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drawings/drawing3.xml" ContentType="application/vnd.openxmlformats-officedocument.drawing+xml"/>
  <Override PartName="/xl/comments2.xml" ContentType="application/vnd.openxmlformats-officedocument.spreadsheetml.comments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  <Override PartName="/xl/commentsmeta1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fineartesi-my.sharepoint.com/personal/gregory_mora_esi-fineart_com/Documents/Bureau/"/>
    </mc:Choice>
  </mc:AlternateContent>
  <xr:revisionPtr revIDLastSave="116" documentId="11_32E61F13676EEB1309DF96F0C2CA73A23305985F" xr6:coauthVersionLast="47" xr6:coauthVersionMax="47" xr10:uidLastSave="{8E07A4AD-C493-447E-97A7-70FE5F5815F0}"/>
  <bookViews>
    <workbookView xWindow="-28920" yWindow="-2385" windowWidth="29040" windowHeight="15720" firstSheet="8" activeTab="11" xr2:uid="{00000000-000D-0000-FFFF-FFFF00000000}"/>
  </bookViews>
  <sheets>
    <sheet name="T1" sheetId="1" r:id="rId1"/>
    <sheet name="T1-T6" sheetId="2" r:id="rId2"/>
    <sheet name="T1-T6 + Caissons" sheetId="3" r:id="rId3"/>
    <sheet name="T1-T3 MRT" sheetId="4" r:id="rId4"/>
    <sheet name="MRT" sheetId="5" r:id="rId5"/>
    <sheet name="T1 LOUVRE" sheetId="6" r:id="rId6"/>
    <sheet name="T1-T6 LOUVRE" sheetId="7" r:id="rId7"/>
    <sheet name="Tableau Anti Vibratoire" sheetId="8" state="hidden" r:id="rId8"/>
    <sheet name="T à Glissières" sheetId="9" r:id="rId9"/>
    <sheet name="T Séparations mousse" sheetId="10" r:id="rId10"/>
    <sheet name="Caisson Tableaux" sheetId="11" r:id="rId11"/>
    <sheet name="Objet 1" sheetId="12" r:id="rId12"/>
    <sheet name="Objet 2 à 6" sheetId="13" r:id="rId13"/>
    <sheet name="Caisse à Plateau" sheetId="14" r:id="rId14"/>
    <sheet name="Palette" sheetId="15" r:id="rId15"/>
    <sheet name="Caisse Cuvette" sheetId="16" r:id="rId16"/>
    <sheet name=" Objet Anti Vibratoire" sheetId="17" r:id="rId17"/>
    <sheet name="Tapisserie" sheetId="18" r:id="rId18"/>
    <sheet name="Claire-Voie" sheetId="19" r:id="rId19"/>
    <sheet name="1 Caisson Objet" sheetId="20" r:id="rId20"/>
    <sheet name="6 Caissons Objets" sheetId="21" r:id="rId21"/>
    <sheet name="Wrapp" sheetId="22" r:id="rId22"/>
    <sheet name="Wrapp Barré" sheetId="23" r:id="rId23"/>
    <sheet name="Vente de Matière" sheetId="24" r:id="rId24"/>
    <sheet name="Caisse Garde-Meubles" sheetId="25" r:id="rId25"/>
    <sheet name="Prix Matiere" sheetId="26" r:id="rId26"/>
    <sheet name="Infos Clients" sheetId="27" state="hidden" r:id="rId27"/>
  </sheets>
  <externalReferences>
    <externalReference r:id="rId28"/>
    <externalReference r:id="rId29"/>
  </externalReferences>
  <definedNames>
    <definedName name="Base" localSheetId="13">'Caisse à Plateau'!$C$35</definedName>
    <definedName name="Base" localSheetId="24">'Caisse Garde-Meubles'!#REF!</definedName>
    <definedName name="Base" localSheetId="18">'Claire-Voie'!$C$30</definedName>
    <definedName name="Base" localSheetId="11">'Objet 1'!$C$36</definedName>
    <definedName name="Base" localSheetId="22">'Wrapp Barré'!$C$27</definedName>
    <definedName name="Base_OAV" localSheetId="16">' Objet Anti Vibratoire'!$C$33</definedName>
    <definedName name="Base1" localSheetId="19">'1 Caisson Objet'!$C$25</definedName>
    <definedName name="Base1" localSheetId="20">'6 Caissons Objets'!$C$22</definedName>
    <definedName name="Base1" localSheetId="12">'Objet 2 à 6'!$C$29</definedName>
    <definedName name="Base2" localSheetId="19">'1 Caisson Objet'!#REF!</definedName>
    <definedName name="Base2" localSheetId="20">'6 Caissons Objets'!$C$32</definedName>
    <definedName name="Base2" localSheetId="12">'Objet 2 à 6'!$C$36</definedName>
    <definedName name="Base3" localSheetId="19">'1 Caisson Objet'!#REF!</definedName>
    <definedName name="Base3" localSheetId="20">'6 Caissons Objets'!$C$42</definedName>
    <definedName name="Base3" localSheetId="12">'Objet 2 à 6'!$C$43</definedName>
    <definedName name="Base4" localSheetId="19">'1 Caisson Objet'!$H$25</definedName>
    <definedName name="Base4" localSheetId="20">'6 Caissons Objets'!$H$22</definedName>
    <definedName name="Base4" localSheetId="12">'Objet 2 à 6'!$H$29</definedName>
    <definedName name="Base5" localSheetId="19">'1 Caisson Objet'!#REF!</definedName>
    <definedName name="Base5" localSheetId="20">'6 Caissons Objets'!$H$32</definedName>
    <definedName name="Base5" localSheetId="12">'Objet 2 à 6'!$H$36</definedName>
    <definedName name="Base6" localSheetId="19">'1 Caisson Objet'!#REF!</definedName>
    <definedName name="Base6" localSheetId="20">'6 Caissons Objets'!$H$42</definedName>
    <definedName name="Base6" localSheetId="12">'Objet 2 à 6'!$H$43</definedName>
    <definedName name="BaseP" localSheetId="13">'Caisse à Plateau'!$C$32</definedName>
    <definedName name="BaseP" localSheetId="14">Palette!$C$21</definedName>
    <definedName name="Carton" localSheetId="16">'[1]Prix Matiere'!$J$11</definedName>
    <definedName name="Carton" localSheetId="19">'[1]Prix Matiere'!$J$11</definedName>
    <definedName name="Carton" localSheetId="20">'[1]Prix Matiere'!$J$11</definedName>
    <definedName name="Carton" localSheetId="13">'[1]Prix Matiere'!$J$11</definedName>
    <definedName name="Carton" localSheetId="15">'[1]Prix Matiere'!$J$11</definedName>
    <definedName name="Carton" localSheetId="18">'[1]Prix Matiere'!$J$11</definedName>
    <definedName name="Carton" localSheetId="11">'[1]Prix Matiere'!$J$11</definedName>
    <definedName name="Carton" localSheetId="12">'[1]Prix Matiere'!$J$11</definedName>
    <definedName name="Carton" localSheetId="14">'[1]Prix Matiere'!$J$11</definedName>
    <definedName name="Carton" localSheetId="17">'[1]Prix Matiere'!$J$11</definedName>
    <definedName name="Carton" localSheetId="21">'[1]Prix Matiere'!$J$11</definedName>
    <definedName name="Carton" localSheetId="22">'[1]Prix Matiere'!$J$11</definedName>
    <definedName name="Carton">'Prix Matiere'!$J$11</definedName>
    <definedName name="CCBase1" localSheetId="15">'Caisse Cuvette'!$C$28</definedName>
    <definedName name="CCBase2" localSheetId="15">'Caisse Cuvette'!$C$35</definedName>
    <definedName name="CCBase3" localSheetId="15">'Caisse Cuvette'!$C$42</definedName>
    <definedName name="CCBase4" localSheetId="15">'Caisse Cuvette'!$I$28</definedName>
    <definedName name="CCBase5" localSheetId="15">'Caisse Cuvette'!$I$35</definedName>
    <definedName name="CCBase6" localSheetId="15">'Caisse Cuvette'!$I$42</definedName>
    <definedName name="CCType_de_mousse1" localSheetId="15">'Caisse Cuvette'!$F$26</definedName>
    <definedName name="CCType_de_mousse2" localSheetId="15">'Caisse Cuvette'!$F$33</definedName>
    <definedName name="CCType_de_mousse3" localSheetId="15">'Caisse Cuvette'!$F$40</definedName>
    <definedName name="CCType_de_mousse4" localSheetId="15">'Caisse Cuvette'!$L$26</definedName>
    <definedName name="CCType_de_mousse5" localSheetId="15">'Caisse Cuvette'!$L$33</definedName>
    <definedName name="CCType_de_mousse6" localSheetId="15">'Caisse Cuvette'!$L$40</definedName>
    <definedName name="Dimensions_intérieures_CP_15_hauteur" localSheetId="13">'Caisse à Plateau'!$E$92</definedName>
    <definedName name="Dimensions_intérieures_CP_15_hauteur" localSheetId="15">'Caisse Cuvette'!$E$95</definedName>
    <definedName name="Dimensions_intérieures_CP_15_hauteur" localSheetId="24">'Caisse Garde-Meubles'!#REF!</definedName>
    <definedName name="Dimensions_intérieures_CP_15_hauteur" localSheetId="18">'Claire-Voie'!$E$58</definedName>
    <definedName name="Dimensions_intérieures_CP_15_hauteur" localSheetId="11">'Objet 1'!$E$93</definedName>
    <definedName name="Dimensions_intérieures_CP_15_hauteur" localSheetId="12">'Objet 2 à 6'!$E$109</definedName>
    <definedName name="Dimensions_intérieures_CP_15_hauteur" localSheetId="17">Tapisserie!$E$90</definedName>
    <definedName name="Dimensions_intérieures_CP_15_hauteur" localSheetId="22">'Wrapp Barré'!$E$54</definedName>
    <definedName name="Dimensions_intérieures_CP_15_hauteur_OAV" localSheetId="16">' Objet Anti Vibratoire'!$E$98</definedName>
    <definedName name="Dimensions_intérieures_CP_15_hauteur_P" localSheetId="13">'Caisse à Plateau'!$E$86</definedName>
    <definedName name="Dimensions_intérieures_CP_15_hauteur_P" localSheetId="14">Palette!#REF!</definedName>
    <definedName name="Dimensions_intérieures_Cp_15_largeur" localSheetId="13">'Caisse à Plateau'!$D$92</definedName>
    <definedName name="Dimensions_intérieures_Cp_15_largeur" localSheetId="15">'Caisse Cuvette'!$D$95</definedName>
    <definedName name="Dimensions_intérieures_Cp_15_largeur" localSheetId="24">'Caisse Garde-Meubles'!#REF!</definedName>
    <definedName name="Dimensions_intérieures_Cp_15_largeur" localSheetId="18">'Claire-Voie'!$D$58</definedName>
    <definedName name="Dimensions_intérieures_Cp_15_largeur" localSheetId="11">'Objet 1'!$D$93</definedName>
    <definedName name="Dimensions_intérieures_Cp_15_largeur" localSheetId="12">'Objet 2 à 6'!$D$109</definedName>
    <definedName name="Dimensions_intérieures_Cp_15_largeur" localSheetId="17">Tapisserie!$D$90</definedName>
    <definedName name="Dimensions_intérieures_Cp_15_largeur" localSheetId="22">'Wrapp Barré'!$D$54</definedName>
    <definedName name="Dimensions_intérieures_Cp_15_largeur_OAV">'[1] Objet Anti Vibratoire'!$D$98</definedName>
    <definedName name="Dimensions_intérieures_Cp_15_largeur_P" localSheetId="13">'Caisse à Plateau'!$D$86</definedName>
    <definedName name="Dimensions_intérieures_Cp_15_largeur_P" localSheetId="14">Palette!#REF!</definedName>
    <definedName name="Dimensions_intérieures_Cp_15_longueur" localSheetId="13">'Caisse à Plateau'!$C$92</definedName>
    <definedName name="Dimensions_intérieures_Cp_15_longueur" localSheetId="15">'Caisse Cuvette'!$C$95</definedName>
    <definedName name="Dimensions_intérieures_Cp_15_longueur" localSheetId="24">'Caisse Garde-Meubles'!#REF!</definedName>
    <definedName name="Dimensions_intérieures_Cp_15_longueur" localSheetId="18">'Claire-Voie'!$C$58</definedName>
    <definedName name="Dimensions_intérieures_Cp_15_longueur" localSheetId="11">'Objet 1'!$C$93</definedName>
    <definedName name="Dimensions_intérieures_Cp_15_longueur" localSheetId="12">'Objet 2 à 6'!$C$109</definedName>
    <definedName name="Dimensions_intérieures_Cp_15_longueur" localSheetId="17">Tapisserie!$C$90</definedName>
    <definedName name="Dimensions_intérieures_Cp_15_longueur" localSheetId="22">'Wrapp Barré'!$C$54</definedName>
    <definedName name="Dimensions_intérieures_Cp_15_longueur_OAV">'[1] Objet Anti Vibratoire'!$C$98</definedName>
    <definedName name="Dimensions_intérieures_Cp_15_longueur_P" localSheetId="13">'Caisse à Plateau'!$C$86</definedName>
    <definedName name="Dimensions_intérieures_Cp_15_longueur_P" localSheetId="14">Palette!#REF!</definedName>
    <definedName name="Frais_Généraux" localSheetId="16">'[1]Prix Matiere'!$B$64</definedName>
    <definedName name="Frais_Généraux" localSheetId="19">'[1]Prix Matiere'!$B$64</definedName>
    <definedName name="Frais_Généraux" localSheetId="20">'[1]Prix Matiere'!$B$64</definedName>
    <definedName name="Frais_Généraux" localSheetId="13">'[1]Prix Matiere'!$B$64</definedName>
    <definedName name="Frais_Généraux" localSheetId="15">'[1]Prix Matiere'!$B$64</definedName>
    <definedName name="Frais_Généraux" localSheetId="18">'[1]Prix Matiere'!$B$64</definedName>
    <definedName name="Frais_Généraux" localSheetId="11">'[1]Prix Matiere'!$B$64</definedName>
    <definedName name="Frais_Généraux" localSheetId="12">'[1]Prix Matiere'!$B$64</definedName>
    <definedName name="Frais_Généraux" localSheetId="14">'[1]Prix Matiere'!$B$64</definedName>
    <definedName name="Frais_Généraux" localSheetId="17">'[1]Prix Matiere'!$B$64</definedName>
    <definedName name="Frais_Généraux" localSheetId="21">'[1]Prix Matiere'!$B$64</definedName>
    <definedName name="Frais_Généraux" localSheetId="22">'[1]Prix Matiere'!$B$64</definedName>
    <definedName name="Frais_Généraux">'Prix Matiere'!$B$64</definedName>
    <definedName name="Hauteur_cuvette1" localSheetId="15">'Caisse Cuvette'!$E$24</definedName>
    <definedName name="Hauteur_cuvette2" localSheetId="15">'Caisse Cuvette'!$E$31</definedName>
    <definedName name="Hauteur_cuvette3" localSheetId="15">'Caisse Cuvette'!$E$38</definedName>
    <definedName name="Hauteur_cuvette4" localSheetId="15">'Caisse Cuvette'!$K$24</definedName>
    <definedName name="Hauteur_cuvette5" localSheetId="15">'Caisse Cuvette'!$K$31</definedName>
    <definedName name="Hauteur_cuvette6" localSheetId="15">'Caisse Cuvette'!$K$38</definedName>
    <definedName name="hnec1" localSheetId="19">'1 Caisson Objet'!$E$27</definedName>
    <definedName name="hnec1" localSheetId="20">'6 Caissons Objets'!$E$24</definedName>
    <definedName name="hnec1" localSheetId="12">'Objet 2 à 6'!$E$30</definedName>
    <definedName name="hnec2" localSheetId="19">'1 Caisson Objet'!#REF!</definedName>
    <definedName name="hnec2" localSheetId="20">'6 Caissons Objets'!$E$34</definedName>
    <definedName name="hnec2" localSheetId="12">'Objet 2 à 6'!$E$37</definedName>
    <definedName name="hnec3" localSheetId="19">'1 Caisson Objet'!#REF!</definedName>
    <definedName name="hnec3" localSheetId="20">'6 Caissons Objets'!$E$44</definedName>
    <definedName name="hnec3" localSheetId="12">'Objet 2 à 6'!$E$44</definedName>
    <definedName name="hnec4" localSheetId="19">'1 Caisson Objet'!$J$27</definedName>
    <definedName name="hnec4" localSheetId="20">'6 Caissons Objets'!$J$24</definedName>
    <definedName name="hnec4" localSheetId="12">'Objet 2 à 6'!$J$30</definedName>
    <definedName name="hnec5" localSheetId="19">'1 Caisson Objet'!#REF!</definedName>
    <definedName name="hnec5" localSheetId="20">'6 Caissons Objets'!$J$34</definedName>
    <definedName name="hnec5" localSheetId="12">'Objet 2 à 6'!$J$37</definedName>
    <definedName name="hnec6" localSheetId="19">'1 Caisson Objet'!#REF!</definedName>
    <definedName name="hnec6" localSheetId="20">'6 Caissons Objets'!$J$44</definedName>
    <definedName name="hnec6" localSheetId="12">'Objet 2 à 6'!$J$44</definedName>
    <definedName name="lanec1" localSheetId="19">'1 Caisson Objet'!$D$27</definedName>
    <definedName name="lanec1" localSheetId="20">'6 Caissons Objets'!$D$24</definedName>
    <definedName name="lanec1" localSheetId="12">'Objet 2 à 6'!$D$30</definedName>
    <definedName name="lanec2" localSheetId="19">'1 Caisson Objet'!#REF!</definedName>
    <definedName name="lanec2" localSheetId="20">'6 Caissons Objets'!$D$34</definedName>
    <definedName name="lanec2" localSheetId="12">'Objet 2 à 6'!$D$37</definedName>
    <definedName name="lanec3" localSheetId="19">'1 Caisson Objet'!#REF!</definedName>
    <definedName name="lanec3" localSheetId="20">'6 Caissons Objets'!$D$44</definedName>
    <definedName name="lanec3" localSheetId="12">'Objet 2 à 6'!$D$44</definedName>
    <definedName name="lanec4" localSheetId="19">'1 Caisson Objet'!$I$27</definedName>
    <definedName name="lanec4" localSheetId="20">'6 Caissons Objets'!$I$24</definedName>
    <definedName name="lanec4" localSheetId="12">'Objet 2 à 6'!$I$30</definedName>
    <definedName name="lanec5" localSheetId="19">'1 Caisson Objet'!#REF!</definedName>
    <definedName name="lanec5" localSheetId="20">'6 Caissons Objets'!$I$34</definedName>
    <definedName name="lanec5" localSheetId="12">'Objet 2 à 6'!$I$37</definedName>
    <definedName name="lanec6" localSheetId="19">'1 Caisson Objet'!#REF!</definedName>
    <definedName name="lanec6" localSheetId="20">'6 Caissons Objets'!$I$44</definedName>
    <definedName name="lanec6" localSheetId="12">'Objet 2 à 6'!$I$44</definedName>
    <definedName name="ListeLogo">'Infos Clients'!$B$2:$B$10</definedName>
    <definedName name="Lnec1" localSheetId="19">'1 Caisson Objet'!$C$27</definedName>
    <definedName name="Lnec1" localSheetId="20">'6 Caissons Objets'!$C$24</definedName>
    <definedName name="Lnec1" localSheetId="12">'Objet 2 à 6'!$C$30</definedName>
    <definedName name="Lnec2" localSheetId="19">'1 Caisson Objet'!#REF!</definedName>
    <definedName name="Lnec2" localSheetId="20">'6 Caissons Objets'!$C$34</definedName>
    <definedName name="Lnec2" localSheetId="12">'Objet 2 à 6'!$C$37</definedName>
    <definedName name="Lnec3" localSheetId="19">'1 Caisson Objet'!#REF!</definedName>
    <definedName name="Lnec3" localSheetId="20">'6 Caissons Objets'!$C$44</definedName>
    <definedName name="Lnec3" localSheetId="12">'Objet 2 à 6'!$C$44</definedName>
    <definedName name="Lnec4" localSheetId="19">'1 Caisson Objet'!$H$27</definedName>
    <definedName name="Lnec4" localSheetId="20">'6 Caissons Objets'!$H$24</definedName>
    <definedName name="Lnec4" localSheetId="12">'Objet 2 à 6'!$H$30</definedName>
    <definedName name="Lnec5" localSheetId="19">'1 Caisson Objet'!#REF!</definedName>
    <definedName name="Lnec5" localSheetId="20">'6 Caissons Objets'!$H$34</definedName>
    <definedName name="Lnec5" localSheetId="12">'Objet 2 à 6'!$H$37</definedName>
    <definedName name="Lnec6" localSheetId="19">'1 Caisson Objet'!#REF!</definedName>
    <definedName name="Lnec6" localSheetId="20">'6 Caissons Objets'!$H$44</definedName>
    <definedName name="Lnec6" localSheetId="12">'Objet 2 à 6'!$H$44</definedName>
    <definedName name="Logo_Caisse_à_Glissières">OFFSET('Infos Clients'!$C$2,MATCH('T à Glissières'!$F$11,'Infos Clients'!$B$2:$B$10,0)-1,)</definedName>
    <definedName name="Logo_Caisson_1_à_2_Tableaux">OFFSET('Infos Clients'!$C$2,MATCH('Caisson Tableaux'!$F$10,'Infos Clients'!$B$2:$B$10,0)-1,)</definedName>
    <definedName name="Logo_MRT">OFFSET('Infos Clients'!$C$2,MATCH(MRT!$F$5,'Infos Clients'!$B$2:$B$10,0)-1,)</definedName>
    <definedName name="Logo_Séparation_Mousse">OFFSET('Infos Clients'!$C$2,MATCH('T Séparations mousse'!$F$10,'Infos Clients'!$B$2:$B$10,0)-1,)</definedName>
    <definedName name="Logo_T1_Louvre">OFFSET('Infos Clients'!$C$2,MATCH('T1 LOUVRE'!$F$10,'Infos Clients'!$B$2:$B$10,0)-1,)</definedName>
    <definedName name="Logo_T1_T3_MRT">OFFSET('Infos Clients'!$C$2,MATCH('T1-T3 MRT'!$F$10,'Infos Clients'!$B$2:$B$10,0)-1,)</definedName>
    <definedName name="Logo_T1_T6_Caissons">OFFSET('Infos Clients'!$C$2,MATCH('T1-T6 + Caissons'!$F$10,'Infos Clients'!$B$2:$B$10,0)-1,)</definedName>
    <definedName name="Logo_T2_T6">OFFSET('Infos Clients'!$C$2,MATCH('T1-T6'!$F$10,'Infos Clients'!$B$2:$B$10,0)-1,)</definedName>
    <definedName name="Logo_T2_T6_Louvre">OFFSET('Infos Clients'!$C$2,MATCH('T1-T6 LOUVRE'!$F$10,'Infos Clients'!$B$2:$B$10,0)-1,)</definedName>
    <definedName name="Logo_TAV">OFFSET('Infos Clients'!$C$2,MATCH('Tableau Anti Vibratoire'!$F$10,'Infos Clients'!$B$2:$B$10,0)-1,)</definedName>
    <definedName name="LogoT1">OFFSET('Infos Clients'!$C$2,MATCH('T1'!$F$10,'Infos Clients'!$B$2:$B$10,0)-1,)</definedName>
    <definedName name="Marge" localSheetId="16">'[1]Prix Matiere'!$B$65</definedName>
    <definedName name="Marge" localSheetId="19">'[1]Prix Matiere'!$B$65</definedName>
    <definedName name="Marge" localSheetId="20">'[1]Prix Matiere'!$B$65</definedName>
    <definedName name="Marge" localSheetId="13">'[1]Prix Matiere'!$B$65</definedName>
    <definedName name="Marge" localSheetId="15">'[1]Prix Matiere'!$B$65</definedName>
    <definedName name="Marge" localSheetId="18">'[1]Prix Matiere'!$B$65</definedName>
    <definedName name="Marge" localSheetId="11">'[1]Prix Matiere'!$B$65</definedName>
    <definedName name="Marge" localSheetId="12">'[1]Prix Matiere'!$B$65</definedName>
    <definedName name="Marge" localSheetId="14">'[1]Prix Matiere'!$B$65</definedName>
    <definedName name="Marge" localSheetId="17">'[1]Prix Matiere'!$B$65</definedName>
    <definedName name="Marge" localSheetId="21">'[1]Prix Matiere'!$B$65</definedName>
    <definedName name="Marge" localSheetId="22">'[1]Prix Matiere'!$B$65</definedName>
    <definedName name="Marge">'Prix Matiere'!$B$65</definedName>
    <definedName name="MinuteMO" localSheetId="16">'[1]Prix Matiere'!$J$26</definedName>
    <definedName name="MinuteMO" localSheetId="19">'[1]Prix Matiere'!$J$26</definedName>
    <definedName name="MinuteMO" localSheetId="20">'[1]Prix Matiere'!$J$26</definedName>
    <definedName name="MinuteMO" localSheetId="13">'[1]Prix Matiere'!$J$26</definedName>
    <definedName name="MinuteMO" localSheetId="15">'[1]Prix Matiere'!$J$26</definedName>
    <definedName name="MinuteMO" localSheetId="18">'[1]Prix Matiere'!$J$26</definedName>
    <definedName name="MinuteMO" localSheetId="11">'[1]Prix Matiere'!$J$26</definedName>
    <definedName name="MinuteMO" localSheetId="12">'[1]Prix Matiere'!$J$26</definedName>
    <definedName name="MinuteMO" localSheetId="14">'[1]Prix Matiere'!$J$26</definedName>
    <definedName name="MinuteMO" localSheetId="17">'[1]Prix Matiere'!$J$26</definedName>
    <definedName name="MinuteMO" localSheetId="21">'[1]Prix Matiere'!$J$26</definedName>
    <definedName name="MinuteMO" localSheetId="22">'[1]Prix Matiere'!$J$26</definedName>
    <definedName name="MinuteMO">'Prix Matiere'!$J$26</definedName>
    <definedName name="Moussecal1" localSheetId="19">'1 Caisson Objet'!$A$130:$AG$142</definedName>
    <definedName name="Moussecal1" localSheetId="20">'6 Caissons Objets'!$A$260:$AG$272</definedName>
    <definedName name="Moussecal1" localSheetId="12">'Objet 2 à 6'!$A$322:$AG$332</definedName>
    <definedName name="Moussecal2" localSheetId="19">'1 Caisson Objet'!#REF!</definedName>
    <definedName name="Moussecal2" localSheetId="20">'6 Caissons Objets'!$A$276:$AG$288</definedName>
    <definedName name="Moussecal2" localSheetId="12">'Objet 2 à 6'!$A$336:$AG$346</definedName>
    <definedName name="Moussecal3" localSheetId="19">'1 Caisson Objet'!#REF!</definedName>
    <definedName name="Moussecal3" localSheetId="20">'6 Caissons Objets'!$A$292:$AG$304</definedName>
    <definedName name="Moussecal3" localSheetId="12">'Objet 2 à 6'!$A$350:$AG$360</definedName>
    <definedName name="Moussecal4" localSheetId="19">'1 Caisson Objet'!#REF!</definedName>
    <definedName name="Moussecal4" localSheetId="20">'6 Caissons Objets'!$A$308:$AG$320</definedName>
    <definedName name="Moussecal4" localSheetId="12">'Objet 2 à 6'!$A$364:$AG$374</definedName>
    <definedName name="Moussecal5" localSheetId="19">'1 Caisson Objet'!#REF!</definedName>
    <definedName name="Moussecal5" localSheetId="20">'6 Caissons Objets'!$A$324:$AG$336</definedName>
    <definedName name="Moussecal5" localSheetId="12">'Objet 2 à 6'!$A$378:$AG$388</definedName>
    <definedName name="Moussecal6" localSheetId="19">'1 Caisson Objet'!#REF!</definedName>
    <definedName name="Moussecal6" localSheetId="20">'6 Caissons Objets'!$A$340:$AG$352</definedName>
    <definedName name="Moussecal6" localSheetId="12">'Objet 2 à 6'!$A$392:$AG$402</definedName>
    <definedName name="nbcal1" localSheetId="19">'1 Caisson Objet'!$E$22</definedName>
    <definedName name="nbcal1" localSheetId="20">'6 Caissons Objets'!$E$19</definedName>
    <definedName name="nbcal1" localSheetId="12">'Objet 2 à 6'!$E$27</definedName>
    <definedName name="nbcal2" localSheetId="19">'1 Caisson Objet'!#REF!</definedName>
    <definedName name="nbcal2" localSheetId="20">'6 Caissons Objets'!$E$29</definedName>
    <definedName name="nbcal2" localSheetId="12">'Objet 2 à 6'!$E$34</definedName>
    <definedName name="nbcal3" localSheetId="19">'1 Caisson Objet'!#REF!</definedName>
    <definedName name="nbcal3" localSheetId="20">'6 Caissons Objets'!$E$39</definedName>
    <definedName name="nbcal3" localSheetId="12">'Objet 2 à 6'!$E$41</definedName>
    <definedName name="nbcal4" localSheetId="19">'1 Caisson Objet'!$J$22</definedName>
    <definedName name="nbcal4" localSheetId="20">'6 Caissons Objets'!$J$19</definedName>
    <definedName name="nbcal4" localSheetId="12">'Objet 2 à 6'!$J$27</definedName>
    <definedName name="nbcal5" localSheetId="19">'1 Caisson Objet'!#REF!</definedName>
    <definedName name="nbcal5" localSheetId="20">'6 Caissons Objets'!$J$29</definedName>
    <definedName name="nbcal5" localSheetId="12">'Objet 2 à 6'!$J$34</definedName>
    <definedName name="nbcal6" localSheetId="19">'1 Caisson Objet'!#REF!</definedName>
    <definedName name="nbcal6" localSheetId="20">'6 Caissons Objets'!$J$39</definedName>
    <definedName name="nbcal6" localSheetId="12">'Objet 2 à 6'!$J$41</definedName>
    <definedName name="NBCALAGES" localSheetId="12">'Objet 2 à 6'!$A$303:$A$308</definedName>
    <definedName name="nombre_de_calages" localSheetId="15">'Caisse Cuvette'!$F$26</definedName>
    <definedName name="nombre_de_calages" localSheetId="24">'Caisse Garde-Meubles'!#REF!</definedName>
    <definedName name="nombre_de_calages" localSheetId="18">'Claire-Voie'!$F$27</definedName>
    <definedName name="nombre_de_calages" localSheetId="11">'Objet 1'!$F$33</definedName>
    <definedName name="nombre_de_calages" localSheetId="17">Tapisserie!#REF!</definedName>
    <definedName name="nombre_de_calages" localSheetId="22">'Wrapp Barré'!$F$24</definedName>
    <definedName name="nombre_de_calages_OAV" localSheetId="16">' Objet Anti Vibratoire'!$F$30</definedName>
    <definedName name="nombre_de_calages_P" localSheetId="13">'Caisse à Plateau'!$F$29</definedName>
    <definedName name="nombre_de_calages_P" localSheetId="14">Palette!#REF!</definedName>
    <definedName name="plat1" localSheetId="19">'1 Caisson Objet'!$C$24</definedName>
    <definedName name="plat1" localSheetId="20">'6 Caissons Objets'!$C$21</definedName>
    <definedName name="plat1" localSheetId="12">'Objet 2 à 6'!$C$28</definedName>
    <definedName name="plat2" localSheetId="19">'1 Caisson Objet'!#REF!</definedName>
    <definedName name="plat2" localSheetId="20">'6 Caissons Objets'!$C$31</definedName>
    <definedName name="plat2" localSheetId="12">'Objet 2 à 6'!$C$35</definedName>
    <definedName name="plat3" localSheetId="19">'1 Caisson Objet'!#REF!</definedName>
    <definedName name="plat3" localSheetId="20">'6 Caissons Objets'!$C$41</definedName>
    <definedName name="plat3" localSheetId="12">'Objet 2 à 6'!$C$42</definedName>
    <definedName name="plat4" localSheetId="19">'1 Caisson Objet'!$H$24</definedName>
    <definedName name="plat4" localSheetId="20">'6 Caissons Objets'!$H$21</definedName>
    <definedName name="plat4" localSheetId="12">'Objet 2 à 6'!$H$28</definedName>
    <definedName name="plat5" localSheetId="19">'1 Caisson Objet'!#REF!</definedName>
    <definedName name="plat5" localSheetId="20">'6 Caissons Objets'!$H$31</definedName>
    <definedName name="plat5" localSheetId="12">'Objet 2 à 6'!$H$35</definedName>
    <definedName name="plat6" localSheetId="19">'1 Caisson Objet'!#REF!</definedName>
    <definedName name="plat6" localSheetId="20">'6 Caissons Objets'!$H$41</definedName>
    <definedName name="plat6" localSheetId="12">'Objet 2 à 6'!$H$42</definedName>
    <definedName name="Plateau" localSheetId="13">'Caisse à Plateau'!$C$34</definedName>
    <definedName name="Plateau" localSheetId="24">'Caisse Garde-Meubles'!#REF!</definedName>
    <definedName name="Plateau" localSheetId="18">'Claire-Voie'!$C$29</definedName>
    <definedName name="Plateau" localSheetId="11">'Objet 1'!$C$35</definedName>
    <definedName name="Plateau" localSheetId="14">Palette!$C$23</definedName>
    <definedName name="Plateau" localSheetId="22">'Wrapp Barré'!$C$26</definedName>
    <definedName name="Plateau_OAV">'[1] Objet Anti Vibratoire'!$C$32</definedName>
    <definedName name="PlateauP" localSheetId="13">'Caisse à Plateau'!$C$31</definedName>
    <definedName name="PlateauP" localSheetId="14">Palette!$C$20</definedName>
    <definedName name="Poids_Carton">'Prix Matiere'!$L$11</definedName>
    <definedName name="Prixmatière">'Prix Matiere'!$A$4:$J$56</definedName>
    <definedName name="typedemousse" localSheetId="12">'Objet 2 à 6'!$A$295:$A$297</definedName>
    <definedName name="Typedemousse1" localSheetId="19">'1 Caisson Objet'!$E$24</definedName>
    <definedName name="Typedemousse1" localSheetId="20">'6 Caissons Objets'!$E$21</definedName>
    <definedName name="Typedemousse2" localSheetId="19">'1 Caisson Objet'!#REF!</definedName>
    <definedName name="Typedemousse2" localSheetId="20">'6 Caissons Objets'!$E$31</definedName>
    <definedName name="Typedemousse3" localSheetId="19">'1 Caisson Objet'!#REF!</definedName>
    <definedName name="Typedemousse3" localSheetId="20">'6 Caissons Objets'!$E$41</definedName>
    <definedName name="Typedemousse4" localSheetId="19">'1 Caisson Objet'!$J$24</definedName>
    <definedName name="Typedemousse4" localSheetId="20">'6 Caissons Objets'!$J$21</definedName>
    <definedName name="Typedemousse5" localSheetId="19">'1 Caisson Objet'!#REF!</definedName>
    <definedName name="Typedemousse5" localSheetId="20">'6 Caissons Objets'!$J$31</definedName>
    <definedName name="Typedemousse6" localSheetId="19">'1 Caisson Objet'!#REF!</definedName>
    <definedName name="Typedemousse6" localSheetId="20">'6 Caissons Objets'!$J$41</definedName>
    <definedName name="_xlnm.Print_Area" localSheetId="4">MRT!$A$1:$G$32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34" roundtripDataChecksum="1MNAaO2UGXjcHzfgVg3RkKvzN1tM6cftDCHs0NYaYSA="/>
    </ext>
  </extLst>
</workbook>
</file>

<file path=xl/calcChain.xml><?xml version="1.0" encoding="utf-8"?>
<calcChain xmlns="http://schemas.openxmlformats.org/spreadsheetml/2006/main">
  <c r="L104" i="12" l="1"/>
  <c r="L105" i="12"/>
  <c r="L106" i="12"/>
  <c r="L107" i="12"/>
  <c r="L109" i="12"/>
  <c r="L113" i="12"/>
  <c r="L43" i="14"/>
  <c r="L44" i="14"/>
  <c r="L45" i="14"/>
  <c r="L46" i="14"/>
  <c r="L47" i="14"/>
  <c r="L48" i="14"/>
  <c r="L49" i="14"/>
  <c r="L50" i="14"/>
  <c r="L51" i="14"/>
  <c r="L52" i="14"/>
  <c r="L53" i="14"/>
  <c r="L54" i="14"/>
  <c r="L55" i="14"/>
  <c r="L56" i="14"/>
  <c r="L57" i="14"/>
  <c r="L58" i="14"/>
  <c r="L59" i="14"/>
  <c r="L60" i="14"/>
  <c r="L61" i="14"/>
  <c r="L62" i="14"/>
  <c r="L63" i="14"/>
  <c r="L64" i="14"/>
  <c r="L65" i="14"/>
  <c r="L66" i="14"/>
  <c r="L67" i="14"/>
  <c r="L68" i="14"/>
  <c r="L69" i="14"/>
  <c r="L70" i="14"/>
  <c r="L71" i="14"/>
  <c r="L72" i="14"/>
  <c r="L73" i="14"/>
  <c r="L74" i="14"/>
  <c r="L75" i="14"/>
  <c r="L76" i="14"/>
  <c r="L77" i="14"/>
  <c r="L78" i="14"/>
  <c r="L79" i="14"/>
  <c r="L80" i="14"/>
  <c r="L81" i="14"/>
  <c r="L82" i="14"/>
  <c r="L83" i="14"/>
  <c r="L84" i="14"/>
  <c r="L85" i="14"/>
  <c r="L86" i="14"/>
  <c r="L87" i="14"/>
  <c r="L88" i="14"/>
  <c r="L89" i="14"/>
  <c r="L90" i="14"/>
  <c r="L91" i="14"/>
  <c r="L92" i="14"/>
  <c r="L93" i="14"/>
  <c r="L94" i="14"/>
  <c r="L95" i="14"/>
  <c r="L96" i="14"/>
  <c r="L97" i="14"/>
  <c r="L98" i="14"/>
  <c r="L99" i="14"/>
  <c r="L100" i="14"/>
  <c r="L101" i="14"/>
  <c r="L102" i="14"/>
  <c r="L106" i="14"/>
  <c r="L42" i="14"/>
  <c r="I12" i="14"/>
  <c r="L64" i="13"/>
  <c r="L65" i="13"/>
  <c r="L66" i="13"/>
  <c r="L67" i="13"/>
  <c r="L68" i="13"/>
  <c r="L69" i="13"/>
  <c r="L70" i="13"/>
  <c r="L71" i="13"/>
  <c r="L72" i="13"/>
  <c r="L73" i="13"/>
  <c r="L74" i="13"/>
  <c r="L75" i="13"/>
  <c r="L76" i="13"/>
  <c r="L77" i="13"/>
  <c r="L78" i="13"/>
  <c r="L79" i="13"/>
  <c r="L80" i="13"/>
  <c r="L81" i="13"/>
  <c r="L82" i="13"/>
  <c r="L83" i="13"/>
  <c r="L84" i="13"/>
  <c r="L85" i="13"/>
  <c r="L86" i="13"/>
  <c r="L87" i="13"/>
  <c r="L88" i="13"/>
  <c r="L89" i="13"/>
  <c r="L90" i="13"/>
  <c r="L91" i="13"/>
  <c r="L92" i="13"/>
  <c r="L93" i="13"/>
  <c r="L94" i="13"/>
  <c r="L95" i="13"/>
  <c r="L96" i="13"/>
  <c r="L97" i="13"/>
  <c r="L98" i="13"/>
  <c r="L99" i="13"/>
  <c r="L100" i="13"/>
  <c r="L101" i="13"/>
  <c r="L102" i="13"/>
  <c r="L103" i="13"/>
  <c r="L104" i="13"/>
  <c r="L105" i="13"/>
  <c r="L106" i="13"/>
  <c r="L107" i="13"/>
  <c r="L108" i="13"/>
  <c r="L109" i="13"/>
  <c r="L110" i="13"/>
  <c r="L111" i="13"/>
  <c r="L112" i="13"/>
  <c r="L113" i="13"/>
  <c r="L114" i="13"/>
  <c r="L115" i="13"/>
  <c r="L116" i="13"/>
  <c r="L117" i="13"/>
  <c r="L119" i="13"/>
  <c r="L120" i="13"/>
  <c r="L121" i="13"/>
  <c r="L122" i="13"/>
  <c r="L123" i="13"/>
  <c r="L124" i="13"/>
  <c r="L125" i="13"/>
  <c r="L126" i="13"/>
  <c r="L127" i="13"/>
  <c r="L128" i="13"/>
  <c r="L129" i="13"/>
  <c r="L130" i="13"/>
  <c r="L131" i="13"/>
  <c r="L132" i="13"/>
  <c r="L133" i="13"/>
  <c r="L135" i="13"/>
  <c r="L136" i="13"/>
  <c r="L137" i="13"/>
  <c r="L138" i="13"/>
  <c r="L139" i="13"/>
  <c r="L140" i="13"/>
  <c r="L141" i="13"/>
  <c r="L142" i="13"/>
  <c r="L143" i="13"/>
  <c r="L144" i="13"/>
  <c r="L145" i="13"/>
  <c r="L146" i="13"/>
  <c r="L147" i="13"/>
  <c r="L148" i="13"/>
  <c r="L149" i="13"/>
  <c r="L151" i="13"/>
  <c r="L152" i="13"/>
  <c r="L153" i="13"/>
  <c r="L154" i="13"/>
  <c r="L155" i="13"/>
  <c r="L156" i="13"/>
  <c r="L157" i="13"/>
  <c r="L158" i="13"/>
  <c r="L159" i="13"/>
  <c r="L160" i="13"/>
  <c r="L161" i="13"/>
  <c r="L162" i="13"/>
  <c r="L163" i="13"/>
  <c r="L164" i="13"/>
  <c r="L165" i="13"/>
  <c r="L167" i="13"/>
  <c r="L168" i="13"/>
  <c r="L169" i="13"/>
  <c r="L170" i="13"/>
  <c r="L171" i="13"/>
  <c r="L172" i="13"/>
  <c r="L173" i="13"/>
  <c r="L174" i="13"/>
  <c r="L175" i="13"/>
  <c r="L176" i="13"/>
  <c r="L177" i="13"/>
  <c r="L178" i="13"/>
  <c r="L179" i="13"/>
  <c r="L180" i="13"/>
  <c r="L181" i="13"/>
  <c r="L183" i="13"/>
  <c r="L184" i="13"/>
  <c r="L185" i="13"/>
  <c r="L186" i="13"/>
  <c r="L187" i="13"/>
  <c r="L188" i="13"/>
  <c r="L189" i="13"/>
  <c r="L190" i="13"/>
  <c r="L191" i="13"/>
  <c r="L192" i="13"/>
  <c r="L193" i="13"/>
  <c r="L194" i="13"/>
  <c r="L195" i="13"/>
  <c r="L196" i="13"/>
  <c r="L197" i="13"/>
  <c r="L199" i="13"/>
  <c r="L200" i="13"/>
  <c r="L201" i="13"/>
  <c r="L202" i="13"/>
  <c r="L203" i="13"/>
  <c r="L204" i="13"/>
  <c r="L205" i="13"/>
  <c r="L206" i="13"/>
  <c r="L207" i="13"/>
  <c r="L208" i="13"/>
  <c r="L209" i="13"/>
  <c r="L210" i="13"/>
  <c r="L211" i="13"/>
  <c r="L63" i="13"/>
  <c r="L119" i="12"/>
  <c r="L90" i="12"/>
  <c r="L84" i="12"/>
  <c r="L94" i="12"/>
  <c r="L95" i="12"/>
  <c r="L96" i="12"/>
  <c r="L115" i="12"/>
  <c r="L67" i="12"/>
  <c r="L68" i="12"/>
  <c r="L69" i="12"/>
  <c r="L70" i="12"/>
  <c r="L71" i="12"/>
  <c r="L73" i="12"/>
  <c r="L74" i="12"/>
  <c r="L75" i="12"/>
  <c r="L76" i="12"/>
  <c r="L77" i="12"/>
  <c r="L79" i="12"/>
  <c r="L80" i="12"/>
  <c r="L81" i="12"/>
  <c r="L82" i="12"/>
  <c r="L85" i="12"/>
  <c r="L86" i="12"/>
  <c r="L87" i="12"/>
  <c r="L88" i="12"/>
  <c r="L92" i="12"/>
  <c r="L51" i="12"/>
  <c r="L52" i="12"/>
  <c r="L53" i="12"/>
  <c r="L54" i="12"/>
  <c r="L55" i="12"/>
  <c r="L56" i="12"/>
  <c r="L57" i="12"/>
  <c r="L58" i="12"/>
  <c r="L59" i="12"/>
  <c r="L60" i="12"/>
  <c r="L61" i="12"/>
  <c r="L62" i="12"/>
  <c r="L63" i="12"/>
  <c r="L64" i="12"/>
  <c r="L65" i="12"/>
  <c r="L66" i="12"/>
  <c r="L50" i="12"/>
  <c r="L58" i="1"/>
  <c r="I58" i="26"/>
  <c r="J58" i="26" s="1"/>
  <c r="J57" i="26"/>
  <c r="I57" i="26"/>
  <c r="I56" i="26"/>
  <c r="J56" i="26" s="1"/>
  <c r="I55" i="26"/>
  <c r="J55" i="26" s="1"/>
  <c r="B54" i="26"/>
  <c r="I54" i="26" s="1"/>
  <c r="J54" i="26" s="1"/>
  <c r="I53" i="26"/>
  <c r="J53" i="26" s="1"/>
  <c r="I52" i="26"/>
  <c r="J52" i="26" s="1"/>
  <c r="J51" i="26"/>
  <c r="I51" i="26"/>
  <c r="I50" i="26"/>
  <c r="J50" i="26" s="1"/>
  <c r="J49" i="26"/>
  <c r="I49" i="26"/>
  <c r="I48" i="26"/>
  <c r="J48" i="26" s="1"/>
  <c r="I47" i="26"/>
  <c r="J47" i="26" s="1"/>
  <c r="I46" i="26"/>
  <c r="J46" i="26" s="1"/>
  <c r="J45" i="26"/>
  <c r="I45" i="26"/>
  <c r="B45" i="26"/>
  <c r="I44" i="26"/>
  <c r="J44" i="26" s="1"/>
  <c r="B44" i="26"/>
  <c r="B43" i="26"/>
  <c r="I43" i="26" s="1"/>
  <c r="J43" i="26" s="1"/>
  <c r="B42" i="26"/>
  <c r="I42" i="26" s="1"/>
  <c r="J42" i="26" s="1"/>
  <c r="J41" i="26"/>
  <c r="I41" i="26"/>
  <c r="B41" i="26"/>
  <c r="I40" i="26"/>
  <c r="J40" i="26" s="1"/>
  <c r="B40" i="26"/>
  <c r="B39" i="26"/>
  <c r="I39" i="26" s="1"/>
  <c r="J39" i="26" s="1"/>
  <c r="B38" i="26"/>
  <c r="I38" i="26" s="1"/>
  <c r="J38" i="26" s="1"/>
  <c r="B37" i="26"/>
  <c r="I37" i="26" s="1"/>
  <c r="J37" i="26" s="1"/>
  <c r="I36" i="26"/>
  <c r="J36" i="26" s="1"/>
  <c r="J35" i="26"/>
  <c r="I35" i="26"/>
  <c r="I34" i="26"/>
  <c r="J34" i="26" s="1"/>
  <c r="B34" i="26"/>
  <c r="I33" i="26"/>
  <c r="J33" i="26" s="1"/>
  <c r="B33" i="26"/>
  <c r="I32" i="26"/>
  <c r="J32" i="26" s="1"/>
  <c r="I31" i="26"/>
  <c r="J31" i="26" s="1"/>
  <c r="J30" i="26"/>
  <c r="I30" i="26"/>
  <c r="I29" i="26"/>
  <c r="J29" i="26" s="1"/>
  <c r="I28" i="26"/>
  <c r="J28" i="26" s="1"/>
  <c r="J27" i="26"/>
  <c r="I27" i="26"/>
  <c r="B25" i="26"/>
  <c r="I25" i="26" s="1"/>
  <c r="J25" i="26" s="1"/>
  <c r="J24" i="26"/>
  <c r="I24" i="26"/>
  <c r="I23" i="26"/>
  <c r="J23" i="26" s="1"/>
  <c r="J22" i="26"/>
  <c r="I22" i="26"/>
  <c r="I21" i="26"/>
  <c r="J21" i="26" s="1"/>
  <c r="J20" i="26"/>
  <c r="I20" i="26"/>
  <c r="B19" i="26"/>
  <c r="I19" i="26" s="1"/>
  <c r="J19" i="26" s="1"/>
  <c r="I18" i="26"/>
  <c r="J18" i="26" s="1"/>
  <c r="I17" i="26"/>
  <c r="J17" i="26" s="1"/>
  <c r="B17" i="26"/>
  <c r="I16" i="26"/>
  <c r="J16" i="26" s="1"/>
  <c r="J15" i="26"/>
  <c r="I15" i="26"/>
  <c r="I14" i="26"/>
  <c r="J14" i="26" s="1"/>
  <c r="B13" i="26"/>
  <c r="I13" i="26" s="1"/>
  <c r="J13" i="26" s="1"/>
  <c r="I12" i="26"/>
  <c r="J12" i="26" s="1"/>
  <c r="B12" i="26"/>
  <c r="I11" i="26"/>
  <c r="J11" i="26" s="1"/>
  <c r="B11" i="26"/>
  <c r="I10" i="26"/>
  <c r="J10" i="26" s="1"/>
  <c r="I9" i="26"/>
  <c r="J9" i="26" s="1"/>
  <c r="I8" i="26"/>
  <c r="J8" i="26" s="1"/>
  <c r="I7" i="26"/>
  <c r="J7" i="26" s="1"/>
  <c r="B7" i="26"/>
  <c r="I6" i="26"/>
  <c r="J6" i="26" s="1"/>
  <c r="N63" i="25"/>
  <c r="O63" i="25" s="1"/>
  <c r="B63" i="25"/>
  <c r="B55" i="25"/>
  <c r="E55" i="25" s="1"/>
  <c r="L55" i="25" s="1"/>
  <c r="E54" i="25"/>
  <c r="E53" i="25"/>
  <c r="L53" i="25" s="1"/>
  <c r="E52" i="25"/>
  <c r="L52" i="25" s="1"/>
  <c r="F49" i="25"/>
  <c r="B49" i="25"/>
  <c r="C48" i="25"/>
  <c r="J48" i="25" s="1"/>
  <c r="D45" i="25"/>
  <c r="B45" i="25"/>
  <c r="E45" i="25" s="1"/>
  <c r="L45" i="25" s="1"/>
  <c r="B44" i="25"/>
  <c r="E44" i="25" s="1"/>
  <c r="L44" i="25" s="1"/>
  <c r="B43" i="25"/>
  <c r="E43" i="25" s="1"/>
  <c r="L43" i="25" s="1"/>
  <c r="E42" i="25"/>
  <c r="L42" i="25" s="1"/>
  <c r="D42" i="25"/>
  <c r="D48" i="25" s="1"/>
  <c r="C42" i="25"/>
  <c r="J42" i="25" s="1"/>
  <c r="B42" i="25"/>
  <c r="C39" i="25"/>
  <c r="E35" i="25"/>
  <c r="E33" i="25"/>
  <c r="D33" i="25"/>
  <c r="C45" i="25" s="1"/>
  <c r="J45" i="25" s="1"/>
  <c r="C33" i="25"/>
  <c r="C35" i="25" s="1"/>
  <c r="E20" i="25"/>
  <c r="E16" i="25"/>
  <c r="F14" i="25"/>
  <c r="F6" i="25"/>
  <c r="E6" i="25"/>
  <c r="C7" i="25" s="1"/>
  <c r="F7" i="25" s="1"/>
  <c r="C6" i="25"/>
  <c r="C4" i="25"/>
  <c r="E4" i="25" s="1"/>
  <c r="C3" i="25"/>
  <c r="F3" i="25" s="1"/>
  <c r="C120" i="24"/>
  <c r="D84" i="24" s="1"/>
  <c r="C119" i="24"/>
  <c r="C117" i="24" s="1"/>
  <c r="D81" i="24" s="1"/>
  <c r="C118" i="24"/>
  <c r="D82" i="24"/>
  <c r="D80" i="24"/>
  <c r="D79" i="24"/>
  <c r="D78" i="24"/>
  <c r="Q71" i="24"/>
  <c r="K71" i="24"/>
  <c r="I71" i="24"/>
  <c r="M71" i="24" s="1"/>
  <c r="N71" i="24" s="1"/>
  <c r="A71" i="24"/>
  <c r="Q70" i="24"/>
  <c r="K70" i="24"/>
  <c r="J70" i="24"/>
  <c r="L70" i="24" s="1"/>
  <c r="I70" i="24"/>
  <c r="M70" i="24" s="1"/>
  <c r="N70" i="24" s="1"/>
  <c r="A70" i="24"/>
  <c r="Q69" i="24"/>
  <c r="K69" i="24"/>
  <c r="I69" i="24"/>
  <c r="M69" i="24" s="1"/>
  <c r="N69" i="24" s="1"/>
  <c r="A69" i="24"/>
  <c r="Q68" i="24"/>
  <c r="M68" i="24"/>
  <c r="N68" i="24" s="1"/>
  <c r="L68" i="24"/>
  <c r="O68" i="24" s="1"/>
  <c r="P68" i="24" s="1"/>
  <c r="R68" i="24" s="1"/>
  <c r="K68" i="24"/>
  <c r="J68" i="24"/>
  <c r="I68" i="24"/>
  <c r="A68" i="24"/>
  <c r="Q67" i="24"/>
  <c r="N67" i="24"/>
  <c r="M67" i="24"/>
  <c r="L67" i="24"/>
  <c r="O67" i="24" s="1"/>
  <c r="P67" i="24" s="1"/>
  <c r="R67" i="24" s="1"/>
  <c r="K67" i="24"/>
  <c r="J67" i="24"/>
  <c r="I67" i="24"/>
  <c r="A67" i="24"/>
  <c r="Q66" i="24"/>
  <c r="M66" i="24"/>
  <c r="N66" i="24" s="1"/>
  <c r="K66" i="24"/>
  <c r="L66" i="24" s="1"/>
  <c r="J66" i="24"/>
  <c r="I66" i="24"/>
  <c r="A66" i="24"/>
  <c r="Q65" i="24"/>
  <c r="K65" i="24"/>
  <c r="J65" i="24"/>
  <c r="L65" i="24" s="1"/>
  <c r="I65" i="24"/>
  <c r="M65" i="24" s="1"/>
  <c r="N65" i="24" s="1"/>
  <c r="A65" i="24"/>
  <c r="Q64" i="24"/>
  <c r="K64" i="24"/>
  <c r="L64" i="24" s="1"/>
  <c r="I64" i="24"/>
  <c r="J64" i="24" s="1"/>
  <c r="A64" i="24"/>
  <c r="Q63" i="24"/>
  <c r="M63" i="24"/>
  <c r="N63" i="24" s="1"/>
  <c r="K63" i="24"/>
  <c r="L63" i="24" s="1"/>
  <c r="J63" i="24"/>
  <c r="I63" i="24"/>
  <c r="A63" i="24"/>
  <c r="Q62" i="24"/>
  <c r="K62" i="24"/>
  <c r="I62" i="24"/>
  <c r="M62" i="24" s="1"/>
  <c r="N62" i="24" s="1"/>
  <c r="A62" i="24"/>
  <c r="Q61" i="24"/>
  <c r="M61" i="24"/>
  <c r="N61" i="24" s="1"/>
  <c r="K61" i="24"/>
  <c r="L61" i="24" s="1"/>
  <c r="O61" i="24" s="1"/>
  <c r="P61" i="24" s="1"/>
  <c r="R61" i="24" s="1"/>
  <c r="I61" i="24"/>
  <c r="J61" i="24" s="1"/>
  <c r="A61" i="24"/>
  <c r="Q60" i="24"/>
  <c r="L60" i="24"/>
  <c r="O60" i="24" s="1"/>
  <c r="P60" i="24" s="1"/>
  <c r="R60" i="24" s="1"/>
  <c r="K60" i="24"/>
  <c r="J60" i="24"/>
  <c r="I60" i="24"/>
  <c r="M60" i="24" s="1"/>
  <c r="N60" i="24" s="1"/>
  <c r="A60" i="24"/>
  <c r="Q53" i="24"/>
  <c r="K53" i="24"/>
  <c r="I53" i="24"/>
  <c r="M53" i="24" s="1"/>
  <c r="N53" i="24" s="1"/>
  <c r="A53" i="24"/>
  <c r="Q52" i="24"/>
  <c r="K52" i="24"/>
  <c r="L52" i="24" s="1"/>
  <c r="J52" i="24"/>
  <c r="I52" i="24"/>
  <c r="M52" i="24" s="1"/>
  <c r="N52" i="24" s="1"/>
  <c r="A52" i="24"/>
  <c r="Q51" i="24"/>
  <c r="K51" i="24"/>
  <c r="I51" i="24"/>
  <c r="M51" i="24" s="1"/>
  <c r="N51" i="24" s="1"/>
  <c r="A51" i="24"/>
  <c r="Q50" i="24"/>
  <c r="M50" i="24"/>
  <c r="N50" i="24" s="1"/>
  <c r="K50" i="24"/>
  <c r="I50" i="24"/>
  <c r="J50" i="24" s="1"/>
  <c r="L50" i="24" s="1"/>
  <c r="O50" i="24" s="1"/>
  <c r="P50" i="24" s="1"/>
  <c r="R50" i="24" s="1"/>
  <c r="A50" i="24"/>
  <c r="Q49" i="24"/>
  <c r="N49" i="24"/>
  <c r="M49" i="24"/>
  <c r="L49" i="24"/>
  <c r="O49" i="24" s="1"/>
  <c r="P49" i="24" s="1"/>
  <c r="R49" i="24" s="1"/>
  <c r="K49" i="24"/>
  <c r="J49" i="24"/>
  <c r="I49" i="24"/>
  <c r="A49" i="24"/>
  <c r="Q48" i="24"/>
  <c r="M48" i="24"/>
  <c r="N48" i="24" s="1"/>
  <c r="K48" i="24"/>
  <c r="L48" i="24" s="1"/>
  <c r="J48" i="24"/>
  <c r="I48" i="24"/>
  <c r="A48" i="24"/>
  <c r="Q47" i="24"/>
  <c r="K47" i="24"/>
  <c r="J47" i="24"/>
  <c r="L47" i="24" s="1"/>
  <c r="I47" i="24"/>
  <c r="M47" i="24" s="1"/>
  <c r="N47" i="24" s="1"/>
  <c r="A47" i="24"/>
  <c r="Q46" i="24"/>
  <c r="K46" i="24"/>
  <c r="I46" i="24"/>
  <c r="J46" i="24" s="1"/>
  <c r="A46" i="24"/>
  <c r="Q45" i="24"/>
  <c r="M45" i="24"/>
  <c r="N45" i="24" s="1"/>
  <c r="K45" i="24"/>
  <c r="L45" i="24" s="1"/>
  <c r="O45" i="24" s="1"/>
  <c r="P45" i="24" s="1"/>
  <c r="R45" i="24" s="1"/>
  <c r="J45" i="24"/>
  <c r="I45" i="24"/>
  <c r="A45" i="24"/>
  <c r="Q44" i="24"/>
  <c r="K44" i="24"/>
  <c r="I44" i="24"/>
  <c r="M44" i="24" s="1"/>
  <c r="N44" i="24" s="1"/>
  <c r="A44" i="24"/>
  <c r="Q43" i="24"/>
  <c r="M43" i="24"/>
  <c r="N43" i="24" s="1"/>
  <c r="K43" i="24"/>
  <c r="I43" i="24"/>
  <c r="J43" i="24" s="1"/>
  <c r="A43" i="24"/>
  <c r="Q42" i="24"/>
  <c r="L42" i="24"/>
  <c r="K42" i="24"/>
  <c r="J42" i="24"/>
  <c r="I42" i="24"/>
  <c r="M42" i="24" s="1"/>
  <c r="N42" i="24" s="1"/>
  <c r="A42" i="24"/>
  <c r="Q35" i="24"/>
  <c r="K35" i="24"/>
  <c r="I35" i="24"/>
  <c r="M35" i="24" s="1"/>
  <c r="N35" i="24" s="1"/>
  <c r="A35" i="24"/>
  <c r="Q34" i="24"/>
  <c r="K34" i="24"/>
  <c r="L34" i="24" s="1"/>
  <c r="J34" i="24"/>
  <c r="I34" i="24"/>
  <c r="M34" i="24" s="1"/>
  <c r="N34" i="24" s="1"/>
  <c r="A34" i="24"/>
  <c r="Q33" i="24"/>
  <c r="K33" i="24"/>
  <c r="I33" i="24"/>
  <c r="M33" i="24" s="1"/>
  <c r="N33" i="24" s="1"/>
  <c r="A33" i="24"/>
  <c r="Q32" i="24"/>
  <c r="M32" i="24"/>
  <c r="N32" i="24" s="1"/>
  <c r="L32" i="24"/>
  <c r="K32" i="24"/>
  <c r="J32" i="24"/>
  <c r="I32" i="24"/>
  <c r="A32" i="24"/>
  <c r="Q31" i="24"/>
  <c r="N31" i="24"/>
  <c r="M31" i="24"/>
  <c r="L31" i="24"/>
  <c r="O31" i="24" s="1"/>
  <c r="P31" i="24" s="1"/>
  <c r="R31" i="24" s="1"/>
  <c r="K31" i="24"/>
  <c r="J31" i="24"/>
  <c r="I31" i="24"/>
  <c r="A31" i="24"/>
  <c r="Q30" i="24"/>
  <c r="M30" i="24"/>
  <c r="N30" i="24" s="1"/>
  <c r="K30" i="24"/>
  <c r="L30" i="24" s="1"/>
  <c r="J30" i="24"/>
  <c r="I30" i="24"/>
  <c r="A30" i="24"/>
  <c r="Q29" i="24"/>
  <c r="K29" i="24"/>
  <c r="J29" i="24"/>
  <c r="L29" i="24" s="1"/>
  <c r="I29" i="24"/>
  <c r="M29" i="24" s="1"/>
  <c r="N29" i="24" s="1"/>
  <c r="A29" i="24"/>
  <c r="Q28" i="24"/>
  <c r="K28" i="24"/>
  <c r="I28" i="24"/>
  <c r="J28" i="24" s="1"/>
  <c r="A28" i="24"/>
  <c r="Q27" i="24"/>
  <c r="M27" i="24"/>
  <c r="N27" i="24" s="1"/>
  <c r="K27" i="24"/>
  <c r="L27" i="24" s="1"/>
  <c r="O27" i="24" s="1"/>
  <c r="P27" i="24" s="1"/>
  <c r="R27" i="24" s="1"/>
  <c r="J27" i="24"/>
  <c r="I27" i="24"/>
  <c r="A27" i="24"/>
  <c r="Q26" i="24"/>
  <c r="K26" i="24"/>
  <c r="I26" i="24"/>
  <c r="M26" i="24" s="1"/>
  <c r="N26" i="24" s="1"/>
  <c r="A26" i="24"/>
  <c r="Q25" i="24"/>
  <c r="M25" i="24"/>
  <c r="N25" i="24" s="1"/>
  <c r="K25" i="24"/>
  <c r="L25" i="24" s="1"/>
  <c r="O25" i="24" s="1"/>
  <c r="P25" i="24" s="1"/>
  <c r="R25" i="24" s="1"/>
  <c r="I25" i="24"/>
  <c r="J25" i="24" s="1"/>
  <c r="A25" i="24"/>
  <c r="Q24" i="24"/>
  <c r="L24" i="24"/>
  <c r="K24" i="24"/>
  <c r="J24" i="24"/>
  <c r="I24" i="24"/>
  <c r="M24" i="24" s="1"/>
  <c r="N24" i="24" s="1"/>
  <c r="A24" i="24"/>
  <c r="Q17" i="24"/>
  <c r="K17" i="24"/>
  <c r="I17" i="24"/>
  <c r="M17" i="24" s="1"/>
  <c r="N17" i="24" s="1"/>
  <c r="A17" i="24"/>
  <c r="Q16" i="24"/>
  <c r="K16" i="24"/>
  <c r="L16" i="24" s="1"/>
  <c r="O16" i="24" s="1"/>
  <c r="P16" i="24" s="1"/>
  <c r="R16" i="24" s="1"/>
  <c r="J16" i="24"/>
  <c r="I16" i="24"/>
  <c r="M16" i="24" s="1"/>
  <c r="N16" i="24" s="1"/>
  <c r="A16" i="24"/>
  <c r="Q15" i="24"/>
  <c r="N15" i="24"/>
  <c r="M15" i="24"/>
  <c r="K15" i="24"/>
  <c r="I15" i="24"/>
  <c r="J15" i="24" s="1"/>
  <c r="A15" i="24"/>
  <c r="Q14" i="24"/>
  <c r="M14" i="24"/>
  <c r="N14" i="24" s="1"/>
  <c r="K14" i="24"/>
  <c r="I14" i="24"/>
  <c r="J14" i="24" s="1"/>
  <c r="L14" i="24" s="1"/>
  <c r="O14" i="24" s="1"/>
  <c r="P14" i="24" s="1"/>
  <c r="R14" i="24" s="1"/>
  <c r="A14" i="24"/>
  <c r="Q13" i="24"/>
  <c r="N13" i="24"/>
  <c r="M13" i="24"/>
  <c r="L13" i="24"/>
  <c r="O13" i="24" s="1"/>
  <c r="P13" i="24" s="1"/>
  <c r="R13" i="24" s="1"/>
  <c r="K13" i="24"/>
  <c r="J13" i="24"/>
  <c r="I13" i="24"/>
  <c r="A13" i="24"/>
  <c r="Q12" i="24"/>
  <c r="M12" i="24"/>
  <c r="N12" i="24" s="1"/>
  <c r="K12" i="24"/>
  <c r="L12" i="24" s="1"/>
  <c r="J12" i="24"/>
  <c r="I12" i="24"/>
  <c r="A12" i="24"/>
  <c r="Q11" i="24"/>
  <c r="K11" i="24"/>
  <c r="J11" i="24"/>
  <c r="L11" i="24" s="1"/>
  <c r="I11" i="24"/>
  <c r="M11" i="24" s="1"/>
  <c r="N11" i="24" s="1"/>
  <c r="A11" i="24"/>
  <c r="Q10" i="24"/>
  <c r="K10" i="24"/>
  <c r="I10" i="24"/>
  <c r="J10" i="24" s="1"/>
  <c r="A10" i="24"/>
  <c r="Q9" i="24"/>
  <c r="M9" i="24"/>
  <c r="N9" i="24" s="1"/>
  <c r="K9" i="24"/>
  <c r="L9" i="24" s="1"/>
  <c r="O9" i="24" s="1"/>
  <c r="P9" i="24" s="1"/>
  <c r="R9" i="24" s="1"/>
  <c r="J9" i="24"/>
  <c r="I9" i="24"/>
  <c r="A9" i="24"/>
  <c r="Q8" i="24"/>
  <c r="K8" i="24"/>
  <c r="I8" i="24"/>
  <c r="M8" i="24" s="1"/>
  <c r="N8" i="24" s="1"/>
  <c r="A8" i="24"/>
  <c r="Q7" i="24"/>
  <c r="M7" i="24"/>
  <c r="N7" i="24" s="1"/>
  <c r="K7" i="24"/>
  <c r="L7" i="24" s="1"/>
  <c r="I7" i="24"/>
  <c r="J7" i="24" s="1"/>
  <c r="A7" i="24"/>
  <c r="Q6" i="24"/>
  <c r="L6" i="24"/>
  <c r="O6" i="24" s="1"/>
  <c r="P6" i="24" s="1"/>
  <c r="R6" i="24" s="1"/>
  <c r="K6" i="24"/>
  <c r="J6" i="24"/>
  <c r="I6" i="24"/>
  <c r="M6" i="24" s="1"/>
  <c r="N6" i="24" s="1"/>
  <c r="A6" i="24"/>
  <c r="AF183" i="23"/>
  <c r="AB183" i="23"/>
  <c r="X183" i="23"/>
  <c r="W183" i="23"/>
  <c r="AA183" i="23" s="1"/>
  <c r="V183" i="23"/>
  <c r="R183" i="23"/>
  <c r="N183" i="23"/>
  <c r="AF182" i="23"/>
  <c r="AB182" i="23"/>
  <c r="X182" i="23"/>
  <c r="W182" i="23"/>
  <c r="AA182" i="23" s="1"/>
  <c r="V182" i="23"/>
  <c r="R182" i="23"/>
  <c r="N182" i="23"/>
  <c r="AF181" i="23"/>
  <c r="AB181" i="23"/>
  <c r="X181" i="23"/>
  <c r="AA181" i="23" s="1"/>
  <c r="W181" i="23"/>
  <c r="V181" i="23"/>
  <c r="R181" i="23"/>
  <c r="N181" i="23"/>
  <c r="AF180" i="23"/>
  <c r="AD180" i="23"/>
  <c r="AB180" i="23"/>
  <c r="X180" i="23"/>
  <c r="W180" i="23"/>
  <c r="AA180" i="23" s="1"/>
  <c r="V180" i="23"/>
  <c r="R180" i="23"/>
  <c r="Q180" i="23"/>
  <c r="N180" i="23"/>
  <c r="M180" i="23"/>
  <c r="I180" i="23"/>
  <c r="H180" i="23"/>
  <c r="X179" i="23"/>
  <c r="AA179" i="23" s="1"/>
  <c r="V179" i="23"/>
  <c r="R179" i="23"/>
  <c r="Q179" i="23"/>
  <c r="N179" i="23"/>
  <c r="M179" i="23"/>
  <c r="I179" i="23"/>
  <c r="H179" i="23"/>
  <c r="AA178" i="23"/>
  <c r="X178" i="23"/>
  <c r="V178" i="23"/>
  <c r="U178" i="23"/>
  <c r="R178" i="23"/>
  <c r="Q178" i="23"/>
  <c r="N178" i="23"/>
  <c r="M178" i="23"/>
  <c r="I178" i="23"/>
  <c r="H178" i="23"/>
  <c r="E178" i="23"/>
  <c r="X177" i="23"/>
  <c r="AA177" i="23" s="1"/>
  <c r="V177" i="23"/>
  <c r="AA176" i="23"/>
  <c r="X176" i="23"/>
  <c r="V176" i="23"/>
  <c r="AA175" i="23"/>
  <c r="X175" i="23"/>
  <c r="V175" i="23"/>
  <c r="AB174" i="23"/>
  <c r="AA174" i="23"/>
  <c r="X174" i="23"/>
  <c r="V174" i="23"/>
  <c r="R174" i="23"/>
  <c r="N174" i="23"/>
  <c r="AB173" i="23"/>
  <c r="X173" i="23"/>
  <c r="AA173" i="23" s="1"/>
  <c r="V173" i="23"/>
  <c r="R173" i="23"/>
  <c r="N173" i="23"/>
  <c r="AA172" i="23"/>
  <c r="X172" i="23"/>
  <c r="V172" i="23"/>
  <c r="U172" i="23"/>
  <c r="R172" i="23"/>
  <c r="Q172" i="23"/>
  <c r="N172" i="23"/>
  <c r="I172" i="23"/>
  <c r="E172" i="23"/>
  <c r="X171" i="23"/>
  <c r="AA171" i="23" s="1"/>
  <c r="V171" i="23"/>
  <c r="R171" i="23"/>
  <c r="Q171" i="23"/>
  <c r="N171" i="23"/>
  <c r="M171" i="23"/>
  <c r="I171" i="23"/>
  <c r="E171" i="23"/>
  <c r="Z168" i="23"/>
  <c r="AA168" i="23" s="1"/>
  <c r="AB168" i="23" s="1"/>
  <c r="AC168" i="23" s="1"/>
  <c r="AD168" i="23" s="1"/>
  <c r="AE168" i="23" s="1"/>
  <c r="AF168" i="23" s="1"/>
  <c r="AG168" i="23" s="1"/>
  <c r="C168" i="23"/>
  <c r="D168" i="23" s="1"/>
  <c r="E168" i="23" s="1"/>
  <c r="F168" i="23" s="1"/>
  <c r="G168" i="23" s="1"/>
  <c r="H168" i="23" s="1"/>
  <c r="I168" i="23" s="1"/>
  <c r="J168" i="23" s="1"/>
  <c r="K168" i="23" s="1"/>
  <c r="L168" i="23" s="1"/>
  <c r="M168" i="23" s="1"/>
  <c r="N168" i="23" s="1"/>
  <c r="O168" i="23" s="1"/>
  <c r="P168" i="23" s="1"/>
  <c r="Q168" i="23" s="1"/>
  <c r="R168" i="23" s="1"/>
  <c r="S168" i="23" s="1"/>
  <c r="T168" i="23" s="1"/>
  <c r="U168" i="23" s="1"/>
  <c r="V168" i="23" s="1"/>
  <c r="B168" i="23"/>
  <c r="B129" i="23"/>
  <c r="B128" i="23"/>
  <c r="D104" i="23"/>
  <c r="C104" i="23"/>
  <c r="B104" i="23"/>
  <c r="D103" i="23"/>
  <c r="C103" i="23"/>
  <c r="B103" i="23"/>
  <c r="D102" i="23"/>
  <c r="C102" i="23"/>
  <c r="B102" i="23"/>
  <c r="C82" i="23"/>
  <c r="C80" i="23"/>
  <c r="C79" i="23"/>
  <c r="C78" i="23"/>
  <c r="D77" i="23"/>
  <c r="C77" i="23"/>
  <c r="C76" i="23"/>
  <c r="N72" i="23"/>
  <c r="O72" i="23" s="1"/>
  <c r="M72" i="23"/>
  <c r="B72" i="23"/>
  <c r="J69" i="23"/>
  <c r="E69" i="23"/>
  <c r="D69" i="23"/>
  <c r="L69" i="23" s="1"/>
  <c r="C69" i="23"/>
  <c r="F69" i="23" s="1"/>
  <c r="J68" i="23"/>
  <c r="N68" i="23" s="1"/>
  <c r="O68" i="23" s="1"/>
  <c r="G68" i="23"/>
  <c r="J67" i="23"/>
  <c r="N67" i="23" s="1"/>
  <c r="O67" i="23" s="1"/>
  <c r="G67" i="23"/>
  <c r="J66" i="23"/>
  <c r="N66" i="23" s="1"/>
  <c r="O66" i="23" s="1"/>
  <c r="G66" i="23"/>
  <c r="N65" i="23"/>
  <c r="O65" i="23" s="1"/>
  <c r="J65" i="23"/>
  <c r="K65" i="23" s="1"/>
  <c r="M65" i="23" s="1"/>
  <c r="G65" i="23"/>
  <c r="G64" i="23"/>
  <c r="E64" i="23"/>
  <c r="D64" i="23"/>
  <c r="J64" i="23" s="1"/>
  <c r="C64" i="23"/>
  <c r="F64" i="23" s="1"/>
  <c r="F63" i="23"/>
  <c r="E63" i="23"/>
  <c r="D63" i="23"/>
  <c r="J63" i="23" s="1"/>
  <c r="C63" i="23"/>
  <c r="G63" i="23" s="1"/>
  <c r="B63" i="23"/>
  <c r="F62" i="23"/>
  <c r="E62" i="23"/>
  <c r="D62" i="23"/>
  <c r="J62" i="23" s="1"/>
  <c r="K62" i="23" s="1"/>
  <c r="M62" i="23" s="1"/>
  <c r="C62" i="23"/>
  <c r="G62" i="23" s="1"/>
  <c r="B62" i="23"/>
  <c r="F61" i="23"/>
  <c r="C61" i="23"/>
  <c r="G61" i="23" s="1"/>
  <c r="J60" i="23"/>
  <c r="N60" i="23" s="1"/>
  <c r="O60" i="23" s="1"/>
  <c r="D60" i="23"/>
  <c r="G60" i="23" s="1"/>
  <c r="C60" i="23"/>
  <c r="F59" i="23"/>
  <c r="E59" i="23"/>
  <c r="F58" i="23"/>
  <c r="E58" i="23"/>
  <c r="D58" i="23"/>
  <c r="J58" i="23" s="1"/>
  <c r="C58" i="23"/>
  <c r="B57" i="23"/>
  <c r="F60" i="23" s="1"/>
  <c r="Q54" i="23"/>
  <c r="F51" i="23"/>
  <c r="E51" i="23"/>
  <c r="C51" i="23"/>
  <c r="J51" i="23" s="1"/>
  <c r="E50" i="23"/>
  <c r="D49" i="23"/>
  <c r="B49" i="23"/>
  <c r="E48" i="23"/>
  <c r="E47" i="23"/>
  <c r="E46" i="23"/>
  <c r="E45" i="23"/>
  <c r="F44" i="23"/>
  <c r="E44" i="23"/>
  <c r="B44" i="23"/>
  <c r="E43" i="23"/>
  <c r="B40" i="23"/>
  <c r="E40" i="23" s="1"/>
  <c r="B39" i="23"/>
  <c r="E39" i="23" s="1"/>
  <c r="E38" i="23"/>
  <c r="B38" i="23"/>
  <c r="D37" i="23"/>
  <c r="B37" i="23"/>
  <c r="E37" i="23" s="1"/>
  <c r="C34" i="23"/>
  <c r="E29" i="23"/>
  <c r="E31" i="23" s="1"/>
  <c r="D29" i="23"/>
  <c r="D51" i="23" s="1"/>
  <c r="C29" i="23"/>
  <c r="D26" i="23"/>
  <c r="D25" i="23"/>
  <c r="D24" i="23"/>
  <c r="C18" i="23"/>
  <c r="B73" i="23" s="1"/>
  <c r="E17" i="23"/>
  <c r="F15" i="23"/>
  <c r="I70" i="22"/>
  <c r="H70" i="22"/>
  <c r="D70" i="22"/>
  <c r="C70" i="22"/>
  <c r="B70" i="22"/>
  <c r="I69" i="22"/>
  <c r="H69" i="22"/>
  <c r="G69" i="22"/>
  <c r="D69" i="22"/>
  <c r="C69" i="22"/>
  <c r="B69" i="22"/>
  <c r="I68" i="22"/>
  <c r="H68" i="22"/>
  <c r="G68" i="22"/>
  <c r="D68" i="22"/>
  <c r="C68" i="22"/>
  <c r="B68" i="22"/>
  <c r="C57" i="22"/>
  <c r="C56" i="22"/>
  <c r="C55" i="22"/>
  <c r="C54" i="22"/>
  <c r="C53" i="22"/>
  <c r="D52" i="22"/>
  <c r="C52" i="22"/>
  <c r="C51" i="22"/>
  <c r="L50" i="22"/>
  <c r="M48" i="22"/>
  <c r="B48" i="22"/>
  <c r="N48" i="22" s="1"/>
  <c r="O48" i="22" s="1"/>
  <c r="F43" i="22"/>
  <c r="D43" i="22"/>
  <c r="C43" i="22"/>
  <c r="B43" i="22"/>
  <c r="F42" i="22"/>
  <c r="E42" i="22"/>
  <c r="B42" i="22"/>
  <c r="F41" i="22"/>
  <c r="C41" i="22"/>
  <c r="J41" i="22" s="1"/>
  <c r="B41" i="22"/>
  <c r="F40" i="22"/>
  <c r="E40" i="22"/>
  <c r="D40" i="22"/>
  <c r="D41" i="22" s="1"/>
  <c r="C40" i="22"/>
  <c r="C42" i="22" s="1"/>
  <c r="J42" i="22" s="1"/>
  <c r="B40" i="22"/>
  <c r="F37" i="22"/>
  <c r="E37" i="22"/>
  <c r="L37" i="22" s="1"/>
  <c r="D37" i="22"/>
  <c r="C37" i="22"/>
  <c r="J37" i="22" s="1"/>
  <c r="B37" i="22"/>
  <c r="L35" i="22"/>
  <c r="F35" i="22"/>
  <c r="E35" i="22"/>
  <c r="C35" i="22"/>
  <c r="J35" i="22" s="1"/>
  <c r="B35" i="22"/>
  <c r="C32" i="22"/>
  <c r="E29" i="22"/>
  <c r="D29" i="22"/>
  <c r="C29" i="22"/>
  <c r="E27" i="22"/>
  <c r="D27" i="22"/>
  <c r="D42" i="22" s="1"/>
  <c r="C27" i="22"/>
  <c r="B21" i="22"/>
  <c r="B3" i="22"/>
  <c r="AB352" i="21"/>
  <c r="AA352" i="21"/>
  <c r="X352" i="21"/>
  <c r="W352" i="21"/>
  <c r="V352" i="21"/>
  <c r="R352" i="21"/>
  <c r="Q352" i="21"/>
  <c r="N352" i="21"/>
  <c r="M352" i="21"/>
  <c r="I352" i="21"/>
  <c r="X351" i="21"/>
  <c r="W351" i="21"/>
  <c r="AA351" i="21" s="1"/>
  <c r="V351" i="21"/>
  <c r="Q351" i="21"/>
  <c r="N351" i="21"/>
  <c r="M351" i="21"/>
  <c r="I351" i="21"/>
  <c r="X350" i="21"/>
  <c r="V350" i="21"/>
  <c r="W350" i="21" s="1"/>
  <c r="AA350" i="21" s="1"/>
  <c r="U350" i="21"/>
  <c r="R350" i="21"/>
  <c r="Q350" i="21"/>
  <c r="N350" i="21"/>
  <c r="M350" i="21"/>
  <c r="I350" i="21"/>
  <c r="E350" i="21"/>
  <c r="AH349" i="21"/>
  <c r="AG349" i="21"/>
  <c r="AF349" i="21"/>
  <c r="AB349" i="21"/>
  <c r="X349" i="21"/>
  <c r="AA349" i="21" s="1"/>
  <c r="W349" i="21"/>
  <c r="V349" i="21"/>
  <c r="R349" i="21"/>
  <c r="N349" i="21"/>
  <c r="AH348" i="21"/>
  <c r="AG348" i="21"/>
  <c r="AF348" i="21"/>
  <c r="AB348" i="21"/>
  <c r="X348" i="21"/>
  <c r="V348" i="21"/>
  <c r="W348" i="21" s="1"/>
  <c r="AA348" i="21" s="1"/>
  <c r="R348" i="21"/>
  <c r="N348" i="21"/>
  <c r="AH347" i="21"/>
  <c r="AG347" i="21"/>
  <c r="AF347" i="21"/>
  <c r="AB347" i="21"/>
  <c r="X347" i="21"/>
  <c r="V347" i="21"/>
  <c r="W347" i="21" s="1"/>
  <c r="AA347" i="21" s="1"/>
  <c r="R347" i="21"/>
  <c r="N347" i="21"/>
  <c r="AH346" i="21"/>
  <c r="AG346" i="21"/>
  <c r="AF346" i="21"/>
  <c r="AA346" i="21"/>
  <c r="X346" i="21"/>
  <c r="W346" i="21"/>
  <c r="V346" i="21"/>
  <c r="N346" i="21"/>
  <c r="AH345" i="21"/>
  <c r="AG345" i="21"/>
  <c r="AF345" i="21"/>
  <c r="X345" i="21"/>
  <c r="V345" i="21"/>
  <c r="W345" i="21" s="1"/>
  <c r="AA345" i="21" s="1"/>
  <c r="N345" i="21"/>
  <c r="AH344" i="21"/>
  <c r="AG344" i="21"/>
  <c r="AF344" i="21"/>
  <c r="X344" i="21"/>
  <c r="V344" i="21"/>
  <c r="W344" i="21" s="1"/>
  <c r="AA344" i="21" s="1"/>
  <c r="N344" i="21"/>
  <c r="AH343" i="21"/>
  <c r="AG343" i="21"/>
  <c r="AF343" i="21"/>
  <c r="AB343" i="21"/>
  <c r="X343" i="21"/>
  <c r="V343" i="21"/>
  <c r="W343" i="21" s="1"/>
  <c r="AA343" i="21" s="1"/>
  <c r="R343" i="21"/>
  <c r="N343" i="21"/>
  <c r="AH342" i="21"/>
  <c r="AG342" i="21"/>
  <c r="AF342" i="21"/>
  <c r="AB342" i="21"/>
  <c r="AA342" i="21"/>
  <c r="X342" i="21"/>
  <c r="W342" i="21"/>
  <c r="V342" i="21"/>
  <c r="R342" i="21"/>
  <c r="N342" i="21"/>
  <c r="X341" i="21"/>
  <c r="V341" i="21"/>
  <c r="W341" i="21" s="1"/>
  <c r="AA341" i="21" s="1"/>
  <c r="U341" i="21"/>
  <c r="R341" i="21"/>
  <c r="Q341" i="21"/>
  <c r="N341" i="21"/>
  <c r="I341" i="21"/>
  <c r="E341" i="21"/>
  <c r="AA338" i="21"/>
  <c r="AB338" i="21" s="1"/>
  <c r="AC338" i="21" s="1"/>
  <c r="AD338" i="21" s="1"/>
  <c r="AE338" i="21" s="1"/>
  <c r="AF338" i="21" s="1"/>
  <c r="AG338" i="21" s="1"/>
  <c r="Z338" i="21"/>
  <c r="B338" i="21"/>
  <c r="C338" i="21" s="1"/>
  <c r="D338" i="21" s="1"/>
  <c r="E338" i="21" s="1"/>
  <c r="F338" i="21" s="1"/>
  <c r="G338" i="21" s="1"/>
  <c r="H338" i="21" s="1"/>
  <c r="I338" i="21" s="1"/>
  <c r="J338" i="21" s="1"/>
  <c r="K338" i="21" s="1"/>
  <c r="L338" i="21" s="1"/>
  <c r="M338" i="21" s="1"/>
  <c r="N338" i="21" s="1"/>
  <c r="O338" i="21" s="1"/>
  <c r="P338" i="21" s="1"/>
  <c r="Q338" i="21" s="1"/>
  <c r="R338" i="21" s="1"/>
  <c r="S338" i="21" s="1"/>
  <c r="T338" i="21" s="1"/>
  <c r="U338" i="21" s="1"/>
  <c r="V338" i="21" s="1"/>
  <c r="AB336" i="21"/>
  <c r="X336" i="21"/>
  <c r="V336" i="21"/>
  <c r="W336" i="21" s="1"/>
  <c r="AA336" i="21" s="1"/>
  <c r="R336" i="21"/>
  <c r="Q336" i="21"/>
  <c r="N336" i="21"/>
  <c r="M336" i="21"/>
  <c r="I336" i="21"/>
  <c r="X335" i="21"/>
  <c r="V335" i="21"/>
  <c r="W335" i="21" s="1"/>
  <c r="AA335" i="21" s="1"/>
  <c r="Q335" i="21"/>
  <c r="N335" i="21"/>
  <c r="M335" i="21"/>
  <c r="I335" i="21"/>
  <c r="X334" i="21"/>
  <c r="AA334" i="21" s="1"/>
  <c r="W334" i="21"/>
  <c r="V334" i="21"/>
  <c r="U334" i="21"/>
  <c r="R334" i="21"/>
  <c r="Q334" i="21"/>
  <c r="N334" i="21"/>
  <c r="M334" i="21"/>
  <c r="I334" i="21"/>
  <c r="E334" i="21"/>
  <c r="AH333" i="21"/>
  <c r="AG333" i="21"/>
  <c r="AF333" i="21"/>
  <c r="AB333" i="21"/>
  <c r="X333" i="21"/>
  <c r="V333" i="21"/>
  <c r="W333" i="21" s="1"/>
  <c r="AA333" i="21" s="1"/>
  <c r="R333" i="21"/>
  <c r="N333" i="21"/>
  <c r="AH332" i="21"/>
  <c r="AG332" i="21"/>
  <c r="AF332" i="21"/>
  <c r="AB332" i="21"/>
  <c r="X332" i="21"/>
  <c r="V332" i="21"/>
  <c r="W332" i="21" s="1"/>
  <c r="AA332" i="21" s="1"/>
  <c r="R332" i="21"/>
  <c r="N332" i="21"/>
  <c r="AH331" i="21"/>
  <c r="AG331" i="21"/>
  <c r="AF331" i="21"/>
  <c r="AB331" i="21"/>
  <c r="X331" i="21"/>
  <c r="V331" i="21"/>
  <c r="W331" i="21" s="1"/>
  <c r="AA331" i="21" s="1"/>
  <c r="R331" i="21"/>
  <c r="N331" i="21"/>
  <c r="AH330" i="21"/>
  <c r="AG330" i="21"/>
  <c r="AF330" i="21"/>
  <c r="X330" i="21"/>
  <c r="V330" i="21"/>
  <c r="W330" i="21" s="1"/>
  <c r="AA330" i="21" s="1"/>
  <c r="N330" i="21"/>
  <c r="AH329" i="21"/>
  <c r="AG329" i="21"/>
  <c r="AF329" i="21"/>
  <c r="X329" i="21"/>
  <c r="V329" i="21"/>
  <c r="W329" i="21" s="1"/>
  <c r="AA329" i="21" s="1"/>
  <c r="N329" i="21"/>
  <c r="AH328" i="21"/>
  <c r="AG328" i="21"/>
  <c r="AF328" i="21"/>
  <c r="AA328" i="21"/>
  <c r="X328" i="21"/>
  <c r="W328" i="21"/>
  <c r="V328" i="21"/>
  <c r="N328" i="21"/>
  <c r="AH327" i="21"/>
  <c r="AG327" i="21"/>
  <c r="AF327" i="21"/>
  <c r="AB327" i="21"/>
  <c r="X327" i="21"/>
  <c r="W327" i="21"/>
  <c r="AA327" i="21" s="1"/>
  <c r="V327" i="21"/>
  <c r="R327" i="21"/>
  <c r="N327" i="21"/>
  <c r="AH326" i="21"/>
  <c r="AG326" i="21"/>
  <c r="AF326" i="21"/>
  <c r="AB326" i="21"/>
  <c r="X326" i="21"/>
  <c r="V326" i="21"/>
  <c r="W326" i="21" s="1"/>
  <c r="R326" i="21"/>
  <c r="N326" i="21"/>
  <c r="X325" i="21"/>
  <c r="V325" i="21"/>
  <c r="W325" i="21" s="1"/>
  <c r="AA325" i="21" s="1"/>
  <c r="U325" i="21"/>
  <c r="R325" i="21"/>
  <c r="Q325" i="21"/>
  <c r="N325" i="21"/>
  <c r="I325" i="21"/>
  <c r="E325" i="21"/>
  <c r="Z322" i="21"/>
  <c r="AA322" i="21" s="1"/>
  <c r="AB322" i="21" s="1"/>
  <c r="AC322" i="21" s="1"/>
  <c r="AD322" i="21" s="1"/>
  <c r="AE322" i="21" s="1"/>
  <c r="AF322" i="21" s="1"/>
  <c r="AG322" i="21" s="1"/>
  <c r="I322" i="21"/>
  <c r="J322" i="21" s="1"/>
  <c r="K322" i="21" s="1"/>
  <c r="L322" i="21" s="1"/>
  <c r="M322" i="21" s="1"/>
  <c r="N322" i="21" s="1"/>
  <c r="O322" i="21" s="1"/>
  <c r="P322" i="21" s="1"/>
  <c r="Q322" i="21" s="1"/>
  <c r="R322" i="21" s="1"/>
  <c r="S322" i="21" s="1"/>
  <c r="T322" i="21" s="1"/>
  <c r="U322" i="21" s="1"/>
  <c r="V322" i="21" s="1"/>
  <c r="B322" i="21"/>
  <c r="C322" i="21" s="1"/>
  <c r="D322" i="21" s="1"/>
  <c r="E322" i="21" s="1"/>
  <c r="F322" i="21" s="1"/>
  <c r="G322" i="21" s="1"/>
  <c r="H322" i="21" s="1"/>
  <c r="AB320" i="21"/>
  <c r="AA320" i="21"/>
  <c r="X320" i="21"/>
  <c r="W320" i="21"/>
  <c r="V320" i="21"/>
  <c r="R320" i="21"/>
  <c r="Q320" i="21"/>
  <c r="N320" i="21"/>
  <c r="M320" i="21"/>
  <c r="I320" i="21"/>
  <c r="X319" i="21"/>
  <c r="AA319" i="21" s="1"/>
  <c r="W319" i="21"/>
  <c r="V319" i="21"/>
  <c r="Q319" i="21"/>
  <c r="N319" i="21"/>
  <c r="M319" i="21"/>
  <c r="I319" i="21"/>
  <c r="X318" i="21"/>
  <c r="V318" i="21"/>
  <c r="W318" i="21" s="1"/>
  <c r="AA318" i="21" s="1"/>
  <c r="U318" i="21"/>
  <c r="R318" i="21"/>
  <c r="Q318" i="21"/>
  <c r="N318" i="21"/>
  <c r="M318" i="21"/>
  <c r="I318" i="21"/>
  <c r="E318" i="21"/>
  <c r="AH317" i="21"/>
  <c r="AG317" i="21"/>
  <c r="AF317" i="21"/>
  <c r="AB317" i="21"/>
  <c r="X317" i="21"/>
  <c r="W317" i="21"/>
  <c r="AA317" i="21" s="1"/>
  <c r="V317" i="21"/>
  <c r="R317" i="21"/>
  <c r="N317" i="21"/>
  <c r="AH316" i="21"/>
  <c r="AG316" i="21"/>
  <c r="AF316" i="21"/>
  <c r="AB316" i="21"/>
  <c r="X316" i="21"/>
  <c r="V316" i="21"/>
  <c r="W316" i="21" s="1"/>
  <c r="AA316" i="21" s="1"/>
  <c r="R316" i="21"/>
  <c r="N316" i="21"/>
  <c r="AH315" i="21"/>
  <c r="AG315" i="21"/>
  <c r="AF315" i="21"/>
  <c r="AB315" i="21"/>
  <c r="X315" i="21"/>
  <c r="W315" i="21"/>
  <c r="AA315" i="21" s="1"/>
  <c r="V315" i="21"/>
  <c r="R315" i="21"/>
  <c r="N315" i="21"/>
  <c r="AH314" i="21"/>
  <c r="AG314" i="21"/>
  <c r="AF314" i="21"/>
  <c r="AA314" i="21"/>
  <c r="X314" i="21"/>
  <c r="W314" i="21"/>
  <c r="V314" i="21"/>
  <c r="N314" i="21"/>
  <c r="AH313" i="21"/>
  <c r="AG313" i="21"/>
  <c r="AF313" i="21"/>
  <c r="X313" i="21"/>
  <c r="V313" i="21"/>
  <c r="W313" i="21" s="1"/>
  <c r="AA313" i="21" s="1"/>
  <c r="N313" i="21"/>
  <c r="AH312" i="21"/>
  <c r="AG312" i="21"/>
  <c r="AF312" i="21"/>
  <c r="AA312" i="21"/>
  <c r="X312" i="21"/>
  <c r="W312" i="21"/>
  <c r="V312" i="21"/>
  <c r="N312" i="21"/>
  <c r="AH311" i="21"/>
  <c r="AG311" i="21"/>
  <c r="AF311" i="21"/>
  <c r="AB311" i="21"/>
  <c r="X311" i="21"/>
  <c r="V311" i="21"/>
  <c r="W311" i="21" s="1"/>
  <c r="AA311" i="21" s="1"/>
  <c r="R311" i="21"/>
  <c r="N311" i="21"/>
  <c r="AH310" i="21"/>
  <c r="AG310" i="21"/>
  <c r="AF310" i="21"/>
  <c r="AB310" i="21"/>
  <c r="AA310" i="21"/>
  <c r="X310" i="21"/>
  <c r="W310" i="21"/>
  <c r="V310" i="21"/>
  <c r="R310" i="21"/>
  <c r="N310" i="21"/>
  <c r="AA309" i="21"/>
  <c r="X309" i="21"/>
  <c r="W309" i="21"/>
  <c r="V309" i="21"/>
  <c r="U309" i="21"/>
  <c r="R309" i="21"/>
  <c r="Q309" i="21"/>
  <c r="N309" i="21"/>
  <c r="I309" i="21"/>
  <c r="E309" i="21"/>
  <c r="Z306" i="21"/>
  <c r="AA306" i="21" s="1"/>
  <c r="AB306" i="21" s="1"/>
  <c r="AC306" i="21" s="1"/>
  <c r="AD306" i="21" s="1"/>
  <c r="AE306" i="21" s="1"/>
  <c r="AF306" i="21" s="1"/>
  <c r="AG306" i="21" s="1"/>
  <c r="K306" i="21"/>
  <c r="L306" i="21" s="1"/>
  <c r="M306" i="21" s="1"/>
  <c r="N306" i="21" s="1"/>
  <c r="O306" i="21" s="1"/>
  <c r="P306" i="21" s="1"/>
  <c r="Q306" i="21" s="1"/>
  <c r="R306" i="21" s="1"/>
  <c r="S306" i="21" s="1"/>
  <c r="T306" i="21" s="1"/>
  <c r="U306" i="21" s="1"/>
  <c r="V306" i="21" s="1"/>
  <c r="D306" i="21"/>
  <c r="E306" i="21" s="1"/>
  <c r="F306" i="21" s="1"/>
  <c r="G306" i="21" s="1"/>
  <c r="H306" i="21" s="1"/>
  <c r="I306" i="21" s="1"/>
  <c r="J306" i="21" s="1"/>
  <c r="C306" i="21"/>
  <c r="B306" i="21"/>
  <c r="AB304" i="21"/>
  <c r="AA304" i="21"/>
  <c r="X304" i="21"/>
  <c r="W304" i="21"/>
  <c r="V304" i="21"/>
  <c r="T304" i="21"/>
  <c r="AD304" i="21" s="1"/>
  <c r="R304" i="21"/>
  <c r="Q304" i="21"/>
  <c r="O304" i="21"/>
  <c r="N304" i="21"/>
  <c r="M304" i="21"/>
  <c r="I304" i="21"/>
  <c r="X303" i="21"/>
  <c r="V303" i="21"/>
  <c r="W303" i="21" s="1"/>
  <c r="AA303" i="21" s="1"/>
  <c r="Q303" i="21"/>
  <c r="N303" i="21"/>
  <c r="M303" i="21"/>
  <c r="I303" i="21"/>
  <c r="X302" i="21"/>
  <c r="W302" i="21"/>
  <c r="AA302" i="21" s="1"/>
  <c r="V302" i="21"/>
  <c r="U302" i="21"/>
  <c r="R302" i="21"/>
  <c r="Q302" i="21"/>
  <c r="N302" i="21"/>
  <c r="M302" i="21"/>
  <c r="I302" i="21"/>
  <c r="E302" i="21"/>
  <c r="AH301" i="21"/>
  <c r="AG301" i="21"/>
  <c r="AF301" i="21"/>
  <c r="AB301" i="21"/>
  <c r="Y301" i="21"/>
  <c r="X301" i="21"/>
  <c r="W301" i="21"/>
  <c r="AA301" i="21" s="1"/>
  <c r="V301" i="21"/>
  <c r="R301" i="21"/>
  <c r="N301" i="21"/>
  <c r="AH300" i="21"/>
  <c r="AG300" i="21"/>
  <c r="AF300" i="21"/>
  <c r="AB300" i="21"/>
  <c r="X300" i="21"/>
  <c r="V300" i="21"/>
  <c r="W300" i="21" s="1"/>
  <c r="R300" i="21"/>
  <c r="N300" i="21"/>
  <c r="AH299" i="21"/>
  <c r="AG299" i="21"/>
  <c r="AF299" i="21"/>
  <c r="AB299" i="21"/>
  <c r="X299" i="21"/>
  <c r="W299" i="21"/>
  <c r="AA299" i="21" s="1"/>
  <c r="V299" i="21"/>
  <c r="R299" i="21"/>
  <c r="N299" i="21"/>
  <c r="AH298" i="21"/>
  <c r="AG298" i="21"/>
  <c r="AF298" i="21"/>
  <c r="AA298" i="21"/>
  <c r="X298" i="21"/>
  <c r="W298" i="21"/>
  <c r="V298" i="21"/>
  <c r="N298" i="21"/>
  <c r="AH297" i="21"/>
  <c r="AG297" i="21"/>
  <c r="AF297" i="21"/>
  <c r="X297" i="21"/>
  <c r="V297" i="21"/>
  <c r="W297" i="21" s="1"/>
  <c r="AA297" i="21" s="1"/>
  <c r="N297" i="21"/>
  <c r="AH296" i="21"/>
  <c r="AG296" i="21"/>
  <c r="AF296" i="21"/>
  <c r="X296" i="21"/>
  <c r="W296" i="21"/>
  <c r="AA296" i="21" s="1"/>
  <c r="V296" i="21"/>
  <c r="N296" i="21"/>
  <c r="AH295" i="21"/>
  <c r="AG295" i="21"/>
  <c r="AF295" i="21"/>
  <c r="AB295" i="21"/>
  <c r="X295" i="21"/>
  <c r="V295" i="21"/>
  <c r="W295" i="21" s="1"/>
  <c r="AA295" i="21" s="1"/>
  <c r="R295" i="21"/>
  <c r="N295" i="21"/>
  <c r="AH294" i="21"/>
  <c r="AG294" i="21"/>
  <c r="AF294" i="21"/>
  <c r="AB294" i="21"/>
  <c r="AA294" i="21"/>
  <c r="X294" i="21"/>
  <c r="W294" i="21"/>
  <c r="V294" i="21"/>
  <c r="R294" i="21"/>
  <c r="N294" i="21"/>
  <c r="AA293" i="21"/>
  <c r="X293" i="21"/>
  <c r="W293" i="21"/>
  <c r="V293" i="21"/>
  <c r="U293" i="21"/>
  <c r="R293" i="21"/>
  <c r="Q293" i="21"/>
  <c r="N293" i="21"/>
  <c r="I293" i="21"/>
  <c r="E293" i="21"/>
  <c r="AB290" i="21"/>
  <c r="AC290" i="21" s="1"/>
  <c r="AD290" i="21" s="1"/>
  <c r="AE290" i="21" s="1"/>
  <c r="AF290" i="21" s="1"/>
  <c r="AG290" i="21" s="1"/>
  <c r="AA290" i="21"/>
  <c r="Z290" i="21"/>
  <c r="F290" i="21"/>
  <c r="G290" i="21" s="1"/>
  <c r="H290" i="21" s="1"/>
  <c r="I290" i="21" s="1"/>
  <c r="J290" i="21" s="1"/>
  <c r="K290" i="21" s="1"/>
  <c r="L290" i="21" s="1"/>
  <c r="M290" i="21" s="1"/>
  <c r="N290" i="21" s="1"/>
  <c r="O290" i="21" s="1"/>
  <c r="P290" i="21" s="1"/>
  <c r="Q290" i="21" s="1"/>
  <c r="R290" i="21" s="1"/>
  <c r="S290" i="21" s="1"/>
  <c r="T290" i="21" s="1"/>
  <c r="U290" i="21" s="1"/>
  <c r="V290" i="21" s="1"/>
  <c r="B290" i="21"/>
  <c r="C290" i="21" s="1"/>
  <c r="D290" i="21" s="1"/>
  <c r="E290" i="21" s="1"/>
  <c r="AB288" i="21"/>
  <c r="X288" i="21"/>
  <c r="W288" i="21"/>
  <c r="AA288" i="21" s="1"/>
  <c r="V288" i="21"/>
  <c r="R288" i="21"/>
  <c r="Q288" i="21"/>
  <c r="N288" i="21"/>
  <c r="M288" i="21"/>
  <c r="I288" i="21"/>
  <c r="X287" i="21"/>
  <c r="V287" i="21"/>
  <c r="W287" i="21" s="1"/>
  <c r="AA287" i="21" s="1"/>
  <c r="Q287" i="21"/>
  <c r="N287" i="21"/>
  <c r="M287" i="21"/>
  <c r="I287" i="21"/>
  <c r="X286" i="21"/>
  <c r="W286" i="21"/>
  <c r="AA286" i="21" s="1"/>
  <c r="V286" i="21"/>
  <c r="U286" i="21"/>
  <c r="R286" i="21"/>
  <c r="Q286" i="21"/>
  <c r="N286" i="21"/>
  <c r="M286" i="21"/>
  <c r="I286" i="21"/>
  <c r="E286" i="21"/>
  <c r="AH285" i="21"/>
  <c r="AG285" i="21"/>
  <c r="AF285" i="21"/>
  <c r="AB285" i="21"/>
  <c r="AA285" i="21"/>
  <c r="X285" i="21"/>
  <c r="V285" i="21"/>
  <c r="W285" i="21" s="1"/>
  <c r="R285" i="21"/>
  <c r="N285" i="21"/>
  <c r="AH284" i="21"/>
  <c r="AG284" i="21"/>
  <c r="AF284" i="21"/>
  <c r="AB284" i="21"/>
  <c r="X284" i="21"/>
  <c r="V284" i="21"/>
  <c r="W284" i="21" s="1"/>
  <c r="AA284" i="21" s="1"/>
  <c r="R284" i="21"/>
  <c r="N284" i="21"/>
  <c r="AH283" i="21"/>
  <c r="AG283" i="21"/>
  <c r="AF283" i="21"/>
  <c r="AB283" i="21"/>
  <c r="X283" i="21"/>
  <c r="V283" i="21"/>
  <c r="W283" i="21" s="1"/>
  <c r="AA283" i="21" s="1"/>
  <c r="R283" i="21"/>
  <c r="N283" i="21"/>
  <c r="AH282" i="21"/>
  <c r="AG282" i="21"/>
  <c r="AF282" i="21"/>
  <c r="X282" i="21"/>
  <c r="W282" i="21"/>
  <c r="AA282" i="21" s="1"/>
  <c r="V282" i="21"/>
  <c r="N282" i="21"/>
  <c r="AH281" i="21"/>
  <c r="AG281" i="21"/>
  <c r="AF281" i="21"/>
  <c r="X281" i="21"/>
  <c r="V281" i="21"/>
  <c r="W281" i="21" s="1"/>
  <c r="AA281" i="21" s="1"/>
  <c r="N281" i="21"/>
  <c r="AH280" i="21"/>
  <c r="AG280" i="21"/>
  <c r="AF280" i="21"/>
  <c r="X280" i="21"/>
  <c r="V280" i="21"/>
  <c r="W280" i="21" s="1"/>
  <c r="AA280" i="21" s="1"/>
  <c r="N280" i="21"/>
  <c r="AH279" i="21"/>
  <c r="AG279" i="21"/>
  <c r="AF279" i="21"/>
  <c r="AB279" i="21"/>
  <c r="X279" i="21"/>
  <c r="W279" i="21"/>
  <c r="AA279" i="21" s="1"/>
  <c r="V279" i="21"/>
  <c r="R279" i="21"/>
  <c r="N279" i="21"/>
  <c r="AH278" i="21"/>
  <c r="AG278" i="21"/>
  <c r="AF278" i="21"/>
  <c r="AB278" i="21"/>
  <c r="X278" i="21"/>
  <c r="W278" i="21"/>
  <c r="AA278" i="21" s="1"/>
  <c r="V278" i="21"/>
  <c r="R278" i="21"/>
  <c r="N278" i="21"/>
  <c r="X277" i="21"/>
  <c r="W277" i="21"/>
  <c r="AA277" i="21" s="1"/>
  <c r="V277" i="21"/>
  <c r="U277" i="21"/>
  <c r="R277" i="21"/>
  <c r="Q277" i="21"/>
  <c r="N277" i="21"/>
  <c r="I277" i="21"/>
  <c r="E277" i="21"/>
  <c r="AB274" i="21"/>
  <c r="AC274" i="21" s="1"/>
  <c r="AD274" i="21" s="1"/>
  <c r="AE274" i="21" s="1"/>
  <c r="AF274" i="21" s="1"/>
  <c r="AG274" i="21" s="1"/>
  <c r="AA274" i="21"/>
  <c r="Z274" i="21"/>
  <c r="C274" i="21"/>
  <c r="D274" i="21" s="1"/>
  <c r="E274" i="21" s="1"/>
  <c r="F274" i="21" s="1"/>
  <c r="G274" i="21" s="1"/>
  <c r="H274" i="21" s="1"/>
  <c r="I274" i="21" s="1"/>
  <c r="J274" i="21" s="1"/>
  <c r="K274" i="21" s="1"/>
  <c r="L274" i="21" s="1"/>
  <c r="M274" i="21" s="1"/>
  <c r="N274" i="21" s="1"/>
  <c r="O274" i="21" s="1"/>
  <c r="P274" i="21" s="1"/>
  <c r="Q274" i="21" s="1"/>
  <c r="R274" i="21" s="1"/>
  <c r="S274" i="21" s="1"/>
  <c r="T274" i="21" s="1"/>
  <c r="U274" i="21" s="1"/>
  <c r="V274" i="21" s="1"/>
  <c r="B274" i="21"/>
  <c r="AB272" i="21"/>
  <c r="AA272" i="21"/>
  <c r="X272" i="21"/>
  <c r="V272" i="21"/>
  <c r="W272" i="21" s="1"/>
  <c r="R272" i="21"/>
  <c r="Q272" i="21"/>
  <c r="N272" i="21"/>
  <c r="M272" i="21"/>
  <c r="I272" i="21"/>
  <c r="X271" i="21"/>
  <c r="W271" i="21"/>
  <c r="AA271" i="21" s="1"/>
  <c r="V271" i="21"/>
  <c r="Q271" i="21"/>
  <c r="N271" i="21"/>
  <c r="M271" i="21"/>
  <c r="I271" i="21"/>
  <c r="AA270" i="21"/>
  <c r="X270" i="21"/>
  <c r="V270" i="21"/>
  <c r="W270" i="21" s="1"/>
  <c r="U270" i="21"/>
  <c r="R270" i="21"/>
  <c r="Q270" i="21"/>
  <c r="N270" i="21"/>
  <c r="M270" i="21"/>
  <c r="I270" i="21"/>
  <c r="E270" i="21"/>
  <c r="AH269" i="21"/>
  <c r="AG269" i="21"/>
  <c r="AF269" i="21"/>
  <c r="AB269" i="21"/>
  <c r="AA269" i="21"/>
  <c r="X269" i="21"/>
  <c r="V269" i="21"/>
  <c r="W269" i="21" s="1"/>
  <c r="R269" i="21"/>
  <c r="N269" i="21"/>
  <c r="AH268" i="21"/>
  <c r="AG268" i="21"/>
  <c r="AF268" i="21"/>
  <c r="AB268" i="21"/>
  <c r="X268" i="21"/>
  <c r="V268" i="21"/>
  <c r="W268" i="21" s="1"/>
  <c r="R268" i="21"/>
  <c r="N268" i="21"/>
  <c r="AH267" i="21"/>
  <c r="AG267" i="21"/>
  <c r="AF267" i="21"/>
  <c r="AB267" i="21"/>
  <c r="X267" i="21"/>
  <c r="V267" i="21"/>
  <c r="W267" i="21" s="1"/>
  <c r="AA267" i="21" s="1"/>
  <c r="R267" i="21"/>
  <c r="N267" i="21"/>
  <c r="AH266" i="21"/>
  <c r="AG266" i="21"/>
  <c r="AF266" i="21"/>
  <c r="X266" i="21"/>
  <c r="V266" i="21"/>
  <c r="W266" i="21" s="1"/>
  <c r="AA266" i="21" s="1"/>
  <c r="N266" i="21"/>
  <c r="AH265" i="21"/>
  <c r="AG265" i="21"/>
  <c r="AF265" i="21"/>
  <c r="Z265" i="21"/>
  <c r="X265" i="21"/>
  <c r="V265" i="21"/>
  <c r="W265" i="21" s="1"/>
  <c r="AA265" i="21" s="1"/>
  <c r="N265" i="21"/>
  <c r="AH264" i="21"/>
  <c r="AG264" i="21"/>
  <c r="AF264" i="21"/>
  <c r="X264" i="21"/>
  <c r="W264" i="21"/>
  <c r="V264" i="21"/>
  <c r="P264" i="21"/>
  <c r="N264" i="21"/>
  <c r="AH263" i="21"/>
  <c r="AG263" i="21"/>
  <c r="AF263" i="21"/>
  <c r="AB263" i="21"/>
  <c r="X263" i="21"/>
  <c r="V263" i="21"/>
  <c r="W263" i="21" s="1"/>
  <c r="AA263" i="21" s="1"/>
  <c r="R263" i="21"/>
  <c r="N263" i="21"/>
  <c r="AH262" i="21"/>
  <c r="AG262" i="21"/>
  <c r="AF262" i="21"/>
  <c r="AB262" i="21"/>
  <c r="X262" i="21"/>
  <c r="V262" i="21"/>
  <c r="W262" i="21" s="1"/>
  <c r="AA262" i="21" s="1"/>
  <c r="S262" i="21"/>
  <c r="R262" i="21"/>
  <c r="N262" i="21"/>
  <c r="X261" i="21"/>
  <c r="V261" i="21"/>
  <c r="W261" i="21" s="1"/>
  <c r="AA261" i="21" s="1"/>
  <c r="U261" i="21"/>
  <c r="R261" i="21"/>
  <c r="Q261" i="21"/>
  <c r="N261" i="21"/>
  <c r="I261" i="21"/>
  <c r="E261" i="21"/>
  <c r="Z258" i="21"/>
  <c r="AA258" i="21" s="1"/>
  <c r="AB258" i="21" s="1"/>
  <c r="AC258" i="21" s="1"/>
  <c r="AD258" i="21" s="1"/>
  <c r="AE258" i="21" s="1"/>
  <c r="AF258" i="21" s="1"/>
  <c r="AG258" i="21" s="1"/>
  <c r="H258" i="21"/>
  <c r="I258" i="21" s="1"/>
  <c r="J258" i="21" s="1"/>
  <c r="K258" i="21" s="1"/>
  <c r="L258" i="21" s="1"/>
  <c r="M258" i="21" s="1"/>
  <c r="N258" i="21" s="1"/>
  <c r="O258" i="21" s="1"/>
  <c r="P258" i="21" s="1"/>
  <c r="Q258" i="21" s="1"/>
  <c r="R258" i="21" s="1"/>
  <c r="S258" i="21" s="1"/>
  <c r="T258" i="21" s="1"/>
  <c r="U258" i="21" s="1"/>
  <c r="V258" i="21" s="1"/>
  <c r="D258" i="21"/>
  <c r="E258" i="21" s="1"/>
  <c r="F258" i="21" s="1"/>
  <c r="G258" i="21" s="1"/>
  <c r="C258" i="21"/>
  <c r="B258" i="21"/>
  <c r="B216" i="21"/>
  <c r="C197" i="21"/>
  <c r="C195" i="21"/>
  <c r="C194" i="21"/>
  <c r="C193" i="21"/>
  <c r="D192" i="21"/>
  <c r="C192" i="21"/>
  <c r="C191" i="21"/>
  <c r="B188" i="21"/>
  <c r="N187" i="21"/>
  <c r="O187" i="21" s="1"/>
  <c r="B187" i="21"/>
  <c r="M187" i="21" s="1"/>
  <c r="F184" i="21"/>
  <c r="D184" i="21"/>
  <c r="J184" i="21" s="1"/>
  <c r="Q184" i="21" s="1"/>
  <c r="C184" i="21"/>
  <c r="E184" i="21" s="1"/>
  <c r="N183" i="21"/>
  <c r="O183" i="21" s="1"/>
  <c r="K183" i="21"/>
  <c r="M183" i="21" s="1"/>
  <c r="J183" i="21"/>
  <c r="K182" i="21"/>
  <c r="M182" i="21" s="1"/>
  <c r="J182" i="21"/>
  <c r="N182" i="21" s="1"/>
  <c r="O182" i="21" s="1"/>
  <c r="J181" i="21"/>
  <c r="J180" i="21"/>
  <c r="C179" i="21"/>
  <c r="G179" i="21" s="1"/>
  <c r="F177" i="21"/>
  <c r="E177" i="21"/>
  <c r="C177" i="21"/>
  <c r="G177" i="21" s="1"/>
  <c r="D176" i="21"/>
  <c r="J176" i="21" s="1"/>
  <c r="N176" i="21" s="1"/>
  <c r="O176" i="21" s="1"/>
  <c r="G174" i="21"/>
  <c r="F174" i="21"/>
  <c r="C174" i="21"/>
  <c r="F173" i="21"/>
  <c r="C173" i="21"/>
  <c r="G173" i="21" s="1"/>
  <c r="E168" i="21"/>
  <c r="E171" i="21" s="1"/>
  <c r="K166" i="21"/>
  <c r="J166" i="21"/>
  <c r="B166" i="21"/>
  <c r="J165" i="21"/>
  <c r="K165" i="21" s="1"/>
  <c r="J164" i="21"/>
  <c r="K164" i="21" s="1"/>
  <c r="K163" i="21"/>
  <c r="J163" i="21"/>
  <c r="F161" i="21"/>
  <c r="E161" i="21"/>
  <c r="C161" i="21"/>
  <c r="D161" i="21" s="1"/>
  <c r="J161" i="21" s="1"/>
  <c r="N160" i="21"/>
  <c r="O160" i="21" s="1"/>
  <c r="J160" i="21"/>
  <c r="K160" i="21" s="1"/>
  <c r="M160" i="21" s="1"/>
  <c r="M159" i="21"/>
  <c r="K159" i="21"/>
  <c r="J159" i="21"/>
  <c r="N159" i="21" s="1"/>
  <c r="O159" i="21" s="1"/>
  <c r="N158" i="21"/>
  <c r="O158" i="21" s="1"/>
  <c r="J158" i="21"/>
  <c r="K158" i="21" s="1"/>
  <c r="M158" i="21" s="1"/>
  <c r="J157" i="21"/>
  <c r="N157" i="21" s="1"/>
  <c r="O157" i="21" s="1"/>
  <c r="K155" i="21"/>
  <c r="M155" i="21" s="1"/>
  <c r="J155" i="21"/>
  <c r="N155" i="21" s="1"/>
  <c r="O155" i="21" s="1"/>
  <c r="F153" i="21"/>
  <c r="C152" i="21"/>
  <c r="G152" i="21" s="1"/>
  <c r="C148" i="21"/>
  <c r="G148" i="21" s="1"/>
  <c r="D147" i="21"/>
  <c r="J147" i="21" s="1"/>
  <c r="G146" i="21"/>
  <c r="C146" i="21"/>
  <c r="D145" i="21"/>
  <c r="C145" i="21"/>
  <c r="G145" i="21" s="1"/>
  <c r="G161" i="21" s="1"/>
  <c r="K143" i="21"/>
  <c r="J143" i="21"/>
  <c r="B143" i="21"/>
  <c r="E154" i="21" s="1"/>
  <c r="J142" i="21"/>
  <c r="K142" i="21" s="1"/>
  <c r="K141" i="21"/>
  <c r="J141" i="21"/>
  <c r="K140" i="21"/>
  <c r="J140" i="21"/>
  <c r="F138" i="21"/>
  <c r="C138" i="21"/>
  <c r="D138" i="21" s="1"/>
  <c r="J138" i="21" s="1"/>
  <c r="J137" i="21"/>
  <c r="O136" i="21"/>
  <c r="N136" i="21"/>
  <c r="K136" i="21"/>
  <c r="M136" i="21" s="1"/>
  <c r="J136" i="21"/>
  <c r="N135" i="21"/>
  <c r="O135" i="21" s="1"/>
  <c r="K135" i="21"/>
  <c r="M135" i="21" s="1"/>
  <c r="J135" i="21"/>
  <c r="O134" i="21"/>
  <c r="N134" i="21"/>
  <c r="K134" i="21"/>
  <c r="M134" i="21" s="1"/>
  <c r="J134" i="21"/>
  <c r="J133" i="21"/>
  <c r="D133" i="21"/>
  <c r="F133" i="21" s="1"/>
  <c r="K132" i="21"/>
  <c r="M132" i="21" s="1"/>
  <c r="F132" i="21"/>
  <c r="D132" i="21"/>
  <c r="J132" i="21" s="1"/>
  <c r="N132" i="21" s="1"/>
  <c r="O132" i="21" s="1"/>
  <c r="E131" i="21"/>
  <c r="D131" i="21"/>
  <c r="J131" i="21" s="1"/>
  <c r="E130" i="21"/>
  <c r="F129" i="21"/>
  <c r="C129" i="21"/>
  <c r="G129" i="21" s="1"/>
  <c r="F128" i="21"/>
  <c r="E128" i="21"/>
  <c r="D128" i="21"/>
  <c r="J128" i="21" s="1"/>
  <c r="F127" i="21"/>
  <c r="C127" i="21"/>
  <c r="G127" i="21" s="1"/>
  <c r="D124" i="21"/>
  <c r="F124" i="21" s="1"/>
  <c r="J120" i="21"/>
  <c r="K120" i="21" s="1"/>
  <c r="B120" i="21"/>
  <c r="J119" i="21"/>
  <c r="K119" i="21" s="1"/>
  <c r="J118" i="21"/>
  <c r="K118" i="21" s="1"/>
  <c r="J117" i="21"/>
  <c r="K117" i="21" s="1"/>
  <c r="J115" i="21"/>
  <c r="E115" i="21"/>
  <c r="D115" i="21"/>
  <c r="C115" i="21"/>
  <c r="F115" i="21" s="1"/>
  <c r="O114" i="21"/>
  <c r="K114" i="21"/>
  <c r="M114" i="21" s="1"/>
  <c r="J114" i="21"/>
  <c r="N114" i="21" s="1"/>
  <c r="J113" i="21"/>
  <c r="N113" i="21" s="1"/>
  <c r="O113" i="21" s="1"/>
  <c r="J112" i="21"/>
  <c r="K112" i="21" s="1"/>
  <c r="M112" i="21" s="1"/>
  <c r="J111" i="21"/>
  <c r="N111" i="21" s="1"/>
  <c r="O111" i="21" s="1"/>
  <c r="E110" i="21"/>
  <c r="C110" i="21"/>
  <c r="G110" i="21" s="1"/>
  <c r="N109" i="21"/>
  <c r="O109" i="21" s="1"/>
  <c r="F109" i="21"/>
  <c r="D109" i="21"/>
  <c r="J109" i="21" s="1"/>
  <c r="K109" i="21" s="1"/>
  <c r="M109" i="21" s="1"/>
  <c r="C109" i="21"/>
  <c r="G109" i="21" s="1"/>
  <c r="N108" i="21"/>
  <c r="O108" i="21" s="1"/>
  <c r="K108" i="21"/>
  <c r="M108" i="21" s="1"/>
  <c r="J108" i="21"/>
  <c r="E108" i="21"/>
  <c r="D108" i="21"/>
  <c r="J107" i="21"/>
  <c r="F107" i="21"/>
  <c r="E107" i="21"/>
  <c r="D107" i="21"/>
  <c r="C107" i="21"/>
  <c r="G107" i="21" s="1"/>
  <c r="F106" i="21"/>
  <c r="E106" i="21"/>
  <c r="D106" i="21"/>
  <c r="J106" i="21" s="1"/>
  <c r="C106" i="21"/>
  <c r="G106" i="21" s="1"/>
  <c r="J105" i="21"/>
  <c r="K105" i="21" s="1"/>
  <c r="M105" i="21" s="1"/>
  <c r="E105" i="21"/>
  <c r="D105" i="21"/>
  <c r="C105" i="21"/>
  <c r="G105" i="21" s="1"/>
  <c r="F104" i="21"/>
  <c r="E104" i="21"/>
  <c r="C104" i="21"/>
  <c r="G104" i="21" s="1"/>
  <c r="D102" i="21"/>
  <c r="J102" i="21" s="1"/>
  <c r="N102" i="21" s="1"/>
  <c r="O102" i="21" s="1"/>
  <c r="E101" i="21"/>
  <c r="G100" i="21"/>
  <c r="E100" i="21"/>
  <c r="C100" i="21"/>
  <c r="C99" i="21"/>
  <c r="J97" i="21"/>
  <c r="K97" i="21" s="1"/>
  <c r="B97" i="21"/>
  <c r="J96" i="21"/>
  <c r="K96" i="21" s="1"/>
  <c r="K95" i="21"/>
  <c r="J95" i="21"/>
  <c r="K94" i="21"/>
  <c r="J94" i="21"/>
  <c r="E92" i="21"/>
  <c r="C92" i="21"/>
  <c r="D92" i="21" s="1"/>
  <c r="J92" i="21" s="1"/>
  <c r="J91" i="21"/>
  <c r="N91" i="21" s="1"/>
  <c r="O91" i="21" s="1"/>
  <c r="J90" i="21"/>
  <c r="J89" i="21"/>
  <c r="N89" i="21" s="1"/>
  <c r="O89" i="21" s="1"/>
  <c r="O88" i="21"/>
  <c r="N88" i="21"/>
  <c r="M88" i="21"/>
  <c r="K88" i="21"/>
  <c r="J88" i="21"/>
  <c r="C86" i="21"/>
  <c r="G86" i="21" s="1"/>
  <c r="E85" i="21"/>
  <c r="C85" i="21"/>
  <c r="G85" i="21" s="1"/>
  <c r="G83" i="21"/>
  <c r="C83" i="21"/>
  <c r="D81" i="21"/>
  <c r="J81" i="21" s="1"/>
  <c r="C81" i="21"/>
  <c r="G81" i="21" s="1"/>
  <c r="D79" i="21"/>
  <c r="C79" i="21"/>
  <c r="G79" i="21" s="1"/>
  <c r="E78" i="21"/>
  <c r="E77" i="21"/>
  <c r="J74" i="21"/>
  <c r="K74" i="21" s="1"/>
  <c r="B74" i="21"/>
  <c r="E86" i="21" s="1"/>
  <c r="K73" i="21"/>
  <c r="J73" i="21"/>
  <c r="K72" i="21"/>
  <c r="J72" i="21"/>
  <c r="K71" i="21"/>
  <c r="J71" i="21"/>
  <c r="N69" i="21"/>
  <c r="O69" i="21" s="1"/>
  <c r="C69" i="21"/>
  <c r="D69" i="21" s="1"/>
  <c r="J69" i="21" s="1"/>
  <c r="Q69" i="21" s="1"/>
  <c r="M68" i="21"/>
  <c r="K68" i="21"/>
  <c r="J68" i="21"/>
  <c r="N68" i="21" s="1"/>
  <c r="O68" i="21" s="1"/>
  <c r="N67" i="21"/>
  <c r="O67" i="21" s="1"/>
  <c r="J67" i="21"/>
  <c r="K67" i="21" s="1"/>
  <c r="M67" i="21" s="1"/>
  <c r="O66" i="21"/>
  <c r="N66" i="21"/>
  <c r="M66" i="21"/>
  <c r="J66" i="21"/>
  <c r="K66" i="21" s="1"/>
  <c r="O65" i="21"/>
  <c r="K65" i="21"/>
  <c r="M65" i="21" s="1"/>
  <c r="J65" i="21"/>
  <c r="N65" i="21" s="1"/>
  <c r="E64" i="21"/>
  <c r="K63" i="21"/>
  <c r="M63" i="21" s="1"/>
  <c r="D63" i="21"/>
  <c r="J63" i="21" s="1"/>
  <c r="N63" i="21" s="1"/>
  <c r="O63" i="21" s="1"/>
  <c r="C63" i="21"/>
  <c r="G63" i="21" s="1"/>
  <c r="F62" i="21"/>
  <c r="E62" i="21"/>
  <c r="D62" i="21"/>
  <c r="J62" i="21" s="1"/>
  <c r="G61" i="21"/>
  <c r="E61" i="21"/>
  <c r="C61" i="21"/>
  <c r="F60" i="21"/>
  <c r="D60" i="21"/>
  <c r="J60" i="21" s="1"/>
  <c r="D59" i="21"/>
  <c r="J59" i="21" s="1"/>
  <c r="C59" i="21"/>
  <c r="G59" i="21" s="1"/>
  <c r="F58" i="21"/>
  <c r="E58" i="21"/>
  <c r="D58" i="21"/>
  <c r="J58" i="21" s="1"/>
  <c r="N58" i="21" s="1"/>
  <c r="O58" i="21" s="1"/>
  <c r="C56" i="21"/>
  <c r="G56" i="21" s="1"/>
  <c r="E55" i="21"/>
  <c r="E54" i="21"/>
  <c r="C54" i="21"/>
  <c r="G54" i="21" s="1"/>
  <c r="K51" i="21"/>
  <c r="J51" i="21"/>
  <c r="B51" i="21"/>
  <c r="C64" i="21" s="1"/>
  <c r="G64" i="21" s="1"/>
  <c r="J50" i="21"/>
  <c r="K50" i="21" s="1"/>
  <c r="J49" i="21"/>
  <c r="K49" i="21" s="1"/>
  <c r="J48" i="21"/>
  <c r="K48" i="21" s="1"/>
  <c r="F48" i="21"/>
  <c r="J45" i="21"/>
  <c r="H45" i="21"/>
  <c r="E45" i="21"/>
  <c r="C45" i="21"/>
  <c r="J44" i="21"/>
  <c r="I44" i="21"/>
  <c r="H44" i="21"/>
  <c r="E44" i="21"/>
  <c r="D44" i="21"/>
  <c r="P299" i="21" s="1"/>
  <c r="C44" i="21"/>
  <c r="I41" i="21"/>
  <c r="D41" i="21"/>
  <c r="H40" i="21"/>
  <c r="C40" i="21"/>
  <c r="I39" i="21"/>
  <c r="D39" i="21"/>
  <c r="H35" i="21"/>
  <c r="E35" i="21"/>
  <c r="D35" i="21"/>
  <c r="C35" i="21"/>
  <c r="J34" i="21"/>
  <c r="I34" i="21"/>
  <c r="H34" i="21"/>
  <c r="E34" i="21"/>
  <c r="D34" i="21"/>
  <c r="G288" i="21" s="1"/>
  <c r="C34" i="21"/>
  <c r="C78" i="21" s="1"/>
  <c r="G78" i="21" s="1"/>
  <c r="I31" i="21"/>
  <c r="D31" i="21"/>
  <c r="H30" i="21"/>
  <c r="C30" i="21"/>
  <c r="I29" i="21"/>
  <c r="D29" i="21"/>
  <c r="J25" i="21"/>
  <c r="I25" i="21"/>
  <c r="H25" i="21"/>
  <c r="C25" i="21"/>
  <c r="J24" i="21"/>
  <c r="I24" i="21"/>
  <c r="H24" i="21"/>
  <c r="E24" i="21"/>
  <c r="D24" i="21"/>
  <c r="S261" i="21" s="1"/>
  <c r="C24" i="21"/>
  <c r="S268" i="21" s="1"/>
  <c r="I21" i="21"/>
  <c r="D21" i="21"/>
  <c r="H20" i="21"/>
  <c r="C20" i="21"/>
  <c r="I19" i="21"/>
  <c r="D19" i="21"/>
  <c r="E9" i="21"/>
  <c r="I6" i="21"/>
  <c r="AB142" i="20"/>
  <c r="X142" i="20"/>
  <c r="W142" i="20"/>
  <c r="AA142" i="20" s="1"/>
  <c r="T142" i="20" s="1"/>
  <c r="AD142" i="20" s="1"/>
  <c r="V142" i="20"/>
  <c r="R142" i="20"/>
  <c r="Q142" i="20"/>
  <c r="N142" i="20"/>
  <c r="M142" i="20"/>
  <c r="I142" i="20"/>
  <c r="X141" i="20"/>
  <c r="V141" i="20"/>
  <c r="W141" i="20" s="1"/>
  <c r="Q141" i="20"/>
  <c r="N141" i="20"/>
  <c r="M141" i="20"/>
  <c r="I141" i="20"/>
  <c r="X140" i="20"/>
  <c r="V140" i="20"/>
  <c r="W140" i="20" s="1"/>
  <c r="AA140" i="20" s="1"/>
  <c r="U140" i="20"/>
  <c r="R140" i="20"/>
  <c r="Q140" i="20"/>
  <c r="N140" i="20"/>
  <c r="M140" i="20"/>
  <c r="I140" i="20"/>
  <c r="E140" i="20"/>
  <c r="AH139" i="20"/>
  <c r="AG139" i="20"/>
  <c r="AF139" i="20"/>
  <c r="C27" i="20" s="1"/>
  <c r="O133" i="20" s="1"/>
  <c r="AB139" i="20"/>
  <c r="Y139" i="20"/>
  <c r="X139" i="20"/>
  <c r="V139" i="20"/>
  <c r="W139" i="20" s="1"/>
  <c r="AA139" i="20" s="1"/>
  <c r="R139" i="20"/>
  <c r="N139" i="20"/>
  <c r="AH138" i="20"/>
  <c r="AG138" i="20"/>
  <c r="AF138" i="20"/>
  <c r="AB138" i="20"/>
  <c r="X138" i="20"/>
  <c r="V138" i="20"/>
  <c r="W138" i="20" s="1"/>
  <c r="AA138" i="20" s="1"/>
  <c r="R138" i="20"/>
  <c r="N138" i="20"/>
  <c r="AH137" i="20"/>
  <c r="AG137" i="20"/>
  <c r="AF137" i="20"/>
  <c r="AB137" i="20"/>
  <c r="X137" i="20"/>
  <c r="W137" i="20"/>
  <c r="AA137" i="20" s="1"/>
  <c r="V137" i="20"/>
  <c r="R137" i="20"/>
  <c r="N137" i="20"/>
  <c r="AH136" i="20"/>
  <c r="AG136" i="20"/>
  <c r="AF136" i="20"/>
  <c r="X136" i="20"/>
  <c r="V136" i="20"/>
  <c r="W136" i="20" s="1"/>
  <c r="AA136" i="20" s="1"/>
  <c r="N136" i="20"/>
  <c r="AH135" i="20"/>
  <c r="AG135" i="20"/>
  <c r="AF135" i="20"/>
  <c r="Y135" i="20"/>
  <c r="X135" i="20"/>
  <c r="V135" i="20"/>
  <c r="W135" i="20" s="1"/>
  <c r="N135" i="20"/>
  <c r="AH134" i="20"/>
  <c r="AG134" i="20"/>
  <c r="AF134" i="20"/>
  <c r="Y134" i="20"/>
  <c r="X134" i="20"/>
  <c r="AA134" i="20" s="1"/>
  <c r="Q134" i="20" s="1"/>
  <c r="W134" i="20"/>
  <c r="V134" i="20"/>
  <c r="N134" i="20"/>
  <c r="AH133" i="20"/>
  <c r="AG133" i="20"/>
  <c r="AF133" i="20"/>
  <c r="AE133" i="20"/>
  <c r="AC133" i="20"/>
  <c r="AB133" i="20"/>
  <c r="X133" i="20"/>
  <c r="W133" i="20"/>
  <c r="AA133" i="20" s="1"/>
  <c r="V133" i="20"/>
  <c r="R133" i="20"/>
  <c r="N133" i="20"/>
  <c r="AH132" i="20"/>
  <c r="AG132" i="20"/>
  <c r="AF132" i="20"/>
  <c r="AB132" i="20"/>
  <c r="X132" i="20"/>
  <c r="V132" i="20"/>
  <c r="W132" i="20" s="1"/>
  <c r="AA132" i="20" s="1"/>
  <c r="R132" i="20"/>
  <c r="N132" i="20"/>
  <c r="Y131" i="20"/>
  <c r="X131" i="20"/>
  <c r="V131" i="20"/>
  <c r="W131" i="20" s="1"/>
  <c r="AA131" i="20" s="1"/>
  <c r="U131" i="20"/>
  <c r="S131" i="20"/>
  <c r="R131" i="20"/>
  <c r="Q131" i="20"/>
  <c r="N131" i="20"/>
  <c r="I131" i="20"/>
  <c r="E131" i="20"/>
  <c r="AD128" i="20"/>
  <c r="AE128" i="20" s="1"/>
  <c r="AF128" i="20" s="1"/>
  <c r="AG128" i="20" s="1"/>
  <c r="AA128" i="20"/>
  <c r="AB128" i="20" s="1"/>
  <c r="AC128" i="20" s="1"/>
  <c r="Z128" i="20"/>
  <c r="B128" i="20"/>
  <c r="C128" i="20" s="1"/>
  <c r="D128" i="20" s="1"/>
  <c r="E128" i="20" s="1"/>
  <c r="F128" i="20" s="1"/>
  <c r="G128" i="20" s="1"/>
  <c r="H128" i="20" s="1"/>
  <c r="I128" i="20" s="1"/>
  <c r="J128" i="20" s="1"/>
  <c r="K128" i="20" s="1"/>
  <c r="L128" i="20" s="1"/>
  <c r="M128" i="20" s="1"/>
  <c r="N128" i="20" s="1"/>
  <c r="O128" i="20" s="1"/>
  <c r="P128" i="20" s="1"/>
  <c r="Q128" i="20" s="1"/>
  <c r="R128" i="20" s="1"/>
  <c r="S128" i="20" s="1"/>
  <c r="T128" i="20" s="1"/>
  <c r="U128" i="20" s="1"/>
  <c r="V128" i="20" s="1"/>
  <c r="B86" i="20"/>
  <c r="C67" i="20"/>
  <c r="B58" i="20"/>
  <c r="N58" i="20" s="1"/>
  <c r="O58" i="20" s="1"/>
  <c r="O57" i="20"/>
  <c r="B57" i="20"/>
  <c r="N57" i="20" s="1"/>
  <c r="K55" i="20"/>
  <c r="J55" i="20"/>
  <c r="F53" i="20"/>
  <c r="C53" i="20"/>
  <c r="E53" i="20" s="1"/>
  <c r="O52" i="20"/>
  <c r="N52" i="20"/>
  <c r="K52" i="20"/>
  <c r="M52" i="20" s="1"/>
  <c r="J52" i="20"/>
  <c r="N51" i="20"/>
  <c r="O51" i="20" s="1"/>
  <c r="M51" i="20"/>
  <c r="K51" i="20"/>
  <c r="J51" i="20"/>
  <c r="J50" i="20"/>
  <c r="N50" i="20" s="1"/>
  <c r="O50" i="20" s="1"/>
  <c r="J49" i="20"/>
  <c r="C47" i="20"/>
  <c r="G47" i="20" s="1"/>
  <c r="F46" i="20"/>
  <c r="G45" i="20"/>
  <c r="F45" i="20"/>
  <c r="C45" i="20"/>
  <c r="K44" i="20"/>
  <c r="M44" i="20" s="1"/>
  <c r="F44" i="20"/>
  <c r="E44" i="20"/>
  <c r="D44" i="20"/>
  <c r="J44" i="20" s="1"/>
  <c r="N44" i="20" s="1"/>
  <c r="O44" i="20" s="1"/>
  <c r="D43" i="20"/>
  <c r="J43" i="20" s="1"/>
  <c r="C43" i="20"/>
  <c r="G43" i="20" s="1"/>
  <c r="F42" i="20"/>
  <c r="E42" i="20"/>
  <c r="C40" i="20"/>
  <c r="G40" i="20" s="1"/>
  <c r="J35" i="20"/>
  <c r="K35" i="20" s="1"/>
  <c r="B35" i="20"/>
  <c r="J34" i="20"/>
  <c r="K34" i="20" s="1"/>
  <c r="K33" i="20"/>
  <c r="J33" i="20"/>
  <c r="J32" i="20"/>
  <c r="K32" i="20" s="1"/>
  <c r="E27" i="20"/>
  <c r="E37" i="20" s="1"/>
  <c r="E40" i="20" s="1"/>
  <c r="D27" i="20"/>
  <c r="S133" i="20" s="1"/>
  <c r="D24" i="20"/>
  <c r="C23" i="20"/>
  <c r="D22" i="20"/>
  <c r="E13" i="20"/>
  <c r="I10" i="20"/>
  <c r="G6" i="20"/>
  <c r="F6" i="20"/>
  <c r="E7" i="20" s="1"/>
  <c r="G7" i="20" s="1"/>
  <c r="E6" i="20"/>
  <c r="C6" i="20"/>
  <c r="B6" i="20"/>
  <c r="E4" i="20"/>
  <c r="F4" i="20" s="1"/>
  <c r="B4" i="20"/>
  <c r="F3" i="20"/>
  <c r="E3" i="20"/>
  <c r="G3" i="20" s="1"/>
  <c r="B3" i="20"/>
  <c r="X200" i="19"/>
  <c r="AA200" i="19" s="1"/>
  <c r="V200" i="19"/>
  <c r="Q200" i="19"/>
  <c r="M200" i="19"/>
  <c r="I200" i="19"/>
  <c r="X199" i="19"/>
  <c r="AA199" i="19" s="1"/>
  <c r="V199" i="19"/>
  <c r="U199" i="19"/>
  <c r="Q199" i="19"/>
  <c r="M199" i="19"/>
  <c r="I199" i="19"/>
  <c r="E199" i="19"/>
  <c r="AA198" i="19"/>
  <c r="Z198" i="19"/>
  <c r="X198" i="19"/>
  <c r="V198" i="19"/>
  <c r="U198" i="19"/>
  <c r="Q198" i="19"/>
  <c r="I198" i="19"/>
  <c r="E198" i="19"/>
  <c r="AA197" i="19"/>
  <c r="X197" i="19"/>
  <c r="V197" i="19"/>
  <c r="Q197" i="19"/>
  <c r="M197" i="19"/>
  <c r="K197" i="19"/>
  <c r="I197" i="19"/>
  <c r="E197" i="19"/>
  <c r="Z194" i="19"/>
  <c r="AA194" i="19" s="1"/>
  <c r="AB194" i="19" s="1"/>
  <c r="AC194" i="19" s="1"/>
  <c r="AD194" i="19" s="1"/>
  <c r="AE194" i="19" s="1"/>
  <c r="AF194" i="19" s="1"/>
  <c r="AG194" i="19" s="1"/>
  <c r="B194" i="19"/>
  <c r="C194" i="19" s="1"/>
  <c r="D194" i="19" s="1"/>
  <c r="E194" i="19" s="1"/>
  <c r="F194" i="19" s="1"/>
  <c r="G194" i="19" s="1"/>
  <c r="H194" i="19" s="1"/>
  <c r="I194" i="19" s="1"/>
  <c r="J194" i="19" s="1"/>
  <c r="K194" i="19" s="1"/>
  <c r="L194" i="19" s="1"/>
  <c r="M194" i="19" s="1"/>
  <c r="N194" i="19" s="1"/>
  <c r="O194" i="19" s="1"/>
  <c r="P194" i="19" s="1"/>
  <c r="Q194" i="19" s="1"/>
  <c r="R194" i="19" s="1"/>
  <c r="S194" i="19" s="1"/>
  <c r="T194" i="19" s="1"/>
  <c r="U194" i="19" s="1"/>
  <c r="V194" i="19" s="1"/>
  <c r="B144" i="19"/>
  <c r="B143" i="19"/>
  <c r="C88" i="19"/>
  <c r="C86" i="19"/>
  <c r="C85" i="19"/>
  <c r="C84" i="19"/>
  <c r="D83" i="19"/>
  <c r="C38" i="19" s="1"/>
  <c r="C83" i="19"/>
  <c r="C82" i="19"/>
  <c r="B79" i="19"/>
  <c r="Q78" i="19"/>
  <c r="Q81" i="19" s="1"/>
  <c r="C37" i="19" s="1"/>
  <c r="N78" i="19"/>
  <c r="O78" i="19" s="1"/>
  <c r="M78" i="19"/>
  <c r="B78" i="19"/>
  <c r="F73" i="19"/>
  <c r="E73" i="19"/>
  <c r="C73" i="19"/>
  <c r="J72" i="19"/>
  <c r="K72" i="19" s="1"/>
  <c r="M72" i="19" s="1"/>
  <c r="G72" i="19"/>
  <c r="J71" i="19"/>
  <c r="G71" i="19"/>
  <c r="O70" i="19"/>
  <c r="N70" i="19"/>
  <c r="M70" i="19"/>
  <c r="J70" i="19"/>
  <c r="K70" i="19" s="1"/>
  <c r="G70" i="19"/>
  <c r="J69" i="19"/>
  <c r="N69" i="19" s="1"/>
  <c r="O69" i="19" s="1"/>
  <c r="G69" i="19"/>
  <c r="G68" i="19"/>
  <c r="D68" i="19"/>
  <c r="J68" i="19" s="1"/>
  <c r="K68" i="19" s="1"/>
  <c r="M68" i="19" s="1"/>
  <c r="C68" i="19"/>
  <c r="F68" i="19" s="1"/>
  <c r="F67" i="19"/>
  <c r="B67" i="19"/>
  <c r="J66" i="19"/>
  <c r="N66" i="19" s="1"/>
  <c r="O66" i="19" s="1"/>
  <c r="E66" i="19"/>
  <c r="D66" i="19"/>
  <c r="G65" i="19"/>
  <c r="F65" i="19"/>
  <c r="D65" i="19"/>
  <c r="J65" i="19" s="1"/>
  <c r="C65" i="19"/>
  <c r="F64" i="19"/>
  <c r="E64" i="19"/>
  <c r="D64" i="19"/>
  <c r="G64" i="19" s="1"/>
  <c r="J63" i="19"/>
  <c r="F63" i="19"/>
  <c r="D63" i="19"/>
  <c r="G63" i="19" s="1"/>
  <c r="C63" i="19"/>
  <c r="F62" i="19"/>
  <c r="E62" i="19"/>
  <c r="D62" i="19"/>
  <c r="B61" i="19"/>
  <c r="E58" i="19"/>
  <c r="D58" i="19"/>
  <c r="S199" i="19" s="1"/>
  <c r="F55" i="19"/>
  <c r="B55" i="19"/>
  <c r="C55" i="19" s="1"/>
  <c r="D55" i="19" s="1"/>
  <c r="F54" i="19"/>
  <c r="E54" i="19"/>
  <c r="F53" i="19"/>
  <c r="D53" i="19"/>
  <c r="B53" i="19"/>
  <c r="E53" i="19" s="1"/>
  <c r="F52" i="19"/>
  <c r="E52" i="19"/>
  <c r="F51" i="19"/>
  <c r="E51" i="19"/>
  <c r="E49" i="19"/>
  <c r="D49" i="19"/>
  <c r="F49" i="19" s="1"/>
  <c r="E47" i="19"/>
  <c r="H44" i="19"/>
  <c r="F44" i="19" s="1"/>
  <c r="E43" i="19"/>
  <c r="D43" i="19"/>
  <c r="D42" i="19"/>
  <c r="C42" i="19"/>
  <c r="H41" i="19"/>
  <c r="F41" i="19"/>
  <c r="F42" i="19" s="1"/>
  <c r="J42" i="19" s="1"/>
  <c r="B41" i="19"/>
  <c r="E35" i="19"/>
  <c r="E33" i="19"/>
  <c r="D41" i="19" s="1"/>
  <c r="D33" i="19"/>
  <c r="C33" i="19"/>
  <c r="D28" i="19"/>
  <c r="D27" i="19"/>
  <c r="N25" i="19"/>
  <c r="M25" i="19"/>
  <c r="C21" i="19"/>
  <c r="F19" i="19"/>
  <c r="E16" i="19"/>
  <c r="B3" i="19"/>
  <c r="B213" i="18"/>
  <c r="B212" i="18"/>
  <c r="B211" i="18"/>
  <c r="B210" i="18"/>
  <c r="B180" i="18"/>
  <c r="B179" i="18"/>
  <c r="D153" i="18"/>
  <c r="C153" i="18"/>
  <c r="B153" i="18"/>
  <c r="D152" i="18"/>
  <c r="C152" i="18"/>
  <c r="B152" i="18"/>
  <c r="D151" i="18"/>
  <c r="C151" i="18"/>
  <c r="B151" i="18"/>
  <c r="D150" i="18"/>
  <c r="C150" i="18"/>
  <c r="B150" i="18"/>
  <c r="D149" i="18"/>
  <c r="C149" i="18"/>
  <c r="B149" i="18"/>
  <c r="D148" i="18"/>
  <c r="C148" i="18"/>
  <c r="B148" i="18"/>
  <c r="C130" i="18"/>
  <c r="C128" i="18"/>
  <c r="C127" i="18"/>
  <c r="C126" i="18"/>
  <c r="D125" i="18"/>
  <c r="C42" i="18" s="1"/>
  <c r="C125" i="18"/>
  <c r="C124" i="18"/>
  <c r="B121" i="18"/>
  <c r="N120" i="18"/>
  <c r="O120" i="18" s="1"/>
  <c r="M120" i="18"/>
  <c r="B120" i="18"/>
  <c r="K119" i="18"/>
  <c r="M119" i="18" s="1"/>
  <c r="B119" i="18"/>
  <c r="J119" i="18" s="1"/>
  <c r="N119" i="18" s="1"/>
  <c r="O119" i="18" s="1"/>
  <c r="Q110" i="18"/>
  <c r="M109" i="18"/>
  <c r="L109" i="18"/>
  <c r="K109" i="18"/>
  <c r="G109" i="18"/>
  <c r="E109" i="18"/>
  <c r="D109" i="18"/>
  <c r="J109" i="18" s="1"/>
  <c r="N109" i="18" s="1"/>
  <c r="O109" i="18" s="1"/>
  <c r="C109" i="18"/>
  <c r="G106" i="18"/>
  <c r="F106" i="18"/>
  <c r="B104" i="18"/>
  <c r="G103" i="18"/>
  <c r="K102" i="18"/>
  <c r="J102" i="18"/>
  <c r="G102" i="18"/>
  <c r="O101" i="18"/>
  <c r="N101" i="18"/>
  <c r="L101" i="18"/>
  <c r="M101" i="18" s="1"/>
  <c r="K101" i="18"/>
  <c r="D101" i="18"/>
  <c r="J101" i="18" s="1"/>
  <c r="C101" i="18"/>
  <c r="G101" i="18" s="1"/>
  <c r="B99" i="18"/>
  <c r="J98" i="18"/>
  <c r="G98" i="18"/>
  <c r="D98" i="18"/>
  <c r="F97" i="18"/>
  <c r="D97" i="18"/>
  <c r="J97" i="18" s="1"/>
  <c r="B97" i="18"/>
  <c r="G97" i="18" s="1"/>
  <c r="G96" i="18"/>
  <c r="B96" i="18"/>
  <c r="E98" i="18" s="1"/>
  <c r="Q93" i="18"/>
  <c r="J93" i="18"/>
  <c r="K93" i="18" s="1"/>
  <c r="Q90" i="18"/>
  <c r="D87" i="18"/>
  <c r="C87" i="18"/>
  <c r="C85" i="18"/>
  <c r="C90" i="18" s="1"/>
  <c r="F83" i="18"/>
  <c r="E83" i="18"/>
  <c r="D83" i="18"/>
  <c r="C83" i="18"/>
  <c r="J83" i="18" s="1"/>
  <c r="N82" i="18"/>
  <c r="O82" i="18" s="1"/>
  <c r="M82" i="18"/>
  <c r="F82" i="18"/>
  <c r="C82" i="18" s="1"/>
  <c r="J82" i="18" s="1"/>
  <c r="K82" i="18" s="1"/>
  <c r="E82" i="18"/>
  <c r="D82" i="18"/>
  <c r="J81" i="18"/>
  <c r="F81" i="18"/>
  <c r="D81" i="18" s="1"/>
  <c r="E81" i="18"/>
  <c r="C81" i="18"/>
  <c r="Q79" i="18"/>
  <c r="K79" i="18"/>
  <c r="J79" i="18"/>
  <c r="O77" i="18"/>
  <c r="F77" i="18"/>
  <c r="E77" i="18"/>
  <c r="D77" i="18"/>
  <c r="C77" i="18"/>
  <c r="J77" i="18" s="1"/>
  <c r="N77" i="18" s="1"/>
  <c r="F76" i="18"/>
  <c r="E76" i="18"/>
  <c r="Q74" i="18"/>
  <c r="F72" i="18"/>
  <c r="D72" i="18" s="1"/>
  <c r="E72" i="18"/>
  <c r="K71" i="18"/>
  <c r="M71" i="18" s="1"/>
  <c r="J71" i="18"/>
  <c r="N71" i="18" s="1"/>
  <c r="O71" i="18" s="1"/>
  <c r="F71" i="18"/>
  <c r="E71" i="18"/>
  <c r="D71" i="18"/>
  <c r="C71" i="18"/>
  <c r="F70" i="18"/>
  <c r="E70" i="18"/>
  <c r="D70" i="18"/>
  <c r="C70" i="18"/>
  <c r="J70" i="18" s="1"/>
  <c r="Q68" i="18"/>
  <c r="N66" i="18"/>
  <c r="O66" i="18" s="1"/>
  <c r="K66" i="18"/>
  <c r="M66" i="18" s="1"/>
  <c r="F66" i="18"/>
  <c r="C66" i="18" s="1"/>
  <c r="J66" i="18" s="1"/>
  <c r="E66" i="18"/>
  <c r="D66" i="18"/>
  <c r="F65" i="18"/>
  <c r="E65" i="18"/>
  <c r="F64" i="18"/>
  <c r="E64" i="18"/>
  <c r="D64" i="18"/>
  <c r="C64" i="18"/>
  <c r="J64" i="18" s="1"/>
  <c r="E60" i="18"/>
  <c r="E59" i="18"/>
  <c r="F58" i="18"/>
  <c r="D58" i="18"/>
  <c r="B58" i="18"/>
  <c r="E58" i="18" s="1"/>
  <c r="E57" i="18"/>
  <c r="E56" i="18"/>
  <c r="E55" i="18"/>
  <c r="E54" i="18"/>
  <c r="F53" i="18"/>
  <c r="E53" i="18"/>
  <c r="E52" i="18"/>
  <c r="J49" i="18"/>
  <c r="N49" i="18" s="1"/>
  <c r="O49" i="18" s="1"/>
  <c r="F49" i="18"/>
  <c r="E49" i="18"/>
  <c r="D49" i="18"/>
  <c r="C49" i="18"/>
  <c r="B49" i="18"/>
  <c r="E48" i="18"/>
  <c r="B48" i="18"/>
  <c r="B47" i="18"/>
  <c r="E47" i="18" s="1"/>
  <c r="B46" i="18"/>
  <c r="E46" i="18" s="1"/>
  <c r="E45" i="18"/>
  <c r="B45" i="18"/>
  <c r="C37" i="18"/>
  <c r="D35" i="18"/>
  <c r="C35" i="18"/>
  <c r="E31" i="18"/>
  <c r="E35" i="18" s="1"/>
  <c r="E37" i="18" s="1"/>
  <c r="E28" i="18"/>
  <c r="D28" i="18"/>
  <c r="D37" i="18" s="1"/>
  <c r="C28" i="18"/>
  <c r="V20" i="18"/>
  <c r="W19" i="18" s="1"/>
  <c r="F20" i="18"/>
  <c r="E20" i="18"/>
  <c r="V19" i="18"/>
  <c r="Q19" i="18"/>
  <c r="E16" i="18"/>
  <c r="E14" i="18"/>
  <c r="E13" i="18"/>
  <c r="J10" i="18"/>
  <c r="E6" i="18"/>
  <c r="D6" i="18"/>
  <c r="D4" i="18"/>
  <c r="E4" i="18" s="1"/>
  <c r="D3" i="18"/>
  <c r="F3" i="18" s="1"/>
  <c r="B3" i="18"/>
  <c r="AC276" i="17"/>
  <c r="AB276" i="17"/>
  <c r="Z276" i="17"/>
  <c r="Y276" i="17"/>
  <c r="X276" i="17"/>
  <c r="AA276" i="17" s="1"/>
  <c r="V276" i="17"/>
  <c r="S276" i="17"/>
  <c r="R276" i="17"/>
  <c r="P276" i="17"/>
  <c r="O276" i="17"/>
  <c r="N276" i="17"/>
  <c r="AC275" i="17"/>
  <c r="AB275" i="17"/>
  <c r="Z275" i="17"/>
  <c r="Y275" i="17"/>
  <c r="X275" i="17"/>
  <c r="AA275" i="17" s="1"/>
  <c r="V275" i="17"/>
  <c r="S275" i="17"/>
  <c r="R275" i="17"/>
  <c r="P275" i="17"/>
  <c r="O275" i="17"/>
  <c r="N275" i="17"/>
  <c r="Z274" i="17"/>
  <c r="Y274" i="17"/>
  <c r="X274" i="17"/>
  <c r="AA274" i="17" s="1"/>
  <c r="V274" i="17"/>
  <c r="Q274" i="17"/>
  <c r="O274" i="17"/>
  <c r="M274" i="17"/>
  <c r="I274" i="17"/>
  <c r="G274" i="17"/>
  <c r="Z273" i="17"/>
  <c r="Y273" i="17"/>
  <c r="X273" i="17"/>
  <c r="AA273" i="17" s="1"/>
  <c r="V273" i="17"/>
  <c r="U273" i="17"/>
  <c r="S273" i="17"/>
  <c r="Q273" i="17"/>
  <c r="P273" i="17"/>
  <c r="O273" i="17"/>
  <c r="M273" i="17"/>
  <c r="K273" i="17"/>
  <c r="I273" i="17"/>
  <c r="G273" i="17"/>
  <c r="E273" i="17"/>
  <c r="C273" i="17"/>
  <c r="Z272" i="17"/>
  <c r="Y272" i="17"/>
  <c r="X272" i="17"/>
  <c r="AA272" i="17" s="1"/>
  <c r="V272" i="17"/>
  <c r="Q272" i="17"/>
  <c r="O272" i="17"/>
  <c r="Z271" i="17"/>
  <c r="Y271" i="17"/>
  <c r="X271" i="17"/>
  <c r="AA271" i="17" s="1"/>
  <c r="V271" i="17"/>
  <c r="P271" i="17"/>
  <c r="O271" i="17"/>
  <c r="AE270" i="17"/>
  <c r="AC270" i="17"/>
  <c r="Z270" i="17"/>
  <c r="Y270" i="17"/>
  <c r="X270" i="17"/>
  <c r="AA270" i="17" s="1"/>
  <c r="V270" i="17"/>
  <c r="S270" i="17"/>
  <c r="O270" i="17"/>
  <c r="AE269" i="17"/>
  <c r="AC269" i="17"/>
  <c r="Z269" i="17"/>
  <c r="Y269" i="17"/>
  <c r="X269" i="17"/>
  <c r="AA269" i="17" s="1"/>
  <c r="V269" i="17"/>
  <c r="S269" i="17"/>
  <c r="O269" i="17"/>
  <c r="Z268" i="17"/>
  <c r="Y268" i="17"/>
  <c r="X268" i="17"/>
  <c r="AA268" i="17" s="1"/>
  <c r="V268" i="17"/>
  <c r="U268" i="17"/>
  <c r="S268" i="17"/>
  <c r="Q268" i="17"/>
  <c r="O268" i="17"/>
  <c r="I268" i="17"/>
  <c r="G268" i="17"/>
  <c r="E268" i="17"/>
  <c r="C268" i="17"/>
  <c r="Z267" i="17"/>
  <c r="Y267" i="17"/>
  <c r="X267" i="17"/>
  <c r="AA267" i="17" s="1"/>
  <c r="V267" i="17"/>
  <c r="Q267" i="17"/>
  <c r="O267" i="17"/>
  <c r="M267" i="17"/>
  <c r="K267" i="17"/>
  <c r="I267" i="17"/>
  <c r="G267" i="17"/>
  <c r="E267" i="17"/>
  <c r="C267" i="17"/>
  <c r="Z264" i="17"/>
  <c r="AA264" i="17" s="1"/>
  <c r="AB264" i="17" s="1"/>
  <c r="AC264" i="17" s="1"/>
  <c r="AD264" i="17" s="1"/>
  <c r="AE264" i="17" s="1"/>
  <c r="AF264" i="17" s="1"/>
  <c r="AG264" i="17" s="1"/>
  <c r="K264" i="17"/>
  <c r="L264" i="17" s="1"/>
  <c r="M264" i="17" s="1"/>
  <c r="N264" i="17" s="1"/>
  <c r="O264" i="17" s="1"/>
  <c r="P264" i="17" s="1"/>
  <c r="Q264" i="17" s="1"/>
  <c r="R264" i="17" s="1"/>
  <c r="S264" i="17" s="1"/>
  <c r="T264" i="17" s="1"/>
  <c r="U264" i="17" s="1"/>
  <c r="V264" i="17" s="1"/>
  <c r="B264" i="17"/>
  <c r="C264" i="17" s="1"/>
  <c r="D264" i="17" s="1"/>
  <c r="E264" i="17" s="1"/>
  <c r="F264" i="17" s="1"/>
  <c r="G264" i="17" s="1"/>
  <c r="H264" i="17" s="1"/>
  <c r="I264" i="17" s="1"/>
  <c r="J264" i="17" s="1"/>
  <c r="B237" i="17"/>
  <c r="B236" i="17"/>
  <c r="G175" i="17"/>
  <c r="F175" i="17" s="1"/>
  <c r="D175" i="17"/>
  <c r="C175" i="17"/>
  <c r="B175" i="17"/>
  <c r="G174" i="17"/>
  <c r="F174" i="17"/>
  <c r="D174" i="17"/>
  <c r="C174" i="17"/>
  <c r="B174" i="17"/>
  <c r="G173" i="17"/>
  <c r="F173" i="17" s="1"/>
  <c r="D173" i="17"/>
  <c r="C173" i="17"/>
  <c r="B173" i="17"/>
  <c r="G172" i="17"/>
  <c r="F172" i="17"/>
  <c r="D172" i="17"/>
  <c r="C172" i="17"/>
  <c r="B172" i="17"/>
  <c r="G171" i="17"/>
  <c r="F171" i="17"/>
  <c r="D171" i="17"/>
  <c r="C171" i="17"/>
  <c r="B171" i="17"/>
  <c r="G170" i="17"/>
  <c r="F170" i="17"/>
  <c r="D170" i="17"/>
  <c r="C170" i="17"/>
  <c r="B170" i="17"/>
  <c r="G169" i="17"/>
  <c r="F169" i="17" s="1"/>
  <c r="D169" i="17"/>
  <c r="C169" i="17"/>
  <c r="B169" i="17"/>
  <c r="G168" i="17"/>
  <c r="F168" i="17"/>
  <c r="D168" i="17"/>
  <c r="C168" i="17"/>
  <c r="B168" i="17"/>
  <c r="G167" i="17"/>
  <c r="F167" i="17" s="1"/>
  <c r="D167" i="17"/>
  <c r="C167" i="17"/>
  <c r="B167" i="17"/>
  <c r="D149" i="17"/>
  <c r="C149" i="17"/>
  <c r="B149" i="17"/>
  <c r="D148" i="17"/>
  <c r="C148" i="17"/>
  <c r="B148" i="17"/>
  <c r="D147" i="17"/>
  <c r="C147" i="17"/>
  <c r="B147" i="17"/>
  <c r="D146" i="17"/>
  <c r="C146" i="17"/>
  <c r="B146" i="17"/>
  <c r="D145" i="17"/>
  <c r="C145" i="17"/>
  <c r="B145" i="17"/>
  <c r="D144" i="17"/>
  <c r="C144" i="17"/>
  <c r="B144" i="17"/>
  <c r="C132" i="17"/>
  <c r="C130" i="17"/>
  <c r="C131" i="17" s="1"/>
  <c r="C129" i="17"/>
  <c r="C128" i="17"/>
  <c r="D127" i="17"/>
  <c r="C127" i="17"/>
  <c r="C126" i="17"/>
  <c r="L125" i="17"/>
  <c r="N122" i="17"/>
  <c r="O122" i="17" s="1"/>
  <c r="M122" i="17"/>
  <c r="B122" i="17"/>
  <c r="L121" i="17"/>
  <c r="J121" i="17"/>
  <c r="K121" i="17" s="1"/>
  <c r="B121" i="17"/>
  <c r="L119" i="17"/>
  <c r="M119" i="17" s="1"/>
  <c r="K119" i="17"/>
  <c r="N119" i="17" s="1"/>
  <c r="O119" i="17" s="1"/>
  <c r="F119" i="17"/>
  <c r="B119" i="17"/>
  <c r="F118" i="17"/>
  <c r="K118" i="17" s="1"/>
  <c r="N118" i="17" s="1"/>
  <c r="O118" i="17" s="1"/>
  <c r="J115" i="17"/>
  <c r="K115" i="17" s="1"/>
  <c r="C114" i="17"/>
  <c r="J113" i="17"/>
  <c r="K113" i="17" s="1"/>
  <c r="M113" i="17" s="1"/>
  <c r="N112" i="17"/>
  <c r="O112" i="17" s="1"/>
  <c r="K112" i="17"/>
  <c r="M112" i="17" s="1"/>
  <c r="J112" i="17"/>
  <c r="J111" i="17"/>
  <c r="K111" i="17" s="1"/>
  <c r="M111" i="17" s="1"/>
  <c r="N110" i="17"/>
  <c r="O110" i="17" s="1"/>
  <c r="K110" i="17"/>
  <c r="M110" i="17" s="1"/>
  <c r="J110" i="17"/>
  <c r="D109" i="17"/>
  <c r="J109" i="17" s="1"/>
  <c r="N109" i="17" s="1"/>
  <c r="O109" i="17" s="1"/>
  <c r="C109" i="17"/>
  <c r="F108" i="17"/>
  <c r="D108" i="17"/>
  <c r="J108" i="17" s="1"/>
  <c r="F107" i="17"/>
  <c r="E107" i="17"/>
  <c r="D107" i="17"/>
  <c r="J107" i="17" s="1"/>
  <c r="D106" i="17"/>
  <c r="J106" i="17" s="1"/>
  <c r="C106" i="17"/>
  <c r="G106" i="17" s="1"/>
  <c r="F105" i="17"/>
  <c r="F104" i="17"/>
  <c r="E104" i="17"/>
  <c r="D104" i="17"/>
  <c r="J104" i="17" s="1"/>
  <c r="F103" i="17"/>
  <c r="D103" i="17"/>
  <c r="J103" i="17" s="1"/>
  <c r="C103" i="17"/>
  <c r="G103" i="17" s="1"/>
  <c r="K102" i="17"/>
  <c r="J102" i="17"/>
  <c r="B102" i="17"/>
  <c r="E109" i="17" s="1"/>
  <c r="J101" i="17"/>
  <c r="K101" i="17" s="1"/>
  <c r="K100" i="17"/>
  <c r="J100" i="17"/>
  <c r="D98" i="17"/>
  <c r="D94" i="17"/>
  <c r="J94" i="17" s="1"/>
  <c r="F89" i="17"/>
  <c r="D89" i="17"/>
  <c r="C89" i="17"/>
  <c r="J88" i="17"/>
  <c r="F88" i="17"/>
  <c r="E88" i="17"/>
  <c r="D88" i="17"/>
  <c r="C88" i="17"/>
  <c r="F84" i="17"/>
  <c r="D84" i="17" s="1"/>
  <c r="E84" i="17"/>
  <c r="M83" i="17"/>
  <c r="K83" i="17"/>
  <c r="F83" i="17"/>
  <c r="C83" i="17" s="1"/>
  <c r="J83" i="17" s="1"/>
  <c r="N83" i="17" s="1"/>
  <c r="O83" i="17" s="1"/>
  <c r="E83" i="17"/>
  <c r="F82" i="17"/>
  <c r="D82" i="17" s="1"/>
  <c r="E82" i="17"/>
  <c r="C82" i="17"/>
  <c r="J82" i="17" s="1"/>
  <c r="F78" i="17"/>
  <c r="E78" i="17"/>
  <c r="C78" i="17"/>
  <c r="J78" i="17" s="1"/>
  <c r="F77" i="17"/>
  <c r="D78" i="17" s="1"/>
  <c r="E77" i="17"/>
  <c r="D77" i="17"/>
  <c r="C77" i="17"/>
  <c r="J77" i="17" s="1"/>
  <c r="F73" i="17"/>
  <c r="E73" i="17"/>
  <c r="D73" i="17"/>
  <c r="C73" i="17"/>
  <c r="J73" i="17" s="1"/>
  <c r="N73" i="17" s="1"/>
  <c r="O73" i="17" s="1"/>
  <c r="F72" i="17"/>
  <c r="D72" i="17" s="1"/>
  <c r="E72" i="17"/>
  <c r="F71" i="17"/>
  <c r="C71" i="17" s="1"/>
  <c r="E71" i="17"/>
  <c r="F67" i="17"/>
  <c r="E67" i="17"/>
  <c r="F66" i="17"/>
  <c r="D66" i="17" s="1"/>
  <c r="E66" i="17"/>
  <c r="F65" i="17"/>
  <c r="E65" i="17"/>
  <c r="D65" i="17"/>
  <c r="C65" i="17"/>
  <c r="J65" i="17" s="1"/>
  <c r="N65" i="17" s="1"/>
  <c r="O65" i="17" s="1"/>
  <c r="F61" i="17"/>
  <c r="E61" i="17"/>
  <c r="E60" i="17"/>
  <c r="D59" i="17"/>
  <c r="B59" i="17"/>
  <c r="E58" i="17"/>
  <c r="E57" i="17"/>
  <c r="E56" i="17"/>
  <c r="D56" i="17"/>
  <c r="F56" i="17" s="1"/>
  <c r="E55" i="17"/>
  <c r="E54" i="17"/>
  <c r="D54" i="17"/>
  <c r="D55" i="17" s="1"/>
  <c r="F55" i="17" s="1"/>
  <c r="E53" i="17"/>
  <c r="D53" i="17"/>
  <c r="J52" i="17"/>
  <c r="K52" i="17" s="1"/>
  <c r="J51" i="17"/>
  <c r="K51" i="17" s="1"/>
  <c r="B50" i="17"/>
  <c r="E50" i="17" s="1"/>
  <c r="B49" i="17"/>
  <c r="E49" i="17" s="1"/>
  <c r="E48" i="17"/>
  <c r="E47" i="17"/>
  <c r="C44" i="17"/>
  <c r="C37" i="17"/>
  <c r="C39" i="17" s="1"/>
  <c r="C69" i="17" s="1"/>
  <c r="C75" i="17" s="1"/>
  <c r="C80" i="17" s="1"/>
  <c r="C86" i="17" s="1"/>
  <c r="C91" i="17" s="1"/>
  <c r="E35" i="17"/>
  <c r="E98" i="17" s="1"/>
  <c r="D35" i="17"/>
  <c r="D37" i="17" s="1"/>
  <c r="D39" i="17" s="1"/>
  <c r="C35" i="17"/>
  <c r="C98" i="17" s="1"/>
  <c r="D30" i="17"/>
  <c r="C24" i="17"/>
  <c r="C23" i="17"/>
  <c r="B118" i="17" s="1"/>
  <c r="C21" i="17"/>
  <c r="B123" i="17" s="1"/>
  <c r="M123" i="17" s="1"/>
  <c r="F20" i="17"/>
  <c r="E20" i="17"/>
  <c r="E16" i="17"/>
  <c r="E14" i="17"/>
  <c r="E13" i="17"/>
  <c r="I9" i="17"/>
  <c r="G6" i="17"/>
  <c r="F7" i="17" s="1"/>
  <c r="H7" i="17" s="1"/>
  <c r="F6" i="17"/>
  <c r="D6" i="17"/>
  <c r="C6" i="17"/>
  <c r="F4" i="17"/>
  <c r="G4" i="17" s="1"/>
  <c r="H4" i="17" s="1"/>
  <c r="D4" i="17"/>
  <c r="C5" i="17" s="1"/>
  <c r="E5" i="17" s="1"/>
  <c r="C4" i="17"/>
  <c r="H3" i="17"/>
  <c r="G3" i="17"/>
  <c r="F3" i="17"/>
  <c r="E3" i="17"/>
  <c r="D3" i="17"/>
  <c r="C3" i="17"/>
  <c r="K311" i="16"/>
  <c r="J311" i="16"/>
  <c r="F311" i="16"/>
  <c r="B311" i="16"/>
  <c r="K310" i="16"/>
  <c r="J310" i="16"/>
  <c r="F310" i="16"/>
  <c r="B310" i="16"/>
  <c r="O309" i="16"/>
  <c r="K309" i="16"/>
  <c r="R309" i="16" s="1"/>
  <c r="J309" i="16"/>
  <c r="B309" i="16"/>
  <c r="O308" i="16"/>
  <c r="K308" i="16"/>
  <c r="R308" i="16" s="1"/>
  <c r="J308" i="16"/>
  <c r="B308" i="16"/>
  <c r="E305" i="16"/>
  <c r="F305" i="16" s="1"/>
  <c r="G305" i="16" s="1"/>
  <c r="H305" i="16" s="1"/>
  <c r="I305" i="16" s="1"/>
  <c r="J305" i="16" s="1"/>
  <c r="K305" i="16" s="1"/>
  <c r="L305" i="16" s="1"/>
  <c r="M305" i="16" s="1"/>
  <c r="N305" i="16" s="1"/>
  <c r="O305" i="16" s="1"/>
  <c r="P305" i="16" s="1"/>
  <c r="Q305" i="16" s="1"/>
  <c r="R305" i="16" s="1"/>
  <c r="S305" i="16" s="1"/>
  <c r="D305" i="16"/>
  <c r="C305" i="16"/>
  <c r="K303" i="16"/>
  <c r="J303" i="16"/>
  <c r="F303" i="16"/>
  <c r="B303" i="16"/>
  <c r="K302" i="16"/>
  <c r="J302" i="16"/>
  <c r="F302" i="16"/>
  <c r="B302" i="16"/>
  <c r="R301" i="16"/>
  <c r="O301" i="16"/>
  <c r="K301" i="16"/>
  <c r="J301" i="16"/>
  <c r="B301" i="16"/>
  <c r="R300" i="16"/>
  <c r="O300" i="16"/>
  <c r="K300" i="16"/>
  <c r="J300" i="16"/>
  <c r="B300" i="16"/>
  <c r="D297" i="16"/>
  <c r="E297" i="16" s="1"/>
  <c r="F297" i="16" s="1"/>
  <c r="G297" i="16" s="1"/>
  <c r="H297" i="16" s="1"/>
  <c r="I297" i="16" s="1"/>
  <c r="J297" i="16" s="1"/>
  <c r="K297" i="16" s="1"/>
  <c r="L297" i="16" s="1"/>
  <c r="M297" i="16" s="1"/>
  <c r="N297" i="16" s="1"/>
  <c r="O297" i="16" s="1"/>
  <c r="P297" i="16" s="1"/>
  <c r="Q297" i="16" s="1"/>
  <c r="R297" i="16" s="1"/>
  <c r="S297" i="16" s="1"/>
  <c r="C297" i="16"/>
  <c r="K295" i="16"/>
  <c r="J295" i="16"/>
  <c r="F295" i="16"/>
  <c r="B295" i="16"/>
  <c r="K294" i="16"/>
  <c r="J294" i="16"/>
  <c r="F294" i="16"/>
  <c r="B294" i="16"/>
  <c r="O293" i="16"/>
  <c r="K293" i="16"/>
  <c r="R293" i="16" s="1"/>
  <c r="J293" i="16"/>
  <c r="B293" i="16"/>
  <c r="O292" i="16"/>
  <c r="K292" i="16"/>
  <c r="R292" i="16" s="1"/>
  <c r="J292" i="16"/>
  <c r="B292" i="16"/>
  <c r="D289" i="16"/>
  <c r="E289" i="16" s="1"/>
  <c r="F289" i="16" s="1"/>
  <c r="G289" i="16" s="1"/>
  <c r="H289" i="16" s="1"/>
  <c r="I289" i="16" s="1"/>
  <c r="J289" i="16" s="1"/>
  <c r="K289" i="16" s="1"/>
  <c r="L289" i="16" s="1"/>
  <c r="M289" i="16" s="1"/>
  <c r="N289" i="16" s="1"/>
  <c r="O289" i="16" s="1"/>
  <c r="P289" i="16" s="1"/>
  <c r="Q289" i="16" s="1"/>
  <c r="R289" i="16" s="1"/>
  <c r="S289" i="16" s="1"/>
  <c r="C289" i="16"/>
  <c r="K287" i="16"/>
  <c r="J287" i="16"/>
  <c r="F287" i="16"/>
  <c r="B287" i="16"/>
  <c r="K286" i="16"/>
  <c r="J286" i="16"/>
  <c r="F286" i="16"/>
  <c r="B286" i="16"/>
  <c r="Q285" i="16"/>
  <c r="O285" i="16"/>
  <c r="K285" i="16"/>
  <c r="R285" i="16" s="1"/>
  <c r="J285" i="16"/>
  <c r="B285" i="16"/>
  <c r="R284" i="16"/>
  <c r="O284" i="16"/>
  <c r="K284" i="16"/>
  <c r="J284" i="16"/>
  <c r="B284" i="16"/>
  <c r="K281" i="16"/>
  <c r="L281" i="16" s="1"/>
  <c r="M281" i="16" s="1"/>
  <c r="N281" i="16" s="1"/>
  <c r="O281" i="16" s="1"/>
  <c r="P281" i="16" s="1"/>
  <c r="Q281" i="16" s="1"/>
  <c r="R281" i="16" s="1"/>
  <c r="S281" i="16" s="1"/>
  <c r="C281" i="16"/>
  <c r="D281" i="16" s="1"/>
  <c r="E281" i="16" s="1"/>
  <c r="F281" i="16" s="1"/>
  <c r="G281" i="16" s="1"/>
  <c r="H281" i="16" s="1"/>
  <c r="I281" i="16" s="1"/>
  <c r="J281" i="16" s="1"/>
  <c r="K279" i="16"/>
  <c r="J279" i="16"/>
  <c r="F279" i="16"/>
  <c r="B279" i="16"/>
  <c r="K278" i="16"/>
  <c r="J278" i="16"/>
  <c r="F278" i="16"/>
  <c r="B278" i="16"/>
  <c r="O277" i="16"/>
  <c r="K277" i="16"/>
  <c r="R277" i="16" s="1"/>
  <c r="J277" i="16"/>
  <c r="B277" i="16"/>
  <c r="O276" i="16"/>
  <c r="K276" i="16"/>
  <c r="R276" i="16" s="1"/>
  <c r="J276" i="16"/>
  <c r="B276" i="16"/>
  <c r="F273" i="16"/>
  <c r="G273" i="16" s="1"/>
  <c r="H273" i="16" s="1"/>
  <c r="I273" i="16" s="1"/>
  <c r="J273" i="16" s="1"/>
  <c r="K273" i="16" s="1"/>
  <c r="L273" i="16" s="1"/>
  <c r="M273" i="16" s="1"/>
  <c r="N273" i="16" s="1"/>
  <c r="O273" i="16" s="1"/>
  <c r="P273" i="16" s="1"/>
  <c r="Q273" i="16" s="1"/>
  <c r="R273" i="16" s="1"/>
  <c r="S273" i="16" s="1"/>
  <c r="E273" i="16"/>
  <c r="C273" i="16"/>
  <c r="D273" i="16" s="1"/>
  <c r="K271" i="16"/>
  <c r="J271" i="16"/>
  <c r="F271" i="16"/>
  <c r="B271" i="16"/>
  <c r="K270" i="16"/>
  <c r="J270" i="16"/>
  <c r="F270" i="16"/>
  <c r="B270" i="16"/>
  <c r="Q269" i="16"/>
  <c r="P269" i="16"/>
  <c r="O269" i="16"/>
  <c r="K269" i="16"/>
  <c r="R269" i="16" s="1"/>
  <c r="J269" i="16"/>
  <c r="B269" i="16"/>
  <c r="R268" i="16"/>
  <c r="Q268" i="16"/>
  <c r="P268" i="16"/>
  <c r="O268" i="16"/>
  <c r="K268" i="16"/>
  <c r="J268" i="16"/>
  <c r="B268" i="16"/>
  <c r="C265" i="16"/>
  <c r="D265" i="16" s="1"/>
  <c r="E265" i="16" s="1"/>
  <c r="F265" i="16" s="1"/>
  <c r="G265" i="16" s="1"/>
  <c r="H265" i="16" s="1"/>
  <c r="I265" i="16" s="1"/>
  <c r="J265" i="16" s="1"/>
  <c r="K265" i="16" s="1"/>
  <c r="L265" i="16" s="1"/>
  <c r="M265" i="16" s="1"/>
  <c r="N265" i="16" s="1"/>
  <c r="O265" i="16" s="1"/>
  <c r="P265" i="16" s="1"/>
  <c r="Q265" i="16" s="1"/>
  <c r="R265" i="16" s="1"/>
  <c r="S265" i="16" s="1"/>
  <c r="B234" i="16"/>
  <c r="B233" i="16"/>
  <c r="D210" i="16"/>
  <c r="C210" i="16"/>
  <c r="B210" i="16"/>
  <c r="D209" i="16"/>
  <c r="C209" i="16"/>
  <c r="B209" i="16"/>
  <c r="D208" i="16"/>
  <c r="C208" i="16"/>
  <c r="B208" i="16"/>
  <c r="D207" i="16"/>
  <c r="C207" i="16"/>
  <c r="B207" i="16"/>
  <c r="D206" i="16"/>
  <c r="C206" i="16"/>
  <c r="B206" i="16"/>
  <c r="D205" i="16"/>
  <c r="C205" i="16"/>
  <c r="B205" i="16"/>
  <c r="C188" i="16"/>
  <c r="C186" i="16"/>
  <c r="C185" i="16"/>
  <c r="C184" i="16"/>
  <c r="D183" i="16"/>
  <c r="C49" i="16" s="1"/>
  <c r="C183" i="16"/>
  <c r="C182" i="16"/>
  <c r="B179" i="16"/>
  <c r="B178" i="16"/>
  <c r="L177" i="16"/>
  <c r="B177" i="16"/>
  <c r="J177" i="16" s="1"/>
  <c r="N168" i="16"/>
  <c r="C167" i="16"/>
  <c r="B167" i="16"/>
  <c r="J166" i="16"/>
  <c r="K166" i="16" s="1"/>
  <c r="M166" i="16" s="1"/>
  <c r="D166" i="16"/>
  <c r="C166" i="16" s="1"/>
  <c r="G166" i="16" s="1"/>
  <c r="B166" i="16"/>
  <c r="F165" i="16"/>
  <c r="F164" i="16"/>
  <c r="E164" i="16"/>
  <c r="D163" i="16"/>
  <c r="J163" i="16" s="1"/>
  <c r="N163" i="16" s="1"/>
  <c r="O163" i="16" s="1"/>
  <c r="Q162" i="16"/>
  <c r="B161" i="16"/>
  <c r="O160" i="16"/>
  <c r="F160" i="16"/>
  <c r="E160" i="16"/>
  <c r="D160" i="16"/>
  <c r="J160" i="16" s="1"/>
  <c r="N160" i="16" s="1"/>
  <c r="B160" i="16"/>
  <c r="F159" i="16"/>
  <c r="E159" i="16"/>
  <c r="D159" i="16"/>
  <c r="C159" i="16"/>
  <c r="B159" i="16"/>
  <c r="Q158" i="16"/>
  <c r="K158" i="16"/>
  <c r="J158" i="16"/>
  <c r="B158" i="16"/>
  <c r="O155" i="16"/>
  <c r="K155" i="16"/>
  <c r="M155" i="16" s="1"/>
  <c r="E155" i="16"/>
  <c r="D155" i="16"/>
  <c r="J155" i="16" s="1"/>
  <c r="N155" i="16" s="1"/>
  <c r="J154" i="16"/>
  <c r="K154" i="16" s="1"/>
  <c r="M154" i="16" s="1"/>
  <c r="F154" i="16"/>
  <c r="E154" i="16"/>
  <c r="D154" i="16"/>
  <c r="C154" i="16"/>
  <c r="G154" i="16" s="1"/>
  <c r="N153" i="16"/>
  <c r="O153" i="16" s="1"/>
  <c r="M153" i="16"/>
  <c r="E153" i="16"/>
  <c r="D153" i="16"/>
  <c r="J153" i="16" s="1"/>
  <c r="K153" i="16" s="1"/>
  <c r="C153" i="16"/>
  <c r="G153" i="16" s="1"/>
  <c r="K152" i="16"/>
  <c r="M152" i="16" s="1"/>
  <c r="F152" i="16"/>
  <c r="D152" i="16"/>
  <c r="J152" i="16" s="1"/>
  <c r="N152" i="16" s="1"/>
  <c r="O152" i="16" s="1"/>
  <c r="C152" i="16"/>
  <c r="G152" i="16" s="1"/>
  <c r="N151" i="16"/>
  <c r="O151" i="16" s="1"/>
  <c r="J151" i="16"/>
  <c r="K151" i="16" s="1"/>
  <c r="M151" i="16" s="1"/>
  <c r="G151" i="16"/>
  <c r="D151" i="16"/>
  <c r="C151" i="16" s="1"/>
  <c r="F151" i="16" s="1"/>
  <c r="Q150" i="16"/>
  <c r="N149" i="16"/>
  <c r="O149" i="16" s="1"/>
  <c r="M149" i="16"/>
  <c r="F149" i="16"/>
  <c r="E149" i="16"/>
  <c r="D149" i="16"/>
  <c r="J149" i="16" s="1"/>
  <c r="K149" i="16" s="1"/>
  <c r="B149" i="16"/>
  <c r="D148" i="16"/>
  <c r="B148" i="16"/>
  <c r="N147" i="16"/>
  <c r="O147" i="16" s="1"/>
  <c r="K147" i="16"/>
  <c r="M147" i="16" s="1"/>
  <c r="J147" i="16"/>
  <c r="F147" i="16"/>
  <c r="E147" i="16"/>
  <c r="E148" i="16" s="1"/>
  <c r="D147" i="16"/>
  <c r="C147" i="16" s="1"/>
  <c r="B147" i="16"/>
  <c r="Q146" i="16"/>
  <c r="K146" i="16"/>
  <c r="J146" i="16"/>
  <c r="B146" i="16"/>
  <c r="E143" i="16"/>
  <c r="E140" i="16"/>
  <c r="D139" i="16"/>
  <c r="J139" i="16" s="1"/>
  <c r="Q138" i="16"/>
  <c r="M137" i="16"/>
  <c r="D137" i="16"/>
  <c r="J137" i="16" s="1"/>
  <c r="K137" i="16" s="1"/>
  <c r="B137" i="16"/>
  <c r="O136" i="16"/>
  <c r="J136" i="16"/>
  <c r="N136" i="16" s="1"/>
  <c r="D136" i="16"/>
  <c r="F136" i="16" s="1"/>
  <c r="C136" i="16"/>
  <c r="B136" i="16"/>
  <c r="M135" i="16"/>
  <c r="F135" i="16"/>
  <c r="E135" i="16"/>
  <c r="E136" i="16" s="1"/>
  <c r="D135" i="16"/>
  <c r="J135" i="16" s="1"/>
  <c r="K135" i="16" s="1"/>
  <c r="B135" i="16"/>
  <c r="K134" i="16"/>
  <c r="J134" i="16"/>
  <c r="Q134" i="16" s="1"/>
  <c r="B134" i="16"/>
  <c r="E131" i="16"/>
  <c r="D130" i="16"/>
  <c r="B130" i="16"/>
  <c r="F128" i="16"/>
  <c r="D127" i="16"/>
  <c r="Q126" i="16"/>
  <c r="B125" i="16"/>
  <c r="K124" i="16"/>
  <c r="M124" i="16" s="1"/>
  <c r="F124" i="16"/>
  <c r="E124" i="16"/>
  <c r="D124" i="16"/>
  <c r="J124" i="16" s="1"/>
  <c r="N124" i="16" s="1"/>
  <c r="O124" i="16" s="1"/>
  <c r="B124" i="16"/>
  <c r="E123" i="16"/>
  <c r="D123" i="16"/>
  <c r="B123" i="16"/>
  <c r="Q122" i="16"/>
  <c r="K122" i="16"/>
  <c r="J122" i="16"/>
  <c r="B122" i="16"/>
  <c r="F129" i="16" s="1"/>
  <c r="F116" i="16"/>
  <c r="Q114" i="16"/>
  <c r="F113" i="16"/>
  <c r="E113" i="16"/>
  <c r="D113" i="16"/>
  <c r="B113" i="16"/>
  <c r="D112" i="16"/>
  <c r="B112" i="16"/>
  <c r="N111" i="16"/>
  <c r="O111" i="16" s="1"/>
  <c r="J111" i="16"/>
  <c r="K111" i="16" s="1"/>
  <c r="M111" i="16" s="1"/>
  <c r="F111" i="16"/>
  <c r="E111" i="16"/>
  <c r="E112" i="16" s="1"/>
  <c r="D111" i="16"/>
  <c r="C111" i="16" s="1"/>
  <c r="B111" i="16"/>
  <c r="Q110" i="16"/>
  <c r="K110" i="16"/>
  <c r="J110" i="16"/>
  <c r="B110" i="16"/>
  <c r="F117" i="16" s="1"/>
  <c r="E107" i="16"/>
  <c r="B105" i="16"/>
  <c r="N103" i="16"/>
  <c r="O103" i="16" s="1"/>
  <c r="J103" i="16"/>
  <c r="K103" i="16" s="1"/>
  <c r="M103" i="16" s="1"/>
  <c r="D103" i="16"/>
  <c r="C103" i="16" s="1"/>
  <c r="Q102" i="16"/>
  <c r="F101" i="16"/>
  <c r="D101" i="16"/>
  <c r="J101" i="16" s="1"/>
  <c r="N101" i="16" s="1"/>
  <c r="O101" i="16" s="1"/>
  <c r="C101" i="16"/>
  <c r="B101" i="16"/>
  <c r="F100" i="16"/>
  <c r="D100" i="16"/>
  <c r="J100" i="16" s="1"/>
  <c r="C100" i="16"/>
  <c r="B100" i="16"/>
  <c r="F99" i="16"/>
  <c r="E99" i="16"/>
  <c r="E100" i="16" s="1"/>
  <c r="D99" i="16"/>
  <c r="B99" i="16"/>
  <c r="K98" i="16"/>
  <c r="J98" i="16"/>
  <c r="Q98" i="16" s="1"/>
  <c r="B98" i="16"/>
  <c r="Q95" i="16"/>
  <c r="F93" i="16"/>
  <c r="N89" i="16"/>
  <c r="O89" i="16" s="1"/>
  <c r="F89" i="16"/>
  <c r="E89" i="16"/>
  <c r="D89" i="16"/>
  <c r="C89" i="16"/>
  <c r="J89" i="16" s="1"/>
  <c r="K89" i="16" s="1"/>
  <c r="M89" i="16" s="1"/>
  <c r="F88" i="16"/>
  <c r="E88" i="16"/>
  <c r="F87" i="16"/>
  <c r="D87" i="16" s="1"/>
  <c r="E87" i="16"/>
  <c r="F83" i="16"/>
  <c r="C83" i="16" s="1"/>
  <c r="J83" i="16" s="1"/>
  <c r="E83" i="16"/>
  <c r="F82" i="16"/>
  <c r="D83" i="16" s="1"/>
  <c r="E82" i="16"/>
  <c r="Q80" i="16"/>
  <c r="F78" i="16"/>
  <c r="E78" i="16"/>
  <c r="N77" i="16"/>
  <c r="O77" i="16" s="1"/>
  <c r="K77" i="16"/>
  <c r="M77" i="16" s="1"/>
  <c r="J77" i="16"/>
  <c r="F77" i="16"/>
  <c r="E77" i="16"/>
  <c r="D77" i="16"/>
  <c r="C77" i="16"/>
  <c r="O76" i="16"/>
  <c r="K76" i="16"/>
  <c r="M76" i="16" s="1"/>
  <c r="J76" i="16"/>
  <c r="N76" i="16" s="1"/>
  <c r="F76" i="16"/>
  <c r="C76" i="16" s="1"/>
  <c r="E76" i="16"/>
  <c r="D76" i="16"/>
  <c r="Q74" i="16"/>
  <c r="K72" i="16"/>
  <c r="M72" i="16" s="1"/>
  <c r="J72" i="16"/>
  <c r="N72" i="16" s="1"/>
  <c r="O72" i="16" s="1"/>
  <c r="F72" i="16"/>
  <c r="D72" i="16" s="1"/>
  <c r="E72" i="16"/>
  <c r="C72" i="16"/>
  <c r="J71" i="16"/>
  <c r="F71" i="16"/>
  <c r="E71" i="16"/>
  <c r="D71" i="16"/>
  <c r="C71" i="16"/>
  <c r="F70" i="16"/>
  <c r="D70" i="16" s="1"/>
  <c r="E70" i="16"/>
  <c r="C70" i="16"/>
  <c r="J70" i="16" s="1"/>
  <c r="E66" i="16"/>
  <c r="E65" i="16"/>
  <c r="F64" i="16"/>
  <c r="D64" i="16"/>
  <c r="B64" i="16"/>
  <c r="E64" i="16" s="1"/>
  <c r="E63" i="16"/>
  <c r="E62" i="16"/>
  <c r="E61" i="16"/>
  <c r="E60" i="16"/>
  <c r="F59" i="16"/>
  <c r="E59" i="16"/>
  <c r="E58" i="16"/>
  <c r="E55" i="16"/>
  <c r="B55" i="16"/>
  <c r="B54" i="16"/>
  <c r="E54" i="16" s="1"/>
  <c r="E53" i="16"/>
  <c r="B53" i="16"/>
  <c r="E52" i="16"/>
  <c r="B52" i="16"/>
  <c r="J40" i="16"/>
  <c r="D40" i="16"/>
  <c r="K39" i="16"/>
  <c r="H39" i="16"/>
  <c r="E39" i="16"/>
  <c r="C39" i="16"/>
  <c r="B39" i="16"/>
  <c r="J38" i="16"/>
  <c r="I38" i="16"/>
  <c r="I39" i="16" s="1"/>
  <c r="D38" i="16"/>
  <c r="Q284" i="16" s="1"/>
  <c r="C38" i="16"/>
  <c r="P285" i="16" s="1"/>
  <c r="J33" i="16"/>
  <c r="D33" i="16"/>
  <c r="K32" i="16"/>
  <c r="I32" i="16"/>
  <c r="H32" i="16"/>
  <c r="E32" i="16"/>
  <c r="C32" i="16"/>
  <c r="B32" i="16"/>
  <c r="J31" i="16"/>
  <c r="Q301" i="16" s="1"/>
  <c r="I31" i="16"/>
  <c r="D31" i="16"/>
  <c r="C31" i="16"/>
  <c r="P276" i="16" s="1"/>
  <c r="J26" i="16"/>
  <c r="D26" i="16"/>
  <c r="K25" i="16"/>
  <c r="I25" i="16"/>
  <c r="H25" i="16"/>
  <c r="E25" i="16"/>
  <c r="E44" i="16" s="1"/>
  <c r="D25" i="16"/>
  <c r="D44" i="16" s="1"/>
  <c r="C25" i="16"/>
  <c r="C44" i="16" s="1"/>
  <c r="J24" i="16"/>
  <c r="J25" i="16" s="1"/>
  <c r="I24" i="16"/>
  <c r="C21" i="16"/>
  <c r="F20" i="16"/>
  <c r="E20" i="16"/>
  <c r="H9" i="16"/>
  <c r="F7" i="16"/>
  <c r="H7" i="16" s="1"/>
  <c r="C7" i="16"/>
  <c r="E7" i="16" s="1"/>
  <c r="H6" i="16"/>
  <c r="G6" i="16"/>
  <c r="F6" i="16"/>
  <c r="E6" i="16"/>
  <c r="C6" i="16"/>
  <c r="D6" i="16" s="1"/>
  <c r="H4" i="16"/>
  <c r="F4" i="16"/>
  <c r="G4" i="16" s="1"/>
  <c r="F5" i="16" s="1"/>
  <c r="H5" i="16" s="1"/>
  <c r="E4" i="16"/>
  <c r="D4" i="16"/>
  <c r="C5" i="16" s="1"/>
  <c r="E5" i="16" s="1"/>
  <c r="C4" i="16"/>
  <c r="G3" i="16"/>
  <c r="F3" i="16"/>
  <c r="H3" i="16" s="1"/>
  <c r="E3" i="16"/>
  <c r="C3" i="16"/>
  <c r="D3" i="16" s="1"/>
  <c r="D83" i="15"/>
  <c r="D82" i="15"/>
  <c r="D81" i="15"/>
  <c r="B64" i="15"/>
  <c r="B63" i="15"/>
  <c r="C51" i="15"/>
  <c r="D46" i="15"/>
  <c r="C26" i="15" s="1"/>
  <c r="C46" i="15"/>
  <c r="C45" i="15"/>
  <c r="F41" i="15"/>
  <c r="E41" i="15"/>
  <c r="D41" i="15"/>
  <c r="K41" i="15" s="1"/>
  <c r="C41" i="15"/>
  <c r="L40" i="15"/>
  <c r="I40" i="15"/>
  <c r="J40" i="15" s="1"/>
  <c r="M39" i="15"/>
  <c r="N39" i="15" s="1"/>
  <c r="I39" i="15"/>
  <c r="J39" i="15" s="1"/>
  <c r="G39" i="15"/>
  <c r="D39" i="15"/>
  <c r="E39" i="15" s="1"/>
  <c r="F39" i="15" s="1"/>
  <c r="C39" i="15"/>
  <c r="D34" i="15"/>
  <c r="B34" i="15"/>
  <c r="F34" i="15" s="1"/>
  <c r="E33" i="15"/>
  <c r="D33" i="15"/>
  <c r="F32" i="15"/>
  <c r="F33" i="15" s="1"/>
  <c r="E32" i="15"/>
  <c r="D32" i="15"/>
  <c r="E29" i="15"/>
  <c r="K29" i="15" s="1"/>
  <c r="C29" i="15"/>
  <c r="C33" i="15" s="1"/>
  <c r="I33" i="15" s="1"/>
  <c r="M33" i="15" s="1"/>
  <c r="N33" i="15" s="1"/>
  <c r="B29" i="15"/>
  <c r="E23" i="15"/>
  <c r="D23" i="15"/>
  <c r="D29" i="15" s="1"/>
  <c r="C23" i="15"/>
  <c r="C32" i="15" s="1"/>
  <c r="I32" i="15" s="1"/>
  <c r="A3" i="15"/>
  <c r="D224" i="14"/>
  <c r="D223" i="14"/>
  <c r="D222" i="14"/>
  <c r="AF219" i="14"/>
  <c r="AB219" i="14"/>
  <c r="X219" i="14"/>
  <c r="W219" i="14"/>
  <c r="AA219" i="14" s="1"/>
  <c r="V219" i="14"/>
  <c r="R219" i="14"/>
  <c r="N219" i="14"/>
  <c r="AF218" i="14"/>
  <c r="AB218" i="14"/>
  <c r="X218" i="14"/>
  <c r="W218" i="14"/>
  <c r="AA218" i="14" s="1"/>
  <c r="V218" i="14"/>
  <c r="R218" i="14"/>
  <c r="N218" i="14"/>
  <c r="X217" i="14"/>
  <c r="W217" i="14"/>
  <c r="AA217" i="14" s="1"/>
  <c r="V217" i="14"/>
  <c r="Q217" i="14"/>
  <c r="M217" i="14"/>
  <c r="I217" i="14"/>
  <c r="X216" i="14"/>
  <c r="W216" i="14"/>
  <c r="V216" i="14"/>
  <c r="U216" i="14"/>
  <c r="Q216" i="14"/>
  <c r="M216" i="14"/>
  <c r="I216" i="14"/>
  <c r="E216" i="14"/>
  <c r="X215" i="14"/>
  <c r="W215" i="14"/>
  <c r="AA215" i="14" s="1"/>
  <c r="V215" i="14"/>
  <c r="X214" i="14"/>
  <c r="W214" i="14"/>
  <c r="V214" i="14"/>
  <c r="X213" i="14"/>
  <c r="AA213" i="14" s="1"/>
  <c r="V213" i="14"/>
  <c r="AB212" i="14"/>
  <c r="X212" i="14"/>
  <c r="AA212" i="14" s="1"/>
  <c r="W212" i="14"/>
  <c r="V212" i="14"/>
  <c r="R212" i="14"/>
  <c r="N212" i="14"/>
  <c r="AB211" i="14"/>
  <c r="X211" i="14"/>
  <c r="W211" i="14"/>
  <c r="AA211" i="14" s="1"/>
  <c r="V211" i="14"/>
  <c r="R211" i="14"/>
  <c r="N211" i="14"/>
  <c r="X210" i="14"/>
  <c r="W210" i="14"/>
  <c r="AA210" i="14" s="1"/>
  <c r="V210" i="14"/>
  <c r="U210" i="14"/>
  <c r="Q210" i="14"/>
  <c r="I210" i="14"/>
  <c r="E210" i="14"/>
  <c r="X209" i="14"/>
  <c r="AA209" i="14" s="1"/>
  <c r="W209" i="14"/>
  <c r="V209" i="14"/>
  <c r="Q209" i="14"/>
  <c r="M209" i="14"/>
  <c r="I209" i="14"/>
  <c r="E209" i="14"/>
  <c r="Z206" i="14"/>
  <c r="AA206" i="14" s="1"/>
  <c r="AB206" i="14" s="1"/>
  <c r="AC206" i="14" s="1"/>
  <c r="AD206" i="14" s="1"/>
  <c r="AE206" i="14" s="1"/>
  <c r="AF206" i="14" s="1"/>
  <c r="AG206" i="14" s="1"/>
  <c r="B206" i="14"/>
  <c r="C206" i="14" s="1"/>
  <c r="D206" i="14" s="1"/>
  <c r="E206" i="14" s="1"/>
  <c r="F206" i="14" s="1"/>
  <c r="G206" i="14" s="1"/>
  <c r="H206" i="14" s="1"/>
  <c r="I206" i="14" s="1"/>
  <c r="J206" i="14" s="1"/>
  <c r="K206" i="14" s="1"/>
  <c r="L206" i="14" s="1"/>
  <c r="M206" i="14" s="1"/>
  <c r="N206" i="14" s="1"/>
  <c r="O206" i="14" s="1"/>
  <c r="P206" i="14" s="1"/>
  <c r="Q206" i="14" s="1"/>
  <c r="R206" i="14" s="1"/>
  <c r="S206" i="14" s="1"/>
  <c r="T206" i="14" s="1"/>
  <c r="U206" i="14" s="1"/>
  <c r="V206" i="14" s="1"/>
  <c r="B169" i="14"/>
  <c r="B168" i="14"/>
  <c r="D146" i="14"/>
  <c r="C146" i="14"/>
  <c r="B146" i="14"/>
  <c r="D145" i="14"/>
  <c r="C145" i="14"/>
  <c r="B145" i="14"/>
  <c r="D144" i="14"/>
  <c r="C144" i="14"/>
  <c r="B144" i="14"/>
  <c r="D143" i="14"/>
  <c r="C143" i="14"/>
  <c r="B143" i="14"/>
  <c r="D142" i="14"/>
  <c r="C142" i="14"/>
  <c r="B142" i="14"/>
  <c r="D141" i="14"/>
  <c r="C141" i="14"/>
  <c r="B141" i="14"/>
  <c r="C117" i="14"/>
  <c r="D112" i="14"/>
  <c r="C39" i="14" s="1"/>
  <c r="C112" i="14"/>
  <c r="B107" i="14"/>
  <c r="B106" i="14"/>
  <c r="O105" i="14"/>
  <c r="B105" i="14"/>
  <c r="M105" i="14" s="1"/>
  <c r="J102" i="14"/>
  <c r="K102" i="14" s="1"/>
  <c r="C101" i="14"/>
  <c r="J100" i="14"/>
  <c r="J99" i="14"/>
  <c r="K99" i="14" s="1"/>
  <c r="J98" i="14"/>
  <c r="J97" i="14"/>
  <c r="J89" i="14"/>
  <c r="K89" i="14" s="1"/>
  <c r="B89" i="14"/>
  <c r="J88" i="14"/>
  <c r="K88" i="14" s="1"/>
  <c r="J87" i="14"/>
  <c r="K87" i="14" s="1"/>
  <c r="C84" i="14"/>
  <c r="J81" i="14"/>
  <c r="K81" i="14" s="1"/>
  <c r="F80" i="14"/>
  <c r="D80" i="14" s="1"/>
  <c r="E80" i="14"/>
  <c r="F79" i="14"/>
  <c r="E79" i="14"/>
  <c r="F78" i="14"/>
  <c r="E78" i="14"/>
  <c r="J77" i="14"/>
  <c r="K77" i="14" s="1"/>
  <c r="J75" i="14"/>
  <c r="K75" i="14" s="1"/>
  <c r="F74" i="14"/>
  <c r="C74" i="14" s="1"/>
  <c r="J74" i="14" s="1"/>
  <c r="K74" i="14" s="1"/>
  <c r="E74" i="14"/>
  <c r="F73" i="14"/>
  <c r="E73" i="14"/>
  <c r="J72" i="14"/>
  <c r="K72" i="14" s="1"/>
  <c r="F69" i="14"/>
  <c r="E69" i="14"/>
  <c r="F68" i="14"/>
  <c r="E68" i="14"/>
  <c r="F67" i="14"/>
  <c r="E67" i="14"/>
  <c r="F63" i="14"/>
  <c r="E63" i="14"/>
  <c r="F62" i="14"/>
  <c r="E62" i="14"/>
  <c r="F61" i="14"/>
  <c r="E61" i="14"/>
  <c r="J60" i="14"/>
  <c r="K60" i="14" s="1"/>
  <c r="J59" i="14"/>
  <c r="K59" i="14" s="1"/>
  <c r="F57" i="14"/>
  <c r="E57" i="14"/>
  <c r="N56" i="14"/>
  <c r="F56" i="14"/>
  <c r="E56" i="14"/>
  <c r="D56" i="14"/>
  <c r="C56" i="14"/>
  <c r="B56" i="14"/>
  <c r="F55" i="14"/>
  <c r="E55" i="14"/>
  <c r="D54" i="14"/>
  <c r="B54" i="14"/>
  <c r="E52" i="14"/>
  <c r="E53" i="14" s="1"/>
  <c r="E51" i="14"/>
  <c r="E50" i="14"/>
  <c r="F49" i="14"/>
  <c r="E49" i="14"/>
  <c r="E48" i="14"/>
  <c r="B45" i="14"/>
  <c r="E45" i="14" s="1"/>
  <c r="B44" i="14"/>
  <c r="E44" i="14" s="1"/>
  <c r="B43" i="14"/>
  <c r="E43" i="14" s="1"/>
  <c r="B42" i="14"/>
  <c r="E42" i="14" s="1"/>
  <c r="E34" i="14"/>
  <c r="D34" i="14"/>
  <c r="C34" i="14"/>
  <c r="D29" i="14"/>
  <c r="F24" i="14"/>
  <c r="C24" i="14"/>
  <c r="C21" i="14"/>
  <c r="B108" i="14" s="1"/>
  <c r="F20" i="14"/>
  <c r="E20" i="14"/>
  <c r="F6" i="14"/>
  <c r="G6" i="14" s="1"/>
  <c r="C6" i="14"/>
  <c r="D6" i="14" s="1"/>
  <c r="F4" i="14"/>
  <c r="G4" i="14" s="1"/>
  <c r="C4" i="14"/>
  <c r="D4" i="14" s="1"/>
  <c r="F3" i="14"/>
  <c r="C3" i="14"/>
  <c r="AB402" i="13"/>
  <c r="X402" i="13"/>
  <c r="V402" i="13"/>
  <c r="W402" i="13" s="1"/>
  <c r="AA402" i="13" s="1"/>
  <c r="R402" i="13"/>
  <c r="N402" i="13"/>
  <c r="AB401" i="13"/>
  <c r="X401" i="13"/>
  <c r="V401" i="13"/>
  <c r="W401" i="13" s="1"/>
  <c r="R401" i="13"/>
  <c r="N401" i="13"/>
  <c r="X400" i="13"/>
  <c r="V400" i="13"/>
  <c r="W400" i="13" s="1"/>
  <c r="AA400" i="13" s="1"/>
  <c r="Q400" i="13"/>
  <c r="N400" i="13"/>
  <c r="M400" i="13"/>
  <c r="I400" i="13"/>
  <c r="H400" i="13"/>
  <c r="X399" i="13"/>
  <c r="V399" i="13"/>
  <c r="W399" i="13" s="1"/>
  <c r="AA399" i="13" s="1"/>
  <c r="U399" i="13"/>
  <c r="R399" i="13"/>
  <c r="Q399" i="13"/>
  <c r="N399" i="13"/>
  <c r="M399" i="13"/>
  <c r="I399" i="13"/>
  <c r="H399" i="13"/>
  <c r="E399" i="13"/>
  <c r="X398" i="13"/>
  <c r="V398" i="13"/>
  <c r="W398" i="13" s="1"/>
  <c r="X397" i="13"/>
  <c r="V397" i="13"/>
  <c r="W397" i="13" s="1"/>
  <c r="AA397" i="13" s="1"/>
  <c r="AB396" i="13"/>
  <c r="X396" i="13"/>
  <c r="V396" i="13"/>
  <c r="W396" i="13" s="1"/>
  <c r="AA396" i="13" s="1"/>
  <c r="R396" i="13"/>
  <c r="N396" i="13"/>
  <c r="AB395" i="13"/>
  <c r="X395" i="13"/>
  <c r="V395" i="13"/>
  <c r="W395" i="13" s="1"/>
  <c r="AA395" i="13" s="1"/>
  <c r="R395" i="13"/>
  <c r="N395" i="13"/>
  <c r="X394" i="13"/>
  <c r="V394" i="13"/>
  <c r="W394" i="13" s="1"/>
  <c r="AA394" i="13" s="1"/>
  <c r="U394" i="13"/>
  <c r="R394" i="13"/>
  <c r="Q394" i="13"/>
  <c r="N394" i="13"/>
  <c r="I394" i="13"/>
  <c r="E394" i="13"/>
  <c r="X393" i="13"/>
  <c r="V393" i="13"/>
  <c r="W393" i="13" s="1"/>
  <c r="AA393" i="13" s="1"/>
  <c r="R393" i="13"/>
  <c r="Q393" i="13"/>
  <c r="N393" i="13"/>
  <c r="M393" i="13"/>
  <c r="I393" i="13"/>
  <c r="E393" i="13"/>
  <c r="Z390" i="13"/>
  <c r="AA390" i="13" s="1"/>
  <c r="AB390" i="13" s="1"/>
  <c r="AC390" i="13" s="1"/>
  <c r="AD390" i="13" s="1"/>
  <c r="AE390" i="13" s="1"/>
  <c r="AF390" i="13" s="1"/>
  <c r="AG390" i="13" s="1"/>
  <c r="B390" i="13"/>
  <c r="C390" i="13" s="1"/>
  <c r="D390" i="13" s="1"/>
  <c r="E390" i="13" s="1"/>
  <c r="F390" i="13" s="1"/>
  <c r="G390" i="13" s="1"/>
  <c r="H390" i="13" s="1"/>
  <c r="I390" i="13" s="1"/>
  <c r="J390" i="13" s="1"/>
  <c r="K390" i="13" s="1"/>
  <c r="L390" i="13" s="1"/>
  <c r="M390" i="13" s="1"/>
  <c r="N390" i="13" s="1"/>
  <c r="O390" i="13" s="1"/>
  <c r="P390" i="13" s="1"/>
  <c r="Q390" i="13" s="1"/>
  <c r="R390" i="13" s="1"/>
  <c r="S390" i="13" s="1"/>
  <c r="T390" i="13" s="1"/>
  <c r="U390" i="13" s="1"/>
  <c r="V390" i="13" s="1"/>
  <c r="AB388" i="13"/>
  <c r="X388" i="13"/>
  <c r="V388" i="13"/>
  <c r="W388" i="13" s="1"/>
  <c r="AA388" i="13" s="1"/>
  <c r="R388" i="13"/>
  <c r="N388" i="13"/>
  <c r="AB387" i="13"/>
  <c r="X387" i="13"/>
  <c r="V387" i="13"/>
  <c r="W387" i="13" s="1"/>
  <c r="R387" i="13"/>
  <c r="N387" i="13"/>
  <c r="X386" i="13"/>
  <c r="V386" i="13"/>
  <c r="W386" i="13" s="1"/>
  <c r="AA386" i="13" s="1"/>
  <c r="Q386" i="13"/>
  <c r="N386" i="13"/>
  <c r="M386" i="13"/>
  <c r="I386" i="13"/>
  <c r="H386" i="13"/>
  <c r="X385" i="13"/>
  <c r="V385" i="13"/>
  <c r="W385" i="13" s="1"/>
  <c r="AA385" i="13" s="1"/>
  <c r="U385" i="13"/>
  <c r="R385" i="13"/>
  <c r="Q385" i="13"/>
  <c r="N385" i="13"/>
  <c r="M385" i="13"/>
  <c r="I385" i="13"/>
  <c r="H385" i="13"/>
  <c r="E385" i="13"/>
  <c r="X384" i="13"/>
  <c r="V384" i="13"/>
  <c r="W384" i="13" s="1"/>
  <c r="AA384" i="13" s="1"/>
  <c r="X383" i="13"/>
  <c r="V383" i="13"/>
  <c r="W383" i="13" s="1"/>
  <c r="AA383" i="13" s="1"/>
  <c r="AB382" i="13"/>
  <c r="X382" i="13"/>
  <c r="V382" i="13"/>
  <c r="W382" i="13" s="1"/>
  <c r="AA382" i="13" s="1"/>
  <c r="R382" i="13"/>
  <c r="N382" i="13"/>
  <c r="AB381" i="13"/>
  <c r="X381" i="13"/>
  <c r="V381" i="13"/>
  <c r="W381" i="13" s="1"/>
  <c r="R381" i="13"/>
  <c r="N381" i="13"/>
  <c r="X380" i="13"/>
  <c r="V380" i="13"/>
  <c r="W380" i="13" s="1"/>
  <c r="AA380" i="13" s="1"/>
  <c r="U380" i="13"/>
  <c r="R380" i="13"/>
  <c r="Q380" i="13"/>
  <c r="N380" i="13"/>
  <c r="I380" i="13"/>
  <c r="E380" i="13"/>
  <c r="X379" i="13"/>
  <c r="V379" i="13"/>
  <c r="W379" i="13" s="1"/>
  <c r="AA379" i="13" s="1"/>
  <c r="R379" i="13"/>
  <c r="Q379" i="13"/>
  <c r="N379" i="13"/>
  <c r="M379" i="13"/>
  <c r="I379" i="13"/>
  <c r="E379" i="13"/>
  <c r="Z376" i="13"/>
  <c r="AA376" i="13" s="1"/>
  <c r="AB376" i="13" s="1"/>
  <c r="AC376" i="13" s="1"/>
  <c r="AD376" i="13" s="1"/>
  <c r="AE376" i="13" s="1"/>
  <c r="AF376" i="13" s="1"/>
  <c r="AG376" i="13" s="1"/>
  <c r="B376" i="13"/>
  <c r="C376" i="13" s="1"/>
  <c r="D376" i="13" s="1"/>
  <c r="E376" i="13" s="1"/>
  <c r="F376" i="13" s="1"/>
  <c r="G376" i="13" s="1"/>
  <c r="H376" i="13" s="1"/>
  <c r="I376" i="13" s="1"/>
  <c r="J376" i="13" s="1"/>
  <c r="K376" i="13" s="1"/>
  <c r="L376" i="13" s="1"/>
  <c r="M376" i="13" s="1"/>
  <c r="N376" i="13" s="1"/>
  <c r="O376" i="13" s="1"/>
  <c r="P376" i="13" s="1"/>
  <c r="Q376" i="13" s="1"/>
  <c r="R376" i="13" s="1"/>
  <c r="S376" i="13" s="1"/>
  <c r="T376" i="13" s="1"/>
  <c r="U376" i="13" s="1"/>
  <c r="V376" i="13" s="1"/>
  <c r="AB374" i="13"/>
  <c r="X374" i="13"/>
  <c r="V374" i="13"/>
  <c r="W374" i="13" s="1"/>
  <c r="AA374" i="13" s="1"/>
  <c r="R374" i="13"/>
  <c r="N374" i="13"/>
  <c r="AB373" i="13"/>
  <c r="X373" i="13"/>
  <c r="V373" i="13"/>
  <c r="W373" i="13" s="1"/>
  <c r="R373" i="13"/>
  <c r="N373" i="13"/>
  <c r="X372" i="13"/>
  <c r="V372" i="13"/>
  <c r="W372" i="13" s="1"/>
  <c r="AA372" i="13" s="1"/>
  <c r="K372" i="13" s="1"/>
  <c r="Q372" i="13"/>
  <c r="N372" i="13"/>
  <c r="M372" i="13"/>
  <c r="I372" i="13"/>
  <c r="H372" i="13"/>
  <c r="X371" i="13"/>
  <c r="V371" i="13"/>
  <c r="W371" i="13" s="1"/>
  <c r="AA371" i="13" s="1"/>
  <c r="U371" i="13"/>
  <c r="R371" i="13"/>
  <c r="Q371" i="13"/>
  <c r="N371" i="13"/>
  <c r="M371" i="13"/>
  <c r="I371" i="13"/>
  <c r="H371" i="13"/>
  <c r="E371" i="13"/>
  <c r="X370" i="13"/>
  <c r="V370" i="13"/>
  <c r="W370" i="13" s="1"/>
  <c r="AA370" i="13" s="1"/>
  <c r="X369" i="13"/>
  <c r="V369" i="13"/>
  <c r="W369" i="13" s="1"/>
  <c r="AA369" i="13" s="1"/>
  <c r="Q369" i="13" s="1"/>
  <c r="AB368" i="13"/>
  <c r="X368" i="13"/>
  <c r="V368" i="13"/>
  <c r="W368" i="13" s="1"/>
  <c r="AA368" i="13" s="1"/>
  <c r="R368" i="13"/>
  <c r="N368" i="13"/>
  <c r="AB367" i="13"/>
  <c r="X367" i="13"/>
  <c r="V367" i="13"/>
  <c r="W367" i="13" s="1"/>
  <c r="AA367" i="13" s="1"/>
  <c r="R367" i="13"/>
  <c r="N367" i="13"/>
  <c r="X366" i="13"/>
  <c r="V366" i="13"/>
  <c r="W366" i="13" s="1"/>
  <c r="AA366" i="13" s="1"/>
  <c r="U366" i="13"/>
  <c r="R366" i="13"/>
  <c r="Q366" i="13"/>
  <c r="N366" i="13"/>
  <c r="I366" i="13"/>
  <c r="E366" i="13"/>
  <c r="X365" i="13"/>
  <c r="V365" i="13"/>
  <c r="W365" i="13" s="1"/>
  <c r="AA365" i="13" s="1"/>
  <c r="R365" i="13"/>
  <c r="Q365" i="13"/>
  <c r="N365" i="13"/>
  <c r="M365" i="13"/>
  <c r="I365" i="13"/>
  <c r="E365" i="13"/>
  <c r="Z362" i="13"/>
  <c r="AA362" i="13" s="1"/>
  <c r="AB362" i="13" s="1"/>
  <c r="AC362" i="13" s="1"/>
  <c r="AD362" i="13" s="1"/>
  <c r="AE362" i="13" s="1"/>
  <c r="AF362" i="13" s="1"/>
  <c r="AG362" i="13" s="1"/>
  <c r="B362" i="13"/>
  <c r="C362" i="13" s="1"/>
  <c r="D362" i="13" s="1"/>
  <c r="E362" i="13" s="1"/>
  <c r="F362" i="13" s="1"/>
  <c r="G362" i="13" s="1"/>
  <c r="H362" i="13" s="1"/>
  <c r="I362" i="13" s="1"/>
  <c r="J362" i="13" s="1"/>
  <c r="K362" i="13" s="1"/>
  <c r="L362" i="13" s="1"/>
  <c r="M362" i="13" s="1"/>
  <c r="N362" i="13" s="1"/>
  <c r="O362" i="13" s="1"/>
  <c r="P362" i="13" s="1"/>
  <c r="Q362" i="13" s="1"/>
  <c r="R362" i="13" s="1"/>
  <c r="S362" i="13" s="1"/>
  <c r="T362" i="13" s="1"/>
  <c r="U362" i="13" s="1"/>
  <c r="V362" i="13" s="1"/>
  <c r="AB360" i="13"/>
  <c r="X360" i="13"/>
  <c r="V360" i="13"/>
  <c r="W360" i="13" s="1"/>
  <c r="AA360" i="13" s="1"/>
  <c r="R360" i="13"/>
  <c r="N360" i="13"/>
  <c r="AB359" i="13"/>
  <c r="X359" i="13"/>
  <c r="V359" i="13"/>
  <c r="W359" i="13" s="1"/>
  <c r="R359" i="13"/>
  <c r="N359" i="13"/>
  <c r="X358" i="13"/>
  <c r="V358" i="13"/>
  <c r="W358" i="13" s="1"/>
  <c r="Q358" i="13"/>
  <c r="N358" i="13"/>
  <c r="M358" i="13"/>
  <c r="I358" i="13"/>
  <c r="H358" i="13"/>
  <c r="X357" i="13"/>
  <c r="V357" i="13"/>
  <c r="W357" i="13" s="1"/>
  <c r="AA357" i="13" s="1"/>
  <c r="U357" i="13"/>
  <c r="R357" i="13"/>
  <c r="Q357" i="13"/>
  <c r="N357" i="13"/>
  <c r="M357" i="13"/>
  <c r="I357" i="13"/>
  <c r="H357" i="13"/>
  <c r="E357" i="13"/>
  <c r="X356" i="13"/>
  <c r="V356" i="13"/>
  <c r="W356" i="13" s="1"/>
  <c r="AA356" i="13" s="1"/>
  <c r="X355" i="13"/>
  <c r="V355" i="13"/>
  <c r="W355" i="13" s="1"/>
  <c r="AA355" i="13" s="1"/>
  <c r="AB354" i="13"/>
  <c r="X354" i="13"/>
  <c r="V354" i="13"/>
  <c r="W354" i="13" s="1"/>
  <c r="AA354" i="13" s="1"/>
  <c r="R354" i="13"/>
  <c r="N354" i="13"/>
  <c r="AB353" i="13"/>
  <c r="X353" i="13"/>
  <c r="V353" i="13"/>
  <c r="W353" i="13" s="1"/>
  <c r="AA353" i="13" s="1"/>
  <c r="R353" i="13"/>
  <c r="N353" i="13"/>
  <c r="X352" i="13"/>
  <c r="V352" i="13"/>
  <c r="W352" i="13" s="1"/>
  <c r="AA352" i="13" s="1"/>
  <c r="U352" i="13"/>
  <c r="R352" i="13"/>
  <c r="Q352" i="13"/>
  <c r="N352" i="13"/>
  <c r="I352" i="13"/>
  <c r="E352" i="13"/>
  <c r="X351" i="13"/>
  <c r="V351" i="13"/>
  <c r="W351" i="13" s="1"/>
  <c r="AA351" i="13" s="1"/>
  <c r="R351" i="13"/>
  <c r="Q351" i="13"/>
  <c r="N351" i="13"/>
  <c r="M351" i="13"/>
  <c r="I351" i="13"/>
  <c r="E351" i="13"/>
  <c r="Z348" i="13"/>
  <c r="AA348" i="13" s="1"/>
  <c r="AB348" i="13" s="1"/>
  <c r="AC348" i="13" s="1"/>
  <c r="AD348" i="13" s="1"/>
  <c r="AE348" i="13" s="1"/>
  <c r="AF348" i="13" s="1"/>
  <c r="AG348" i="13" s="1"/>
  <c r="B348" i="13"/>
  <c r="C348" i="13" s="1"/>
  <c r="D348" i="13" s="1"/>
  <c r="E348" i="13" s="1"/>
  <c r="F348" i="13" s="1"/>
  <c r="G348" i="13" s="1"/>
  <c r="H348" i="13" s="1"/>
  <c r="I348" i="13" s="1"/>
  <c r="J348" i="13" s="1"/>
  <c r="K348" i="13" s="1"/>
  <c r="L348" i="13" s="1"/>
  <c r="M348" i="13" s="1"/>
  <c r="N348" i="13" s="1"/>
  <c r="O348" i="13" s="1"/>
  <c r="P348" i="13" s="1"/>
  <c r="Q348" i="13" s="1"/>
  <c r="R348" i="13" s="1"/>
  <c r="S348" i="13" s="1"/>
  <c r="T348" i="13" s="1"/>
  <c r="U348" i="13" s="1"/>
  <c r="V348" i="13" s="1"/>
  <c r="AB346" i="13"/>
  <c r="X346" i="13"/>
  <c r="V346" i="13"/>
  <c r="W346" i="13" s="1"/>
  <c r="AA346" i="13" s="1"/>
  <c r="R346" i="13"/>
  <c r="N346" i="13"/>
  <c r="AB345" i="13"/>
  <c r="X345" i="13"/>
  <c r="V345" i="13"/>
  <c r="W345" i="13" s="1"/>
  <c r="AA345" i="13" s="1"/>
  <c r="R345" i="13"/>
  <c r="N345" i="13"/>
  <c r="X344" i="13"/>
  <c r="V344" i="13"/>
  <c r="W344" i="13" s="1"/>
  <c r="AA344" i="13" s="1"/>
  <c r="Q344" i="13"/>
  <c r="N344" i="13"/>
  <c r="M344" i="13"/>
  <c r="I344" i="13"/>
  <c r="H344" i="13"/>
  <c r="X343" i="13"/>
  <c r="V343" i="13"/>
  <c r="W343" i="13" s="1"/>
  <c r="AA343" i="13" s="1"/>
  <c r="U343" i="13"/>
  <c r="R343" i="13"/>
  <c r="Q343" i="13"/>
  <c r="N343" i="13"/>
  <c r="M343" i="13"/>
  <c r="I343" i="13"/>
  <c r="H343" i="13"/>
  <c r="E343" i="13"/>
  <c r="X342" i="13"/>
  <c r="V342" i="13"/>
  <c r="W342" i="13" s="1"/>
  <c r="AA342" i="13" s="1"/>
  <c r="X341" i="13"/>
  <c r="V341" i="13"/>
  <c r="W341" i="13" s="1"/>
  <c r="AA341" i="13" s="1"/>
  <c r="AB340" i="13"/>
  <c r="X340" i="13"/>
  <c r="V340" i="13"/>
  <c r="W340" i="13" s="1"/>
  <c r="AA340" i="13" s="1"/>
  <c r="R340" i="13"/>
  <c r="N340" i="13"/>
  <c r="AB339" i="13"/>
  <c r="X339" i="13"/>
  <c r="V339" i="13"/>
  <c r="W339" i="13" s="1"/>
  <c r="AA339" i="13" s="1"/>
  <c r="R339" i="13"/>
  <c r="N339" i="13"/>
  <c r="X338" i="13"/>
  <c r="V338" i="13"/>
  <c r="W338" i="13" s="1"/>
  <c r="AA338" i="13" s="1"/>
  <c r="U338" i="13"/>
  <c r="R338" i="13"/>
  <c r="Q338" i="13"/>
  <c r="N338" i="13"/>
  <c r="I338" i="13"/>
  <c r="E338" i="13"/>
  <c r="X337" i="13"/>
  <c r="V337" i="13"/>
  <c r="W337" i="13" s="1"/>
  <c r="AA337" i="13" s="1"/>
  <c r="R337" i="13"/>
  <c r="Q337" i="13"/>
  <c r="N337" i="13"/>
  <c r="M337" i="13"/>
  <c r="I337" i="13"/>
  <c r="E337" i="13"/>
  <c r="Z334" i="13"/>
  <c r="AA334" i="13" s="1"/>
  <c r="AB334" i="13" s="1"/>
  <c r="AC334" i="13" s="1"/>
  <c r="AD334" i="13" s="1"/>
  <c r="AE334" i="13" s="1"/>
  <c r="AF334" i="13" s="1"/>
  <c r="AG334" i="13" s="1"/>
  <c r="B334" i="13"/>
  <c r="C334" i="13" s="1"/>
  <c r="D334" i="13" s="1"/>
  <c r="E334" i="13" s="1"/>
  <c r="F334" i="13" s="1"/>
  <c r="G334" i="13" s="1"/>
  <c r="H334" i="13" s="1"/>
  <c r="I334" i="13" s="1"/>
  <c r="J334" i="13" s="1"/>
  <c r="K334" i="13" s="1"/>
  <c r="L334" i="13" s="1"/>
  <c r="M334" i="13" s="1"/>
  <c r="N334" i="13" s="1"/>
  <c r="O334" i="13" s="1"/>
  <c r="P334" i="13" s="1"/>
  <c r="Q334" i="13" s="1"/>
  <c r="R334" i="13" s="1"/>
  <c r="S334" i="13" s="1"/>
  <c r="T334" i="13" s="1"/>
  <c r="U334" i="13" s="1"/>
  <c r="V334" i="13" s="1"/>
  <c r="AB332" i="13"/>
  <c r="X332" i="13"/>
  <c r="V332" i="13"/>
  <c r="W332" i="13" s="1"/>
  <c r="AA332" i="13" s="1"/>
  <c r="R332" i="13"/>
  <c r="N332" i="13"/>
  <c r="AB331" i="13"/>
  <c r="X331" i="13"/>
  <c r="V331" i="13"/>
  <c r="W331" i="13" s="1"/>
  <c r="AA331" i="13" s="1"/>
  <c r="R331" i="13"/>
  <c r="N331" i="13"/>
  <c r="X330" i="13"/>
  <c r="V330" i="13"/>
  <c r="W330" i="13" s="1"/>
  <c r="AA330" i="13" s="1"/>
  <c r="Q330" i="13"/>
  <c r="N330" i="13"/>
  <c r="M330" i="13"/>
  <c r="I330" i="13"/>
  <c r="H330" i="13"/>
  <c r="X329" i="13"/>
  <c r="V329" i="13"/>
  <c r="W329" i="13" s="1"/>
  <c r="AA329" i="13" s="1"/>
  <c r="U329" i="13"/>
  <c r="R329" i="13"/>
  <c r="Q329" i="13"/>
  <c r="N329" i="13"/>
  <c r="M329" i="13"/>
  <c r="I329" i="13"/>
  <c r="H329" i="13"/>
  <c r="E329" i="13"/>
  <c r="X328" i="13"/>
  <c r="V328" i="13"/>
  <c r="W328" i="13" s="1"/>
  <c r="AA328" i="13" s="1"/>
  <c r="X327" i="13"/>
  <c r="V327" i="13"/>
  <c r="W327" i="13" s="1"/>
  <c r="AA327" i="13" s="1"/>
  <c r="AB326" i="13"/>
  <c r="X326" i="13"/>
  <c r="V326" i="13"/>
  <c r="W326" i="13" s="1"/>
  <c r="AA326" i="13" s="1"/>
  <c r="R326" i="13"/>
  <c r="N326" i="13"/>
  <c r="AB325" i="13"/>
  <c r="X325" i="13"/>
  <c r="V325" i="13"/>
  <c r="W325" i="13" s="1"/>
  <c r="AA325" i="13" s="1"/>
  <c r="R325" i="13"/>
  <c r="N325" i="13"/>
  <c r="X324" i="13"/>
  <c r="V324" i="13"/>
  <c r="W324" i="13" s="1"/>
  <c r="AA324" i="13" s="1"/>
  <c r="U324" i="13"/>
  <c r="R324" i="13"/>
  <c r="Q324" i="13"/>
  <c r="N324" i="13"/>
  <c r="I324" i="13"/>
  <c r="E324" i="13"/>
  <c r="X323" i="13"/>
  <c r="V323" i="13"/>
  <c r="W323" i="13" s="1"/>
  <c r="R323" i="13"/>
  <c r="Q323" i="13"/>
  <c r="N323" i="13"/>
  <c r="M323" i="13"/>
  <c r="I323" i="13"/>
  <c r="E323" i="13"/>
  <c r="Z320" i="13"/>
  <c r="AA320" i="13" s="1"/>
  <c r="AB320" i="13" s="1"/>
  <c r="AC320" i="13" s="1"/>
  <c r="AD320" i="13" s="1"/>
  <c r="AE320" i="13" s="1"/>
  <c r="AF320" i="13" s="1"/>
  <c r="AG320" i="13" s="1"/>
  <c r="B320" i="13"/>
  <c r="C320" i="13" s="1"/>
  <c r="D320" i="13" s="1"/>
  <c r="E320" i="13" s="1"/>
  <c r="F320" i="13" s="1"/>
  <c r="G320" i="13" s="1"/>
  <c r="H320" i="13" s="1"/>
  <c r="I320" i="13" s="1"/>
  <c r="J320" i="13" s="1"/>
  <c r="K320" i="13" s="1"/>
  <c r="L320" i="13" s="1"/>
  <c r="M320" i="13" s="1"/>
  <c r="N320" i="13" s="1"/>
  <c r="O320" i="13" s="1"/>
  <c r="P320" i="13" s="1"/>
  <c r="Q320" i="13" s="1"/>
  <c r="R320" i="13" s="1"/>
  <c r="S320" i="13" s="1"/>
  <c r="T320" i="13" s="1"/>
  <c r="U320" i="13" s="1"/>
  <c r="V320" i="13" s="1"/>
  <c r="B278" i="13"/>
  <c r="B277" i="13"/>
  <c r="D255" i="13"/>
  <c r="C255" i="13"/>
  <c r="B255" i="13"/>
  <c r="D254" i="13"/>
  <c r="C254" i="13"/>
  <c r="B254" i="13"/>
  <c r="D253" i="13"/>
  <c r="C253" i="13"/>
  <c r="B253" i="13"/>
  <c r="D252" i="13"/>
  <c r="C252" i="13"/>
  <c r="B252" i="13"/>
  <c r="D251" i="13"/>
  <c r="C251" i="13"/>
  <c r="B251" i="13"/>
  <c r="D250" i="13"/>
  <c r="C250" i="13"/>
  <c r="B250" i="13"/>
  <c r="C225" i="13"/>
  <c r="B215" i="13"/>
  <c r="B214" i="13"/>
  <c r="Q211" i="13"/>
  <c r="C210" i="13"/>
  <c r="J209" i="13"/>
  <c r="J208" i="13"/>
  <c r="J207" i="13"/>
  <c r="J206" i="13"/>
  <c r="J198" i="13"/>
  <c r="K198" i="13" s="1"/>
  <c r="B198" i="13"/>
  <c r="J197" i="13"/>
  <c r="K197" i="13" s="1"/>
  <c r="J196" i="13"/>
  <c r="K196" i="13" s="1"/>
  <c r="C194" i="13"/>
  <c r="J193" i="13"/>
  <c r="J192" i="13"/>
  <c r="J191" i="13"/>
  <c r="N191" i="13" s="1"/>
  <c r="O191" i="13" s="1"/>
  <c r="J190" i="13"/>
  <c r="J182" i="13"/>
  <c r="K182" i="13" s="1"/>
  <c r="B182" i="13"/>
  <c r="J181" i="13"/>
  <c r="K181" i="13" s="1"/>
  <c r="J180" i="13"/>
  <c r="K180" i="13" s="1"/>
  <c r="C178" i="13"/>
  <c r="J177" i="13"/>
  <c r="J176" i="13"/>
  <c r="K175" i="13"/>
  <c r="J175" i="13"/>
  <c r="N175" i="13" s="1"/>
  <c r="O175" i="13" s="1"/>
  <c r="J174" i="13"/>
  <c r="J166" i="13"/>
  <c r="K166" i="13" s="1"/>
  <c r="B166" i="13"/>
  <c r="J165" i="13"/>
  <c r="K165" i="13" s="1"/>
  <c r="J164" i="13"/>
  <c r="K164" i="13" s="1"/>
  <c r="C162" i="13"/>
  <c r="J161" i="13"/>
  <c r="J160" i="13"/>
  <c r="J159" i="13"/>
  <c r="J158" i="13"/>
  <c r="N158" i="13" s="1"/>
  <c r="O158" i="13" s="1"/>
  <c r="J150" i="13"/>
  <c r="K150" i="13" s="1"/>
  <c r="B150" i="13"/>
  <c r="J149" i="13"/>
  <c r="K149" i="13" s="1"/>
  <c r="J148" i="13"/>
  <c r="K148" i="13" s="1"/>
  <c r="C146" i="13"/>
  <c r="D146" i="13" s="1"/>
  <c r="J146" i="13" s="1"/>
  <c r="J145" i="13"/>
  <c r="J144" i="13"/>
  <c r="J143" i="13"/>
  <c r="J142" i="13"/>
  <c r="J134" i="13"/>
  <c r="K134" i="13" s="1"/>
  <c r="B134" i="13"/>
  <c r="J133" i="13"/>
  <c r="K133" i="13" s="1"/>
  <c r="J132" i="13"/>
  <c r="K132" i="13" s="1"/>
  <c r="C130" i="13"/>
  <c r="J129" i="13"/>
  <c r="K129" i="13" s="1"/>
  <c r="J128" i="13"/>
  <c r="J127" i="13"/>
  <c r="J126" i="13"/>
  <c r="K126" i="13" s="1"/>
  <c r="J118" i="13"/>
  <c r="K118" i="13" s="1"/>
  <c r="B118" i="13"/>
  <c r="J117" i="13"/>
  <c r="K117" i="13" s="1"/>
  <c r="J116" i="13"/>
  <c r="K116" i="13" s="1"/>
  <c r="F115" i="13"/>
  <c r="E115" i="13"/>
  <c r="D115" i="13"/>
  <c r="C115" i="13"/>
  <c r="B115" i="13"/>
  <c r="F113" i="13"/>
  <c r="D113" i="13"/>
  <c r="C113" i="13"/>
  <c r="B113" i="13"/>
  <c r="F112" i="13"/>
  <c r="C112" i="13"/>
  <c r="B112" i="13"/>
  <c r="F111" i="13"/>
  <c r="D111" i="13"/>
  <c r="D112" i="13" s="1"/>
  <c r="C111" i="13"/>
  <c r="J111" i="13" s="1"/>
  <c r="B111" i="13"/>
  <c r="A111" i="13"/>
  <c r="C105" i="13"/>
  <c r="C104" i="13"/>
  <c r="B104" i="13"/>
  <c r="J101" i="13"/>
  <c r="K101" i="13" s="1"/>
  <c r="F100" i="13"/>
  <c r="D100" i="13" s="1"/>
  <c r="E100" i="13"/>
  <c r="C100" i="13"/>
  <c r="J100" i="13" s="1"/>
  <c r="K100" i="13" s="1"/>
  <c r="F99" i="13"/>
  <c r="D99" i="13" s="1"/>
  <c r="E99" i="13"/>
  <c r="C99" i="13"/>
  <c r="J99" i="13" s="1"/>
  <c r="F98" i="13"/>
  <c r="D98" i="13" s="1"/>
  <c r="E98" i="13"/>
  <c r="C98" i="13"/>
  <c r="J98" i="13" s="1"/>
  <c r="J97" i="13"/>
  <c r="K97" i="13" s="1"/>
  <c r="J95" i="13"/>
  <c r="K95" i="13" s="1"/>
  <c r="F94" i="13"/>
  <c r="C94" i="13" s="1"/>
  <c r="J94" i="13" s="1"/>
  <c r="E94" i="13"/>
  <c r="F93" i="13"/>
  <c r="E93" i="13"/>
  <c r="J92" i="13"/>
  <c r="K92" i="13" s="1"/>
  <c r="F89" i="13"/>
  <c r="D89" i="13" s="1"/>
  <c r="E89" i="13"/>
  <c r="C89" i="13"/>
  <c r="J89" i="13" s="1"/>
  <c r="F88" i="13"/>
  <c r="D88" i="13" s="1"/>
  <c r="E88" i="13"/>
  <c r="F87" i="13"/>
  <c r="D87" i="13" s="1"/>
  <c r="E87" i="13"/>
  <c r="C87" i="13"/>
  <c r="J87" i="13" s="1"/>
  <c r="N87" i="13" s="1"/>
  <c r="O87" i="13" s="1"/>
  <c r="F83" i="13"/>
  <c r="D83" i="13" s="1"/>
  <c r="E83" i="13"/>
  <c r="C83" i="13"/>
  <c r="J83" i="13" s="1"/>
  <c r="F82" i="13"/>
  <c r="E82" i="13"/>
  <c r="F81" i="13"/>
  <c r="D81" i="13" s="1"/>
  <c r="E81" i="13"/>
  <c r="C81" i="13"/>
  <c r="J81" i="13" s="1"/>
  <c r="J80" i="13"/>
  <c r="K80" i="13" s="1"/>
  <c r="J79" i="13"/>
  <c r="K79" i="13" s="1"/>
  <c r="E77" i="13"/>
  <c r="E76" i="13"/>
  <c r="D75" i="13"/>
  <c r="B75" i="13"/>
  <c r="E74" i="13"/>
  <c r="E73" i="13"/>
  <c r="E72" i="13"/>
  <c r="E71" i="13"/>
  <c r="D71" i="13"/>
  <c r="F70" i="13"/>
  <c r="E70" i="13"/>
  <c r="E69" i="13"/>
  <c r="B66" i="13"/>
  <c r="E66" i="13" s="1"/>
  <c r="B65" i="13"/>
  <c r="E65" i="13" s="1"/>
  <c r="B64" i="13"/>
  <c r="E64" i="13" s="1"/>
  <c r="B63" i="13"/>
  <c r="E63" i="13" s="1"/>
  <c r="F54" i="13"/>
  <c r="E54" i="13"/>
  <c r="D54" i="13"/>
  <c r="B54" i="13"/>
  <c r="F53" i="13"/>
  <c r="E53" i="13"/>
  <c r="D53" i="13"/>
  <c r="B53" i="13"/>
  <c r="B52" i="13"/>
  <c r="J48" i="13"/>
  <c r="F106" i="13" s="1"/>
  <c r="E48" i="13"/>
  <c r="C48" i="13" s="1"/>
  <c r="J44" i="13"/>
  <c r="I44" i="13"/>
  <c r="H44" i="13"/>
  <c r="I211" i="13" s="1"/>
  <c r="E44" i="13"/>
  <c r="T352" i="13" s="1"/>
  <c r="D44" i="13"/>
  <c r="K351" i="13" s="1"/>
  <c r="C44" i="13"/>
  <c r="I42" i="13"/>
  <c r="D42" i="13"/>
  <c r="I41" i="13"/>
  <c r="D41" i="13"/>
  <c r="J37" i="13"/>
  <c r="I37" i="13"/>
  <c r="H37" i="13"/>
  <c r="E37" i="13"/>
  <c r="T338" i="13" s="1"/>
  <c r="D37" i="13"/>
  <c r="C37" i="13"/>
  <c r="I35" i="13"/>
  <c r="D35" i="13"/>
  <c r="I34" i="13"/>
  <c r="D34" i="13"/>
  <c r="J30" i="13"/>
  <c r="I30" i="13"/>
  <c r="AC368" i="13" s="1"/>
  <c r="H30" i="13"/>
  <c r="E30" i="13"/>
  <c r="D30" i="13"/>
  <c r="C30" i="13"/>
  <c r="I28" i="13"/>
  <c r="D28" i="13"/>
  <c r="I27" i="13"/>
  <c r="D27" i="13"/>
  <c r="H23" i="13"/>
  <c r="C21" i="13"/>
  <c r="B216" i="13" s="1"/>
  <c r="F19" i="13"/>
  <c r="E19" i="13"/>
  <c r="H12" i="13"/>
  <c r="F6" i="13"/>
  <c r="G6" i="13" s="1"/>
  <c r="H6" i="13" s="1"/>
  <c r="D6" i="13"/>
  <c r="C6" i="13"/>
  <c r="F4" i="13"/>
  <c r="G4" i="13" s="1"/>
  <c r="C4" i="13"/>
  <c r="D4" i="13" s="1"/>
  <c r="F3" i="13"/>
  <c r="C3" i="13"/>
  <c r="D3" i="13" s="1"/>
  <c r="AB241" i="12"/>
  <c r="X241" i="12"/>
  <c r="W241" i="12"/>
  <c r="V241" i="12"/>
  <c r="R241" i="12"/>
  <c r="N241" i="12"/>
  <c r="AB240" i="12"/>
  <c r="X240" i="12"/>
  <c r="W240" i="12"/>
  <c r="V240" i="12"/>
  <c r="R240" i="12"/>
  <c r="N240" i="12"/>
  <c r="AB239" i="12"/>
  <c r="X239" i="12"/>
  <c r="W239" i="12"/>
  <c r="V239" i="12"/>
  <c r="R239" i="12"/>
  <c r="N239" i="12"/>
  <c r="AB238" i="12"/>
  <c r="X238" i="12"/>
  <c r="W238" i="12"/>
  <c r="AA238" i="12" s="1"/>
  <c r="V238" i="12"/>
  <c r="R238" i="12"/>
  <c r="Q238" i="12"/>
  <c r="N238" i="12"/>
  <c r="M238" i="12"/>
  <c r="I238" i="12"/>
  <c r="H238" i="12"/>
  <c r="AA237" i="12"/>
  <c r="X237" i="12"/>
  <c r="V237" i="12"/>
  <c r="R237" i="12"/>
  <c r="Q237" i="12"/>
  <c r="N237" i="12"/>
  <c r="M237" i="12"/>
  <c r="I237" i="12"/>
  <c r="H237" i="12"/>
  <c r="X236" i="12"/>
  <c r="AA236" i="12" s="1"/>
  <c r="V236" i="12"/>
  <c r="U236" i="12"/>
  <c r="R236" i="12"/>
  <c r="Q236" i="12"/>
  <c r="N236" i="12"/>
  <c r="M236" i="12"/>
  <c r="I236" i="12"/>
  <c r="H236" i="12"/>
  <c r="E236" i="12"/>
  <c r="X235" i="12"/>
  <c r="AA235" i="12" s="1"/>
  <c r="V235" i="12"/>
  <c r="X234" i="12"/>
  <c r="AA234" i="12" s="1"/>
  <c r="V234" i="12"/>
  <c r="AA233" i="12"/>
  <c r="X233" i="12"/>
  <c r="V233" i="12"/>
  <c r="AB232" i="12"/>
  <c r="X232" i="12"/>
  <c r="AA232" i="12" s="1"/>
  <c r="V232" i="12"/>
  <c r="R232" i="12"/>
  <c r="N232" i="12"/>
  <c r="AB231" i="12"/>
  <c r="AA231" i="12"/>
  <c r="X231" i="12"/>
  <c r="V231" i="12"/>
  <c r="R231" i="12"/>
  <c r="N231" i="12"/>
  <c r="X230" i="12"/>
  <c r="AA230" i="12" s="1"/>
  <c r="V230" i="12"/>
  <c r="U230" i="12"/>
  <c r="R230" i="12"/>
  <c r="Q230" i="12"/>
  <c r="N230" i="12"/>
  <c r="I230" i="12"/>
  <c r="E230" i="12"/>
  <c r="AA229" i="12"/>
  <c r="X229" i="12"/>
  <c r="V229" i="12"/>
  <c r="R229" i="12"/>
  <c r="Q229" i="12"/>
  <c r="N229" i="12"/>
  <c r="M229" i="12"/>
  <c r="I229" i="12"/>
  <c r="E229" i="12"/>
  <c r="Z226" i="12"/>
  <c r="AA226" i="12" s="1"/>
  <c r="AB226" i="12" s="1"/>
  <c r="AC226" i="12" s="1"/>
  <c r="AD226" i="12" s="1"/>
  <c r="AE226" i="12" s="1"/>
  <c r="AF226" i="12" s="1"/>
  <c r="AG226" i="12" s="1"/>
  <c r="C226" i="12"/>
  <c r="D226" i="12" s="1"/>
  <c r="E226" i="12" s="1"/>
  <c r="F226" i="12" s="1"/>
  <c r="G226" i="12" s="1"/>
  <c r="H226" i="12" s="1"/>
  <c r="I226" i="12" s="1"/>
  <c r="J226" i="12" s="1"/>
  <c r="K226" i="12" s="1"/>
  <c r="L226" i="12" s="1"/>
  <c r="M226" i="12" s="1"/>
  <c r="N226" i="12" s="1"/>
  <c r="O226" i="12" s="1"/>
  <c r="P226" i="12" s="1"/>
  <c r="Q226" i="12" s="1"/>
  <c r="R226" i="12" s="1"/>
  <c r="S226" i="12" s="1"/>
  <c r="T226" i="12" s="1"/>
  <c r="U226" i="12" s="1"/>
  <c r="V226" i="12" s="1"/>
  <c r="B226" i="12"/>
  <c r="B185" i="12"/>
  <c r="B184" i="12"/>
  <c r="D161" i="12"/>
  <c r="C161" i="12"/>
  <c r="B161" i="12"/>
  <c r="D160" i="12"/>
  <c r="C160" i="12"/>
  <c r="B160" i="12"/>
  <c r="D159" i="12"/>
  <c r="C159" i="12"/>
  <c r="B159" i="12"/>
  <c r="D158" i="12"/>
  <c r="C158" i="12"/>
  <c r="B158" i="12"/>
  <c r="D157" i="12"/>
  <c r="C157" i="12"/>
  <c r="B157" i="12"/>
  <c r="D156" i="12"/>
  <c r="C156" i="12"/>
  <c r="B156" i="12"/>
  <c r="D150" i="12"/>
  <c r="E42" i="12" s="1"/>
  <c r="C150" i="12"/>
  <c r="N31" i="12" s="1"/>
  <c r="B150" i="12"/>
  <c r="M31" i="12" s="1"/>
  <c r="D149" i="12"/>
  <c r="C149" i="12"/>
  <c r="B149" i="12"/>
  <c r="D148" i="12"/>
  <c r="C148" i="12"/>
  <c r="B148" i="12"/>
  <c r="C130" i="12"/>
  <c r="N120" i="12"/>
  <c r="O120" i="12" s="1"/>
  <c r="M120" i="12"/>
  <c r="B120" i="12"/>
  <c r="B119" i="12"/>
  <c r="B118" i="12"/>
  <c r="M118" i="12" s="1"/>
  <c r="N118" i="12" s="1"/>
  <c r="O118" i="12" s="1"/>
  <c r="F114" i="12"/>
  <c r="E114" i="12"/>
  <c r="D114" i="12"/>
  <c r="J114" i="12" s="1"/>
  <c r="C114" i="12"/>
  <c r="B114" i="12"/>
  <c r="J113" i="12"/>
  <c r="K113" i="12" s="1"/>
  <c r="F112" i="12"/>
  <c r="D112" i="12"/>
  <c r="J112" i="12" s="1"/>
  <c r="L112" i="12" s="1"/>
  <c r="C112" i="12"/>
  <c r="E112" i="12" s="1"/>
  <c r="B112" i="12"/>
  <c r="F111" i="12"/>
  <c r="D111" i="12"/>
  <c r="J111" i="12" s="1"/>
  <c r="L111" i="12" s="1"/>
  <c r="C111" i="12"/>
  <c r="E111" i="12" s="1"/>
  <c r="B111" i="12"/>
  <c r="F110" i="12"/>
  <c r="D110" i="12"/>
  <c r="J110" i="12" s="1"/>
  <c r="C110" i="12"/>
  <c r="E110" i="12" s="1"/>
  <c r="B110" i="12"/>
  <c r="A110" i="12"/>
  <c r="Q109" i="12"/>
  <c r="F108" i="12"/>
  <c r="E108" i="12"/>
  <c r="C108" i="12"/>
  <c r="D108" i="12" s="1"/>
  <c r="J107" i="12"/>
  <c r="G107" i="12"/>
  <c r="J106" i="12"/>
  <c r="N106" i="12" s="1"/>
  <c r="O106" i="12" s="1"/>
  <c r="G106" i="12"/>
  <c r="J105" i="12"/>
  <c r="G105" i="12"/>
  <c r="N104" i="12"/>
  <c r="O104" i="12" s="1"/>
  <c r="J104" i="12"/>
  <c r="K104" i="12" s="1"/>
  <c r="G104" i="12"/>
  <c r="B96" i="12"/>
  <c r="Q93" i="12"/>
  <c r="C91" i="12"/>
  <c r="J91" i="12" s="1"/>
  <c r="F87" i="12"/>
  <c r="C87" i="12" s="1"/>
  <c r="J87" i="12" s="1"/>
  <c r="N87" i="12" s="1"/>
  <c r="O87" i="12" s="1"/>
  <c r="E87" i="12"/>
  <c r="F86" i="12"/>
  <c r="D86" i="12" s="1"/>
  <c r="E86" i="12"/>
  <c r="F85" i="12"/>
  <c r="D85" i="12" s="1"/>
  <c r="E85" i="12"/>
  <c r="C85" i="12"/>
  <c r="J85" i="12" s="1"/>
  <c r="F81" i="12"/>
  <c r="E81" i="12"/>
  <c r="C81" i="12"/>
  <c r="J81" i="12" s="1"/>
  <c r="F80" i="12"/>
  <c r="D81" i="12" s="1"/>
  <c r="E80" i="12"/>
  <c r="D80" i="12"/>
  <c r="Q78" i="12"/>
  <c r="F76" i="12"/>
  <c r="E76" i="12"/>
  <c r="F75" i="12"/>
  <c r="E75" i="12"/>
  <c r="F74" i="12"/>
  <c r="E74" i="12"/>
  <c r="Q72" i="12"/>
  <c r="F70" i="12"/>
  <c r="E70" i="12"/>
  <c r="F69" i="12"/>
  <c r="D69" i="12" s="1"/>
  <c r="E69" i="12"/>
  <c r="F68" i="12"/>
  <c r="E68" i="12"/>
  <c r="E64" i="12"/>
  <c r="E63" i="12"/>
  <c r="F62" i="12"/>
  <c r="E62" i="12"/>
  <c r="D62" i="12"/>
  <c r="B62" i="12"/>
  <c r="E61" i="12"/>
  <c r="E60" i="12"/>
  <c r="E59" i="12"/>
  <c r="E58" i="12"/>
  <c r="F57" i="12"/>
  <c r="E57" i="12"/>
  <c r="E56" i="12"/>
  <c r="B53" i="12"/>
  <c r="E53" i="12" s="1"/>
  <c r="E52" i="12"/>
  <c r="B52" i="12"/>
  <c r="B51" i="12"/>
  <c r="E51" i="12" s="1"/>
  <c r="B50" i="12"/>
  <c r="E50" i="12" s="1"/>
  <c r="F40" i="12"/>
  <c r="E40" i="12"/>
  <c r="D40" i="12"/>
  <c r="C42" i="12" s="1"/>
  <c r="B40" i="12"/>
  <c r="F39" i="12"/>
  <c r="E39" i="12"/>
  <c r="D39" i="12"/>
  <c r="B38" i="12"/>
  <c r="D35" i="12"/>
  <c r="D34" i="12"/>
  <c r="D33" i="12"/>
  <c r="F25" i="12"/>
  <c r="A25" i="12"/>
  <c r="C21" i="12"/>
  <c r="B121" i="12" s="1"/>
  <c r="F20" i="12"/>
  <c r="E20" i="12"/>
  <c r="G6" i="12"/>
  <c r="H6" i="12" s="1"/>
  <c r="F6" i="12"/>
  <c r="D6" i="12"/>
  <c r="E6" i="12" s="1"/>
  <c r="C6" i="12"/>
  <c r="G4" i="12"/>
  <c r="F5" i="12" s="1"/>
  <c r="H5" i="12" s="1"/>
  <c r="F4" i="12"/>
  <c r="C4" i="12"/>
  <c r="D4" i="12" s="1"/>
  <c r="E4" i="12" s="1"/>
  <c r="H3" i="12"/>
  <c r="G3" i="12"/>
  <c r="F3" i="12"/>
  <c r="D3" i="12"/>
  <c r="C3" i="12"/>
  <c r="E3" i="12" s="1"/>
  <c r="I117" i="11"/>
  <c r="H117" i="11"/>
  <c r="E117" i="11"/>
  <c r="D117" i="11"/>
  <c r="C117" i="11"/>
  <c r="B117" i="11"/>
  <c r="I116" i="11"/>
  <c r="H116" i="11"/>
  <c r="E116" i="11"/>
  <c r="D116" i="11"/>
  <c r="C116" i="11"/>
  <c r="B116" i="11"/>
  <c r="I115" i="11"/>
  <c r="H115" i="11"/>
  <c r="F115" i="11"/>
  <c r="E115" i="11"/>
  <c r="D115" i="11"/>
  <c r="C115" i="11"/>
  <c r="B115" i="11"/>
  <c r="J114" i="11"/>
  <c r="I114" i="11"/>
  <c r="H114" i="11"/>
  <c r="E114" i="11"/>
  <c r="D114" i="11"/>
  <c r="C114" i="11"/>
  <c r="B114" i="11"/>
  <c r="I113" i="11"/>
  <c r="H113" i="11"/>
  <c r="G113" i="11"/>
  <c r="E113" i="11"/>
  <c r="D113" i="11"/>
  <c r="C113" i="11"/>
  <c r="B113" i="11"/>
  <c r="C91" i="11"/>
  <c r="C89" i="11"/>
  <c r="C88" i="11"/>
  <c r="C87" i="11"/>
  <c r="D86" i="11"/>
  <c r="C86" i="11"/>
  <c r="C85" i="11"/>
  <c r="L84" i="11"/>
  <c r="R82" i="11"/>
  <c r="B82" i="11"/>
  <c r="R81" i="11"/>
  <c r="N81" i="11"/>
  <c r="O81" i="11" s="1"/>
  <c r="M81" i="11"/>
  <c r="B81" i="11"/>
  <c r="R80" i="11"/>
  <c r="B80" i="11"/>
  <c r="L80" i="11" s="1"/>
  <c r="R79" i="11"/>
  <c r="R78" i="11"/>
  <c r="R77" i="11"/>
  <c r="F76" i="11"/>
  <c r="C76" i="11"/>
  <c r="J76" i="11" s="1"/>
  <c r="B76" i="11"/>
  <c r="F75" i="11"/>
  <c r="D75" i="11"/>
  <c r="C75" i="11"/>
  <c r="B75" i="11"/>
  <c r="L74" i="11"/>
  <c r="F74" i="11"/>
  <c r="E74" i="11"/>
  <c r="D74" i="11"/>
  <c r="C74" i="11"/>
  <c r="J74" i="11" s="1"/>
  <c r="B74" i="11"/>
  <c r="Q73" i="11"/>
  <c r="F73" i="11"/>
  <c r="E73" i="11"/>
  <c r="L73" i="11" s="1"/>
  <c r="D73" i="11"/>
  <c r="C73" i="11"/>
  <c r="J73" i="11" s="1"/>
  <c r="R73" i="11" s="1"/>
  <c r="B73" i="11"/>
  <c r="F72" i="11"/>
  <c r="E72" i="11"/>
  <c r="L72" i="11" s="1"/>
  <c r="D72" i="11"/>
  <c r="C72" i="11"/>
  <c r="J72" i="11" s="1"/>
  <c r="B72" i="11"/>
  <c r="F71" i="11"/>
  <c r="E71" i="11"/>
  <c r="L71" i="11" s="1"/>
  <c r="D71" i="11"/>
  <c r="C71" i="11"/>
  <c r="J71" i="11" s="1"/>
  <c r="B71" i="11"/>
  <c r="Q70" i="11"/>
  <c r="F70" i="11"/>
  <c r="E70" i="11"/>
  <c r="L70" i="11" s="1"/>
  <c r="D70" i="11"/>
  <c r="C70" i="11"/>
  <c r="J70" i="11" s="1"/>
  <c r="B70" i="11"/>
  <c r="L69" i="11"/>
  <c r="F69" i="11"/>
  <c r="E69" i="11"/>
  <c r="D69" i="11"/>
  <c r="C69" i="11"/>
  <c r="J69" i="11" s="1"/>
  <c r="B69" i="11"/>
  <c r="Q68" i="11"/>
  <c r="L68" i="11"/>
  <c r="F68" i="11"/>
  <c r="E68" i="11"/>
  <c r="D68" i="11"/>
  <c r="C68" i="11"/>
  <c r="J68" i="11" s="1"/>
  <c r="B68" i="11"/>
  <c r="F67" i="11"/>
  <c r="E67" i="11"/>
  <c r="L67" i="11" s="1"/>
  <c r="C67" i="11"/>
  <c r="J67" i="11" s="1"/>
  <c r="B67" i="11"/>
  <c r="F66" i="11"/>
  <c r="E66" i="11"/>
  <c r="L66" i="11" s="1"/>
  <c r="D66" i="11"/>
  <c r="D67" i="11" s="1"/>
  <c r="B66" i="11"/>
  <c r="F65" i="11"/>
  <c r="E65" i="11"/>
  <c r="L65" i="11" s="1"/>
  <c r="B65" i="11"/>
  <c r="Q64" i="11"/>
  <c r="J64" i="11"/>
  <c r="R64" i="11" s="1"/>
  <c r="F64" i="11"/>
  <c r="E64" i="11"/>
  <c r="L64" i="11" s="1"/>
  <c r="C64" i="11"/>
  <c r="B64" i="11"/>
  <c r="Q63" i="11"/>
  <c r="L63" i="11"/>
  <c r="J63" i="11"/>
  <c r="R63" i="11" s="1"/>
  <c r="F63" i="11"/>
  <c r="E63" i="11"/>
  <c r="D63" i="11"/>
  <c r="D64" i="11" s="1"/>
  <c r="D65" i="11" s="1"/>
  <c r="C63" i="11"/>
  <c r="B63" i="11"/>
  <c r="R62" i="11"/>
  <c r="R61" i="11"/>
  <c r="Q61" i="11"/>
  <c r="R60" i="11"/>
  <c r="N59" i="11"/>
  <c r="O59" i="11" s="1"/>
  <c r="L59" i="11"/>
  <c r="J59" i="11"/>
  <c r="R59" i="11" s="1"/>
  <c r="F59" i="11"/>
  <c r="E59" i="11"/>
  <c r="D59" i="11" s="1"/>
  <c r="C59" i="11"/>
  <c r="B59" i="11"/>
  <c r="O58" i="11"/>
  <c r="L58" i="11"/>
  <c r="J58" i="11"/>
  <c r="N58" i="11" s="1"/>
  <c r="F58" i="11"/>
  <c r="E58" i="11"/>
  <c r="D58" i="11"/>
  <c r="C58" i="11"/>
  <c r="B58" i="11"/>
  <c r="N57" i="11"/>
  <c r="O57" i="11" s="1"/>
  <c r="J57" i="11"/>
  <c r="R57" i="11" s="1"/>
  <c r="F57" i="11"/>
  <c r="E57" i="11"/>
  <c r="L57" i="11" s="1"/>
  <c r="D57" i="11"/>
  <c r="C57" i="11"/>
  <c r="B57" i="11"/>
  <c r="N56" i="11"/>
  <c r="O56" i="11" s="1"/>
  <c r="L56" i="11"/>
  <c r="J56" i="11"/>
  <c r="Q56" i="11" s="1"/>
  <c r="F56" i="11"/>
  <c r="E56" i="11"/>
  <c r="D56" i="11"/>
  <c r="C56" i="11"/>
  <c r="B56" i="11"/>
  <c r="N55" i="11"/>
  <c r="O55" i="11" s="1"/>
  <c r="J55" i="11"/>
  <c r="R55" i="11" s="1"/>
  <c r="F55" i="11"/>
  <c r="E55" i="11"/>
  <c r="L55" i="11" s="1"/>
  <c r="D55" i="11"/>
  <c r="C55" i="11"/>
  <c r="B55" i="11"/>
  <c r="R54" i="11"/>
  <c r="N54" i="11"/>
  <c r="O54" i="11" s="1"/>
  <c r="K54" i="11"/>
  <c r="J54" i="11"/>
  <c r="Q54" i="11" s="1"/>
  <c r="F54" i="11"/>
  <c r="E54" i="11"/>
  <c r="L54" i="11" s="1"/>
  <c r="M54" i="11" s="1"/>
  <c r="D54" i="11"/>
  <c r="C54" i="11"/>
  <c r="B54" i="11"/>
  <c r="L53" i="11"/>
  <c r="J53" i="11"/>
  <c r="F53" i="11"/>
  <c r="E53" i="11"/>
  <c r="D53" i="11"/>
  <c r="C53" i="11"/>
  <c r="B53" i="11"/>
  <c r="R52" i="11"/>
  <c r="Q52" i="11"/>
  <c r="O52" i="11"/>
  <c r="K52" i="11"/>
  <c r="J52" i="11"/>
  <c r="N52" i="11" s="1"/>
  <c r="F52" i="11"/>
  <c r="E52" i="11"/>
  <c r="L52" i="11" s="1"/>
  <c r="M52" i="11" s="1"/>
  <c r="D52" i="11"/>
  <c r="C52" i="11"/>
  <c r="B52" i="11"/>
  <c r="R51" i="11"/>
  <c r="Q51" i="11"/>
  <c r="L51" i="11"/>
  <c r="F51" i="11"/>
  <c r="E51" i="11"/>
  <c r="D51" i="11"/>
  <c r="C51" i="11"/>
  <c r="J51" i="11" s="1"/>
  <c r="B51" i="11"/>
  <c r="L50" i="11"/>
  <c r="F50" i="11"/>
  <c r="E50" i="11"/>
  <c r="C50" i="11"/>
  <c r="J50" i="11" s="1"/>
  <c r="B50" i="11"/>
  <c r="F49" i="11"/>
  <c r="E49" i="11"/>
  <c r="L49" i="11" s="1"/>
  <c r="B49" i="11"/>
  <c r="L48" i="11"/>
  <c r="F48" i="11"/>
  <c r="E48" i="11"/>
  <c r="D48" i="11"/>
  <c r="D49" i="11" s="1"/>
  <c r="D50" i="11" s="1"/>
  <c r="C48" i="11"/>
  <c r="J48" i="11" s="1"/>
  <c r="B48" i="11"/>
  <c r="J47" i="11"/>
  <c r="F47" i="11"/>
  <c r="C49" i="11" s="1"/>
  <c r="J49" i="11" s="1"/>
  <c r="E47" i="11"/>
  <c r="L47" i="11" s="1"/>
  <c r="C47" i="11"/>
  <c r="B47" i="11"/>
  <c r="R46" i="11"/>
  <c r="N46" i="11"/>
  <c r="O46" i="11" s="1"/>
  <c r="K46" i="11"/>
  <c r="J46" i="11"/>
  <c r="Q46" i="11" s="1"/>
  <c r="F46" i="11"/>
  <c r="E46" i="11"/>
  <c r="L46" i="11" s="1"/>
  <c r="D46" i="11"/>
  <c r="D47" i="11" s="1"/>
  <c r="C46" i="11"/>
  <c r="B46" i="11"/>
  <c r="R45" i="11"/>
  <c r="R44" i="11"/>
  <c r="Q44" i="11"/>
  <c r="R43" i="11"/>
  <c r="B38" i="11"/>
  <c r="J34" i="11"/>
  <c r="I34" i="11"/>
  <c r="C35" i="11" s="1"/>
  <c r="I35" i="11" s="1"/>
  <c r="H34" i="11"/>
  <c r="D34" i="11"/>
  <c r="D35" i="11" s="1"/>
  <c r="J35" i="11" s="1"/>
  <c r="C34" i="11"/>
  <c r="B34" i="11"/>
  <c r="K30" i="11"/>
  <c r="H30" i="11"/>
  <c r="C65" i="11" s="1"/>
  <c r="J65" i="11" s="1"/>
  <c r="Q65" i="11" s="1"/>
  <c r="E30" i="11"/>
  <c r="B30" i="11"/>
  <c r="G24" i="11"/>
  <c r="A24" i="11"/>
  <c r="B22" i="11"/>
  <c r="B3" i="11"/>
  <c r="C208" i="10"/>
  <c r="D175" i="10"/>
  <c r="C175" i="10"/>
  <c r="B175" i="10"/>
  <c r="D174" i="10"/>
  <c r="C174" i="10"/>
  <c r="B174" i="10"/>
  <c r="D173" i="10"/>
  <c r="C173" i="10"/>
  <c r="B173" i="10"/>
  <c r="D172" i="10"/>
  <c r="C172" i="10"/>
  <c r="B172" i="10"/>
  <c r="D171" i="10"/>
  <c r="C171" i="10"/>
  <c r="B171" i="10"/>
  <c r="D170" i="10"/>
  <c r="C170" i="10"/>
  <c r="B170" i="10"/>
  <c r="C156" i="10"/>
  <c r="C155" i="10"/>
  <c r="D154" i="10"/>
  <c r="C154" i="10"/>
  <c r="C153" i="10"/>
  <c r="C152" i="10"/>
  <c r="D151" i="10"/>
  <c r="C151" i="10"/>
  <c r="C150" i="10"/>
  <c r="S147" i="10"/>
  <c r="Q147" i="10"/>
  <c r="P147" i="10"/>
  <c r="B147" i="10"/>
  <c r="R146" i="10"/>
  <c r="L146" i="10"/>
  <c r="B146" i="10"/>
  <c r="N146" i="10" s="1"/>
  <c r="S145" i="10"/>
  <c r="S144" i="10"/>
  <c r="S143" i="10"/>
  <c r="S142" i="10"/>
  <c r="S141" i="10"/>
  <c r="S140" i="10"/>
  <c r="N139" i="10"/>
  <c r="J139" i="10"/>
  <c r="I139" i="10"/>
  <c r="H139" i="10"/>
  <c r="L139" i="10" s="1"/>
  <c r="E139" i="10"/>
  <c r="D139" i="10"/>
  <c r="F139" i="10" s="1"/>
  <c r="C139" i="10"/>
  <c r="N138" i="10"/>
  <c r="J138" i="10"/>
  <c r="I138" i="10"/>
  <c r="H138" i="10"/>
  <c r="E138" i="10"/>
  <c r="D138" i="10"/>
  <c r="F138" i="10" s="1"/>
  <c r="C138" i="10"/>
  <c r="L138" i="10" s="1"/>
  <c r="L137" i="10"/>
  <c r="S137" i="10" s="1"/>
  <c r="J137" i="10"/>
  <c r="I137" i="10"/>
  <c r="H137" i="10"/>
  <c r="F137" i="10"/>
  <c r="E137" i="10"/>
  <c r="N137" i="10" s="1"/>
  <c r="D137" i="10"/>
  <c r="C137" i="10"/>
  <c r="N136" i="10"/>
  <c r="I136" i="10"/>
  <c r="J136" i="10" s="1"/>
  <c r="H136" i="10"/>
  <c r="E136" i="10"/>
  <c r="D136" i="10"/>
  <c r="F136" i="10" s="1"/>
  <c r="C136" i="10"/>
  <c r="L136" i="10" s="1"/>
  <c r="N135" i="10"/>
  <c r="J135" i="10"/>
  <c r="I135" i="10"/>
  <c r="H135" i="10"/>
  <c r="L135" i="10" s="1"/>
  <c r="R135" i="10" s="1"/>
  <c r="E135" i="10"/>
  <c r="D135" i="10"/>
  <c r="F135" i="10" s="1"/>
  <c r="C135" i="10"/>
  <c r="N134" i="10"/>
  <c r="J134" i="10"/>
  <c r="I134" i="10"/>
  <c r="H134" i="10"/>
  <c r="E134" i="10"/>
  <c r="D134" i="10"/>
  <c r="F134" i="10" s="1"/>
  <c r="C134" i="10"/>
  <c r="L134" i="10" s="1"/>
  <c r="N133" i="10"/>
  <c r="J133" i="10"/>
  <c r="I133" i="10"/>
  <c r="H133" i="10"/>
  <c r="F133" i="10"/>
  <c r="E133" i="10"/>
  <c r="D133" i="10"/>
  <c r="C133" i="10"/>
  <c r="L133" i="10" s="1"/>
  <c r="N132" i="10"/>
  <c r="I132" i="10"/>
  <c r="J132" i="10" s="1"/>
  <c r="H132" i="10"/>
  <c r="F132" i="10"/>
  <c r="E132" i="10"/>
  <c r="D132" i="10"/>
  <c r="C132" i="10"/>
  <c r="L132" i="10" s="1"/>
  <c r="N131" i="10"/>
  <c r="J131" i="10"/>
  <c r="I131" i="10"/>
  <c r="H131" i="10"/>
  <c r="L131" i="10" s="1"/>
  <c r="F131" i="10"/>
  <c r="E131" i="10"/>
  <c r="D131" i="10"/>
  <c r="C131" i="10"/>
  <c r="N130" i="10"/>
  <c r="J130" i="10"/>
  <c r="I130" i="10"/>
  <c r="H130" i="10"/>
  <c r="E130" i="10"/>
  <c r="D130" i="10"/>
  <c r="F130" i="10" s="1"/>
  <c r="C130" i="10"/>
  <c r="L130" i="10" s="1"/>
  <c r="D129" i="10"/>
  <c r="L128" i="10"/>
  <c r="D128" i="10"/>
  <c r="C128" i="10"/>
  <c r="F128" i="10" s="1"/>
  <c r="F127" i="10"/>
  <c r="D127" i="10"/>
  <c r="D126" i="10"/>
  <c r="C126" i="10"/>
  <c r="F126" i="10" s="1"/>
  <c r="L125" i="10"/>
  <c r="D125" i="10"/>
  <c r="C125" i="10"/>
  <c r="J123" i="10"/>
  <c r="I123" i="10"/>
  <c r="H123" i="10"/>
  <c r="F123" i="10"/>
  <c r="E123" i="10"/>
  <c r="N123" i="10" s="1"/>
  <c r="D123" i="10"/>
  <c r="C123" i="10"/>
  <c r="L123" i="10" s="1"/>
  <c r="N122" i="10"/>
  <c r="J122" i="10"/>
  <c r="I122" i="10"/>
  <c r="H122" i="10"/>
  <c r="F122" i="10"/>
  <c r="E122" i="10"/>
  <c r="D122" i="10"/>
  <c r="C122" i="10"/>
  <c r="L122" i="10" s="1"/>
  <c r="N121" i="10"/>
  <c r="J121" i="10"/>
  <c r="I121" i="10"/>
  <c r="H121" i="10"/>
  <c r="L121" i="10" s="1"/>
  <c r="F121" i="10"/>
  <c r="E121" i="10"/>
  <c r="D121" i="10"/>
  <c r="C121" i="10"/>
  <c r="N120" i="10"/>
  <c r="L120" i="10"/>
  <c r="J120" i="10"/>
  <c r="I120" i="10"/>
  <c r="H120" i="10"/>
  <c r="E120" i="10"/>
  <c r="D120" i="10"/>
  <c r="F120" i="10" s="1"/>
  <c r="C120" i="10"/>
  <c r="N119" i="10"/>
  <c r="L119" i="10"/>
  <c r="J119" i="10"/>
  <c r="I119" i="10"/>
  <c r="H119" i="10"/>
  <c r="E119" i="10"/>
  <c r="D119" i="10"/>
  <c r="F119" i="10" s="1"/>
  <c r="C119" i="10"/>
  <c r="N118" i="10"/>
  <c r="L118" i="10"/>
  <c r="I118" i="10"/>
  <c r="J118" i="10" s="1"/>
  <c r="H118" i="10"/>
  <c r="E118" i="10"/>
  <c r="D118" i="10"/>
  <c r="F118" i="10" s="1"/>
  <c r="C118" i="10"/>
  <c r="N117" i="10"/>
  <c r="L117" i="10"/>
  <c r="J117" i="10"/>
  <c r="I117" i="10"/>
  <c r="H117" i="10"/>
  <c r="E117" i="10"/>
  <c r="D117" i="10"/>
  <c r="F117" i="10" s="1"/>
  <c r="C117" i="10"/>
  <c r="N116" i="10"/>
  <c r="J116" i="10"/>
  <c r="I116" i="10"/>
  <c r="H116" i="10"/>
  <c r="E116" i="10"/>
  <c r="D116" i="10"/>
  <c r="F116" i="10" s="1"/>
  <c r="C116" i="10"/>
  <c r="L116" i="10" s="1"/>
  <c r="N115" i="10"/>
  <c r="J115" i="10"/>
  <c r="I115" i="10"/>
  <c r="H115" i="10"/>
  <c r="E115" i="10"/>
  <c r="D115" i="10"/>
  <c r="F115" i="10" s="1"/>
  <c r="C115" i="10"/>
  <c r="L115" i="10" s="1"/>
  <c r="N114" i="10"/>
  <c r="J114" i="10"/>
  <c r="I114" i="10"/>
  <c r="H114" i="10"/>
  <c r="E114" i="10"/>
  <c r="D114" i="10"/>
  <c r="F114" i="10" s="1"/>
  <c r="C114" i="10"/>
  <c r="L114" i="10" s="1"/>
  <c r="F111" i="10"/>
  <c r="L108" i="10"/>
  <c r="M108" i="10" s="1"/>
  <c r="M107" i="10"/>
  <c r="L107" i="10"/>
  <c r="L106" i="10"/>
  <c r="M106" i="10" s="1"/>
  <c r="K104" i="10"/>
  <c r="J104" i="10"/>
  <c r="S103" i="10"/>
  <c r="P103" i="10"/>
  <c r="Q103" i="10" s="1"/>
  <c r="M103" i="10"/>
  <c r="L103" i="10"/>
  <c r="R103" i="10" s="1"/>
  <c r="F103" i="10"/>
  <c r="E103" i="10"/>
  <c r="N103" i="10" s="1"/>
  <c r="O103" i="10" s="1"/>
  <c r="D103" i="10"/>
  <c r="C103" i="10"/>
  <c r="N102" i="10"/>
  <c r="L102" i="10"/>
  <c r="P102" i="10" s="1"/>
  <c r="Q102" i="10" s="1"/>
  <c r="F102" i="10"/>
  <c r="E102" i="10"/>
  <c r="D102" i="10"/>
  <c r="C102" i="10"/>
  <c r="S101" i="10"/>
  <c r="R101" i="10"/>
  <c r="N101" i="10"/>
  <c r="L101" i="10"/>
  <c r="M101" i="10" s="1"/>
  <c r="F101" i="10"/>
  <c r="E101" i="10"/>
  <c r="D101" i="10"/>
  <c r="C101" i="10"/>
  <c r="L100" i="10"/>
  <c r="M100" i="10" s="1"/>
  <c r="M98" i="10"/>
  <c r="L98" i="10"/>
  <c r="L97" i="10"/>
  <c r="S97" i="10" s="1"/>
  <c r="F97" i="10"/>
  <c r="C97" i="10" s="1"/>
  <c r="E97" i="10"/>
  <c r="N97" i="10" s="1"/>
  <c r="F96" i="10"/>
  <c r="C96" i="10" s="1"/>
  <c r="L96" i="10" s="1"/>
  <c r="E96" i="10"/>
  <c r="N96" i="10" s="1"/>
  <c r="M95" i="10"/>
  <c r="L95" i="10"/>
  <c r="F92" i="10"/>
  <c r="C92" i="10" s="1"/>
  <c r="L92" i="10" s="1"/>
  <c r="E92" i="10"/>
  <c r="N92" i="10" s="1"/>
  <c r="F91" i="10"/>
  <c r="E91" i="10"/>
  <c r="N91" i="10" s="1"/>
  <c r="D91" i="10"/>
  <c r="C91" i="10"/>
  <c r="L91" i="10" s="1"/>
  <c r="N90" i="10"/>
  <c r="F90" i="10"/>
  <c r="D90" i="10" s="1"/>
  <c r="D92" i="10" s="1"/>
  <c r="E90" i="10"/>
  <c r="C90" i="10"/>
  <c r="L90" i="10" s="1"/>
  <c r="N86" i="10"/>
  <c r="L86" i="10"/>
  <c r="P86" i="10" s="1"/>
  <c r="Q86" i="10" s="1"/>
  <c r="F86" i="10"/>
  <c r="E86" i="10"/>
  <c r="D86" i="10"/>
  <c r="C86" i="10"/>
  <c r="N85" i="10"/>
  <c r="F85" i="10"/>
  <c r="D85" i="10" s="1"/>
  <c r="E85" i="10"/>
  <c r="C85" i="10"/>
  <c r="L85" i="10" s="1"/>
  <c r="N84" i="10"/>
  <c r="F84" i="10"/>
  <c r="D84" i="10" s="1"/>
  <c r="E84" i="10"/>
  <c r="N81" i="10"/>
  <c r="F81" i="10"/>
  <c r="E81" i="10"/>
  <c r="D81" i="10"/>
  <c r="B81" i="10"/>
  <c r="E80" i="10"/>
  <c r="N80" i="10" s="1"/>
  <c r="D80" i="10"/>
  <c r="B80" i="10"/>
  <c r="F80" i="10" s="1"/>
  <c r="N79" i="10"/>
  <c r="E79" i="10"/>
  <c r="E78" i="10"/>
  <c r="N78" i="10" s="1"/>
  <c r="E77" i="10"/>
  <c r="N77" i="10" s="1"/>
  <c r="D77" i="10"/>
  <c r="E76" i="10"/>
  <c r="N76" i="10" s="1"/>
  <c r="D76" i="10"/>
  <c r="F75" i="10"/>
  <c r="E75" i="10"/>
  <c r="N75" i="10" s="1"/>
  <c r="E74" i="10"/>
  <c r="N74" i="10" s="1"/>
  <c r="F73" i="10"/>
  <c r="E73" i="10"/>
  <c r="N73" i="10" s="1"/>
  <c r="N72" i="10"/>
  <c r="E72" i="10"/>
  <c r="R71" i="10"/>
  <c r="R70" i="10"/>
  <c r="E69" i="10"/>
  <c r="N69" i="10" s="1"/>
  <c r="B69" i="10"/>
  <c r="E68" i="10"/>
  <c r="N68" i="10" s="1"/>
  <c r="B68" i="10"/>
  <c r="E67" i="10"/>
  <c r="N67" i="10" s="1"/>
  <c r="B67" i="10"/>
  <c r="E66" i="10"/>
  <c r="N66" i="10" s="1"/>
  <c r="B66" i="10"/>
  <c r="B60" i="10"/>
  <c r="C57" i="10"/>
  <c r="D52" i="10"/>
  <c r="S49" i="10"/>
  <c r="H49" i="10"/>
  <c r="G49" i="10"/>
  <c r="S48" i="10"/>
  <c r="H48" i="10"/>
  <c r="G48" i="10"/>
  <c r="S47" i="10"/>
  <c r="H47" i="10"/>
  <c r="G47" i="10"/>
  <c r="S46" i="10"/>
  <c r="H46" i="10"/>
  <c r="G46" i="10"/>
  <c r="S45" i="10"/>
  <c r="H45" i="10"/>
  <c r="G45" i="10"/>
  <c r="S44" i="10"/>
  <c r="M44" i="10"/>
  <c r="H44" i="10"/>
  <c r="G44" i="10"/>
  <c r="S43" i="10"/>
  <c r="H43" i="10"/>
  <c r="G43" i="10"/>
  <c r="S42" i="10"/>
  <c r="M42" i="10"/>
  <c r="C129" i="10" s="1"/>
  <c r="H42" i="10"/>
  <c r="G42" i="10"/>
  <c r="S41" i="10"/>
  <c r="H41" i="10"/>
  <c r="G41" i="10"/>
  <c r="S40" i="10"/>
  <c r="H40" i="10"/>
  <c r="G40" i="10"/>
  <c r="B39" i="10"/>
  <c r="S34" i="10"/>
  <c r="H34" i="10"/>
  <c r="G34" i="10"/>
  <c r="S33" i="10"/>
  <c r="H33" i="10"/>
  <c r="G33" i="10"/>
  <c r="S32" i="10"/>
  <c r="H32" i="10"/>
  <c r="G32" i="10"/>
  <c r="S31" i="10"/>
  <c r="H31" i="10"/>
  <c r="G31" i="10"/>
  <c r="S30" i="10"/>
  <c r="H30" i="10"/>
  <c r="G30" i="10"/>
  <c r="S29" i="10"/>
  <c r="M29" i="10"/>
  <c r="H29" i="10"/>
  <c r="G29" i="10"/>
  <c r="S28" i="10"/>
  <c r="H28" i="10"/>
  <c r="G28" i="10"/>
  <c r="S27" i="10"/>
  <c r="M27" i="10"/>
  <c r="H27" i="10"/>
  <c r="G27" i="10"/>
  <c r="S26" i="10"/>
  <c r="H26" i="10"/>
  <c r="M25" i="10" s="1"/>
  <c r="M31" i="10" s="1"/>
  <c r="D109" i="10" s="1"/>
  <c r="G26" i="10"/>
  <c r="S25" i="10"/>
  <c r="H25" i="10"/>
  <c r="G25" i="10"/>
  <c r="B24" i="10"/>
  <c r="F18" i="10"/>
  <c r="E18" i="10"/>
  <c r="H6" i="10"/>
  <c r="F6" i="10"/>
  <c r="G6" i="10" s="1"/>
  <c r="F7" i="10" s="1"/>
  <c r="H7" i="10" s="1"/>
  <c r="C6" i="10"/>
  <c r="D6" i="10" s="1"/>
  <c r="G4" i="10"/>
  <c r="F4" i="10"/>
  <c r="D4" i="10"/>
  <c r="C4" i="10"/>
  <c r="F3" i="10"/>
  <c r="G3" i="10" s="1"/>
  <c r="C3" i="10"/>
  <c r="B308" i="9"/>
  <c r="A246" i="9"/>
  <c r="A247" i="9" s="1"/>
  <c r="A248" i="9" s="1"/>
  <c r="A249" i="9" s="1"/>
  <c r="A250" i="9" s="1"/>
  <c r="A251" i="9" s="1"/>
  <c r="A252" i="9" s="1"/>
  <c r="A253" i="9" s="1"/>
  <c r="A254" i="9" s="1"/>
  <c r="A255" i="9" s="1"/>
  <c r="A256" i="9" s="1"/>
  <c r="A257" i="9" s="1"/>
  <c r="A258" i="9" s="1"/>
  <c r="A259" i="9" s="1"/>
  <c r="A260" i="9" s="1"/>
  <c r="A261" i="9" s="1"/>
  <c r="A262" i="9" s="1"/>
  <c r="A263" i="9" s="1"/>
  <c r="A264" i="9" s="1"/>
  <c r="A265" i="9" s="1"/>
  <c r="A266" i="9" s="1"/>
  <c r="A267" i="9" s="1"/>
  <c r="A268" i="9" s="1"/>
  <c r="A269" i="9" s="1"/>
  <c r="A270" i="9" s="1"/>
  <c r="A271" i="9" s="1"/>
  <c r="A272" i="9" s="1"/>
  <c r="A273" i="9" s="1"/>
  <c r="A274" i="9" s="1"/>
  <c r="A275" i="9" s="1"/>
  <c r="A276" i="9" s="1"/>
  <c r="A277" i="9" s="1"/>
  <c r="A278" i="9" s="1"/>
  <c r="A279" i="9" s="1"/>
  <c r="A280" i="9" s="1"/>
  <c r="A281" i="9" s="1"/>
  <c r="A282" i="9" s="1"/>
  <c r="A283" i="9" s="1"/>
  <c r="A284" i="9" s="1"/>
  <c r="A285" i="9" s="1"/>
  <c r="A286" i="9" s="1"/>
  <c r="A287" i="9" s="1"/>
  <c r="A288" i="9" s="1"/>
  <c r="A289" i="9" s="1"/>
  <c r="A290" i="9" s="1"/>
  <c r="A291" i="9" s="1"/>
  <c r="A292" i="9" s="1"/>
  <c r="A293" i="9" s="1"/>
  <c r="A243" i="9"/>
  <c r="A244" i="9" s="1"/>
  <c r="A245" i="9" s="1"/>
  <c r="A241" i="9"/>
  <c r="A242" i="9" s="1"/>
  <c r="A240" i="9"/>
  <c r="D163" i="9"/>
  <c r="C163" i="9"/>
  <c r="B163" i="9"/>
  <c r="D162" i="9"/>
  <c r="C162" i="9"/>
  <c r="B162" i="9"/>
  <c r="D161" i="9"/>
  <c r="C161" i="9"/>
  <c r="B161" i="9"/>
  <c r="D160" i="9"/>
  <c r="C160" i="9"/>
  <c r="B160" i="9"/>
  <c r="D159" i="9"/>
  <c r="C159" i="9"/>
  <c r="B159" i="9"/>
  <c r="D158" i="9"/>
  <c r="C158" i="9"/>
  <c r="B158" i="9"/>
  <c r="C144" i="9"/>
  <c r="C143" i="9"/>
  <c r="C145" i="9" s="1"/>
  <c r="F55" i="9" s="1"/>
  <c r="C142" i="9"/>
  <c r="C141" i="9"/>
  <c r="D142" i="9" s="1"/>
  <c r="C140" i="9"/>
  <c r="D139" i="9"/>
  <c r="C139" i="9"/>
  <c r="C138" i="9"/>
  <c r="S135" i="9"/>
  <c r="B135" i="9"/>
  <c r="O135" i="9" s="1"/>
  <c r="P135" i="9" s="1"/>
  <c r="O134" i="9"/>
  <c r="P134" i="9" s="1"/>
  <c r="B134" i="9"/>
  <c r="K134" i="9" s="1"/>
  <c r="S133" i="9"/>
  <c r="S132" i="9"/>
  <c r="S131" i="9"/>
  <c r="L131" i="9"/>
  <c r="F131" i="9"/>
  <c r="E131" i="9"/>
  <c r="D131" i="9"/>
  <c r="C131" i="9"/>
  <c r="K131" i="9" s="1"/>
  <c r="B131" i="9"/>
  <c r="S130" i="9"/>
  <c r="R130" i="9"/>
  <c r="R129" i="9"/>
  <c r="P129" i="9"/>
  <c r="O129" i="9"/>
  <c r="M129" i="9"/>
  <c r="L129" i="9"/>
  <c r="N129" i="9" s="1"/>
  <c r="K129" i="9"/>
  <c r="S129" i="9" s="1"/>
  <c r="F129" i="9"/>
  <c r="E129" i="9"/>
  <c r="D129" i="9"/>
  <c r="C129" i="9"/>
  <c r="B129" i="9"/>
  <c r="S128" i="9"/>
  <c r="R128" i="9"/>
  <c r="M128" i="9"/>
  <c r="K128" i="9"/>
  <c r="F128" i="9"/>
  <c r="C128" i="9"/>
  <c r="E128" i="9" s="1"/>
  <c r="B128" i="9"/>
  <c r="K127" i="9"/>
  <c r="O127" i="9" s="1"/>
  <c r="P127" i="9" s="1"/>
  <c r="F127" i="9"/>
  <c r="D127" i="9"/>
  <c r="D128" i="9" s="1"/>
  <c r="C127" i="9"/>
  <c r="B127" i="9"/>
  <c r="A127" i="9"/>
  <c r="S126" i="9"/>
  <c r="R126" i="9"/>
  <c r="S125" i="9"/>
  <c r="K125" i="9"/>
  <c r="F125" i="9"/>
  <c r="D125" i="9"/>
  <c r="C125" i="9"/>
  <c r="B125" i="9"/>
  <c r="F124" i="9"/>
  <c r="D124" i="9"/>
  <c r="C124" i="9"/>
  <c r="N124" i="9" s="1"/>
  <c r="B124" i="9"/>
  <c r="N123" i="9"/>
  <c r="M123" i="9"/>
  <c r="F123" i="9"/>
  <c r="E123" i="9"/>
  <c r="D123" i="9"/>
  <c r="C123" i="9"/>
  <c r="K123" i="9" s="1"/>
  <c r="B123" i="9"/>
  <c r="F122" i="9"/>
  <c r="D122" i="9"/>
  <c r="C122" i="9"/>
  <c r="B122" i="9"/>
  <c r="F121" i="9"/>
  <c r="D121" i="9"/>
  <c r="C121" i="9"/>
  <c r="E121" i="9" s="1"/>
  <c r="M121" i="9" s="1"/>
  <c r="B121" i="9"/>
  <c r="N120" i="9"/>
  <c r="F120" i="9"/>
  <c r="E120" i="9"/>
  <c r="M120" i="9" s="1"/>
  <c r="D120" i="9"/>
  <c r="C120" i="9"/>
  <c r="K120" i="9" s="1"/>
  <c r="B120" i="9"/>
  <c r="R119" i="9"/>
  <c r="K119" i="9"/>
  <c r="S119" i="9" s="1"/>
  <c r="F119" i="9"/>
  <c r="D119" i="9"/>
  <c r="C119" i="9"/>
  <c r="B119" i="9"/>
  <c r="F118" i="9"/>
  <c r="D118" i="9"/>
  <c r="C118" i="9"/>
  <c r="N118" i="9" s="1"/>
  <c r="B118" i="9"/>
  <c r="N117" i="9"/>
  <c r="M117" i="9"/>
  <c r="F117" i="9"/>
  <c r="E117" i="9"/>
  <c r="D117" i="9"/>
  <c r="C117" i="9"/>
  <c r="K117" i="9" s="1"/>
  <c r="B117" i="9"/>
  <c r="S116" i="9"/>
  <c r="K116" i="9"/>
  <c r="O116" i="9" s="1"/>
  <c r="P116" i="9" s="1"/>
  <c r="F116" i="9"/>
  <c r="D116" i="9"/>
  <c r="C116" i="9"/>
  <c r="B116" i="9"/>
  <c r="S115" i="9"/>
  <c r="R115" i="9"/>
  <c r="N115" i="9"/>
  <c r="K115" i="9"/>
  <c r="O115" i="9" s="1"/>
  <c r="P115" i="9" s="1"/>
  <c r="F115" i="9"/>
  <c r="E115" i="9"/>
  <c r="M115" i="9" s="1"/>
  <c r="D115" i="9"/>
  <c r="C115" i="9"/>
  <c r="B115" i="9"/>
  <c r="N114" i="9"/>
  <c r="F114" i="9"/>
  <c r="E114" i="9"/>
  <c r="M114" i="9" s="1"/>
  <c r="D114" i="9"/>
  <c r="C114" i="9"/>
  <c r="K114" i="9" s="1"/>
  <c r="O114" i="9" s="1"/>
  <c r="P114" i="9" s="1"/>
  <c r="B114" i="9"/>
  <c r="F113" i="9"/>
  <c r="D113" i="9"/>
  <c r="C113" i="9"/>
  <c r="K113" i="9" s="1"/>
  <c r="B113" i="9"/>
  <c r="K112" i="9"/>
  <c r="O112" i="9" s="1"/>
  <c r="P112" i="9" s="1"/>
  <c r="F112" i="9"/>
  <c r="D112" i="9"/>
  <c r="C112" i="9"/>
  <c r="E112" i="9" s="1"/>
  <c r="M112" i="9" s="1"/>
  <c r="B112" i="9"/>
  <c r="P111" i="9"/>
  <c r="O111" i="9"/>
  <c r="N111" i="9"/>
  <c r="F111" i="9"/>
  <c r="E111" i="9"/>
  <c r="M111" i="9" s="1"/>
  <c r="D111" i="9"/>
  <c r="C111" i="9"/>
  <c r="K111" i="9" s="1"/>
  <c r="B111" i="9"/>
  <c r="S110" i="9"/>
  <c r="R110" i="9"/>
  <c r="K110" i="9"/>
  <c r="O110" i="9" s="1"/>
  <c r="P110" i="9" s="1"/>
  <c r="F110" i="9"/>
  <c r="D110" i="9"/>
  <c r="C110" i="9"/>
  <c r="B110" i="9"/>
  <c r="M109" i="9"/>
  <c r="I109" i="9"/>
  <c r="E109" i="9"/>
  <c r="E108" i="9"/>
  <c r="L107" i="9"/>
  <c r="K107" i="9"/>
  <c r="K106" i="9"/>
  <c r="L106" i="9" s="1"/>
  <c r="L104" i="9"/>
  <c r="K104" i="9"/>
  <c r="F103" i="9"/>
  <c r="C103" i="9" s="1"/>
  <c r="K103" i="9" s="1"/>
  <c r="E103" i="9"/>
  <c r="M103" i="9" s="1"/>
  <c r="D103" i="9"/>
  <c r="F102" i="9"/>
  <c r="C102" i="9" s="1"/>
  <c r="K102" i="9" s="1"/>
  <c r="E102" i="9"/>
  <c r="M102" i="9" s="1"/>
  <c r="K101" i="9"/>
  <c r="F101" i="9"/>
  <c r="C101" i="9" s="1"/>
  <c r="E101" i="9"/>
  <c r="M101" i="9" s="1"/>
  <c r="D101" i="9"/>
  <c r="K100" i="9"/>
  <c r="L100" i="9" s="1"/>
  <c r="K98" i="9"/>
  <c r="L98" i="9" s="1"/>
  <c r="S97" i="9"/>
  <c r="R97" i="9"/>
  <c r="M97" i="9"/>
  <c r="K97" i="9"/>
  <c r="O97" i="9" s="1"/>
  <c r="P97" i="9" s="1"/>
  <c r="F97" i="9"/>
  <c r="E97" i="9"/>
  <c r="D97" i="9"/>
  <c r="C97" i="9"/>
  <c r="M96" i="9"/>
  <c r="F96" i="9"/>
  <c r="E96" i="9"/>
  <c r="D96" i="9"/>
  <c r="C96" i="9"/>
  <c r="K96" i="9" s="1"/>
  <c r="L95" i="9"/>
  <c r="K95" i="9"/>
  <c r="M92" i="9"/>
  <c r="F92" i="9"/>
  <c r="E92" i="9"/>
  <c r="C92" i="9"/>
  <c r="K92" i="9" s="1"/>
  <c r="M91" i="9"/>
  <c r="F91" i="9"/>
  <c r="D91" i="9" s="1"/>
  <c r="E91" i="9"/>
  <c r="M90" i="9"/>
  <c r="F90" i="9"/>
  <c r="D90" i="9" s="1"/>
  <c r="D92" i="9" s="1"/>
  <c r="E90" i="9"/>
  <c r="C90" i="9"/>
  <c r="K90" i="9" s="1"/>
  <c r="M86" i="9"/>
  <c r="F86" i="9"/>
  <c r="E86" i="9"/>
  <c r="D86" i="9"/>
  <c r="C86" i="9"/>
  <c r="K86" i="9" s="1"/>
  <c r="F85" i="9"/>
  <c r="E85" i="9"/>
  <c r="M85" i="9" s="1"/>
  <c r="D85" i="9"/>
  <c r="C85" i="9"/>
  <c r="K85" i="9" s="1"/>
  <c r="O85" i="9" s="1"/>
  <c r="P85" i="9" s="1"/>
  <c r="M84" i="9"/>
  <c r="F84" i="9"/>
  <c r="D84" i="9" s="1"/>
  <c r="E84" i="9"/>
  <c r="D81" i="9"/>
  <c r="E79" i="9"/>
  <c r="M79" i="9" s="1"/>
  <c r="E78" i="9"/>
  <c r="M78" i="9" s="1"/>
  <c r="E77" i="9"/>
  <c r="M77" i="9" s="1"/>
  <c r="D77" i="9"/>
  <c r="M76" i="9"/>
  <c r="E76" i="9"/>
  <c r="D76" i="9"/>
  <c r="M75" i="9"/>
  <c r="E75" i="9"/>
  <c r="E74" i="9"/>
  <c r="M74" i="9" s="1"/>
  <c r="M73" i="9"/>
  <c r="F73" i="9"/>
  <c r="E73" i="9"/>
  <c r="E72" i="9"/>
  <c r="M72" i="9" s="1"/>
  <c r="E69" i="9"/>
  <c r="M69" i="9" s="1"/>
  <c r="B69" i="9"/>
  <c r="E68" i="9"/>
  <c r="M68" i="9" s="1"/>
  <c r="B68" i="9"/>
  <c r="E67" i="9"/>
  <c r="M67" i="9" s="1"/>
  <c r="B67" i="9"/>
  <c r="E66" i="9"/>
  <c r="M66" i="9" s="1"/>
  <c r="B66" i="9"/>
  <c r="E58" i="9"/>
  <c r="C58" i="9"/>
  <c r="L53" i="9"/>
  <c r="D53" i="9" s="1"/>
  <c r="F51" i="9"/>
  <c r="E51" i="9"/>
  <c r="D51" i="9"/>
  <c r="B51" i="9"/>
  <c r="F50" i="9"/>
  <c r="E50" i="9"/>
  <c r="D50" i="9"/>
  <c r="B49" i="9"/>
  <c r="M47" i="9"/>
  <c r="I47" i="9" s="1"/>
  <c r="I125" i="9" s="1"/>
  <c r="L47" i="9"/>
  <c r="M46" i="9"/>
  <c r="L46" i="9"/>
  <c r="I46" i="9"/>
  <c r="I124" i="9" s="1"/>
  <c r="M45" i="9"/>
  <c r="I45" i="9" s="1"/>
  <c r="I123" i="9" s="1"/>
  <c r="L45" i="9"/>
  <c r="M44" i="9"/>
  <c r="L44" i="9"/>
  <c r="I44" i="9"/>
  <c r="I122" i="9" s="1"/>
  <c r="M43" i="9"/>
  <c r="L43" i="9"/>
  <c r="I43" i="9"/>
  <c r="I121" i="9" s="1"/>
  <c r="M42" i="9"/>
  <c r="L42" i="9"/>
  <c r="I42" i="9"/>
  <c r="I120" i="9" s="1"/>
  <c r="M41" i="9"/>
  <c r="I41" i="9" s="1"/>
  <c r="I119" i="9" s="1"/>
  <c r="L41" i="9"/>
  <c r="M40" i="9"/>
  <c r="I40" i="9" s="1"/>
  <c r="I118" i="9" s="1"/>
  <c r="L40" i="9"/>
  <c r="M39" i="9"/>
  <c r="L39" i="9"/>
  <c r="I39" i="9"/>
  <c r="I117" i="9" s="1"/>
  <c r="M38" i="9"/>
  <c r="L38" i="9"/>
  <c r="I38" i="9"/>
  <c r="I116" i="9" s="1"/>
  <c r="M37" i="9"/>
  <c r="L37" i="9"/>
  <c r="I37" i="9"/>
  <c r="I115" i="9" s="1"/>
  <c r="M36" i="9"/>
  <c r="L36" i="9"/>
  <c r="K36" i="9"/>
  <c r="K40" i="9" s="1"/>
  <c r="I36" i="9"/>
  <c r="I114" i="9" s="1"/>
  <c r="M35" i="9"/>
  <c r="I35" i="9" s="1"/>
  <c r="I113" i="9" s="1"/>
  <c r="L35" i="9"/>
  <c r="M34" i="9"/>
  <c r="L34" i="9"/>
  <c r="K34" i="9"/>
  <c r="I34" i="9"/>
  <c r="I112" i="9" s="1"/>
  <c r="M33" i="9"/>
  <c r="L33" i="9"/>
  <c r="I33" i="9"/>
  <c r="I111" i="9" s="1"/>
  <c r="M32" i="9"/>
  <c r="I32" i="9" s="1"/>
  <c r="I110" i="9" s="1"/>
  <c r="L32" i="9"/>
  <c r="K38" i="9" s="1"/>
  <c r="M53" i="9" s="1"/>
  <c r="K32" i="9"/>
  <c r="B31" i="9"/>
  <c r="F21" i="9"/>
  <c r="E21" i="9"/>
  <c r="E7" i="9"/>
  <c r="F7" i="9" s="1"/>
  <c r="E5" i="9"/>
  <c r="F5" i="9" s="1"/>
  <c r="G4" i="9"/>
  <c r="F4" i="9"/>
  <c r="E4" i="9"/>
  <c r="K216" i="8"/>
  <c r="J216" i="8"/>
  <c r="G216" i="8"/>
  <c r="F216" i="8"/>
  <c r="D216" i="8"/>
  <c r="C216" i="8"/>
  <c r="B216" i="8"/>
  <c r="K215" i="8"/>
  <c r="J215" i="8"/>
  <c r="G215" i="8"/>
  <c r="F215" i="8"/>
  <c r="D215" i="8"/>
  <c r="C215" i="8"/>
  <c r="B215" i="8"/>
  <c r="K214" i="8"/>
  <c r="J214" i="8"/>
  <c r="G214" i="8"/>
  <c r="F214" i="8" s="1"/>
  <c r="D214" i="8"/>
  <c r="C214" i="8"/>
  <c r="B214" i="8"/>
  <c r="K213" i="8"/>
  <c r="J213" i="8"/>
  <c r="G213" i="8"/>
  <c r="F213" i="8" s="1"/>
  <c r="D213" i="8"/>
  <c r="C213" i="8"/>
  <c r="B213" i="8"/>
  <c r="K212" i="8"/>
  <c r="J212" i="8"/>
  <c r="G212" i="8"/>
  <c r="F212" i="8"/>
  <c r="D212" i="8"/>
  <c r="C212" i="8"/>
  <c r="B212" i="8"/>
  <c r="K211" i="8"/>
  <c r="J211" i="8"/>
  <c r="G211" i="8"/>
  <c r="F211" i="8" s="1"/>
  <c r="D211" i="8"/>
  <c r="C211" i="8"/>
  <c r="B211" i="8"/>
  <c r="K210" i="8"/>
  <c r="J210" i="8"/>
  <c r="G210" i="8"/>
  <c r="F210" i="8" s="1"/>
  <c r="D210" i="8"/>
  <c r="C210" i="8"/>
  <c r="B210" i="8"/>
  <c r="K209" i="8"/>
  <c r="J209" i="8"/>
  <c r="G209" i="8"/>
  <c r="F209" i="8" s="1"/>
  <c r="D209" i="8"/>
  <c r="C209" i="8"/>
  <c r="B209" i="8"/>
  <c r="K208" i="8"/>
  <c r="J208" i="8"/>
  <c r="G208" i="8"/>
  <c r="F208" i="8" s="1"/>
  <c r="D208" i="8"/>
  <c r="C208" i="8"/>
  <c r="B208" i="8"/>
  <c r="E201" i="8"/>
  <c r="D201" i="8"/>
  <c r="C201" i="8"/>
  <c r="B201" i="8"/>
  <c r="E200" i="8"/>
  <c r="D200" i="8"/>
  <c r="C200" i="8"/>
  <c r="B200" i="8"/>
  <c r="E199" i="8"/>
  <c r="D199" i="8"/>
  <c r="C199" i="8"/>
  <c r="B199" i="8"/>
  <c r="E198" i="8"/>
  <c r="D198" i="8"/>
  <c r="C198" i="8"/>
  <c r="B198" i="8"/>
  <c r="G197" i="8"/>
  <c r="E197" i="8"/>
  <c r="D197" i="8"/>
  <c r="C197" i="8"/>
  <c r="B197" i="8"/>
  <c r="D172" i="8"/>
  <c r="C172" i="8"/>
  <c r="B172" i="8"/>
  <c r="D171" i="8"/>
  <c r="C171" i="8"/>
  <c r="B171" i="8"/>
  <c r="D170" i="8"/>
  <c r="C170" i="8"/>
  <c r="B170" i="8"/>
  <c r="D169" i="8"/>
  <c r="C169" i="8"/>
  <c r="B169" i="8"/>
  <c r="D168" i="8"/>
  <c r="C168" i="8"/>
  <c r="B168" i="8"/>
  <c r="D167" i="8"/>
  <c r="C167" i="8"/>
  <c r="B167" i="8"/>
  <c r="C155" i="8"/>
  <c r="C153" i="8"/>
  <c r="C152" i="8"/>
  <c r="D153" i="8" s="1"/>
  <c r="C151" i="8"/>
  <c r="D150" i="8"/>
  <c r="C150" i="8"/>
  <c r="C149" i="8"/>
  <c r="L148" i="8"/>
  <c r="O146" i="8"/>
  <c r="N146" i="8"/>
  <c r="M146" i="8"/>
  <c r="B146" i="8"/>
  <c r="B145" i="8"/>
  <c r="N145" i="8" s="1"/>
  <c r="O145" i="8" s="1"/>
  <c r="B144" i="8"/>
  <c r="L144" i="8" s="1"/>
  <c r="K143" i="8"/>
  <c r="N143" i="8" s="1"/>
  <c r="O143" i="8" s="1"/>
  <c r="B143" i="8"/>
  <c r="L143" i="8" s="1"/>
  <c r="O142" i="8"/>
  <c r="B142" i="8"/>
  <c r="M142" i="8" s="1"/>
  <c r="F140" i="8"/>
  <c r="K140" i="8" s="1"/>
  <c r="N140" i="8" s="1"/>
  <c r="O140" i="8" s="1"/>
  <c r="F138" i="8"/>
  <c r="C138" i="8" s="1"/>
  <c r="B138" i="8"/>
  <c r="K137" i="8"/>
  <c r="J137" i="8"/>
  <c r="N137" i="8" s="1"/>
  <c r="O137" i="8" s="1"/>
  <c r="F137" i="8"/>
  <c r="D137" i="8"/>
  <c r="C137" i="8"/>
  <c r="E137" i="8" s="1"/>
  <c r="B137" i="8"/>
  <c r="K136" i="8"/>
  <c r="J136" i="8"/>
  <c r="N136" i="8" s="1"/>
  <c r="O136" i="8" s="1"/>
  <c r="F136" i="8"/>
  <c r="D136" i="8"/>
  <c r="C136" i="8"/>
  <c r="E136" i="8" s="1"/>
  <c r="B136" i="8"/>
  <c r="K135" i="8"/>
  <c r="J135" i="8"/>
  <c r="N135" i="8" s="1"/>
  <c r="O135" i="8" s="1"/>
  <c r="F135" i="8"/>
  <c r="D135" i="8"/>
  <c r="C135" i="8"/>
  <c r="E135" i="8" s="1"/>
  <c r="B135" i="8"/>
  <c r="K134" i="8"/>
  <c r="J134" i="8"/>
  <c r="N134" i="8" s="1"/>
  <c r="O134" i="8" s="1"/>
  <c r="F134" i="8"/>
  <c r="D134" i="8"/>
  <c r="C134" i="8"/>
  <c r="E134" i="8" s="1"/>
  <c r="B134" i="8"/>
  <c r="K133" i="8"/>
  <c r="J133" i="8"/>
  <c r="N133" i="8" s="1"/>
  <c r="O133" i="8" s="1"/>
  <c r="F133" i="8"/>
  <c r="D133" i="8"/>
  <c r="C133" i="8"/>
  <c r="E133" i="8" s="1"/>
  <c r="B133" i="8"/>
  <c r="Q132" i="8"/>
  <c r="L132" i="8"/>
  <c r="M132" i="8" s="1"/>
  <c r="K132" i="8"/>
  <c r="J132" i="8"/>
  <c r="N132" i="8" s="1"/>
  <c r="O132" i="8" s="1"/>
  <c r="F132" i="8"/>
  <c r="E132" i="8"/>
  <c r="D132" i="8"/>
  <c r="C132" i="8"/>
  <c r="B132" i="8"/>
  <c r="K131" i="8"/>
  <c r="J131" i="8"/>
  <c r="N131" i="8" s="1"/>
  <c r="O131" i="8" s="1"/>
  <c r="F131" i="8"/>
  <c r="D131" i="8"/>
  <c r="C131" i="8"/>
  <c r="E131" i="8" s="1"/>
  <c r="B131" i="8"/>
  <c r="L130" i="8"/>
  <c r="F130" i="8"/>
  <c r="E130" i="8"/>
  <c r="D130" i="8"/>
  <c r="C130" i="8"/>
  <c r="J130" i="8" s="1"/>
  <c r="B130" i="8"/>
  <c r="L129" i="8"/>
  <c r="F129" i="8"/>
  <c r="E129" i="8"/>
  <c r="C129" i="8"/>
  <c r="J129" i="8" s="1"/>
  <c r="B129" i="8"/>
  <c r="L128" i="8"/>
  <c r="F128" i="8"/>
  <c r="E128" i="8"/>
  <c r="B128" i="8"/>
  <c r="L127" i="8"/>
  <c r="F127" i="8"/>
  <c r="E127" i="8"/>
  <c r="C127" i="8"/>
  <c r="J127" i="8" s="1"/>
  <c r="B127" i="8"/>
  <c r="L126" i="8"/>
  <c r="F126" i="8"/>
  <c r="E126" i="8"/>
  <c r="C126" i="8"/>
  <c r="J126" i="8" s="1"/>
  <c r="B126" i="8"/>
  <c r="L125" i="8"/>
  <c r="F125" i="8"/>
  <c r="E125" i="8"/>
  <c r="D125" i="8"/>
  <c r="D126" i="8" s="1"/>
  <c r="D127" i="8" s="1"/>
  <c r="D128" i="8" s="1"/>
  <c r="D129" i="8" s="1"/>
  <c r="C125" i="8"/>
  <c r="C128" i="8" s="1"/>
  <c r="J128" i="8" s="1"/>
  <c r="B125" i="8"/>
  <c r="Q124" i="8"/>
  <c r="Q123" i="8"/>
  <c r="O123" i="8"/>
  <c r="F122" i="8"/>
  <c r="C122" i="8"/>
  <c r="J122" i="8" s="1"/>
  <c r="B122" i="8"/>
  <c r="F121" i="8"/>
  <c r="D121" i="8"/>
  <c r="C121" i="8"/>
  <c r="J121" i="8" s="1"/>
  <c r="B121" i="8"/>
  <c r="F120" i="8"/>
  <c r="D120" i="8"/>
  <c r="C120" i="8"/>
  <c r="J120" i="8" s="1"/>
  <c r="B120" i="8"/>
  <c r="F119" i="8"/>
  <c r="D119" i="8"/>
  <c r="C119" i="8"/>
  <c r="J119" i="8" s="1"/>
  <c r="B119" i="8"/>
  <c r="F118" i="8"/>
  <c r="D118" i="8"/>
  <c r="C118" i="8"/>
  <c r="J118" i="8" s="1"/>
  <c r="B118" i="8"/>
  <c r="F117" i="8"/>
  <c r="D117" i="8"/>
  <c r="C117" i="8"/>
  <c r="J117" i="8" s="1"/>
  <c r="B117" i="8"/>
  <c r="L116" i="8"/>
  <c r="F116" i="8"/>
  <c r="E116" i="8"/>
  <c r="D116" i="8"/>
  <c r="C116" i="8"/>
  <c r="J116" i="8" s="1"/>
  <c r="B116" i="8"/>
  <c r="F115" i="8"/>
  <c r="D115" i="8"/>
  <c r="C115" i="8"/>
  <c r="J115" i="8" s="1"/>
  <c r="B115" i="8"/>
  <c r="L114" i="8"/>
  <c r="F114" i="8"/>
  <c r="E114" i="8"/>
  <c r="Q114" i="8" s="1"/>
  <c r="D114" i="8"/>
  <c r="C114" i="8"/>
  <c r="J114" i="8" s="1"/>
  <c r="B114" i="8"/>
  <c r="L113" i="8"/>
  <c r="F113" i="8"/>
  <c r="E113" i="8"/>
  <c r="C113" i="8"/>
  <c r="J113" i="8" s="1"/>
  <c r="B113" i="8"/>
  <c r="L112" i="8"/>
  <c r="F112" i="8"/>
  <c r="E112" i="8"/>
  <c r="B112" i="8"/>
  <c r="L111" i="8"/>
  <c r="E111" i="8"/>
  <c r="B111" i="8"/>
  <c r="L110" i="8"/>
  <c r="F110" i="8"/>
  <c r="E110" i="8"/>
  <c r="C110" i="8"/>
  <c r="J110" i="8" s="1"/>
  <c r="B110" i="8"/>
  <c r="L109" i="8"/>
  <c r="F109" i="8"/>
  <c r="E109" i="8"/>
  <c r="Q109" i="8" s="1"/>
  <c r="D109" i="8"/>
  <c r="D110" i="8" s="1"/>
  <c r="D111" i="8" s="1"/>
  <c r="D112" i="8" s="1"/>
  <c r="D113" i="8" s="1"/>
  <c r="C109" i="8"/>
  <c r="J109" i="8" s="1"/>
  <c r="B109" i="8"/>
  <c r="Q108" i="8"/>
  <c r="Q107" i="8"/>
  <c r="O107" i="8"/>
  <c r="Q103" i="8"/>
  <c r="J101" i="8"/>
  <c r="K101" i="8" s="1"/>
  <c r="F101" i="8"/>
  <c r="C101" i="8"/>
  <c r="E101" i="8" s="1"/>
  <c r="L101" i="8" s="1"/>
  <c r="J100" i="8"/>
  <c r="K100" i="8" s="1"/>
  <c r="F100" i="8"/>
  <c r="E100" i="8"/>
  <c r="L100" i="8" s="1"/>
  <c r="M100" i="8" s="1"/>
  <c r="C100" i="8"/>
  <c r="Q97" i="8"/>
  <c r="Q96" i="8"/>
  <c r="L96" i="8"/>
  <c r="K96" i="8"/>
  <c r="M96" i="8" s="1"/>
  <c r="J96" i="8"/>
  <c r="N96" i="8" s="1"/>
  <c r="O96" i="8" s="1"/>
  <c r="F96" i="8"/>
  <c r="E96" i="8"/>
  <c r="D96" i="8"/>
  <c r="C96" i="8"/>
  <c r="L95" i="8"/>
  <c r="F95" i="8"/>
  <c r="D95" i="8" s="1"/>
  <c r="E95" i="8"/>
  <c r="F94" i="8"/>
  <c r="D94" i="8" s="1"/>
  <c r="E94" i="8"/>
  <c r="L94" i="8" s="1"/>
  <c r="Q93" i="8"/>
  <c r="Q91" i="8"/>
  <c r="L90" i="8"/>
  <c r="F90" i="8"/>
  <c r="E90" i="8"/>
  <c r="Q90" i="8" s="1"/>
  <c r="D90" i="8"/>
  <c r="C90" i="8"/>
  <c r="J90" i="8" s="1"/>
  <c r="L89" i="8"/>
  <c r="F89" i="8"/>
  <c r="E89" i="8"/>
  <c r="D89" i="8"/>
  <c r="C89" i="8"/>
  <c r="J89" i="8" s="1"/>
  <c r="Q88" i="8"/>
  <c r="Q86" i="8"/>
  <c r="L85" i="8"/>
  <c r="F85" i="8"/>
  <c r="D85" i="8" s="1"/>
  <c r="E85" i="8"/>
  <c r="F84" i="8"/>
  <c r="C84" i="8" s="1"/>
  <c r="J84" i="8" s="1"/>
  <c r="E84" i="8"/>
  <c r="Q84" i="8" s="1"/>
  <c r="F83" i="8"/>
  <c r="C83" i="8" s="1"/>
  <c r="J83" i="8" s="1"/>
  <c r="E83" i="8"/>
  <c r="L83" i="8" s="1"/>
  <c r="D83" i="8"/>
  <c r="Q82" i="8"/>
  <c r="Q80" i="8"/>
  <c r="F79" i="8"/>
  <c r="E79" i="8"/>
  <c r="D79" i="8"/>
  <c r="C79" i="8"/>
  <c r="J79" i="8" s="1"/>
  <c r="L78" i="8"/>
  <c r="J78" i="8"/>
  <c r="Q78" i="8" s="1"/>
  <c r="F78" i="8"/>
  <c r="E78" i="8"/>
  <c r="D78" i="8"/>
  <c r="C78" i="8"/>
  <c r="L77" i="8"/>
  <c r="F77" i="8"/>
  <c r="D77" i="8" s="1"/>
  <c r="E77" i="8"/>
  <c r="Q76" i="8"/>
  <c r="Q75" i="8"/>
  <c r="L74" i="8"/>
  <c r="L73" i="8"/>
  <c r="E73" i="8"/>
  <c r="E72" i="8"/>
  <c r="F71" i="8"/>
  <c r="E71" i="8"/>
  <c r="L71" i="8" s="1"/>
  <c r="D71" i="8"/>
  <c r="B71" i="8"/>
  <c r="E70" i="8"/>
  <c r="L70" i="8" s="1"/>
  <c r="L69" i="8"/>
  <c r="E69" i="8"/>
  <c r="L68" i="8"/>
  <c r="E68" i="8"/>
  <c r="J67" i="8"/>
  <c r="Q67" i="8" s="1"/>
  <c r="J66" i="8"/>
  <c r="K66" i="8" s="1"/>
  <c r="E65" i="8"/>
  <c r="L65" i="8" s="1"/>
  <c r="B65" i="8"/>
  <c r="E64" i="8"/>
  <c r="B64" i="8"/>
  <c r="B63" i="8"/>
  <c r="E63" i="8" s="1"/>
  <c r="C55" i="8"/>
  <c r="D44" i="8"/>
  <c r="J44" i="8" s="1"/>
  <c r="E47" i="8" s="1"/>
  <c r="C44" i="8"/>
  <c r="I44" i="8" s="1"/>
  <c r="D47" i="8" s="1"/>
  <c r="J41" i="8"/>
  <c r="I41" i="8"/>
  <c r="H41" i="8"/>
  <c r="D41" i="8"/>
  <c r="C41" i="8"/>
  <c r="B41" i="8"/>
  <c r="B44" i="8" s="1"/>
  <c r="K37" i="8"/>
  <c r="H37" i="8"/>
  <c r="E37" i="8"/>
  <c r="F111" i="8" s="1"/>
  <c r="B37" i="8"/>
  <c r="C111" i="8" s="1"/>
  <c r="J111" i="8" s="1"/>
  <c r="G31" i="8"/>
  <c r="A31" i="8"/>
  <c r="E29" i="8"/>
  <c r="C29" i="8"/>
  <c r="F27" i="8"/>
  <c r="E16" i="8"/>
  <c r="E14" i="8"/>
  <c r="E13" i="8"/>
  <c r="E7" i="8"/>
  <c r="G7" i="8" s="1"/>
  <c r="G6" i="8"/>
  <c r="F6" i="8"/>
  <c r="E6" i="8"/>
  <c r="F4" i="8"/>
  <c r="E5" i="8" s="1"/>
  <c r="G5" i="8" s="1"/>
  <c r="E4" i="8"/>
  <c r="E3" i="8"/>
  <c r="G3" i="8" s="1"/>
  <c r="E295" i="7"/>
  <c r="D295" i="7"/>
  <c r="C295" i="7"/>
  <c r="B295" i="7"/>
  <c r="E294" i="7"/>
  <c r="D294" i="7"/>
  <c r="C294" i="7"/>
  <c r="B294" i="7"/>
  <c r="E293" i="7"/>
  <c r="D293" i="7"/>
  <c r="C293" i="7"/>
  <c r="B293" i="7"/>
  <c r="E292" i="7"/>
  <c r="D292" i="7"/>
  <c r="C292" i="7"/>
  <c r="B292" i="7"/>
  <c r="G291" i="7"/>
  <c r="E291" i="7"/>
  <c r="D291" i="7"/>
  <c r="C291" i="7"/>
  <c r="B291" i="7"/>
  <c r="D267" i="7"/>
  <c r="C267" i="7"/>
  <c r="B267" i="7"/>
  <c r="D266" i="7"/>
  <c r="C266" i="7"/>
  <c r="B266" i="7"/>
  <c r="D265" i="7"/>
  <c r="C265" i="7"/>
  <c r="B265" i="7"/>
  <c r="D264" i="7"/>
  <c r="C264" i="7"/>
  <c r="B264" i="7"/>
  <c r="D263" i="7"/>
  <c r="C263" i="7"/>
  <c r="B263" i="7"/>
  <c r="D262" i="7"/>
  <c r="C262" i="7"/>
  <c r="B262" i="7"/>
  <c r="C250" i="7"/>
  <c r="C248" i="7"/>
  <c r="C247" i="7"/>
  <c r="D248" i="7" s="1"/>
  <c r="C246" i="7"/>
  <c r="D245" i="7"/>
  <c r="C245" i="7"/>
  <c r="C244" i="7"/>
  <c r="L243" i="7"/>
  <c r="N241" i="7"/>
  <c r="O241" i="7" s="1"/>
  <c r="M241" i="7"/>
  <c r="B241" i="7"/>
  <c r="R240" i="7"/>
  <c r="N240" i="7"/>
  <c r="O240" i="7" s="1"/>
  <c r="M240" i="7"/>
  <c r="B240" i="7"/>
  <c r="B239" i="7"/>
  <c r="J239" i="7" s="1"/>
  <c r="B238" i="7"/>
  <c r="M237" i="7"/>
  <c r="N237" i="7" s="1"/>
  <c r="O237" i="7" s="1"/>
  <c r="B237" i="7"/>
  <c r="R236" i="7"/>
  <c r="J236" i="7"/>
  <c r="F236" i="7"/>
  <c r="C236" i="7"/>
  <c r="E236" i="7" s="1"/>
  <c r="L236" i="7" s="1"/>
  <c r="B236" i="7"/>
  <c r="F235" i="7"/>
  <c r="E235" i="7"/>
  <c r="L235" i="7" s="1"/>
  <c r="D235" i="7"/>
  <c r="C235" i="7"/>
  <c r="J235" i="7" s="1"/>
  <c r="B235" i="7"/>
  <c r="F234" i="7"/>
  <c r="D234" i="7"/>
  <c r="C234" i="7"/>
  <c r="J234" i="7" s="1"/>
  <c r="B234" i="7"/>
  <c r="J233" i="7"/>
  <c r="F233" i="7"/>
  <c r="E233" i="7"/>
  <c r="L233" i="7" s="1"/>
  <c r="D233" i="7"/>
  <c r="C233" i="7"/>
  <c r="B233" i="7"/>
  <c r="N232" i="7"/>
  <c r="O232" i="7" s="1"/>
  <c r="K232" i="7"/>
  <c r="J232" i="7"/>
  <c r="F232" i="7"/>
  <c r="E232" i="7"/>
  <c r="L232" i="7" s="1"/>
  <c r="D232" i="7"/>
  <c r="C232" i="7"/>
  <c r="B232" i="7"/>
  <c r="F231" i="7"/>
  <c r="B231" i="7"/>
  <c r="E231" i="7" s="1"/>
  <c r="L231" i="7" s="1"/>
  <c r="L230" i="7"/>
  <c r="F230" i="7"/>
  <c r="D230" i="7"/>
  <c r="C230" i="7"/>
  <c r="E230" i="7" s="1"/>
  <c r="B230" i="7"/>
  <c r="R229" i="7"/>
  <c r="N229" i="7"/>
  <c r="O229" i="7" s="1"/>
  <c r="M229" i="7"/>
  <c r="L229" i="7"/>
  <c r="K229" i="7"/>
  <c r="F229" i="7"/>
  <c r="E229" i="7"/>
  <c r="D229" i="7"/>
  <c r="C229" i="7"/>
  <c r="J229" i="7" s="1"/>
  <c r="Q229" i="7" s="1"/>
  <c r="B229" i="7"/>
  <c r="N228" i="7"/>
  <c r="O228" i="7" s="1"/>
  <c r="F228" i="7"/>
  <c r="D228" i="7"/>
  <c r="C228" i="7"/>
  <c r="J228" i="7" s="1"/>
  <c r="B228" i="7"/>
  <c r="Q227" i="7"/>
  <c r="N227" i="7"/>
  <c r="O227" i="7" s="1"/>
  <c r="J227" i="7"/>
  <c r="R227" i="7" s="1"/>
  <c r="F227" i="7"/>
  <c r="E227" i="7"/>
  <c r="L227" i="7" s="1"/>
  <c r="D227" i="7"/>
  <c r="C227" i="7"/>
  <c r="B227" i="7"/>
  <c r="Q226" i="7"/>
  <c r="J226" i="7"/>
  <c r="K226" i="7" s="1"/>
  <c r="F226" i="7"/>
  <c r="E226" i="7"/>
  <c r="L226" i="7" s="1"/>
  <c r="C226" i="7"/>
  <c r="B226" i="7"/>
  <c r="L225" i="7"/>
  <c r="F225" i="7"/>
  <c r="E225" i="7"/>
  <c r="B225" i="7"/>
  <c r="L224" i="7"/>
  <c r="E224" i="7"/>
  <c r="B224" i="7"/>
  <c r="K223" i="7"/>
  <c r="F223" i="7"/>
  <c r="E223" i="7"/>
  <c r="L223" i="7" s="1"/>
  <c r="M223" i="7" s="1"/>
  <c r="D223" i="7"/>
  <c r="D224" i="7" s="1"/>
  <c r="D225" i="7" s="1"/>
  <c r="D226" i="7" s="1"/>
  <c r="C223" i="7"/>
  <c r="J223" i="7" s="1"/>
  <c r="R223" i="7" s="1"/>
  <c r="B223" i="7"/>
  <c r="F222" i="7"/>
  <c r="E222" i="7"/>
  <c r="L222" i="7" s="1"/>
  <c r="D222" i="7"/>
  <c r="C222" i="7"/>
  <c r="J222" i="7" s="1"/>
  <c r="B222" i="7"/>
  <c r="F219" i="7"/>
  <c r="C219" i="7" s="1"/>
  <c r="J219" i="7" s="1"/>
  <c r="E219" i="7"/>
  <c r="L219" i="7" s="1"/>
  <c r="B219" i="7"/>
  <c r="J218" i="7"/>
  <c r="R218" i="7" s="1"/>
  <c r="F218" i="7"/>
  <c r="E218" i="7"/>
  <c r="L218" i="7" s="1"/>
  <c r="D218" i="7"/>
  <c r="C218" i="7"/>
  <c r="B218" i="7"/>
  <c r="O217" i="7"/>
  <c r="L217" i="7"/>
  <c r="K217" i="7"/>
  <c r="J217" i="7"/>
  <c r="N217" i="7" s="1"/>
  <c r="F217" i="7"/>
  <c r="D217" i="7"/>
  <c r="C217" i="7"/>
  <c r="E217" i="7" s="1"/>
  <c r="B217" i="7"/>
  <c r="F216" i="7"/>
  <c r="D216" i="7"/>
  <c r="C216" i="7"/>
  <c r="E216" i="7" s="1"/>
  <c r="L216" i="7" s="1"/>
  <c r="B216" i="7"/>
  <c r="L215" i="7"/>
  <c r="F215" i="7"/>
  <c r="E215" i="7"/>
  <c r="D215" i="7"/>
  <c r="C215" i="7"/>
  <c r="J215" i="7" s="1"/>
  <c r="Q215" i="7" s="1"/>
  <c r="B215" i="7"/>
  <c r="O214" i="7"/>
  <c r="N214" i="7"/>
  <c r="F214" i="7"/>
  <c r="E214" i="7"/>
  <c r="L214" i="7" s="1"/>
  <c r="D214" i="7"/>
  <c r="C214" i="7"/>
  <c r="J214" i="7" s="1"/>
  <c r="B214" i="7"/>
  <c r="J213" i="7"/>
  <c r="F213" i="7"/>
  <c r="E213" i="7"/>
  <c r="L213" i="7" s="1"/>
  <c r="D213" i="7"/>
  <c r="C213" i="7"/>
  <c r="B213" i="7"/>
  <c r="J212" i="7"/>
  <c r="R212" i="7" s="1"/>
  <c r="F212" i="7"/>
  <c r="E212" i="7"/>
  <c r="L212" i="7" s="1"/>
  <c r="D212" i="7"/>
  <c r="C212" i="7"/>
  <c r="B212" i="7"/>
  <c r="O211" i="7"/>
  <c r="L211" i="7"/>
  <c r="K211" i="7"/>
  <c r="J211" i="7"/>
  <c r="N211" i="7" s="1"/>
  <c r="F211" i="7"/>
  <c r="D211" i="7"/>
  <c r="C211" i="7"/>
  <c r="E211" i="7" s="1"/>
  <c r="B211" i="7"/>
  <c r="L210" i="7"/>
  <c r="F210" i="7"/>
  <c r="E210" i="7"/>
  <c r="D210" i="7"/>
  <c r="C210" i="7"/>
  <c r="J210" i="7" s="1"/>
  <c r="B210" i="7"/>
  <c r="F209" i="7"/>
  <c r="E209" i="7"/>
  <c r="L209" i="7" s="1"/>
  <c r="C209" i="7"/>
  <c r="J209" i="7" s="1"/>
  <c r="Q209" i="7" s="1"/>
  <c r="B209" i="7"/>
  <c r="L208" i="7"/>
  <c r="F208" i="7"/>
  <c r="E208" i="7"/>
  <c r="B208" i="7"/>
  <c r="E207" i="7"/>
  <c r="L207" i="7" s="1"/>
  <c r="D207" i="7"/>
  <c r="D208" i="7" s="1"/>
  <c r="D209" i="7" s="1"/>
  <c r="B207" i="7"/>
  <c r="J206" i="7"/>
  <c r="R206" i="7" s="1"/>
  <c r="F206" i="7"/>
  <c r="E206" i="7"/>
  <c r="L206" i="7" s="1"/>
  <c r="C206" i="7"/>
  <c r="B206" i="7"/>
  <c r="R205" i="7"/>
  <c r="L205" i="7"/>
  <c r="J205" i="7"/>
  <c r="N205" i="7" s="1"/>
  <c r="O205" i="7" s="1"/>
  <c r="F205" i="7"/>
  <c r="E205" i="7"/>
  <c r="D205" i="7"/>
  <c r="D206" i="7" s="1"/>
  <c r="C205" i="7"/>
  <c r="B205" i="7"/>
  <c r="J204" i="7"/>
  <c r="K204" i="7" s="1"/>
  <c r="F198" i="7"/>
  <c r="C198" i="7" s="1"/>
  <c r="B198" i="7"/>
  <c r="F197" i="7"/>
  <c r="D197" i="7"/>
  <c r="C197" i="7"/>
  <c r="E197" i="7" s="1"/>
  <c r="L197" i="7" s="1"/>
  <c r="B197" i="7"/>
  <c r="F196" i="7"/>
  <c r="D196" i="7"/>
  <c r="C196" i="7"/>
  <c r="J196" i="7" s="1"/>
  <c r="Q196" i="7" s="1"/>
  <c r="B196" i="7"/>
  <c r="O195" i="7"/>
  <c r="N195" i="7"/>
  <c r="F195" i="7"/>
  <c r="E195" i="7"/>
  <c r="L195" i="7" s="1"/>
  <c r="D195" i="7"/>
  <c r="C195" i="7"/>
  <c r="J195" i="7" s="1"/>
  <c r="B195" i="7"/>
  <c r="J194" i="7"/>
  <c r="D194" i="7"/>
  <c r="C194" i="7"/>
  <c r="E194" i="7" s="1"/>
  <c r="L194" i="7" s="1"/>
  <c r="B194" i="7"/>
  <c r="J193" i="7"/>
  <c r="F193" i="7"/>
  <c r="E193" i="7"/>
  <c r="L193" i="7" s="1"/>
  <c r="D193" i="7"/>
  <c r="B193" i="7"/>
  <c r="C193" i="7" s="1"/>
  <c r="J192" i="7"/>
  <c r="R192" i="7" s="1"/>
  <c r="F192" i="7"/>
  <c r="E192" i="7"/>
  <c r="L192" i="7" s="1"/>
  <c r="D192" i="7"/>
  <c r="C192" i="7"/>
  <c r="B192" i="7"/>
  <c r="L191" i="7"/>
  <c r="F191" i="7"/>
  <c r="E191" i="7"/>
  <c r="D191" i="7"/>
  <c r="C191" i="7"/>
  <c r="J191" i="7" s="1"/>
  <c r="B191" i="7"/>
  <c r="F190" i="7"/>
  <c r="D190" i="7"/>
  <c r="C190" i="7"/>
  <c r="J190" i="7" s="1"/>
  <c r="B190" i="7"/>
  <c r="R189" i="7"/>
  <c r="L189" i="7"/>
  <c r="J189" i="7"/>
  <c r="Q189" i="7" s="1"/>
  <c r="F189" i="7"/>
  <c r="E189" i="7"/>
  <c r="D189" i="7"/>
  <c r="C189" i="7"/>
  <c r="B189" i="7"/>
  <c r="F188" i="7"/>
  <c r="E188" i="7"/>
  <c r="L188" i="7" s="1"/>
  <c r="C188" i="7"/>
  <c r="J188" i="7" s="1"/>
  <c r="B188" i="7"/>
  <c r="L187" i="7"/>
  <c r="F187" i="7"/>
  <c r="E187" i="7"/>
  <c r="B187" i="7"/>
  <c r="E186" i="7"/>
  <c r="L186" i="7" s="1"/>
  <c r="C186" i="7"/>
  <c r="J186" i="7" s="1"/>
  <c r="B186" i="7"/>
  <c r="L185" i="7"/>
  <c r="F185" i="7"/>
  <c r="E185" i="7"/>
  <c r="D185" i="7"/>
  <c r="D186" i="7" s="1"/>
  <c r="D187" i="7" s="1"/>
  <c r="D188" i="7" s="1"/>
  <c r="C185" i="7"/>
  <c r="J185" i="7" s="1"/>
  <c r="B185" i="7"/>
  <c r="F184" i="7"/>
  <c r="E184" i="7"/>
  <c r="L184" i="7" s="1"/>
  <c r="D184" i="7"/>
  <c r="C184" i="7"/>
  <c r="J184" i="7" s="1"/>
  <c r="B184" i="7"/>
  <c r="F181" i="7"/>
  <c r="C181" i="7" s="1"/>
  <c r="B181" i="7"/>
  <c r="J180" i="7"/>
  <c r="R180" i="7" s="1"/>
  <c r="F180" i="7"/>
  <c r="E180" i="7"/>
  <c r="L180" i="7" s="1"/>
  <c r="D180" i="7"/>
  <c r="C180" i="7"/>
  <c r="B180" i="7"/>
  <c r="Q179" i="7"/>
  <c r="K179" i="7"/>
  <c r="J179" i="7"/>
  <c r="R179" i="7" s="1"/>
  <c r="F179" i="7"/>
  <c r="E179" i="7"/>
  <c r="L179" i="7" s="1"/>
  <c r="M179" i="7" s="1"/>
  <c r="D179" i="7"/>
  <c r="C179" i="7"/>
  <c r="B179" i="7"/>
  <c r="J178" i="7"/>
  <c r="R178" i="7" s="1"/>
  <c r="F178" i="7"/>
  <c r="D178" i="7"/>
  <c r="C178" i="7"/>
  <c r="E178" i="7" s="1"/>
  <c r="L178" i="7" s="1"/>
  <c r="B178" i="7"/>
  <c r="F177" i="7"/>
  <c r="D177" i="7"/>
  <c r="C177" i="7"/>
  <c r="E177" i="7" s="1"/>
  <c r="L177" i="7" s="1"/>
  <c r="B177" i="7"/>
  <c r="L176" i="7"/>
  <c r="F176" i="7"/>
  <c r="E176" i="7"/>
  <c r="D176" i="7"/>
  <c r="C176" i="7"/>
  <c r="J176" i="7" s="1"/>
  <c r="B176" i="7"/>
  <c r="R175" i="7"/>
  <c r="Q175" i="7"/>
  <c r="O175" i="7"/>
  <c r="N175" i="7"/>
  <c r="J175" i="7"/>
  <c r="K175" i="7" s="1"/>
  <c r="F175" i="7"/>
  <c r="E175" i="7"/>
  <c r="L175" i="7" s="1"/>
  <c r="M175" i="7" s="1"/>
  <c r="D175" i="7"/>
  <c r="C175" i="7"/>
  <c r="B175" i="7"/>
  <c r="F174" i="7"/>
  <c r="E174" i="7"/>
  <c r="L174" i="7" s="1"/>
  <c r="D174" i="7"/>
  <c r="C174" i="7"/>
  <c r="J174" i="7" s="1"/>
  <c r="B174" i="7"/>
  <c r="R173" i="7"/>
  <c r="J173" i="7"/>
  <c r="K173" i="7" s="1"/>
  <c r="F173" i="7"/>
  <c r="D173" i="7"/>
  <c r="C173" i="7"/>
  <c r="E173" i="7" s="1"/>
  <c r="L173" i="7" s="1"/>
  <c r="M173" i="7" s="1"/>
  <c r="B173" i="7"/>
  <c r="F172" i="7"/>
  <c r="E172" i="7"/>
  <c r="L172" i="7" s="1"/>
  <c r="D172" i="7"/>
  <c r="C172" i="7"/>
  <c r="J172" i="7" s="1"/>
  <c r="B172" i="7"/>
  <c r="L171" i="7"/>
  <c r="F171" i="7"/>
  <c r="E171" i="7"/>
  <c r="C171" i="7"/>
  <c r="J171" i="7" s="1"/>
  <c r="B171" i="7"/>
  <c r="F170" i="7"/>
  <c r="E170" i="7"/>
  <c r="L170" i="7" s="1"/>
  <c r="B170" i="7"/>
  <c r="F169" i="7"/>
  <c r="E169" i="7"/>
  <c r="L169" i="7" s="1"/>
  <c r="D169" i="7"/>
  <c r="D170" i="7" s="1"/>
  <c r="D171" i="7" s="1"/>
  <c r="B169" i="7"/>
  <c r="J168" i="7"/>
  <c r="R168" i="7" s="1"/>
  <c r="F168" i="7"/>
  <c r="E168" i="7"/>
  <c r="L168" i="7" s="1"/>
  <c r="D168" i="7"/>
  <c r="C168" i="7"/>
  <c r="B168" i="7"/>
  <c r="Q167" i="7"/>
  <c r="K167" i="7"/>
  <c r="J167" i="7"/>
  <c r="R167" i="7" s="1"/>
  <c r="F167" i="7"/>
  <c r="E167" i="7"/>
  <c r="L167" i="7" s="1"/>
  <c r="M167" i="7" s="1"/>
  <c r="D167" i="7"/>
  <c r="C167" i="7"/>
  <c r="B167" i="7"/>
  <c r="R166" i="7"/>
  <c r="Q166" i="7"/>
  <c r="Q161" i="7"/>
  <c r="F160" i="7"/>
  <c r="C160" i="7"/>
  <c r="J160" i="7" s="1"/>
  <c r="B160" i="7"/>
  <c r="F159" i="7"/>
  <c r="D159" i="7"/>
  <c r="C159" i="7"/>
  <c r="J159" i="7" s="1"/>
  <c r="B159" i="7"/>
  <c r="F158" i="7"/>
  <c r="D158" i="7"/>
  <c r="C158" i="7"/>
  <c r="J158" i="7" s="1"/>
  <c r="B158" i="7"/>
  <c r="F157" i="7"/>
  <c r="D157" i="7"/>
  <c r="C157" i="7"/>
  <c r="J157" i="7" s="1"/>
  <c r="B157" i="7"/>
  <c r="J156" i="7"/>
  <c r="R156" i="7" s="1"/>
  <c r="F156" i="7"/>
  <c r="E156" i="7"/>
  <c r="L156" i="7" s="1"/>
  <c r="D156" i="7"/>
  <c r="C156" i="7"/>
  <c r="B156" i="7"/>
  <c r="F155" i="7"/>
  <c r="E155" i="7"/>
  <c r="L155" i="7" s="1"/>
  <c r="B155" i="7"/>
  <c r="D155" i="7" s="1"/>
  <c r="J154" i="7"/>
  <c r="R154" i="7" s="1"/>
  <c r="F154" i="7"/>
  <c r="D154" i="7"/>
  <c r="C154" i="7"/>
  <c r="E154" i="7" s="1"/>
  <c r="L154" i="7" s="1"/>
  <c r="B154" i="7"/>
  <c r="L153" i="7"/>
  <c r="F153" i="7"/>
  <c r="E153" i="7"/>
  <c r="D153" i="7"/>
  <c r="C153" i="7"/>
  <c r="J153" i="7" s="1"/>
  <c r="B153" i="7"/>
  <c r="L152" i="7"/>
  <c r="F152" i="7"/>
  <c r="E152" i="7"/>
  <c r="D152" i="7"/>
  <c r="C152" i="7"/>
  <c r="J152" i="7" s="1"/>
  <c r="B152" i="7"/>
  <c r="R151" i="7"/>
  <c r="O151" i="7"/>
  <c r="N151" i="7"/>
  <c r="J151" i="7"/>
  <c r="K151" i="7" s="1"/>
  <c r="F151" i="7"/>
  <c r="E151" i="7"/>
  <c r="L151" i="7" s="1"/>
  <c r="M151" i="7" s="1"/>
  <c r="D151" i="7"/>
  <c r="C151" i="7"/>
  <c r="B151" i="7"/>
  <c r="F150" i="7"/>
  <c r="E150" i="7"/>
  <c r="L150" i="7" s="1"/>
  <c r="C150" i="7"/>
  <c r="J150" i="7" s="1"/>
  <c r="B150" i="7"/>
  <c r="L149" i="7"/>
  <c r="F149" i="7"/>
  <c r="E149" i="7"/>
  <c r="B149" i="7"/>
  <c r="E148" i="7"/>
  <c r="L148" i="7" s="1"/>
  <c r="B148" i="7"/>
  <c r="L147" i="7"/>
  <c r="F147" i="7"/>
  <c r="E147" i="7"/>
  <c r="D147" i="7"/>
  <c r="D148" i="7" s="1"/>
  <c r="D149" i="7" s="1"/>
  <c r="D150" i="7" s="1"/>
  <c r="C147" i="7"/>
  <c r="J147" i="7" s="1"/>
  <c r="B147" i="7"/>
  <c r="F146" i="7"/>
  <c r="E146" i="7"/>
  <c r="L146" i="7" s="1"/>
  <c r="D146" i="7"/>
  <c r="C146" i="7"/>
  <c r="J146" i="7" s="1"/>
  <c r="B146" i="7"/>
  <c r="Q145" i="7"/>
  <c r="Q144" i="7"/>
  <c r="F143" i="7"/>
  <c r="C143" i="7" s="1"/>
  <c r="B143" i="7"/>
  <c r="J142" i="7"/>
  <c r="R142" i="7" s="1"/>
  <c r="F142" i="7"/>
  <c r="D142" i="7"/>
  <c r="C142" i="7"/>
  <c r="E142" i="7" s="1"/>
  <c r="L142" i="7" s="1"/>
  <c r="B142" i="7"/>
  <c r="F141" i="7"/>
  <c r="D141" i="7"/>
  <c r="C141" i="7"/>
  <c r="E141" i="7" s="1"/>
  <c r="L141" i="7" s="1"/>
  <c r="B141" i="7"/>
  <c r="L140" i="7"/>
  <c r="F140" i="7"/>
  <c r="E140" i="7"/>
  <c r="D140" i="7"/>
  <c r="C140" i="7"/>
  <c r="J140" i="7" s="1"/>
  <c r="B140" i="7"/>
  <c r="R139" i="7"/>
  <c r="O139" i="7"/>
  <c r="N139" i="7"/>
  <c r="J139" i="7"/>
  <c r="K139" i="7" s="1"/>
  <c r="F139" i="7"/>
  <c r="E139" i="7"/>
  <c r="L139" i="7" s="1"/>
  <c r="M139" i="7" s="1"/>
  <c r="D139" i="7"/>
  <c r="C139" i="7"/>
  <c r="B139" i="7"/>
  <c r="F138" i="7"/>
  <c r="C138" i="7"/>
  <c r="J138" i="7" s="1"/>
  <c r="B138" i="7"/>
  <c r="E138" i="7" s="1"/>
  <c r="L138" i="7" s="1"/>
  <c r="R137" i="7"/>
  <c r="J137" i="7"/>
  <c r="K137" i="7" s="1"/>
  <c r="F137" i="7"/>
  <c r="D137" i="7"/>
  <c r="C137" i="7"/>
  <c r="E137" i="7" s="1"/>
  <c r="L137" i="7" s="1"/>
  <c r="M137" i="7" s="1"/>
  <c r="B137" i="7"/>
  <c r="F136" i="7"/>
  <c r="E136" i="7"/>
  <c r="L136" i="7" s="1"/>
  <c r="D136" i="7"/>
  <c r="C136" i="7"/>
  <c r="J136" i="7" s="1"/>
  <c r="B136" i="7"/>
  <c r="F135" i="7"/>
  <c r="D135" i="7"/>
  <c r="C135" i="7"/>
  <c r="J135" i="7" s="1"/>
  <c r="B135" i="7"/>
  <c r="F134" i="7"/>
  <c r="E134" i="7"/>
  <c r="L134" i="7" s="1"/>
  <c r="D134" i="7"/>
  <c r="C134" i="7"/>
  <c r="J134" i="7" s="1"/>
  <c r="B134" i="7"/>
  <c r="F133" i="7"/>
  <c r="E133" i="7"/>
  <c r="L133" i="7" s="1"/>
  <c r="C133" i="7"/>
  <c r="J133" i="7" s="1"/>
  <c r="B133" i="7"/>
  <c r="F132" i="7"/>
  <c r="E132" i="7"/>
  <c r="L132" i="7" s="1"/>
  <c r="B132" i="7"/>
  <c r="F131" i="7"/>
  <c r="E131" i="7"/>
  <c r="L131" i="7" s="1"/>
  <c r="B131" i="7"/>
  <c r="L130" i="7"/>
  <c r="J130" i="7"/>
  <c r="R130" i="7" s="1"/>
  <c r="F130" i="7"/>
  <c r="E130" i="7"/>
  <c r="C130" i="7"/>
  <c r="B130" i="7"/>
  <c r="L129" i="7"/>
  <c r="F129" i="7"/>
  <c r="E129" i="7"/>
  <c r="D129" i="7"/>
  <c r="D130" i="7" s="1"/>
  <c r="D131" i="7" s="1"/>
  <c r="D132" i="7" s="1"/>
  <c r="D133" i="7" s="1"/>
  <c r="C129" i="7"/>
  <c r="B129" i="7"/>
  <c r="R124" i="7"/>
  <c r="L124" i="7"/>
  <c r="M124" i="7" s="1"/>
  <c r="J124" i="7"/>
  <c r="K124" i="7" s="1"/>
  <c r="F124" i="7"/>
  <c r="E124" i="7"/>
  <c r="D124" i="7"/>
  <c r="C124" i="7"/>
  <c r="R123" i="7"/>
  <c r="L123" i="7"/>
  <c r="M123" i="7" s="1"/>
  <c r="J123" i="7"/>
  <c r="K123" i="7" s="1"/>
  <c r="F123" i="7"/>
  <c r="E123" i="7"/>
  <c r="D123" i="7"/>
  <c r="C123" i="7"/>
  <c r="R122" i="7"/>
  <c r="L122" i="7"/>
  <c r="J122" i="7"/>
  <c r="K122" i="7" s="1"/>
  <c r="F122" i="7"/>
  <c r="E122" i="7"/>
  <c r="D122" i="7"/>
  <c r="C122" i="7"/>
  <c r="F118" i="7"/>
  <c r="E118" i="7"/>
  <c r="L118" i="7" s="1"/>
  <c r="D118" i="7"/>
  <c r="C118" i="7"/>
  <c r="J118" i="7" s="1"/>
  <c r="F117" i="7"/>
  <c r="E117" i="7"/>
  <c r="L117" i="7" s="1"/>
  <c r="D117" i="7"/>
  <c r="C117" i="7"/>
  <c r="J117" i="7" s="1"/>
  <c r="F113" i="7"/>
  <c r="D113" i="7" s="1"/>
  <c r="E113" i="7"/>
  <c r="L113" i="7" s="1"/>
  <c r="F112" i="7"/>
  <c r="D112" i="7" s="1"/>
  <c r="E112" i="7"/>
  <c r="L112" i="7" s="1"/>
  <c r="F111" i="7"/>
  <c r="D111" i="7" s="1"/>
  <c r="E111" i="7"/>
  <c r="L111" i="7" s="1"/>
  <c r="L107" i="7"/>
  <c r="F107" i="7"/>
  <c r="C107" i="7" s="1"/>
  <c r="J107" i="7" s="1"/>
  <c r="E107" i="7"/>
  <c r="D107" i="7"/>
  <c r="L106" i="7"/>
  <c r="F106" i="7"/>
  <c r="C106" i="7" s="1"/>
  <c r="J106" i="7" s="1"/>
  <c r="E106" i="7"/>
  <c r="D106" i="7"/>
  <c r="L105" i="7"/>
  <c r="F105" i="7"/>
  <c r="C105" i="7" s="1"/>
  <c r="J105" i="7" s="1"/>
  <c r="E105" i="7"/>
  <c r="D105" i="7"/>
  <c r="L102" i="7"/>
  <c r="L101" i="7"/>
  <c r="E101" i="7"/>
  <c r="L100" i="7"/>
  <c r="E100" i="7"/>
  <c r="L99" i="7"/>
  <c r="E99" i="7"/>
  <c r="D99" i="7"/>
  <c r="B99" i="7"/>
  <c r="E98" i="7"/>
  <c r="L98" i="7" s="1"/>
  <c r="L97" i="7"/>
  <c r="E97" i="7"/>
  <c r="L96" i="7"/>
  <c r="E96" i="7"/>
  <c r="J95" i="7"/>
  <c r="K95" i="7" s="1"/>
  <c r="K94" i="7"/>
  <c r="J94" i="7"/>
  <c r="B93" i="7"/>
  <c r="E93" i="7" s="1"/>
  <c r="L93" i="7" s="1"/>
  <c r="B92" i="7"/>
  <c r="E92" i="7" s="1"/>
  <c r="L92" i="7" s="1"/>
  <c r="B91" i="7"/>
  <c r="E91" i="7" s="1"/>
  <c r="L91" i="7" s="1"/>
  <c r="C83" i="7"/>
  <c r="D72" i="7"/>
  <c r="J73" i="7" s="1"/>
  <c r="J69" i="7"/>
  <c r="I69" i="7"/>
  <c r="H69" i="7"/>
  <c r="D69" i="7"/>
  <c r="C69" i="7"/>
  <c r="C72" i="7" s="1"/>
  <c r="I73" i="7" s="1"/>
  <c r="B69" i="7"/>
  <c r="B72" i="7" s="1"/>
  <c r="K65" i="7"/>
  <c r="F224" i="7" s="1"/>
  <c r="H65" i="7"/>
  <c r="C224" i="7" s="1"/>
  <c r="J224" i="7" s="1"/>
  <c r="E65" i="7"/>
  <c r="F207" i="7" s="1"/>
  <c r="B65" i="7"/>
  <c r="C207" i="7" s="1"/>
  <c r="J207" i="7" s="1"/>
  <c r="G59" i="7"/>
  <c r="A59" i="7"/>
  <c r="D56" i="7"/>
  <c r="J57" i="7" s="1"/>
  <c r="J53" i="7"/>
  <c r="I53" i="7"/>
  <c r="H53" i="7"/>
  <c r="D53" i="7"/>
  <c r="C53" i="7"/>
  <c r="C56" i="7" s="1"/>
  <c r="I57" i="7" s="1"/>
  <c r="B53" i="7"/>
  <c r="B56" i="7" s="1"/>
  <c r="K49" i="7"/>
  <c r="F186" i="7" s="1"/>
  <c r="H49" i="7"/>
  <c r="E49" i="7"/>
  <c r="B49" i="7"/>
  <c r="C169" i="7" s="1"/>
  <c r="G43" i="7"/>
  <c r="A43" i="7"/>
  <c r="J38" i="7"/>
  <c r="I38" i="7"/>
  <c r="H38" i="7"/>
  <c r="D38" i="7"/>
  <c r="D41" i="7" s="1"/>
  <c r="J40" i="7" s="1"/>
  <c r="J41" i="7" s="1"/>
  <c r="E75" i="7" s="1"/>
  <c r="E78" i="7" s="1"/>
  <c r="C38" i="7"/>
  <c r="C41" i="7" s="1"/>
  <c r="I40" i="7" s="1"/>
  <c r="I41" i="7" s="1"/>
  <c r="B38" i="7"/>
  <c r="B41" i="7" s="1"/>
  <c r="H40" i="7" s="1"/>
  <c r="H41" i="7" s="1"/>
  <c r="K34" i="7"/>
  <c r="F148" i="7" s="1"/>
  <c r="H34" i="7"/>
  <c r="C148" i="7" s="1"/>
  <c r="J148" i="7" s="1"/>
  <c r="E34" i="7"/>
  <c r="B34" i="7"/>
  <c r="C131" i="7" s="1"/>
  <c r="J131" i="7" s="1"/>
  <c r="G28" i="7"/>
  <c r="A28" i="7"/>
  <c r="XFA26" i="7"/>
  <c r="XEW26" i="7"/>
  <c r="XES26" i="7"/>
  <c r="XEO26" i="7"/>
  <c r="XEK26" i="7"/>
  <c r="XEG26" i="7"/>
  <c r="XEC26" i="7"/>
  <c r="XDY26" i="7"/>
  <c r="XDU26" i="7"/>
  <c r="XDQ26" i="7"/>
  <c r="XDM26" i="7"/>
  <c r="XDI26" i="7"/>
  <c r="XDE26" i="7"/>
  <c r="XDA26" i="7"/>
  <c r="XCW26" i="7"/>
  <c r="XCS26" i="7"/>
  <c r="XCO26" i="7"/>
  <c r="XCK26" i="7"/>
  <c r="XCG26" i="7"/>
  <c r="XCC26" i="7"/>
  <c r="XBY26" i="7"/>
  <c r="XBU26" i="7"/>
  <c r="XBQ26" i="7"/>
  <c r="XBM26" i="7"/>
  <c r="XBI26" i="7"/>
  <c r="XBE26" i="7"/>
  <c r="XBA26" i="7"/>
  <c r="XAW26" i="7"/>
  <c r="XAS26" i="7"/>
  <c r="XAO26" i="7"/>
  <c r="XAK26" i="7"/>
  <c r="XAG26" i="7"/>
  <c r="XAC26" i="7"/>
  <c r="WZY26" i="7"/>
  <c r="WZU26" i="7"/>
  <c r="WZQ26" i="7"/>
  <c r="WZM26" i="7"/>
  <c r="WZI26" i="7"/>
  <c r="WZE26" i="7"/>
  <c r="WZA26" i="7"/>
  <c r="WYW26" i="7"/>
  <c r="WYS26" i="7"/>
  <c r="WYO26" i="7"/>
  <c r="WYK26" i="7"/>
  <c r="WYG26" i="7"/>
  <c r="WYC26" i="7"/>
  <c r="WXY26" i="7"/>
  <c r="WXU26" i="7"/>
  <c r="WXQ26" i="7"/>
  <c r="WXM26" i="7"/>
  <c r="WXI26" i="7"/>
  <c r="WXE26" i="7"/>
  <c r="WXA26" i="7"/>
  <c r="WWW26" i="7"/>
  <c r="WWS26" i="7"/>
  <c r="WWO26" i="7"/>
  <c r="WWK26" i="7"/>
  <c r="WWG26" i="7"/>
  <c r="WWC26" i="7"/>
  <c r="WVY26" i="7"/>
  <c r="WVU26" i="7"/>
  <c r="WVQ26" i="7"/>
  <c r="WVM26" i="7"/>
  <c r="WVI26" i="7"/>
  <c r="WVE26" i="7"/>
  <c r="WVA26" i="7"/>
  <c r="WUW26" i="7"/>
  <c r="WUS26" i="7"/>
  <c r="WUO26" i="7"/>
  <c r="WUK26" i="7"/>
  <c r="WUG26" i="7"/>
  <c r="WUC26" i="7"/>
  <c r="WTY26" i="7"/>
  <c r="WTU26" i="7"/>
  <c r="WTQ26" i="7"/>
  <c r="WTM26" i="7"/>
  <c r="WTI26" i="7"/>
  <c r="WTE26" i="7"/>
  <c r="WTA26" i="7"/>
  <c r="WSW26" i="7"/>
  <c r="WSS26" i="7"/>
  <c r="WSO26" i="7"/>
  <c r="WSK26" i="7"/>
  <c r="WSG26" i="7"/>
  <c r="WSC26" i="7"/>
  <c r="WRY26" i="7"/>
  <c r="WRU26" i="7"/>
  <c r="WRQ26" i="7"/>
  <c r="WRM26" i="7"/>
  <c r="WRI26" i="7"/>
  <c r="WRE26" i="7"/>
  <c r="WRA26" i="7"/>
  <c r="WQW26" i="7"/>
  <c r="WQS26" i="7"/>
  <c r="WQO26" i="7"/>
  <c r="WQK26" i="7"/>
  <c r="WQG26" i="7"/>
  <c r="WQC26" i="7"/>
  <c r="WPY26" i="7"/>
  <c r="WPU26" i="7"/>
  <c r="WPQ26" i="7"/>
  <c r="WPM26" i="7"/>
  <c r="WPI26" i="7"/>
  <c r="WPE26" i="7"/>
  <c r="WPA26" i="7"/>
  <c r="WOW26" i="7"/>
  <c r="WOS26" i="7"/>
  <c r="WOO26" i="7"/>
  <c r="WOK26" i="7"/>
  <c r="WOG26" i="7"/>
  <c r="WOC26" i="7"/>
  <c r="WNY26" i="7"/>
  <c r="WNU26" i="7"/>
  <c r="WNQ26" i="7"/>
  <c r="WNM26" i="7"/>
  <c r="WNI26" i="7"/>
  <c r="WNE26" i="7"/>
  <c r="WNA26" i="7"/>
  <c r="WMW26" i="7"/>
  <c r="WMS26" i="7"/>
  <c r="WMO26" i="7"/>
  <c r="WMK26" i="7"/>
  <c r="WMG26" i="7"/>
  <c r="WMC26" i="7"/>
  <c r="WLY26" i="7"/>
  <c r="WLU26" i="7"/>
  <c r="WLQ26" i="7"/>
  <c r="WLM26" i="7"/>
  <c r="WLI26" i="7"/>
  <c r="WLE26" i="7"/>
  <c r="WLA26" i="7"/>
  <c r="WKW26" i="7"/>
  <c r="WKS26" i="7"/>
  <c r="WKO26" i="7"/>
  <c r="WKK26" i="7"/>
  <c r="WKG26" i="7"/>
  <c r="WKC26" i="7"/>
  <c r="WJY26" i="7"/>
  <c r="WJU26" i="7"/>
  <c r="WJQ26" i="7"/>
  <c r="WJM26" i="7"/>
  <c r="WJI26" i="7"/>
  <c r="WJE26" i="7"/>
  <c r="WJA26" i="7"/>
  <c r="WIW26" i="7"/>
  <c r="WIS26" i="7"/>
  <c r="WIO26" i="7"/>
  <c r="WIK26" i="7"/>
  <c r="WIG26" i="7"/>
  <c r="WIC26" i="7"/>
  <c r="WHY26" i="7"/>
  <c r="WHU26" i="7"/>
  <c r="WHQ26" i="7"/>
  <c r="WHM26" i="7"/>
  <c r="WHI26" i="7"/>
  <c r="WHE26" i="7"/>
  <c r="WHA26" i="7"/>
  <c r="WGW26" i="7"/>
  <c r="WGS26" i="7"/>
  <c r="WGO26" i="7"/>
  <c r="WGK26" i="7"/>
  <c r="WGG26" i="7"/>
  <c r="WGC26" i="7"/>
  <c r="WFY26" i="7"/>
  <c r="WFU26" i="7"/>
  <c r="WFQ26" i="7"/>
  <c r="WFM26" i="7"/>
  <c r="WFI26" i="7"/>
  <c r="WFE26" i="7"/>
  <c r="WFA26" i="7"/>
  <c r="WEW26" i="7"/>
  <c r="WES26" i="7"/>
  <c r="WEO26" i="7"/>
  <c r="WEK26" i="7"/>
  <c r="WEG26" i="7"/>
  <c r="WEC26" i="7"/>
  <c r="WDY26" i="7"/>
  <c r="WDU26" i="7"/>
  <c r="WDQ26" i="7"/>
  <c r="WDM26" i="7"/>
  <c r="WDI26" i="7"/>
  <c r="WDE26" i="7"/>
  <c r="WDA26" i="7"/>
  <c r="WCW26" i="7"/>
  <c r="WCS26" i="7"/>
  <c r="WCO26" i="7"/>
  <c r="WCK26" i="7"/>
  <c r="WCG26" i="7"/>
  <c r="WCC26" i="7"/>
  <c r="WBY26" i="7"/>
  <c r="WBU26" i="7"/>
  <c r="WBQ26" i="7"/>
  <c r="WBM26" i="7"/>
  <c r="WBI26" i="7"/>
  <c r="WBE26" i="7"/>
  <c r="WBA26" i="7"/>
  <c r="WAW26" i="7"/>
  <c r="WAS26" i="7"/>
  <c r="WAO26" i="7"/>
  <c r="WAK26" i="7"/>
  <c r="WAG26" i="7"/>
  <c r="WAC26" i="7"/>
  <c r="VZY26" i="7"/>
  <c r="VZU26" i="7"/>
  <c r="VZQ26" i="7"/>
  <c r="VZM26" i="7"/>
  <c r="VZI26" i="7"/>
  <c r="VZE26" i="7"/>
  <c r="VZA26" i="7"/>
  <c r="VYW26" i="7"/>
  <c r="VYS26" i="7"/>
  <c r="VYO26" i="7"/>
  <c r="VYK26" i="7"/>
  <c r="VYG26" i="7"/>
  <c r="VYC26" i="7"/>
  <c r="VXY26" i="7"/>
  <c r="VXU26" i="7"/>
  <c r="VXQ26" i="7"/>
  <c r="VXM26" i="7"/>
  <c r="VXI26" i="7"/>
  <c r="VXE26" i="7"/>
  <c r="VXA26" i="7"/>
  <c r="VWW26" i="7"/>
  <c r="VWS26" i="7"/>
  <c r="VWO26" i="7"/>
  <c r="VWK26" i="7"/>
  <c r="VWG26" i="7"/>
  <c r="VWC26" i="7"/>
  <c r="VVY26" i="7"/>
  <c r="VVU26" i="7"/>
  <c r="VVQ26" i="7"/>
  <c r="VVM26" i="7"/>
  <c r="VVI26" i="7"/>
  <c r="VVE26" i="7"/>
  <c r="VVA26" i="7"/>
  <c r="VUW26" i="7"/>
  <c r="VUS26" i="7"/>
  <c r="VUO26" i="7"/>
  <c r="VUK26" i="7"/>
  <c r="VUG26" i="7"/>
  <c r="VUC26" i="7"/>
  <c r="VTY26" i="7"/>
  <c r="VTU26" i="7"/>
  <c r="VTQ26" i="7"/>
  <c r="VTM26" i="7"/>
  <c r="VTI26" i="7"/>
  <c r="VTE26" i="7"/>
  <c r="VTA26" i="7"/>
  <c r="VSW26" i="7"/>
  <c r="VSS26" i="7"/>
  <c r="VSO26" i="7"/>
  <c r="VSK26" i="7"/>
  <c r="VSG26" i="7"/>
  <c r="VSC26" i="7"/>
  <c r="VRY26" i="7"/>
  <c r="VRU26" i="7"/>
  <c r="VRQ26" i="7"/>
  <c r="VRM26" i="7"/>
  <c r="VRI26" i="7"/>
  <c r="VRE26" i="7"/>
  <c r="VRA26" i="7"/>
  <c r="VQW26" i="7"/>
  <c r="VQS26" i="7"/>
  <c r="VQO26" i="7"/>
  <c r="VQK26" i="7"/>
  <c r="VQG26" i="7"/>
  <c r="VQC26" i="7"/>
  <c r="VPY26" i="7"/>
  <c r="VPU26" i="7"/>
  <c r="VPQ26" i="7"/>
  <c r="VPM26" i="7"/>
  <c r="VPI26" i="7"/>
  <c r="VPE26" i="7"/>
  <c r="VPA26" i="7"/>
  <c r="VOW26" i="7"/>
  <c r="VOS26" i="7"/>
  <c r="VOO26" i="7"/>
  <c r="VOK26" i="7"/>
  <c r="VOG26" i="7"/>
  <c r="VOC26" i="7"/>
  <c r="VNY26" i="7"/>
  <c r="VNU26" i="7"/>
  <c r="VNQ26" i="7"/>
  <c r="VNM26" i="7"/>
  <c r="VNI26" i="7"/>
  <c r="VNE26" i="7"/>
  <c r="VNA26" i="7"/>
  <c r="VMW26" i="7"/>
  <c r="VMS26" i="7"/>
  <c r="VMO26" i="7"/>
  <c r="VMK26" i="7"/>
  <c r="VMG26" i="7"/>
  <c r="VMC26" i="7"/>
  <c r="VLY26" i="7"/>
  <c r="VLU26" i="7"/>
  <c r="VLQ26" i="7"/>
  <c r="VLM26" i="7"/>
  <c r="VLI26" i="7"/>
  <c r="VLE26" i="7"/>
  <c r="VLA26" i="7"/>
  <c r="VKW26" i="7"/>
  <c r="VKS26" i="7"/>
  <c r="VKO26" i="7"/>
  <c r="VKK26" i="7"/>
  <c r="VKG26" i="7"/>
  <c r="VKC26" i="7"/>
  <c r="VJY26" i="7"/>
  <c r="VJU26" i="7"/>
  <c r="VJQ26" i="7"/>
  <c r="VJM26" i="7"/>
  <c r="VJI26" i="7"/>
  <c r="VJE26" i="7"/>
  <c r="VJA26" i="7"/>
  <c r="VIW26" i="7"/>
  <c r="VIS26" i="7"/>
  <c r="VIO26" i="7"/>
  <c r="VIK26" i="7"/>
  <c r="VIG26" i="7"/>
  <c r="VIC26" i="7"/>
  <c r="VHY26" i="7"/>
  <c r="VHU26" i="7"/>
  <c r="VHQ26" i="7"/>
  <c r="VHM26" i="7"/>
  <c r="VHI26" i="7"/>
  <c r="VHE26" i="7"/>
  <c r="VHA26" i="7"/>
  <c r="VGW26" i="7"/>
  <c r="VGS26" i="7"/>
  <c r="VGO26" i="7"/>
  <c r="VGK26" i="7"/>
  <c r="VGG26" i="7"/>
  <c r="VGC26" i="7"/>
  <c r="VFY26" i="7"/>
  <c r="VFU26" i="7"/>
  <c r="VFQ26" i="7"/>
  <c r="VFM26" i="7"/>
  <c r="VFI26" i="7"/>
  <c r="VFE26" i="7"/>
  <c r="VFA26" i="7"/>
  <c r="VEW26" i="7"/>
  <c r="VES26" i="7"/>
  <c r="VEO26" i="7"/>
  <c r="VEK26" i="7"/>
  <c r="VEG26" i="7"/>
  <c r="VEC26" i="7"/>
  <c r="VDY26" i="7"/>
  <c r="VDU26" i="7"/>
  <c r="VDQ26" i="7"/>
  <c r="VDM26" i="7"/>
  <c r="VDI26" i="7"/>
  <c r="VDE26" i="7"/>
  <c r="VDA26" i="7"/>
  <c r="VCW26" i="7"/>
  <c r="VCS26" i="7"/>
  <c r="VCO26" i="7"/>
  <c r="VCK26" i="7"/>
  <c r="VCG26" i="7"/>
  <c r="VCC26" i="7"/>
  <c r="VBY26" i="7"/>
  <c r="VBU26" i="7"/>
  <c r="VBQ26" i="7"/>
  <c r="VBM26" i="7"/>
  <c r="VBI26" i="7"/>
  <c r="VBE26" i="7"/>
  <c r="VBA26" i="7"/>
  <c r="VAW26" i="7"/>
  <c r="VAS26" i="7"/>
  <c r="VAO26" i="7"/>
  <c r="VAK26" i="7"/>
  <c r="VAG26" i="7"/>
  <c r="VAC26" i="7"/>
  <c r="UZY26" i="7"/>
  <c r="UZU26" i="7"/>
  <c r="UZQ26" i="7"/>
  <c r="UZM26" i="7"/>
  <c r="UZI26" i="7"/>
  <c r="UZE26" i="7"/>
  <c r="UZA26" i="7"/>
  <c r="UYW26" i="7"/>
  <c r="UYS26" i="7"/>
  <c r="UYO26" i="7"/>
  <c r="UYK26" i="7"/>
  <c r="UYG26" i="7"/>
  <c r="UYC26" i="7"/>
  <c r="UXY26" i="7"/>
  <c r="UXU26" i="7"/>
  <c r="UXQ26" i="7"/>
  <c r="UXM26" i="7"/>
  <c r="UXI26" i="7"/>
  <c r="UXE26" i="7"/>
  <c r="UXA26" i="7"/>
  <c r="UWW26" i="7"/>
  <c r="UWS26" i="7"/>
  <c r="UWO26" i="7"/>
  <c r="UWK26" i="7"/>
  <c r="UWG26" i="7"/>
  <c r="UWC26" i="7"/>
  <c r="UVY26" i="7"/>
  <c r="UVU26" i="7"/>
  <c r="UVQ26" i="7"/>
  <c r="UVM26" i="7"/>
  <c r="UVI26" i="7"/>
  <c r="UVE26" i="7"/>
  <c r="UVA26" i="7"/>
  <c r="UUW26" i="7"/>
  <c r="UUS26" i="7"/>
  <c r="UUO26" i="7"/>
  <c r="UUK26" i="7"/>
  <c r="UUG26" i="7"/>
  <c r="UUC26" i="7"/>
  <c r="UTY26" i="7"/>
  <c r="UTU26" i="7"/>
  <c r="UTQ26" i="7"/>
  <c r="UTM26" i="7"/>
  <c r="UTI26" i="7"/>
  <c r="UTE26" i="7"/>
  <c r="UTA26" i="7"/>
  <c r="USW26" i="7"/>
  <c r="USS26" i="7"/>
  <c r="USO26" i="7"/>
  <c r="USK26" i="7"/>
  <c r="USG26" i="7"/>
  <c r="USC26" i="7"/>
  <c r="URY26" i="7"/>
  <c r="URU26" i="7"/>
  <c r="URQ26" i="7"/>
  <c r="URM26" i="7"/>
  <c r="URI26" i="7"/>
  <c r="URE26" i="7"/>
  <c r="URA26" i="7"/>
  <c r="UQW26" i="7"/>
  <c r="UQS26" i="7"/>
  <c r="UQO26" i="7"/>
  <c r="UQK26" i="7"/>
  <c r="UQG26" i="7"/>
  <c r="UQC26" i="7"/>
  <c r="UPY26" i="7"/>
  <c r="UPU26" i="7"/>
  <c r="UPQ26" i="7"/>
  <c r="UPM26" i="7"/>
  <c r="UPI26" i="7"/>
  <c r="UPE26" i="7"/>
  <c r="UPA26" i="7"/>
  <c r="UOW26" i="7"/>
  <c r="UOS26" i="7"/>
  <c r="UOO26" i="7"/>
  <c r="UOK26" i="7"/>
  <c r="UOG26" i="7"/>
  <c r="UOC26" i="7"/>
  <c r="UNY26" i="7"/>
  <c r="UNU26" i="7"/>
  <c r="UNQ26" i="7"/>
  <c r="UNM26" i="7"/>
  <c r="UNI26" i="7"/>
  <c r="UNE26" i="7"/>
  <c r="UNA26" i="7"/>
  <c r="UMW26" i="7"/>
  <c r="UMS26" i="7"/>
  <c r="UMO26" i="7"/>
  <c r="UMK26" i="7"/>
  <c r="UMG26" i="7"/>
  <c r="UMC26" i="7"/>
  <c r="ULY26" i="7"/>
  <c r="ULU26" i="7"/>
  <c r="ULQ26" i="7"/>
  <c r="ULM26" i="7"/>
  <c r="ULI26" i="7"/>
  <c r="ULE26" i="7"/>
  <c r="ULA26" i="7"/>
  <c r="UKW26" i="7"/>
  <c r="UKS26" i="7"/>
  <c r="UKO26" i="7"/>
  <c r="UKK26" i="7"/>
  <c r="UKG26" i="7"/>
  <c r="UKC26" i="7"/>
  <c r="UJY26" i="7"/>
  <c r="UJU26" i="7"/>
  <c r="UJQ26" i="7"/>
  <c r="UJM26" i="7"/>
  <c r="UJI26" i="7"/>
  <c r="UJE26" i="7"/>
  <c r="UJA26" i="7"/>
  <c r="UIW26" i="7"/>
  <c r="UIS26" i="7"/>
  <c r="UIO26" i="7"/>
  <c r="UIK26" i="7"/>
  <c r="UIG26" i="7"/>
  <c r="UIC26" i="7"/>
  <c r="UHY26" i="7"/>
  <c r="UHU26" i="7"/>
  <c r="UHQ26" i="7"/>
  <c r="UHM26" i="7"/>
  <c r="UHI26" i="7"/>
  <c r="UHE26" i="7"/>
  <c r="UHA26" i="7"/>
  <c r="UGW26" i="7"/>
  <c r="UGS26" i="7"/>
  <c r="UGO26" i="7"/>
  <c r="UGK26" i="7"/>
  <c r="UGG26" i="7"/>
  <c r="UGC26" i="7"/>
  <c r="UFY26" i="7"/>
  <c r="UFU26" i="7"/>
  <c r="UFQ26" i="7"/>
  <c r="UFM26" i="7"/>
  <c r="UFI26" i="7"/>
  <c r="UFE26" i="7"/>
  <c r="UFA26" i="7"/>
  <c r="UEW26" i="7"/>
  <c r="UES26" i="7"/>
  <c r="UEO26" i="7"/>
  <c r="UEK26" i="7"/>
  <c r="UEG26" i="7"/>
  <c r="UEC26" i="7"/>
  <c r="UDY26" i="7"/>
  <c r="UDU26" i="7"/>
  <c r="UDQ26" i="7"/>
  <c r="UDM26" i="7"/>
  <c r="UDI26" i="7"/>
  <c r="UDE26" i="7"/>
  <c r="UDA26" i="7"/>
  <c r="UCW26" i="7"/>
  <c r="UCS26" i="7"/>
  <c r="UCO26" i="7"/>
  <c r="UCK26" i="7"/>
  <c r="UCG26" i="7"/>
  <c r="UCC26" i="7"/>
  <c r="UBY26" i="7"/>
  <c r="UBU26" i="7"/>
  <c r="UBQ26" i="7"/>
  <c r="UBM26" i="7"/>
  <c r="UBI26" i="7"/>
  <c r="UBE26" i="7"/>
  <c r="UBA26" i="7"/>
  <c r="UAW26" i="7"/>
  <c r="UAS26" i="7"/>
  <c r="UAO26" i="7"/>
  <c r="UAK26" i="7"/>
  <c r="UAG26" i="7"/>
  <c r="UAC26" i="7"/>
  <c r="TZY26" i="7"/>
  <c r="TZU26" i="7"/>
  <c r="TZQ26" i="7"/>
  <c r="TZM26" i="7"/>
  <c r="TZI26" i="7"/>
  <c r="TZE26" i="7"/>
  <c r="TZA26" i="7"/>
  <c r="TYW26" i="7"/>
  <c r="TYS26" i="7"/>
  <c r="TYO26" i="7"/>
  <c r="TYK26" i="7"/>
  <c r="TYG26" i="7"/>
  <c r="TYC26" i="7"/>
  <c r="TXY26" i="7"/>
  <c r="TXU26" i="7"/>
  <c r="TXQ26" i="7"/>
  <c r="TXM26" i="7"/>
  <c r="TXI26" i="7"/>
  <c r="TXE26" i="7"/>
  <c r="TXA26" i="7"/>
  <c r="TWW26" i="7"/>
  <c r="TWS26" i="7"/>
  <c r="TWO26" i="7"/>
  <c r="TWK26" i="7"/>
  <c r="TWG26" i="7"/>
  <c r="TWC26" i="7"/>
  <c r="TVY26" i="7"/>
  <c r="TVU26" i="7"/>
  <c r="TVQ26" i="7"/>
  <c r="TVM26" i="7"/>
  <c r="TVI26" i="7"/>
  <c r="TVE26" i="7"/>
  <c r="TVA26" i="7"/>
  <c r="TUW26" i="7"/>
  <c r="TUS26" i="7"/>
  <c r="TUO26" i="7"/>
  <c r="TUK26" i="7"/>
  <c r="TUG26" i="7"/>
  <c r="TUC26" i="7"/>
  <c r="TTY26" i="7"/>
  <c r="TTU26" i="7"/>
  <c r="TTQ26" i="7"/>
  <c r="TTM26" i="7"/>
  <c r="TTI26" i="7"/>
  <c r="TTE26" i="7"/>
  <c r="TTA26" i="7"/>
  <c r="TSW26" i="7"/>
  <c r="TSS26" i="7"/>
  <c r="TSO26" i="7"/>
  <c r="TSK26" i="7"/>
  <c r="TSG26" i="7"/>
  <c r="TSC26" i="7"/>
  <c r="TRY26" i="7"/>
  <c r="TRU26" i="7"/>
  <c r="TRQ26" i="7"/>
  <c r="TRM26" i="7"/>
  <c r="TRI26" i="7"/>
  <c r="TRE26" i="7"/>
  <c r="TRA26" i="7"/>
  <c r="TQW26" i="7"/>
  <c r="TQS26" i="7"/>
  <c r="TQO26" i="7"/>
  <c r="TQK26" i="7"/>
  <c r="TQG26" i="7"/>
  <c r="TQC26" i="7"/>
  <c r="TPY26" i="7"/>
  <c r="TPU26" i="7"/>
  <c r="TPQ26" i="7"/>
  <c r="TPM26" i="7"/>
  <c r="TPI26" i="7"/>
  <c r="TPE26" i="7"/>
  <c r="TPA26" i="7"/>
  <c r="TOW26" i="7"/>
  <c r="TOS26" i="7"/>
  <c r="TOO26" i="7"/>
  <c r="TOK26" i="7"/>
  <c r="TOG26" i="7"/>
  <c r="TOC26" i="7"/>
  <c r="TNY26" i="7"/>
  <c r="TNU26" i="7"/>
  <c r="TNQ26" i="7"/>
  <c r="TNM26" i="7"/>
  <c r="TNI26" i="7"/>
  <c r="TNE26" i="7"/>
  <c r="TNA26" i="7"/>
  <c r="TMW26" i="7"/>
  <c r="TMS26" i="7"/>
  <c r="TMO26" i="7"/>
  <c r="TMK26" i="7"/>
  <c r="TMG26" i="7"/>
  <c r="TMC26" i="7"/>
  <c r="TLY26" i="7"/>
  <c r="TLU26" i="7"/>
  <c r="TLQ26" i="7"/>
  <c r="TLM26" i="7"/>
  <c r="TLI26" i="7"/>
  <c r="TLE26" i="7"/>
  <c r="TLA26" i="7"/>
  <c r="TKW26" i="7"/>
  <c r="TKS26" i="7"/>
  <c r="TKO26" i="7"/>
  <c r="TKK26" i="7"/>
  <c r="TKG26" i="7"/>
  <c r="TKC26" i="7"/>
  <c r="TJY26" i="7"/>
  <c r="TJU26" i="7"/>
  <c r="TJQ26" i="7"/>
  <c r="TJM26" i="7"/>
  <c r="TJI26" i="7"/>
  <c r="TJE26" i="7"/>
  <c r="TJA26" i="7"/>
  <c r="TIW26" i="7"/>
  <c r="TIS26" i="7"/>
  <c r="TIO26" i="7"/>
  <c r="TIK26" i="7"/>
  <c r="TIG26" i="7"/>
  <c r="TIC26" i="7"/>
  <c r="THY26" i="7"/>
  <c r="THU26" i="7"/>
  <c r="THQ26" i="7"/>
  <c r="THM26" i="7"/>
  <c r="THI26" i="7"/>
  <c r="THE26" i="7"/>
  <c r="THA26" i="7"/>
  <c r="TGW26" i="7"/>
  <c r="TGS26" i="7"/>
  <c r="TGO26" i="7"/>
  <c r="TGK26" i="7"/>
  <c r="TGG26" i="7"/>
  <c r="TGC26" i="7"/>
  <c r="TFY26" i="7"/>
  <c r="TFU26" i="7"/>
  <c r="TFQ26" i="7"/>
  <c r="TFM26" i="7"/>
  <c r="TFI26" i="7"/>
  <c r="TFE26" i="7"/>
  <c r="TFA26" i="7"/>
  <c r="TEW26" i="7"/>
  <c r="TES26" i="7"/>
  <c r="TEO26" i="7"/>
  <c r="TEK26" i="7"/>
  <c r="TEG26" i="7"/>
  <c r="TEC26" i="7"/>
  <c r="TDY26" i="7"/>
  <c r="TDU26" i="7"/>
  <c r="TDQ26" i="7"/>
  <c r="TDM26" i="7"/>
  <c r="TDI26" i="7"/>
  <c r="TDE26" i="7"/>
  <c r="TDA26" i="7"/>
  <c r="TCW26" i="7"/>
  <c r="TCS26" i="7"/>
  <c r="TCO26" i="7"/>
  <c r="TCK26" i="7"/>
  <c r="TCG26" i="7"/>
  <c r="TCC26" i="7"/>
  <c r="TBY26" i="7"/>
  <c r="TBU26" i="7"/>
  <c r="TBQ26" i="7"/>
  <c r="TBM26" i="7"/>
  <c r="TBI26" i="7"/>
  <c r="TBE26" i="7"/>
  <c r="TBA26" i="7"/>
  <c r="TAW26" i="7"/>
  <c r="TAS26" i="7"/>
  <c r="TAO26" i="7"/>
  <c r="TAK26" i="7"/>
  <c r="TAG26" i="7"/>
  <c r="TAC26" i="7"/>
  <c r="SZY26" i="7"/>
  <c r="SZU26" i="7"/>
  <c r="SZQ26" i="7"/>
  <c r="SZM26" i="7"/>
  <c r="SZI26" i="7"/>
  <c r="SZE26" i="7"/>
  <c r="SZA26" i="7"/>
  <c r="SYW26" i="7"/>
  <c r="SYS26" i="7"/>
  <c r="SYO26" i="7"/>
  <c r="SYK26" i="7"/>
  <c r="SYG26" i="7"/>
  <c r="SYC26" i="7"/>
  <c r="SXY26" i="7"/>
  <c r="SXU26" i="7"/>
  <c r="SXQ26" i="7"/>
  <c r="SXM26" i="7"/>
  <c r="SXI26" i="7"/>
  <c r="SXE26" i="7"/>
  <c r="SXA26" i="7"/>
  <c r="SWW26" i="7"/>
  <c r="SWS26" i="7"/>
  <c r="SWO26" i="7"/>
  <c r="SWK26" i="7"/>
  <c r="SWG26" i="7"/>
  <c r="SWC26" i="7"/>
  <c r="SVY26" i="7"/>
  <c r="SVU26" i="7"/>
  <c r="SVQ26" i="7"/>
  <c r="SVM26" i="7"/>
  <c r="SVI26" i="7"/>
  <c r="SVE26" i="7"/>
  <c r="SVA26" i="7"/>
  <c r="SUW26" i="7"/>
  <c r="SUS26" i="7"/>
  <c r="SUO26" i="7"/>
  <c r="SUK26" i="7"/>
  <c r="SUG26" i="7"/>
  <c r="SUC26" i="7"/>
  <c r="STY26" i="7"/>
  <c r="STU26" i="7"/>
  <c r="STQ26" i="7"/>
  <c r="STM26" i="7"/>
  <c r="STI26" i="7"/>
  <c r="STE26" i="7"/>
  <c r="STA26" i="7"/>
  <c r="SSW26" i="7"/>
  <c r="SSS26" i="7"/>
  <c r="SSO26" i="7"/>
  <c r="SSK26" i="7"/>
  <c r="SSG26" i="7"/>
  <c r="SSC26" i="7"/>
  <c r="SRY26" i="7"/>
  <c r="SRU26" i="7"/>
  <c r="SRQ26" i="7"/>
  <c r="SRM26" i="7"/>
  <c r="SRI26" i="7"/>
  <c r="SRE26" i="7"/>
  <c r="SRA26" i="7"/>
  <c r="SQW26" i="7"/>
  <c r="SQS26" i="7"/>
  <c r="SQO26" i="7"/>
  <c r="SQK26" i="7"/>
  <c r="SQG26" i="7"/>
  <c r="SQC26" i="7"/>
  <c r="SPY26" i="7"/>
  <c r="SPU26" i="7"/>
  <c r="SPQ26" i="7"/>
  <c r="SPM26" i="7"/>
  <c r="SPI26" i="7"/>
  <c r="SPE26" i="7"/>
  <c r="SPA26" i="7"/>
  <c r="SOW26" i="7"/>
  <c r="SOS26" i="7"/>
  <c r="SOO26" i="7"/>
  <c r="SOK26" i="7"/>
  <c r="SOG26" i="7"/>
  <c r="SOC26" i="7"/>
  <c r="SNY26" i="7"/>
  <c r="SNU26" i="7"/>
  <c r="SNQ26" i="7"/>
  <c r="SNM26" i="7"/>
  <c r="SNI26" i="7"/>
  <c r="SNE26" i="7"/>
  <c r="SNA26" i="7"/>
  <c r="SMW26" i="7"/>
  <c r="SMS26" i="7"/>
  <c r="SMO26" i="7"/>
  <c r="SMK26" i="7"/>
  <c r="SMG26" i="7"/>
  <c r="SMC26" i="7"/>
  <c r="SLY26" i="7"/>
  <c r="SLU26" i="7"/>
  <c r="SLQ26" i="7"/>
  <c r="SLM26" i="7"/>
  <c r="SLI26" i="7"/>
  <c r="SLE26" i="7"/>
  <c r="SLA26" i="7"/>
  <c r="SKW26" i="7"/>
  <c r="SKS26" i="7"/>
  <c r="SKO26" i="7"/>
  <c r="SKK26" i="7"/>
  <c r="SKG26" i="7"/>
  <c r="SKC26" i="7"/>
  <c r="SJY26" i="7"/>
  <c r="SJU26" i="7"/>
  <c r="SJQ26" i="7"/>
  <c r="SJM26" i="7"/>
  <c r="SJI26" i="7"/>
  <c r="SJE26" i="7"/>
  <c r="SJA26" i="7"/>
  <c r="SIW26" i="7"/>
  <c r="SIS26" i="7"/>
  <c r="SIO26" i="7"/>
  <c r="SIK26" i="7"/>
  <c r="SIG26" i="7"/>
  <c r="SIC26" i="7"/>
  <c r="SHY26" i="7"/>
  <c r="SHU26" i="7"/>
  <c r="SHQ26" i="7"/>
  <c r="SHM26" i="7"/>
  <c r="SHI26" i="7"/>
  <c r="SHE26" i="7"/>
  <c r="SHA26" i="7"/>
  <c r="SGW26" i="7"/>
  <c r="SGS26" i="7"/>
  <c r="SGO26" i="7"/>
  <c r="SGK26" i="7"/>
  <c r="SGG26" i="7"/>
  <c r="SGC26" i="7"/>
  <c r="SFY26" i="7"/>
  <c r="SFU26" i="7"/>
  <c r="SFQ26" i="7"/>
  <c r="SFM26" i="7"/>
  <c r="SFI26" i="7"/>
  <c r="SFE26" i="7"/>
  <c r="SFA26" i="7"/>
  <c r="SEW26" i="7"/>
  <c r="SES26" i="7"/>
  <c r="SEO26" i="7"/>
  <c r="SEK26" i="7"/>
  <c r="SEG26" i="7"/>
  <c r="SEC26" i="7"/>
  <c r="SDY26" i="7"/>
  <c r="SDU26" i="7"/>
  <c r="SDQ26" i="7"/>
  <c r="SDM26" i="7"/>
  <c r="SDI26" i="7"/>
  <c r="SDE26" i="7"/>
  <c r="SDA26" i="7"/>
  <c r="SCW26" i="7"/>
  <c r="SCS26" i="7"/>
  <c r="SCO26" i="7"/>
  <c r="SCK26" i="7"/>
  <c r="SCG26" i="7"/>
  <c r="SCC26" i="7"/>
  <c r="SBY26" i="7"/>
  <c r="SBU26" i="7"/>
  <c r="SBQ26" i="7"/>
  <c r="SBM26" i="7"/>
  <c r="SBI26" i="7"/>
  <c r="SBE26" i="7"/>
  <c r="SBA26" i="7"/>
  <c r="SAW26" i="7"/>
  <c r="SAS26" i="7"/>
  <c r="SAO26" i="7"/>
  <c r="SAK26" i="7"/>
  <c r="SAG26" i="7"/>
  <c r="SAC26" i="7"/>
  <c r="RZY26" i="7"/>
  <c r="RZU26" i="7"/>
  <c r="RZQ26" i="7"/>
  <c r="RZM26" i="7"/>
  <c r="RZI26" i="7"/>
  <c r="RZE26" i="7"/>
  <c r="RZA26" i="7"/>
  <c r="RYW26" i="7"/>
  <c r="RYS26" i="7"/>
  <c r="RYO26" i="7"/>
  <c r="RYK26" i="7"/>
  <c r="RYG26" i="7"/>
  <c r="RYC26" i="7"/>
  <c r="RXY26" i="7"/>
  <c r="RXU26" i="7"/>
  <c r="RXQ26" i="7"/>
  <c r="RXM26" i="7"/>
  <c r="RXI26" i="7"/>
  <c r="RXE26" i="7"/>
  <c r="RXA26" i="7"/>
  <c r="RWW26" i="7"/>
  <c r="RWS26" i="7"/>
  <c r="RWO26" i="7"/>
  <c r="RWK26" i="7"/>
  <c r="RWG26" i="7"/>
  <c r="RWC26" i="7"/>
  <c r="RVY26" i="7"/>
  <c r="RVU26" i="7"/>
  <c r="RVQ26" i="7"/>
  <c r="RVM26" i="7"/>
  <c r="RVI26" i="7"/>
  <c r="RVE26" i="7"/>
  <c r="RVA26" i="7"/>
  <c r="RUW26" i="7"/>
  <c r="RUS26" i="7"/>
  <c r="RUO26" i="7"/>
  <c r="RUK26" i="7"/>
  <c r="RUG26" i="7"/>
  <c r="RUC26" i="7"/>
  <c r="RTY26" i="7"/>
  <c r="RTU26" i="7"/>
  <c r="RTQ26" i="7"/>
  <c r="RTM26" i="7"/>
  <c r="RTI26" i="7"/>
  <c r="RTE26" i="7"/>
  <c r="RTA26" i="7"/>
  <c r="RSW26" i="7"/>
  <c r="RSS26" i="7"/>
  <c r="RSO26" i="7"/>
  <c r="RSK26" i="7"/>
  <c r="RSG26" i="7"/>
  <c r="RSC26" i="7"/>
  <c r="RRY26" i="7"/>
  <c r="RRU26" i="7"/>
  <c r="RRQ26" i="7"/>
  <c r="RRM26" i="7"/>
  <c r="RRI26" i="7"/>
  <c r="RRE26" i="7"/>
  <c r="RRA26" i="7"/>
  <c r="RQW26" i="7"/>
  <c r="RQS26" i="7"/>
  <c r="RQO26" i="7"/>
  <c r="RQK26" i="7"/>
  <c r="RQG26" i="7"/>
  <c r="RQC26" i="7"/>
  <c r="RPY26" i="7"/>
  <c r="RPU26" i="7"/>
  <c r="RPQ26" i="7"/>
  <c r="RPM26" i="7"/>
  <c r="RPI26" i="7"/>
  <c r="RPE26" i="7"/>
  <c r="RPA26" i="7"/>
  <c r="ROW26" i="7"/>
  <c r="ROS26" i="7"/>
  <c r="ROO26" i="7"/>
  <c r="ROK26" i="7"/>
  <c r="ROG26" i="7"/>
  <c r="ROC26" i="7"/>
  <c r="RNY26" i="7"/>
  <c r="RNU26" i="7"/>
  <c r="RNQ26" i="7"/>
  <c r="RNM26" i="7"/>
  <c r="RNI26" i="7"/>
  <c r="RNE26" i="7"/>
  <c r="RNA26" i="7"/>
  <c r="RMW26" i="7"/>
  <c r="RMS26" i="7"/>
  <c r="RMO26" i="7"/>
  <c r="RMK26" i="7"/>
  <c r="RMG26" i="7"/>
  <c r="RMC26" i="7"/>
  <c r="RLY26" i="7"/>
  <c r="RLU26" i="7"/>
  <c r="RLQ26" i="7"/>
  <c r="RLM26" i="7"/>
  <c r="RLI26" i="7"/>
  <c r="RLE26" i="7"/>
  <c r="RLA26" i="7"/>
  <c r="RKW26" i="7"/>
  <c r="RKS26" i="7"/>
  <c r="RKO26" i="7"/>
  <c r="RKK26" i="7"/>
  <c r="RKG26" i="7"/>
  <c r="RKC26" i="7"/>
  <c r="RJY26" i="7"/>
  <c r="RJU26" i="7"/>
  <c r="RJQ26" i="7"/>
  <c r="RJM26" i="7"/>
  <c r="RJI26" i="7"/>
  <c r="RJE26" i="7"/>
  <c r="RJA26" i="7"/>
  <c r="RIW26" i="7"/>
  <c r="RIS26" i="7"/>
  <c r="RIO26" i="7"/>
  <c r="RIK26" i="7"/>
  <c r="RIG26" i="7"/>
  <c r="RIC26" i="7"/>
  <c r="RHY26" i="7"/>
  <c r="RHU26" i="7"/>
  <c r="RHQ26" i="7"/>
  <c r="RHM26" i="7"/>
  <c r="RHI26" i="7"/>
  <c r="RHE26" i="7"/>
  <c r="RHA26" i="7"/>
  <c r="RGW26" i="7"/>
  <c r="RGS26" i="7"/>
  <c r="RGO26" i="7"/>
  <c r="RGK26" i="7"/>
  <c r="RGG26" i="7"/>
  <c r="RGC26" i="7"/>
  <c r="RFY26" i="7"/>
  <c r="RFU26" i="7"/>
  <c r="RFQ26" i="7"/>
  <c r="RFM26" i="7"/>
  <c r="RFI26" i="7"/>
  <c r="RFE26" i="7"/>
  <c r="RFA26" i="7"/>
  <c r="REW26" i="7"/>
  <c r="RES26" i="7"/>
  <c r="REO26" i="7"/>
  <c r="REK26" i="7"/>
  <c r="REG26" i="7"/>
  <c r="REC26" i="7"/>
  <c r="RDY26" i="7"/>
  <c r="RDU26" i="7"/>
  <c r="RDQ26" i="7"/>
  <c r="RDM26" i="7"/>
  <c r="RDI26" i="7"/>
  <c r="RDE26" i="7"/>
  <c r="RDA26" i="7"/>
  <c r="RCW26" i="7"/>
  <c r="RCS26" i="7"/>
  <c r="RCO26" i="7"/>
  <c r="RCK26" i="7"/>
  <c r="RCG26" i="7"/>
  <c r="RCC26" i="7"/>
  <c r="RBY26" i="7"/>
  <c r="RBU26" i="7"/>
  <c r="RBQ26" i="7"/>
  <c r="RBM26" i="7"/>
  <c r="RBI26" i="7"/>
  <c r="RBE26" i="7"/>
  <c r="RBA26" i="7"/>
  <c r="RAW26" i="7"/>
  <c r="RAS26" i="7"/>
  <c r="RAO26" i="7"/>
  <c r="RAK26" i="7"/>
  <c r="RAG26" i="7"/>
  <c r="RAC26" i="7"/>
  <c r="QZY26" i="7"/>
  <c r="QZU26" i="7"/>
  <c r="QZQ26" i="7"/>
  <c r="QZM26" i="7"/>
  <c r="QZI26" i="7"/>
  <c r="QZE26" i="7"/>
  <c r="QZA26" i="7"/>
  <c r="QYW26" i="7"/>
  <c r="QYS26" i="7"/>
  <c r="QYO26" i="7"/>
  <c r="QYK26" i="7"/>
  <c r="QYG26" i="7"/>
  <c r="QYC26" i="7"/>
  <c r="QXY26" i="7"/>
  <c r="QXU26" i="7"/>
  <c r="QXQ26" i="7"/>
  <c r="QXM26" i="7"/>
  <c r="QXI26" i="7"/>
  <c r="QXE26" i="7"/>
  <c r="QXA26" i="7"/>
  <c r="QWW26" i="7"/>
  <c r="QWS26" i="7"/>
  <c r="QWO26" i="7"/>
  <c r="QWK26" i="7"/>
  <c r="QWG26" i="7"/>
  <c r="QWC26" i="7"/>
  <c r="QVY26" i="7"/>
  <c r="QVU26" i="7"/>
  <c r="QVQ26" i="7"/>
  <c r="QVM26" i="7"/>
  <c r="QVI26" i="7"/>
  <c r="QVE26" i="7"/>
  <c r="QVA26" i="7"/>
  <c r="QUW26" i="7"/>
  <c r="QUS26" i="7"/>
  <c r="QUO26" i="7"/>
  <c r="QUK26" i="7"/>
  <c r="QUG26" i="7"/>
  <c r="QUC26" i="7"/>
  <c r="QTY26" i="7"/>
  <c r="QTU26" i="7"/>
  <c r="QTQ26" i="7"/>
  <c r="QTM26" i="7"/>
  <c r="QTI26" i="7"/>
  <c r="QTE26" i="7"/>
  <c r="QTA26" i="7"/>
  <c r="QSW26" i="7"/>
  <c r="QSS26" i="7"/>
  <c r="QSO26" i="7"/>
  <c r="QSK26" i="7"/>
  <c r="QSG26" i="7"/>
  <c r="QSC26" i="7"/>
  <c r="QRY26" i="7"/>
  <c r="QRU26" i="7"/>
  <c r="QRQ26" i="7"/>
  <c r="QRM26" i="7"/>
  <c r="QRI26" i="7"/>
  <c r="QRE26" i="7"/>
  <c r="QRA26" i="7"/>
  <c r="QQW26" i="7"/>
  <c r="QQS26" i="7"/>
  <c r="QQO26" i="7"/>
  <c r="QQK26" i="7"/>
  <c r="QQG26" i="7"/>
  <c r="QQC26" i="7"/>
  <c r="QPY26" i="7"/>
  <c r="QPU26" i="7"/>
  <c r="QPQ26" i="7"/>
  <c r="QPM26" i="7"/>
  <c r="QPI26" i="7"/>
  <c r="QPE26" i="7"/>
  <c r="QPA26" i="7"/>
  <c r="QOW26" i="7"/>
  <c r="QOS26" i="7"/>
  <c r="QOO26" i="7"/>
  <c r="QOK26" i="7"/>
  <c r="QOG26" i="7"/>
  <c r="QOC26" i="7"/>
  <c r="QNY26" i="7"/>
  <c r="QNU26" i="7"/>
  <c r="QNQ26" i="7"/>
  <c r="QNM26" i="7"/>
  <c r="QNI26" i="7"/>
  <c r="QNE26" i="7"/>
  <c r="QNA26" i="7"/>
  <c r="QMW26" i="7"/>
  <c r="QMS26" i="7"/>
  <c r="QMO26" i="7"/>
  <c r="QMK26" i="7"/>
  <c r="QMG26" i="7"/>
  <c r="QMC26" i="7"/>
  <c r="QLY26" i="7"/>
  <c r="QLU26" i="7"/>
  <c r="QLQ26" i="7"/>
  <c r="QLM26" i="7"/>
  <c r="QLI26" i="7"/>
  <c r="QLE26" i="7"/>
  <c r="QLA26" i="7"/>
  <c r="QKW26" i="7"/>
  <c r="QKS26" i="7"/>
  <c r="QKO26" i="7"/>
  <c r="QKK26" i="7"/>
  <c r="QKG26" i="7"/>
  <c r="QKC26" i="7"/>
  <c r="QJY26" i="7"/>
  <c r="QJU26" i="7"/>
  <c r="QJQ26" i="7"/>
  <c r="QJM26" i="7"/>
  <c r="QJI26" i="7"/>
  <c r="QJE26" i="7"/>
  <c r="QJA26" i="7"/>
  <c r="QIW26" i="7"/>
  <c r="QIS26" i="7"/>
  <c r="QIO26" i="7"/>
  <c r="QIK26" i="7"/>
  <c r="QIG26" i="7"/>
  <c r="QIC26" i="7"/>
  <c r="QHY26" i="7"/>
  <c r="QHU26" i="7"/>
  <c r="QHQ26" i="7"/>
  <c r="QHM26" i="7"/>
  <c r="QHI26" i="7"/>
  <c r="QHE26" i="7"/>
  <c r="QHA26" i="7"/>
  <c r="QGW26" i="7"/>
  <c r="QGS26" i="7"/>
  <c r="QGO26" i="7"/>
  <c r="QGK26" i="7"/>
  <c r="QGG26" i="7"/>
  <c r="QGC26" i="7"/>
  <c r="QFY26" i="7"/>
  <c r="QFU26" i="7"/>
  <c r="QFQ26" i="7"/>
  <c r="QFM26" i="7"/>
  <c r="QFI26" i="7"/>
  <c r="QFE26" i="7"/>
  <c r="QFA26" i="7"/>
  <c r="QEW26" i="7"/>
  <c r="QES26" i="7"/>
  <c r="QEO26" i="7"/>
  <c r="QEK26" i="7"/>
  <c r="QEG26" i="7"/>
  <c r="QEC26" i="7"/>
  <c r="QDY26" i="7"/>
  <c r="QDU26" i="7"/>
  <c r="QDQ26" i="7"/>
  <c r="QDM26" i="7"/>
  <c r="QDI26" i="7"/>
  <c r="QDE26" i="7"/>
  <c r="QDA26" i="7"/>
  <c r="QCW26" i="7"/>
  <c r="QCS26" i="7"/>
  <c r="QCO26" i="7"/>
  <c r="QCK26" i="7"/>
  <c r="QCG26" i="7"/>
  <c r="QCC26" i="7"/>
  <c r="QBY26" i="7"/>
  <c r="QBU26" i="7"/>
  <c r="QBQ26" i="7"/>
  <c r="QBM26" i="7"/>
  <c r="QBI26" i="7"/>
  <c r="QBE26" i="7"/>
  <c r="QBA26" i="7"/>
  <c r="QAW26" i="7"/>
  <c r="QAS26" i="7"/>
  <c r="QAO26" i="7"/>
  <c r="QAK26" i="7"/>
  <c r="QAG26" i="7"/>
  <c r="QAC26" i="7"/>
  <c r="PZY26" i="7"/>
  <c r="PZU26" i="7"/>
  <c r="PZQ26" i="7"/>
  <c r="PZM26" i="7"/>
  <c r="PZI26" i="7"/>
  <c r="PZE26" i="7"/>
  <c r="PZA26" i="7"/>
  <c r="PYW26" i="7"/>
  <c r="PYS26" i="7"/>
  <c r="PYO26" i="7"/>
  <c r="PYK26" i="7"/>
  <c r="PYG26" i="7"/>
  <c r="PYC26" i="7"/>
  <c r="PXY26" i="7"/>
  <c r="PXU26" i="7"/>
  <c r="PXQ26" i="7"/>
  <c r="PXM26" i="7"/>
  <c r="PXI26" i="7"/>
  <c r="PXE26" i="7"/>
  <c r="PXA26" i="7"/>
  <c r="PWW26" i="7"/>
  <c r="PWS26" i="7"/>
  <c r="PWO26" i="7"/>
  <c r="PWK26" i="7"/>
  <c r="PWG26" i="7"/>
  <c r="PWC26" i="7"/>
  <c r="PVY26" i="7"/>
  <c r="PVU26" i="7"/>
  <c r="PVQ26" i="7"/>
  <c r="PVM26" i="7"/>
  <c r="PVI26" i="7"/>
  <c r="PVE26" i="7"/>
  <c r="PVA26" i="7"/>
  <c r="PUW26" i="7"/>
  <c r="PUS26" i="7"/>
  <c r="PUO26" i="7"/>
  <c r="PUK26" i="7"/>
  <c r="PUG26" i="7"/>
  <c r="PUC26" i="7"/>
  <c r="PTY26" i="7"/>
  <c r="PTU26" i="7"/>
  <c r="PTQ26" i="7"/>
  <c r="PTM26" i="7"/>
  <c r="PTI26" i="7"/>
  <c r="PTE26" i="7"/>
  <c r="PTA26" i="7"/>
  <c r="PSW26" i="7"/>
  <c r="PSS26" i="7"/>
  <c r="PSO26" i="7"/>
  <c r="PSK26" i="7"/>
  <c r="PSG26" i="7"/>
  <c r="PSC26" i="7"/>
  <c r="PRY26" i="7"/>
  <c r="PRU26" i="7"/>
  <c r="PRQ26" i="7"/>
  <c r="PRM26" i="7"/>
  <c r="PRI26" i="7"/>
  <c r="PRE26" i="7"/>
  <c r="PRA26" i="7"/>
  <c r="PQW26" i="7"/>
  <c r="PQS26" i="7"/>
  <c r="PQO26" i="7"/>
  <c r="PQK26" i="7"/>
  <c r="PQG26" i="7"/>
  <c r="PQC26" i="7"/>
  <c r="PPY26" i="7"/>
  <c r="PPU26" i="7"/>
  <c r="PPQ26" i="7"/>
  <c r="PPM26" i="7"/>
  <c r="PPI26" i="7"/>
  <c r="PPE26" i="7"/>
  <c r="PPA26" i="7"/>
  <c r="POW26" i="7"/>
  <c r="POS26" i="7"/>
  <c r="POO26" i="7"/>
  <c r="POK26" i="7"/>
  <c r="POG26" i="7"/>
  <c r="POC26" i="7"/>
  <c r="PNY26" i="7"/>
  <c r="PNU26" i="7"/>
  <c r="PNQ26" i="7"/>
  <c r="PNM26" i="7"/>
  <c r="PNI26" i="7"/>
  <c r="PNE26" i="7"/>
  <c r="PNA26" i="7"/>
  <c r="PMW26" i="7"/>
  <c r="PMS26" i="7"/>
  <c r="PMO26" i="7"/>
  <c r="PMK26" i="7"/>
  <c r="PMG26" i="7"/>
  <c r="PMC26" i="7"/>
  <c r="PLY26" i="7"/>
  <c r="PLU26" i="7"/>
  <c r="PLQ26" i="7"/>
  <c r="PLM26" i="7"/>
  <c r="PLI26" i="7"/>
  <c r="PLE26" i="7"/>
  <c r="PLA26" i="7"/>
  <c r="PKW26" i="7"/>
  <c r="PKS26" i="7"/>
  <c r="PKO26" i="7"/>
  <c r="PKK26" i="7"/>
  <c r="PKG26" i="7"/>
  <c r="PKC26" i="7"/>
  <c r="PJY26" i="7"/>
  <c r="PJU26" i="7"/>
  <c r="PJQ26" i="7"/>
  <c r="PJM26" i="7"/>
  <c r="PJI26" i="7"/>
  <c r="PJE26" i="7"/>
  <c r="PJA26" i="7"/>
  <c r="PIW26" i="7"/>
  <c r="PIS26" i="7"/>
  <c r="PIO26" i="7"/>
  <c r="PIK26" i="7"/>
  <c r="PIG26" i="7"/>
  <c r="PIC26" i="7"/>
  <c r="PHY26" i="7"/>
  <c r="PHU26" i="7"/>
  <c r="PHQ26" i="7"/>
  <c r="PHM26" i="7"/>
  <c r="PHI26" i="7"/>
  <c r="PHE26" i="7"/>
  <c r="PHA26" i="7"/>
  <c r="PGW26" i="7"/>
  <c r="PGS26" i="7"/>
  <c r="PGO26" i="7"/>
  <c r="PGK26" i="7"/>
  <c r="PGG26" i="7"/>
  <c r="PGC26" i="7"/>
  <c r="PFY26" i="7"/>
  <c r="PFU26" i="7"/>
  <c r="PFQ26" i="7"/>
  <c r="PFM26" i="7"/>
  <c r="PFI26" i="7"/>
  <c r="PFE26" i="7"/>
  <c r="PFA26" i="7"/>
  <c r="PEW26" i="7"/>
  <c r="PES26" i="7"/>
  <c r="PEO26" i="7"/>
  <c r="PEK26" i="7"/>
  <c r="PEG26" i="7"/>
  <c r="PEC26" i="7"/>
  <c r="PDY26" i="7"/>
  <c r="PDU26" i="7"/>
  <c r="PDQ26" i="7"/>
  <c r="PDM26" i="7"/>
  <c r="PDI26" i="7"/>
  <c r="PDE26" i="7"/>
  <c r="PDA26" i="7"/>
  <c r="PCW26" i="7"/>
  <c r="PCS26" i="7"/>
  <c r="PCO26" i="7"/>
  <c r="PCK26" i="7"/>
  <c r="PCG26" i="7"/>
  <c r="PCC26" i="7"/>
  <c r="PBY26" i="7"/>
  <c r="PBU26" i="7"/>
  <c r="PBQ26" i="7"/>
  <c r="PBM26" i="7"/>
  <c r="PBI26" i="7"/>
  <c r="PBE26" i="7"/>
  <c r="PBA26" i="7"/>
  <c r="PAW26" i="7"/>
  <c r="PAS26" i="7"/>
  <c r="PAO26" i="7"/>
  <c r="PAK26" i="7"/>
  <c r="PAG26" i="7"/>
  <c r="PAC26" i="7"/>
  <c r="OZY26" i="7"/>
  <c r="OZU26" i="7"/>
  <c r="OZQ26" i="7"/>
  <c r="OZM26" i="7"/>
  <c r="OZI26" i="7"/>
  <c r="OZE26" i="7"/>
  <c r="OZA26" i="7"/>
  <c r="OYW26" i="7"/>
  <c r="OYS26" i="7"/>
  <c r="OYO26" i="7"/>
  <c r="OYK26" i="7"/>
  <c r="OYG26" i="7"/>
  <c r="OYC26" i="7"/>
  <c r="OXY26" i="7"/>
  <c r="OXU26" i="7"/>
  <c r="OXQ26" i="7"/>
  <c r="OXM26" i="7"/>
  <c r="OXI26" i="7"/>
  <c r="OXE26" i="7"/>
  <c r="OXA26" i="7"/>
  <c r="OWW26" i="7"/>
  <c r="OWS26" i="7"/>
  <c r="OWO26" i="7"/>
  <c r="OWK26" i="7"/>
  <c r="OWG26" i="7"/>
  <c r="OWC26" i="7"/>
  <c r="OVY26" i="7"/>
  <c r="OVU26" i="7"/>
  <c r="OVQ26" i="7"/>
  <c r="OVM26" i="7"/>
  <c r="OVI26" i="7"/>
  <c r="OVE26" i="7"/>
  <c r="OVA26" i="7"/>
  <c r="OUW26" i="7"/>
  <c r="OUS26" i="7"/>
  <c r="OUO26" i="7"/>
  <c r="OUK26" i="7"/>
  <c r="OUG26" i="7"/>
  <c r="OUC26" i="7"/>
  <c r="OTY26" i="7"/>
  <c r="OTU26" i="7"/>
  <c r="OTQ26" i="7"/>
  <c r="OTM26" i="7"/>
  <c r="OTI26" i="7"/>
  <c r="OTE26" i="7"/>
  <c r="OTA26" i="7"/>
  <c r="OSW26" i="7"/>
  <c r="OSS26" i="7"/>
  <c r="OSO26" i="7"/>
  <c r="OSK26" i="7"/>
  <c r="OSG26" i="7"/>
  <c r="OSC26" i="7"/>
  <c r="ORY26" i="7"/>
  <c r="ORU26" i="7"/>
  <c r="ORQ26" i="7"/>
  <c r="ORM26" i="7"/>
  <c r="ORI26" i="7"/>
  <c r="ORE26" i="7"/>
  <c r="ORA26" i="7"/>
  <c r="OQW26" i="7"/>
  <c r="OQS26" i="7"/>
  <c r="OQO26" i="7"/>
  <c r="OQK26" i="7"/>
  <c r="OQG26" i="7"/>
  <c r="OQC26" i="7"/>
  <c r="OPY26" i="7"/>
  <c r="OPU26" i="7"/>
  <c r="OPQ26" i="7"/>
  <c r="OPM26" i="7"/>
  <c r="OPI26" i="7"/>
  <c r="OPE26" i="7"/>
  <c r="OPA26" i="7"/>
  <c r="OOW26" i="7"/>
  <c r="OOS26" i="7"/>
  <c r="OOO26" i="7"/>
  <c r="OOK26" i="7"/>
  <c r="OOG26" i="7"/>
  <c r="OOC26" i="7"/>
  <c r="ONY26" i="7"/>
  <c r="ONU26" i="7"/>
  <c r="ONQ26" i="7"/>
  <c r="ONM26" i="7"/>
  <c r="ONI26" i="7"/>
  <c r="ONE26" i="7"/>
  <c r="ONA26" i="7"/>
  <c r="OMW26" i="7"/>
  <c r="OMS26" i="7"/>
  <c r="OMO26" i="7"/>
  <c r="OMK26" i="7"/>
  <c r="OMG26" i="7"/>
  <c r="OMC26" i="7"/>
  <c r="OLY26" i="7"/>
  <c r="OLU26" i="7"/>
  <c r="OLQ26" i="7"/>
  <c r="OLM26" i="7"/>
  <c r="OLI26" i="7"/>
  <c r="OLE26" i="7"/>
  <c r="OLA26" i="7"/>
  <c r="OKW26" i="7"/>
  <c r="OKS26" i="7"/>
  <c r="OKO26" i="7"/>
  <c r="OKK26" i="7"/>
  <c r="OKG26" i="7"/>
  <c r="OKC26" i="7"/>
  <c r="OJY26" i="7"/>
  <c r="OJU26" i="7"/>
  <c r="OJQ26" i="7"/>
  <c r="OJM26" i="7"/>
  <c r="OJI26" i="7"/>
  <c r="OJE26" i="7"/>
  <c r="OJA26" i="7"/>
  <c r="OIW26" i="7"/>
  <c r="OIS26" i="7"/>
  <c r="OIO26" i="7"/>
  <c r="OIK26" i="7"/>
  <c r="OIG26" i="7"/>
  <c r="OIC26" i="7"/>
  <c r="OHY26" i="7"/>
  <c r="OHU26" i="7"/>
  <c r="OHQ26" i="7"/>
  <c r="OHM26" i="7"/>
  <c r="OHI26" i="7"/>
  <c r="OHE26" i="7"/>
  <c r="OHA26" i="7"/>
  <c r="OGW26" i="7"/>
  <c r="OGS26" i="7"/>
  <c r="OGO26" i="7"/>
  <c r="OGK26" i="7"/>
  <c r="OGG26" i="7"/>
  <c r="OGC26" i="7"/>
  <c r="OFY26" i="7"/>
  <c r="OFU26" i="7"/>
  <c r="OFQ26" i="7"/>
  <c r="OFM26" i="7"/>
  <c r="OFI26" i="7"/>
  <c r="OFE26" i="7"/>
  <c r="OFA26" i="7"/>
  <c r="OEW26" i="7"/>
  <c r="OES26" i="7"/>
  <c r="OEO26" i="7"/>
  <c r="OEK26" i="7"/>
  <c r="OEG26" i="7"/>
  <c r="OEC26" i="7"/>
  <c r="ODY26" i="7"/>
  <c r="ODU26" i="7"/>
  <c r="ODQ26" i="7"/>
  <c r="ODM26" i="7"/>
  <c r="ODI26" i="7"/>
  <c r="ODE26" i="7"/>
  <c r="ODA26" i="7"/>
  <c r="OCW26" i="7"/>
  <c r="OCS26" i="7"/>
  <c r="OCO26" i="7"/>
  <c r="OCK26" i="7"/>
  <c r="OCG26" i="7"/>
  <c r="OCC26" i="7"/>
  <c r="OBY26" i="7"/>
  <c r="OBU26" i="7"/>
  <c r="OBQ26" i="7"/>
  <c r="OBM26" i="7"/>
  <c r="OBI26" i="7"/>
  <c r="OBE26" i="7"/>
  <c r="OBA26" i="7"/>
  <c r="OAW26" i="7"/>
  <c r="OAS26" i="7"/>
  <c r="OAO26" i="7"/>
  <c r="OAK26" i="7"/>
  <c r="OAG26" i="7"/>
  <c r="OAC26" i="7"/>
  <c r="NZY26" i="7"/>
  <c r="NZU26" i="7"/>
  <c r="NZQ26" i="7"/>
  <c r="NZM26" i="7"/>
  <c r="NZI26" i="7"/>
  <c r="NZE26" i="7"/>
  <c r="NZA26" i="7"/>
  <c r="NYW26" i="7"/>
  <c r="NYS26" i="7"/>
  <c r="NYO26" i="7"/>
  <c r="NYK26" i="7"/>
  <c r="NYG26" i="7"/>
  <c r="NYC26" i="7"/>
  <c r="NXY26" i="7"/>
  <c r="NXU26" i="7"/>
  <c r="NXQ26" i="7"/>
  <c r="NXM26" i="7"/>
  <c r="NXI26" i="7"/>
  <c r="NXE26" i="7"/>
  <c r="NXA26" i="7"/>
  <c r="NWW26" i="7"/>
  <c r="NWS26" i="7"/>
  <c r="NWO26" i="7"/>
  <c r="NWK26" i="7"/>
  <c r="NWG26" i="7"/>
  <c r="NWC26" i="7"/>
  <c r="NVY26" i="7"/>
  <c r="NVU26" i="7"/>
  <c r="NVQ26" i="7"/>
  <c r="NVM26" i="7"/>
  <c r="NVI26" i="7"/>
  <c r="NVE26" i="7"/>
  <c r="NVA26" i="7"/>
  <c r="NUW26" i="7"/>
  <c r="NUS26" i="7"/>
  <c r="NUO26" i="7"/>
  <c r="NUK26" i="7"/>
  <c r="NUG26" i="7"/>
  <c r="NUC26" i="7"/>
  <c r="NTY26" i="7"/>
  <c r="NTU26" i="7"/>
  <c r="NTQ26" i="7"/>
  <c r="NTM26" i="7"/>
  <c r="NTI26" i="7"/>
  <c r="NTE26" i="7"/>
  <c r="NTA26" i="7"/>
  <c r="NSW26" i="7"/>
  <c r="NSS26" i="7"/>
  <c r="NSO26" i="7"/>
  <c r="NSK26" i="7"/>
  <c r="NSG26" i="7"/>
  <c r="NSC26" i="7"/>
  <c r="NRY26" i="7"/>
  <c r="NRU26" i="7"/>
  <c r="NRQ26" i="7"/>
  <c r="NRM26" i="7"/>
  <c r="NRI26" i="7"/>
  <c r="NRE26" i="7"/>
  <c r="NRA26" i="7"/>
  <c r="NQW26" i="7"/>
  <c r="NQS26" i="7"/>
  <c r="NQO26" i="7"/>
  <c r="NQK26" i="7"/>
  <c r="NQG26" i="7"/>
  <c r="NQC26" i="7"/>
  <c r="NPY26" i="7"/>
  <c r="NPU26" i="7"/>
  <c r="NPQ26" i="7"/>
  <c r="NPM26" i="7"/>
  <c r="NPI26" i="7"/>
  <c r="NPE26" i="7"/>
  <c r="NPA26" i="7"/>
  <c r="NOW26" i="7"/>
  <c r="NOS26" i="7"/>
  <c r="NOO26" i="7"/>
  <c r="NOK26" i="7"/>
  <c r="NOG26" i="7"/>
  <c r="NOC26" i="7"/>
  <c r="NNY26" i="7"/>
  <c r="NNU26" i="7"/>
  <c r="NNQ26" i="7"/>
  <c r="NNM26" i="7"/>
  <c r="NNI26" i="7"/>
  <c r="NNE26" i="7"/>
  <c r="NNA26" i="7"/>
  <c r="NMW26" i="7"/>
  <c r="NMS26" i="7"/>
  <c r="NMO26" i="7"/>
  <c r="NMK26" i="7"/>
  <c r="NMG26" i="7"/>
  <c r="NMC26" i="7"/>
  <c r="NLY26" i="7"/>
  <c r="NLU26" i="7"/>
  <c r="NLQ26" i="7"/>
  <c r="NLM26" i="7"/>
  <c r="NLI26" i="7"/>
  <c r="NLE26" i="7"/>
  <c r="NLA26" i="7"/>
  <c r="NKW26" i="7"/>
  <c r="NKS26" i="7"/>
  <c r="NKO26" i="7"/>
  <c r="NKK26" i="7"/>
  <c r="NKG26" i="7"/>
  <c r="NKC26" i="7"/>
  <c r="NJY26" i="7"/>
  <c r="NJU26" i="7"/>
  <c r="NJQ26" i="7"/>
  <c r="NJM26" i="7"/>
  <c r="NJI26" i="7"/>
  <c r="NJE26" i="7"/>
  <c r="NJA26" i="7"/>
  <c r="NIW26" i="7"/>
  <c r="NIS26" i="7"/>
  <c r="NIO26" i="7"/>
  <c r="NIK26" i="7"/>
  <c r="NIG26" i="7"/>
  <c r="NIC26" i="7"/>
  <c r="NHY26" i="7"/>
  <c r="NHU26" i="7"/>
  <c r="NHQ26" i="7"/>
  <c r="NHM26" i="7"/>
  <c r="NHI26" i="7"/>
  <c r="NHE26" i="7"/>
  <c r="NHA26" i="7"/>
  <c r="NGW26" i="7"/>
  <c r="NGS26" i="7"/>
  <c r="NGO26" i="7"/>
  <c r="NGK26" i="7"/>
  <c r="NGG26" i="7"/>
  <c r="NGC26" i="7"/>
  <c r="NFY26" i="7"/>
  <c r="NFU26" i="7"/>
  <c r="NFQ26" i="7"/>
  <c r="NFM26" i="7"/>
  <c r="NFI26" i="7"/>
  <c r="NFE26" i="7"/>
  <c r="NFA26" i="7"/>
  <c r="NEW26" i="7"/>
  <c r="NES26" i="7"/>
  <c r="NEO26" i="7"/>
  <c r="NEK26" i="7"/>
  <c r="NEG26" i="7"/>
  <c r="NEC26" i="7"/>
  <c r="NDY26" i="7"/>
  <c r="NDU26" i="7"/>
  <c r="NDQ26" i="7"/>
  <c r="NDM26" i="7"/>
  <c r="NDI26" i="7"/>
  <c r="NDE26" i="7"/>
  <c r="NDA26" i="7"/>
  <c r="NCW26" i="7"/>
  <c r="NCS26" i="7"/>
  <c r="NCO26" i="7"/>
  <c r="NCK26" i="7"/>
  <c r="NCG26" i="7"/>
  <c r="NCC26" i="7"/>
  <c r="NBY26" i="7"/>
  <c r="NBU26" i="7"/>
  <c r="NBQ26" i="7"/>
  <c r="NBM26" i="7"/>
  <c r="NBI26" i="7"/>
  <c r="NBE26" i="7"/>
  <c r="NBA26" i="7"/>
  <c r="NAW26" i="7"/>
  <c r="NAS26" i="7"/>
  <c r="NAO26" i="7"/>
  <c r="NAK26" i="7"/>
  <c r="NAG26" i="7"/>
  <c r="NAC26" i="7"/>
  <c r="MZY26" i="7"/>
  <c r="MZU26" i="7"/>
  <c r="MZQ26" i="7"/>
  <c r="MZM26" i="7"/>
  <c r="MZI26" i="7"/>
  <c r="MZE26" i="7"/>
  <c r="MZA26" i="7"/>
  <c r="MYW26" i="7"/>
  <c r="MYS26" i="7"/>
  <c r="MYO26" i="7"/>
  <c r="MYK26" i="7"/>
  <c r="MYG26" i="7"/>
  <c r="MYC26" i="7"/>
  <c r="MXY26" i="7"/>
  <c r="MXU26" i="7"/>
  <c r="MXQ26" i="7"/>
  <c r="MXM26" i="7"/>
  <c r="MXI26" i="7"/>
  <c r="MXE26" i="7"/>
  <c r="MXA26" i="7"/>
  <c r="MWW26" i="7"/>
  <c r="MWS26" i="7"/>
  <c r="MWO26" i="7"/>
  <c r="MWK26" i="7"/>
  <c r="MWG26" i="7"/>
  <c r="MWC26" i="7"/>
  <c r="MVY26" i="7"/>
  <c r="MVU26" i="7"/>
  <c r="MVQ26" i="7"/>
  <c r="MVM26" i="7"/>
  <c r="MVI26" i="7"/>
  <c r="MVE26" i="7"/>
  <c r="MVA26" i="7"/>
  <c r="MUW26" i="7"/>
  <c r="MUS26" i="7"/>
  <c r="MUO26" i="7"/>
  <c r="MUK26" i="7"/>
  <c r="MUG26" i="7"/>
  <c r="MUC26" i="7"/>
  <c r="MTY26" i="7"/>
  <c r="MTU26" i="7"/>
  <c r="MTQ26" i="7"/>
  <c r="MTM26" i="7"/>
  <c r="MTI26" i="7"/>
  <c r="MTE26" i="7"/>
  <c r="MTA26" i="7"/>
  <c r="MSW26" i="7"/>
  <c r="MSS26" i="7"/>
  <c r="MSO26" i="7"/>
  <c r="MSK26" i="7"/>
  <c r="MSG26" i="7"/>
  <c r="MSC26" i="7"/>
  <c r="MRY26" i="7"/>
  <c r="MRU26" i="7"/>
  <c r="MRQ26" i="7"/>
  <c r="MRM26" i="7"/>
  <c r="MRI26" i="7"/>
  <c r="MRE26" i="7"/>
  <c r="MRA26" i="7"/>
  <c r="MQW26" i="7"/>
  <c r="MQS26" i="7"/>
  <c r="MQO26" i="7"/>
  <c r="MQK26" i="7"/>
  <c r="MQG26" i="7"/>
  <c r="MQC26" i="7"/>
  <c r="MPY26" i="7"/>
  <c r="MPU26" i="7"/>
  <c r="MPQ26" i="7"/>
  <c r="MPM26" i="7"/>
  <c r="MPI26" i="7"/>
  <c r="MPE26" i="7"/>
  <c r="MPA26" i="7"/>
  <c r="MOW26" i="7"/>
  <c r="MOS26" i="7"/>
  <c r="MOO26" i="7"/>
  <c r="MOK26" i="7"/>
  <c r="MOG26" i="7"/>
  <c r="MOC26" i="7"/>
  <c r="MNY26" i="7"/>
  <c r="MNU26" i="7"/>
  <c r="MNQ26" i="7"/>
  <c r="MNM26" i="7"/>
  <c r="MNI26" i="7"/>
  <c r="MNE26" i="7"/>
  <c r="MNA26" i="7"/>
  <c r="MMW26" i="7"/>
  <c r="MMS26" i="7"/>
  <c r="MMO26" i="7"/>
  <c r="MMK26" i="7"/>
  <c r="MMG26" i="7"/>
  <c r="MMC26" i="7"/>
  <c r="MLY26" i="7"/>
  <c r="MLU26" i="7"/>
  <c r="MLQ26" i="7"/>
  <c r="MLM26" i="7"/>
  <c r="MLI26" i="7"/>
  <c r="MLE26" i="7"/>
  <c r="MLA26" i="7"/>
  <c r="MKW26" i="7"/>
  <c r="MKS26" i="7"/>
  <c r="MKO26" i="7"/>
  <c r="MKK26" i="7"/>
  <c r="MKG26" i="7"/>
  <c r="MKC26" i="7"/>
  <c r="MJY26" i="7"/>
  <c r="MJU26" i="7"/>
  <c r="MJQ26" i="7"/>
  <c r="MJM26" i="7"/>
  <c r="MJI26" i="7"/>
  <c r="MJE26" i="7"/>
  <c r="MJA26" i="7"/>
  <c r="MIW26" i="7"/>
  <c r="MIS26" i="7"/>
  <c r="MIO26" i="7"/>
  <c r="MIK26" i="7"/>
  <c r="MIG26" i="7"/>
  <c r="MIC26" i="7"/>
  <c r="MHY26" i="7"/>
  <c r="MHU26" i="7"/>
  <c r="MHQ26" i="7"/>
  <c r="MHM26" i="7"/>
  <c r="MHI26" i="7"/>
  <c r="MHE26" i="7"/>
  <c r="MHA26" i="7"/>
  <c r="MGW26" i="7"/>
  <c r="MGS26" i="7"/>
  <c r="MGO26" i="7"/>
  <c r="MGK26" i="7"/>
  <c r="MGG26" i="7"/>
  <c r="MGC26" i="7"/>
  <c r="MFY26" i="7"/>
  <c r="MFU26" i="7"/>
  <c r="MFQ26" i="7"/>
  <c r="MFM26" i="7"/>
  <c r="MFI26" i="7"/>
  <c r="MFE26" i="7"/>
  <c r="MFA26" i="7"/>
  <c r="MEW26" i="7"/>
  <c r="MES26" i="7"/>
  <c r="MEO26" i="7"/>
  <c r="MEK26" i="7"/>
  <c r="MEG26" i="7"/>
  <c r="MEC26" i="7"/>
  <c r="MDY26" i="7"/>
  <c r="MDU26" i="7"/>
  <c r="MDQ26" i="7"/>
  <c r="MDM26" i="7"/>
  <c r="MDI26" i="7"/>
  <c r="MDE26" i="7"/>
  <c r="MDA26" i="7"/>
  <c r="MCW26" i="7"/>
  <c r="MCS26" i="7"/>
  <c r="MCO26" i="7"/>
  <c r="MCK26" i="7"/>
  <c r="MCG26" i="7"/>
  <c r="MCC26" i="7"/>
  <c r="MBY26" i="7"/>
  <c r="MBU26" i="7"/>
  <c r="MBQ26" i="7"/>
  <c r="MBM26" i="7"/>
  <c r="MBI26" i="7"/>
  <c r="MBE26" i="7"/>
  <c r="MBA26" i="7"/>
  <c r="MAW26" i="7"/>
  <c r="MAS26" i="7"/>
  <c r="MAO26" i="7"/>
  <c r="MAK26" i="7"/>
  <c r="MAG26" i="7"/>
  <c r="MAC26" i="7"/>
  <c r="LZY26" i="7"/>
  <c r="LZU26" i="7"/>
  <c r="LZQ26" i="7"/>
  <c r="LZM26" i="7"/>
  <c r="LZI26" i="7"/>
  <c r="LZE26" i="7"/>
  <c r="LZA26" i="7"/>
  <c r="LYW26" i="7"/>
  <c r="LYS26" i="7"/>
  <c r="LYO26" i="7"/>
  <c r="LYK26" i="7"/>
  <c r="LYG26" i="7"/>
  <c r="LYC26" i="7"/>
  <c r="LXY26" i="7"/>
  <c r="LXU26" i="7"/>
  <c r="LXQ26" i="7"/>
  <c r="LXM26" i="7"/>
  <c r="LXI26" i="7"/>
  <c r="LXE26" i="7"/>
  <c r="LXA26" i="7"/>
  <c r="LWW26" i="7"/>
  <c r="LWS26" i="7"/>
  <c r="LWO26" i="7"/>
  <c r="LWK26" i="7"/>
  <c r="LWG26" i="7"/>
  <c r="LWC26" i="7"/>
  <c r="LVY26" i="7"/>
  <c r="LVU26" i="7"/>
  <c r="LVQ26" i="7"/>
  <c r="LVM26" i="7"/>
  <c r="LVI26" i="7"/>
  <c r="LVE26" i="7"/>
  <c r="LVA26" i="7"/>
  <c r="LUW26" i="7"/>
  <c r="LUS26" i="7"/>
  <c r="LUO26" i="7"/>
  <c r="LUK26" i="7"/>
  <c r="LUG26" i="7"/>
  <c r="LUC26" i="7"/>
  <c r="LTY26" i="7"/>
  <c r="LTU26" i="7"/>
  <c r="LTQ26" i="7"/>
  <c r="LTM26" i="7"/>
  <c r="LTI26" i="7"/>
  <c r="LTE26" i="7"/>
  <c r="LTA26" i="7"/>
  <c r="LSW26" i="7"/>
  <c r="LSS26" i="7"/>
  <c r="LSO26" i="7"/>
  <c r="LSK26" i="7"/>
  <c r="LSG26" i="7"/>
  <c r="LSC26" i="7"/>
  <c r="LRY26" i="7"/>
  <c r="LRU26" i="7"/>
  <c r="LRQ26" i="7"/>
  <c r="LRM26" i="7"/>
  <c r="LRI26" i="7"/>
  <c r="LRE26" i="7"/>
  <c r="LRA26" i="7"/>
  <c r="LQW26" i="7"/>
  <c r="LQS26" i="7"/>
  <c r="LQO26" i="7"/>
  <c r="LQK26" i="7"/>
  <c r="LQG26" i="7"/>
  <c r="LQC26" i="7"/>
  <c r="LPY26" i="7"/>
  <c r="LPU26" i="7"/>
  <c r="LPQ26" i="7"/>
  <c r="LPM26" i="7"/>
  <c r="LPI26" i="7"/>
  <c r="LPE26" i="7"/>
  <c r="LPA26" i="7"/>
  <c r="LOW26" i="7"/>
  <c r="LOS26" i="7"/>
  <c r="LOO26" i="7"/>
  <c r="LOK26" i="7"/>
  <c r="LOG26" i="7"/>
  <c r="LOC26" i="7"/>
  <c r="LNY26" i="7"/>
  <c r="LNU26" i="7"/>
  <c r="LNQ26" i="7"/>
  <c r="LNM26" i="7"/>
  <c r="LNI26" i="7"/>
  <c r="LNE26" i="7"/>
  <c r="LNA26" i="7"/>
  <c r="LMW26" i="7"/>
  <c r="LMS26" i="7"/>
  <c r="LMO26" i="7"/>
  <c r="LMK26" i="7"/>
  <c r="LMG26" i="7"/>
  <c r="LMC26" i="7"/>
  <c r="LLY26" i="7"/>
  <c r="LLU26" i="7"/>
  <c r="LLQ26" i="7"/>
  <c r="LLM26" i="7"/>
  <c r="LLI26" i="7"/>
  <c r="LLE26" i="7"/>
  <c r="LLA26" i="7"/>
  <c r="LKW26" i="7"/>
  <c r="LKS26" i="7"/>
  <c r="LKO26" i="7"/>
  <c r="LKK26" i="7"/>
  <c r="LKG26" i="7"/>
  <c r="LKC26" i="7"/>
  <c r="LJY26" i="7"/>
  <c r="LJU26" i="7"/>
  <c r="LJQ26" i="7"/>
  <c r="LJM26" i="7"/>
  <c r="LJI26" i="7"/>
  <c r="LJE26" i="7"/>
  <c r="LJA26" i="7"/>
  <c r="LIW26" i="7"/>
  <c r="LIS26" i="7"/>
  <c r="LIO26" i="7"/>
  <c r="LIK26" i="7"/>
  <c r="LIG26" i="7"/>
  <c r="LIC26" i="7"/>
  <c r="LHY26" i="7"/>
  <c r="LHU26" i="7"/>
  <c r="LHQ26" i="7"/>
  <c r="LHM26" i="7"/>
  <c r="LHI26" i="7"/>
  <c r="LHE26" i="7"/>
  <c r="LHA26" i="7"/>
  <c r="LGW26" i="7"/>
  <c r="LGS26" i="7"/>
  <c r="LGO26" i="7"/>
  <c r="LGK26" i="7"/>
  <c r="LGG26" i="7"/>
  <c r="LGC26" i="7"/>
  <c r="LFY26" i="7"/>
  <c r="LFU26" i="7"/>
  <c r="LFQ26" i="7"/>
  <c r="LFM26" i="7"/>
  <c r="LFI26" i="7"/>
  <c r="LFE26" i="7"/>
  <c r="LFA26" i="7"/>
  <c r="LEW26" i="7"/>
  <c r="LES26" i="7"/>
  <c r="LEO26" i="7"/>
  <c r="LEK26" i="7"/>
  <c r="LEG26" i="7"/>
  <c r="LEC26" i="7"/>
  <c r="LDY26" i="7"/>
  <c r="LDU26" i="7"/>
  <c r="LDQ26" i="7"/>
  <c r="LDM26" i="7"/>
  <c r="LDI26" i="7"/>
  <c r="LDE26" i="7"/>
  <c r="LDA26" i="7"/>
  <c r="LCW26" i="7"/>
  <c r="LCS26" i="7"/>
  <c r="LCO26" i="7"/>
  <c r="LCK26" i="7"/>
  <c r="LCG26" i="7"/>
  <c r="LCC26" i="7"/>
  <c r="LBY26" i="7"/>
  <c r="LBU26" i="7"/>
  <c r="LBQ26" i="7"/>
  <c r="LBM26" i="7"/>
  <c r="LBI26" i="7"/>
  <c r="LBE26" i="7"/>
  <c r="LBA26" i="7"/>
  <c r="LAW26" i="7"/>
  <c r="LAS26" i="7"/>
  <c r="LAO26" i="7"/>
  <c r="LAK26" i="7"/>
  <c r="LAG26" i="7"/>
  <c r="LAC26" i="7"/>
  <c r="KZY26" i="7"/>
  <c r="KZU26" i="7"/>
  <c r="KZQ26" i="7"/>
  <c r="KZM26" i="7"/>
  <c r="KZI26" i="7"/>
  <c r="KZE26" i="7"/>
  <c r="KZA26" i="7"/>
  <c r="KYW26" i="7"/>
  <c r="KYS26" i="7"/>
  <c r="KYO26" i="7"/>
  <c r="KYK26" i="7"/>
  <c r="KYG26" i="7"/>
  <c r="KYC26" i="7"/>
  <c r="KXY26" i="7"/>
  <c r="KXU26" i="7"/>
  <c r="KXQ26" i="7"/>
  <c r="KXM26" i="7"/>
  <c r="KXI26" i="7"/>
  <c r="KXE26" i="7"/>
  <c r="KXA26" i="7"/>
  <c r="KWW26" i="7"/>
  <c r="KWS26" i="7"/>
  <c r="KWO26" i="7"/>
  <c r="KWK26" i="7"/>
  <c r="KWG26" i="7"/>
  <c r="KWC26" i="7"/>
  <c r="KVY26" i="7"/>
  <c r="KVU26" i="7"/>
  <c r="KVQ26" i="7"/>
  <c r="KVM26" i="7"/>
  <c r="KVI26" i="7"/>
  <c r="KVE26" i="7"/>
  <c r="KVA26" i="7"/>
  <c r="KUW26" i="7"/>
  <c r="KUS26" i="7"/>
  <c r="KUO26" i="7"/>
  <c r="KUK26" i="7"/>
  <c r="KUG26" i="7"/>
  <c r="KUC26" i="7"/>
  <c r="KTY26" i="7"/>
  <c r="KTU26" i="7"/>
  <c r="KTQ26" i="7"/>
  <c r="KTM26" i="7"/>
  <c r="KTI26" i="7"/>
  <c r="KTE26" i="7"/>
  <c r="KTA26" i="7"/>
  <c r="KSW26" i="7"/>
  <c r="KSS26" i="7"/>
  <c r="KSO26" i="7"/>
  <c r="KSK26" i="7"/>
  <c r="KSG26" i="7"/>
  <c r="KSC26" i="7"/>
  <c r="KRY26" i="7"/>
  <c r="KRU26" i="7"/>
  <c r="KRQ26" i="7"/>
  <c r="KRM26" i="7"/>
  <c r="KRI26" i="7"/>
  <c r="KRE26" i="7"/>
  <c r="KRA26" i="7"/>
  <c r="KQW26" i="7"/>
  <c r="KQS26" i="7"/>
  <c r="KQO26" i="7"/>
  <c r="KQK26" i="7"/>
  <c r="KQG26" i="7"/>
  <c r="KQC26" i="7"/>
  <c r="KPY26" i="7"/>
  <c r="KPU26" i="7"/>
  <c r="KPQ26" i="7"/>
  <c r="KPM26" i="7"/>
  <c r="KPI26" i="7"/>
  <c r="KPE26" i="7"/>
  <c r="KPA26" i="7"/>
  <c r="KOW26" i="7"/>
  <c r="KOS26" i="7"/>
  <c r="KOO26" i="7"/>
  <c r="KOK26" i="7"/>
  <c r="KOG26" i="7"/>
  <c r="KOC26" i="7"/>
  <c r="KNY26" i="7"/>
  <c r="KNU26" i="7"/>
  <c r="KNQ26" i="7"/>
  <c r="KNM26" i="7"/>
  <c r="KNI26" i="7"/>
  <c r="KNE26" i="7"/>
  <c r="KNA26" i="7"/>
  <c r="KMW26" i="7"/>
  <c r="KMS26" i="7"/>
  <c r="KMO26" i="7"/>
  <c r="KMK26" i="7"/>
  <c r="KMG26" i="7"/>
  <c r="KMC26" i="7"/>
  <c r="KLY26" i="7"/>
  <c r="KLU26" i="7"/>
  <c r="KLQ26" i="7"/>
  <c r="KLM26" i="7"/>
  <c r="KLI26" i="7"/>
  <c r="KLE26" i="7"/>
  <c r="KLA26" i="7"/>
  <c r="KKW26" i="7"/>
  <c r="KKS26" i="7"/>
  <c r="KKO26" i="7"/>
  <c r="KKK26" i="7"/>
  <c r="KKG26" i="7"/>
  <c r="KKC26" i="7"/>
  <c r="KJY26" i="7"/>
  <c r="KJU26" i="7"/>
  <c r="KJQ26" i="7"/>
  <c r="KJM26" i="7"/>
  <c r="KJI26" i="7"/>
  <c r="KJE26" i="7"/>
  <c r="KJA26" i="7"/>
  <c r="KIW26" i="7"/>
  <c r="KIS26" i="7"/>
  <c r="KIO26" i="7"/>
  <c r="KIK26" i="7"/>
  <c r="KIG26" i="7"/>
  <c r="KIC26" i="7"/>
  <c r="KHY26" i="7"/>
  <c r="KHU26" i="7"/>
  <c r="KHQ26" i="7"/>
  <c r="KHM26" i="7"/>
  <c r="KHI26" i="7"/>
  <c r="KHE26" i="7"/>
  <c r="KHA26" i="7"/>
  <c r="KGW26" i="7"/>
  <c r="KGS26" i="7"/>
  <c r="KGO26" i="7"/>
  <c r="KGK26" i="7"/>
  <c r="KGG26" i="7"/>
  <c r="KGC26" i="7"/>
  <c r="KFY26" i="7"/>
  <c r="KFU26" i="7"/>
  <c r="KFQ26" i="7"/>
  <c r="KFM26" i="7"/>
  <c r="KFI26" i="7"/>
  <c r="KFE26" i="7"/>
  <c r="KFA26" i="7"/>
  <c r="KEW26" i="7"/>
  <c r="KES26" i="7"/>
  <c r="KEO26" i="7"/>
  <c r="KEK26" i="7"/>
  <c r="KEG26" i="7"/>
  <c r="KEC26" i="7"/>
  <c r="KDY26" i="7"/>
  <c r="KDU26" i="7"/>
  <c r="KDQ26" i="7"/>
  <c r="KDM26" i="7"/>
  <c r="KDI26" i="7"/>
  <c r="KDE26" i="7"/>
  <c r="KDA26" i="7"/>
  <c r="KCW26" i="7"/>
  <c r="KCS26" i="7"/>
  <c r="KCO26" i="7"/>
  <c r="KCK26" i="7"/>
  <c r="KCG26" i="7"/>
  <c r="KCC26" i="7"/>
  <c r="KBY26" i="7"/>
  <c r="KBU26" i="7"/>
  <c r="KBQ26" i="7"/>
  <c r="KBM26" i="7"/>
  <c r="KBI26" i="7"/>
  <c r="KBE26" i="7"/>
  <c r="KBA26" i="7"/>
  <c r="KAW26" i="7"/>
  <c r="KAS26" i="7"/>
  <c r="KAO26" i="7"/>
  <c r="KAK26" i="7"/>
  <c r="KAG26" i="7"/>
  <c r="KAC26" i="7"/>
  <c r="JZY26" i="7"/>
  <c r="JZU26" i="7"/>
  <c r="JZQ26" i="7"/>
  <c r="JZM26" i="7"/>
  <c r="JZI26" i="7"/>
  <c r="JZE26" i="7"/>
  <c r="JZA26" i="7"/>
  <c r="JYW26" i="7"/>
  <c r="JYS26" i="7"/>
  <c r="JYO26" i="7"/>
  <c r="JYK26" i="7"/>
  <c r="JYG26" i="7"/>
  <c r="JYC26" i="7"/>
  <c r="JXY26" i="7"/>
  <c r="JXU26" i="7"/>
  <c r="JXQ26" i="7"/>
  <c r="JXM26" i="7"/>
  <c r="JXI26" i="7"/>
  <c r="JXE26" i="7"/>
  <c r="JXA26" i="7"/>
  <c r="JWW26" i="7"/>
  <c r="JWS26" i="7"/>
  <c r="JWO26" i="7"/>
  <c r="JWK26" i="7"/>
  <c r="JWG26" i="7"/>
  <c r="JWC26" i="7"/>
  <c r="JVY26" i="7"/>
  <c r="JVU26" i="7"/>
  <c r="JVQ26" i="7"/>
  <c r="JVM26" i="7"/>
  <c r="JVI26" i="7"/>
  <c r="JVE26" i="7"/>
  <c r="JVA26" i="7"/>
  <c r="JUW26" i="7"/>
  <c r="JUS26" i="7"/>
  <c r="JUO26" i="7"/>
  <c r="JUK26" i="7"/>
  <c r="JUG26" i="7"/>
  <c r="JUC26" i="7"/>
  <c r="JTY26" i="7"/>
  <c r="JTU26" i="7"/>
  <c r="JTQ26" i="7"/>
  <c r="JTM26" i="7"/>
  <c r="JTI26" i="7"/>
  <c r="JTE26" i="7"/>
  <c r="JTA26" i="7"/>
  <c r="JSW26" i="7"/>
  <c r="JSS26" i="7"/>
  <c r="JSO26" i="7"/>
  <c r="JSK26" i="7"/>
  <c r="JSG26" i="7"/>
  <c r="JSC26" i="7"/>
  <c r="JRY26" i="7"/>
  <c r="JRU26" i="7"/>
  <c r="JRQ26" i="7"/>
  <c r="JRM26" i="7"/>
  <c r="JRI26" i="7"/>
  <c r="JRE26" i="7"/>
  <c r="JRA26" i="7"/>
  <c r="JQW26" i="7"/>
  <c r="JQS26" i="7"/>
  <c r="JQO26" i="7"/>
  <c r="JQK26" i="7"/>
  <c r="JQG26" i="7"/>
  <c r="JQC26" i="7"/>
  <c r="JPY26" i="7"/>
  <c r="JPU26" i="7"/>
  <c r="JPQ26" i="7"/>
  <c r="JPM26" i="7"/>
  <c r="JPI26" i="7"/>
  <c r="JPE26" i="7"/>
  <c r="JPA26" i="7"/>
  <c r="JOW26" i="7"/>
  <c r="JOS26" i="7"/>
  <c r="JOO26" i="7"/>
  <c r="JOK26" i="7"/>
  <c r="JOG26" i="7"/>
  <c r="JOC26" i="7"/>
  <c r="JNY26" i="7"/>
  <c r="JNU26" i="7"/>
  <c r="JNQ26" i="7"/>
  <c r="JNM26" i="7"/>
  <c r="JNI26" i="7"/>
  <c r="JNE26" i="7"/>
  <c r="JNA26" i="7"/>
  <c r="JMW26" i="7"/>
  <c r="JMS26" i="7"/>
  <c r="JMO26" i="7"/>
  <c r="JMK26" i="7"/>
  <c r="JMG26" i="7"/>
  <c r="JMC26" i="7"/>
  <c r="JLY26" i="7"/>
  <c r="JLU26" i="7"/>
  <c r="JLQ26" i="7"/>
  <c r="JLM26" i="7"/>
  <c r="JLI26" i="7"/>
  <c r="JLE26" i="7"/>
  <c r="JLA26" i="7"/>
  <c r="JKW26" i="7"/>
  <c r="JKS26" i="7"/>
  <c r="JKO26" i="7"/>
  <c r="JKK26" i="7"/>
  <c r="JKG26" i="7"/>
  <c r="JKC26" i="7"/>
  <c r="JJY26" i="7"/>
  <c r="JJU26" i="7"/>
  <c r="JJQ26" i="7"/>
  <c r="JJM26" i="7"/>
  <c r="JJI26" i="7"/>
  <c r="JJE26" i="7"/>
  <c r="JJA26" i="7"/>
  <c r="JIW26" i="7"/>
  <c r="JIS26" i="7"/>
  <c r="JIO26" i="7"/>
  <c r="JIK26" i="7"/>
  <c r="JIG26" i="7"/>
  <c r="JIC26" i="7"/>
  <c r="JHY26" i="7"/>
  <c r="JHU26" i="7"/>
  <c r="JHQ26" i="7"/>
  <c r="JHM26" i="7"/>
  <c r="JHI26" i="7"/>
  <c r="JHE26" i="7"/>
  <c r="JHA26" i="7"/>
  <c r="JGW26" i="7"/>
  <c r="JGS26" i="7"/>
  <c r="JGO26" i="7"/>
  <c r="JGK26" i="7"/>
  <c r="JGG26" i="7"/>
  <c r="JGC26" i="7"/>
  <c r="JFY26" i="7"/>
  <c r="JFU26" i="7"/>
  <c r="JFQ26" i="7"/>
  <c r="JFM26" i="7"/>
  <c r="JFI26" i="7"/>
  <c r="JFE26" i="7"/>
  <c r="JFA26" i="7"/>
  <c r="JEW26" i="7"/>
  <c r="JES26" i="7"/>
  <c r="JEO26" i="7"/>
  <c r="JEK26" i="7"/>
  <c r="JEG26" i="7"/>
  <c r="JEC26" i="7"/>
  <c r="JDY26" i="7"/>
  <c r="JDU26" i="7"/>
  <c r="JDQ26" i="7"/>
  <c r="JDM26" i="7"/>
  <c r="JDI26" i="7"/>
  <c r="JDE26" i="7"/>
  <c r="JDA26" i="7"/>
  <c r="JCW26" i="7"/>
  <c r="JCS26" i="7"/>
  <c r="JCO26" i="7"/>
  <c r="JCK26" i="7"/>
  <c r="JCG26" i="7"/>
  <c r="JCC26" i="7"/>
  <c r="JBY26" i="7"/>
  <c r="JBU26" i="7"/>
  <c r="JBQ26" i="7"/>
  <c r="JBM26" i="7"/>
  <c r="JBI26" i="7"/>
  <c r="JBE26" i="7"/>
  <c r="JBA26" i="7"/>
  <c r="JAW26" i="7"/>
  <c r="JAS26" i="7"/>
  <c r="JAO26" i="7"/>
  <c r="JAK26" i="7"/>
  <c r="JAG26" i="7"/>
  <c r="JAC26" i="7"/>
  <c r="IZY26" i="7"/>
  <c r="IZU26" i="7"/>
  <c r="IZQ26" i="7"/>
  <c r="IZM26" i="7"/>
  <c r="IZI26" i="7"/>
  <c r="IZE26" i="7"/>
  <c r="IZA26" i="7"/>
  <c r="IYW26" i="7"/>
  <c r="IYS26" i="7"/>
  <c r="IYO26" i="7"/>
  <c r="IYK26" i="7"/>
  <c r="IYG26" i="7"/>
  <c r="IYC26" i="7"/>
  <c r="IXY26" i="7"/>
  <c r="IXU26" i="7"/>
  <c r="IXQ26" i="7"/>
  <c r="IXM26" i="7"/>
  <c r="IXI26" i="7"/>
  <c r="IXE26" i="7"/>
  <c r="IXA26" i="7"/>
  <c r="IWW26" i="7"/>
  <c r="IWS26" i="7"/>
  <c r="IWO26" i="7"/>
  <c r="IWK26" i="7"/>
  <c r="IWG26" i="7"/>
  <c r="IWC26" i="7"/>
  <c r="IVY26" i="7"/>
  <c r="IVU26" i="7"/>
  <c r="IVQ26" i="7"/>
  <c r="IVM26" i="7"/>
  <c r="IVI26" i="7"/>
  <c r="IVE26" i="7"/>
  <c r="IVA26" i="7"/>
  <c r="IUW26" i="7"/>
  <c r="IUS26" i="7"/>
  <c r="IUO26" i="7"/>
  <c r="IUK26" i="7"/>
  <c r="IUG26" i="7"/>
  <c r="IUC26" i="7"/>
  <c r="ITY26" i="7"/>
  <c r="ITU26" i="7"/>
  <c r="ITQ26" i="7"/>
  <c r="ITM26" i="7"/>
  <c r="ITI26" i="7"/>
  <c r="ITE26" i="7"/>
  <c r="ITA26" i="7"/>
  <c r="ISW26" i="7"/>
  <c r="ISS26" i="7"/>
  <c r="ISO26" i="7"/>
  <c r="ISK26" i="7"/>
  <c r="ISG26" i="7"/>
  <c r="ISC26" i="7"/>
  <c r="IRY26" i="7"/>
  <c r="IRU26" i="7"/>
  <c r="IRQ26" i="7"/>
  <c r="IRM26" i="7"/>
  <c r="IRI26" i="7"/>
  <c r="IRE26" i="7"/>
  <c r="IRA26" i="7"/>
  <c r="IQW26" i="7"/>
  <c r="IQS26" i="7"/>
  <c r="IQO26" i="7"/>
  <c r="IQK26" i="7"/>
  <c r="IQG26" i="7"/>
  <c r="IQC26" i="7"/>
  <c r="IPY26" i="7"/>
  <c r="IPU26" i="7"/>
  <c r="IPQ26" i="7"/>
  <c r="IPM26" i="7"/>
  <c r="IPI26" i="7"/>
  <c r="IPE26" i="7"/>
  <c r="IPA26" i="7"/>
  <c r="IOW26" i="7"/>
  <c r="IOS26" i="7"/>
  <c r="IOO26" i="7"/>
  <c r="IOK26" i="7"/>
  <c r="IOG26" i="7"/>
  <c r="IOC26" i="7"/>
  <c r="INY26" i="7"/>
  <c r="INU26" i="7"/>
  <c r="INQ26" i="7"/>
  <c r="INM26" i="7"/>
  <c r="INI26" i="7"/>
  <c r="INE26" i="7"/>
  <c r="INA26" i="7"/>
  <c r="IMW26" i="7"/>
  <c r="IMS26" i="7"/>
  <c r="IMO26" i="7"/>
  <c r="IMK26" i="7"/>
  <c r="IMG26" i="7"/>
  <c r="IMC26" i="7"/>
  <c r="ILY26" i="7"/>
  <c r="ILU26" i="7"/>
  <c r="ILQ26" i="7"/>
  <c r="ILM26" i="7"/>
  <c r="ILI26" i="7"/>
  <c r="ILE26" i="7"/>
  <c r="ILA26" i="7"/>
  <c r="IKW26" i="7"/>
  <c r="IKS26" i="7"/>
  <c r="IKO26" i="7"/>
  <c r="IKK26" i="7"/>
  <c r="IKG26" i="7"/>
  <c r="IKC26" i="7"/>
  <c r="IJY26" i="7"/>
  <c r="IJU26" i="7"/>
  <c r="IJQ26" i="7"/>
  <c r="IJM26" i="7"/>
  <c r="IJI26" i="7"/>
  <c r="IJE26" i="7"/>
  <c r="IJA26" i="7"/>
  <c r="IIW26" i="7"/>
  <c r="IIS26" i="7"/>
  <c r="IIO26" i="7"/>
  <c r="IIK26" i="7"/>
  <c r="IIG26" i="7"/>
  <c r="IIC26" i="7"/>
  <c r="IHY26" i="7"/>
  <c r="IHU26" i="7"/>
  <c r="IHQ26" i="7"/>
  <c r="IHM26" i="7"/>
  <c r="IHI26" i="7"/>
  <c r="IHE26" i="7"/>
  <c r="IHA26" i="7"/>
  <c r="IGW26" i="7"/>
  <c r="IGS26" i="7"/>
  <c r="IGO26" i="7"/>
  <c r="IGK26" i="7"/>
  <c r="IGG26" i="7"/>
  <c r="IGC26" i="7"/>
  <c r="IFY26" i="7"/>
  <c r="IFU26" i="7"/>
  <c r="IFQ26" i="7"/>
  <c r="IFM26" i="7"/>
  <c r="IFI26" i="7"/>
  <c r="IFE26" i="7"/>
  <c r="IFA26" i="7"/>
  <c r="IEW26" i="7"/>
  <c r="IES26" i="7"/>
  <c r="IEO26" i="7"/>
  <c r="IEK26" i="7"/>
  <c r="IEG26" i="7"/>
  <c r="IEC26" i="7"/>
  <c r="IDY26" i="7"/>
  <c r="IDU26" i="7"/>
  <c r="IDQ26" i="7"/>
  <c r="IDM26" i="7"/>
  <c r="IDI26" i="7"/>
  <c r="IDE26" i="7"/>
  <c r="IDA26" i="7"/>
  <c r="ICW26" i="7"/>
  <c r="ICS26" i="7"/>
  <c r="ICO26" i="7"/>
  <c r="ICK26" i="7"/>
  <c r="ICG26" i="7"/>
  <c r="ICC26" i="7"/>
  <c r="IBY26" i="7"/>
  <c r="IBU26" i="7"/>
  <c r="IBQ26" i="7"/>
  <c r="IBM26" i="7"/>
  <c r="IBI26" i="7"/>
  <c r="IBE26" i="7"/>
  <c r="IBA26" i="7"/>
  <c r="IAW26" i="7"/>
  <c r="IAS26" i="7"/>
  <c r="IAO26" i="7"/>
  <c r="IAK26" i="7"/>
  <c r="IAG26" i="7"/>
  <c r="IAC26" i="7"/>
  <c r="HZY26" i="7"/>
  <c r="HZU26" i="7"/>
  <c r="HZQ26" i="7"/>
  <c r="HZM26" i="7"/>
  <c r="HZI26" i="7"/>
  <c r="HZE26" i="7"/>
  <c r="HZA26" i="7"/>
  <c r="HYW26" i="7"/>
  <c r="HYS26" i="7"/>
  <c r="HYO26" i="7"/>
  <c r="HYK26" i="7"/>
  <c r="HYG26" i="7"/>
  <c r="HYC26" i="7"/>
  <c r="HXY26" i="7"/>
  <c r="HXU26" i="7"/>
  <c r="HXQ26" i="7"/>
  <c r="HXM26" i="7"/>
  <c r="HXI26" i="7"/>
  <c r="HXE26" i="7"/>
  <c r="HXA26" i="7"/>
  <c r="HWW26" i="7"/>
  <c r="HWS26" i="7"/>
  <c r="HWO26" i="7"/>
  <c r="HWK26" i="7"/>
  <c r="HWG26" i="7"/>
  <c r="HWC26" i="7"/>
  <c r="HVY26" i="7"/>
  <c r="HVU26" i="7"/>
  <c r="HVQ26" i="7"/>
  <c r="HVM26" i="7"/>
  <c r="HVI26" i="7"/>
  <c r="HVE26" i="7"/>
  <c r="HVA26" i="7"/>
  <c r="HUW26" i="7"/>
  <c r="HUS26" i="7"/>
  <c r="HUO26" i="7"/>
  <c r="HUK26" i="7"/>
  <c r="HUG26" i="7"/>
  <c r="HUC26" i="7"/>
  <c r="HTY26" i="7"/>
  <c r="HTU26" i="7"/>
  <c r="HTQ26" i="7"/>
  <c r="HTM26" i="7"/>
  <c r="HTI26" i="7"/>
  <c r="HTE26" i="7"/>
  <c r="HTA26" i="7"/>
  <c r="HSW26" i="7"/>
  <c r="HSS26" i="7"/>
  <c r="HSO26" i="7"/>
  <c r="HSK26" i="7"/>
  <c r="HSG26" i="7"/>
  <c r="HSC26" i="7"/>
  <c r="HRY26" i="7"/>
  <c r="HRU26" i="7"/>
  <c r="HRQ26" i="7"/>
  <c r="HRM26" i="7"/>
  <c r="HRI26" i="7"/>
  <c r="HRE26" i="7"/>
  <c r="HRA26" i="7"/>
  <c r="HQW26" i="7"/>
  <c r="HQS26" i="7"/>
  <c r="HQO26" i="7"/>
  <c r="HQK26" i="7"/>
  <c r="HQG26" i="7"/>
  <c r="HQC26" i="7"/>
  <c r="HPY26" i="7"/>
  <c r="HPU26" i="7"/>
  <c r="HPQ26" i="7"/>
  <c r="HPM26" i="7"/>
  <c r="HPI26" i="7"/>
  <c r="HPE26" i="7"/>
  <c r="HPA26" i="7"/>
  <c r="HOW26" i="7"/>
  <c r="HOS26" i="7"/>
  <c r="HOO26" i="7"/>
  <c r="HOK26" i="7"/>
  <c r="HOG26" i="7"/>
  <c r="HOC26" i="7"/>
  <c r="HNY26" i="7"/>
  <c r="HNU26" i="7"/>
  <c r="HNQ26" i="7"/>
  <c r="HNM26" i="7"/>
  <c r="HNI26" i="7"/>
  <c r="HNE26" i="7"/>
  <c r="HNA26" i="7"/>
  <c r="HMW26" i="7"/>
  <c r="HMS26" i="7"/>
  <c r="HMO26" i="7"/>
  <c r="HMK26" i="7"/>
  <c r="HMG26" i="7"/>
  <c r="HMC26" i="7"/>
  <c r="HLY26" i="7"/>
  <c r="HLU26" i="7"/>
  <c r="HLQ26" i="7"/>
  <c r="HLM26" i="7"/>
  <c r="HLI26" i="7"/>
  <c r="HLE26" i="7"/>
  <c r="HLA26" i="7"/>
  <c r="HKW26" i="7"/>
  <c r="HKS26" i="7"/>
  <c r="HKO26" i="7"/>
  <c r="HKK26" i="7"/>
  <c r="HKG26" i="7"/>
  <c r="HKC26" i="7"/>
  <c r="HJY26" i="7"/>
  <c r="HJU26" i="7"/>
  <c r="HJQ26" i="7"/>
  <c r="HJM26" i="7"/>
  <c r="HJI26" i="7"/>
  <c r="HJE26" i="7"/>
  <c r="HJA26" i="7"/>
  <c r="HIW26" i="7"/>
  <c r="HIS26" i="7"/>
  <c r="HIO26" i="7"/>
  <c r="HIK26" i="7"/>
  <c r="HIG26" i="7"/>
  <c r="HIC26" i="7"/>
  <c r="HHY26" i="7"/>
  <c r="HHU26" i="7"/>
  <c r="HHQ26" i="7"/>
  <c r="HHM26" i="7"/>
  <c r="HHI26" i="7"/>
  <c r="HHE26" i="7"/>
  <c r="HHA26" i="7"/>
  <c r="HGW26" i="7"/>
  <c r="HGS26" i="7"/>
  <c r="HGO26" i="7"/>
  <c r="HGK26" i="7"/>
  <c r="HGG26" i="7"/>
  <c r="HGC26" i="7"/>
  <c r="HFY26" i="7"/>
  <c r="HFU26" i="7"/>
  <c r="HFQ26" i="7"/>
  <c r="HFM26" i="7"/>
  <c r="HFI26" i="7"/>
  <c r="HFE26" i="7"/>
  <c r="HFA26" i="7"/>
  <c r="HEW26" i="7"/>
  <c r="HES26" i="7"/>
  <c r="HEO26" i="7"/>
  <c r="HEK26" i="7"/>
  <c r="HEG26" i="7"/>
  <c r="HEC26" i="7"/>
  <c r="HDY26" i="7"/>
  <c r="HDU26" i="7"/>
  <c r="HDQ26" i="7"/>
  <c r="HDM26" i="7"/>
  <c r="HDI26" i="7"/>
  <c r="HDE26" i="7"/>
  <c r="HDA26" i="7"/>
  <c r="HCW26" i="7"/>
  <c r="HCS26" i="7"/>
  <c r="HCO26" i="7"/>
  <c r="HCK26" i="7"/>
  <c r="HCG26" i="7"/>
  <c r="HCC26" i="7"/>
  <c r="HBY26" i="7"/>
  <c r="HBU26" i="7"/>
  <c r="HBQ26" i="7"/>
  <c r="HBM26" i="7"/>
  <c r="HBI26" i="7"/>
  <c r="HBE26" i="7"/>
  <c r="HBA26" i="7"/>
  <c r="HAW26" i="7"/>
  <c r="HAS26" i="7"/>
  <c r="HAO26" i="7"/>
  <c r="HAK26" i="7"/>
  <c r="HAG26" i="7"/>
  <c r="HAC26" i="7"/>
  <c r="GZY26" i="7"/>
  <c r="GZU26" i="7"/>
  <c r="GZQ26" i="7"/>
  <c r="GZM26" i="7"/>
  <c r="GZI26" i="7"/>
  <c r="GZE26" i="7"/>
  <c r="GZA26" i="7"/>
  <c r="GYW26" i="7"/>
  <c r="GYS26" i="7"/>
  <c r="GYO26" i="7"/>
  <c r="GYK26" i="7"/>
  <c r="GYG26" i="7"/>
  <c r="GYC26" i="7"/>
  <c r="GXY26" i="7"/>
  <c r="GXU26" i="7"/>
  <c r="GXQ26" i="7"/>
  <c r="GXM26" i="7"/>
  <c r="GXI26" i="7"/>
  <c r="GXE26" i="7"/>
  <c r="GXA26" i="7"/>
  <c r="GWW26" i="7"/>
  <c r="GWS26" i="7"/>
  <c r="GWO26" i="7"/>
  <c r="GWK26" i="7"/>
  <c r="GWG26" i="7"/>
  <c r="GWC26" i="7"/>
  <c r="GVY26" i="7"/>
  <c r="GVU26" i="7"/>
  <c r="GVQ26" i="7"/>
  <c r="GVM26" i="7"/>
  <c r="GVI26" i="7"/>
  <c r="GVE26" i="7"/>
  <c r="GVA26" i="7"/>
  <c r="GUW26" i="7"/>
  <c r="GUS26" i="7"/>
  <c r="GUO26" i="7"/>
  <c r="GUK26" i="7"/>
  <c r="GUG26" i="7"/>
  <c r="GUC26" i="7"/>
  <c r="GTY26" i="7"/>
  <c r="GTU26" i="7"/>
  <c r="GTQ26" i="7"/>
  <c r="GTM26" i="7"/>
  <c r="GTI26" i="7"/>
  <c r="GTE26" i="7"/>
  <c r="GTA26" i="7"/>
  <c r="GSW26" i="7"/>
  <c r="GSS26" i="7"/>
  <c r="GSO26" i="7"/>
  <c r="GSK26" i="7"/>
  <c r="GSG26" i="7"/>
  <c r="GSC26" i="7"/>
  <c r="GRY26" i="7"/>
  <c r="GRU26" i="7"/>
  <c r="GRQ26" i="7"/>
  <c r="GRM26" i="7"/>
  <c r="GRI26" i="7"/>
  <c r="GRE26" i="7"/>
  <c r="GRA26" i="7"/>
  <c r="GQW26" i="7"/>
  <c r="GQS26" i="7"/>
  <c r="GQO26" i="7"/>
  <c r="GQK26" i="7"/>
  <c r="GQG26" i="7"/>
  <c r="GQC26" i="7"/>
  <c r="GPY26" i="7"/>
  <c r="GPU26" i="7"/>
  <c r="GPQ26" i="7"/>
  <c r="GPM26" i="7"/>
  <c r="GPI26" i="7"/>
  <c r="GPE26" i="7"/>
  <c r="GPA26" i="7"/>
  <c r="GOW26" i="7"/>
  <c r="GOS26" i="7"/>
  <c r="GOO26" i="7"/>
  <c r="GOK26" i="7"/>
  <c r="GOG26" i="7"/>
  <c r="GOC26" i="7"/>
  <c r="GNY26" i="7"/>
  <c r="GNU26" i="7"/>
  <c r="GNQ26" i="7"/>
  <c r="GNM26" i="7"/>
  <c r="GNI26" i="7"/>
  <c r="GNE26" i="7"/>
  <c r="GNA26" i="7"/>
  <c r="GMW26" i="7"/>
  <c r="GMS26" i="7"/>
  <c r="GMO26" i="7"/>
  <c r="GMK26" i="7"/>
  <c r="GMG26" i="7"/>
  <c r="GMC26" i="7"/>
  <c r="GLY26" i="7"/>
  <c r="GLU26" i="7"/>
  <c r="GLQ26" i="7"/>
  <c r="GLM26" i="7"/>
  <c r="GLI26" i="7"/>
  <c r="GLE26" i="7"/>
  <c r="GLA26" i="7"/>
  <c r="GKW26" i="7"/>
  <c r="GKS26" i="7"/>
  <c r="GKO26" i="7"/>
  <c r="GKK26" i="7"/>
  <c r="GKG26" i="7"/>
  <c r="GKC26" i="7"/>
  <c r="GJY26" i="7"/>
  <c r="GJU26" i="7"/>
  <c r="GJQ26" i="7"/>
  <c r="GJM26" i="7"/>
  <c r="GJI26" i="7"/>
  <c r="GJE26" i="7"/>
  <c r="GJA26" i="7"/>
  <c r="GIW26" i="7"/>
  <c r="GIS26" i="7"/>
  <c r="GIO26" i="7"/>
  <c r="GIK26" i="7"/>
  <c r="GIG26" i="7"/>
  <c r="GIC26" i="7"/>
  <c r="GHY26" i="7"/>
  <c r="GHU26" i="7"/>
  <c r="GHQ26" i="7"/>
  <c r="GHM26" i="7"/>
  <c r="GHI26" i="7"/>
  <c r="GHE26" i="7"/>
  <c r="GHA26" i="7"/>
  <c r="GGW26" i="7"/>
  <c r="GGS26" i="7"/>
  <c r="GGO26" i="7"/>
  <c r="GGK26" i="7"/>
  <c r="GGG26" i="7"/>
  <c r="GGC26" i="7"/>
  <c r="GFY26" i="7"/>
  <c r="GFU26" i="7"/>
  <c r="GFQ26" i="7"/>
  <c r="GFM26" i="7"/>
  <c r="GFI26" i="7"/>
  <c r="GFE26" i="7"/>
  <c r="GFA26" i="7"/>
  <c r="GEW26" i="7"/>
  <c r="GES26" i="7"/>
  <c r="GEO26" i="7"/>
  <c r="GEK26" i="7"/>
  <c r="GEG26" i="7"/>
  <c r="GEC26" i="7"/>
  <c r="GDY26" i="7"/>
  <c r="GDU26" i="7"/>
  <c r="GDQ26" i="7"/>
  <c r="GDM26" i="7"/>
  <c r="GDI26" i="7"/>
  <c r="GDE26" i="7"/>
  <c r="GDA26" i="7"/>
  <c r="GCW26" i="7"/>
  <c r="GCS26" i="7"/>
  <c r="GCO26" i="7"/>
  <c r="GCK26" i="7"/>
  <c r="GCG26" i="7"/>
  <c r="GCC26" i="7"/>
  <c r="GBY26" i="7"/>
  <c r="GBU26" i="7"/>
  <c r="GBQ26" i="7"/>
  <c r="GBM26" i="7"/>
  <c r="GBI26" i="7"/>
  <c r="GBE26" i="7"/>
  <c r="GBA26" i="7"/>
  <c r="GAW26" i="7"/>
  <c r="GAS26" i="7"/>
  <c r="GAO26" i="7"/>
  <c r="GAK26" i="7"/>
  <c r="GAG26" i="7"/>
  <c r="GAC26" i="7"/>
  <c r="FZY26" i="7"/>
  <c r="FZU26" i="7"/>
  <c r="FZQ26" i="7"/>
  <c r="FZM26" i="7"/>
  <c r="FZI26" i="7"/>
  <c r="FZE26" i="7"/>
  <c r="FZA26" i="7"/>
  <c r="FYW26" i="7"/>
  <c r="FYS26" i="7"/>
  <c r="FYO26" i="7"/>
  <c r="FYK26" i="7"/>
  <c r="FYG26" i="7"/>
  <c r="FYC26" i="7"/>
  <c r="FXY26" i="7"/>
  <c r="FXU26" i="7"/>
  <c r="FXQ26" i="7"/>
  <c r="FXM26" i="7"/>
  <c r="FXI26" i="7"/>
  <c r="FXE26" i="7"/>
  <c r="FXA26" i="7"/>
  <c r="FWW26" i="7"/>
  <c r="FWS26" i="7"/>
  <c r="FWO26" i="7"/>
  <c r="FWK26" i="7"/>
  <c r="FWG26" i="7"/>
  <c r="FWC26" i="7"/>
  <c r="FVY26" i="7"/>
  <c r="FVU26" i="7"/>
  <c r="FVQ26" i="7"/>
  <c r="FVM26" i="7"/>
  <c r="FVI26" i="7"/>
  <c r="FVE26" i="7"/>
  <c r="FVA26" i="7"/>
  <c r="FUW26" i="7"/>
  <c r="FUS26" i="7"/>
  <c r="FUO26" i="7"/>
  <c r="FUK26" i="7"/>
  <c r="FUG26" i="7"/>
  <c r="FUC26" i="7"/>
  <c r="FTY26" i="7"/>
  <c r="FTU26" i="7"/>
  <c r="FTQ26" i="7"/>
  <c r="FTM26" i="7"/>
  <c r="FTI26" i="7"/>
  <c r="FTE26" i="7"/>
  <c r="FTA26" i="7"/>
  <c r="FSW26" i="7"/>
  <c r="FSS26" i="7"/>
  <c r="FSO26" i="7"/>
  <c r="FSK26" i="7"/>
  <c r="FSG26" i="7"/>
  <c r="FSC26" i="7"/>
  <c r="FRY26" i="7"/>
  <c r="FRU26" i="7"/>
  <c r="FRQ26" i="7"/>
  <c r="FRM26" i="7"/>
  <c r="FRI26" i="7"/>
  <c r="FRE26" i="7"/>
  <c r="FRA26" i="7"/>
  <c r="FQW26" i="7"/>
  <c r="FQS26" i="7"/>
  <c r="FQO26" i="7"/>
  <c r="FQK26" i="7"/>
  <c r="FQG26" i="7"/>
  <c r="FQC26" i="7"/>
  <c r="FPY26" i="7"/>
  <c r="FPU26" i="7"/>
  <c r="FPQ26" i="7"/>
  <c r="FPM26" i="7"/>
  <c r="FPI26" i="7"/>
  <c r="FPE26" i="7"/>
  <c r="FPA26" i="7"/>
  <c r="FOW26" i="7"/>
  <c r="FOS26" i="7"/>
  <c r="FOO26" i="7"/>
  <c r="FOK26" i="7"/>
  <c r="FOG26" i="7"/>
  <c r="FOC26" i="7"/>
  <c r="FNY26" i="7"/>
  <c r="FNU26" i="7"/>
  <c r="FNQ26" i="7"/>
  <c r="FNM26" i="7"/>
  <c r="FNI26" i="7"/>
  <c r="FNE26" i="7"/>
  <c r="FNA26" i="7"/>
  <c r="FMW26" i="7"/>
  <c r="FMS26" i="7"/>
  <c r="FMO26" i="7"/>
  <c r="FMK26" i="7"/>
  <c r="FMG26" i="7"/>
  <c r="FMC26" i="7"/>
  <c r="FLY26" i="7"/>
  <c r="FLU26" i="7"/>
  <c r="FLQ26" i="7"/>
  <c r="FLM26" i="7"/>
  <c r="FLI26" i="7"/>
  <c r="FLE26" i="7"/>
  <c r="FLA26" i="7"/>
  <c r="FKW26" i="7"/>
  <c r="FKS26" i="7"/>
  <c r="FKO26" i="7"/>
  <c r="FKK26" i="7"/>
  <c r="FKG26" i="7"/>
  <c r="FKC26" i="7"/>
  <c r="FJY26" i="7"/>
  <c r="FJU26" i="7"/>
  <c r="FJQ26" i="7"/>
  <c r="FJM26" i="7"/>
  <c r="FJI26" i="7"/>
  <c r="FJE26" i="7"/>
  <c r="FJA26" i="7"/>
  <c r="FIW26" i="7"/>
  <c r="FIS26" i="7"/>
  <c r="FIO26" i="7"/>
  <c r="FIK26" i="7"/>
  <c r="FIG26" i="7"/>
  <c r="FIC26" i="7"/>
  <c r="FHY26" i="7"/>
  <c r="FHU26" i="7"/>
  <c r="FHQ26" i="7"/>
  <c r="FHM26" i="7"/>
  <c r="FHI26" i="7"/>
  <c r="FHE26" i="7"/>
  <c r="FHA26" i="7"/>
  <c r="FGW26" i="7"/>
  <c r="FGS26" i="7"/>
  <c r="FGO26" i="7"/>
  <c r="FGK26" i="7"/>
  <c r="FGG26" i="7"/>
  <c r="FGC26" i="7"/>
  <c r="FFY26" i="7"/>
  <c r="FFU26" i="7"/>
  <c r="FFQ26" i="7"/>
  <c r="FFM26" i="7"/>
  <c r="FFI26" i="7"/>
  <c r="FFE26" i="7"/>
  <c r="FFA26" i="7"/>
  <c r="FEW26" i="7"/>
  <c r="FES26" i="7"/>
  <c r="FEO26" i="7"/>
  <c r="FEK26" i="7"/>
  <c r="FEG26" i="7"/>
  <c r="FEC26" i="7"/>
  <c r="FDY26" i="7"/>
  <c r="FDU26" i="7"/>
  <c r="FDQ26" i="7"/>
  <c r="FDM26" i="7"/>
  <c r="FDI26" i="7"/>
  <c r="FDE26" i="7"/>
  <c r="FDA26" i="7"/>
  <c r="FCW26" i="7"/>
  <c r="FCS26" i="7"/>
  <c r="FCO26" i="7"/>
  <c r="FCK26" i="7"/>
  <c r="FCG26" i="7"/>
  <c r="FCC26" i="7"/>
  <c r="FBY26" i="7"/>
  <c r="FBU26" i="7"/>
  <c r="FBQ26" i="7"/>
  <c r="FBM26" i="7"/>
  <c r="FBI26" i="7"/>
  <c r="FBE26" i="7"/>
  <c r="FBA26" i="7"/>
  <c r="FAW26" i="7"/>
  <c r="FAS26" i="7"/>
  <c r="FAO26" i="7"/>
  <c r="FAK26" i="7"/>
  <c r="FAG26" i="7"/>
  <c r="FAC26" i="7"/>
  <c r="EZY26" i="7"/>
  <c r="EZU26" i="7"/>
  <c r="EZQ26" i="7"/>
  <c r="EZM26" i="7"/>
  <c r="EZI26" i="7"/>
  <c r="EZE26" i="7"/>
  <c r="EZA26" i="7"/>
  <c r="EYW26" i="7"/>
  <c r="EYS26" i="7"/>
  <c r="EYO26" i="7"/>
  <c r="EYK26" i="7"/>
  <c r="EYG26" i="7"/>
  <c r="EYC26" i="7"/>
  <c r="EXY26" i="7"/>
  <c r="EXU26" i="7"/>
  <c r="EXQ26" i="7"/>
  <c r="EXM26" i="7"/>
  <c r="EXI26" i="7"/>
  <c r="EXE26" i="7"/>
  <c r="EXA26" i="7"/>
  <c r="EWW26" i="7"/>
  <c r="EWS26" i="7"/>
  <c r="EWO26" i="7"/>
  <c r="EWK26" i="7"/>
  <c r="EWG26" i="7"/>
  <c r="EWC26" i="7"/>
  <c r="EVY26" i="7"/>
  <c r="EVU26" i="7"/>
  <c r="EVQ26" i="7"/>
  <c r="EVM26" i="7"/>
  <c r="EVI26" i="7"/>
  <c r="EVE26" i="7"/>
  <c r="EVA26" i="7"/>
  <c r="EUW26" i="7"/>
  <c r="EUS26" i="7"/>
  <c r="EUO26" i="7"/>
  <c r="EUK26" i="7"/>
  <c r="EUG26" i="7"/>
  <c r="EUC26" i="7"/>
  <c r="ETY26" i="7"/>
  <c r="ETU26" i="7"/>
  <c r="ETQ26" i="7"/>
  <c r="ETM26" i="7"/>
  <c r="ETI26" i="7"/>
  <c r="ETE26" i="7"/>
  <c r="ETA26" i="7"/>
  <c r="ESW26" i="7"/>
  <c r="ESS26" i="7"/>
  <c r="ESO26" i="7"/>
  <c r="ESK26" i="7"/>
  <c r="ESG26" i="7"/>
  <c r="ESC26" i="7"/>
  <c r="ERY26" i="7"/>
  <c r="ERU26" i="7"/>
  <c r="ERQ26" i="7"/>
  <c r="ERM26" i="7"/>
  <c r="ERI26" i="7"/>
  <c r="ERE26" i="7"/>
  <c r="ERA26" i="7"/>
  <c r="EQW26" i="7"/>
  <c r="EQS26" i="7"/>
  <c r="EQO26" i="7"/>
  <c r="EQK26" i="7"/>
  <c r="EQG26" i="7"/>
  <c r="EQC26" i="7"/>
  <c r="EPY26" i="7"/>
  <c r="EPU26" i="7"/>
  <c r="EPQ26" i="7"/>
  <c r="EPM26" i="7"/>
  <c r="EPI26" i="7"/>
  <c r="EPE26" i="7"/>
  <c r="EPA26" i="7"/>
  <c r="EOW26" i="7"/>
  <c r="EOS26" i="7"/>
  <c r="EOO26" i="7"/>
  <c r="EOK26" i="7"/>
  <c r="EOG26" i="7"/>
  <c r="EOC26" i="7"/>
  <c r="ENY26" i="7"/>
  <c r="ENU26" i="7"/>
  <c r="ENQ26" i="7"/>
  <c r="ENM26" i="7"/>
  <c r="ENI26" i="7"/>
  <c r="ENE26" i="7"/>
  <c r="ENA26" i="7"/>
  <c r="EMW26" i="7"/>
  <c r="EMS26" i="7"/>
  <c r="EMO26" i="7"/>
  <c r="EMK26" i="7"/>
  <c r="EMG26" i="7"/>
  <c r="EMC26" i="7"/>
  <c r="ELY26" i="7"/>
  <c r="ELU26" i="7"/>
  <c r="ELQ26" i="7"/>
  <c r="ELM26" i="7"/>
  <c r="ELI26" i="7"/>
  <c r="ELE26" i="7"/>
  <c r="ELA26" i="7"/>
  <c r="EKW26" i="7"/>
  <c r="EKS26" i="7"/>
  <c r="EKO26" i="7"/>
  <c r="EKK26" i="7"/>
  <c r="EKG26" i="7"/>
  <c r="EKC26" i="7"/>
  <c r="EJY26" i="7"/>
  <c r="EJU26" i="7"/>
  <c r="EJQ26" i="7"/>
  <c r="EJM26" i="7"/>
  <c r="EJI26" i="7"/>
  <c r="EJE26" i="7"/>
  <c r="EJA26" i="7"/>
  <c r="EIW26" i="7"/>
  <c r="EIS26" i="7"/>
  <c r="EIO26" i="7"/>
  <c r="EIK26" i="7"/>
  <c r="EIG26" i="7"/>
  <c r="EIC26" i="7"/>
  <c r="EHY26" i="7"/>
  <c r="EHU26" i="7"/>
  <c r="EHQ26" i="7"/>
  <c r="EHM26" i="7"/>
  <c r="EHI26" i="7"/>
  <c r="EHE26" i="7"/>
  <c r="EHA26" i="7"/>
  <c r="EGW26" i="7"/>
  <c r="EGS26" i="7"/>
  <c r="EGO26" i="7"/>
  <c r="EGK26" i="7"/>
  <c r="EGG26" i="7"/>
  <c r="EGC26" i="7"/>
  <c r="EFY26" i="7"/>
  <c r="EFU26" i="7"/>
  <c r="EFQ26" i="7"/>
  <c r="EFM26" i="7"/>
  <c r="EFI26" i="7"/>
  <c r="EFE26" i="7"/>
  <c r="EFA26" i="7"/>
  <c r="EEW26" i="7"/>
  <c r="EES26" i="7"/>
  <c r="EEO26" i="7"/>
  <c r="EEK26" i="7"/>
  <c r="EEG26" i="7"/>
  <c r="EEC26" i="7"/>
  <c r="EDY26" i="7"/>
  <c r="EDU26" i="7"/>
  <c r="EDQ26" i="7"/>
  <c r="EDM26" i="7"/>
  <c r="EDI26" i="7"/>
  <c r="EDE26" i="7"/>
  <c r="EDA26" i="7"/>
  <c r="ECW26" i="7"/>
  <c r="ECS26" i="7"/>
  <c r="ECO26" i="7"/>
  <c r="ECK26" i="7"/>
  <c r="ECG26" i="7"/>
  <c r="ECC26" i="7"/>
  <c r="EBY26" i="7"/>
  <c r="EBU26" i="7"/>
  <c r="EBQ26" i="7"/>
  <c r="EBM26" i="7"/>
  <c r="EBI26" i="7"/>
  <c r="EBE26" i="7"/>
  <c r="EBA26" i="7"/>
  <c r="EAW26" i="7"/>
  <c r="EAS26" i="7"/>
  <c r="EAO26" i="7"/>
  <c r="EAK26" i="7"/>
  <c r="EAG26" i="7"/>
  <c r="EAC26" i="7"/>
  <c r="DZY26" i="7"/>
  <c r="DZU26" i="7"/>
  <c r="DZQ26" i="7"/>
  <c r="DZM26" i="7"/>
  <c r="DZI26" i="7"/>
  <c r="DZE26" i="7"/>
  <c r="DZA26" i="7"/>
  <c r="DYW26" i="7"/>
  <c r="DYS26" i="7"/>
  <c r="DYO26" i="7"/>
  <c r="DYK26" i="7"/>
  <c r="DYG26" i="7"/>
  <c r="DYC26" i="7"/>
  <c r="DXY26" i="7"/>
  <c r="DXU26" i="7"/>
  <c r="DXQ26" i="7"/>
  <c r="DXM26" i="7"/>
  <c r="DXI26" i="7"/>
  <c r="DXE26" i="7"/>
  <c r="DXA26" i="7"/>
  <c r="DWW26" i="7"/>
  <c r="DWS26" i="7"/>
  <c r="DWO26" i="7"/>
  <c r="DWK26" i="7"/>
  <c r="DWG26" i="7"/>
  <c r="DWC26" i="7"/>
  <c r="DVY26" i="7"/>
  <c r="DVU26" i="7"/>
  <c r="DVQ26" i="7"/>
  <c r="DVM26" i="7"/>
  <c r="DVI26" i="7"/>
  <c r="DVE26" i="7"/>
  <c r="DVA26" i="7"/>
  <c r="DUW26" i="7"/>
  <c r="DUS26" i="7"/>
  <c r="DUO26" i="7"/>
  <c r="DUK26" i="7"/>
  <c r="DUG26" i="7"/>
  <c r="DUC26" i="7"/>
  <c r="DTY26" i="7"/>
  <c r="DTU26" i="7"/>
  <c r="DTQ26" i="7"/>
  <c r="DTM26" i="7"/>
  <c r="DTI26" i="7"/>
  <c r="DTE26" i="7"/>
  <c r="DTA26" i="7"/>
  <c r="DSW26" i="7"/>
  <c r="DSS26" i="7"/>
  <c r="DSO26" i="7"/>
  <c r="DSK26" i="7"/>
  <c r="DSG26" i="7"/>
  <c r="DSC26" i="7"/>
  <c r="DRY26" i="7"/>
  <c r="DRU26" i="7"/>
  <c r="DRQ26" i="7"/>
  <c r="DRM26" i="7"/>
  <c r="DRI26" i="7"/>
  <c r="DRE26" i="7"/>
  <c r="DRA26" i="7"/>
  <c r="DQW26" i="7"/>
  <c r="DQS26" i="7"/>
  <c r="DQO26" i="7"/>
  <c r="DQK26" i="7"/>
  <c r="DQG26" i="7"/>
  <c r="DQC26" i="7"/>
  <c r="DPY26" i="7"/>
  <c r="DPU26" i="7"/>
  <c r="DPQ26" i="7"/>
  <c r="DPM26" i="7"/>
  <c r="DPI26" i="7"/>
  <c r="DPE26" i="7"/>
  <c r="DPA26" i="7"/>
  <c r="DOW26" i="7"/>
  <c r="DOS26" i="7"/>
  <c r="DOO26" i="7"/>
  <c r="DOK26" i="7"/>
  <c r="DOG26" i="7"/>
  <c r="DOC26" i="7"/>
  <c r="DNY26" i="7"/>
  <c r="DNU26" i="7"/>
  <c r="DNQ26" i="7"/>
  <c r="DNM26" i="7"/>
  <c r="DNI26" i="7"/>
  <c r="DNE26" i="7"/>
  <c r="DNA26" i="7"/>
  <c r="DMW26" i="7"/>
  <c r="DMS26" i="7"/>
  <c r="DMO26" i="7"/>
  <c r="DMK26" i="7"/>
  <c r="DMG26" i="7"/>
  <c r="DMC26" i="7"/>
  <c r="DLY26" i="7"/>
  <c r="DLU26" i="7"/>
  <c r="DLQ26" i="7"/>
  <c r="DLM26" i="7"/>
  <c r="DLI26" i="7"/>
  <c r="DLE26" i="7"/>
  <c r="DLA26" i="7"/>
  <c r="DKW26" i="7"/>
  <c r="DKS26" i="7"/>
  <c r="DKO26" i="7"/>
  <c r="DKK26" i="7"/>
  <c r="DKG26" i="7"/>
  <c r="DKC26" i="7"/>
  <c r="DJY26" i="7"/>
  <c r="DJU26" i="7"/>
  <c r="DJQ26" i="7"/>
  <c r="DJM26" i="7"/>
  <c r="DJI26" i="7"/>
  <c r="DJE26" i="7"/>
  <c r="DJA26" i="7"/>
  <c r="DIW26" i="7"/>
  <c r="DIS26" i="7"/>
  <c r="DIO26" i="7"/>
  <c r="DIK26" i="7"/>
  <c r="DIG26" i="7"/>
  <c r="DIC26" i="7"/>
  <c r="DHY26" i="7"/>
  <c r="DHU26" i="7"/>
  <c r="DHQ26" i="7"/>
  <c r="DHM26" i="7"/>
  <c r="DHI26" i="7"/>
  <c r="DHE26" i="7"/>
  <c r="DHA26" i="7"/>
  <c r="DGW26" i="7"/>
  <c r="DGS26" i="7"/>
  <c r="DGO26" i="7"/>
  <c r="DGK26" i="7"/>
  <c r="DGG26" i="7"/>
  <c r="DGC26" i="7"/>
  <c r="DFY26" i="7"/>
  <c r="DFU26" i="7"/>
  <c r="DFQ26" i="7"/>
  <c r="DFM26" i="7"/>
  <c r="DFI26" i="7"/>
  <c r="DFE26" i="7"/>
  <c r="DFA26" i="7"/>
  <c r="DEW26" i="7"/>
  <c r="DES26" i="7"/>
  <c r="DEO26" i="7"/>
  <c r="DEK26" i="7"/>
  <c r="DEG26" i="7"/>
  <c r="DEC26" i="7"/>
  <c r="DDY26" i="7"/>
  <c r="DDU26" i="7"/>
  <c r="DDQ26" i="7"/>
  <c r="DDM26" i="7"/>
  <c r="DDI26" i="7"/>
  <c r="DDE26" i="7"/>
  <c r="DDA26" i="7"/>
  <c r="DCW26" i="7"/>
  <c r="DCS26" i="7"/>
  <c r="DCO26" i="7"/>
  <c r="DCK26" i="7"/>
  <c r="DCG26" i="7"/>
  <c r="DCC26" i="7"/>
  <c r="DBY26" i="7"/>
  <c r="DBU26" i="7"/>
  <c r="DBQ26" i="7"/>
  <c r="DBM26" i="7"/>
  <c r="DBI26" i="7"/>
  <c r="DBE26" i="7"/>
  <c r="DBA26" i="7"/>
  <c r="DAW26" i="7"/>
  <c r="DAS26" i="7"/>
  <c r="DAO26" i="7"/>
  <c r="DAK26" i="7"/>
  <c r="DAG26" i="7"/>
  <c r="DAC26" i="7"/>
  <c r="CZY26" i="7"/>
  <c r="CZU26" i="7"/>
  <c r="CZQ26" i="7"/>
  <c r="CZM26" i="7"/>
  <c r="CZI26" i="7"/>
  <c r="CZE26" i="7"/>
  <c r="CZA26" i="7"/>
  <c r="CYW26" i="7"/>
  <c r="CYS26" i="7"/>
  <c r="CYO26" i="7"/>
  <c r="CYK26" i="7"/>
  <c r="CYG26" i="7"/>
  <c r="CYC26" i="7"/>
  <c r="CXY26" i="7"/>
  <c r="CXU26" i="7"/>
  <c r="CXQ26" i="7"/>
  <c r="CXM26" i="7"/>
  <c r="CXI26" i="7"/>
  <c r="CXE26" i="7"/>
  <c r="CXA26" i="7"/>
  <c r="CWW26" i="7"/>
  <c r="CWS26" i="7"/>
  <c r="CWO26" i="7"/>
  <c r="CWK26" i="7"/>
  <c r="CWG26" i="7"/>
  <c r="CWC26" i="7"/>
  <c r="CVY26" i="7"/>
  <c r="CVU26" i="7"/>
  <c r="CVQ26" i="7"/>
  <c r="CVM26" i="7"/>
  <c r="CVI26" i="7"/>
  <c r="CVE26" i="7"/>
  <c r="CVA26" i="7"/>
  <c r="CUW26" i="7"/>
  <c r="CUS26" i="7"/>
  <c r="CUO26" i="7"/>
  <c r="CUK26" i="7"/>
  <c r="CUG26" i="7"/>
  <c r="CUC26" i="7"/>
  <c r="CTY26" i="7"/>
  <c r="CTU26" i="7"/>
  <c r="CTQ26" i="7"/>
  <c r="CTM26" i="7"/>
  <c r="CTI26" i="7"/>
  <c r="CTE26" i="7"/>
  <c r="CTA26" i="7"/>
  <c r="CSW26" i="7"/>
  <c r="CSS26" i="7"/>
  <c r="CSO26" i="7"/>
  <c r="CSK26" i="7"/>
  <c r="CSG26" i="7"/>
  <c r="CSC26" i="7"/>
  <c r="CRY26" i="7"/>
  <c r="CRU26" i="7"/>
  <c r="CRQ26" i="7"/>
  <c r="CRM26" i="7"/>
  <c r="CRI26" i="7"/>
  <c r="CRE26" i="7"/>
  <c r="CRA26" i="7"/>
  <c r="CQW26" i="7"/>
  <c r="CQS26" i="7"/>
  <c r="CQO26" i="7"/>
  <c r="CQK26" i="7"/>
  <c r="CQG26" i="7"/>
  <c r="CQC26" i="7"/>
  <c r="CPY26" i="7"/>
  <c r="CPU26" i="7"/>
  <c r="CPQ26" i="7"/>
  <c r="CPM26" i="7"/>
  <c r="CPI26" i="7"/>
  <c r="CPE26" i="7"/>
  <c r="CPA26" i="7"/>
  <c r="COW26" i="7"/>
  <c r="COS26" i="7"/>
  <c r="COO26" i="7"/>
  <c r="COK26" i="7"/>
  <c r="COG26" i="7"/>
  <c r="COC26" i="7"/>
  <c r="CNY26" i="7"/>
  <c r="CNU26" i="7"/>
  <c r="CNQ26" i="7"/>
  <c r="CNM26" i="7"/>
  <c r="CNI26" i="7"/>
  <c r="CNE26" i="7"/>
  <c r="CNA26" i="7"/>
  <c r="CMW26" i="7"/>
  <c r="CMS26" i="7"/>
  <c r="CMO26" i="7"/>
  <c r="CMK26" i="7"/>
  <c r="CMG26" i="7"/>
  <c r="CMC26" i="7"/>
  <c r="CLY26" i="7"/>
  <c r="CLU26" i="7"/>
  <c r="CLQ26" i="7"/>
  <c r="CLM26" i="7"/>
  <c r="CLI26" i="7"/>
  <c r="CLE26" i="7"/>
  <c r="CLA26" i="7"/>
  <c r="CKW26" i="7"/>
  <c r="CKS26" i="7"/>
  <c r="CKO26" i="7"/>
  <c r="CKK26" i="7"/>
  <c r="CKG26" i="7"/>
  <c r="CKC26" i="7"/>
  <c r="CJY26" i="7"/>
  <c r="CJU26" i="7"/>
  <c r="CJQ26" i="7"/>
  <c r="CJM26" i="7"/>
  <c r="CJI26" i="7"/>
  <c r="CJE26" i="7"/>
  <c r="CJA26" i="7"/>
  <c r="CIW26" i="7"/>
  <c r="CIS26" i="7"/>
  <c r="CIO26" i="7"/>
  <c r="CIK26" i="7"/>
  <c r="CIG26" i="7"/>
  <c r="CIC26" i="7"/>
  <c r="CHY26" i="7"/>
  <c r="CHU26" i="7"/>
  <c r="CHQ26" i="7"/>
  <c r="CHM26" i="7"/>
  <c r="CHI26" i="7"/>
  <c r="CHE26" i="7"/>
  <c r="CHA26" i="7"/>
  <c r="CGW26" i="7"/>
  <c r="CGS26" i="7"/>
  <c r="CGO26" i="7"/>
  <c r="CGK26" i="7"/>
  <c r="CGG26" i="7"/>
  <c r="CGC26" i="7"/>
  <c r="CFY26" i="7"/>
  <c r="CFU26" i="7"/>
  <c r="CFQ26" i="7"/>
  <c r="CFM26" i="7"/>
  <c r="CFI26" i="7"/>
  <c r="CFE26" i="7"/>
  <c r="CFA26" i="7"/>
  <c r="CEW26" i="7"/>
  <c r="CES26" i="7"/>
  <c r="CEO26" i="7"/>
  <c r="CEK26" i="7"/>
  <c r="CEG26" i="7"/>
  <c r="CEC26" i="7"/>
  <c r="CDY26" i="7"/>
  <c r="CDU26" i="7"/>
  <c r="CDQ26" i="7"/>
  <c r="CDM26" i="7"/>
  <c r="CDI26" i="7"/>
  <c r="CDE26" i="7"/>
  <c r="CDA26" i="7"/>
  <c r="CCW26" i="7"/>
  <c r="CCS26" i="7"/>
  <c r="CCO26" i="7"/>
  <c r="CCK26" i="7"/>
  <c r="CCG26" i="7"/>
  <c r="CCC26" i="7"/>
  <c r="CBY26" i="7"/>
  <c r="CBU26" i="7"/>
  <c r="CBQ26" i="7"/>
  <c r="CBM26" i="7"/>
  <c r="CBI26" i="7"/>
  <c r="CBE26" i="7"/>
  <c r="CBA26" i="7"/>
  <c r="CAW26" i="7"/>
  <c r="CAS26" i="7"/>
  <c r="CAO26" i="7"/>
  <c r="CAK26" i="7"/>
  <c r="CAG26" i="7"/>
  <c r="CAC26" i="7"/>
  <c r="BZY26" i="7"/>
  <c r="BZU26" i="7"/>
  <c r="BZQ26" i="7"/>
  <c r="BZM26" i="7"/>
  <c r="BZI26" i="7"/>
  <c r="BZE26" i="7"/>
  <c r="BZA26" i="7"/>
  <c r="BYW26" i="7"/>
  <c r="BYS26" i="7"/>
  <c r="BYO26" i="7"/>
  <c r="BYK26" i="7"/>
  <c r="BYG26" i="7"/>
  <c r="BYC26" i="7"/>
  <c r="BXY26" i="7"/>
  <c r="BXU26" i="7"/>
  <c r="BXQ26" i="7"/>
  <c r="BXM26" i="7"/>
  <c r="BXI26" i="7"/>
  <c r="BXE26" i="7"/>
  <c r="BXA26" i="7"/>
  <c r="BWW26" i="7"/>
  <c r="BWS26" i="7"/>
  <c r="BWO26" i="7"/>
  <c r="BWK26" i="7"/>
  <c r="BWG26" i="7"/>
  <c r="BWC26" i="7"/>
  <c r="BVY26" i="7"/>
  <c r="BVU26" i="7"/>
  <c r="BVQ26" i="7"/>
  <c r="BVM26" i="7"/>
  <c r="BVI26" i="7"/>
  <c r="BVE26" i="7"/>
  <c r="BVA26" i="7"/>
  <c r="BUW26" i="7"/>
  <c r="BUS26" i="7"/>
  <c r="BUO26" i="7"/>
  <c r="BUK26" i="7"/>
  <c r="BUG26" i="7"/>
  <c r="BUC26" i="7"/>
  <c r="BTY26" i="7"/>
  <c r="BTU26" i="7"/>
  <c r="BTQ26" i="7"/>
  <c r="BTM26" i="7"/>
  <c r="BTI26" i="7"/>
  <c r="BTE26" i="7"/>
  <c r="BTA26" i="7"/>
  <c r="BSW26" i="7"/>
  <c r="BSS26" i="7"/>
  <c r="BSO26" i="7"/>
  <c r="BSK26" i="7"/>
  <c r="BSG26" i="7"/>
  <c r="BSC26" i="7"/>
  <c r="BRY26" i="7"/>
  <c r="BRU26" i="7"/>
  <c r="BRQ26" i="7"/>
  <c r="BRM26" i="7"/>
  <c r="BRI26" i="7"/>
  <c r="BRE26" i="7"/>
  <c r="BRA26" i="7"/>
  <c r="BQW26" i="7"/>
  <c r="BQS26" i="7"/>
  <c r="BQO26" i="7"/>
  <c r="BQK26" i="7"/>
  <c r="BQG26" i="7"/>
  <c r="BQC26" i="7"/>
  <c r="BPY26" i="7"/>
  <c r="BPU26" i="7"/>
  <c r="BPQ26" i="7"/>
  <c r="BPM26" i="7"/>
  <c r="BPI26" i="7"/>
  <c r="BPE26" i="7"/>
  <c r="BPA26" i="7"/>
  <c r="BOW26" i="7"/>
  <c r="BOS26" i="7"/>
  <c r="BOO26" i="7"/>
  <c r="BOK26" i="7"/>
  <c r="BOG26" i="7"/>
  <c r="BOC26" i="7"/>
  <c r="BNY26" i="7"/>
  <c r="BNU26" i="7"/>
  <c r="BNQ26" i="7"/>
  <c r="BNM26" i="7"/>
  <c r="BNI26" i="7"/>
  <c r="BNE26" i="7"/>
  <c r="BNA26" i="7"/>
  <c r="BMW26" i="7"/>
  <c r="BMS26" i="7"/>
  <c r="BMO26" i="7"/>
  <c r="BMK26" i="7"/>
  <c r="BMG26" i="7"/>
  <c r="BMC26" i="7"/>
  <c r="BLY26" i="7"/>
  <c r="BLU26" i="7"/>
  <c r="BLQ26" i="7"/>
  <c r="BLM26" i="7"/>
  <c r="BLI26" i="7"/>
  <c r="BLE26" i="7"/>
  <c r="BLA26" i="7"/>
  <c r="BKW26" i="7"/>
  <c r="BKS26" i="7"/>
  <c r="BKO26" i="7"/>
  <c r="BKK26" i="7"/>
  <c r="BKG26" i="7"/>
  <c r="BKC26" i="7"/>
  <c r="BJY26" i="7"/>
  <c r="BJU26" i="7"/>
  <c r="BJQ26" i="7"/>
  <c r="BJM26" i="7"/>
  <c r="BJI26" i="7"/>
  <c r="BJE26" i="7"/>
  <c r="BJA26" i="7"/>
  <c r="BIW26" i="7"/>
  <c r="BIS26" i="7"/>
  <c r="BIO26" i="7"/>
  <c r="BIK26" i="7"/>
  <c r="BIG26" i="7"/>
  <c r="BIC26" i="7"/>
  <c r="BHY26" i="7"/>
  <c r="BHU26" i="7"/>
  <c r="BHQ26" i="7"/>
  <c r="BHM26" i="7"/>
  <c r="BHI26" i="7"/>
  <c r="BHE26" i="7"/>
  <c r="BHA26" i="7"/>
  <c r="BGW26" i="7"/>
  <c r="BGS26" i="7"/>
  <c r="BGO26" i="7"/>
  <c r="BGK26" i="7"/>
  <c r="BGG26" i="7"/>
  <c r="BGC26" i="7"/>
  <c r="BFY26" i="7"/>
  <c r="BFU26" i="7"/>
  <c r="BFQ26" i="7"/>
  <c r="BFM26" i="7"/>
  <c r="BFI26" i="7"/>
  <c r="BFE26" i="7"/>
  <c r="BFA26" i="7"/>
  <c r="BEW26" i="7"/>
  <c r="BES26" i="7"/>
  <c r="BEO26" i="7"/>
  <c r="BEK26" i="7"/>
  <c r="BEG26" i="7"/>
  <c r="BEC26" i="7"/>
  <c r="BDY26" i="7"/>
  <c r="BDU26" i="7"/>
  <c r="BDQ26" i="7"/>
  <c r="BDM26" i="7"/>
  <c r="BDI26" i="7"/>
  <c r="BDE26" i="7"/>
  <c r="BDA26" i="7"/>
  <c r="BCW26" i="7"/>
  <c r="BCS26" i="7"/>
  <c r="BCO26" i="7"/>
  <c r="BCK26" i="7"/>
  <c r="BCG26" i="7"/>
  <c r="BCC26" i="7"/>
  <c r="BBY26" i="7"/>
  <c r="BBU26" i="7"/>
  <c r="BBQ26" i="7"/>
  <c r="BBM26" i="7"/>
  <c r="BBI26" i="7"/>
  <c r="BBE26" i="7"/>
  <c r="BBA26" i="7"/>
  <c r="BAW26" i="7"/>
  <c r="BAS26" i="7"/>
  <c r="BAO26" i="7"/>
  <c r="BAK26" i="7"/>
  <c r="BAG26" i="7"/>
  <c r="BAC26" i="7"/>
  <c r="AZY26" i="7"/>
  <c r="AZU26" i="7"/>
  <c r="AZQ26" i="7"/>
  <c r="AZM26" i="7"/>
  <c r="AZI26" i="7"/>
  <c r="AZE26" i="7"/>
  <c r="AZA26" i="7"/>
  <c r="AYW26" i="7"/>
  <c r="AYS26" i="7"/>
  <c r="AYO26" i="7"/>
  <c r="AYK26" i="7"/>
  <c r="AYG26" i="7"/>
  <c r="AYC26" i="7"/>
  <c r="AXY26" i="7"/>
  <c r="AXU26" i="7"/>
  <c r="AXQ26" i="7"/>
  <c r="AXM26" i="7"/>
  <c r="AXI26" i="7"/>
  <c r="AXE26" i="7"/>
  <c r="AXA26" i="7"/>
  <c r="AWW26" i="7"/>
  <c r="AWS26" i="7"/>
  <c r="AWO26" i="7"/>
  <c r="AWK26" i="7"/>
  <c r="AWG26" i="7"/>
  <c r="AWC26" i="7"/>
  <c r="AVY26" i="7"/>
  <c r="AVU26" i="7"/>
  <c r="AVQ26" i="7"/>
  <c r="AVM26" i="7"/>
  <c r="AVI26" i="7"/>
  <c r="AVE26" i="7"/>
  <c r="AVA26" i="7"/>
  <c r="AUW26" i="7"/>
  <c r="AUS26" i="7"/>
  <c r="AUO26" i="7"/>
  <c r="AUK26" i="7"/>
  <c r="AUG26" i="7"/>
  <c r="AUC26" i="7"/>
  <c r="ATY26" i="7"/>
  <c r="ATU26" i="7"/>
  <c r="ATQ26" i="7"/>
  <c r="ATM26" i="7"/>
  <c r="ATI26" i="7"/>
  <c r="ATE26" i="7"/>
  <c r="ATA26" i="7"/>
  <c r="ASW26" i="7"/>
  <c r="ASS26" i="7"/>
  <c r="ASO26" i="7"/>
  <c r="ASK26" i="7"/>
  <c r="ASG26" i="7"/>
  <c r="ASC26" i="7"/>
  <c r="ARY26" i="7"/>
  <c r="ARU26" i="7"/>
  <c r="ARQ26" i="7"/>
  <c r="ARM26" i="7"/>
  <c r="ARI26" i="7"/>
  <c r="ARE26" i="7"/>
  <c r="ARA26" i="7"/>
  <c r="AQW26" i="7"/>
  <c r="AQS26" i="7"/>
  <c r="AQO26" i="7"/>
  <c r="AQK26" i="7"/>
  <c r="AQG26" i="7"/>
  <c r="AQC26" i="7"/>
  <c r="APY26" i="7"/>
  <c r="APU26" i="7"/>
  <c r="APQ26" i="7"/>
  <c r="APM26" i="7"/>
  <c r="API26" i="7"/>
  <c r="APE26" i="7"/>
  <c r="APA26" i="7"/>
  <c r="AOW26" i="7"/>
  <c r="AOS26" i="7"/>
  <c r="AOO26" i="7"/>
  <c r="AOK26" i="7"/>
  <c r="AOG26" i="7"/>
  <c r="AOC26" i="7"/>
  <c r="ANY26" i="7"/>
  <c r="ANU26" i="7"/>
  <c r="ANQ26" i="7"/>
  <c r="ANM26" i="7"/>
  <c r="ANI26" i="7"/>
  <c r="ANE26" i="7"/>
  <c r="ANA26" i="7"/>
  <c r="AMW26" i="7"/>
  <c r="AMS26" i="7"/>
  <c r="AMO26" i="7"/>
  <c r="AMK26" i="7"/>
  <c r="AMG26" i="7"/>
  <c r="AMC26" i="7"/>
  <c r="ALY26" i="7"/>
  <c r="ALU26" i="7"/>
  <c r="ALQ26" i="7"/>
  <c r="ALM26" i="7"/>
  <c r="ALI26" i="7"/>
  <c r="ALE26" i="7"/>
  <c r="ALA26" i="7"/>
  <c r="AKW26" i="7"/>
  <c r="AKS26" i="7"/>
  <c r="AKO26" i="7"/>
  <c r="AKK26" i="7"/>
  <c r="AKG26" i="7"/>
  <c r="AKC26" i="7"/>
  <c r="AJY26" i="7"/>
  <c r="AJU26" i="7"/>
  <c r="AJQ26" i="7"/>
  <c r="AJM26" i="7"/>
  <c r="AJI26" i="7"/>
  <c r="AJE26" i="7"/>
  <c r="AJA26" i="7"/>
  <c r="AIW26" i="7"/>
  <c r="AIS26" i="7"/>
  <c r="AIO26" i="7"/>
  <c r="AIK26" i="7"/>
  <c r="AIG26" i="7"/>
  <c r="AIC26" i="7"/>
  <c r="AHY26" i="7"/>
  <c r="AHU26" i="7"/>
  <c r="AHQ26" i="7"/>
  <c r="AHM26" i="7"/>
  <c r="AHI26" i="7"/>
  <c r="AHE26" i="7"/>
  <c r="AHA26" i="7"/>
  <c r="AGW26" i="7"/>
  <c r="AGS26" i="7"/>
  <c r="AGO26" i="7"/>
  <c r="AGK26" i="7"/>
  <c r="AGG26" i="7"/>
  <c r="AGC26" i="7"/>
  <c r="AFY26" i="7"/>
  <c r="AFU26" i="7"/>
  <c r="AFQ26" i="7"/>
  <c r="AFM26" i="7"/>
  <c r="AFI26" i="7"/>
  <c r="AFE26" i="7"/>
  <c r="AFA26" i="7"/>
  <c r="AEW26" i="7"/>
  <c r="AES26" i="7"/>
  <c r="AEO26" i="7"/>
  <c r="AEK26" i="7"/>
  <c r="AEG26" i="7"/>
  <c r="AEC26" i="7"/>
  <c r="ADY26" i="7"/>
  <c r="ADU26" i="7"/>
  <c r="ADQ26" i="7"/>
  <c r="ADM26" i="7"/>
  <c r="ADI26" i="7"/>
  <c r="ADE26" i="7"/>
  <c r="ADA26" i="7"/>
  <c r="ACW26" i="7"/>
  <c r="ACS26" i="7"/>
  <c r="ACO26" i="7"/>
  <c r="ACK26" i="7"/>
  <c r="ACG26" i="7"/>
  <c r="ACC26" i="7"/>
  <c r="ABY26" i="7"/>
  <c r="ABU26" i="7"/>
  <c r="ABQ26" i="7"/>
  <c r="ABM26" i="7"/>
  <c r="ABI26" i="7"/>
  <c r="ABE26" i="7"/>
  <c r="ABA26" i="7"/>
  <c r="AAW26" i="7"/>
  <c r="AAS26" i="7"/>
  <c r="AAO26" i="7"/>
  <c r="AAK26" i="7"/>
  <c r="AAG26" i="7"/>
  <c r="AAC26" i="7"/>
  <c r="ZY26" i="7"/>
  <c r="ZU26" i="7"/>
  <c r="ZQ26" i="7"/>
  <c r="ZM26" i="7"/>
  <c r="ZI26" i="7"/>
  <c r="ZE26" i="7"/>
  <c r="ZA26" i="7"/>
  <c r="YW26" i="7"/>
  <c r="YS26" i="7"/>
  <c r="YO26" i="7"/>
  <c r="YK26" i="7"/>
  <c r="YG26" i="7"/>
  <c r="YC26" i="7"/>
  <c r="XY26" i="7"/>
  <c r="XU26" i="7"/>
  <c r="XQ26" i="7"/>
  <c r="XM26" i="7"/>
  <c r="XI26" i="7"/>
  <c r="XE26" i="7"/>
  <c r="XA26" i="7"/>
  <c r="WW26" i="7"/>
  <c r="WS26" i="7"/>
  <c r="WO26" i="7"/>
  <c r="WK26" i="7"/>
  <c r="WG26" i="7"/>
  <c r="WC26" i="7"/>
  <c r="VY26" i="7"/>
  <c r="VU26" i="7"/>
  <c r="VQ26" i="7"/>
  <c r="VM26" i="7"/>
  <c r="VI26" i="7"/>
  <c r="VE26" i="7"/>
  <c r="VA26" i="7"/>
  <c r="UW26" i="7"/>
  <c r="US26" i="7"/>
  <c r="UO26" i="7"/>
  <c r="UK26" i="7"/>
  <c r="UG26" i="7"/>
  <c r="UC26" i="7"/>
  <c r="TY26" i="7"/>
  <c r="TU26" i="7"/>
  <c r="TQ26" i="7"/>
  <c r="TM26" i="7"/>
  <c r="TI26" i="7"/>
  <c r="TE26" i="7"/>
  <c r="TA26" i="7"/>
  <c r="SW26" i="7"/>
  <c r="SS26" i="7"/>
  <c r="SO26" i="7"/>
  <c r="SK26" i="7"/>
  <c r="SG26" i="7"/>
  <c r="SC26" i="7"/>
  <c r="RY26" i="7"/>
  <c r="RU26" i="7"/>
  <c r="RQ26" i="7"/>
  <c r="RM26" i="7"/>
  <c r="RI26" i="7"/>
  <c r="RE26" i="7"/>
  <c r="RA26" i="7"/>
  <c r="QW26" i="7"/>
  <c r="QS26" i="7"/>
  <c r="QO26" i="7"/>
  <c r="QK26" i="7"/>
  <c r="QG26" i="7"/>
  <c r="QC26" i="7"/>
  <c r="PY26" i="7"/>
  <c r="PU26" i="7"/>
  <c r="PQ26" i="7"/>
  <c r="PM26" i="7"/>
  <c r="PI26" i="7"/>
  <c r="PE26" i="7"/>
  <c r="PA26" i="7"/>
  <c r="OW26" i="7"/>
  <c r="OS26" i="7"/>
  <c r="OO26" i="7"/>
  <c r="OK26" i="7"/>
  <c r="OG26" i="7"/>
  <c r="OC26" i="7"/>
  <c r="NY26" i="7"/>
  <c r="NU26" i="7"/>
  <c r="NQ26" i="7"/>
  <c r="NM26" i="7"/>
  <c r="NI26" i="7"/>
  <c r="NE26" i="7"/>
  <c r="NA26" i="7"/>
  <c r="MW26" i="7"/>
  <c r="MS26" i="7"/>
  <c r="MO26" i="7"/>
  <c r="MK26" i="7"/>
  <c r="MG26" i="7"/>
  <c r="MC26" i="7"/>
  <c r="LY26" i="7"/>
  <c r="LU26" i="7"/>
  <c r="LQ26" i="7"/>
  <c r="LM26" i="7"/>
  <c r="LI26" i="7"/>
  <c r="LE26" i="7"/>
  <c r="LA26" i="7"/>
  <c r="KW26" i="7"/>
  <c r="KS26" i="7"/>
  <c r="KO26" i="7"/>
  <c r="KK26" i="7"/>
  <c r="KG26" i="7"/>
  <c r="KC26" i="7"/>
  <c r="JY26" i="7"/>
  <c r="JU26" i="7"/>
  <c r="JQ26" i="7"/>
  <c r="JM26" i="7"/>
  <c r="JI26" i="7"/>
  <c r="JE26" i="7"/>
  <c r="JA26" i="7"/>
  <c r="IW26" i="7"/>
  <c r="IS26" i="7"/>
  <c r="IO26" i="7"/>
  <c r="IK26" i="7"/>
  <c r="IG26" i="7"/>
  <c r="IC26" i="7"/>
  <c r="HY26" i="7"/>
  <c r="HU26" i="7"/>
  <c r="HQ26" i="7"/>
  <c r="HM26" i="7"/>
  <c r="HI26" i="7"/>
  <c r="HE26" i="7"/>
  <c r="HA26" i="7"/>
  <c r="GW26" i="7"/>
  <c r="GS26" i="7"/>
  <c r="GO26" i="7"/>
  <c r="GK26" i="7"/>
  <c r="GG26" i="7"/>
  <c r="GC26" i="7"/>
  <c r="FY26" i="7"/>
  <c r="FU26" i="7"/>
  <c r="FQ26" i="7"/>
  <c r="FM26" i="7"/>
  <c r="FI26" i="7"/>
  <c r="FE26" i="7"/>
  <c r="FA26" i="7"/>
  <c r="EW26" i="7"/>
  <c r="ES26" i="7"/>
  <c r="EO26" i="7"/>
  <c r="EK26" i="7"/>
  <c r="EG26" i="7"/>
  <c r="EC26" i="7"/>
  <c r="DY26" i="7"/>
  <c r="DU26" i="7"/>
  <c r="DQ26" i="7"/>
  <c r="DM26" i="7"/>
  <c r="DI26" i="7"/>
  <c r="DE26" i="7"/>
  <c r="DA26" i="7"/>
  <c r="CW26" i="7"/>
  <c r="CS26" i="7"/>
  <c r="CO26" i="7"/>
  <c r="CK26" i="7"/>
  <c r="CG26" i="7"/>
  <c r="CC26" i="7"/>
  <c r="BY26" i="7"/>
  <c r="BU26" i="7"/>
  <c r="BQ26" i="7"/>
  <c r="BM26" i="7"/>
  <c r="BI26" i="7"/>
  <c r="BE26" i="7"/>
  <c r="BA26" i="7"/>
  <c r="AW26" i="7"/>
  <c r="AS26" i="7"/>
  <c r="AO26" i="7"/>
  <c r="AK26" i="7"/>
  <c r="AG26" i="7"/>
  <c r="AC26" i="7"/>
  <c r="Y26" i="7"/>
  <c r="U26" i="7"/>
  <c r="Q26" i="7"/>
  <c r="M26" i="7"/>
  <c r="I26" i="7"/>
  <c r="E26" i="7"/>
  <c r="A26" i="7"/>
  <c r="E25" i="7"/>
  <c r="D25" i="7"/>
  <c r="B25" i="7"/>
  <c r="F20" i="7"/>
  <c r="E20" i="7"/>
  <c r="I15" i="7"/>
  <c r="E6" i="7"/>
  <c r="F6" i="7" s="1"/>
  <c r="E4" i="7"/>
  <c r="F4" i="7" s="1"/>
  <c r="G4" i="7" s="1"/>
  <c r="G3" i="7"/>
  <c r="F3" i="7"/>
  <c r="E3" i="7"/>
  <c r="E166" i="6"/>
  <c r="D166" i="6"/>
  <c r="C166" i="6"/>
  <c r="B166" i="6"/>
  <c r="E165" i="6"/>
  <c r="D165" i="6"/>
  <c r="C165" i="6"/>
  <c r="B165" i="6"/>
  <c r="E164" i="6"/>
  <c r="D164" i="6"/>
  <c r="C164" i="6"/>
  <c r="B164" i="6"/>
  <c r="E163" i="6"/>
  <c r="D163" i="6"/>
  <c r="C163" i="6"/>
  <c r="B163" i="6"/>
  <c r="G162" i="6"/>
  <c r="F97" i="6" s="1"/>
  <c r="E162" i="6"/>
  <c r="D92" i="6" s="1"/>
  <c r="D93" i="6" s="1"/>
  <c r="D94" i="6" s="1"/>
  <c r="D95" i="6" s="1"/>
  <c r="D96" i="6" s="1"/>
  <c r="D162" i="6"/>
  <c r="E41" i="6" s="1"/>
  <c r="C162" i="6"/>
  <c r="B162" i="6"/>
  <c r="D138" i="6"/>
  <c r="C138" i="6"/>
  <c r="B138" i="6"/>
  <c r="D137" i="6"/>
  <c r="C137" i="6"/>
  <c r="B137" i="6"/>
  <c r="D136" i="6"/>
  <c r="C136" i="6"/>
  <c r="B136" i="6"/>
  <c r="D135" i="6"/>
  <c r="C135" i="6"/>
  <c r="B135" i="6"/>
  <c r="D134" i="6"/>
  <c r="C134" i="6"/>
  <c r="B134" i="6"/>
  <c r="D133" i="6"/>
  <c r="C133" i="6"/>
  <c r="B133" i="6"/>
  <c r="C121" i="6"/>
  <c r="L114" i="6"/>
  <c r="R112" i="6"/>
  <c r="B112" i="6"/>
  <c r="N112" i="6" s="1"/>
  <c r="O112" i="6" s="1"/>
  <c r="R111" i="6"/>
  <c r="B111" i="6"/>
  <c r="N111" i="6" s="1"/>
  <c r="O111" i="6" s="1"/>
  <c r="Q110" i="6"/>
  <c r="L110" i="6"/>
  <c r="B110" i="6"/>
  <c r="J110" i="6" s="1"/>
  <c r="L109" i="6"/>
  <c r="B109" i="6"/>
  <c r="K109" i="6" s="1"/>
  <c r="N108" i="6"/>
  <c r="O108" i="6" s="1"/>
  <c r="M108" i="6"/>
  <c r="B108" i="6"/>
  <c r="O107" i="6"/>
  <c r="F106" i="6"/>
  <c r="D106" i="6" s="1"/>
  <c r="B106" i="6"/>
  <c r="J105" i="6"/>
  <c r="K105" i="6" s="1"/>
  <c r="F105" i="6"/>
  <c r="D105" i="6"/>
  <c r="C105" i="6"/>
  <c r="E105" i="6" s="1"/>
  <c r="L105" i="6" s="1"/>
  <c r="M105" i="6" s="1"/>
  <c r="B105" i="6"/>
  <c r="Q104" i="6"/>
  <c r="F104" i="6"/>
  <c r="D104" i="6"/>
  <c r="C104" i="6"/>
  <c r="J104" i="6" s="1"/>
  <c r="B104" i="6"/>
  <c r="L103" i="6"/>
  <c r="F103" i="6"/>
  <c r="E103" i="6"/>
  <c r="D103" i="6"/>
  <c r="C103" i="6"/>
  <c r="J103" i="6" s="1"/>
  <c r="R103" i="6" s="1"/>
  <c r="B103" i="6"/>
  <c r="F102" i="6"/>
  <c r="D102" i="6"/>
  <c r="C102" i="6"/>
  <c r="B102" i="6"/>
  <c r="F101" i="6"/>
  <c r="E101" i="6"/>
  <c r="L101" i="6" s="1"/>
  <c r="B101" i="6"/>
  <c r="F100" i="6"/>
  <c r="E100" i="6"/>
  <c r="L100" i="6" s="1"/>
  <c r="D100" i="6"/>
  <c r="B100" i="6"/>
  <c r="F99" i="6"/>
  <c r="J99" i="6" s="1"/>
  <c r="E99" i="6"/>
  <c r="L99" i="6" s="1"/>
  <c r="D99" i="6"/>
  <c r="C100" i="6" s="1"/>
  <c r="J100" i="6" s="1"/>
  <c r="C99" i="6"/>
  <c r="B99" i="6"/>
  <c r="F98" i="6"/>
  <c r="D98" i="6"/>
  <c r="B98" i="6"/>
  <c r="K97" i="6"/>
  <c r="E97" i="6"/>
  <c r="L97" i="6" s="1"/>
  <c r="D97" i="6"/>
  <c r="C98" i="6" s="1"/>
  <c r="E98" i="6" s="1"/>
  <c r="L98" i="6" s="1"/>
  <c r="C97" i="6"/>
  <c r="J97" i="6" s="1"/>
  <c r="B97" i="6"/>
  <c r="L96" i="6"/>
  <c r="F96" i="6"/>
  <c r="C96" i="6" s="1"/>
  <c r="J96" i="6" s="1"/>
  <c r="E96" i="6"/>
  <c r="B96" i="6"/>
  <c r="E95" i="6"/>
  <c r="L95" i="6" s="1"/>
  <c r="B95" i="6"/>
  <c r="B94" i="6"/>
  <c r="E94" i="6" s="1"/>
  <c r="L94" i="6" s="1"/>
  <c r="L93" i="6"/>
  <c r="F93" i="6"/>
  <c r="E93" i="6"/>
  <c r="C93" i="6"/>
  <c r="B93" i="6"/>
  <c r="L92" i="6"/>
  <c r="F92" i="6"/>
  <c r="E92" i="6"/>
  <c r="B92" i="6"/>
  <c r="Q91" i="6"/>
  <c r="K91" i="6"/>
  <c r="J91" i="6"/>
  <c r="J90" i="6"/>
  <c r="Q90" i="6" s="1"/>
  <c r="Q88" i="6"/>
  <c r="K88" i="6"/>
  <c r="J88" i="6"/>
  <c r="Q87" i="6"/>
  <c r="J87" i="6"/>
  <c r="F87" i="6"/>
  <c r="C87" i="6" s="1"/>
  <c r="E87" i="6"/>
  <c r="L87" i="6" s="1"/>
  <c r="D87" i="6"/>
  <c r="J86" i="6"/>
  <c r="F86" i="6"/>
  <c r="C86" i="6" s="1"/>
  <c r="E86" i="6"/>
  <c r="L86" i="6" s="1"/>
  <c r="D86" i="6"/>
  <c r="Q85" i="6"/>
  <c r="J85" i="6"/>
  <c r="F85" i="6"/>
  <c r="C85" i="6" s="1"/>
  <c r="E85" i="6"/>
  <c r="L85" i="6" s="1"/>
  <c r="D85" i="6"/>
  <c r="J84" i="6"/>
  <c r="Q84" i="6" s="1"/>
  <c r="Q82" i="6"/>
  <c r="K82" i="6"/>
  <c r="J82" i="6"/>
  <c r="Q81" i="6"/>
  <c r="J81" i="6"/>
  <c r="F81" i="6"/>
  <c r="C81" i="6" s="1"/>
  <c r="E81" i="6"/>
  <c r="L81" i="6" s="1"/>
  <c r="D81" i="6"/>
  <c r="J80" i="6"/>
  <c r="F80" i="6"/>
  <c r="C80" i="6" s="1"/>
  <c r="E80" i="6"/>
  <c r="L80" i="6" s="1"/>
  <c r="D80" i="6"/>
  <c r="J79" i="6"/>
  <c r="Q79" i="6" s="1"/>
  <c r="Q78" i="6"/>
  <c r="Q77" i="6"/>
  <c r="L76" i="6"/>
  <c r="F76" i="6"/>
  <c r="E76" i="6"/>
  <c r="C76" i="6"/>
  <c r="F75" i="6"/>
  <c r="E75" i="6"/>
  <c r="L75" i="6" s="1"/>
  <c r="L74" i="6"/>
  <c r="F74" i="6"/>
  <c r="E74" i="6"/>
  <c r="Q73" i="6"/>
  <c r="Q72" i="6"/>
  <c r="E72" i="6"/>
  <c r="E78" i="6" s="1"/>
  <c r="Q71" i="6"/>
  <c r="L70" i="6"/>
  <c r="F70" i="6"/>
  <c r="D70" i="6" s="1"/>
  <c r="E70" i="6"/>
  <c r="L69" i="6"/>
  <c r="F69" i="6"/>
  <c r="D69" i="6" s="1"/>
  <c r="E69" i="6"/>
  <c r="C69" i="6"/>
  <c r="J69" i="6" s="1"/>
  <c r="L68" i="6"/>
  <c r="F68" i="6"/>
  <c r="D68" i="6" s="1"/>
  <c r="E68" i="6"/>
  <c r="C68" i="6"/>
  <c r="J68" i="6" s="1"/>
  <c r="Q67" i="6"/>
  <c r="Q66" i="6"/>
  <c r="L65" i="6"/>
  <c r="L64" i="6"/>
  <c r="E64" i="6"/>
  <c r="D64" i="6"/>
  <c r="E63" i="6"/>
  <c r="L63" i="6" s="1"/>
  <c r="E62" i="6"/>
  <c r="L62" i="6" s="1"/>
  <c r="D62" i="6"/>
  <c r="B62" i="6"/>
  <c r="L61" i="6"/>
  <c r="F61" i="6"/>
  <c r="E61" i="6"/>
  <c r="E60" i="6"/>
  <c r="L60" i="6" s="1"/>
  <c r="E59" i="6"/>
  <c r="L59" i="6" s="1"/>
  <c r="J58" i="6"/>
  <c r="J57" i="6"/>
  <c r="Q57" i="6" s="1"/>
  <c r="E56" i="6"/>
  <c r="L56" i="6" s="1"/>
  <c r="D56" i="6"/>
  <c r="C56" i="6"/>
  <c r="B56" i="6"/>
  <c r="D55" i="6"/>
  <c r="B55" i="6"/>
  <c r="E55" i="6" s="1"/>
  <c r="L55" i="6" s="1"/>
  <c r="E54" i="6"/>
  <c r="L54" i="6" s="1"/>
  <c r="D54" i="6"/>
  <c r="B54" i="6"/>
  <c r="E43" i="6"/>
  <c r="D43" i="6"/>
  <c r="D41" i="6"/>
  <c r="C41" i="6"/>
  <c r="C54" i="6" s="1"/>
  <c r="F35" i="6"/>
  <c r="F94" i="6" s="1"/>
  <c r="F95" i="6" s="1"/>
  <c r="C35" i="6"/>
  <c r="C94" i="6" s="1"/>
  <c r="B29" i="6"/>
  <c r="B26" i="6"/>
  <c r="E25" i="6"/>
  <c r="D25" i="6"/>
  <c r="B25" i="6"/>
  <c r="F20" i="6"/>
  <c r="E20" i="6"/>
  <c r="I13" i="6"/>
  <c r="F6" i="6"/>
  <c r="E7" i="6" s="1"/>
  <c r="G7" i="6" s="1"/>
  <c r="E6" i="6"/>
  <c r="F4" i="6"/>
  <c r="E5" i="6" s="1"/>
  <c r="G5" i="6" s="1"/>
  <c r="E4" i="6"/>
  <c r="E3" i="6"/>
  <c r="C79" i="5"/>
  <c r="C78" i="5"/>
  <c r="C77" i="5"/>
  <c r="C54" i="5"/>
  <c r="D49" i="5"/>
  <c r="C28" i="5" s="1"/>
  <c r="C49" i="5"/>
  <c r="C48" i="5"/>
  <c r="L47" i="5"/>
  <c r="O45" i="5"/>
  <c r="L42" i="5"/>
  <c r="E42" i="5"/>
  <c r="B42" i="5"/>
  <c r="C42" i="5" s="1"/>
  <c r="E41" i="5"/>
  <c r="L41" i="5" s="1"/>
  <c r="D41" i="5"/>
  <c r="C41" i="5"/>
  <c r="B41" i="5"/>
  <c r="L40" i="5"/>
  <c r="E39" i="5"/>
  <c r="L39" i="5" s="1"/>
  <c r="L38" i="5"/>
  <c r="E38" i="5"/>
  <c r="B38" i="5"/>
  <c r="L37" i="5"/>
  <c r="L36" i="5"/>
  <c r="D36" i="5"/>
  <c r="D37" i="5" s="1"/>
  <c r="E25" i="5"/>
  <c r="E23" i="5" s="1"/>
  <c r="D25" i="5"/>
  <c r="C25" i="5"/>
  <c r="C23" i="5" s="1"/>
  <c r="D23" i="5"/>
  <c r="G18" i="5"/>
  <c r="F18" i="5"/>
  <c r="E12" i="5"/>
  <c r="B179" i="4"/>
  <c r="C172" i="4"/>
  <c r="C171" i="4"/>
  <c r="C170" i="4"/>
  <c r="D152" i="4"/>
  <c r="C152" i="4"/>
  <c r="B152" i="4"/>
  <c r="D151" i="4"/>
  <c r="C151" i="4"/>
  <c r="B151" i="4"/>
  <c r="D150" i="4"/>
  <c r="C150" i="4"/>
  <c r="B150" i="4"/>
  <c r="D149" i="4"/>
  <c r="C149" i="4"/>
  <c r="B149" i="4"/>
  <c r="D148" i="4"/>
  <c r="C148" i="4"/>
  <c r="B148" i="4"/>
  <c r="D147" i="4"/>
  <c r="C147" i="4"/>
  <c r="B147" i="4"/>
  <c r="C132" i="4"/>
  <c r="L125" i="4"/>
  <c r="Q123" i="4"/>
  <c r="N123" i="4"/>
  <c r="O123" i="4" s="1"/>
  <c r="B123" i="4"/>
  <c r="M123" i="4" s="1"/>
  <c r="Q122" i="4"/>
  <c r="B122" i="4"/>
  <c r="O121" i="4"/>
  <c r="N121" i="4"/>
  <c r="J121" i="4"/>
  <c r="K121" i="4" s="1"/>
  <c r="B121" i="4"/>
  <c r="L121" i="4" s="1"/>
  <c r="Q120" i="4"/>
  <c r="M120" i="4"/>
  <c r="N120" i="4" s="1"/>
  <c r="O120" i="4" s="1"/>
  <c r="B120" i="4"/>
  <c r="L119" i="4"/>
  <c r="E119" i="4"/>
  <c r="B119" i="4"/>
  <c r="L118" i="4"/>
  <c r="M118" i="4" s="1"/>
  <c r="K118" i="4"/>
  <c r="E118" i="4"/>
  <c r="C118" i="4"/>
  <c r="J118" i="4" s="1"/>
  <c r="N118" i="4" s="1"/>
  <c r="O118" i="4" s="1"/>
  <c r="B118" i="4"/>
  <c r="Q117" i="4"/>
  <c r="P117" i="4"/>
  <c r="N117" i="4"/>
  <c r="O117" i="4" s="1"/>
  <c r="F117" i="4"/>
  <c r="E117" i="4"/>
  <c r="L117" i="4" s="1"/>
  <c r="M117" i="4" s="1"/>
  <c r="D117" i="4"/>
  <c r="C117" i="4"/>
  <c r="J117" i="4" s="1"/>
  <c r="K117" i="4" s="1"/>
  <c r="B117" i="4"/>
  <c r="F116" i="4"/>
  <c r="F119" i="4" s="1"/>
  <c r="E116" i="4"/>
  <c r="L116" i="4" s="1"/>
  <c r="D116" i="4"/>
  <c r="D119" i="4" s="1"/>
  <c r="C116" i="4"/>
  <c r="C119" i="4" s="1"/>
  <c r="J119" i="4" s="1"/>
  <c r="B116" i="4"/>
  <c r="J115" i="4"/>
  <c r="Q115" i="4" s="1"/>
  <c r="F115" i="4"/>
  <c r="F118" i="4" s="1"/>
  <c r="E115" i="4"/>
  <c r="L115" i="4" s="1"/>
  <c r="D115" i="4"/>
  <c r="D118" i="4" s="1"/>
  <c r="C115" i="4"/>
  <c r="B115" i="4"/>
  <c r="Q114" i="4"/>
  <c r="P114" i="4"/>
  <c r="K114" i="4"/>
  <c r="J114" i="4"/>
  <c r="J113" i="4"/>
  <c r="Q113" i="4" s="1"/>
  <c r="Q112" i="4"/>
  <c r="P112" i="4"/>
  <c r="K112" i="4"/>
  <c r="J112" i="4"/>
  <c r="K110" i="4"/>
  <c r="J110" i="4"/>
  <c r="Q110" i="4" s="1"/>
  <c r="F109" i="4"/>
  <c r="D109" i="4" s="1"/>
  <c r="E109" i="4"/>
  <c r="L109" i="4" s="1"/>
  <c r="F108" i="4"/>
  <c r="E108" i="4"/>
  <c r="L108" i="4" s="1"/>
  <c r="D108" i="4"/>
  <c r="C108" i="4"/>
  <c r="J108" i="4" s="1"/>
  <c r="F107" i="4"/>
  <c r="D107" i="4" s="1"/>
  <c r="E107" i="4"/>
  <c r="L107" i="4" s="1"/>
  <c r="K106" i="4"/>
  <c r="J106" i="4"/>
  <c r="Q106" i="4" s="1"/>
  <c r="Q104" i="4"/>
  <c r="K104" i="4"/>
  <c r="J104" i="4"/>
  <c r="P104" i="4" s="1"/>
  <c r="L103" i="4"/>
  <c r="F103" i="4"/>
  <c r="E103" i="4"/>
  <c r="D103" i="4"/>
  <c r="C103" i="4"/>
  <c r="J103" i="4" s="1"/>
  <c r="L102" i="4"/>
  <c r="M102" i="4" s="1"/>
  <c r="K102" i="4"/>
  <c r="J102" i="4"/>
  <c r="P102" i="4" s="1"/>
  <c r="F102" i="4"/>
  <c r="E102" i="4"/>
  <c r="D102" i="4"/>
  <c r="C102" i="4"/>
  <c r="Q101" i="4"/>
  <c r="J101" i="4"/>
  <c r="Q100" i="4"/>
  <c r="P100" i="4"/>
  <c r="Q99" i="4"/>
  <c r="P99" i="4"/>
  <c r="L98" i="4"/>
  <c r="F98" i="4"/>
  <c r="E98" i="4"/>
  <c r="F97" i="4"/>
  <c r="E97" i="4"/>
  <c r="L97" i="4" s="1"/>
  <c r="L96" i="4"/>
  <c r="F96" i="4"/>
  <c r="E96" i="4"/>
  <c r="Q95" i="4"/>
  <c r="P95" i="4"/>
  <c r="Q94" i="4"/>
  <c r="P94" i="4"/>
  <c r="Q93" i="4"/>
  <c r="P93" i="4"/>
  <c r="J92" i="4"/>
  <c r="F92" i="4"/>
  <c r="E92" i="4"/>
  <c r="L92" i="4" s="1"/>
  <c r="D92" i="4"/>
  <c r="C92" i="4"/>
  <c r="F91" i="4"/>
  <c r="C91" i="4" s="1"/>
  <c r="J91" i="4" s="1"/>
  <c r="E91" i="4"/>
  <c r="L91" i="4" s="1"/>
  <c r="D91" i="4"/>
  <c r="J90" i="4"/>
  <c r="F90" i="4"/>
  <c r="E90" i="4"/>
  <c r="L90" i="4" s="1"/>
  <c r="D90" i="4"/>
  <c r="C90" i="4"/>
  <c r="Q89" i="4"/>
  <c r="P89" i="4"/>
  <c r="L88" i="4"/>
  <c r="E88" i="4"/>
  <c r="B88" i="4"/>
  <c r="D88" i="4" s="1"/>
  <c r="L87" i="4"/>
  <c r="J87" i="4"/>
  <c r="P87" i="4" s="1"/>
  <c r="E87" i="4"/>
  <c r="C87" i="4"/>
  <c r="N87" i="4" s="1"/>
  <c r="O87" i="4" s="1"/>
  <c r="B87" i="4"/>
  <c r="D87" i="4" s="1"/>
  <c r="L86" i="4"/>
  <c r="L85" i="4"/>
  <c r="E85" i="4"/>
  <c r="B85" i="4" s="1"/>
  <c r="L84" i="4"/>
  <c r="E84" i="4"/>
  <c r="B84" i="4"/>
  <c r="T83" i="4"/>
  <c r="P83" i="4"/>
  <c r="N83" i="4"/>
  <c r="O83" i="4" s="1"/>
  <c r="M83" i="4"/>
  <c r="L83" i="4"/>
  <c r="D83" i="4"/>
  <c r="C83" i="4"/>
  <c r="J83" i="4" s="1"/>
  <c r="K83" i="4" s="1"/>
  <c r="L82" i="4"/>
  <c r="D82" i="4"/>
  <c r="Q81" i="4"/>
  <c r="P81" i="4"/>
  <c r="E80" i="4"/>
  <c r="L80" i="4" s="1"/>
  <c r="B80" i="4"/>
  <c r="D80" i="4" s="1"/>
  <c r="L79" i="4"/>
  <c r="E79" i="4"/>
  <c r="C79" i="4"/>
  <c r="N79" i="4" s="1"/>
  <c r="O79" i="4" s="1"/>
  <c r="B79" i="4"/>
  <c r="D79" i="4" s="1"/>
  <c r="L78" i="4"/>
  <c r="E77" i="4"/>
  <c r="B77" i="4" s="1"/>
  <c r="L76" i="4"/>
  <c r="E76" i="4"/>
  <c r="B76" i="4"/>
  <c r="T75" i="4"/>
  <c r="L75" i="4"/>
  <c r="C75" i="4"/>
  <c r="J75" i="4" s="1"/>
  <c r="L74" i="4"/>
  <c r="D74" i="4"/>
  <c r="D75" i="4" s="1"/>
  <c r="Q73" i="4"/>
  <c r="P73" i="4"/>
  <c r="E72" i="4"/>
  <c r="L72" i="4" s="1"/>
  <c r="B72" i="4"/>
  <c r="D72" i="4" s="1"/>
  <c r="L71" i="4"/>
  <c r="M71" i="4" s="1"/>
  <c r="J71" i="4"/>
  <c r="K71" i="4" s="1"/>
  <c r="F71" i="4"/>
  <c r="E71" i="4"/>
  <c r="C71" i="4"/>
  <c r="N71" i="4" s="1"/>
  <c r="O71" i="4" s="1"/>
  <c r="B71" i="4"/>
  <c r="D71" i="4" s="1"/>
  <c r="L70" i="4"/>
  <c r="L69" i="4"/>
  <c r="E69" i="4"/>
  <c r="B69" i="4"/>
  <c r="E68" i="4"/>
  <c r="B68" i="4" s="1"/>
  <c r="T67" i="4"/>
  <c r="L67" i="4"/>
  <c r="L66" i="4"/>
  <c r="Q65" i="4"/>
  <c r="P65" i="4"/>
  <c r="Q64" i="4"/>
  <c r="P64" i="4"/>
  <c r="L63" i="4"/>
  <c r="E62" i="4"/>
  <c r="L62" i="4" s="1"/>
  <c r="E61" i="4"/>
  <c r="L61" i="4" s="1"/>
  <c r="F60" i="4"/>
  <c r="E60" i="4"/>
  <c r="L60" i="4" s="1"/>
  <c r="D60" i="4"/>
  <c r="B60" i="4"/>
  <c r="F59" i="4"/>
  <c r="E59" i="4"/>
  <c r="L59" i="4" s="1"/>
  <c r="F58" i="4"/>
  <c r="E58" i="4"/>
  <c r="L58" i="4" s="1"/>
  <c r="E57" i="4"/>
  <c r="L57" i="4" s="1"/>
  <c r="J56" i="4"/>
  <c r="Q56" i="4" s="1"/>
  <c r="Q55" i="4"/>
  <c r="J55" i="4"/>
  <c r="K55" i="4" s="1"/>
  <c r="E54" i="4"/>
  <c r="L54" i="4" s="1"/>
  <c r="B54" i="4"/>
  <c r="E53" i="4"/>
  <c r="L53" i="4" s="1"/>
  <c r="B53" i="4"/>
  <c r="E52" i="4"/>
  <c r="L52" i="4" s="1"/>
  <c r="B52" i="4"/>
  <c r="E39" i="4"/>
  <c r="C54" i="4" s="1"/>
  <c r="D39" i="4"/>
  <c r="F62" i="4" s="1"/>
  <c r="K34" i="4"/>
  <c r="L33" i="4"/>
  <c r="K33" i="4"/>
  <c r="J33" i="4"/>
  <c r="C82" i="4" s="1"/>
  <c r="F32" i="4"/>
  <c r="K31" i="4"/>
  <c r="L30" i="4"/>
  <c r="K30" i="4"/>
  <c r="J30" i="4"/>
  <c r="C74" i="4" s="1"/>
  <c r="F29" i="4"/>
  <c r="K28" i="4"/>
  <c r="D66" i="4" s="1"/>
  <c r="D67" i="4" s="1"/>
  <c r="L27" i="4"/>
  <c r="C67" i="4" s="1"/>
  <c r="K27" i="4"/>
  <c r="J27" i="4"/>
  <c r="C66" i="4" s="1"/>
  <c r="G26" i="4"/>
  <c r="F26" i="4"/>
  <c r="B24" i="4"/>
  <c r="F20" i="4"/>
  <c r="E20" i="4"/>
  <c r="H15" i="4"/>
  <c r="E6" i="4"/>
  <c r="F6" i="4" s="1"/>
  <c r="F4" i="4"/>
  <c r="E5" i="4" s="1"/>
  <c r="G5" i="4" s="1"/>
  <c r="E4" i="4"/>
  <c r="G3" i="4"/>
  <c r="F3" i="4"/>
  <c r="E3" i="4"/>
  <c r="E297" i="3"/>
  <c r="D297" i="3"/>
  <c r="C297" i="3"/>
  <c r="B297" i="3"/>
  <c r="E296" i="3"/>
  <c r="D296" i="3"/>
  <c r="C296" i="3"/>
  <c r="B296" i="3"/>
  <c r="E295" i="3"/>
  <c r="D295" i="3"/>
  <c r="C295" i="3"/>
  <c r="B295" i="3"/>
  <c r="E294" i="3"/>
  <c r="D294" i="3"/>
  <c r="C294" i="3"/>
  <c r="B294" i="3"/>
  <c r="G293" i="3"/>
  <c r="E293" i="3"/>
  <c r="D293" i="3"/>
  <c r="C293" i="3"/>
  <c r="B293" i="3"/>
  <c r="D272" i="3"/>
  <c r="C272" i="3"/>
  <c r="B272" i="3"/>
  <c r="D271" i="3"/>
  <c r="C271" i="3"/>
  <c r="B271" i="3"/>
  <c r="D270" i="3"/>
  <c r="C270" i="3"/>
  <c r="B270" i="3"/>
  <c r="D269" i="3"/>
  <c r="C269" i="3"/>
  <c r="B269" i="3"/>
  <c r="D268" i="3"/>
  <c r="C268" i="3"/>
  <c r="B268" i="3"/>
  <c r="D267" i="3"/>
  <c r="C267" i="3"/>
  <c r="B267" i="3"/>
  <c r="C252" i="3"/>
  <c r="D247" i="3"/>
  <c r="C83" i="3" s="1"/>
  <c r="C247" i="3"/>
  <c r="C246" i="3"/>
  <c r="C248" i="3" s="1"/>
  <c r="C249" i="3" s="1"/>
  <c r="L245" i="3"/>
  <c r="R243" i="3"/>
  <c r="M243" i="3"/>
  <c r="B243" i="3"/>
  <c r="N243" i="3" s="1"/>
  <c r="O243" i="3" s="1"/>
  <c r="R242" i="3"/>
  <c r="B242" i="3"/>
  <c r="Q241" i="3"/>
  <c r="N241" i="3"/>
  <c r="O241" i="3" s="1"/>
  <c r="L241" i="3"/>
  <c r="K241" i="3"/>
  <c r="R241" i="3" s="1"/>
  <c r="J241" i="3"/>
  <c r="B241" i="3"/>
  <c r="R240" i="3"/>
  <c r="K240" i="3"/>
  <c r="Q240" i="3" s="1"/>
  <c r="B240" i="3"/>
  <c r="L240" i="3" s="1"/>
  <c r="O239" i="3"/>
  <c r="N239" i="3"/>
  <c r="M239" i="3"/>
  <c r="B239" i="3"/>
  <c r="F238" i="3"/>
  <c r="C238" i="3" s="1"/>
  <c r="B238" i="3"/>
  <c r="Q237" i="3"/>
  <c r="R237" i="3" s="1"/>
  <c r="J237" i="3"/>
  <c r="N237" i="3" s="1"/>
  <c r="O237" i="3" s="1"/>
  <c r="F237" i="3"/>
  <c r="D237" i="3"/>
  <c r="C237" i="3"/>
  <c r="E237" i="3" s="1"/>
  <c r="L237" i="3" s="1"/>
  <c r="B237" i="3"/>
  <c r="K236" i="3"/>
  <c r="J236" i="3"/>
  <c r="Q236" i="3" s="1"/>
  <c r="R236" i="3" s="1"/>
  <c r="F236" i="3"/>
  <c r="D236" i="3"/>
  <c r="C236" i="3"/>
  <c r="E236" i="3" s="1"/>
  <c r="L236" i="3" s="1"/>
  <c r="B236" i="3"/>
  <c r="F235" i="3"/>
  <c r="D235" i="3"/>
  <c r="C235" i="3"/>
  <c r="B235" i="3"/>
  <c r="F234" i="3"/>
  <c r="D234" i="3"/>
  <c r="C234" i="3"/>
  <c r="J234" i="3" s="1"/>
  <c r="B234" i="3"/>
  <c r="N233" i="3"/>
  <c r="O233" i="3" s="1"/>
  <c r="J233" i="3"/>
  <c r="K233" i="3" s="1"/>
  <c r="F233" i="3"/>
  <c r="E233" i="3"/>
  <c r="L233" i="3" s="1"/>
  <c r="D233" i="3"/>
  <c r="C233" i="3"/>
  <c r="B233" i="3"/>
  <c r="R232" i="3"/>
  <c r="Q232" i="3"/>
  <c r="O232" i="3"/>
  <c r="N232" i="3"/>
  <c r="K232" i="3"/>
  <c r="J232" i="3"/>
  <c r="F232" i="3"/>
  <c r="E232" i="3"/>
  <c r="L232" i="3" s="1"/>
  <c r="M232" i="3" s="1"/>
  <c r="D232" i="3"/>
  <c r="C232" i="3"/>
  <c r="B232" i="3"/>
  <c r="J231" i="3"/>
  <c r="F231" i="3"/>
  <c r="D231" i="3"/>
  <c r="C231" i="3"/>
  <c r="E231" i="3" s="1"/>
  <c r="L231" i="3" s="1"/>
  <c r="B231" i="3"/>
  <c r="R230" i="3"/>
  <c r="Q230" i="3"/>
  <c r="L230" i="3"/>
  <c r="K230" i="3"/>
  <c r="M230" i="3" s="1"/>
  <c r="J230" i="3"/>
  <c r="N230" i="3" s="1"/>
  <c r="O230" i="3" s="1"/>
  <c r="F230" i="3"/>
  <c r="E230" i="3"/>
  <c r="D230" i="3"/>
  <c r="C230" i="3"/>
  <c r="B230" i="3"/>
  <c r="L229" i="3"/>
  <c r="F229" i="3"/>
  <c r="E229" i="3"/>
  <c r="C229" i="3"/>
  <c r="J229" i="3" s="1"/>
  <c r="B229" i="3"/>
  <c r="L228" i="3"/>
  <c r="F228" i="3"/>
  <c r="E228" i="3"/>
  <c r="D228" i="3"/>
  <c r="D229" i="3" s="1"/>
  <c r="B228" i="3"/>
  <c r="E227" i="3"/>
  <c r="L227" i="3" s="1"/>
  <c r="D227" i="3"/>
  <c r="B227" i="3"/>
  <c r="O226" i="3"/>
  <c r="N226" i="3"/>
  <c r="K226" i="3"/>
  <c r="J226" i="3"/>
  <c r="Q226" i="3" s="1"/>
  <c r="R226" i="3" s="1"/>
  <c r="F226" i="3"/>
  <c r="E226" i="3"/>
  <c r="L226" i="3" s="1"/>
  <c r="M226" i="3" s="1"/>
  <c r="D226" i="3"/>
  <c r="C226" i="3"/>
  <c r="B226" i="3"/>
  <c r="Q225" i="3"/>
  <c r="R225" i="3" s="1"/>
  <c r="L225" i="3"/>
  <c r="J225" i="3"/>
  <c r="F225" i="3"/>
  <c r="E225" i="3"/>
  <c r="D225" i="3"/>
  <c r="C225" i="3"/>
  <c r="B225" i="3"/>
  <c r="K222" i="3"/>
  <c r="J222" i="3"/>
  <c r="Q222" i="3" s="1"/>
  <c r="R222" i="3" s="1"/>
  <c r="F222" i="3"/>
  <c r="C222" i="3"/>
  <c r="E222" i="3" s="1"/>
  <c r="B222" i="3"/>
  <c r="F221" i="3"/>
  <c r="D221" i="3"/>
  <c r="C221" i="3"/>
  <c r="B221" i="3"/>
  <c r="F220" i="3"/>
  <c r="D220" i="3"/>
  <c r="C220" i="3"/>
  <c r="J220" i="3" s="1"/>
  <c r="B220" i="3"/>
  <c r="N219" i="3"/>
  <c r="O219" i="3" s="1"/>
  <c r="J219" i="3"/>
  <c r="K219" i="3" s="1"/>
  <c r="F219" i="3"/>
  <c r="E219" i="3"/>
  <c r="L219" i="3" s="1"/>
  <c r="M219" i="3" s="1"/>
  <c r="D219" i="3"/>
  <c r="C219" i="3"/>
  <c r="B219" i="3"/>
  <c r="R218" i="3"/>
  <c r="Q218" i="3"/>
  <c r="O218" i="3"/>
  <c r="N218" i="3"/>
  <c r="K218" i="3"/>
  <c r="J218" i="3"/>
  <c r="F218" i="3"/>
  <c r="E218" i="3"/>
  <c r="L218" i="3" s="1"/>
  <c r="M218" i="3" s="1"/>
  <c r="D218" i="3"/>
  <c r="C218" i="3"/>
  <c r="B218" i="3"/>
  <c r="J217" i="3"/>
  <c r="F217" i="3"/>
  <c r="D217" i="3"/>
  <c r="C217" i="3"/>
  <c r="E217" i="3" s="1"/>
  <c r="L217" i="3" s="1"/>
  <c r="B217" i="3"/>
  <c r="R216" i="3"/>
  <c r="Q216" i="3"/>
  <c r="L216" i="3"/>
  <c r="K216" i="3"/>
  <c r="M216" i="3" s="1"/>
  <c r="J216" i="3"/>
  <c r="N216" i="3" s="1"/>
  <c r="O216" i="3" s="1"/>
  <c r="F216" i="3"/>
  <c r="E216" i="3"/>
  <c r="D216" i="3"/>
  <c r="C216" i="3"/>
  <c r="B216" i="3"/>
  <c r="F215" i="3"/>
  <c r="D215" i="3"/>
  <c r="C215" i="3"/>
  <c r="B215" i="3"/>
  <c r="L214" i="3"/>
  <c r="F214" i="3"/>
  <c r="E214" i="3"/>
  <c r="D214" i="3"/>
  <c r="C214" i="3"/>
  <c r="J214" i="3" s="1"/>
  <c r="B214" i="3"/>
  <c r="J213" i="3"/>
  <c r="F213" i="3"/>
  <c r="E213" i="3"/>
  <c r="L213" i="3" s="1"/>
  <c r="C213" i="3"/>
  <c r="B213" i="3"/>
  <c r="F212" i="3"/>
  <c r="E212" i="3"/>
  <c r="L212" i="3" s="1"/>
  <c r="B212" i="3"/>
  <c r="L211" i="3"/>
  <c r="E211" i="3"/>
  <c r="B211" i="3"/>
  <c r="L210" i="3"/>
  <c r="K210" i="3"/>
  <c r="M210" i="3" s="1"/>
  <c r="J210" i="3"/>
  <c r="F210" i="3"/>
  <c r="E210" i="3"/>
  <c r="D210" i="3"/>
  <c r="D211" i="3" s="1"/>
  <c r="D212" i="3" s="1"/>
  <c r="D213" i="3" s="1"/>
  <c r="C210" i="3"/>
  <c r="B210" i="3"/>
  <c r="F209" i="3"/>
  <c r="E209" i="3"/>
  <c r="L209" i="3" s="1"/>
  <c r="D209" i="3"/>
  <c r="C209" i="3"/>
  <c r="B209" i="3"/>
  <c r="J208" i="3"/>
  <c r="K208" i="3" s="1"/>
  <c r="N202" i="3"/>
  <c r="O202" i="3" s="1"/>
  <c r="F202" i="3"/>
  <c r="C202" i="3"/>
  <c r="J202" i="3" s="1"/>
  <c r="Q202" i="3" s="1"/>
  <c r="R202" i="3" s="1"/>
  <c r="B202" i="3"/>
  <c r="F201" i="3"/>
  <c r="D201" i="3"/>
  <c r="C201" i="3"/>
  <c r="B201" i="3"/>
  <c r="J200" i="3"/>
  <c r="K200" i="3" s="1"/>
  <c r="M200" i="3" s="1"/>
  <c r="F200" i="3"/>
  <c r="E200" i="3"/>
  <c r="L200" i="3" s="1"/>
  <c r="D200" i="3"/>
  <c r="C200" i="3"/>
  <c r="B200" i="3"/>
  <c r="J199" i="3"/>
  <c r="Q199" i="3" s="1"/>
  <c r="R199" i="3" s="1"/>
  <c r="F199" i="3"/>
  <c r="E199" i="3"/>
  <c r="L199" i="3" s="1"/>
  <c r="D199" i="3"/>
  <c r="C199" i="3"/>
  <c r="B199" i="3"/>
  <c r="L198" i="3"/>
  <c r="F198" i="3"/>
  <c r="D198" i="3"/>
  <c r="C198" i="3"/>
  <c r="E198" i="3" s="1"/>
  <c r="B198" i="3"/>
  <c r="L197" i="3"/>
  <c r="J197" i="3"/>
  <c r="N197" i="3" s="1"/>
  <c r="O197" i="3" s="1"/>
  <c r="F197" i="3"/>
  <c r="D197" i="3"/>
  <c r="C197" i="3"/>
  <c r="E197" i="3" s="1"/>
  <c r="B197" i="3"/>
  <c r="F196" i="3"/>
  <c r="E196" i="3"/>
  <c r="L196" i="3" s="1"/>
  <c r="D196" i="3"/>
  <c r="C196" i="3"/>
  <c r="J196" i="3" s="1"/>
  <c r="Q196" i="3" s="1"/>
  <c r="R196" i="3" s="1"/>
  <c r="B196" i="3"/>
  <c r="F195" i="3"/>
  <c r="D195" i="3"/>
  <c r="C195" i="3"/>
  <c r="B195" i="3"/>
  <c r="Q194" i="3"/>
  <c r="R194" i="3" s="1"/>
  <c r="N194" i="3"/>
  <c r="O194" i="3" s="1"/>
  <c r="J194" i="3"/>
  <c r="K194" i="3" s="1"/>
  <c r="F194" i="3"/>
  <c r="E194" i="3"/>
  <c r="L194" i="3" s="1"/>
  <c r="M194" i="3" s="1"/>
  <c r="D194" i="3"/>
  <c r="C194" i="3"/>
  <c r="B194" i="3"/>
  <c r="Q193" i="3"/>
  <c r="R193" i="3" s="1"/>
  <c r="N193" i="3"/>
  <c r="O193" i="3" s="1"/>
  <c r="K193" i="3"/>
  <c r="J193" i="3"/>
  <c r="F193" i="3"/>
  <c r="E193" i="3"/>
  <c r="L193" i="3" s="1"/>
  <c r="C193" i="3"/>
  <c r="B193" i="3"/>
  <c r="L192" i="3"/>
  <c r="F192" i="3"/>
  <c r="E192" i="3"/>
  <c r="B192" i="3"/>
  <c r="L191" i="3"/>
  <c r="E191" i="3"/>
  <c r="B191" i="3"/>
  <c r="R190" i="3"/>
  <c r="L190" i="3"/>
  <c r="M190" i="3" s="1"/>
  <c r="K190" i="3"/>
  <c r="F190" i="3"/>
  <c r="E190" i="3"/>
  <c r="C190" i="3"/>
  <c r="J190" i="3" s="1"/>
  <c r="Q190" i="3" s="1"/>
  <c r="B190" i="3"/>
  <c r="L189" i="3"/>
  <c r="F189" i="3"/>
  <c r="E189" i="3"/>
  <c r="D189" i="3"/>
  <c r="D190" i="3" s="1"/>
  <c r="D191" i="3" s="1"/>
  <c r="D192" i="3" s="1"/>
  <c r="D193" i="3" s="1"/>
  <c r="C189" i="3"/>
  <c r="J189" i="3" s="1"/>
  <c r="B189" i="3"/>
  <c r="R188" i="3"/>
  <c r="R187" i="3"/>
  <c r="F186" i="3"/>
  <c r="C186" i="3" s="1"/>
  <c r="B186" i="3"/>
  <c r="F185" i="3"/>
  <c r="D185" i="3"/>
  <c r="C185" i="3"/>
  <c r="E185" i="3" s="1"/>
  <c r="L185" i="3" s="1"/>
  <c r="B185" i="3"/>
  <c r="N184" i="3"/>
  <c r="O184" i="3" s="1"/>
  <c r="F184" i="3"/>
  <c r="D184" i="3"/>
  <c r="C184" i="3"/>
  <c r="J184" i="3" s="1"/>
  <c r="Q184" i="3" s="1"/>
  <c r="R184" i="3" s="1"/>
  <c r="B184" i="3"/>
  <c r="L183" i="3"/>
  <c r="F183" i="3"/>
  <c r="E183" i="3"/>
  <c r="D183" i="3"/>
  <c r="C183" i="3"/>
  <c r="J183" i="3" s="1"/>
  <c r="N183" i="3" s="1"/>
  <c r="O183" i="3" s="1"/>
  <c r="B183" i="3"/>
  <c r="Q182" i="3"/>
  <c r="R182" i="3" s="1"/>
  <c r="N182" i="3"/>
  <c r="O182" i="3" s="1"/>
  <c r="J182" i="3"/>
  <c r="K182" i="3" s="1"/>
  <c r="F182" i="3"/>
  <c r="E182" i="3"/>
  <c r="L182" i="3" s="1"/>
  <c r="M182" i="3" s="1"/>
  <c r="D182" i="3"/>
  <c r="C182" i="3"/>
  <c r="B182" i="3"/>
  <c r="J181" i="3"/>
  <c r="Q181" i="3" s="1"/>
  <c r="R181" i="3" s="1"/>
  <c r="F181" i="3"/>
  <c r="E181" i="3"/>
  <c r="L181" i="3" s="1"/>
  <c r="D181" i="3"/>
  <c r="C181" i="3"/>
  <c r="B181" i="3"/>
  <c r="L180" i="3"/>
  <c r="F180" i="3"/>
  <c r="E180" i="3"/>
  <c r="D180" i="3"/>
  <c r="C180" i="3"/>
  <c r="J180" i="3" s="1"/>
  <c r="B180" i="3"/>
  <c r="J179" i="3"/>
  <c r="N179" i="3" s="1"/>
  <c r="O179" i="3" s="1"/>
  <c r="F179" i="3"/>
  <c r="D179" i="3"/>
  <c r="C179" i="3"/>
  <c r="E179" i="3" s="1"/>
  <c r="L179" i="3" s="1"/>
  <c r="B179" i="3"/>
  <c r="R178" i="3"/>
  <c r="L178" i="3"/>
  <c r="F178" i="3"/>
  <c r="E178" i="3"/>
  <c r="D178" i="3"/>
  <c r="C178" i="3"/>
  <c r="J178" i="3" s="1"/>
  <c r="Q178" i="3" s="1"/>
  <c r="B178" i="3"/>
  <c r="O177" i="3"/>
  <c r="N177" i="3"/>
  <c r="F177" i="3"/>
  <c r="E177" i="3"/>
  <c r="L177" i="3" s="1"/>
  <c r="C177" i="3"/>
  <c r="J177" i="3" s="1"/>
  <c r="B177" i="3"/>
  <c r="F176" i="3"/>
  <c r="E176" i="3"/>
  <c r="L176" i="3" s="1"/>
  <c r="B176" i="3"/>
  <c r="E175" i="3"/>
  <c r="L175" i="3" s="1"/>
  <c r="B175" i="3"/>
  <c r="L174" i="3"/>
  <c r="F174" i="3"/>
  <c r="E174" i="3"/>
  <c r="C174" i="3"/>
  <c r="J174" i="3" s="1"/>
  <c r="B174" i="3"/>
  <c r="L173" i="3"/>
  <c r="F173" i="3"/>
  <c r="E173" i="3"/>
  <c r="D173" i="3"/>
  <c r="D174" i="3" s="1"/>
  <c r="D175" i="3" s="1"/>
  <c r="D176" i="3" s="1"/>
  <c r="D177" i="3" s="1"/>
  <c r="C173" i="3"/>
  <c r="B173" i="3"/>
  <c r="R172" i="3"/>
  <c r="R171" i="3"/>
  <c r="J166" i="3"/>
  <c r="N166" i="3" s="1"/>
  <c r="O166" i="3" s="1"/>
  <c r="F166" i="3"/>
  <c r="D166" i="3"/>
  <c r="C166" i="3"/>
  <c r="E166" i="3" s="1"/>
  <c r="L166" i="3" s="1"/>
  <c r="B166" i="3"/>
  <c r="R165" i="3"/>
  <c r="F165" i="3"/>
  <c r="D165" i="3"/>
  <c r="C165" i="3"/>
  <c r="J165" i="3" s="1"/>
  <c r="Q165" i="3" s="1"/>
  <c r="B165" i="3"/>
  <c r="O164" i="3"/>
  <c r="N164" i="3"/>
  <c r="F164" i="3"/>
  <c r="E164" i="3"/>
  <c r="L164" i="3" s="1"/>
  <c r="D164" i="3"/>
  <c r="C164" i="3"/>
  <c r="J164" i="3" s="1"/>
  <c r="B164" i="3"/>
  <c r="Q163" i="3"/>
  <c r="N163" i="3"/>
  <c r="O163" i="3" s="1"/>
  <c r="J163" i="3"/>
  <c r="F163" i="3"/>
  <c r="E163" i="3"/>
  <c r="L163" i="3" s="1"/>
  <c r="D163" i="3"/>
  <c r="C163" i="3"/>
  <c r="B163" i="3"/>
  <c r="Q162" i="3"/>
  <c r="O162" i="3"/>
  <c r="N162" i="3"/>
  <c r="K162" i="3"/>
  <c r="J162" i="3"/>
  <c r="R162" i="3" s="1"/>
  <c r="F162" i="3"/>
  <c r="E162" i="3"/>
  <c r="L162" i="3" s="1"/>
  <c r="D162" i="3"/>
  <c r="C162" i="3"/>
  <c r="B162" i="3"/>
  <c r="J161" i="3"/>
  <c r="N161" i="3" s="1"/>
  <c r="O161" i="3" s="1"/>
  <c r="F161" i="3"/>
  <c r="D161" i="3"/>
  <c r="C161" i="3"/>
  <c r="E161" i="3" s="1"/>
  <c r="L161" i="3" s="1"/>
  <c r="B161" i="3"/>
  <c r="L160" i="3"/>
  <c r="J160" i="3"/>
  <c r="N160" i="3" s="1"/>
  <c r="O160" i="3" s="1"/>
  <c r="F160" i="3"/>
  <c r="E160" i="3"/>
  <c r="D160" i="3"/>
  <c r="C160" i="3"/>
  <c r="B160" i="3"/>
  <c r="F159" i="3"/>
  <c r="D159" i="3"/>
  <c r="C159" i="3"/>
  <c r="J159" i="3" s="1"/>
  <c r="Q159" i="3" s="1"/>
  <c r="B159" i="3"/>
  <c r="N158" i="3"/>
  <c r="O158" i="3" s="1"/>
  <c r="L158" i="3"/>
  <c r="F158" i="3"/>
  <c r="E158" i="3"/>
  <c r="D158" i="3"/>
  <c r="C158" i="3"/>
  <c r="J158" i="3" s="1"/>
  <c r="B158" i="3"/>
  <c r="J157" i="3"/>
  <c r="Q157" i="3" s="1"/>
  <c r="F157" i="3"/>
  <c r="E157" i="3"/>
  <c r="L157" i="3" s="1"/>
  <c r="C157" i="3"/>
  <c r="B157" i="3"/>
  <c r="F156" i="3"/>
  <c r="E156" i="3"/>
  <c r="L156" i="3" s="1"/>
  <c r="B156" i="3"/>
  <c r="L155" i="3"/>
  <c r="E155" i="3"/>
  <c r="B155" i="3"/>
  <c r="R154" i="3"/>
  <c r="Q154" i="3"/>
  <c r="L154" i="3"/>
  <c r="J154" i="3"/>
  <c r="N154" i="3" s="1"/>
  <c r="O154" i="3" s="1"/>
  <c r="F154" i="3"/>
  <c r="E154" i="3"/>
  <c r="D154" i="3"/>
  <c r="D155" i="3" s="1"/>
  <c r="D156" i="3" s="1"/>
  <c r="D157" i="3" s="1"/>
  <c r="C154" i="3"/>
  <c r="B154" i="3"/>
  <c r="L153" i="3"/>
  <c r="F153" i="3"/>
  <c r="E153" i="3"/>
  <c r="D153" i="3"/>
  <c r="C153" i="3"/>
  <c r="B153" i="3"/>
  <c r="F150" i="3"/>
  <c r="C150" i="3" s="1"/>
  <c r="B150" i="3"/>
  <c r="Q149" i="3"/>
  <c r="N149" i="3"/>
  <c r="O149" i="3" s="1"/>
  <c r="J149" i="3"/>
  <c r="F149" i="3"/>
  <c r="E149" i="3"/>
  <c r="L149" i="3" s="1"/>
  <c r="D149" i="3"/>
  <c r="C149" i="3"/>
  <c r="B149" i="3"/>
  <c r="Q148" i="3"/>
  <c r="O148" i="3"/>
  <c r="N148" i="3"/>
  <c r="K148" i="3"/>
  <c r="J148" i="3"/>
  <c r="R148" i="3" s="1"/>
  <c r="F148" i="3"/>
  <c r="E148" i="3"/>
  <c r="L148" i="3" s="1"/>
  <c r="D148" i="3"/>
  <c r="C148" i="3"/>
  <c r="B148" i="3"/>
  <c r="F147" i="3"/>
  <c r="D147" i="3"/>
  <c r="C147" i="3"/>
  <c r="E147" i="3" s="1"/>
  <c r="L147" i="3" s="1"/>
  <c r="B147" i="3"/>
  <c r="J146" i="3"/>
  <c r="N146" i="3" s="1"/>
  <c r="O146" i="3" s="1"/>
  <c r="F146" i="3"/>
  <c r="D146" i="3"/>
  <c r="C146" i="3"/>
  <c r="E146" i="3" s="1"/>
  <c r="L146" i="3" s="1"/>
  <c r="B146" i="3"/>
  <c r="R145" i="3"/>
  <c r="F145" i="3"/>
  <c r="D145" i="3"/>
  <c r="C145" i="3"/>
  <c r="J145" i="3" s="1"/>
  <c r="Q145" i="3" s="1"/>
  <c r="B145" i="3"/>
  <c r="O144" i="3"/>
  <c r="N144" i="3"/>
  <c r="F144" i="3"/>
  <c r="E144" i="3"/>
  <c r="L144" i="3" s="1"/>
  <c r="D144" i="3"/>
  <c r="C144" i="3"/>
  <c r="J144" i="3" s="1"/>
  <c r="B144" i="3"/>
  <c r="Q143" i="3"/>
  <c r="N143" i="3"/>
  <c r="O143" i="3" s="1"/>
  <c r="J143" i="3"/>
  <c r="F143" i="3"/>
  <c r="E143" i="3"/>
  <c r="L143" i="3" s="1"/>
  <c r="D143" i="3"/>
  <c r="C143" i="3"/>
  <c r="B143" i="3"/>
  <c r="Q142" i="3"/>
  <c r="O142" i="3"/>
  <c r="N142" i="3"/>
  <c r="K142" i="3"/>
  <c r="J142" i="3"/>
  <c r="R142" i="3" s="1"/>
  <c r="F142" i="3"/>
  <c r="E142" i="3"/>
  <c r="L142" i="3" s="1"/>
  <c r="M142" i="3" s="1"/>
  <c r="D142" i="3"/>
  <c r="C142" i="3"/>
  <c r="B142" i="3"/>
  <c r="L141" i="3"/>
  <c r="F141" i="3"/>
  <c r="E141" i="3"/>
  <c r="C141" i="3"/>
  <c r="J141" i="3" s="1"/>
  <c r="B141" i="3"/>
  <c r="L140" i="3"/>
  <c r="F140" i="3"/>
  <c r="E140" i="3"/>
  <c r="B140" i="3"/>
  <c r="E139" i="3"/>
  <c r="L139" i="3" s="1"/>
  <c r="B139" i="3"/>
  <c r="O138" i="3"/>
  <c r="N138" i="3"/>
  <c r="F138" i="3"/>
  <c r="E138" i="3"/>
  <c r="L138" i="3" s="1"/>
  <c r="C138" i="3"/>
  <c r="J138" i="3" s="1"/>
  <c r="B138" i="3"/>
  <c r="Q137" i="3"/>
  <c r="N137" i="3"/>
  <c r="O137" i="3" s="1"/>
  <c r="J137" i="3"/>
  <c r="F137" i="3"/>
  <c r="E137" i="3"/>
  <c r="L137" i="3" s="1"/>
  <c r="D137" i="3"/>
  <c r="D138" i="3" s="1"/>
  <c r="D139" i="3" s="1"/>
  <c r="D140" i="3" s="1"/>
  <c r="D141" i="3" s="1"/>
  <c r="C137" i="3"/>
  <c r="B137" i="3"/>
  <c r="O135" i="3"/>
  <c r="O128" i="3"/>
  <c r="L128" i="3"/>
  <c r="K128" i="3"/>
  <c r="J128" i="3"/>
  <c r="N128" i="3" s="1"/>
  <c r="F128" i="3"/>
  <c r="D128" i="3" s="1"/>
  <c r="E128" i="3"/>
  <c r="C128" i="3"/>
  <c r="L127" i="3"/>
  <c r="J127" i="3"/>
  <c r="N127" i="3" s="1"/>
  <c r="O127" i="3" s="1"/>
  <c r="F127" i="3"/>
  <c r="D127" i="3" s="1"/>
  <c r="E127" i="3"/>
  <c r="C127" i="3"/>
  <c r="L126" i="3"/>
  <c r="F126" i="3"/>
  <c r="D126" i="3" s="1"/>
  <c r="E126" i="3"/>
  <c r="C126" i="3"/>
  <c r="J126" i="3" s="1"/>
  <c r="F122" i="3"/>
  <c r="C122" i="3" s="1"/>
  <c r="J122" i="3" s="1"/>
  <c r="E122" i="3"/>
  <c r="L122" i="3" s="1"/>
  <c r="L121" i="3"/>
  <c r="F121" i="3"/>
  <c r="D122" i="3" s="1"/>
  <c r="E121" i="3"/>
  <c r="D121" i="3"/>
  <c r="C121" i="3"/>
  <c r="J121" i="3" s="1"/>
  <c r="L117" i="3"/>
  <c r="F117" i="3"/>
  <c r="D117" i="3" s="1"/>
  <c r="E117" i="3"/>
  <c r="L116" i="3"/>
  <c r="F116" i="3"/>
  <c r="D116" i="3" s="1"/>
  <c r="E116" i="3"/>
  <c r="L115" i="3"/>
  <c r="F115" i="3"/>
  <c r="D115" i="3" s="1"/>
  <c r="E115" i="3"/>
  <c r="F111" i="3"/>
  <c r="C111" i="3" s="1"/>
  <c r="J111" i="3" s="1"/>
  <c r="E111" i="3"/>
  <c r="L111" i="3" s="1"/>
  <c r="D111" i="3"/>
  <c r="L110" i="3"/>
  <c r="F110" i="3"/>
  <c r="D110" i="3" s="1"/>
  <c r="E110" i="3"/>
  <c r="F109" i="3"/>
  <c r="E109" i="3"/>
  <c r="L109" i="3" s="1"/>
  <c r="D109" i="3"/>
  <c r="C109" i="3"/>
  <c r="J109" i="3" s="1"/>
  <c r="N109" i="3" s="1"/>
  <c r="O109" i="3" s="1"/>
  <c r="L106" i="3"/>
  <c r="F105" i="3"/>
  <c r="E105" i="3"/>
  <c r="L105" i="3" s="1"/>
  <c r="L104" i="3"/>
  <c r="F104" i="3"/>
  <c r="E104" i="3"/>
  <c r="D103" i="3"/>
  <c r="B103" i="3"/>
  <c r="F103" i="3" s="1"/>
  <c r="L102" i="3"/>
  <c r="F102" i="3"/>
  <c r="E102" i="3"/>
  <c r="F101" i="3"/>
  <c r="E101" i="3"/>
  <c r="L101" i="3" s="1"/>
  <c r="L100" i="3"/>
  <c r="E100" i="3"/>
  <c r="L99" i="3"/>
  <c r="E99" i="3"/>
  <c r="L98" i="3"/>
  <c r="F98" i="3"/>
  <c r="E98" i="3"/>
  <c r="L97" i="3"/>
  <c r="E97" i="3"/>
  <c r="R96" i="3"/>
  <c r="R95" i="3"/>
  <c r="E94" i="3"/>
  <c r="L94" i="3" s="1"/>
  <c r="B94" i="3"/>
  <c r="E93" i="3"/>
  <c r="L93" i="3" s="1"/>
  <c r="B93" i="3"/>
  <c r="E92" i="3"/>
  <c r="L92" i="3" s="1"/>
  <c r="B92" i="3"/>
  <c r="E91" i="3"/>
  <c r="L91" i="3" s="1"/>
  <c r="B91" i="3"/>
  <c r="B72" i="3"/>
  <c r="F206" i="3" s="1"/>
  <c r="J69" i="3"/>
  <c r="I69" i="3"/>
  <c r="C72" i="3" s="1"/>
  <c r="I73" i="3" s="1"/>
  <c r="H69" i="3"/>
  <c r="D69" i="3"/>
  <c r="D72" i="3" s="1"/>
  <c r="J73" i="3" s="1"/>
  <c r="C69" i="3"/>
  <c r="B69" i="3"/>
  <c r="K65" i="3"/>
  <c r="F227" i="3" s="1"/>
  <c r="H65" i="3"/>
  <c r="C227" i="3" s="1"/>
  <c r="J227" i="3" s="1"/>
  <c r="N227" i="3" s="1"/>
  <c r="O227" i="3" s="1"/>
  <c r="E65" i="3"/>
  <c r="F211" i="3" s="1"/>
  <c r="B65" i="3"/>
  <c r="C211" i="3" s="1"/>
  <c r="J211" i="3" s="1"/>
  <c r="G59" i="3"/>
  <c r="A59" i="3"/>
  <c r="B56" i="3"/>
  <c r="E169" i="3" s="1"/>
  <c r="L169" i="3" s="1"/>
  <c r="J53" i="3"/>
  <c r="I53" i="3"/>
  <c r="C56" i="3" s="1"/>
  <c r="I57" i="3" s="1"/>
  <c r="H53" i="3"/>
  <c r="D53" i="3"/>
  <c r="D56" i="3" s="1"/>
  <c r="J57" i="3" s="1"/>
  <c r="C53" i="3"/>
  <c r="B53" i="3"/>
  <c r="K49" i="3"/>
  <c r="F191" i="3" s="1"/>
  <c r="H49" i="3"/>
  <c r="C191" i="3" s="1"/>
  <c r="J191" i="3" s="1"/>
  <c r="E49" i="3"/>
  <c r="F175" i="3" s="1"/>
  <c r="B49" i="3"/>
  <c r="C175" i="3" s="1"/>
  <c r="J175" i="3" s="1"/>
  <c r="G43" i="3"/>
  <c r="A43" i="3"/>
  <c r="B40" i="3"/>
  <c r="E132" i="3" s="1"/>
  <c r="L132" i="3" s="1"/>
  <c r="J37" i="3"/>
  <c r="I37" i="3"/>
  <c r="C40" i="3" s="1"/>
  <c r="I41" i="3" s="1"/>
  <c r="H37" i="3"/>
  <c r="D37" i="3"/>
  <c r="D40" i="3" s="1"/>
  <c r="J41" i="3" s="1"/>
  <c r="C37" i="3"/>
  <c r="B37" i="3"/>
  <c r="K33" i="3"/>
  <c r="F155" i="3" s="1"/>
  <c r="H33" i="3"/>
  <c r="C155" i="3" s="1"/>
  <c r="J155" i="3" s="1"/>
  <c r="E33" i="3"/>
  <c r="F139" i="3" s="1"/>
  <c r="B33" i="3"/>
  <c r="C139" i="3" s="1"/>
  <c r="J139" i="3" s="1"/>
  <c r="G27" i="3"/>
  <c r="A27" i="3"/>
  <c r="B25" i="3"/>
  <c r="E24" i="3"/>
  <c r="D24" i="3"/>
  <c r="B24" i="3"/>
  <c r="F20" i="3"/>
  <c r="E20" i="3"/>
  <c r="H14" i="3"/>
  <c r="H6" i="3"/>
  <c r="I6" i="3" s="1"/>
  <c r="F6" i="3"/>
  <c r="E7" i="3" s="1"/>
  <c r="G7" i="3" s="1"/>
  <c r="E6" i="3"/>
  <c r="H5" i="3"/>
  <c r="J5" i="3" s="1"/>
  <c r="J4" i="3"/>
  <c r="I4" i="3"/>
  <c r="H4" i="3"/>
  <c r="F4" i="3"/>
  <c r="E5" i="3" s="1"/>
  <c r="G5" i="3" s="1"/>
  <c r="E4" i="3"/>
  <c r="J3" i="3"/>
  <c r="I3" i="3"/>
  <c r="H3" i="3"/>
  <c r="G3" i="3"/>
  <c r="E3" i="3"/>
  <c r="F3" i="3" s="1"/>
  <c r="E288" i="2"/>
  <c r="D288" i="2"/>
  <c r="C288" i="2"/>
  <c r="B288" i="2"/>
  <c r="E287" i="2"/>
  <c r="D287" i="2"/>
  <c r="C287" i="2"/>
  <c r="B287" i="2"/>
  <c r="E286" i="2"/>
  <c r="D286" i="2"/>
  <c r="C286" i="2"/>
  <c r="B286" i="2"/>
  <c r="E285" i="2"/>
  <c r="D285" i="2"/>
  <c r="C285" i="2"/>
  <c r="B285" i="2"/>
  <c r="G283" i="2"/>
  <c r="F169" i="2" s="1"/>
  <c r="E283" i="2"/>
  <c r="D164" i="2" s="1"/>
  <c r="D165" i="2" s="1"/>
  <c r="D283" i="2"/>
  <c r="C283" i="2"/>
  <c r="B283" i="2"/>
  <c r="D263" i="2"/>
  <c r="C263" i="2"/>
  <c r="B263" i="2"/>
  <c r="D262" i="2"/>
  <c r="C262" i="2"/>
  <c r="B262" i="2"/>
  <c r="D261" i="2"/>
  <c r="C261" i="2"/>
  <c r="B261" i="2"/>
  <c r="D260" i="2"/>
  <c r="C260" i="2"/>
  <c r="B260" i="2"/>
  <c r="D259" i="2"/>
  <c r="C259" i="2"/>
  <c r="B259" i="2"/>
  <c r="D258" i="2"/>
  <c r="C258" i="2"/>
  <c r="B258" i="2"/>
  <c r="C243" i="2"/>
  <c r="L236" i="2"/>
  <c r="R234" i="2"/>
  <c r="M234" i="2"/>
  <c r="B234" i="2"/>
  <c r="N234" i="2" s="1"/>
  <c r="O234" i="2" s="1"/>
  <c r="R233" i="2"/>
  <c r="B233" i="2"/>
  <c r="N233" i="2" s="1"/>
  <c r="O233" i="2" s="1"/>
  <c r="L232" i="2"/>
  <c r="B232" i="2"/>
  <c r="J232" i="2" s="1"/>
  <c r="R231" i="2"/>
  <c r="N231" i="2"/>
  <c r="O231" i="2" s="1"/>
  <c r="L231" i="2"/>
  <c r="M231" i="2" s="1"/>
  <c r="K231" i="2"/>
  <c r="Q231" i="2" s="1"/>
  <c r="B231" i="2"/>
  <c r="M230" i="2"/>
  <c r="N230" i="2" s="1"/>
  <c r="O230" i="2" s="1"/>
  <c r="B230" i="2"/>
  <c r="F229" i="2"/>
  <c r="C229" i="2" s="1"/>
  <c r="B229" i="2"/>
  <c r="J228" i="2"/>
  <c r="K228" i="2" s="1"/>
  <c r="F228" i="2"/>
  <c r="E228" i="2"/>
  <c r="L228" i="2" s="1"/>
  <c r="M228" i="2" s="1"/>
  <c r="D228" i="2"/>
  <c r="C228" i="2"/>
  <c r="B228" i="2"/>
  <c r="Q227" i="2"/>
  <c r="N227" i="2"/>
  <c r="O227" i="2" s="1"/>
  <c r="K227" i="2"/>
  <c r="J227" i="2"/>
  <c r="R227" i="2" s="1"/>
  <c r="F227" i="2"/>
  <c r="E227" i="2"/>
  <c r="L227" i="2" s="1"/>
  <c r="M227" i="2" s="1"/>
  <c r="D227" i="2"/>
  <c r="C227" i="2"/>
  <c r="B227" i="2"/>
  <c r="R226" i="2"/>
  <c r="J226" i="2"/>
  <c r="K226" i="2" s="1"/>
  <c r="F226" i="2"/>
  <c r="D226" i="2"/>
  <c r="C226" i="2"/>
  <c r="E226" i="2" s="1"/>
  <c r="L226" i="2" s="1"/>
  <c r="M226" i="2" s="1"/>
  <c r="B226" i="2"/>
  <c r="F225" i="2"/>
  <c r="D225" i="2"/>
  <c r="C225" i="2"/>
  <c r="J225" i="2" s="1"/>
  <c r="B225" i="2"/>
  <c r="F224" i="2"/>
  <c r="D224" i="2"/>
  <c r="C224" i="2"/>
  <c r="J224" i="2" s="1"/>
  <c r="B224" i="2"/>
  <c r="F223" i="2"/>
  <c r="E223" i="2"/>
  <c r="L223" i="2" s="1"/>
  <c r="D223" i="2"/>
  <c r="C223" i="2"/>
  <c r="J223" i="2" s="1"/>
  <c r="B223" i="2"/>
  <c r="Q222" i="2"/>
  <c r="N222" i="2"/>
  <c r="O222" i="2" s="1"/>
  <c r="J222" i="2"/>
  <c r="R222" i="2" s="1"/>
  <c r="F222" i="2"/>
  <c r="E222" i="2"/>
  <c r="L222" i="2" s="1"/>
  <c r="D222" i="2"/>
  <c r="C222" i="2"/>
  <c r="B222" i="2"/>
  <c r="R221" i="2"/>
  <c r="J221" i="2"/>
  <c r="Q221" i="2" s="1"/>
  <c r="F221" i="2"/>
  <c r="E221" i="2"/>
  <c r="L221" i="2" s="1"/>
  <c r="D221" i="2"/>
  <c r="C221" i="2"/>
  <c r="B221" i="2"/>
  <c r="L220" i="2"/>
  <c r="F220" i="2"/>
  <c r="E220" i="2"/>
  <c r="C220" i="2"/>
  <c r="J220" i="2" s="1"/>
  <c r="B220" i="2"/>
  <c r="L219" i="2"/>
  <c r="F219" i="2"/>
  <c r="E219" i="2"/>
  <c r="B219" i="2"/>
  <c r="E218" i="2"/>
  <c r="L218" i="2" s="1"/>
  <c r="B218" i="2"/>
  <c r="L217" i="2"/>
  <c r="F217" i="2"/>
  <c r="E217" i="2"/>
  <c r="C217" i="2"/>
  <c r="J217" i="2" s="1"/>
  <c r="B217" i="2"/>
  <c r="J216" i="2"/>
  <c r="K216" i="2" s="1"/>
  <c r="F216" i="2"/>
  <c r="E216" i="2"/>
  <c r="L216" i="2" s="1"/>
  <c r="M216" i="2" s="1"/>
  <c r="D216" i="2"/>
  <c r="D217" i="2" s="1"/>
  <c r="D218" i="2" s="1"/>
  <c r="D219" i="2" s="1"/>
  <c r="D220" i="2" s="1"/>
  <c r="C216" i="2"/>
  <c r="B216" i="2"/>
  <c r="Q215" i="2"/>
  <c r="Q214" i="2"/>
  <c r="F213" i="2"/>
  <c r="C213" i="2"/>
  <c r="B213" i="2"/>
  <c r="F212" i="2"/>
  <c r="D212" i="2"/>
  <c r="C212" i="2"/>
  <c r="J212" i="2" s="1"/>
  <c r="B212" i="2"/>
  <c r="F211" i="2"/>
  <c r="D211" i="2"/>
  <c r="C211" i="2"/>
  <c r="J211" i="2" s="1"/>
  <c r="B211" i="2"/>
  <c r="Q210" i="2"/>
  <c r="N210" i="2"/>
  <c r="O210" i="2" s="1"/>
  <c r="J210" i="2"/>
  <c r="R210" i="2" s="1"/>
  <c r="F210" i="2"/>
  <c r="E210" i="2"/>
  <c r="L210" i="2" s="1"/>
  <c r="D210" i="2"/>
  <c r="C210" i="2"/>
  <c r="B210" i="2"/>
  <c r="R209" i="2"/>
  <c r="J209" i="2"/>
  <c r="Q209" i="2" s="1"/>
  <c r="F209" i="2"/>
  <c r="E209" i="2"/>
  <c r="L209" i="2" s="1"/>
  <c r="D209" i="2"/>
  <c r="C209" i="2"/>
  <c r="B209" i="2"/>
  <c r="F208" i="2"/>
  <c r="D208" i="2"/>
  <c r="B208" i="2"/>
  <c r="L207" i="2"/>
  <c r="F207" i="2"/>
  <c r="E207" i="2"/>
  <c r="D207" i="2"/>
  <c r="C208" i="2" s="1"/>
  <c r="C207" i="2"/>
  <c r="B207" i="2"/>
  <c r="F206" i="2"/>
  <c r="E206" i="2"/>
  <c r="L206" i="2" s="1"/>
  <c r="D206" i="2"/>
  <c r="C206" i="2"/>
  <c r="J206" i="2" s="1"/>
  <c r="B206" i="2"/>
  <c r="L205" i="2"/>
  <c r="F205" i="2"/>
  <c r="E205" i="2"/>
  <c r="D205" i="2"/>
  <c r="C205" i="2"/>
  <c r="J205" i="2" s="1"/>
  <c r="B205" i="2"/>
  <c r="F204" i="2"/>
  <c r="C204" i="2" s="1"/>
  <c r="J204" i="2" s="1"/>
  <c r="E204" i="2"/>
  <c r="L204" i="2" s="1"/>
  <c r="B204" i="2"/>
  <c r="F203" i="2"/>
  <c r="E203" i="2"/>
  <c r="L203" i="2" s="1"/>
  <c r="B203" i="2"/>
  <c r="L202" i="2"/>
  <c r="F202" i="2"/>
  <c r="B202" i="2"/>
  <c r="E202" i="2" s="1"/>
  <c r="L201" i="2"/>
  <c r="F201" i="2"/>
  <c r="E201" i="2"/>
  <c r="C201" i="2"/>
  <c r="B201" i="2"/>
  <c r="L200" i="2"/>
  <c r="F200" i="2"/>
  <c r="E200" i="2"/>
  <c r="D200" i="2"/>
  <c r="D201" i="2" s="1"/>
  <c r="D202" i="2" s="1"/>
  <c r="D203" i="2" s="1"/>
  <c r="D204" i="2" s="1"/>
  <c r="C200" i="2"/>
  <c r="J200" i="2" s="1"/>
  <c r="N200" i="2" s="1"/>
  <c r="O200" i="2" s="1"/>
  <c r="B200" i="2"/>
  <c r="J199" i="2"/>
  <c r="R198" i="2"/>
  <c r="Q198" i="2"/>
  <c r="O198" i="2"/>
  <c r="Q194" i="2"/>
  <c r="Q193" i="2"/>
  <c r="F193" i="2"/>
  <c r="C193" i="2"/>
  <c r="J193" i="2" s="1"/>
  <c r="B193" i="2"/>
  <c r="R192" i="2"/>
  <c r="N192" i="2"/>
  <c r="O192" i="2" s="1"/>
  <c r="F192" i="2"/>
  <c r="D192" i="2"/>
  <c r="C192" i="2"/>
  <c r="J192" i="2" s="1"/>
  <c r="B192" i="2"/>
  <c r="F191" i="2"/>
  <c r="D191" i="2"/>
  <c r="C191" i="2"/>
  <c r="B191" i="2"/>
  <c r="Q190" i="2"/>
  <c r="N190" i="2"/>
  <c r="O190" i="2" s="1"/>
  <c r="J190" i="2"/>
  <c r="R190" i="2" s="1"/>
  <c r="F190" i="2"/>
  <c r="E190" i="2"/>
  <c r="L190" i="2" s="1"/>
  <c r="D190" i="2"/>
  <c r="C190" i="2"/>
  <c r="B190" i="2"/>
  <c r="R189" i="2"/>
  <c r="J189" i="2"/>
  <c r="F189" i="2"/>
  <c r="E189" i="2"/>
  <c r="L189" i="2" s="1"/>
  <c r="D189" i="2"/>
  <c r="C189" i="2"/>
  <c r="B189" i="2"/>
  <c r="F188" i="2"/>
  <c r="D188" i="2"/>
  <c r="C188" i="2"/>
  <c r="B188" i="2"/>
  <c r="L187" i="2"/>
  <c r="J187" i="2"/>
  <c r="F187" i="2"/>
  <c r="E187" i="2"/>
  <c r="D187" i="2"/>
  <c r="C187" i="2"/>
  <c r="B187" i="2"/>
  <c r="M186" i="2"/>
  <c r="K186" i="2"/>
  <c r="F186" i="2"/>
  <c r="E186" i="2"/>
  <c r="L186" i="2" s="1"/>
  <c r="D186" i="2"/>
  <c r="C186" i="2"/>
  <c r="J186" i="2" s="1"/>
  <c r="B186" i="2"/>
  <c r="N185" i="2"/>
  <c r="O185" i="2" s="1"/>
  <c r="L185" i="2"/>
  <c r="F185" i="2"/>
  <c r="E185" i="2"/>
  <c r="D185" i="2"/>
  <c r="C185" i="2"/>
  <c r="J185" i="2" s="1"/>
  <c r="B185" i="2"/>
  <c r="J184" i="2"/>
  <c r="F184" i="2"/>
  <c r="E184" i="2"/>
  <c r="L184" i="2" s="1"/>
  <c r="C184" i="2"/>
  <c r="B184" i="2"/>
  <c r="F183" i="2"/>
  <c r="E183" i="2"/>
  <c r="L183" i="2" s="1"/>
  <c r="B183" i="2"/>
  <c r="L182" i="2"/>
  <c r="K182" i="2"/>
  <c r="J182" i="2"/>
  <c r="E182" i="2"/>
  <c r="C182" i="2"/>
  <c r="B182" i="2"/>
  <c r="L181" i="2"/>
  <c r="F181" i="2"/>
  <c r="E181" i="2"/>
  <c r="C181" i="2"/>
  <c r="J181" i="2" s="1"/>
  <c r="B181" i="2"/>
  <c r="R180" i="2"/>
  <c r="L180" i="2"/>
  <c r="M180" i="2" s="1"/>
  <c r="K180" i="2"/>
  <c r="F180" i="2"/>
  <c r="E180" i="2"/>
  <c r="D180" i="2"/>
  <c r="D181" i="2" s="1"/>
  <c r="D182" i="2" s="1"/>
  <c r="D183" i="2" s="1"/>
  <c r="D184" i="2" s="1"/>
  <c r="C180" i="2"/>
  <c r="J180" i="2" s="1"/>
  <c r="Q180" i="2" s="1"/>
  <c r="B180" i="2"/>
  <c r="Q179" i="2"/>
  <c r="Q178" i="2"/>
  <c r="F177" i="2"/>
  <c r="C177" i="2" s="1"/>
  <c r="E177" i="2" s="1"/>
  <c r="B177" i="2"/>
  <c r="F176" i="2"/>
  <c r="D176" i="2"/>
  <c r="C176" i="2"/>
  <c r="B176" i="2"/>
  <c r="F175" i="2"/>
  <c r="D175" i="2"/>
  <c r="C175" i="2"/>
  <c r="E175" i="2" s="1"/>
  <c r="L175" i="2" s="1"/>
  <c r="B175" i="2"/>
  <c r="R174" i="2"/>
  <c r="F174" i="2"/>
  <c r="E174" i="2"/>
  <c r="L174" i="2" s="1"/>
  <c r="D174" i="2"/>
  <c r="C174" i="2"/>
  <c r="J174" i="2" s="1"/>
  <c r="B174" i="2"/>
  <c r="N173" i="2"/>
  <c r="O173" i="2" s="1"/>
  <c r="L173" i="2"/>
  <c r="F173" i="2"/>
  <c r="E173" i="2"/>
  <c r="D173" i="2"/>
  <c r="C173" i="2"/>
  <c r="J173" i="2" s="1"/>
  <c r="B173" i="2"/>
  <c r="F172" i="2"/>
  <c r="D172" i="2"/>
  <c r="B172" i="2"/>
  <c r="Q171" i="2"/>
  <c r="N171" i="2"/>
  <c r="O171" i="2" s="1"/>
  <c r="K171" i="2"/>
  <c r="J171" i="2"/>
  <c r="F171" i="2"/>
  <c r="E171" i="2"/>
  <c r="L171" i="2" s="1"/>
  <c r="M171" i="2" s="1"/>
  <c r="D171" i="2"/>
  <c r="C172" i="2" s="1"/>
  <c r="J172" i="2" s="1"/>
  <c r="C171" i="2"/>
  <c r="B171" i="2"/>
  <c r="L170" i="2"/>
  <c r="F170" i="2"/>
  <c r="J170" i="2" s="1"/>
  <c r="D170" i="2"/>
  <c r="C170" i="2"/>
  <c r="E170" i="2" s="1"/>
  <c r="B170" i="2"/>
  <c r="L169" i="2"/>
  <c r="E169" i="2"/>
  <c r="D169" i="2"/>
  <c r="C169" i="2"/>
  <c r="J169" i="2" s="1"/>
  <c r="B169" i="2"/>
  <c r="L168" i="2"/>
  <c r="F168" i="2"/>
  <c r="E168" i="2"/>
  <c r="C168" i="2"/>
  <c r="B168" i="2"/>
  <c r="F167" i="2"/>
  <c r="E167" i="2"/>
  <c r="L167" i="2" s="1"/>
  <c r="B167" i="2"/>
  <c r="F166" i="2"/>
  <c r="E166" i="2"/>
  <c r="L166" i="2" s="1"/>
  <c r="D166" i="2"/>
  <c r="D167" i="2" s="1"/>
  <c r="D168" i="2" s="1"/>
  <c r="B166" i="2"/>
  <c r="J165" i="2"/>
  <c r="F165" i="2"/>
  <c r="E165" i="2"/>
  <c r="L165" i="2" s="1"/>
  <c r="C165" i="2"/>
  <c r="B165" i="2"/>
  <c r="L164" i="2"/>
  <c r="F164" i="2"/>
  <c r="E164" i="2"/>
  <c r="C164" i="2"/>
  <c r="C167" i="2" s="1"/>
  <c r="J167" i="2" s="1"/>
  <c r="B164" i="2"/>
  <c r="Q158" i="2"/>
  <c r="F157" i="2"/>
  <c r="C157" i="2" s="1"/>
  <c r="J157" i="2" s="1"/>
  <c r="B157" i="2"/>
  <c r="F156" i="2"/>
  <c r="D156" i="2"/>
  <c r="C156" i="2"/>
  <c r="E156" i="2" s="1"/>
  <c r="L156" i="2" s="1"/>
  <c r="B156" i="2"/>
  <c r="Q155" i="2"/>
  <c r="L155" i="2"/>
  <c r="K155" i="2"/>
  <c r="M155" i="2" s="1"/>
  <c r="J155" i="2"/>
  <c r="N155" i="2" s="1"/>
  <c r="O155" i="2" s="1"/>
  <c r="F155" i="2"/>
  <c r="D155" i="2"/>
  <c r="C155" i="2"/>
  <c r="E155" i="2" s="1"/>
  <c r="B155" i="2"/>
  <c r="R154" i="2"/>
  <c r="N154" i="2"/>
  <c r="O154" i="2" s="1"/>
  <c r="F154" i="2"/>
  <c r="E154" i="2"/>
  <c r="L154" i="2" s="1"/>
  <c r="D154" i="2"/>
  <c r="C154" i="2"/>
  <c r="J154" i="2" s="1"/>
  <c r="Q154" i="2" s="1"/>
  <c r="B154" i="2"/>
  <c r="N153" i="2"/>
  <c r="O153" i="2" s="1"/>
  <c r="L153" i="2"/>
  <c r="F153" i="2"/>
  <c r="E153" i="2"/>
  <c r="D153" i="2"/>
  <c r="C153" i="2"/>
  <c r="J153" i="2" s="1"/>
  <c r="B153" i="2"/>
  <c r="Q152" i="2"/>
  <c r="N152" i="2"/>
  <c r="O152" i="2" s="1"/>
  <c r="J152" i="2"/>
  <c r="F152" i="2"/>
  <c r="E152" i="2"/>
  <c r="L152" i="2" s="1"/>
  <c r="D152" i="2"/>
  <c r="C152" i="2"/>
  <c r="B152" i="2"/>
  <c r="R151" i="2"/>
  <c r="Q151" i="2"/>
  <c r="O151" i="2"/>
  <c r="N151" i="2"/>
  <c r="K151" i="2"/>
  <c r="J151" i="2"/>
  <c r="F151" i="2"/>
  <c r="E151" i="2"/>
  <c r="L151" i="2" s="1"/>
  <c r="M151" i="2" s="1"/>
  <c r="D151" i="2"/>
  <c r="C151" i="2"/>
  <c r="B151" i="2"/>
  <c r="F150" i="2"/>
  <c r="D150" i="2"/>
  <c r="C150" i="2"/>
  <c r="E150" i="2" s="1"/>
  <c r="L150" i="2" s="1"/>
  <c r="B150" i="2"/>
  <c r="Q149" i="2"/>
  <c r="L149" i="2"/>
  <c r="K149" i="2"/>
  <c r="M149" i="2" s="1"/>
  <c r="J149" i="2"/>
  <c r="N149" i="2" s="1"/>
  <c r="O149" i="2" s="1"/>
  <c r="F149" i="2"/>
  <c r="E149" i="2"/>
  <c r="D149" i="2"/>
  <c r="C149" i="2"/>
  <c r="B149" i="2"/>
  <c r="R148" i="2"/>
  <c r="N148" i="2"/>
  <c r="O148" i="2" s="1"/>
  <c r="F148" i="2"/>
  <c r="E148" i="2"/>
  <c r="L148" i="2" s="1"/>
  <c r="C148" i="2"/>
  <c r="J148" i="2" s="1"/>
  <c r="Q148" i="2" s="1"/>
  <c r="B148" i="2"/>
  <c r="L147" i="2"/>
  <c r="F147" i="2"/>
  <c r="E147" i="2"/>
  <c r="B147" i="2"/>
  <c r="J146" i="2"/>
  <c r="E146" i="2"/>
  <c r="L146" i="2" s="1"/>
  <c r="D146" i="2"/>
  <c r="D147" i="2" s="1"/>
  <c r="D148" i="2" s="1"/>
  <c r="B146" i="2"/>
  <c r="R145" i="2"/>
  <c r="Q145" i="2"/>
  <c r="O145" i="2"/>
  <c r="N145" i="2"/>
  <c r="K145" i="2"/>
  <c r="J145" i="2"/>
  <c r="F145" i="2"/>
  <c r="E145" i="2"/>
  <c r="L145" i="2" s="1"/>
  <c r="M145" i="2" s="1"/>
  <c r="C145" i="2"/>
  <c r="B145" i="2"/>
  <c r="L144" i="2"/>
  <c r="F144" i="2"/>
  <c r="E144" i="2"/>
  <c r="D144" i="2"/>
  <c r="D145" i="2" s="1"/>
  <c r="C144" i="2"/>
  <c r="B144" i="2"/>
  <c r="Q143" i="2"/>
  <c r="Q142" i="2"/>
  <c r="O142" i="2"/>
  <c r="F141" i="2"/>
  <c r="C141" i="2" s="1"/>
  <c r="E141" i="2"/>
  <c r="L141" i="2" s="1"/>
  <c r="D141" i="2"/>
  <c r="J141" i="2" s="1"/>
  <c r="B141" i="2"/>
  <c r="J140" i="2"/>
  <c r="N140" i="2" s="1"/>
  <c r="O140" i="2" s="1"/>
  <c r="F140" i="2"/>
  <c r="E140" i="2"/>
  <c r="L140" i="2" s="1"/>
  <c r="D140" i="2"/>
  <c r="C140" i="2"/>
  <c r="B140" i="2"/>
  <c r="R139" i="2"/>
  <c r="J139" i="2"/>
  <c r="N139" i="2" s="1"/>
  <c r="O139" i="2" s="1"/>
  <c r="F139" i="2"/>
  <c r="D139" i="2"/>
  <c r="C139" i="2"/>
  <c r="E139" i="2" s="1"/>
  <c r="L139" i="2" s="1"/>
  <c r="B139" i="2"/>
  <c r="F138" i="2"/>
  <c r="D138" i="2"/>
  <c r="C138" i="2"/>
  <c r="E138" i="2" s="1"/>
  <c r="L138" i="2" s="1"/>
  <c r="B138" i="2"/>
  <c r="R137" i="2"/>
  <c r="L137" i="2"/>
  <c r="M137" i="2" s="1"/>
  <c r="K137" i="2"/>
  <c r="F137" i="2"/>
  <c r="E137" i="2"/>
  <c r="D137" i="2"/>
  <c r="C137" i="2"/>
  <c r="J137" i="2" s="1"/>
  <c r="Q137" i="2" s="1"/>
  <c r="B137" i="2"/>
  <c r="F136" i="2"/>
  <c r="E136" i="2"/>
  <c r="L136" i="2" s="1"/>
  <c r="D136" i="2"/>
  <c r="C136" i="2"/>
  <c r="B136" i="2"/>
  <c r="F135" i="2"/>
  <c r="J135" i="2" s="1"/>
  <c r="E135" i="2"/>
  <c r="L135" i="2" s="1"/>
  <c r="D135" i="2"/>
  <c r="C135" i="2"/>
  <c r="B135" i="2"/>
  <c r="J134" i="2"/>
  <c r="N134" i="2" s="1"/>
  <c r="O134" i="2" s="1"/>
  <c r="F134" i="2"/>
  <c r="E134" i="2"/>
  <c r="L134" i="2" s="1"/>
  <c r="D134" i="2"/>
  <c r="B134" i="2"/>
  <c r="L133" i="2"/>
  <c r="F133" i="2"/>
  <c r="E133" i="2"/>
  <c r="D133" i="2"/>
  <c r="C134" i="2" s="1"/>
  <c r="C133" i="2"/>
  <c r="J133" i="2" s="1"/>
  <c r="B133" i="2"/>
  <c r="L132" i="2"/>
  <c r="F132" i="2"/>
  <c r="E132" i="2"/>
  <c r="C132" i="2"/>
  <c r="J132" i="2" s="1"/>
  <c r="B132" i="2"/>
  <c r="L131" i="2"/>
  <c r="E131" i="2"/>
  <c r="B131" i="2"/>
  <c r="E130" i="2"/>
  <c r="L130" i="2" s="1"/>
  <c r="D130" i="2"/>
  <c r="D131" i="2" s="1"/>
  <c r="D132" i="2" s="1"/>
  <c r="B130" i="2"/>
  <c r="F129" i="2"/>
  <c r="C131" i="2" s="1"/>
  <c r="J131" i="2" s="1"/>
  <c r="E129" i="2"/>
  <c r="L129" i="2" s="1"/>
  <c r="D129" i="2"/>
  <c r="C129" i="2"/>
  <c r="B129" i="2"/>
  <c r="J128" i="2"/>
  <c r="N128" i="2" s="1"/>
  <c r="O128" i="2" s="1"/>
  <c r="F128" i="2"/>
  <c r="E128" i="2"/>
  <c r="L128" i="2" s="1"/>
  <c r="D128" i="2"/>
  <c r="C128" i="2"/>
  <c r="B128" i="2"/>
  <c r="R127" i="2"/>
  <c r="Q127" i="2"/>
  <c r="R126" i="2"/>
  <c r="Q126" i="2"/>
  <c r="R125" i="2"/>
  <c r="Q125" i="2"/>
  <c r="R124" i="2"/>
  <c r="Q124" i="2"/>
  <c r="F123" i="2"/>
  <c r="E123" i="2"/>
  <c r="L123" i="2" s="1"/>
  <c r="F122" i="2"/>
  <c r="E122" i="2"/>
  <c r="L122" i="2" s="1"/>
  <c r="F121" i="2"/>
  <c r="E121" i="2"/>
  <c r="L121" i="2" s="1"/>
  <c r="Q120" i="2"/>
  <c r="Q119" i="2"/>
  <c r="Q118" i="2"/>
  <c r="F117" i="2"/>
  <c r="E117" i="2"/>
  <c r="L117" i="2" s="1"/>
  <c r="F116" i="2"/>
  <c r="E116" i="2"/>
  <c r="L116" i="2" s="1"/>
  <c r="Q115" i="2"/>
  <c r="Q114" i="2"/>
  <c r="Q113" i="2"/>
  <c r="F112" i="2"/>
  <c r="E112" i="2"/>
  <c r="L112" i="2" s="1"/>
  <c r="F111" i="2"/>
  <c r="E111" i="2"/>
  <c r="L111" i="2" s="1"/>
  <c r="F110" i="2"/>
  <c r="E110" i="2"/>
  <c r="L110" i="2" s="1"/>
  <c r="Q109" i="2"/>
  <c r="Q108" i="2"/>
  <c r="Q107" i="2"/>
  <c r="F106" i="2"/>
  <c r="E106" i="2"/>
  <c r="L106" i="2" s="1"/>
  <c r="F105" i="2"/>
  <c r="E105" i="2"/>
  <c r="L105" i="2" s="1"/>
  <c r="F104" i="2"/>
  <c r="E104" i="2"/>
  <c r="L104" i="2" s="1"/>
  <c r="Q103" i="2"/>
  <c r="Q102" i="2"/>
  <c r="L101" i="2"/>
  <c r="L100" i="2"/>
  <c r="E100" i="2"/>
  <c r="L99" i="2"/>
  <c r="E99" i="2"/>
  <c r="L98" i="2"/>
  <c r="E98" i="2"/>
  <c r="D98" i="2"/>
  <c r="B98" i="2"/>
  <c r="F98" i="2" s="1"/>
  <c r="E97" i="2"/>
  <c r="L97" i="2" s="1"/>
  <c r="L96" i="2"/>
  <c r="F96" i="2"/>
  <c r="E96" i="2"/>
  <c r="L95" i="2"/>
  <c r="E95" i="2"/>
  <c r="Q94" i="2"/>
  <c r="K94" i="2"/>
  <c r="J94" i="2"/>
  <c r="J93" i="2"/>
  <c r="Q93" i="2" s="1"/>
  <c r="L92" i="2"/>
  <c r="B92" i="2"/>
  <c r="E92" i="2" s="1"/>
  <c r="L91" i="2"/>
  <c r="B91" i="2"/>
  <c r="E91" i="2" s="1"/>
  <c r="B90" i="2"/>
  <c r="E90" i="2" s="1"/>
  <c r="L90" i="2" s="1"/>
  <c r="I72" i="2"/>
  <c r="J69" i="2"/>
  <c r="I69" i="2"/>
  <c r="H69" i="2"/>
  <c r="D69" i="2"/>
  <c r="D72" i="2" s="1"/>
  <c r="C69" i="2"/>
  <c r="C72" i="2" s="1"/>
  <c r="I73" i="2" s="1"/>
  <c r="I71" i="2" s="1"/>
  <c r="B69" i="2"/>
  <c r="B72" i="2" s="1"/>
  <c r="K65" i="2"/>
  <c r="F218" i="2" s="1"/>
  <c r="H65" i="2"/>
  <c r="C218" i="2" s="1"/>
  <c r="J218" i="2" s="1"/>
  <c r="E65" i="2"/>
  <c r="B65" i="2"/>
  <c r="C202" i="2" s="1"/>
  <c r="J202" i="2" s="1"/>
  <c r="G59" i="2"/>
  <c r="A59" i="2"/>
  <c r="J53" i="2"/>
  <c r="I53" i="2"/>
  <c r="H53" i="2"/>
  <c r="D53" i="2"/>
  <c r="D56" i="2" s="1"/>
  <c r="C53" i="2"/>
  <c r="C56" i="2" s="1"/>
  <c r="I57" i="2" s="1"/>
  <c r="I56" i="2" s="1"/>
  <c r="I55" i="2" s="1"/>
  <c r="B53" i="2"/>
  <c r="B56" i="2" s="1"/>
  <c r="K49" i="2"/>
  <c r="F182" i="2" s="1"/>
  <c r="H49" i="2"/>
  <c r="E49" i="2"/>
  <c r="B49" i="2"/>
  <c r="C166" i="2" s="1"/>
  <c r="J166" i="2" s="1"/>
  <c r="G43" i="2"/>
  <c r="A43" i="2"/>
  <c r="C41" i="2"/>
  <c r="I40" i="2" s="1"/>
  <c r="I41" i="2" s="1"/>
  <c r="D75" i="2" s="1"/>
  <c r="D77" i="2" s="1"/>
  <c r="B41" i="2"/>
  <c r="J38" i="2"/>
  <c r="I38" i="2"/>
  <c r="H38" i="2"/>
  <c r="D38" i="2"/>
  <c r="D41" i="2" s="1"/>
  <c r="J40" i="2" s="1"/>
  <c r="J41" i="2" s="1"/>
  <c r="C38" i="2"/>
  <c r="B38" i="2"/>
  <c r="K34" i="2"/>
  <c r="F146" i="2" s="1"/>
  <c r="H34" i="2"/>
  <c r="C146" i="2" s="1"/>
  <c r="E34" i="2"/>
  <c r="F130" i="2" s="1"/>
  <c r="F131" i="2" s="1"/>
  <c r="B34" i="2"/>
  <c r="C130" i="2" s="1"/>
  <c r="J130" i="2" s="1"/>
  <c r="G28" i="2"/>
  <c r="A28" i="2"/>
  <c r="B26" i="2"/>
  <c r="E24" i="2"/>
  <c r="D24" i="2"/>
  <c r="B24" i="2"/>
  <c r="F20" i="2"/>
  <c r="E20" i="2"/>
  <c r="H13" i="2"/>
  <c r="E6" i="2"/>
  <c r="F6" i="2" s="1"/>
  <c r="E7" i="2" s="1"/>
  <c r="G7" i="2" s="1"/>
  <c r="E5" i="2"/>
  <c r="G5" i="2" s="1"/>
  <c r="F4" i="2"/>
  <c r="E4" i="2"/>
  <c r="E3" i="2"/>
  <c r="G3" i="2" s="1"/>
  <c r="C194" i="1"/>
  <c r="J177" i="1"/>
  <c r="I177" i="1"/>
  <c r="F177" i="1"/>
  <c r="E177" i="1"/>
  <c r="D177" i="1"/>
  <c r="C177" i="1"/>
  <c r="J176" i="1"/>
  <c r="I176" i="1"/>
  <c r="F176" i="1"/>
  <c r="E176" i="1"/>
  <c r="D176" i="1"/>
  <c r="C176" i="1"/>
  <c r="J175" i="1"/>
  <c r="I175" i="1"/>
  <c r="G175" i="1"/>
  <c r="F175" i="1"/>
  <c r="E175" i="1"/>
  <c r="D175" i="1"/>
  <c r="C175" i="1"/>
  <c r="J174" i="1"/>
  <c r="I174" i="1"/>
  <c r="F174" i="1"/>
  <c r="E174" i="1"/>
  <c r="D174" i="1"/>
  <c r="C174" i="1"/>
  <c r="F173" i="1"/>
  <c r="E173" i="1"/>
  <c r="D173" i="1"/>
  <c r="C173" i="1"/>
  <c r="F172" i="1"/>
  <c r="E172" i="1"/>
  <c r="D172" i="1"/>
  <c r="C172" i="1"/>
  <c r="J171" i="1"/>
  <c r="I171" i="1"/>
  <c r="F171" i="1"/>
  <c r="E171" i="1"/>
  <c r="D171" i="1"/>
  <c r="C171" i="1"/>
  <c r="J170" i="1"/>
  <c r="E107" i="1" s="1"/>
  <c r="L107" i="1" s="1"/>
  <c r="I170" i="1"/>
  <c r="H170" i="1"/>
  <c r="F170" i="1"/>
  <c r="E170" i="1"/>
  <c r="D170" i="1"/>
  <c r="C170" i="1"/>
  <c r="C44" i="1" s="1"/>
  <c r="E148" i="1"/>
  <c r="D148" i="1"/>
  <c r="C148" i="1"/>
  <c r="E147" i="1"/>
  <c r="D147" i="1"/>
  <c r="C147" i="1"/>
  <c r="E146" i="1"/>
  <c r="D146" i="1"/>
  <c r="C146" i="1"/>
  <c r="E145" i="1"/>
  <c r="D145" i="1"/>
  <c r="C145" i="1"/>
  <c r="E144" i="1"/>
  <c r="D144" i="1"/>
  <c r="C144" i="1"/>
  <c r="E143" i="1"/>
  <c r="D143" i="1"/>
  <c r="C143" i="1"/>
  <c r="C128" i="1"/>
  <c r="L121" i="1"/>
  <c r="Q119" i="1"/>
  <c r="C119" i="1"/>
  <c r="M119" i="1" s="1"/>
  <c r="Q118" i="1"/>
  <c r="C118" i="1"/>
  <c r="N118" i="1" s="1"/>
  <c r="O118" i="1" s="1"/>
  <c r="C117" i="1"/>
  <c r="R116" i="1"/>
  <c r="C116" i="1"/>
  <c r="R115" i="1"/>
  <c r="M115" i="1"/>
  <c r="N115" i="1" s="1"/>
  <c r="O115" i="1" s="1"/>
  <c r="C115" i="1"/>
  <c r="R114" i="1"/>
  <c r="Q114" i="1"/>
  <c r="O114" i="1"/>
  <c r="F113" i="1"/>
  <c r="B113" i="1"/>
  <c r="F112" i="1"/>
  <c r="D112" i="1"/>
  <c r="C112" i="1"/>
  <c r="J112" i="1" s="1"/>
  <c r="B112" i="1"/>
  <c r="F111" i="1"/>
  <c r="D111" i="1"/>
  <c r="C111" i="1"/>
  <c r="B111" i="1"/>
  <c r="F110" i="1"/>
  <c r="C110" i="1"/>
  <c r="B110" i="1"/>
  <c r="F109" i="1"/>
  <c r="D109" i="1"/>
  <c r="D110" i="1" s="1"/>
  <c r="C109" i="1"/>
  <c r="B109" i="1"/>
  <c r="F108" i="1"/>
  <c r="D108" i="1"/>
  <c r="B108" i="1"/>
  <c r="F107" i="1"/>
  <c r="D107" i="1"/>
  <c r="C108" i="1" s="1"/>
  <c r="C107" i="1"/>
  <c r="B107" i="1"/>
  <c r="F106" i="1"/>
  <c r="D106" i="1"/>
  <c r="B106" i="1"/>
  <c r="F105" i="1"/>
  <c r="E105" i="1"/>
  <c r="L105" i="1" s="1"/>
  <c r="C105" i="1"/>
  <c r="B105" i="1"/>
  <c r="F104" i="1"/>
  <c r="E104" i="1"/>
  <c r="L104" i="1" s="1"/>
  <c r="B104" i="1"/>
  <c r="B103" i="1"/>
  <c r="B102" i="1"/>
  <c r="E102" i="1" s="1"/>
  <c r="L102" i="1" s="1"/>
  <c r="F101" i="1"/>
  <c r="C101" i="1"/>
  <c r="B101" i="1"/>
  <c r="F100" i="1"/>
  <c r="E100" i="1"/>
  <c r="L100" i="1" s="1"/>
  <c r="D100" i="1"/>
  <c r="D101" i="1" s="1"/>
  <c r="D102" i="1" s="1"/>
  <c r="D103" i="1" s="1"/>
  <c r="D104" i="1" s="1"/>
  <c r="B100" i="1"/>
  <c r="J99" i="1"/>
  <c r="K99" i="1" s="1"/>
  <c r="J98" i="1"/>
  <c r="K98" i="1" s="1"/>
  <c r="J97" i="1"/>
  <c r="K97" i="1" s="1"/>
  <c r="J95" i="1"/>
  <c r="K95" i="1" s="1"/>
  <c r="F94" i="1"/>
  <c r="D94" i="1" s="1"/>
  <c r="E94" i="1"/>
  <c r="L94" i="1" s="1"/>
  <c r="F93" i="1"/>
  <c r="D93" i="1" s="1"/>
  <c r="E93" i="1"/>
  <c r="L93" i="1" s="1"/>
  <c r="F92" i="1"/>
  <c r="D92" i="1" s="1"/>
  <c r="E92" i="1"/>
  <c r="L92" i="1" s="1"/>
  <c r="J90" i="1"/>
  <c r="K90" i="1" s="1"/>
  <c r="J88" i="1"/>
  <c r="F87" i="1"/>
  <c r="C87" i="1" s="1"/>
  <c r="J87" i="1" s="1"/>
  <c r="E87" i="1"/>
  <c r="L87" i="1" s="1"/>
  <c r="F86" i="1"/>
  <c r="E86" i="1"/>
  <c r="L86" i="1" s="1"/>
  <c r="D86" i="1"/>
  <c r="J84" i="1"/>
  <c r="K84" i="1" s="1"/>
  <c r="F81" i="1"/>
  <c r="E81" i="1"/>
  <c r="L81" i="1" s="1"/>
  <c r="D81" i="1"/>
  <c r="C81" i="1"/>
  <c r="J81" i="1" s="1"/>
  <c r="F80" i="1"/>
  <c r="E80" i="1"/>
  <c r="L80" i="1" s="1"/>
  <c r="F79" i="1"/>
  <c r="E79" i="1"/>
  <c r="L79" i="1" s="1"/>
  <c r="D79" i="1"/>
  <c r="C79" i="1"/>
  <c r="F74" i="1"/>
  <c r="D74" i="1" s="1"/>
  <c r="E74" i="1"/>
  <c r="L74" i="1" s="1"/>
  <c r="F73" i="1"/>
  <c r="C73" i="1" s="1"/>
  <c r="J73" i="1" s="1"/>
  <c r="E73" i="1"/>
  <c r="L73" i="1" s="1"/>
  <c r="F72" i="1"/>
  <c r="D72" i="1" s="1"/>
  <c r="E72" i="1"/>
  <c r="L72" i="1" s="1"/>
  <c r="L69" i="1"/>
  <c r="E68" i="1"/>
  <c r="L68" i="1" s="1"/>
  <c r="E67" i="1"/>
  <c r="L67" i="1" s="1"/>
  <c r="E66" i="1"/>
  <c r="L66" i="1" s="1"/>
  <c r="D66" i="1"/>
  <c r="B66" i="1"/>
  <c r="F66" i="1" s="1"/>
  <c r="E65" i="1"/>
  <c r="L65" i="1" s="1"/>
  <c r="F64" i="1"/>
  <c r="E64" i="1"/>
  <c r="L64" i="1" s="1"/>
  <c r="E63" i="1"/>
  <c r="L63" i="1" s="1"/>
  <c r="J62" i="1"/>
  <c r="K62" i="1" s="1"/>
  <c r="J61" i="1"/>
  <c r="K61" i="1" s="1"/>
  <c r="E60" i="1"/>
  <c r="L60" i="1" s="1"/>
  <c r="E59" i="1"/>
  <c r="L59" i="1" s="1"/>
  <c r="E58" i="1"/>
  <c r="E44" i="1"/>
  <c r="E76" i="1" s="1"/>
  <c r="E83" i="1" s="1"/>
  <c r="E89" i="1" s="1"/>
  <c r="E96" i="1" s="1"/>
  <c r="D105" i="1" s="1"/>
  <c r="D44" i="1"/>
  <c r="D46" i="1" s="1"/>
  <c r="F38" i="1"/>
  <c r="F102" i="1" s="1"/>
  <c r="F103" i="1" s="1"/>
  <c r="C38" i="1"/>
  <c r="C102" i="1" s="1"/>
  <c r="B28" i="1"/>
  <c r="E26" i="1"/>
  <c r="D26" i="1"/>
  <c r="B26" i="1"/>
  <c r="F20" i="1"/>
  <c r="E20" i="1"/>
  <c r="E6" i="1"/>
  <c r="F6" i="1" s="1"/>
  <c r="E4" i="1"/>
  <c r="F4" i="1" s="1"/>
  <c r="E3" i="1"/>
  <c r="G3" i="1" s="1"/>
  <c r="N114" i="12" l="1"/>
  <c r="O114" i="12" s="1"/>
  <c r="L114" i="12"/>
  <c r="N110" i="12"/>
  <c r="O110" i="12" s="1"/>
  <c r="L110" i="12"/>
  <c r="AA239" i="12"/>
  <c r="C48" i="15"/>
  <c r="C52" i="15" s="1"/>
  <c r="G24" i="15" s="1"/>
  <c r="C47" i="15"/>
  <c r="M99" i="14"/>
  <c r="M74" i="14"/>
  <c r="C50" i="5"/>
  <c r="C51" i="5" s="1"/>
  <c r="C250" i="3"/>
  <c r="D250" i="3"/>
  <c r="C196" i="21"/>
  <c r="C104" i="1"/>
  <c r="J104" i="1" s="1"/>
  <c r="M121" i="17"/>
  <c r="M126" i="13"/>
  <c r="M129" i="13"/>
  <c r="M100" i="13"/>
  <c r="M175" i="13"/>
  <c r="M104" i="12"/>
  <c r="AA216" i="14"/>
  <c r="AA214" i="14"/>
  <c r="N107" i="14"/>
  <c r="O107" i="14" s="1"/>
  <c r="M107" i="14"/>
  <c r="J106" i="14"/>
  <c r="N106" i="14" s="1"/>
  <c r="O106" i="14" s="1"/>
  <c r="K100" i="14"/>
  <c r="M100" i="14" s="1"/>
  <c r="N100" i="14"/>
  <c r="O100" i="14" s="1"/>
  <c r="K98" i="14"/>
  <c r="M98" i="14" s="1"/>
  <c r="N98" i="14"/>
  <c r="O98" i="14" s="1"/>
  <c r="N97" i="14"/>
  <c r="O97" i="14" s="1"/>
  <c r="K97" i="14"/>
  <c r="M97" i="14" s="1"/>
  <c r="F93" i="14"/>
  <c r="D93" i="14"/>
  <c r="J93" i="14" s="1"/>
  <c r="F91" i="14"/>
  <c r="E90" i="14"/>
  <c r="E95" i="14"/>
  <c r="C96" i="14"/>
  <c r="D94" i="14"/>
  <c r="J94" i="14" s="1"/>
  <c r="K94" i="14" s="1"/>
  <c r="M94" i="14" s="1"/>
  <c r="E92" i="14"/>
  <c r="D91" i="14"/>
  <c r="J91" i="14" s="1"/>
  <c r="E94" i="14"/>
  <c r="C93" i="14"/>
  <c r="G93" i="14" s="1"/>
  <c r="F92" i="14"/>
  <c r="D96" i="14"/>
  <c r="J96" i="14" s="1"/>
  <c r="F95" i="14"/>
  <c r="C90" i="14"/>
  <c r="G90" i="14" s="1"/>
  <c r="F90" i="14"/>
  <c r="D95" i="14"/>
  <c r="J95" i="14" s="1"/>
  <c r="F94" i="14"/>
  <c r="C94" i="14"/>
  <c r="G94" i="14" s="1"/>
  <c r="C91" i="14"/>
  <c r="G91" i="14" s="1"/>
  <c r="E96" i="14"/>
  <c r="C95" i="14"/>
  <c r="G95" i="14" s="1"/>
  <c r="E93" i="14"/>
  <c r="C92" i="14"/>
  <c r="G92" i="14" s="1"/>
  <c r="E91" i="14"/>
  <c r="D90" i="14"/>
  <c r="J90" i="14" s="1"/>
  <c r="F84" i="14"/>
  <c r="J84" i="14"/>
  <c r="K84" i="14" s="1"/>
  <c r="D84" i="14"/>
  <c r="D79" i="14"/>
  <c r="C79" i="14"/>
  <c r="J79" i="14" s="1"/>
  <c r="C78" i="14"/>
  <c r="J78" i="14" s="1"/>
  <c r="D78" i="14"/>
  <c r="D73" i="14"/>
  <c r="C73" i="14"/>
  <c r="J73" i="14" s="1"/>
  <c r="D74" i="14"/>
  <c r="D69" i="14"/>
  <c r="C69" i="14"/>
  <c r="J69" i="14" s="1"/>
  <c r="D67" i="14"/>
  <c r="C67" i="14"/>
  <c r="J67" i="14" s="1"/>
  <c r="N67" i="14" s="1"/>
  <c r="O67" i="14" s="1"/>
  <c r="D63" i="14"/>
  <c r="C63" i="14"/>
  <c r="J63" i="14" s="1"/>
  <c r="D61" i="14"/>
  <c r="C61" i="14"/>
  <c r="J61" i="14" s="1"/>
  <c r="E54" i="14"/>
  <c r="F54" i="14"/>
  <c r="E65" i="14"/>
  <c r="E71" i="14" s="1"/>
  <c r="E76" i="14" s="1"/>
  <c r="E82" i="14" s="1"/>
  <c r="E86" i="14" s="1"/>
  <c r="D42" i="14"/>
  <c r="E36" i="14"/>
  <c r="B58" i="14"/>
  <c r="C45" i="14"/>
  <c r="D44" i="14"/>
  <c r="C52" i="14"/>
  <c r="J52" i="14" s="1"/>
  <c r="C36" i="14"/>
  <c r="C44" i="14"/>
  <c r="J44" i="14" s="1"/>
  <c r="F52" i="14"/>
  <c r="C42" i="14"/>
  <c r="C43" i="14" s="1"/>
  <c r="E6" i="14"/>
  <c r="C7" i="14"/>
  <c r="E7" i="14" s="1"/>
  <c r="F5" i="14"/>
  <c r="H5" i="14" s="1"/>
  <c r="H4" i="14"/>
  <c r="E4" i="14"/>
  <c r="C5" i="14"/>
  <c r="E5" i="14" s="1"/>
  <c r="H3" i="14"/>
  <c r="G3" i="14"/>
  <c r="E3" i="14"/>
  <c r="D3" i="14"/>
  <c r="P342" i="13"/>
  <c r="Q327" i="13"/>
  <c r="AA359" i="13"/>
  <c r="AA358" i="13"/>
  <c r="P356" i="13"/>
  <c r="AA323" i="13"/>
  <c r="J214" i="13"/>
  <c r="L214" i="13"/>
  <c r="D210" i="13"/>
  <c r="J210" i="13" s="1"/>
  <c r="F210" i="13"/>
  <c r="E210" i="13"/>
  <c r="N209" i="13"/>
  <c r="O209" i="13" s="1"/>
  <c r="K209" i="13"/>
  <c r="M209" i="13" s="1"/>
  <c r="K206" i="13"/>
  <c r="M206" i="13" s="1"/>
  <c r="N206" i="13"/>
  <c r="O206" i="13" s="1"/>
  <c r="F204" i="13"/>
  <c r="E202" i="13"/>
  <c r="C199" i="13"/>
  <c r="D200" i="13"/>
  <c r="J200" i="13" s="1"/>
  <c r="C201" i="13"/>
  <c r="G201" i="13" s="1"/>
  <c r="D203" i="13"/>
  <c r="J203" i="13" s="1"/>
  <c r="D204" i="13"/>
  <c r="J204" i="13" s="1"/>
  <c r="E205" i="13"/>
  <c r="C205" i="13"/>
  <c r="G205" i="13" s="1"/>
  <c r="D201" i="13"/>
  <c r="J201" i="13" s="1"/>
  <c r="F199" i="13"/>
  <c r="G199" i="13" s="1"/>
  <c r="E194" i="13"/>
  <c r="F194" i="13"/>
  <c r="N192" i="13"/>
  <c r="O192" i="13" s="1"/>
  <c r="K192" i="13"/>
  <c r="M192" i="13" s="1"/>
  <c r="K190" i="13"/>
  <c r="M190" i="13" s="1"/>
  <c r="N190" i="13"/>
  <c r="O190" i="13" s="1"/>
  <c r="D178" i="13"/>
  <c r="E178" i="13"/>
  <c r="F178" i="13"/>
  <c r="K177" i="13"/>
  <c r="M177" i="13" s="1"/>
  <c r="N177" i="13"/>
  <c r="O177" i="13" s="1"/>
  <c r="K176" i="13"/>
  <c r="M176" i="13" s="1"/>
  <c r="N176" i="13"/>
  <c r="O176" i="13" s="1"/>
  <c r="K174" i="13"/>
  <c r="M174" i="13" s="1"/>
  <c r="N174" i="13"/>
  <c r="O174" i="13" s="1"/>
  <c r="F170" i="13"/>
  <c r="E173" i="13"/>
  <c r="D173" i="13"/>
  <c r="C173" i="13"/>
  <c r="G173" i="13" s="1"/>
  <c r="F172" i="13"/>
  <c r="E172" i="13"/>
  <c r="D172" i="13"/>
  <c r="J172" i="13" s="1"/>
  <c r="C172" i="13"/>
  <c r="G172" i="13" s="1"/>
  <c r="F171" i="13"/>
  <c r="D171" i="13"/>
  <c r="J171" i="13" s="1"/>
  <c r="C171" i="13"/>
  <c r="G171" i="13" s="1"/>
  <c r="E170" i="13"/>
  <c r="D170" i="13"/>
  <c r="J170" i="13" s="1"/>
  <c r="F169" i="13"/>
  <c r="C169" i="13"/>
  <c r="G169" i="13" s="1"/>
  <c r="F168" i="13"/>
  <c r="E168" i="13"/>
  <c r="D168" i="13"/>
  <c r="J168" i="13" s="1"/>
  <c r="C168" i="13"/>
  <c r="G168" i="13" s="1"/>
  <c r="F167" i="13"/>
  <c r="G167" i="13" s="1"/>
  <c r="E167" i="13"/>
  <c r="D167" i="13"/>
  <c r="J167" i="13" s="1"/>
  <c r="C167" i="13"/>
  <c r="E169" i="13"/>
  <c r="F162" i="13"/>
  <c r="E162" i="13"/>
  <c r="D162" i="13"/>
  <c r="N161" i="13"/>
  <c r="O161" i="13" s="1"/>
  <c r="K161" i="13"/>
  <c r="M161" i="13" s="1"/>
  <c r="K160" i="13"/>
  <c r="M160" i="13" s="1"/>
  <c r="N160" i="13"/>
  <c r="O160" i="13" s="1"/>
  <c r="N159" i="13"/>
  <c r="O159" i="13" s="1"/>
  <c r="K159" i="13"/>
  <c r="M159" i="13" s="1"/>
  <c r="F154" i="13"/>
  <c r="C156" i="13"/>
  <c r="G156" i="13" s="1"/>
  <c r="D151" i="13"/>
  <c r="J151" i="13" s="1"/>
  <c r="C157" i="13"/>
  <c r="G157" i="13" s="1"/>
  <c r="F156" i="13"/>
  <c r="E156" i="13"/>
  <c r="D156" i="13"/>
  <c r="J156" i="13" s="1"/>
  <c r="F155" i="13"/>
  <c r="E155" i="13"/>
  <c r="D155" i="13"/>
  <c r="J155" i="13" s="1"/>
  <c r="N155" i="13" s="1"/>
  <c r="O155" i="13" s="1"/>
  <c r="E154" i="13"/>
  <c r="D154" i="13"/>
  <c r="J154" i="13" s="1"/>
  <c r="C154" i="13"/>
  <c r="G154" i="13" s="1"/>
  <c r="F153" i="13"/>
  <c r="E153" i="13"/>
  <c r="C153" i="13"/>
  <c r="G153" i="13" s="1"/>
  <c r="F152" i="13"/>
  <c r="E152" i="13"/>
  <c r="C151" i="13"/>
  <c r="D152" i="13"/>
  <c r="J152" i="13" s="1"/>
  <c r="F151" i="13"/>
  <c r="G151" i="13" s="1"/>
  <c r="C152" i="13"/>
  <c r="G152" i="13" s="1"/>
  <c r="E151" i="13"/>
  <c r="D157" i="13"/>
  <c r="E157" i="13"/>
  <c r="C155" i="13"/>
  <c r="G155" i="13" s="1"/>
  <c r="N145" i="13"/>
  <c r="O145" i="13" s="1"/>
  <c r="K145" i="13"/>
  <c r="M145" i="13" s="1"/>
  <c r="K144" i="13"/>
  <c r="M144" i="13" s="1"/>
  <c r="N144" i="13"/>
  <c r="O144" i="13" s="1"/>
  <c r="N142" i="13"/>
  <c r="O142" i="13" s="1"/>
  <c r="K142" i="13"/>
  <c r="M142" i="13" s="1"/>
  <c r="F137" i="13"/>
  <c r="E135" i="13"/>
  <c r="D136" i="13"/>
  <c r="J136" i="13" s="1"/>
  <c r="C137" i="13"/>
  <c r="G137" i="13" s="1"/>
  <c r="C140" i="13"/>
  <c r="G140" i="13" s="1"/>
  <c r="K128" i="13"/>
  <c r="M128" i="13" s="1"/>
  <c r="N128" i="13"/>
  <c r="O128" i="13" s="1"/>
  <c r="K127" i="13"/>
  <c r="M127" i="13" s="1"/>
  <c r="N127" i="13"/>
  <c r="O127" i="13" s="1"/>
  <c r="D121" i="13"/>
  <c r="J121" i="13" s="1"/>
  <c r="C122" i="13"/>
  <c r="G122" i="13" s="1"/>
  <c r="F122" i="13"/>
  <c r="E123" i="13"/>
  <c r="D124" i="13"/>
  <c r="J124" i="13" s="1"/>
  <c r="C125" i="13"/>
  <c r="G125" i="13" s="1"/>
  <c r="E120" i="13"/>
  <c r="C120" i="13"/>
  <c r="G120" i="13" s="1"/>
  <c r="F119" i="13"/>
  <c r="G119" i="13" s="1"/>
  <c r="J115" i="13"/>
  <c r="E113" i="13"/>
  <c r="J113" i="13"/>
  <c r="J112" i="13"/>
  <c r="E112" i="13"/>
  <c r="N111" i="13"/>
  <c r="O111" i="13" s="1"/>
  <c r="K111" i="13"/>
  <c r="M111" i="13" s="1"/>
  <c r="B105" i="13"/>
  <c r="J105" i="13"/>
  <c r="D105" i="13"/>
  <c r="D104" i="13"/>
  <c r="F104" i="13"/>
  <c r="J104" i="13"/>
  <c r="N89" i="13"/>
  <c r="O89" i="13" s="1"/>
  <c r="K89" i="13"/>
  <c r="M89" i="13" s="1"/>
  <c r="N83" i="13"/>
  <c r="O83" i="13" s="1"/>
  <c r="K83" i="13"/>
  <c r="M83" i="13" s="1"/>
  <c r="N81" i="13"/>
  <c r="O81" i="13" s="1"/>
  <c r="K81" i="13"/>
  <c r="M81" i="13" s="1"/>
  <c r="F75" i="13"/>
  <c r="E75" i="13"/>
  <c r="D72" i="13"/>
  <c r="F72" i="13" s="1"/>
  <c r="F71" i="13"/>
  <c r="Y359" i="13"/>
  <c r="O360" i="13"/>
  <c r="S359" i="13"/>
  <c r="O354" i="13"/>
  <c r="I163" i="13"/>
  <c r="N163" i="13" s="1"/>
  <c r="O163" i="13" s="1"/>
  <c r="Q384" i="13"/>
  <c r="Z380" i="13"/>
  <c r="Z385" i="13"/>
  <c r="Z379" i="13"/>
  <c r="P345" i="13"/>
  <c r="S340" i="13"/>
  <c r="Z339" i="13"/>
  <c r="S339" i="13"/>
  <c r="Z338" i="13"/>
  <c r="G338" i="13"/>
  <c r="Z337" i="13"/>
  <c r="K337" i="13"/>
  <c r="G337" i="13"/>
  <c r="K343" i="13"/>
  <c r="O344" i="13"/>
  <c r="Z346" i="13"/>
  <c r="Z343" i="13"/>
  <c r="AC346" i="13"/>
  <c r="P346" i="13"/>
  <c r="AC345" i="13"/>
  <c r="Z345" i="13"/>
  <c r="Z344" i="13"/>
  <c r="G344" i="13"/>
  <c r="S343" i="13"/>
  <c r="S338" i="13"/>
  <c r="Z342" i="13"/>
  <c r="P343" i="13"/>
  <c r="Q342" i="13"/>
  <c r="Z341" i="13"/>
  <c r="P341" i="13"/>
  <c r="AC340" i="13"/>
  <c r="Z340" i="13"/>
  <c r="AC339" i="13"/>
  <c r="Y343" i="13"/>
  <c r="I147" i="13"/>
  <c r="N147" i="13" s="1"/>
  <c r="O147" i="13" s="1"/>
  <c r="H366" i="13"/>
  <c r="T366" i="13"/>
  <c r="P372" i="13"/>
  <c r="P370" i="13"/>
  <c r="H324" i="13"/>
  <c r="E47" i="13"/>
  <c r="T329" i="13"/>
  <c r="P328" i="13"/>
  <c r="K330" i="13"/>
  <c r="T324" i="13"/>
  <c r="P324" i="13"/>
  <c r="P330" i="13"/>
  <c r="S325" i="13"/>
  <c r="K323" i="13"/>
  <c r="O326" i="13"/>
  <c r="AC325" i="13"/>
  <c r="S331" i="13"/>
  <c r="Y330" i="13"/>
  <c r="Y332" i="13"/>
  <c r="C7" i="13"/>
  <c r="E7" i="13" s="1"/>
  <c r="E6" i="13"/>
  <c r="H4" i="13"/>
  <c r="F5" i="13"/>
  <c r="H5" i="13" s="1"/>
  <c r="C133" i="17"/>
  <c r="F41" i="17" s="1"/>
  <c r="D186" i="16"/>
  <c r="C187" i="16"/>
  <c r="C189" i="16" s="1"/>
  <c r="G46" i="16" s="1"/>
  <c r="J79" i="1"/>
  <c r="K79" i="1" s="1"/>
  <c r="J105" i="1"/>
  <c r="Q105" i="1" s="1"/>
  <c r="R105" i="1" s="1"/>
  <c r="C113" i="1"/>
  <c r="D113" i="1"/>
  <c r="C198" i="21"/>
  <c r="I47" i="21" s="1"/>
  <c r="D55" i="22"/>
  <c r="C58" i="22"/>
  <c r="G29" i="22" s="1"/>
  <c r="E114" i="17"/>
  <c r="F109" i="17"/>
  <c r="D114" i="17"/>
  <c r="J107" i="1"/>
  <c r="K107" i="1" s="1"/>
  <c r="M107" i="1" s="1"/>
  <c r="J117" i="1"/>
  <c r="L117" i="1"/>
  <c r="E111" i="1"/>
  <c r="L111" i="1" s="1"/>
  <c r="J111" i="1"/>
  <c r="E110" i="1"/>
  <c r="L110" i="1" s="1"/>
  <c r="J110" i="1"/>
  <c r="E109" i="1"/>
  <c r="L109" i="1" s="1"/>
  <c r="J109" i="1"/>
  <c r="N109" i="1" s="1"/>
  <c r="O109" i="1" s="1"/>
  <c r="K88" i="1"/>
  <c r="R88" i="1"/>
  <c r="C86" i="1"/>
  <c r="J86" i="1" s="1"/>
  <c r="D87" i="1"/>
  <c r="C80" i="1"/>
  <c r="J80" i="1" s="1"/>
  <c r="D80" i="1"/>
  <c r="F65" i="1"/>
  <c r="D60" i="1"/>
  <c r="D65" i="1"/>
  <c r="C67" i="1"/>
  <c r="F68" i="1"/>
  <c r="B69" i="1"/>
  <c r="D59" i="1"/>
  <c r="F67" i="1"/>
  <c r="G4" i="1"/>
  <c r="E5" i="1"/>
  <c r="G5" i="1" s="1"/>
  <c r="C101" i="12"/>
  <c r="G101" i="12" s="1"/>
  <c r="F99" i="12"/>
  <c r="F97" i="12"/>
  <c r="C97" i="12"/>
  <c r="D99" i="12"/>
  <c r="C103" i="12"/>
  <c r="B102" i="12"/>
  <c r="E99" i="12"/>
  <c r="F98" i="12"/>
  <c r="D98" i="12"/>
  <c r="C98" i="12"/>
  <c r="E97" i="12"/>
  <c r="D97" i="12"/>
  <c r="G97" i="12" s="1"/>
  <c r="E98" i="12"/>
  <c r="C5" i="12"/>
  <c r="E5" i="12" s="1"/>
  <c r="K110" i="12"/>
  <c r="M110" i="12" s="1"/>
  <c r="AA240" i="12"/>
  <c r="AA241" i="12"/>
  <c r="D42" i="12"/>
  <c r="K87" i="12"/>
  <c r="M87" i="12" s="1"/>
  <c r="H4" i="12"/>
  <c r="B91" i="12"/>
  <c r="E91" i="12" s="1"/>
  <c r="L91" i="12" s="1"/>
  <c r="D91" i="12"/>
  <c r="F91" i="12"/>
  <c r="K85" i="12"/>
  <c r="M85" i="12" s="1"/>
  <c r="N85" i="12"/>
  <c r="O85" i="12" s="1"/>
  <c r="C7" i="12"/>
  <c r="E7" i="12" s="1"/>
  <c r="J97" i="12"/>
  <c r="L97" i="12" s="1"/>
  <c r="C69" i="12"/>
  <c r="J69" i="12" s="1"/>
  <c r="K69" i="12" s="1"/>
  <c r="M69" i="12" s="1"/>
  <c r="C80" i="12"/>
  <c r="J80" i="12" s="1"/>
  <c r="C86" i="12"/>
  <c r="J86" i="12" s="1"/>
  <c r="N86" i="12" s="1"/>
  <c r="O86" i="12" s="1"/>
  <c r="C36" i="5"/>
  <c r="E7" i="1"/>
  <c r="G7" i="1" s="1"/>
  <c r="G6" i="1"/>
  <c r="K73" i="1"/>
  <c r="Q73" i="1"/>
  <c r="R73" i="1"/>
  <c r="N73" i="1"/>
  <c r="O73" i="1" s="1"/>
  <c r="R81" i="1"/>
  <c r="Q81" i="1"/>
  <c r="N81" i="1"/>
  <c r="O81" i="1" s="1"/>
  <c r="K81" i="1"/>
  <c r="M81" i="1" s="1"/>
  <c r="J101" i="1"/>
  <c r="C147" i="2"/>
  <c r="J147" i="2" s="1"/>
  <c r="Q170" i="2"/>
  <c r="N170" i="2"/>
  <c r="O170" i="2" s="1"/>
  <c r="R170" i="2"/>
  <c r="K170" i="2"/>
  <c r="L177" i="2"/>
  <c r="D177" i="2"/>
  <c r="J177" i="2" s="1"/>
  <c r="N181" i="2"/>
  <c r="O181" i="2" s="1"/>
  <c r="R181" i="2"/>
  <c r="Q181" i="2"/>
  <c r="K181" i="2"/>
  <c r="M181" i="2" s="1"/>
  <c r="K204" i="2"/>
  <c r="M204" i="2" s="1"/>
  <c r="Q204" i="2"/>
  <c r="R204" i="2" s="1"/>
  <c r="N204" i="2"/>
  <c r="O204" i="2" s="1"/>
  <c r="M148" i="2"/>
  <c r="C46" i="1"/>
  <c r="C76" i="1"/>
  <c r="C83" i="1" s="1"/>
  <c r="C89" i="1" s="1"/>
  <c r="C58" i="1"/>
  <c r="J102" i="1"/>
  <c r="Q130" i="2"/>
  <c r="K130" i="2"/>
  <c r="R130" i="2"/>
  <c r="N130" i="2"/>
  <c r="O130" i="2" s="1"/>
  <c r="N132" i="2"/>
  <c r="O132" i="2" s="1"/>
  <c r="R132" i="2"/>
  <c r="Q132" i="2"/>
  <c r="K132" i="2"/>
  <c r="R157" i="2"/>
  <c r="Q157" i="2"/>
  <c r="N157" i="2"/>
  <c r="O157" i="2" s="1"/>
  <c r="K157" i="2"/>
  <c r="K172" i="2"/>
  <c r="N172" i="2"/>
  <c r="O172" i="2" s="1"/>
  <c r="E108" i="1"/>
  <c r="L108" i="1" s="1"/>
  <c r="J108" i="1"/>
  <c r="R112" i="1"/>
  <c r="Q112" i="1"/>
  <c r="N112" i="1"/>
  <c r="O112" i="1" s="1"/>
  <c r="K112" i="1"/>
  <c r="K166" i="2"/>
  <c r="M166" i="2" s="1"/>
  <c r="Q166" i="2"/>
  <c r="R166" i="2" s="1"/>
  <c r="N166" i="2"/>
  <c r="O166" i="2" s="1"/>
  <c r="K141" i="2"/>
  <c r="M141" i="2" s="1"/>
  <c r="Q141" i="2"/>
  <c r="R141" i="2" s="1"/>
  <c r="N141" i="2"/>
  <c r="O141" i="2" s="1"/>
  <c r="M146" i="2"/>
  <c r="N169" i="2"/>
  <c r="O169" i="2" s="1"/>
  <c r="Q169" i="2"/>
  <c r="R169" i="2" s="1"/>
  <c r="K169" i="2"/>
  <c r="M169" i="2" s="1"/>
  <c r="D92" i="2"/>
  <c r="D91" i="2"/>
  <c r="F100" i="2"/>
  <c r="F99" i="2"/>
  <c r="F97" i="2"/>
  <c r="D108" i="2"/>
  <c r="D114" i="2" s="1"/>
  <c r="D119" i="2" s="1"/>
  <c r="D125" i="2" s="1"/>
  <c r="D79" i="2"/>
  <c r="C99" i="2"/>
  <c r="D100" i="2"/>
  <c r="D97" i="2"/>
  <c r="B101" i="2"/>
  <c r="M132" i="2"/>
  <c r="Q131" i="2"/>
  <c r="R131" i="2" s="1"/>
  <c r="N131" i="2"/>
  <c r="O131" i="2" s="1"/>
  <c r="K131" i="2"/>
  <c r="M131" i="2" s="1"/>
  <c r="Q167" i="2"/>
  <c r="K167" i="2"/>
  <c r="R167" i="2"/>
  <c r="N167" i="2"/>
  <c r="O167" i="2" s="1"/>
  <c r="N133" i="2"/>
  <c r="O133" i="2" s="1"/>
  <c r="R133" i="2"/>
  <c r="Q133" i="2"/>
  <c r="K133" i="2"/>
  <c r="M167" i="2"/>
  <c r="E75" i="2"/>
  <c r="E77" i="2" s="1"/>
  <c r="M73" i="1"/>
  <c r="M130" i="2"/>
  <c r="K135" i="2"/>
  <c r="M135" i="2" s="1"/>
  <c r="N135" i="2"/>
  <c r="O135" i="2" s="1"/>
  <c r="Q135" i="2"/>
  <c r="R135" i="2" s="1"/>
  <c r="R87" i="1"/>
  <c r="Q87" i="1"/>
  <c r="N87" i="1"/>
  <c r="O87" i="1" s="1"/>
  <c r="K87" i="1"/>
  <c r="M87" i="1" s="1"/>
  <c r="J57" i="2"/>
  <c r="J73" i="2"/>
  <c r="E46" i="1"/>
  <c r="C92" i="1"/>
  <c r="J92" i="1" s="1"/>
  <c r="G6" i="2"/>
  <c r="D123" i="2"/>
  <c r="Q95" i="1"/>
  <c r="N119" i="1"/>
  <c r="O119" i="1" s="1"/>
  <c r="D111" i="2"/>
  <c r="J138" i="2"/>
  <c r="K154" i="2"/>
  <c r="M154" i="2" s="1"/>
  <c r="D159" i="2"/>
  <c r="D160" i="2" s="1"/>
  <c r="R171" i="2"/>
  <c r="R173" i="2"/>
  <c r="Q173" i="2"/>
  <c r="K173" i="2"/>
  <c r="N180" i="2"/>
  <c r="O180" i="2" s="1"/>
  <c r="M209" i="2"/>
  <c r="N225" i="2"/>
  <c r="O225" i="2" s="1"/>
  <c r="K225" i="2"/>
  <c r="R225" i="2"/>
  <c r="Q225" i="2"/>
  <c r="C140" i="3"/>
  <c r="J140" i="3" s="1"/>
  <c r="J150" i="3"/>
  <c r="E150" i="3"/>
  <c r="C60" i="1"/>
  <c r="R218" i="2"/>
  <c r="Q218" i="2"/>
  <c r="N218" i="2"/>
  <c r="O218" i="2" s="1"/>
  <c r="K218" i="2"/>
  <c r="Q128" i="2"/>
  <c r="R128" i="2" s="1"/>
  <c r="M133" i="2"/>
  <c r="Q134" i="2"/>
  <c r="R134" i="2" s="1"/>
  <c r="Q140" i="2"/>
  <c r="E159" i="2"/>
  <c r="L159" i="2" s="1"/>
  <c r="M165" i="2"/>
  <c r="M200" i="2"/>
  <c r="Q211" i="2"/>
  <c r="N211" i="2"/>
  <c r="O211" i="2" s="1"/>
  <c r="K211" i="2"/>
  <c r="R211" i="2"/>
  <c r="M218" i="2"/>
  <c r="J229" i="2"/>
  <c r="E229" i="2"/>
  <c r="E186" i="3"/>
  <c r="J186" i="3"/>
  <c r="D122" i="2"/>
  <c r="J136" i="2"/>
  <c r="Q139" i="2"/>
  <c r="R140" i="2"/>
  <c r="R149" i="2"/>
  <c r="R155" i="2"/>
  <c r="E157" i="2"/>
  <c r="F159" i="2"/>
  <c r="Q182" i="2"/>
  <c r="N182" i="2"/>
  <c r="O182" i="2" s="1"/>
  <c r="M185" i="2"/>
  <c r="Q205" i="2"/>
  <c r="R205" i="2" s="1"/>
  <c r="N205" i="2"/>
  <c r="O205" i="2" s="1"/>
  <c r="K205" i="2"/>
  <c r="J208" i="2"/>
  <c r="E208" i="2"/>
  <c r="L208" i="2" s="1"/>
  <c r="E75" i="3"/>
  <c r="E78" i="3" s="1"/>
  <c r="J39" i="3"/>
  <c r="J40" i="3"/>
  <c r="N180" i="3"/>
  <c r="O180" i="3" s="1"/>
  <c r="Q180" i="3"/>
  <c r="R180" i="3" s="1"/>
  <c r="K180" i="3"/>
  <c r="E112" i="1"/>
  <c r="L112" i="1" s="1"/>
  <c r="F3" i="2"/>
  <c r="E197" i="2"/>
  <c r="L197" i="2" s="1"/>
  <c r="E196" i="2"/>
  <c r="L196" i="2" s="1"/>
  <c r="E195" i="2"/>
  <c r="L195" i="2" s="1"/>
  <c r="B197" i="2"/>
  <c r="D195" i="2"/>
  <c r="D196" i="2" s="1"/>
  <c r="B196" i="2"/>
  <c r="H73" i="2"/>
  <c r="B195" i="2"/>
  <c r="K93" i="2"/>
  <c r="D106" i="2"/>
  <c r="Q223" i="2"/>
  <c r="N223" i="2"/>
  <c r="O223" i="2" s="1"/>
  <c r="K223" i="2"/>
  <c r="R223" i="2"/>
  <c r="J55" i="3"/>
  <c r="J56" i="3"/>
  <c r="R111" i="3"/>
  <c r="Q111" i="3"/>
  <c r="K111" i="3"/>
  <c r="M111" i="3" s="1"/>
  <c r="N111" i="3"/>
  <c r="O111" i="3" s="1"/>
  <c r="K146" i="2"/>
  <c r="R146" i="2"/>
  <c r="B161" i="2"/>
  <c r="K165" i="2"/>
  <c r="J168" i="2"/>
  <c r="M170" i="2"/>
  <c r="M173" i="2"/>
  <c r="M182" i="2"/>
  <c r="Q187" i="2"/>
  <c r="N187" i="2"/>
  <c r="O187" i="2" s="1"/>
  <c r="K187" i="2"/>
  <c r="D75" i="3"/>
  <c r="D78" i="3" s="1"/>
  <c r="I39" i="3"/>
  <c r="I40" i="3"/>
  <c r="J71" i="3"/>
  <c r="J72" i="3"/>
  <c r="M137" i="3"/>
  <c r="D58" i="1"/>
  <c r="C72" i="1"/>
  <c r="J72" i="1" s="1"/>
  <c r="C74" i="1"/>
  <c r="J74" i="1" s="1"/>
  <c r="E101" i="1"/>
  <c r="L101" i="1" s="1"/>
  <c r="D68" i="1"/>
  <c r="D73" i="1"/>
  <c r="D76" i="1"/>
  <c r="D83" i="1" s="1"/>
  <c r="D89" i="1" s="1"/>
  <c r="D96" i="1" s="1"/>
  <c r="K111" i="1"/>
  <c r="M111" i="1" s="1"/>
  <c r="M233" i="2"/>
  <c r="C117" i="2"/>
  <c r="R152" i="2"/>
  <c r="K152" i="2"/>
  <c r="M152" i="2" s="1"/>
  <c r="J164" i="2"/>
  <c r="N165" i="2"/>
  <c r="O165" i="2" s="1"/>
  <c r="R186" i="2"/>
  <c r="Q186" i="2"/>
  <c r="N186" i="2"/>
  <c r="O186" i="2" s="1"/>
  <c r="M187" i="2"/>
  <c r="N193" i="2"/>
  <c r="O193" i="2" s="1"/>
  <c r="K193" i="2"/>
  <c r="R193" i="2"/>
  <c r="J201" i="2"/>
  <c r="N212" i="2"/>
  <c r="O212" i="2" s="1"/>
  <c r="K212" i="2"/>
  <c r="R212" i="2"/>
  <c r="Q212" i="2"/>
  <c r="M223" i="2"/>
  <c r="I55" i="3"/>
  <c r="I56" i="3"/>
  <c r="E103" i="1"/>
  <c r="L103" i="1" s="1"/>
  <c r="L116" i="1"/>
  <c r="G4" i="2"/>
  <c r="N137" i="2"/>
  <c r="O137" i="2" s="1"/>
  <c r="N146" i="2"/>
  <c r="O146" i="2" s="1"/>
  <c r="E172" i="2"/>
  <c r="L172" i="2" s="1"/>
  <c r="J175" i="2"/>
  <c r="R182" i="2"/>
  <c r="K184" i="2"/>
  <c r="M184" i="2" s="1"/>
  <c r="R184" i="2"/>
  <c r="Q184" i="2"/>
  <c r="N184" i="2"/>
  <c r="O184" i="2" s="1"/>
  <c r="R187" i="2"/>
  <c r="Q189" i="2"/>
  <c r="N189" i="2"/>
  <c r="O189" i="2" s="1"/>
  <c r="K189" i="2"/>
  <c r="M189" i="2" s="1"/>
  <c r="J191" i="2"/>
  <c r="E191" i="2"/>
  <c r="L191" i="2" s="1"/>
  <c r="M205" i="2"/>
  <c r="I71" i="3"/>
  <c r="I72" i="3"/>
  <c r="C106" i="1"/>
  <c r="E161" i="2"/>
  <c r="L161" i="2" s="1"/>
  <c r="F160" i="2"/>
  <c r="B159" i="2"/>
  <c r="H57" i="2"/>
  <c r="F161" i="2"/>
  <c r="D105" i="2"/>
  <c r="M134" i="2"/>
  <c r="J150" i="2"/>
  <c r="J156" i="2"/>
  <c r="B160" i="2"/>
  <c r="Q165" i="2"/>
  <c r="R165" i="2" s="1"/>
  <c r="Q174" i="2"/>
  <c r="N174" i="2"/>
  <c r="O174" i="2" s="1"/>
  <c r="K199" i="2"/>
  <c r="Q199" i="2"/>
  <c r="R220" i="2"/>
  <c r="Q220" i="2"/>
  <c r="N220" i="2"/>
  <c r="O220" i="2" s="1"/>
  <c r="K220" i="2"/>
  <c r="Q122" i="3"/>
  <c r="K122" i="3"/>
  <c r="M122" i="3" s="1"/>
  <c r="R122" i="3"/>
  <c r="N122" i="3"/>
  <c r="O122" i="3" s="1"/>
  <c r="Q109" i="1"/>
  <c r="M118" i="1"/>
  <c r="D112" i="2"/>
  <c r="J129" i="2"/>
  <c r="J144" i="2"/>
  <c r="Q146" i="2"/>
  <c r="J188" i="2"/>
  <c r="E188" i="2"/>
  <c r="L188" i="2" s="1"/>
  <c r="R206" i="2"/>
  <c r="Q206" i="2"/>
  <c r="N206" i="2"/>
  <c r="O206" i="2" s="1"/>
  <c r="K206" i="2"/>
  <c r="M206" i="2" s="1"/>
  <c r="R217" i="2"/>
  <c r="Q217" i="2"/>
  <c r="N217" i="2"/>
  <c r="O217" i="2" s="1"/>
  <c r="K217" i="2"/>
  <c r="M217" i="2" s="1"/>
  <c r="N224" i="2"/>
  <c r="O224" i="2" s="1"/>
  <c r="K224" i="2"/>
  <c r="R224" i="2"/>
  <c r="Q224" i="2"/>
  <c r="Q139" i="3"/>
  <c r="R139" i="3"/>
  <c r="N139" i="3"/>
  <c r="O139" i="3" s="1"/>
  <c r="K139" i="3"/>
  <c r="M139" i="3" s="1"/>
  <c r="N126" i="3"/>
  <c r="O126" i="3" s="1"/>
  <c r="R126" i="3"/>
  <c r="Q126" i="3"/>
  <c r="K126" i="3"/>
  <c r="H40" i="2"/>
  <c r="H41" i="2" s="1"/>
  <c r="C75" i="2" s="1"/>
  <c r="C77" i="2" s="1"/>
  <c r="C104" i="2" s="1"/>
  <c r="D117" i="2"/>
  <c r="D116" i="2"/>
  <c r="K200" i="2"/>
  <c r="Q200" i="2"/>
  <c r="R200" i="2" s="1"/>
  <c r="M222" i="2"/>
  <c r="K232" i="2"/>
  <c r="M232" i="2" s="1"/>
  <c r="R232" i="2"/>
  <c r="Q232" i="2"/>
  <c r="N232" i="2"/>
  <c r="O232" i="2" s="1"/>
  <c r="Q175" i="3"/>
  <c r="R175" i="3" s="1"/>
  <c r="N175" i="3"/>
  <c r="O175" i="3" s="1"/>
  <c r="K175" i="3"/>
  <c r="M166" i="3"/>
  <c r="C93" i="1"/>
  <c r="J93" i="1" s="1"/>
  <c r="K128" i="2"/>
  <c r="M128" i="2" s="1"/>
  <c r="K134" i="2"/>
  <c r="K140" i="2"/>
  <c r="M140" i="2" s="1"/>
  <c r="E160" i="2"/>
  <c r="L160" i="2" s="1"/>
  <c r="R185" i="2"/>
  <c r="Q185" i="2"/>
  <c r="K185" i="2"/>
  <c r="M220" i="2"/>
  <c r="H7" i="3"/>
  <c r="J7" i="3" s="1"/>
  <c r="J6" i="3"/>
  <c r="N155" i="3"/>
  <c r="O155" i="3" s="1"/>
  <c r="R155" i="3"/>
  <c r="Q155" i="3"/>
  <c r="K155" i="3"/>
  <c r="N211" i="3"/>
  <c r="O211" i="3" s="1"/>
  <c r="K211" i="3"/>
  <c r="Q211" i="3"/>
  <c r="R211" i="3" s="1"/>
  <c r="N141" i="3"/>
  <c r="O141" i="3" s="1"/>
  <c r="R141" i="3"/>
  <c r="Q141" i="3"/>
  <c r="K141" i="3"/>
  <c r="M141" i="3" s="1"/>
  <c r="M161" i="3"/>
  <c r="N174" i="3"/>
  <c r="O174" i="3" s="1"/>
  <c r="Q174" i="3"/>
  <c r="R174" i="3" s="1"/>
  <c r="K174" i="3"/>
  <c r="F3" i="1"/>
  <c r="C94" i="1"/>
  <c r="J94" i="1" s="1"/>
  <c r="Q111" i="1"/>
  <c r="K202" i="2"/>
  <c r="M202" i="2" s="1"/>
  <c r="Q202" i="2"/>
  <c r="R202" i="2" s="1"/>
  <c r="N202" i="2"/>
  <c r="O202" i="2" s="1"/>
  <c r="K139" i="2"/>
  <c r="M139" i="2" s="1"/>
  <c r="K148" i="2"/>
  <c r="Q153" i="2"/>
  <c r="K153" i="2"/>
  <c r="M153" i="2" s="1"/>
  <c r="R153" i="2"/>
  <c r="K174" i="2"/>
  <c r="M174" i="2" s="1"/>
  <c r="J176" i="2"/>
  <c r="E176" i="2"/>
  <c r="L176" i="2" s="1"/>
  <c r="K192" i="2"/>
  <c r="Q192" i="2"/>
  <c r="N191" i="3"/>
  <c r="O191" i="3" s="1"/>
  <c r="Q191" i="3"/>
  <c r="R191" i="3" s="1"/>
  <c r="K191" i="3"/>
  <c r="M191" i="3" s="1"/>
  <c r="N226" i="2"/>
  <c r="O226" i="2" s="1"/>
  <c r="M127" i="3"/>
  <c r="R128" i="3"/>
  <c r="C133" i="3"/>
  <c r="J133" i="3" s="1"/>
  <c r="N157" i="3"/>
  <c r="O157" i="3" s="1"/>
  <c r="C192" i="3"/>
  <c r="J192" i="3" s="1"/>
  <c r="J198" i="3"/>
  <c r="N199" i="3"/>
  <c r="O199" i="3" s="1"/>
  <c r="M217" i="3"/>
  <c r="J238" i="3"/>
  <c r="E238" i="3"/>
  <c r="C70" i="4"/>
  <c r="J66" i="4"/>
  <c r="C68" i="4"/>
  <c r="F66" i="4"/>
  <c r="F67" i="4" s="1"/>
  <c r="J67" i="4" s="1"/>
  <c r="M87" i="4"/>
  <c r="M91" i="4"/>
  <c r="J207" i="2"/>
  <c r="J147" i="3"/>
  <c r="J201" i="3"/>
  <c r="E201" i="3"/>
  <c r="L201" i="3" s="1"/>
  <c r="C212" i="3"/>
  <c r="J212" i="3" s="1"/>
  <c r="J209" i="3"/>
  <c r="Q210" i="3"/>
  <c r="R210" i="3" s="1"/>
  <c r="N210" i="3"/>
  <c r="O210" i="3" s="1"/>
  <c r="Q214" i="3"/>
  <c r="R214" i="3" s="1"/>
  <c r="N214" i="3"/>
  <c r="O214" i="3" s="1"/>
  <c r="K214" i="3"/>
  <c r="M214" i="3" s="1"/>
  <c r="D222" i="3"/>
  <c r="L222" i="3"/>
  <c r="M222" i="3" s="1"/>
  <c r="M229" i="3"/>
  <c r="Q234" i="3"/>
  <c r="R234" i="3" s="1"/>
  <c r="N234" i="3"/>
  <c r="O234" i="3" s="1"/>
  <c r="K234" i="3"/>
  <c r="Q75" i="4"/>
  <c r="P75" i="4"/>
  <c r="N75" i="4"/>
  <c r="O75" i="4" s="1"/>
  <c r="K75" i="4"/>
  <c r="M75" i="4" s="1"/>
  <c r="P91" i="4"/>
  <c r="K91" i="4"/>
  <c r="Q91" i="4"/>
  <c r="N91" i="4"/>
  <c r="O91" i="4" s="1"/>
  <c r="Q69" i="6"/>
  <c r="R69" i="6"/>
  <c r="N69" i="6"/>
  <c r="O69" i="6" s="1"/>
  <c r="K69" i="6"/>
  <c r="N216" i="2"/>
  <c r="O216" i="2" s="1"/>
  <c r="Q226" i="2"/>
  <c r="N228" i="2"/>
  <c r="O228" i="2" s="1"/>
  <c r="G6" i="3"/>
  <c r="H41" i="3"/>
  <c r="H57" i="3"/>
  <c r="H73" i="3"/>
  <c r="C104" i="3"/>
  <c r="J104" i="3" s="1"/>
  <c r="Q127" i="3"/>
  <c r="B132" i="3"/>
  <c r="J153" i="3"/>
  <c r="C156" i="3"/>
  <c r="J156" i="3" s="1"/>
  <c r="K161" i="3"/>
  <c r="C176" i="3"/>
  <c r="J176" i="3" s="1"/>
  <c r="K181" i="3"/>
  <c r="M181" i="3" s="1"/>
  <c r="Q220" i="3"/>
  <c r="R220" i="3" s="1"/>
  <c r="N220" i="3"/>
  <c r="O220" i="3" s="1"/>
  <c r="K220" i="3"/>
  <c r="E211" i="2"/>
  <c r="L211" i="2" s="1"/>
  <c r="M211" i="2" s="1"/>
  <c r="Q121" i="3"/>
  <c r="K121" i="3"/>
  <c r="M121" i="3" s="1"/>
  <c r="R121" i="3"/>
  <c r="M126" i="3"/>
  <c r="R127" i="3"/>
  <c r="C132" i="3"/>
  <c r="J132" i="3" s="1"/>
  <c r="E159" i="3"/>
  <c r="L159" i="3" s="1"/>
  <c r="D170" i="3"/>
  <c r="N181" i="3"/>
  <c r="O181" i="3" s="1"/>
  <c r="K197" i="3"/>
  <c r="M197" i="3" s="1"/>
  <c r="B204" i="3"/>
  <c r="K217" i="3"/>
  <c r="N217" i="3"/>
  <c r="O217" i="3" s="1"/>
  <c r="J54" i="4"/>
  <c r="F62" i="6"/>
  <c r="C62" i="6"/>
  <c r="J54" i="6"/>
  <c r="C55" i="6"/>
  <c r="J55" i="6" s="1"/>
  <c r="C59" i="6"/>
  <c r="E192" i="2"/>
  <c r="L192" i="2" s="1"/>
  <c r="K209" i="2"/>
  <c r="E212" i="2"/>
  <c r="L212" i="2" s="1"/>
  <c r="M212" i="2" s="1"/>
  <c r="Q216" i="2"/>
  <c r="K221" i="2"/>
  <c r="M221" i="2" s="1"/>
  <c r="E224" i="2"/>
  <c r="L224" i="2" s="1"/>
  <c r="M224" i="2" s="1"/>
  <c r="Q228" i="2"/>
  <c r="G4" i="3"/>
  <c r="C110" i="3"/>
  <c r="J110" i="3" s="1"/>
  <c r="D132" i="3"/>
  <c r="D133" i="3" s="1"/>
  <c r="E145" i="3"/>
  <c r="L145" i="3" s="1"/>
  <c r="M145" i="3" s="1"/>
  <c r="K146" i="3"/>
  <c r="M146" i="3" s="1"/>
  <c r="M155" i="3"/>
  <c r="R158" i="3"/>
  <c r="Q158" i="3"/>
  <c r="K158" i="3"/>
  <c r="M158" i="3" s="1"/>
  <c r="K160" i="3"/>
  <c r="M160" i="3" s="1"/>
  <c r="E165" i="3"/>
  <c r="L165" i="3" s="1"/>
  <c r="M165" i="3" s="1"/>
  <c r="K166" i="3"/>
  <c r="E170" i="3"/>
  <c r="L170" i="3" s="1"/>
  <c r="K179" i="3"/>
  <c r="M179" i="3" s="1"/>
  <c r="M180" i="3"/>
  <c r="J185" i="3"/>
  <c r="D204" i="3"/>
  <c r="D205" i="3" s="1"/>
  <c r="B206" i="3"/>
  <c r="K231" i="3"/>
  <c r="M231" i="3" s="1"/>
  <c r="N231" i="3"/>
  <c r="O231" i="3" s="1"/>
  <c r="N242" i="3"/>
  <c r="O242" i="3" s="1"/>
  <c r="M242" i="3"/>
  <c r="C183" i="2"/>
  <c r="J183" i="2" s="1"/>
  <c r="K190" i="2"/>
  <c r="M190" i="2" s="1"/>
  <c r="E193" i="2"/>
  <c r="C203" i="2"/>
  <c r="J203" i="2" s="1"/>
  <c r="K210" i="2"/>
  <c r="M210" i="2" s="1"/>
  <c r="E213" i="2"/>
  <c r="R216" i="2"/>
  <c r="K222" i="2"/>
  <c r="E225" i="2"/>
  <c r="L225" i="2" s="1"/>
  <c r="M225" i="2" s="1"/>
  <c r="R228" i="2"/>
  <c r="C117" i="3"/>
  <c r="J117" i="3" s="1"/>
  <c r="Q138" i="3"/>
  <c r="K138" i="3"/>
  <c r="M138" i="3" s="1"/>
  <c r="R138" i="3"/>
  <c r="R144" i="3"/>
  <c r="Q144" i="3"/>
  <c r="K144" i="3"/>
  <c r="M144" i="3" s="1"/>
  <c r="K154" i="3"/>
  <c r="M154" i="3" s="1"/>
  <c r="K159" i="3"/>
  <c r="Q161" i="3"/>
  <c r="Q164" i="3"/>
  <c r="K164" i="3"/>
  <c r="M164" i="3" s="1"/>
  <c r="R164" i="3"/>
  <c r="F170" i="3"/>
  <c r="Q177" i="3"/>
  <c r="R177" i="3" s="1"/>
  <c r="K177" i="3"/>
  <c r="M177" i="3" s="1"/>
  <c r="E184" i="3"/>
  <c r="L184" i="3" s="1"/>
  <c r="J195" i="3"/>
  <c r="E195" i="3"/>
  <c r="L195" i="3" s="1"/>
  <c r="K196" i="3"/>
  <c r="M196" i="3" s="1"/>
  <c r="E206" i="3"/>
  <c r="L206" i="3" s="1"/>
  <c r="Q217" i="3"/>
  <c r="R217" i="3" s="1"/>
  <c r="Q231" i="3"/>
  <c r="R231" i="3" s="1"/>
  <c r="E7" i="4"/>
  <c r="G7" i="4" s="1"/>
  <c r="G6" i="4"/>
  <c r="J74" i="4"/>
  <c r="C76" i="4"/>
  <c r="F74" i="4"/>
  <c r="F75" i="4" s="1"/>
  <c r="N74" i="4"/>
  <c r="O74" i="4" s="1"/>
  <c r="C78" i="4"/>
  <c r="E103" i="3"/>
  <c r="L103" i="3" s="1"/>
  <c r="K145" i="3"/>
  <c r="R161" i="3"/>
  <c r="K165" i="3"/>
  <c r="B169" i="3"/>
  <c r="J173" i="3"/>
  <c r="M174" i="3"/>
  <c r="K178" i="3"/>
  <c r="M178" i="3" s="1"/>
  <c r="Q183" i="3"/>
  <c r="R183" i="3" s="1"/>
  <c r="K183" i="3"/>
  <c r="M183" i="3" s="1"/>
  <c r="Q197" i="3"/>
  <c r="R197" i="3" s="1"/>
  <c r="C228" i="3"/>
  <c r="J228" i="3" s="1"/>
  <c r="E235" i="3"/>
  <c r="L235" i="3" s="1"/>
  <c r="J235" i="3"/>
  <c r="N209" i="2"/>
  <c r="O209" i="2" s="1"/>
  <c r="N221" i="2"/>
  <c r="O221" i="2" s="1"/>
  <c r="Q146" i="3"/>
  <c r="Q160" i="3"/>
  <c r="Q166" i="3"/>
  <c r="Q179" i="3"/>
  <c r="R179" i="3" s="1"/>
  <c r="K184" i="3"/>
  <c r="F42" i="5"/>
  <c r="N42" i="5"/>
  <c r="O42" i="5" s="1"/>
  <c r="J42" i="5"/>
  <c r="D134" i="3"/>
  <c r="E133" i="3"/>
  <c r="L133" i="3" s="1"/>
  <c r="F132" i="3"/>
  <c r="E134" i="3"/>
  <c r="L134" i="3" s="1"/>
  <c r="F133" i="3"/>
  <c r="C170" i="3"/>
  <c r="J170" i="3" s="1"/>
  <c r="E168" i="3"/>
  <c r="L168" i="3" s="1"/>
  <c r="B170" i="3"/>
  <c r="C169" i="3"/>
  <c r="J169" i="3" s="1"/>
  <c r="D168" i="3"/>
  <c r="D169" i="3" s="1"/>
  <c r="D206" i="3"/>
  <c r="E205" i="3"/>
  <c r="L205" i="3" s="1"/>
  <c r="F204" i="3"/>
  <c r="C206" i="3"/>
  <c r="J206" i="3" s="1"/>
  <c r="E204" i="3"/>
  <c r="L204" i="3" s="1"/>
  <c r="B205" i="3"/>
  <c r="C204" i="3"/>
  <c r="J204" i="3" s="1"/>
  <c r="R109" i="3"/>
  <c r="Q109" i="3"/>
  <c r="K109" i="3"/>
  <c r="C116" i="3"/>
  <c r="J116" i="3" s="1"/>
  <c r="B134" i="3"/>
  <c r="R146" i="3"/>
  <c r="N159" i="3"/>
  <c r="O159" i="3" s="1"/>
  <c r="R160" i="3"/>
  <c r="R166" i="3"/>
  <c r="F169" i="3"/>
  <c r="N196" i="3"/>
  <c r="O196" i="3" s="1"/>
  <c r="M213" i="3"/>
  <c r="J215" i="3"/>
  <c r="E215" i="3"/>
  <c r="L215" i="3" s="1"/>
  <c r="E221" i="3"/>
  <c r="L221" i="3" s="1"/>
  <c r="J221" i="3"/>
  <c r="M233" i="3"/>
  <c r="C219" i="2"/>
  <c r="J219" i="2" s="1"/>
  <c r="Q227" i="3"/>
  <c r="R227" i="3" s="1"/>
  <c r="K227" i="3"/>
  <c r="M227" i="3" s="1"/>
  <c r="N121" i="3"/>
  <c r="O121" i="3" s="1"/>
  <c r="M128" i="3"/>
  <c r="C134" i="3"/>
  <c r="J134" i="3" s="1"/>
  <c r="N145" i="3"/>
  <c r="O145" i="3" s="1"/>
  <c r="R159" i="3"/>
  <c r="N165" i="3"/>
  <c r="O165" i="3" s="1"/>
  <c r="B168" i="3"/>
  <c r="N178" i="3"/>
  <c r="O178" i="3" s="1"/>
  <c r="Q189" i="3"/>
  <c r="R189" i="3" s="1"/>
  <c r="N189" i="3"/>
  <c r="O189" i="3" s="1"/>
  <c r="K189" i="3"/>
  <c r="M189" i="3" s="1"/>
  <c r="E202" i="3"/>
  <c r="Q68" i="6"/>
  <c r="R68" i="6"/>
  <c r="N68" i="6"/>
  <c r="O68" i="6" s="1"/>
  <c r="K68" i="6"/>
  <c r="F134" i="3"/>
  <c r="M148" i="3"/>
  <c r="K157" i="3"/>
  <c r="M157" i="3" s="1"/>
  <c r="R157" i="3"/>
  <c r="M162" i="3"/>
  <c r="C168" i="3"/>
  <c r="J168" i="3" s="1"/>
  <c r="M193" i="3"/>
  <c r="N200" i="3"/>
  <c r="O200" i="3" s="1"/>
  <c r="C205" i="3"/>
  <c r="J205" i="3" s="1"/>
  <c r="M211" i="3"/>
  <c r="Q213" i="3"/>
  <c r="R213" i="3" s="1"/>
  <c r="K213" i="3"/>
  <c r="N229" i="3"/>
  <c r="O229" i="3" s="1"/>
  <c r="K229" i="3"/>
  <c r="Q229" i="3"/>
  <c r="R229" i="3" s="1"/>
  <c r="J82" i="4"/>
  <c r="N82" i="4"/>
  <c r="O82" i="4" s="1"/>
  <c r="F82" i="4"/>
  <c r="F83" i="4" s="1"/>
  <c r="C84" i="4"/>
  <c r="C86" i="4"/>
  <c r="P103" i="4"/>
  <c r="Q103" i="4"/>
  <c r="N103" i="4"/>
  <c r="O103" i="4" s="1"/>
  <c r="K103" i="4"/>
  <c r="M103" i="4" s="1"/>
  <c r="Q108" i="4"/>
  <c r="P108" i="4"/>
  <c r="N108" i="4"/>
  <c r="O108" i="4" s="1"/>
  <c r="K108" i="4"/>
  <c r="Q119" i="4"/>
  <c r="P119" i="4"/>
  <c r="N119" i="4"/>
  <c r="O119" i="4" s="1"/>
  <c r="K119" i="4"/>
  <c r="M121" i="4"/>
  <c r="C115" i="3"/>
  <c r="J115" i="3" s="1"/>
  <c r="K127" i="3"/>
  <c r="Q128" i="3"/>
  <c r="B133" i="3"/>
  <c r="R137" i="3"/>
  <c r="K137" i="3"/>
  <c r="K143" i="3"/>
  <c r="M143" i="3" s="1"/>
  <c r="R143" i="3"/>
  <c r="R149" i="3"/>
  <c r="K149" i="3"/>
  <c r="M149" i="3" s="1"/>
  <c r="R163" i="3"/>
  <c r="K163" i="3"/>
  <c r="M163" i="3" s="1"/>
  <c r="F168" i="3"/>
  <c r="M175" i="3"/>
  <c r="N190" i="3"/>
  <c r="O190" i="3" s="1"/>
  <c r="K199" i="3"/>
  <c r="M199" i="3" s="1"/>
  <c r="Q200" i="3"/>
  <c r="R200" i="3" s="1"/>
  <c r="K202" i="3"/>
  <c r="F205" i="3"/>
  <c r="N213" i="3"/>
  <c r="O213" i="3" s="1"/>
  <c r="N225" i="3"/>
  <c r="O225" i="3" s="1"/>
  <c r="K225" i="3"/>
  <c r="M225" i="3" s="1"/>
  <c r="M236" i="3"/>
  <c r="C39" i="4"/>
  <c r="D52" i="4"/>
  <c r="D53" i="4"/>
  <c r="D54" i="4"/>
  <c r="P55" i="4"/>
  <c r="P115" i="4"/>
  <c r="D42" i="5"/>
  <c r="N110" i="6"/>
  <c r="O110" i="6" s="1"/>
  <c r="K110" i="6"/>
  <c r="M110" i="6" s="1"/>
  <c r="R110" i="6"/>
  <c r="D75" i="7"/>
  <c r="D78" i="7" s="1"/>
  <c r="I56" i="7"/>
  <c r="I55" i="7"/>
  <c r="B201" i="7"/>
  <c r="C200" i="7"/>
  <c r="J200" i="7" s="1"/>
  <c r="B202" i="7"/>
  <c r="C201" i="7"/>
  <c r="J201" i="7" s="1"/>
  <c r="D200" i="7"/>
  <c r="D201" i="7" s="1"/>
  <c r="F200" i="7"/>
  <c r="B200" i="7"/>
  <c r="F201" i="7"/>
  <c r="F202" i="7"/>
  <c r="D202" i="7"/>
  <c r="C202" i="7"/>
  <c r="J202" i="7" s="1"/>
  <c r="H73" i="7"/>
  <c r="Q188" i="7"/>
  <c r="R188" i="7"/>
  <c r="K188" i="7"/>
  <c r="N188" i="7"/>
  <c r="O188" i="7" s="1"/>
  <c r="N190" i="7"/>
  <c r="O190" i="7" s="1"/>
  <c r="Q190" i="7"/>
  <c r="K190" i="7"/>
  <c r="R190" i="7"/>
  <c r="F87" i="4"/>
  <c r="P90" i="4"/>
  <c r="K90" i="4"/>
  <c r="M119" i="4"/>
  <c r="N41" i="5"/>
  <c r="O41" i="5" s="1"/>
  <c r="J41" i="5"/>
  <c r="F41" i="5"/>
  <c r="R80" i="6"/>
  <c r="N80" i="6"/>
  <c r="O80" i="6" s="1"/>
  <c r="K80" i="6"/>
  <c r="R86" i="6"/>
  <c r="N86" i="6"/>
  <c r="O86" i="6" s="1"/>
  <c r="K86" i="6"/>
  <c r="E80" i="7"/>
  <c r="E109" i="7"/>
  <c r="E115" i="7" s="1"/>
  <c r="E120" i="7" s="1"/>
  <c r="E126" i="7" s="1"/>
  <c r="D91" i="7"/>
  <c r="C93" i="7"/>
  <c r="J93" i="7" s="1"/>
  <c r="I72" i="7"/>
  <c r="I71" i="7"/>
  <c r="M136" i="7"/>
  <c r="J143" i="7"/>
  <c r="E143" i="7"/>
  <c r="R157" i="7"/>
  <c r="Q157" i="7"/>
  <c r="N157" i="7"/>
  <c r="O157" i="7" s="1"/>
  <c r="K157" i="7"/>
  <c r="N160" i="7"/>
  <c r="O160" i="7" s="1"/>
  <c r="K160" i="7"/>
  <c r="R160" i="7"/>
  <c r="Q160" i="7"/>
  <c r="M188" i="7"/>
  <c r="P71" i="4"/>
  <c r="J94" i="6"/>
  <c r="J98" i="6"/>
  <c r="R107" i="7"/>
  <c r="Q107" i="7"/>
  <c r="N107" i="7"/>
  <c r="O107" i="7" s="1"/>
  <c r="K107" i="7"/>
  <c r="M107" i="7" s="1"/>
  <c r="Q118" i="7"/>
  <c r="N118" i="7"/>
  <c r="O118" i="7" s="1"/>
  <c r="K118" i="7"/>
  <c r="M118" i="7" s="1"/>
  <c r="R118" i="7"/>
  <c r="Q134" i="7"/>
  <c r="N134" i="7"/>
  <c r="O134" i="7" s="1"/>
  <c r="K134" i="7"/>
  <c r="M134" i="7" s="1"/>
  <c r="R134" i="7"/>
  <c r="M140" i="7"/>
  <c r="K237" i="3"/>
  <c r="M237" i="3" s="1"/>
  <c r="M241" i="3"/>
  <c r="K56" i="4"/>
  <c r="Q71" i="4"/>
  <c r="C80" i="4"/>
  <c r="K87" i="4"/>
  <c r="N90" i="4"/>
  <c r="O90" i="4" s="1"/>
  <c r="D94" i="4"/>
  <c r="D100" i="4" s="1"/>
  <c r="D105" i="4" s="1"/>
  <c r="D111" i="4" s="1"/>
  <c r="P106" i="4"/>
  <c r="M108" i="4"/>
  <c r="Q121" i="4"/>
  <c r="G6" i="6"/>
  <c r="K57" i="6"/>
  <c r="M69" i="6"/>
  <c r="E83" i="6"/>
  <c r="E89" i="6" s="1"/>
  <c r="D101" i="6" s="1"/>
  <c r="D74" i="6"/>
  <c r="Q80" i="6"/>
  <c r="K84" i="6"/>
  <c r="Q86" i="6"/>
  <c r="K90" i="6"/>
  <c r="M176" i="7"/>
  <c r="Q219" i="3"/>
  <c r="R219" i="3" s="1"/>
  <c r="Q233" i="3"/>
  <c r="R233" i="3" s="1"/>
  <c r="D41" i="4"/>
  <c r="P56" i="4"/>
  <c r="E94" i="4"/>
  <c r="E100" i="4" s="1"/>
  <c r="C107" i="4"/>
  <c r="J107" i="4" s="1"/>
  <c r="N122" i="4"/>
  <c r="O122" i="4" s="1"/>
  <c r="M122" i="4"/>
  <c r="C40" i="5"/>
  <c r="C72" i="6"/>
  <c r="C78" i="6" s="1"/>
  <c r="C43" i="6"/>
  <c r="R96" i="6"/>
  <c r="Q96" i="6"/>
  <c r="N96" i="6"/>
  <c r="O96" i="6" s="1"/>
  <c r="K96" i="6"/>
  <c r="M96" i="6" s="1"/>
  <c r="N104" i="6"/>
  <c r="O104" i="6" s="1"/>
  <c r="K104" i="6"/>
  <c r="R104" i="6"/>
  <c r="C132" i="7"/>
  <c r="J132" i="7" s="1"/>
  <c r="M148" i="7"/>
  <c r="N171" i="7"/>
  <c r="O171" i="7" s="1"/>
  <c r="K171" i="7"/>
  <c r="M171" i="7" s="1"/>
  <c r="R171" i="7"/>
  <c r="Q171" i="7"/>
  <c r="J181" i="7"/>
  <c r="E181" i="7"/>
  <c r="N191" i="7"/>
  <c r="O191" i="7" s="1"/>
  <c r="R191" i="7"/>
  <c r="Q191" i="7"/>
  <c r="K191" i="7"/>
  <c r="E198" i="7"/>
  <c r="J198" i="7"/>
  <c r="M219" i="7"/>
  <c r="N222" i="3"/>
  <c r="O222" i="3" s="1"/>
  <c r="N236" i="3"/>
  <c r="O236" i="3" s="1"/>
  <c r="C251" i="3"/>
  <c r="C253" i="3" s="1"/>
  <c r="F80" i="3" s="1"/>
  <c r="G4" i="4"/>
  <c r="E41" i="4"/>
  <c r="C72" i="4"/>
  <c r="F79" i="4"/>
  <c r="Q90" i="4"/>
  <c r="N102" i="4"/>
  <c r="O102" i="4" s="1"/>
  <c r="P118" i="4"/>
  <c r="F36" i="5"/>
  <c r="F37" i="5" s="1"/>
  <c r="D72" i="6"/>
  <c r="D78" i="6" s="1"/>
  <c r="F64" i="6"/>
  <c r="F63" i="6"/>
  <c r="B65" i="6"/>
  <c r="C63" i="6"/>
  <c r="D61" i="6"/>
  <c r="Q58" i="6"/>
  <c r="K58" i="6"/>
  <c r="M85" i="6"/>
  <c r="M87" i="6"/>
  <c r="J93" i="6"/>
  <c r="R100" i="6"/>
  <c r="Q100" i="6"/>
  <c r="N100" i="6"/>
  <c r="O100" i="6" s="1"/>
  <c r="K100" i="6"/>
  <c r="M100" i="6" s="1"/>
  <c r="J102" i="6"/>
  <c r="E102" i="6"/>
  <c r="L102" i="6" s="1"/>
  <c r="E5" i="7"/>
  <c r="G5" i="7" s="1"/>
  <c r="J56" i="7"/>
  <c r="J55" i="7"/>
  <c r="Q146" i="7"/>
  <c r="N146" i="7"/>
  <c r="O146" i="7" s="1"/>
  <c r="K146" i="7"/>
  <c r="M146" i="7" s="1"/>
  <c r="R146" i="7"/>
  <c r="R153" i="7"/>
  <c r="Q153" i="7"/>
  <c r="N153" i="7"/>
  <c r="O153" i="7" s="1"/>
  <c r="K153" i="7"/>
  <c r="M153" i="7" s="1"/>
  <c r="Q158" i="7"/>
  <c r="N158" i="7"/>
  <c r="O158" i="7" s="1"/>
  <c r="K158" i="7"/>
  <c r="R158" i="7"/>
  <c r="M168" i="7"/>
  <c r="N186" i="7"/>
  <c r="O186" i="7" s="1"/>
  <c r="K186" i="7"/>
  <c r="M186" i="7" s="1"/>
  <c r="R186" i="7"/>
  <c r="Q186" i="7"/>
  <c r="M193" i="7"/>
  <c r="K219" i="7"/>
  <c r="R219" i="7"/>
  <c r="Q219" i="7"/>
  <c r="N219" i="7"/>
  <c r="O219" i="7" s="1"/>
  <c r="M240" i="3"/>
  <c r="D59" i="4"/>
  <c r="C61" i="4"/>
  <c r="B63" i="4"/>
  <c r="L68" i="4"/>
  <c r="L77" i="4"/>
  <c r="J79" i="4"/>
  <c r="Q102" i="4"/>
  <c r="M115" i="4"/>
  <c r="J116" i="4"/>
  <c r="Q118" i="4"/>
  <c r="B39" i="5"/>
  <c r="J56" i="6"/>
  <c r="C70" i="6"/>
  <c r="J70" i="6" s="1"/>
  <c r="E7" i="7"/>
  <c r="G7" i="7" s="1"/>
  <c r="G6" i="7"/>
  <c r="J72" i="7"/>
  <c r="J71" i="7"/>
  <c r="R105" i="7"/>
  <c r="Q105" i="7"/>
  <c r="N105" i="7"/>
  <c r="O105" i="7" s="1"/>
  <c r="K105" i="7"/>
  <c r="Q184" i="7"/>
  <c r="N184" i="7"/>
  <c r="O184" i="7" s="1"/>
  <c r="K184" i="7"/>
  <c r="M184" i="7" s="1"/>
  <c r="R184" i="7"/>
  <c r="N240" i="3"/>
  <c r="O240" i="3" s="1"/>
  <c r="D62" i="4"/>
  <c r="Q87" i="4"/>
  <c r="P92" i="4"/>
  <c r="K92" i="4"/>
  <c r="M92" i="4" s="1"/>
  <c r="P101" i="4"/>
  <c r="K101" i="4"/>
  <c r="D59" i="6"/>
  <c r="R81" i="6"/>
  <c r="N81" i="6"/>
  <c r="O81" i="6" s="1"/>
  <c r="K81" i="6"/>
  <c r="M81" i="6" s="1"/>
  <c r="R85" i="6"/>
  <c r="N85" i="6"/>
  <c r="O85" i="6" s="1"/>
  <c r="K85" i="6"/>
  <c r="R87" i="6"/>
  <c r="N87" i="6"/>
  <c r="O87" i="6" s="1"/>
  <c r="K87" i="6"/>
  <c r="R97" i="6"/>
  <c r="Q97" i="6"/>
  <c r="N97" i="6"/>
  <c r="O97" i="6" s="1"/>
  <c r="R99" i="6"/>
  <c r="Q99" i="6"/>
  <c r="N99" i="6"/>
  <c r="O99" i="6" s="1"/>
  <c r="K99" i="6"/>
  <c r="M99" i="6" s="1"/>
  <c r="R131" i="7"/>
  <c r="Q131" i="7"/>
  <c r="N131" i="7"/>
  <c r="O131" i="7" s="1"/>
  <c r="K131" i="7"/>
  <c r="M131" i="7" s="1"/>
  <c r="J169" i="7"/>
  <c r="C170" i="7"/>
  <c r="J170" i="7" s="1"/>
  <c r="M105" i="7"/>
  <c r="N135" i="7"/>
  <c r="O135" i="7" s="1"/>
  <c r="K135" i="7"/>
  <c r="R135" i="7"/>
  <c r="Q135" i="7"/>
  <c r="N210" i="7"/>
  <c r="O210" i="7" s="1"/>
  <c r="R210" i="7"/>
  <c r="Q210" i="7"/>
  <c r="K210" i="7"/>
  <c r="M210" i="7" s="1"/>
  <c r="D97" i="4"/>
  <c r="G3" i="6"/>
  <c r="F3" i="6"/>
  <c r="K207" i="7"/>
  <c r="M207" i="7" s="1"/>
  <c r="R207" i="7"/>
  <c r="Q207" i="7"/>
  <c r="N207" i="7"/>
  <c r="O207" i="7" s="1"/>
  <c r="K174" i="7"/>
  <c r="R174" i="7"/>
  <c r="Q174" i="7"/>
  <c r="N174" i="7"/>
  <c r="O174" i="7" s="1"/>
  <c r="E220" i="3"/>
  <c r="L220" i="3" s="1"/>
  <c r="M220" i="3" s="1"/>
  <c r="E234" i="3"/>
  <c r="L234" i="3" s="1"/>
  <c r="M234" i="3" s="1"/>
  <c r="F61" i="4"/>
  <c r="C88" i="4"/>
  <c r="N92" i="4"/>
  <c r="O92" i="4" s="1"/>
  <c r="P110" i="4"/>
  <c r="K113" i="4"/>
  <c r="K115" i="4"/>
  <c r="C38" i="5"/>
  <c r="K79" i="6"/>
  <c r="M97" i="6"/>
  <c r="N103" i="6"/>
  <c r="O103" i="6" s="1"/>
  <c r="K103" i="6"/>
  <c r="M103" i="6" s="1"/>
  <c r="Q103" i="6"/>
  <c r="R109" i="6"/>
  <c r="Q109" i="6"/>
  <c r="N109" i="6"/>
  <c r="O109" i="6" s="1"/>
  <c r="N148" i="7"/>
  <c r="O148" i="7" s="1"/>
  <c r="K148" i="7"/>
  <c r="R148" i="7"/>
  <c r="Q148" i="7"/>
  <c r="M138" i="7"/>
  <c r="N159" i="7"/>
  <c r="O159" i="7" s="1"/>
  <c r="K159" i="7"/>
  <c r="R159" i="7"/>
  <c r="Q159" i="7"/>
  <c r="N172" i="7"/>
  <c r="O172" i="7" s="1"/>
  <c r="K172" i="7"/>
  <c r="R172" i="7"/>
  <c r="Q172" i="7"/>
  <c r="M189" i="7"/>
  <c r="C109" i="4"/>
  <c r="J109" i="4" s="1"/>
  <c r="P113" i="4"/>
  <c r="N115" i="4"/>
  <c r="O115" i="4" s="1"/>
  <c r="N224" i="7"/>
  <c r="O224" i="7" s="1"/>
  <c r="R224" i="7"/>
  <c r="Q224" i="7"/>
  <c r="K224" i="7"/>
  <c r="M224" i="7" s="1"/>
  <c r="R106" i="7"/>
  <c r="Q106" i="7"/>
  <c r="N106" i="7"/>
  <c r="O106" i="7" s="1"/>
  <c r="K106" i="7"/>
  <c r="Q117" i="7"/>
  <c r="N117" i="7"/>
  <c r="O117" i="7" s="1"/>
  <c r="K117" i="7"/>
  <c r="M117" i="7" s="1"/>
  <c r="R117" i="7"/>
  <c r="R133" i="7"/>
  <c r="Q133" i="7"/>
  <c r="N133" i="7"/>
  <c r="O133" i="7" s="1"/>
  <c r="K133" i="7"/>
  <c r="M133" i="7" s="1"/>
  <c r="K138" i="7"/>
  <c r="R138" i="7"/>
  <c r="Q138" i="7"/>
  <c r="N138" i="7"/>
  <c r="O138" i="7" s="1"/>
  <c r="R140" i="7"/>
  <c r="Q140" i="7"/>
  <c r="N140" i="7"/>
  <c r="O140" i="7" s="1"/>
  <c r="K140" i="7"/>
  <c r="N147" i="7"/>
  <c r="O147" i="7" s="1"/>
  <c r="K147" i="7"/>
  <c r="M147" i="7" s="1"/>
  <c r="R147" i="7"/>
  <c r="Q147" i="7"/>
  <c r="K150" i="7"/>
  <c r="R150" i="7"/>
  <c r="Q150" i="7"/>
  <c r="N150" i="7"/>
  <c r="O150" i="7" s="1"/>
  <c r="M174" i="7"/>
  <c r="Q83" i="4"/>
  <c r="Q92" i="4"/>
  <c r="D96" i="4"/>
  <c r="C37" i="5"/>
  <c r="G4" i="6"/>
  <c r="M80" i="6"/>
  <c r="M86" i="6"/>
  <c r="M109" i="6"/>
  <c r="C75" i="7"/>
  <c r="C78" i="7" s="1"/>
  <c r="F164" i="7"/>
  <c r="E164" i="7"/>
  <c r="L164" i="7" s="1"/>
  <c r="F163" i="7"/>
  <c r="E200" i="7"/>
  <c r="L200" i="7" s="1"/>
  <c r="D164" i="7"/>
  <c r="E163" i="7"/>
  <c r="L163" i="7" s="1"/>
  <c r="F162" i="7"/>
  <c r="C164" i="7"/>
  <c r="J164" i="7" s="1"/>
  <c r="E162" i="7"/>
  <c r="L162" i="7" s="1"/>
  <c r="B164" i="7"/>
  <c r="C163" i="7"/>
  <c r="J163" i="7" s="1"/>
  <c r="D162" i="7"/>
  <c r="D163" i="7" s="1"/>
  <c r="E201" i="7"/>
  <c r="L201" i="7" s="1"/>
  <c r="B163" i="7"/>
  <c r="C162" i="7"/>
  <c r="J162" i="7" s="1"/>
  <c r="B162" i="7"/>
  <c r="E202" i="7"/>
  <c r="L202" i="7" s="1"/>
  <c r="H57" i="7"/>
  <c r="M106" i="7"/>
  <c r="M122" i="7"/>
  <c r="N136" i="7"/>
  <c r="O136" i="7" s="1"/>
  <c r="K136" i="7"/>
  <c r="R136" i="7"/>
  <c r="Q136" i="7"/>
  <c r="M150" i="7"/>
  <c r="R152" i="7"/>
  <c r="Q152" i="7"/>
  <c r="N152" i="7"/>
  <c r="O152" i="7" s="1"/>
  <c r="K152" i="7"/>
  <c r="M152" i="7" s="1"/>
  <c r="M172" i="7"/>
  <c r="R176" i="7"/>
  <c r="Q176" i="7"/>
  <c r="N176" i="7"/>
  <c r="O176" i="7" s="1"/>
  <c r="K176" i="7"/>
  <c r="N185" i="7"/>
  <c r="O185" i="7" s="1"/>
  <c r="K185" i="7"/>
  <c r="M185" i="7" s="1"/>
  <c r="R185" i="7"/>
  <c r="Q185" i="7"/>
  <c r="N105" i="6"/>
  <c r="O105" i="6" s="1"/>
  <c r="N122" i="7"/>
  <c r="O122" i="7" s="1"/>
  <c r="N123" i="7"/>
  <c r="O123" i="7" s="1"/>
  <c r="N124" i="7"/>
  <c r="O124" i="7" s="1"/>
  <c r="J129" i="7"/>
  <c r="N137" i="7"/>
  <c r="O137" i="7" s="1"/>
  <c r="J141" i="7"/>
  <c r="N173" i="7"/>
  <c r="O173" i="7" s="1"/>
  <c r="J177" i="7"/>
  <c r="N189" i="7"/>
  <c r="O189" i="7" s="1"/>
  <c r="K194" i="7"/>
  <c r="M194" i="7" s="1"/>
  <c r="R194" i="7"/>
  <c r="R213" i="7"/>
  <c r="K213" i="7"/>
  <c r="M213" i="7" s="1"/>
  <c r="Q236" i="7"/>
  <c r="N236" i="7"/>
  <c r="O236" i="7" s="1"/>
  <c r="K236" i="7"/>
  <c r="N115" i="8"/>
  <c r="O115" i="8" s="1"/>
  <c r="K115" i="8"/>
  <c r="Q128" i="8"/>
  <c r="N128" i="8"/>
  <c r="O128" i="8" s="1"/>
  <c r="K128" i="8"/>
  <c r="S102" i="9"/>
  <c r="L102" i="9"/>
  <c r="O102" i="9"/>
  <c r="P102" i="9" s="1"/>
  <c r="R102" i="9"/>
  <c r="N79" i="8"/>
  <c r="O79" i="8" s="1"/>
  <c r="K79" i="8"/>
  <c r="N110" i="8"/>
  <c r="O110" i="8" s="1"/>
  <c r="K110" i="8"/>
  <c r="M110" i="8" s="1"/>
  <c r="N113" i="8"/>
  <c r="O113" i="8" s="1"/>
  <c r="K113" i="8"/>
  <c r="M113" i="8" s="1"/>
  <c r="Q130" i="8"/>
  <c r="N130" i="8"/>
  <c r="O130" i="8" s="1"/>
  <c r="K130" i="8"/>
  <c r="D55" i="9"/>
  <c r="C181" i="9" s="1"/>
  <c r="F23" i="9" s="1"/>
  <c r="D67" i="9"/>
  <c r="D68" i="9"/>
  <c r="D88" i="9"/>
  <c r="D94" i="9" s="1"/>
  <c r="D99" i="9" s="1"/>
  <c r="D105" i="9" s="1"/>
  <c r="D108" i="9" s="1"/>
  <c r="D109" i="9" s="1"/>
  <c r="Q105" i="6"/>
  <c r="Q122" i="7"/>
  <c r="Q123" i="7"/>
  <c r="Q124" i="7"/>
  <c r="K130" i="7"/>
  <c r="M130" i="7" s="1"/>
  <c r="Q137" i="7"/>
  <c r="K142" i="7"/>
  <c r="M142" i="7" s="1"/>
  <c r="K154" i="7"/>
  <c r="M154" i="7" s="1"/>
  <c r="E157" i="7"/>
  <c r="L157" i="7" s="1"/>
  <c r="M157" i="7" s="1"/>
  <c r="Q173" i="7"/>
  <c r="K178" i="7"/>
  <c r="M178" i="7" s="1"/>
  <c r="N194" i="7"/>
  <c r="O194" i="7" s="1"/>
  <c r="K206" i="7"/>
  <c r="M206" i="7" s="1"/>
  <c r="K212" i="7"/>
  <c r="M212" i="7" s="1"/>
  <c r="N213" i="7"/>
  <c r="O213" i="7" s="1"/>
  <c r="K218" i="7"/>
  <c r="Q110" i="8"/>
  <c r="Q113" i="8"/>
  <c r="N118" i="8"/>
  <c r="O118" i="8" s="1"/>
  <c r="K118" i="8"/>
  <c r="N121" i="8"/>
  <c r="O121" i="8" s="1"/>
  <c r="K121" i="8"/>
  <c r="M127" i="8"/>
  <c r="R105" i="6"/>
  <c r="E158" i="7"/>
  <c r="L158" i="7" s="1"/>
  <c r="M158" i="7" s="1"/>
  <c r="K193" i="7"/>
  <c r="R193" i="7"/>
  <c r="N206" i="7"/>
  <c r="O206" i="7" s="1"/>
  <c r="N212" i="7"/>
  <c r="O212" i="7" s="1"/>
  <c r="N218" i="7"/>
  <c r="O218" i="7" s="1"/>
  <c r="R222" i="7"/>
  <c r="Q222" i="7"/>
  <c r="K222" i="7"/>
  <c r="M222" i="7" s="1"/>
  <c r="M226" i="7"/>
  <c r="R235" i="7"/>
  <c r="Q235" i="7"/>
  <c r="N235" i="7"/>
  <c r="O235" i="7" s="1"/>
  <c r="Q79" i="8"/>
  <c r="E6" i="9"/>
  <c r="G6" i="9" s="1"/>
  <c r="G5" i="9"/>
  <c r="O90" i="9"/>
  <c r="P90" i="9" s="1"/>
  <c r="S90" i="9"/>
  <c r="R90" i="9"/>
  <c r="L90" i="9"/>
  <c r="S103" i="9"/>
  <c r="L103" i="9"/>
  <c r="N103" i="9" s="1"/>
  <c r="R103" i="9"/>
  <c r="O103" i="9"/>
  <c r="P103" i="9" s="1"/>
  <c r="M111" i="6"/>
  <c r="E135" i="7"/>
  <c r="L135" i="7" s="1"/>
  <c r="M135" i="7" s="1"/>
  <c r="Q139" i="7"/>
  <c r="C149" i="7"/>
  <c r="J149" i="7" s="1"/>
  <c r="Q151" i="7"/>
  <c r="K156" i="7"/>
  <c r="M156" i="7" s="1"/>
  <c r="E159" i="7"/>
  <c r="L159" i="7" s="1"/>
  <c r="K168" i="7"/>
  <c r="K180" i="7"/>
  <c r="M180" i="7" s="1"/>
  <c r="C187" i="7"/>
  <c r="J187" i="7" s="1"/>
  <c r="Q194" i="7"/>
  <c r="J197" i="7"/>
  <c r="K205" i="7"/>
  <c r="M211" i="7"/>
  <c r="Q213" i="7"/>
  <c r="J216" i="7"/>
  <c r="M217" i="7"/>
  <c r="L238" i="7"/>
  <c r="K238" i="7"/>
  <c r="N116" i="8"/>
  <c r="O116" i="8" s="1"/>
  <c r="K116" i="8"/>
  <c r="Q134" i="8"/>
  <c r="L134" i="8"/>
  <c r="M134" i="8" s="1"/>
  <c r="Q136" i="8"/>
  <c r="L136" i="8"/>
  <c r="M136" i="8" s="1"/>
  <c r="J138" i="8"/>
  <c r="E138" i="8"/>
  <c r="E8" i="9"/>
  <c r="G8" i="9" s="1"/>
  <c r="G7" i="9"/>
  <c r="O96" i="9"/>
  <c r="P96" i="9" s="1"/>
  <c r="S96" i="9"/>
  <c r="R96" i="9"/>
  <c r="L96" i="9"/>
  <c r="N96" i="9" s="1"/>
  <c r="E104" i="6"/>
  <c r="L104" i="6" s="1"/>
  <c r="M104" i="6" s="1"/>
  <c r="C106" i="6"/>
  <c r="N130" i="7"/>
  <c r="O130" i="7" s="1"/>
  <c r="N142" i="7"/>
  <c r="O142" i="7" s="1"/>
  <c r="N154" i="7"/>
  <c r="O154" i="7" s="1"/>
  <c r="E160" i="7"/>
  <c r="N178" i="7"/>
  <c r="O178" i="7" s="1"/>
  <c r="E190" i="7"/>
  <c r="L190" i="7" s="1"/>
  <c r="M190" i="7" s="1"/>
  <c r="N193" i="7"/>
  <c r="O193" i="7" s="1"/>
  <c r="E196" i="7"/>
  <c r="L196" i="7" s="1"/>
  <c r="M205" i="7"/>
  <c r="Q206" i="7"/>
  <c r="C208" i="7"/>
  <c r="J208" i="7" s="1"/>
  <c r="Q212" i="7"/>
  <c r="Q218" i="7"/>
  <c r="C225" i="7"/>
  <c r="J225" i="7" s="1"/>
  <c r="N111" i="8"/>
  <c r="O111" i="8" s="1"/>
  <c r="K111" i="8"/>
  <c r="N89" i="8"/>
  <c r="O89" i="8" s="1"/>
  <c r="K89" i="8"/>
  <c r="M130" i="8"/>
  <c r="D138" i="7"/>
  <c r="N167" i="7"/>
  <c r="O167" i="7" s="1"/>
  <c r="N179" i="7"/>
  <c r="O179" i="7" s="1"/>
  <c r="K192" i="7"/>
  <c r="M192" i="7" s="1"/>
  <c r="R195" i="7"/>
  <c r="Q195" i="7"/>
  <c r="K195" i="7"/>
  <c r="M195" i="7" s="1"/>
  <c r="K209" i="7"/>
  <c r="M209" i="7" s="1"/>
  <c r="Q211" i="7"/>
  <c r="Q214" i="7"/>
  <c r="K214" i="7"/>
  <c r="M214" i="7" s="1"/>
  <c r="R214" i="7"/>
  <c r="Q217" i="7"/>
  <c r="N226" i="7"/>
  <c r="O226" i="7" s="1"/>
  <c r="K239" i="7"/>
  <c r="M239" i="7" s="1"/>
  <c r="R239" i="7"/>
  <c r="Q239" i="7"/>
  <c r="N239" i="7"/>
  <c r="O239" i="7" s="1"/>
  <c r="L63" i="8"/>
  <c r="Q111" i="8"/>
  <c r="N114" i="8"/>
  <c r="O114" i="8" s="1"/>
  <c r="K114" i="8"/>
  <c r="M114" i="8" s="1"/>
  <c r="Q116" i="8"/>
  <c r="N119" i="8"/>
  <c r="O119" i="8" s="1"/>
  <c r="K119" i="8"/>
  <c r="N122" i="8"/>
  <c r="O122" i="8" s="1"/>
  <c r="K122" i="8"/>
  <c r="Q126" i="8"/>
  <c r="N126" i="8"/>
  <c r="O126" i="8" s="1"/>
  <c r="K126" i="8"/>
  <c r="M126" i="8" s="1"/>
  <c r="M128" i="8"/>
  <c r="Q130" i="7"/>
  <c r="Q142" i="7"/>
  <c r="Q154" i="7"/>
  <c r="N156" i="7"/>
  <c r="O156" i="7" s="1"/>
  <c r="N168" i="7"/>
  <c r="O168" i="7" s="1"/>
  <c r="Q178" i="7"/>
  <c r="N180" i="7"/>
  <c r="O180" i="7" s="1"/>
  <c r="N192" i="7"/>
  <c r="O192" i="7" s="1"/>
  <c r="Q193" i="7"/>
  <c r="K196" i="7"/>
  <c r="Q205" i="7"/>
  <c r="R211" i="7"/>
  <c r="K215" i="7"/>
  <c r="M215" i="7" s="1"/>
  <c r="R217" i="7"/>
  <c r="D219" i="7"/>
  <c r="J230" i="7"/>
  <c r="K233" i="7"/>
  <c r="M233" i="7" s="1"/>
  <c r="R233" i="7"/>
  <c r="Q233" i="7"/>
  <c r="N233" i="7"/>
  <c r="O233" i="7" s="1"/>
  <c r="K235" i="7"/>
  <c r="M235" i="7" s="1"/>
  <c r="Q89" i="8"/>
  <c r="N109" i="8"/>
  <c r="O109" i="8" s="1"/>
  <c r="K109" i="8"/>
  <c r="M111" i="8"/>
  <c r="Q131" i="8"/>
  <c r="L131" i="8"/>
  <c r="M131" i="8" s="1"/>
  <c r="M191" i="7"/>
  <c r="M116" i="8"/>
  <c r="Q129" i="8"/>
  <c r="N129" i="8"/>
  <c r="O129" i="8" s="1"/>
  <c r="K129" i="8"/>
  <c r="N85" i="9"/>
  <c r="M112" i="6"/>
  <c r="Q156" i="7"/>
  <c r="Q168" i="7"/>
  <c r="Q180" i="7"/>
  <c r="K189" i="7"/>
  <c r="Q192" i="7"/>
  <c r="N209" i="7"/>
  <c r="O209" i="7" s="1"/>
  <c r="N222" i="7"/>
  <c r="O222" i="7" s="1"/>
  <c r="R226" i="7"/>
  <c r="Q228" i="7"/>
  <c r="K228" i="7"/>
  <c r="R228" i="7"/>
  <c r="M232" i="7"/>
  <c r="M236" i="7"/>
  <c r="H44" i="8"/>
  <c r="C47" i="8" s="1"/>
  <c r="F106" i="8"/>
  <c r="F105" i="8"/>
  <c r="F104" i="8"/>
  <c r="E106" i="8"/>
  <c r="E105" i="8"/>
  <c r="E104" i="8"/>
  <c r="D106" i="8"/>
  <c r="D104" i="8"/>
  <c r="D105" i="8" s="1"/>
  <c r="C106" i="8"/>
  <c r="J106" i="8" s="1"/>
  <c r="C105" i="8"/>
  <c r="J105" i="8" s="1"/>
  <c r="C104" i="8"/>
  <c r="J104" i="8" s="1"/>
  <c r="B106" i="8"/>
  <c r="B105" i="8"/>
  <c r="B104" i="8"/>
  <c r="Q83" i="8"/>
  <c r="N83" i="8"/>
  <c r="O83" i="8" s="1"/>
  <c r="K83" i="8"/>
  <c r="M89" i="8"/>
  <c r="Q112" i="8"/>
  <c r="C111" i="7"/>
  <c r="J111" i="7" s="1"/>
  <c r="C112" i="7"/>
  <c r="J112" i="7" s="1"/>
  <c r="C113" i="7"/>
  <c r="J113" i="7" s="1"/>
  <c r="C155" i="7"/>
  <c r="J155" i="7" s="1"/>
  <c r="N196" i="7"/>
  <c r="O196" i="7" s="1"/>
  <c r="R209" i="7"/>
  <c r="N215" i="7"/>
  <c r="O215" i="7" s="1"/>
  <c r="R234" i="7"/>
  <c r="Q234" i="7"/>
  <c r="N234" i="7"/>
  <c r="O234" i="7" s="1"/>
  <c r="K234" i="7"/>
  <c r="D236" i="7"/>
  <c r="N90" i="8"/>
  <c r="O90" i="8" s="1"/>
  <c r="K90" i="8"/>
  <c r="M90" i="8" s="1"/>
  <c r="N117" i="8"/>
  <c r="O117" i="8" s="1"/>
  <c r="K117" i="8"/>
  <c r="N120" i="8"/>
  <c r="O120" i="8" s="1"/>
  <c r="K120" i="8"/>
  <c r="Q133" i="8"/>
  <c r="L133" i="8"/>
  <c r="M133" i="8" s="1"/>
  <c r="Q135" i="8"/>
  <c r="L135" i="8"/>
  <c r="M135" i="8" s="1"/>
  <c r="Q137" i="8"/>
  <c r="L137" i="8"/>
  <c r="M137" i="8" s="1"/>
  <c r="O92" i="9"/>
  <c r="P92" i="9" s="1"/>
  <c r="S92" i="9"/>
  <c r="R92" i="9"/>
  <c r="L92" i="9"/>
  <c r="S113" i="9"/>
  <c r="R113" i="9"/>
  <c r="O113" i="9"/>
  <c r="P113" i="9" s="1"/>
  <c r="L113" i="9"/>
  <c r="R196" i="7"/>
  <c r="R215" i="7"/>
  <c r="M218" i="7"/>
  <c r="Q223" i="7"/>
  <c r="N223" i="7"/>
  <c r="O223" i="7" s="1"/>
  <c r="E228" i="7"/>
  <c r="L228" i="7" s="1"/>
  <c r="R232" i="7"/>
  <c r="Q232" i="7"/>
  <c r="N84" i="8"/>
  <c r="O84" i="8" s="1"/>
  <c r="K84" i="8"/>
  <c r="M101" i="8"/>
  <c r="M109" i="8"/>
  <c r="Q127" i="8"/>
  <c r="N127" i="8"/>
  <c r="O127" i="8" s="1"/>
  <c r="K127" i="8"/>
  <c r="M129" i="8"/>
  <c r="N102" i="9"/>
  <c r="L239" i="7"/>
  <c r="Q66" i="8"/>
  <c r="D84" i="8"/>
  <c r="N101" i="8"/>
  <c r="O101" i="8" s="1"/>
  <c r="N110" i="9"/>
  <c r="E110" i="9"/>
  <c r="M110" i="9" s="1"/>
  <c r="R116" i="9"/>
  <c r="E119" i="9"/>
  <c r="M119" i="9" s="1"/>
  <c r="N119" i="9"/>
  <c r="K121" i="9"/>
  <c r="E125" i="9"/>
  <c r="M125" i="9" s="1"/>
  <c r="N125" i="9"/>
  <c r="E127" i="9"/>
  <c r="M127" i="9"/>
  <c r="N127" i="9" s="1"/>
  <c r="N128" i="9"/>
  <c r="C7" i="10"/>
  <c r="E7" i="10" s="1"/>
  <c r="E6" i="10"/>
  <c r="F129" i="10"/>
  <c r="L129" i="10"/>
  <c r="D54" i="10"/>
  <c r="C80" i="10"/>
  <c r="L80" i="10" s="1"/>
  <c r="D67" i="10"/>
  <c r="D68" i="10"/>
  <c r="F76" i="10" s="1"/>
  <c r="F77" i="10" s="1"/>
  <c r="D69" i="10"/>
  <c r="C78" i="10" s="1"/>
  <c r="L78" i="10" s="1"/>
  <c r="D88" i="10"/>
  <c r="D94" i="10" s="1"/>
  <c r="D99" i="10" s="1"/>
  <c r="D105" i="10" s="1"/>
  <c r="M92" i="10"/>
  <c r="S92" i="10"/>
  <c r="R92" i="10"/>
  <c r="P92" i="10"/>
  <c r="Q92" i="10" s="1"/>
  <c r="O116" i="10"/>
  <c r="S121" i="10"/>
  <c r="P121" i="10"/>
  <c r="Q121" i="10" s="1"/>
  <c r="R121" i="10"/>
  <c r="M121" i="10"/>
  <c r="O121" i="10" s="1"/>
  <c r="P123" i="10"/>
  <c r="Q123" i="10" s="1"/>
  <c r="M123" i="10"/>
  <c r="S123" i="10"/>
  <c r="R123" i="10"/>
  <c r="M134" i="10"/>
  <c r="S134" i="10"/>
  <c r="R134" i="10"/>
  <c r="P134" i="10"/>
  <c r="Q134" i="10" s="1"/>
  <c r="M71" i="11"/>
  <c r="N92" i="9"/>
  <c r="S101" i="9"/>
  <c r="L101" i="9"/>
  <c r="N101" i="9" s="1"/>
  <c r="C249" i="7"/>
  <c r="C251" i="7" s="1"/>
  <c r="F80" i="7" s="1"/>
  <c r="G4" i="8"/>
  <c r="K67" i="8"/>
  <c r="K78" i="8"/>
  <c r="M78" i="8" s="1"/>
  <c r="L79" i="8"/>
  <c r="M79" i="8" s="1"/>
  <c r="N100" i="8"/>
  <c r="O100" i="8" s="1"/>
  <c r="J125" i="8"/>
  <c r="J144" i="8"/>
  <c r="C154" i="8"/>
  <c r="C156" i="8" s="1"/>
  <c r="F52" i="8" s="1"/>
  <c r="L112" i="9"/>
  <c r="N121" i="9"/>
  <c r="O123" i="10"/>
  <c r="S136" i="10"/>
  <c r="P136" i="10"/>
  <c r="Q136" i="10" s="1"/>
  <c r="M136" i="10"/>
  <c r="O136" i="10" s="1"/>
  <c r="R136" i="10"/>
  <c r="S86" i="9"/>
  <c r="R86" i="9"/>
  <c r="L86" i="9"/>
  <c r="N86" i="9" s="1"/>
  <c r="O101" i="9"/>
  <c r="P101" i="9" s="1"/>
  <c r="R117" i="9"/>
  <c r="L117" i="9"/>
  <c r="S117" i="9"/>
  <c r="E118" i="9"/>
  <c r="M118" i="9" s="1"/>
  <c r="C52" i="10"/>
  <c r="C110" i="10"/>
  <c r="C111" i="10"/>
  <c r="C112" i="10"/>
  <c r="C113" i="10"/>
  <c r="C109" i="10"/>
  <c r="M90" i="10"/>
  <c r="S90" i="10"/>
  <c r="P90" i="10"/>
  <c r="Q90" i="10" s="1"/>
  <c r="R90" i="10"/>
  <c r="C231" i="7"/>
  <c r="J231" i="7" s="1"/>
  <c r="C95" i="8"/>
  <c r="J95" i="8" s="1"/>
  <c r="N112" i="9"/>
  <c r="N116" i="9"/>
  <c r="E116" i="9"/>
  <c r="M116" i="9" s="1"/>
  <c r="R123" i="9"/>
  <c r="L123" i="9"/>
  <c r="S123" i="9"/>
  <c r="E124" i="9"/>
  <c r="M124" i="9" s="1"/>
  <c r="L125" i="9"/>
  <c r="R125" i="9"/>
  <c r="L127" i="9"/>
  <c r="R134" i="9"/>
  <c r="L134" i="9"/>
  <c r="N134" i="9" s="1"/>
  <c r="S134" i="9"/>
  <c r="S96" i="10"/>
  <c r="R96" i="10"/>
  <c r="P96" i="10"/>
  <c r="Q96" i="10" s="1"/>
  <c r="M96" i="10"/>
  <c r="O96" i="10" s="1"/>
  <c r="O101" i="10"/>
  <c r="S114" i="10"/>
  <c r="P114" i="10"/>
  <c r="Q114" i="10" s="1"/>
  <c r="M114" i="10"/>
  <c r="O114" i="10" s="1"/>
  <c r="R114" i="10"/>
  <c r="S122" i="10"/>
  <c r="P122" i="10"/>
  <c r="Q122" i="10" s="1"/>
  <c r="M122" i="10"/>
  <c r="O122" i="10" s="1"/>
  <c r="R122" i="10"/>
  <c r="P133" i="10"/>
  <c r="Q133" i="10" s="1"/>
  <c r="M133" i="10"/>
  <c r="O133" i="10" s="1"/>
  <c r="R133" i="10"/>
  <c r="S133" i="10"/>
  <c r="M138" i="10"/>
  <c r="S138" i="10"/>
  <c r="R138" i="10"/>
  <c r="P138" i="10"/>
  <c r="Q138" i="10" s="1"/>
  <c r="K227" i="7"/>
  <c r="M227" i="7" s="1"/>
  <c r="D231" i="7"/>
  <c r="L72" i="8"/>
  <c r="N78" i="8"/>
  <c r="O78" i="8" s="1"/>
  <c r="L84" i="8"/>
  <c r="M84" i="8" s="1"/>
  <c r="C94" i="8"/>
  <c r="J94" i="8" s="1"/>
  <c r="C53" i="9"/>
  <c r="R101" i="9"/>
  <c r="L110" i="9"/>
  <c r="R112" i="9"/>
  <c r="K118" i="9"/>
  <c r="L119" i="9"/>
  <c r="O125" i="9"/>
  <c r="P125" i="9" s="1"/>
  <c r="M134" i="9"/>
  <c r="E3" i="10"/>
  <c r="D3" i="10"/>
  <c r="M40" i="10"/>
  <c r="M46" i="10" s="1"/>
  <c r="P85" i="10"/>
  <c r="Q85" i="10" s="1"/>
  <c r="M85" i="10"/>
  <c r="S85" i="10"/>
  <c r="R85" i="10"/>
  <c r="S131" i="10"/>
  <c r="P131" i="10"/>
  <c r="Q131" i="10" s="1"/>
  <c r="R131" i="10"/>
  <c r="M131" i="10"/>
  <c r="O131" i="10" s="1"/>
  <c r="O139" i="10"/>
  <c r="M72" i="11"/>
  <c r="L64" i="8"/>
  <c r="D102" i="9"/>
  <c r="S112" i="9"/>
  <c r="O119" i="9"/>
  <c r="P119" i="9" s="1"/>
  <c r="N122" i="9"/>
  <c r="K122" i="9"/>
  <c r="E122" i="9"/>
  <c r="M122" i="9" s="1"/>
  <c r="K124" i="9"/>
  <c r="R127" i="9"/>
  <c r="O131" i="9"/>
  <c r="P131" i="9" s="1"/>
  <c r="R131" i="9"/>
  <c r="M116" i="10"/>
  <c r="S116" i="10"/>
  <c r="R116" i="10"/>
  <c r="P116" i="10"/>
  <c r="Q116" i="10" s="1"/>
  <c r="M130" i="10"/>
  <c r="O130" i="10" s="1"/>
  <c r="S130" i="10"/>
  <c r="R130" i="10"/>
  <c r="P130" i="10"/>
  <c r="Q130" i="10" s="1"/>
  <c r="R49" i="11"/>
  <c r="Q49" i="11"/>
  <c r="K49" i="11"/>
  <c r="M49" i="11" s="1"/>
  <c r="N49" i="11"/>
  <c r="O49" i="11" s="1"/>
  <c r="N50" i="11"/>
  <c r="O50" i="11" s="1"/>
  <c r="K50" i="11"/>
  <c r="M50" i="11" s="1"/>
  <c r="Q50" i="11"/>
  <c r="R50" i="11"/>
  <c r="C112" i="8"/>
  <c r="J112" i="8" s="1"/>
  <c r="S85" i="9"/>
  <c r="R85" i="9"/>
  <c r="L85" i="9"/>
  <c r="N90" i="9"/>
  <c r="S114" i="9"/>
  <c r="R114" i="9"/>
  <c r="L114" i="9"/>
  <c r="S127" i="9"/>
  <c r="M91" i="10"/>
  <c r="S91" i="10"/>
  <c r="R91" i="10"/>
  <c r="P91" i="10"/>
  <c r="Q91" i="10" s="1"/>
  <c r="E113" i="9"/>
  <c r="M113" i="9" s="1"/>
  <c r="N113" i="9"/>
  <c r="E4" i="10"/>
  <c r="O147" i="10"/>
  <c r="C5" i="10"/>
  <c r="E5" i="10" s="1"/>
  <c r="O85" i="10"/>
  <c r="E234" i="7"/>
  <c r="L234" i="7" s="1"/>
  <c r="E115" i="8"/>
  <c r="E117" i="8"/>
  <c r="E118" i="8"/>
  <c r="E119" i="8"/>
  <c r="E120" i="8"/>
  <c r="E121" i="8"/>
  <c r="E122" i="8"/>
  <c r="M145" i="8"/>
  <c r="O86" i="9"/>
  <c r="P86" i="9" s="1"/>
  <c r="L116" i="9"/>
  <c r="N135" i="9"/>
  <c r="O91" i="10"/>
  <c r="S132" i="10"/>
  <c r="P132" i="10"/>
  <c r="Q132" i="10" s="1"/>
  <c r="M132" i="10"/>
  <c r="O132" i="10" s="1"/>
  <c r="R132" i="10"/>
  <c r="F3" i="8"/>
  <c r="C77" i="8"/>
  <c r="J77" i="8" s="1"/>
  <c r="C85" i="8"/>
  <c r="J85" i="8" s="1"/>
  <c r="M143" i="8"/>
  <c r="N53" i="9"/>
  <c r="E53" i="9" s="1"/>
  <c r="C84" i="9"/>
  <c r="K84" i="9" s="1"/>
  <c r="L115" i="9"/>
  <c r="O117" i="9"/>
  <c r="P117" i="9" s="1"/>
  <c r="F5" i="10"/>
  <c r="H5" i="10" s="1"/>
  <c r="H4" i="10"/>
  <c r="E52" i="10"/>
  <c r="D111" i="10"/>
  <c r="D113" i="10"/>
  <c r="O137" i="10"/>
  <c r="C91" i="9"/>
  <c r="K91" i="9" s="1"/>
  <c r="L97" i="9"/>
  <c r="N97" i="9" s="1"/>
  <c r="R111" i="9"/>
  <c r="L111" i="9"/>
  <c r="S111" i="9"/>
  <c r="S120" i="9"/>
  <c r="R120" i="9"/>
  <c r="O120" i="9"/>
  <c r="P120" i="9" s="1"/>
  <c r="L120" i="9"/>
  <c r="O123" i="9"/>
  <c r="P123" i="9" s="1"/>
  <c r="O128" i="9"/>
  <c r="P128" i="9" s="1"/>
  <c r="L128" i="9"/>
  <c r="M131" i="9"/>
  <c r="N131" i="9" s="1"/>
  <c r="D110" i="10"/>
  <c r="D112" i="10"/>
  <c r="O92" i="10"/>
  <c r="P115" i="10"/>
  <c r="Q115" i="10" s="1"/>
  <c r="M115" i="10"/>
  <c r="O115" i="10" s="1"/>
  <c r="S115" i="10"/>
  <c r="R115" i="10"/>
  <c r="M64" i="11"/>
  <c r="H3" i="10"/>
  <c r="R86" i="10"/>
  <c r="P101" i="10"/>
  <c r="Q101" i="10" s="1"/>
  <c r="R102" i="10"/>
  <c r="B35" i="11"/>
  <c r="Q48" i="11"/>
  <c r="N48" i="11"/>
  <c r="O48" i="11" s="1"/>
  <c r="K48" i="11"/>
  <c r="M48" i="11" s="1"/>
  <c r="R48" i="11"/>
  <c r="S86" i="10"/>
  <c r="S102" i="10"/>
  <c r="P125" i="10"/>
  <c r="Q125" i="10" s="1"/>
  <c r="M125" i="10"/>
  <c r="M68" i="11"/>
  <c r="K72" i="11"/>
  <c r="R72" i="11"/>
  <c r="N72" i="11"/>
  <c r="O72" i="11" s="1"/>
  <c r="D70" i="12"/>
  <c r="C70" i="12"/>
  <c r="J70" i="12" s="1"/>
  <c r="AD238" i="12"/>
  <c r="T238" i="12"/>
  <c r="D96" i="10"/>
  <c r="P128" i="10"/>
  <c r="Q128" i="10" s="1"/>
  <c r="M128" i="10"/>
  <c r="Q67" i="11"/>
  <c r="R67" i="11"/>
  <c r="N67" i="11"/>
  <c r="O67" i="11" s="1"/>
  <c r="K67" i="11"/>
  <c r="M67" i="11" s="1"/>
  <c r="M97" i="10"/>
  <c r="O97" i="10" s="1"/>
  <c r="C127" i="10"/>
  <c r="L127" i="10" s="1"/>
  <c r="M51" i="11"/>
  <c r="Q74" i="11"/>
  <c r="N74" i="11"/>
  <c r="O74" i="11" s="1"/>
  <c r="K74" i="11"/>
  <c r="R74" i="11"/>
  <c r="S117" i="10"/>
  <c r="P117" i="10"/>
  <c r="Q117" i="10" s="1"/>
  <c r="S118" i="10"/>
  <c r="P118" i="10"/>
  <c r="Q118" i="10" s="1"/>
  <c r="M118" i="10"/>
  <c r="O118" i="10" s="1"/>
  <c r="P119" i="10"/>
  <c r="Q119" i="10" s="1"/>
  <c r="M119" i="10"/>
  <c r="O119" i="10" s="1"/>
  <c r="M120" i="10"/>
  <c r="O120" i="10" s="1"/>
  <c r="S120" i="10"/>
  <c r="S139" i="10"/>
  <c r="P139" i="10"/>
  <c r="Q139" i="10" s="1"/>
  <c r="N69" i="11"/>
  <c r="O69" i="11" s="1"/>
  <c r="R69" i="11"/>
  <c r="K69" i="11"/>
  <c r="M69" i="11" s="1"/>
  <c r="Q76" i="11"/>
  <c r="N76" i="11"/>
  <c r="O76" i="11" s="1"/>
  <c r="K76" i="11"/>
  <c r="R76" i="11"/>
  <c r="D89" i="11"/>
  <c r="C90" i="11"/>
  <c r="C84" i="10"/>
  <c r="L84" i="10" s="1"/>
  <c r="P97" i="10"/>
  <c r="Q97" i="10" s="1"/>
  <c r="M117" i="10"/>
  <c r="O117" i="10" s="1"/>
  <c r="R125" i="10"/>
  <c r="E76" i="11"/>
  <c r="C72" i="12"/>
  <c r="C78" i="12" s="1"/>
  <c r="C44" i="12"/>
  <c r="C52" i="12"/>
  <c r="C60" i="12"/>
  <c r="C50" i="12"/>
  <c r="N81" i="12"/>
  <c r="O81" i="12" s="1"/>
  <c r="K81" i="12"/>
  <c r="M81" i="12" s="1"/>
  <c r="N112" i="12"/>
  <c r="O112" i="12" s="1"/>
  <c r="K112" i="12"/>
  <c r="M112" i="12" s="1"/>
  <c r="R97" i="10"/>
  <c r="S125" i="10"/>
  <c r="R128" i="10"/>
  <c r="S146" i="10"/>
  <c r="P146" i="10"/>
  <c r="Q146" i="10" s="1"/>
  <c r="M146" i="10"/>
  <c r="O146" i="10" s="1"/>
  <c r="R71" i="11"/>
  <c r="N71" i="11"/>
  <c r="O71" i="11" s="1"/>
  <c r="K71" i="11"/>
  <c r="Q72" i="11"/>
  <c r="C68" i="12"/>
  <c r="J68" i="12" s="1"/>
  <c r="D68" i="12"/>
  <c r="D50" i="12"/>
  <c r="E44" i="12"/>
  <c r="E72" i="12"/>
  <c r="E78" i="12" s="1"/>
  <c r="C76" i="12" s="1"/>
  <c r="J76" i="12" s="1"/>
  <c r="P120" i="10"/>
  <c r="Q120" i="10" s="1"/>
  <c r="S128" i="10"/>
  <c r="S135" i="10"/>
  <c r="P135" i="10"/>
  <c r="Q135" i="10" s="1"/>
  <c r="M139" i="10"/>
  <c r="M74" i="11"/>
  <c r="N82" i="11"/>
  <c r="O82" i="11" s="1"/>
  <c r="M82" i="11"/>
  <c r="C92" i="11"/>
  <c r="F17" i="11" s="1"/>
  <c r="D75" i="12"/>
  <c r="M86" i="10"/>
  <c r="O86" i="10" s="1"/>
  <c r="M102" i="10"/>
  <c r="O102" i="10" s="1"/>
  <c r="R117" i="10"/>
  <c r="R118" i="10"/>
  <c r="R119" i="10"/>
  <c r="O138" i="10"/>
  <c r="R47" i="11"/>
  <c r="N47" i="11"/>
  <c r="O47" i="11" s="1"/>
  <c r="K47" i="11"/>
  <c r="M47" i="11" s="1"/>
  <c r="J108" i="12"/>
  <c r="L108" i="12" s="1"/>
  <c r="S119" i="10"/>
  <c r="R120" i="10"/>
  <c r="L126" i="10"/>
  <c r="P137" i="10"/>
  <c r="Q137" i="10" s="1"/>
  <c r="M137" i="10"/>
  <c r="R137" i="10"/>
  <c r="K53" i="11"/>
  <c r="R53" i="11"/>
  <c r="Q53" i="11"/>
  <c r="R68" i="11"/>
  <c r="N68" i="11"/>
  <c r="O68" i="11" s="1"/>
  <c r="K68" i="11"/>
  <c r="Q69" i="11"/>
  <c r="M135" i="10"/>
  <c r="O135" i="10" s="1"/>
  <c r="R139" i="10"/>
  <c r="R65" i="11"/>
  <c r="N65" i="11"/>
  <c r="O65" i="11" s="1"/>
  <c r="K65" i="11"/>
  <c r="M65" i="11" s="1"/>
  <c r="M46" i="11"/>
  <c r="Q47" i="11"/>
  <c r="M53" i="11"/>
  <c r="E75" i="11"/>
  <c r="L75" i="11" s="1"/>
  <c r="J75" i="11"/>
  <c r="D76" i="12"/>
  <c r="K111" i="12"/>
  <c r="M111" i="12" s="1"/>
  <c r="N111" i="12"/>
  <c r="O111" i="12" s="1"/>
  <c r="D97" i="10"/>
  <c r="F125" i="10"/>
  <c r="E129" i="10"/>
  <c r="N129" i="10" s="1"/>
  <c r="E128" i="10"/>
  <c r="N128" i="10" s="1"/>
  <c r="O128" i="10" s="1"/>
  <c r="E127" i="10"/>
  <c r="N127" i="10" s="1"/>
  <c r="E126" i="10"/>
  <c r="N126" i="10" s="1"/>
  <c r="E125" i="10"/>
  <c r="N125" i="10" s="1"/>
  <c r="O125" i="10" s="1"/>
  <c r="O134" i="10"/>
  <c r="C157" i="10"/>
  <c r="G54" i="10" s="1"/>
  <c r="K51" i="11"/>
  <c r="N51" i="11"/>
  <c r="O51" i="11" s="1"/>
  <c r="N53" i="11"/>
  <c r="O53" i="11" s="1"/>
  <c r="C66" i="11"/>
  <c r="J66" i="11" s="1"/>
  <c r="R70" i="11"/>
  <c r="N70" i="11"/>
  <c r="O70" i="11" s="1"/>
  <c r="K70" i="11"/>
  <c r="M70" i="11" s="1"/>
  <c r="Q71" i="11"/>
  <c r="F7" i="12"/>
  <c r="H7" i="12" s="1"/>
  <c r="K87" i="13"/>
  <c r="D93" i="13"/>
  <c r="D94" i="13"/>
  <c r="K143" i="13"/>
  <c r="M143" i="13" s="1"/>
  <c r="N143" i="13"/>
  <c r="O143" i="13" s="1"/>
  <c r="Z353" i="13"/>
  <c r="K55" i="11"/>
  <c r="M55" i="11" s="1"/>
  <c r="K56" i="11"/>
  <c r="M56" i="11" s="1"/>
  <c r="K57" i="11"/>
  <c r="M57" i="11" s="1"/>
  <c r="K58" i="11"/>
  <c r="M58" i="11" s="1"/>
  <c r="K59" i="11"/>
  <c r="F89" i="11" s="1"/>
  <c r="J119" i="12"/>
  <c r="AF239" i="12"/>
  <c r="F107" i="13"/>
  <c r="D106" i="13"/>
  <c r="H48" i="13"/>
  <c r="D107" i="13"/>
  <c r="I48" i="13"/>
  <c r="D82" i="13"/>
  <c r="C82" i="13"/>
  <c r="J82" i="13" s="1"/>
  <c r="C135" i="13"/>
  <c r="G135" i="13" s="1"/>
  <c r="D139" i="13"/>
  <c r="J139" i="13" s="1"/>
  <c r="K98" i="13"/>
  <c r="M98" i="13" s="1"/>
  <c r="N98" i="13"/>
  <c r="O98" i="13" s="1"/>
  <c r="E105" i="13"/>
  <c r="E104" i="13"/>
  <c r="E130" i="13"/>
  <c r="D130" i="13"/>
  <c r="F185" i="13"/>
  <c r="D184" i="13"/>
  <c r="J184" i="13" s="1"/>
  <c r="E185" i="13"/>
  <c r="C184" i="13"/>
  <c r="G184" i="13" s="1"/>
  <c r="E186" i="13"/>
  <c r="C185" i="13"/>
  <c r="G185" i="13" s="1"/>
  <c r="F188" i="13"/>
  <c r="D187" i="13"/>
  <c r="J187" i="13" s="1"/>
  <c r="E189" i="13"/>
  <c r="C188" i="13"/>
  <c r="G188" i="13" s="1"/>
  <c r="E183" i="13"/>
  <c r="E188" i="13"/>
  <c r="D186" i="13"/>
  <c r="J186" i="13" s="1"/>
  <c r="E184" i="13"/>
  <c r="D188" i="13"/>
  <c r="J188" i="13" s="1"/>
  <c r="C186" i="13"/>
  <c r="G186" i="13" s="1"/>
  <c r="F187" i="13"/>
  <c r="F183" i="13"/>
  <c r="G183" i="13" s="1"/>
  <c r="E187" i="13"/>
  <c r="D185" i="13"/>
  <c r="J185" i="13" s="1"/>
  <c r="D183" i="13"/>
  <c r="J183" i="13" s="1"/>
  <c r="D189" i="13"/>
  <c r="C187" i="13"/>
  <c r="G187" i="13" s="1"/>
  <c r="C183" i="13"/>
  <c r="C189" i="13"/>
  <c r="G189" i="13" s="1"/>
  <c r="F186" i="13"/>
  <c r="F184" i="13"/>
  <c r="N204" i="13"/>
  <c r="O204" i="13" s="1"/>
  <c r="K204" i="13"/>
  <c r="M204" i="13" s="1"/>
  <c r="Q91" i="12"/>
  <c r="N91" i="12"/>
  <c r="O91" i="12" s="1"/>
  <c r="K99" i="13"/>
  <c r="M99" i="13" s="1"/>
  <c r="N99" i="13"/>
  <c r="O99" i="13" s="1"/>
  <c r="F130" i="13"/>
  <c r="K91" i="12"/>
  <c r="K106" i="12"/>
  <c r="M106" i="12" s="1"/>
  <c r="G358" i="13"/>
  <c r="P357" i="13"/>
  <c r="Z357" i="13"/>
  <c r="P355" i="13"/>
  <c r="S354" i="13"/>
  <c r="G352" i="13"/>
  <c r="P360" i="13"/>
  <c r="K357" i="13"/>
  <c r="Q356" i="13"/>
  <c r="O358" i="13"/>
  <c r="S352" i="13"/>
  <c r="Z351" i="13"/>
  <c r="P359" i="13"/>
  <c r="Z360" i="13"/>
  <c r="AC359" i="13"/>
  <c r="Z355" i="13"/>
  <c r="Z354" i="13"/>
  <c r="G351" i="13"/>
  <c r="S357" i="13"/>
  <c r="AC354" i="13"/>
  <c r="S353" i="13"/>
  <c r="Z359" i="13"/>
  <c r="Z352" i="13"/>
  <c r="Z356" i="13"/>
  <c r="AC360" i="13"/>
  <c r="K94" i="13"/>
  <c r="M94" i="13" s="1"/>
  <c r="N94" i="13"/>
  <c r="O94" i="13" s="1"/>
  <c r="Q57" i="11"/>
  <c r="Q58" i="11"/>
  <c r="Q59" i="11"/>
  <c r="K63" i="11"/>
  <c r="M63" i="11" s="1"/>
  <c r="K64" i="11"/>
  <c r="K73" i="11"/>
  <c r="M73" i="11" s="1"/>
  <c r="K80" i="11"/>
  <c r="E125" i="13"/>
  <c r="C124" i="13"/>
  <c r="G124" i="13" s="1"/>
  <c r="E119" i="13"/>
  <c r="F121" i="13"/>
  <c r="D120" i="13"/>
  <c r="J120" i="13" s="1"/>
  <c r="E122" i="13"/>
  <c r="C121" i="13"/>
  <c r="G121" i="13" s="1"/>
  <c r="F124" i="13"/>
  <c r="D123" i="13"/>
  <c r="J123" i="13" s="1"/>
  <c r="D125" i="13"/>
  <c r="F123" i="13"/>
  <c r="C123" i="13"/>
  <c r="G123" i="13" s="1"/>
  <c r="E121" i="13"/>
  <c r="D119" i="13"/>
  <c r="J119" i="13" s="1"/>
  <c r="C119" i="13"/>
  <c r="E124" i="13"/>
  <c r="D122" i="13"/>
  <c r="J122" i="13" s="1"/>
  <c r="F120" i="13"/>
  <c r="K170" i="13"/>
  <c r="M170" i="13" s="1"/>
  <c r="N170" i="13"/>
  <c r="O170" i="13" s="1"/>
  <c r="K191" i="13"/>
  <c r="M191" i="13" s="1"/>
  <c r="Q55" i="11"/>
  <c r="R56" i="11"/>
  <c r="R58" i="11"/>
  <c r="K114" i="12"/>
  <c r="M114" i="12" s="1"/>
  <c r="N171" i="13"/>
  <c r="O171" i="13" s="1"/>
  <c r="K171" i="13"/>
  <c r="M171" i="13" s="1"/>
  <c r="J178" i="13"/>
  <c r="T360" i="13"/>
  <c r="AD360" i="13"/>
  <c r="N63" i="11"/>
  <c r="O63" i="11" s="1"/>
  <c r="N64" i="11"/>
  <c r="O64" i="11" s="1"/>
  <c r="N73" i="11"/>
  <c r="O73" i="11" s="1"/>
  <c r="K193" i="13"/>
  <c r="M193" i="13" s="1"/>
  <c r="N193" i="13"/>
  <c r="O193" i="13" s="1"/>
  <c r="N200" i="13"/>
  <c r="O200" i="13" s="1"/>
  <c r="K200" i="13"/>
  <c r="M200" i="13" s="1"/>
  <c r="Z358" i="13"/>
  <c r="N107" i="12"/>
  <c r="O107" i="12" s="1"/>
  <c r="K107" i="12"/>
  <c r="M107" i="12" s="1"/>
  <c r="AF238" i="12"/>
  <c r="AF241" i="12"/>
  <c r="F7" i="13"/>
  <c r="H7" i="13" s="1"/>
  <c r="D47" i="13"/>
  <c r="AF240" i="12"/>
  <c r="G3" i="13"/>
  <c r="H3" i="13"/>
  <c r="Y372" i="13"/>
  <c r="Y370" i="13"/>
  <c r="Y367" i="13"/>
  <c r="Y366" i="13"/>
  <c r="Y373" i="13"/>
  <c r="O371" i="13"/>
  <c r="O365" i="13"/>
  <c r="Y371" i="13"/>
  <c r="O369" i="13"/>
  <c r="S374" i="13"/>
  <c r="AE368" i="13"/>
  <c r="C366" i="13"/>
  <c r="H47" i="13"/>
  <c r="S373" i="13"/>
  <c r="O370" i="13"/>
  <c r="O374" i="13"/>
  <c r="G371" i="13"/>
  <c r="AE367" i="13"/>
  <c r="Y365" i="13"/>
  <c r="AC367" i="13"/>
  <c r="O367" i="13"/>
  <c r="O373" i="13"/>
  <c r="C371" i="13"/>
  <c r="Y369" i="13"/>
  <c r="Y368" i="13"/>
  <c r="O366" i="13"/>
  <c r="C365" i="13"/>
  <c r="O368" i="13"/>
  <c r="Y374" i="13"/>
  <c r="Q382" i="13"/>
  <c r="U382" i="13" s="1"/>
  <c r="H379" i="13"/>
  <c r="Q381" i="13"/>
  <c r="U381" i="13" s="1"/>
  <c r="P380" i="13"/>
  <c r="T385" i="13"/>
  <c r="H380" i="13"/>
  <c r="P379" i="13"/>
  <c r="T380" i="13"/>
  <c r="C93" i="13"/>
  <c r="J93" i="13" s="1"/>
  <c r="E137" i="13"/>
  <c r="C136" i="13"/>
  <c r="G136" i="13" s="1"/>
  <c r="F139" i="13"/>
  <c r="D138" i="13"/>
  <c r="J138" i="13" s="1"/>
  <c r="E140" i="13"/>
  <c r="C139" i="13"/>
  <c r="G139" i="13" s="1"/>
  <c r="D141" i="13"/>
  <c r="F136" i="13"/>
  <c r="D135" i="13"/>
  <c r="J135" i="13" s="1"/>
  <c r="D140" i="13"/>
  <c r="J140" i="13" s="1"/>
  <c r="F138" i="13"/>
  <c r="C138" i="13"/>
  <c r="G138" i="13" s="1"/>
  <c r="E136" i="13"/>
  <c r="E141" i="13"/>
  <c r="C141" i="13"/>
  <c r="G141" i="13" s="1"/>
  <c r="E139" i="13"/>
  <c r="D137" i="13"/>
  <c r="J137" i="13" s="1"/>
  <c r="F135" i="13"/>
  <c r="F140" i="13"/>
  <c r="E138" i="13"/>
  <c r="Q146" i="13"/>
  <c r="N146" i="13"/>
  <c r="O146" i="13" s="1"/>
  <c r="K146" i="13"/>
  <c r="I179" i="13"/>
  <c r="N201" i="13"/>
  <c r="O201" i="13" s="1"/>
  <c r="K201" i="13"/>
  <c r="M201" i="13" s="1"/>
  <c r="D87" i="12"/>
  <c r="C99" i="12"/>
  <c r="C100" i="12"/>
  <c r="G100" i="12" s="1"/>
  <c r="C102" i="12"/>
  <c r="G102" i="12" s="1"/>
  <c r="B101" i="12"/>
  <c r="N105" i="12"/>
  <c r="O105" i="12" s="1"/>
  <c r="K105" i="12"/>
  <c r="M105" i="12" s="1"/>
  <c r="C5" i="13"/>
  <c r="E5" i="13" s="1"/>
  <c r="E4" i="13"/>
  <c r="J47" i="13"/>
  <c r="N100" i="13"/>
  <c r="O100" i="13" s="1"/>
  <c r="M146" i="13"/>
  <c r="K158" i="13"/>
  <c r="M158" i="13" s="1"/>
  <c r="N208" i="13"/>
  <c r="O208" i="13" s="1"/>
  <c r="K208" i="13"/>
  <c r="M208" i="13" s="1"/>
  <c r="T331" i="13"/>
  <c r="AD331" i="13"/>
  <c r="Z329" i="13"/>
  <c r="P327" i="13"/>
  <c r="S326" i="13"/>
  <c r="G324" i="13"/>
  <c r="P332" i="13"/>
  <c r="K329" i="13"/>
  <c r="Q328" i="13"/>
  <c r="O330" i="13"/>
  <c r="S324" i="13"/>
  <c r="P331" i="13"/>
  <c r="O380" i="13"/>
  <c r="C379" i="13"/>
  <c r="Y385" i="13"/>
  <c r="AE382" i="13"/>
  <c r="Y379" i="13"/>
  <c r="S388" i="13"/>
  <c r="O382" i="13"/>
  <c r="O384" i="13"/>
  <c r="S387" i="13"/>
  <c r="AE381" i="13"/>
  <c r="O381" i="13"/>
  <c r="O388" i="13"/>
  <c r="G385" i="13"/>
  <c r="AC381" i="13"/>
  <c r="Y383" i="13"/>
  <c r="Y382" i="13"/>
  <c r="O387" i="13"/>
  <c r="C385" i="13"/>
  <c r="Y380" i="13"/>
  <c r="Y381" i="13"/>
  <c r="O379" i="13"/>
  <c r="I195" i="13"/>
  <c r="Y388" i="13"/>
  <c r="Y384" i="13"/>
  <c r="Y386" i="13"/>
  <c r="C380" i="13"/>
  <c r="Y387" i="13"/>
  <c r="O385" i="13"/>
  <c r="P400" i="13"/>
  <c r="Q395" i="13"/>
  <c r="U395" i="13" s="1"/>
  <c r="P394" i="13"/>
  <c r="H394" i="13"/>
  <c r="P393" i="13"/>
  <c r="T394" i="13"/>
  <c r="H393" i="13"/>
  <c r="T399" i="13"/>
  <c r="Q396" i="13"/>
  <c r="U396" i="13" s="1"/>
  <c r="M147" i="13"/>
  <c r="M163" i="13"/>
  <c r="D194" i="13"/>
  <c r="N207" i="13"/>
  <c r="O207" i="13" s="1"/>
  <c r="K207" i="13"/>
  <c r="M207" i="13" s="1"/>
  <c r="O325" i="13"/>
  <c r="Z327" i="13"/>
  <c r="P329" i="13"/>
  <c r="T332" i="13"/>
  <c r="AD332" i="13"/>
  <c r="O339" i="13"/>
  <c r="T345" i="13"/>
  <c r="AD345" i="13"/>
  <c r="K358" i="13"/>
  <c r="S367" i="13"/>
  <c r="Q355" i="13"/>
  <c r="T374" i="13"/>
  <c r="AD374" i="13"/>
  <c r="Z373" i="13"/>
  <c r="G372" i="13"/>
  <c r="P371" i="13"/>
  <c r="Z371" i="13"/>
  <c r="P369" i="13"/>
  <c r="S368" i="13"/>
  <c r="G366" i="13"/>
  <c r="K371" i="13"/>
  <c r="Q370" i="13"/>
  <c r="P374" i="13"/>
  <c r="O372" i="13"/>
  <c r="S366" i="13"/>
  <c r="Z365" i="13"/>
  <c r="AC374" i="13"/>
  <c r="P373" i="13"/>
  <c r="Z369" i="13"/>
  <c r="Z368" i="13"/>
  <c r="G365" i="13"/>
  <c r="S371" i="13"/>
  <c r="Z374" i="13"/>
  <c r="AC373" i="13"/>
  <c r="I47" i="13"/>
  <c r="D50" i="13" s="1"/>
  <c r="D56" i="13" s="1"/>
  <c r="E199" i="13"/>
  <c r="F201" i="13"/>
  <c r="N215" i="13"/>
  <c r="O215" i="13" s="1"/>
  <c r="M215" i="13"/>
  <c r="Y326" i="13"/>
  <c r="S329" i="13"/>
  <c r="Z332" i="13"/>
  <c r="T343" i="13"/>
  <c r="K365" i="13"/>
  <c r="Z367" i="13"/>
  <c r="Z326" i="13"/>
  <c r="Y328" i="13"/>
  <c r="Y331" i="13"/>
  <c r="P344" i="13"/>
  <c r="Z372" i="13"/>
  <c r="T388" i="13"/>
  <c r="AD388" i="13"/>
  <c r="AD402" i="13"/>
  <c r="T402" i="13"/>
  <c r="K52" i="14"/>
  <c r="M52" i="14" s="1"/>
  <c r="N52" i="14"/>
  <c r="O52" i="14" s="1"/>
  <c r="D48" i="13"/>
  <c r="E146" i="13"/>
  <c r="Y325" i="13"/>
  <c r="Z328" i="13"/>
  <c r="Z331" i="13"/>
  <c r="AC332" i="13"/>
  <c r="F146" i="13"/>
  <c r="N211" i="13"/>
  <c r="O211" i="13" s="1"/>
  <c r="M211" i="13"/>
  <c r="Z325" i="13"/>
  <c r="AC326" i="13"/>
  <c r="C329" i="13"/>
  <c r="O341" i="13"/>
  <c r="K344" i="13"/>
  <c r="O346" i="13"/>
  <c r="T359" i="13"/>
  <c r="AD359" i="13"/>
  <c r="P386" i="13"/>
  <c r="K386" i="13"/>
  <c r="Q397" i="13"/>
  <c r="E3" i="13"/>
  <c r="C88" i="13"/>
  <c r="J88" i="13" s="1"/>
  <c r="F105" i="13"/>
  <c r="E111" i="13"/>
  <c r="N126" i="13"/>
  <c r="O126" i="13" s="1"/>
  <c r="N129" i="13"/>
  <c r="O129" i="13" s="1"/>
  <c r="K155" i="13"/>
  <c r="M155" i="13" s="1"/>
  <c r="J162" i="13"/>
  <c r="C204" i="13"/>
  <c r="G204" i="13" s="1"/>
  <c r="O327" i="13"/>
  <c r="AC331" i="13"/>
  <c r="Z370" i="13"/>
  <c r="H6" i="14"/>
  <c r="F7" i="14"/>
  <c r="H7" i="14" s="1"/>
  <c r="O383" i="13"/>
  <c r="Y345" i="13"/>
  <c r="Y344" i="13"/>
  <c r="Y342" i="13"/>
  <c r="Y339" i="13"/>
  <c r="Y338" i="13"/>
  <c r="O343" i="13"/>
  <c r="S346" i="13"/>
  <c r="O337" i="13"/>
  <c r="AE340" i="13"/>
  <c r="C338" i="13"/>
  <c r="O342" i="13"/>
  <c r="G343" i="13"/>
  <c r="AE339" i="13"/>
  <c r="Y337" i="13"/>
  <c r="O345" i="13"/>
  <c r="Y346" i="13"/>
  <c r="C343" i="13"/>
  <c r="Y341" i="13"/>
  <c r="Y340" i="13"/>
  <c r="O338" i="13"/>
  <c r="C337" i="13"/>
  <c r="H352" i="13"/>
  <c r="P351" i="13"/>
  <c r="Q354" i="13"/>
  <c r="U354" i="13" s="1"/>
  <c r="Q353" i="13"/>
  <c r="U353" i="13" s="1"/>
  <c r="H351" i="13"/>
  <c r="T357" i="13"/>
  <c r="P352" i="13"/>
  <c r="E200" i="13"/>
  <c r="F202" i="13"/>
  <c r="Z323" i="13"/>
  <c r="Y324" i="13"/>
  <c r="Y329" i="13"/>
  <c r="Z330" i="13"/>
  <c r="O332" i="13"/>
  <c r="O340" i="13"/>
  <c r="Q341" i="13"/>
  <c r="Z366" i="13"/>
  <c r="Q383" i="13"/>
  <c r="Z324" i="13"/>
  <c r="G330" i="13"/>
  <c r="T346" i="13"/>
  <c r="AD346" i="13"/>
  <c r="P358" i="13"/>
  <c r="O329" i="13"/>
  <c r="S332" i="13"/>
  <c r="O323" i="13"/>
  <c r="AE326" i="13"/>
  <c r="C324" i="13"/>
  <c r="O328" i="13"/>
  <c r="G329" i="13"/>
  <c r="AE325" i="13"/>
  <c r="Y323" i="13"/>
  <c r="C47" i="13"/>
  <c r="C50" i="13" s="1"/>
  <c r="C56" i="13" s="1"/>
  <c r="O324" i="13"/>
  <c r="C323" i="13"/>
  <c r="I131" i="13"/>
  <c r="H338" i="13"/>
  <c r="P337" i="13"/>
  <c r="Q340" i="13"/>
  <c r="U340" i="13" s="1"/>
  <c r="Q339" i="13"/>
  <c r="U339" i="13" s="1"/>
  <c r="H337" i="13"/>
  <c r="P338" i="13"/>
  <c r="O400" i="13"/>
  <c r="G400" i="13"/>
  <c r="P399" i="13"/>
  <c r="P402" i="13"/>
  <c r="K399" i="13"/>
  <c r="Q398" i="13"/>
  <c r="S399" i="13"/>
  <c r="AC396" i="13"/>
  <c r="Z396" i="13"/>
  <c r="Z394" i="13"/>
  <c r="P401" i="13"/>
  <c r="G394" i="13"/>
  <c r="Z397" i="13"/>
  <c r="Z395" i="13"/>
  <c r="Z399" i="13"/>
  <c r="Z400" i="13"/>
  <c r="K393" i="13"/>
  <c r="AC402" i="13"/>
  <c r="AC401" i="13"/>
  <c r="Z393" i="13"/>
  <c r="S396" i="13"/>
  <c r="S394" i="13"/>
  <c r="Z401" i="13"/>
  <c r="S395" i="13"/>
  <c r="G393" i="13"/>
  <c r="Z402" i="13"/>
  <c r="Z398" i="13"/>
  <c r="P397" i="13"/>
  <c r="F203" i="13"/>
  <c r="D202" i="13"/>
  <c r="J202" i="13" s="1"/>
  <c r="E203" i="13"/>
  <c r="C202" i="13"/>
  <c r="G202" i="13" s="1"/>
  <c r="E204" i="13"/>
  <c r="C203" i="13"/>
  <c r="G203" i="13" s="1"/>
  <c r="D205" i="13"/>
  <c r="F200" i="13"/>
  <c r="D199" i="13"/>
  <c r="J199" i="13" s="1"/>
  <c r="E201" i="13"/>
  <c r="C200" i="13"/>
  <c r="G200" i="13" s="1"/>
  <c r="G323" i="13"/>
  <c r="Y327" i="13"/>
  <c r="O331" i="13"/>
  <c r="S345" i="13"/>
  <c r="P384" i="13"/>
  <c r="N83" i="16"/>
  <c r="O83" i="16" s="1"/>
  <c r="K83" i="16"/>
  <c r="M83" i="16" s="1"/>
  <c r="T347" i="21"/>
  <c r="AD347" i="21"/>
  <c r="K35" i="22"/>
  <c r="N35" i="22"/>
  <c r="O398" i="13"/>
  <c r="Y402" i="13"/>
  <c r="O394" i="13"/>
  <c r="C393" i="13"/>
  <c r="Y401" i="13"/>
  <c r="Y400" i="13"/>
  <c r="Y398" i="13"/>
  <c r="Y395" i="13"/>
  <c r="Y394" i="13"/>
  <c r="S402" i="13"/>
  <c r="Y399" i="13"/>
  <c r="O397" i="13"/>
  <c r="AE396" i="13"/>
  <c r="D153" i="13"/>
  <c r="J153" i="13" s="1"/>
  <c r="C170" i="13"/>
  <c r="G170" i="13" s="1"/>
  <c r="E171" i="13"/>
  <c r="C351" i="13"/>
  <c r="O352" i="13"/>
  <c r="K379" i="13"/>
  <c r="S382" i="13"/>
  <c r="P383" i="13"/>
  <c r="C399" i="13"/>
  <c r="N70" i="16"/>
  <c r="O70" i="16" s="1"/>
  <c r="K70" i="16"/>
  <c r="Y354" i="13"/>
  <c r="Y355" i="13"/>
  <c r="C357" i="13"/>
  <c r="Y360" i="13"/>
  <c r="P366" i="13"/>
  <c r="AA381" i="13"/>
  <c r="P385" i="13"/>
  <c r="G386" i="13"/>
  <c r="Z387" i="13"/>
  <c r="Y393" i="13"/>
  <c r="K400" i="13"/>
  <c r="D68" i="14"/>
  <c r="C68" i="14"/>
  <c r="J68" i="14" s="1"/>
  <c r="C62" i="16"/>
  <c r="J62" i="16" s="1"/>
  <c r="C54" i="16"/>
  <c r="J54" i="16" s="1"/>
  <c r="C46" i="16"/>
  <c r="C52" i="16"/>
  <c r="C74" i="16"/>
  <c r="C80" i="16" s="1"/>
  <c r="C85" i="16" s="1"/>
  <c r="N100" i="16"/>
  <c r="O100" i="16" s="1"/>
  <c r="K100" i="16"/>
  <c r="M100" i="16" s="1"/>
  <c r="O353" i="13"/>
  <c r="AC353" i="13"/>
  <c r="O359" i="13"/>
  <c r="T371" i="13"/>
  <c r="Z386" i="13"/>
  <c r="G399" i="13"/>
  <c r="D43" i="14"/>
  <c r="D36" i="14"/>
  <c r="D65" i="14"/>
  <c r="D71" i="14" s="1"/>
  <c r="D76" i="14" s="1"/>
  <c r="D82" i="14" s="1"/>
  <c r="D86" i="14" s="1"/>
  <c r="D50" i="14"/>
  <c r="C80" i="14"/>
  <c r="J80" i="14" s="1"/>
  <c r="F101" i="14"/>
  <c r="D101" i="14"/>
  <c r="K106" i="14"/>
  <c r="D66" i="16"/>
  <c r="D53" i="16"/>
  <c r="C61" i="16" s="1"/>
  <c r="F66" i="16"/>
  <c r="C66" i="16"/>
  <c r="J66" i="16" s="1"/>
  <c r="D60" i="16"/>
  <c r="C63" i="16"/>
  <c r="J63" i="16" s="1"/>
  <c r="C55" i="16"/>
  <c r="B67" i="16"/>
  <c r="D74" i="16"/>
  <c r="D80" i="16" s="1"/>
  <c r="D85" i="16" s="1"/>
  <c r="D91" i="16" s="1"/>
  <c r="D95" i="16" s="1"/>
  <c r="F65" i="16"/>
  <c r="F62" i="16"/>
  <c r="F63" i="16" s="1"/>
  <c r="F112" i="16"/>
  <c r="C112" i="16"/>
  <c r="J112" i="16"/>
  <c r="C127" i="16"/>
  <c r="J127" i="16"/>
  <c r="D169" i="13"/>
  <c r="J169" i="13" s="1"/>
  <c r="H323" i="13"/>
  <c r="Q325" i="13"/>
  <c r="U325" i="13" s="1"/>
  <c r="Y351" i="13"/>
  <c r="AE353" i="13"/>
  <c r="G357" i="13"/>
  <c r="H365" i="13"/>
  <c r="Q367" i="13"/>
  <c r="U367" i="13" s="1"/>
  <c r="G380" i="13"/>
  <c r="Z384" i="13"/>
  <c r="AC387" i="13"/>
  <c r="Z388" i="13"/>
  <c r="E101" i="14"/>
  <c r="D52" i="16"/>
  <c r="E74" i="16"/>
  <c r="E80" i="16" s="1"/>
  <c r="E85" i="16" s="1"/>
  <c r="E91" i="16" s="1"/>
  <c r="E46" i="16"/>
  <c r="K139" i="16"/>
  <c r="M139" i="16" s="1"/>
  <c r="N139" i="16"/>
  <c r="O139" i="16" s="1"/>
  <c r="O356" i="13"/>
  <c r="Z381" i="13"/>
  <c r="S385" i="13"/>
  <c r="C394" i="13"/>
  <c r="Y397" i="13"/>
  <c r="N84" i="14"/>
  <c r="O84" i="14" s="1"/>
  <c r="D54" i="16"/>
  <c r="N78" i="17"/>
  <c r="O78" i="17" s="1"/>
  <c r="K78" i="17"/>
  <c r="M78" i="17" s="1"/>
  <c r="P387" i="13"/>
  <c r="O401" i="13"/>
  <c r="O402" i="13"/>
  <c r="G96" i="14"/>
  <c r="F96" i="14"/>
  <c r="L39" i="15"/>
  <c r="G48" i="15" s="1"/>
  <c r="F48" i="15"/>
  <c r="D78" i="16"/>
  <c r="C78" i="16"/>
  <c r="J78" i="16" s="1"/>
  <c r="D125" i="16"/>
  <c r="J123" i="16"/>
  <c r="C123" i="16"/>
  <c r="F123" i="16"/>
  <c r="Q326" i="13"/>
  <c r="U326" i="13" s="1"/>
  <c r="C352" i="13"/>
  <c r="AE354" i="13"/>
  <c r="Q368" i="13"/>
  <c r="U368" i="13" s="1"/>
  <c r="Z382" i="13"/>
  <c r="Z383" i="13"/>
  <c r="AC388" i="13"/>
  <c r="O393" i="13"/>
  <c r="Y396" i="13"/>
  <c r="C130" i="16"/>
  <c r="G130" i="16" s="1"/>
  <c r="J130" i="16"/>
  <c r="O355" i="13"/>
  <c r="Y357" i="13"/>
  <c r="AA373" i="13"/>
  <c r="O386" i="13"/>
  <c r="P388" i="13"/>
  <c r="AC395" i="13"/>
  <c r="O399" i="13"/>
  <c r="D62" i="14"/>
  <c r="C62" i="14"/>
  <c r="J62" i="14" s="1"/>
  <c r="N94" i="14"/>
  <c r="O94" i="14" s="1"/>
  <c r="N71" i="16"/>
  <c r="O71" i="16" s="1"/>
  <c r="K71" i="16"/>
  <c r="M71" i="16" s="1"/>
  <c r="O351" i="13"/>
  <c r="S360" i="13"/>
  <c r="AE395" i="13"/>
  <c r="S401" i="13"/>
  <c r="N99" i="14"/>
  <c r="O99" i="14" s="1"/>
  <c r="D46" i="16"/>
  <c r="D65" i="16"/>
  <c r="G103" i="16"/>
  <c r="F103" i="16"/>
  <c r="F148" i="16"/>
  <c r="C148" i="16"/>
  <c r="J148" i="16"/>
  <c r="K163" i="16"/>
  <c r="M163" i="16" s="1"/>
  <c r="N177" i="16"/>
  <c r="O177" i="16" s="1"/>
  <c r="K177" i="16"/>
  <c r="M177" i="16" s="1"/>
  <c r="P323" i="13"/>
  <c r="O357" i="13"/>
  <c r="P365" i="13"/>
  <c r="G379" i="13"/>
  <c r="AC382" i="13"/>
  <c r="K385" i="13"/>
  <c r="O395" i="13"/>
  <c r="AA398" i="13"/>
  <c r="P398" i="13" s="1"/>
  <c r="K67" i="14"/>
  <c r="N74" i="14"/>
  <c r="O74" i="14" s="1"/>
  <c r="Y352" i="13"/>
  <c r="Y353" i="13"/>
  <c r="Y356" i="13"/>
  <c r="Y358" i="13"/>
  <c r="S380" i="13"/>
  <c r="S381" i="13"/>
  <c r="AA387" i="13"/>
  <c r="O396" i="13"/>
  <c r="AA401" i="13"/>
  <c r="M32" i="15"/>
  <c r="N32" i="15" s="1"/>
  <c r="J32" i="15"/>
  <c r="J33" i="15"/>
  <c r="L33" i="15" s="1"/>
  <c r="C65" i="14"/>
  <c r="C71" i="14" s="1"/>
  <c r="C76" i="14" s="1"/>
  <c r="B84" i="14"/>
  <c r="E84" i="14" s="1"/>
  <c r="M84" i="14" s="1"/>
  <c r="M40" i="15"/>
  <c r="N40" i="15" s="1"/>
  <c r="D39" i="16"/>
  <c r="C87" i="16"/>
  <c r="J87" i="16" s="1"/>
  <c r="K101" i="16"/>
  <c r="M101" i="16" s="1"/>
  <c r="F130" i="16"/>
  <c r="N137" i="16"/>
  <c r="O137" i="16" s="1"/>
  <c r="D161" i="16"/>
  <c r="J159" i="16"/>
  <c r="F106" i="16"/>
  <c r="E105" i="16"/>
  <c r="D104" i="16"/>
  <c r="E106" i="16"/>
  <c r="D105" i="16"/>
  <c r="E104" i="16"/>
  <c r="C107" i="16"/>
  <c r="D118" i="16"/>
  <c r="B129" i="16"/>
  <c r="F142" i="16"/>
  <c r="E141" i="16"/>
  <c r="D140" i="16"/>
  <c r="E142" i="16"/>
  <c r="D141" i="16"/>
  <c r="C143" i="16"/>
  <c r="B142" i="16"/>
  <c r="Q300" i="16"/>
  <c r="J32" i="16"/>
  <c r="F104" i="16"/>
  <c r="D107" i="16"/>
  <c r="J107" i="16" s="1"/>
  <c r="D115" i="16"/>
  <c r="E118" i="16"/>
  <c r="C139" i="16"/>
  <c r="B141" i="16"/>
  <c r="N82" i="17"/>
  <c r="O82" i="17" s="1"/>
  <c r="K82" i="17"/>
  <c r="M82" i="17" s="1"/>
  <c r="B117" i="16"/>
  <c r="F118" i="16"/>
  <c r="E129" i="16"/>
  <c r="I29" i="15"/>
  <c r="C34" i="15"/>
  <c r="I34" i="15" s="1"/>
  <c r="B106" i="16"/>
  <c r="K136" i="16"/>
  <c r="M136" i="16" s="1"/>
  <c r="E139" i="16"/>
  <c r="F141" i="16"/>
  <c r="D143" i="16"/>
  <c r="J143" i="16" s="1"/>
  <c r="P284" i="16"/>
  <c r="P292" i="16"/>
  <c r="P293" i="16"/>
  <c r="Q277" i="16"/>
  <c r="Q276" i="16"/>
  <c r="D117" i="16"/>
  <c r="E127" i="16"/>
  <c r="E130" i="16"/>
  <c r="D129" i="16"/>
  <c r="C95" i="17"/>
  <c r="F95" i="17" s="1"/>
  <c r="C93" i="17"/>
  <c r="N103" i="17"/>
  <c r="O103" i="17" s="1"/>
  <c r="K103" i="17"/>
  <c r="M103" i="17" s="1"/>
  <c r="D92" i="14"/>
  <c r="J92" i="14" s="1"/>
  <c r="E34" i="15"/>
  <c r="I41" i="15"/>
  <c r="Q292" i="16"/>
  <c r="Q293" i="16"/>
  <c r="P300" i="16"/>
  <c r="P301" i="16"/>
  <c r="C82" i="16"/>
  <c r="J82" i="16" s="1"/>
  <c r="J99" i="16"/>
  <c r="C99" i="16"/>
  <c r="E103" i="16"/>
  <c r="D106" i="16"/>
  <c r="J113" i="16"/>
  <c r="C113" i="16"/>
  <c r="E117" i="16"/>
  <c r="C124" i="16"/>
  <c r="D128" i="16"/>
  <c r="C131" i="16"/>
  <c r="E163" i="16"/>
  <c r="F166" i="16"/>
  <c r="E165" i="16"/>
  <c r="D164" i="16"/>
  <c r="E166" i="16"/>
  <c r="D165" i="16"/>
  <c r="D167" i="16"/>
  <c r="J167" i="16" s="1"/>
  <c r="B165" i="16"/>
  <c r="C160" i="16"/>
  <c r="N166" i="16"/>
  <c r="O166" i="16" s="1"/>
  <c r="H6" i="17"/>
  <c r="D69" i="17"/>
  <c r="D75" i="17" s="1"/>
  <c r="D80" i="17" s="1"/>
  <c r="D86" i="17" s="1"/>
  <c r="D91" i="17" s="1"/>
  <c r="D48" i="17"/>
  <c r="C56" i="17" s="1"/>
  <c r="J56" i="17" s="1"/>
  <c r="B62" i="17"/>
  <c r="C58" i="17"/>
  <c r="J58" i="17" s="1"/>
  <c r="D41" i="17"/>
  <c r="D60" i="17"/>
  <c r="F60" i="17"/>
  <c r="D49" i="17"/>
  <c r="C60" i="17"/>
  <c r="F57" i="17"/>
  <c r="F58" i="17" s="1"/>
  <c r="C50" i="17"/>
  <c r="N70" i="18"/>
  <c r="O70" i="18" s="1"/>
  <c r="K70" i="18"/>
  <c r="D82" i="16"/>
  <c r="E128" i="16"/>
  <c r="D131" i="16"/>
  <c r="J131" i="16" s="1"/>
  <c r="C137" i="16"/>
  <c r="C163" i="16"/>
  <c r="N178" i="16"/>
  <c r="O178" i="16" s="1"/>
  <c r="M178" i="16"/>
  <c r="N77" i="17"/>
  <c r="O77" i="17" s="1"/>
  <c r="K77" i="17"/>
  <c r="M77" i="17" s="1"/>
  <c r="P308" i="16"/>
  <c r="P309" i="16"/>
  <c r="N94" i="17"/>
  <c r="O94" i="17" s="1"/>
  <c r="K94" i="17"/>
  <c r="M94" i="17" s="1"/>
  <c r="K104" i="17"/>
  <c r="M104" i="17" s="1"/>
  <c r="N104" i="17"/>
  <c r="O104" i="17" s="1"/>
  <c r="J39" i="16"/>
  <c r="Q308" i="16"/>
  <c r="Q309" i="16"/>
  <c r="D88" i="16"/>
  <c r="C88" i="16"/>
  <c r="J88" i="16" s="1"/>
  <c r="C119" i="16"/>
  <c r="B118" i="16"/>
  <c r="E115" i="16"/>
  <c r="D116" i="16"/>
  <c r="D119" i="16"/>
  <c r="J119" i="16" s="1"/>
  <c r="E137" i="16"/>
  <c r="G167" i="16"/>
  <c r="F167" i="16"/>
  <c r="C96" i="17"/>
  <c r="F96" i="17" s="1"/>
  <c r="D95" i="17"/>
  <c r="J95" i="17" s="1"/>
  <c r="D32" i="16"/>
  <c r="E101" i="16"/>
  <c r="F105" i="16"/>
  <c r="E116" i="16"/>
  <c r="E119" i="16"/>
  <c r="N135" i="16"/>
  <c r="O135" i="16" s="1"/>
  <c r="F137" i="16"/>
  <c r="F140" i="16"/>
  <c r="D142" i="16"/>
  <c r="C155" i="16"/>
  <c r="B154" i="16"/>
  <c r="E151" i="16"/>
  <c r="F153" i="16"/>
  <c r="E152" i="16"/>
  <c r="B153" i="16"/>
  <c r="N154" i="16"/>
  <c r="O154" i="16" s="1"/>
  <c r="K160" i="16"/>
  <c r="M160" i="16" s="1"/>
  <c r="E167" i="16"/>
  <c r="C67" i="17"/>
  <c r="J67" i="17" s="1"/>
  <c r="D67" i="17"/>
  <c r="J89" i="17"/>
  <c r="E89" i="17"/>
  <c r="P272" i="17"/>
  <c r="H268" i="17"/>
  <c r="T268" i="17"/>
  <c r="D267" i="17"/>
  <c r="D273" i="17"/>
  <c r="P268" i="17"/>
  <c r="P267" i="17"/>
  <c r="T275" i="17"/>
  <c r="P274" i="17"/>
  <c r="T273" i="17"/>
  <c r="Q269" i="17"/>
  <c r="U269" i="17" s="1"/>
  <c r="Q271" i="17"/>
  <c r="Q270" i="17"/>
  <c r="U270" i="17" s="1"/>
  <c r="D268" i="17"/>
  <c r="N106" i="17"/>
  <c r="O106" i="17" s="1"/>
  <c r="K106" i="17"/>
  <c r="M106" i="17" s="1"/>
  <c r="C68" i="18"/>
  <c r="C74" i="18" s="1"/>
  <c r="C45" i="18"/>
  <c r="C56" i="18"/>
  <c r="J56" i="18" s="1"/>
  <c r="C39" i="18"/>
  <c r="C47" i="18"/>
  <c r="J47" i="18" s="1"/>
  <c r="C47" i="19"/>
  <c r="C58" i="19"/>
  <c r="C51" i="19"/>
  <c r="J51" i="19" s="1"/>
  <c r="C35" i="19"/>
  <c r="C43" i="19"/>
  <c r="J43" i="19" s="1"/>
  <c r="P277" i="16"/>
  <c r="E4" i="17"/>
  <c r="F59" i="17"/>
  <c r="E59" i="17"/>
  <c r="K65" i="17"/>
  <c r="K274" i="17"/>
  <c r="K81" i="18"/>
  <c r="M81" i="18" s="1"/>
  <c r="N81" i="18"/>
  <c r="O81" i="18" s="1"/>
  <c r="N98" i="18"/>
  <c r="O98" i="18" s="1"/>
  <c r="K98" i="18"/>
  <c r="M98" i="18" s="1"/>
  <c r="E37" i="17"/>
  <c r="E39" i="17" s="1"/>
  <c r="G114" i="17"/>
  <c r="F114" i="17"/>
  <c r="AD275" i="17"/>
  <c r="D65" i="18"/>
  <c r="C65" i="18"/>
  <c r="J65" i="18" s="1"/>
  <c r="C129" i="18"/>
  <c r="C131" i="18" s="1"/>
  <c r="G39" i="18" s="1"/>
  <c r="J41" i="19"/>
  <c r="D47" i="19"/>
  <c r="D44" i="19"/>
  <c r="J44" i="19" s="1"/>
  <c r="C135" i="16"/>
  <c r="C149" i="16"/>
  <c r="C57" i="17"/>
  <c r="J57" i="17" s="1"/>
  <c r="C66" i="17"/>
  <c r="J66" i="17" s="1"/>
  <c r="D71" i="17"/>
  <c r="D83" i="17"/>
  <c r="N107" i="17"/>
  <c r="O107" i="17" s="1"/>
  <c r="K107" i="17"/>
  <c r="M107" i="17" s="1"/>
  <c r="K109" i="17"/>
  <c r="M109" i="17" s="1"/>
  <c r="F5" i="17"/>
  <c r="H5" i="17" s="1"/>
  <c r="N121" i="17"/>
  <c r="O121" i="17" s="1"/>
  <c r="D5" i="18"/>
  <c r="F5" i="18" s="1"/>
  <c r="F4" i="18"/>
  <c r="K63" i="19"/>
  <c r="M63" i="19" s="1"/>
  <c r="N63" i="19"/>
  <c r="O63" i="19" s="1"/>
  <c r="N49" i="20"/>
  <c r="O49" i="20" s="1"/>
  <c r="K49" i="20"/>
  <c r="M49" i="20" s="1"/>
  <c r="C41" i="17"/>
  <c r="J71" i="17"/>
  <c r="N42" i="19"/>
  <c r="O42" i="19" s="1"/>
  <c r="K42" i="19"/>
  <c r="M42" i="19" s="1"/>
  <c r="N71" i="19"/>
  <c r="O71" i="19" s="1"/>
  <c r="K71" i="19"/>
  <c r="M71" i="19" s="1"/>
  <c r="C49" i="17"/>
  <c r="J49" i="17" s="1"/>
  <c r="K73" i="17"/>
  <c r="M73" i="17" s="1"/>
  <c r="F6" i="18"/>
  <c r="D7" i="18"/>
  <c r="F7" i="18" s="1"/>
  <c r="N81" i="21"/>
  <c r="O81" i="21" s="1"/>
  <c r="K81" i="21"/>
  <c r="M81" i="21" s="1"/>
  <c r="C7" i="17"/>
  <c r="E7" i="17" s="1"/>
  <c r="E6" i="17"/>
  <c r="D93" i="17"/>
  <c r="H267" i="17"/>
  <c r="D59" i="18"/>
  <c r="C60" i="18"/>
  <c r="J60" i="18" s="1"/>
  <c r="D47" i="18"/>
  <c r="B61" i="18"/>
  <c r="F56" i="18"/>
  <c r="F57" i="18" s="1"/>
  <c r="C48" i="18"/>
  <c r="J48" i="18" s="1"/>
  <c r="F59" i="18"/>
  <c r="D46" i="18"/>
  <c r="D54" i="18"/>
  <c r="D39" i="18"/>
  <c r="F60" i="18"/>
  <c r="D60" i="18"/>
  <c r="N83" i="18"/>
  <c r="O83" i="18" s="1"/>
  <c r="K83" i="18"/>
  <c r="M83" i="18" s="1"/>
  <c r="C47" i="17"/>
  <c r="K88" i="17"/>
  <c r="M88" i="17" s="1"/>
  <c r="N88" i="17"/>
  <c r="O88" i="17" s="1"/>
  <c r="N108" i="17"/>
  <c r="O108" i="17" s="1"/>
  <c r="K108" i="17"/>
  <c r="M108" i="17" s="1"/>
  <c r="N111" i="17"/>
  <c r="O111" i="17" s="1"/>
  <c r="L118" i="17"/>
  <c r="M118" i="17" s="1"/>
  <c r="N123" i="17"/>
  <c r="O123" i="17" s="1"/>
  <c r="D68" i="18"/>
  <c r="D74" i="18" s="1"/>
  <c r="D79" i="18" s="1"/>
  <c r="D85" i="18" s="1"/>
  <c r="D90" i="18" s="1"/>
  <c r="D198" i="19"/>
  <c r="T198" i="19"/>
  <c r="D197" i="19"/>
  <c r="D199" i="19"/>
  <c r="P197" i="19"/>
  <c r="T199" i="19"/>
  <c r="P200" i="19"/>
  <c r="P198" i="19"/>
  <c r="H198" i="19"/>
  <c r="H197" i="19"/>
  <c r="N68" i="19"/>
  <c r="O68" i="19" s="1"/>
  <c r="AD276" i="17"/>
  <c r="T276" i="17"/>
  <c r="E39" i="18"/>
  <c r="D45" i="18"/>
  <c r="E68" i="18"/>
  <c r="E74" i="18" s="1"/>
  <c r="E79" i="18" s="1"/>
  <c r="E85" i="18" s="1"/>
  <c r="E90" i="18" s="1"/>
  <c r="N64" i="18"/>
  <c r="O64" i="18" s="1"/>
  <c r="K64" i="18"/>
  <c r="M64" i="18" s="1"/>
  <c r="K97" i="18"/>
  <c r="N97" i="18"/>
  <c r="O97" i="18" s="1"/>
  <c r="K65" i="19"/>
  <c r="N65" i="19"/>
  <c r="O65" i="19" s="1"/>
  <c r="C107" i="17"/>
  <c r="G107" i="17" s="1"/>
  <c r="E108" i="17"/>
  <c r="G109" i="17"/>
  <c r="N113" i="17"/>
  <c r="O113" i="17" s="1"/>
  <c r="K77" i="18"/>
  <c r="M77" i="18" s="1"/>
  <c r="C97" i="18"/>
  <c r="C99" i="18" s="1"/>
  <c r="D54" i="19"/>
  <c r="D35" i="19"/>
  <c r="C52" i="19"/>
  <c r="J52" i="19" s="1"/>
  <c r="C54" i="19"/>
  <c r="J54" i="19" s="1"/>
  <c r="E63" i="19"/>
  <c r="C62" i="19"/>
  <c r="F66" i="19"/>
  <c r="E65" i="19"/>
  <c r="C64" i="19"/>
  <c r="D67" i="19"/>
  <c r="J67" i="19" s="1"/>
  <c r="C66" i="19"/>
  <c r="G66" i="19" s="1"/>
  <c r="E68" i="19"/>
  <c r="C67" i="19"/>
  <c r="G67" i="19" s="1"/>
  <c r="B66" i="19"/>
  <c r="E67" i="19"/>
  <c r="D3" i="20"/>
  <c r="C3" i="20"/>
  <c r="C4" i="20"/>
  <c r="O138" i="20"/>
  <c r="T139" i="20"/>
  <c r="E46" i="20" s="1"/>
  <c r="AD139" i="20"/>
  <c r="AA141" i="20"/>
  <c r="N62" i="21"/>
  <c r="O62" i="21" s="1"/>
  <c r="K62" i="21"/>
  <c r="M62" i="21" s="1"/>
  <c r="J62" i="19"/>
  <c r="G62" i="19"/>
  <c r="C87" i="19"/>
  <c r="C89" i="19" s="1"/>
  <c r="G35" i="19" s="1"/>
  <c r="AA135" i="20"/>
  <c r="Q135" i="20" s="1"/>
  <c r="P138" i="20"/>
  <c r="K131" i="21"/>
  <c r="M131" i="21" s="1"/>
  <c r="N131" i="21"/>
  <c r="O131" i="21" s="1"/>
  <c r="C108" i="18"/>
  <c r="D108" i="18" s="1"/>
  <c r="F105" i="18"/>
  <c r="F107" i="18"/>
  <c r="E106" i="18"/>
  <c r="C105" i="18"/>
  <c r="C107" i="18" s="1"/>
  <c r="D106" i="18"/>
  <c r="J106" i="18" s="1"/>
  <c r="B105" i="18"/>
  <c r="G105" i="18" s="1"/>
  <c r="N43" i="20"/>
  <c r="O43" i="20" s="1"/>
  <c r="K43" i="20"/>
  <c r="M43" i="20" s="1"/>
  <c r="K90" i="21"/>
  <c r="M90" i="21" s="1"/>
  <c r="N90" i="21"/>
  <c r="O90" i="21" s="1"/>
  <c r="E3" i="18"/>
  <c r="D105" i="18"/>
  <c r="J105" i="18" s="1"/>
  <c r="K69" i="19"/>
  <c r="M69" i="19" s="1"/>
  <c r="D86" i="19"/>
  <c r="G200" i="19"/>
  <c r="T138" i="20"/>
  <c r="Z139" i="20"/>
  <c r="E48" i="20" s="1"/>
  <c r="C105" i="17"/>
  <c r="G105" i="17" s="1"/>
  <c r="E106" i="17"/>
  <c r="D130" i="17"/>
  <c r="D76" i="18"/>
  <c r="C76" i="18"/>
  <c r="J76" i="18" s="1"/>
  <c r="E105" i="18"/>
  <c r="B107" i="18"/>
  <c r="G197" i="19"/>
  <c r="G198" i="19"/>
  <c r="N92" i="21"/>
  <c r="O92" i="21" s="1"/>
  <c r="K92" i="21"/>
  <c r="M92" i="21" s="1"/>
  <c r="Q92" i="21"/>
  <c r="Q190" i="21" s="1"/>
  <c r="F47" i="21" s="1"/>
  <c r="C72" i="17"/>
  <c r="J72" i="17" s="1"/>
  <c r="C84" i="17"/>
  <c r="J84" i="17" s="1"/>
  <c r="D105" i="17"/>
  <c r="J105" i="17" s="1"/>
  <c r="F106" i="17"/>
  <c r="C72" i="18"/>
  <c r="J72" i="18" s="1"/>
  <c r="J85" i="18"/>
  <c r="F99" i="18"/>
  <c r="E101" i="18"/>
  <c r="E41" i="19"/>
  <c r="B42" i="19"/>
  <c r="J64" i="19"/>
  <c r="N72" i="19"/>
  <c r="O72" i="19" s="1"/>
  <c r="T137" i="20"/>
  <c r="AD137" i="20"/>
  <c r="S142" i="20"/>
  <c r="Y141" i="20"/>
  <c r="O140" i="20"/>
  <c r="O139" i="20"/>
  <c r="D45" i="20" s="1"/>
  <c r="O137" i="20"/>
  <c r="C37" i="20"/>
  <c r="G140" i="20"/>
  <c r="S137" i="20"/>
  <c r="Y133" i="20"/>
  <c r="AE132" i="20"/>
  <c r="O132" i="20"/>
  <c r="C38" i="20"/>
  <c r="G38" i="20" s="1"/>
  <c r="C140" i="20"/>
  <c r="O136" i="20"/>
  <c r="O135" i="20"/>
  <c r="O131" i="20"/>
  <c r="D39" i="20"/>
  <c r="S139" i="20"/>
  <c r="D46" i="20" s="1"/>
  <c r="J46" i="20" s="1"/>
  <c r="Y138" i="20"/>
  <c r="O134" i="20"/>
  <c r="C39" i="20"/>
  <c r="G39" i="20" s="1"/>
  <c r="C28" i="20"/>
  <c r="Y132" i="20"/>
  <c r="Y142" i="20"/>
  <c r="S138" i="20"/>
  <c r="Y137" i="20"/>
  <c r="C131" i="20"/>
  <c r="C104" i="17"/>
  <c r="G104" i="17" s="1"/>
  <c r="E105" i="17"/>
  <c r="D107" i="18"/>
  <c r="O200" i="19"/>
  <c r="E5" i="20"/>
  <c r="G5" i="20" s="1"/>
  <c r="G4" i="20"/>
  <c r="G131" i="20"/>
  <c r="AD138" i="20"/>
  <c r="Y140" i="20"/>
  <c r="K59" i="21"/>
  <c r="M59" i="21" s="1"/>
  <c r="N59" i="21"/>
  <c r="O59" i="21" s="1"/>
  <c r="Z133" i="20"/>
  <c r="S132" i="20"/>
  <c r="E38" i="20"/>
  <c r="Q136" i="20"/>
  <c r="P135" i="20"/>
  <c r="E39" i="20"/>
  <c r="Z138" i="20"/>
  <c r="P137" i="20"/>
  <c r="P134" i="20"/>
  <c r="AC132" i="20"/>
  <c r="D28" i="20"/>
  <c r="O142" i="20"/>
  <c r="O141" i="20"/>
  <c r="AC142" i="20"/>
  <c r="S140" i="20"/>
  <c r="Z131" i="20"/>
  <c r="D40" i="20"/>
  <c r="P139" i="20"/>
  <c r="E45" i="20" s="1"/>
  <c r="Z142" i="20"/>
  <c r="Z137" i="20"/>
  <c r="P140" i="20"/>
  <c r="G142" i="20"/>
  <c r="G141" i="20"/>
  <c r="Z136" i="20"/>
  <c r="Z135" i="20"/>
  <c r="Z134" i="20"/>
  <c r="Z141" i="20"/>
  <c r="AC138" i="20"/>
  <c r="Z140" i="20"/>
  <c r="N128" i="21"/>
  <c r="O128" i="21" s="1"/>
  <c r="K128" i="21"/>
  <c r="M128" i="21" s="1"/>
  <c r="W20" i="18"/>
  <c r="K49" i="18"/>
  <c r="M49" i="18" s="1"/>
  <c r="B87" i="18"/>
  <c r="E87" i="18" s="1"/>
  <c r="L87" i="18" s="1"/>
  <c r="J87" i="18"/>
  <c r="F87" i="18"/>
  <c r="D128" i="18"/>
  <c r="K66" i="19"/>
  <c r="M66" i="19" s="1"/>
  <c r="T131" i="20"/>
  <c r="Q132" i="20"/>
  <c r="U132" i="20" s="1"/>
  <c r="P131" i="20"/>
  <c r="E28" i="20"/>
  <c r="T140" i="20"/>
  <c r="Q133" i="20"/>
  <c r="U133" i="20" s="1"/>
  <c r="P136" i="20"/>
  <c r="E97" i="18"/>
  <c r="D99" i="18"/>
  <c r="B98" i="18"/>
  <c r="C100" i="18"/>
  <c r="D100" i="18" s="1"/>
  <c r="F98" i="18"/>
  <c r="M58" i="20"/>
  <c r="Q115" i="21"/>
  <c r="N115" i="21"/>
  <c r="O115" i="21" s="1"/>
  <c r="K115" i="21"/>
  <c r="M115" i="21" s="1"/>
  <c r="E103" i="17"/>
  <c r="C108" i="17"/>
  <c r="G108" i="17" s="1"/>
  <c r="B106" i="18"/>
  <c r="P199" i="19"/>
  <c r="K199" i="19"/>
  <c r="Z197" i="19"/>
  <c r="Z200" i="19"/>
  <c r="Z199" i="19"/>
  <c r="S198" i="19"/>
  <c r="K200" i="19"/>
  <c r="B7" i="20"/>
  <c r="D7" i="20" s="1"/>
  <c r="D6" i="20"/>
  <c r="Z132" i="20"/>
  <c r="Y136" i="20"/>
  <c r="K140" i="20"/>
  <c r="P332" i="21"/>
  <c r="Z336" i="21"/>
  <c r="O335" i="21"/>
  <c r="AC332" i="21"/>
  <c r="Z330" i="21"/>
  <c r="S327" i="21"/>
  <c r="Z326" i="21"/>
  <c r="Z325" i="21"/>
  <c r="Z329" i="21"/>
  <c r="S334" i="21"/>
  <c r="Z328" i="21"/>
  <c r="G336" i="21"/>
  <c r="Z332" i="21"/>
  <c r="AC327" i="21"/>
  <c r="Z335" i="21"/>
  <c r="G335" i="21"/>
  <c r="P334" i="21"/>
  <c r="P333" i="21"/>
  <c r="P331" i="21"/>
  <c r="Q330" i="21"/>
  <c r="AC333" i="21"/>
  <c r="Z327" i="21"/>
  <c r="S326" i="21"/>
  <c r="Z334" i="21"/>
  <c r="P329" i="21"/>
  <c r="S325" i="21"/>
  <c r="P328" i="21"/>
  <c r="AC336" i="21"/>
  <c r="K334" i="21"/>
  <c r="Z333" i="21"/>
  <c r="Z331" i="21"/>
  <c r="AC326" i="21"/>
  <c r="O336" i="21"/>
  <c r="G325" i="21"/>
  <c r="E146" i="21"/>
  <c r="E147" i="21"/>
  <c r="J79" i="21"/>
  <c r="F79" i="21"/>
  <c r="Q265" i="21"/>
  <c r="T334" i="21"/>
  <c r="T325" i="21"/>
  <c r="Q326" i="21"/>
  <c r="U326" i="21" s="1"/>
  <c r="P325" i="21"/>
  <c r="Q327" i="21"/>
  <c r="U327" i="21" s="1"/>
  <c r="J35" i="21"/>
  <c r="N112" i="21"/>
  <c r="O112" i="21" s="1"/>
  <c r="K272" i="21"/>
  <c r="Q297" i="21"/>
  <c r="C42" i="20"/>
  <c r="G42" i="20" s="1"/>
  <c r="E43" i="20"/>
  <c r="C48" i="20"/>
  <c r="G48" i="20" s="1"/>
  <c r="C77" i="21"/>
  <c r="G77" i="21" s="1"/>
  <c r="K91" i="21"/>
  <c r="M91" i="21" s="1"/>
  <c r="D42" i="20"/>
  <c r="J42" i="20" s="1"/>
  <c r="F43" i="20"/>
  <c r="D48" i="20"/>
  <c r="K142" i="20"/>
  <c r="Q294" i="21"/>
  <c r="U294" i="21" s="1"/>
  <c r="P304" i="21"/>
  <c r="T302" i="21"/>
  <c r="Q295" i="21"/>
  <c r="U295" i="21" s="1"/>
  <c r="T293" i="21"/>
  <c r="P293" i="21"/>
  <c r="D83" i="21"/>
  <c r="J83" i="21" s="1"/>
  <c r="J124" i="21"/>
  <c r="N147" i="21"/>
  <c r="O147" i="21" s="1"/>
  <c r="K147" i="21"/>
  <c r="M147" i="21" s="1"/>
  <c r="N161" i="21"/>
  <c r="O161" i="21" s="1"/>
  <c r="Q161" i="21"/>
  <c r="K161" i="21"/>
  <c r="M161" i="21" s="1"/>
  <c r="AC139" i="20"/>
  <c r="D47" i="20" s="1"/>
  <c r="Y352" i="21"/>
  <c r="C350" i="21"/>
  <c r="Y346" i="21"/>
  <c r="Y342" i="21"/>
  <c r="Y341" i="21"/>
  <c r="Y345" i="21"/>
  <c r="AE343" i="21"/>
  <c r="S349" i="21"/>
  <c r="S347" i="21"/>
  <c r="Y344" i="21"/>
  <c r="O343" i="21"/>
  <c r="Y348" i="21"/>
  <c r="C341" i="21"/>
  <c r="S352" i="21"/>
  <c r="Y351" i="21"/>
  <c r="O350" i="21"/>
  <c r="O349" i="21"/>
  <c r="O347" i="21"/>
  <c r="O346" i="21"/>
  <c r="Y343" i="21"/>
  <c r="Y350" i="21"/>
  <c r="O345" i="21"/>
  <c r="AE342" i="21"/>
  <c r="S348" i="21"/>
  <c r="O344" i="21"/>
  <c r="O342" i="21"/>
  <c r="Y349" i="21"/>
  <c r="Y347" i="21"/>
  <c r="G350" i="21"/>
  <c r="O341" i="21"/>
  <c r="O348" i="21"/>
  <c r="C168" i="21"/>
  <c r="D170" i="21"/>
  <c r="C170" i="21"/>
  <c r="G170" i="21" s="1"/>
  <c r="C171" i="21"/>
  <c r="G171" i="21" s="1"/>
  <c r="N107" i="21"/>
  <c r="O107" i="21" s="1"/>
  <c r="K107" i="21"/>
  <c r="M107" i="21" s="1"/>
  <c r="C169" i="21"/>
  <c r="G169" i="21" s="1"/>
  <c r="K271" i="21"/>
  <c r="P271" i="21"/>
  <c r="Q263" i="21"/>
  <c r="U263" i="21" s="1"/>
  <c r="Q262" i="21"/>
  <c r="U262" i="21" s="1"/>
  <c r="T270" i="21"/>
  <c r="P261" i="21"/>
  <c r="T261" i="21"/>
  <c r="Z345" i="21"/>
  <c r="S350" i="21"/>
  <c r="Z344" i="21"/>
  <c r="G341" i="21"/>
  <c r="G352" i="21"/>
  <c r="Z348" i="21"/>
  <c r="AC343" i="21"/>
  <c r="Z351" i="21"/>
  <c r="G351" i="21"/>
  <c r="P350" i="21"/>
  <c r="P349" i="21"/>
  <c r="P347" i="21"/>
  <c r="Q346" i="21"/>
  <c r="AC349" i="21"/>
  <c r="AC347" i="21"/>
  <c r="Z343" i="21"/>
  <c r="S342" i="21"/>
  <c r="Z350" i="21"/>
  <c r="P345" i="21"/>
  <c r="S341" i="21"/>
  <c r="P344" i="21"/>
  <c r="AC352" i="21"/>
  <c r="K350" i="21"/>
  <c r="Z349" i="21"/>
  <c r="Z347" i="21"/>
  <c r="AC342" i="21"/>
  <c r="O352" i="21"/>
  <c r="P348" i="21"/>
  <c r="Z352" i="21"/>
  <c r="O351" i="21"/>
  <c r="Z346" i="21"/>
  <c r="S343" i="21"/>
  <c r="Z342" i="21"/>
  <c r="Z341" i="21"/>
  <c r="E169" i="21"/>
  <c r="E170" i="21"/>
  <c r="D171" i="21"/>
  <c r="N60" i="21"/>
  <c r="O60" i="21" s="1"/>
  <c r="K60" i="21"/>
  <c r="M60" i="21" s="1"/>
  <c r="D99" i="21"/>
  <c r="G99" i="21"/>
  <c r="G115" i="21" s="1"/>
  <c r="N105" i="21"/>
  <c r="O105" i="21" s="1"/>
  <c r="D148" i="21"/>
  <c r="C46" i="20"/>
  <c r="G46" i="20" s="1"/>
  <c r="E47" i="20"/>
  <c r="K50" i="20"/>
  <c r="M50" i="20" s="1"/>
  <c r="S316" i="21"/>
  <c r="O312" i="21"/>
  <c r="O310" i="21"/>
  <c r="Y317" i="21"/>
  <c r="Y315" i="21"/>
  <c r="G318" i="21"/>
  <c r="O309" i="21"/>
  <c r="Y320" i="21"/>
  <c r="C318" i="21"/>
  <c r="Y314" i="21"/>
  <c r="Y310" i="21"/>
  <c r="Y309" i="21"/>
  <c r="Y313" i="21"/>
  <c r="AE311" i="21"/>
  <c r="S317" i="21"/>
  <c r="S315" i="21"/>
  <c r="Y312" i="21"/>
  <c r="O311" i="21"/>
  <c r="Y316" i="21"/>
  <c r="C309" i="21"/>
  <c r="S320" i="21"/>
  <c r="Y319" i="21"/>
  <c r="O318" i="21"/>
  <c r="O317" i="21"/>
  <c r="O315" i="21"/>
  <c r="O314" i="21"/>
  <c r="Y311" i="21"/>
  <c r="Y318" i="21"/>
  <c r="O313" i="21"/>
  <c r="AE310" i="21"/>
  <c r="O316" i="21"/>
  <c r="C124" i="21"/>
  <c r="G124" i="21" s="1"/>
  <c r="C125" i="21"/>
  <c r="G125" i="21" s="1"/>
  <c r="I35" i="21"/>
  <c r="E99" i="21"/>
  <c r="E102" i="21" s="1"/>
  <c r="F102" i="21"/>
  <c r="C122" i="21"/>
  <c r="Q281" i="21"/>
  <c r="F47" i="20"/>
  <c r="AC137" i="20"/>
  <c r="P142" i="20"/>
  <c r="AC320" i="21"/>
  <c r="K318" i="21"/>
  <c r="Z317" i="21"/>
  <c r="Z315" i="21"/>
  <c r="AC310" i="21"/>
  <c r="O320" i="21"/>
  <c r="P316" i="21"/>
  <c r="Z313" i="21"/>
  <c r="S318" i="21"/>
  <c r="Z312" i="21"/>
  <c r="G309" i="21"/>
  <c r="G320" i="21"/>
  <c r="Z316" i="21"/>
  <c r="AC311" i="21"/>
  <c r="Z319" i="21"/>
  <c r="G319" i="21"/>
  <c r="P318" i="21"/>
  <c r="P317" i="21"/>
  <c r="P315" i="21"/>
  <c r="Q314" i="21"/>
  <c r="AC317" i="21"/>
  <c r="AC315" i="21"/>
  <c r="Z311" i="21"/>
  <c r="S310" i="21"/>
  <c r="Z318" i="21"/>
  <c r="P313" i="21"/>
  <c r="S309" i="21"/>
  <c r="P312" i="21"/>
  <c r="Z309" i="21"/>
  <c r="Z310" i="21"/>
  <c r="Z314" i="21"/>
  <c r="Z320" i="21"/>
  <c r="S311" i="21"/>
  <c r="O319" i="21"/>
  <c r="E124" i="21"/>
  <c r="AC316" i="21"/>
  <c r="D125" i="21"/>
  <c r="E123" i="21"/>
  <c r="F85" i="21"/>
  <c r="D84" i="21"/>
  <c r="J84" i="21" s="1"/>
  <c r="E83" i="21"/>
  <c r="C82" i="21"/>
  <c r="G82" i="21" s="1"/>
  <c r="D85" i="21"/>
  <c r="J85" i="21" s="1"/>
  <c r="F82" i="21"/>
  <c r="F86" i="21"/>
  <c r="D82" i="21"/>
  <c r="J82" i="21" s="1"/>
  <c r="D86" i="21"/>
  <c r="J86" i="21" s="1"/>
  <c r="F83" i="21"/>
  <c r="D87" i="21"/>
  <c r="E84" i="21"/>
  <c r="F81" i="21"/>
  <c r="C87" i="21"/>
  <c r="G87" i="21" s="1"/>
  <c r="C84" i="21"/>
  <c r="G84" i="21" s="1"/>
  <c r="E81" i="21"/>
  <c r="K102" i="21"/>
  <c r="M102" i="21" s="1"/>
  <c r="N106" i="21"/>
  <c r="O106" i="21" s="1"/>
  <c r="K106" i="21"/>
  <c r="M106" i="21" s="1"/>
  <c r="N133" i="21"/>
  <c r="O133" i="21" s="1"/>
  <c r="K133" i="21"/>
  <c r="M133" i="21" s="1"/>
  <c r="N137" i="21"/>
  <c r="O137" i="21" s="1"/>
  <c r="K137" i="21"/>
  <c r="M137" i="21" s="1"/>
  <c r="S288" i="21"/>
  <c r="Y287" i="21"/>
  <c r="O286" i="21"/>
  <c r="O285" i="21"/>
  <c r="O283" i="21"/>
  <c r="G286" i="21"/>
  <c r="O277" i="21"/>
  <c r="O284" i="21"/>
  <c r="Y288" i="21"/>
  <c r="Y281" i="21"/>
  <c r="AE279" i="21"/>
  <c r="Y284" i="21"/>
  <c r="C277" i="21"/>
  <c r="Y282" i="21"/>
  <c r="O280" i="21"/>
  <c r="O281" i="21"/>
  <c r="O279" i="21"/>
  <c r="Y283" i="21"/>
  <c r="O278" i="21"/>
  <c r="Y285" i="21"/>
  <c r="O282" i="21"/>
  <c r="Y277" i="21"/>
  <c r="S284" i="21"/>
  <c r="S283" i="21"/>
  <c r="AE278" i="21"/>
  <c r="S285" i="21"/>
  <c r="Y286" i="21"/>
  <c r="C286" i="21"/>
  <c r="Y278" i="21"/>
  <c r="Y279" i="21"/>
  <c r="D78" i="21"/>
  <c r="Y280" i="21"/>
  <c r="C76" i="21"/>
  <c r="E53" i="21"/>
  <c r="E56" i="21" s="1"/>
  <c r="E69" i="21"/>
  <c r="F84" i="21"/>
  <c r="K138" i="21"/>
  <c r="M138" i="21" s="1"/>
  <c r="Q138" i="21"/>
  <c r="D53" i="20"/>
  <c r="J53" i="20" s="1"/>
  <c r="M57" i="20"/>
  <c r="K58" i="21"/>
  <c r="F69" i="21"/>
  <c r="K89" i="21"/>
  <c r="M89" i="21" s="1"/>
  <c r="J145" i="21"/>
  <c r="D146" i="21"/>
  <c r="F145" i="21"/>
  <c r="C44" i="20"/>
  <c r="G44" i="20" s="1"/>
  <c r="E25" i="21"/>
  <c r="T277" i="21"/>
  <c r="T286" i="21"/>
  <c r="Q279" i="21"/>
  <c r="U279" i="21" s="1"/>
  <c r="P277" i="21"/>
  <c r="P288" i="21"/>
  <c r="E76" i="21"/>
  <c r="E79" i="21" s="1"/>
  <c r="Q278" i="21"/>
  <c r="U278" i="21" s="1"/>
  <c r="I45" i="21"/>
  <c r="K69" i="21"/>
  <c r="E82" i="21"/>
  <c r="E87" i="21"/>
  <c r="C123" i="21"/>
  <c r="G123" i="21" s="1"/>
  <c r="N138" i="21"/>
  <c r="O138" i="21" s="1"/>
  <c r="E145" i="21"/>
  <c r="E148" i="21" s="1"/>
  <c r="N181" i="21"/>
  <c r="O181" i="21" s="1"/>
  <c r="K181" i="21"/>
  <c r="M181" i="21" s="1"/>
  <c r="T269" i="21"/>
  <c r="AD269" i="21"/>
  <c r="AC278" i="21"/>
  <c r="Z284" i="21"/>
  <c r="S269" i="21"/>
  <c r="S267" i="21"/>
  <c r="Y264" i="21"/>
  <c r="AE294" i="21"/>
  <c r="AE295" i="21"/>
  <c r="Y269" i="21"/>
  <c r="Y267" i="21"/>
  <c r="AE326" i="21"/>
  <c r="Y265" i="21"/>
  <c r="AE263" i="21"/>
  <c r="Y266" i="21"/>
  <c r="Y263" i="21"/>
  <c r="AE262" i="21"/>
  <c r="AE327" i="21"/>
  <c r="Y272" i="21"/>
  <c r="Y271" i="21"/>
  <c r="O267" i="21"/>
  <c r="O266" i="21"/>
  <c r="O265" i="21"/>
  <c r="Y270" i="21"/>
  <c r="G270" i="21"/>
  <c r="Y268" i="21"/>
  <c r="Y262" i="21"/>
  <c r="C270" i="21"/>
  <c r="O263" i="21"/>
  <c r="C261" i="21"/>
  <c r="S272" i="21"/>
  <c r="O269" i="21"/>
  <c r="C55" i="21"/>
  <c r="G55" i="21" s="1"/>
  <c r="O298" i="21"/>
  <c r="Y295" i="21"/>
  <c r="Y302" i="21"/>
  <c r="O297" i="21"/>
  <c r="S300" i="21"/>
  <c r="G302" i="21"/>
  <c r="O300" i="21"/>
  <c r="Y304" i="21"/>
  <c r="C302" i="21"/>
  <c r="Y298" i="21"/>
  <c r="Y294" i="21"/>
  <c r="Y293" i="21"/>
  <c r="Y297" i="21"/>
  <c r="S301" i="21"/>
  <c r="S299" i="21"/>
  <c r="Y296" i="21"/>
  <c r="O295" i="21"/>
  <c r="Y300" i="21"/>
  <c r="C293" i="21"/>
  <c r="S304" i="21"/>
  <c r="Y303" i="21"/>
  <c r="O302" i="21"/>
  <c r="O301" i="21"/>
  <c r="O299" i="21"/>
  <c r="Y299" i="21"/>
  <c r="O293" i="21"/>
  <c r="O296" i="21"/>
  <c r="O294" i="21"/>
  <c r="C101" i="21"/>
  <c r="G101" i="21" s="1"/>
  <c r="C53" i="21"/>
  <c r="E59" i="21"/>
  <c r="F63" i="21"/>
  <c r="F131" i="21"/>
  <c r="D130" i="21"/>
  <c r="J130" i="21" s="1"/>
  <c r="E129" i="21"/>
  <c r="C128" i="21"/>
  <c r="G128" i="21" s="1"/>
  <c r="D127" i="21"/>
  <c r="J127" i="21" s="1"/>
  <c r="D152" i="21"/>
  <c r="J152" i="21" s="1"/>
  <c r="C155" i="21"/>
  <c r="G155" i="21" s="1"/>
  <c r="E176" i="21"/>
  <c r="C175" i="21"/>
  <c r="G175" i="21" s="1"/>
  <c r="D179" i="21"/>
  <c r="F175" i="21"/>
  <c r="D174" i="21"/>
  <c r="J174" i="21" s="1"/>
  <c r="D173" i="21"/>
  <c r="J173" i="21" s="1"/>
  <c r="E179" i="21"/>
  <c r="D195" i="21"/>
  <c r="T267" i="21"/>
  <c r="AA268" i="21"/>
  <c r="AD283" i="21"/>
  <c r="T283" i="21"/>
  <c r="G272" i="21"/>
  <c r="Z268" i="21"/>
  <c r="AC272" i="21"/>
  <c r="K270" i="21"/>
  <c r="O272" i="21"/>
  <c r="S270" i="21"/>
  <c r="Z264" i="21"/>
  <c r="G261" i="21"/>
  <c r="Z263" i="21"/>
  <c r="P270" i="21"/>
  <c r="P268" i="21"/>
  <c r="Z272" i="21"/>
  <c r="Z271" i="21"/>
  <c r="Z269" i="21"/>
  <c r="AC268" i="21"/>
  <c r="P267" i="21"/>
  <c r="P265" i="21"/>
  <c r="Z270" i="21"/>
  <c r="S263" i="21"/>
  <c r="AC267" i="21"/>
  <c r="P269" i="21"/>
  <c r="Z302" i="21"/>
  <c r="P297" i="21"/>
  <c r="S293" i="21"/>
  <c r="P296" i="21"/>
  <c r="AC304" i="21"/>
  <c r="K302" i="21"/>
  <c r="Z301" i="21"/>
  <c r="Z299" i="21"/>
  <c r="P300" i="21"/>
  <c r="Z304" i="21"/>
  <c r="O303" i="21"/>
  <c r="Z298" i="21"/>
  <c r="S295" i="21"/>
  <c r="Z294" i="21"/>
  <c r="Z293" i="21"/>
  <c r="Z297" i="21"/>
  <c r="S302" i="21"/>
  <c r="Z296" i="21"/>
  <c r="G293" i="21"/>
  <c r="G304" i="21"/>
  <c r="Z300" i="21"/>
  <c r="AC295" i="21"/>
  <c r="Z303" i="21"/>
  <c r="G303" i="21"/>
  <c r="P302" i="21"/>
  <c r="P301" i="21"/>
  <c r="Z295" i="21"/>
  <c r="S294" i="21"/>
  <c r="Q298" i="21"/>
  <c r="C58" i="21"/>
  <c r="G58" i="21" s="1"/>
  <c r="F59" i="21"/>
  <c r="D101" i="21"/>
  <c r="K113" i="21"/>
  <c r="M113" i="21" s="1"/>
  <c r="E127" i="21"/>
  <c r="C130" i="21"/>
  <c r="G130" i="21" s="1"/>
  <c r="C133" i="21"/>
  <c r="G133" i="21" s="1"/>
  <c r="E152" i="21"/>
  <c r="E155" i="21"/>
  <c r="E173" i="21"/>
  <c r="C176" i="21"/>
  <c r="G176" i="21" s="1"/>
  <c r="Z262" i="21"/>
  <c r="AA264" i="21"/>
  <c r="Q264" i="21" s="1"/>
  <c r="AC269" i="21"/>
  <c r="Q313" i="21"/>
  <c r="F152" i="21"/>
  <c r="Z267" i="21"/>
  <c r="P280" i="21"/>
  <c r="Z283" i="21"/>
  <c r="AC294" i="21"/>
  <c r="F130" i="21"/>
  <c r="E133" i="21"/>
  <c r="C151" i="21"/>
  <c r="G151" i="21" s="1"/>
  <c r="F176" i="21"/>
  <c r="C178" i="21"/>
  <c r="G178" i="21" s="1"/>
  <c r="Q266" i="21"/>
  <c r="G271" i="21"/>
  <c r="Q280" i="21"/>
  <c r="P287" i="21"/>
  <c r="K287" i="21"/>
  <c r="F147" i="21"/>
  <c r="D151" i="21"/>
  <c r="J151" i="21" s="1"/>
  <c r="D154" i="21"/>
  <c r="J154" i="21" s="1"/>
  <c r="D178" i="21"/>
  <c r="J178" i="21" s="1"/>
  <c r="K184" i="21"/>
  <c r="M184" i="21" s="1"/>
  <c r="Y261" i="21"/>
  <c r="AC262" i="21"/>
  <c r="AC263" i="21"/>
  <c r="P266" i="21"/>
  <c r="AD267" i="21"/>
  <c r="P309" i="21"/>
  <c r="T318" i="21"/>
  <c r="Q311" i="21"/>
  <c r="U311" i="21" s="1"/>
  <c r="T309" i="21"/>
  <c r="Q312" i="21"/>
  <c r="Q310" i="21"/>
  <c r="U310" i="21" s="1"/>
  <c r="E122" i="21"/>
  <c r="E125" i="21" s="1"/>
  <c r="T350" i="21"/>
  <c r="Q343" i="21"/>
  <c r="U343" i="21" s="1"/>
  <c r="T341" i="21"/>
  <c r="Q342" i="21"/>
  <c r="U342" i="21" s="1"/>
  <c r="P341" i="21"/>
  <c r="D56" i="21"/>
  <c r="D61" i="21"/>
  <c r="J61" i="21" s="1"/>
  <c r="F92" i="21"/>
  <c r="D110" i="21"/>
  <c r="F105" i="21"/>
  <c r="D104" i="21"/>
  <c r="J104" i="21" s="1"/>
  <c r="E109" i="21"/>
  <c r="C108" i="21"/>
  <c r="G108" i="21" s="1"/>
  <c r="F108" i="21"/>
  <c r="K111" i="21"/>
  <c r="M111" i="21" s="1"/>
  <c r="D129" i="21"/>
  <c r="J129" i="21" s="1"/>
  <c r="C132" i="21"/>
  <c r="G132" i="21" s="1"/>
  <c r="E138" i="21"/>
  <c r="E151" i="21"/>
  <c r="K157" i="21"/>
  <c r="M157" i="21" s="1"/>
  <c r="D175" i="21"/>
  <c r="J175" i="21" s="1"/>
  <c r="K176" i="21"/>
  <c r="M176" i="21" s="1"/>
  <c r="E178" i="21"/>
  <c r="N184" i="21"/>
  <c r="O184" i="21" s="1"/>
  <c r="Z261" i="21"/>
  <c r="P282" i="21"/>
  <c r="T315" i="21"/>
  <c r="AD315" i="21"/>
  <c r="E156" i="21"/>
  <c r="F151" i="21"/>
  <c r="D150" i="21"/>
  <c r="J150" i="21" s="1"/>
  <c r="F155" i="21"/>
  <c r="C154" i="21"/>
  <c r="G154" i="21" s="1"/>
  <c r="F154" i="21"/>
  <c r="E175" i="21"/>
  <c r="F178" i="21"/>
  <c r="Z266" i="21"/>
  <c r="D25" i="21"/>
  <c r="Z287" i="21"/>
  <c r="G287" i="21"/>
  <c r="P286" i="21"/>
  <c r="P285" i="21"/>
  <c r="P283" i="21"/>
  <c r="Q282" i="21"/>
  <c r="AC285" i="21"/>
  <c r="AC283" i="21"/>
  <c r="Z279" i="21"/>
  <c r="S278" i="21"/>
  <c r="O288" i="21"/>
  <c r="P284" i="21"/>
  <c r="Z288" i="21"/>
  <c r="O287" i="21"/>
  <c r="Z282" i="21"/>
  <c r="S279" i="21"/>
  <c r="Z278" i="21"/>
  <c r="Z277" i="21"/>
  <c r="S286" i="21"/>
  <c r="Z280" i="21"/>
  <c r="AC288" i="21"/>
  <c r="P281" i="21"/>
  <c r="Z285" i="21"/>
  <c r="G277" i="21"/>
  <c r="AC279" i="21"/>
  <c r="K286" i="21"/>
  <c r="Z286" i="21"/>
  <c r="Z281" i="21"/>
  <c r="S277" i="21"/>
  <c r="D45" i="21"/>
  <c r="D55" i="21"/>
  <c r="C60" i="21"/>
  <c r="G60" i="21" s="1"/>
  <c r="F61" i="21"/>
  <c r="E132" i="21"/>
  <c r="C150" i="21"/>
  <c r="G150" i="21" s="1"/>
  <c r="C153" i="21"/>
  <c r="G153" i="21" s="1"/>
  <c r="N180" i="21"/>
  <c r="O180" i="21" s="1"/>
  <c r="K180" i="21"/>
  <c r="M180" i="21" s="1"/>
  <c r="O261" i="21"/>
  <c r="O271" i="21"/>
  <c r="E150" i="21"/>
  <c r="D153" i="21"/>
  <c r="J153" i="21" s="1"/>
  <c r="C156" i="21"/>
  <c r="G156" i="21" s="1"/>
  <c r="O262" i="21"/>
  <c r="O270" i="21"/>
  <c r="P272" i="21"/>
  <c r="T272" i="21"/>
  <c r="AD272" i="21" s="1"/>
  <c r="AD285" i="21"/>
  <c r="T285" i="21"/>
  <c r="D64" i="21"/>
  <c r="E63" i="21"/>
  <c r="C62" i="21"/>
  <c r="G62" i="21" s="1"/>
  <c r="E60" i="21"/>
  <c r="C102" i="21"/>
  <c r="G102" i="21" s="1"/>
  <c r="C131" i="21"/>
  <c r="G131" i="21" s="1"/>
  <c r="F150" i="21"/>
  <c r="E153" i="21"/>
  <c r="D156" i="21"/>
  <c r="E174" i="21"/>
  <c r="D177" i="21"/>
  <c r="J177" i="21" s="1"/>
  <c r="O264" i="21"/>
  <c r="O268" i="21"/>
  <c r="T284" i="21"/>
  <c r="G334" i="21"/>
  <c r="O325" i="21"/>
  <c r="O332" i="21"/>
  <c r="Y336" i="21"/>
  <c r="C334" i="21"/>
  <c r="Y330" i="21"/>
  <c r="Y326" i="21"/>
  <c r="Y325" i="21"/>
  <c r="Y329" i="21"/>
  <c r="S333" i="21"/>
  <c r="S331" i="21"/>
  <c r="Y328" i="21"/>
  <c r="O327" i="21"/>
  <c r="Y332" i="21"/>
  <c r="C325" i="21"/>
  <c r="S336" i="21"/>
  <c r="Y335" i="21"/>
  <c r="O334" i="21"/>
  <c r="O333" i="21"/>
  <c r="O331" i="21"/>
  <c r="O330" i="21"/>
  <c r="Y327" i="21"/>
  <c r="Y334" i="21"/>
  <c r="O329" i="21"/>
  <c r="S332" i="21"/>
  <c r="O328" i="21"/>
  <c r="O326" i="21"/>
  <c r="Y333" i="21"/>
  <c r="Y331" i="21"/>
  <c r="C147" i="21"/>
  <c r="G147" i="21" s="1"/>
  <c r="AA300" i="21"/>
  <c r="K351" i="21"/>
  <c r="P351" i="21"/>
  <c r="AC301" i="21"/>
  <c r="AC331" i="21"/>
  <c r="N58" i="23"/>
  <c r="O58" i="23" s="1"/>
  <c r="K58" i="23"/>
  <c r="M58" i="23" s="1"/>
  <c r="Q296" i="21"/>
  <c r="T299" i="21"/>
  <c r="P320" i="21"/>
  <c r="T333" i="21"/>
  <c r="AD333" i="21"/>
  <c r="Q344" i="21"/>
  <c r="N41" i="22"/>
  <c r="O41" i="22" s="1"/>
  <c r="K41" i="22"/>
  <c r="M41" i="22" s="1"/>
  <c r="AC300" i="21"/>
  <c r="P330" i="21"/>
  <c r="P314" i="21"/>
  <c r="P319" i="21"/>
  <c r="K319" i="21"/>
  <c r="Q328" i="21"/>
  <c r="K37" i="22"/>
  <c r="F55" i="22" s="1"/>
  <c r="Q37" i="22"/>
  <c r="Q50" i="22" s="1"/>
  <c r="C31" i="22" s="1"/>
  <c r="N37" i="22"/>
  <c r="O37" i="22" s="1"/>
  <c r="K336" i="21"/>
  <c r="T336" i="21"/>
  <c r="AD336" i="21" s="1"/>
  <c r="P336" i="21"/>
  <c r="P346" i="21"/>
  <c r="T349" i="21"/>
  <c r="AD349" i="21"/>
  <c r="AD284" i="21"/>
  <c r="P298" i="21"/>
  <c r="AD299" i="21"/>
  <c r="P303" i="21"/>
  <c r="K303" i="21"/>
  <c r="K304" i="21"/>
  <c r="T317" i="21"/>
  <c r="AD317" i="21"/>
  <c r="AD332" i="21"/>
  <c r="T332" i="21"/>
  <c r="T288" i="21"/>
  <c r="AD288" i="21" s="1"/>
  <c r="K288" i="21"/>
  <c r="AC299" i="21"/>
  <c r="AA326" i="21"/>
  <c r="T348" i="21"/>
  <c r="AD348" i="21"/>
  <c r="N51" i="23"/>
  <c r="O51" i="23" s="1"/>
  <c r="K51" i="23"/>
  <c r="M51" i="23" s="1"/>
  <c r="AD316" i="21"/>
  <c r="T316" i="21"/>
  <c r="Q345" i="21"/>
  <c r="T301" i="21"/>
  <c r="AD301" i="21"/>
  <c r="Q329" i="21"/>
  <c r="N42" i="22"/>
  <c r="O42" i="22" s="1"/>
  <c r="K42" i="22"/>
  <c r="M42" i="22" s="1"/>
  <c r="AC284" i="21"/>
  <c r="T331" i="21"/>
  <c r="AD331" i="21"/>
  <c r="P335" i="21"/>
  <c r="K335" i="21"/>
  <c r="AC348" i="21"/>
  <c r="K352" i="21"/>
  <c r="C40" i="23"/>
  <c r="J40" i="23" s="1"/>
  <c r="T180" i="23"/>
  <c r="O48" i="24"/>
  <c r="P48" i="24" s="1"/>
  <c r="R48" i="24" s="1"/>
  <c r="C56" i="25"/>
  <c r="Q45" i="25"/>
  <c r="N45" i="25"/>
  <c r="O45" i="25" s="1"/>
  <c r="K45" i="25"/>
  <c r="Q48" i="25"/>
  <c r="N48" i="25"/>
  <c r="O48" i="25" s="1"/>
  <c r="K48" i="25"/>
  <c r="E41" i="22"/>
  <c r="D38" i="23"/>
  <c r="C46" i="23" s="1"/>
  <c r="K67" i="23"/>
  <c r="M67" i="23" s="1"/>
  <c r="O29" i="24"/>
  <c r="P29" i="24" s="1"/>
  <c r="R29" i="24" s="1"/>
  <c r="L46" i="24"/>
  <c r="O66" i="24"/>
  <c r="P66" i="24" s="1"/>
  <c r="R66" i="24" s="1"/>
  <c r="O70" i="24"/>
  <c r="P70" i="24" s="1"/>
  <c r="R70" i="24" s="1"/>
  <c r="L50" i="25"/>
  <c r="L57" i="25"/>
  <c r="L51" i="25"/>
  <c r="L56" i="25"/>
  <c r="L48" i="25"/>
  <c r="M48" i="25" s="1"/>
  <c r="L49" i="25"/>
  <c r="T320" i="21"/>
  <c r="AD320" i="21" s="1"/>
  <c r="P352" i="21"/>
  <c r="N64" i="23"/>
  <c r="O64" i="23" s="1"/>
  <c r="K64" i="23"/>
  <c r="M64" i="23" s="1"/>
  <c r="P179" i="23"/>
  <c r="AD183" i="23"/>
  <c r="O7" i="24"/>
  <c r="P7" i="24" s="1"/>
  <c r="R7" i="24" s="1"/>
  <c r="O24" i="24"/>
  <c r="P24" i="24" s="1"/>
  <c r="R24" i="24" s="1"/>
  <c r="O12" i="24"/>
  <c r="P12" i="24" s="1"/>
  <c r="R12" i="24" s="1"/>
  <c r="C54" i="23"/>
  <c r="C37" i="23"/>
  <c r="C39" i="23"/>
  <c r="J39" i="23" s="1"/>
  <c r="C31" i="23"/>
  <c r="C5" i="25"/>
  <c r="F5" i="25" s="1"/>
  <c r="F4" i="25"/>
  <c r="D35" i="22"/>
  <c r="J43" i="22"/>
  <c r="E43" i="22"/>
  <c r="F50" i="23"/>
  <c r="B52" i="23"/>
  <c r="C48" i="23"/>
  <c r="J48" i="23" s="1"/>
  <c r="D39" i="23"/>
  <c r="D45" i="23"/>
  <c r="D31" i="23"/>
  <c r="D54" i="23"/>
  <c r="F49" i="23"/>
  <c r="E49" i="23"/>
  <c r="G58" i="23"/>
  <c r="K60" i="23"/>
  <c r="M60" i="23" s="1"/>
  <c r="N62" i="23"/>
  <c r="O62" i="23" s="1"/>
  <c r="P177" i="23"/>
  <c r="K180" i="23"/>
  <c r="T183" i="23"/>
  <c r="L10" i="24"/>
  <c r="O47" i="24"/>
  <c r="P47" i="24" s="1"/>
  <c r="R47" i="24" s="1"/>
  <c r="Q42" i="25"/>
  <c r="Q65" i="25" s="1"/>
  <c r="C37" i="25" s="1"/>
  <c r="N42" i="25"/>
  <c r="K42" i="25"/>
  <c r="M42" i="25" s="1"/>
  <c r="K320" i="21"/>
  <c r="T352" i="21"/>
  <c r="AD352" i="21" s="1"/>
  <c r="AD182" i="23"/>
  <c r="O42" i="24"/>
  <c r="P42" i="24" s="1"/>
  <c r="R42" i="24" s="1"/>
  <c r="D56" i="25"/>
  <c r="C57" i="25" s="1"/>
  <c r="J57" i="25" s="1"/>
  <c r="D49" i="25"/>
  <c r="J40" i="22"/>
  <c r="C47" i="23"/>
  <c r="J47" i="23" s="1"/>
  <c r="O30" i="24"/>
  <c r="P30" i="24" s="1"/>
  <c r="R30" i="24" s="1"/>
  <c r="O65" i="24"/>
  <c r="P65" i="24" s="1"/>
  <c r="R65" i="24" s="1"/>
  <c r="M63" i="25"/>
  <c r="K69" i="23"/>
  <c r="M69" i="23" s="1"/>
  <c r="Q69" i="23"/>
  <c r="Q75" i="23" s="1"/>
  <c r="C33" i="23" s="1"/>
  <c r="N69" i="23"/>
  <c r="O69" i="23" s="1"/>
  <c r="C81" i="23"/>
  <c r="C83" i="23" s="1"/>
  <c r="G31" i="23" s="1"/>
  <c r="D80" i="23"/>
  <c r="L17" i="24"/>
  <c r="O17" i="24" s="1"/>
  <c r="P17" i="24" s="1"/>
  <c r="R17" i="24" s="1"/>
  <c r="O34" i="24"/>
  <c r="P34" i="24" s="1"/>
  <c r="R34" i="24" s="1"/>
  <c r="D40" i="23"/>
  <c r="C50" i="23" s="1"/>
  <c r="J50" i="23" s="1"/>
  <c r="D43" i="23"/>
  <c r="D44" i="23" s="1"/>
  <c r="C44" i="23"/>
  <c r="J44" i="23" s="1"/>
  <c r="F47" i="23"/>
  <c r="F48" i="23" s="1"/>
  <c r="N63" i="23"/>
  <c r="O63" i="23" s="1"/>
  <c r="K63" i="23"/>
  <c r="M63" i="23" s="1"/>
  <c r="O11" i="24"/>
  <c r="P11" i="24" s="1"/>
  <c r="R11" i="24" s="1"/>
  <c r="L15" i="24"/>
  <c r="O15" i="24" s="1"/>
  <c r="P15" i="24" s="1"/>
  <c r="R15" i="24" s="1"/>
  <c r="L28" i="24"/>
  <c r="O28" i="24" s="1"/>
  <c r="P28" i="24" s="1"/>
  <c r="R28" i="24" s="1"/>
  <c r="D50" i="23"/>
  <c r="AD181" i="23"/>
  <c r="O32" i="24"/>
  <c r="P32" i="24" s="1"/>
  <c r="R32" i="24" s="1"/>
  <c r="L43" i="24"/>
  <c r="O43" i="24" s="1"/>
  <c r="P43" i="24" s="1"/>
  <c r="R43" i="24" s="1"/>
  <c r="O52" i="24"/>
  <c r="P52" i="24" s="1"/>
  <c r="R52" i="24" s="1"/>
  <c r="O63" i="24"/>
  <c r="P63" i="24" s="1"/>
  <c r="R63" i="24" s="1"/>
  <c r="M45" i="25"/>
  <c r="K66" i="23"/>
  <c r="M66" i="23" s="1"/>
  <c r="K68" i="23"/>
  <c r="M68" i="23" s="1"/>
  <c r="J8" i="24"/>
  <c r="L8" i="24" s="1"/>
  <c r="O8" i="24" s="1"/>
  <c r="P8" i="24" s="1"/>
  <c r="R8" i="24" s="1"/>
  <c r="J26" i="24"/>
  <c r="L26" i="24" s="1"/>
  <c r="O26" i="24" s="1"/>
  <c r="P26" i="24" s="1"/>
  <c r="R26" i="24" s="1"/>
  <c r="J44" i="24"/>
  <c r="L44" i="24" s="1"/>
  <c r="O44" i="24" s="1"/>
  <c r="P44" i="24" s="1"/>
  <c r="R44" i="24" s="1"/>
  <c r="J62" i="24"/>
  <c r="L62" i="24" s="1"/>
  <c r="O62" i="24" s="1"/>
  <c r="P62" i="24" s="1"/>
  <c r="R62" i="24" s="1"/>
  <c r="E3" i="25"/>
  <c r="C44" i="25"/>
  <c r="F55" i="25"/>
  <c r="E54" i="23"/>
  <c r="K179" i="23" s="1"/>
  <c r="M10" i="24"/>
  <c r="N10" i="24" s="1"/>
  <c r="M28" i="24"/>
  <c r="N28" i="24" s="1"/>
  <c r="M46" i="24"/>
  <c r="N46" i="24" s="1"/>
  <c r="M64" i="24"/>
  <c r="N64" i="24" s="1"/>
  <c r="O64" i="24" s="1"/>
  <c r="P64" i="24" s="1"/>
  <c r="R64" i="24" s="1"/>
  <c r="C43" i="25"/>
  <c r="J43" i="25" s="1"/>
  <c r="D44" i="25"/>
  <c r="C52" i="25"/>
  <c r="C59" i="23"/>
  <c r="E60" i="23"/>
  <c r="D43" i="25"/>
  <c r="D59" i="23"/>
  <c r="J17" i="24"/>
  <c r="J35" i="24"/>
  <c r="L35" i="24" s="1"/>
  <c r="O35" i="24" s="1"/>
  <c r="P35" i="24" s="1"/>
  <c r="R35" i="24" s="1"/>
  <c r="J53" i="24"/>
  <c r="L53" i="24" s="1"/>
  <c r="O53" i="24" s="1"/>
  <c r="P53" i="24" s="1"/>
  <c r="R53" i="24" s="1"/>
  <c r="J71" i="24"/>
  <c r="L71" i="24" s="1"/>
  <c r="O71" i="24" s="1"/>
  <c r="P71" i="24" s="1"/>
  <c r="R71" i="24" s="1"/>
  <c r="J33" i="24"/>
  <c r="L33" i="24" s="1"/>
  <c r="O33" i="24" s="1"/>
  <c r="P33" i="24" s="1"/>
  <c r="R33" i="24" s="1"/>
  <c r="J51" i="24"/>
  <c r="L51" i="24" s="1"/>
  <c r="O51" i="24" s="1"/>
  <c r="P51" i="24" s="1"/>
  <c r="R51" i="24" s="1"/>
  <c r="J69" i="24"/>
  <c r="L69" i="24" s="1"/>
  <c r="O69" i="24" s="1"/>
  <c r="P69" i="24" s="1"/>
  <c r="R69" i="24" s="1"/>
  <c r="D83" i="24"/>
  <c r="C50" i="25"/>
  <c r="D50" i="25"/>
  <c r="D35" i="25"/>
  <c r="C49" i="25"/>
  <c r="J49" i="25" s="1"/>
  <c r="C53" i="25"/>
  <c r="J53" i="25" s="1"/>
  <c r="C55" i="25"/>
  <c r="J55" i="25" s="1"/>
  <c r="F56" i="25"/>
  <c r="G99" i="12" l="1"/>
  <c r="J99" i="12"/>
  <c r="F103" i="12"/>
  <c r="G103" i="12"/>
  <c r="G98" i="12"/>
  <c r="J98" i="12"/>
  <c r="L98" i="12" s="1"/>
  <c r="C49" i="15"/>
  <c r="D49" i="15" s="1"/>
  <c r="C50" i="15"/>
  <c r="C52" i="5"/>
  <c r="C53" i="5"/>
  <c r="C55" i="5" s="1"/>
  <c r="F25" i="5" s="1"/>
  <c r="D52" i="5"/>
  <c r="Q107" i="1"/>
  <c r="R107" i="1" s="1"/>
  <c r="N107" i="1"/>
  <c r="O107" i="1" s="1"/>
  <c r="N79" i="1"/>
  <c r="O79" i="1" s="1"/>
  <c r="R79" i="1"/>
  <c r="Q79" i="1"/>
  <c r="C69" i="1"/>
  <c r="N105" i="1"/>
  <c r="O105" i="1" s="1"/>
  <c r="K105" i="1"/>
  <c r="M105" i="1" s="1"/>
  <c r="K86" i="1"/>
  <c r="M86" i="1" s="1"/>
  <c r="Q86" i="1"/>
  <c r="R86" i="1"/>
  <c r="N86" i="1"/>
  <c r="O86" i="1" s="1"/>
  <c r="R80" i="1"/>
  <c r="Q80" i="1"/>
  <c r="N80" i="1"/>
  <c r="O80" i="1" s="1"/>
  <c r="K80" i="1"/>
  <c r="M80" i="1" s="1"/>
  <c r="M106" i="14"/>
  <c r="K93" i="14"/>
  <c r="M93" i="14" s="1"/>
  <c r="N93" i="14"/>
  <c r="O93" i="14" s="1"/>
  <c r="N91" i="14"/>
  <c r="O91" i="14" s="1"/>
  <c r="K91" i="14"/>
  <c r="M91" i="14" s="1"/>
  <c r="N96" i="14"/>
  <c r="O96" i="14" s="1"/>
  <c r="K96" i="14"/>
  <c r="M96" i="14" s="1"/>
  <c r="N95" i="14"/>
  <c r="O95" i="14" s="1"/>
  <c r="K95" i="14"/>
  <c r="M95" i="14" s="1"/>
  <c r="N90" i="14"/>
  <c r="O90" i="14" s="1"/>
  <c r="K90" i="14"/>
  <c r="M90" i="14" s="1"/>
  <c r="N78" i="14"/>
  <c r="O78" i="14" s="1"/>
  <c r="K78" i="14"/>
  <c r="M78" i="14" s="1"/>
  <c r="K63" i="14"/>
  <c r="M63" i="14" s="1"/>
  <c r="N63" i="14"/>
  <c r="O63" i="14" s="1"/>
  <c r="D48" i="14"/>
  <c r="D45" i="14"/>
  <c r="N44" i="14"/>
  <c r="O44" i="14" s="1"/>
  <c r="K44" i="14"/>
  <c r="M44" i="14" s="1"/>
  <c r="J42" i="14"/>
  <c r="C48" i="14"/>
  <c r="N79" i="14"/>
  <c r="O79" i="14" s="1"/>
  <c r="K79" i="14"/>
  <c r="M79" i="14" s="1"/>
  <c r="K73" i="14"/>
  <c r="M73" i="14" s="1"/>
  <c r="N73" i="14"/>
  <c r="O73" i="14" s="1"/>
  <c r="K69" i="14"/>
  <c r="M69" i="14" s="1"/>
  <c r="N69" i="14"/>
  <c r="O69" i="14" s="1"/>
  <c r="N61" i="14"/>
  <c r="O61" i="14" s="1"/>
  <c r="K61" i="14"/>
  <c r="K217" i="14"/>
  <c r="T219" i="14"/>
  <c r="P215" i="14"/>
  <c r="T218" i="14"/>
  <c r="Q214" i="14"/>
  <c r="P217" i="14"/>
  <c r="AD219" i="14"/>
  <c r="T210" i="14"/>
  <c r="P210" i="14"/>
  <c r="H210" i="14"/>
  <c r="P209" i="14"/>
  <c r="D216" i="14"/>
  <c r="Q213" i="14"/>
  <c r="T216" i="14"/>
  <c r="D210" i="14"/>
  <c r="AD218" i="14"/>
  <c r="H209" i="14"/>
  <c r="D209" i="14"/>
  <c r="Q211" i="14"/>
  <c r="U211" i="14" s="1"/>
  <c r="Q212" i="14"/>
  <c r="U212" i="14" s="1"/>
  <c r="D58" i="14"/>
  <c r="F58" i="14"/>
  <c r="C58" i="14"/>
  <c r="J58" i="14" s="1"/>
  <c r="J45" i="14"/>
  <c r="D57" i="14"/>
  <c r="F53" i="14"/>
  <c r="C53" i="14"/>
  <c r="J53" i="14" s="1"/>
  <c r="K53" i="14" s="1"/>
  <c r="M53" i="14" s="1"/>
  <c r="N214" i="13"/>
  <c r="O214" i="13" s="1"/>
  <c r="K214" i="13"/>
  <c r="M214" i="13" s="1"/>
  <c r="N210" i="13"/>
  <c r="O210" i="13" s="1"/>
  <c r="K210" i="13"/>
  <c r="M210" i="13" s="1"/>
  <c r="Q210" i="13"/>
  <c r="J173" i="13"/>
  <c r="F173" i="13"/>
  <c r="K172" i="13"/>
  <c r="M172" i="13" s="1"/>
  <c r="N172" i="13"/>
  <c r="O172" i="13" s="1"/>
  <c r="K168" i="13"/>
  <c r="M168" i="13" s="1"/>
  <c r="N168" i="13"/>
  <c r="O168" i="13" s="1"/>
  <c r="K152" i="13"/>
  <c r="M152" i="13" s="1"/>
  <c r="N152" i="13"/>
  <c r="O152" i="13" s="1"/>
  <c r="J157" i="13"/>
  <c r="F157" i="13"/>
  <c r="N121" i="13"/>
  <c r="O121" i="13" s="1"/>
  <c r="K121" i="13"/>
  <c r="M121" i="13" s="1"/>
  <c r="K115" i="13"/>
  <c r="M115" i="13" s="1"/>
  <c r="N115" i="13"/>
  <c r="O115" i="13" s="1"/>
  <c r="K112" i="13"/>
  <c r="M112" i="13" s="1"/>
  <c r="N112" i="13"/>
  <c r="O112" i="13" s="1"/>
  <c r="N105" i="13"/>
  <c r="O105" i="13" s="1"/>
  <c r="K105" i="13"/>
  <c r="M105" i="13" s="1"/>
  <c r="K104" i="13"/>
  <c r="M104" i="13" s="1"/>
  <c r="N104" i="13"/>
  <c r="O104" i="13" s="1"/>
  <c r="E50" i="13"/>
  <c r="E56" i="13" s="1"/>
  <c r="N203" i="13"/>
  <c r="O203" i="13" s="1"/>
  <c r="K203" i="13"/>
  <c r="M203" i="13" s="1"/>
  <c r="K167" i="13"/>
  <c r="M167" i="13" s="1"/>
  <c r="N167" i="13"/>
  <c r="O167" i="13" s="1"/>
  <c r="K151" i="13"/>
  <c r="M151" i="13" s="1"/>
  <c r="N151" i="13"/>
  <c r="O151" i="13" s="1"/>
  <c r="N156" i="13"/>
  <c r="O156" i="13" s="1"/>
  <c r="K156" i="13"/>
  <c r="M156" i="13" s="1"/>
  <c r="K154" i="13"/>
  <c r="M154" i="13" s="1"/>
  <c r="N154" i="13"/>
  <c r="O154" i="13" s="1"/>
  <c r="K136" i="13"/>
  <c r="M136" i="13" s="1"/>
  <c r="N136" i="13"/>
  <c r="O136" i="13" s="1"/>
  <c r="K124" i="13"/>
  <c r="M124" i="13" s="1"/>
  <c r="N124" i="13"/>
  <c r="O124" i="13" s="1"/>
  <c r="K113" i="13"/>
  <c r="M113" i="13" s="1"/>
  <c r="N113" i="13"/>
  <c r="O113" i="13" s="1"/>
  <c r="Q117" i="1"/>
  <c r="R117" i="1"/>
  <c r="K110" i="1"/>
  <c r="M110" i="1" s="1"/>
  <c r="Q110" i="1"/>
  <c r="R109" i="1"/>
  <c r="K109" i="1"/>
  <c r="M109" i="1" s="1"/>
  <c r="E113" i="1"/>
  <c r="L113" i="1" s="1"/>
  <c r="J113" i="1"/>
  <c r="J114" i="17"/>
  <c r="L114" i="17"/>
  <c r="K117" i="1"/>
  <c r="M117" i="1" s="1"/>
  <c r="N117" i="1"/>
  <c r="O117" i="1" s="1"/>
  <c r="N111" i="1"/>
  <c r="O111" i="1" s="1"/>
  <c r="R111" i="1"/>
  <c r="N110" i="1"/>
  <c r="O110" i="1" s="1"/>
  <c r="R110" i="1"/>
  <c r="F69" i="1"/>
  <c r="D69" i="1"/>
  <c r="J69" i="1" s="1"/>
  <c r="C53" i="12"/>
  <c r="D64" i="12"/>
  <c r="D44" i="12"/>
  <c r="F60" i="12"/>
  <c r="F61" i="12" s="1"/>
  <c r="B65" i="12"/>
  <c r="D72" i="12"/>
  <c r="D78" i="12" s="1"/>
  <c r="D83" i="12" s="1"/>
  <c r="D89" i="12" s="1"/>
  <c r="D93" i="12" s="1"/>
  <c r="F64" i="12"/>
  <c r="D58" i="12"/>
  <c r="D51" i="12"/>
  <c r="C59" i="12" s="1"/>
  <c r="N98" i="12"/>
  <c r="O98" i="12" s="1"/>
  <c r="K98" i="12"/>
  <c r="N97" i="12"/>
  <c r="O97" i="12" s="1"/>
  <c r="K97" i="12"/>
  <c r="M97" i="12" s="1"/>
  <c r="D52" i="12"/>
  <c r="J52" i="12" s="1"/>
  <c r="F63" i="12"/>
  <c r="J60" i="12"/>
  <c r="K99" i="12"/>
  <c r="K86" i="12"/>
  <c r="M86" i="12" s="1"/>
  <c r="N69" i="12"/>
  <c r="O69" i="12" s="1"/>
  <c r="C61" i="12"/>
  <c r="J61" i="12" s="1"/>
  <c r="N80" i="12"/>
  <c r="O80" i="12" s="1"/>
  <c r="K80" i="12"/>
  <c r="M80" i="12" s="1"/>
  <c r="J36" i="5"/>
  <c r="N46" i="20"/>
  <c r="O46" i="20" s="1"/>
  <c r="K46" i="20"/>
  <c r="M46" i="20" s="1"/>
  <c r="N76" i="12"/>
  <c r="O76" i="12" s="1"/>
  <c r="K76" i="12"/>
  <c r="M76" i="12" s="1"/>
  <c r="N57" i="25"/>
  <c r="O57" i="25" s="1"/>
  <c r="K57" i="25"/>
  <c r="Q57" i="25"/>
  <c r="Q67" i="4"/>
  <c r="P67" i="4"/>
  <c r="K67" i="4"/>
  <c r="M67" i="4" s="1"/>
  <c r="N67" i="4"/>
  <c r="O67" i="4" s="1"/>
  <c r="M65" i="25"/>
  <c r="C66" i="25" s="1"/>
  <c r="G66" i="25"/>
  <c r="C54" i="25"/>
  <c r="J52" i="25"/>
  <c r="N40" i="22"/>
  <c r="O40" i="22" s="1"/>
  <c r="K40" i="22"/>
  <c r="G179" i="23"/>
  <c r="P176" i="23"/>
  <c r="P183" i="23"/>
  <c r="E61" i="23" s="1"/>
  <c r="AC183" i="23"/>
  <c r="AC180" i="23"/>
  <c r="Z178" i="23"/>
  <c r="Z174" i="23"/>
  <c r="O180" i="23"/>
  <c r="K178" i="23"/>
  <c r="Q177" i="23"/>
  <c r="Z173" i="23"/>
  <c r="Z183" i="23"/>
  <c r="P182" i="23"/>
  <c r="Z180" i="23"/>
  <c r="G172" i="23"/>
  <c r="Z176" i="23"/>
  <c r="S174" i="23"/>
  <c r="S178" i="23"/>
  <c r="P175" i="23"/>
  <c r="K171" i="23"/>
  <c r="Z182" i="23"/>
  <c r="P181" i="23"/>
  <c r="G180" i="23"/>
  <c r="S173" i="23"/>
  <c r="S172" i="23"/>
  <c r="AC181" i="23"/>
  <c r="Z171" i="23"/>
  <c r="Z179" i="23"/>
  <c r="P178" i="23"/>
  <c r="Z177" i="23"/>
  <c r="AC174" i="23"/>
  <c r="G171" i="23"/>
  <c r="O179" i="23"/>
  <c r="Z175" i="23"/>
  <c r="AC182" i="23"/>
  <c r="Z172" i="23"/>
  <c r="Z181" i="23"/>
  <c r="AC173" i="23"/>
  <c r="M57" i="25"/>
  <c r="M69" i="21"/>
  <c r="F146" i="21"/>
  <c r="J146" i="21"/>
  <c r="D76" i="21"/>
  <c r="G76" i="21"/>
  <c r="G92" i="21" s="1"/>
  <c r="K82" i="21"/>
  <c r="M82" i="21" s="1"/>
  <c r="N82" i="21"/>
  <c r="O82" i="21" s="1"/>
  <c r="J47" i="20"/>
  <c r="K105" i="17"/>
  <c r="M105" i="17" s="1"/>
  <c r="N105" i="17"/>
  <c r="O105" i="17" s="1"/>
  <c r="K44" i="19"/>
  <c r="M44" i="19" s="1"/>
  <c r="N44" i="19"/>
  <c r="O44" i="19" s="1"/>
  <c r="Y197" i="19"/>
  <c r="O198" i="19"/>
  <c r="C199" i="19"/>
  <c r="O197" i="19"/>
  <c r="D73" i="19"/>
  <c r="J73" i="19" s="1"/>
  <c r="O199" i="19"/>
  <c r="G199" i="19"/>
  <c r="Y199" i="19"/>
  <c r="C198" i="19"/>
  <c r="C197" i="19"/>
  <c r="Y198" i="19"/>
  <c r="Y200" i="19"/>
  <c r="B155" i="16"/>
  <c r="G155" i="16"/>
  <c r="F155" i="16"/>
  <c r="N143" i="16"/>
  <c r="O143" i="16" s="1"/>
  <c r="K143" i="16"/>
  <c r="M143" i="16" s="1"/>
  <c r="J76" i="14"/>
  <c r="K76" i="14" s="1"/>
  <c r="C82" i="14"/>
  <c r="N62" i="14"/>
  <c r="O62" i="14" s="1"/>
  <c r="K62" i="14"/>
  <c r="M62" i="14" s="1"/>
  <c r="AC219" i="14"/>
  <c r="Z219" i="14"/>
  <c r="AC218" i="14"/>
  <c r="P216" i="14"/>
  <c r="AC212" i="14"/>
  <c r="S211" i="14"/>
  <c r="Z209" i="14"/>
  <c r="G209" i="14"/>
  <c r="G217" i="14"/>
  <c r="P214" i="14"/>
  <c r="Z217" i="14"/>
  <c r="Z218" i="14"/>
  <c r="Z216" i="14"/>
  <c r="K216" i="14"/>
  <c r="Q215" i="14"/>
  <c r="Z212" i="14"/>
  <c r="AC211" i="14"/>
  <c r="Z213" i="14"/>
  <c r="Z211" i="14"/>
  <c r="Z210" i="14"/>
  <c r="Z214" i="14"/>
  <c r="G210" i="14"/>
  <c r="P219" i="14"/>
  <c r="O217" i="14"/>
  <c r="P213" i="14"/>
  <c r="S212" i="14"/>
  <c r="K209" i="14"/>
  <c r="P218" i="14"/>
  <c r="S216" i="14"/>
  <c r="Z215" i="14"/>
  <c r="S210" i="14"/>
  <c r="J85" i="16"/>
  <c r="C91" i="16"/>
  <c r="O35" i="22"/>
  <c r="C58" i="13"/>
  <c r="C85" i="13"/>
  <c r="C91" i="13" s="1"/>
  <c r="C96" i="13" s="1"/>
  <c r="C73" i="13"/>
  <c r="C65" i="13"/>
  <c r="C63" i="13"/>
  <c r="K139" i="13"/>
  <c r="M139" i="13" s="1"/>
  <c r="N139" i="13"/>
  <c r="O139" i="13" s="1"/>
  <c r="P126" i="10"/>
  <c r="Q126" i="10" s="1"/>
  <c r="M126" i="10"/>
  <c r="S126" i="10"/>
  <c r="R126" i="10"/>
  <c r="Q85" i="8"/>
  <c r="N85" i="8"/>
  <c r="O85" i="8" s="1"/>
  <c r="K85" i="8"/>
  <c r="M85" i="8" s="1"/>
  <c r="K94" i="8"/>
  <c r="M94" i="8" s="1"/>
  <c r="N94" i="8"/>
  <c r="O94" i="8" s="1"/>
  <c r="K106" i="8"/>
  <c r="N106" i="8"/>
  <c r="O106" i="8" s="1"/>
  <c r="Q238" i="7"/>
  <c r="N238" i="7"/>
  <c r="O238" i="7" s="1"/>
  <c r="M238" i="7"/>
  <c r="R238" i="7"/>
  <c r="M159" i="7"/>
  <c r="J37" i="5"/>
  <c r="N37" i="5" s="1"/>
  <c r="Q109" i="4"/>
  <c r="P109" i="4"/>
  <c r="N109" i="4"/>
  <c r="O109" i="4" s="1"/>
  <c r="K109" i="4"/>
  <c r="M109" i="4" s="1"/>
  <c r="N88" i="4"/>
  <c r="O88" i="4" s="1"/>
  <c r="F88" i="4"/>
  <c r="J88" i="4"/>
  <c r="D63" i="6"/>
  <c r="C64" i="6" s="1"/>
  <c r="J64" i="6" s="1"/>
  <c r="D60" i="6"/>
  <c r="K79" i="4"/>
  <c r="M79" i="4" s="1"/>
  <c r="Q79" i="4"/>
  <c r="P79" i="4"/>
  <c r="J63" i="6"/>
  <c r="J72" i="4"/>
  <c r="F72" i="4"/>
  <c r="N72" i="4"/>
  <c r="O72" i="4" s="1"/>
  <c r="C83" i="6"/>
  <c r="C74" i="6"/>
  <c r="J74" i="6" s="1"/>
  <c r="C75" i="6"/>
  <c r="F101" i="7"/>
  <c r="F100" i="7"/>
  <c r="D80" i="7"/>
  <c r="F98" i="7"/>
  <c r="D109" i="7"/>
  <c r="D115" i="7" s="1"/>
  <c r="D120" i="7" s="1"/>
  <c r="D126" i="7" s="1"/>
  <c r="D101" i="7"/>
  <c r="D100" i="7"/>
  <c r="B102" i="7"/>
  <c r="C101" i="7"/>
  <c r="J101" i="7" s="1"/>
  <c r="C100" i="7"/>
  <c r="J100" i="7" s="1"/>
  <c r="D98" i="7"/>
  <c r="D93" i="7"/>
  <c r="D92" i="7"/>
  <c r="R219" i="2"/>
  <c r="Q219" i="2"/>
  <c r="N219" i="2"/>
  <c r="O219" i="2" s="1"/>
  <c r="K219" i="2"/>
  <c r="M219" i="2" s="1"/>
  <c r="Q132" i="3"/>
  <c r="R132" i="3"/>
  <c r="N132" i="3"/>
  <c r="O132" i="3" s="1"/>
  <c r="K132" i="3"/>
  <c r="M132" i="3" s="1"/>
  <c r="H56" i="3"/>
  <c r="H55" i="3"/>
  <c r="Q212" i="3"/>
  <c r="R212" i="3" s="1"/>
  <c r="N212" i="3"/>
  <c r="O212" i="3" s="1"/>
  <c r="K212" i="3"/>
  <c r="M212" i="3" s="1"/>
  <c r="P66" i="4"/>
  <c r="Q66" i="4" s="1"/>
  <c r="K66" i="4"/>
  <c r="M66" i="4" s="1"/>
  <c r="J60" i="1"/>
  <c r="N177" i="21"/>
  <c r="O177" i="21" s="1"/>
  <c r="K177" i="21"/>
  <c r="M177" i="21" s="1"/>
  <c r="J179" i="21"/>
  <c r="F179" i="21"/>
  <c r="D53" i="21"/>
  <c r="G53" i="21"/>
  <c r="G69" i="21" s="1"/>
  <c r="N145" i="21"/>
  <c r="O145" i="21" s="1"/>
  <c r="K145" i="21"/>
  <c r="M145" i="21" s="1"/>
  <c r="X20" i="18"/>
  <c r="X19" i="18"/>
  <c r="K84" i="17"/>
  <c r="M84" i="17" s="1"/>
  <c r="N84" i="17"/>
  <c r="O84" i="17" s="1"/>
  <c r="K54" i="19"/>
  <c r="M54" i="19" s="1"/>
  <c r="N54" i="19"/>
  <c r="O54" i="19" s="1"/>
  <c r="M65" i="19"/>
  <c r="F54" i="18"/>
  <c r="D55" i="18"/>
  <c r="F55" i="18" s="1"/>
  <c r="C49" i="19"/>
  <c r="J49" i="19" s="1"/>
  <c r="J47" i="19"/>
  <c r="C53" i="19"/>
  <c r="J53" i="19" s="1"/>
  <c r="N89" i="17"/>
  <c r="O89" i="17" s="1"/>
  <c r="K89" i="17"/>
  <c r="M89" i="17" s="1"/>
  <c r="C142" i="16"/>
  <c r="G142" i="16" s="1"/>
  <c r="J142" i="16"/>
  <c r="N131" i="16"/>
  <c r="O131" i="16" s="1"/>
  <c r="K131" i="16"/>
  <c r="M131" i="16" s="1"/>
  <c r="N58" i="17"/>
  <c r="O58" i="17" s="1"/>
  <c r="K58" i="17"/>
  <c r="M58" i="17" s="1"/>
  <c r="J164" i="16"/>
  <c r="C164" i="16"/>
  <c r="G164" i="16" s="1"/>
  <c r="C94" i="17"/>
  <c r="F94" i="17" s="1"/>
  <c r="F93" i="17"/>
  <c r="G139" i="16"/>
  <c r="F139" i="16"/>
  <c r="C140" i="16"/>
  <c r="G140" i="16" s="1"/>
  <c r="J140" i="16"/>
  <c r="K159" i="16"/>
  <c r="M159" i="16" s="1"/>
  <c r="N159" i="16"/>
  <c r="O159" i="16" s="1"/>
  <c r="N123" i="16"/>
  <c r="O123" i="16" s="1"/>
  <c r="K123" i="16"/>
  <c r="M123" i="16" s="1"/>
  <c r="N169" i="13"/>
  <c r="O169" i="13" s="1"/>
  <c r="K169" i="13"/>
  <c r="M169" i="13" s="1"/>
  <c r="K63" i="16"/>
  <c r="M63" i="16" s="1"/>
  <c r="N63" i="16"/>
  <c r="O63" i="16" s="1"/>
  <c r="J52" i="16"/>
  <c r="C53" i="16"/>
  <c r="J53" i="16" s="1"/>
  <c r="C58" i="16"/>
  <c r="F51" i="22"/>
  <c r="M35" i="22"/>
  <c r="N162" i="13"/>
  <c r="O162" i="13" s="1"/>
  <c r="K162" i="13"/>
  <c r="M162" i="13" s="1"/>
  <c r="P127" i="10"/>
  <c r="Q127" i="10" s="1"/>
  <c r="M127" i="10"/>
  <c r="S127" i="10"/>
  <c r="R127" i="10"/>
  <c r="Q77" i="8"/>
  <c r="N77" i="8"/>
  <c r="O77" i="8" s="1"/>
  <c r="K77" i="8"/>
  <c r="D122" i="8"/>
  <c r="Q122" i="8"/>
  <c r="L122" i="8"/>
  <c r="M122" i="8" s="1"/>
  <c r="J106" i="6"/>
  <c r="E106" i="6"/>
  <c r="L106" i="6" s="1"/>
  <c r="Q170" i="7"/>
  <c r="N170" i="7"/>
  <c r="O170" i="7" s="1"/>
  <c r="K170" i="7"/>
  <c r="M170" i="7" s="1"/>
  <c r="R170" i="7"/>
  <c r="R132" i="7"/>
  <c r="Q132" i="7"/>
  <c r="N132" i="7"/>
  <c r="O132" i="7" s="1"/>
  <c r="K132" i="7"/>
  <c r="M132" i="7" s="1"/>
  <c r="N115" i="3"/>
  <c r="O115" i="3" s="1"/>
  <c r="R115" i="3"/>
  <c r="Q115" i="3"/>
  <c r="K115" i="3"/>
  <c r="Q228" i="3"/>
  <c r="R228" i="3" s="1"/>
  <c r="N228" i="3"/>
  <c r="O228" i="3" s="1"/>
  <c r="K228" i="3"/>
  <c r="M228" i="3" s="1"/>
  <c r="L213" i="2"/>
  <c r="D213" i="2"/>
  <c r="J213" i="2" s="1"/>
  <c r="H40" i="3"/>
  <c r="C75" i="3"/>
  <c r="C78" i="3" s="1"/>
  <c r="H39" i="3"/>
  <c r="F70" i="4"/>
  <c r="D70" i="4"/>
  <c r="J70" i="4" s="1"/>
  <c r="R93" i="1"/>
  <c r="Q93" i="1"/>
  <c r="N93" i="1"/>
  <c r="O93" i="1" s="1"/>
  <c r="K93" i="1"/>
  <c r="M93" i="1" s="1"/>
  <c r="C108" i="2"/>
  <c r="C114" i="2" s="1"/>
  <c r="C79" i="2"/>
  <c r="C90" i="2"/>
  <c r="C105" i="2"/>
  <c r="J105" i="2" s="1"/>
  <c r="N186" i="3"/>
  <c r="O186" i="3" s="1"/>
  <c r="Q186" i="3"/>
  <c r="R186" i="3" s="1"/>
  <c r="K186" i="3"/>
  <c r="R147" i="2"/>
  <c r="Q147" i="2"/>
  <c r="K147" i="2"/>
  <c r="M147" i="2" s="1"/>
  <c r="N147" i="2"/>
  <c r="O147" i="2" s="1"/>
  <c r="Q43" i="25"/>
  <c r="N43" i="25"/>
  <c r="O43" i="25" s="1"/>
  <c r="K43" i="25"/>
  <c r="M43" i="25" s="1"/>
  <c r="O10" i="24"/>
  <c r="P10" i="24" s="1"/>
  <c r="R10" i="24" s="1"/>
  <c r="F45" i="23"/>
  <c r="D46" i="23"/>
  <c r="F46" i="23" s="1"/>
  <c r="N39" i="23"/>
  <c r="O39" i="23" s="1"/>
  <c r="K39" i="23"/>
  <c r="M39" i="23" s="1"/>
  <c r="F78" i="21"/>
  <c r="J78" i="21"/>
  <c r="J171" i="21"/>
  <c r="F171" i="21"/>
  <c r="K72" i="17"/>
  <c r="M72" i="17" s="1"/>
  <c r="N72" i="17"/>
  <c r="O72" i="17" s="1"/>
  <c r="K52" i="19"/>
  <c r="M52" i="19" s="1"/>
  <c r="N52" i="19"/>
  <c r="O52" i="19" s="1"/>
  <c r="C55" i="18"/>
  <c r="J55" i="18" s="1"/>
  <c r="K41" i="19"/>
  <c r="N41" i="19"/>
  <c r="N47" i="18"/>
  <c r="O47" i="18" s="1"/>
  <c r="K47" i="18"/>
  <c r="M47" i="18" s="1"/>
  <c r="F62" i="17"/>
  <c r="C62" i="17"/>
  <c r="J62" i="17" s="1"/>
  <c r="D62" i="17"/>
  <c r="K99" i="16"/>
  <c r="M99" i="16" s="1"/>
  <c r="N99" i="16"/>
  <c r="O99" i="16" s="1"/>
  <c r="C161" i="16"/>
  <c r="J161" i="16"/>
  <c r="F161" i="16"/>
  <c r="E161" i="16"/>
  <c r="L32" i="15"/>
  <c r="G46" i="15" s="1"/>
  <c r="C125" i="16"/>
  <c r="J125" i="16"/>
  <c r="F125" i="16"/>
  <c r="E125" i="16"/>
  <c r="N127" i="16"/>
  <c r="O127" i="16" s="1"/>
  <c r="K127" i="16"/>
  <c r="M127" i="16" s="1"/>
  <c r="F60" i="16"/>
  <c r="D61" i="16"/>
  <c r="F61" i="16" s="1"/>
  <c r="N53" i="14"/>
  <c r="O53" i="14" s="1"/>
  <c r="K199" i="13"/>
  <c r="M199" i="13" s="1"/>
  <c r="N199" i="13"/>
  <c r="O199" i="13" s="1"/>
  <c r="N122" i="13"/>
  <c r="O122" i="13" s="1"/>
  <c r="K122" i="13"/>
  <c r="M122" i="13" s="1"/>
  <c r="N120" i="13"/>
  <c r="O120" i="13" s="1"/>
  <c r="K120" i="13"/>
  <c r="M120" i="13" s="1"/>
  <c r="J189" i="13"/>
  <c r="F189" i="13"/>
  <c r="J130" i="13"/>
  <c r="N82" i="13"/>
  <c r="O82" i="13" s="1"/>
  <c r="K82" i="13"/>
  <c r="O126" i="10"/>
  <c r="Q75" i="11"/>
  <c r="N75" i="11"/>
  <c r="O75" i="11" s="1"/>
  <c r="K75" i="11"/>
  <c r="M75" i="11" s="1"/>
  <c r="G88" i="11" s="1"/>
  <c r="R75" i="11"/>
  <c r="C83" i="12"/>
  <c r="C75" i="12"/>
  <c r="J75" i="12" s="1"/>
  <c r="C74" i="12"/>
  <c r="J74" i="12" s="1"/>
  <c r="Q121" i="8"/>
  <c r="L121" i="8"/>
  <c r="M121" i="8" s="1"/>
  <c r="F152" i="10"/>
  <c r="O90" i="10"/>
  <c r="G152" i="10" s="1"/>
  <c r="P78" i="10"/>
  <c r="Q78" i="10" s="1"/>
  <c r="S78" i="10"/>
  <c r="R78" i="10"/>
  <c r="M78" i="10"/>
  <c r="O78" i="10" s="1"/>
  <c r="R208" i="7"/>
  <c r="Q208" i="7"/>
  <c r="K208" i="7"/>
  <c r="M208" i="7" s="1"/>
  <c r="N208" i="7"/>
  <c r="O208" i="7" s="1"/>
  <c r="K162" i="7"/>
  <c r="R162" i="7"/>
  <c r="Q162" i="7"/>
  <c r="N162" i="7"/>
  <c r="O162" i="7" s="1"/>
  <c r="R169" i="7"/>
  <c r="Q169" i="7"/>
  <c r="N169" i="7"/>
  <c r="O169" i="7" s="1"/>
  <c r="K169" i="7"/>
  <c r="M169" i="7" s="1"/>
  <c r="F65" i="6"/>
  <c r="D65" i="6"/>
  <c r="C65" i="6"/>
  <c r="L181" i="7"/>
  <c r="M181" i="7" s="1"/>
  <c r="D181" i="7"/>
  <c r="F40" i="5"/>
  <c r="J40" i="5" s="1"/>
  <c r="N40" i="5" s="1"/>
  <c r="O40" i="5" s="1"/>
  <c r="D40" i="5"/>
  <c r="C60" i="6"/>
  <c r="J60" i="6" s="1"/>
  <c r="Q206" i="3"/>
  <c r="R206" i="3" s="1"/>
  <c r="N206" i="3"/>
  <c r="O206" i="3" s="1"/>
  <c r="K206" i="3"/>
  <c r="M206" i="3" s="1"/>
  <c r="Q201" i="3"/>
  <c r="R201" i="3" s="1"/>
  <c r="N201" i="3"/>
  <c r="O201" i="3" s="1"/>
  <c r="K201" i="3"/>
  <c r="M201" i="3" s="1"/>
  <c r="N66" i="4"/>
  <c r="O66" i="4" s="1"/>
  <c r="M188" i="2"/>
  <c r="D186" i="3"/>
  <c r="L186" i="3"/>
  <c r="M186" i="3" s="1"/>
  <c r="C38" i="23"/>
  <c r="J38" i="23" s="1"/>
  <c r="C43" i="23"/>
  <c r="J37" i="23"/>
  <c r="T300" i="21"/>
  <c r="AD300" i="21"/>
  <c r="J156" i="21"/>
  <c r="F156" i="21"/>
  <c r="K85" i="21"/>
  <c r="M85" i="21" s="1"/>
  <c r="N85" i="21"/>
  <c r="O85" i="21" s="1"/>
  <c r="J170" i="21"/>
  <c r="F170" i="21"/>
  <c r="F48" i="20"/>
  <c r="J48" i="20" s="1"/>
  <c r="M97" i="18"/>
  <c r="N71" i="17"/>
  <c r="O71" i="17" s="1"/>
  <c r="K71" i="17"/>
  <c r="N67" i="17"/>
  <c r="O67" i="17" s="1"/>
  <c r="K67" i="17"/>
  <c r="M67" i="17" s="1"/>
  <c r="N119" i="16"/>
  <c r="O119" i="16" s="1"/>
  <c r="K119" i="16"/>
  <c r="M119" i="16" s="1"/>
  <c r="K56" i="17"/>
  <c r="M56" i="17" s="1"/>
  <c r="N56" i="17"/>
  <c r="O56" i="17" s="1"/>
  <c r="K82" i="16"/>
  <c r="M82" i="16" s="1"/>
  <c r="N82" i="16"/>
  <c r="O82" i="16" s="1"/>
  <c r="J129" i="16"/>
  <c r="C129" i="16"/>
  <c r="G129" i="16" s="1"/>
  <c r="J115" i="16"/>
  <c r="C115" i="16"/>
  <c r="N78" i="16"/>
  <c r="O78" i="16" s="1"/>
  <c r="K78" i="16"/>
  <c r="F127" i="16"/>
  <c r="G127" i="16"/>
  <c r="N66" i="16"/>
  <c r="O66" i="16" s="1"/>
  <c r="K66" i="16"/>
  <c r="M66" i="16" s="1"/>
  <c r="C54" i="14"/>
  <c r="J54" i="14" s="1"/>
  <c r="C51" i="14"/>
  <c r="K54" i="16"/>
  <c r="M54" i="16" s="1"/>
  <c r="N54" i="16"/>
  <c r="O54" i="16" s="1"/>
  <c r="N195" i="13"/>
  <c r="O195" i="13" s="1"/>
  <c r="M195" i="13"/>
  <c r="M179" i="13"/>
  <c r="N179" i="13"/>
  <c r="O179" i="13" s="1"/>
  <c r="K93" i="13"/>
  <c r="M93" i="13" s="1"/>
  <c r="N93" i="13"/>
  <c r="O93" i="13" s="1"/>
  <c r="N183" i="13"/>
  <c r="O183" i="13" s="1"/>
  <c r="K183" i="13"/>
  <c r="M183" i="13" s="1"/>
  <c r="O127" i="10"/>
  <c r="E83" i="12"/>
  <c r="E89" i="12" s="1"/>
  <c r="E93" i="12" s="1"/>
  <c r="T239" i="12" s="1"/>
  <c r="D74" i="12"/>
  <c r="E88" i="10"/>
  <c r="E94" i="10" s="1"/>
  <c r="E99" i="10" s="1"/>
  <c r="E105" i="10" s="1"/>
  <c r="E54" i="10"/>
  <c r="D66" i="10"/>
  <c r="Q120" i="8"/>
  <c r="L120" i="8"/>
  <c r="M120" i="8" s="1"/>
  <c r="L104" i="8"/>
  <c r="M104" i="8" s="1"/>
  <c r="Q104" i="8"/>
  <c r="N216" i="7"/>
  <c r="O216" i="7" s="1"/>
  <c r="R216" i="7"/>
  <c r="Q216" i="7"/>
  <c r="K216" i="7"/>
  <c r="M216" i="7" s="1"/>
  <c r="K149" i="7"/>
  <c r="M149" i="7" s="1"/>
  <c r="R149" i="7"/>
  <c r="Q149" i="7"/>
  <c r="N149" i="7"/>
  <c r="O149" i="7" s="1"/>
  <c r="R177" i="7"/>
  <c r="Q177" i="7"/>
  <c r="N177" i="7"/>
  <c r="O177" i="7" s="1"/>
  <c r="K177" i="7"/>
  <c r="M177" i="7" s="1"/>
  <c r="F63" i="4"/>
  <c r="D63" i="4"/>
  <c r="C63" i="4"/>
  <c r="R181" i="7"/>
  <c r="Q181" i="7"/>
  <c r="N181" i="7"/>
  <c r="O181" i="7" s="1"/>
  <c r="K181" i="7"/>
  <c r="K93" i="7"/>
  <c r="M93" i="7" s="1"/>
  <c r="R93" i="7"/>
  <c r="Q93" i="7"/>
  <c r="N93" i="7"/>
  <c r="O93" i="7" s="1"/>
  <c r="N78" i="4"/>
  <c r="O78" i="4" s="1"/>
  <c r="J78" i="4"/>
  <c r="F78" i="4"/>
  <c r="D78" i="4"/>
  <c r="Q195" i="3"/>
  <c r="R195" i="3" s="1"/>
  <c r="K195" i="3"/>
  <c r="M195" i="3" s="1"/>
  <c r="N195" i="3"/>
  <c r="O195" i="3" s="1"/>
  <c r="R203" i="2"/>
  <c r="Q203" i="2"/>
  <c r="N203" i="2"/>
  <c r="O203" i="2" s="1"/>
  <c r="K203" i="2"/>
  <c r="M203" i="2" s="1"/>
  <c r="P54" i="4"/>
  <c r="Q54" i="4" s="1"/>
  <c r="N54" i="4"/>
  <c r="O54" i="4" s="1"/>
  <c r="K54" i="4"/>
  <c r="M54" i="4" s="1"/>
  <c r="N147" i="3"/>
  <c r="O147" i="3" s="1"/>
  <c r="R147" i="3"/>
  <c r="Q147" i="3"/>
  <c r="K147" i="3"/>
  <c r="M147" i="3" s="1"/>
  <c r="L238" i="3"/>
  <c r="D238" i="3"/>
  <c r="N176" i="2"/>
  <c r="O176" i="2" s="1"/>
  <c r="R176" i="2"/>
  <c r="Q176" i="2"/>
  <c r="K176" i="2"/>
  <c r="M176" i="2" s="1"/>
  <c r="R188" i="2"/>
  <c r="N188" i="2"/>
  <c r="O188" i="2" s="1"/>
  <c r="K188" i="2"/>
  <c r="Q188" i="2"/>
  <c r="N175" i="2"/>
  <c r="O175" i="2" s="1"/>
  <c r="K175" i="2"/>
  <c r="M175" i="2" s="1"/>
  <c r="R175" i="2"/>
  <c r="Q175" i="2"/>
  <c r="N164" i="2"/>
  <c r="O164" i="2" s="1"/>
  <c r="Q164" i="2"/>
  <c r="R164" i="2" s="1"/>
  <c r="K164" i="2"/>
  <c r="M164" i="2" s="1"/>
  <c r="Q168" i="2"/>
  <c r="R168" i="2" s="1"/>
  <c r="N168" i="2"/>
  <c r="O168" i="2" s="1"/>
  <c r="K168" i="2"/>
  <c r="M168" i="2" s="1"/>
  <c r="L150" i="3"/>
  <c r="D150" i="3"/>
  <c r="D90" i="2"/>
  <c r="E79" i="2"/>
  <c r="C92" i="2"/>
  <c r="E108" i="2"/>
  <c r="K104" i="1"/>
  <c r="M104" i="1" s="1"/>
  <c r="Q104" i="1"/>
  <c r="R104" i="1" s="1"/>
  <c r="N104" i="1"/>
  <c r="O104" i="1" s="1"/>
  <c r="N48" i="23"/>
  <c r="O48" i="23" s="1"/>
  <c r="K48" i="23"/>
  <c r="M48" i="23" s="1"/>
  <c r="Y179" i="23"/>
  <c r="O178" i="23"/>
  <c r="Y177" i="23"/>
  <c r="AE173" i="23"/>
  <c r="O173" i="23"/>
  <c r="O183" i="23"/>
  <c r="D61" i="23" s="1"/>
  <c r="J61" i="23" s="1"/>
  <c r="Y181" i="23"/>
  <c r="C171" i="23"/>
  <c r="S182" i="23"/>
  <c r="Y178" i="23"/>
  <c r="Y175" i="23"/>
  <c r="Y172" i="23"/>
  <c r="O177" i="23"/>
  <c r="Y173" i="23"/>
  <c r="O171" i="23"/>
  <c r="Y183" i="23"/>
  <c r="S181" i="23"/>
  <c r="Y176" i="23"/>
  <c r="C172" i="23"/>
  <c r="C178" i="23"/>
  <c r="O175" i="23"/>
  <c r="Y182" i="23"/>
  <c r="O181" i="23"/>
  <c r="AE174" i="23"/>
  <c r="O174" i="23"/>
  <c r="S183" i="23"/>
  <c r="S180" i="23"/>
  <c r="Y171" i="23"/>
  <c r="O172" i="23"/>
  <c r="G178" i="23"/>
  <c r="Y174" i="23"/>
  <c r="O182" i="23"/>
  <c r="Y180" i="23"/>
  <c r="O176" i="23"/>
  <c r="O46" i="24"/>
  <c r="P46" i="24" s="1"/>
  <c r="R46" i="24" s="1"/>
  <c r="J56" i="25"/>
  <c r="N104" i="21"/>
  <c r="O104" i="21" s="1"/>
  <c r="K104" i="21"/>
  <c r="M104" i="21" s="1"/>
  <c r="K178" i="21"/>
  <c r="M178" i="21" s="1"/>
  <c r="N178" i="21"/>
  <c r="O178" i="21" s="1"/>
  <c r="M58" i="21"/>
  <c r="G122" i="21"/>
  <c r="G138" i="21" s="1"/>
  <c r="D122" i="21"/>
  <c r="G168" i="21"/>
  <c r="G184" i="21" s="1"/>
  <c r="D168" i="21"/>
  <c r="J40" i="20"/>
  <c r="F40" i="20"/>
  <c r="N64" i="19"/>
  <c r="O64" i="19" s="1"/>
  <c r="K64" i="19"/>
  <c r="M64" i="19" s="1"/>
  <c r="N106" i="18"/>
  <c r="O106" i="18" s="1"/>
  <c r="K106" i="18"/>
  <c r="N62" i="19"/>
  <c r="O62" i="19" s="1"/>
  <c r="K62" i="19"/>
  <c r="M62" i="19" s="1"/>
  <c r="K48" i="18"/>
  <c r="M48" i="18" s="1"/>
  <c r="N48" i="18"/>
  <c r="O48" i="18" s="1"/>
  <c r="M65" i="17"/>
  <c r="K56" i="18"/>
  <c r="M56" i="18" s="1"/>
  <c r="N56" i="18"/>
  <c r="O56" i="18" s="1"/>
  <c r="C116" i="16"/>
  <c r="G116" i="16" s="1"/>
  <c r="J116" i="16"/>
  <c r="M70" i="18"/>
  <c r="F126" i="18"/>
  <c r="N107" i="16"/>
  <c r="O107" i="16" s="1"/>
  <c r="K107" i="16"/>
  <c r="M107" i="16" s="1"/>
  <c r="E95" i="16"/>
  <c r="C93" i="16"/>
  <c r="N112" i="16"/>
  <c r="O112" i="16" s="1"/>
  <c r="K112" i="16"/>
  <c r="M112" i="16" s="1"/>
  <c r="N62" i="16"/>
  <c r="O62" i="16" s="1"/>
  <c r="K62" i="16"/>
  <c r="M62" i="16" s="1"/>
  <c r="J205" i="13"/>
  <c r="F205" i="13"/>
  <c r="K185" i="13"/>
  <c r="M185" i="13" s="1"/>
  <c r="N185" i="13"/>
  <c r="O185" i="13" s="1"/>
  <c r="K187" i="13"/>
  <c r="M187" i="13" s="1"/>
  <c r="N187" i="13"/>
  <c r="O187" i="13" s="1"/>
  <c r="C107" i="13"/>
  <c r="C106" i="13"/>
  <c r="N108" i="12"/>
  <c r="O108" i="12" s="1"/>
  <c r="K108" i="12"/>
  <c r="Q108" i="12"/>
  <c r="D76" i="11"/>
  <c r="L76" i="11"/>
  <c r="M76" i="11" s="1"/>
  <c r="M91" i="12"/>
  <c r="Q119" i="8"/>
  <c r="L119" i="8"/>
  <c r="M119" i="8" s="1"/>
  <c r="O124" i="9"/>
  <c r="P124" i="9" s="1"/>
  <c r="S124" i="9"/>
  <c r="R124" i="9"/>
  <c r="L124" i="9"/>
  <c r="E109" i="10"/>
  <c r="N109" i="10" s="1"/>
  <c r="L109" i="10"/>
  <c r="F109" i="10"/>
  <c r="D74" i="10"/>
  <c r="D75" i="10" s="1"/>
  <c r="C81" i="10"/>
  <c r="L81" i="10" s="1"/>
  <c r="M228" i="7"/>
  <c r="F151" i="8"/>
  <c r="L105" i="8"/>
  <c r="Q105" i="8"/>
  <c r="F76" i="9"/>
  <c r="F77" i="9" s="1"/>
  <c r="C69" i="9"/>
  <c r="Q70" i="6"/>
  <c r="K70" i="6"/>
  <c r="M70" i="6" s="1"/>
  <c r="R70" i="6"/>
  <c r="N70" i="6"/>
  <c r="O70" i="6" s="1"/>
  <c r="D96" i="7"/>
  <c r="D97" i="7" s="1"/>
  <c r="C97" i="7"/>
  <c r="J97" i="7" s="1"/>
  <c r="Q41" i="5"/>
  <c r="P41" i="5"/>
  <c r="K41" i="5"/>
  <c r="M41" i="5" s="1"/>
  <c r="M205" i="3"/>
  <c r="M184" i="3"/>
  <c r="L193" i="2"/>
  <c r="M193" i="2" s="1"/>
  <c r="D193" i="2"/>
  <c r="K176" i="3"/>
  <c r="M176" i="3" s="1"/>
  <c r="Q176" i="3"/>
  <c r="R176" i="3" s="1"/>
  <c r="N176" i="3"/>
  <c r="O176" i="3" s="1"/>
  <c r="Q238" i="3"/>
  <c r="R238" i="3" s="1"/>
  <c r="N238" i="3"/>
  <c r="O238" i="3" s="1"/>
  <c r="K238" i="3"/>
  <c r="F250" i="3" s="1"/>
  <c r="H56" i="2"/>
  <c r="C159" i="2" s="1"/>
  <c r="H55" i="2"/>
  <c r="M172" i="2"/>
  <c r="H71" i="2"/>
  <c r="H72" i="2"/>
  <c r="C195" i="2" s="1"/>
  <c r="M112" i="1"/>
  <c r="E113" i="3"/>
  <c r="E119" i="3" s="1"/>
  <c r="E124" i="3" s="1"/>
  <c r="E130" i="3" s="1"/>
  <c r="D91" i="3"/>
  <c r="E80" i="3"/>
  <c r="L157" i="2"/>
  <c r="M157" i="2" s="1"/>
  <c r="D157" i="2"/>
  <c r="D229" i="2"/>
  <c r="L229" i="2"/>
  <c r="M229" i="2" s="1"/>
  <c r="Q150" i="3"/>
  <c r="K150" i="3"/>
  <c r="R150" i="3"/>
  <c r="N150" i="3"/>
  <c r="O150" i="3" s="1"/>
  <c r="K101" i="1"/>
  <c r="M101" i="1" s="1"/>
  <c r="Q101" i="1"/>
  <c r="R101" i="1" s="1"/>
  <c r="N101" i="1"/>
  <c r="O101" i="1" s="1"/>
  <c r="Q55" i="25"/>
  <c r="N55" i="25"/>
  <c r="O55" i="25" s="1"/>
  <c r="K55" i="25"/>
  <c r="M55" i="25" s="1"/>
  <c r="D52" i="23"/>
  <c r="C52" i="23"/>
  <c r="J52" i="23" s="1"/>
  <c r="F52" i="23"/>
  <c r="K154" i="21"/>
  <c r="M154" i="21" s="1"/>
  <c r="N154" i="21"/>
  <c r="O154" i="21" s="1"/>
  <c r="N152" i="21"/>
  <c r="O152" i="21" s="1"/>
  <c r="K152" i="21"/>
  <c r="M152" i="21" s="1"/>
  <c r="N42" i="20"/>
  <c r="O42" i="20" s="1"/>
  <c r="K42" i="20"/>
  <c r="E42" i="19"/>
  <c r="B44" i="19"/>
  <c r="E44" i="19" s="1"/>
  <c r="N65" i="18"/>
  <c r="O65" i="18" s="1"/>
  <c r="K65" i="18"/>
  <c r="M65" i="18" s="1"/>
  <c r="C46" i="18"/>
  <c r="J46" i="18" s="1"/>
  <c r="C52" i="18"/>
  <c r="J45" i="18"/>
  <c r="F131" i="16"/>
  <c r="G131" i="16"/>
  <c r="B131" i="16"/>
  <c r="M34" i="15"/>
  <c r="N34" i="15" s="1"/>
  <c r="J34" i="15"/>
  <c r="L34" i="15" s="1"/>
  <c r="J118" i="16"/>
  <c r="C118" i="16"/>
  <c r="G118" i="16" s="1"/>
  <c r="M67" i="14"/>
  <c r="N148" i="16"/>
  <c r="O148" i="16" s="1"/>
  <c r="K148" i="16"/>
  <c r="M148" i="16" s="1"/>
  <c r="D55" i="16"/>
  <c r="C65" i="16" s="1"/>
  <c r="J65" i="16" s="1"/>
  <c r="D58" i="16"/>
  <c r="D59" i="16" s="1"/>
  <c r="J61" i="16"/>
  <c r="N68" i="14"/>
  <c r="O68" i="14" s="1"/>
  <c r="K68" i="14"/>
  <c r="M68" i="14" s="1"/>
  <c r="N140" i="13"/>
  <c r="O140" i="13" s="1"/>
  <c r="K140" i="13"/>
  <c r="M140" i="13" s="1"/>
  <c r="N119" i="13"/>
  <c r="O119" i="13" s="1"/>
  <c r="K119" i="13"/>
  <c r="M119" i="13" s="1"/>
  <c r="O129" i="10"/>
  <c r="D56" i="12"/>
  <c r="C57" i="12" s="1"/>
  <c r="D53" i="12"/>
  <c r="N70" i="12"/>
  <c r="O70" i="12" s="1"/>
  <c r="K70" i="12"/>
  <c r="M70" i="12" s="1"/>
  <c r="Q118" i="8"/>
  <c r="L118" i="8"/>
  <c r="M118" i="8" s="1"/>
  <c r="E113" i="10"/>
  <c r="N113" i="10" s="1"/>
  <c r="L113" i="10"/>
  <c r="F113" i="10"/>
  <c r="N144" i="8"/>
  <c r="O144" i="8" s="1"/>
  <c r="K144" i="8"/>
  <c r="M144" i="8" s="1"/>
  <c r="M80" i="10"/>
  <c r="O80" i="10" s="1"/>
  <c r="R80" i="10"/>
  <c r="S80" i="10" s="1"/>
  <c r="P80" i="10"/>
  <c r="Q80" i="10" s="1"/>
  <c r="O121" i="9"/>
  <c r="P121" i="9" s="1"/>
  <c r="S121" i="9"/>
  <c r="R121" i="9"/>
  <c r="L121" i="9"/>
  <c r="L106" i="8"/>
  <c r="M106" i="8" s="1"/>
  <c r="Q106" i="8"/>
  <c r="M196" i="7"/>
  <c r="D74" i="9"/>
  <c r="D75" i="9" s="1"/>
  <c r="C75" i="9"/>
  <c r="K75" i="9" s="1"/>
  <c r="R141" i="7"/>
  <c r="Q141" i="7"/>
  <c r="N141" i="7"/>
  <c r="O141" i="7" s="1"/>
  <c r="K141" i="7"/>
  <c r="M141" i="7" s="1"/>
  <c r="C80" i="7"/>
  <c r="C109" i="7"/>
  <c r="C115" i="7" s="1"/>
  <c r="C120" i="7" s="1"/>
  <c r="C126" i="7" s="1"/>
  <c r="C91" i="7"/>
  <c r="K56" i="6"/>
  <c r="M56" i="6" s="1"/>
  <c r="N56" i="6"/>
  <c r="O56" i="6" s="1"/>
  <c r="Q56" i="6"/>
  <c r="R56" i="6" s="1"/>
  <c r="K93" i="6"/>
  <c r="M93" i="6" s="1"/>
  <c r="Q93" i="6"/>
  <c r="R93" i="6" s="1"/>
  <c r="N93" i="6"/>
  <c r="O93" i="6" s="1"/>
  <c r="D76" i="6"/>
  <c r="J76" i="6" s="1"/>
  <c r="D75" i="6"/>
  <c r="D83" i="6"/>
  <c r="D89" i="6" s="1"/>
  <c r="Q107" i="4"/>
  <c r="N107" i="4"/>
  <c r="O107" i="4" s="1"/>
  <c r="K107" i="4"/>
  <c r="M107" i="4" s="1"/>
  <c r="P107" i="4"/>
  <c r="K205" i="3"/>
  <c r="N205" i="3"/>
  <c r="O205" i="3" s="1"/>
  <c r="Q205" i="3"/>
  <c r="R205" i="3" s="1"/>
  <c r="Q42" i="5"/>
  <c r="P42" i="5"/>
  <c r="K42" i="5"/>
  <c r="M42" i="5" s="1"/>
  <c r="N185" i="3"/>
  <c r="O185" i="3" s="1"/>
  <c r="Q185" i="3"/>
  <c r="R185" i="3" s="1"/>
  <c r="K185" i="3"/>
  <c r="M185" i="3" s="1"/>
  <c r="M192" i="2"/>
  <c r="Q207" i="2"/>
  <c r="R207" i="2" s="1"/>
  <c r="N207" i="2"/>
  <c r="O207" i="2" s="1"/>
  <c r="K207" i="2"/>
  <c r="M207" i="2" s="1"/>
  <c r="Q191" i="2"/>
  <c r="N191" i="2"/>
  <c r="O191" i="2" s="1"/>
  <c r="K191" i="2"/>
  <c r="M191" i="2" s="1"/>
  <c r="R191" i="2"/>
  <c r="R229" i="2"/>
  <c r="Q229" i="2"/>
  <c r="N229" i="2"/>
  <c r="O229" i="2" s="1"/>
  <c r="K229" i="2"/>
  <c r="N140" i="3"/>
  <c r="O140" i="3" s="1"/>
  <c r="R140" i="3"/>
  <c r="Q140" i="3"/>
  <c r="K140" i="3"/>
  <c r="M140" i="3" s="1"/>
  <c r="R92" i="1"/>
  <c r="Q92" i="1"/>
  <c r="N92" i="1"/>
  <c r="O92" i="1" s="1"/>
  <c r="K92" i="1"/>
  <c r="M92" i="1" s="1"/>
  <c r="M79" i="1"/>
  <c r="Q108" i="1"/>
  <c r="R108" i="1" s="1"/>
  <c r="K108" i="1"/>
  <c r="M108" i="1" s="1"/>
  <c r="N108" i="1"/>
  <c r="O108" i="1" s="1"/>
  <c r="K177" i="2"/>
  <c r="N177" i="2"/>
  <c r="O177" i="2" s="1"/>
  <c r="R177" i="2"/>
  <c r="Q177" i="2"/>
  <c r="Q53" i="25"/>
  <c r="N53" i="25"/>
  <c r="O53" i="25" s="1"/>
  <c r="K53" i="25"/>
  <c r="M53" i="25" s="1"/>
  <c r="F55" i="21"/>
  <c r="J55" i="21"/>
  <c r="K175" i="21"/>
  <c r="M175" i="21" s="1"/>
  <c r="N175" i="21"/>
  <c r="O175" i="21" s="1"/>
  <c r="J110" i="21"/>
  <c r="F110" i="21"/>
  <c r="K151" i="21"/>
  <c r="M151" i="21" s="1"/>
  <c r="N151" i="21"/>
  <c r="O151" i="21" s="1"/>
  <c r="T268" i="21"/>
  <c r="AD268" i="21"/>
  <c r="K127" i="21"/>
  <c r="M127" i="21" s="1"/>
  <c r="N127" i="21"/>
  <c r="O127" i="21" s="1"/>
  <c r="Q53" i="20"/>
  <c r="Q60" i="20" s="1"/>
  <c r="C30" i="20" s="1"/>
  <c r="K53" i="20"/>
  <c r="N53" i="20"/>
  <c r="O53" i="20" s="1"/>
  <c r="K84" i="21"/>
  <c r="M84" i="21" s="1"/>
  <c r="N84" i="21"/>
  <c r="O84" i="21" s="1"/>
  <c r="K124" i="21"/>
  <c r="M124" i="21" s="1"/>
  <c r="N124" i="21"/>
  <c r="O124" i="21" s="1"/>
  <c r="E107" i="18"/>
  <c r="J107" i="18"/>
  <c r="G107" i="18"/>
  <c r="G37" i="20"/>
  <c r="G53" i="20" s="1"/>
  <c r="D37" i="20"/>
  <c r="C48" i="17"/>
  <c r="J48" i="17" s="1"/>
  <c r="C53" i="17"/>
  <c r="F61" i="18"/>
  <c r="D61" i="18"/>
  <c r="C61" i="18"/>
  <c r="J61" i="18" s="1"/>
  <c r="D61" i="17"/>
  <c r="J128" i="16"/>
  <c r="C128" i="16"/>
  <c r="G128" i="16" s="1"/>
  <c r="J117" i="16"/>
  <c r="C117" i="16"/>
  <c r="G117" i="16" s="1"/>
  <c r="M29" i="15"/>
  <c r="J29" i="15"/>
  <c r="L29" i="15" s="1"/>
  <c r="G107" i="16"/>
  <c r="F107" i="16"/>
  <c r="B107" i="16"/>
  <c r="K87" i="16"/>
  <c r="M87" i="16" s="1"/>
  <c r="N87" i="16"/>
  <c r="O87" i="16" s="1"/>
  <c r="D85" i="13"/>
  <c r="D91" i="13" s="1"/>
  <c r="D96" i="13" s="1"/>
  <c r="D102" i="13" s="1"/>
  <c r="D109" i="13" s="1"/>
  <c r="F73" i="13"/>
  <c r="B78" i="13"/>
  <c r="D65" i="13"/>
  <c r="D76" i="13"/>
  <c r="F77" i="13"/>
  <c r="C77" i="13"/>
  <c r="J77" i="13" s="1"/>
  <c r="D64" i="13"/>
  <c r="C72" i="13" s="1"/>
  <c r="J72" i="13" s="1"/>
  <c r="D77" i="13"/>
  <c r="F76" i="13"/>
  <c r="C66" i="13"/>
  <c r="D58" i="13"/>
  <c r="N135" i="13"/>
  <c r="O135" i="13" s="1"/>
  <c r="K135" i="13"/>
  <c r="M135" i="13" s="1"/>
  <c r="M59" i="11"/>
  <c r="Q117" i="8"/>
  <c r="L117" i="8"/>
  <c r="M117" i="8" s="1"/>
  <c r="N112" i="8"/>
  <c r="O112" i="8" s="1"/>
  <c r="K112" i="8"/>
  <c r="M112" i="8" s="1"/>
  <c r="O122" i="9"/>
  <c r="P122" i="9" s="1"/>
  <c r="L122" i="9"/>
  <c r="S122" i="9"/>
  <c r="R122" i="9"/>
  <c r="E112" i="10"/>
  <c r="N112" i="10" s="1"/>
  <c r="L112" i="10"/>
  <c r="F112" i="10"/>
  <c r="Q125" i="8"/>
  <c r="N125" i="8"/>
  <c r="O125" i="8" s="1"/>
  <c r="K125" i="8"/>
  <c r="M125" i="8" s="1"/>
  <c r="M83" i="8"/>
  <c r="G151" i="8" s="1"/>
  <c r="B81" i="9"/>
  <c r="E81" i="9"/>
  <c r="M81" i="9" s="1"/>
  <c r="C22" i="9"/>
  <c r="K163" i="7"/>
  <c r="R163" i="7"/>
  <c r="Q163" i="7"/>
  <c r="N163" i="7"/>
  <c r="O163" i="7" s="1"/>
  <c r="D38" i="5"/>
  <c r="D39" i="5" s="1"/>
  <c r="C39" i="5"/>
  <c r="F38" i="5"/>
  <c r="E105" i="4"/>
  <c r="E111" i="4" s="1"/>
  <c r="C98" i="4"/>
  <c r="R201" i="7"/>
  <c r="K201" i="7"/>
  <c r="M201" i="7" s="1"/>
  <c r="Q201" i="7"/>
  <c r="N201" i="7"/>
  <c r="O201" i="7" s="1"/>
  <c r="J86" i="4"/>
  <c r="N86" i="4"/>
  <c r="O86" i="4" s="1"/>
  <c r="F86" i="4"/>
  <c r="D86" i="4"/>
  <c r="Q221" i="3"/>
  <c r="R221" i="3" s="1"/>
  <c r="N221" i="3"/>
  <c r="O221" i="3" s="1"/>
  <c r="K221" i="3"/>
  <c r="M221" i="3" s="1"/>
  <c r="D76" i="4"/>
  <c r="D77" i="4" s="1"/>
  <c r="N76" i="4"/>
  <c r="O76" i="4" s="1"/>
  <c r="J76" i="4"/>
  <c r="F76" i="4"/>
  <c r="C77" i="4"/>
  <c r="R183" i="2"/>
  <c r="K183" i="2"/>
  <c r="M183" i="2" s="1"/>
  <c r="Q183" i="2"/>
  <c r="N183" i="2"/>
  <c r="O183" i="2" s="1"/>
  <c r="R156" i="3"/>
  <c r="Q156" i="3"/>
  <c r="N156" i="3"/>
  <c r="O156" i="3" s="1"/>
  <c r="K156" i="3"/>
  <c r="M156" i="3" s="1"/>
  <c r="N201" i="2"/>
  <c r="O201" i="2" s="1"/>
  <c r="K201" i="2"/>
  <c r="M201" i="2" s="1"/>
  <c r="R201" i="2"/>
  <c r="Q201" i="2"/>
  <c r="B106" i="3"/>
  <c r="D113" i="3"/>
  <c r="D119" i="3" s="1"/>
  <c r="D124" i="3" s="1"/>
  <c r="D130" i="3" s="1"/>
  <c r="D93" i="3"/>
  <c r="D92" i="3"/>
  <c r="C94" i="3"/>
  <c r="J94" i="3" s="1"/>
  <c r="C102" i="3"/>
  <c r="J102" i="3" s="1"/>
  <c r="D105" i="3"/>
  <c r="D80" i="3"/>
  <c r="M208" i="2"/>
  <c r="M177" i="2"/>
  <c r="K49" i="25"/>
  <c r="Q49" i="25"/>
  <c r="N49" i="25"/>
  <c r="O49" i="25" s="1"/>
  <c r="P172" i="23"/>
  <c r="H172" i="23"/>
  <c r="P171" i="23"/>
  <c r="T178" i="23"/>
  <c r="D172" i="23"/>
  <c r="D178" i="23"/>
  <c r="T172" i="23"/>
  <c r="Q174" i="23"/>
  <c r="U174" i="23" s="1"/>
  <c r="H171" i="23"/>
  <c r="Q173" i="23"/>
  <c r="U173" i="23" s="1"/>
  <c r="D171" i="23"/>
  <c r="N44" i="23"/>
  <c r="O44" i="23" s="1"/>
  <c r="K44" i="23"/>
  <c r="M44" i="23" s="1"/>
  <c r="T182" i="23"/>
  <c r="J46" i="23"/>
  <c r="P180" i="23"/>
  <c r="N153" i="21"/>
  <c r="O153" i="21" s="1"/>
  <c r="K153" i="21"/>
  <c r="M153" i="21" s="1"/>
  <c r="N83" i="21"/>
  <c r="O83" i="21" s="1"/>
  <c r="K83" i="21"/>
  <c r="M83" i="21" s="1"/>
  <c r="J100" i="18"/>
  <c r="G100" i="18"/>
  <c r="F39" i="20"/>
  <c r="J39" i="20"/>
  <c r="P141" i="20"/>
  <c r="K141" i="20"/>
  <c r="N67" i="19"/>
  <c r="O67" i="19" s="1"/>
  <c r="K67" i="19"/>
  <c r="M67" i="19" s="1"/>
  <c r="D48" i="18"/>
  <c r="C59" i="18" s="1"/>
  <c r="J59" i="18" s="1"/>
  <c r="D52" i="18"/>
  <c r="D53" i="18" s="1"/>
  <c r="B119" i="16"/>
  <c r="G119" i="16"/>
  <c r="F119" i="16"/>
  <c r="T401" i="13"/>
  <c r="AD401" i="13"/>
  <c r="T373" i="13"/>
  <c r="AD373" i="13"/>
  <c r="N88" i="13"/>
  <c r="O88" i="13" s="1"/>
  <c r="K88" i="13"/>
  <c r="M88" i="13" s="1"/>
  <c r="R66" i="11"/>
  <c r="Q66" i="11"/>
  <c r="N66" i="11"/>
  <c r="O66" i="11" s="1"/>
  <c r="K66" i="11"/>
  <c r="M66" i="11" s="1"/>
  <c r="N68" i="12"/>
  <c r="O68" i="12" s="1"/>
  <c r="K68" i="12"/>
  <c r="M68" i="12" s="1"/>
  <c r="Q115" i="8"/>
  <c r="L115" i="8"/>
  <c r="M115" i="8" s="1"/>
  <c r="O118" i="9"/>
  <c r="P118" i="9" s="1"/>
  <c r="S118" i="9"/>
  <c r="R118" i="9"/>
  <c r="L118" i="9"/>
  <c r="K95" i="8"/>
  <c r="M95" i="8" s="1"/>
  <c r="Q95" i="8"/>
  <c r="N95" i="8"/>
  <c r="O95" i="8" s="1"/>
  <c r="E111" i="10"/>
  <c r="N111" i="10" s="1"/>
  <c r="L111" i="10"/>
  <c r="Q94" i="8"/>
  <c r="C77" i="10"/>
  <c r="L77" i="10" s="1"/>
  <c r="R155" i="7"/>
  <c r="Q155" i="7"/>
  <c r="N155" i="7"/>
  <c r="O155" i="7" s="1"/>
  <c r="K155" i="7"/>
  <c r="M155" i="7" s="1"/>
  <c r="N197" i="7"/>
  <c r="O197" i="7" s="1"/>
  <c r="R197" i="7"/>
  <c r="Q197" i="7"/>
  <c r="K197" i="7"/>
  <c r="M197" i="7" s="1"/>
  <c r="R129" i="7"/>
  <c r="Q129" i="7"/>
  <c r="N129" i="7"/>
  <c r="O129" i="7" s="1"/>
  <c r="K129" i="7"/>
  <c r="M129" i="7" s="1"/>
  <c r="G247" i="7" s="1"/>
  <c r="R98" i="6"/>
  <c r="Q98" i="6"/>
  <c r="N98" i="6"/>
  <c r="O98" i="6" s="1"/>
  <c r="K98" i="6"/>
  <c r="M98" i="6" s="1"/>
  <c r="F129" i="4"/>
  <c r="M90" i="4"/>
  <c r="C85" i="4"/>
  <c r="D84" i="4"/>
  <c r="D85" i="4" s="1"/>
  <c r="N84" i="4"/>
  <c r="O84" i="4" s="1"/>
  <c r="J84" i="4"/>
  <c r="F84" i="4"/>
  <c r="N134" i="3"/>
  <c r="O134" i="3" s="1"/>
  <c r="R134" i="3"/>
  <c r="Q134" i="3"/>
  <c r="K134" i="3"/>
  <c r="M134" i="3" s="1"/>
  <c r="N116" i="3"/>
  <c r="O116" i="3" s="1"/>
  <c r="R116" i="3"/>
  <c r="Q116" i="3"/>
  <c r="K116" i="3"/>
  <c r="M116" i="3" s="1"/>
  <c r="N169" i="3"/>
  <c r="O169" i="3" s="1"/>
  <c r="K169" i="3"/>
  <c r="M169" i="3" s="1"/>
  <c r="Q169" i="3"/>
  <c r="R169" i="3" s="1"/>
  <c r="N173" i="3"/>
  <c r="O173" i="3" s="1"/>
  <c r="Q173" i="3"/>
  <c r="R173" i="3" s="1"/>
  <c r="K173" i="3"/>
  <c r="M173" i="3" s="1"/>
  <c r="Q74" i="4"/>
  <c r="P74" i="4"/>
  <c r="K74" i="4"/>
  <c r="M74" i="4" s="1"/>
  <c r="Q153" i="3"/>
  <c r="R153" i="3"/>
  <c r="N153" i="3"/>
  <c r="O153" i="3" s="1"/>
  <c r="K153" i="3"/>
  <c r="M153" i="3" s="1"/>
  <c r="N144" i="2"/>
  <c r="O144" i="2" s="1"/>
  <c r="K144" i="2"/>
  <c r="M144" i="2" s="1"/>
  <c r="R144" i="2"/>
  <c r="Q144" i="2"/>
  <c r="N156" i="2"/>
  <c r="O156" i="2" s="1"/>
  <c r="Q156" i="2"/>
  <c r="K156" i="2"/>
  <c r="M156" i="2" s="1"/>
  <c r="R156" i="2"/>
  <c r="R208" i="2"/>
  <c r="Q208" i="2"/>
  <c r="N208" i="2"/>
  <c r="O208" i="2" s="1"/>
  <c r="K208" i="2"/>
  <c r="F101" i="2"/>
  <c r="D101" i="2"/>
  <c r="C101" i="2"/>
  <c r="J59" i="23"/>
  <c r="G59" i="23"/>
  <c r="K43" i="22"/>
  <c r="M43" i="22" s="1"/>
  <c r="N43" i="22"/>
  <c r="O43" i="22" s="1"/>
  <c r="Q176" i="23"/>
  <c r="M49" i="25"/>
  <c r="Q175" i="23"/>
  <c r="T181" i="23"/>
  <c r="N150" i="21"/>
  <c r="O150" i="21" s="1"/>
  <c r="K150" i="21"/>
  <c r="M150" i="21" s="1"/>
  <c r="N61" i="21"/>
  <c r="O61" i="21" s="1"/>
  <c r="K61" i="21"/>
  <c r="J148" i="21"/>
  <c r="F148" i="21"/>
  <c r="J45" i="20"/>
  <c r="N60" i="18"/>
  <c r="O60" i="18" s="1"/>
  <c r="K60" i="18"/>
  <c r="M60" i="18" s="1"/>
  <c r="N66" i="17"/>
  <c r="O66" i="17" s="1"/>
  <c r="K66" i="17"/>
  <c r="M66" i="17" s="1"/>
  <c r="N88" i="16"/>
  <c r="O88" i="16" s="1"/>
  <c r="K88" i="16"/>
  <c r="M88" i="16" s="1"/>
  <c r="J60" i="17"/>
  <c r="M41" i="15"/>
  <c r="N41" i="15" s="1"/>
  <c r="J41" i="15"/>
  <c r="P41" i="15"/>
  <c r="P44" i="15" s="1"/>
  <c r="C25" i="15" s="1"/>
  <c r="C105" i="16"/>
  <c r="G105" i="16" s="1"/>
  <c r="J105" i="16"/>
  <c r="J101" i="14"/>
  <c r="F141" i="13"/>
  <c r="J141" i="13"/>
  <c r="N80" i="11"/>
  <c r="O80" i="11" s="1"/>
  <c r="M80" i="11"/>
  <c r="P84" i="10"/>
  <c r="Q84" i="10" s="1"/>
  <c r="M84" i="10"/>
  <c r="S84" i="10"/>
  <c r="R84" i="10"/>
  <c r="F42" i="11"/>
  <c r="H35" i="11"/>
  <c r="E42" i="11"/>
  <c r="L42" i="11" s="1"/>
  <c r="F41" i="11"/>
  <c r="C42" i="11"/>
  <c r="J42" i="11" s="1"/>
  <c r="E40" i="11"/>
  <c r="L40" i="11" s="1"/>
  <c r="B42" i="11"/>
  <c r="C41" i="11"/>
  <c r="J41" i="11" s="1"/>
  <c r="D40" i="11"/>
  <c r="D41" i="11" s="1"/>
  <c r="C40" i="11"/>
  <c r="J40" i="11" s="1"/>
  <c r="D42" i="11"/>
  <c r="B40" i="11"/>
  <c r="E41" i="11"/>
  <c r="L41" i="11" s="1"/>
  <c r="B41" i="11"/>
  <c r="F40" i="11"/>
  <c r="M234" i="7"/>
  <c r="E110" i="10"/>
  <c r="N110" i="10" s="1"/>
  <c r="F110" i="10"/>
  <c r="L110" i="10"/>
  <c r="P129" i="10"/>
  <c r="Q129" i="10" s="1"/>
  <c r="M129" i="10"/>
  <c r="S129" i="10"/>
  <c r="R129" i="10"/>
  <c r="R113" i="7"/>
  <c r="Q113" i="7"/>
  <c r="N113" i="7"/>
  <c r="O113" i="7" s="1"/>
  <c r="K113" i="7"/>
  <c r="M113" i="7" s="1"/>
  <c r="M162" i="7"/>
  <c r="P116" i="4"/>
  <c r="K116" i="4"/>
  <c r="M116" i="4" s="1"/>
  <c r="Q116" i="4"/>
  <c r="N116" i="4"/>
  <c r="O116" i="4" s="1"/>
  <c r="N198" i="7"/>
  <c r="O198" i="7" s="1"/>
  <c r="R198" i="7"/>
  <c r="Q198" i="7"/>
  <c r="K198" i="7"/>
  <c r="K200" i="7"/>
  <c r="M200" i="7" s="1"/>
  <c r="R200" i="7"/>
  <c r="Q200" i="7"/>
  <c r="N200" i="7"/>
  <c r="O200" i="7" s="1"/>
  <c r="N168" i="3"/>
  <c r="O168" i="3" s="1"/>
  <c r="Q168" i="3"/>
  <c r="R168" i="3" s="1"/>
  <c r="K168" i="3"/>
  <c r="M168" i="3" s="1"/>
  <c r="N117" i="3"/>
  <c r="O117" i="3" s="1"/>
  <c r="K117" i="3"/>
  <c r="M117" i="3" s="1"/>
  <c r="R117" i="3"/>
  <c r="Q117" i="3"/>
  <c r="M170" i="3"/>
  <c r="R110" i="3"/>
  <c r="Q110" i="3"/>
  <c r="K110" i="3"/>
  <c r="M110" i="3" s="1"/>
  <c r="N110" i="3"/>
  <c r="O110" i="3" s="1"/>
  <c r="J59" i="6"/>
  <c r="C61" i="6"/>
  <c r="J61" i="6" s="1"/>
  <c r="N198" i="3"/>
  <c r="O198" i="3" s="1"/>
  <c r="Q198" i="3"/>
  <c r="R198" i="3" s="1"/>
  <c r="K198" i="3"/>
  <c r="M198" i="3" s="1"/>
  <c r="R94" i="1"/>
  <c r="N94" i="1"/>
  <c r="O94" i="1" s="1"/>
  <c r="K94" i="1"/>
  <c r="M94" i="1" s="1"/>
  <c r="Q94" i="1"/>
  <c r="R129" i="2"/>
  <c r="K129" i="2"/>
  <c r="M129" i="2" s="1"/>
  <c r="N129" i="2"/>
  <c r="O129" i="2" s="1"/>
  <c r="Q129" i="2"/>
  <c r="N150" i="2"/>
  <c r="O150" i="2" s="1"/>
  <c r="Q150" i="2"/>
  <c r="K150" i="2"/>
  <c r="M150" i="2" s="1"/>
  <c r="R150" i="2"/>
  <c r="J106" i="1"/>
  <c r="E106" i="1"/>
  <c r="L106" i="1" s="1"/>
  <c r="J117" i="2"/>
  <c r="K74" i="1"/>
  <c r="M74" i="1" s="1"/>
  <c r="R74" i="1"/>
  <c r="Q74" i="1"/>
  <c r="N74" i="1"/>
  <c r="O74" i="1" s="1"/>
  <c r="C51" i="25"/>
  <c r="J44" i="25"/>
  <c r="N50" i="23"/>
  <c r="O50" i="23" s="1"/>
  <c r="K50" i="23"/>
  <c r="M50" i="23" s="1"/>
  <c r="N40" i="23"/>
  <c r="O40" i="23" s="1"/>
  <c r="K40" i="23"/>
  <c r="M40" i="23" s="1"/>
  <c r="M37" i="22"/>
  <c r="G55" i="22" s="1"/>
  <c r="J56" i="21"/>
  <c r="F56" i="21"/>
  <c r="N130" i="21"/>
  <c r="O130" i="21" s="1"/>
  <c r="K130" i="21"/>
  <c r="M130" i="21" s="1"/>
  <c r="J87" i="21"/>
  <c r="F87" i="21"/>
  <c r="J99" i="18"/>
  <c r="G99" i="18"/>
  <c r="E99" i="18"/>
  <c r="Q87" i="18"/>
  <c r="N87" i="18"/>
  <c r="O87" i="18" s="1"/>
  <c r="K87" i="18"/>
  <c r="Q85" i="18"/>
  <c r="Q123" i="18" s="1"/>
  <c r="C41" i="18" s="1"/>
  <c r="K85" i="18"/>
  <c r="N105" i="18"/>
  <c r="O105" i="18" s="1"/>
  <c r="K105" i="18"/>
  <c r="M105" i="18" s="1"/>
  <c r="J108" i="18"/>
  <c r="G108" i="18"/>
  <c r="K49" i="17"/>
  <c r="M49" i="17" s="1"/>
  <c r="N49" i="17"/>
  <c r="O49" i="17" s="1"/>
  <c r="N57" i="17"/>
  <c r="O57" i="17" s="1"/>
  <c r="K57" i="17"/>
  <c r="M57" i="17" s="1"/>
  <c r="N43" i="19"/>
  <c r="O43" i="19" s="1"/>
  <c r="K43" i="19"/>
  <c r="M43" i="19" s="1"/>
  <c r="T387" i="13"/>
  <c r="AD387" i="13"/>
  <c r="J43" i="14"/>
  <c r="M70" i="16"/>
  <c r="N153" i="13"/>
  <c r="O153" i="13" s="1"/>
  <c r="K153" i="13"/>
  <c r="M153" i="13" s="1"/>
  <c r="K202" i="13"/>
  <c r="M202" i="13" s="1"/>
  <c r="N202" i="13"/>
  <c r="O202" i="13" s="1"/>
  <c r="N131" i="13"/>
  <c r="O131" i="13" s="1"/>
  <c r="M131" i="13"/>
  <c r="J194" i="13"/>
  <c r="J125" i="13"/>
  <c r="F125" i="13"/>
  <c r="N188" i="13"/>
  <c r="O188" i="13" s="1"/>
  <c r="K188" i="13"/>
  <c r="M188" i="13" s="1"/>
  <c r="S84" i="9"/>
  <c r="R84" i="9"/>
  <c r="O84" i="9"/>
  <c r="P84" i="9" s="1"/>
  <c r="L84" i="9"/>
  <c r="R231" i="7"/>
  <c r="Q231" i="7"/>
  <c r="N231" i="7"/>
  <c r="O231" i="7" s="1"/>
  <c r="K231" i="7"/>
  <c r="M231" i="7" s="1"/>
  <c r="C54" i="10"/>
  <c r="C66" i="10"/>
  <c r="C68" i="10"/>
  <c r="C88" i="10"/>
  <c r="C94" i="10" s="1"/>
  <c r="C99" i="10" s="1"/>
  <c r="R112" i="7"/>
  <c r="Q112" i="7"/>
  <c r="N112" i="7"/>
  <c r="O112" i="7" s="1"/>
  <c r="K112" i="7"/>
  <c r="M112" i="7" s="1"/>
  <c r="L160" i="7"/>
  <c r="M160" i="7" s="1"/>
  <c r="D160" i="7"/>
  <c r="K187" i="7"/>
  <c r="M187" i="7" s="1"/>
  <c r="R187" i="7"/>
  <c r="Q187" i="7"/>
  <c r="N187" i="7"/>
  <c r="O187" i="7" s="1"/>
  <c r="R164" i="7"/>
  <c r="Q164" i="7"/>
  <c r="N164" i="7"/>
  <c r="O164" i="7" s="1"/>
  <c r="K164" i="7"/>
  <c r="M164" i="7" s="1"/>
  <c r="D98" i="4"/>
  <c r="D198" i="7"/>
  <c r="L198" i="7"/>
  <c r="N80" i="4"/>
  <c r="O80" i="4" s="1"/>
  <c r="J80" i="4"/>
  <c r="F80" i="4"/>
  <c r="K94" i="6"/>
  <c r="M94" i="6" s="1"/>
  <c r="R94" i="6"/>
  <c r="Q94" i="6"/>
  <c r="N94" i="6"/>
  <c r="O94" i="6" s="1"/>
  <c r="D202" i="3"/>
  <c r="L202" i="3"/>
  <c r="M202" i="3" s="1"/>
  <c r="N215" i="3"/>
  <c r="O215" i="3" s="1"/>
  <c r="K215" i="3"/>
  <c r="M215" i="3" s="1"/>
  <c r="Q215" i="3"/>
  <c r="R215" i="3" s="1"/>
  <c r="K55" i="6"/>
  <c r="M55" i="6" s="1"/>
  <c r="Q55" i="6"/>
  <c r="R55" i="6" s="1"/>
  <c r="N55" i="6"/>
  <c r="O55" i="6" s="1"/>
  <c r="K192" i="3"/>
  <c r="M192" i="3" s="1"/>
  <c r="N192" i="3"/>
  <c r="O192" i="3" s="1"/>
  <c r="Q192" i="3"/>
  <c r="R192" i="3" s="1"/>
  <c r="M109" i="3"/>
  <c r="Q72" i="1"/>
  <c r="R72" i="1"/>
  <c r="N72" i="1"/>
  <c r="O72" i="1" s="1"/>
  <c r="K72" i="1"/>
  <c r="R136" i="2"/>
  <c r="Q136" i="2"/>
  <c r="K136" i="2"/>
  <c r="M136" i="2" s="1"/>
  <c r="N136" i="2"/>
  <c r="O136" i="2" s="1"/>
  <c r="N138" i="2"/>
  <c r="O138" i="2" s="1"/>
  <c r="R138" i="2"/>
  <c r="Q138" i="2"/>
  <c r="K138" i="2"/>
  <c r="M138" i="2" s="1"/>
  <c r="J72" i="2"/>
  <c r="J71" i="2" s="1"/>
  <c r="C196" i="2" s="1"/>
  <c r="J58" i="1"/>
  <c r="C59" i="1"/>
  <c r="J59" i="1" s="1"/>
  <c r="C66" i="1"/>
  <c r="J66" i="1" s="1"/>
  <c r="C63" i="1"/>
  <c r="F50" i="25"/>
  <c r="J50" i="25" s="1"/>
  <c r="D51" i="25"/>
  <c r="F51" i="25" s="1"/>
  <c r="N173" i="21"/>
  <c r="O173" i="21" s="1"/>
  <c r="K173" i="21"/>
  <c r="M173" i="21" s="1"/>
  <c r="J125" i="21"/>
  <c r="F125" i="21"/>
  <c r="N79" i="21"/>
  <c r="O79" i="21" s="1"/>
  <c r="K79" i="21"/>
  <c r="M79" i="21" s="1"/>
  <c r="M87" i="18"/>
  <c r="K72" i="18"/>
  <c r="M72" i="18" s="1"/>
  <c r="N72" i="18"/>
  <c r="O72" i="18" s="1"/>
  <c r="N76" i="18"/>
  <c r="O76" i="18" s="1"/>
  <c r="K76" i="18"/>
  <c r="M76" i="18" s="1"/>
  <c r="C57" i="18"/>
  <c r="J57" i="18" s="1"/>
  <c r="D47" i="17"/>
  <c r="J47" i="17" s="1"/>
  <c r="E41" i="17"/>
  <c r="E69" i="17"/>
  <c r="E75" i="17" s="1"/>
  <c r="E80" i="17" s="1"/>
  <c r="E86" i="17" s="1"/>
  <c r="E91" i="17" s="1"/>
  <c r="K95" i="17"/>
  <c r="M95" i="17" s="1"/>
  <c r="N95" i="17"/>
  <c r="O95" i="17" s="1"/>
  <c r="N167" i="16"/>
  <c r="O167" i="16" s="1"/>
  <c r="K167" i="16"/>
  <c r="M167" i="16" s="1"/>
  <c r="K113" i="16"/>
  <c r="M113" i="16" s="1"/>
  <c r="N113" i="16"/>
  <c r="O113" i="16" s="1"/>
  <c r="N92" i="14"/>
  <c r="O92" i="14" s="1"/>
  <c r="K92" i="14"/>
  <c r="M92" i="14" s="1"/>
  <c r="G143" i="16"/>
  <c r="F143" i="16"/>
  <c r="B143" i="16"/>
  <c r="C104" i="16"/>
  <c r="G104" i="16" s="1"/>
  <c r="J104" i="16"/>
  <c r="K130" i="16"/>
  <c r="M130" i="16" s="1"/>
  <c r="N130" i="16"/>
  <c r="O130" i="16" s="1"/>
  <c r="N308" i="16"/>
  <c r="N303" i="16"/>
  <c r="N301" i="16"/>
  <c r="N311" i="16"/>
  <c r="D310" i="16"/>
  <c r="D295" i="16"/>
  <c r="N270" i="16"/>
  <c r="D308" i="16"/>
  <c r="D303" i="16"/>
  <c r="D293" i="16"/>
  <c r="N284" i="16"/>
  <c r="H278" i="16"/>
  <c r="D271" i="16"/>
  <c r="H295" i="16"/>
  <c r="D294" i="16"/>
  <c r="N286" i="16"/>
  <c r="D277" i="16"/>
  <c r="H310" i="16"/>
  <c r="N300" i="16"/>
  <c r="D309" i="16"/>
  <c r="N302" i="16"/>
  <c r="D278" i="16"/>
  <c r="N268" i="16"/>
  <c r="N287" i="16"/>
  <c r="D284" i="16"/>
  <c r="N269" i="16"/>
  <c r="D300" i="16"/>
  <c r="H286" i="16"/>
  <c r="D279" i="16"/>
  <c r="N271" i="16"/>
  <c r="H311" i="16"/>
  <c r="N294" i="16"/>
  <c r="N292" i="16"/>
  <c r="D285" i="16"/>
  <c r="H270" i="16"/>
  <c r="H302" i="16"/>
  <c r="D301" i="16"/>
  <c r="N276" i="16"/>
  <c r="D268" i="16"/>
  <c r="D311" i="16"/>
  <c r="N293" i="16"/>
  <c r="H287" i="16"/>
  <c r="D286" i="16"/>
  <c r="N278" i="16"/>
  <c r="H303" i="16"/>
  <c r="D302" i="16"/>
  <c r="H294" i="16"/>
  <c r="N285" i="16"/>
  <c r="D292" i="16"/>
  <c r="D276" i="16"/>
  <c r="H271" i="16"/>
  <c r="D287" i="16"/>
  <c r="N309" i="16"/>
  <c r="N279" i="16"/>
  <c r="N277" i="16"/>
  <c r="D269" i="16"/>
  <c r="N295" i="16"/>
  <c r="H279" i="16"/>
  <c r="D270" i="16"/>
  <c r="N310" i="16"/>
  <c r="K80" i="14"/>
  <c r="M80" i="14" s="1"/>
  <c r="N80" i="14"/>
  <c r="O80" i="14" s="1"/>
  <c r="N137" i="13"/>
  <c r="O137" i="13" s="1"/>
  <c r="K137" i="13"/>
  <c r="M137" i="13" s="1"/>
  <c r="N123" i="13"/>
  <c r="O123" i="13" s="1"/>
  <c r="K123" i="13"/>
  <c r="M123" i="13" s="1"/>
  <c r="N184" i="13"/>
  <c r="O184" i="13" s="1"/>
  <c r="K184" i="13"/>
  <c r="M184" i="13" s="1"/>
  <c r="N119" i="12"/>
  <c r="O119" i="12" s="1"/>
  <c r="K119" i="12"/>
  <c r="M119" i="12" s="1"/>
  <c r="M87" i="13"/>
  <c r="G221" i="13" s="1"/>
  <c r="J50" i="12"/>
  <c r="C51" i="12"/>
  <c r="C56" i="12"/>
  <c r="O91" i="9"/>
  <c r="P91" i="9" s="1"/>
  <c r="S91" i="9"/>
  <c r="R91" i="9"/>
  <c r="L91" i="9"/>
  <c r="N91" i="9" s="1"/>
  <c r="G140" i="9" s="1"/>
  <c r="D66" i="9"/>
  <c r="E88" i="9"/>
  <c r="E94" i="9" s="1"/>
  <c r="E99" i="9" s="1"/>
  <c r="E105" i="9" s="1"/>
  <c r="E55" i="9"/>
  <c r="R111" i="7"/>
  <c r="Q111" i="7"/>
  <c r="N111" i="7"/>
  <c r="O111" i="7" s="1"/>
  <c r="K111" i="7"/>
  <c r="K104" i="8"/>
  <c r="N104" i="8"/>
  <c r="O104" i="8" s="1"/>
  <c r="N230" i="7"/>
  <c r="O230" i="7" s="1"/>
  <c r="R230" i="7"/>
  <c r="Q230" i="7"/>
  <c r="K230" i="7"/>
  <c r="M230" i="7" s="1"/>
  <c r="D138" i="8"/>
  <c r="Q138" i="8"/>
  <c r="L138" i="8"/>
  <c r="M138" i="8" s="1"/>
  <c r="M102" i="6"/>
  <c r="D143" i="7"/>
  <c r="L143" i="7"/>
  <c r="M143" i="7" s="1"/>
  <c r="H72" i="7"/>
  <c r="H71" i="7"/>
  <c r="D57" i="4"/>
  <c r="C58" i="4"/>
  <c r="K82" i="4"/>
  <c r="M82" i="4" s="1"/>
  <c r="Q82" i="4"/>
  <c r="P82" i="4"/>
  <c r="K170" i="3"/>
  <c r="Q170" i="3"/>
  <c r="R170" i="3" s="1"/>
  <c r="N170" i="3"/>
  <c r="O170" i="3" s="1"/>
  <c r="K54" i="6"/>
  <c r="R54" i="6"/>
  <c r="Q54" i="6"/>
  <c r="N54" i="6"/>
  <c r="M159" i="3"/>
  <c r="Q104" i="3"/>
  <c r="R104" i="3"/>
  <c r="N104" i="3"/>
  <c r="O104" i="3" s="1"/>
  <c r="K104" i="3"/>
  <c r="M104" i="3" s="1"/>
  <c r="D63" i="1"/>
  <c r="C64" i="1" s="1"/>
  <c r="J56" i="2"/>
  <c r="J55" i="2"/>
  <c r="C160" i="2" s="1"/>
  <c r="Q172" i="2"/>
  <c r="R172" i="2" s="1"/>
  <c r="N102" i="1"/>
  <c r="O102" i="1" s="1"/>
  <c r="K102" i="1"/>
  <c r="M102" i="1" s="1"/>
  <c r="Q102" i="1"/>
  <c r="R102" i="1" s="1"/>
  <c r="J89" i="1"/>
  <c r="K89" i="1" s="1"/>
  <c r="C96" i="1"/>
  <c r="N47" i="23"/>
  <c r="O47" i="23" s="1"/>
  <c r="K47" i="23"/>
  <c r="M47" i="23" s="1"/>
  <c r="O42" i="25"/>
  <c r="F64" i="21"/>
  <c r="J64" i="21"/>
  <c r="K129" i="21"/>
  <c r="M129" i="21" s="1"/>
  <c r="N129" i="21"/>
  <c r="O129" i="21" s="1"/>
  <c r="J101" i="21"/>
  <c r="F101" i="21"/>
  <c r="N174" i="21"/>
  <c r="O174" i="21" s="1"/>
  <c r="K174" i="21"/>
  <c r="M174" i="21" s="1"/>
  <c r="N86" i="21"/>
  <c r="O86" i="21" s="1"/>
  <c r="K86" i="21"/>
  <c r="M86" i="21" s="1"/>
  <c r="J99" i="21"/>
  <c r="D100" i="21"/>
  <c r="F99" i="21"/>
  <c r="B5" i="20"/>
  <c r="D5" i="20" s="1"/>
  <c r="D4" i="20"/>
  <c r="J93" i="17"/>
  <c r="D96" i="17"/>
  <c r="J96" i="17" s="1"/>
  <c r="K51" i="19"/>
  <c r="M51" i="19" s="1"/>
  <c r="N51" i="19"/>
  <c r="O51" i="19" s="1"/>
  <c r="F163" i="16"/>
  <c r="G163" i="16"/>
  <c r="J165" i="16"/>
  <c r="C165" i="16"/>
  <c r="G165" i="16" s="1"/>
  <c r="J106" i="16"/>
  <c r="C106" i="16"/>
  <c r="G106" i="16" s="1"/>
  <c r="J141" i="16"/>
  <c r="C141" i="16"/>
  <c r="G141" i="16" s="1"/>
  <c r="F67" i="16"/>
  <c r="D67" i="16"/>
  <c r="C67" i="16"/>
  <c r="J67" i="16" s="1"/>
  <c r="D51" i="14"/>
  <c r="F51" i="14" s="1"/>
  <c r="F50" i="14"/>
  <c r="K138" i="13"/>
  <c r="M138" i="13" s="1"/>
  <c r="N138" i="13"/>
  <c r="O138" i="13" s="1"/>
  <c r="N178" i="13"/>
  <c r="O178" i="13" s="1"/>
  <c r="Q178" i="13"/>
  <c r="K178" i="13"/>
  <c r="M178" i="13" s="1"/>
  <c r="N186" i="13"/>
  <c r="O186" i="13" s="1"/>
  <c r="K186" i="13"/>
  <c r="M186" i="13" s="1"/>
  <c r="F88" i="11"/>
  <c r="C88" i="9"/>
  <c r="C94" i="9" s="1"/>
  <c r="C99" i="9" s="1"/>
  <c r="C55" i="9"/>
  <c r="C66" i="9"/>
  <c r="C68" i="9"/>
  <c r="K105" i="8"/>
  <c r="N105" i="8"/>
  <c r="O105" i="8" s="1"/>
  <c r="N225" i="7"/>
  <c r="O225" i="7" s="1"/>
  <c r="Q225" i="7"/>
  <c r="K225" i="7"/>
  <c r="M225" i="7" s="1"/>
  <c r="R225" i="7"/>
  <c r="N138" i="8"/>
  <c r="O138" i="8" s="1"/>
  <c r="K138" i="8"/>
  <c r="F153" i="8" s="1"/>
  <c r="H56" i="7"/>
  <c r="H55" i="7"/>
  <c r="M163" i="7"/>
  <c r="M68" i="6"/>
  <c r="Q102" i="6"/>
  <c r="N102" i="6"/>
  <c r="O102" i="6" s="1"/>
  <c r="K102" i="6"/>
  <c r="R102" i="6"/>
  <c r="R143" i="7"/>
  <c r="Q143" i="7"/>
  <c r="N143" i="7"/>
  <c r="O143" i="7" s="1"/>
  <c r="K143" i="7"/>
  <c r="Q202" i="7"/>
  <c r="K202" i="7"/>
  <c r="M202" i="7" s="1"/>
  <c r="R202" i="7"/>
  <c r="N202" i="7"/>
  <c r="O202" i="7" s="1"/>
  <c r="C52" i="4"/>
  <c r="C41" i="4"/>
  <c r="C94" i="4"/>
  <c r="C100" i="4" s="1"/>
  <c r="N204" i="3"/>
  <c r="O204" i="3" s="1"/>
  <c r="Q204" i="3"/>
  <c r="R204" i="3" s="1"/>
  <c r="K204" i="3"/>
  <c r="M204" i="3" s="1"/>
  <c r="Q235" i="3"/>
  <c r="R235" i="3" s="1"/>
  <c r="N235" i="3"/>
  <c r="O235" i="3" s="1"/>
  <c r="K235" i="3"/>
  <c r="M235" i="3" s="1"/>
  <c r="J62" i="6"/>
  <c r="H72" i="3"/>
  <c r="H71" i="3"/>
  <c r="Q209" i="3"/>
  <c r="R209" i="3" s="1"/>
  <c r="N209" i="3"/>
  <c r="O209" i="3" s="1"/>
  <c r="K209" i="3"/>
  <c r="M209" i="3" s="1"/>
  <c r="N68" i="4"/>
  <c r="O68" i="4" s="1"/>
  <c r="J68" i="4"/>
  <c r="F68" i="4"/>
  <c r="C69" i="4"/>
  <c r="D68" i="4"/>
  <c r="D69" i="4" s="1"/>
  <c r="N133" i="3"/>
  <c r="O133" i="3" s="1"/>
  <c r="R133" i="3"/>
  <c r="Q133" i="3"/>
  <c r="K133" i="3"/>
  <c r="M133" i="3" s="1"/>
  <c r="M98" i="12" l="1"/>
  <c r="N99" i="12"/>
  <c r="O99" i="12" s="1"/>
  <c r="L99" i="12"/>
  <c r="M99" i="12" s="1"/>
  <c r="F65" i="12"/>
  <c r="D65" i="12"/>
  <c r="C65" i="12"/>
  <c r="J65" i="12" s="1"/>
  <c r="AC239" i="12"/>
  <c r="K236" i="12"/>
  <c r="P236" i="12"/>
  <c r="Z230" i="12"/>
  <c r="P240" i="12"/>
  <c r="Z232" i="12"/>
  <c r="P241" i="12"/>
  <c r="AC238" i="12"/>
  <c r="Z229" i="12"/>
  <c r="Z239" i="12"/>
  <c r="AC231" i="12"/>
  <c r="Z240" i="12"/>
  <c r="O238" i="12"/>
  <c r="Z238" i="12"/>
  <c r="S231" i="12"/>
  <c r="S230" i="12"/>
  <c r="O237" i="12"/>
  <c r="Z234" i="12"/>
  <c r="P233" i="12"/>
  <c r="S236" i="12"/>
  <c r="G238" i="12"/>
  <c r="AC232" i="12"/>
  <c r="Z236" i="12"/>
  <c r="Z237" i="12"/>
  <c r="AC240" i="12"/>
  <c r="P234" i="12"/>
  <c r="AC241" i="12"/>
  <c r="D102" i="12" s="1"/>
  <c r="S232" i="12"/>
  <c r="Z233" i="12"/>
  <c r="G230" i="12"/>
  <c r="Z241" i="12"/>
  <c r="E103" i="12" s="1"/>
  <c r="P239" i="12"/>
  <c r="K229" i="12"/>
  <c r="Z235" i="12"/>
  <c r="G229" i="12"/>
  <c r="G237" i="12"/>
  <c r="Q235" i="12"/>
  <c r="Z231" i="12"/>
  <c r="F58" i="12"/>
  <c r="D59" i="12"/>
  <c r="F59" i="12" s="1"/>
  <c r="C49" i="14"/>
  <c r="D49" i="14"/>
  <c r="C55" i="14"/>
  <c r="J55" i="14" s="1"/>
  <c r="D55" i="14"/>
  <c r="C57" i="14"/>
  <c r="J57" i="14" s="1"/>
  <c r="K42" i="14"/>
  <c r="M42" i="14" s="1"/>
  <c r="N42" i="14"/>
  <c r="O42" i="14" s="1"/>
  <c r="J48" i="14"/>
  <c r="C50" i="14"/>
  <c r="J50" i="14" s="1"/>
  <c r="G113" i="14"/>
  <c r="F114" i="14"/>
  <c r="M61" i="14"/>
  <c r="G114" i="14" s="1"/>
  <c r="N58" i="14"/>
  <c r="O58" i="14" s="1"/>
  <c r="K58" i="14"/>
  <c r="M58" i="14" s="1"/>
  <c r="N45" i="14"/>
  <c r="O45" i="14" s="1"/>
  <c r="K45" i="14"/>
  <c r="M45" i="14" s="1"/>
  <c r="N173" i="13"/>
  <c r="O173" i="13" s="1"/>
  <c r="K173" i="13"/>
  <c r="M173" i="13" s="1"/>
  <c r="N157" i="13"/>
  <c r="O157" i="13" s="1"/>
  <c r="K157" i="13"/>
  <c r="M157" i="13" s="1"/>
  <c r="D63" i="13"/>
  <c r="E85" i="13"/>
  <c r="E91" i="13" s="1"/>
  <c r="E96" i="13" s="1"/>
  <c r="E102" i="13" s="1"/>
  <c r="E109" i="13" s="1"/>
  <c r="E58" i="13"/>
  <c r="F74" i="13"/>
  <c r="C74" i="13"/>
  <c r="J74" i="13" s="1"/>
  <c r="Q113" i="1"/>
  <c r="R113" i="1" s="1"/>
  <c r="N113" i="1"/>
  <c r="O113" i="1" s="1"/>
  <c r="K113" i="1"/>
  <c r="Q114" i="17"/>
  <c r="Q125" i="17" s="1"/>
  <c r="C43" i="17" s="1"/>
  <c r="N114" i="17"/>
  <c r="O114" i="17" s="1"/>
  <c r="K114" i="17"/>
  <c r="M114" i="17" s="1"/>
  <c r="K69" i="1"/>
  <c r="M69" i="1" s="1"/>
  <c r="Q69" i="1"/>
  <c r="R69" i="1" s="1"/>
  <c r="N69" i="1"/>
  <c r="O69" i="1" s="1"/>
  <c r="J51" i="12"/>
  <c r="K52" i="12"/>
  <c r="M52" i="12" s="1"/>
  <c r="N52" i="12"/>
  <c r="O52" i="12" s="1"/>
  <c r="T241" i="12"/>
  <c r="E101" i="12" s="1"/>
  <c r="T240" i="12"/>
  <c r="K60" i="12"/>
  <c r="M60" i="12" s="1"/>
  <c r="N60" i="12"/>
  <c r="O60" i="12" s="1"/>
  <c r="K61" i="12"/>
  <c r="M61" i="12" s="1"/>
  <c r="N61" i="12"/>
  <c r="O61" i="12" s="1"/>
  <c r="J59" i="12"/>
  <c r="J38" i="5"/>
  <c r="N38" i="5" s="1"/>
  <c r="O38" i="5" s="1"/>
  <c r="K36" i="5"/>
  <c r="M36" i="5" s="1"/>
  <c r="N36" i="5"/>
  <c r="O36" i="5" s="1"/>
  <c r="P36" i="5"/>
  <c r="Q36" i="5" s="1"/>
  <c r="K50" i="25"/>
  <c r="Q50" i="25"/>
  <c r="N50" i="25"/>
  <c r="O50" i="25" s="1"/>
  <c r="N47" i="17"/>
  <c r="K47" i="17"/>
  <c r="N48" i="20"/>
  <c r="O48" i="20" s="1"/>
  <c r="K48" i="20"/>
  <c r="M48" i="20" s="1"/>
  <c r="K70" i="4"/>
  <c r="M70" i="4" s="1"/>
  <c r="P70" i="4"/>
  <c r="Q70" i="4" s="1"/>
  <c r="N70" i="4"/>
  <c r="O70" i="4" s="1"/>
  <c r="F196" i="2"/>
  <c r="J196" i="2"/>
  <c r="D197" i="2"/>
  <c r="N125" i="13"/>
  <c r="O125" i="13" s="1"/>
  <c r="K125" i="13"/>
  <c r="M125" i="13" s="1"/>
  <c r="C96" i="4"/>
  <c r="J96" i="4" s="1"/>
  <c r="C105" i="4"/>
  <c r="C97" i="4"/>
  <c r="J97" i="4" s="1"/>
  <c r="D64" i="1"/>
  <c r="J64" i="1" s="1"/>
  <c r="D67" i="1"/>
  <c r="F221" i="13"/>
  <c r="N58" i="1"/>
  <c r="Q58" i="1"/>
  <c r="K58" i="1"/>
  <c r="K141" i="13"/>
  <c r="M141" i="13" s="1"/>
  <c r="N141" i="13"/>
  <c r="O141" i="13" s="1"/>
  <c r="N46" i="23"/>
  <c r="O46" i="23" s="1"/>
  <c r="K46" i="23"/>
  <c r="M46" i="23" s="1"/>
  <c r="K94" i="3"/>
  <c r="M94" i="3" s="1"/>
  <c r="R94" i="3"/>
  <c r="Q94" i="3"/>
  <c r="N94" i="3"/>
  <c r="O94" i="3" s="1"/>
  <c r="D78" i="13"/>
  <c r="F78" i="13"/>
  <c r="C78" i="13"/>
  <c r="J78" i="13" s="1"/>
  <c r="L44" i="15"/>
  <c r="M53" i="20"/>
  <c r="K55" i="21"/>
  <c r="M55" i="21" s="1"/>
  <c r="N55" i="21"/>
  <c r="O55" i="21" s="1"/>
  <c r="F247" i="7"/>
  <c r="S113" i="10"/>
  <c r="P113" i="10"/>
  <c r="Q113" i="10" s="1"/>
  <c r="R113" i="10"/>
  <c r="M113" i="10"/>
  <c r="F113" i="14"/>
  <c r="J159" i="2"/>
  <c r="C161" i="2"/>
  <c r="F129" i="17"/>
  <c r="F168" i="21"/>
  <c r="J168" i="21"/>
  <c r="D169" i="21"/>
  <c r="N75" i="12"/>
  <c r="O75" i="12" s="1"/>
  <c r="K75" i="12"/>
  <c r="M75" i="12" s="1"/>
  <c r="N189" i="13"/>
  <c r="O189" i="13" s="1"/>
  <c r="K189" i="13"/>
  <c r="M189" i="13" s="1"/>
  <c r="C91" i="2"/>
  <c r="J91" i="2" s="1"/>
  <c r="C95" i="2"/>
  <c r="J90" i="2"/>
  <c r="K106" i="6"/>
  <c r="F119" i="6" s="1"/>
  <c r="Q106" i="6"/>
  <c r="R106" i="6" s="1"/>
  <c r="N106" i="6"/>
  <c r="O106" i="6" s="1"/>
  <c r="K47" i="19"/>
  <c r="N47" i="19"/>
  <c r="O47" i="19" s="1"/>
  <c r="R101" i="7"/>
  <c r="Q101" i="7"/>
  <c r="N101" i="7"/>
  <c r="O101" i="7" s="1"/>
  <c r="K101" i="7"/>
  <c r="M101" i="7" s="1"/>
  <c r="J91" i="16"/>
  <c r="C95" i="16"/>
  <c r="J82" i="14"/>
  <c r="K82" i="14" s="1"/>
  <c r="C86" i="14"/>
  <c r="M72" i="1"/>
  <c r="N43" i="14"/>
  <c r="K43" i="14"/>
  <c r="M43" i="14" s="1"/>
  <c r="N67" i="16"/>
  <c r="O67" i="16" s="1"/>
  <c r="K67" i="16"/>
  <c r="M67" i="16" s="1"/>
  <c r="J96" i="1"/>
  <c r="K96" i="1" s="1"/>
  <c r="C100" i="1"/>
  <c r="N104" i="16"/>
  <c r="O104" i="16" s="1"/>
  <c r="K104" i="16"/>
  <c r="M198" i="7"/>
  <c r="M194" i="13"/>
  <c r="K56" i="21"/>
  <c r="M56" i="21" s="1"/>
  <c r="N56" i="21"/>
  <c r="O56" i="21" s="1"/>
  <c r="K42" i="11"/>
  <c r="R42" i="11"/>
  <c r="Q42" i="11"/>
  <c r="N42" i="11"/>
  <c r="O42" i="11" s="1"/>
  <c r="K84" i="4"/>
  <c r="M84" i="4" s="1"/>
  <c r="Q84" i="4"/>
  <c r="P84" i="4"/>
  <c r="P77" i="10"/>
  <c r="Q77" i="10" s="1"/>
  <c r="M77" i="10"/>
  <c r="O77" i="10" s="1"/>
  <c r="R77" i="10"/>
  <c r="S77" i="10" s="1"/>
  <c r="D99" i="3"/>
  <c r="C100" i="3" s="1"/>
  <c r="F39" i="5"/>
  <c r="J39" i="5" s="1"/>
  <c r="N29" i="15"/>
  <c r="N44" i="15" s="1"/>
  <c r="M44" i="15"/>
  <c r="N48" i="17"/>
  <c r="O48" i="17" s="1"/>
  <c r="K48" i="17"/>
  <c r="M48" i="17" s="1"/>
  <c r="G124" i="1"/>
  <c r="F99" i="7"/>
  <c r="C96" i="7"/>
  <c r="J91" i="7"/>
  <c r="C99" i="7"/>
  <c r="J99" i="7" s="1"/>
  <c r="C92" i="7"/>
  <c r="J92" i="7" s="1"/>
  <c r="O113" i="10"/>
  <c r="J106" i="13"/>
  <c r="B106" i="13"/>
  <c r="E106" i="13" s="1"/>
  <c r="G129" i="17"/>
  <c r="J63" i="4"/>
  <c r="N156" i="21"/>
  <c r="O156" i="21" s="1"/>
  <c r="K156" i="21"/>
  <c r="M156" i="21" s="1"/>
  <c r="C89" i="12"/>
  <c r="J83" i="12"/>
  <c r="C80" i="3"/>
  <c r="C113" i="3"/>
  <c r="C119" i="3" s="1"/>
  <c r="C124" i="3" s="1"/>
  <c r="C130" i="3" s="1"/>
  <c r="C101" i="3"/>
  <c r="J101" i="3" s="1"/>
  <c r="C93" i="3"/>
  <c r="J93" i="3" s="1"/>
  <c r="C91" i="3"/>
  <c r="G153" i="8"/>
  <c r="N49" i="19"/>
  <c r="O49" i="19" s="1"/>
  <c r="K49" i="19"/>
  <c r="M49" i="19" s="1"/>
  <c r="F102" i="7"/>
  <c r="D102" i="7"/>
  <c r="C102" i="7"/>
  <c r="J102" i="7" s="1"/>
  <c r="K85" i="16"/>
  <c r="Q85" i="16"/>
  <c r="Q52" i="25"/>
  <c r="N52" i="25"/>
  <c r="O52" i="25" s="1"/>
  <c r="K52" i="25"/>
  <c r="M52" i="25" s="1"/>
  <c r="K45" i="20"/>
  <c r="N45" i="20"/>
  <c r="O45" i="20" s="1"/>
  <c r="C53" i="4"/>
  <c r="J53" i="4" s="1"/>
  <c r="C60" i="4"/>
  <c r="J60" i="4" s="1"/>
  <c r="C57" i="4"/>
  <c r="J52" i="4"/>
  <c r="N96" i="17"/>
  <c r="O96" i="17" s="1"/>
  <c r="K96" i="17"/>
  <c r="M96" i="17" s="1"/>
  <c r="N101" i="21"/>
  <c r="O101" i="21" s="1"/>
  <c r="K101" i="21"/>
  <c r="M101" i="21" s="1"/>
  <c r="C73" i="9"/>
  <c r="K73" i="9" s="1"/>
  <c r="D69" i="9"/>
  <c r="D72" i="9"/>
  <c r="D73" i="9" s="1"/>
  <c r="D78" i="9"/>
  <c r="N125" i="21"/>
  <c r="O125" i="21" s="1"/>
  <c r="K125" i="21"/>
  <c r="M125" i="21" s="1"/>
  <c r="K194" i="13"/>
  <c r="N194" i="13"/>
  <c r="O194" i="13" s="1"/>
  <c r="Q194" i="13"/>
  <c r="G89" i="11"/>
  <c r="D38" i="20"/>
  <c r="J37" i="20"/>
  <c r="F37" i="20"/>
  <c r="N76" i="6"/>
  <c r="O76" i="6" s="1"/>
  <c r="R76" i="6"/>
  <c r="Q76" i="6"/>
  <c r="K76" i="6"/>
  <c r="M76" i="6" s="1"/>
  <c r="K118" i="16"/>
  <c r="M118" i="16" s="1"/>
  <c r="N118" i="16"/>
  <c r="O118" i="16" s="1"/>
  <c r="M105" i="8"/>
  <c r="J107" i="13"/>
  <c r="B107" i="13"/>
  <c r="E107" i="13" s="1"/>
  <c r="B93" i="16"/>
  <c r="E93" i="16" s="1"/>
  <c r="L93" i="16" s="1"/>
  <c r="J93" i="16"/>
  <c r="D123" i="21"/>
  <c r="F122" i="21"/>
  <c r="J122" i="21"/>
  <c r="Q78" i="4"/>
  <c r="P78" i="4"/>
  <c r="K78" i="4"/>
  <c r="M78" i="4" s="1"/>
  <c r="G115" i="16"/>
  <c r="F115" i="16"/>
  <c r="F128" i="17"/>
  <c r="M71" i="17"/>
  <c r="G128" i="17" s="1"/>
  <c r="K60" i="6"/>
  <c r="M60" i="6" s="1"/>
  <c r="R60" i="6"/>
  <c r="Q60" i="6"/>
  <c r="N60" i="6"/>
  <c r="O60" i="6" s="1"/>
  <c r="C119" i="2"/>
  <c r="C111" i="2"/>
  <c r="J111" i="2" s="1"/>
  <c r="C110" i="2"/>
  <c r="G51" i="22"/>
  <c r="N164" i="16"/>
  <c r="O164" i="16" s="1"/>
  <c r="K164" i="16"/>
  <c r="M164" i="16" s="1"/>
  <c r="K72" i="4"/>
  <c r="M72" i="4" s="1"/>
  <c r="Q72" i="4"/>
  <c r="P72" i="4"/>
  <c r="K73" i="19"/>
  <c r="M73" i="19" s="1"/>
  <c r="N73" i="19"/>
  <c r="O73" i="19" s="1"/>
  <c r="N93" i="17"/>
  <c r="O93" i="17" s="1"/>
  <c r="K93" i="17"/>
  <c r="M93" i="17" s="1"/>
  <c r="G249" i="3"/>
  <c r="N84" i="9"/>
  <c r="R117" i="2"/>
  <c r="Q117" i="2"/>
  <c r="N117" i="2"/>
  <c r="O117" i="2" s="1"/>
  <c r="K117" i="2"/>
  <c r="M117" i="2" s="1"/>
  <c r="M42" i="11"/>
  <c r="S111" i="10"/>
  <c r="P111" i="10"/>
  <c r="Q111" i="10" s="1"/>
  <c r="M111" i="10"/>
  <c r="O111" i="10" s="1"/>
  <c r="R111" i="10"/>
  <c r="N39" i="20"/>
  <c r="O39" i="20" s="1"/>
  <c r="K39" i="20"/>
  <c r="M39" i="20" s="1"/>
  <c r="K38" i="5"/>
  <c r="M38" i="5" s="1"/>
  <c r="P38" i="5"/>
  <c r="Q38" i="5" s="1"/>
  <c r="K117" i="16"/>
  <c r="M117" i="16" s="1"/>
  <c r="N117" i="16"/>
  <c r="O117" i="16" s="1"/>
  <c r="M42" i="20"/>
  <c r="F62" i="20"/>
  <c r="K97" i="7"/>
  <c r="M97" i="7" s="1"/>
  <c r="R97" i="7"/>
  <c r="Q97" i="7"/>
  <c r="N97" i="7"/>
  <c r="O97" i="7" s="1"/>
  <c r="P235" i="12"/>
  <c r="T236" i="12"/>
  <c r="D236" i="12"/>
  <c r="Q231" i="12"/>
  <c r="U231" i="12" s="1"/>
  <c r="P229" i="12"/>
  <c r="Q234" i="12"/>
  <c r="F100" i="12" s="1"/>
  <c r="P230" i="12"/>
  <c r="Q232" i="12"/>
  <c r="U232" i="12" s="1"/>
  <c r="F101" i="12" s="1"/>
  <c r="T230" i="12"/>
  <c r="P238" i="12"/>
  <c r="P237" i="12"/>
  <c r="K237" i="12"/>
  <c r="Q233" i="12"/>
  <c r="AD241" i="12"/>
  <c r="E102" i="12" s="1"/>
  <c r="AD240" i="12"/>
  <c r="K238" i="12"/>
  <c r="AD239" i="12"/>
  <c r="K115" i="16"/>
  <c r="M115" i="16" s="1"/>
  <c r="N115" i="16"/>
  <c r="O115" i="16" s="1"/>
  <c r="N125" i="16"/>
  <c r="O125" i="16" s="1"/>
  <c r="K125" i="16"/>
  <c r="M125" i="16" s="1"/>
  <c r="K62" i="17"/>
  <c r="M62" i="17" s="1"/>
  <c r="N62" i="17"/>
  <c r="O62" i="17" s="1"/>
  <c r="N213" i="2"/>
  <c r="O213" i="2" s="1"/>
  <c r="K213" i="2"/>
  <c r="M213" i="2" s="1"/>
  <c r="G241" i="2" s="1"/>
  <c r="Q213" i="2"/>
  <c r="R213" i="2" s="1"/>
  <c r="J53" i="21"/>
  <c r="F53" i="21"/>
  <c r="D54" i="21"/>
  <c r="Q63" i="6"/>
  <c r="R63" i="6" s="1"/>
  <c r="N63" i="6"/>
  <c r="O63" i="6" s="1"/>
  <c r="K63" i="6"/>
  <c r="M63" i="6" s="1"/>
  <c r="D77" i="21"/>
  <c r="J76" i="21"/>
  <c r="F76" i="21"/>
  <c r="N105" i="16"/>
  <c r="O105" i="16" s="1"/>
  <c r="K105" i="16"/>
  <c r="M105" i="16" s="1"/>
  <c r="Q59" i="1"/>
  <c r="R59" i="1" s="1"/>
  <c r="N59" i="1"/>
  <c r="O59" i="1" s="1"/>
  <c r="K59" i="1"/>
  <c r="M59" i="1" s="1"/>
  <c r="K68" i="9"/>
  <c r="C76" i="9"/>
  <c r="J58" i="4"/>
  <c r="D50" i="17"/>
  <c r="C54" i="17"/>
  <c r="J54" i="17" s="1"/>
  <c r="J85" i="4"/>
  <c r="N85" i="4"/>
  <c r="O85" i="4" s="1"/>
  <c r="S83" i="4" s="1"/>
  <c r="F85" i="4"/>
  <c r="C106" i="3"/>
  <c r="J106" i="3" s="1"/>
  <c r="F106" i="3"/>
  <c r="D106" i="3"/>
  <c r="Q86" i="4"/>
  <c r="P86" i="4"/>
  <c r="K86" i="4"/>
  <c r="M86" i="4" s="1"/>
  <c r="S112" i="10"/>
  <c r="P112" i="10"/>
  <c r="Q112" i="10" s="1"/>
  <c r="R112" i="10"/>
  <c r="M112" i="10"/>
  <c r="D97" i="3"/>
  <c r="D94" i="3"/>
  <c r="C98" i="3"/>
  <c r="G192" i="21"/>
  <c r="K61" i="23"/>
  <c r="N61" i="23"/>
  <c r="O61" i="23" s="1"/>
  <c r="E114" i="2"/>
  <c r="D104" i="2"/>
  <c r="J104" i="2" s="1"/>
  <c r="C106" i="2"/>
  <c r="J106" i="2" s="1"/>
  <c r="J51" i="14"/>
  <c r="F127" i="18"/>
  <c r="K37" i="23"/>
  <c r="N37" i="23"/>
  <c r="K171" i="21"/>
  <c r="M171" i="21" s="1"/>
  <c r="N171" i="21"/>
  <c r="O171" i="21" s="1"/>
  <c r="F152" i="8"/>
  <c r="M77" i="8"/>
  <c r="G152" i="8" s="1"/>
  <c r="C60" i="16"/>
  <c r="J60" i="16" s="1"/>
  <c r="J58" i="16"/>
  <c r="C64" i="16"/>
  <c r="J64" i="16" s="1"/>
  <c r="G85" i="19"/>
  <c r="N146" i="21"/>
  <c r="O146" i="21" s="1"/>
  <c r="K146" i="21"/>
  <c r="M146" i="21" s="1"/>
  <c r="K62" i="6"/>
  <c r="M62" i="6" s="1"/>
  <c r="Q62" i="6"/>
  <c r="R62" i="6" s="1"/>
  <c r="N62" i="6"/>
  <c r="O62" i="6" s="1"/>
  <c r="C72" i="9"/>
  <c r="K66" i="9"/>
  <c r="C67" i="9"/>
  <c r="K67" i="9" s="1"/>
  <c r="N141" i="16"/>
  <c r="O141" i="16" s="1"/>
  <c r="K141" i="16"/>
  <c r="M141" i="16" s="1"/>
  <c r="N64" i="21"/>
  <c r="O64" i="21" s="1"/>
  <c r="K64" i="21"/>
  <c r="M64" i="21" s="1"/>
  <c r="D58" i="4"/>
  <c r="D61" i="4"/>
  <c r="N57" i="18"/>
  <c r="O57" i="18" s="1"/>
  <c r="K57" i="18"/>
  <c r="M57" i="18" s="1"/>
  <c r="N106" i="1"/>
  <c r="O106" i="1" s="1"/>
  <c r="Q106" i="1"/>
  <c r="R106" i="1" s="1"/>
  <c r="K106" i="1"/>
  <c r="M106" i="1" s="1"/>
  <c r="Q101" i="14"/>
  <c r="Q110" i="14" s="1"/>
  <c r="C38" i="14" s="1"/>
  <c r="N101" i="14"/>
  <c r="O101" i="14" s="1"/>
  <c r="K101" i="14"/>
  <c r="M101" i="14" s="1"/>
  <c r="G129" i="4"/>
  <c r="N77" i="4"/>
  <c r="O77" i="4" s="1"/>
  <c r="S75" i="4" s="1"/>
  <c r="J77" i="4"/>
  <c r="F77" i="4"/>
  <c r="O112" i="10"/>
  <c r="F18" i="11"/>
  <c r="K128" i="16"/>
  <c r="M128" i="16" s="1"/>
  <c r="N128" i="16"/>
  <c r="O128" i="16" s="1"/>
  <c r="K107" i="18"/>
  <c r="M107" i="18" s="1"/>
  <c r="N107" i="18"/>
  <c r="O107" i="18" s="1"/>
  <c r="N61" i="16"/>
  <c r="O61" i="16" s="1"/>
  <c r="K61" i="16"/>
  <c r="M61" i="16" s="1"/>
  <c r="P81" i="10"/>
  <c r="Q81" i="10" s="1"/>
  <c r="M81" i="10"/>
  <c r="O81" i="10" s="1"/>
  <c r="S81" i="10"/>
  <c r="R81" i="10"/>
  <c r="F192" i="21"/>
  <c r="J92" i="2"/>
  <c r="C27" i="8"/>
  <c r="I27" i="8" s="1"/>
  <c r="C25" i="8" s="1"/>
  <c r="N54" i="14"/>
  <c r="O54" i="14" s="1"/>
  <c r="K54" i="14"/>
  <c r="M54" i="14" s="1"/>
  <c r="K129" i="16"/>
  <c r="M129" i="16" s="1"/>
  <c r="N129" i="16"/>
  <c r="O129" i="16" s="1"/>
  <c r="G127" i="18"/>
  <c r="C45" i="23"/>
  <c r="J43" i="23"/>
  <c r="K78" i="21"/>
  <c r="M78" i="21" s="1"/>
  <c r="N78" i="21"/>
  <c r="O78" i="21" s="1"/>
  <c r="N53" i="16"/>
  <c r="O53" i="16" s="1"/>
  <c r="K53" i="16"/>
  <c r="M53" i="16" s="1"/>
  <c r="F85" i="19"/>
  <c r="N179" i="21"/>
  <c r="O179" i="21" s="1"/>
  <c r="K179" i="21"/>
  <c r="M179" i="21" s="1"/>
  <c r="P37" i="5"/>
  <c r="Q37" i="5" s="1"/>
  <c r="K37" i="5"/>
  <c r="M37" i="5" s="1"/>
  <c r="F49" i="5"/>
  <c r="C69" i="13"/>
  <c r="C64" i="13"/>
  <c r="J64" i="13" s="1"/>
  <c r="G71" i="25"/>
  <c r="C69" i="25"/>
  <c r="C71" i="25" s="1"/>
  <c r="G35" i="25" s="1"/>
  <c r="N38" i="23"/>
  <c r="O38" i="23" s="1"/>
  <c r="K38" i="23"/>
  <c r="M38" i="23" s="1"/>
  <c r="K40" i="5"/>
  <c r="M40" i="5" s="1"/>
  <c r="P40" i="5"/>
  <c r="Q40" i="5" s="1"/>
  <c r="K52" i="16"/>
  <c r="N52" i="16"/>
  <c r="O37" i="5"/>
  <c r="J65" i="13"/>
  <c r="F248" i="7"/>
  <c r="F140" i="9"/>
  <c r="K99" i="9"/>
  <c r="L99" i="9" s="1"/>
  <c r="C105" i="9"/>
  <c r="K106" i="16"/>
  <c r="M106" i="16" s="1"/>
  <c r="N106" i="16"/>
  <c r="O106" i="16" s="1"/>
  <c r="J100" i="21"/>
  <c r="F100" i="21"/>
  <c r="C105" i="10"/>
  <c r="J105" i="10" s="1"/>
  <c r="K105" i="10" s="1"/>
  <c r="L99" i="10"/>
  <c r="M99" i="10" s="1"/>
  <c r="N99" i="18"/>
  <c r="O99" i="18" s="1"/>
  <c r="K99" i="18"/>
  <c r="M99" i="18" s="1"/>
  <c r="Q76" i="4"/>
  <c r="P76" i="4"/>
  <c r="K76" i="4"/>
  <c r="M76" i="4" s="1"/>
  <c r="K77" i="13"/>
  <c r="M77" i="13" s="1"/>
  <c r="N77" i="13"/>
  <c r="O77" i="13" s="1"/>
  <c r="N65" i="16"/>
  <c r="O65" i="16" s="1"/>
  <c r="K65" i="16"/>
  <c r="M65" i="16" s="1"/>
  <c r="J195" i="2"/>
  <c r="F195" i="2"/>
  <c r="C197" i="2"/>
  <c r="C75" i="10"/>
  <c r="L75" i="10" s="1"/>
  <c r="G126" i="18"/>
  <c r="D95" i="2"/>
  <c r="C96" i="2" s="1"/>
  <c r="M82" i="13"/>
  <c r="F46" i="15"/>
  <c r="O41" i="19"/>
  <c r="F124" i="1"/>
  <c r="N140" i="16"/>
  <c r="O140" i="16" s="1"/>
  <c r="K140" i="16"/>
  <c r="M140" i="16" s="1"/>
  <c r="N142" i="16"/>
  <c r="O142" i="16" s="1"/>
  <c r="K142" i="16"/>
  <c r="M142" i="16" s="1"/>
  <c r="J73" i="13"/>
  <c r="O54" i="6"/>
  <c r="F69" i="4"/>
  <c r="J69" i="4" s="1"/>
  <c r="N99" i="21"/>
  <c r="O99" i="21" s="1"/>
  <c r="K99" i="21"/>
  <c r="M99" i="21" s="1"/>
  <c r="J160" i="2"/>
  <c r="D161" i="2"/>
  <c r="G248" i="7"/>
  <c r="F246" i="7"/>
  <c r="M111" i="7"/>
  <c r="G246" i="7" s="1"/>
  <c r="C58" i="12"/>
  <c r="J56" i="12"/>
  <c r="C62" i="12"/>
  <c r="J62" i="12" s="1"/>
  <c r="C76" i="10"/>
  <c r="L76" i="10" s="1"/>
  <c r="L68" i="10"/>
  <c r="K40" i="11"/>
  <c r="N40" i="11"/>
  <c r="R40" i="11"/>
  <c r="R84" i="11" s="1"/>
  <c r="D38" i="11" s="1"/>
  <c r="Q40" i="11"/>
  <c r="Q84" i="11" s="1"/>
  <c r="B37" i="11" s="1"/>
  <c r="O84" i="10"/>
  <c r="N148" i="21"/>
  <c r="O148" i="21" s="1"/>
  <c r="K148" i="21"/>
  <c r="M148" i="21" s="1"/>
  <c r="N59" i="23"/>
  <c r="O59" i="23" s="1"/>
  <c r="K59" i="23"/>
  <c r="M59" i="23" s="1"/>
  <c r="B80" i="9"/>
  <c r="E80" i="9"/>
  <c r="M80" i="9" s="1"/>
  <c r="N61" i="18"/>
  <c r="O61" i="18" s="1"/>
  <c r="K61" i="18"/>
  <c r="M61" i="18" s="1"/>
  <c r="L75" i="9"/>
  <c r="N75" i="9" s="1"/>
  <c r="S75" i="9"/>
  <c r="R75" i="9"/>
  <c r="O75" i="9"/>
  <c r="P75" i="9" s="1"/>
  <c r="D57" i="12"/>
  <c r="J57" i="12" s="1"/>
  <c r="D63" i="12"/>
  <c r="C64" i="12" s="1"/>
  <c r="J64" i="12" s="1"/>
  <c r="C59" i="16"/>
  <c r="J59" i="16" s="1"/>
  <c r="N45" i="18"/>
  <c r="K45" i="18"/>
  <c r="M45" i="18" s="1"/>
  <c r="M123" i="18" s="1"/>
  <c r="N116" i="16"/>
  <c r="O116" i="16" s="1"/>
  <c r="K116" i="16"/>
  <c r="M116" i="16" s="1"/>
  <c r="M238" i="3"/>
  <c r="G250" i="3" s="1"/>
  <c r="F82" i="19"/>
  <c r="M41" i="19"/>
  <c r="M81" i="19" s="1"/>
  <c r="Q64" i="6"/>
  <c r="R64" i="6" s="1"/>
  <c r="N64" i="6"/>
  <c r="O64" i="6" s="1"/>
  <c r="K64" i="6"/>
  <c r="M64" i="6" s="1"/>
  <c r="J96" i="13"/>
  <c r="K96" i="13" s="1"/>
  <c r="C102" i="13"/>
  <c r="N100" i="18"/>
  <c r="O100" i="18" s="1"/>
  <c r="K100" i="18"/>
  <c r="M100" i="18" s="1"/>
  <c r="M106" i="18"/>
  <c r="K165" i="16"/>
  <c r="M165" i="16" s="1"/>
  <c r="N165" i="16"/>
  <c r="O165" i="16" s="1"/>
  <c r="F115" i="6"/>
  <c r="M54" i="6"/>
  <c r="C65" i="1"/>
  <c r="J65" i="1" s="1"/>
  <c r="J63" i="1"/>
  <c r="L66" i="10"/>
  <c r="C67" i="10"/>
  <c r="L67" i="10" s="1"/>
  <c r="C72" i="10"/>
  <c r="K108" i="18"/>
  <c r="M108" i="18" s="1"/>
  <c r="N108" i="18"/>
  <c r="O108" i="18" s="1"/>
  <c r="N87" i="21"/>
  <c r="O87" i="21" s="1"/>
  <c r="K87" i="21"/>
  <c r="M87" i="21" s="1"/>
  <c r="Q44" i="25"/>
  <c r="N44" i="25"/>
  <c r="K44" i="25"/>
  <c r="F249" i="3"/>
  <c r="F154" i="10"/>
  <c r="L41" i="15"/>
  <c r="G45" i="15" s="1"/>
  <c r="G52" i="15" s="1"/>
  <c r="F45" i="15"/>
  <c r="M61" i="21"/>
  <c r="J101" i="2"/>
  <c r="C53" i="18"/>
  <c r="J53" i="18" s="1"/>
  <c r="J98" i="4"/>
  <c r="K110" i="21"/>
  <c r="M110" i="21" s="1"/>
  <c r="N110" i="21"/>
  <c r="O110" i="21" s="1"/>
  <c r="M108" i="12"/>
  <c r="C54" i="18"/>
  <c r="J54" i="18" s="1"/>
  <c r="J52" i="18"/>
  <c r="C58" i="18"/>
  <c r="J58" i="18" s="1"/>
  <c r="S109" i="10"/>
  <c r="P109" i="10"/>
  <c r="Q109" i="10" s="1"/>
  <c r="H54" i="10" s="1"/>
  <c r="R109" i="10"/>
  <c r="M109" i="10"/>
  <c r="K205" i="13"/>
  <c r="M205" i="13" s="1"/>
  <c r="N205" i="13"/>
  <c r="O205" i="13" s="1"/>
  <c r="M150" i="3"/>
  <c r="N170" i="21"/>
  <c r="O170" i="21" s="1"/>
  <c r="K170" i="21"/>
  <c r="M170" i="21" s="1"/>
  <c r="J65" i="6"/>
  <c r="F248" i="3"/>
  <c r="M115" i="3"/>
  <c r="G248" i="3" s="1"/>
  <c r="Q60" i="1"/>
  <c r="R60" i="1" s="1"/>
  <c r="N60" i="1"/>
  <c r="O60" i="1" s="1"/>
  <c r="K60" i="1"/>
  <c r="M60" i="1" s="1"/>
  <c r="J75" i="6"/>
  <c r="J55" i="16"/>
  <c r="N72" i="13"/>
  <c r="O72" i="13" s="1"/>
  <c r="K72" i="13"/>
  <c r="M72" i="13" s="1"/>
  <c r="C63" i="12"/>
  <c r="Q68" i="4"/>
  <c r="P68" i="4"/>
  <c r="K68" i="4"/>
  <c r="M68" i="4" s="1"/>
  <c r="N50" i="12"/>
  <c r="K50" i="12"/>
  <c r="M50" i="12" s="1"/>
  <c r="G124" i="18"/>
  <c r="G131" i="18" s="1"/>
  <c r="K66" i="1"/>
  <c r="M66" i="1" s="1"/>
  <c r="Q66" i="1"/>
  <c r="R66" i="1" s="1"/>
  <c r="N66" i="1"/>
  <c r="O66" i="1" s="1"/>
  <c r="J51" i="25"/>
  <c r="K61" i="6"/>
  <c r="M61" i="6" s="1"/>
  <c r="Q61" i="6"/>
  <c r="R61" i="6" s="1"/>
  <c r="N61" i="6"/>
  <c r="O61" i="6" s="1"/>
  <c r="N41" i="11"/>
  <c r="O41" i="11" s="1"/>
  <c r="R41" i="11"/>
  <c r="Q41" i="11"/>
  <c r="K41" i="11"/>
  <c r="M41" i="11" s="1"/>
  <c r="N59" i="18"/>
  <c r="O59" i="18" s="1"/>
  <c r="K59" i="18"/>
  <c r="M59" i="18" s="1"/>
  <c r="F81" i="9"/>
  <c r="C81" i="9"/>
  <c r="K81" i="9" s="1"/>
  <c r="F241" i="2"/>
  <c r="G154" i="10"/>
  <c r="N46" i="18"/>
  <c r="O46" i="18" s="1"/>
  <c r="K46" i="18"/>
  <c r="M46" i="18" s="1"/>
  <c r="K52" i="23"/>
  <c r="M52" i="23" s="1"/>
  <c r="N52" i="23"/>
  <c r="O52" i="23" s="1"/>
  <c r="C78" i="9"/>
  <c r="K69" i="9"/>
  <c r="O109" i="10"/>
  <c r="Q56" i="25"/>
  <c r="N56" i="25"/>
  <c r="O56" i="25" s="1"/>
  <c r="K56" i="25"/>
  <c r="M56" i="25" s="1"/>
  <c r="D72" i="10"/>
  <c r="D73" i="10" s="1"/>
  <c r="C69" i="10"/>
  <c r="C73" i="10"/>
  <c r="L73" i="10" s="1"/>
  <c r="M78" i="16"/>
  <c r="G184" i="16" s="1"/>
  <c r="F184" i="16"/>
  <c r="J53" i="12"/>
  <c r="N130" i="13"/>
  <c r="O130" i="13" s="1"/>
  <c r="K130" i="13"/>
  <c r="Q130" i="13"/>
  <c r="Q218" i="13" s="1"/>
  <c r="C60" i="13" s="1"/>
  <c r="N161" i="16"/>
  <c r="O161" i="16" s="1"/>
  <c r="K161" i="16"/>
  <c r="M161" i="16" s="1"/>
  <c r="N55" i="18"/>
  <c r="O55" i="18" s="1"/>
  <c r="K55" i="18"/>
  <c r="M55" i="18" s="1"/>
  <c r="N74" i="6"/>
  <c r="O74" i="6" s="1"/>
  <c r="K74" i="6"/>
  <c r="R74" i="6"/>
  <c r="Q74" i="6"/>
  <c r="Q88" i="4"/>
  <c r="P88" i="4"/>
  <c r="K88" i="4"/>
  <c r="M88" i="4" s="1"/>
  <c r="K80" i="4"/>
  <c r="M80" i="4" s="1"/>
  <c r="Q80" i="4"/>
  <c r="P80" i="4"/>
  <c r="R59" i="6"/>
  <c r="K59" i="6"/>
  <c r="Q59" i="6"/>
  <c r="N59" i="6"/>
  <c r="O59" i="6" s="1"/>
  <c r="S110" i="10"/>
  <c r="P110" i="10"/>
  <c r="Q110" i="10" s="1"/>
  <c r="R110" i="10"/>
  <c r="M110" i="10"/>
  <c r="F153" i="10" s="1"/>
  <c r="N60" i="17"/>
  <c r="O60" i="17" s="1"/>
  <c r="K60" i="17"/>
  <c r="M60" i="17" s="1"/>
  <c r="K102" i="3"/>
  <c r="M102" i="3" s="1"/>
  <c r="R102" i="3"/>
  <c r="Q102" i="3"/>
  <c r="N102" i="3"/>
  <c r="O102" i="3" s="1"/>
  <c r="D66" i="13"/>
  <c r="C55" i="17"/>
  <c r="J53" i="17"/>
  <c r="K40" i="20"/>
  <c r="M40" i="20" s="1"/>
  <c r="N40" i="20"/>
  <c r="O40" i="20" s="1"/>
  <c r="K74" i="12"/>
  <c r="N74" i="12"/>
  <c r="O74" i="12" s="1"/>
  <c r="N105" i="2"/>
  <c r="O105" i="2" s="1"/>
  <c r="K105" i="2"/>
  <c r="M105" i="2" s="1"/>
  <c r="Q105" i="2"/>
  <c r="R105" i="2" s="1"/>
  <c r="N53" i="19"/>
  <c r="O53" i="19" s="1"/>
  <c r="K53" i="19"/>
  <c r="M53" i="19" s="1"/>
  <c r="Y19" i="18"/>
  <c r="Y20" i="18"/>
  <c r="R100" i="7"/>
  <c r="Q100" i="7"/>
  <c r="N100" i="7"/>
  <c r="O100" i="7" s="1"/>
  <c r="K100" i="7"/>
  <c r="M100" i="7" s="1"/>
  <c r="J83" i="6"/>
  <c r="C89" i="6"/>
  <c r="N50" i="22"/>
  <c r="O50" i="22" s="1"/>
  <c r="K47" i="20"/>
  <c r="M47" i="20" s="1"/>
  <c r="N47" i="20"/>
  <c r="O47" i="20" s="1"/>
  <c r="F54" i="22"/>
  <c r="M40" i="22"/>
  <c r="G54" i="22" s="1"/>
  <c r="N65" i="12" l="1"/>
  <c r="O65" i="12" s="1"/>
  <c r="K65" i="12"/>
  <c r="M65" i="12" s="1"/>
  <c r="E100" i="12"/>
  <c r="J58" i="12"/>
  <c r="G111" i="14"/>
  <c r="N55" i="14"/>
  <c r="O55" i="14" s="1"/>
  <c r="K55" i="14"/>
  <c r="M55" i="14" s="1"/>
  <c r="K57" i="14"/>
  <c r="M57" i="14" s="1"/>
  <c r="N57" i="14"/>
  <c r="O57" i="14" s="1"/>
  <c r="K48" i="14"/>
  <c r="M48" i="14" s="1"/>
  <c r="N48" i="14"/>
  <c r="O48" i="14" s="1"/>
  <c r="J49" i="14"/>
  <c r="F111" i="14"/>
  <c r="N50" i="14"/>
  <c r="O50" i="14" s="1"/>
  <c r="K50" i="14"/>
  <c r="M50" i="14" s="1"/>
  <c r="D69" i="13"/>
  <c r="J69" i="13" s="1"/>
  <c r="J63" i="13"/>
  <c r="N74" i="13"/>
  <c r="O74" i="13" s="1"/>
  <c r="K74" i="13"/>
  <c r="M74" i="13" s="1"/>
  <c r="C76" i="13"/>
  <c r="J76" i="13" s="1"/>
  <c r="J66" i="13"/>
  <c r="I48" i="21"/>
  <c r="M113" i="1"/>
  <c r="G126" i="1" s="1"/>
  <c r="F126" i="1"/>
  <c r="N51" i="12"/>
  <c r="O51" i="12" s="1"/>
  <c r="K51" i="12"/>
  <c r="M51" i="12" s="1"/>
  <c r="K59" i="12"/>
  <c r="M59" i="12" s="1"/>
  <c r="N59" i="12"/>
  <c r="O59" i="12" s="1"/>
  <c r="J63" i="12"/>
  <c r="N39" i="5"/>
  <c r="F48" i="5"/>
  <c r="O39" i="5"/>
  <c r="N47" i="5"/>
  <c r="O47" i="5" s="1"/>
  <c r="N57" i="12"/>
  <c r="O57" i="12" s="1"/>
  <c r="K57" i="12"/>
  <c r="M57" i="12" s="1"/>
  <c r="K69" i="4"/>
  <c r="M69" i="4" s="1"/>
  <c r="S66" i="4" s="1"/>
  <c r="P69" i="4"/>
  <c r="Q69" i="4" s="1"/>
  <c r="N69" i="4"/>
  <c r="O69" i="4" s="1"/>
  <c r="S67" i="4" s="1"/>
  <c r="J100" i="3"/>
  <c r="N51" i="14"/>
  <c r="O51" i="14" s="1"/>
  <c r="K51" i="14"/>
  <c r="N64" i="1"/>
  <c r="O64" i="1" s="1"/>
  <c r="K64" i="1"/>
  <c r="M64" i="1" s="1"/>
  <c r="Q64" i="1"/>
  <c r="R64" i="1" s="1"/>
  <c r="K63" i="4"/>
  <c r="M63" i="4" s="1"/>
  <c r="P63" i="4"/>
  <c r="Q63" i="4" s="1"/>
  <c r="N63" i="4"/>
  <c r="O63" i="4" s="1"/>
  <c r="R75" i="10"/>
  <c r="S75" i="10" s="1"/>
  <c r="P75" i="10"/>
  <c r="Q75" i="10" s="1"/>
  <c r="M75" i="10"/>
  <c r="O75" i="10" s="1"/>
  <c r="Q106" i="2"/>
  <c r="R106" i="2" s="1"/>
  <c r="N106" i="2"/>
  <c r="O106" i="2" s="1"/>
  <c r="K106" i="2"/>
  <c r="M106" i="2" s="1"/>
  <c r="F64" i="20"/>
  <c r="M45" i="20"/>
  <c r="G64" i="20" s="1"/>
  <c r="J91" i="3"/>
  <c r="C97" i="3"/>
  <c r="C92" i="3"/>
  <c r="J92" i="3" s="1"/>
  <c r="Q91" i="16"/>
  <c r="K91" i="16"/>
  <c r="N90" i="2"/>
  <c r="Q90" i="2"/>
  <c r="K90" i="2"/>
  <c r="N96" i="4"/>
  <c r="O96" i="4" s="1"/>
  <c r="P96" i="4"/>
  <c r="Q96" i="4" s="1"/>
  <c r="K96" i="4"/>
  <c r="N63" i="1"/>
  <c r="O63" i="1" s="1"/>
  <c r="K63" i="1"/>
  <c r="Q63" i="1"/>
  <c r="R63" i="1" s="1"/>
  <c r="N84" i="11"/>
  <c r="O84" i="11" s="1"/>
  <c r="O40" i="11"/>
  <c r="Q160" i="2"/>
  <c r="K160" i="2"/>
  <c r="M160" i="2" s="1"/>
  <c r="R160" i="2"/>
  <c r="N160" i="2"/>
  <c r="O160" i="2" s="1"/>
  <c r="F197" i="2"/>
  <c r="J197" i="2" s="1"/>
  <c r="N65" i="13"/>
  <c r="O65" i="13" s="1"/>
  <c r="K65" i="13"/>
  <c r="M65" i="13" s="1"/>
  <c r="N58" i="16"/>
  <c r="O58" i="16" s="1"/>
  <c r="K58" i="16"/>
  <c r="Q104" i="2"/>
  <c r="R104" i="2"/>
  <c r="N104" i="2"/>
  <c r="O104" i="2" s="1"/>
  <c r="K104" i="2"/>
  <c r="G82" i="19"/>
  <c r="G89" i="19" s="1"/>
  <c r="F123" i="21"/>
  <c r="J123" i="21"/>
  <c r="K93" i="3"/>
  <c r="M93" i="3" s="1"/>
  <c r="R93" i="3"/>
  <c r="Q93" i="3"/>
  <c r="N93" i="3"/>
  <c r="O93" i="3" s="1"/>
  <c r="C103" i="1"/>
  <c r="J103" i="1" s="1"/>
  <c r="J100" i="1"/>
  <c r="J95" i="2"/>
  <c r="C97" i="2"/>
  <c r="Z20" i="18"/>
  <c r="Z19" i="18"/>
  <c r="K55" i="16"/>
  <c r="M55" i="16" s="1"/>
  <c r="N55" i="16"/>
  <c r="O55" i="16" s="1"/>
  <c r="M44" i="25"/>
  <c r="F66" i="25"/>
  <c r="N65" i="1"/>
  <c r="O65" i="1" s="1"/>
  <c r="K65" i="1"/>
  <c r="M65" i="1" s="1"/>
  <c r="Q65" i="1"/>
  <c r="R65" i="1" s="1"/>
  <c r="F85" i="11"/>
  <c r="N92" i="2"/>
  <c r="O92" i="2" s="1"/>
  <c r="K92" i="2"/>
  <c r="M92" i="2" s="1"/>
  <c r="Q92" i="2"/>
  <c r="R92" i="2" s="1"/>
  <c r="O67" i="9"/>
  <c r="P67" i="9" s="1"/>
  <c r="L67" i="9"/>
  <c r="N67" i="9" s="1"/>
  <c r="S67" i="9"/>
  <c r="R67" i="9"/>
  <c r="N60" i="16"/>
  <c r="O60" i="16" s="1"/>
  <c r="K60" i="16"/>
  <c r="M60" i="16" s="1"/>
  <c r="E119" i="2"/>
  <c r="E125" i="2" s="1"/>
  <c r="C112" i="2"/>
  <c r="J112" i="2" s="1"/>
  <c r="D110" i="2"/>
  <c r="N54" i="17"/>
  <c r="O54" i="17" s="1"/>
  <c r="K54" i="17"/>
  <c r="M54" i="17" s="1"/>
  <c r="N93" i="16"/>
  <c r="O93" i="16" s="1"/>
  <c r="Q93" i="16"/>
  <c r="K93" i="16"/>
  <c r="N37" i="20"/>
  <c r="K37" i="20"/>
  <c r="S73" i="9"/>
  <c r="R73" i="9"/>
  <c r="O73" i="9"/>
  <c r="P73" i="9" s="1"/>
  <c r="L73" i="9"/>
  <c r="N73" i="9" s="1"/>
  <c r="K101" i="3"/>
  <c r="M101" i="3" s="1"/>
  <c r="R101" i="3"/>
  <c r="Q101" i="3"/>
  <c r="N101" i="3"/>
  <c r="O101" i="3" s="1"/>
  <c r="N106" i="13"/>
  <c r="O106" i="13" s="1"/>
  <c r="K106" i="13"/>
  <c r="M106" i="13" s="1"/>
  <c r="J161" i="2"/>
  <c r="M40" i="11"/>
  <c r="C111" i="4"/>
  <c r="J111" i="4" s="1"/>
  <c r="J105" i="4"/>
  <c r="R69" i="9"/>
  <c r="O69" i="9"/>
  <c r="P69" i="9" s="1"/>
  <c r="L69" i="9"/>
  <c r="N69" i="9" s="1"/>
  <c r="S69" i="9"/>
  <c r="N75" i="6"/>
  <c r="O75" i="6" s="1"/>
  <c r="Q75" i="6"/>
  <c r="R75" i="6" s="1"/>
  <c r="K75" i="6"/>
  <c r="M75" i="6" s="1"/>
  <c r="O44" i="25"/>
  <c r="O65" i="25" s="1"/>
  <c r="C67" i="25" s="1"/>
  <c r="C68" i="25" s="1"/>
  <c r="N65" i="25"/>
  <c r="D67" i="25" s="1"/>
  <c r="C38" i="25" s="1"/>
  <c r="J102" i="13"/>
  <c r="K102" i="13" s="1"/>
  <c r="C109" i="13"/>
  <c r="O45" i="18"/>
  <c r="N123" i="18"/>
  <c r="P68" i="10"/>
  <c r="Q68" i="10" s="1"/>
  <c r="M68" i="10"/>
  <c r="O68" i="10" s="1"/>
  <c r="S68" i="10"/>
  <c r="R68" i="10"/>
  <c r="R195" i="2"/>
  <c r="Q195" i="2"/>
  <c r="N195" i="2"/>
  <c r="O195" i="2" s="1"/>
  <c r="K195" i="2"/>
  <c r="M195" i="2" s="1"/>
  <c r="N64" i="13"/>
  <c r="O64" i="13" s="1"/>
  <c r="K64" i="13"/>
  <c r="M64" i="13" s="1"/>
  <c r="L66" i="9"/>
  <c r="S66" i="9"/>
  <c r="R66" i="9"/>
  <c r="O66" i="9"/>
  <c r="C61" i="17"/>
  <c r="J61" i="17" s="1"/>
  <c r="J50" i="17"/>
  <c r="N76" i="21"/>
  <c r="O76" i="21" s="1"/>
  <c r="K76" i="21"/>
  <c r="M76" i="21" s="1"/>
  <c r="M93" i="16"/>
  <c r="F38" i="20"/>
  <c r="J38" i="20"/>
  <c r="K39" i="5"/>
  <c r="M39" i="5" s="1"/>
  <c r="M47" i="5" s="1"/>
  <c r="P39" i="5"/>
  <c r="Q39" i="5" s="1"/>
  <c r="Q47" i="5" s="1"/>
  <c r="E28" i="5" s="1"/>
  <c r="N91" i="2"/>
  <c r="O91" i="2" s="1"/>
  <c r="Q91" i="2"/>
  <c r="R91" i="2" s="1"/>
  <c r="K91" i="2"/>
  <c r="M91" i="2" s="1"/>
  <c r="Q159" i="2"/>
  <c r="R159" i="2" s="1"/>
  <c r="K159" i="2"/>
  <c r="M159" i="2" s="1"/>
  <c r="N159" i="2"/>
  <c r="O159" i="2" s="1"/>
  <c r="K78" i="13"/>
  <c r="M78" i="13" s="1"/>
  <c r="N78" i="13"/>
  <c r="O78" i="13" s="1"/>
  <c r="F122" i="1"/>
  <c r="M58" i="1"/>
  <c r="M47" i="17"/>
  <c r="N51" i="25"/>
  <c r="O51" i="25" s="1"/>
  <c r="K51" i="25"/>
  <c r="M51" i="25" s="1"/>
  <c r="Q51" i="25"/>
  <c r="Q85" i="4"/>
  <c r="P85" i="4"/>
  <c r="K85" i="4"/>
  <c r="M85" i="4" s="1"/>
  <c r="S82" i="4" s="1"/>
  <c r="C125" i="2"/>
  <c r="C116" i="2"/>
  <c r="J116" i="2" s="1"/>
  <c r="N168" i="21"/>
  <c r="O168" i="21" s="1"/>
  <c r="K168" i="21"/>
  <c r="M168" i="21" s="1"/>
  <c r="K53" i="12"/>
  <c r="M53" i="12" s="1"/>
  <c r="N53" i="12"/>
  <c r="O53" i="12" s="1"/>
  <c r="C80" i="9"/>
  <c r="F80" i="9"/>
  <c r="D80" i="9"/>
  <c r="M76" i="10"/>
  <c r="O76" i="10" s="1"/>
  <c r="S76" i="10"/>
  <c r="R76" i="10"/>
  <c r="P76" i="10"/>
  <c r="Q76" i="10" s="1"/>
  <c r="O81" i="19"/>
  <c r="O52" i="16"/>
  <c r="C71" i="13"/>
  <c r="C74" i="9"/>
  <c r="K74" i="9" s="1"/>
  <c r="K72" i="9"/>
  <c r="F79" i="23"/>
  <c r="M61" i="23"/>
  <c r="G79" i="23" s="1"/>
  <c r="K58" i="4"/>
  <c r="M58" i="4" s="1"/>
  <c r="P58" i="4"/>
  <c r="Q58" i="4" s="1"/>
  <c r="N58" i="4"/>
  <c r="O58" i="4" s="1"/>
  <c r="J77" i="21"/>
  <c r="F77" i="21"/>
  <c r="K92" i="7"/>
  <c r="M92" i="7" s="1"/>
  <c r="R92" i="7"/>
  <c r="Q92" i="7"/>
  <c r="N92" i="7"/>
  <c r="O92" i="7" s="1"/>
  <c r="O47" i="17"/>
  <c r="P67" i="10"/>
  <c r="Q67" i="10" s="1"/>
  <c r="M67" i="10"/>
  <c r="O67" i="10" s="1"/>
  <c r="S67" i="10"/>
  <c r="R67" i="10"/>
  <c r="B140" i="8"/>
  <c r="L140" i="8"/>
  <c r="M140" i="8" s="1"/>
  <c r="E50" i="8"/>
  <c r="D50" i="8"/>
  <c r="C50" i="8"/>
  <c r="N53" i="17"/>
  <c r="O53" i="17" s="1"/>
  <c r="K53" i="17"/>
  <c r="N59" i="16"/>
  <c r="O59" i="16" s="1"/>
  <c r="K59" i="16"/>
  <c r="M59" i="16" s="1"/>
  <c r="J55" i="17"/>
  <c r="C59" i="17"/>
  <c r="J59" i="17" s="1"/>
  <c r="N98" i="4"/>
  <c r="O98" i="4" s="1"/>
  <c r="Q98" i="4"/>
  <c r="P98" i="4"/>
  <c r="K98" i="4"/>
  <c r="M98" i="4" s="1"/>
  <c r="G115" i="6"/>
  <c r="K62" i="12"/>
  <c r="M62" i="12" s="1"/>
  <c r="N62" i="12"/>
  <c r="O62" i="12" s="1"/>
  <c r="N81" i="19"/>
  <c r="M52" i="16"/>
  <c r="N43" i="23"/>
  <c r="O43" i="23" s="1"/>
  <c r="K43" i="23"/>
  <c r="K76" i="9"/>
  <c r="C77" i="9"/>
  <c r="K77" i="9" s="1"/>
  <c r="N107" i="13"/>
  <c r="O107" i="13" s="1"/>
  <c r="K107" i="13"/>
  <c r="M107" i="13" s="1"/>
  <c r="F124" i="18"/>
  <c r="K83" i="12"/>
  <c r="Q83" i="12"/>
  <c r="R99" i="7"/>
  <c r="Q99" i="7"/>
  <c r="N99" i="7"/>
  <c r="O99" i="7" s="1"/>
  <c r="K99" i="7"/>
  <c r="M99" i="7" s="1"/>
  <c r="R58" i="1"/>
  <c r="M310" i="16"/>
  <c r="M300" i="16"/>
  <c r="M295" i="16"/>
  <c r="M311" i="16"/>
  <c r="G311" i="16"/>
  <c r="C309" i="16"/>
  <c r="C302" i="16"/>
  <c r="C287" i="16"/>
  <c r="M309" i="16"/>
  <c r="C276" i="16"/>
  <c r="C308" i="16"/>
  <c r="C303" i="16"/>
  <c r="C293" i="16"/>
  <c r="M284" i="16"/>
  <c r="G278" i="16"/>
  <c r="C271" i="16"/>
  <c r="G295" i="16"/>
  <c r="G310" i="16"/>
  <c r="M285" i="16"/>
  <c r="G279" i="16"/>
  <c r="M270" i="16"/>
  <c r="M302" i="16"/>
  <c r="M301" i="16"/>
  <c r="C295" i="16"/>
  <c r="C278" i="16"/>
  <c r="M268" i="16"/>
  <c r="C310" i="16"/>
  <c r="M287" i="16"/>
  <c r="C284" i="16"/>
  <c r="M269" i="16"/>
  <c r="M303" i="16"/>
  <c r="C300" i="16"/>
  <c r="G286" i="16"/>
  <c r="C279" i="16"/>
  <c r="M271" i="16"/>
  <c r="M294" i="16"/>
  <c r="M292" i="16"/>
  <c r="C285" i="16"/>
  <c r="G270" i="16"/>
  <c r="G302" i="16"/>
  <c r="C301" i="16"/>
  <c r="M276" i="16"/>
  <c r="C311" i="16"/>
  <c r="M308" i="16"/>
  <c r="G287" i="16"/>
  <c r="G294" i="16"/>
  <c r="C268" i="16"/>
  <c r="C292" i="16"/>
  <c r="G271" i="16"/>
  <c r="C294" i="16"/>
  <c r="M286" i="16"/>
  <c r="M279" i="16"/>
  <c r="M277" i="16"/>
  <c r="C269" i="16"/>
  <c r="G303" i="16"/>
  <c r="M293" i="16"/>
  <c r="C286" i="16"/>
  <c r="C277" i="16"/>
  <c r="C270" i="16"/>
  <c r="M278" i="16"/>
  <c r="N64" i="16"/>
  <c r="O64" i="16" s="1"/>
  <c r="K64" i="16"/>
  <c r="M64" i="16" s="1"/>
  <c r="M106" i="6"/>
  <c r="G119" i="6" s="1"/>
  <c r="O50" i="12"/>
  <c r="N53" i="18"/>
  <c r="O53" i="18" s="1"/>
  <c r="K53" i="18"/>
  <c r="M53" i="18" s="1"/>
  <c r="K56" i="12"/>
  <c r="N56" i="12"/>
  <c r="O56" i="12" s="1"/>
  <c r="N100" i="21"/>
  <c r="O100" i="21" s="1"/>
  <c r="K100" i="21"/>
  <c r="M100" i="21" s="1"/>
  <c r="J45" i="23"/>
  <c r="C49" i="23"/>
  <c r="J49" i="23" s="1"/>
  <c r="O68" i="9"/>
  <c r="P68" i="9" s="1"/>
  <c r="L68" i="9"/>
  <c r="N68" i="9" s="1"/>
  <c r="S68" i="9"/>
  <c r="R68" i="9"/>
  <c r="R102" i="7"/>
  <c r="Q102" i="7"/>
  <c r="N102" i="7"/>
  <c r="O102" i="7" s="1"/>
  <c r="K102" i="7"/>
  <c r="M102" i="7" s="1"/>
  <c r="J89" i="12"/>
  <c r="C93" i="12"/>
  <c r="K91" i="7"/>
  <c r="R91" i="7"/>
  <c r="Q91" i="7"/>
  <c r="N91" i="7"/>
  <c r="F99" i="3"/>
  <c r="D100" i="3"/>
  <c r="F100" i="3" s="1"/>
  <c r="O110" i="10"/>
  <c r="G153" i="10" s="1"/>
  <c r="O43" i="14"/>
  <c r="O58" i="1"/>
  <c r="K196" i="2"/>
  <c r="M196" i="2" s="1"/>
  <c r="Q196" i="2"/>
  <c r="R196" i="2" s="1"/>
  <c r="N196" i="2"/>
  <c r="O196" i="2" s="1"/>
  <c r="S81" i="9"/>
  <c r="R81" i="9"/>
  <c r="O81" i="9"/>
  <c r="P81" i="9" s="1"/>
  <c r="L81" i="9"/>
  <c r="N81" i="9" s="1"/>
  <c r="K54" i="18"/>
  <c r="M54" i="18" s="1"/>
  <c r="N54" i="18"/>
  <c r="O54" i="18" s="1"/>
  <c r="N122" i="21"/>
  <c r="O122" i="21" s="1"/>
  <c r="K122" i="21"/>
  <c r="M122" i="21" s="1"/>
  <c r="M104" i="16"/>
  <c r="G185" i="16" s="1"/>
  <c r="F185" i="16"/>
  <c r="F126" i="12"/>
  <c r="M74" i="12"/>
  <c r="G126" i="12" s="1"/>
  <c r="N58" i="12"/>
  <c r="O58" i="12" s="1"/>
  <c r="K58" i="12"/>
  <c r="M58" i="12" s="1"/>
  <c r="F222" i="13"/>
  <c r="G49" i="5"/>
  <c r="Q77" i="4"/>
  <c r="P77" i="4"/>
  <c r="K77" i="4"/>
  <c r="M77" i="4" s="1"/>
  <c r="S74" i="4" s="1"/>
  <c r="J98" i="3"/>
  <c r="Q106" i="3"/>
  <c r="R106" i="3"/>
  <c r="N106" i="3"/>
  <c r="O106" i="3" s="1"/>
  <c r="K106" i="3"/>
  <c r="M106" i="3" s="1"/>
  <c r="G58" i="22"/>
  <c r="Q52" i="4"/>
  <c r="P52" i="4"/>
  <c r="N52" i="4"/>
  <c r="K52" i="4"/>
  <c r="J96" i="7"/>
  <c r="C98" i="7"/>
  <c r="J98" i="7" s="1"/>
  <c r="F83" i="19"/>
  <c r="M47" i="19"/>
  <c r="G83" i="19" s="1"/>
  <c r="F117" i="6"/>
  <c r="M74" i="6"/>
  <c r="G117" i="6" s="1"/>
  <c r="M73" i="10"/>
  <c r="O73" i="10" s="1"/>
  <c r="S73" i="10"/>
  <c r="R73" i="10"/>
  <c r="P73" i="10"/>
  <c r="Q73" i="10" s="1"/>
  <c r="N101" i="2"/>
  <c r="O101" i="2" s="1"/>
  <c r="R101" i="2"/>
  <c r="Q101" i="2"/>
  <c r="K101" i="2"/>
  <c r="M101" i="2" s="1"/>
  <c r="J89" i="6"/>
  <c r="C92" i="6"/>
  <c r="C101" i="6"/>
  <c r="J101" i="6" s="1"/>
  <c r="C79" i="10"/>
  <c r="L79" i="10" s="1"/>
  <c r="L69" i="10"/>
  <c r="G194" i="21"/>
  <c r="G222" i="13"/>
  <c r="C62" i="4"/>
  <c r="J62" i="4" s="1"/>
  <c r="J61" i="4"/>
  <c r="O37" i="23"/>
  <c r="C105" i="3"/>
  <c r="J105" i="3" s="1"/>
  <c r="F31" i="20"/>
  <c r="G62" i="20"/>
  <c r="M50" i="22"/>
  <c r="J57" i="4"/>
  <c r="C59" i="4"/>
  <c r="J59" i="4" s="1"/>
  <c r="J67" i="1"/>
  <c r="C68" i="1"/>
  <c r="J68" i="1" s="1"/>
  <c r="M50" i="25"/>
  <c r="N53" i="21"/>
  <c r="K53" i="21"/>
  <c r="M66" i="10"/>
  <c r="S66" i="10"/>
  <c r="R66" i="10"/>
  <c r="P66" i="10"/>
  <c r="K78" i="9"/>
  <c r="C79" i="9"/>
  <c r="K79" i="9" s="1"/>
  <c r="K76" i="13"/>
  <c r="M76" i="13" s="1"/>
  <c r="N76" i="13"/>
  <c r="O76" i="13" s="1"/>
  <c r="Q83" i="6"/>
  <c r="K83" i="6"/>
  <c r="F116" i="6"/>
  <c r="M59" i="6"/>
  <c r="G116" i="6" s="1"/>
  <c r="N58" i="18"/>
  <c r="O58" i="18" s="1"/>
  <c r="K58" i="18"/>
  <c r="M58" i="18" s="1"/>
  <c r="F194" i="21"/>
  <c r="C108" i="9"/>
  <c r="K108" i="9" s="1"/>
  <c r="K105" i="9"/>
  <c r="L105" i="9" s="1"/>
  <c r="C109" i="9"/>
  <c r="F76" i="23"/>
  <c r="M37" i="23"/>
  <c r="D98" i="3"/>
  <c r="D104" i="3"/>
  <c r="F54" i="21"/>
  <c r="J54" i="21"/>
  <c r="J110" i="2"/>
  <c r="K60" i="4"/>
  <c r="M60" i="4" s="1"/>
  <c r="P60" i="4"/>
  <c r="Q60" i="4" s="1"/>
  <c r="N60" i="4"/>
  <c r="O60" i="4" s="1"/>
  <c r="O219" i="14"/>
  <c r="O212" i="14"/>
  <c r="Y219" i="14"/>
  <c r="O216" i="14"/>
  <c r="Y217" i="14"/>
  <c r="O211" i="14"/>
  <c r="C209" i="14"/>
  <c r="Y218" i="14"/>
  <c r="Y216" i="14"/>
  <c r="Y212" i="14"/>
  <c r="O210" i="14"/>
  <c r="G216" i="14"/>
  <c r="O215" i="14"/>
  <c r="S219" i="14"/>
  <c r="Y211" i="14"/>
  <c r="Y210" i="14"/>
  <c r="S218" i="14"/>
  <c r="C216" i="14"/>
  <c r="Y214" i="14"/>
  <c r="O213" i="14"/>
  <c r="C210" i="14"/>
  <c r="O209" i="14"/>
  <c r="Y215" i="14"/>
  <c r="AE212" i="14"/>
  <c r="Y209" i="14"/>
  <c r="O218" i="14"/>
  <c r="O214" i="14"/>
  <c r="Y213" i="14"/>
  <c r="AE211" i="14"/>
  <c r="Q65" i="6"/>
  <c r="N65" i="6"/>
  <c r="O65" i="6" s="1"/>
  <c r="K65" i="6"/>
  <c r="M65" i="6" s="1"/>
  <c r="K64" i="12"/>
  <c r="M64" i="12" s="1"/>
  <c r="N64" i="12"/>
  <c r="O64" i="12" s="1"/>
  <c r="M130" i="13"/>
  <c r="N52" i="18"/>
  <c r="O52" i="18" s="1"/>
  <c r="K52" i="18"/>
  <c r="C74" i="10"/>
  <c r="L74" i="10" s="1"/>
  <c r="L72" i="10"/>
  <c r="K73" i="13"/>
  <c r="M73" i="13" s="1"/>
  <c r="N73" i="13"/>
  <c r="O73" i="13" s="1"/>
  <c r="D96" i="2"/>
  <c r="J96" i="2" s="1"/>
  <c r="D99" i="2"/>
  <c r="Q111" i="2"/>
  <c r="R111" i="2" s="1"/>
  <c r="N111" i="2"/>
  <c r="O111" i="2" s="1"/>
  <c r="K111" i="2"/>
  <c r="M111" i="2" s="1"/>
  <c r="Q53" i="4"/>
  <c r="P53" i="4"/>
  <c r="N53" i="4"/>
  <c r="O53" i="4" s="1"/>
  <c r="K53" i="4"/>
  <c r="M53" i="4" s="1"/>
  <c r="J169" i="21"/>
  <c r="F169" i="21"/>
  <c r="N97" i="4"/>
  <c r="O97" i="4" s="1"/>
  <c r="K97" i="4"/>
  <c r="M97" i="4" s="1"/>
  <c r="P97" i="4"/>
  <c r="Q97" i="4" s="1"/>
  <c r="G124" i="12" l="1"/>
  <c r="N49" i="14"/>
  <c r="K49" i="14"/>
  <c r="M49" i="14" s="1"/>
  <c r="C70" i="13"/>
  <c r="D70" i="13"/>
  <c r="K63" i="13"/>
  <c r="N63" i="13"/>
  <c r="O63" i="13" s="1"/>
  <c r="K66" i="13"/>
  <c r="M66" i="13" s="1"/>
  <c r="N66" i="13"/>
  <c r="O66" i="13" s="1"/>
  <c r="Q181" i="16"/>
  <c r="C48" i="16" s="1"/>
  <c r="K63" i="12"/>
  <c r="N63" i="12"/>
  <c r="O63" i="12" s="1"/>
  <c r="F124" i="12"/>
  <c r="P47" i="5"/>
  <c r="C27" i="5" s="1"/>
  <c r="Q197" i="2"/>
  <c r="R197" i="2" s="1"/>
  <c r="N197" i="2"/>
  <c r="O197" i="2" s="1"/>
  <c r="K197" i="2"/>
  <c r="M197" i="2" s="1"/>
  <c r="Q96" i="2"/>
  <c r="R96" i="2"/>
  <c r="K96" i="2"/>
  <c r="M96" i="2" s="1"/>
  <c r="N96" i="2"/>
  <c r="O96" i="2" s="1"/>
  <c r="S68" i="4"/>
  <c r="S69" i="4" s="1"/>
  <c r="S85" i="4"/>
  <c r="S84" i="4"/>
  <c r="Q105" i="3"/>
  <c r="R105" i="3"/>
  <c r="N105" i="3"/>
  <c r="O105" i="3" s="1"/>
  <c r="K105" i="3"/>
  <c r="M105" i="3" s="1"/>
  <c r="O123" i="18"/>
  <c r="N169" i="21"/>
  <c r="O169" i="21" s="1"/>
  <c r="K169" i="21"/>
  <c r="M169" i="21" s="1"/>
  <c r="M72" i="10"/>
  <c r="R72" i="10"/>
  <c r="S72" i="10" s="1"/>
  <c r="P72" i="10"/>
  <c r="Q72" i="10" s="1"/>
  <c r="Y240" i="12"/>
  <c r="O234" i="12"/>
  <c r="O230" i="12"/>
  <c r="Y239" i="12"/>
  <c r="G236" i="12"/>
  <c r="C229" i="12"/>
  <c r="O241" i="12"/>
  <c r="D100" i="12" s="1"/>
  <c r="J100" i="12" s="1"/>
  <c r="L100" i="12" s="1"/>
  <c r="S240" i="12"/>
  <c r="Y238" i="12"/>
  <c r="Y234" i="12"/>
  <c r="O233" i="12"/>
  <c r="O232" i="12"/>
  <c r="O240" i="12"/>
  <c r="AE231" i="12"/>
  <c r="Y241" i="12"/>
  <c r="Y236" i="12"/>
  <c r="Y237" i="12"/>
  <c r="C236" i="12"/>
  <c r="O231" i="12"/>
  <c r="O229" i="12"/>
  <c r="S239" i="12"/>
  <c r="S238" i="12"/>
  <c r="Y233" i="12"/>
  <c r="Y235" i="12"/>
  <c r="O239" i="12"/>
  <c r="Y230" i="12"/>
  <c r="C230" i="12"/>
  <c r="O236" i="12"/>
  <c r="AE232" i="12"/>
  <c r="F102" i="12" s="1"/>
  <c r="J102" i="12" s="1"/>
  <c r="L102" i="12" s="1"/>
  <c r="S241" i="12"/>
  <c r="D101" i="12" s="1"/>
  <c r="J101" i="12" s="1"/>
  <c r="L101" i="12" s="1"/>
  <c r="O235" i="12"/>
  <c r="Y231" i="12"/>
  <c r="Y229" i="12"/>
  <c r="Y232" i="12"/>
  <c r="M53" i="17"/>
  <c r="G127" i="17" s="1"/>
  <c r="F127" i="17"/>
  <c r="F128" i="4"/>
  <c r="M96" i="4"/>
  <c r="G128" i="4" s="1"/>
  <c r="J97" i="3"/>
  <c r="C99" i="3"/>
  <c r="J99" i="3" s="1"/>
  <c r="C103" i="3"/>
  <c r="J103" i="3" s="1"/>
  <c r="Q110" i="2"/>
  <c r="R110" i="2" s="1"/>
  <c r="N110" i="2"/>
  <c r="O110" i="2" s="1"/>
  <c r="K110" i="2"/>
  <c r="F244" i="7"/>
  <c r="M91" i="7"/>
  <c r="S74" i="10"/>
  <c r="R74" i="10"/>
  <c r="P74" i="10"/>
  <c r="Q74" i="10" s="1"/>
  <c r="M74" i="10"/>
  <c r="O74" i="10" s="1"/>
  <c r="F67" i="25"/>
  <c r="K61" i="4"/>
  <c r="M61" i="4" s="1"/>
  <c r="P61" i="4"/>
  <c r="Q61" i="4" s="1"/>
  <c r="N61" i="4"/>
  <c r="O61" i="4" s="1"/>
  <c r="K98" i="7"/>
  <c r="M98" i="7" s="1"/>
  <c r="R98" i="7"/>
  <c r="Q98" i="7"/>
  <c r="N98" i="7"/>
  <c r="O98" i="7" s="1"/>
  <c r="S76" i="4"/>
  <c r="S77" i="4"/>
  <c r="Q89" i="12"/>
  <c r="Q123" i="12" s="1"/>
  <c r="C46" i="12" s="1"/>
  <c r="K89" i="12"/>
  <c r="G48" i="5"/>
  <c r="G55" i="5" s="1"/>
  <c r="Q105" i="4"/>
  <c r="P105" i="4"/>
  <c r="K105" i="4"/>
  <c r="N112" i="2"/>
  <c r="O112" i="2" s="1"/>
  <c r="K112" i="2"/>
  <c r="M112" i="2" s="1"/>
  <c r="R112" i="2"/>
  <c r="Q112" i="2"/>
  <c r="N123" i="21"/>
  <c r="O123" i="21" s="1"/>
  <c r="K123" i="21"/>
  <c r="M123" i="21" s="1"/>
  <c r="K91" i="3"/>
  <c r="Q91" i="3"/>
  <c r="R91" i="3" s="1"/>
  <c r="N91" i="3"/>
  <c r="K116" i="2"/>
  <c r="M116" i="2" s="1"/>
  <c r="R116" i="2"/>
  <c r="Q116" i="2"/>
  <c r="N116" i="2"/>
  <c r="O116" i="2" s="1"/>
  <c r="K92" i="3"/>
  <c r="M92" i="3" s="1"/>
  <c r="R92" i="3"/>
  <c r="Q92" i="3"/>
  <c r="N92" i="3"/>
  <c r="O92" i="3" s="1"/>
  <c r="N190" i="21"/>
  <c r="O53" i="21"/>
  <c r="Q98" i="3"/>
  <c r="R98" i="3" s="1"/>
  <c r="N98" i="3"/>
  <c r="O98" i="3" s="1"/>
  <c r="K98" i="3"/>
  <c r="M98" i="3" s="1"/>
  <c r="M52" i="18"/>
  <c r="G125" i="18" s="1"/>
  <c r="F125" i="18"/>
  <c r="G76" i="23"/>
  <c r="G83" i="23" s="1"/>
  <c r="M75" i="23"/>
  <c r="G67" i="25"/>
  <c r="K62" i="4"/>
  <c r="M62" i="4" s="1"/>
  <c r="Q62" i="4"/>
  <c r="P62" i="4"/>
  <c r="N62" i="4"/>
  <c r="O62" i="4" s="1"/>
  <c r="R96" i="7"/>
  <c r="R243" i="7" s="1"/>
  <c r="E83" i="7" s="1"/>
  <c r="Q96" i="7"/>
  <c r="N96" i="7"/>
  <c r="O96" i="7" s="1"/>
  <c r="K96" i="7"/>
  <c r="S77" i="9"/>
  <c r="R77" i="9"/>
  <c r="O77" i="9"/>
  <c r="P77" i="9" s="1"/>
  <c r="L77" i="9"/>
  <c r="N77" i="9" s="1"/>
  <c r="C81" i="8"/>
  <c r="C87" i="8" s="1"/>
  <c r="C92" i="8" s="1"/>
  <c r="C98" i="8" s="1"/>
  <c r="C52" i="8"/>
  <c r="C63" i="8"/>
  <c r="Q111" i="4"/>
  <c r="P111" i="4"/>
  <c r="K111" i="4"/>
  <c r="D121" i="2"/>
  <c r="C123" i="2"/>
  <c r="J123" i="2" s="1"/>
  <c r="AA19" i="18"/>
  <c r="AA20" i="18"/>
  <c r="J92" i="6"/>
  <c r="C95" i="6"/>
  <c r="J95" i="6" s="1"/>
  <c r="Q100" i="3"/>
  <c r="R100" i="3" s="1"/>
  <c r="N100" i="3"/>
  <c r="O100" i="3" s="1"/>
  <c r="K100" i="3"/>
  <c r="M100" i="3" s="1"/>
  <c r="N54" i="21"/>
  <c r="O54" i="21" s="1"/>
  <c r="K54" i="21"/>
  <c r="M54" i="21" s="1"/>
  <c r="Q89" i="6"/>
  <c r="K89" i="6"/>
  <c r="K49" i="23"/>
  <c r="M49" i="23" s="1"/>
  <c r="N49" i="23"/>
  <c r="O49" i="23" s="1"/>
  <c r="M63" i="1"/>
  <c r="M53" i="21"/>
  <c r="R76" i="9"/>
  <c r="O76" i="9"/>
  <c r="P76" i="9" s="1"/>
  <c r="L76" i="9"/>
  <c r="N76" i="9" s="1"/>
  <c r="S76" i="9"/>
  <c r="S72" i="9"/>
  <c r="R72" i="9"/>
  <c r="O72" i="9"/>
  <c r="P72" i="9" s="1"/>
  <c r="L72" i="9"/>
  <c r="N109" i="9"/>
  <c r="K109" i="9"/>
  <c r="K67" i="1"/>
  <c r="M67" i="1" s="1"/>
  <c r="Q67" i="1"/>
  <c r="R67" i="1" s="1"/>
  <c r="N67" i="1"/>
  <c r="O67" i="1" s="1"/>
  <c r="O52" i="4"/>
  <c r="M56" i="12"/>
  <c r="M43" i="23"/>
  <c r="G77" i="23" s="1"/>
  <c r="F77" i="23"/>
  <c r="E81" i="8"/>
  <c r="E87" i="8" s="1"/>
  <c r="E92" i="8" s="1"/>
  <c r="E98" i="8" s="1"/>
  <c r="E52" i="8"/>
  <c r="D63" i="8"/>
  <c r="C65" i="8"/>
  <c r="J65" i="8" s="1"/>
  <c r="O74" i="9"/>
  <c r="P74" i="9" s="1"/>
  <c r="L74" i="9"/>
  <c r="N74" i="9" s="1"/>
  <c r="S74" i="9"/>
  <c r="R74" i="9"/>
  <c r="K80" i="9"/>
  <c r="N50" i="17"/>
  <c r="K50" i="17"/>
  <c r="F240" i="2"/>
  <c r="M104" i="2"/>
  <c r="G240" i="2" s="1"/>
  <c r="C122" i="2"/>
  <c r="J122" i="2" s="1"/>
  <c r="C121" i="2"/>
  <c r="J121" i="2" s="1"/>
  <c r="N45" i="23"/>
  <c r="K45" i="23"/>
  <c r="M45" i="23" s="1"/>
  <c r="F126" i="4"/>
  <c r="M52" i="4"/>
  <c r="L79" i="9"/>
  <c r="N79" i="9" s="1"/>
  <c r="S79" i="9"/>
  <c r="R79" i="9"/>
  <c r="O79" i="9"/>
  <c r="P79" i="9" s="1"/>
  <c r="K59" i="4"/>
  <c r="M59" i="4" s="1"/>
  <c r="P59" i="4"/>
  <c r="Q59" i="4" s="1"/>
  <c r="N59" i="4"/>
  <c r="O59" i="4" s="1"/>
  <c r="J71" i="13"/>
  <c r="C75" i="13"/>
  <c r="J75" i="13" s="1"/>
  <c r="N61" i="17"/>
  <c r="O61" i="17" s="1"/>
  <c r="K61" i="17"/>
  <c r="M61" i="17" s="1"/>
  <c r="M84" i="11"/>
  <c r="G85" i="11"/>
  <c r="G92" i="11" s="1"/>
  <c r="M37" i="20"/>
  <c r="J97" i="2"/>
  <c r="C98" i="2"/>
  <c r="J98" i="2" s="1"/>
  <c r="M90" i="2"/>
  <c r="F138" i="9"/>
  <c r="N66" i="9"/>
  <c r="O108" i="9"/>
  <c r="P108" i="9" s="1"/>
  <c r="R108" i="9"/>
  <c r="L108" i="9"/>
  <c r="S108" i="9"/>
  <c r="K57" i="4"/>
  <c r="P57" i="4"/>
  <c r="Q57" i="4" s="1"/>
  <c r="Q125" i="4" s="1"/>
  <c r="E44" i="4" s="1"/>
  <c r="N57" i="4"/>
  <c r="O57" i="4" s="1"/>
  <c r="R69" i="10"/>
  <c r="P69" i="10"/>
  <c r="Q69" i="10" s="1"/>
  <c r="S69" i="10"/>
  <c r="M69" i="10"/>
  <c r="O69" i="10" s="1"/>
  <c r="G182" i="16"/>
  <c r="G189" i="16" s="1"/>
  <c r="M181" i="16"/>
  <c r="N69" i="13"/>
  <c r="O69" i="13" s="1"/>
  <c r="K69" i="13"/>
  <c r="M125" i="17"/>
  <c r="G126" i="17"/>
  <c r="G133" i="17" s="1"/>
  <c r="P66" i="9"/>
  <c r="N161" i="2"/>
  <c r="O161" i="2" s="1"/>
  <c r="Q161" i="2"/>
  <c r="K161" i="2"/>
  <c r="M161" i="2" s="1"/>
  <c r="R161" i="2"/>
  <c r="N60" i="20"/>
  <c r="D62" i="20" s="1"/>
  <c r="C31" i="20" s="1"/>
  <c r="O37" i="20"/>
  <c r="Q95" i="2"/>
  <c r="R95" i="2" s="1"/>
  <c r="K95" i="2"/>
  <c r="N95" i="2"/>
  <c r="O95" i="2" s="1"/>
  <c r="F150" i="10"/>
  <c r="O66" i="10"/>
  <c r="K38" i="20"/>
  <c r="M38" i="20" s="1"/>
  <c r="N38" i="20"/>
  <c r="O38" i="20" s="1"/>
  <c r="Q68" i="1"/>
  <c r="R68" i="1" s="1"/>
  <c r="N68" i="1"/>
  <c r="O68" i="1" s="1"/>
  <c r="K68" i="1"/>
  <c r="M68" i="1" s="1"/>
  <c r="D73" i="8"/>
  <c r="C72" i="8"/>
  <c r="J72" i="8" s="1"/>
  <c r="C73" i="8"/>
  <c r="J73" i="8" s="1"/>
  <c r="D81" i="8"/>
  <c r="D87" i="8" s="1"/>
  <c r="D92" i="8" s="1"/>
  <c r="D98" i="8" s="1"/>
  <c r="B74" i="8"/>
  <c r="D52" i="8"/>
  <c r="F70" i="8"/>
  <c r="F72" i="8"/>
  <c r="D64" i="8"/>
  <c r="F73" i="8"/>
  <c r="D70" i="8"/>
  <c r="D65" i="8"/>
  <c r="D72" i="8"/>
  <c r="S78" i="9"/>
  <c r="R78" i="9"/>
  <c r="O78" i="9"/>
  <c r="P78" i="9" s="1"/>
  <c r="L78" i="9"/>
  <c r="N78" i="9" s="1"/>
  <c r="Q66" i="10"/>
  <c r="R79" i="10"/>
  <c r="S79" i="10"/>
  <c r="P79" i="10"/>
  <c r="Q79" i="10" s="1"/>
  <c r="M79" i="10"/>
  <c r="O79" i="10" s="1"/>
  <c r="F182" i="16"/>
  <c r="N181" i="16"/>
  <c r="G122" i="1"/>
  <c r="Q100" i="1"/>
  <c r="R100" i="1" s="1"/>
  <c r="N100" i="1"/>
  <c r="O100" i="1" s="1"/>
  <c r="K100" i="1"/>
  <c r="R90" i="2"/>
  <c r="Q243" i="7"/>
  <c r="C82" i="7" s="1"/>
  <c r="N55" i="17"/>
  <c r="O55" i="17" s="1"/>
  <c r="K55" i="17"/>
  <c r="M55" i="17" s="1"/>
  <c r="R65" i="6"/>
  <c r="J99" i="2"/>
  <c r="C100" i="2"/>
  <c r="J100" i="2" s="1"/>
  <c r="R149" i="10"/>
  <c r="C56" i="10" s="1"/>
  <c r="Q101" i="6"/>
  <c r="R101" i="6" s="1"/>
  <c r="N101" i="6"/>
  <c r="O101" i="6" s="1"/>
  <c r="K101" i="6"/>
  <c r="M101" i="6" s="1"/>
  <c r="N243" i="7"/>
  <c r="O243" i="7" s="1"/>
  <c r="O91" i="7"/>
  <c r="N59" i="17"/>
  <c r="O59" i="17" s="1"/>
  <c r="K59" i="17"/>
  <c r="M59" i="17" s="1"/>
  <c r="N77" i="21"/>
  <c r="O77" i="21" s="1"/>
  <c r="K77" i="21"/>
  <c r="M77" i="21" s="1"/>
  <c r="O181" i="16"/>
  <c r="Q103" i="1"/>
  <c r="R103" i="1" s="1"/>
  <c r="N103" i="1"/>
  <c r="O103" i="1" s="1"/>
  <c r="K103" i="1"/>
  <c r="M103" i="1" s="1"/>
  <c r="F183" i="16"/>
  <c r="M58" i="16"/>
  <c r="G183" i="16" s="1"/>
  <c r="O90" i="2"/>
  <c r="M51" i="14"/>
  <c r="F112" i="14"/>
  <c r="D103" i="12" l="1"/>
  <c r="J103" i="12" s="1"/>
  <c r="L103" i="12" s="1"/>
  <c r="K102" i="12"/>
  <c r="M102" i="12" s="1"/>
  <c r="N102" i="12"/>
  <c r="O102" i="12" s="1"/>
  <c r="G112" i="14"/>
  <c r="M110" i="14"/>
  <c r="C111" i="14" s="1"/>
  <c r="O49" i="14"/>
  <c r="O110" i="14" s="1"/>
  <c r="N110" i="14"/>
  <c r="J70" i="13"/>
  <c r="M63" i="13"/>
  <c r="F219" i="13"/>
  <c r="R121" i="1"/>
  <c r="E49" i="1" s="1"/>
  <c r="O60" i="20"/>
  <c r="C62" i="20" s="1"/>
  <c r="M63" i="12"/>
  <c r="F125" i="12"/>
  <c r="S70" i="4"/>
  <c r="S72" i="4" s="1"/>
  <c r="H27" i="4" s="1"/>
  <c r="S149" i="10"/>
  <c r="E57" i="10" s="1"/>
  <c r="F127" i="4"/>
  <c r="M57" i="4"/>
  <c r="G127" i="4" s="1"/>
  <c r="S86" i="4"/>
  <c r="S88" i="4"/>
  <c r="H33" i="4" s="1"/>
  <c r="N108" i="9"/>
  <c r="G141" i="9" s="1"/>
  <c r="F61" i="20"/>
  <c r="O109" i="9"/>
  <c r="P109" i="9" s="1"/>
  <c r="S109" i="9"/>
  <c r="R109" i="9"/>
  <c r="L109" i="9"/>
  <c r="F141" i="9" s="1"/>
  <c r="F191" i="21"/>
  <c r="J63" i="8"/>
  <c r="C68" i="8"/>
  <c r="C64" i="8"/>
  <c r="J64" i="8" s="1"/>
  <c r="C71" i="8"/>
  <c r="J71" i="8" s="1"/>
  <c r="O190" i="21"/>
  <c r="M110" i="2"/>
  <c r="F246" i="3"/>
  <c r="M91" i="3"/>
  <c r="F151" i="10"/>
  <c r="O72" i="10"/>
  <c r="G151" i="10" s="1"/>
  <c r="M50" i="17"/>
  <c r="F126" i="17"/>
  <c r="G123" i="1"/>
  <c r="N99" i="2"/>
  <c r="O99" i="2" s="1"/>
  <c r="K99" i="2"/>
  <c r="M99" i="2" s="1"/>
  <c r="M236" i="2" s="1"/>
  <c r="R99" i="2"/>
  <c r="Q99" i="2"/>
  <c r="O50" i="17"/>
  <c r="N125" i="17"/>
  <c r="O125" i="17" s="1"/>
  <c r="N72" i="9"/>
  <c r="F123" i="1"/>
  <c r="K95" i="6"/>
  <c r="M95" i="6" s="1"/>
  <c r="Q95" i="6"/>
  <c r="R95" i="6" s="1"/>
  <c r="R114" i="6" s="1"/>
  <c r="E46" i="6" s="1"/>
  <c r="N95" i="6"/>
  <c r="O95" i="6" s="1"/>
  <c r="N100" i="12"/>
  <c r="K100" i="12"/>
  <c r="N98" i="2"/>
  <c r="O98" i="2" s="1"/>
  <c r="Q98" i="2"/>
  <c r="R98" i="2" s="1"/>
  <c r="K98" i="2"/>
  <c r="M98" i="2" s="1"/>
  <c r="M60" i="20"/>
  <c r="C61" i="20" s="1"/>
  <c r="G61" i="20"/>
  <c r="L80" i="9"/>
  <c r="N80" i="9" s="1"/>
  <c r="O80" i="9"/>
  <c r="P80" i="9" s="1"/>
  <c r="P137" i="9" s="1"/>
  <c r="R80" i="9"/>
  <c r="R137" i="9" s="1"/>
  <c r="C57" i="9" s="1"/>
  <c r="N92" i="6"/>
  <c r="R92" i="6"/>
  <c r="K92" i="6"/>
  <c r="Q92" i="6"/>
  <c r="Q103" i="3"/>
  <c r="N103" i="3"/>
  <c r="O103" i="3" s="1"/>
  <c r="K103" i="3"/>
  <c r="M103" i="3" s="1"/>
  <c r="R103" i="3"/>
  <c r="K101" i="12"/>
  <c r="M101" i="12" s="1"/>
  <c r="N101" i="12"/>
  <c r="O101" i="12" s="1"/>
  <c r="P149" i="10"/>
  <c r="O149" i="10"/>
  <c r="G150" i="10"/>
  <c r="G157" i="10" s="1"/>
  <c r="G126" i="4"/>
  <c r="AB19" i="18"/>
  <c r="AB20" i="18"/>
  <c r="Q99" i="3"/>
  <c r="Q245" i="3" s="1"/>
  <c r="C82" i="3" s="1"/>
  <c r="N99" i="3"/>
  <c r="O99" i="3" s="1"/>
  <c r="K99" i="3"/>
  <c r="M99" i="3" s="1"/>
  <c r="D68" i="8"/>
  <c r="D69" i="8" s="1"/>
  <c r="Q97" i="2"/>
  <c r="R97" i="2"/>
  <c r="N97" i="2"/>
  <c r="K97" i="2"/>
  <c r="M97" i="2" s="1"/>
  <c r="M190" i="21"/>
  <c r="G191" i="21"/>
  <c r="G198" i="21" s="1"/>
  <c r="N137" i="9"/>
  <c r="G138" i="9"/>
  <c r="N125" i="4"/>
  <c r="S80" i="4"/>
  <c r="H30" i="4" s="1"/>
  <c r="S78" i="4"/>
  <c r="Q97" i="3"/>
  <c r="R97" i="3" s="1"/>
  <c r="N97" i="3"/>
  <c r="O97" i="3" s="1"/>
  <c r="K97" i="3"/>
  <c r="D74" i="8"/>
  <c r="C74" i="8"/>
  <c r="J74" i="8" s="1"/>
  <c r="F74" i="8"/>
  <c r="K75" i="13"/>
  <c r="M75" i="13" s="1"/>
  <c r="N75" i="13"/>
  <c r="O75" i="13" s="1"/>
  <c r="D100" i="8"/>
  <c r="D101" i="8"/>
  <c r="N71" i="13"/>
  <c r="O71" i="13" s="1"/>
  <c r="K71" i="13"/>
  <c r="M71" i="13" s="1"/>
  <c r="Q123" i="2"/>
  <c r="R123" i="2" s="1"/>
  <c r="N123" i="2"/>
  <c r="O123" i="2" s="1"/>
  <c r="K123" i="2"/>
  <c r="M123" i="2" s="1"/>
  <c r="F245" i="7"/>
  <c r="M96" i="7"/>
  <c r="G245" i="7" s="1"/>
  <c r="F238" i="2"/>
  <c r="M95" i="2"/>
  <c r="M100" i="1"/>
  <c r="G125" i="1" s="1"/>
  <c r="K116" i="1"/>
  <c r="F125" i="1"/>
  <c r="N100" i="2"/>
  <c r="O100" i="2" s="1"/>
  <c r="Q100" i="2"/>
  <c r="R100" i="2" s="1"/>
  <c r="K100" i="2"/>
  <c r="M100" i="2" s="1"/>
  <c r="Q149" i="10"/>
  <c r="Q73" i="8"/>
  <c r="N73" i="8"/>
  <c r="O73" i="8" s="1"/>
  <c r="K73" i="8"/>
  <c r="M73" i="8" s="1"/>
  <c r="G237" i="2"/>
  <c r="P125" i="4"/>
  <c r="C43" i="4" s="1"/>
  <c r="O45" i="23"/>
  <c r="O75" i="23" s="1"/>
  <c r="N75" i="23"/>
  <c r="M69" i="13"/>
  <c r="Q122" i="2"/>
  <c r="R122" i="2" s="1"/>
  <c r="N122" i="2"/>
  <c r="O122" i="2" s="1"/>
  <c r="K122" i="2"/>
  <c r="M122" i="2" s="1"/>
  <c r="N245" i="3"/>
  <c r="O245" i="3" s="1"/>
  <c r="O91" i="3"/>
  <c r="N72" i="8"/>
  <c r="O72" i="8" s="1"/>
  <c r="K72" i="8"/>
  <c r="M72" i="8" s="1"/>
  <c r="Q72" i="8"/>
  <c r="F237" i="2"/>
  <c r="Q121" i="2"/>
  <c r="N121" i="2"/>
  <c r="O121" i="2" s="1"/>
  <c r="K121" i="2"/>
  <c r="M121" i="2" s="1"/>
  <c r="R121" i="2"/>
  <c r="Q65" i="8"/>
  <c r="N65" i="8"/>
  <c r="O65" i="8" s="1"/>
  <c r="K65" i="8"/>
  <c r="M65" i="8" s="1"/>
  <c r="G244" i="7"/>
  <c r="N103" i="12" l="1"/>
  <c r="K103" i="12"/>
  <c r="M103" i="12" s="1"/>
  <c r="G118" i="14"/>
  <c r="C113" i="14"/>
  <c r="C114" i="14" s="1"/>
  <c r="G125" i="12"/>
  <c r="N70" i="13"/>
  <c r="O70" i="13" s="1"/>
  <c r="O218" i="13" s="1"/>
  <c r="C220" i="13" s="1"/>
  <c r="K70" i="13"/>
  <c r="M70" i="13" s="1"/>
  <c r="G220" i="13" s="1"/>
  <c r="G219" i="13"/>
  <c r="M218" i="13"/>
  <c r="C219" i="13" s="1"/>
  <c r="R236" i="2"/>
  <c r="E82" i="2" s="1"/>
  <c r="C237" i="2"/>
  <c r="Q236" i="2"/>
  <c r="C81" i="2" s="1"/>
  <c r="C69" i="8"/>
  <c r="J69" i="8" s="1"/>
  <c r="M100" i="12"/>
  <c r="F127" i="12"/>
  <c r="N64" i="8"/>
  <c r="O64" i="8" s="1"/>
  <c r="K64" i="8"/>
  <c r="M64" i="8" s="1"/>
  <c r="Q64" i="8"/>
  <c r="O92" i="6"/>
  <c r="N114" i="6"/>
  <c r="O125" i="4"/>
  <c r="C127" i="4" s="1"/>
  <c r="D127" i="4"/>
  <c r="C44" i="4" s="1"/>
  <c r="S80" i="9"/>
  <c r="S137" i="9" s="1"/>
  <c r="N63" i="8"/>
  <c r="K63" i="8"/>
  <c r="Q63" i="8"/>
  <c r="Q148" i="8" s="1"/>
  <c r="C54" i="8" s="1"/>
  <c r="R99" i="3"/>
  <c r="R245" i="3" s="1"/>
  <c r="E83" i="3" s="1"/>
  <c r="F220" i="13"/>
  <c r="M243" i="7"/>
  <c r="Q74" i="8"/>
  <c r="N74" i="8"/>
  <c r="O74" i="8" s="1"/>
  <c r="K74" i="8"/>
  <c r="M74" i="8" s="1"/>
  <c r="G251" i="7"/>
  <c r="N218" i="13"/>
  <c r="D220" i="13" s="1"/>
  <c r="C61" i="13" s="1"/>
  <c r="G68" i="20"/>
  <c r="C64" i="20"/>
  <c r="C63" i="20"/>
  <c r="G139" i="9"/>
  <c r="F247" i="3"/>
  <c r="M97" i="3"/>
  <c r="G247" i="3" s="1"/>
  <c r="AC19" i="18"/>
  <c r="AC20" i="18"/>
  <c r="F139" i="9"/>
  <c r="G246" i="3"/>
  <c r="O97" i="2"/>
  <c r="N236" i="2"/>
  <c r="Q71" i="8"/>
  <c r="N71" i="8"/>
  <c r="O71" i="8" s="1"/>
  <c r="K71" i="8"/>
  <c r="M71" i="8" s="1"/>
  <c r="J68" i="8"/>
  <c r="C70" i="8"/>
  <c r="J70" i="8" s="1"/>
  <c r="G145" i="9"/>
  <c r="O137" i="9"/>
  <c r="Q116" i="1"/>
  <c r="Q121" i="1" s="1"/>
  <c r="C48" i="1" s="1"/>
  <c r="N116" i="1"/>
  <c r="M116" i="1"/>
  <c r="M121" i="1" s="1"/>
  <c r="C122" i="1" s="1"/>
  <c r="M125" i="4"/>
  <c r="C126" i="4" s="1"/>
  <c r="Q114" i="6"/>
  <c r="C45" i="6" s="1"/>
  <c r="G239" i="2"/>
  <c r="O100" i="12"/>
  <c r="G238" i="2"/>
  <c r="G244" i="2" s="1"/>
  <c r="M92" i="6"/>
  <c r="F118" i="6"/>
  <c r="F239" i="2"/>
  <c r="O103" i="12" l="1"/>
  <c r="O123" i="12" s="1"/>
  <c r="C125" i="12" s="1"/>
  <c r="N123" i="12"/>
  <c r="D125" i="12" s="1"/>
  <c r="C47" i="12" s="1"/>
  <c r="G127" i="12"/>
  <c r="M123" i="12"/>
  <c r="C124" i="12" s="1"/>
  <c r="C115" i="14"/>
  <c r="G226" i="13"/>
  <c r="C221" i="13"/>
  <c r="C222" i="13" s="1"/>
  <c r="N68" i="8"/>
  <c r="O68" i="8" s="1"/>
  <c r="K68" i="8"/>
  <c r="Q68" i="8"/>
  <c r="F149" i="8"/>
  <c r="M63" i="8"/>
  <c r="N69" i="8"/>
  <c r="O69" i="8" s="1"/>
  <c r="K69" i="8"/>
  <c r="M69" i="8" s="1"/>
  <c r="Q69" i="8"/>
  <c r="G118" i="6"/>
  <c r="M114" i="6"/>
  <c r="C115" i="6" s="1"/>
  <c r="G129" i="1"/>
  <c r="C68" i="20"/>
  <c r="F30" i="20" s="1"/>
  <c r="C65" i="20"/>
  <c r="C66" i="20" s="1"/>
  <c r="O63" i="8"/>
  <c r="N148" i="8"/>
  <c r="O148" i="8" s="1"/>
  <c r="O236" i="2"/>
  <c r="C238" i="2" s="1"/>
  <c r="D238" i="2"/>
  <c r="C82" i="2" s="1"/>
  <c r="O116" i="1"/>
  <c r="N121" i="1"/>
  <c r="D123" i="1" s="1"/>
  <c r="M245" i="3"/>
  <c r="G253" i="3"/>
  <c r="D116" i="6"/>
  <c r="C46" i="6" s="1"/>
  <c r="O114" i="6"/>
  <c r="C116" i="6" s="1"/>
  <c r="Q70" i="8"/>
  <c r="N70" i="8"/>
  <c r="O70" i="8" s="1"/>
  <c r="K70" i="8"/>
  <c r="M70" i="8" s="1"/>
  <c r="C128" i="4"/>
  <c r="C129" i="4" s="1"/>
  <c r="G133" i="4"/>
  <c r="AD19" i="18"/>
  <c r="AD20" i="18"/>
  <c r="G131" i="12" l="1"/>
  <c r="C126" i="12"/>
  <c r="C127" i="12" s="1"/>
  <c r="C128" i="12" s="1"/>
  <c r="C116" i="14"/>
  <c r="C118" i="14" s="1"/>
  <c r="G36" i="14" s="1"/>
  <c r="D115" i="14"/>
  <c r="C223" i="13"/>
  <c r="C131" i="4"/>
  <c r="C130" i="4"/>
  <c r="C133" i="4" s="1"/>
  <c r="F41" i="4" s="1"/>
  <c r="G122" i="6"/>
  <c r="C117" i="6"/>
  <c r="C118" i="6" s="1"/>
  <c r="G149" i="8"/>
  <c r="G156" i="8" s="1"/>
  <c r="M148" i="8"/>
  <c r="D65" i="20"/>
  <c r="F150" i="8"/>
  <c r="M68" i="8"/>
  <c r="G150" i="8" s="1"/>
  <c r="C49" i="1"/>
  <c r="O121" i="1"/>
  <c r="C123" i="1" s="1"/>
  <c r="C239" i="2"/>
  <c r="C240" i="2" s="1"/>
  <c r="AE19" i="18"/>
  <c r="AE20" i="18"/>
  <c r="R19" i="18" s="1"/>
  <c r="S19" i="18" s="1"/>
  <c r="D223" i="13" l="1"/>
  <c r="C224" i="13"/>
  <c r="C226" i="13" s="1"/>
  <c r="G58" i="13" s="1"/>
  <c r="D128" i="12"/>
  <c r="C129" i="12"/>
  <c r="C131" i="12" s="1"/>
  <c r="G44" i="12" s="1"/>
  <c r="C241" i="2"/>
  <c r="D241" i="2" s="1"/>
  <c r="C242" i="2"/>
  <c r="C244" i="2" s="1"/>
  <c r="F79" i="2" s="1"/>
  <c r="C119" i="6"/>
  <c r="D119" i="6" s="1"/>
  <c r="C120" i="6"/>
  <c r="C122" i="6" s="1"/>
  <c r="F43" i="6" s="1"/>
  <c r="D130" i="4"/>
  <c r="C124" i="1"/>
  <c r="C125" i="1" s="1"/>
  <c r="C126" i="1" l="1"/>
  <c r="C127" i="1" s="1"/>
  <c r="D126" i="1" l="1"/>
  <c r="C129" i="1"/>
  <c r="F46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23" authorId="0" shapeId="0" xr:uid="{00000000-0006-0000-0B00-000001000000}">
      <text>
        <r>
          <rPr>
            <sz val="11"/>
            <color theme="1"/>
            <rFont val="Calibri"/>
            <family val="2"/>
            <scheme val="minor"/>
          </rPr>
          <t>======
ID#AAAB0f6u58s
Benjamin Villette    (2026-02-19 14:32:10)
remplie de mousse PU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juvJ6pKlh5+VRbsTI7mF8Enyk2mg=="/>
    </ext>
  </extL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23" authorId="0" shapeId="0" xr:uid="{00000000-0006-0000-0C00-000001000000}">
      <text>
        <r>
          <rPr>
            <sz val="11"/>
            <color theme="1"/>
            <rFont val="Calibri"/>
            <family val="2"/>
            <scheme val="minor"/>
          </rPr>
          <t>======
ID#AAAB0f6u58w
Benjamin Villette    (2026-02-19 14:32:10)
Remplie de mousse PU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ihkRnCMu9M/5KiV/8f776HBNyyWw=="/>
    </ext>
  </extLst>
</comments>
</file>

<file path=xl/sharedStrings.xml><?xml version="1.0" encoding="utf-8"?>
<sst xmlns="http://schemas.openxmlformats.org/spreadsheetml/2006/main" count="6815" uniqueCount="665">
  <si>
    <t xml:space="preserve">Caisse Tableau </t>
  </si>
  <si>
    <t>N° de dossier</t>
  </si>
  <si>
    <t>Responsable Dossier</t>
  </si>
  <si>
    <t>Grégory MORA</t>
  </si>
  <si>
    <t>Ville de destination</t>
  </si>
  <si>
    <t>Client</t>
  </si>
  <si>
    <t>ESI</t>
  </si>
  <si>
    <t>Caisse N°</t>
  </si>
  <si>
    <t>Délai</t>
  </si>
  <si>
    <t>Type de Contreplaqué</t>
  </si>
  <si>
    <t>Peuplier 15 mm</t>
  </si>
  <si>
    <t>Barres</t>
  </si>
  <si>
    <t>Pin raboté 4 faces</t>
  </si>
  <si>
    <t>Garnissage Valsem</t>
  </si>
  <si>
    <t>Oui</t>
  </si>
  <si>
    <t>Type d'isolant</t>
  </si>
  <si>
    <t>Aucun</t>
  </si>
  <si>
    <t>Fermeture</t>
  </si>
  <si>
    <t>Vis bois</t>
  </si>
  <si>
    <t>Peinture</t>
  </si>
  <si>
    <t>Non</t>
  </si>
  <si>
    <t>Poignées</t>
  </si>
  <si>
    <t>Bois</t>
  </si>
  <si>
    <t>Tyvek</t>
  </si>
  <si>
    <t>Skis</t>
  </si>
  <si>
    <t>Option Calage</t>
  </si>
  <si>
    <t>Epaisseur Mousse</t>
  </si>
  <si>
    <t>PU 50 mm</t>
  </si>
  <si>
    <t>Longueur</t>
  </si>
  <si>
    <t>Epaisseur</t>
  </si>
  <si>
    <t>Hauteur</t>
  </si>
  <si>
    <t xml:space="preserve">Type de calage </t>
  </si>
  <si>
    <t>Bandes de mousse</t>
  </si>
  <si>
    <t>Largeur</t>
  </si>
  <si>
    <t>Quantité</t>
  </si>
  <si>
    <t>Dessus</t>
  </si>
  <si>
    <t>Dessous</t>
  </si>
  <si>
    <t>Ethafoam 50 mm</t>
  </si>
  <si>
    <t>,</t>
  </si>
  <si>
    <t>Rattrapage</t>
  </si>
  <si>
    <t>Remplissage 1</t>
  </si>
  <si>
    <t>Remplissage 2</t>
  </si>
  <si>
    <t>Dimensions intérieures caisse</t>
  </si>
  <si>
    <t>Prix d'achat Arckx</t>
  </si>
  <si>
    <t>Dimensions extérieures caisse</t>
  </si>
  <si>
    <t>Poids de la Caisse</t>
  </si>
  <si>
    <t>Kg</t>
  </si>
  <si>
    <t>Bilan Carbone</t>
  </si>
  <si>
    <t>Minutes de Production</t>
  </si>
  <si>
    <t>Min</t>
  </si>
  <si>
    <t>Commentaires</t>
  </si>
  <si>
    <t>Poids en Kg</t>
  </si>
  <si>
    <t>CO²</t>
  </si>
  <si>
    <t>Grand côtés</t>
  </si>
  <si>
    <t>Dessus dessous</t>
  </si>
  <si>
    <t>Bouts</t>
  </si>
  <si>
    <t>Barres de GC</t>
  </si>
  <si>
    <t>Remplis GC</t>
  </si>
  <si>
    <t>Dessus / Dessous</t>
  </si>
  <si>
    <t>Longueur Bouts</t>
  </si>
  <si>
    <t>Hauteur Bouts</t>
  </si>
  <si>
    <t>Barres 21 R4F</t>
  </si>
  <si>
    <t>Mousse 1</t>
  </si>
  <si>
    <t>GC</t>
  </si>
  <si>
    <t>Dimensions intérieures mousse</t>
  </si>
  <si>
    <t>Extrudé 1</t>
  </si>
  <si>
    <t>Dimensions intérieures styro</t>
  </si>
  <si>
    <t>Plaquettes</t>
  </si>
  <si>
    <t>Dimensions intérieures plaquettes</t>
  </si>
  <si>
    <t>Extrudé 2</t>
  </si>
  <si>
    <t>Mousse de calage</t>
  </si>
  <si>
    <t xml:space="preserve">Option </t>
  </si>
  <si>
    <t>Fermetures</t>
  </si>
  <si>
    <t>Total matière</t>
  </si>
  <si>
    <t>Contreplaqué</t>
  </si>
  <si>
    <t>Total MO</t>
  </si>
  <si>
    <t>Bois massif</t>
  </si>
  <si>
    <t>Total frais généraux</t>
  </si>
  <si>
    <t>Polystyrène extrudé</t>
  </si>
  <si>
    <t>Total revient</t>
  </si>
  <si>
    <t>Mousse</t>
  </si>
  <si>
    <t>Marge</t>
  </si>
  <si>
    <t>Carton</t>
  </si>
  <si>
    <t>Remise (-) ou Majoration (+) en %</t>
  </si>
  <si>
    <t>Prix de vente</t>
  </si>
  <si>
    <t>Divers</t>
  </si>
  <si>
    <t>Peuplier 10 mm</t>
  </si>
  <si>
    <t>Peuplier Tour 15 mm Fonds 10 mm</t>
  </si>
  <si>
    <t>Pin non raboté</t>
  </si>
  <si>
    <t>Pin 19 mm</t>
  </si>
  <si>
    <t>Pin 21 mm</t>
  </si>
  <si>
    <t>Ep mousse</t>
  </si>
  <si>
    <t>Epaisseur extrudé 1</t>
  </si>
  <si>
    <t>Quantité Extrudé 1</t>
  </si>
  <si>
    <t>Epaisseur plaquettes</t>
  </si>
  <si>
    <t>Quantité plaquettes</t>
  </si>
  <si>
    <t>Epaisseur extrudé 2</t>
  </si>
  <si>
    <t>Quantité Extrudé 2</t>
  </si>
  <si>
    <t>Double isotherme en 30</t>
  </si>
  <si>
    <t>Styro 30 mm</t>
  </si>
  <si>
    <t>Double isotherme en 50</t>
  </si>
  <si>
    <t>Styro 50 mm</t>
  </si>
  <si>
    <t>Isotherme en 30</t>
  </si>
  <si>
    <t>Isotherme en 50</t>
  </si>
  <si>
    <t>Super isotherme en 30</t>
  </si>
  <si>
    <t>PU 30 mm</t>
  </si>
  <si>
    <t>Super isotherme en 50</t>
  </si>
  <si>
    <t>Boulons et platines</t>
  </si>
  <si>
    <t>Métal x 2 sur bouts</t>
  </si>
  <si>
    <t>Métal x 4 sur GC</t>
  </si>
  <si>
    <t>A Plat</t>
  </si>
  <si>
    <t>A Plat + Chapeau</t>
  </si>
  <si>
    <t>Stabilisateur</t>
  </si>
  <si>
    <t>Agglocelle 50 mm</t>
  </si>
  <si>
    <t>Longueur C</t>
  </si>
  <si>
    <t>Epaisseur C</t>
  </si>
  <si>
    <t>Hauteur C</t>
  </si>
  <si>
    <t>Hauteur tour</t>
  </si>
  <si>
    <t>fond</t>
  </si>
  <si>
    <t>Quantité fond</t>
  </si>
  <si>
    <t>Mousse fond</t>
  </si>
  <si>
    <t>Mousse tour</t>
  </si>
  <si>
    <t>dessus</t>
  </si>
  <si>
    <t>Quantité Dessus</t>
  </si>
  <si>
    <t>Bandes de mousse fond plein</t>
  </si>
  <si>
    <t>Entourage Stratocell 20 mm</t>
  </si>
  <si>
    <t>Stratocell 20 mm</t>
  </si>
  <si>
    <t>Entourage Stratocell 30 mm</t>
  </si>
  <si>
    <t>Stratocell 30 mm</t>
  </si>
  <si>
    <t>Mousse à ras</t>
  </si>
  <si>
    <t>Mousse à ras inversée</t>
  </si>
  <si>
    <t>Sous verre / bandes de mousse</t>
  </si>
  <si>
    <t>Sous verre 2 faces</t>
  </si>
  <si>
    <t>Expo</t>
  </si>
  <si>
    <t>Marchand</t>
  </si>
  <si>
    <t>10 dessous en semelles</t>
  </si>
  <si>
    <t>10 dessous en skis</t>
  </si>
  <si>
    <t>Caisse Tableau de 1 à 6 Œuvres</t>
  </si>
  <si>
    <t>N° de caisse</t>
  </si>
  <si>
    <t>Mousse de Calage 1</t>
  </si>
  <si>
    <t>Mousse de Calage 2</t>
  </si>
  <si>
    <t>N° d'inventaire</t>
  </si>
  <si>
    <t>Dimensions nécéssaires</t>
  </si>
  <si>
    <t>Dims nécéssaires</t>
  </si>
  <si>
    <t>Dims fond de caisse</t>
  </si>
  <si>
    <t>Dims necessaire fond de caisse</t>
  </si>
  <si>
    <t>Dims ext fond de caisse</t>
  </si>
  <si>
    <t>Mousse de Calage 3</t>
  </si>
  <si>
    <t>Mousse de Calage 4</t>
  </si>
  <si>
    <t>Dims nécéssaire cuvette 1</t>
  </si>
  <si>
    <t>Dims int cuvette</t>
  </si>
  <si>
    <t>Dims ext cuvette</t>
  </si>
  <si>
    <t>Dims nec caisse</t>
  </si>
  <si>
    <t>Mousse de Calage 5</t>
  </si>
  <si>
    <t>Mousse de Calage 6</t>
  </si>
  <si>
    <t>Dims nécéssaire cuvette 2</t>
  </si>
  <si>
    <t>Dimensions nécessaire caisse</t>
  </si>
  <si>
    <t>Poids KG</t>
  </si>
  <si>
    <t>Mousse de calage 1</t>
  </si>
  <si>
    <t>Mousse de calage 2</t>
  </si>
  <si>
    <t>Cuvette 1</t>
  </si>
  <si>
    <t>Mousse de calage 3</t>
  </si>
  <si>
    <t>Mousse de calage 4</t>
  </si>
  <si>
    <t>Cuvette 2</t>
  </si>
  <si>
    <t>Mousse de calage 5</t>
  </si>
  <si>
    <t>Mousse de calage 6</t>
  </si>
  <si>
    <t>Caisse Objet et Caissons Tableaux de 2 à 6 Œuvres</t>
  </si>
  <si>
    <t>Dims int Caisson</t>
  </si>
  <si>
    <t>Dims necessaire Caissons 1</t>
  </si>
  <si>
    <t>Dims ext Caisson</t>
  </si>
  <si>
    <t>Dims nécéssaire Caisson 2</t>
  </si>
  <si>
    <t>Dims nécéssaire Caisson 3</t>
  </si>
  <si>
    <t>Dims nécessaire caisse</t>
  </si>
  <si>
    <t>Dims intérieures caisse</t>
  </si>
  <si>
    <t>Dims extérieures caisse</t>
  </si>
  <si>
    <t>Couvercle</t>
  </si>
  <si>
    <t>Plateau</t>
  </si>
  <si>
    <t>Barres de CV</t>
  </si>
  <si>
    <t>Remplis de CV</t>
  </si>
  <si>
    <t>Barres de plateau</t>
  </si>
  <si>
    <t>Remplis de plateau</t>
  </si>
  <si>
    <t>Caisson 1</t>
  </si>
  <si>
    <t>Caisson 2</t>
  </si>
  <si>
    <t>Caisson 3</t>
  </si>
  <si>
    <t>Caisse Tableau de 1 à 3 MRT</t>
  </si>
  <si>
    <t>Prix du MRT</t>
  </si>
  <si>
    <t>Dimensions de l'oeuvre</t>
  </si>
  <si>
    <t>Mrt Ouvert</t>
  </si>
  <si>
    <t>Prix d'achat Arckx (y compris MRT à réaliser)</t>
  </si>
  <si>
    <t>MRT 1</t>
  </si>
  <si>
    <t>Dessus dessous bois massif</t>
  </si>
  <si>
    <t>Bouts bois massif avec poignées métalliques</t>
  </si>
  <si>
    <t>Angles cp 15</t>
  </si>
  <si>
    <t>MRT 2</t>
  </si>
  <si>
    <t>MRT 3</t>
  </si>
  <si>
    <t>Dimensions ext MRT existant</t>
  </si>
  <si>
    <t>Mrt Fermé Carton Double</t>
  </si>
  <si>
    <t>Mrt Fermé Carton Triple</t>
  </si>
  <si>
    <t>Carton Triple</t>
  </si>
  <si>
    <t>Mrt Fermé cp 10 mm</t>
  </si>
  <si>
    <t>Mrt Fermé Macrolon 10 mm</t>
  </si>
  <si>
    <t>Marcrolon</t>
  </si>
  <si>
    <t xml:space="preserve">Stratocell 30 mm </t>
  </si>
  <si>
    <t>Stratocell 50 mm</t>
  </si>
  <si>
    <t>MRT</t>
  </si>
  <si>
    <t>Catégorie</t>
  </si>
  <si>
    <t>Clouage</t>
  </si>
  <si>
    <t xml:space="preserve">Prix d'achat Arckx </t>
  </si>
  <si>
    <t>Carton Fleur Melinex</t>
  </si>
  <si>
    <t>Caisse Tableau Louvre</t>
  </si>
  <si>
    <t>Garnissage</t>
  </si>
  <si>
    <t>Valsem</t>
  </si>
  <si>
    <t>Skis en 30 mm</t>
  </si>
  <si>
    <t>Caisse Tableau Louvre de 2 à 6 Oeuvres</t>
  </si>
  <si>
    <t>Dim nécéssaires</t>
  </si>
  <si>
    <t>Caisse Tableau Anti-Vibratoire</t>
  </si>
  <si>
    <t>Arckx</t>
  </si>
  <si>
    <t>Amortisseurs à câbles</t>
  </si>
  <si>
    <t>Poids du Caisson</t>
  </si>
  <si>
    <t>Poids des Œuvres</t>
  </si>
  <si>
    <t>Poids total</t>
  </si>
  <si>
    <t>CP 15 mm</t>
  </si>
  <si>
    <t>Dessus Dessous</t>
  </si>
  <si>
    <t>Amortisseurs</t>
  </si>
  <si>
    <t>Sur cote longueur</t>
  </si>
  <si>
    <t>Sur cote largeur</t>
  </si>
  <si>
    <t>Sur cote Hauteur</t>
  </si>
  <si>
    <t>Hauteur Amortisseurs</t>
  </si>
  <si>
    <t>Prix</t>
  </si>
  <si>
    <t>Poids pour 4</t>
  </si>
  <si>
    <t>Poids pour 6</t>
  </si>
  <si>
    <t>Poids pour 8</t>
  </si>
  <si>
    <t>MP10-180</t>
  </si>
  <si>
    <t>MP11-200</t>
  </si>
  <si>
    <t>MP13-175</t>
  </si>
  <si>
    <t>MP14-200</t>
  </si>
  <si>
    <t>MP4-145</t>
  </si>
  <si>
    <t>MP5-145</t>
  </si>
  <si>
    <t>MP6-145</t>
  </si>
  <si>
    <t>MP8-180</t>
  </si>
  <si>
    <t>MP9-180</t>
  </si>
  <si>
    <t>Poids pour 9</t>
  </si>
  <si>
    <t>Poids pour 10</t>
  </si>
  <si>
    <t>Caisse à Plateau Glissière</t>
  </si>
  <si>
    <t>Epaisseur Mousse Dessus / Dessous</t>
  </si>
  <si>
    <t>Mousse 30 mm</t>
  </si>
  <si>
    <t>Cuvette au dessus</t>
  </si>
  <si>
    <r>
      <rPr>
        <b/>
        <sz val="14"/>
        <color rgb="FFFF0000"/>
        <rFont val="Calibri"/>
        <family val="2"/>
      </rPr>
      <t>ATTENTION SI IL Y A UNE CUVETTE  
les dimensions intérieures de la cuvette doivent être l'œuvre</t>
    </r>
    <r>
      <rPr>
        <b/>
        <sz val="20"/>
        <color rgb="FFFF0000"/>
        <rFont val="Calibri"/>
        <family val="2"/>
      </rPr>
      <t xml:space="preserve"> plus les mousses</t>
    </r>
  </si>
  <si>
    <t>Intervalle</t>
  </si>
  <si>
    <t>Glissières</t>
  </si>
  <si>
    <t>Nombre de tableaux</t>
  </si>
  <si>
    <t>Longueur max</t>
  </si>
  <si>
    <t>Hauteur max</t>
  </si>
  <si>
    <t>Largeur totale</t>
  </si>
  <si>
    <t>Hauteur  totale</t>
  </si>
  <si>
    <t>Dimensions intérieures cuvette</t>
  </si>
  <si>
    <t>Prix d'achat</t>
  </si>
  <si>
    <t>Barres De CV</t>
  </si>
  <si>
    <t>Remplis De CV</t>
  </si>
  <si>
    <t>Barres De Plateau</t>
  </si>
  <si>
    <t>Remplis de Plateau</t>
  </si>
  <si>
    <t>Remplis de Bouts</t>
  </si>
  <si>
    <t>Ethafoam 30 mm</t>
  </si>
  <si>
    <t>Mousse 50 mm</t>
  </si>
  <si>
    <t>10 Dessous en Semelles</t>
  </si>
  <si>
    <t>10 Dessous en Skis</t>
  </si>
  <si>
    <t>Caisse à Plateau  séparations mousse</t>
  </si>
  <si>
    <t>Séparations</t>
  </si>
  <si>
    <t>Rang 1</t>
  </si>
  <si>
    <t>Epaisseur totale</t>
  </si>
  <si>
    <t>Rang 2</t>
  </si>
  <si>
    <t>Dont Calage</t>
  </si>
  <si>
    <t>Observations particulières</t>
  </si>
  <si>
    <t>M²</t>
  </si>
  <si>
    <t>Calpinage</t>
  </si>
  <si>
    <t>Prix m²</t>
  </si>
  <si>
    <t>Prix matière</t>
  </si>
  <si>
    <t>MO en mn</t>
  </si>
  <si>
    <t>MO en €</t>
  </si>
  <si>
    <t>Calage 1</t>
  </si>
  <si>
    <t>Calage 2</t>
  </si>
  <si>
    <t>Calage 3</t>
  </si>
  <si>
    <t>Calage 4</t>
  </si>
  <si>
    <t>Calage 5</t>
  </si>
  <si>
    <t>Calage 6</t>
  </si>
  <si>
    <t>Calage 7</t>
  </si>
  <si>
    <t>Calage 8</t>
  </si>
  <si>
    <t>Calage 9</t>
  </si>
  <si>
    <t>Calage 10</t>
  </si>
  <si>
    <t>Agglocelle</t>
  </si>
  <si>
    <t>Ethafoam</t>
  </si>
  <si>
    <t>Carton + mousse PU 20</t>
  </si>
  <si>
    <t>PU 30</t>
  </si>
  <si>
    <t>PU 50</t>
  </si>
  <si>
    <t>Caisson de 1 à 2 Tableaux</t>
  </si>
  <si>
    <t>Dims Interieur Caissons 1</t>
  </si>
  <si>
    <t>Dims Exterieur Caisson 1</t>
  </si>
  <si>
    <t xml:space="preserve">Caisse à Plateau Objet </t>
  </si>
  <si>
    <t>grerg</t>
  </si>
  <si>
    <t>Option</t>
  </si>
  <si>
    <t>ATTENTION SI CUVETTE AU DESSUS AJOUTER 10 CM AUX DIM DE L'OBJET SAUF SI LA DIM INT EST SUFFISANTE POUR ACCUEILLIR L' OBJET +10CM</t>
  </si>
  <si>
    <t>Nbre de Coté Ouvrant</t>
  </si>
  <si>
    <t>ATTENTION SI IL Y A UNE CUVETTE  
les dimensions intérieures de la cuvette doivent être l'œuvre plus les mousses</t>
  </si>
  <si>
    <t>Dimensions de l'œuvre</t>
  </si>
  <si>
    <t>Mousse au Carré 50 mm</t>
  </si>
  <si>
    <t>PU</t>
  </si>
  <si>
    <t>Plateau intérieur</t>
  </si>
  <si>
    <t>Stratocell 35 Kg</t>
  </si>
  <si>
    <t>Base</t>
  </si>
  <si>
    <t>CP 15mm</t>
  </si>
  <si>
    <t>Dimensions intérieures CP 15</t>
  </si>
  <si>
    <t>Mousse de Calage</t>
  </si>
  <si>
    <t>Valeur iso</t>
  </si>
  <si>
    <t>largeur</t>
  </si>
  <si>
    <t>Nbre Coté Ouvrant</t>
  </si>
  <si>
    <t>GC + Couvercle</t>
  </si>
  <si>
    <t>Bancs fermés</t>
  </si>
  <si>
    <t>Nombre</t>
  </si>
  <si>
    <t>Type de mousse du Calage</t>
  </si>
  <si>
    <t>Bancs ouverts</t>
  </si>
  <si>
    <t>Bandes de mousse 30 mm</t>
  </si>
  <si>
    <t>Type de mousse</t>
  </si>
  <si>
    <t>Bandes de mousse 50 mm</t>
  </si>
  <si>
    <t>Découpe Mousse</t>
  </si>
  <si>
    <t>Ecrin horizontal</t>
  </si>
  <si>
    <t>Ecrin vertical</t>
  </si>
  <si>
    <t>Guillotines horizontales</t>
  </si>
  <si>
    <t>PE 80 mm</t>
  </si>
  <si>
    <t>Guillotines verticales</t>
  </si>
  <si>
    <t>Mousse à ras + Guillotines verticales</t>
  </si>
  <si>
    <t>Mousse au Carré 20 mm</t>
  </si>
  <si>
    <t>Statocell 20 mm</t>
  </si>
  <si>
    <t xml:space="preserve">Mousse au Carré 30 mm </t>
  </si>
  <si>
    <t>Epaisseur contre bouts</t>
  </si>
  <si>
    <t>Carton garnie tyvec</t>
  </si>
  <si>
    <t>Cp 10 mm garnie tyvec</t>
  </si>
  <si>
    <t>Cp 15 mm + Plasta 20 mm</t>
  </si>
  <si>
    <t>Cp 15 mm + Plastazote 20 mm coulissant</t>
  </si>
  <si>
    <t>Cp 15 mm garni valsem</t>
  </si>
  <si>
    <t>Cp 15 mm garni valsem coulissant</t>
  </si>
  <si>
    <t>Stratocell 30 mm 65 Kg</t>
  </si>
  <si>
    <t>Stratocell 50 mm 65 Kg</t>
  </si>
  <si>
    <t>Ethafoam 80 mm</t>
  </si>
  <si>
    <t xml:space="preserve">Stratocell 50 mm </t>
  </si>
  <si>
    <t>Stratocell 65 Kg</t>
  </si>
  <si>
    <t>Chapeau</t>
  </si>
  <si>
    <t>Melinex</t>
  </si>
  <si>
    <t>Stratocell</t>
  </si>
  <si>
    <t xml:space="preserve">Barres bois </t>
  </si>
  <si>
    <t>Tasseaux</t>
  </si>
  <si>
    <t>Epaisseur base</t>
  </si>
  <si>
    <t>Epaisseur plateau</t>
  </si>
  <si>
    <t>Barres bois Longueur</t>
  </si>
  <si>
    <t>Barres bois largeur</t>
  </si>
  <si>
    <t>Barre de dessus</t>
  </si>
  <si>
    <t>Renforts guillotine</t>
  </si>
  <si>
    <t>Caisse à Plateau de 2 à 6 Objets</t>
  </si>
  <si>
    <t>Dimensions de l'œuvre 1</t>
  </si>
  <si>
    <t>Dimensions de l'œuvre 4</t>
  </si>
  <si>
    <t>Dimensions necessaires</t>
  </si>
  <si>
    <t>Dimensions de l'œuvre 2</t>
  </si>
  <si>
    <t>Dimensions de l'œuvre 5</t>
  </si>
  <si>
    <t>Rangée1</t>
  </si>
  <si>
    <t>Rangée 2</t>
  </si>
  <si>
    <t>Dimensions de l'œuvre 3</t>
  </si>
  <si>
    <t>Dimensions de l'œuvre 6</t>
  </si>
  <si>
    <t>Dim necessaires pour Rangée 1</t>
  </si>
  <si>
    <t>Dim necessaires pour Rangée 2</t>
  </si>
  <si>
    <t>SéparationsCTP 15 mm</t>
  </si>
  <si>
    <t>Séparations CTP 15 mm</t>
  </si>
  <si>
    <t>Dim Necessaires pour Rangées 1 et 2</t>
  </si>
  <si>
    <t>Bandes de mousse cinquante mm</t>
  </si>
  <si>
    <t>Bandes de mousse trente mm</t>
  </si>
  <si>
    <t>Mousse au carré cinquante mm</t>
  </si>
  <si>
    <t xml:space="preserve">Mousse au carré trente mm </t>
  </si>
  <si>
    <t>Agglocelle 30 mm</t>
  </si>
  <si>
    <t>Stratocell 30 mm 65 kg</t>
  </si>
  <si>
    <t>Stratocell 50 mm 65 kg</t>
  </si>
  <si>
    <t>Rangée 2 sur rangée 1</t>
  </si>
  <si>
    <t>Rangée 2 derrière rangée 1</t>
  </si>
  <si>
    <t>Œuvre 1</t>
  </si>
  <si>
    <t>Œuvre 2</t>
  </si>
  <si>
    <t>Œuvre 3</t>
  </si>
  <si>
    <t>Œuvre 4</t>
  </si>
  <si>
    <t>Œuvre 5</t>
  </si>
  <si>
    <t>Œuvre 6</t>
  </si>
  <si>
    <t>Caisse à Plateau Renforcée Objet</t>
  </si>
  <si>
    <t>Plateau renforcé</t>
  </si>
  <si>
    <t>Cp 30 mm + Semelles 70 mm</t>
  </si>
  <si>
    <t>Epaisseur CV</t>
  </si>
  <si>
    <t>Cp 22 mm + Barres 30 mm</t>
  </si>
  <si>
    <t>Peuplier 22 mm</t>
  </si>
  <si>
    <t>Barres 30 R4F</t>
  </si>
  <si>
    <t>Cp 22 mm + Chevrons 50 mm</t>
  </si>
  <si>
    <t>Chevrons 50 mm</t>
  </si>
  <si>
    <t>Peuplier 30 mm</t>
  </si>
  <si>
    <t>Semelles R4F</t>
  </si>
  <si>
    <t>Plateau Renforcée Objet</t>
  </si>
  <si>
    <t>Cp 15 mm + Barres 21 R4F</t>
  </si>
  <si>
    <t>Mousse de Base</t>
  </si>
  <si>
    <t>Caisse à Plateau de 1 à 6 Cuvettes</t>
  </si>
  <si>
    <t>ATTENTION dans les CUVETTES 
les dimensions intérieures de la cuvette doivent être l'œuvre plus les mousses</t>
  </si>
  <si>
    <t>Dimensions interieur Cuvette N°4</t>
  </si>
  <si>
    <t>Dimensions interieur Cuvette N°1</t>
  </si>
  <si>
    <t>Dimensions exterieur Cuvette N°1</t>
  </si>
  <si>
    <t>Dimensions interieur Cuvette N°5</t>
  </si>
  <si>
    <t>Dimensions interieur Cuvette N°2</t>
  </si>
  <si>
    <t>Dimensions interieur Cuvette N°6</t>
  </si>
  <si>
    <t>Dimensions interieur Cuvette N°3</t>
  </si>
  <si>
    <t>Dimensions intérieures CP 10</t>
  </si>
  <si>
    <t>Cuvette N°1</t>
  </si>
  <si>
    <t>Cuvette N°2</t>
  </si>
  <si>
    <t>Cuvette N°3</t>
  </si>
  <si>
    <t>Cuvette N°4</t>
  </si>
  <si>
    <t>Cuvette N°5</t>
  </si>
  <si>
    <t>Cuvette N°6</t>
  </si>
  <si>
    <t>Découpe Mousse Usinage</t>
  </si>
  <si>
    <t>CV</t>
  </si>
  <si>
    <t>Bande de GC et Bouts</t>
  </si>
  <si>
    <t>Caisse à Plateau Objet Anti-Vibratoire</t>
  </si>
  <si>
    <t>Amortisseurs à câbles Base</t>
  </si>
  <si>
    <t>Amortisseurs à câbles Cotés</t>
  </si>
  <si>
    <t>Quantité sur la Base</t>
  </si>
  <si>
    <t>Poids de L'œuvre en KG</t>
  </si>
  <si>
    <t>Quantité sur les Bouts</t>
  </si>
  <si>
    <t>Dimensions Ext Caisson</t>
  </si>
  <si>
    <t>Dimensions intérieures Cp 15 mm</t>
  </si>
  <si>
    <t>Caisson</t>
  </si>
  <si>
    <t>Dimensions intérieures Logement</t>
  </si>
  <si>
    <t>Bandes de mousse ethafoam cinquante mm</t>
  </si>
  <si>
    <t>Bandes de mousse ethafoam trente mm</t>
  </si>
  <si>
    <t>Caisse à Plateau Tapisserie</t>
  </si>
  <si>
    <t>Longueur Tapisserie</t>
  </si>
  <si>
    <t>Hauteur Tapisserie</t>
  </si>
  <si>
    <t>Epaisseur Tapisserie</t>
  </si>
  <si>
    <t>Diamètre Rouleau carton</t>
  </si>
  <si>
    <t>Longueur tube</t>
  </si>
  <si>
    <t>Diamètre roulé</t>
  </si>
  <si>
    <t>diamètre</t>
  </si>
  <si>
    <t>1er tour</t>
  </si>
  <si>
    <t>2ème tour</t>
  </si>
  <si>
    <t>3ème tour</t>
  </si>
  <si>
    <t>4 ème tour</t>
  </si>
  <si>
    <t>5 ème tour</t>
  </si>
  <si>
    <t>6 ème tour</t>
  </si>
  <si>
    <t>7 ème tour</t>
  </si>
  <si>
    <t>8ème tour</t>
  </si>
  <si>
    <t>9 ème tour</t>
  </si>
  <si>
    <t>10 ème tour</t>
  </si>
  <si>
    <t>Longueur rouléee</t>
  </si>
  <si>
    <t>Epaisseur après tour</t>
  </si>
  <si>
    <t>Diamètre</t>
  </si>
  <si>
    <t>Ø du tube</t>
  </si>
  <si>
    <t>Dimensions du rouleau 1</t>
  </si>
  <si>
    <t>Rouleau fourni par le client</t>
  </si>
  <si>
    <t>Dimensions du rouleau 2</t>
  </si>
  <si>
    <t>Séparation</t>
  </si>
  <si>
    <t>Bastings 70 x 100 mm</t>
  </si>
  <si>
    <t>Tube carton</t>
  </si>
  <si>
    <t>Calages 1</t>
  </si>
  <si>
    <t>Calages 2</t>
  </si>
  <si>
    <t>Quantité Flasques</t>
  </si>
  <si>
    <t>Bastings + Guillotines contreplaqué</t>
  </si>
  <si>
    <t>Guillotines contreplaqué</t>
  </si>
  <si>
    <t>Guillotines ethafoam</t>
  </si>
  <si>
    <t>Caisse à Plateau Objet Claire-Voie</t>
  </si>
  <si>
    <t>Clouage au 45 mm de l'extérieur</t>
  </si>
  <si>
    <t>Dimensions intérieures Caisse</t>
  </si>
  <si>
    <t>Peinture Rouge</t>
  </si>
  <si>
    <t>Barres 21 mm R4F</t>
  </si>
  <si>
    <t>Ethafoam 30 mm 65 kg</t>
  </si>
  <si>
    <t>Ethafoam 50 mm 65 kg</t>
  </si>
  <si>
    <t>En plein</t>
  </si>
  <si>
    <t>En bandes avec CP 10</t>
  </si>
  <si>
    <t>En bandes avec CP 10 et tour mousse + CP 10</t>
  </si>
  <si>
    <t>En bandes avec 20 mm R4F</t>
  </si>
  <si>
    <t>1 Caisson Objet</t>
  </si>
  <si>
    <t>Date d'édition</t>
  </si>
  <si>
    <t>métal sur bouts</t>
  </si>
  <si>
    <t xml:space="preserve">Entourage 50 mm </t>
  </si>
  <si>
    <t>Plateau du Caisson</t>
  </si>
  <si>
    <t>Cp 15 mm</t>
  </si>
  <si>
    <t>Dimensions intérieures</t>
  </si>
  <si>
    <t>Dims ext caisson</t>
  </si>
  <si>
    <t>Prix des Caissons</t>
  </si>
  <si>
    <t xml:space="preserve">GC </t>
  </si>
  <si>
    <t>sangle sur bout</t>
  </si>
  <si>
    <t>Cp 10 mm Valsem</t>
  </si>
  <si>
    <t>Cp 15 mm + Plasta 5 mm</t>
  </si>
  <si>
    <t>Cp 15 mm Valsem</t>
  </si>
  <si>
    <t>Cp 22 mm Valsem</t>
  </si>
  <si>
    <t>Cp 30 mm Valsem</t>
  </si>
  <si>
    <t>Cp 22 mm</t>
  </si>
  <si>
    <t>Cp 30 mm</t>
  </si>
  <si>
    <t>RANG 1 et 2</t>
  </si>
  <si>
    <t xml:space="preserve">Longueur </t>
  </si>
  <si>
    <t>Découpe mousse usinage</t>
  </si>
  <si>
    <t xml:space="preserve">Entourage 20 mm </t>
  </si>
  <si>
    <t xml:space="preserve">Entourage 30 mm </t>
  </si>
  <si>
    <t>1 à 6 Caissons Objets</t>
  </si>
  <si>
    <t>Wrapp</t>
  </si>
  <si>
    <t>Type de Wrapp</t>
  </si>
  <si>
    <t>Type de Mousse</t>
  </si>
  <si>
    <t>Mousse au Carré</t>
  </si>
  <si>
    <t>Mousse au Carré 30 mm</t>
  </si>
  <si>
    <t>PU 20 mm</t>
  </si>
  <si>
    <t>Agrafage au 38 mm intérieur</t>
  </si>
  <si>
    <t>Formats des panneaux</t>
  </si>
  <si>
    <t xml:space="preserve">Coupe </t>
  </si>
  <si>
    <t>Dimensions des panneaux</t>
  </si>
  <si>
    <t>M² + Perte</t>
  </si>
  <si>
    <t>Prix M² Matière</t>
  </si>
  <si>
    <t>Prix Matière</t>
  </si>
  <si>
    <t>Min MO</t>
  </si>
  <si>
    <t>Prix MO</t>
  </si>
  <si>
    <t>Frais Généraux</t>
  </si>
  <si>
    <t>Total Revient</t>
  </si>
  <si>
    <t>Total Prix de Vente</t>
  </si>
  <si>
    <t>Oui / Non</t>
  </si>
  <si>
    <t xml:space="preserve">Largeur </t>
  </si>
  <si>
    <t>Bois Massif</t>
  </si>
  <si>
    <t>Longueur de Planche</t>
  </si>
  <si>
    <t>Type de Massif</t>
  </si>
  <si>
    <t>Longueur des Bois</t>
  </si>
  <si>
    <t>Formats des Mousses</t>
  </si>
  <si>
    <t>Carton et Macrolon</t>
  </si>
  <si>
    <t>Formats des Plaques</t>
  </si>
  <si>
    <t>Type de Plaques</t>
  </si>
  <si>
    <t>Autre</t>
  </si>
  <si>
    <t>Longueur de Rouleau</t>
  </si>
  <si>
    <t>Type de Rouleau</t>
  </si>
  <si>
    <t>Rouleau de 15 mm x 10 ML</t>
  </si>
  <si>
    <t>Joint 15 mm</t>
  </si>
  <si>
    <t>Rouleau de 19 mm x 10 ML</t>
  </si>
  <si>
    <t>Joint 19 mm</t>
  </si>
  <si>
    <t>Rouleau de 30 mm x 10 ML</t>
  </si>
  <si>
    <t>Joint 30 mm</t>
  </si>
  <si>
    <t>Rouleau de 1048 x 50 ML</t>
  </si>
  <si>
    <t>Tyvek 1000 mm</t>
  </si>
  <si>
    <t>Rouleau de 1524 x 50 ML</t>
  </si>
  <si>
    <t>Tyvek 1500 mm</t>
  </si>
  <si>
    <t>Rouleau de 2000 x 50 ML</t>
  </si>
  <si>
    <t>Tyvek 2000 mm</t>
  </si>
  <si>
    <t>Rouleau de 3000 x 50 ML</t>
  </si>
  <si>
    <t>Tyvek 3000 mm</t>
  </si>
  <si>
    <t>Barres 19 mm</t>
  </si>
  <si>
    <t>4500 x 100 x 19 mm</t>
  </si>
  <si>
    <t>Barres 21 R4F 145 mm</t>
  </si>
  <si>
    <t>4500 x 145 x 21 mm</t>
  </si>
  <si>
    <t>Barres 21 R4F 70 mm</t>
  </si>
  <si>
    <t>4500 x 70 x 21 mm</t>
  </si>
  <si>
    <t>Barres 21 R4F 95 mm</t>
  </si>
  <si>
    <t>4500 x 95 x 21 mm</t>
  </si>
  <si>
    <t>4500 x 100 x 50 mm</t>
  </si>
  <si>
    <t>Donuts Orange</t>
  </si>
  <si>
    <t>Semelles 63 mm</t>
  </si>
  <si>
    <t>4500 x 100 x 63 mm</t>
  </si>
  <si>
    <t>Semelles R4F 70 mm</t>
  </si>
  <si>
    <t>4500 x 100 x 70 mm</t>
  </si>
  <si>
    <t>Exotique 10 mm</t>
  </si>
  <si>
    <t>3100 x 1530 x 10 mm</t>
  </si>
  <si>
    <t>Exotique 15 mm</t>
  </si>
  <si>
    <t>3100 x 1530 x 15 mm</t>
  </si>
  <si>
    <t>Peuplier 18 mm</t>
  </si>
  <si>
    <t>3100 x 1530 x 18 mm</t>
  </si>
  <si>
    <t>3100 x 1530 x 22 mm</t>
  </si>
  <si>
    <t>3100 x 1530 x 30 mm</t>
  </si>
  <si>
    <t xml:space="preserve">Carton </t>
  </si>
  <si>
    <t>3000 x 2100 x 8 mm</t>
  </si>
  <si>
    <t>3000 x 2100 x 14 mm</t>
  </si>
  <si>
    <t>Macrolon 10 mm</t>
  </si>
  <si>
    <t>7000 x 2100 x 10 mm</t>
  </si>
  <si>
    <t>15 mm x 10 ML</t>
  </si>
  <si>
    <t>19 mm x 10 ML</t>
  </si>
  <si>
    <t>30 mm x 10 ML</t>
  </si>
  <si>
    <t>Rouleau 1048 x 50 ML</t>
  </si>
  <si>
    <t>Rouleau 1524 x 50 ML</t>
  </si>
  <si>
    <t>Rouleau 2000 x 50 ML</t>
  </si>
  <si>
    <t>Rouleau 3000 x 50 ML</t>
  </si>
  <si>
    <t>2100 x 1450 x 30 mm</t>
  </si>
  <si>
    <t>2100 x 1450 x 50 mm</t>
  </si>
  <si>
    <t>2750 x 1200 x 50 mm</t>
  </si>
  <si>
    <t xml:space="preserve">Ethafoam E900 50 mm </t>
  </si>
  <si>
    <t>2750 x 600 x 50 mm</t>
  </si>
  <si>
    <t>Plastazote 10 mm</t>
  </si>
  <si>
    <t>2000 x 1000 x 10 mm</t>
  </si>
  <si>
    <t>Plastazote 20 mm</t>
  </si>
  <si>
    <t>2000 x 1000 x 20 mm</t>
  </si>
  <si>
    <t>Plastazote 5 mm</t>
  </si>
  <si>
    <t>2000 x 1000 x 5 mm</t>
  </si>
  <si>
    <t>Plastazote 50 mm</t>
  </si>
  <si>
    <t>2000 x 1000 x 50 mm</t>
  </si>
  <si>
    <t>PU 10 mm</t>
  </si>
  <si>
    <t>2030 x 1630 x 10 mm</t>
  </si>
  <si>
    <t>PU 15 mm</t>
  </si>
  <si>
    <t>2030 x 1630 x 15 mm</t>
  </si>
  <si>
    <t>2030 x 1630 x 20 mm</t>
  </si>
  <si>
    <t>PU 25 mm</t>
  </si>
  <si>
    <t>2030 x 1630 x 25 mm</t>
  </si>
  <si>
    <t>2030 x 1630 x 30 mm</t>
  </si>
  <si>
    <t>PU 35 mm</t>
  </si>
  <si>
    <t>2030 x 1630 x 35 mm</t>
  </si>
  <si>
    <t>PU 40 mm</t>
  </si>
  <si>
    <t>2030 x 1630 x 40 mm</t>
  </si>
  <si>
    <t>PU 45 mm</t>
  </si>
  <si>
    <t>2030 x 1630 x 45 mm</t>
  </si>
  <si>
    <t>2030 x 1630 x 50 mm</t>
  </si>
  <si>
    <t>Stratocell 10 mm</t>
  </si>
  <si>
    <t>2750 x 1200 x 10 mm</t>
  </si>
  <si>
    <t>2750 x 1200 x 20 mm</t>
  </si>
  <si>
    <t>2750 x 1200 x 30 mm</t>
  </si>
  <si>
    <t>2000 x 1200 x 30 mm</t>
  </si>
  <si>
    <t>Stratocell 40 mm</t>
  </si>
  <si>
    <t>2750 x 1200 x 40 mm</t>
  </si>
  <si>
    <t>2000 x 1200 x 50 mm</t>
  </si>
  <si>
    <t>2500 x 600 x 30 mm</t>
  </si>
  <si>
    <t>2500 x 600 x 50 mm</t>
  </si>
  <si>
    <t>Caisse Garde-Meuble</t>
  </si>
  <si>
    <t>Benjamin</t>
  </si>
  <si>
    <t>1 GC Ouvrant</t>
  </si>
  <si>
    <t>Cubage</t>
  </si>
  <si>
    <t>M3</t>
  </si>
  <si>
    <t>Matériaux</t>
  </si>
  <si>
    <t>Clous</t>
  </si>
  <si>
    <t>Vis</t>
  </si>
  <si>
    <t>Agraphes</t>
  </si>
  <si>
    <t>Colle</t>
  </si>
  <si>
    <t>Adhésif</t>
  </si>
  <si>
    <t>Total</t>
  </si>
  <si>
    <t>Marge 0%</t>
  </si>
  <si>
    <t>Co2</t>
  </si>
  <si>
    <t>Poids en kg</t>
  </si>
  <si>
    <t>Adhesif armé</t>
  </si>
  <si>
    <t>Adhesif Blanc</t>
  </si>
  <si>
    <t>Carton + mousse PU 20 mm</t>
  </si>
  <si>
    <t>Minute MO</t>
  </si>
  <si>
    <t>PU 5 mm</t>
  </si>
  <si>
    <t>Vernis teinté</t>
  </si>
  <si>
    <t>AGET</t>
  </si>
  <si>
    <t>#VALUE!</t>
  </si>
  <si>
    <t>Valsem Scotch Marron, Styrofoam Armé,                         Carton Scotch Marron, Joint 19 mm</t>
  </si>
  <si>
    <t>Lie de Vin 50% de R, 50% de V</t>
  </si>
  <si>
    <t>Fermeture par Platine M8 + Vis M8x50</t>
  </si>
  <si>
    <t>Fermeture par Vis Bois 4 x 70 + Cuvette Laiton</t>
  </si>
  <si>
    <t>ARCKX</t>
  </si>
  <si>
    <t>Vernis Teinté</t>
  </si>
  <si>
    <t>BOVIS</t>
  </si>
  <si>
    <t>Valsem Scotch Blanc, Styrofoam Armé,                         Carton Scotch Marron, Joint 30 mm</t>
  </si>
  <si>
    <t>Vert Bovis</t>
  </si>
  <si>
    <t>CHENUE</t>
  </si>
  <si>
    <t>Bleu Chenue</t>
  </si>
  <si>
    <t>Fermeture par Vis Torx 4 x 70 + Cuvette Laiton</t>
  </si>
  <si>
    <t>Bleu Nuit</t>
  </si>
  <si>
    <t>GROPIRON</t>
  </si>
  <si>
    <t>Jaune</t>
  </si>
  <si>
    <t>HIZKIA</t>
  </si>
  <si>
    <t>Valsem Scotch Vert Raja, Styrofoam Armé,                         Carton Scotch Vert Raja, Joint 19 mm</t>
  </si>
  <si>
    <t>Vert Fluo</t>
  </si>
  <si>
    <t>PARTNER</t>
  </si>
  <si>
    <t>Vert Partner</t>
  </si>
  <si>
    <t>SENDSIO</t>
  </si>
  <si>
    <t>Orange</t>
  </si>
  <si>
    <t>Vincent BIDAN</t>
  </si>
  <si>
    <t>#REF!</t>
  </si>
  <si>
    <t>greg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</si>
</sst>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8" formatCode="#,##0.00\ &quot;€&quot;;[Red]\-#,##0.00\ &quot;€&quot;"/>
    <numFmt numFmtId="164" formatCode="#,##0.00\ [$min.-42C]"/>
    <numFmt numFmtId="165" formatCode="#,##0.00\ [$Kg.-42C]"/>
    <numFmt numFmtId="166" formatCode="dd/mm/yy"/>
    <numFmt numFmtId="167" formatCode="0.0"/>
    <numFmt numFmtId="168" formatCode="_-* #,##0.00\ &quot;€&quot;_-;\-* #,##0.00\ &quot;€&quot;_-;_-* &quot;-&quot;??\ &quot;€&quot;_-;_-@"/>
    <numFmt numFmtId="169" formatCode="#,##0_ ;\-#,##0\ "/>
    <numFmt numFmtId="170" formatCode="0.000"/>
    <numFmt numFmtId="171" formatCode="_-* #,##0.00\ _€_-;\-* #,##0.00\ _€_-;_-* &quot;-&quot;??\ _€_-;_-@"/>
    <numFmt numFmtId="172" formatCode="_-* #,##0.00\ [$€-40C]_-;\-* #,##0.00\ [$€-40C]_-;_-* &quot;-&quot;??\ [$€-40C]_-;_-@"/>
    <numFmt numFmtId="173" formatCode="#,##0.00_ ;\-#,##0.00\ "/>
    <numFmt numFmtId="174" formatCode="#,##0.00\ [$man.-42C]"/>
    <numFmt numFmtId="175" formatCode="#,##0.00\ [$KAF];\-#,##0.00\ [$KAF]"/>
    <numFmt numFmtId="176" formatCode="_-* #,##0.00\ [$KAF]_-;\-* #,##0.00\ [$KAF]_-;_-* &quot;-&quot;??\ [$KAF]_-;_-@"/>
    <numFmt numFmtId="177" formatCode="d/m/yyyy"/>
    <numFmt numFmtId="178" formatCode="#,##0.00\ &quot;€&quot;"/>
    <numFmt numFmtId="179" formatCode="#,##0.00\ [$M².-42C]"/>
  </numFmts>
  <fonts count="34" x14ac:knownFonts="1">
    <font>
      <sz val="11"/>
      <color theme="1"/>
      <name val="Calibri"/>
      <scheme val="minor"/>
    </font>
    <font>
      <b/>
      <sz val="16"/>
      <color theme="1"/>
      <name val="Calibri"/>
      <family val="2"/>
    </font>
    <font>
      <sz val="11"/>
      <name val="Calibri"/>
      <family val="2"/>
    </font>
    <font>
      <sz val="14"/>
      <color theme="1"/>
      <name val="Calibri"/>
      <family val="2"/>
    </font>
    <font>
      <b/>
      <sz val="14"/>
      <color theme="1"/>
      <name val="Calibri"/>
      <family val="2"/>
    </font>
    <font>
      <b/>
      <sz val="36"/>
      <color theme="1"/>
      <name val="Calibri"/>
      <family val="2"/>
    </font>
    <font>
      <b/>
      <sz val="14"/>
      <color rgb="FFFF0000"/>
      <name val="Calibri"/>
      <family val="2"/>
    </font>
    <font>
      <sz val="14"/>
      <color rgb="FFFF0000"/>
      <name val="Calibri"/>
      <family val="2"/>
    </font>
    <font>
      <b/>
      <sz val="12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</font>
    <font>
      <b/>
      <sz val="20"/>
      <color rgb="FFFF0000"/>
      <name val="Calibri"/>
      <family val="2"/>
    </font>
    <font>
      <sz val="11"/>
      <color rgb="FFFF0000"/>
      <name val="Calibri"/>
      <family val="2"/>
    </font>
    <font>
      <b/>
      <sz val="18"/>
      <color rgb="FFFF0000"/>
      <name val="Calibri"/>
      <family val="2"/>
    </font>
    <font>
      <b/>
      <sz val="16"/>
      <color rgb="FFFF0000"/>
      <name val="Calibri"/>
      <family val="2"/>
    </font>
    <font>
      <sz val="10"/>
      <color theme="1"/>
      <name val="Calibri"/>
      <family val="2"/>
    </font>
    <font>
      <b/>
      <sz val="11"/>
      <color theme="1"/>
      <name val="Calibri"/>
      <family val="2"/>
    </font>
    <font>
      <sz val="12"/>
      <color theme="1"/>
      <name val="Calibri"/>
      <family val="2"/>
    </font>
    <font>
      <b/>
      <sz val="14"/>
      <color rgb="FFC00000"/>
      <name val="Calibri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1"/>
      <color rgb="FFFF0000"/>
      <name val="Arial"/>
      <family val="2"/>
    </font>
    <font>
      <sz val="12"/>
      <color rgb="FFFF0000"/>
      <name val="Calibri"/>
      <family val="2"/>
    </font>
    <font>
      <b/>
      <sz val="18"/>
      <color theme="1"/>
      <name val="Calibri"/>
      <family val="2"/>
    </font>
    <font>
      <b/>
      <sz val="48"/>
      <color theme="1"/>
      <name val="Calibri"/>
      <family val="2"/>
    </font>
    <font>
      <sz val="14"/>
      <color rgb="FFB8CCE4"/>
      <name val="Calibri"/>
      <family val="2"/>
    </font>
    <font>
      <b/>
      <sz val="14"/>
      <color rgb="FFB8CCE4"/>
      <name val="Calibri"/>
      <family val="2"/>
    </font>
    <font>
      <sz val="14"/>
      <color rgb="FF0070C0"/>
      <name val="Calibri"/>
      <family val="2"/>
    </font>
    <font>
      <sz val="14"/>
      <color theme="1"/>
      <name val="Libre Baskerville"/>
    </font>
    <font>
      <b/>
      <sz val="12"/>
      <color rgb="FFFF0000"/>
      <name val="Calibri"/>
      <family val="2"/>
    </font>
    <font>
      <b/>
      <sz val="12"/>
      <color rgb="FF7030A0"/>
      <name val="Calibri"/>
      <family val="2"/>
    </font>
    <font>
      <b/>
      <sz val="12"/>
      <color rgb="FF00B050"/>
      <name val="Calibri"/>
      <family val="2"/>
    </font>
    <font>
      <b/>
      <sz val="11"/>
      <color rgb="FF00B050"/>
      <name val="Calibri"/>
      <family val="2"/>
    </font>
  </fonts>
  <fills count="17">
    <fill>
      <patternFill patternType="none"/>
    </fill>
    <fill>
      <patternFill patternType="gray125"/>
    </fill>
    <fill>
      <patternFill patternType="solid">
        <fgColor rgb="FFDAEEF3"/>
        <bgColor rgb="FFDAEEF3"/>
      </patternFill>
    </fill>
    <fill>
      <patternFill patternType="solid">
        <fgColor theme="0"/>
        <bgColor theme="0"/>
      </patternFill>
    </fill>
    <fill>
      <patternFill patternType="solid">
        <fgColor rgb="FFF2F2F2"/>
        <bgColor rgb="FFF2F2F2"/>
      </patternFill>
    </fill>
    <fill>
      <patternFill patternType="solid">
        <fgColor rgb="FFEEECE1"/>
        <bgColor rgb="FFEEECE1"/>
      </patternFill>
    </fill>
    <fill>
      <patternFill patternType="solid">
        <fgColor rgb="FFF2DBDB"/>
        <bgColor rgb="FFF2DBDB"/>
      </patternFill>
    </fill>
    <fill>
      <patternFill patternType="solid">
        <fgColor rgb="FFEAF1DD"/>
        <bgColor rgb="FFEAF1DD"/>
      </patternFill>
    </fill>
    <fill>
      <patternFill patternType="solid">
        <fgColor rgb="FF95B3D7"/>
        <bgColor rgb="FF95B3D7"/>
      </patternFill>
    </fill>
    <fill>
      <patternFill patternType="solid">
        <fgColor rgb="FFCCC0D9"/>
        <bgColor rgb="FFCCC0D9"/>
      </patternFill>
    </fill>
    <fill>
      <patternFill patternType="solid">
        <fgColor rgb="FF8DB3E2"/>
        <bgColor rgb="FF8DB3E2"/>
      </patternFill>
    </fill>
    <fill>
      <patternFill patternType="solid">
        <fgColor rgb="FF92D050"/>
        <bgColor rgb="FF92D050"/>
      </patternFill>
    </fill>
    <fill>
      <patternFill patternType="solid">
        <fgColor rgb="FFFFFF00"/>
        <bgColor rgb="FFFFFF00"/>
      </patternFill>
    </fill>
    <fill>
      <patternFill patternType="solid">
        <fgColor rgb="FFFDE9D9"/>
        <bgColor rgb="FFFDE9D9"/>
      </patternFill>
    </fill>
    <fill>
      <patternFill patternType="solid">
        <fgColor rgb="FFDDD9C3"/>
        <bgColor rgb="FFDDD9C3"/>
      </patternFill>
    </fill>
    <fill>
      <patternFill patternType="solid">
        <fgColor rgb="FFB8CCE4"/>
        <bgColor rgb="FFB8CCE4"/>
      </patternFill>
    </fill>
    <fill>
      <patternFill patternType="solid">
        <fgColor rgb="FFD6E3BC"/>
        <bgColor rgb="FFD6E3BC"/>
      </patternFill>
    </fill>
  </fills>
  <borders count="121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222">
    <xf numFmtId="0" fontId="0" fillId="0" borderId="0" xfId="0"/>
    <xf numFmtId="0" fontId="1" fillId="2" borderId="4" xfId="0" applyFont="1" applyFill="1" applyBorder="1" applyAlignment="1">
      <alignment horizontal="center" vertical="center" wrapText="1"/>
    </xf>
    <xf numFmtId="0" fontId="3" fillId="2" borderId="4" xfId="0" applyFont="1" applyFill="1" applyBorder="1"/>
    <xf numFmtId="164" fontId="3" fillId="2" borderId="4" xfId="0" applyNumberFormat="1" applyFont="1" applyFill="1" applyBorder="1"/>
    <xf numFmtId="165" fontId="3" fillId="2" borderId="4" xfId="0" applyNumberFormat="1" applyFont="1" applyFill="1" applyBorder="1"/>
    <xf numFmtId="0" fontId="3" fillId="2" borderId="4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/>
    </xf>
    <xf numFmtId="0" fontId="4" fillId="2" borderId="9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4" fillId="2" borderId="10" xfId="0" applyFont="1" applyFill="1" applyBorder="1" applyAlignment="1">
      <alignment horizontal="center" vertical="center"/>
    </xf>
    <xf numFmtId="1" fontId="3" fillId="2" borderId="11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left"/>
    </xf>
    <xf numFmtId="0" fontId="3" fillId="2" borderId="10" xfId="0" applyFont="1" applyFill="1" applyBorder="1" applyAlignment="1">
      <alignment horizontal="right"/>
    </xf>
    <xf numFmtId="0" fontId="3" fillId="2" borderId="12" xfId="0" applyFont="1" applyFill="1" applyBorder="1" applyAlignment="1">
      <alignment horizontal="right"/>
    </xf>
    <xf numFmtId="0" fontId="3" fillId="2" borderId="13" xfId="0" applyFont="1" applyFill="1" applyBorder="1"/>
    <xf numFmtId="1" fontId="3" fillId="2" borderId="1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right"/>
    </xf>
    <xf numFmtId="1" fontId="3" fillId="2" borderId="4" xfId="0" applyNumberFormat="1" applyFont="1" applyFill="1" applyBorder="1"/>
    <xf numFmtId="0" fontId="4" fillId="2" borderId="4" xfId="0" applyFont="1" applyFill="1" applyBorder="1"/>
    <xf numFmtId="0" fontId="4" fillId="3" borderId="8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9" fontId="3" fillId="3" borderId="8" xfId="0" applyNumberFormat="1" applyFont="1" applyFill="1" applyBorder="1" applyAlignment="1">
      <alignment horizontal="center"/>
    </xf>
    <xf numFmtId="0" fontId="3" fillId="3" borderId="8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16" fontId="3" fillId="3" borderId="8" xfId="0" applyNumberFormat="1" applyFont="1" applyFill="1" applyBorder="1" applyAlignment="1">
      <alignment horizontal="center" vertical="center"/>
    </xf>
    <xf numFmtId="0" fontId="1" fillId="2" borderId="4" xfId="0" applyFont="1" applyFill="1" applyBorder="1"/>
    <xf numFmtId="0" fontId="4" fillId="2" borderId="4" xfId="0" applyFont="1" applyFill="1" applyBorder="1" applyAlignment="1">
      <alignment horizontal="left" vertical="center"/>
    </xf>
    <xf numFmtId="0" fontId="4" fillId="2" borderId="20" xfId="0" applyFont="1" applyFill="1" applyBorder="1" applyAlignment="1">
      <alignment horizontal="center" vertical="center" wrapText="1"/>
    </xf>
    <xf numFmtId="0" fontId="3" fillId="3" borderId="8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left" vertical="top"/>
    </xf>
    <xf numFmtId="0" fontId="5" fillId="2" borderId="4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/>
    </xf>
    <xf numFmtId="0" fontId="5" fillId="2" borderId="4" xfId="0" applyFont="1" applyFill="1" applyBorder="1"/>
    <xf numFmtId="0" fontId="3" fillId="2" borderId="22" xfId="0" applyFont="1" applyFill="1" applyBorder="1" applyAlignment="1">
      <alignment horizontal="center" vertical="center"/>
    </xf>
    <xf numFmtId="0" fontId="6" fillId="3" borderId="22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wrapText="1"/>
    </xf>
    <xf numFmtId="166" fontId="3" fillId="2" borderId="4" xfId="0" applyNumberFormat="1" applyFont="1" applyFill="1" applyBorder="1"/>
    <xf numFmtId="0" fontId="4" fillId="2" borderId="8" xfId="0" applyFont="1" applyFill="1" applyBorder="1" applyAlignment="1">
      <alignment horizontal="center" vertical="center"/>
    </xf>
    <xf numFmtId="0" fontId="6" fillId="3" borderId="8" xfId="0" applyFont="1" applyFill="1" applyBorder="1"/>
    <xf numFmtId="0" fontId="3" fillId="2" borderId="27" xfId="0" applyFont="1" applyFill="1" applyBorder="1"/>
    <xf numFmtId="0" fontId="3" fillId="2" borderId="28" xfId="0" applyFont="1" applyFill="1" applyBorder="1"/>
    <xf numFmtId="0" fontId="3" fillId="2" borderId="29" xfId="0" applyFont="1" applyFill="1" applyBorder="1"/>
    <xf numFmtId="167" fontId="3" fillId="2" borderId="4" xfId="0" applyNumberFormat="1" applyFont="1" applyFill="1" applyBorder="1"/>
    <xf numFmtId="0" fontId="4" fillId="2" borderId="22" xfId="0" applyFont="1" applyFill="1" applyBorder="1"/>
    <xf numFmtId="0" fontId="3" fillId="2" borderId="22" xfId="0" applyFont="1" applyFill="1" applyBorder="1"/>
    <xf numFmtId="0" fontId="6" fillId="3" borderId="22" xfId="0" applyFont="1" applyFill="1" applyBorder="1"/>
    <xf numFmtId="0" fontId="6" fillId="2" borderId="22" xfId="0" applyFont="1" applyFill="1" applyBorder="1" applyAlignment="1">
      <alignment horizontal="center" vertical="center"/>
    </xf>
    <xf numFmtId="0" fontId="7" fillId="3" borderId="22" xfId="0" applyFont="1" applyFill="1" applyBorder="1" applyAlignment="1">
      <alignment horizontal="center" vertical="center"/>
    </xf>
    <xf numFmtId="0" fontId="4" fillId="2" borderId="30" xfId="0" applyFont="1" applyFill="1" applyBorder="1"/>
    <xf numFmtId="0" fontId="4" fillId="2" borderId="31" xfId="0" applyFont="1" applyFill="1" applyBorder="1"/>
    <xf numFmtId="0" fontId="4" fillId="2" borderId="9" xfId="0" applyFont="1" applyFill="1" applyBorder="1"/>
    <xf numFmtId="0" fontId="4" fillId="2" borderId="32" xfId="0" applyFont="1" applyFill="1" applyBorder="1" applyAlignment="1">
      <alignment horizontal="center" vertical="center"/>
    </xf>
    <xf numFmtId="0" fontId="4" fillId="2" borderId="33" xfId="0" applyFont="1" applyFill="1" applyBorder="1" applyAlignment="1">
      <alignment horizontal="center" vertical="center"/>
    </xf>
    <xf numFmtId="167" fontId="4" fillId="2" borderId="31" xfId="0" applyNumberFormat="1" applyFont="1" applyFill="1" applyBorder="1"/>
    <xf numFmtId="167" fontId="4" fillId="2" borderId="9" xfId="0" applyNumberFormat="1" applyFont="1" applyFill="1" applyBorder="1"/>
    <xf numFmtId="168" fontId="4" fillId="2" borderId="34" xfId="0" applyNumberFormat="1" applyFont="1" applyFill="1" applyBorder="1" applyAlignment="1">
      <alignment horizontal="center" vertical="center"/>
    </xf>
    <xf numFmtId="168" fontId="4" fillId="2" borderId="4" xfId="0" applyNumberFormat="1" applyFont="1" applyFill="1" applyBorder="1" applyAlignment="1">
      <alignment horizontal="center"/>
    </xf>
    <xf numFmtId="169" fontId="4" fillId="2" borderId="4" xfId="0" applyNumberFormat="1" applyFont="1" applyFill="1" applyBorder="1" applyAlignment="1">
      <alignment horizontal="right"/>
    </xf>
    <xf numFmtId="0" fontId="4" fillId="2" borderId="4" xfId="0" applyFont="1" applyFill="1" applyBorder="1" applyAlignment="1">
      <alignment horizontal="left"/>
    </xf>
    <xf numFmtId="2" fontId="4" fillId="2" borderId="4" xfId="0" applyNumberFormat="1" applyFont="1" applyFill="1" applyBorder="1"/>
    <xf numFmtId="168" fontId="4" fillId="2" borderId="4" xfId="0" applyNumberFormat="1" applyFont="1" applyFill="1" applyBorder="1" applyAlignment="1">
      <alignment horizontal="center" vertical="center"/>
    </xf>
    <xf numFmtId="0" fontId="4" fillId="2" borderId="35" xfId="0" applyFont="1" applyFill="1" applyBorder="1"/>
    <xf numFmtId="167" fontId="4" fillId="2" borderId="20" xfId="0" applyNumberFormat="1" applyFont="1" applyFill="1" applyBorder="1"/>
    <xf numFmtId="0" fontId="4" fillId="2" borderId="36" xfId="0" applyFont="1" applyFill="1" applyBorder="1"/>
    <xf numFmtId="0" fontId="4" fillId="4" borderId="32" xfId="0" applyFont="1" applyFill="1" applyBorder="1" applyAlignment="1">
      <alignment horizontal="center" vertical="center"/>
    </xf>
    <xf numFmtId="0" fontId="4" fillId="2" borderId="12" xfId="0" applyFont="1" applyFill="1" applyBorder="1"/>
    <xf numFmtId="167" fontId="4" fillId="2" borderId="13" xfId="0" applyNumberFormat="1" applyFont="1" applyFill="1" applyBorder="1"/>
    <xf numFmtId="0" fontId="4" fillId="2" borderId="14" xfId="0" applyFont="1" applyFill="1" applyBorder="1"/>
    <xf numFmtId="165" fontId="4" fillId="4" borderId="34" xfId="0" applyNumberFormat="1" applyFont="1" applyFill="1" applyBorder="1" applyAlignment="1">
      <alignment horizontal="center" vertical="center"/>
    </xf>
    <xf numFmtId="0" fontId="8" fillId="2" borderId="4" xfId="0" applyFont="1" applyFill="1" applyBorder="1"/>
    <xf numFmtId="168" fontId="3" fillId="2" borderId="4" xfId="0" applyNumberFormat="1" applyFont="1" applyFill="1" applyBorder="1"/>
    <xf numFmtId="0" fontId="9" fillId="2" borderId="4" xfId="0" applyFont="1" applyFill="1" applyBorder="1" applyAlignment="1">
      <alignment horizontal="center" vertical="center"/>
    </xf>
    <xf numFmtId="0" fontId="8" fillId="3" borderId="35" xfId="0" applyFont="1" applyFill="1" applyBorder="1"/>
    <xf numFmtId="0" fontId="9" fillId="3" borderId="20" xfId="0" applyFont="1" applyFill="1" applyBorder="1" applyAlignment="1">
      <alignment wrapText="1"/>
    </xf>
    <xf numFmtId="0" fontId="9" fillId="3" borderId="36" xfId="0" applyFont="1" applyFill="1" applyBorder="1" applyAlignment="1">
      <alignment wrapText="1"/>
    </xf>
    <xf numFmtId="0" fontId="9" fillId="2" borderId="4" xfId="0" applyFont="1" applyFill="1" applyBorder="1"/>
    <xf numFmtId="164" fontId="9" fillId="2" borderId="4" xfId="0" applyNumberFormat="1" applyFont="1" applyFill="1" applyBorder="1"/>
    <xf numFmtId="0" fontId="9" fillId="3" borderId="10" xfId="0" applyFont="1" applyFill="1" applyBorder="1" applyAlignment="1">
      <alignment wrapText="1"/>
    </xf>
    <xf numFmtId="0" fontId="9" fillId="3" borderId="4" xfId="0" applyFont="1" applyFill="1" applyBorder="1" applyAlignment="1">
      <alignment wrapText="1"/>
    </xf>
    <xf numFmtId="0" fontId="9" fillId="3" borderId="11" xfId="0" applyFont="1" applyFill="1" applyBorder="1" applyAlignment="1">
      <alignment wrapText="1"/>
    </xf>
    <xf numFmtId="0" fontId="9" fillId="3" borderId="12" xfId="0" applyFont="1" applyFill="1" applyBorder="1" applyAlignment="1">
      <alignment wrapText="1"/>
    </xf>
    <xf numFmtId="0" fontId="9" fillId="3" borderId="13" xfId="0" applyFont="1" applyFill="1" applyBorder="1" applyAlignment="1">
      <alignment wrapText="1"/>
    </xf>
    <xf numFmtId="0" fontId="9" fillId="3" borderId="14" xfId="0" applyFont="1" applyFill="1" applyBorder="1" applyAlignment="1">
      <alignment wrapText="1"/>
    </xf>
    <xf numFmtId="2" fontId="4" fillId="2" borderId="4" xfId="0" applyNumberFormat="1" applyFont="1" applyFill="1" applyBorder="1" applyAlignment="1">
      <alignment horizontal="center" vertical="center"/>
    </xf>
    <xf numFmtId="2" fontId="3" fillId="2" borderId="22" xfId="0" applyNumberFormat="1" applyFont="1" applyFill="1" applyBorder="1" applyAlignment="1">
      <alignment horizontal="center" vertical="center"/>
    </xf>
    <xf numFmtId="2" fontId="3" fillId="2" borderId="37" xfId="0" applyNumberFormat="1" applyFont="1" applyFill="1" applyBorder="1"/>
    <xf numFmtId="2" fontId="3" fillId="2" borderId="22" xfId="0" applyNumberFormat="1" applyFont="1" applyFill="1" applyBorder="1"/>
    <xf numFmtId="1" fontId="3" fillId="2" borderId="22" xfId="0" applyNumberFormat="1" applyFont="1" applyFill="1" applyBorder="1"/>
    <xf numFmtId="2" fontId="3" fillId="2" borderId="4" xfId="0" applyNumberFormat="1" applyFont="1" applyFill="1" applyBorder="1"/>
    <xf numFmtId="170" fontId="3" fillId="2" borderId="4" xfId="0" applyNumberFormat="1" applyFont="1" applyFill="1" applyBorder="1" applyAlignment="1">
      <alignment horizontal="center"/>
    </xf>
    <xf numFmtId="0" fontId="3" fillId="2" borderId="22" xfId="0" applyFont="1" applyFill="1" applyBorder="1" applyAlignment="1">
      <alignment horizontal="center"/>
    </xf>
    <xf numFmtId="0" fontId="7" fillId="2" borderId="22" xfId="0" applyFont="1" applyFill="1" applyBorder="1"/>
    <xf numFmtId="0" fontId="3" fillId="2" borderId="28" xfId="0" applyFont="1" applyFill="1" applyBorder="1" applyAlignment="1">
      <alignment horizontal="center"/>
    </xf>
    <xf numFmtId="164" fontId="3" fillId="2" borderId="22" xfId="0" applyNumberFormat="1" applyFont="1" applyFill="1" applyBorder="1"/>
    <xf numFmtId="165" fontId="3" fillId="2" borderId="22" xfId="0" applyNumberFormat="1" applyFont="1" applyFill="1" applyBorder="1"/>
    <xf numFmtId="168" fontId="4" fillId="2" borderId="4" xfId="0" applyNumberFormat="1" applyFont="1" applyFill="1" applyBorder="1"/>
    <xf numFmtId="164" fontId="4" fillId="2" borderId="4" xfId="0" applyNumberFormat="1" applyFont="1" applyFill="1" applyBorder="1"/>
    <xf numFmtId="0" fontId="3" fillId="2" borderId="35" xfId="0" applyFont="1" applyFill="1" applyBorder="1"/>
    <xf numFmtId="168" fontId="3" fillId="2" borderId="20" xfId="0" applyNumberFormat="1" applyFont="1" applyFill="1" applyBorder="1"/>
    <xf numFmtId="0" fontId="3" fillId="2" borderId="36" xfId="0" applyFont="1" applyFill="1" applyBorder="1"/>
    <xf numFmtId="0" fontId="3" fillId="2" borderId="20" xfId="0" applyFont="1" applyFill="1" applyBorder="1" applyAlignment="1">
      <alignment horizontal="center"/>
    </xf>
    <xf numFmtId="171" fontId="3" fillId="2" borderId="20" xfId="0" applyNumberFormat="1" applyFont="1" applyFill="1" applyBorder="1" applyAlignment="1">
      <alignment horizontal="right"/>
    </xf>
    <xf numFmtId="172" fontId="3" fillId="2" borderId="36" xfId="0" applyNumberFormat="1" applyFont="1" applyFill="1" applyBorder="1"/>
    <xf numFmtId="9" fontId="3" fillId="2" borderId="4" xfId="0" applyNumberFormat="1" applyFont="1" applyFill="1" applyBorder="1"/>
    <xf numFmtId="0" fontId="3" fillId="2" borderId="10" xfId="0" applyFont="1" applyFill="1" applyBorder="1"/>
    <xf numFmtId="164" fontId="3" fillId="2" borderId="11" xfId="0" applyNumberFormat="1" applyFont="1" applyFill="1" applyBorder="1"/>
    <xf numFmtId="171" fontId="3" fillId="2" borderId="4" xfId="0" applyNumberFormat="1" applyFont="1" applyFill="1" applyBorder="1" applyAlignment="1">
      <alignment horizontal="right"/>
    </xf>
    <xf numFmtId="172" fontId="3" fillId="2" borderId="11" xfId="0" applyNumberFormat="1" applyFont="1" applyFill="1" applyBorder="1"/>
    <xf numFmtId="0" fontId="3" fillId="2" borderId="11" xfId="0" applyFont="1" applyFill="1" applyBorder="1"/>
    <xf numFmtId="168" fontId="4" fillId="2" borderId="11" xfId="0" applyNumberFormat="1" applyFont="1" applyFill="1" applyBorder="1"/>
    <xf numFmtId="9" fontId="3" fillId="2" borderId="10" xfId="0" applyNumberFormat="1" applyFont="1" applyFill="1" applyBorder="1"/>
    <xf numFmtId="9" fontId="3" fillId="0" borderId="8" xfId="0" applyNumberFormat="1" applyFont="1" applyBorder="1" applyAlignment="1">
      <alignment horizontal="center"/>
    </xf>
    <xf numFmtId="9" fontId="3" fillId="2" borderId="4" xfId="0" applyNumberFormat="1" applyFont="1" applyFill="1" applyBorder="1" applyAlignment="1">
      <alignment horizontal="center"/>
    </xf>
    <xf numFmtId="0" fontId="3" fillId="2" borderId="12" xfId="0" applyFont="1" applyFill="1" applyBorder="1"/>
    <xf numFmtId="168" fontId="6" fillId="2" borderId="13" xfId="0" applyNumberFormat="1" applyFont="1" applyFill="1" applyBorder="1"/>
    <xf numFmtId="168" fontId="3" fillId="2" borderId="14" xfId="0" applyNumberFormat="1" applyFont="1" applyFill="1" applyBorder="1"/>
    <xf numFmtId="168" fontId="3" fillId="2" borderId="13" xfId="0" applyNumberFormat="1" applyFont="1" applyFill="1" applyBorder="1" applyAlignment="1">
      <alignment horizontal="center"/>
    </xf>
    <xf numFmtId="172" fontId="3" fillId="2" borderId="14" xfId="0" applyNumberFormat="1" applyFont="1" applyFill="1" applyBorder="1" applyAlignment="1">
      <alignment horizontal="center" vertical="center"/>
    </xf>
    <xf numFmtId="0" fontId="9" fillId="0" borderId="38" xfId="0" applyFont="1" applyBorder="1"/>
    <xf numFmtId="0" fontId="9" fillId="0" borderId="39" xfId="0" applyFont="1" applyBorder="1"/>
    <xf numFmtId="0" fontId="9" fillId="0" borderId="40" xfId="0" applyFont="1" applyBorder="1"/>
    <xf numFmtId="164" fontId="9" fillId="0" borderId="0" xfId="0" applyNumberFormat="1" applyFont="1"/>
    <xf numFmtId="165" fontId="9" fillId="0" borderId="0" xfId="0" applyNumberFormat="1" applyFont="1"/>
    <xf numFmtId="0" fontId="9" fillId="0" borderId="41" xfId="0" applyFont="1" applyBorder="1"/>
    <xf numFmtId="0" fontId="10" fillId="0" borderId="0" xfId="0" applyFont="1"/>
    <xf numFmtId="0" fontId="9" fillId="0" borderId="42" xfId="0" applyFont="1" applyBorder="1"/>
    <xf numFmtId="0" fontId="9" fillId="0" borderId="43" xfId="0" applyFont="1" applyBorder="1"/>
    <xf numFmtId="0" fontId="9" fillId="0" borderId="44" xfId="0" applyFont="1" applyBorder="1"/>
    <xf numFmtId="0" fontId="9" fillId="0" borderId="45" xfId="0" applyFont="1" applyBorder="1"/>
    <xf numFmtId="0" fontId="9" fillId="5" borderId="20" xfId="0" applyFont="1" applyFill="1" applyBorder="1"/>
    <xf numFmtId="0" fontId="9" fillId="6" borderId="20" xfId="0" applyFont="1" applyFill="1" applyBorder="1"/>
    <xf numFmtId="0" fontId="9" fillId="7" borderId="20" xfId="0" applyFont="1" applyFill="1" applyBorder="1"/>
    <xf numFmtId="164" fontId="9" fillId="7" borderId="20" xfId="0" applyNumberFormat="1" applyFont="1" applyFill="1" applyBorder="1"/>
    <xf numFmtId="165" fontId="9" fillId="6" borderId="36" xfId="0" applyNumberFormat="1" applyFont="1" applyFill="1" applyBorder="1"/>
    <xf numFmtId="0" fontId="9" fillId="0" borderId="41" xfId="0" applyFont="1" applyBorder="1" applyAlignment="1">
      <alignment wrapText="1"/>
    </xf>
    <xf numFmtId="0" fontId="9" fillId="0" borderId="0" xfId="0" applyFont="1" applyAlignment="1">
      <alignment wrapText="1"/>
    </xf>
    <xf numFmtId="0" fontId="9" fillId="5" borderId="4" xfId="0" applyFont="1" applyFill="1" applyBorder="1" applyAlignment="1">
      <alignment wrapText="1"/>
    </xf>
    <xf numFmtId="0" fontId="9" fillId="6" borderId="4" xfId="0" applyFont="1" applyFill="1" applyBorder="1" applyAlignment="1">
      <alignment wrapText="1"/>
    </xf>
    <xf numFmtId="0" fontId="9" fillId="7" borderId="4" xfId="0" applyFont="1" applyFill="1" applyBorder="1" applyAlignment="1">
      <alignment wrapText="1"/>
    </xf>
    <xf numFmtId="164" fontId="9" fillId="7" borderId="4" xfId="0" applyNumberFormat="1" applyFont="1" applyFill="1" applyBorder="1" applyAlignment="1">
      <alignment wrapText="1"/>
    </xf>
    <xf numFmtId="165" fontId="9" fillId="6" borderId="11" xfId="0" applyNumberFormat="1" applyFont="1" applyFill="1" applyBorder="1" applyAlignment="1">
      <alignment wrapText="1"/>
    </xf>
    <xf numFmtId="0" fontId="9" fillId="5" borderId="4" xfId="0" applyFont="1" applyFill="1" applyBorder="1"/>
    <xf numFmtId="0" fontId="9" fillId="6" borderId="4" xfId="0" applyFont="1" applyFill="1" applyBorder="1"/>
    <xf numFmtId="0" fontId="9" fillId="7" borderId="4" xfId="0" applyFont="1" applyFill="1" applyBorder="1"/>
    <xf numFmtId="164" fontId="9" fillId="7" borderId="4" xfId="0" applyNumberFormat="1" applyFont="1" applyFill="1" applyBorder="1"/>
    <xf numFmtId="165" fontId="9" fillId="6" borderId="11" xfId="0" applyNumberFormat="1" applyFont="1" applyFill="1" applyBorder="1"/>
    <xf numFmtId="4" fontId="9" fillId="7" borderId="4" xfId="0" applyNumberFormat="1" applyFont="1" applyFill="1" applyBorder="1"/>
    <xf numFmtId="4" fontId="9" fillId="6" borderId="11" xfId="0" applyNumberFormat="1" applyFont="1" applyFill="1" applyBorder="1"/>
    <xf numFmtId="0" fontId="9" fillId="5" borderId="13" xfId="0" applyFont="1" applyFill="1" applyBorder="1"/>
    <xf numFmtId="0" fontId="9" fillId="6" borderId="13" xfId="0" applyFont="1" applyFill="1" applyBorder="1"/>
    <xf numFmtId="0" fontId="9" fillId="7" borderId="13" xfId="0" applyFont="1" applyFill="1" applyBorder="1"/>
    <xf numFmtId="4" fontId="9" fillId="7" borderId="13" xfId="0" applyNumberFormat="1" applyFont="1" applyFill="1" applyBorder="1"/>
    <xf numFmtId="4" fontId="9" fillId="6" borderId="14" xfId="0" applyNumberFormat="1" applyFont="1" applyFill="1" applyBorder="1"/>
    <xf numFmtId="0" fontId="9" fillId="0" borderId="46" xfId="0" applyFont="1" applyBorder="1"/>
    <xf numFmtId="0" fontId="9" fillId="0" borderId="47" xfId="0" applyFont="1" applyBorder="1"/>
    <xf numFmtId="0" fontId="9" fillId="0" borderId="48" xfId="0" applyFont="1" applyBorder="1"/>
    <xf numFmtId="8" fontId="9" fillId="0" borderId="43" xfId="0" applyNumberFormat="1" applyFont="1" applyBorder="1"/>
    <xf numFmtId="0" fontId="9" fillId="3" borderId="32" xfId="0" applyFont="1" applyFill="1" applyBorder="1"/>
    <xf numFmtId="0" fontId="9" fillId="3" borderId="34" xfId="0" applyFont="1" applyFill="1" applyBorder="1"/>
    <xf numFmtId="0" fontId="3" fillId="3" borderId="32" xfId="0" applyFont="1" applyFill="1" applyBorder="1"/>
    <xf numFmtId="0" fontId="3" fillId="3" borderId="34" xfId="0" applyFont="1" applyFill="1" applyBorder="1"/>
    <xf numFmtId="0" fontId="9" fillId="3" borderId="35" xfId="0" applyFont="1" applyFill="1" applyBorder="1"/>
    <xf numFmtId="0" fontId="3" fillId="3" borderId="36" xfId="0" applyFont="1" applyFill="1" applyBorder="1"/>
    <xf numFmtId="0" fontId="9" fillId="3" borderId="10" xfId="0" applyFont="1" applyFill="1" applyBorder="1"/>
    <xf numFmtId="0" fontId="3" fillId="3" borderId="11" xfId="0" applyFont="1" applyFill="1" applyBorder="1"/>
    <xf numFmtId="0" fontId="9" fillId="3" borderId="12" xfId="0" applyFont="1" applyFill="1" applyBorder="1"/>
    <xf numFmtId="0" fontId="3" fillId="3" borderId="14" xfId="0" applyFont="1" applyFill="1" applyBorder="1"/>
    <xf numFmtId="0" fontId="4" fillId="2" borderId="9" xfId="0" applyFont="1" applyFill="1" applyBorder="1" applyAlignment="1">
      <alignment horizontal="center" vertical="center"/>
    </xf>
    <xf numFmtId="0" fontId="4" fillId="2" borderId="20" xfId="0" applyFont="1" applyFill="1" applyBorder="1" applyAlignment="1">
      <alignment vertical="center" wrapText="1"/>
    </xf>
    <xf numFmtId="0" fontId="1" fillId="2" borderId="51" xfId="0" applyFont="1" applyFill="1" applyBorder="1" applyAlignment="1">
      <alignment horizontal="center" vertical="center" wrapText="1"/>
    </xf>
    <xf numFmtId="0" fontId="3" fillId="2" borderId="52" xfId="0" applyFont="1" applyFill="1" applyBorder="1" applyAlignment="1">
      <alignment horizontal="center" vertical="center"/>
    </xf>
    <xf numFmtId="0" fontId="1" fillId="2" borderId="53" xfId="0" applyFont="1" applyFill="1" applyBorder="1" applyAlignment="1">
      <alignment horizontal="center" vertical="center" wrapText="1"/>
    </xf>
    <xf numFmtId="0" fontId="1" fillId="2" borderId="51" xfId="0" applyFont="1" applyFill="1" applyBorder="1" applyAlignment="1">
      <alignment horizontal="center" wrapText="1"/>
    </xf>
    <xf numFmtId="0" fontId="1" fillId="2" borderId="54" xfId="0" applyFont="1" applyFill="1" applyBorder="1" applyAlignment="1">
      <alignment wrapText="1"/>
    </xf>
    <xf numFmtId="0" fontId="3" fillId="2" borderId="55" xfId="0" applyFont="1" applyFill="1" applyBorder="1"/>
    <xf numFmtId="0" fontId="4" fillId="2" borderId="54" xfId="0" applyFont="1" applyFill="1" applyBorder="1"/>
    <xf numFmtId="0" fontId="3" fillId="0" borderId="22" xfId="0" applyFont="1" applyBorder="1"/>
    <xf numFmtId="0" fontId="3" fillId="2" borderId="54" xfId="0" applyFont="1" applyFill="1" applyBorder="1"/>
    <xf numFmtId="0" fontId="6" fillId="3" borderId="54" xfId="0" applyFont="1" applyFill="1" applyBorder="1"/>
    <xf numFmtId="0" fontId="6" fillId="2" borderId="4" xfId="0" applyFont="1" applyFill="1" applyBorder="1" applyAlignment="1">
      <alignment horizontal="center" vertical="center"/>
    </xf>
    <xf numFmtId="0" fontId="3" fillId="3" borderId="22" xfId="0" applyFont="1" applyFill="1" applyBorder="1" applyAlignment="1">
      <alignment horizontal="center" vertical="center"/>
    </xf>
    <xf numFmtId="0" fontId="4" fillId="2" borderId="56" xfId="0" applyFont="1" applyFill="1" applyBorder="1"/>
    <xf numFmtId="0" fontId="3" fillId="3" borderId="57" xfId="0" applyFont="1" applyFill="1" applyBorder="1" applyAlignment="1">
      <alignment horizontal="center" vertical="center"/>
    </xf>
    <xf numFmtId="0" fontId="3" fillId="2" borderId="58" xfId="0" applyFont="1" applyFill="1" applyBorder="1"/>
    <xf numFmtId="0" fontId="4" fillId="2" borderId="10" xfId="0" applyFont="1" applyFill="1" applyBorder="1"/>
    <xf numFmtId="0" fontId="4" fillId="2" borderId="10" xfId="0" applyFont="1" applyFill="1" applyBorder="1" applyAlignment="1">
      <alignment wrapText="1"/>
    </xf>
    <xf numFmtId="0" fontId="3" fillId="2" borderId="4" xfId="0" applyFont="1" applyFill="1" applyBorder="1" applyAlignment="1">
      <alignment wrapText="1"/>
    </xf>
    <xf numFmtId="0" fontId="4" fillId="2" borderId="30" xfId="0" applyFont="1" applyFill="1" applyBorder="1" applyAlignment="1">
      <alignment wrapText="1"/>
    </xf>
    <xf numFmtId="0" fontId="3" fillId="2" borderId="31" xfId="0" applyFont="1" applyFill="1" applyBorder="1" applyAlignment="1">
      <alignment wrapText="1"/>
    </xf>
    <xf numFmtId="0" fontId="3" fillId="2" borderId="9" xfId="0" applyFont="1" applyFill="1" applyBorder="1" applyAlignment="1">
      <alignment wrapText="1"/>
    </xf>
    <xf numFmtId="164" fontId="3" fillId="2" borderId="4" xfId="0" applyNumberFormat="1" applyFont="1" applyFill="1" applyBorder="1" applyAlignment="1">
      <alignment wrapText="1"/>
    </xf>
    <xf numFmtId="0" fontId="4" fillId="2" borderId="12" xfId="0" applyFont="1" applyFill="1" applyBorder="1" applyAlignment="1">
      <alignment horizontal="center" vertical="center" wrapText="1"/>
    </xf>
    <xf numFmtId="0" fontId="3" fillId="2" borderId="13" xfId="0" applyFont="1" applyFill="1" applyBorder="1" applyAlignment="1">
      <alignment wrapText="1"/>
    </xf>
    <xf numFmtId="0" fontId="4" fillId="2" borderId="22" xfId="0" applyFont="1" applyFill="1" applyBorder="1" applyAlignment="1">
      <alignment wrapText="1"/>
    </xf>
    <xf numFmtId="0" fontId="1" fillId="8" borderId="51" xfId="0" applyFont="1" applyFill="1" applyBorder="1" applyAlignment="1">
      <alignment horizontal="center" vertical="center" wrapText="1"/>
    </xf>
    <xf numFmtId="0" fontId="3" fillId="8" borderId="52" xfId="0" applyFont="1" applyFill="1" applyBorder="1" applyAlignment="1">
      <alignment horizontal="center" vertical="center"/>
    </xf>
    <xf numFmtId="0" fontId="1" fillId="8" borderId="53" xfId="0" applyFont="1" applyFill="1" applyBorder="1" applyAlignment="1">
      <alignment horizontal="center" vertical="center" wrapText="1"/>
    </xf>
    <xf numFmtId="0" fontId="3" fillId="8" borderId="20" xfId="0" applyFont="1" applyFill="1" applyBorder="1"/>
    <xf numFmtId="0" fontId="3" fillId="8" borderId="4" xfId="0" applyFont="1" applyFill="1" applyBorder="1"/>
    <xf numFmtId="164" fontId="3" fillId="8" borderId="4" xfId="0" applyNumberFormat="1" applyFont="1" applyFill="1" applyBorder="1"/>
    <xf numFmtId="0" fontId="1" fillId="8" borderId="54" xfId="0" applyFont="1" applyFill="1" applyBorder="1" applyAlignment="1">
      <alignment wrapText="1"/>
    </xf>
    <xf numFmtId="0" fontId="3" fillId="8" borderId="55" xfId="0" applyFont="1" applyFill="1" applyBorder="1"/>
    <xf numFmtId="0" fontId="6" fillId="0" borderId="22" xfId="0" applyFont="1" applyBorder="1" applyAlignment="1">
      <alignment horizontal="center" vertical="center"/>
    </xf>
    <xf numFmtId="0" fontId="4" fillId="8" borderId="54" xfId="0" applyFont="1" applyFill="1" applyBorder="1"/>
    <xf numFmtId="0" fontId="6" fillId="0" borderId="22" xfId="0" applyFont="1" applyBorder="1"/>
    <xf numFmtId="0" fontId="3" fillId="8" borderId="22" xfId="0" applyFont="1" applyFill="1" applyBorder="1" applyAlignment="1">
      <alignment horizontal="center" vertical="center"/>
    </xf>
    <xf numFmtId="0" fontId="3" fillId="3" borderId="22" xfId="0" applyFont="1" applyFill="1" applyBorder="1"/>
    <xf numFmtId="0" fontId="3" fillId="8" borderId="54" xfId="0" applyFont="1" applyFill="1" applyBorder="1"/>
    <xf numFmtId="0" fontId="3" fillId="8" borderId="22" xfId="0" applyFont="1" applyFill="1" applyBorder="1"/>
    <xf numFmtId="0" fontId="6" fillId="8" borderId="22" xfId="0" applyFont="1" applyFill="1" applyBorder="1" applyAlignment="1">
      <alignment horizontal="center" vertical="center"/>
    </xf>
    <xf numFmtId="0" fontId="6" fillId="8" borderId="4" xfId="0" applyFont="1" applyFill="1" applyBorder="1" applyAlignment="1">
      <alignment horizontal="center" vertical="center"/>
    </xf>
    <xf numFmtId="0" fontId="3" fillId="0" borderId="22" xfId="0" applyFont="1" applyBorder="1" applyAlignment="1">
      <alignment horizontal="center" vertical="center"/>
    </xf>
    <xf numFmtId="0" fontId="4" fillId="8" borderId="56" xfId="0" applyFont="1" applyFill="1" applyBorder="1"/>
    <xf numFmtId="0" fontId="3" fillId="0" borderId="57" xfId="0" applyFont="1" applyBorder="1" applyAlignment="1">
      <alignment horizontal="center" vertical="center"/>
    </xf>
    <xf numFmtId="0" fontId="3" fillId="8" borderId="58" xfId="0" applyFont="1" applyFill="1" applyBorder="1"/>
    <xf numFmtId="0" fontId="4" fillId="8" borderId="10" xfId="0" applyFont="1" applyFill="1" applyBorder="1"/>
    <xf numFmtId="0" fontId="3" fillId="8" borderId="11" xfId="0" applyFont="1" applyFill="1" applyBorder="1"/>
    <xf numFmtId="0" fontId="4" fillId="8" borderId="4" xfId="0" applyFont="1" applyFill="1" applyBorder="1"/>
    <xf numFmtId="0" fontId="4" fillId="8" borderId="22" xfId="0" applyFont="1" applyFill="1" applyBorder="1"/>
    <xf numFmtId="0" fontId="3" fillId="8" borderId="13" xfId="0" applyFont="1" applyFill="1" applyBorder="1"/>
    <xf numFmtId="0" fontId="1" fillId="9" borderId="51" xfId="0" applyFont="1" applyFill="1" applyBorder="1" applyAlignment="1">
      <alignment horizontal="center" vertical="center" wrapText="1"/>
    </xf>
    <xf numFmtId="0" fontId="3" fillId="9" borderId="52" xfId="0" applyFont="1" applyFill="1" applyBorder="1" applyAlignment="1">
      <alignment horizontal="center" vertical="center"/>
    </xf>
    <xf numFmtId="0" fontId="1" fillId="9" borderId="53" xfId="0" applyFont="1" applyFill="1" applyBorder="1" applyAlignment="1">
      <alignment horizontal="center" vertical="center" wrapText="1"/>
    </xf>
    <xf numFmtId="0" fontId="3" fillId="9" borderId="20" xfId="0" applyFont="1" applyFill="1" applyBorder="1"/>
    <xf numFmtId="0" fontId="1" fillId="9" borderId="51" xfId="0" applyFont="1" applyFill="1" applyBorder="1" applyAlignment="1">
      <alignment horizontal="center" wrapText="1"/>
    </xf>
    <xf numFmtId="0" fontId="3" fillId="9" borderId="4" xfId="0" applyFont="1" applyFill="1" applyBorder="1"/>
    <xf numFmtId="164" fontId="3" fillId="9" borderId="4" xfId="0" applyNumberFormat="1" applyFont="1" applyFill="1" applyBorder="1"/>
    <xf numFmtId="0" fontId="1" fillId="9" borderId="54" xfId="0" applyFont="1" applyFill="1" applyBorder="1" applyAlignment="1">
      <alignment wrapText="1"/>
    </xf>
    <xf numFmtId="0" fontId="3" fillId="9" borderId="55" xfId="0" applyFont="1" applyFill="1" applyBorder="1"/>
    <xf numFmtId="0" fontId="4" fillId="9" borderId="54" xfId="0" applyFont="1" applyFill="1" applyBorder="1"/>
    <xf numFmtId="0" fontId="3" fillId="9" borderId="22" xfId="0" applyFont="1" applyFill="1" applyBorder="1" applyAlignment="1">
      <alignment horizontal="center" vertical="center"/>
    </xf>
    <xf numFmtId="0" fontId="3" fillId="9" borderId="54" xfId="0" applyFont="1" applyFill="1" applyBorder="1"/>
    <xf numFmtId="0" fontId="3" fillId="9" borderId="22" xfId="0" applyFont="1" applyFill="1" applyBorder="1"/>
    <xf numFmtId="0" fontId="6" fillId="9" borderId="22" xfId="0" applyFont="1" applyFill="1" applyBorder="1" applyAlignment="1">
      <alignment horizontal="center" vertical="center"/>
    </xf>
    <xf numFmtId="0" fontId="6" fillId="9" borderId="4" xfId="0" applyFont="1" applyFill="1" applyBorder="1" applyAlignment="1">
      <alignment horizontal="center" vertical="center"/>
    </xf>
    <xf numFmtId="0" fontId="3" fillId="9" borderId="55" xfId="0" applyFont="1" applyFill="1" applyBorder="1" applyAlignment="1">
      <alignment horizontal="center" vertical="center"/>
    </xf>
    <xf numFmtId="0" fontId="4" fillId="9" borderId="56" xfId="0" applyFont="1" applyFill="1" applyBorder="1"/>
    <xf numFmtId="0" fontId="3" fillId="9" borderId="58" xfId="0" applyFont="1" applyFill="1" applyBorder="1" applyAlignment="1">
      <alignment horizontal="center" vertical="center"/>
    </xf>
    <xf numFmtId="0" fontId="4" fillId="9" borderId="10" xfId="0" applyFont="1" applyFill="1" applyBorder="1"/>
    <xf numFmtId="0" fontId="3" fillId="9" borderId="11" xfId="0" applyFont="1" applyFill="1" applyBorder="1"/>
    <xf numFmtId="0" fontId="4" fillId="9" borderId="4" xfId="0" applyFont="1" applyFill="1" applyBorder="1"/>
    <xf numFmtId="0" fontId="4" fillId="9" borderId="22" xfId="0" applyFont="1" applyFill="1" applyBorder="1"/>
    <xf numFmtId="0" fontId="3" fillId="9" borderId="13" xfId="0" applyFont="1" applyFill="1" applyBorder="1"/>
    <xf numFmtId="0" fontId="8" fillId="2" borderId="30" xfId="0" applyFont="1" applyFill="1" applyBorder="1"/>
    <xf numFmtId="2" fontId="4" fillId="2" borderId="31" xfId="0" applyNumberFormat="1" applyFont="1" applyFill="1" applyBorder="1"/>
    <xf numFmtId="0" fontId="13" fillId="3" borderId="20" xfId="0" applyFont="1" applyFill="1" applyBorder="1"/>
    <xf numFmtId="0" fontId="13" fillId="3" borderId="36" xfId="0" applyFont="1" applyFill="1" applyBorder="1"/>
    <xf numFmtId="0" fontId="13" fillId="3" borderId="10" xfId="0" applyFont="1" applyFill="1" applyBorder="1"/>
    <xf numFmtId="0" fontId="13" fillId="3" borderId="4" xfId="0" applyFont="1" applyFill="1" applyBorder="1"/>
    <xf numFmtId="0" fontId="13" fillId="3" borderId="11" xfId="0" applyFont="1" applyFill="1" applyBorder="1"/>
    <xf numFmtId="0" fontId="13" fillId="3" borderId="12" xfId="0" applyFont="1" applyFill="1" applyBorder="1"/>
    <xf numFmtId="0" fontId="13" fillId="3" borderId="13" xfId="0" applyFont="1" applyFill="1" applyBorder="1"/>
    <xf numFmtId="0" fontId="13" fillId="3" borderId="14" xfId="0" applyFont="1" applyFill="1" applyBorder="1"/>
    <xf numFmtId="170" fontId="3" fillId="2" borderId="4" xfId="0" applyNumberFormat="1" applyFont="1" applyFill="1" applyBorder="1"/>
    <xf numFmtId="4" fontId="3" fillId="2" borderId="22" xfId="0" applyNumberFormat="1" applyFont="1" applyFill="1" applyBorder="1"/>
    <xf numFmtId="2" fontId="3" fillId="2" borderId="4" xfId="0" applyNumberFormat="1" applyFont="1" applyFill="1" applyBorder="1" applyAlignment="1">
      <alignment horizontal="center" vertical="center"/>
    </xf>
    <xf numFmtId="0" fontId="4" fillId="2" borderId="51" xfId="0" applyFont="1" applyFill="1" applyBorder="1"/>
    <xf numFmtId="0" fontId="3" fillId="2" borderId="52" xfId="0" applyFont="1" applyFill="1" applyBorder="1"/>
    <xf numFmtId="2" fontId="3" fillId="2" borderId="52" xfId="0" applyNumberFormat="1" applyFont="1" applyFill="1" applyBorder="1" applyAlignment="1">
      <alignment horizontal="center" vertical="center"/>
    </xf>
    <xf numFmtId="0" fontId="3" fillId="2" borderId="53" xfId="0" applyFont="1" applyFill="1" applyBorder="1"/>
    <xf numFmtId="0" fontId="3" fillId="2" borderId="56" xfId="0" applyFont="1" applyFill="1" applyBorder="1"/>
    <xf numFmtId="0" fontId="3" fillId="2" borderId="57" xfId="0" applyFont="1" applyFill="1" applyBorder="1"/>
    <xf numFmtId="2" fontId="3" fillId="2" borderId="57" xfId="0" applyNumberFormat="1" applyFont="1" applyFill="1" applyBorder="1" applyAlignment="1">
      <alignment horizontal="center" vertical="center"/>
    </xf>
    <xf numFmtId="172" fontId="3" fillId="2" borderId="36" xfId="0" applyNumberFormat="1" applyFont="1" applyFill="1" applyBorder="1" applyAlignment="1">
      <alignment horizontal="right"/>
    </xf>
    <xf numFmtId="172" fontId="3" fillId="2" borderId="11" xfId="0" applyNumberFormat="1" applyFont="1" applyFill="1" applyBorder="1" applyAlignment="1">
      <alignment horizontal="right"/>
    </xf>
    <xf numFmtId="9" fontId="3" fillId="0" borderId="45" xfId="0" applyNumberFormat="1" applyFont="1" applyBorder="1" applyAlignment="1">
      <alignment horizontal="center"/>
    </xf>
    <xf numFmtId="172" fontId="3" fillId="2" borderId="14" xfId="0" applyNumberFormat="1" applyFont="1" applyFill="1" applyBorder="1"/>
    <xf numFmtId="0" fontId="3" fillId="0" borderId="0" xfId="0" applyFont="1"/>
    <xf numFmtId="0" fontId="4" fillId="2" borderId="20" xfId="0" applyFont="1" applyFill="1" applyBorder="1"/>
    <xf numFmtId="0" fontId="3" fillId="2" borderId="20" xfId="0" applyFont="1" applyFill="1" applyBorder="1"/>
    <xf numFmtId="0" fontId="3" fillId="2" borderId="14" xfId="0" applyFont="1" applyFill="1" applyBorder="1"/>
    <xf numFmtId="0" fontId="4" fillId="2" borderId="61" xfId="0" applyFont="1" applyFill="1" applyBorder="1"/>
    <xf numFmtId="0" fontId="3" fillId="2" borderId="62" xfId="0" applyFont="1" applyFill="1" applyBorder="1"/>
    <xf numFmtId="0" fontId="4" fillId="2" borderId="12" xfId="0" applyFont="1" applyFill="1" applyBorder="1" applyAlignment="1">
      <alignment horizontal="center" wrapText="1"/>
    </xf>
    <xf numFmtId="0" fontId="4" fillId="2" borderId="55" xfId="0" applyFont="1" applyFill="1" applyBorder="1"/>
    <xf numFmtId="0" fontId="3" fillId="0" borderId="57" xfId="0" applyFont="1" applyBorder="1"/>
    <xf numFmtId="0" fontId="4" fillId="8" borderId="12" xfId="0" applyFont="1" applyFill="1" applyBorder="1"/>
    <xf numFmtId="0" fontId="3" fillId="8" borderId="14" xfId="0" applyFont="1" applyFill="1" applyBorder="1"/>
    <xf numFmtId="0" fontId="4" fillId="8" borderId="61" xfId="0" applyFont="1" applyFill="1" applyBorder="1"/>
    <xf numFmtId="0" fontId="3" fillId="8" borderId="28" xfId="0" applyFont="1" applyFill="1" applyBorder="1"/>
    <xf numFmtId="0" fontId="3" fillId="8" borderId="62" xfId="0" applyFont="1" applyFill="1" applyBorder="1"/>
    <xf numFmtId="0" fontId="4" fillId="8" borderId="12" xfId="0" applyFont="1" applyFill="1" applyBorder="1" applyAlignment="1">
      <alignment horizontal="center" wrapText="1"/>
    </xf>
    <xf numFmtId="0" fontId="4" fillId="8" borderId="55" xfId="0" applyFont="1" applyFill="1" applyBorder="1"/>
    <xf numFmtId="0" fontId="3" fillId="8" borderId="12" xfId="0" applyFont="1" applyFill="1" applyBorder="1"/>
    <xf numFmtId="0" fontId="3" fillId="10" borderId="13" xfId="0" applyFont="1" applyFill="1" applyBorder="1"/>
    <xf numFmtId="0" fontId="3" fillId="9" borderId="58" xfId="0" applyFont="1" applyFill="1" applyBorder="1"/>
    <xf numFmtId="0" fontId="4" fillId="9" borderId="12" xfId="0" applyFont="1" applyFill="1" applyBorder="1"/>
    <xf numFmtId="0" fontId="3" fillId="9" borderId="14" xfId="0" applyFont="1" applyFill="1" applyBorder="1"/>
    <xf numFmtId="0" fontId="4" fillId="9" borderId="61" xfId="0" applyFont="1" applyFill="1" applyBorder="1"/>
    <xf numFmtId="0" fontId="3" fillId="9" borderId="28" xfId="0" applyFont="1" applyFill="1" applyBorder="1"/>
    <xf numFmtId="0" fontId="3" fillId="9" borderId="62" xfId="0" applyFont="1" applyFill="1" applyBorder="1"/>
    <xf numFmtId="0" fontId="4" fillId="9" borderId="12" xfId="0" applyFont="1" applyFill="1" applyBorder="1" applyAlignment="1">
      <alignment horizontal="center" wrapText="1"/>
    </xf>
    <xf numFmtId="0" fontId="4" fillId="9" borderId="55" xfId="0" applyFont="1" applyFill="1" applyBorder="1"/>
    <xf numFmtId="0" fontId="3" fillId="9" borderId="12" xfId="0" applyFont="1" applyFill="1" applyBorder="1"/>
    <xf numFmtId="0" fontId="9" fillId="3" borderId="20" xfId="0" applyFont="1" applyFill="1" applyBorder="1"/>
    <xf numFmtId="0" fontId="9" fillId="3" borderId="36" xfId="0" applyFont="1" applyFill="1" applyBorder="1"/>
    <xf numFmtId="0" fontId="9" fillId="3" borderId="4" xfId="0" applyFont="1" applyFill="1" applyBorder="1"/>
    <xf numFmtId="0" fontId="9" fillId="3" borderId="11" xfId="0" applyFont="1" applyFill="1" applyBorder="1"/>
    <xf numFmtId="0" fontId="14" fillId="3" borderId="10" xfId="0" applyFont="1" applyFill="1" applyBorder="1"/>
    <xf numFmtId="0" fontId="9" fillId="3" borderId="13" xfId="0" applyFont="1" applyFill="1" applyBorder="1"/>
    <xf numFmtId="0" fontId="9" fillId="3" borderId="14" xfId="0" applyFont="1" applyFill="1" applyBorder="1"/>
    <xf numFmtId="0" fontId="3" fillId="2" borderId="35" xfId="0" applyFont="1" applyFill="1" applyBorder="1" applyAlignment="1">
      <alignment horizontal="center"/>
    </xf>
    <xf numFmtId="168" fontId="3" fillId="2" borderId="36" xfId="0" applyNumberFormat="1" applyFont="1" applyFill="1" applyBorder="1" applyAlignment="1">
      <alignment horizontal="right"/>
    </xf>
    <xf numFmtId="0" fontId="3" fillId="2" borderId="10" xfId="0" applyFont="1" applyFill="1" applyBorder="1" applyAlignment="1">
      <alignment horizontal="center"/>
    </xf>
    <xf numFmtId="168" fontId="3" fillId="2" borderId="11" xfId="0" applyNumberFormat="1" applyFont="1" applyFill="1" applyBorder="1" applyAlignment="1">
      <alignment horizontal="right"/>
    </xf>
    <xf numFmtId="171" fontId="3" fillId="2" borderId="11" xfId="0" applyNumberFormat="1" applyFont="1" applyFill="1" applyBorder="1" applyAlignment="1">
      <alignment horizontal="right"/>
    </xf>
    <xf numFmtId="168" fontId="3" fillId="2" borderId="12" xfId="0" applyNumberFormat="1" applyFont="1" applyFill="1" applyBorder="1" applyAlignment="1">
      <alignment horizontal="center"/>
    </xf>
    <xf numFmtId="0" fontId="9" fillId="0" borderId="0" xfId="0" applyFont="1"/>
    <xf numFmtId="0" fontId="1" fillId="2" borderId="4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 vertical="center" wrapText="1"/>
    </xf>
    <xf numFmtId="0" fontId="3" fillId="2" borderId="53" xfId="0" applyFont="1" applyFill="1" applyBorder="1" applyAlignment="1">
      <alignment horizontal="center" vertical="center"/>
    </xf>
    <xf numFmtId="0" fontId="3" fillId="2" borderId="32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3" fillId="2" borderId="67" xfId="0" applyFont="1" applyFill="1" applyBorder="1"/>
    <xf numFmtId="0" fontId="15" fillId="0" borderId="56" xfId="0" applyFont="1" applyBorder="1" applyAlignment="1">
      <alignment wrapText="1"/>
    </xf>
    <xf numFmtId="0" fontId="6" fillId="3" borderId="57" xfId="0" applyFont="1" applyFill="1" applyBorder="1" applyAlignment="1">
      <alignment horizontal="center" vertical="center"/>
    </xf>
    <xf numFmtId="0" fontId="6" fillId="3" borderId="58" xfId="0" applyFont="1" applyFill="1" applyBorder="1" applyAlignment="1">
      <alignment horizontal="center" vertical="center"/>
    </xf>
    <xf numFmtId="0" fontId="16" fillId="0" borderId="68" xfId="0" applyFont="1" applyBorder="1"/>
    <xf numFmtId="168" fontId="3" fillId="2" borderId="69" xfId="0" applyNumberFormat="1" applyFont="1" applyFill="1" applyBorder="1"/>
    <xf numFmtId="173" fontId="3" fillId="2" borderId="4" xfId="0" applyNumberFormat="1" applyFont="1" applyFill="1" applyBorder="1"/>
    <xf numFmtId="0" fontId="3" fillId="2" borderId="32" xfId="0" applyFont="1" applyFill="1" applyBorder="1"/>
    <xf numFmtId="0" fontId="4" fillId="2" borderId="8" xfId="0" applyFont="1" applyFill="1" applyBorder="1"/>
    <xf numFmtId="173" fontId="4" fillId="2" borderId="31" xfId="0" applyNumberFormat="1" applyFont="1" applyFill="1" applyBorder="1"/>
    <xf numFmtId="173" fontId="4" fillId="2" borderId="9" xfId="0" applyNumberFormat="1" applyFont="1" applyFill="1" applyBorder="1"/>
    <xf numFmtId="0" fontId="3" fillId="2" borderId="51" xfId="0" applyFont="1" applyFill="1" applyBorder="1"/>
    <xf numFmtId="173" fontId="3" fillId="2" borderId="52" xfId="0" applyNumberFormat="1" applyFont="1" applyFill="1" applyBorder="1"/>
    <xf numFmtId="0" fontId="9" fillId="2" borderId="35" xfId="0" applyFont="1" applyFill="1" applyBorder="1"/>
    <xf numFmtId="168" fontId="9" fillId="2" borderId="20" xfId="0" applyNumberFormat="1" applyFont="1" applyFill="1" applyBorder="1"/>
    <xf numFmtId="0" fontId="9" fillId="2" borderId="36" xfId="0" applyFont="1" applyFill="1" applyBorder="1"/>
    <xf numFmtId="0" fontId="16" fillId="2" borderId="54" xfId="0" applyFont="1" applyFill="1" applyBorder="1"/>
    <xf numFmtId="173" fontId="3" fillId="2" borderId="22" xfId="0" applyNumberFormat="1" applyFont="1" applyFill="1" applyBorder="1"/>
    <xf numFmtId="0" fontId="9" fillId="2" borderId="10" xfId="0" applyFont="1" applyFill="1" applyBorder="1"/>
    <xf numFmtId="168" fontId="9" fillId="2" borderId="4" xfId="0" applyNumberFormat="1" applyFont="1" applyFill="1" applyBorder="1"/>
    <xf numFmtId="174" fontId="9" fillId="2" borderId="11" xfId="0" applyNumberFormat="1" applyFont="1" applyFill="1" applyBorder="1"/>
    <xf numFmtId="2" fontId="3" fillId="2" borderId="54" xfId="0" applyNumberFormat="1" applyFont="1" applyFill="1" applyBorder="1"/>
    <xf numFmtId="0" fontId="9" fillId="2" borderId="11" xfId="0" applyFont="1" applyFill="1" applyBorder="1"/>
    <xf numFmtId="0" fontId="9" fillId="2" borderId="12" xfId="0" applyFont="1" applyFill="1" applyBorder="1"/>
    <xf numFmtId="168" fontId="17" fillId="2" borderId="13" xfId="0" applyNumberFormat="1" applyFont="1" applyFill="1" applyBorder="1"/>
    <xf numFmtId="168" fontId="9" fillId="2" borderId="14" xfId="0" applyNumberFormat="1" applyFont="1" applyFill="1" applyBorder="1"/>
    <xf numFmtId="171" fontId="3" fillId="2" borderId="36" xfId="0" applyNumberFormat="1" applyFont="1" applyFill="1" applyBorder="1" applyAlignment="1">
      <alignment horizontal="right"/>
    </xf>
    <xf numFmtId="174" fontId="3" fillId="2" borderId="11" xfId="0" applyNumberFormat="1" applyFont="1" applyFill="1" applyBorder="1"/>
    <xf numFmtId="8" fontId="9" fillId="0" borderId="41" xfId="0" applyNumberFormat="1" applyFont="1" applyBorder="1"/>
    <xf numFmtId="0" fontId="3" fillId="3" borderId="4" xfId="0" applyFont="1" applyFill="1" applyBorder="1"/>
    <xf numFmtId="0" fontId="3" fillId="2" borderId="20" xfId="0" applyFont="1" applyFill="1" applyBorder="1" applyAlignment="1">
      <alignment horizontal="right"/>
    </xf>
    <xf numFmtId="0" fontId="18" fillId="3" borderId="35" xfId="0" applyFont="1" applyFill="1" applyBorder="1"/>
    <xf numFmtId="0" fontId="18" fillId="3" borderId="36" xfId="0" applyFont="1" applyFill="1" applyBorder="1"/>
    <xf numFmtId="0" fontId="18" fillId="3" borderId="10" xfId="0" applyFont="1" applyFill="1" applyBorder="1"/>
    <xf numFmtId="0" fontId="18" fillId="3" borderId="11" xfId="0" applyFont="1" applyFill="1" applyBorder="1"/>
    <xf numFmtId="0" fontId="18" fillId="3" borderId="12" xfId="0" applyFont="1" applyFill="1" applyBorder="1"/>
    <xf numFmtId="0" fontId="18" fillId="3" borderId="14" xfId="0" applyFont="1" applyFill="1" applyBorder="1"/>
    <xf numFmtId="0" fontId="3" fillId="2" borderId="71" xfId="0" applyFont="1" applyFill="1" applyBorder="1" applyAlignment="1">
      <alignment horizontal="center" vertical="center"/>
    </xf>
    <xf numFmtId="0" fontId="3" fillId="2" borderId="52" xfId="0" applyFont="1" applyFill="1" applyBorder="1" applyAlignment="1">
      <alignment horizontal="center"/>
    </xf>
    <xf numFmtId="0" fontId="3" fillId="2" borderId="53" xfId="0" applyFont="1" applyFill="1" applyBorder="1" applyAlignment="1">
      <alignment horizontal="center"/>
    </xf>
    <xf numFmtId="0" fontId="6" fillId="3" borderId="72" xfId="0" applyFont="1" applyFill="1" applyBorder="1" applyAlignment="1">
      <alignment horizontal="center" vertical="center"/>
    </xf>
    <xf numFmtId="0" fontId="3" fillId="3" borderId="57" xfId="0" applyFont="1" applyFill="1" applyBorder="1"/>
    <xf numFmtId="0" fontId="3" fillId="3" borderId="58" xfId="0" applyFont="1" applyFill="1" applyBorder="1"/>
    <xf numFmtId="0" fontId="8" fillId="2" borderId="73" xfId="0" applyFont="1" applyFill="1" applyBorder="1"/>
    <xf numFmtId="173" fontId="4" fillId="2" borderId="74" xfId="0" applyNumberFormat="1" applyFont="1" applyFill="1" applyBorder="1"/>
    <xf numFmtId="173" fontId="4" fillId="2" borderId="75" xfId="0" applyNumberFormat="1" applyFont="1" applyFill="1" applyBorder="1"/>
    <xf numFmtId="0" fontId="8" fillId="2" borderId="8" xfId="0" applyFont="1" applyFill="1" applyBorder="1" applyAlignment="1">
      <alignment horizontal="center" vertical="center"/>
    </xf>
    <xf numFmtId="168" fontId="4" fillId="2" borderId="8" xfId="0" applyNumberFormat="1" applyFont="1" applyFill="1" applyBorder="1"/>
    <xf numFmtId="173" fontId="4" fillId="2" borderId="4" xfId="0" applyNumberFormat="1" applyFont="1" applyFill="1" applyBorder="1"/>
    <xf numFmtId="174" fontId="3" fillId="2" borderId="4" xfId="0" applyNumberFormat="1" applyFont="1" applyFill="1" applyBorder="1"/>
    <xf numFmtId="164" fontId="9" fillId="2" borderId="11" xfId="0" applyNumberFormat="1" applyFont="1" applyFill="1" applyBorder="1"/>
    <xf numFmtId="168" fontId="3" fillId="2" borderId="13" xfId="0" applyNumberFormat="1" applyFont="1" applyFill="1" applyBorder="1"/>
    <xf numFmtId="0" fontId="4" fillId="2" borderId="4" xfId="0" applyFont="1" applyFill="1" applyBorder="1" applyAlignment="1">
      <alignment vertical="center"/>
    </xf>
    <xf numFmtId="0" fontId="4" fillId="3" borderId="22" xfId="0" applyFont="1" applyFill="1" applyBorder="1"/>
    <xf numFmtId="0" fontId="6" fillId="2" borderId="22" xfId="0" applyFont="1" applyFill="1" applyBorder="1"/>
    <xf numFmtId="0" fontId="9" fillId="0" borderId="68" xfId="0" applyFont="1" applyBorder="1"/>
    <xf numFmtId="0" fontId="9" fillId="0" borderId="76" xfId="0" applyFont="1" applyBorder="1"/>
    <xf numFmtId="0" fontId="9" fillId="0" borderId="77" xfId="0" applyFont="1" applyBorder="1"/>
    <xf numFmtId="0" fontId="6" fillId="2" borderId="55" xfId="0" applyFont="1" applyFill="1" applyBorder="1" applyAlignment="1">
      <alignment horizontal="center" vertical="center"/>
    </xf>
    <xf numFmtId="0" fontId="4" fillId="2" borderId="78" xfId="0" applyFont="1" applyFill="1" applyBorder="1"/>
    <xf numFmtId="0" fontId="3" fillId="3" borderId="79" xfId="0" applyFont="1" applyFill="1" applyBorder="1"/>
    <xf numFmtId="0" fontId="3" fillId="2" borderId="80" xfId="0" applyFont="1" applyFill="1" applyBorder="1"/>
    <xf numFmtId="0" fontId="4" fillId="2" borderId="30" xfId="0" applyFont="1" applyFill="1" applyBorder="1" applyAlignment="1">
      <alignment horizontal="center" wrapText="1"/>
    </xf>
    <xf numFmtId="0" fontId="4" fillId="2" borderId="22" xfId="0" applyFont="1" applyFill="1" applyBorder="1" applyAlignment="1">
      <alignment horizontal="center" wrapText="1"/>
    </xf>
    <xf numFmtId="0" fontId="6" fillId="8" borderId="55" xfId="0" applyFont="1" applyFill="1" applyBorder="1" applyAlignment="1">
      <alignment horizontal="center" vertical="center"/>
    </xf>
    <xf numFmtId="0" fontId="6" fillId="9" borderId="55" xfId="0" applyFont="1" applyFill="1" applyBorder="1" applyAlignment="1">
      <alignment horizontal="center" vertical="center"/>
    </xf>
    <xf numFmtId="168" fontId="3" fillId="2" borderId="14" xfId="0" applyNumberFormat="1" applyFont="1" applyFill="1" applyBorder="1" applyAlignment="1">
      <alignment horizontal="center" vertical="center"/>
    </xf>
    <xf numFmtId="175" fontId="4" fillId="2" borderId="8" xfId="0" applyNumberFormat="1" applyFont="1" applyFill="1" applyBorder="1" applyAlignment="1">
      <alignment horizontal="center" vertical="center"/>
    </xf>
    <xf numFmtId="176" fontId="4" fillId="2" borderId="8" xfId="0" applyNumberFormat="1" applyFont="1" applyFill="1" applyBorder="1" applyAlignment="1">
      <alignment horizontal="center" vertical="center"/>
    </xf>
    <xf numFmtId="175" fontId="3" fillId="2" borderId="4" xfId="0" applyNumberFormat="1" applyFont="1" applyFill="1" applyBorder="1"/>
    <xf numFmtId="0" fontId="4" fillId="2" borderId="12" xfId="0" applyFont="1" applyFill="1" applyBorder="1" applyAlignment="1">
      <alignment wrapText="1"/>
    </xf>
    <xf numFmtId="168" fontId="3" fillId="2" borderId="35" xfId="0" applyNumberFormat="1" applyFont="1" applyFill="1" applyBorder="1" applyAlignment="1">
      <alignment horizontal="center"/>
    </xf>
    <xf numFmtId="168" fontId="3" fillId="2" borderId="20" xfId="0" applyNumberFormat="1" applyFont="1" applyFill="1" applyBorder="1" applyAlignment="1">
      <alignment horizontal="right"/>
    </xf>
    <xf numFmtId="168" fontId="3" fillId="2" borderId="10" xfId="0" applyNumberFormat="1" applyFont="1" applyFill="1" applyBorder="1" applyAlignment="1">
      <alignment horizontal="center"/>
    </xf>
    <xf numFmtId="168" fontId="3" fillId="2" borderId="4" xfId="0" applyNumberFormat="1" applyFont="1" applyFill="1" applyBorder="1" applyAlignment="1">
      <alignment horizontal="right"/>
    </xf>
    <xf numFmtId="0" fontId="9" fillId="6" borderId="36" xfId="0" applyFont="1" applyFill="1" applyBorder="1"/>
    <xf numFmtId="0" fontId="9" fillId="6" borderId="11" xfId="0" applyFont="1" applyFill="1" applyBorder="1" applyAlignment="1">
      <alignment wrapText="1"/>
    </xf>
    <xf numFmtId="0" fontId="9" fillId="6" borderId="11" xfId="0" applyFont="1" applyFill="1" applyBorder="1"/>
    <xf numFmtId="0" fontId="9" fillId="3" borderId="22" xfId="0" applyFont="1" applyFill="1" applyBorder="1"/>
    <xf numFmtId="0" fontId="9" fillId="3" borderId="4" xfId="0" applyFont="1" applyFill="1" applyBorder="1" applyAlignment="1">
      <alignment horizontal="center"/>
    </xf>
    <xf numFmtId="168" fontId="3" fillId="3" borderId="22" xfId="0" applyNumberFormat="1" applyFont="1" applyFill="1" applyBorder="1"/>
    <xf numFmtId="0" fontId="11" fillId="2" borderId="4" xfId="0" applyFont="1" applyFill="1" applyBorder="1" applyAlignment="1">
      <alignment horizontal="center" vertical="center"/>
    </xf>
    <xf numFmtId="177" fontId="3" fillId="2" borderId="4" xfId="0" applyNumberFormat="1" applyFont="1" applyFill="1" applyBorder="1"/>
    <xf numFmtId="0" fontId="3" fillId="2" borderId="4" xfId="0" applyFont="1" applyFill="1" applyBorder="1" applyAlignment="1">
      <alignment vertical="center" wrapText="1"/>
    </xf>
    <xf numFmtId="0" fontId="4" fillId="2" borderId="13" xfId="0" applyFont="1" applyFill="1" applyBorder="1" applyAlignment="1">
      <alignment vertical="center" wrapText="1"/>
    </xf>
    <xf numFmtId="2" fontId="17" fillId="2" borderId="4" xfId="0" applyNumberFormat="1" applyFont="1" applyFill="1" applyBorder="1" applyAlignment="1">
      <alignment horizontal="center" vertical="center"/>
    </xf>
    <xf numFmtId="2" fontId="17" fillId="2" borderId="4" xfId="0" applyNumberFormat="1" applyFont="1" applyFill="1" applyBorder="1" applyAlignment="1">
      <alignment horizontal="center" vertical="center" wrapText="1"/>
    </xf>
    <xf numFmtId="2" fontId="20" fillId="2" borderId="4" xfId="0" applyNumberFormat="1" applyFont="1" applyFill="1" applyBorder="1" applyAlignment="1">
      <alignment horizontal="center" vertical="center" wrapText="1"/>
    </xf>
    <xf numFmtId="2" fontId="9" fillId="2" borderId="4" xfId="0" applyNumberFormat="1" applyFont="1" applyFill="1" applyBorder="1" applyAlignment="1">
      <alignment wrapText="1"/>
    </xf>
    <xf numFmtId="2" fontId="21" fillId="2" borderId="4" xfId="0" applyNumberFormat="1" applyFont="1" applyFill="1" applyBorder="1" applyAlignment="1">
      <alignment wrapText="1"/>
    </xf>
    <xf numFmtId="2" fontId="9" fillId="2" borderId="4" xfId="0" applyNumberFormat="1" applyFont="1" applyFill="1" applyBorder="1"/>
    <xf numFmtId="0" fontId="4" fillId="2" borderId="4" xfId="0" applyFont="1" applyFill="1" applyBorder="1" applyAlignment="1">
      <alignment horizontal="center" vertical="center" wrapText="1"/>
    </xf>
    <xf numFmtId="2" fontId="20" fillId="2" borderId="22" xfId="0" applyNumberFormat="1" applyFont="1" applyFill="1" applyBorder="1" applyAlignment="1">
      <alignment horizontal="center"/>
    </xf>
    <xf numFmtId="2" fontId="20" fillId="2" borderId="22" xfId="0" applyNumberFormat="1" applyFont="1" applyFill="1" applyBorder="1"/>
    <xf numFmtId="2" fontId="20" fillId="2" borderId="4" xfId="0" applyNumberFormat="1" applyFont="1" applyFill="1" applyBorder="1"/>
    <xf numFmtId="2" fontId="21" fillId="2" borderId="4" xfId="0" applyNumberFormat="1" applyFont="1" applyFill="1" applyBorder="1"/>
    <xf numFmtId="2" fontId="22" fillId="3" borderId="22" xfId="0" applyNumberFormat="1" applyFont="1" applyFill="1" applyBorder="1" applyAlignment="1">
      <alignment horizontal="center" vertical="center"/>
    </xf>
    <xf numFmtId="1" fontId="20" fillId="3" borderId="22" xfId="0" applyNumberFormat="1" applyFont="1" applyFill="1" applyBorder="1" applyAlignment="1">
      <alignment horizontal="center" vertical="center"/>
    </xf>
    <xf numFmtId="1" fontId="20" fillId="2" borderId="4" xfId="0" applyNumberFormat="1" applyFont="1" applyFill="1" applyBorder="1" applyAlignment="1">
      <alignment horizontal="center"/>
    </xf>
    <xf numFmtId="2" fontId="17" fillId="12" borderId="4" xfId="0" applyNumberFormat="1" applyFont="1" applyFill="1" applyBorder="1"/>
    <xf numFmtId="167" fontId="20" fillId="2" borderId="4" xfId="0" applyNumberFormat="1" applyFont="1" applyFill="1" applyBorder="1"/>
    <xf numFmtId="2" fontId="17" fillId="2" borderId="4" xfId="0" applyNumberFormat="1" applyFont="1" applyFill="1" applyBorder="1"/>
    <xf numFmtId="0" fontId="23" fillId="2" borderId="4" xfId="0" applyFont="1" applyFill="1" applyBorder="1" applyAlignment="1">
      <alignment horizontal="center" vertical="center"/>
    </xf>
    <xf numFmtId="2" fontId="6" fillId="3" borderId="22" xfId="0" applyNumberFormat="1" applyFont="1" applyFill="1" applyBorder="1" applyAlignment="1">
      <alignment horizontal="center" vertical="center"/>
    </xf>
    <xf numFmtId="0" fontId="6" fillId="2" borderId="36" xfId="0" applyFont="1" applyFill="1" applyBorder="1" applyAlignment="1">
      <alignment horizontal="left" vertical="top"/>
    </xf>
    <xf numFmtId="0" fontId="4" fillId="2" borderId="10" xfId="0" applyFont="1" applyFill="1" applyBorder="1" applyAlignment="1">
      <alignment horizontal="left" vertical="top"/>
    </xf>
    <xf numFmtId="0" fontId="6" fillId="2" borderId="90" xfId="0" applyFont="1" applyFill="1" applyBorder="1" applyAlignment="1">
      <alignment horizontal="left" vertical="top"/>
    </xf>
    <xf numFmtId="2" fontId="4" fillId="2" borderId="91" xfId="0" applyNumberFormat="1" applyFont="1" applyFill="1" applyBorder="1" applyAlignment="1">
      <alignment horizontal="center" vertical="center"/>
    </xf>
    <xf numFmtId="0" fontId="6" fillId="2" borderId="11" xfId="0" applyFont="1" applyFill="1" applyBorder="1" applyAlignment="1">
      <alignment horizontal="left" vertical="top"/>
    </xf>
    <xf numFmtId="0" fontId="4" fillId="2" borderId="57" xfId="0" applyFont="1" applyFill="1" applyBorder="1"/>
    <xf numFmtId="2" fontId="18" fillId="2" borderId="79" xfId="0" applyNumberFormat="1" applyFont="1" applyFill="1" applyBorder="1" applyAlignment="1">
      <alignment horizontal="center" vertical="center"/>
    </xf>
    <xf numFmtId="0" fontId="23" fillId="2" borderId="14" xfId="0" applyFont="1" applyFill="1" applyBorder="1" applyAlignment="1">
      <alignment horizontal="center" vertical="center"/>
    </xf>
    <xf numFmtId="0" fontId="4" fillId="2" borderId="32" xfId="0" applyFont="1" applyFill="1" applyBorder="1" applyAlignment="1">
      <alignment horizontal="center"/>
    </xf>
    <xf numFmtId="0" fontId="4" fillId="2" borderId="33" xfId="0" applyFont="1" applyFill="1" applyBorder="1" applyAlignment="1">
      <alignment horizontal="center"/>
    </xf>
    <xf numFmtId="168" fontId="4" fillId="2" borderId="34" xfId="0" applyNumberFormat="1" applyFont="1" applyFill="1" applyBorder="1" applyAlignment="1">
      <alignment horizontal="center"/>
    </xf>
    <xf numFmtId="172" fontId="3" fillId="2" borderId="4" xfId="0" applyNumberFormat="1" applyFont="1" applyFill="1" applyBorder="1"/>
    <xf numFmtId="168" fontId="3" fillId="2" borderId="11" xfId="0" applyNumberFormat="1" applyFont="1" applyFill="1" applyBorder="1"/>
    <xf numFmtId="0" fontId="9" fillId="2" borderId="20" xfId="0" applyFont="1" applyFill="1" applyBorder="1"/>
    <xf numFmtId="0" fontId="9" fillId="2" borderId="13" xfId="0" applyFont="1" applyFill="1" applyBorder="1"/>
    <xf numFmtId="0" fontId="9" fillId="2" borderId="14" xfId="0" applyFont="1" applyFill="1" applyBorder="1"/>
    <xf numFmtId="0" fontId="9" fillId="2" borderId="22" xfId="0" applyFont="1" applyFill="1" applyBorder="1"/>
    <xf numFmtId="0" fontId="9" fillId="2" borderId="4" xfId="0" applyFont="1" applyFill="1" applyBorder="1" applyAlignment="1">
      <alignment wrapText="1"/>
    </xf>
    <xf numFmtId="0" fontId="9" fillId="2" borderId="32" xfId="0" applyFont="1" applyFill="1" applyBorder="1"/>
    <xf numFmtId="0" fontId="9" fillId="2" borderId="33" xfId="0" applyFont="1" applyFill="1" applyBorder="1"/>
    <xf numFmtId="0" fontId="9" fillId="2" borderId="34" xfId="0" applyFont="1" applyFill="1" applyBorder="1"/>
    <xf numFmtId="0" fontId="3" fillId="2" borderId="8" xfId="0" applyFont="1" applyFill="1" applyBorder="1"/>
    <xf numFmtId="0" fontId="18" fillId="2" borderId="32" xfId="0" applyFont="1" applyFill="1" applyBorder="1"/>
    <xf numFmtId="0" fontId="18" fillId="2" borderId="34" xfId="0" applyFont="1" applyFill="1" applyBorder="1"/>
    <xf numFmtId="0" fontId="3" fillId="2" borderId="34" xfId="0" applyFont="1" applyFill="1" applyBorder="1"/>
    <xf numFmtId="0" fontId="4" fillId="3" borderId="8" xfId="0" applyFont="1" applyFill="1" applyBorder="1" applyAlignment="1">
      <alignment horizontal="center"/>
    </xf>
    <xf numFmtId="0" fontId="3" fillId="3" borderId="8" xfId="0" applyFont="1" applyFill="1" applyBorder="1" applyAlignment="1">
      <alignment horizontal="center"/>
    </xf>
    <xf numFmtId="0" fontId="3" fillId="3" borderId="34" xfId="0" applyFont="1" applyFill="1" applyBorder="1" applyAlignment="1">
      <alignment horizontal="center" vertical="center"/>
    </xf>
    <xf numFmtId="0" fontId="3" fillId="2" borderId="51" xfId="0" applyFont="1" applyFill="1" applyBorder="1" applyAlignment="1">
      <alignment horizontal="center"/>
    </xf>
    <xf numFmtId="2" fontId="20" fillId="2" borderId="52" xfId="0" applyNumberFormat="1" applyFont="1" applyFill="1" applyBorder="1" applyAlignment="1">
      <alignment horizontal="center"/>
    </xf>
    <xf numFmtId="2" fontId="20" fillId="2" borderId="53" xfId="0" applyNumberFormat="1" applyFont="1" applyFill="1" applyBorder="1" applyAlignment="1">
      <alignment horizontal="center"/>
    </xf>
    <xf numFmtId="178" fontId="9" fillId="2" borderId="4" xfId="0" applyNumberFormat="1" applyFont="1" applyFill="1" applyBorder="1"/>
    <xf numFmtId="0" fontId="3" fillId="3" borderId="54" xfId="0" applyFont="1" applyFill="1" applyBorder="1"/>
    <xf numFmtId="2" fontId="22" fillId="3" borderId="55" xfId="0" applyNumberFormat="1" applyFont="1" applyFill="1" applyBorder="1" applyAlignment="1">
      <alignment horizontal="center" vertical="center"/>
    </xf>
    <xf numFmtId="2" fontId="20" fillId="2" borderId="4" xfId="0" applyNumberFormat="1" applyFont="1" applyFill="1" applyBorder="1" applyAlignment="1">
      <alignment horizontal="center"/>
    </xf>
    <xf numFmtId="0" fontId="4" fillId="3" borderId="54" xfId="0" applyFont="1" applyFill="1" applyBorder="1"/>
    <xf numFmtId="0" fontId="4" fillId="3" borderId="56" xfId="0" applyFont="1" applyFill="1" applyBorder="1"/>
    <xf numFmtId="0" fontId="4" fillId="3" borderId="57" xfId="0" applyFont="1" applyFill="1" applyBorder="1"/>
    <xf numFmtId="2" fontId="22" fillId="3" borderId="57" xfId="0" applyNumberFormat="1" applyFont="1" applyFill="1" applyBorder="1" applyAlignment="1">
      <alignment horizontal="center" vertical="center"/>
    </xf>
    <xf numFmtId="2" fontId="22" fillId="3" borderId="58" xfId="0" applyNumberFormat="1" applyFont="1" applyFill="1" applyBorder="1" applyAlignment="1">
      <alignment horizontal="center" vertical="center"/>
    </xf>
    <xf numFmtId="2" fontId="22" fillId="2" borderId="4" xfId="0" applyNumberFormat="1" applyFont="1" applyFill="1" applyBorder="1" applyAlignment="1">
      <alignment horizontal="center" vertical="center"/>
    </xf>
    <xf numFmtId="2" fontId="4" fillId="2" borderId="9" xfId="0" applyNumberFormat="1" applyFont="1" applyFill="1" applyBorder="1"/>
    <xf numFmtId="0" fontId="4" fillId="2" borderId="32" xfId="0" applyFont="1" applyFill="1" applyBorder="1"/>
    <xf numFmtId="0" fontId="4" fillId="2" borderId="33" xfId="0" applyFont="1" applyFill="1" applyBorder="1"/>
    <xf numFmtId="0" fontId="3" fillId="2" borderId="33" xfId="0" applyFont="1" applyFill="1" applyBorder="1"/>
    <xf numFmtId="168" fontId="4" fillId="2" borderId="34" xfId="0" applyNumberFormat="1" applyFont="1" applyFill="1" applyBorder="1"/>
    <xf numFmtId="0" fontId="4" fillId="3" borderId="8" xfId="0" applyFont="1" applyFill="1" applyBorder="1"/>
    <xf numFmtId="168" fontId="3" fillId="2" borderId="4" xfId="0" applyNumberFormat="1" applyFont="1" applyFill="1" applyBorder="1" applyAlignment="1">
      <alignment horizontal="center"/>
    </xf>
    <xf numFmtId="9" fontId="3" fillId="2" borderId="8" xfId="0" applyNumberFormat="1" applyFont="1" applyFill="1" applyBorder="1" applyAlignment="1">
      <alignment horizontal="center"/>
    </xf>
    <xf numFmtId="0" fontId="18" fillId="2" borderId="4" xfId="0" applyFont="1" applyFill="1" applyBorder="1"/>
    <xf numFmtId="0" fontId="3" fillId="13" borderId="4" xfId="0" applyFont="1" applyFill="1" applyBorder="1"/>
    <xf numFmtId="0" fontId="3" fillId="13" borderId="4" xfId="0" applyFont="1" applyFill="1" applyBorder="1" applyAlignment="1">
      <alignment horizontal="center" vertical="center"/>
    </xf>
    <xf numFmtId="0" fontId="3" fillId="13" borderId="8" xfId="0" applyFont="1" applyFill="1" applyBorder="1" applyAlignment="1">
      <alignment horizontal="center" vertical="center"/>
    </xf>
    <xf numFmtId="0" fontId="4" fillId="13" borderId="4" xfId="0" applyFont="1" applyFill="1" applyBorder="1"/>
    <xf numFmtId="0" fontId="4" fillId="13" borderId="4" xfId="0" applyFont="1" applyFill="1" applyBorder="1" applyAlignment="1">
      <alignment vertical="center" wrapText="1"/>
    </xf>
    <xf numFmtId="0" fontId="4" fillId="13" borderId="8" xfId="0" applyFont="1" applyFill="1" applyBorder="1"/>
    <xf numFmtId="168" fontId="3" fillId="13" borderId="9" xfId="0" applyNumberFormat="1" applyFont="1" applyFill="1" applyBorder="1" applyAlignment="1">
      <alignment horizontal="center" vertical="center"/>
    </xf>
    <xf numFmtId="168" fontId="3" fillId="13" borderId="9" xfId="0" applyNumberFormat="1" applyFont="1" applyFill="1" applyBorder="1"/>
    <xf numFmtId="0" fontId="4" fillId="13" borderId="4" xfId="0" applyFont="1" applyFill="1" applyBorder="1" applyAlignment="1">
      <alignment horizontal="left" vertical="top"/>
    </xf>
    <xf numFmtId="0" fontId="3" fillId="13" borderId="4" xfId="0" applyFont="1" applyFill="1" applyBorder="1" applyAlignment="1">
      <alignment horizontal="center"/>
    </xf>
    <xf numFmtId="0" fontId="5" fillId="13" borderId="4" xfId="0" applyFont="1" applyFill="1" applyBorder="1" applyAlignment="1">
      <alignment horizontal="center"/>
    </xf>
    <xf numFmtId="164" fontId="3" fillId="13" borderId="4" xfId="0" applyNumberFormat="1" applyFont="1" applyFill="1" applyBorder="1"/>
    <xf numFmtId="0" fontId="3" fillId="13" borderId="35" xfId="0" applyFont="1" applyFill="1" applyBorder="1"/>
    <xf numFmtId="0" fontId="4" fillId="13" borderId="20" xfId="0" applyFont="1" applyFill="1" applyBorder="1"/>
    <xf numFmtId="0" fontId="3" fillId="13" borderId="20" xfId="0" applyFont="1" applyFill="1" applyBorder="1"/>
    <xf numFmtId="0" fontId="3" fillId="13" borderId="20" xfId="0" applyFont="1" applyFill="1" applyBorder="1" applyAlignment="1">
      <alignment horizontal="center"/>
    </xf>
    <xf numFmtId="0" fontId="3" fillId="13" borderId="36" xfId="0" applyFont="1" applyFill="1" applyBorder="1"/>
    <xf numFmtId="0" fontId="1" fillId="13" borderId="51" xfId="0" applyFont="1" applyFill="1" applyBorder="1" applyAlignment="1">
      <alignment wrapText="1"/>
    </xf>
    <xf numFmtId="0" fontId="3" fillId="13" borderId="52" xfId="0" applyFont="1" applyFill="1" applyBorder="1" applyAlignment="1">
      <alignment horizontal="center" vertical="center"/>
    </xf>
    <xf numFmtId="0" fontId="3" fillId="13" borderId="53" xfId="0" applyFont="1" applyFill="1" applyBorder="1"/>
    <xf numFmtId="0" fontId="1" fillId="13" borderId="54" xfId="0" applyFont="1" applyFill="1" applyBorder="1" applyAlignment="1">
      <alignment wrapText="1"/>
    </xf>
    <xf numFmtId="0" fontId="3" fillId="13" borderId="55" xfId="0" applyFont="1" applyFill="1" applyBorder="1"/>
    <xf numFmtId="0" fontId="4" fillId="13" borderId="54" xfId="0" applyFont="1" applyFill="1" applyBorder="1"/>
    <xf numFmtId="0" fontId="4" fillId="13" borderId="22" xfId="0" applyFont="1" applyFill="1" applyBorder="1" applyAlignment="1">
      <alignment horizontal="center" vertical="center"/>
    </xf>
    <xf numFmtId="0" fontId="6" fillId="13" borderId="22" xfId="0" applyFont="1" applyFill="1" applyBorder="1" applyAlignment="1">
      <alignment horizontal="center" vertical="center"/>
    </xf>
    <xf numFmtId="0" fontId="3" fillId="13" borderId="54" xfId="0" applyFont="1" applyFill="1" applyBorder="1"/>
    <xf numFmtId="0" fontId="3" fillId="13" borderId="22" xfId="0" applyFont="1" applyFill="1" applyBorder="1"/>
    <xf numFmtId="0" fontId="6" fillId="13" borderId="4" xfId="0" applyFont="1" applyFill="1" applyBorder="1" applyAlignment="1">
      <alignment horizontal="center" vertical="center"/>
    </xf>
    <xf numFmtId="0" fontId="4" fillId="13" borderId="56" xfId="0" applyFont="1" applyFill="1" applyBorder="1"/>
    <xf numFmtId="0" fontId="3" fillId="13" borderId="58" xfId="0" applyFont="1" applyFill="1" applyBorder="1"/>
    <xf numFmtId="0" fontId="4" fillId="13" borderId="10" xfId="0" applyFont="1" applyFill="1" applyBorder="1"/>
    <xf numFmtId="0" fontId="3" fillId="13" borderId="11" xfId="0" applyFont="1" applyFill="1" applyBorder="1"/>
    <xf numFmtId="0" fontId="4" fillId="13" borderId="35" xfId="0" applyFont="1" applyFill="1" applyBorder="1"/>
    <xf numFmtId="0" fontId="4" fillId="13" borderId="30" xfId="0" applyFont="1" applyFill="1" applyBorder="1" applyAlignment="1">
      <alignment wrapText="1"/>
    </xf>
    <xf numFmtId="0" fontId="3" fillId="13" borderId="31" xfId="0" applyFont="1" applyFill="1" applyBorder="1" applyAlignment="1">
      <alignment wrapText="1"/>
    </xf>
    <xf numFmtId="0" fontId="3" fillId="13" borderId="9" xfId="0" applyFont="1" applyFill="1" applyBorder="1" applyAlignment="1">
      <alignment wrapText="1"/>
    </xf>
    <xf numFmtId="0" fontId="3" fillId="13" borderId="4" xfId="0" applyFont="1" applyFill="1" applyBorder="1" applyAlignment="1">
      <alignment wrapText="1"/>
    </xf>
    <xf numFmtId="0" fontId="4" fillId="13" borderId="30" xfId="0" applyFont="1" applyFill="1" applyBorder="1"/>
    <xf numFmtId="0" fontId="3" fillId="13" borderId="31" xfId="0" applyFont="1" applyFill="1" applyBorder="1"/>
    <xf numFmtId="0" fontId="3" fillId="13" borderId="9" xfId="0" applyFont="1" applyFill="1" applyBorder="1"/>
    <xf numFmtId="167" fontId="4" fillId="13" borderId="20" xfId="0" applyNumberFormat="1" applyFont="1" applyFill="1" applyBorder="1"/>
    <xf numFmtId="0" fontId="4" fillId="13" borderId="36" xfId="0" applyFont="1" applyFill="1" applyBorder="1"/>
    <xf numFmtId="0" fontId="4" fillId="13" borderId="12" xfId="0" applyFont="1" applyFill="1" applyBorder="1"/>
    <xf numFmtId="167" fontId="4" fillId="13" borderId="13" xfId="0" applyNumberFormat="1" applyFont="1" applyFill="1" applyBorder="1"/>
    <xf numFmtId="0" fontId="4" fillId="13" borderId="14" xfId="0" applyFont="1" applyFill="1" applyBorder="1"/>
    <xf numFmtId="2" fontId="3" fillId="13" borderId="4" xfId="0" applyNumberFormat="1" applyFont="1" applyFill="1" applyBorder="1" applyAlignment="1">
      <alignment horizontal="center" vertical="center"/>
    </xf>
    <xf numFmtId="168" fontId="3" fillId="13" borderId="4" xfId="0" applyNumberFormat="1" applyFont="1" applyFill="1" applyBorder="1"/>
    <xf numFmtId="174" fontId="3" fillId="13" borderId="4" xfId="0" applyNumberFormat="1" applyFont="1" applyFill="1" applyBorder="1"/>
    <xf numFmtId="0" fontId="4" fillId="13" borderId="51" xfId="0" applyFont="1" applyFill="1" applyBorder="1"/>
    <xf numFmtId="0" fontId="3" fillId="13" borderId="52" xfId="0" applyFont="1" applyFill="1" applyBorder="1"/>
    <xf numFmtId="2" fontId="3" fillId="13" borderId="52" xfId="0" applyNumberFormat="1" applyFont="1" applyFill="1" applyBorder="1" applyAlignment="1">
      <alignment horizontal="center" vertical="center"/>
    </xf>
    <xf numFmtId="2" fontId="3" fillId="13" borderId="4" xfId="0" applyNumberFormat="1" applyFont="1" applyFill="1" applyBorder="1"/>
    <xf numFmtId="170" fontId="3" fillId="13" borderId="4" xfId="0" applyNumberFormat="1" applyFont="1" applyFill="1" applyBorder="1"/>
    <xf numFmtId="2" fontId="3" fillId="13" borderId="22" xfId="0" applyNumberFormat="1" applyFont="1" applyFill="1" applyBorder="1" applyAlignment="1">
      <alignment horizontal="center" vertical="center"/>
    </xf>
    <xf numFmtId="0" fontId="3" fillId="13" borderId="56" xfId="0" applyFont="1" applyFill="1" applyBorder="1"/>
    <xf numFmtId="0" fontId="3" fillId="13" borderId="57" xfId="0" applyFont="1" applyFill="1" applyBorder="1"/>
    <xf numFmtId="2" fontId="3" fillId="13" borderId="57" xfId="0" applyNumberFormat="1" applyFont="1" applyFill="1" applyBorder="1" applyAlignment="1">
      <alignment horizontal="center" vertical="center"/>
    </xf>
    <xf numFmtId="168" fontId="4" fillId="13" borderId="4" xfId="0" applyNumberFormat="1" applyFont="1" applyFill="1" applyBorder="1"/>
    <xf numFmtId="164" fontId="4" fillId="13" borderId="4" xfId="0" applyNumberFormat="1" applyFont="1" applyFill="1" applyBorder="1"/>
    <xf numFmtId="168" fontId="3" fillId="13" borderId="20" xfId="0" applyNumberFormat="1" applyFont="1" applyFill="1" applyBorder="1"/>
    <xf numFmtId="0" fontId="3" fillId="13" borderId="35" xfId="0" applyFont="1" applyFill="1" applyBorder="1" applyAlignment="1">
      <alignment horizontal="center"/>
    </xf>
    <xf numFmtId="171" fontId="3" fillId="13" borderId="20" xfId="0" applyNumberFormat="1" applyFont="1" applyFill="1" applyBorder="1" applyAlignment="1">
      <alignment horizontal="right"/>
    </xf>
    <xf numFmtId="168" fontId="3" fillId="13" borderId="36" xfId="0" applyNumberFormat="1" applyFont="1" applyFill="1" applyBorder="1" applyAlignment="1">
      <alignment horizontal="right"/>
    </xf>
    <xf numFmtId="0" fontId="3" fillId="13" borderId="10" xfId="0" applyFont="1" applyFill="1" applyBorder="1"/>
    <xf numFmtId="164" fontId="3" fillId="13" borderId="11" xfId="0" applyNumberFormat="1" applyFont="1" applyFill="1" applyBorder="1"/>
    <xf numFmtId="0" fontId="3" fillId="13" borderId="10" xfId="0" applyFont="1" applyFill="1" applyBorder="1" applyAlignment="1">
      <alignment horizontal="center"/>
    </xf>
    <xf numFmtId="171" fontId="3" fillId="13" borderId="4" xfId="0" applyNumberFormat="1" applyFont="1" applyFill="1" applyBorder="1" applyAlignment="1">
      <alignment horizontal="right"/>
    </xf>
    <xf numFmtId="168" fontId="3" fillId="13" borderId="11" xfId="0" applyNumberFormat="1" applyFont="1" applyFill="1" applyBorder="1" applyAlignment="1">
      <alignment horizontal="right"/>
    </xf>
    <xf numFmtId="168" fontId="4" fillId="13" borderId="11" xfId="0" applyNumberFormat="1" applyFont="1" applyFill="1" applyBorder="1"/>
    <xf numFmtId="9" fontId="3" fillId="13" borderId="4" xfId="0" applyNumberFormat="1" applyFont="1" applyFill="1" applyBorder="1"/>
    <xf numFmtId="9" fontId="3" fillId="13" borderId="4" xfId="0" applyNumberFormat="1" applyFont="1" applyFill="1" applyBorder="1" applyAlignment="1">
      <alignment horizontal="center"/>
    </xf>
    <xf numFmtId="0" fontId="3" fillId="13" borderId="12" xfId="0" applyFont="1" applyFill="1" applyBorder="1"/>
    <xf numFmtId="168" fontId="6" fillId="13" borderId="13" xfId="0" applyNumberFormat="1" applyFont="1" applyFill="1" applyBorder="1"/>
    <xf numFmtId="168" fontId="3" fillId="13" borderId="14" xfId="0" applyNumberFormat="1" applyFont="1" applyFill="1" applyBorder="1"/>
    <xf numFmtId="168" fontId="3" fillId="13" borderId="12" xfId="0" applyNumberFormat="1" applyFont="1" applyFill="1" applyBorder="1" applyAlignment="1">
      <alignment horizontal="center"/>
    </xf>
    <xf numFmtId="0" fontId="3" fillId="13" borderId="13" xfId="0" applyFont="1" applyFill="1" applyBorder="1"/>
    <xf numFmtId="168" fontId="3" fillId="13" borderId="14" xfId="0" applyNumberFormat="1" applyFont="1" applyFill="1" applyBorder="1" applyAlignment="1">
      <alignment horizontal="center" vertical="center"/>
    </xf>
    <xf numFmtId="0" fontId="9" fillId="13" borderId="4" xfId="0" applyFont="1" applyFill="1" applyBorder="1"/>
    <xf numFmtId="0" fontId="9" fillId="13" borderId="30" xfId="0" applyFont="1" applyFill="1" applyBorder="1"/>
    <xf numFmtId="0" fontId="9" fillId="13" borderId="9" xfId="0" applyFont="1" applyFill="1" applyBorder="1"/>
    <xf numFmtId="0" fontId="9" fillId="13" borderId="35" xfId="0" applyFont="1" applyFill="1" applyBorder="1"/>
    <xf numFmtId="0" fontId="9" fillId="13" borderId="36" xfId="0" applyFont="1" applyFill="1" applyBorder="1"/>
    <xf numFmtId="0" fontId="9" fillId="13" borderId="12" xfId="0" applyFont="1" applyFill="1" applyBorder="1"/>
    <xf numFmtId="0" fontId="9" fillId="13" borderId="14" xfId="0" applyFont="1" applyFill="1" applyBorder="1"/>
    <xf numFmtId="0" fontId="9" fillId="13" borderId="32" xfId="0" applyFont="1" applyFill="1" applyBorder="1"/>
    <xf numFmtId="0" fontId="9" fillId="13" borderId="33" xfId="0" applyFont="1" applyFill="1" applyBorder="1"/>
    <xf numFmtId="0" fontId="9" fillId="13" borderId="11" xfId="0" applyFont="1" applyFill="1" applyBorder="1"/>
    <xf numFmtId="0" fontId="9" fillId="13" borderId="34" xfId="0" applyFont="1" applyFill="1" applyBorder="1"/>
    <xf numFmtId="0" fontId="9" fillId="13" borderId="20" xfId="0" applyFont="1" applyFill="1" applyBorder="1"/>
    <xf numFmtId="0" fontId="9" fillId="13" borderId="10" xfId="0" applyFont="1" applyFill="1" applyBorder="1"/>
    <xf numFmtId="0" fontId="9" fillId="13" borderId="13" xfId="0" applyFont="1" applyFill="1" applyBorder="1"/>
    <xf numFmtId="0" fontId="3" fillId="14" borderId="4" xfId="0" applyFont="1" applyFill="1" applyBorder="1"/>
    <xf numFmtId="0" fontId="4" fillId="14" borderId="8" xfId="0" applyFont="1" applyFill="1" applyBorder="1" applyAlignment="1">
      <alignment horizontal="center" vertical="center"/>
    </xf>
    <xf numFmtId="0" fontId="4" fillId="14" borderId="9" xfId="0" applyFont="1" applyFill="1" applyBorder="1" applyAlignment="1">
      <alignment horizontal="center" vertical="center"/>
    </xf>
    <xf numFmtId="0" fontId="4" fillId="14" borderId="10" xfId="0" applyFont="1" applyFill="1" applyBorder="1" applyAlignment="1">
      <alignment horizontal="center" vertical="center"/>
    </xf>
    <xf numFmtId="0" fontId="3" fillId="14" borderId="4" xfId="0" applyFont="1" applyFill="1" applyBorder="1" applyAlignment="1">
      <alignment horizontal="center" vertical="center"/>
    </xf>
    <xf numFmtId="1" fontId="3" fillId="14" borderId="11" xfId="0" applyNumberFormat="1" applyFont="1" applyFill="1" applyBorder="1" applyAlignment="1">
      <alignment horizontal="center"/>
    </xf>
    <xf numFmtId="0" fontId="3" fillId="14" borderId="10" xfId="0" applyFont="1" applyFill="1" applyBorder="1" applyAlignment="1">
      <alignment horizontal="right"/>
    </xf>
    <xf numFmtId="0" fontId="3" fillId="14" borderId="12" xfId="0" applyFont="1" applyFill="1" applyBorder="1" applyAlignment="1">
      <alignment horizontal="right"/>
    </xf>
    <xf numFmtId="0" fontId="3" fillId="14" borderId="13" xfId="0" applyFont="1" applyFill="1" applyBorder="1"/>
    <xf numFmtId="1" fontId="3" fillId="14" borderId="14" xfId="0" applyNumberFormat="1" applyFont="1" applyFill="1" applyBorder="1" applyAlignment="1">
      <alignment horizontal="center"/>
    </xf>
    <xf numFmtId="0" fontId="3" fillId="14" borderId="8" xfId="0" applyFont="1" applyFill="1" applyBorder="1" applyAlignment="1">
      <alignment horizontal="center" vertical="center"/>
    </xf>
    <xf numFmtId="177" fontId="3" fillId="14" borderId="4" xfId="0" applyNumberFormat="1" applyFont="1" applyFill="1" applyBorder="1"/>
    <xf numFmtId="0" fontId="3" fillId="14" borderId="4" xfId="0" applyFont="1" applyFill="1" applyBorder="1" applyAlignment="1">
      <alignment horizontal="center"/>
    </xf>
    <xf numFmtId="0" fontId="1" fillId="14" borderId="4" xfId="0" applyFont="1" applyFill="1" applyBorder="1" applyAlignment="1">
      <alignment vertical="center" wrapText="1"/>
    </xf>
    <xf numFmtId="0" fontId="4" fillId="14" borderId="4" xfId="0" applyFont="1" applyFill="1" applyBorder="1"/>
    <xf numFmtId="0" fontId="4" fillId="14" borderId="4" xfId="0" applyFont="1" applyFill="1" applyBorder="1" applyAlignment="1">
      <alignment horizontal="center"/>
    </xf>
    <xf numFmtId="0" fontId="3" fillId="14" borderId="4" xfId="0" applyFont="1" applyFill="1" applyBorder="1" applyAlignment="1">
      <alignment wrapText="1"/>
    </xf>
    <xf numFmtId="0" fontId="4" fillId="14" borderId="4" xfId="0" applyFont="1" applyFill="1" applyBorder="1" applyAlignment="1">
      <alignment horizontal="center" wrapText="1"/>
    </xf>
    <xf numFmtId="0" fontId="4" fillId="14" borderId="8" xfId="0" applyFont="1" applyFill="1" applyBorder="1" applyAlignment="1">
      <alignment horizontal="center"/>
    </xf>
    <xf numFmtId="0" fontId="25" fillId="14" borderId="4" xfId="0" applyFont="1" applyFill="1" applyBorder="1" applyAlignment="1">
      <alignment horizontal="center" vertical="center"/>
    </xf>
    <xf numFmtId="0" fontId="3" fillId="14" borderId="22" xfId="0" applyFont="1" applyFill="1" applyBorder="1" applyAlignment="1">
      <alignment horizontal="center" vertical="center"/>
    </xf>
    <xf numFmtId="0" fontId="3" fillId="14" borderId="57" xfId="0" applyFont="1" applyFill="1" applyBorder="1" applyAlignment="1">
      <alignment horizontal="center" vertical="center"/>
    </xf>
    <xf numFmtId="0" fontId="6" fillId="3" borderId="8" xfId="0" applyFont="1" applyFill="1" applyBorder="1" applyAlignment="1">
      <alignment horizontal="center" vertical="center"/>
    </xf>
    <xf numFmtId="0" fontId="4" fillId="14" borderId="98" xfId="0" applyFont="1" applyFill="1" applyBorder="1"/>
    <xf numFmtId="0" fontId="3" fillId="3" borderId="30" xfId="0" applyFont="1" applyFill="1" applyBorder="1" applyAlignment="1">
      <alignment horizontal="center" vertical="center"/>
    </xf>
    <xf numFmtId="0" fontId="3" fillId="14" borderId="22" xfId="0" applyFont="1" applyFill="1" applyBorder="1"/>
    <xf numFmtId="0" fontId="4" fillId="14" borderId="91" xfId="0" applyFont="1" applyFill="1" applyBorder="1"/>
    <xf numFmtId="0" fontId="3" fillId="14" borderId="27" xfId="0" applyFont="1" applyFill="1" applyBorder="1"/>
    <xf numFmtId="0" fontId="4" fillId="14" borderId="22" xfId="0" applyFont="1" applyFill="1" applyBorder="1"/>
    <xf numFmtId="0" fontId="3" fillId="3" borderId="22" xfId="0" applyFont="1" applyFill="1" applyBorder="1" applyAlignment="1">
      <alignment horizontal="center"/>
    </xf>
    <xf numFmtId="0" fontId="26" fillId="14" borderId="4" xfId="0" applyFont="1" applyFill="1" applyBorder="1"/>
    <xf numFmtId="0" fontId="26" fillId="14" borderId="4" xfId="0" applyFont="1" applyFill="1" applyBorder="1" applyAlignment="1">
      <alignment horizontal="center"/>
    </xf>
    <xf numFmtId="0" fontId="26" fillId="14" borderId="4" xfId="0" applyFont="1" applyFill="1" applyBorder="1" applyAlignment="1">
      <alignment horizontal="center" wrapText="1"/>
    </xf>
    <xf numFmtId="0" fontId="27" fillId="14" borderId="4" xfId="0" applyFont="1" applyFill="1" applyBorder="1" applyAlignment="1">
      <alignment horizontal="center" vertical="center"/>
    </xf>
    <xf numFmtId="0" fontId="3" fillId="14" borderId="90" xfId="0" applyFont="1" applyFill="1" applyBorder="1" applyAlignment="1">
      <alignment horizontal="center"/>
    </xf>
    <xf numFmtId="0" fontId="3" fillId="14" borderId="4" xfId="0" applyFont="1" applyFill="1" applyBorder="1" applyAlignment="1">
      <alignment horizontal="center" wrapText="1"/>
    </xf>
    <xf numFmtId="0" fontId="6" fillId="14" borderId="4" xfId="0" applyFont="1" applyFill="1" applyBorder="1" applyAlignment="1">
      <alignment horizontal="center" vertical="center"/>
    </xf>
    <xf numFmtId="2" fontId="6" fillId="3" borderId="52" xfId="0" applyNumberFormat="1" applyFont="1" applyFill="1" applyBorder="1" applyAlignment="1">
      <alignment horizontal="center" vertical="center"/>
    </xf>
    <xf numFmtId="0" fontId="6" fillId="14" borderId="36" xfId="0" applyFont="1" applyFill="1" applyBorder="1" applyAlignment="1">
      <alignment horizontal="left" vertical="top"/>
    </xf>
    <xf numFmtId="0" fontId="4" fillId="14" borderId="10" xfId="0" applyFont="1" applyFill="1" applyBorder="1" applyAlignment="1">
      <alignment horizontal="left" vertical="top"/>
    </xf>
    <xf numFmtId="0" fontId="6" fillId="14" borderId="90" xfId="0" applyFont="1" applyFill="1" applyBorder="1" applyAlignment="1">
      <alignment horizontal="left" vertical="top"/>
    </xf>
    <xf numFmtId="2" fontId="4" fillId="14" borderId="91" xfId="0" applyNumberFormat="1" applyFont="1" applyFill="1" applyBorder="1" applyAlignment="1">
      <alignment horizontal="center" vertical="center"/>
    </xf>
    <xf numFmtId="0" fontId="6" fillId="14" borderId="11" xfId="0" applyFont="1" applyFill="1" applyBorder="1" applyAlignment="1">
      <alignment horizontal="left" vertical="top"/>
    </xf>
    <xf numFmtId="0" fontId="4" fillId="14" borderId="56" xfId="0" applyFont="1" applyFill="1" applyBorder="1"/>
    <xf numFmtId="0" fontId="4" fillId="14" borderId="57" xfId="0" applyFont="1" applyFill="1" applyBorder="1"/>
    <xf numFmtId="2" fontId="18" fillId="14" borderId="79" xfId="0" applyNumberFormat="1" applyFont="1" applyFill="1" applyBorder="1" applyAlignment="1">
      <alignment horizontal="center" vertical="center"/>
    </xf>
    <xf numFmtId="0" fontId="23" fillId="14" borderId="14" xfId="0" applyFont="1" applyFill="1" applyBorder="1" applyAlignment="1">
      <alignment horizontal="center" vertical="center"/>
    </xf>
    <xf numFmtId="0" fontId="8" fillId="14" borderId="30" xfId="0" applyFont="1" applyFill="1" applyBorder="1"/>
    <xf numFmtId="0" fontId="4" fillId="14" borderId="31" xfId="0" applyFont="1" applyFill="1" applyBorder="1"/>
    <xf numFmtId="0" fontId="4" fillId="14" borderId="9" xfId="0" applyFont="1" applyFill="1" applyBorder="1"/>
    <xf numFmtId="0" fontId="4" fillId="14" borderId="32" xfId="0" applyFont="1" applyFill="1" applyBorder="1"/>
    <xf numFmtId="0" fontId="4" fillId="14" borderId="4" xfId="0" applyFont="1" applyFill="1" applyBorder="1" applyAlignment="1">
      <alignment horizontal="center" vertical="center"/>
    </xf>
    <xf numFmtId="2" fontId="4" fillId="14" borderId="31" xfId="0" applyNumberFormat="1" applyFont="1" applyFill="1" applyBorder="1"/>
    <xf numFmtId="2" fontId="4" fillId="14" borderId="9" xfId="0" applyNumberFormat="1" applyFont="1" applyFill="1" applyBorder="1"/>
    <xf numFmtId="168" fontId="4" fillId="14" borderId="34" xfId="0" applyNumberFormat="1" applyFont="1" applyFill="1" applyBorder="1"/>
    <xf numFmtId="168" fontId="4" fillId="14" borderId="4" xfId="0" applyNumberFormat="1" applyFont="1" applyFill="1" applyBorder="1"/>
    <xf numFmtId="0" fontId="4" fillId="14" borderId="30" xfId="0" applyFont="1" applyFill="1" applyBorder="1"/>
    <xf numFmtId="167" fontId="4" fillId="14" borderId="31" xfId="0" applyNumberFormat="1" applyFont="1" applyFill="1" applyBorder="1"/>
    <xf numFmtId="0" fontId="4" fillId="14" borderId="12" xfId="0" applyFont="1" applyFill="1" applyBorder="1"/>
    <xf numFmtId="167" fontId="4" fillId="14" borderId="13" xfId="0" applyNumberFormat="1" applyFont="1" applyFill="1" applyBorder="1"/>
    <xf numFmtId="0" fontId="4" fillId="14" borderId="14" xfId="0" applyFont="1" applyFill="1" applyBorder="1"/>
    <xf numFmtId="2" fontId="4" fillId="14" borderId="4" xfId="0" applyNumberFormat="1" applyFont="1" applyFill="1" applyBorder="1"/>
    <xf numFmtId="2" fontId="3" fillId="14" borderId="22" xfId="0" applyNumberFormat="1" applyFont="1" applyFill="1" applyBorder="1"/>
    <xf numFmtId="2" fontId="3" fillId="14" borderId="22" xfId="0" applyNumberFormat="1" applyFont="1" applyFill="1" applyBorder="1" applyAlignment="1">
      <alignment horizontal="center" vertical="center"/>
    </xf>
    <xf numFmtId="1" fontId="3" fillId="14" borderId="22" xfId="0" applyNumberFormat="1" applyFont="1" applyFill="1" applyBorder="1"/>
    <xf numFmtId="2" fontId="3" fillId="14" borderId="4" xfId="0" applyNumberFormat="1" applyFont="1" applyFill="1" applyBorder="1"/>
    <xf numFmtId="168" fontId="3" fillId="14" borderId="4" xfId="0" applyNumberFormat="1" applyFont="1" applyFill="1" applyBorder="1"/>
    <xf numFmtId="164" fontId="3" fillId="14" borderId="4" xfId="0" applyNumberFormat="1" applyFont="1" applyFill="1" applyBorder="1"/>
    <xf numFmtId="170" fontId="3" fillId="14" borderId="4" xfId="0" applyNumberFormat="1" applyFont="1" applyFill="1" applyBorder="1"/>
    <xf numFmtId="4" fontId="3" fillId="14" borderId="22" xfId="0" applyNumberFormat="1" applyFont="1" applyFill="1" applyBorder="1"/>
    <xf numFmtId="0" fontId="4" fillId="14" borderId="28" xfId="0" applyFont="1" applyFill="1" applyBorder="1"/>
    <xf numFmtId="173" fontId="3" fillId="14" borderId="22" xfId="0" applyNumberFormat="1" applyFont="1" applyFill="1" applyBorder="1" applyAlignment="1">
      <alignment horizontal="center" vertical="center"/>
    </xf>
    <xf numFmtId="173" fontId="3" fillId="14" borderId="22" xfId="0" applyNumberFormat="1" applyFont="1" applyFill="1" applyBorder="1"/>
    <xf numFmtId="2" fontId="3" fillId="14" borderId="4" xfId="0" applyNumberFormat="1" applyFont="1" applyFill="1" applyBorder="1" applyAlignment="1">
      <alignment horizontal="center" vertical="center"/>
    </xf>
    <xf numFmtId="1" fontId="3" fillId="14" borderId="22" xfId="0" applyNumberFormat="1" applyFont="1" applyFill="1" applyBorder="1" applyAlignment="1">
      <alignment horizontal="right" vertical="center"/>
    </xf>
    <xf numFmtId="0" fontId="3" fillId="14" borderId="4" xfId="0" applyFont="1" applyFill="1" applyBorder="1" applyAlignment="1">
      <alignment horizontal="left" vertical="center"/>
    </xf>
    <xf numFmtId="0" fontId="5" fillId="14" borderId="4" xfId="0" applyFont="1" applyFill="1" applyBorder="1" applyAlignment="1">
      <alignment horizontal="left" vertical="center"/>
    </xf>
    <xf numFmtId="168" fontId="3" fillId="14" borderId="4" xfId="0" applyNumberFormat="1" applyFont="1" applyFill="1" applyBorder="1" applyAlignment="1">
      <alignment horizontal="left" vertical="center"/>
    </xf>
    <xf numFmtId="164" fontId="3" fillId="14" borderId="4" xfId="0" applyNumberFormat="1" applyFont="1" applyFill="1" applyBorder="1" applyAlignment="1">
      <alignment horizontal="right" vertical="center"/>
    </xf>
    <xf numFmtId="164" fontId="4" fillId="14" borderId="4" xfId="0" applyNumberFormat="1" applyFont="1" applyFill="1" applyBorder="1"/>
    <xf numFmtId="0" fontId="3" fillId="14" borderId="35" xfId="0" applyFont="1" applyFill="1" applyBorder="1"/>
    <xf numFmtId="168" fontId="3" fillId="14" borderId="20" xfId="0" applyNumberFormat="1" applyFont="1" applyFill="1" applyBorder="1"/>
    <xf numFmtId="0" fontId="3" fillId="14" borderId="36" xfId="0" applyFont="1" applyFill="1" applyBorder="1"/>
    <xf numFmtId="0" fontId="3" fillId="14" borderId="35" xfId="0" applyFont="1" applyFill="1" applyBorder="1" applyAlignment="1">
      <alignment horizontal="center"/>
    </xf>
    <xf numFmtId="171" fontId="3" fillId="14" borderId="20" xfId="0" applyNumberFormat="1" applyFont="1" applyFill="1" applyBorder="1" applyAlignment="1">
      <alignment horizontal="right"/>
    </xf>
    <xf numFmtId="168" fontId="3" fillId="14" borderId="36" xfId="0" applyNumberFormat="1" applyFont="1" applyFill="1" applyBorder="1" applyAlignment="1">
      <alignment horizontal="right"/>
    </xf>
    <xf numFmtId="0" fontId="3" fillId="14" borderId="10" xfId="0" applyFont="1" applyFill="1" applyBorder="1"/>
    <xf numFmtId="164" fontId="3" fillId="14" borderId="11" xfId="0" applyNumberFormat="1" applyFont="1" applyFill="1" applyBorder="1"/>
    <xf numFmtId="0" fontId="3" fillId="14" borderId="10" xfId="0" applyFont="1" applyFill="1" applyBorder="1" applyAlignment="1">
      <alignment horizontal="center"/>
    </xf>
    <xf numFmtId="171" fontId="3" fillId="14" borderId="4" xfId="0" applyNumberFormat="1" applyFont="1" applyFill="1" applyBorder="1" applyAlignment="1">
      <alignment horizontal="right"/>
    </xf>
    <xf numFmtId="168" fontId="3" fillId="14" borderId="11" xfId="0" applyNumberFormat="1" applyFont="1" applyFill="1" applyBorder="1" applyAlignment="1">
      <alignment horizontal="right"/>
    </xf>
    <xf numFmtId="0" fontId="3" fillId="14" borderId="11" xfId="0" applyFont="1" applyFill="1" applyBorder="1"/>
    <xf numFmtId="168" fontId="4" fillId="14" borderId="11" xfId="0" applyNumberFormat="1" applyFont="1" applyFill="1" applyBorder="1"/>
    <xf numFmtId="168" fontId="3" fillId="14" borderId="11" xfId="0" applyNumberFormat="1" applyFont="1" applyFill="1" applyBorder="1"/>
    <xf numFmtId="9" fontId="3" fillId="14" borderId="4" xfId="0" applyNumberFormat="1" applyFont="1" applyFill="1" applyBorder="1"/>
    <xf numFmtId="9" fontId="3" fillId="14" borderId="4" xfId="0" applyNumberFormat="1" applyFont="1" applyFill="1" applyBorder="1" applyAlignment="1">
      <alignment horizontal="center"/>
    </xf>
    <xf numFmtId="0" fontId="3" fillId="14" borderId="12" xfId="0" applyFont="1" applyFill="1" applyBorder="1"/>
    <xf numFmtId="168" fontId="6" fillId="14" borderId="13" xfId="0" applyNumberFormat="1" applyFont="1" applyFill="1" applyBorder="1"/>
    <xf numFmtId="0" fontId="3" fillId="14" borderId="14" xfId="0" applyFont="1" applyFill="1" applyBorder="1"/>
    <xf numFmtId="168" fontId="3" fillId="14" borderId="12" xfId="0" applyNumberFormat="1" applyFont="1" applyFill="1" applyBorder="1" applyAlignment="1">
      <alignment horizontal="center"/>
    </xf>
    <xf numFmtId="168" fontId="3" fillId="14" borderId="14" xfId="0" applyNumberFormat="1" applyFont="1" applyFill="1" applyBorder="1" applyAlignment="1">
      <alignment horizontal="center" vertical="center"/>
    </xf>
    <xf numFmtId="0" fontId="9" fillId="14" borderId="35" xfId="0" applyFont="1" applyFill="1" applyBorder="1"/>
    <xf numFmtId="0" fontId="9" fillId="14" borderId="20" xfId="0" applyFont="1" applyFill="1" applyBorder="1"/>
    <xf numFmtId="0" fontId="9" fillId="14" borderId="36" xfId="0" applyFont="1" applyFill="1" applyBorder="1"/>
    <xf numFmtId="0" fontId="9" fillId="14" borderId="4" xfId="0" applyFont="1" applyFill="1" applyBorder="1"/>
    <xf numFmtId="0" fontId="9" fillId="14" borderId="10" xfId="0" applyFont="1" applyFill="1" applyBorder="1"/>
    <xf numFmtId="0" fontId="9" fillId="14" borderId="11" xfId="0" applyFont="1" applyFill="1" applyBorder="1"/>
    <xf numFmtId="0" fontId="9" fillId="14" borderId="12" xfId="0" applyFont="1" applyFill="1" applyBorder="1"/>
    <xf numFmtId="0" fontId="9" fillId="14" borderId="13" xfId="0" applyFont="1" applyFill="1" applyBorder="1"/>
    <xf numFmtId="0" fontId="9" fillId="14" borderId="14" xfId="0" applyFont="1" applyFill="1" applyBorder="1"/>
    <xf numFmtId="0" fontId="9" fillId="14" borderId="10" xfId="0" applyFont="1" applyFill="1" applyBorder="1" applyAlignment="1">
      <alignment wrapText="1"/>
    </xf>
    <xf numFmtId="0" fontId="9" fillId="14" borderId="4" xfId="0" applyFont="1" applyFill="1" applyBorder="1" applyAlignment="1">
      <alignment wrapText="1"/>
    </xf>
    <xf numFmtId="0" fontId="9" fillId="14" borderId="11" xfId="0" applyFont="1" applyFill="1" applyBorder="1" applyAlignment="1">
      <alignment wrapText="1"/>
    </xf>
    <xf numFmtId="0" fontId="9" fillId="14" borderId="32" xfId="0" applyFont="1" applyFill="1" applyBorder="1"/>
    <xf numFmtId="0" fontId="9" fillId="14" borderId="33" xfId="0" applyFont="1" applyFill="1" applyBorder="1"/>
    <xf numFmtId="0" fontId="9" fillId="14" borderId="34" xfId="0" applyFont="1" applyFill="1" applyBorder="1"/>
    <xf numFmtId="0" fontId="3" fillId="14" borderId="32" xfId="0" applyFont="1" applyFill="1" applyBorder="1"/>
    <xf numFmtId="0" fontId="3" fillId="14" borderId="33" xfId="0" applyFont="1" applyFill="1" applyBorder="1"/>
    <xf numFmtId="0" fontId="3" fillId="14" borderId="34" xfId="0" applyFont="1" applyFill="1" applyBorder="1"/>
    <xf numFmtId="0" fontId="9" fillId="14" borderId="12" xfId="0" applyFont="1" applyFill="1" applyBorder="1" applyAlignment="1">
      <alignment wrapText="1"/>
    </xf>
    <xf numFmtId="0" fontId="9" fillId="14" borderId="13" xfId="0" applyFont="1" applyFill="1" applyBorder="1" applyAlignment="1">
      <alignment wrapText="1"/>
    </xf>
    <xf numFmtId="0" fontId="9" fillId="14" borderId="14" xfId="0" applyFont="1" applyFill="1" applyBorder="1" applyAlignment="1">
      <alignment wrapText="1"/>
    </xf>
    <xf numFmtId="0" fontId="3" fillId="14" borderId="52" xfId="0" applyFont="1" applyFill="1" applyBorder="1" applyAlignment="1">
      <alignment horizontal="center" vertical="center"/>
    </xf>
    <xf numFmtId="0" fontId="3" fillId="14" borderId="53" xfId="0" applyFont="1" applyFill="1" applyBorder="1" applyAlignment="1">
      <alignment horizontal="center" vertical="center"/>
    </xf>
    <xf numFmtId="0" fontId="4" fillId="14" borderId="102" xfId="0" applyFont="1" applyFill="1" applyBorder="1"/>
    <xf numFmtId="0" fontId="3" fillId="3" borderId="30" xfId="0" applyFont="1" applyFill="1" applyBorder="1"/>
    <xf numFmtId="0" fontId="3" fillId="14" borderId="22" xfId="0" applyFont="1" applyFill="1" applyBorder="1" applyAlignment="1">
      <alignment horizontal="center"/>
    </xf>
    <xf numFmtId="0" fontId="3" fillId="3" borderId="55" xfId="0" applyFont="1" applyFill="1" applyBorder="1"/>
    <xf numFmtId="0" fontId="3" fillId="14" borderId="103" xfId="0" applyFont="1" applyFill="1" applyBorder="1" applyAlignment="1">
      <alignment horizontal="center"/>
    </xf>
    <xf numFmtId="0" fontId="3" fillId="3" borderId="104" xfId="0" applyFont="1" applyFill="1" applyBorder="1"/>
    <xf numFmtId="0" fontId="4" fillId="14" borderId="54" xfId="0" applyFont="1" applyFill="1" applyBorder="1"/>
    <xf numFmtId="0" fontId="4" fillId="14" borderId="106" xfId="0" applyFont="1" applyFill="1" applyBorder="1"/>
    <xf numFmtId="0" fontId="3" fillId="3" borderId="103" xfId="0" applyFont="1" applyFill="1" applyBorder="1" applyAlignment="1">
      <alignment horizontal="center"/>
    </xf>
    <xf numFmtId="0" fontId="3" fillId="14" borderId="57" xfId="0" applyFont="1" applyFill="1" applyBorder="1" applyAlignment="1">
      <alignment horizontal="center"/>
    </xf>
    <xf numFmtId="0" fontId="3" fillId="14" borderId="58" xfId="0" applyFont="1" applyFill="1" applyBorder="1" applyAlignment="1">
      <alignment horizontal="center"/>
    </xf>
    <xf numFmtId="0" fontId="3" fillId="14" borderId="79" xfId="0" applyFont="1" applyFill="1" applyBorder="1" applyAlignment="1">
      <alignment horizontal="center"/>
    </xf>
    <xf numFmtId="0" fontId="3" fillId="14" borderId="80" xfId="0" applyFont="1" applyFill="1" applyBorder="1" applyAlignment="1">
      <alignment horizontal="center"/>
    </xf>
    <xf numFmtId="0" fontId="28" fillId="14" borderId="4" xfId="0" applyFont="1" applyFill="1" applyBorder="1" applyAlignment="1">
      <alignment horizontal="left"/>
    </xf>
    <xf numFmtId="0" fontId="28" fillId="14" borderId="4" xfId="0" applyFont="1" applyFill="1" applyBorder="1" applyAlignment="1">
      <alignment horizontal="center"/>
    </xf>
    <xf numFmtId="0" fontId="3" fillId="3" borderId="57" xfId="0" applyFont="1" applyFill="1" applyBorder="1" applyAlignment="1">
      <alignment horizontal="center"/>
    </xf>
    <xf numFmtId="0" fontId="8" fillId="14" borderId="107" xfId="0" applyFont="1" applyFill="1" applyBorder="1"/>
    <xf numFmtId="0" fontId="4" fillId="14" borderId="108" xfId="0" applyFont="1" applyFill="1" applyBorder="1" applyAlignment="1">
      <alignment horizontal="center"/>
    </xf>
    <xf numFmtId="0" fontId="4" fillId="14" borderId="109" xfId="0" applyFont="1" applyFill="1" applyBorder="1" applyAlignment="1">
      <alignment horizontal="center"/>
    </xf>
    <xf numFmtId="0" fontId="8" fillId="14" borderId="73" xfId="0" applyFont="1" applyFill="1" applyBorder="1"/>
    <xf numFmtId="0" fontId="4" fillId="14" borderId="74" xfId="0" applyFont="1" applyFill="1" applyBorder="1" applyAlignment="1">
      <alignment horizontal="center" vertical="center"/>
    </xf>
    <xf numFmtId="0" fontId="4" fillId="14" borderId="110" xfId="0" applyFont="1" applyFill="1" applyBorder="1" applyAlignment="1">
      <alignment horizontal="center" vertical="center"/>
    </xf>
    <xf numFmtId="0" fontId="20" fillId="14" borderId="73" xfId="0" applyFont="1" applyFill="1" applyBorder="1" applyAlignment="1">
      <alignment horizontal="center" vertical="center"/>
    </xf>
    <xf numFmtId="0" fontId="21" fillId="14" borderId="74" xfId="0" applyFont="1" applyFill="1" applyBorder="1" applyAlignment="1">
      <alignment horizontal="center" vertical="center"/>
    </xf>
    <xf numFmtId="0" fontId="20" fillId="14" borderId="74" xfId="0" applyFont="1" applyFill="1" applyBorder="1" applyAlignment="1">
      <alignment horizontal="center" vertical="center"/>
    </xf>
    <xf numFmtId="0" fontId="20" fillId="14" borderId="110" xfId="0" applyFont="1" applyFill="1" applyBorder="1" applyAlignment="1">
      <alignment horizontal="center" vertical="center"/>
    </xf>
    <xf numFmtId="0" fontId="4" fillId="14" borderId="74" xfId="0" applyFont="1" applyFill="1" applyBorder="1"/>
    <xf numFmtId="0" fontId="4" fillId="14" borderId="110" xfId="0" applyFont="1" applyFill="1" applyBorder="1"/>
    <xf numFmtId="172" fontId="3" fillId="14" borderId="11" xfId="0" applyNumberFormat="1" applyFont="1" applyFill="1" applyBorder="1"/>
    <xf numFmtId="172" fontId="3" fillId="14" borderId="14" xfId="0" applyNumberFormat="1" applyFont="1" applyFill="1" applyBorder="1" applyAlignment="1">
      <alignment horizontal="center" vertical="center"/>
    </xf>
    <xf numFmtId="4" fontId="9" fillId="14" borderId="4" xfId="0" applyNumberFormat="1" applyFont="1" applyFill="1" applyBorder="1"/>
    <xf numFmtId="4" fontId="9" fillId="14" borderId="11" xfId="0" applyNumberFormat="1" applyFont="1" applyFill="1" applyBorder="1"/>
    <xf numFmtId="4" fontId="9" fillId="14" borderId="13" xfId="0" applyNumberFormat="1" applyFont="1" applyFill="1" applyBorder="1"/>
    <xf numFmtId="4" fontId="9" fillId="14" borderId="14" xfId="0" applyNumberFormat="1" applyFont="1" applyFill="1" applyBorder="1"/>
    <xf numFmtId="0" fontId="17" fillId="14" borderId="10" xfId="0" applyFont="1" applyFill="1" applyBorder="1" applyAlignment="1">
      <alignment wrapText="1"/>
    </xf>
    <xf numFmtId="0" fontId="3" fillId="14" borderId="4" xfId="0" applyFont="1" applyFill="1" applyBorder="1" applyAlignment="1">
      <alignment horizontal="center" vertical="center" wrapText="1"/>
    </xf>
    <xf numFmtId="0" fontId="4" fillId="14" borderId="11" xfId="0" applyFont="1" applyFill="1" applyBorder="1" applyAlignment="1">
      <alignment horizontal="center" vertical="center"/>
    </xf>
    <xf numFmtId="0" fontId="5" fillId="14" borderId="4" xfId="0" applyFont="1" applyFill="1" applyBorder="1" applyAlignment="1">
      <alignment horizontal="center" vertical="center"/>
    </xf>
    <xf numFmtId="0" fontId="4" fillId="14" borderId="4" xfId="0" applyFont="1" applyFill="1" applyBorder="1" applyAlignment="1">
      <alignment horizontal="center" vertical="center" wrapText="1"/>
    </xf>
    <xf numFmtId="0" fontId="4" fillId="14" borderId="98" xfId="0" applyFont="1" applyFill="1" applyBorder="1" applyAlignment="1">
      <alignment horizontal="center"/>
    </xf>
    <xf numFmtId="0" fontId="4" fillId="14" borderId="22" xfId="0" applyFont="1" applyFill="1" applyBorder="1" applyAlignment="1">
      <alignment horizontal="center"/>
    </xf>
    <xf numFmtId="0" fontId="4" fillId="14" borderId="22" xfId="0" applyFont="1" applyFill="1" applyBorder="1" applyAlignment="1">
      <alignment horizontal="center" vertical="center"/>
    </xf>
    <xf numFmtId="0" fontId="4" fillId="14" borderId="32" xfId="0" applyFont="1" applyFill="1" applyBorder="1" applyAlignment="1">
      <alignment horizontal="center" vertical="center"/>
    </xf>
    <xf numFmtId="168" fontId="4" fillId="14" borderId="34" xfId="0" applyNumberFormat="1" applyFont="1" applyFill="1" applyBorder="1" applyAlignment="1">
      <alignment horizontal="center" vertical="center"/>
    </xf>
    <xf numFmtId="164" fontId="3" fillId="14" borderId="4" xfId="0" applyNumberFormat="1" applyFont="1" applyFill="1" applyBorder="1" applyAlignment="1">
      <alignment horizontal="left" vertical="center"/>
    </xf>
    <xf numFmtId="0" fontId="3" fillId="14" borderId="20" xfId="0" applyFont="1" applyFill="1" applyBorder="1"/>
    <xf numFmtId="1" fontId="3" fillId="14" borderId="4" xfId="0" applyNumberFormat="1" applyFont="1" applyFill="1" applyBorder="1" applyAlignment="1">
      <alignment horizontal="center"/>
    </xf>
    <xf numFmtId="0" fontId="3" fillId="14" borderId="4" xfId="0" applyFont="1" applyFill="1" applyBorder="1" applyAlignment="1">
      <alignment horizontal="right"/>
    </xf>
    <xf numFmtId="0" fontId="4" fillId="14" borderId="4" xfId="0" applyFont="1" applyFill="1" applyBorder="1" applyAlignment="1">
      <alignment horizontal="left"/>
    </xf>
    <xf numFmtId="0" fontId="3" fillId="14" borderId="103" xfId="0" applyFont="1" applyFill="1" applyBorder="1" applyAlignment="1">
      <alignment horizontal="center" vertical="center"/>
    </xf>
    <xf numFmtId="0" fontId="11" fillId="14" borderId="4" xfId="0" applyFont="1" applyFill="1" applyBorder="1" applyAlignment="1">
      <alignment vertical="center"/>
    </xf>
    <xf numFmtId="0" fontId="1" fillId="14" borderId="4" xfId="0" applyFont="1" applyFill="1" applyBorder="1" applyAlignment="1">
      <alignment horizontal="center" vertical="center" wrapText="1"/>
    </xf>
    <xf numFmtId="0" fontId="1" fillId="14" borderId="4" xfId="0" applyFont="1" applyFill="1" applyBorder="1"/>
    <xf numFmtId="0" fontId="3" fillId="14" borderId="35" xfId="0" applyFont="1" applyFill="1" applyBorder="1" applyAlignment="1">
      <alignment horizontal="center" vertical="center"/>
    </xf>
    <xf numFmtId="0" fontId="3" fillId="14" borderId="36" xfId="0" applyFont="1" applyFill="1" applyBorder="1" applyAlignment="1">
      <alignment horizontal="center" vertical="center"/>
    </xf>
    <xf numFmtId="0" fontId="3" fillId="14" borderId="11" xfId="0" applyFont="1" applyFill="1" applyBorder="1" applyAlignment="1">
      <alignment horizontal="center" vertical="center"/>
    </xf>
    <xf numFmtId="0" fontId="6" fillId="14" borderId="8" xfId="0" applyFont="1" applyFill="1" applyBorder="1" applyAlignment="1">
      <alignment horizontal="center" vertical="center"/>
    </xf>
    <xf numFmtId="0" fontId="3" fillId="14" borderId="10" xfId="0" applyFont="1" applyFill="1" applyBorder="1" applyAlignment="1">
      <alignment horizontal="center" vertical="center"/>
    </xf>
    <xf numFmtId="0" fontId="4" fillId="14" borderId="102" xfId="0" applyFont="1" applyFill="1" applyBorder="1" applyAlignment="1">
      <alignment horizontal="center" vertical="center"/>
    </xf>
    <xf numFmtId="0" fontId="3" fillId="3" borderId="55" xfId="0" applyFont="1" applyFill="1" applyBorder="1" applyAlignment="1">
      <alignment horizontal="center" vertical="center"/>
    </xf>
    <xf numFmtId="0" fontId="4" fillId="14" borderId="112" xfId="0" applyFont="1" applyFill="1" applyBorder="1" applyAlignment="1">
      <alignment horizontal="center" vertical="center"/>
    </xf>
    <xf numFmtId="0" fontId="3" fillId="14" borderId="27" xfId="0" applyFont="1" applyFill="1" applyBorder="1" applyAlignment="1">
      <alignment horizontal="center" vertical="center"/>
    </xf>
    <xf numFmtId="0" fontId="4" fillId="14" borderId="56" xfId="0" applyFont="1" applyFill="1" applyBorder="1" applyAlignment="1">
      <alignment horizontal="center" vertical="center"/>
    </xf>
    <xf numFmtId="0" fontId="26" fillId="14" borderId="13" xfId="0" applyFont="1" applyFill="1" applyBorder="1" applyAlignment="1">
      <alignment horizontal="center" vertical="center"/>
    </xf>
    <xf numFmtId="0" fontId="26" fillId="14" borderId="13" xfId="0" applyFont="1" applyFill="1" applyBorder="1" applyAlignment="1">
      <alignment horizontal="center" vertical="center" wrapText="1"/>
    </xf>
    <xf numFmtId="0" fontId="27" fillId="14" borderId="14" xfId="0" applyFont="1" applyFill="1" applyBorder="1" applyAlignment="1">
      <alignment horizontal="center" vertical="center"/>
    </xf>
    <xf numFmtId="0" fontId="26" fillId="14" borderId="4" xfId="0" applyFont="1" applyFill="1" applyBorder="1" applyAlignment="1">
      <alignment horizontal="center" vertical="center"/>
    </xf>
    <xf numFmtId="2" fontId="3" fillId="14" borderId="22" xfId="0" applyNumberFormat="1" applyFont="1" applyFill="1" applyBorder="1" applyAlignment="1">
      <alignment vertical="center"/>
    </xf>
    <xf numFmtId="0" fontId="3" fillId="14" borderId="22" xfId="0" applyFont="1" applyFill="1" applyBorder="1" applyAlignment="1">
      <alignment horizontal="right"/>
    </xf>
    <xf numFmtId="0" fontId="3" fillId="14" borderId="22" xfId="0" applyFont="1" applyFill="1" applyBorder="1" applyAlignment="1">
      <alignment vertical="center"/>
    </xf>
    <xf numFmtId="173" fontId="3" fillId="14" borderId="22" xfId="0" applyNumberFormat="1" applyFont="1" applyFill="1" applyBorder="1" applyAlignment="1">
      <alignment vertical="center"/>
    </xf>
    <xf numFmtId="173" fontId="3" fillId="14" borderId="22" xfId="0" applyNumberFormat="1" applyFont="1" applyFill="1" applyBorder="1" applyAlignment="1">
      <alignment horizontal="right"/>
    </xf>
    <xf numFmtId="0" fontId="3" fillId="14" borderId="4" xfId="0" applyFont="1" applyFill="1" applyBorder="1" applyAlignment="1">
      <alignment vertical="center"/>
    </xf>
    <xf numFmtId="173" fontId="3" fillId="14" borderId="4" xfId="0" applyNumberFormat="1" applyFont="1" applyFill="1" applyBorder="1" applyAlignment="1">
      <alignment vertical="center"/>
    </xf>
    <xf numFmtId="173" fontId="3" fillId="14" borderId="4" xfId="0" applyNumberFormat="1" applyFont="1" applyFill="1" applyBorder="1" applyAlignment="1">
      <alignment horizontal="right"/>
    </xf>
    <xf numFmtId="0" fontId="4" fillId="14" borderId="4" xfId="0" applyFont="1" applyFill="1" applyBorder="1" applyAlignment="1">
      <alignment horizontal="left" vertical="top"/>
    </xf>
    <xf numFmtId="0" fontId="3" fillId="14" borderId="4" xfId="0" applyFont="1" applyFill="1" applyBorder="1" applyAlignment="1">
      <alignment horizontal="left"/>
    </xf>
    <xf numFmtId="0" fontId="5" fillId="14" borderId="4" xfId="0" applyFont="1" applyFill="1" applyBorder="1"/>
    <xf numFmtId="0" fontId="6" fillId="3" borderId="30" xfId="0" applyFont="1" applyFill="1" applyBorder="1" applyAlignment="1">
      <alignment horizontal="center" vertical="center"/>
    </xf>
    <xf numFmtId="0" fontId="4" fillId="14" borderId="35" xfId="0" applyFont="1" applyFill="1" applyBorder="1"/>
    <xf numFmtId="0" fontId="4" fillId="14" borderId="10" xfId="0" applyFont="1" applyFill="1" applyBorder="1"/>
    <xf numFmtId="0" fontId="3" fillId="14" borderId="11" xfId="0" applyFont="1" applyFill="1" applyBorder="1" applyAlignment="1">
      <alignment horizontal="center"/>
    </xf>
    <xf numFmtId="0" fontId="4" fillId="14" borderId="12" xfId="0" applyFont="1" applyFill="1" applyBorder="1" applyAlignment="1">
      <alignment wrapText="1"/>
    </xf>
    <xf numFmtId="0" fontId="3" fillId="14" borderId="13" xfId="0" applyFont="1" applyFill="1" applyBorder="1" applyAlignment="1">
      <alignment wrapText="1"/>
    </xf>
    <xf numFmtId="0" fontId="3" fillId="14" borderId="14" xfId="0" applyFont="1" applyFill="1" applyBorder="1" applyAlignment="1">
      <alignment wrapText="1"/>
    </xf>
    <xf numFmtId="0" fontId="4" fillId="14" borderId="33" xfId="0" applyFont="1" applyFill="1" applyBorder="1" applyAlignment="1">
      <alignment horizontal="center" vertical="center"/>
    </xf>
    <xf numFmtId="0" fontId="8" fillId="14" borderId="4" xfId="0" applyFont="1" applyFill="1" applyBorder="1"/>
    <xf numFmtId="168" fontId="4" fillId="14" borderId="4" xfId="0" applyNumberFormat="1" applyFont="1" applyFill="1" applyBorder="1" applyAlignment="1">
      <alignment horizontal="center" vertical="center"/>
    </xf>
    <xf numFmtId="173" fontId="3" fillId="14" borderId="4" xfId="0" applyNumberFormat="1" applyFont="1" applyFill="1" applyBorder="1"/>
    <xf numFmtId="0" fontId="3" fillId="14" borderId="4" xfId="0" applyFont="1" applyFill="1" applyBorder="1" applyAlignment="1">
      <alignment horizontal="right" vertical="center"/>
    </xf>
    <xf numFmtId="168" fontId="3" fillId="14" borderId="14" xfId="0" applyNumberFormat="1" applyFont="1" applyFill="1" applyBorder="1"/>
    <xf numFmtId="0" fontId="9" fillId="14" borderId="30" xfId="0" applyFont="1" applyFill="1" applyBorder="1"/>
    <xf numFmtId="0" fontId="9" fillId="14" borderId="31" xfId="0" applyFont="1" applyFill="1" applyBorder="1"/>
    <xf numFmtId="0" fontId="9" fillId="14" borderId="9" xfId="0" applyFont="1" applyFill="1" applyBorder="1"/>
    <xf numFmtId="0" fontId="9" fillId="14" borderId="51" xfId="0" applyFont="1" applyFill="1" applyBorder="1"/>
    <xf numFmtId="0" fontId="9" fillId="14" borderId="52" xfId="0" applyFont="1" applyFill="1" applyBorder="1"/>
    <xf numFmtId="0" fontId="3" fillId="14" borderId="54" xfId="0" applyFont="1" applyFill="1" applyBorder="1"/>
    <xf numFmtId="0" fontId="3" fillId="14" borderId="91" xfId="0" applyFont="1" applyFill="1" applyBorder="1"/>
    <xf numFmtId="0" fontId="3" fillId="14" borderId="113" xfId="0" applyFont="1" applyFill="1" applyBorder="1"/>
    <xf numFmtId="168" fontId="3" fillId="14" borderId="22" xfId="0" applyNumberFormat="1" applyFont="1" applyFill="1" applyBorder="1"/>
    <xf numFmtId="168" fontId="3" fillId="14" borderId="55" xfId="0" applyNumberFormat="1" applyFont="1" applyFill="1" applyBorder="1"/>
    <xf numFmtId="0" fontId="3" fillId="14" borderId="56" xfId="0" applyFont="1" applyFill="1" applyBorder="1"/>
    <xf numFmtId="0" fontId="3" fillId="14" borderId="57" xfId="0" applyFont="1" applyFill="1" applyBorder="1"/>
    <xf numFmtId="168" fontId="3" fillId="14" borderId="57" xfId="0" applyNumberFormat="1" applyFont="1" applyFill="1" applyBorder="1"/>
    <xf numFmtId="168" fontId="3" fillId="14" borderId="58" xfId="0" applyNumberFormat="1" applyFont="1" applyFill="1" applyBorder="1"/>
    <xf numFmtId="0" fontId="3" fillId="14" borderId="32" xfId="0" applyFont="1" applyFill="1" applyBorder="1" applyAlignment="1">
      <alignment horizontal="left" vertical="center"/>
    </xf>
    <xf numFmtId="0" fontId="3" fillId="14" borderId="33" xfId="0" applyFont="1" applyFill="1" applyBorder="1" applyAlignment="1">
      <alignment horizontal="left" vertical="center"/>
    </xf>
    <xf numFmtId="0" fontId="3" fillId="14" borderId="34" xfId="0" applyFont="1" applyFill="1" applyBorder="1" applyAlignment="1">
      <alignment horizontal="left" vertical="center"/>
    </xf>
    <xf numFmtId="0" fontId="3" fillId="14" borderId="10" xfId="0" applyFont="1" applyFill="1" applyBorder="1" applyAlignment="1">
      <alignment horizontal="left" vertical="center"/>
    </xf>
    <xf numFmtId="0" fontId="9" fillId="14" borderId="35" xfId="0" applyFont="1" applyFill="1" applyBorder="1" applyAlignment="1">
      <alignment horizontal="center"/>
    </xf>
    <xf numFmtId="0" fontId="9" fillId="14" borderId="53" xfId="0" applyFont="1" applyFill="1" applyBorder="1"/>
    <xf numFmtId="0" fontId="9" fillId="14" borderId="10" xfId="0" applyFont="1" applyFill="1" applyBorder="1" applyAlignment="1">
      <alignment horizontal="center"/>
    </xf>
    <xf numFmtId="0" fontId="3" fillId="14" borderId="55" xfId="0" applyFont="1" applyFill="1" applyBorder="1"/>
    <xf numFmtId="0" fontId="3" fillId="14" borderId="58" xfId="0" applyFont="1" applyFill="1" applyBorder="1"/>
    <xf numFmtId="0" fontId="24" fillId="14" borderId="4" xfId="0" applyFont="1" applyFill="1" applyBorder="1" applyAlignment="1">
      <alignment horizontal="center" vertical="center" wrapText="1"/>
    </xf>
    <xf numFmtId="0" fontId="3" fillId="0" borderId="8" xfId="0" applyFont="1" applyBorder="1"/>
    <xf numFmtId="0" fontId="3" fillId="14" borderId="115" xfId="0" applyFont="1" applyFill="1" applyBorder="1" applyAlignment="1">
      <alignment horizontal="center" vertical="center"/>
    </xf>
    <xf numFmtId="0" fontId="3" fillId="14" borderId="37" xfId="0" applyFont="1" applyFill="1" applyBorder="1" applyAlignment="1">
      <alignment horizontal="center" vertical="center"/>
    </xf>
    <xf numFmtId="0" fontId="6" fillId="3" borderId="34" xfId="0" applyFont="1" applyFill="1" applyBorder="1" applyAlignment="1">
      <alignment horizontal="center" vertical="center"/>
    </xf>
    <xf numFmtId="0" fontId="6" fillId="14" borderId="34" xfId="0" applyFont="1" applyFill="1" applyBorder="1" applyAlignment="1">
      <alignment horizontal="center" vertical="center"/>
    </xf>
    <xf numFmtId="0" fontId="3" fillId="3" borderId="34" xfId="0" applyFont="1" applyFill="1" applyBorder="1" applyAlignment="1">
      <alignment horizontal="center"/>
    </xf>
    <xf numFmtId="0" fontId="4" fillId="14" borderId="115" xfId="0" applyFont="1" applyFill="1" applyBorder="1"/>
    <xf numFmtId="0" fontId="3" fillId="0" borderId="8" xfId="0" applyFont="1" applyBorder="1" applyAlignment="1">
      <alignment horizontal="center"/>
    </xf>
    <xf numFmtId="0" fontId="6" fillId="3" borderId="73" xfId="0" applyFont="1" applyFill="1" applyBorder="1" applyAlignment="1">
      <alignment horizontal="center" vertical="center"/>
    </xf>
    <xf numFmtId="0" fontId="4" fillId="14" borderId="31" xfId="0" applyFont="1" applyFill="1" applyBorder="1" applyAlignment="1">
      <alignment horizontal="center" vertical="center"/>
    </xf>
    <xf numFmtId="2" fontId="4" fillId="14" borderId="31" xfId="0" applyNumberFormat="1" applyFont="1" applyFill="1" applyBorder="1" applyAlignment="1">
      <alignment horizontal="center" vertical="center"/>
    </xf>
    <xf numFmtId="2" fontId="4" fillId="14" borderId="9" xfId="0" applyNumberFormat="1" applyFont="1" applyFill="1" applyBorder="1" applyAlignment="1">
      <alignment horizontal="center" vertical="center"/>
    </xf>
    <xf numFmtId="2" fontId="4" fillId="14" borderId="22" xfId="0" applyNumberFormat="1" applyFont="1" applyFill="1" applyBorder="1" applyAlignment="1">
      <alignment horizontal="center" vertical="center"/>
    </xf>
    <xf numFmtId="0" fontId="4" fillId="14" borderId="22" xfId="0" applyFont="1" applyFill="1" applyBorder="1" applyAlignment="1">
      <alignment horizontal="left"/>
    </xf>
    <xf numFmtId="168" fontId="9" fillId="14" borderId="36" xfId="0" applyNumberFormat="1" applyFont="1" applyFill="1" applyBorder="1"/>
    <xf numFmtId="168" fontId="9" fillId="14" borderId="11" xfId="0" applyNumberFormat="1" applyFont="1" applyFill="1" applyBorder="1"/>
    <xf numFmtId="168" fontId="9" fillId="14" borderId="14" xfId="0" applyNumberFormat="1" applyFont="1" applyFill="1" applyBorder="1"/>
    <xf numFmtId="0" fontId="11" fillId="14" borderId="4" xfId="0" applyFont="1" applyFill="1" applyBorder="1" applyAlignment="1">
      <alignment horizontal="center" vertical="center"/>
    </xf>
    <xf numFmtId="0" fontId="11" fillId="13" borderId="4" xfId="0" applyFont="1" applyFill="1" applyBorder="1"/>
    <xf numFmtId="0" fontId="4" fillId="13" borderId="8" xfId="0" applyFont="1" applyFill="1" applyBorder="1" applyAlignment="1">
      <alignment horizontal="center" vertical="center"/>
    </xf>
    <xf numFmtId="0" fontId="4" fillId="13" borderId="9" xfId="0" applyFont="1" applyFill="1" applyBorder="1" applyAlignment="1">
      <alignment horizontal="center" vertical="center"/>
    </xf>
    <xf numFmtId="0" fontId="4" fillId="13" borderId="10" xfId="0" applyFont="1" applyFill="1" applyBorder="1" applyAlignment="1">
      <alignment horizontal="center" vertical="center"/>
    </xf>
    <xf numFmtId="1" fontId="3" fillId="13" borderId="11" xfId="0" applyNumberFormat="1" applyFont="1" applyFill="1" applyBorder="1" applyAlignment="1">
      <alignment horizontal="center"/>
    </xf>
    <xf numFmtId="0" fontId="3" fillId="13" borderId="10" xfId="0" applyFont="1" applyFill="1" applyBorder="1" applyAlignment="1">
      <alignment horizontal="right"/>
    </xf>
    <xf numFmtId="0" fontId="3" fillId="13" borderId="12" xfId="0" applyFont="1" applyFill="1" applyBorder="1" applyAlignment="1">
      <alignment horizontal="right"/>
    </xf>
    <xf numFmtId="1" fontId="3" fillId="13" borderId="14" xfId="0" applyNumberFormat="1" applyFont="1" applyFill="1" applyBorder="1" applyAlignment="1">
      <alignment horizontal="center"/>
    </xf>
    <xf numFmtId="0" fontId="3" fillId="13" borderId="4" xfId="0" applyFont="1" applyFill="1" applyBorder="1" applyAlignment="1">
      <alignment horizontal="right"/>
    </xf>
    <xf numFmtId="1" fontId="3" fillId="13" borderId="4" xfId="0" applyNumberFormat="1" applyFont="1" applyFill="1" applyBorder="1" applyAlignment="1">
      <alignment horizontal="center"/>
    </xf>
    <xf numFmtId="177" fontId="3" fillId="13" borderId="4" xfId="0" applyNumberFormat="1" applyFont="1" applyFill="1" applyBorder="1"/>
    <xf numFmtId="0" fontId="3" fillId="13" borderId="53" xfId="0" applyFont="1" applyFill="1" applyBorder="1" applyAlignment="1">
      <alignment horizontal="center" vertical="center"/>
    </xf>
    <xf numFmtId="0" fontId="4" fillId="13" borderId="102" xfId="0" applyFont="1" applyFill="1" applyBorder="1"/>
    <xf numFmtId="0" fontId="3" fillId="3" borderId="8" xfId="0" applyFont="1" applyFill="1" applyBorder="1"/>
    <xf numFmtId="0" fontId="3" fillId="13" borderId="103" xfId="0" applyFont="1" applyFill="1" applyBorder="1" applyAlignment="1">
      <alignment horizontal="center"/>
    </xf>
    <xf numFmtId="0" fontId="3" fillId="3" borderId="62" xfId="0" applyFont="1" applyFill="1" applyBorder="1" applyAlignment="1">
      <alignment horizontal="center" vertical="center"/>
    </xf>
    <xf numFmtId="0" fontId="4" fillId="13" borderId="8" xfId="0" applyFont="1" applyFill="1" applyBorder="1" applyAlignment="1">
      <alignment horizontal="center"/>
    </xf>
    <xf numFmtId="0" fontId="3" fillId="13" borderId="116" xfId="0" applyFont="1" applyFill="1" applyBorder="1" applyAlignment="1">
      <alignment horizontal="center"/>
    </xf>
    <xf numFmtId="0" fontId="3" fillId="13" borderId="62" xfId="0" applyFont="1" applyFill="1" applyBorder="1" applyAlignment="1">
      <alignment horizontal="center" vertical="center"/>
    </xf>
    <xf numFmtId="0" fontId="4" fillId="13" borderId="4" xfId="0" applyFont="1" applyFill="1" applyBorder="1" applyAlignment="1">
      <alignment horizontal="center"/>
    </xf>
    <xf numFmtId="0" fontId="3" fillId="3" borderId="117" xfId="0" applyFont="1" applyFill="1" applyBorder="1" applyAlignment="1">
      <alignment horizontal="center"/>
    </xf>
    <xf numFmtId="0" fontId="4" fillId="13" borderId="106" xfId="0" applyFont="1" applyFill="1" applyBorder="1"/>
    <xf numFmtId="0" fontId="4" fillId="13" borderId="22" xfId="0" applyFont="1" applyFill="1" applyBorder="1" applyAlignment="1">
      <alignment horizontal="center" vertical="center" wrapText="1"/>
    </xf>
    <xf numFmtId="0" fontId="4" fillId="13" borderId="4" xfId="0" applyFont="1" applyFill="1" applyBorder="1" applyAlignment="1">
      <alignment horizontal="center" vertical="center" wrapText="1"/>
    </xf>
    <xf numFmtId="0" fontId="3" fillId="13" borderId="4" xfId="0" applyFont="1" applyFill="1" applyBorder="1" applyAlignment="1">
      <alignment horizontal="center" vertical="center" wrapText="1"/>
    </xf>
    <xf numFmtId="0" fontId="3" fillId="13" borderId="11" xfId="0" applyFont="1" applyFill="1" applyBorder="1" applyAlignment="1">
      <alignment horizontal="center"/>
    </xf>
    <xf numFmtId="0" fontId="3" fillId="13" borderId="22" xfId="0" applyFont="1" applyFill="1" applyBorder="1" applyAlignment="1">
      <alignment horizontal="center"/>
    </xf>
    <xf numFmtId="0" fontId="3" fillId="13" borderId="57" xfId="0" applyFont="1" applyFill="1" applyBorder="1" applyAlignment="1">
      <alignment horizontal="center"/>
    </xf>
    <xf numFmtId="0" fontId="3" fillId="13" borderId="58" xfId="0" applyFont="1" applyFill="1" applyBorder="1" applyAlignment="1">
      <alignment horizontal="center"/>
    </xf>
    <xf numFmtId="167" fontId="4" fillId="13" borderId="31" xfId="0" applyNumberFormat="1" applyFont="1" applyFill="1" applyBorder="1"/>
    <xf numFmtId="0" fontId="4" fillId="13" borderId="9" xfId="0" applyFont="1" applyFill="1" applyBorder="1"/>
    <xf numFmtId="168" fontId="4" fillId="13" borderId="9" xfId="0" applyNumberFormat="1" applyFont="1" applyFill="1" applyBorder="1"/>
    <xf numFmtId="0" fontId="4" fillId="13" borderId="22" xfId="0" applyFont="1" applyFill="1" applyBorder="1"/>
    <xf numFmtId="173" fontId="3" fillId="13" borderId="22" xfId="0" applyNumberFormat="1" applyFont="1" applyFill="1" applyBorder="1" applyAlignment="1">
      <alignment horizontal="center" vertical="center"/>
    </xf>
    <xf numFmtId="173" fontId="3" fillId="13" borderId="22" xfId="0" applyNumberFormat="1" applyFont="1" applyFill="1" applyBorder="1"/>
    <xf numFmtId="0" fontId="3" fillId="13" borderId="22" xfId="0" applyFont="1" applyFill="1" applyBorder="1" applyAlignment="1">
      <alignment horizontal="center" vertical="center"/>
    </xf>
    <xf numFmtId="172" fontId="3" fillId="13" borderId="11" xfId="0" applyNumberFormat="1" applyFont="1" applyFill="1" applyBorder="1"/>
    <xf numFmtId="0" fontId="3" fillId="13" borderId="14" xfId="0" applyFont="1" applyFill="1" applyBorder="1"/>
    <xf numFmtId="172" fontId="3" fillId="13" borderId="14" xfId="0" applyNumberFormat="1" applyFont="1" applyFill="1" applyBorder="1" applyAlignment="1">
      <alignment horizontal="center" vertical="center"/>
    </xf>
    <xf numFmtId="0" fontId="3" fillId="13" borderId="32" xfId="0" applyFont="1" applyFill="1" applyBorder="1"/>
    <xf numFmtId="0" fontId="3" fillId="13" borderId="33" xfId="0" applyFont="1" applyFill="1" applyBorder="1"/>
    <xf numFmtId="0" fontId="3" fillId="13" borderId="34" xfId="0" applyFont="1" applyFill="1" applyBorder="1"/>
    <xf numFmtId="0" fontId="4" fillId="13" borderId="10" xfId="0" applyFont="1" applyFill="1" applyBorder="1" applyAlignment="1">
      <alignment wrapText="1"/>
    </xf>
    <xf numFmtId="0" fontId="3" fillId="13" borderId="11" xfId="0" applyFont="1" applyFill="1" applyBorder="1" applyAlignment="1">
      <alignment wrapText="1"/>
    </xf>
    <xf numFmtId="0" fontId="3" fillId="13" borderId="10" xfId="0" applyFont="1" applyFill="1" applyBorder="1" applyAlignment="1">
      <alignment wrapText="1"/>
    </xf>
    <xf numFmtId="0" fontId="3" fillId="13" borderId="10" xfId="0" applyFont="1" applyFill="1" applyBorder="1" applyAlignment="1">
      <alignment horizontal="center" wrapText="1"/>
    </xf>
    <xf numFmtId="0" fontId="3" fillId="13" borderId="4" xfId="0" applyFont="1" applyFill="1" applyBorder="1" applyAlignment="1">
      <alignment horizontal="center" wrapText="1"/>
    </xf>
    <xf numFmtId="0" fontId="3" fillId="13" borderId="11" xfId="0" applyFont="1" applyFill="1" applyBorder="1" applyAlignment="1">
      <alignment horizontal="center" wrapText="1"/>
    </xf>
    <xf numFmtId="0" fontId="3" fillId="13" borderId="12" xfId="0" applyFont="1" applyFill="1" applyBorder="1" applyAlignment="1">
      <alignment horizontal="center" wrapText="1"/>
    </xf>
    <xf numFmtId="0" fontId="3" fillId="13" borderId="13" xfId="0" applyFont="1" applyFill="1" applyBorder="1" applyAlignment="1">
      <alignment horizontal="center" wrapText="1"/>
    </xf>
    <xf numFmtId="0" fontId="3" fillId="13" borderId="14" xfId="0" applyFont="1" applyFill="1" applyBorder="1" applyAlignment="1">
      <alignment horizontal="center" wrapText="1"/>
    </xf>
    <xf numFmtId="0" fontId="11" fillId="13" borderId="4" xfId="0" applyFont="1" applyFill="1" applyBorder="1" applyAlignment="1">
      <alignment horizontal="center"/>
    </xf>
    <xf numFmtId="0" fontId="28" fillId="13" borderId="4" xfId="0" applyFont="1" applyFill="1" applyBorder="1" applyAlignment="1">
      <alignment horizontal="center"/>
    </xf>
    <xf numFmtId="0" fontId="28" fillId="13" borderId="4" xfId="0" applyFont="1" applyFill="1" applyBorder="1"/>
    <xf numFmtId="173" fontId="3" fillId="13" borderId="4" xfId="0" applyNumberFormat="1" applyFont="1" applyFill="1" applyBorder="1"/>
    <xf numFmtId="173" fontId="3" fillId="13" borderId="13" xfId="0" applyNumberFormat="1" applyFont="1" applyFill="1" applyBorder="1" applyAlignment="1">
      <alignment horizontal="center" wrapText="1"/>
    </xf>
    <xf numFmtId="2" fontId="3" fillId="13" borderId="13" xfId="0" applyNumberFormat="1" applyFont="1" applyFill="1" applyBorder="1" applyAlignment="1">
      <alignment horizontal="center" wrapText="1"/>
    </xf>
    <xf numFmtId="0" fontId="11" fillId="7" borderId="4" xfId="0" applyFont="1" applyFill="1" applyBorder="1" applyAlignment="1">
      <alignment horizontal="center" vertical="center"/>
    </xf>
    <xf numFmtId="0" fontId="3" fillId="7" borderId="4" xfId="0" applyFont="1" applyFill="1" applyBorder="1"/>
    <xf numFmtId="0" fontId="3" fillId="7" borderId="4" xfId="0" applyFont="1" applyFill="1" applyBorder="1" applyAlignment="1">
      <alignment horizontal="center" vertical="center"/>
    </xf>
    <xf numFmtId="0" fontId="3" fillId="7" borderId="8" xfId="0" applyFont="1" applyFill="1" applyBorder="1" applyAlignment="1">
      <alignment horizontal="center" vertical="center"/>
    </xf>
    <xf numFmtId="0" fontId="4" fillId="7" borderId="4" xfId="0" applyFont="1" applyFill="1" applyBorder="1"/>
    <xf numFmtId="0" fontId="4" fillId="7" borderId="4" xfId="0" applyFont="1" applyFill="1" applyBorder="1" applyAlignment="1">
      <alignment vertical="center" wrapText="1"/>
    </xf>
    <xf numFmtId="168" fontId="3" fillId="7" borderId="4" xfId="0" applyNumberFormat="1" applyFont="1" applyFill="1" applyBorder="1" applyAlignment="1">
      <alignment horizontal="center" vertical="center"/>
    </xf>
    <xf numFmtId="168" fontId="3" fillId="7" borderId="4" xfId="0" applyNumberFormat="1" applyFont="1" applyFill="1" applyBorder="1"/>
    <xf numFmtId="0" fontId="4" fillId="7" borderId="4" xfId="0" applyFont="1" applyFill="1" applyBorder="1" applyAlignment="1">
      <alignment horizontal="left" vertical="top"/>
    </xf>
    <xf numFmtId="0" fontId="3" fillId="7" borderId="4" xfId="0" applyFont="1" applyFill="1" applyBorder="1" applyAlignment="1">
      <alignment horizontal="center"/>
    </xf>
    <xf numFmtId="0" fontId="3" fillId="7" borderId="10" xfId="0" applyFont="1" applyFill="1" applyBorder="1"/>
    <xf numFmtId="0" fontId="1" fillId="7" borderId="51" xfId="0" applyFont="1" applyFill="1" applyBorder="1" applyAlignment="1">
      <alignment wrapText="1"/>
    </xf>
    <xf numFmtId="0" fontId="3" fillId="7" borderId="52" xfId="0" applyFont="1" applyFill="1" applyBorder="1" applyAlignment="1">
      <alignment horizontal="center" vertical="center"/>
    </xf>
    <xf numFmtId="0" fontId="3" fillId="7" borderId="53" xfId="0" applyFont="1" applyFill="1" applyBorder="1" applyAlignment="1">
      <alignment horizontal="center" vertical="center"/>
    </xf>
    <xf numFmtId="0" fontId="1" fillId="7" borderId="4" xfId="0" applyFont="1" applyFill="1" applyBorder="1" applyAlignment="1">
      <alignment wrapText="1"/>
    </xf>
    <xf numFmtId="0" fontId="1" fillId="7" borderId="56" xfId="0" applyFont="1" applyFill="1" applyBorder="1" applyAlignment="1">
      <alignment wrapText="1"/>
    </xf>
    <xf numFmtId="0" fontId="6" fillId="7" borderId="4" xfId="0" applyFont="1" applyFill="1" applyBorder="1" applyAlignment="1">
      <alignment horizontal="center" vertical="center"/>
    </xf>
    <xf numFmtId="0" fontId="4" fillId="7" borderId="51" xfId="0" applyFont="1" applyFill="1" applyBorder="1"/>
    <xf numFmtId="0" fontId="6" fillId="3" borderId="53" xfId="0" applyFont="1" applyFill="1" applyBorder="1" applyAlignment="1">
      <alignment horizontal="center" vertical="center"/>
    </xf>
    <xf numFmtId="0" fontId="4" fillId="7" borderId="8" xfId="0" applyFont="1" applyFill="1" applyBorder="1" applyAlignment="1">
      <alignment horizontal="center" vertical="center"/>
    </xf>
    <xf numFmtId="0" fontId="4" fillId="7" borderId="4" xfId="0" applyFont="1" applyFill="1" applyBorder="1" applyAlignment="1">
      <alignment horizontal="center" vertical="center"/>
    </xf>
    <xf numFmtId="0" fontId="4" fillId="7" borderId="56" xfId="0" applyFont="1" applyFill="1" applyBorder="1"/>
    <xf numFmtId="0" fontId="6" fillId="7" borderId="4" xfId="0" applyFont="1" applyFill="1" applyBorder="1"/>
    <xf numFmtId="0" fontId="8" fillId="7" borderId="30" xfId="0" applyFont="1" applyFill="1" applyBorder="1"/>
    <xf numFmtId="0" fontId="4" fillId="7" borderId="31" xfId="0" applyFont="1" applyFill="1" applyBorder="1" applyAlignment="1">
      <alignment horizontal="right" vertical="center"/>
    </xf>
    <xf numFmtId="0" fontId="4" fillId="7" borderId="9" xfId="0" applyFont="1" applyFill="1" applyBorder="1" applyAlignment="1">
      <alignment horizontal="right" vertical="center"/>
    </xf>
    <xf numFmtId="0" fontId="4" fillId="7" borderId="32" xfId="0" applyFont="1" applyFill="1" applyBorder="1"/>
    <xf numFmtId="2" fontId="4" fillId="7" borderId="31" xfId="0" applyNumberFormat="1" applyFont="1" applyFill="1" applyBorder="1"/>
    <xf numFmtId="2" fontId="4" fillId="7" borderId="9" xfId="0" applyNumberFormat="1" applyFont="1" applyFill="1" applyBorder="1"/>
    <xf numFmtId="168" fontId="4" fillId="7" borderId="34" xfId="0" applyNumberFormat="1" applyFont="1" applyFill="1" applyBorder="1"/>
    <xf numFmtId="168" fontId="4" fillId="7" borderId="4" xfId="0" applyNumberFormat="1" applyFont="1" applyFill="1" applyBorder="1"/>
    <xf numFmtId="0" fontId="4" fillId="7" borderId="30" xfId="0" applyFont="1" applyFill="1" applyBorder="1"/>
    <xf numFmtId="167" fontId="4" fillId="7" borderId="31" xfId="0" applyNumberFormat="1" applyFont="1" applyFill="1" applyBorder="1"/>
    <xf numFmtId="0" fontId="4" fillId="7" borderId="9" xfId="0" applyFont="1" applyFill="1" applyBorder="1"/>
    <xf numFmtId="174" fontId="3" fillId="7" borderId="4" xfId="0" applyNumberFormat="1" applyFont="1" applyFill="1" applyBorder="1"/>
    <xf numFmtId="0" fontId="4" fillId="7" borderId="12" xfId="0" applyFont="1" applyFill="1" applyBorder="1"/>
    <xf numFmtId="167" fontId="4" fillId="7" borderId="13" xfId="0" applyNumberFormat="1" applyFont="1" applyFill="1" applyBorder="1"/>
    <xf numFmtId="0" fontId="4" fillId="7" borderId="14" xfId="0" applyFont="1" applyFill="1" applyBorder="1"/>
    <xf numFmtId="0" fontId="3" fillId="7" borderId="22" xfId="0" applyFont="1" applyFill="1" applyBorder="1"/>
    <xf numFmtId="2" fontId="3" fillId="7" borderId="22" xfId="0" applyNumberFormat="1" applyFont="1" applyFill="1" applyBorder="1" applyAlignment="1">
      <alignment horizontal="center" vertical="center"/>
    </xf>
    <xf numFmtId="164" fontId="3" fillId="7" borderId="4" xfId="0" applyNumberFormat="1" applyFont="1" applyFill="1" applyBorder="1"/>
    <xf numFmtId="170" fontId="3" fillId="7" borderId="4" xfId="0" applyNumberFormat="1" applyFont="1" applyFill="1" applyBorder="1"/>
    <xf numFmtId="0" fontId="4" fillId="7" borderId="22" xfId="0" applyFont="1" applyFill="1" applyBorder="1"/>
    <xf numFmtId="2" fontId="3" fillId="7" borderId="4" xfId="0" applyNumberFormat="1" applyFont="1" applyFill="1" applyBorder="1" applyAlignment="1">
      <alignment horizontal="center" vertical="center"/>
    </xf>
    <xf numFmtId="164" fontId="4" fillId="7" borderId="4" xfId="0" applyNumberFormat="1" applyFont="1" applyFill="1" applyBorder="1"/>
    <xf numFmtId="0" fontId="3" fillId="7" borderId="35" xfId="0" applyFont="1" applyFill="1" applyBorder="1"/>
    <xf numFmtId="168" fontId="3" fillId="7" borderId="20" xfId="0" applyNumberFormat="1" applyFont="1" applyFill="1" applyBorder="1"/>
    <xf numFmtId="0" fontId="3" fillId="7" borderId="36" xfId="0" applyFont="1" applyFill="1" applyBorder="1"/>
    <xf numFmtId="0" fontId="3" fillId="7" borderId="20" xfId="0" applyFont="1" applyFill="1" applyBorder="1" applyAlignment="1">
      <alignment horizontal="center"/>
    </xf>
    <xf numFmtId="171" fontId="3" fillId="7" borderId="20" xfId="0" applyNumberFormat="1" applyFont="1" applyFill="1" applyBorder="1" applyAlignment="1">
      <alignment horizontal="right"/>
    </xf>
    <xf numFmtId="172" fontId="3" fillId="7" borderId="36" xfId="0" applyNumberFormat="1" applyFont="1" applyFill="1" applyBorder="1"/>
    <xf numFmtId="9" fontId="3" fillId="7" borderId="4" xfId="0" applyNumberFormat="1" applyFont="1" applyFill="1" applyBorder="1"/>
    <xf numFmtId="164" fontId="3" fillId="7" borderId="11" xfId="0" applyNumberFormat="1" applyFont="1" applyFill="1" applyBorder="1"/>
    <xf numFmtId="171" fontId="3" fillId="7" borderId="4" xfId="0" applyNumberFormat="1" applyFont="1" applyFill="1" applyBorder="1" applyAlignment="1">
      <alignment horizontal="right"/>
    </xf>
    <xf numFmtId="172" fontId="3" fillId="7" borderId="11" xfId="0" applyNumberFormat="1" applyFont="1" applyFill="1" applyBorder="1"/>
    <xf numFmtId="0" fontId="3" fillId="7" borderId="11" xfId="0" applyFont="1" applyFill="1" applyBorder="1"/>
    <xf numFmtId="168" fontId="4" fillId="7" borderId="11" xfId="0" applyNumberFormat="1" applyFont="1" applyFill="1" applyBorder="1"/>
    <xf numFmtId="9" fontId="3" fillId="7" borderId="4" xfId="0" applyNumberFormat="1" applyFont="1" applyFill="1" applyBorder="1" applyAlignment="1">
      <alignment horizontal="center"/>
    </xf>
    <xf numFmtId="0" fontId="3" fillId="7" borderId="12" xfId="0" applyFont="1" applyFill="1" applyBorder="1"/>
    <xf numFmtId="168" fontId="6" fillId="7" borderId="13" xfId="0" applyNumberFormat="1" applyFont="1" applyFill="1" applyBorder="1"/>
    <xf numFmtId="168" fontId="3" fillId="7" borderId="14" xfId="0" applyNumberFormat="1" applyFont="1" applyFill="1" applyBorder="1"/>
    <xf numFmtId="168" fontId="3" fillId="7" borderId="13" xfId="0" applyNumberFormat="1" applyFont="1" applyFill="1" applyBorder="1" applyAlignment="1">
      <alignment horizontal="center"/>
    </xf>
    <xf numFmtId="0" fontId="3" fillId="7" borderId="13" xfId="0" applyFont="1" applyFill="1" applyBorder="1"/>
    <xf numFmtId="172" fontId="3" fillId="7" borderId="14" xfId="0" applyNumberFormat="1" applyFont="1" applyFill="1" applyBorder="1" applyAlignment="1">
      <alignment horizontal="center" vertical="center"/>
    </xf>
    <xf numFmtId="0" fontId="9" fillId="7" borderId="30" xfId="0" applyFont="1" applyFill="1" applyBorder="1"/>
    <xf numFmtId="0" fontId="9" fillId="7" borderId="9" xfId="0" applyFont="1" applyFill="1" applyBorder="1"/>
    <xf numFmtId="0" fontId="9" fillId="7" borderId="8" xfId="0" applyFont="1" applyFill="1" applyBorder="1"/>
    <xf numFmtId="0" fontId="9" fillId="7" borderId="36" xfId="0" applyFont="1" applyFill="1" applyBorder="1"/>
    <xf numFmtId="0" fontId="9" fillId="7" borderId="10" xfId="0" applyFont="1" applyFill="1" applyBorder="1"/>
    <xf numFmtId="0" fontId="9" fillId="7" borderId="11" xfId="0" applyFont="1" applyFill="1" applyBorder="1"/>
    <xf numFmtId="0" fontId="9" fillId="7" borderId="12" xfId="0" applyFont="1" applyFill="1" applyBorder="1"/>
    <xf numFmtId="0" fontId="9" fillId="7" borderId="14" xfId="0" applyFont="1" applyFill="1" applyBorder="1"/>
    <xf numFmtId="0" fontId="9" fillId="7" borderId="32" xfId="0" applyFont="1" applyFill="1" applyBorder="1"/>
    <xf numFmtId="0" fontId="9" fillId="7" borderId="34" xfId="0" applyFont="1" applyFill="1" applyBorder="1"/>
    <xf numFmtId="0" fontId="3" fillId="7" borderId="32" xfId="0" applyFont="1" applyFill="1" applyBorder="1"/>
    <xf numFmtId="0" fontId="3" fillId="7" borderId="34" xfId="0" applyFont="1" applyFill="1" applyBorder="1"/>
    <xf numFmtId="2" fontId="3" fillId="14" borderId="22" xfId="0" applyNumberFormat="1" applyFont="1" applyFill="1" applyBorder="1" applyAlignment="1">
      <alignment horizontal="center"/>
    </xf>
    <xf numFmtId="0" fontId="29" fillId="6" borderId="20" xfId="0" applyFont="1" applyFill="1" applyBorder="1"/>
    <xf numFmtId="0" fontId="29" fillId="6" borderId="36" xfId="0" applyFont="1" applyFill="1" applyBorder="1"/>
    <xf numFmtId="0" fontId="29" fillId="6" borderId="4" xfId="0" applyFont="1" applyFill="1" applyBorder="1"/>
    <xf numFmtId="0" fontId="29" fillId="6" borderId="10" xfId="0" applyFont="1" applyFill="1" applyBorder="1" applyAlignment="1">
      <alignment horizontal="center"/>
    </xf>
    <xf numFmtId="0" fontId="29" fillId="6" borderId="4" xfId="0" applyFont="1" applyFill="1" applyBorder="1" applyAlignment="1">
      <alignment horizontal="center"/>
    </xf>
    <xf numFmtId="0" fontId="29" fillId="6" borderId="11" xfId="0" applyFont="1" applyFill="1" applyBorder="1"/>
    <xf numFmtId="0" fontId="29" fillId="6" borderId="10" xfId="0" applyFont="1" applyFill="1" applyBorder="1"/>
    <xf numFmtId="0" fontId="29" fillId="3" borderId="22" xfId="0" applyFont="1" applyFill="1" applyBorder="1" applyAlignment="1">
      <alignment horizontal="center"/>
    </xf>
    <xf numFmtId="0" fontId="29" fillId="3" borderId="22" xfId="0" applyFont="1" applyFill="1" applyBorder="1"/>
    <xf numFmtId="179" fontId="29" fillId="6" borderId="4" xfId="0" applyNumberFormat="1" applyFont="1" applyFill="1" applyBorder="1"/>
    <xf numFmtId="168" fontId="29" fillId="6" borderId="4" xfId="0" applyNumberFormat="1" applyFont="1" applyFill="1" applyBorder="1"/>
    <xf numFmtId="164" fontId="29" fillId="6" borderId="4" xfId="0" applyNumberFormat="1" applyFont="1" applyFill="1" applyBorder="1"/>
    <xf numFmtId="168" fontId="29" fillId="6" borderId="11" xfId="0" applyNumberFormat="1" applyFont="1" applyFill="1" applyBorder="1"/>
    <xf numFmtId="0" fontId="29" fillId="6" borderId="12" xfId="0" applyFont="1" applyFill="1" applyBorder="1"/>
    <xf numFmtId="0" fontId="29" fillId="3" borderId="57" xfId="0" applyFont="1" applyFill="1" applyBorder="1" applyAlignment="1">
      <alignment horizontal="center"/>
    </xf>
    <xf numFmtId="0" fontId="29" fillId="3" borderId="57" xfId="0" applyFont="1" applyFill="1" applyBorder="1"/>
    <xf numFmtId="0" fontId="29" fillId="6" borderId="13" xfId="0" applyFont="1" applyFill="1" applyBorder="1"/>
    <xf numFmtId="179" fontId="29" fillId="6" borderId="13" xfId="0" applyNumberFormat="1" applyFont="1" applyFill="1" applyBorder="1"/>
    <xf numFmtId="168" fontId="29" fillId="6" borderId="13" xfId="0" applyNumberFormat="1" applyFont="1" applyFill="1" applyBorder="1"/>
    <xf numFmtId="164" fontId="29" fillId="6" borderId="13" xfId="0" applyNumberFormat="1" applyFont="1" applyFill="1" applyBorder="1"/>
    <xf numFmtId="168" fontId="29" fillId="6" borderId="14" xfId="0" applyNumberFormat="1" applyFont="1" applyFill="1" applyBorder="1"/>
    <xf numFmtId="0" fontId="29" fillId="6" borderId="12" xfId="0" applyFont="1" applyFill="1" applyBorder="1" applyAlignment="1">
      <alignment horizontal="center"/>
    </xf>
    <xf numFmtId="0" fontId="29" fillId="6" borderId="11" xfId="0" applyFont="1" applyFill="1" applyBorder="1" applyAlignment="1">
      <alignment horizontal="center"/>
    </xf>
    <xf numFmtId="0" fontId="29" fillId="6" borderId="13" xfId="0" applyFont="1" applyFill="1" applyBorder="1" applyAlignment="1">
      <alignment horizontal="center"/>
    </xf>
    <xf numFmtId="0" fontId="29" fillId="6" borderId="14" xfId="0" applyFont="1" applyFill="1" applyBorder="1"/>
    <xf numFmtId="0" fontId="29" fillId="6" borderId="32" xfId="0" applyFont="1" applyFill="1" applyBorder="1"/>
    <xf numFmtId="0" fontId="29" fillId="6" borderId="34" xfId="0" applyFont="1" applyFill="1" applyBorder="1"/>
    <xf numFmtId="168" fontId="29" fillId="6" borderId="36" xfId="0" applyNumberFormat="1" applyFont="1" applyFill="1" applyBorder="1"/>
    <xf numFmtId="0" fontId="29" fillId="6" borderId="33" xfId="0" applyFont="1" applyFill="1" applyBorder="1" applyAlignment="1">
      <alignment horizontal="left" vertical="center"/>
    </xf>
    <xf numFmtId="0" fontId="29" fillId="6" borderId="33" xfId="0" applyFont="1" applyFill="1" applyBorder="1"/>
    <xf numFmtId="0" fontId="29" fillId="6" borderId="32" xfId="0" applyFont="1" applyFill="1" applyBorder="1" applyAlignment="1">
      <alignment horizontal="left"/>
    </xf>
    <xf numFmtId="0" fontId="29" fillId="6" borderId="33" xfId="0" applyFont="1" applyFill="1" applyBorder="1" applyAlignment="1">
      <alignment horizontal="left"/>
    </xf>
    <xf numFmtId="0" fontId="29" fillId="6" borderId="34" xfId="0" applyFont="1" applyFill="1" applyBorder="1" applyAlignment="1">
      <alignment horizontal="left"/>
    </xf>
    <xf numFmtId="0" fontId="11" fillId="15" borderId="4" xfId="0" applyFont="1" applyFill="1" applyBorder="1" applyAlignment="1">
      <alignment horizontal="center" vertical="center"/>
    </xf>
    <xf numFmtId="0" fontId="3" fillId="15" borderId="4" xfId="0" applyFont="1" applyFill="1" applyBorder="1"/>
    <xf numFmtId="0" fontId="4" fillId="15" borderId="8" xfId="0" applyFont="1" applyFill="1" applyBorder="1" applyAlignment="1">
      <alignment horizontal="center" vertical="center"/>
    </xf>
    <xf numFmtId="0" fontId="4" fillId="15" borderId="9" xfId="0" applyFont="1" applyFill="1" applyBorder="1" applyAlignment="1">
      <alignment horizontal="center" vertical="center"/>
    </xf>
    <xf numFmtId="0" fontId="4" fillId="15" borderId="4" xfId="0" applyFont="1" applyFill="1" applyBorder="1" applyAlignment="1">
      <alignment horizontal="center" vertical="center"/>
    </xf>
    <xf numFmtId="0" fontId="3" fillId="15" borderId="4" xfId="0" applyFont="1" applyFill="1" applyBorder="1" applyAlignment="1">
      <alignment horizontal="center" vertical="center"/>
    </xf>
    <xf numFmtId="1" fontId="3" fillId="15" borderId="11" xfId="0" applyNumberFormat="1" applyFont="1" applyFill="1" applyBorder="1" applyAlignment="1">
      <alignment horizontal="center"/>
    </xf>
    <xf numFmtId="1" fontId="3" fillId="15" borderId="4" xfId="0" applyNumberFormat="1" applyFont="1" applyFill="1" applyBorder="1" applyAlignment="1">
      <alignment horizontal="center"/>
    </xf>
    <xf numFmtId="0" fontId="3" fillId="15" borderId="10" xfId="0" applyFont="1" applyFill="1" applyBorder="1" applyAlignment="1">
      <alignment horizontal="right"/>
    </xf>
    <xf numFmtId="0" fontId="3" fillId="15" borderId="12" xfId="0" applyFont="1" applyFill="1" applyBorder="1" applyAlignment="1">
      <alignment horizontal="right"/>
    </xf>
    <xf numFmtId="0" fontId="3" fillId="15" borderId="13" xfId="0" applyFont="1" applyFill="1" applyBorder="1"/>
    <xf numFmtId="1" fontId="3" fillId="15" borderId="14" xfId="0" applyNumberFormat="1" applyFont="1" applyFill="1" applyBorder="1" applyAlignment="1">
      <alignment horizontal="center"/>
    </xf>
    <xf numFmtId="177" fontId="3" fillId="15" borderId="4" xfId="0" applyNumberFormat="1" applyFont="1" applyFill="1" applyBorder="1"/>
    <xf numFmtId="0" fontId="3" fillId="15" borderId="4" xfId="0" applyFont="1" applyFill="1" applyBorder="1" applyAlignment="1">
      <alignment horizontal="center"/>
    </xf>
    <xf numFmtId="0" fontId="4" fillId="15" borderId="4" xfId="0" applyFont="1" applyFill="1" applyBorder="1"/>
    <xf numFmtId="0" fontId="4" fillId="15" borderId="4" xfId="0" applyFont="1" applyFill="1" applyBorder="1" applyAlignment="1">
      <alignment horizontal="center"/>
    </xf>
    <xf numFmtId="0" fontId="3" fillId="15" borderId="4" xfId="0" applyFont="1" applyFill="1" applyBorder="1" applyAlignment="1">
      <alignment wrapText="1"/>
    </xf>
    <xf numFmtId="0" fontId="4" fillId="15" borderId="8" xfId="0" applyFont="1" applyFill="1" applyBorder="1" applyAlignment="1">
      <alignment horizontal="center"/>
    </xf>
    <xf numFmtId="0" fontId="3" fillId="15" borderId="22" xfId="0" applyFont="1" applyFill="1" applyBorder="1" applyAlignment="1">
      <alignment horizontal="center" vertical="center"/>
    </xf>
    <xf numFmtId="0" fontId="3" fillId="15" borderId="4" xfId="0" applyFont="1" applyFill="1" applyBorder="1" applyAlignment="1">
      <alignment horizontal="center" wrapText="1"/>
    </xf>
    <xf numFmtId="0" fontId="6" fillId="15" borderId="4" xfId="0" applyFont="1" applyFill="1" applyBorder="1" applyAlignment="1">
      <alignment horizontal="center" vertical="center"/>
    </xf>
    <xf numFmtId="0" fontId="8" fillId="15" borderId="30" xfId="0" applyFont="1" applyFill="1" applyBorder="1"/>
    <xf numFmtId="0" fontId="4" fillId="15" borderId="31" xfId="0" applyFont="1" applyFill="1" applyBorder="1"/>
    <xf numFmtId="0" fontId="4" fillId="15" borderId="9" xfId="0" applyFont="1" applyFill="1" applyBorder="1"/>
    <xf numFmtId="0" fontId="4" fillId="15" borderId="32" xfId="0" applyFont="1" applyFill="1" applyBorder="1"/>
    <xf numFmtId="2" fontId="4" fillId="15" borderId="31" xfId="0" applyNumberFormat="1" applyFont="1" applyFill="1" applyBorder="1"/>
    <xf numFmtId="2" fontId="4" fillId="15" borderId="9" xfId="0" applyNumberFormat="1" applyFont="1" applyFill="1" applyBorder="1"/>
    <xf numFmtId="168" fontId="4" fillId="15" borderId="34" xfId="0" applyNumberFormat="1" applyFont="1" applyFill="1" applyBorder="1"/>
    <xf numFmtId="168" fontId="4" fillId="15" borderId="4" xfId="0" applyNumberFormat="1" applyFont="1" applyFill="1" applyBorder="1"/>
    <xf numFmtId="0" fontId="4" fillId="15" borderId="35" xfId="0" applyFont="1" applyFill="1" applyBorder="1"/>
    <xf numFmtId="167" fontId="4" fillId="15" borderId="20" xfId="0" applyNumberFormat="1" applyFont="1" applyFill="1" applyBorder="1"/>
    <xf numFmtId="0" fontId="4" fillId="15" borderId="36" xfId="0" applyFont="1" applyFill="1" applyBorder="1"/>
    <xf numFmtId="0" fontId="4" fillId="15" borderId="10" xfId="0" applyFont="1" applyFill="1" applyBorder="1"/>
    <xf numFmtId="167" fontId="4" fillId="15" borderId="4" xfId="0" applyNumberFormat="1" applyFont="1" applyFill="1" applyBorder="1"/>
    <xf numFmtId="0" fontId="4" fillId="15" borderId="11" xfId="0" applyFont="1" applyFill="1" applyBorder="1"/>
    <xf numFmtId="0" fontId="4" fillId="15" borderId="12" xfId="0" applyFont="1" applyFill="1" applyBorder="1"/>
    <xf numFmtId="173" fontId="4" fillId="15" borderId="13" xfId="0" applyNumberFormat="1" applyFont="1" applyFill="1" applyBorder="1"/>
    <xf numFmtId="0" fontId="4" fillId="15" borderId="14" xfId="0" applyFont="1" applyFill="1" applyBorder="1"/>
    <xf numFmtId="2" fontId="4" fillId="15" borderId="4" xfId="0" applyNumberFormat="1" applyFont="1" applyFill="1" applyBorder="1"/>
    <xf numFmtId="2" fontId="3" fillId="15" borderId="22" xfId="0" applyNumberFormat="1" applyFont="1" applyFill="1" applyBorder="1"/>
    <xf numFmtId="2" fontId="3" fillId="15" borderId="22" xfId="0" applyNumberFormat="1" applyFont="1" applyFill="1" applyBorder="1" applyAlignment="1">
      <alignment horizontal="center" vertical="center"/>
    </xf>
    <xf numFmtId="1" fontId="3" fillId="15" borderId="22" xfId="0" applyNumberFormat="1" applyFont="1" applyFill="1" applyBorder="1"/>
    <xf numFmtId="2" fontId="3" fillId="15" borderId="4" xfId="0" applyNumberFormat="1" applyFont="1" applyFill="1" applyBorder="1"/>
    <xf numFmtId="168" fontId="3" fillId="15" borderId="4" xfId="0" applyNumberFormat="1" applyFont="1" applyFill="1" applyBorder="1"/>
    <xf numFmtId="174" fontId="3" fillId="15" borderId="4" xfId="0" applyNumberFormat="1" applyFont="1" applyFill="1" applyBorder="1"/>
    <xf numFmtId="170" fontId="3" fillId="15" borderId="4" xfId="0" applyNumberFormat="1" applyFont="1" applyFill="1" applyBorder="1"/>
    <xf numFmtId="0" fontId="3" fillId="15" borderId="22" xfId="0" applyFont="1" applyFill="1" applyBorder="1"/>
    <xf numFmtId="2" fontId="3" fillId="15" borderId="4" xfId="0" applyNumberFormat="1" applyFont="1" applyFill="1" applyBorder="1" applyAlignment="1">
      <alignment horizontal="center" vertical="center"/>
    </xf>
    <xf numFmtId="174" fontId="4" fillId="15" borderId="4" xfId="0" applyNumberFormat="1" applyFont="1" applyFill="1" applyBorder="1"/>
    <xf numFmtId="0" fontId="3" fillId="15" borderId="35" xfId="0" applyFont="1" applyFill="1" applyBorder="1"/>
    <xf numFmtId="168" fontId="3" fillId="15" borderId="20" xfId="0" applyNumberFormat="1" applyFont="1" applyFill="1" applyBorder="1"/>
    <xf numFmtId="0" fontId="3" fillId="15" borderId="36" xfId="0" applyFont="1" applyFill="1" applyBorder="1"/>
    <xf numFmtId="0" fontId="3" fillId="15" borderId="35" xfId="0" applyFont="1" applyFill="1" applyBorder="1" applyAlignment="1">
      <alignment horizontal="center"/>
    </xf>
    <xf numFmtId="171" fontId="3" fillId="15" borderId="20" xfId="0" applyNumberFormat="1" applyFont="1" applyFill="1" applyBorder="1" applyAlignment="1">
      <alignment horizontal="right"/>
    </xf>
    <xf numFmtId="168" fontId="3" fillId="15" borderId="36" xfId="0" applyNumberFormat="1" applyFont="1" applyFill="1" applyBorder="1" applyAlignment="1">
      <alignment horizontal="right"/>
    </xf>
    <xf numFmtId="0" fontId="3" fillId="15" borderId="10" xfId="0" applyFont="1" applyFill="1" applyBorder="1"/>
    <xf numFmtId="174" fontId="3" fillId="15" borderId="11" xfId="0" applyNumberFormat="1" applyFont="1" applyFill="1" applyBorder="1"/>
    <xf numFmtId="0" fontId="3" fillId="15" borderId="10" xfId="0" applyFont="1" applyFill="1" applyBorder="1" applyAlignment="1">
      <alignment horizontal="center"/>
    </xf>
    <xf numFmtId="171" fontId="3" fillId="15" borderId="4" xfId="0" applyNumberFormat="1" applyFont="1" applyFill="1" applyBorder="1" applyAlignment="1">
      <alignment horizontal="right"/>
    </xf>
    <xf numFmtId="168" fontId="3" fillId="15" borderId="11" xfId="0" applyNumberFormat="1" applyFont="1" applyFill="1" applyBorder="1" applyAlignment="1">
      <alignment horizontal="right"/>
    </xf>
    <xf numFmtId="0" fontId="3" fillId="15" borderId="11" xfId="0" applyFont="1" applyFill="1" applyBorder="1"/>
    <xf numFmtId="168" fontId="3" fillId="15" borderId="11" xfId="0" applyNumberFormat="1" applyFont="1" applyFill="1" applyBorder="1"/>
    <xf numFmtId="0" fontId="3" fillId="15" borderId="12" xfId="0" applyFont="1" applyFill="1" applyBorder="1"/>
    <xf numFmtId="168" fontId="4" fillId="15" borderId="13" xfId="0" applyNumberFormat="1" applyFont="1" applyFill="1" applyBorder="1"/>
    <xf numFmtId="0" fontId="3" fillId="15" borderId="14" xfId="0" applyFont="1" applyFill="1" applyBorder="1"/>
    <xf numFmtId="168" fontId="3" fillId="15" borderId="12" xfId="0" applyNumberFormat="1" applyFont="1" applyFill="1" applyBorder="1" applyAlignment="1">
      <alignment horizontal="center"/>
    </xf>
    <xf numFmtId="168" fontId="3" fillId="15" borderId="14" xfId="0" applyNumberFormat="1" applyFont="1" applyFill="1" applyBorder="1" applyAlignment="1">
      <alignment horizontal="center" vertical="center"/>
    </xf>
    <xf numFmtId="0" fontId="3" fillId="16" borderId="36" xfId="0" applyFont="1" applyFill="1" applyBorder="1"/>
    <xf numFmtId="0" fontId="3" fillId="16" borderId="11" xfId="0" applyFont="1" applyFill="1" applyBorder="1"/>
    <xf numFmtId="0" fontId="3" fillId="16" borderId="14" xfId="0" applyFont="1" applyFill="1" applyBorder="1"/>
    <xf numFmtId="0" fontId="9" fillId="0" borderId="0" xfId="0" applyFont="1" applyAlignment="1">
      <alignment horizontal="center"/>
    </xf>
    <xf numFmtId="0" fontId="21" fillId="0" borderId="0" xfId="0" applyFont="1" applyAlignment="1">
      <alignment horizontal="center"/>
    </xf>
    <xf numFmtId="0" fontId="18" fillId="0" borderId="38" xfId="0" applyFont="1" applyBorder="1"/>
    <xf numFmtId="170" fontId="30" fillId="0" borderId="39" xfId="0" applyNumberFormat="1" applyFont="1" applyBorder="1"/>
    <xf numFmtId="0" fontId="18" fillId="0" borderId="39" xfId="0" applyFont="1" applyBorder="1"/>
    <xf numFmtId="165" fontId="18" fillId="0" borderId="40" xfId="0" applyNumberFormat="1" applyFont="1" applyBorder="1"/>
    <xf numFmtId="0" fontId="18" fillId="0" borderId="41" xfId="0" applyFont="1" applyBorder="1"/>
    <xf numFmtId="170" fontId="30" fillId="0" borderId="0" xfId="0" applyNumberFormat="1" applyFont="1"/>
    <xf numFmtId="0" fontId="18" fillId="0" borderId="0" xfId="0" applyFont="1"/>
    <xf numFmtId="165" fontId="18" fillId="0" borderId="42" xfId="0" applyNumberFormat="1" applyFont="1" applyBorder="1"/>
    <xf numFmtId="2" fontId="31" fillId="0" borderId="0" xfId="0" applyNumberFormat="1" applyFont="1"/>
    <xf numFmtId="2" fontId="18" fillId="0" borderId="0" xfId="0" applyNumberFormat="1" applyFont="1"/>
    <xf numFmtId="0" fontId="18" fillId="0" borderId="41" xfId="0" applyFont="1" applyBorder="1" applyAlignment="1">
      <alignment horizontal="left" vertical="center"/>
    </xf>
    <xf numFmtId="2" fontId="32" fillId="12" borderId="4" xfId="0" applyNumberFormat="1" applyFont="1" applyFill="1" applyBorder="1"/>
    <xf numFmtId="170" fontId="18" fillId="0" borderId="0" xfId="0" applyNumberFormat="1" applyFont="1"/>
    <xf numFmtId="0" fontId="8" fillId="0" borderId="41" xfId="0" applyFont="1" applyBorder="1"/>
    <xf numFmtId="0" fontId="31" fillId="0" borderId="0" xfId="0" applyFont="1"/>
    <xf numFmtId="2" fontId="30" fillId="0" borderId="0" xfId="0" applyNumberFormat="1" applyFont="1"/>
    <xf numFmtId="2" fontId="32" fillId="3" borderId="4" xfId="0" applyNumberFormat="1" applyFont="1" applyFill="1" applyBorder="1"/>
    <xf numFmtId="2" fontId="23" fillId="0" borderId="0" xfId="0" applyNumberFormat="1" applyFont="1"/>
    <xf numFmtId="0" fontId="33" fillId="12" borderId="4" xfId="0" applyFont="1" applyFill="1" applyBorder="1"/>
    <xf numFmtId="165" fontId="9" fillId="0" borderId="42" xfId="0" applyNumberFormat="1" applyFont="1" applyBorder="1"/>
    <xf numFmtId="165" fontId="9" fillId="0" borderId="45" xfId="0" applyNumberFormat="1" applyFont="1" applyBorder="1"/>
    <xf numFmtId="9" fontId="9" fillId="0" borderId="0" xfId="0" applyNumberFormat="1" applyFont="1"/>
    <xf numFmtId="9" fontId="9" fillId="12" borderId="36" xfId="0" applyNumberFormat="1" applyFont="1" applyFill="1" applyBorder="1"/>
    <xf numFmtId="9" fontId="9" fillId="12" borderId="4" xfId="0" applyNumberFormat="1" applyFont="1" applyFill="1" applyBorder="1"/>
    <xf numFmtId="9" fontId="9" fillId="0" borderId="45" xfId="0" applyNumberFormat="1" applyFont="1" applyBorder="1"/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0" fontId="18" fillId="0" borderId="46" xfId="0" applyFont="1" applyBorder="1"/>
    <xf numFmtId="0" fontId="18" fillId="0" borderId="48" xfId="0" applyFont="1" applyBorder="1"/>
    <xf numFmtId="0" fontId="11" fillId="14" borderId="1" xfId="0" applyFont="1" applyFill="1" applyBorder="1" applyAlignment="1">
      <alignment horizontal="center" vertical="center"/>
    </xf>
    <xf numFmtId="0" fontId="2" fillId="0" borderId="2" xfId="0" applyFont="1" applyBorder="1"/>
    <xf numFmtId="0" fontId="2" fillId="0" borderId="3" xfId="0" applyFont="1" applyBorder="1"/>
    <xf numFmtId="0" fontId="2" fillId="0" borderId="5" xfId="0" applyFont="1" applyBorder="1"/>
    <xf numFmtId="0" fontId="2" fillId="0" borderId="6" xfId="0" applyFont="1" applyBorder="1"/>
    <xf numFmtId="0" fontId="2" fillId="0" borderId="7" xfId="0" applyFont="1" applyBorder="1"/>
    <xf numFmtId="0" fontId="1" fillId="14" borderId="1" xfId="0" applyFont="1" applyFill="1" applyBorder="1" applyAlignment="1">
      <alignment horizontal="center" vertical="center" wrapText="1"/>
    </xf>
    <xf numFmtId="0" fontId="2" fillId="0" borderId="18" xfId="0" applyFont="1" applyBorder="1"/>
    <xf numFmtId="0" fontId="2" fillId="0" borderId="19" xfId="0" applyFont="1" applyBorder="1"/>
    <xf numFmtId="0" fontId="6" fillId="2" borderId="24" xfId="0" applyFont="1" applyFill="1" applyBorder="1" applyAlignment="1">
      <alignment horizontal="center" vertical="center"/>
    </xf>
    <xf numFmtId="0" fontId="2" fillId="0" borderId="25" xfId="0" applyFont="1" applyBorder="1"/>
    <xf numFmtId="0" fontId="2" fillId="0" borderId="26" xfId="0" applyFont="1" applyBorder="1"/>
    <xf numFmtId="0" fontId="3" fillId="2" borderId="1" xfId="0" applyFont="1" applyFill="1" applyBorder="1" applyAlignment="1">
      <alignment horizontal="center" vertical="center"/>
    </xf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15" xfId="0" applyFont="1" applyFill="1" applyBorder="1" applyAlignment="1">
      <alignment horizontal="center"/>
    </xf>
    <xf numFmtId="0" fontId="2" fillId="0" borderId="16" xfId="0" applyFont="1" applyBorder="1"/>
    <xf numFmtId="0" fontId="2" fillId="0" borderId="17" xfId="0" applyFont="1" applyBorder="1"/>
    <xf numFmtId="0" fontId="5" fillId="2" borderId="15" xfId="0" applyFont="1" applyFill="1" applyBorder="1" applyAlignment="1">
      <alignment horizontal="center"/>
    </xf>
    <xf numFmtId="0" fontId="1" fillId="2" borderId="21" xfId="0" applyFont="1" applyFill="1" applyBorder="1" applyAlignment="1">
      <alignment horizontal="center" wrapText="1"/>
    </xf>
    <xf numFmtId="0" fontId="2" fillId="0" borderId="23" xfId="0" applyFont="1" applyBorder="1"/>
    <xf numFmtId="0" fontId="3" fillId="2" borderId="15" xfId="0" applyFont="1" applyFill="1" applyBorder="1" applyAlignment="1">
      <alignment horizontal="center"/>
    </xf>
    <xf numFmtId="0" fontId="11" fillId="2" borderId="1" xfId="0" applyFont="1" applyFill="1" applyBorder="1" applyAlignment="1">
      <alignment horizontal="center" vertical="center"/>
    </xf>
    <xf numFmtId="0" fontId="1" fillId="2" borderId="49" xfId="0" applyFont="1" applyFill="1" applyBorder="1" applyAlignment="1">
      <alignment horizontal="center" wrapText="1"/>
    </xf>
    <xf numFmtId="0" fontId="2" fillId="0" borderId="50" xfId="0" applyFont="1" applyBorder="1"/>
    <xf numFmtId="0" fontId="3" fillId="2" borderId="1" xfId="0" applyFont="1" applyFill="1" applyBorder="1" applyAlignment="1">
      <alignment horizontal="center"/>
    </xf>
    <xf numFmtId="0" fontId="12" fillId="2" borderId="15" xfId="0" applyFont="1" applyFill="1" applyBorder="1" applyAlignment="1">
      <alignment horizontal="center"/>
    </xf>
    <xf numFmtId="0" fontId="4" fillId="8" borderId="59" xfId="0" applyFont="1" applyFill="1" applyBorder="1" applyAlignment="1">
      <alignment horizontal="center" vertical="center" wrapText="1"/>
    </xf>
    <xf numFmtId="0" fontId="2" fillId="0" borderId="60" xfId="0" applyFont="1" applyBorder="1"/>
    <xf numFmtId="0" fontId="4" fillId="9" borderId="59" xfId="0" applyFont="1" applyFill="1" applyBorder="1" applyAlignment="1">
      <alignment horizontal="center" vertical="center" wrapText="1"/>
    </xf>
    <xf numFmtId="0" fontId="4" fillId="2" borderId="49" xfId="0" applyFont="1" applyFill="1" applyBorder="1" applyAlignment="1">
      <alignment horizontal="center" wrapText="1"/>
    </xf>
    <xf numFmtId="0" fontId="4" fillId="2" borderId="15" xfId="0" applyFont="1" applyFill="1" applyBorder="1" applyAlignment="1">
      <alignment horizontal="center"/>
    </xf>
    <xf numFmtId="0" fontId="4" fillId="2" borderId="63" xfId="0" applyFont="1" applyFill="1" applyBorder="1" applyAlignment="1">
      <alignment horizontal="center" vertical="center"/>
    </xf>
    <xf numFmtId="0" fontId="2" fillId="0" borderId="64" xfId="0" applyFont="1" applyBorder="1"/>
    <xf numFmtId="168" fontId="4" fillId="2" borderId="65" xfId="0" applyNumberFormat="1" applyFont="1" applyFill="1" applyBorder="1" applyAlignment="1">
      <alignment horizontal="center" vertical="center"/>
    </xf>
    <xf numFmtId="0" fontId="2" fillId="0" borderId="66" xfId="0" applyFont="1" applyBorder="1"/>
    <xf numFmtId="0" fontId="8" fillId="2" borderId="70" xfId="0" applyFont="1" applyFill="1" applyBorder="1" applyAlignment="1">
      <alignment horizontal="center" vertical="center"/>
    </xf>
    <xf numFmtId="0" fontId="4" fillId="2" borderId="1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/>
    </xf>
    <xf numFmtId="0" fontId="4" fillId="8" borderId="81" xfId="0" applyFont="1" applyFill="1" applyBorder="1" applyAlignment="1">
      <alignment horizontal="center" vertical="center" wrapText="1"/>
    </xf>
    <xf numFmtId="0" fontId="2" fillId="0" borderId="83" xfId="0" applyFont="1" applyBorder="1"/>
    <xf numFmtId="0" fontId="4" fillId="8" borderId="82" xfId="0" applyFont="1" applyFill="1" applyBorder="1" applyAlignment="1">
      <alignment horizontal="center" vertical="center" wrapText="1"/>
    </xf>
    <xf numFmtId="0" fontId="2" fillId="0" borderId="85" xfId="0" applyFont="1" applyBorder="1"/>
    <xf numFmtId="0" fontId="4" fillId="8" borderId="59" xfId="0" applyFont="1" applyFill="1" applyBorder="1" applyAlignment="1">
      <alignment horizontal="center" wrapText="1"/>
    </xf>
    <xf numFmtId="0" fontId="4" fillId="9" borderId="81" xfId="0" applyFont="1" applyFill="1" applyBorder="1" applyAlignment="1">
      <alignment horizontal="center" vertical="center"/>
    </xf>
    <xf numFmtId="0" fontId="4" fillId="9" borderId="82" xfId="0" applyFont="1" applyFill="1" applyBorder="1" applyAlignment="1">
      <alignment horizontal="center" vertical="center"/>
    </xf>
    <xf numFmtId="0" fontId="4" fillId="9" borderId="59" xfId="0" applyFont="1" applyFill="1" applyBorder="1" applyAlignment="1">
      <alignment horizontal="center" wrapText="1"/>
    </xf>
    <xf numFmtId="0" fontId="4" fillId="2" borderId="81" xfId="0" applyFont="1" applyFill="1" applyBorder="1" applyAlignment="1">
      <alignment horizontal="center" vertical="center"/>
    </xf>
    <xf numFmtId="0" fontId="4" fillId="2" borderId="82" xfId="0" applyFont="1" applyFill="1" applyBorder="1" applyAlignment="1">
      <alignment horizontal="center" wrapText="1"/>
    </xf>
    <xf numFmtId="0" fontId="2" fillId="0" borderId="84" xfId="0" applyFont="1" applyBorder="1"/>
    <xf numFmtId="0" fontId="1" fillId="2" borderId="49" xfId="0" applyFont="1" applyFill="1" applyBorder="1" applyAlignment="1">
      <alignment horizontal="center" vertical="center" wrapText="1"/>
    </xf>
    <xf numFmtId="0" fontId="19" fillId="11" borderId="1" xfId="0" applyFont="1" applyFill="1" applyBorder="1" applyAlignment="1">
      <alignment horizontal="left" wrapText="1"/>
    </xf>
    <xf numFmtId="0" fontId="6" fillId="2" borderId="88" xfId="0" applyFont="1" applyFill="1" applyBorder="1" applyAlignment="1">
      <alignment horizontal="left" vertical="top"/>
    </xf>
    <xf numFmtId="0" fontId="2" fillId="0" borderId="89" xfId="0" applyFont="1" applyBorder="1"/>
    <xf numFmtId="168" fontId="4" fillId="2" borderId="15" xfId="0" applyNumberFormat="1" applyFont="1" applyFill="1" applyBorder="1" applyAlignment="1">
      <alignment horizontal="center" vertical="center"/>
    </xf>
    <xf numFmtId="0" fontId="18" fillId="3" borderId="92" xfId="0" applyFont="1" applyFill="1" applyBorder="1" applyAlignment="1">
      <alignment horizontal="center"/>
    </xf>
    <xf numFmtId="0" fontId="2" fillId="0" borderId="93" xfId="0" applyFont="1" applyBorder="1"/>
    <xf numFmtId="0" fontId="2" fillId="0" borderId="41" xfId="0" applyFont="1" applyBorder="1"/>
    <xf numFmtId="0" fontId="2" fillId="0" borderId="42" xfId="0" applyFont="1" applyBorder="1"/>
    <xf numFmtId="0" fontId="2" fillId="0" borderId="43" xfId="0" applyFont="1" applyBorder="1"/>
    <xf numFmtId="0" fontId="2" fillId="0" borderId="44" xfId="0" applyFont="1" applyBorder="1"/>
    <xf numFmtId="0" fontId="2" fillId="0" borderId="45" xfId="0" applyFont="1" applyBorder="1"/>
    <xf numFmtId="2" fontId="4" fillId="2" borderId="15" xfId="0" applyNumberFormat="1" applyFont="1" applyFill="1" applyBorder="1" applyAlignment="1">
      <alignment horizontal="center" vertical="center"/>
    </xf>
    <xf numFmtId="0" fontId="4" fillId="2" borderId="86" xfId="0" applyFont="1" applyFill="1" applyBorder="1" applyAlignment="1">
      <alignment horizontal="center" vertical="center" wrapText="1"/>
    </xf>
    <xf numFmtId="0" fontId="2" fillId="0" borderId="87" xfId="0" applyFont="1" applyBorder="1"/>
    <xf numFmtId="0" fontId="3" fillId="3" borderId="46" xfId="0" applyFont="1" applyFill="1" applyBorder="1" applyAlignment="1">
      <alignment horizontal="center" vertical="center"/>
    </xf>
    <xf numFmtId="0" fontId="2" fillId="0" borderId="48" xfId="0" applyFont="1" applyBorder="1"/>
    <xf numFmtId="0" fontId="6" fillId="2" borderId="1" xfId="0" applyFont="1" applyFill="1" applyBorder="1" applyAlignment="1">
      <alignment horizontal="center" vertical="center" wrapText="1"/>
    </xf>
    <xf numFmtId="0" fontId="3" fillId="3" borderId="63" xfId="0" applyFont="1" applyFill="1" applyBorder="1" applyAlignment="1">
      <alignment horizontal="center"/>
    </xf>
    <xf numFmtId="0" fontId="2" fillId="0" borderId="96" xfId="0" applyFont="1" applyBorder="1"/>
    <xf numFmtId="0" fontId="24" fillId="2" borderId="1" xfId="0" applyFont="1" applyFill="1" applyBorder="1" applyAlignment="1">
      <alignment horizontal="center" vertical="center" wrapText="1"/>
    </xf>
    <xf numFmtId="0" fontId="3" fillId="2" borderId="94" xfId="0" applyFont="1" applyFill="1" applyBorder="1" applyAlignment="1">
      <alignment horizontal="center"/>
    </xf>
    <xf numFmtId="0" fontId="2" fillId="0" borderId="95" xfId="0" applyFont="1" applyBorder="1"/>
    <xf numFmtId="0" fontId="3" fillId="3" borderId="68" xfId="0" applyFont="1" applyFill="1" applyBorder="1" applyAlignment="1">
      <alignment horizontal="center" vertical="center"/>
    </xf>
    <xf numFmtId="0" fontId="2" fillId="0" borderId="76" xfId="0" applyFont="1" applyBorder="1"/>
    <xf numFmtId="0" fontId="3" fillId="3" borderId="68" xfId="0" applyFont="1" applyFill="1" applyBorder="1" applyAlignment="1">
      <alignment horizontal="center"/>
    </xf>
    <xf numFmtId="0" fontId="3" fillId="3" borderId="92" xfId="0" applyFont="1" applyFill="1" applyBorder="1" applyAlignment="1">
      <alignment horizontal="center" vertical="top"/>
    </xf>
    <xf numFmtId="0" fontId="11" fillId="13" borderId="1" xfId="0" applyFont="1" applyFill="1" applyBorder="1" applyAlignment="1">
      <alignment horizontal="center" vertical="center"/>
    </xf>
    <xf numFmtId="0" fontId="1" fillId="13" borderId="49" xfId="0" applyFont="1" applyFill="1" applyBorder="1" applyAlignment="1">
      <alignment horizontal="center" wrapText="1"/>
    </xf>
    <xf numFmtId="0" fontId="3" fillId="13" borderId="1" xfId="0" applyFont="1" applyFill="1" applyBorder="1" applyAlignment="1">
      <alignment horizontal="center"/>
    </xf>
    <xf numFmtId="0" fontId="12" fillId="13" borderId="15" xfId="0" applyFont="1" applyFill="1" applyBorder="1" applyAlignment="1">
      <alignment horizontal="center"/>
    </xf>
    <xf numFmtId="0" fontId="14" fillId="14" borderId="1" xfId="0" applyFont="1" applyFill="1" applyBorder="1" applyAlignment="1">
      <alignment horizontal="center" vertical="center" wrapText="1"/>
    </xf>
    <xf numFmtId="0" fontId="6" fillId="14" borderId="88" xfId="0" applyFont="1" applyFill="1" applyBorder="1" applyAlignment="1">
      <alignment horizontal="left" vertical="top"/>
    </xf>
    <xf numFmtId="0" fontId="1" fillId="14" borderId="15" xfId="0" applyFont="1" applyFill="1" applyBorder="1" applyAlignment="1">
      <alignment horizontal="center"/>
    </xf>
    <xf numFmtId="0" fontId="4" fillId="14" borderId="15" xfId="0" applyFont="1" applyFill="1" applyBorder="1" applyAlignment="1">
      <alignment horizontal="center"/>
    </xf>
    <xf numFmtId="0" fontId="1" fillId="14" borderId="1" xfId="0" applyFont="1" applyFill="1" applyBorder="1" applyAlignment="1">
      <alignment vertical="center" wrapText="1"/>
    </xf>
    <xf numFmtId="0" fontId="2" fillId="0" borderId="97" xfId="0" applyFont="1" applyBorder="1"/>
    <xf numFmtId="0" fontId="3" fillId="14" borderId="99" xfId="0" applyFont="1" applyFill="1" applyBorder="1" applyAlignment="1">
      <alignment horizontal="center"/>
    </xf>
    <xf numFmtId="0" fontId="2" fillId="0" borderId="100" xfId="0" applyFont="1" applyBorder="1"/>
    <xf numFmtId="0" fontId="6" fillId="14" borderId="38" xfId="0" applyFont="1" applyFill="1" applyBorder="1" applyAlignment="1">
      <alignment horizontal="center" wrapText="1"/>
    </xf>
    <xf numFmtId="0" fontId="2" fillId="0" borderId="39" xfId="0" applyFont="1" applyBorder="1"/>
    <xf numFmtId="0" fontId="2" fillId="0" borderId="40" xfId="0" applyFont="1" applyBorder="1"/>
    <xf numFmtId="0" fontId="4" fillId="14" borderId="15" xfId="0" applyFont="1" applyFill="1" applyBorder="1" applyAlignment="1">
      <alignment horizontal="center" vertical="center"/>
    </xf>
    <xf numFmtId="0" fontId="4" fillId="14" borderId="81" xfId="0" applyFont="1" applyFill="1" applyBorder="1" applyAlignment="1">
      <alignment horizontal="center" vertical="center"/>
    </xf>
    <xf numFmtId="0" fontId="2" fillId="0" borderId="101" xfId="0" applyFont="1" applyBorder="1"/>
    <xf numFmtId="0" fontId="2" fillId="0" borderId="105" xfId="0" applyFont="1" applyBorder="1"/>
    <xf numFmtId="0" fontId="3" fillId="3" borderId="99" xfId="0" applyFont="1" applyFill="1" applyBorder="1" applyAlignment="1">
      <alignment horizontal="center"/>
    </xf>
    <xf numFmtId="0" fontId="8" fillId="14" borderId="68" xfId="0" applyFont="1" applyFill="1" applyBorder="1" applyAlignment="1">
      <alignment horizontal="center"/>
    </xf>
    <xf numFmtId="0" fontId="2" fillId="0" borderId="111" xfId="0" applyFont="1" applyBorder="1"/>
    <xf numFmtId="0" fontId="1" fillId="14" borderId="1" xfId="0" applyFont="1" applyFill="1" applyBorder="1" applyAlignment="1">
      <alignment horizontal="center" wrapText="1"/>
    </xf>
    <xf numFmtId="0" fontId="3" fillId="14" borderId="99" xfId="0" applyFont="1" applyFill="1" applyBorder="1" applyAlignment="1">
      <alignment horizontal="center" vertical="center"/>
    </xf>
    <xf numFmtId="0" fontId="3" fillId="14" borderId="15" xfId="0" applyFont="1" applyFill="1" applyBorder="1" applyAlignment="1">
      <alignment horizontal="center" vertical="center"/>
    </xf>
    <xf numFmtId="0" fontId="4" fillId="14" borderId="81" xfId="0" applyFont="1" applyFill="1" applyBorder="1" applyAlignment="1">
      <alignment horizontal="center" vertical="center" wrapText="1"/>
    </xf>
    <xf numFmtId="0" fontId="11" fillId="14" borderId="15" xfId="0" applyFont="1" applyFill="1" applyBorder="1" applyAlignment="1">
      <alignment horizontal="center" vertical="center"/>
    </xf>
    <xf numFmtId="0" fontId="1" fillId="14" borderId="49" xfId="0" applyFont="1" applyFill="1" applyBorder="1" applyAlignment="1">
      <alignment horizontal="center" vertical="center" wrapText="1"/>
    </xf>
    <xf numFmtId="0" fontId="3" fillId="14" borderId="1" xfId="0" applyFont="1" applyFill="1" applyBorder="1" applyAlignment="1">
      <alignment horizontal="center"/>
    </xf>
    <xf numFmtId="0" fontId="12" fillId="14" borderId="1" xfId="0" applyFont="1" applyFill="1" applyBorder="1" applyAlignment="1">
      <alignment horizontal="center" vertical="center" wrapText="1"/>
    </xf>
    <xf numFmtId="0" fontId="6" fillId="3" borderId="68" xfId="0" applyFont="1" applyFill="1" applyBorder="1" applyAlignment="1">
      <alignment horizontal="center" vertical="center"/>
    </xf>
    <xf numFmtId="0" fontId="9" fillId="14" borderId="15" xfId="0" applyFont="1" applyFill="1" applyBorder="1" applyAlignment="1">
      <alignment horizontal="center"/>
    </xf>
    <xf numFmtId="0" fontId="6" fillId="14" borderId="70" xfId="0" applyFont="1" applyFill="1" applyBorder="1" applyAlignment="1">
      <alignment horizontal="center" vertical="center"/>
    </xf>
    <xf numFmtId="0" fontId="3" fillId="14" borderId="15" xfId="0" applyFont="1" applyFill="1" applyBorder="1" applyAlignment="1">
      <alignment horizontal="left"/>
    </xf>
    <xf numFmtId="0" fontId="24" fillId="14" borderId="49" xfId="0" applyFont="1" applyFill="1" applyBorder="1" applyAlignment="1">
      <alignment horizontal="center" vertical="center" wrapText="1"/>
    </xf>
    <xf numFmtId="0" fontId="2" fillId="0" borderId="114" xfId="0" applyFont="1" applyBorder="1"/>
    <xf numFmtId="0" fontId="4" fillId="14" borderId="70" xfId="0" applyFont="1" applyFill="1" applyBorder="1" applyAlignment="1">
      <alignment horizontal="center"/>
    </xf>
    <xf numFmtId="0" fontId="11" fillId="13" borderId="15" xfId="0" applyFont="1" applyFill="1" applyBorder="1" applyAlignment="1">
      <alignment horizontal="center"/>
    </xf>
    <xf numFmtId="0" fontId="4" fillId="13" borderId="1" xfId="0" applyFont="1" applyFill="1" applyBorder="1" applyAlignment="1">
      <alignment horizontal="center"/>
    </xf>
    <xf numFmtId="0" fontId="4" fillId="13" borderId="81" xfId="0" applyFont="1" applyFill="1" applyBorder="1" applyAlignment="1">
      <alignment horizontal="center" vertical="center"/>
    </xf>
    <xf numFmtId="0" fontId="4" fillId="13" borderId="49" xfId="0" applyFont="1" applyFill="1" applyBorder="1" applyAlignment="1">
      <alignment horizontal="center" vertical="center"/>
    </xf>
    <xf numFmtId="0" fontId="11" fillId="13" borderId="1" xfId="0" applyFont="1" applyFill="1" applyBorder="1" applyAlignment="1">
      <alignment horizontal="center"/>
    </xf>
    <xf numFmtId="0" fontId="11" fillId="7" borderId="1" xfId="0" applyFont="1" applyFill="1" applyBorder="1" applyAlignment="1">
      <alignment horizontal="center" vertical="center"/>
    </xf>
    <xf numFmtId="0" fontId="1" fillId="7" borderId="49" xfId="0" applyFont="1" applyFill="1" applyBorder="1" applyAlignment="1">
      <alignment horizontal="center" wrapText="1"/>
    </xf>
    <xf numFmtId="0" fontId="3" fillId="7" borderId="1" xfId="0" applyFont="1" applyFill="1" applyBorder="1" applyAlignment="1">
      <alignment horizontal="center"/>
    </xf>
    <xf numFmtId="0" fontId="4" fillId="14" borderId="1" xfId="0" applyFont="1" applyFill="1" applyBorder="1" applyAlignment="1">
      <alignment horizontal="center" vertical="center"/>
    </xf>
    <xf numFmtId="0" fontId="29" fillId="6" borderId="49" xfId="0" applyFont="1" applyFill="1" applyBorder="1" applyAlignment="1">
      <alignment horizontal="center" vertical="center" wrapText="1"/>
    </xf>
    <xf numFmtId="0" fontId="29" fillId="6" borderId="86" xfId="0" applyFont="1" applyFill="1" applyBorder="1" applyAlignment="1">
      <alignment horizontal="center" vertical="center" wrapText="1"/>
    </xf>
    <xf numFmtId="0" fontId="29" fillId="6" borderId="15" xfId="0" applyFont="1" applyFill="1" applyBorder="1" applyAlignment="1">
      <alignment horizontal="center"/>
    </xf>
    <xf numFmtId="0" fontId="29" fillId="6" borderId="63" xfId="0" applyFont="1" applyFill="1" applyBorder="1" applyAlignment="1">
      <alignment horizontal="center"/>
    </xf>
    <xf numFmtId="0" fontId="2" fillId="0" borderId="118" xfId="0" applyFont="1" applyBorder="1"/>
    <xf numFmtId="0" fontId="29" fillId="3" borderId="99" xfId="0" applyFont="1" applyFill="1" applyBorder="1" applyAlignment="1">
      <alignment horizontal="center"/>
    </xf>
    <xf numFmtId="0" fontId="29" fillId="3" borderId="119" xfId="0" applyFont="1" applyFill="1" applyBorder="1" applyAlignment="1">
      <alignment horizontal="center"/>
    </xf>
    <xf numFmtId="0" fontId="2" fillId="0" borderId="120" xfId="0" applyFont="1" applyBorder="1"/>
    <xf numFmtId="0" fontId="4" fillId="15" borderId="15" xfId="0" applyFont="1" applyFill="1" applyBorder="1" applyAlignment="1">
      <alignment horizontal="center"/>
    </xf>
    <xf numFmtId="0" fontId="25" fillId="15" borderId="1" xfId="0" applyFont="1" applyFill="1" applyBorder="1" applyAlignment="1">
      <alignment horizontal="center" vertical="center"/>
    </xf>
    <xf numFmtId="0" fontId="11" fillId="15" borderId="1" xfId="0" applyFont="1" applyFill="1" applyBorder="1" applyAlignment="1">
      <alignment horizontal="center" vertical="center"/>
    </xf>
    <xf numFmtId="0" fontId="1" fillId="15" borderId="49" xfId="0" applyFont="1" applyFill="1" applyBorder="1" applyAlignment="1">
      <alignment horizontal="center" vertical="center" wrapText="1"/>
    </xf>
    <xf numFmtId="0" fontId="4" fillId="15" borderId="68" xfId="0" applyFont="1" applyFill="1" applyBorder="1" applyAlignment="1">
      <alignment horizontal="center" vertical="center"/>
    </xf>
    <xf numFmtId="0" fontId="4" fillId="15" borderId="70" xfId="0" applyFont="1" applyFill="1" applyBorder="1" applyAlignment="1">
      <alignment horizontal="center" vertical="center"/>
    </xf>
    <xf numFmtId="0" fontId="4" fillId="15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66">
    <dxf>
      <font>
        <b/>
        <color rgb="FFFF0000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none"/>
      </fill>
    </dxf>
    <dxf>
      <font>
        <b/>
        <color rgb="FFFF0000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FFF00"/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comments2.xml.rels><?xml version="1.0" encoding="UTF-8" standalone="yes"?>
<Relationships xmlns="http://schemas.openxmlformats.org/package/2006/relationships"><Relationship Id="rId1" Type="http://customschemas.google.com/relationships/workbookmetadata" Target="commentsmeta1"/></Relationships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customschemas.google.com/relationships/workbookmetadata" Target="metadata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8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externalLink" Target="externalLinks/externalLink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7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externalLink" Target="externalLinks/externalLink1.xml"/><Relationship Id="rId36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5" Type="http://schemas.openxmlformats.org/officeDocument/2006/relationships/theme" Target="theme/theme1.xml"/><Relationship Id="rId8" Type="http://schemas.openxmlformats.org/officeDocument/2006/relationships/worksheet" Target="worksheets/sheet8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10</xdr:row>
      <xdr:rowOff>142875</xdr:rowOff>
    </xdr:from>
    <xdr:ext cx="3343275" cy="135255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2</xdr:row>
      <xdr:rowOff>0</xdr:rowOff>
    </xdr:from>
    <xdr:ext cx="4829175" cy="1257300"/>
    <xdr:pic>
      <xdr:nvPicPr>
        <xdr:cNvPr id="2" name="image3.png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</xdr:row>
      <xdr:rowOff>0</xdr:rowOff>
    </xdr:from>
    <xdr:ext cx="4581525" cy="1200150"/>
    <xdr:pic>
      <xdr:nvPicPr>
        <xdr:cNvPr id="3" name="image2.png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952500</xdr:colOff>
      <xdr:row>24</xdr:row>
      <xdr:rowOff>19050</xdr:rowOff>
    </xdr:from>
    <xdr:ext cx="752475" cy="433387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C00-000003000000}"/>
            </a:ext>
          </a:extLst>
        </xdr:cNvPr>
        <xdr:cNvSpPr/>
      </xdr:nvSpPr>
      <xdr:spPr>
        <a:xfrm>
          <a:off x="4974525" y="1617825"/>
          <a:ext cx="742950" cy="4324350"/>
        </a:xfrm>
        <a:prstGeom prst="leftBrace">
          <a:avLst>
            <a:gd name="adj1" fmla="val 8333"/>
            <a:gd name="adj2" fmla="val 50000"/>
          </a:avLst>
        </a:prstGeom>
        <a:noFill/>
        <a:ln w="9525" cap="flat" cmpd="sng">
          <a:solidFill>
            <a:srgbClr val="4A7DBA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5</xdr:col>
      <xdr:colOff>1257300</xdr:colOff>
      <xdr:row>23</xdr:row>
      <xdr:rowOff>228600</xdr:rowOff>
    </xdr:from>
    <xdr:ext cx="533400" cy="4333875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C00-000004000000}"/>
            </a:ext>
          </a:extLst>
        </xdr:cNvPr>
        <xdr:cNvSpPr/>
      </xdr:nvSpPr>
      <xdr:spPr>
        <a:xfrm>
          <a:off x="5084063" y="1617825"/>
          <a:ext cx="523875" cy="4324350"/>
        </a:xfrm>
        <a:prstGeom prst="leftBrace">
          <a:avLst>
            <a:gd name="adj1" fmla="val 8333"/>
            <a:gd name="adj2" fmla="val 50000"/>
          </a:avLst>
        </a:prstGeom>
        <a:noFill/>
        <a:ln w="9525" cap="flat" cmpd="sng">
          <a:solidFill>
            <a:srgbClr val="4A7DBA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123825</xdr:colOff>
      <xdr:row>2</xdr:row>
      <xdr:rowOff>0</xdr:rowOff>
    </xdr:from>
    <xdr:ext cx="4105275" cy="1238250"/>
    <xdr:pic>
      <xdr:nvPicPr>
        <xdr:cNvPr id="2" name="image4.png">
          <a:extLst>
            <a:ext uri="{FF2B5EF4-FFF2-40B4-BE49-F238E27FC236}">
              <a16:creationId xmlns:a16="http://schemas.microsoft.com/office/drawing/2014/main" id="{00000000-0008-0000-18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95250</xdr:colOff>
      <xdr:row>2</xdr:row>
      <xdr:rowOff>0</xdr:rowOff>
    </xdr:from>
    <xdr:ext cx="3505200" cy="1238250"/>
    <xdr:pic>
      <xdr:nvPicPr>
        <xdr:cNvPr id="3" name="image5.png">
          <a:extLst>
            <a:ext uri="{FF2B5EF4-FFF2-40B4-BE49-F238E27FC236}">
              <a16:creationId xmlns:a16="http://schemas.microsoft.com/office/drawing/2014/main" id="{00000000-0008-0000-18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M:\Catalogues\CATALOGUES%202026\ARCKX-OBJET%202026.xltx" TargetMode="External"/><Relationship Id="rId1" Type="http://schemas.openxmlformats.org/officeDocument/2006/relationships/externalLinkPath" Target="ARCKX-OBJET%202026.xlt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!!!!!!!!!!!%20PROGRAMMATEUR%20G&#233;niaux%20!!!!!!!!!!!!/FEUILLES%20DE%20COUPE/Catalogue%20ARCKX%202018%20pour%20Laur&#232;ne.xlt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ableau Anti Vibratoire"/>
      <sheetName val="Objet 1"/>
      <sheetName val="Objet 2 à 6"/>
      <sheetName val="Caisse à Plateau"/>
      <sheetName val="Palette"/>
      <sheetName val="Caisse Cuvette"/>
      <sheetName val=" Objet Anti Vibratoire"/>
      <sheetName val="Tapisserie"/>
      <sheetName val="Claire-Voie"/>
      <sheetName val="1 Caisson Objet"/>
      <sheetName val="6 Caissons Objets"/>
      <sheetName val="Wrapp"/>
      <sheetName val="Wrapp Barré"/>
      <sheetName val="Vente de Matière"/>
      <sheetName val="Caisse Garde-Meubles"/>
      <sheetName val="Prix Matiere"/>
      <sheetName val="Infos Clients"/>
    </sheetNames>
    <sheetDataSet>
      <sheetData sheetId="0" refreshError="1"/>
      <sheetData sheetId="1">
        <row r="136">
          <cell r="A136" t="str">
            <v>Aucun</v>
          </cell>
          <cell r="B136">
            <v>0</v>
          </cell>
          <cell r="C136">
            <v>0</v>
          </cell>
          <cell r="D136">
            <v>0</v>
          </cell>
          <cell r="E136">
            <v>0</v>
          </cell>
          <cell r="F136">
            <v>0</v>
          </cell>
          <cell r="G136">
            <v>0</v>
          </cell>
          <cell r="H136">
            <v>0</v>
          </cell>
          <cell r="I136">
            <v>0</v>
          </cell>
          <cell r="J136">
            <v>0</v>
          </cell>
          <cell r="K136">
            <v>0</v>
          </cell>
          <cell r="L136">
            <v>0</v>
          </cell>
          <cell r="M136">
            <v>0</v>
          </cell>
          <cell r="N136">
            <v>0</v>
          </cell>
        </row>
        <row r="137">
          <cell r="A137" t="str">
            <v>Bancs fermés</v>
          </cell>
          <cell r="B137">
            <v>20</v>
          </cell>
          <cell r="C137">
            <v>20</v>
          </cell>
          <cell r="D137">
            <v>14</v>
          </cell>
          <cell r="E137">
            <v>10</v>
          </cell>
          <cell r="F137">
            <v>0.2</v>
          </cell>
          <cell r="G137">
            <v>1</v>
          </cell>
          <cell r="H137" t="str">
            <v>Ethafoam 50 mm</v>
          </cell>
          <cell r="I137" t="str">
            <v>PU 50 mm</v>
          </cell>
          <cell r="J137">
            <v>-0.5</v>
          </cell>
          <cell r="K137">
            <v>1</v>
          </cell>
          <cell r="L137">
            <v>0</v>
          </cell>
          <cell r="M137" t="str">
            <v>Nombre</v>
          </cell>
          <cell r="N137" t="str">
            <v>Type de mousse du Calage</v>
          </cell>
        </row>
        <row r="138">
          <cell r="A138" t="str">
            <v>Bancs ouverts</v>
          </cell>
          <cell r="B138">
            <v>14</v>
          </cell>
          <cell r="C138">
            <v>14</v>
          </cell>
          <cell r="D138">
            <v>7</v>
          </cell>
          <cell r="E138">
            <v>10</v>
          </cell>
          <cell r="F138">
            <v>0.2</v>
          </cell>
          <cell r="G138">
            <v>1</v>
          </cell>
          <cell r="H138" t="str">
            <v>Ethafoam 50 mm</v>
          </cell>
          <cell r="I138" t="str">
            <v>PU 50 mm</v>
          </cell>
          <cell r="J138">
            <v>-0.5</v>
          </cell>
          <cell r="K138">
            <v>1</v>
          </cell>
          <cell r="L138">
            <v>0</v>
          </cell>
          <cell r="M138" t="str">
            <v>Nombre</v>
          </cell>
          <cell r="N138" t="str">
            <v>Type de mousse du Calage</v>
          </cell>
        </row>
        <row r="139">
          <cell r="A139" t="str">
            <v>Bandes de mousse 30 mm</v>
          </cell>
          <cell r="B139">
            <v>6.2</v>
          </cell>
          <cell r="C139">
            <v>6.2</v>
          </cell>
          <cell r="D139">
            <v>3.2</v>
          </cell>
          <cell r="E139">
            <v>10.7</v>
          </cell>
          <cell r="F139">
            <v>0.2</v>
          </cell>
          <cell r="G139">
            <v>2</v>
          </cell>
          <cell r="H139" t="str">
            <v>Ethafoam 30 mm</v>
          </cell>
          <cell r="I139" t="str">
            <v>Ethafoam 30 mm</v>
          </cell>
          <cell r="J139">
            <v>-0.5</v>
          </cell>
          <cell r="K139">
            <v>2</v>
          </cell>
          <cell r="L139">
            <v>1</v>
          </cell>
          <cell r="M139" t="str">
            <v>Type de mousse</v>
          </cell>
        </row>
        <row r="140">
          <cell r="A140" t="str">
            <v>Bandes de mousse 50 mm</v>
          </cell>
          <cell r="B140">
            <v>10.199999999999999</v>
          </cell>
          <cell r="C140">
            <v>10.199999999999999</v>
          </cell>
          <cell r="D140">
            <v>5.2</v>
          </cell>
          <cell r="E140">
            <v>10.7</v>
          </cell>
          <cell r="F140">
            <v>0.2</v>
          </cell>
          <cell r="G140">
            <v>2</v>
          </cell>
          <cell r="H140" t="str">
            <v>Ethafoam 50 mm</v>
          </cell>
          <cell r="I140" t="str">
            <v>Ethafoam 50 mm</v>
          </cell>
          <cell r="J140">
            <v>-0.5</v>
          </cell>
          <cell r="K140">
            <v>2</v>
          </cell>
          <cell r="L140">
            <v>1</v>
          </cell>
          <cell r="M140" t="str">
            <v>Type de mousse</v>
          </cell>
        </row>
        <row r="141">
          <cell r="A141" t="str">
            <v>Découpe Mousse</v>
          </cell>
          <cell r="B141">
            <v>10.199999999999999</v>
          </cell>
          <cell r="C141">
            <v>10.199999999999999</v>
          </cell>
          <cell r="D141">
            <v>5.2</v>
          </cell>
          <cell r="E141">
            <v>5.7</v>
          </cell>
          <cell r="F141">
            <v>10.199999999999999</v>
          </cell>
          <cell r="G141">
            <v>2</v>
          </cell>
          <cell r="H141" t="str">
            <v>PU 50 mm</v>
          </cell>
          <cell r="I141" t="str">
            <v>PU 50 mm</v>
          </cell>
          <cell r="J141">
            <v>-0.5</v>
          </cell>
          <cell r="K141">
            <v>2</v>
          </cell>
          <cell r="L141">
            <v>1</v>
          </cell>
        </row>
        <row r="142">
          <cell r="A142" t="str">
            <v>Ecrin horizontal</v>
          </cell>
          <cell r="B142">
            <v>10.199999999999999</v>
          </cell>
          <cell r="C142">
            <v>10.199999999999999</v>
          </cell>
          <cell r="D142">
            <v>5.2</v>
          </cell>
          <cell r="E142">
            <v>5.7</v>
          </cell>
          <cell r="F142">
            <v>10.199999999999999</v>
          </cell>
          <cell r="G142">
            <v>2</v>
          </cell>
          <cell r="H142" t="str">
            <v>PU 50 mm</v>
          </cell>
          <cell r="I142" t="str">
            <v>PU 50 mm</v>
          </cell>
          <cell r="J142">
            <v>-0.5</v>
          </cell>
          <cell r="K142">
            <v>2</v>
          </cell>
          <cell r="L142">
            <v>1</v>
          </cell>
          <cell r="M142" t="str">
            <v>Type de mousse</v>
          </cell>
        </row>
        <row r="143">
          <cell r="A143" t="str">
            <v>Ecrin vertical</v>
          </cell>
          <cell r="B143">
            <v>10.199999999999999</v>
          </cell>
          <cell r="C143">
            <v>10.199999999999999</v>
          </cell>
          <cell r="D143">
            <v>5.2</v>
          </cell>
          <cell r="E143">
            <v>5</v>
          </cell>
          <cell r="F143">
            <v>0.2</v>
          </cell>
          <cell r="G143">
            <v>2</v>
          </cell>
          <cell r="H143" t="str">
            <v>PU 50 mm</v>
          </cell>
          <cell r="I143" t="str">
            <v>PU 50 mm</v>
          </cell>
          <cell r="J143">
            <v>9.4</v>
          </cell>
          <cell r="K143">
            <v>2</v>
          </cell>
          <cell r="L143">
            <v>1</v>
          </cell>
          <cell r="M143" t="str">
            <v>Type de mousse</v>
          </cell>
        </row>
        <row r="144">
          <cell r="A144" t="str">
            <v>Guillotines horizontales</v>
          </cell>
          <cell r="B144">
            <v>14</v>
          </cell>
          <cell r="C144">
            <v>14</v>
          </cell>
          <cell r="D144">
            <v>7</v>
          </cell>
          <cell r="E144">
            <v>10.199999999999999</v>
          </cell>
          <cell r="F144">
            <v>0.2</v>
          </cell>
          <cell r="G144">
            <v>2</v>
          </cell>
          <cell r="H144" t="str">
            <v>Ethafoam 50 mm</v>
          </cell>
          <cell r="I144" t="str">
            <v>PE 80 mm</v>
          </cell>
          <cell r="J144">
            <v>-0.5</v>
          </cell>
          <cell r="K144">
            <v>1</v>
          </cell>
          <cell r="L144">
            <v>0</v>
          </cell>
          <cell r="M144" t="str">
            <v>Nombre</v>
          </cell>
          <cell r="N144" t="str">
            <v>Type de mousse du Calage</v>
          </cell>
        </row>
        <row r="145">
          <cell r="A145" t="str">
            <v>Guillotines verticales</v>
          </cell>
          <cell r="B145">
            <v>14</v>
          </cell>
          <cell r="C145">
            <v>14</v>
          </cell>
          <cell r="D145">
            <v>7</v>
          </cell>
          <cell r="E145">
            <v>10.199999999999999</v>
          </cell>
          <cell r="F145">
            <v>0.2</v>
          </cell>
          <cell r="G145">
            <v>2</v>
          </cell>
          <cell r="H145" t="str">
            <v>Ethafoam 50 mm</v>
          </cell>
          <cell r="I145" t="str">
            <v>PE 80 mm</v>
          </cell>
          <cell r="J145">
            <v>-0.5</v>
          </cell>
          <cell r="K145">
            <v>1</v>
          </cell>
          <cell r="L145">
            <v>0</v>
          </cell>
          <cell r="M145" t="str">
            <v>Nombre</v>
          </cell>
          <cell r="N145" t="str">
            <v>Type de mousse du Calage</v>
          </cell>
        </row>
        <row r="146">
          <cell r="A146" t="str">
            <v>Mousse à ras + Guillotines verticales</v>
          </cell>
          <cell r="B146">
            <v>10.199999999999999</v>
          </cell>
          <cell r="C146">
            <v>10.199999999999999</v>
          </cell>
          <cell r="D146">
            <v>7</v>
          </cell>
          <cell r="F146">
            <v>0.2</v>
          </cell>
          <cell r="G146">
            <v>1</v>
          </cell>
          <cell r="H146" t="str">
            <v>Ethafoam 50 mm</v>
          </cell>
          <cell r="I146" t="str">
            <v>Ethafoam 50 mm</v>
          </cell>
          <cell r="J146">
            <v>-0.5</v>
          </cell>
          <cell r="K146">
            <v>1</v>
          </cell>
          <cell r="M146" t="str">
            <v>Nombre</v>
          </cell>
          <cell r="N146" t="str">
            <v>Type de mousse du Calage</v>
          </cell>
        </row>
        <row r="147">
          <cell r="A147" t="str">
            <v>Mousse au Carré 20 mm</v>
          </cell>
          <cell r="B147" t="e">
            <v>#N/A</v>
          </cell>
          <cell r="C147" t="e">
            <v>#N/A</v>
          </cell>
          <cell r="D147" t="e">
            <v>#N/A</v>
          </cell>
          <cell r="F147">
            <v>0.2</v>
          </cell>
          <cell r="G147">
            <v>2</v>
          </cell>
          <cell r="H147" t="str">
            <v>Statocell 20 mm</v>
          </cell>
          <cell r="I147" t="str">
            <v>Statocell 20 mm</v>
          </cell>
          <cell r="J147">
            <v>-0.5</v>
          </cell>
          <cell r="K147">
            <v>2</v>
          </cell>
          <cell r="L147">
            <v>1</v>
          </cell>
          <cell r="M147" t="str">
            <v>Type de mousse</v>
          </cell>
        </row>
        <row r="148">
          <cell r="A148" t="str">
            <v xml:space="preserve">Mousse au Carré 30 mm </v>
          </cell>
          <cell r="B148" t="e">
            <v>#N/A</v>
          </cell>
          <cell r="C148" t="e">
            <v>#N/A</v>
          </cell>
          <cell r="D148" t="e">
            <v>#N/A</v>
          </cell>
          <cell r="E148">
            <v>10.7</v>
          </cell>
          <cell r="F148">
            <v>0.2</v>
          </cell>
          <cell r="G148">
            <v>2</v>
          </cell>
          <cell r="H148" t="str">
            <v>PU 30 mm</v>
          </cell>
          <cell r="I148" t="str">
            <v>PU 30 mm</v>
          </cell>
          <cell r="J148">
            <v>-0.5</v>
          </cell>
          <cell r="K148">
            <v>2</v>
          </cell>
          <cell r="L148">
            <v>1</v>
          </cell>
          <cell r="M148" t="str">
            <v>Type de mousse</v>
          </cell>
        </row>
        <row r="149">
          <cell r="A149" t="str">
            <v>Mousse au Carré 50 mm</v>
          </cell>
          <cell r="B149" t="e">
            <v>#N/A</v>
          </cell>
          <cell r="C149" t="e">
            <v>#N/A</v>
          </cell>
          <cell r="D149" t="e">
            <v>#N/A</v>
          </cell>
          <cell r="E149">
            <v>10.7</v>
          </cell>
          <cell r="F149">
            <v>0.2</v>
          </cell>
          <cell r="G149">
            <v>2</v>
          </cell>
          <cell r="H149" t="str">
            <v>PU 50 mm</v>
          </cell>
          <cell r="I149" t="str">
            <v>PU 50 mm</v>
          </cell>
          <cell r="J149">
            <v>-0.5</v>
          </cell>
          <cell r="K149">
            <v>2</v>
          </cell>
          <cell r="L149">
            <v>1</v>
          </cell>
          <cell r="M149" t="str">
            <v>Type de mousse</v>
          </cell>
        </row>
        <row r="154">
          <cell r="A154" t="str">
            <v>Aucun</v>
          </cell>
          <cell r="B154">
            <v>0</v>
          </cell>
          <cell r="C154">
            <v>0</v>
          </cell>
          <cell r="D154">
            <v>0</v>
          </cell>
          <cell r="E154">
            <v>0</v>
          </cell>
          <cell r="F154">
            <v>0</v>
          </cell>
          <cell r="G154">
            <v>0</v>
          </cell>
          <cell r="H154">
            <v>0</v>
          </cell>
          <cell r="I154">
            <v>0</v>
          </cell>
          <cell r="J154">
            <v>0</v>
          </cell>
          <cell r="K154">
            <v>0</v>
          </cell>
          <cell r="L154">
            <v>0</v>
          </cell>
          <cell r="M154">
            <v>0</v>
          </cell>
          <cell r="N154">
            <v>0</v>
          </cell>
          <cell r="O154">
            <v>0</v>
          </cell>
          <cell r="P154">
            <v>0</v>
          </cell>
          <cell r="Q154">
            <v>0</v>
          </cell>
          <cell r="R154">
            <v>0</v>
          </cell>
          <cell r="S154">
            <v>0</v>
          </cell>
        </row>
        <row r="155">
          <cell r="A155" t="str">
            <v>Double isotherme en 30</v>
          </cell>
          <cell r="B155">
            <v>14.5</v>
          </cell>
          <cell r="C155">
            <v>14.5</v>
          </cell>
          <cell r="D155">
            <v>14.5</v>
          </cell>
          <cell r="E155">
            <v>0</v>
          </cell>
          <cell r="F155">
            <v>0</v>
          </cell>
          <cell r="G155">
            <v>0</v>
          </cell>
          <cell r="H155">
            <v>6</v>
          </cell>
          <cell r="I155" t="str">
            <v>Styro 30 mm</v>
          </cell>
          <cell r="J155">
            <v>2</v>
          </cell>
          <cell r="K155">
            <v>2.5</v>
          </cell>
          <cell r="L155" t="str">
            <v>Peuplier 10 mm</v>
          </cell>
          <cell r="M155">
            <v>4</v>
          </cell>
          <cell r="N155">
            <v>6</v>
          </cell>
          <cell r="O155" t="str">
            <v>Styro 30 mm</v>
          </cell>
          <cell r="P155">
            <v>2</v>
          </cell>
          <cell r="Q155">
            <v>2</v>
          </cell>
          <cell r="R155">
            <v>1</v>
          </cell>
          <cell r="S155">
            <v>1</v>
          </cell>
        </row>
        <row r="156">
          <cell r="A156" t="str">
            <v>Double isotherme en 50</v>
          </cell>
          <cell r="B156">
            <v>22.9</v>
          </cell>
          <cell r="C156">
            <v>22.9</v>
          </cell>
          <cell r="D156">
            <v>22.9</v>
          </cell>
          <cell r="E156">
            <v>0</v>
          </cell>
          <cell r="F156">
            <v>0</v>
          </cell>
          <cell r="G156">
            <v>0</v>
          </cell>
          <cell r="H156">
            <v>10.199999999999999</v>
          </cell>
          <cell r="I156" t="str">
            <v>Styro 50 mm</v>
          </cell>
          <cell r="J156">
            <v>2</v>
          </cell>
          <cell r="K156">
            <v>2.5</v>
          </cell>
          <cell r="L156" t="str">
            <v>Peuplier 10 mm</v>
          </cell>
          <cell r="M156">
            <v>4</v>
          </cell>
          <cell r="N156">
            <v>10.199999999999999</v>
          </cell>
          <cell r="O156" t="str">
            <v>Styro 50 mm</v>
          </cell>
          <cell r="P156">
            <v>2</v>
          </cell>
          <cell r="Q156">
            <v>2</v>
          </cell>
          <cell r="R156">
            <v>1</v>
          </cell>
          <cell r="S156">
            <v>1</v>
          </cell>
        </row>
        <row r="157">
          <cell r="A157" t="str">
            <v>Isotherme en 30</v>
          </cell>
          <cell r="B157">
            <v>6</v>
          </cell>
          <cell r="C157">
            <v>6</v>
          </cell>
          <cell r="D157">
            <v>6</v>
          </cell>
          <cell r="E157">
            <v>0</v>
          </cell>
          <cell r="F157">
            <v>0</v>
          </cell>
          <cell r="G157">
            <v>0</v>
          </cell>
          <cell r="H157">
            <v>6</v>
          </cell>
          <cell r="I157" t="str">
            <v>Styro 30 mm</v>
          </cell>
          <cell r="J157">
            <v>2</v>
          </cell>
          <cell r="K157">
            <v>0</v>
          </cell>
          <cell r="L157">
            <v>0</v>
          </cell>
          <cell r="M157">
            <v>0</v>
          </cell>
          <cell r="N157">
            <v>0</v>
          </cell>
          <cell r="P157">
            <v>0</v>
          </cell>
          <cell r="Q157">
            <v>0</v>
          </cell>
          <cell r="R157">
            <v>1</v>
          </cell>
          <cell r="S157">
            <v>1</v>
          </cell>
        </row>
        <row r="158">
          <cell r="A158" t="str">
            <v>Isotherme en 50</v>
          </cell>
          <cell r="B158">
            <v>10.199999999999999</v>
          </cell>
          <cell r="C158">
            <v>10.199999999999999</v>
          </cell>
          <cell r="D158">
            <v>10.199999999999999</v>
          </cell>
          <cell r="E158">
            <v>0</v>
          </cell>
          <cell r="F158">
            <v>0</v>
          </cell>
          <cell r="G158">
            <v>0</v>
          </cell>
          <cell r="H158">
            <v>10.199999999999999</v>
          </cell>
          <cell r="I158" t="str">
            <v>Styro 50 mm</v>
          </cell>
          <cell r="J158">
            <v>2</v>
          </cell>
          <cell r="K158">
            <v>0</v>
          </cell>
          <cell r="L158">
            <v>0</v>
          </cell>
          <cell r="M158">
            <v>0</v>
          </cell>
          <cell r="N158">
            <v>0</v>
          </cell>
          <cell r="P158">
            <v>0</v>
          </cell>
          <cell r="Q158">
            <v>0</v>
          </cell>
          <cell r="R158">
            <v>1</v>
          </cell>
          <cell r="S158">
            <v>1</v>
          </cell>
        </row>
        <row r="159">
          <cell r="A159" t="str">
            <v>Super isotherme en 30</v>
          </cell>
          <cell r="B159">
            <v>20.5</v>
          </cell>
          <cell r="C159">
            <v>20.5</v>
          </cell>
          <cell r="D159">
            <v>20.5</v>
          </cell>
          <cell r="E159">
            <v>6</v>
          </cell>
          <cell r="F159" t="str">
            <v>PU 30 mm</v>
          </cell>
          <cell r="G159">
            <v>2</v>
          </cell>
          <cell r="H159">
            <v>6</v>
          </cell>
          <cell r="I159" t="str">
            <v>Styro 30 mm</v>
          </cell>
          <cell r="J159">
            <v>2</v>
          </cell>
          <cell r="K159">
            <v>2.5</v>
          </cell>
          <cell r="L159" t="str">
            <v>Peuplier 10 mm</v>
          </cell>
          <cell r="M159">
            <v>4</v>
          </cell>
          <cell r="N159">
            <v>6</v>
          </cell>
          <cell r="O159" t="str">
            <v>Styro 30 mm</v>
          </cell>
          <cell r="P159">
            <v>2</v>
          </cell>
          <cell r="Q159">
            <v>2</v>
          </cell>
          <cell r="R159">
            <v>1</v>
          </cell>
          <cell r="S159">
            <v>1</v>
          </cell>
        </row>
        <row r="160">
          <cell r="A160" t="str">
            <v>Super isotherme en 50</v>
          </cell>
          <cell r="B160">
            <v>32.9</v>
          </cell>
          <cell r="C160">
            <v>32.9</v>
          </cell>
          <cell r="D160">
            <v>32.9</v>
          </cell>
          <cell r="E160">
            <v>10.199999999999999</v>
          </cell>
          <cell r="F160" t="str">
            <v>PU 50 mm</v>
          </cell>
          <cell r="G160">
            <v>2</v>
          </cell>
          <cell r="H160">
            <v>10.199999999999999</v>
          </cell>
          <cell r="I160" t="str">
            <v>Styro 50 mm</v>
          </cell>
          <cell r="J160">
            <v>2</v>
          </cell>
          <cell r="K160">
            <v>2.5</v>
          </cell>
          <cell r="L160" t="str">
            <v>Peuplier 10 mm</v>
          </cell>
          <cell r="M160">
            <v>4</v>
          </cell>
          <cell r="N160">
            <v>10.199999999999999</v>
          </cell>
          <cell r="O160" t="str">
            <v>Styro 50 mm</v>
          </cell>
          <cell r="P160">
            <v>2</v>
          </cell>
          <cell r="Q160">
            <v>2</v>
          </cell>
          <cell r="R160">
            <v>1</v>
          </cell>
          <cell r="S160">
            <v>1</v>
          </cell>
        </row>
        <row r="173">
          <cell r="A173" t="str">
            <v>Peuplier 10 mm</v>
          </cell>
          <cell r="B173" t="str">
            <v>Peuplier 10 mm</v>
          </cell>
          <cell r="C173" t="str">
            <v>Peuplier 15 mm</v>
          </cell>
        </row>
        <row r="174">
          <cell r="A174" t="str">
            <v>Peuplier 15 mm</v>
          </cell>
          <cell r="B174" t="str">
            <v>Peuplier 15 mm</v>
          </cell>
          <cell r="C174" t="str">
            <v>Peuplier 15 mm</v>
          </cell>
        </row>
      </sheetData>
      <sheetData sheetId="2"/>
      <sheetData sheetId="3"/>
      <sheetData sheetId="4"/>
      <sheetData sheetId="5"/>
      <sheetData sheetId="6">
        <row r="32">
          <cell r="C32" t="str">
            <v>Aucun</v>
          </cell>
        </row>
        <row r="98">
          <cell r="C98">
            <v>0</v>
          </cell>
          <cell r="D98">
            <v>0</v>
          </cell>
        </row>
      </sheetData>
      <sheetData sheetId="7"/>
      <sheetData sheetId="8"/>
      <sheetData sheetId="9"/>
      <sheetData sheetId="10"/>
      <sheetData sheetId="11"/>
      <sheetData sheetId="12"/>
      <sheetData sheetId="13" refreshError="1"/>
      <sheetData sheetId="14" refreshError="1"/>
      <sheetData sheetId="15">
        <row r="4">
          <cell r="A4" t="str">
            <v>Adhesif armé</v>
          </cell>
          <cell r="B4">
            <v>0.55400000000000005</v>
          </cell>
        </row>
        <row r="5">
          <cell r="A5" t="str">
            <v>Adhesif Blanc</v>
          </cell>
          <cell r="B5">
            <v>0.20899999999999999</v>
          </cell>
        </row>
        <row r="6">
          <cell r="A6" t="str">
            <v>Agglocelle 30 mm</v>
          </cell>
          <cell r="B6">
            <v>10.96</v>
          </cell>
          <cell r="G6">
            <v>1.45</v>
          </cell>
          <cell r="I6">
            <v>12.41</v>
          </cell>
          <cell r="J6">
            <v>12.793814432989691</v>
          </cell>
          <cell r="K6">
            <v>3.08</v>
          </cell>
          <cell r="L6">
            <v>1.63</v>
          </cell>
        </row>
        <row r="7">
          <cell r="A7" t="str">
            <v>Agglocelle 50 mm</v>
          </cell>
          <cell r="B7">
            <v>18.266009852216747</v>
          </cell>
          <cell r="G7">
            <v>1.45</v>
          </cell>
          <cell r="I7">
            <v>19.716009852216747</v>
          </cell>
          <cell r="J7">
            <v>20.325783352800769</v>
          </cell>
          <cell r="K7">
            <v>3.08</v>
          </cell>
          <cell r="L7">
            <v>3.25</v>
          </cell>
        </row>
        <row r="8">
          <cell r="A8" t="str">
            <v>Barres 19 mm</v>
          </cell>
          <cell r="B8">
            <v>11.4</v>
          </cell>
          <cell r="D8">
            <v>0.15</v>
          </cell>
          <cell r="E8">
            <v>0.25</v>
          </cell>
          <cell r="F8">
            <v>0.05</v>
          </cell>
          <cell r="I8">
            <v>11.850000000000001</v>
          </cell>
          <cell r="J8">
            <v>12.216494845360826</v>
          </cell>
          <cell r="K8">
            <v>0.48399999999999999</v>
          </cell>
          <cell r="L8">
            <v>9.5</v>
          </cell>
        </row>
        <row r="9">
          <cell r="A9" t="str">
            <v>Barres 21 R4F</v>
          </cell>
          <cell r="B9">
            <v>17.95</v>
          </cell>
          <cell r="D9">
            <v>0.15</v>
          </cell>
          <cell r="E9">
            <v>0.25</v>
          </cell>
          <cell r="F9">
            <v>0.05</v>
          </cell>
          <cell r="I9">
            <v>18.399999999999999</v>
          </cell>
          <cell r="J9">
            <v>18.969072164948454</v>
          </cell>
          <cell r="K9">
            <v>0.48399999999999999</v>
          </cell>
          <cell r="L9">
            <v>10</v>
          </cell>
        </row>
        <row r="10">
          <cell r="A10" t="str">
            <v>Barres 30 R4F</v>
          </cell>
          <cell r="B10">
            <v>43.62</v>
          </cell>
          <cell r="D10">
            <v>0.15</v>
          </cell>
          <cell r="E10">
            <v>0.25</v>
          </cell>
          <cell r="F10">
            <v>0.05</v>
          </cell>
          <cell r="I10">
            <v>44.069999999999993</v>
          </cell>
          <cell r="J10">
            <v>45.432989690721641</v>
          </cell>
          <cell r="K10">
            <v>0.48399999999999999</v>
          </cell>
          <cell r="L10">
            <v>10</v>
          </cell>
        </row>
        <row r="11">
          <cell r="A11" t="str">
            <v xml:space="preserve">Carton </v>
          </cell>
          <cell r="B11">
            <v>2.0460317460317459</v>
          </cell>
          <cell r="H11">
            <v>0.20899999999999999</v>
          </cell>
          <cell r="I11">
            <v>2.2550317460317459</v>
          </cell>
          <cell r="J11">
            <v>2.3247749959090167</v>
          </cell>
          <cell r="K11">
            <v>0.39</v>
          </cell>
          <cell r="L11">
            <v>1</v>
          </cell>
        </row>
        <row r="12">
          <cell r="A12" t="str">
            <v>Carton + mousse PU 20 mm</v>
          </cell>
          <cell r="B12">
            <v>9.61</v>
          </cell>
          <cell r="G12">
            <v>1.45</v>
          </cell>
          <cell r="H12">
            <v>0.20899999999999999</v>
          </cell>
          <cell r="I12">
            <v>11.268999999999998</v>
          </cell>
          <cell r="J12">
            <v>11.617525773195874</v>
          </cell>
          <cell r="K12">
            <v>3.2</v>
          </cell>
          <cell r="L12">
            <v>1.5</v>
          </cell>
        </row>
        <row r="13">
          <cell r="A13" t="str">
            <v>Carton Triple</v>
          </cell>
          <cell r="B13">
            <v>2.6031746031746028</v>
          </cell>
          <cell r="H13">
            <v>0.20899999999999999</v>
          </cell>
          <cell r="I13">
            <v>2.8121746031746029</v>
          </cell>
          <cell r="J13">
            <v>2.8991490754377351</v>
          </cell>
          <cell r="K13">
            <v>0.45</v>
          </cell>
          <cell r="L13">
            <v>1.9</v>
          </cell>
        </row>
        <row r="14">
          <cell r="A14" t="str">
            <v>Chevrons 50 mm</v>
          </cell>
          <cell r="B14">
            <v>21</v>
          </cell>
          <cell r="D14">
            <v>0.15</v>
          </cell>
          <cell r="E14">
            <v>0.25</v>
          </cell>
          <cell r="I14">
            <v>21.4</v>
          </cell>
          <cell r="J14">
            <v>22.061855670103093</v>
          </cell>
          <cell r="K14">
            <v>0.48399999999999999</v>
          </cell>
          <cell r="L14">
            <v>21</v>
          </cell>
        </row>
        <row r="15">
          <cell r="A15" t="str">
            <v>Donuts Orange</v>
          </cell>
          <cell r="B15">
            <v>7.42</v>
          </cell>
          <cell r="E15">
            <v>0.5</v>
          </cell>
          <cell r="I15">
            <v>7.92</v>
          </cell>
          <cell r="J15">
            <v>8.1649484536082468</v>
          </cell>
          <cell r="K15">
            <v>6</v>
          </cell>
          <cell r="L15">
            <v>0.5</v>
          </cell>
        </row>
        <row r="16">
          <cell r="A16" t="str">
            <v>Ethafoam 30 mm</v>
          </cell>
          <cell r="B16">
            <v>11.94</v>
          </cell>
          <cell r="G16">
            <v>1.45</v>
          </cell>
          <cell r="I16">
            <v>13.389999999999999</v>
          </cell>
          <cell r="J16">
            <v>13.804123711340205</v>
          </cell>
          <cell r="K16">
            <v>2.9</v>
          </cell>
          <cell r="L16">
            <v>1.0499999999999998</v>
          </cell>
        </row>
        <row r="17">
          <cell r="A17" t="str">
            <v>Ethafoam 50 mm</v>
          </cell>
          <cell r="B17">
            <v>19.890909090909091</v>
          </cell>
          <cell r="G17">
            <v>1.45</v>
          </cell>
          <cell r="I17">
            <v>21.34090909090909</v>
          </cell>
          <cell r="J17">
            <v>22.000937207122774</v>
          </cell>
          <cell r="K17">
            <v>2.9</v>
          </cell>
          <cell r="L17">
            <v>1.75</v>
          </cell>
        </row>
        <row r="18">
          <cell r="A18" t="str">
            <v>Ethafoam 80 mm</v>
          </cell>
          <cell r="B18">
            <v>31.82</v>
          </cell>
          <cell r="G18">
            <v>1.45</v>
          </cell>
          <cell r="I18">
            <v>33.270000000000003</v>
          </cell>
          <cell r="J18">
            <v>34.298969072164951</v>
          </cell>
          <cell r="K18">
            <v>2.9</v>
          </cell>
          <cell r="L18">
            <v>2.8</v>
          </cell>
        </row>
        <row r="19">
          <cell r="A19" t="str">
            <v xml:space="preserve">Ethafoam E900 50 mm </v>
          </cell>
          <cell r="B19">
            <v>46.260606060606065</v>
          </cell>
          <cell r="G19">
            <v>1.45</v>
          </cell>
          <cell r="I19">
            <v>47.710606060606068</v>
          </cell>
          <cell r="J19">
            <v>49.186191815057803</v>
          </cell>
          <cell r="K19">
            <v>2.9</v>
          </cell>
          <cell r="L19">
            <v>1.75</v>
          </cell>
        </row>
        <row r="20">
          <cell r="A20" t="str">
            <v>Exotique 10 mm</v>
          </cell>
          <cell r="B20">
            <v>10.52</v>
          </cell>
          <cell r="C20">
            <v>1.1499999999999999</v>
          </cell>
          <cell r="D20">
            <v>0.15</v>
          </cell>
          <cell r="E20">
            <v>0.25</v>
          </cell>
          <cell r="H20">
            <v>0.20899999999999999</v>
          </cell>
          <cell r="I20">
            <v>12.279</v>
          </cell>
          <cell r="J20">
            <v>12.658762886597938</v>
          </cell>
          <cell r="K20">
            <v>0.83799999999999997</v>
          </cell>
          <cell r="L20">
            <v>4.5</v>
          </cell>
        </row>
        <row r="21">
          <cell r="A21" t="str">
            <v>Exotique 15 mm</v>
          </cell>
          <cell r="B21">
            <v>14.23</v>
          </cell>
          <cell r="C21">
            <v>1.1499999999999999</v>
          </cell>
          <cell r="D21">
            <v>0.15</v>
          </cell>
          <cell r="E21">
            <v>0.25</v>
          </cell>
          <cell r="H21">
            <v>0.20899999999999999</v>
          </cell>
          <cell r="I21">
            <v>15.989000000000001</v>
          </cell>
          <cell r="J21">
            <v>16.483505154639175</v>
          </cell>
          <cell r="K21">
            <v>0.83799999999999997</v>
          </cell>
          <cell r="L21">
            <v>6.75</v>
          </cell>
        </row>
        <row r="22">
          <cell r="A22" t="str">
            <v>Joint 15 mm</v>
          </cell>
          <cell r="B22">
            <v>14.214</v>
          </cell>
          <cell r="I22">
            <v>14.214</v>
          </cell>
          <cell r="J22">
            <v>14.653608247422682</v>
          </cell>
          <cell r="K22">
            <v>3.08</v>
          </cell>
          <cell r="L22">
            <v>0.1</v>
          </cell>
        </row>
        <row r="23">
          <cell r="A23" t="str">
            <v>Joint 19 mm</v>
          </cell>
          <cell r="B23">
            <v>2.82</v>
          </cell>
          <cell r="I23">
            <v>2.82</v>
          </cell>
          <cell r="J23">
            <v>2.9072164948453607</v>
          </cell>
          <cell r="K23">
            <v>3.08</v>
          </cell>
          <cell r="L23">
            <v>0.1</v>
          </cell>
        </row>
        <row r="24">
          <cell r="A24" t="str">
            <v>Joint 30 mm</v>
          </cell>
          <cell r="B24">
            <v>5.2</v>
          </cell>
          <cell r="I24">
            <v>5.2</v>
          </cell>
          <cell r="J24">
            <v>5.3608247422680417</v>
          </cell>
          <cell r="K24">
            <v>3.08</v>
          </cell>
          <cell r="L24">
            <v>0.1</v>
          </cell>
        </row>
        <row r="25">
          <cell r="A25" t="str">
            <v>Macrolon 10 mm</v>
          </cell>
          <cell r="B25">
            <v>15.401360544217686</v>
          </cell>
          <cell r="E25">
            <v>0.25</v>
          </cell>
          <cell r="H25">
            <v>0.3</v>
          </cell>
          <cell r="I25">
            <v>15.951360544217687</v>
          </cell>
          <cell r="J25">
            <v>16.444701591976997</v>
          </cell>
          <cell r="K25">
            <v>2.95</v>
          </cell>
          <cell r="L25">
            <v>1.9</v>
          </cell>
        </row>
        <row r="26">
          <cell r="A26" t="str">
            <v>Minute MO</v>
          </cell>
          <cell r="J26">
            <v>0.85</v>
          </cell>
          <cell r="K26">
            <v>0</v>
          </cell>
        </row>
        <row r="27">
          <cell r="A27" t="str">
            <v>Peinture</v>
          </cell>
          <cell r="B27">
            <v>8.68</v>
          </cell>
          <cell r="I27">
            <v>8.68</v>
          </cell>
          <cell r="J27">
            <v>8.9484536082474229</v>
          </cell>
          <cell r="K27">
            <v>5.74</v>
          </cell>
          <cell r="L27">
            <v>0.3</v>
          </cell>
        </row>
        <row r="28">
          <cell r="A28" t="str">
            <v>Peuplier 10 mm</v>
          </cell>
          <cell r="B28">
            <v>10.52</v>
          </cell>
          <cell r="C28">
            <v>1.5</v>
          </cell>
          <cell r="D28">
            <v>0.15</v>
          </cell>
          <cell r="E28">
            <v>0.25</v>
          </cell>
          <cell r="F28">
            <v>0.05</v>
          </cell>
          <cell r="H28">
            <v>0.20899999999999999</v>
          </cell>
          <cell r="I28">
            <v>12.679</v>
          </cell>
          <cell r="J28">
            <v>13.071134020618558</v>
          </cell>
          <cell r="K28">
            <v>0.77300000000000002</v>
          </cell>
          <cell r="L28">
            <v>4.0999999999999996</v>
          </cell>
        </row>
        <row r="29">
          <cell r="A29" t="str">
            <v>Peuplier 15 mm</v>
          </cell>
          <cell r="B29">
            <v>14.23</v>
          </cell>
          <cell r="C29">
            <v>1.5</v>
          </cell>
          <cell r="D29">
            <v>0.15</v>
          </cell>
          <cell r="E29">
            <v>0.25</v>
          </cell>
          <cell r="F29">
            <v>0.05</v>
          </cell>
          <cell r="H29">
            <v>0.20899999999999999</v>
          </cell>
          <cell r="I29">
            <v>16.389000000000003</v>
          </cell>
          <cell r="J29">
            <v>16.895876288659796</v>
          </cell>
          <cell r="K29">
            <v>0.77300000000000002</v>
          </cell>
          <cell r="L29">
            <v>6.6000000000000005</v>
          </cell>
        </row>
        <row r="30">
          <cell r="A30" t="str">
            <v>Peuplier 18 mm</v>
          </cell>
          <cell r="B30">
            <v>19.89</v>
          </cell>
          <cell r="C30">
            <v>1.5</v>
          </cell>
          <cell r="D30">
            <v>0.15</v>
          </cell>
          <cell r="E30">
            <v>0.25</v>
          </cell>
          <cell r="F30">
            <v>0.05</v>
          </cell>
          <cell r="H30">
            <v>0.20899999999999999</v>
          </cell>
          <cell r="I30">
            <v>22.048999999999999</v>
          </cell>
          <cell r="J30">
            <v>22.730927835051546</v>
          </cell>
          <cell r="K30">
            <v>0.77300000000000002</v>
          </cell>
          <cell r="L30">
            <v>9.5399999999999991</v>
          </cell>
        </row>
        <row r="31">
          <cell r="A31" t="str">
            <v>Peuplier 22 mm</v>
          </cell>
          <cell r="B31">
            <v>22.454000000000001</v>
          </cell>
          <cell r="C31">
            <v>1.5</v>
          </cell>
          <cell r="D31">
            <v>0.15</v>
          </cell>
          <cell r="E31">
            <v>0.25</v>
          </cell>
          <cell r="F31">
            <v>0.05</v>
          </cell>
          <cell r="H31">
            <v>0.20899999999999999</v>
          </cell>
          <cell r="I31">
            <v>24.613</v>
          </cell>
          <cell r="J31">
            <v>25.374226804123712</v>
          </cell>
          <cell r="K31">
            <v>0.77300000000000002</v>
          </cell>
          <cell r="L31">
            <v>9.9</v>
          </cell>
        </row>
        <row r="32">
          <cell r="A32" t="str">
            <v>Peuplier 30 mm</v>
          </cell>
          <cell r="B32">
            <v>29.88</v>
          </cell>
          <cell r="C32">
            <v>1.5</v>
          </cell>
          <cell r="D32">
            <v>0.15</v>
          </cell>
          <cell r="E32">
            <v>0.25</v>
          </cell>
          <cell r="F32">
            <v>0.05</v>
          </cell>
          <cell r="H32">
            <v>0.20899999999999999</v>
          </cell>
          <cell r="I32">
            <v>32.039000000000001</v>
          </cell>
          <cell r="J32">
            <v>33.029896907216497</v>
          </cell>
          <cell r="K32">
            <v>0.77300000000000002</v>
          </cell>
          <cell r="L32">
            <v>13.2</v>
          </cell>
        </row>
        <row r="33">
          <cell r="A33" t="str">
            <v>Plastazote 10 mm</v>
          </cell>
          <cell r="B33">
            <v>4.8899999999999997</v>
          </cell>
          <cell r="G33">
            <v>1.45</v>
          </cell>
          <cell r="I33">
            <v>6.34</v>
          </cell>
          <cell r="J33">
            <v>6.536082474226804</v>
          </cell>
          <cell r="K33">
            <v>1.8</v>
          </cell>
          <cell r="L33">
            <v>0.28999999999999998</v>
          </cell>
        </row>
        <row r="34">
          <cell r="A34" t="str">
            <v>Plastazote 20 mm</v>
          </cell>
          <cell r="B34">
            <v>9.7850000000000001</v>
          </cell>
          <cell r="G34">
            <v>1.45</v>
          </cell>
          <cell r="I34">
            <v>11.234999999999999</v>
          </cell>
          <cell r="J34">
            <v>11.582474226804123</v>
          </cell>
          <cell r="K34">
            <v>1.8</v>
          </cell>
          <cell r="L34">
            <v>0.28999999999999998</v>
          </cell>
        </row>
        <row r="35">
          <cell r="A35" t="str">
            <v>Plastazote 5 mm</v>
          </cell>
          <cell r="B35">
            <v>2.4500000000000002</v>
          </cell>
          <cell r="G35">
            <v>1.45</v>
          </cell>
          <cell r="I35">
            <v>3.9000000000000004</v>
          </cell>
          <cell r="J35">
            <v>4.0206185567010317</v>
          </cell>
          <cell r="K35">
            <v>1.8</v>
          </cell>
          <cell r="L35">
            <v>0.28999999999999998</v>
          </cell>
        </row>
        <row r="36">
          <cell r="A36" t="str">
            <v>Plastazote 50 mm</v>
          </cell>
          <cell r="B36">
            <v>24.45</v>
          </cell>
          <cell r="G36">
            <v>1.45</v>
          </cell>
          <cell r="I36">
            <v>25.9</v>
          </cell>
          <cell r="J36">
            <v>26.701030927835049</v>
          </cell>
          <cell r="K36">
            <v>1.8</v>
          </cell>
          <cell r="L36">
            <v>1.45</v>
          </cell>
        </row>
        <row r="37">
          <cell r="A37" t="str">
            <v>PU 10 mm</v>
          </cell>
          <cell r="B37">
            <v>2.1366617304844513</v>
          </cell>
          <cell r="G37">
            <v>1.45</v>
          </cell>
          <cell r="I37">
            <v>3.586661730484451</v>
          </cell>
          <cell r="J37">
            <v>3.6975894128705682</v>
          </cell>
          <cell r="K37">
            <v>2.7</v>
          </cell>
          <cell r="L37">
            <v>0.25</v>
          </cell>
        </row>
        <row r="38">
          <cell r="A38" t="str">
            <v>PU 15 mm</v>
          </cell>
          <cell r="B38">
            <v>3.209525824292061</v>
          </cell>
          <cell r="G38">
            <v>1.45</v>
          </cell>
          <cell r="I38">
            <v>4.6595258242920607</v>
          </cell>
          <cell r="J38">
            <v>4.8036348704041867</v>
          </cell>
          <cell r="K38">
            <v>2.7</v>
          </cell>
          <cell r="L38">
            <v>0.375</v>
          </cell>
        </row>
        <row r="39">
          <cell r="A39" t="str">
            <v>PU 20 mm</v>
          </cell>
          <cell r="B39">
            <v>3.7807126235304791</v>
          </cell>
          <cell r="G39">
            <v>1.45</v>
          </cell>
          <cell r="I39">
            <v>5.2307126235304793</v>
          </cell>
          <cell r="J39">
            <v>5.3924872407530717</v>
          </cell>
          <cell r="K39">
            <v>2.7</v>
          </cell>
          <cell r="L39">
            <v>0.5</v>
          </cell>
        </row>
        <row r="40">
          <cell r="A40" t="str">
            <v>PU 25 mm</v>
          </cell>
          <cell r="B40">
            <v>5.34316540239959</v>
          </cell>
          <cell r="G40">
            <v>1.45</v>
          </cell>
          <cell r="I40">
            <v>6.7931654023995902</v>
          </cell>
          <cell r="J40">
            <v>7.0032633014428765</v>
          </cell>
          <cell r="K40">
            <v>2.7</v>
          </cell>
          <cell r="L40">
            <v>0.625</v>
          </cell>
        </row>
        <row r="41">
          <cell r="A41" t="str">
            <v>PU 30 mm</v>
          </cell>
          <cell r="B41">
            <v>6.6124694007071847</v>
          </cell>
          <cell r="G41">
            <v>1.45</v>
          </cell>
          <cell r="I41">
            <v>8.0624694007071849</v>
          </cell>
          <cell r="J41">
            <v>8.3118241244403972</v>
          </cell>
          <cell r="K41">
            <v>2.7</v>
          </cell>
          <cell r="L41">
            <v>0.75</v>
          </cell>
        </row>
        <row r="42">
          <cell r="A42" t="str">
            <v>PU 35 mm</v>
          </cell>
          <cell r="B42">
            <v>7.4737828281301955</v>
          </cell>
          <cell r="G42">
            <v>1.45</v>
          </cell>
          <cell r="I42">
            <v>8.9237828281301947</v>
          </cell>
          <cell r="J42">
            <v>9.1997761114744279</v>
          </cell>
          <cell r="K42">
            <v>2.7</v>
          </cell>
          <cell r="L42">
            <v>0.875</v>
          </cell>
        </row>
        <row r="43">
          <cell r="A43" t="str">
            <v>PU 40 mm</v>
          </cell>
          <cell r="B43">
            <v>7.5644473994378814</v>
          </cell>
          <cell r="G43">
            <v>1.45</v>
          </cell>
          <cell r="I43">
            <v>9.0144473994378806</v>
          </cell>
          <cell r="J43">
            <v>9.2932447416885378</v>
          </cell>
          <cell r="K43">
            <v>2.7</v>
          </cell>
          <cell r="L43">
            <v>1</v>
          </cell>
        </row>
        <row r="44">
          <cell r="A44" t="str">
            <v>PU 45 mm</v>
          </cell>
          <cell r="B44">
            <v>9.6225331681223381</v>
          </cell>
          <cell r="G44">
            <v>1.45</v>
          </cell>
          <cell r="I44">
            <v>11.072533168122337</v>
          </cell>
          <cell r="J44">
            <v>11.414982647548802</v>
          </cell>
          <cell r="K44">
            <v>2.7</v>
          </cell>
          <cell r="L44">
            <v>1.125</v>
          </cell>
        </row>
        <row r="45">
          <cell r="A45" t="str">
            <v>PU 5 mm</v>
          </cell>
          <cell r="B45">
            <v>1.4778325123152711</v>
          </cell>
          <cell r="G45">
            <v>1.45</v>
          </cell>
          <cell r="I45">
            <v>2.9278325123152711</v>
          </cell>
          <cell r="J45">
            <v>3.0183840333147125</v>
          </cell>
          <cell r="K45">
            <v>2.7</v>
          </cell>
          <cell r="L45">
            <v>0.125</v>
          </cell>
        </row>
        <row r="46">
          <cell r="A46" t="str">
            <v>PU 50 mm</v>
          </cell>
          <cell r="B46">
            <v>7.83</v>
          </cell>
          <cell r="G46">
            <v>1.45</v>
          </cell>
          <cell r="I46">
            <v>9.2799999999999994</v>
          </cell>
          <cell r="J46">
            <v>9.5670103092783503</v>
          </cell>
          <cell r="K46">
            <v>2.7</v>
          </cell>
          <cell r="L46">
            <v>1.25</v>
          </cell>
        </row>
        <row r="47">
          <cell r="A47" t="str">
            <v>Semelles 63 mm</v>
          </cell>
          <cell r="B47">
            <v>43</v>
          </cell>
          <cell r="D47">
            <v>0.15</v>
          </cell>
          <cell r="E47">
            <v>0.25</v>
          </cell>
          <cell r="I47">
            <v>43.4</v>
          </cell>
          <cell r="J47">
            <v>44.742268041237111</v>
          </cell>
          <cell r="K47">
            <v>0.48399999999999999</v>
          </cell>
          <cell r="L47">
            <v>32</v>
          </cell>
        </row>
        <row r="48">
          <cell r="A48" t="str">
            <v>Semelles R4F</v>
          </cell>
          <cell r="B48">
            <v>61.02</v>
          </cell>
          <cell r="D48">
            <v>0.15</v>
          </cell>
          <cell r="E48">
            <v>0.25</v>
          </cell>
          <cell r="I48">
            <v>61.42</v>
          </cell>
          <cell r="J48">
            <v>63.319587628865982</v>
          </cell>
          <cell r="K48">
            <v>0.48399999999999999</v>
          </cell>
          <cell r="L48">
            <v>35</v>
          </cell>
        </row>
        <row r="49">
          <cell r="A49" t="str">
            <v>Stratocell 10 mm</v>
          </cell>
          <cell r="B49">
            <v>3.39</v>
          </cell>
          <cell r="G49">
            <v>1.45</v>
          </cell>
          <cell r="I49">
            <v>4.84</v>
          </cell>
          <cell r="J49">
            <v>4.9896907216494846</v>
          </cell>
          <cell r="K49">
            <v>2.9</v>
          </cell>
          <cell r="L49">
            <v>0.24</v>
          </cell>
        </row>
        <row r="50">
          <cell r="A50" t="str">
            <v>Stratocell 20 mm</v>
          </cell>
          <cell r="B50">
            <v>4.78</v>
          </cell>
          <cell r="G50">
            <v>1.45</v>
          </cell>
          <cell r="I50">
            <v>6.23</v>
          </cell>
          <cell r="J50">
            <v>6.4226804123711343</v>
          </cell>
          <cell r="K50">
            <v>2.9</v>
          </cell>
          <cell r="L50">
            <v>0.48</v>
          </cell>
        </row>
        <row r="51">
          <cell r="A51" t="str">
            <v>Stratocell 30 mm</v>
          </cell>
          <cell r="B51">
            <v>6.91</v>
          </cell>
          <cell r="G51">
            <v>1.45</v>
          </cell>
          <cell r="I51">
            <v>8.36</v>
          </cell>
          <cell r="J51">
            <v>8.6185567010309274</v>
          </cell>
          <cell r="K51">
            <v>2.9</v>
          </cell>
          <cell r="L51">
            <v>0.79199999999999993</v>
          </cell>
        </row>
        <row r="52">
          <cell r="A52" t="str">
            <v>Stratocell 40 mm</v>
          </cell>
          <cell r="B52">
            <v>7.02</v>
          </cell>
          <cell r="G52">
            <v>1.45</v>
          </cell>
          <cell r="I52">
            <v>8.4699999999999989</v>
          </cell>
          <cell r="J52">
            <v>8.7319587628865971</v>
          </cell>
          <cell r="K52">
            <v>2.9</v>
          </cell>
          <cell r="L52">
            <v>0.79199999999999993</v>
          </cell>
        </row>
        <row r="53">
          <cell r="A53" t="str">
            <v>Stratocell 50 mm</v>
          </cell>
          <cell r="B53">
            <v>7.66</v>
          </cell>
          <cell r="G53">
            <v>1.45</v>
          </cell>
          <cell r="I53">
            <v>9.11</v>
          </cell>
          <cell r="J53">
            <v>9.391752577319588</v>
          </cell>
          <cell r="K53">
            <v>2.9</v>
          </cell>
          <cell r="L53">
            <v>1.2</v>
          </cell>
        </row>
        <row r="54">
          <cell r="A54" t="str">
            <v>Stratocell 50 mm 65 Kg</v>
          </cell>
          <cell r="B54">
            <v>20.787500000000001</v>
          </cell>
          <cell r="G54">
            <v>1.45</v>
          </cell>
          <cell r="I54">
            <v>22.237500000000001</v>
          </cell>
          <cell r="J54">
            <v>22.925257731958766</v>
          </cell>
          <cell r="K54">
            <v>2.9</v>
          </cell>
          <cell r="L54">
            <v>3.25</v>
          </cell>
        </row>
        <row r="55">
          <cell r="A55" t="str">
            <v>Styro 30 mm</v>
          </cell>
          <cell r="B55">
            <v>4.8</v>
          </cell>
          <cell r="G55">
            <v>1.45</v>
          </cell>
          <cell r="H55">
            <v>0.55400000000000005</v>
          </cell>
          <cell r="I55">
            <v>6.8040000000000003</v>
          </cell>
          <cell r="J55">
            <v>7.0144329896907225</v>
          </cell>
          <cell r="K55">
            <v>2.95</v>
          </cell>
          <cell r="L55">
            <v>1.02</v>
          </cell>
        </row>
        <row r="56">
          <cell r="A56" t="str">
            <v>Styro 50 mm</v>
          </cell>
          <cell r="B56">
            <v>8</v>
          </cell>
          <cell r="G56">
            <v>1.45</v>
          </cell>
          <cell r="H56">
            <v>0.55400000000000005</v>
          </cell>
          <cell r="I56">
            <v>10.004</v>
          </cell>
          <cell r="J56">
            <v>10.313402061855671</v>
          </cell>
          <cell r="K56">
            <v>2.95</v>
          </cell>
          <cell r="L56">
            <v>1.5</v>
          </cell>
        </row>
        <row r="57">
          <cell r="A57" t="str">
            <v>Tyvek</v>
          </cell>
          <cell r="B57">
            <v>2.77</v>
          </cell>
          <cell r="G57">
            <v>1.45</v>
          </cell>
          <cell r="I57">
            <v>4.22</v>
          </cell>
          <cell r="J57">
            <v>4.3505154639175254</v>
          </cell>
          <cell r="K57">
            <v>0.05</v>
          </cell>
          <cell r="L57">
            <v>0.1</v>
          </cell>
        </row>
        <row r="58">
          <cell r="A58" t="str">
            <v>Vernis teinté</v>
          </cell>
          <cell r="B58">
            <v>7.0402000000000005</v>
          </cell>
          <cell r="I58">
            <v>7.0402000000000005</v>
          </cell>
          <cell r="J58">
            <v>7.2579381443298976</v>
          </cell>
          <cell r="K58">
            <v>5.74</v>
          </cell>
          <cell r="L58">
            <v>0.3</v>
          </cell>
        </row>
        <row r="64">
          <cell r="A64" t="str">
            <v>Frais Généraux</v>
          </cell>
          <cell r="B64">
            <v>0.65</v>
          </cell>
          <cell r="C64">
            <v>-0.35</v>
          </cell>
        </row>
        <row r="65">
          <cell r="A65" t="str">
            <v>Marge</v>
          </cell>
          <cell r="B65">
            <v>7.0000000000000007E-2</v>
          </cell>
        </row>
      </sheetData>
      <sheetData sheetId="16">
        <row r="2">
          <cell r="B2" t="str">
            <v>AGET</v>
          </cell>
          <cell r="C2" t="e">
            <v>#VALUE!</v>
          </cell>
          <cell r="D2" t="str">
            <v>Valsem Scotch Marron, Styrofoam Armé,                         Carton Scotch Marron, Joint 19 mm</v>
          </cell>
          <cell r="E2" t="str">
            <v>Lie de Vin 50% de R, 50% de V</v>
          </cell>
          <cell r="F2" t="str">
            <v>Fermeture par Platine M8 + Vis M8x50</v>
          </cell>
          <cell r="G2" t="str">
            <v>Fermeture par Vis Bois 4 x 70 + Cuvette Laiton</v>
          </cell>
        </row>
        <row r="3">
          <cell r="B3" t="str">
            <v>ARCKX</v>
          </cell>
          <cell r="C3" t="e">
            <v>#VALUE!</v>
          </cell>
          <cell r="D3" t="str">
            <v>Valsem Scotch Marron, Styrofoam Armé,                         Carton Scotch Marron, Joint 19 mm</v>
          </cell>
          <cell r="E3" t="str">
            <v>Vernis Teinté</v>
          </cell>
          <cell r="F3" t="str">
            <v>Fermeture par Platine M8 + Vis M8x50</v>
          </cell>
          <cell r="G3" t="str">
            <v>Fermeture par Vis Bois 4 x 70 + Cuvette Laiton</v>
          </cell>
        </row>
        <row r="4">
          <cell r="B4" t="str">
            <v>BOVIS</v>
          </cell>
          <cell r="C4" t="e">
            <v>#VALUE!</v>
          </cell>
          <cell r="D4" t="str">
            <v>Valsem Scotch Blanc, Styrofoam Armé,                         Carton Scotch Marron, Joint 30 mm</v>
          </cell>
          <cell r="E4" t="str">
            <v>Vert Bovis</v>
          </cell>
          <cell r="F4" t="str">
            <v>Fermeture par Platine M8 + Vis M8x50</v>
          </cell>
          <cell r="G4" t="str">
            <v>Fermeture par Vis Bois 4 x 70 + Cuvette Laiton</v>
          </cell>
        </row>
        <row r="5">
          <cell r="B5" t="str">
            <v>CHENUE</v>
          </cell>
          <cell r="C5" t="e">
            <v>#VALUE!</v>
          </cell>
          <cell r="D5" t="str">
            <v>Valsem Scotch Blanc, Styrofoam Armé,                         Carton Scotch Marron, Joint 30 mm</v>
          </cell>
          <cell r="E5" t="str">
            <v>Bleu Chenue</v>
          </cell>
          <cell r="F5" t="str">
            <v>Fermeture par Platine M8 + Vis M8x50</v>
          </cell>
          <cell r="G5" t="str">
            <v>Fermeture par Vis Torx 4 x 70 + Cuvette Laiton</v>
          </cell>
        </row>
        <row r="6">
          <cell r="B6" t="str">
            <v>ESI</v>
          </cell>
          <cell r="C6" t="e">
            <v>#VALUE!</v>
          </cell>
          <cell r="D6" t="str">
            <v>Valsem Scotch Marron, Styrofoam Armé,                         Carton Scotch Marron, Joint 19 mm</v>
          </cell>
          <cell r="E6" t="str">
            <v>Bleu Nuit</v>
          </cell>
          <cell r="F6" t="str">
            <v>Fermeture par Platine M8 + Vis M8x50</v>
          </cell>
          <cell r="G6" t="str">
            <v>Fermeture par Vis Bois 4 x 70 + Cuvette Laiton</v>
          </cell>
        </row>
        <row r="7">
          <cell r="B7" t="str">
            <v>GROPIRON</v>
          </cell>
          <cell r="C7" t="e">
            <v>#VALUE!</v>
          </cell>
          <cell r="D7" t="str">
            <v>Valsem Scotch Marron, Styrofoam Armé,                         Carton Scotch Marron, Joint 19 mm</v>
          </cell>
          <cell r="E7" t="str">
            <v>Jaune</v>
          </cell>
          <cell r="F7" t="str">
            <v>Fermeture par Platine M8 + Vis M8x50</v>
          </cell>
          <cell r="G7" t="str">
            <v>Fermeture par Vis Bois 4 x 70 + Cuvette Laiton</v>
          </cell>
        </row>
        <row r="8">
          <cell r="B8" t="str">
            <v>HIZKIA</v>
          </cell>
          <cell r="C8" t="e">
            <v>#VALUE!</v>
          </cell>
          <cell r="D8" t="str">
            <v>Valsem Scotch Vert Raja, Styrofoam Armé,                         Carton Scotch Vert Raja, Joint 19 mm</v>
          </cell>
          <cell r="E8" t="str">
            <v>Vert Fluo</v>
          </cell>
          <cell r="F8" t="str">
            <v>Fermeture par Platine M8 + Vis M8x50</v>
          </cell>
          <cell r="G8" t="str">
            <v>Fermeture par Vis Bois 4 x 70 + Cuvette Laiton</v>
          </cell>
        </row>
        <row r="9">
          <cell r="B9" t="str">
            <v>PARTNER</v>
          </cell>
          <cell r="C9" t="e">
            <v>#VALUE!</v>
          </cell>
          <cell r="D9" t="str">
            <v>Valsem Scotch Marron, Styrofoam Armé,                         Carton Scotch Marron, Joint 19 mm</v>
          </cell>
          <cell r="E9" t="str">
            <v>Vert Partner</v>
          </cell>
          <cell r="F9" t="str">
            <v>Fermeture par Platine M8 + Vis M8x50</v>
          </cell>
          <cell r="G9" t="str">
            <v>Fermeture par Vis Bois 4 x 70 + Cuvette Laiton</v>
          </cell>
        </row>
        <row r="10">
          <cell r="B10" t="str">
            <v>SENDSIO</v>
          </cell>
          <cell r="C10" t="e">
            <v>#VALUE!</v>
          </cell>
          <cell r="D10" t="str">
            <v>Valsem Scotch Marron, Styrofoam Armé,                         Carton Scotch Marron, Joint 19 mm</v>
          </cell>
          <cell r="E10" t="str">
            <v>Orange</v>
          </cell>
          <cell r="F10" t="str">
            <v>Fermeture par Platine M8 + Vis M8x50</v>
          </cell>
          <cell r="G10" t="str">
            <v>Fermeture par Vis Torx 4 x 70 + Cuvette Laiton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1"/>
      <sheetName val="T2-T6"/>
      <sheetName val="T1-T6 Contre-Caisse"/>
      <sheetName val="T1-T3 MRT"/>
      <sheetName val="MRT"/>
      <sheetName val="T1 Louvre"/>
      <sheetName val="T2-T6 LOUVRE"/>
      <sheetName val="Tableau Anti Vibratoire"/>
      <sheetName val="T à Glissières"/>
      <sheetName val="T à Glissière + contrecaisse"/>
      <sheetName val="T Séparations mousse"/>
      <sheetName val="Objet 1"/>
      <sheetName val="Objet 2 à 6"/>
      <sheetName val="Caisse à Plateau"/>
      <sheetName val="Caisse Cuvette"/>
      <sheetName val="Objet caisse et contrecaisse"/>
      <sheetName val=" Objet Anti Vibratoire"/>
      <sheetName val="Tapisserie"/>
      <sheetName val="Caissons Tableaux"/>
      <sheetName val="Caissons Objets"/>
      <sheetName val="Wrapp"/>
      <sheetName val="FlyCaisse"/>
      <sheetName val="Claire-Voie"/>
      <sheetName val="Caisse Garde-Meubles"/>
      <sheetName val="Prix Matiere"/>
      <sheetName val="Infos Client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>
        <row r="140">
          <cell r="A140" t="str">
            <v>Aucun</v>
          </cell>
          <cell r="B140">
            <v>0</v>
          </cell>
          <cell r="C140">
            <v>0</v>
          </cell>
          <cell r="D140">
            <v>0</v>
          </cell>
          <cell r="E140">
            <v>0</v>
          </cell>
          <cell r="F140">
            <v>0</v>
          </cell>
          <cell r="G140">
            <v>0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  <cell r="L140">
            <v>0</v>
          </cell>
          <cell r="M140">
            <v>0</v>
          </cell>
        </row>
        <row r="141">
          <cell r="A141" t="str">
            <v>Bancs fermés</v>
          </cell>
          <cell r="B141">
            <v>20</v>
          </cell>
          <cell r="C141">
            <v>20</v>
          </cell>
          <cell r="D141">
            <v>14</v>
          </cell>
          <cell r="E141">
            <v>10</v>
          </cell>
          <cell r="F141">
            <v>0.2</v>
          </cell>
          <cell r="G141">
            <v>1</v>
          </cell>
          <cell r="H141" t="str">
            <v>Ethafoam 50 mm</v>
          </cell>
          <cell r="I141" t="str">
            <v>PU 50 mm</v>
          </cell>
          <cell r="J141">
            <v>-0.5</v>
          </cell>
          <cell r="K141">
            <v>1</v>
          </cell>
          <cell r="L141">
            <v>0</v>
          </cell>
          <cell r="M141" t="str">
            <v>Nombre</v>
          </cell>
        </row>
        <row r="142">
          <cell r="A142" t="str">
            <v>Bancs ouverts</v>
          </cell>
          <cell r="B142">
            <v>14</v>
          </cell>
          <cell r="C142">
            <v>14</v>
          </cell>
          <cell r="D142">
            <v>7</v>
          </cell>
          <cell r="E142">
            <v>10</v>
          </cell>
          <cell r="F142">
            <v>0.2</v>
          </cell>
          <cell r="G142">
            <v>1</v>
          </cell>
          <cell r="H142" t="str">
            <v>Ethafoam 50 mm</v>
          </cell>
          <cell r="I142" t="str">
            <v>PU 50 mm</v>
          </cell>
          <cell r="J142">
            <v>-0.5</v>
          </cell>
          <cell r="K142">
            <v>1</v>
          </cell>
          <cell r="L142">
            <v>0</v>
          </cell>
          <cell r="M142" t="str">
            <v>Nombre</v>
          </cell>
        </row>
        <row r="143">
          <cell r="A143" t="str">
            <v>Bandes de mousse cinquante mm</v>
          </cell>
          <cell r="B143">
            <v>10.199999999999999</v>
          </cell>
          <cell r="C143">
            <v>10.199999999999999</v>
          </cell>
          <cell r="D143">
            <v>5.2</v>
          </cell>
          <cell r="E143">
            <v>10.7</v>
          </cell>
          <cell r="F143">
            <v>0.2</v>
          </cell>
          <cell r="G143">
            <v>2</v>
          </cell>
          <cell r="H143" t="str">
            <v>Ethafoam 50 mm</v>
          </cell>
          <cell r="I143" t="str">
            <v>Ethafoam 50 mm</v>
          </cell>
          <cell r="J143">
            <v>-0.5</v>
          </cell>
          <cell r="K143">
            <v>2</v>
          </cell>
          <cell r="L143">
            <v>1</v>
          </cell>
          <cell r="M143" t="str">
            <v>Type de mousse</v>
          </cell>
        </row>
        <row r="144">
          <cell r="A144" t="str">
            <v>Bandes de mousse trente mm</v>
          </cell>
          <cell r="B144">
            <v>6.2</v>
          </cell>
          <cell r="C144">
            <v>6.2</v>
          </cell>
          <cell r="D144">
            <v>3.2</v>
          </cell>
          <cell r="E144">
            <v>10.7</v>
          </cell>
          <cell r="F144">
            <v>0.2</v>
          </cell>
          <cell r="G144">
            <v>2</v>
          </cell>
          <cell r="H144" t="str">
            <v>Ethafoam 30 mm</v>
          </cell>
          <cell r="I144" t="str">
            <v>Ethafoam 30 mm</v>
          </cell>
          <cell r="J144">
            <v>-0.5</v>
          </cell>
          <cell r="K144">
            <v>2</v>
          </cell>
          <cell r="L144">
            <v>1</v>
          </cell>
          <cell r="M144" t="str">
            <v>Type de mousse</v>
          </cell>
        </row>
        <row r="145">
          <cell r="A145" t="str">
            <v>Découpe Mousse</v>
          </cell>
          <cell r="B145">
            <v>10.199999999999999</v>
          </cell>
          <cell r="C145">
            <v>10.199999999999999</v>
          </cell>
          <cell r="D145">
            <v>5.2</v>
          </cell>
          <cell r="E145">
            <v>5.7</v>
          </cell>
          <cell r="F145">
            <v>10.199999999999999</v>
          </cell>
          <cell r="G145">
            <v>2</v>
          </cell>
          <cell r="H145" t="str">
            <v>PU 50 mm</v>
          </cell>
          <cell r="I145" t="str">
            <v>PU 50 mm</v>
          </cell>
          <cell r="J145">
            <v>-0.5</v>
          </cell>
          <cell r="K145">
            <v>2</v>
          </cell>
          <cell r="L145">
            <v>1</v>
          </cell>
        </row>
        <row r="146">
          <cell r="A146" t="str">
            <v>Ecrin horizontal</v>
          </cell>
          <cell r="B146">
            <v>10.199999999999999</v>
          </cell>
          <cell r="C146">
            <v>10.199999999999999</v>
          </cell>
          <cell r="D146">
            <v>5.2</v>
          </cell>
          <cell r="E146">
            <v>5.7</v>
          </cell>
          <cell r="F146">
            <v>10.199999999999999</v>
          </cell>
          <cell r="G146">
            <v>2</v>
          </cell>
          <cell r="H146" t="str">
            <v>PU 50 mm</v>
          </cell>
          <cell r="I146" t="str">
            <v>PU 50 mm</v>
          </cell>
          <cell r="J146">
            <v>-0.5</v>
          </cell>
          <cell r="K146">
            <v>2</v>
          </cell>
          <cell r="L146">
            <v>1</v>
          </cell>
          <cell r="M146" t="str">
            <v>Type de mousse</v>
          </cell>
        </row>
        <row r="147">
          <cell r="A147" t="str">
            <v>Ecrin vertical</v>
          </cell>
          <cell r="B147">
            <v>10.199999999999999</v>
          </cell>
          <cell r="C147">
            <v>10.199999999999999</v>
          </cell>
          <cell r="D147">
            <v>5.2</v>
          </cell>
          <cell r="E147">
            <v>5</v>
          </cell>
          <cell r="F147">
            <v>0.2</v>
          </cell>
          <cell r="G147">
            <v>2</v>
          </cell>
          <cell r="H147" t="str">
            <v>PU 50 mm</v>
          </cell>
          <cell r="I147" t="str">
            <v>PU 50 mm</v>
          </cell>
          <cell r="J147">
            <v>9.5</v>
          </cell>
          <cell r="K147">
            <v>2</v>
          </cell>
          <cell r="L147">
            <v>1</v>
          </cell>
          <cell r="M147" t="str">
            <v>Type de mousse</v>
          </cell>
        </row>
        <row r="148">
          <cell r="A148" t="str">
            <v>Entourage Stratocell 20 mm</v>
          </cell>
          <cell r="B148">
            <v>4.8</v>
          </cell>
          <cell r="C148">
            <v>4.8</v>
          </cell>
          <cell r="D148">
            <v>2.5</v>
          </cell>
          <cell r="F148">
            <v>0.2</v>
          </cell>
          <cell r="G148">
            <v>2</v>
          </cell>
          <cell r="H148" t="str">
            <v>Statocell 20 mm</v>
          </cell>
          <cell r="I148" t="str">
            <v>Statocell 20 mm</v>
          </cell>
          <cell r="J148">
            <v>-0.5</v>
          </cell>
          <cell r="K148">
            <v>2</v>
          </cell>
          <cell r="L148">
            <v>1</v>
          </cell>
        </row>
        <row r="149">
          <cell r="A149" t="str">
            <v>Entourage Stratocell 30 mm</v>
          </cell>
          <cell r="B149">
            <v>6.8</v>
          </cell>
          <cell r="C149">
            <v>6.8</v>
          </cell>
          <cell r="D149">
            <v>3.5</v>
          </cell>
          <cell r="F149">
            <v>0.2</v>
          </cell>
          <cell r="G149">
            <v>2</v>
          </cell>
          <cell r="H149" t="str">
            <v>Statocell 30 mm</v>
          </cell>
          <cell r="I149" t="str">
            <v>Statocell 30 mm</v>
          </cell>
          <cell r="J149">
            <v>-0.5</v>
          </cell>
          <cell r="K149">
            <v>2</v>
          </cell>
          <cell r="L149">
            <v>1</v>
          </cell>
        </row>
        <row r="150">
          <cell r="A150" t="str">
            <v>Guillotines horizontales</v>
          </cell>
          <cell r="B150">
            <v>14</v>
          </cell>
          <cell r="C150">
            <v>14</v>
          </cell>
          <cell r="D150">
            <v>7</v>
          </cell>
          <cell r="E150">
            <v>10.199999999999999</v>
          </cell>
          <cell r="F150">
            <v>0.2</v>
          </cell>
          <cell r="G150">
            <v>2</v>
          </cell>
          <cell r="H150" t="str">
            <v>Ethafoam 50 mm</v>
          </cell>
          <cell r="I150" t="str">
            <v>PE 80 mm</v>
          </cell>
          <cell r="J150">
            <v>-0.5</v>
          </cell>
          <cell r="K150">
            <v>1</v>
          </cell>
          <cell r="L150">
            <v>0</v>
          </cell>
          <cell r="M150" t="str">
            <v>Nombre</v>
          </cell>
        </row>
        <row r="151">
          <cell r="A151" t="str">
            <v>Guillotines verticales</v>
          </cell>
          <cell r="B151">
            <v>14</v>
          </cell>
          <cell r="C151">
            <v>14</v>
          </cell>
          <cell r="D151">
            <v>7</v>
          </cell>
          <cell r="E151">
            <v>10.199999999999999</v>
          </cell>
          <cell r="F151">
            <v>0.2</v>
          </cell>
          <cell r="G151">
            <v>2</v>
          </cell>
          <cell r="H151" t="str">
            <v>Ethafoam 50 mm</v>
          </cell>
          <cell r="I151" t="str">
            <v>PE 80 mm</v>
          </cell>
          <cell r="J151">
            <v>-0.5</v>
          </cell>
          <cell r="K151">
            <v>1</v>
          </cell>
          <cell r="L151">
            <v>0</v>
          </cell>
          <cell r="M151" t="str">
            <v>Nombre</v>
          </cell>
        </row>
        <row r="152">
          <cell r="A152" t="str">
            <v>Mousse à ras + Guillotines verticales</v>
          </cell>
          <cell r="B152">
            <v>10.199999999999999</v>
          </cell>
          <cell r="C152">
            <v>10.199999999999999</v>
          </cell>
          <cell r="D152">
            <v>7</v>
          </cell>
          <cell r="F152">
            <v>0.2</v>
          </cell>
          <cell r="G152">
            <v>1</v>
          </cell>
          <cell r="H152" t="str">
            <v>Ethafoam 50 mm</v>
          </cell>
          <cell r="I152" t="str">
            <v>Ethafoam 50 mm</v>
          </cell>
          <cell r="J152">
            <v>-0.5</v>
          </cell>
          <cell r="K152">
            <v>1</v>
          </cell>
          <cell r="M152" t="str">
            <v>Nombre</v>
          </cell>
        </row>
        <row r="153">
          <cell r="A153" t="str">
            <v>Mousse au carré cinquante mm</v>
          </cell>
          <cell r="B153">
            <v>10.199999999999999</v>
          </cell>
          <cell r="C153">
            <v>10.199999999999999</v>
          </cell>
          <cell r="D153">
            <v>5.2</v>
          </cell>
          <cell r="E153">
            <v>10.7</v>
          </cell>
          <cell r="F153">
            <v>0.2</v>
          </cell>
          <cell r="G153">
            <v>2</v>
          </cell>
          <cell r="H153" t="str">
            <v>PU 50 mm</v>
          </cell>
          <cell r="I153" t="str">
            <v>PU 50 mm</v>
          </cell>
          <cell r="J153">
            <v>-0.5</v>
          </cell>
          <cell r="K153">
            <v>2</v>
          </cell>
          <cell r="L153">
            <v>1</v>
          </cell>
          <cell r="M153" t="str">
            <v>Type de mousse</v>
          </cell>
        </row>
        <row r="154">
          <cell r="A154" t="str">
            <v xml:space="preserve">Mousse au carré trente mm </v>
          </cell>
          <cell r="B154">
            <v>6.2</v>
          </cell>
          <cell r="C154">
            <v>6.2</v>
          </cell>
          <cell r="D154">
            <v>3.2</v>
          </cell>
          <cell r="E154">
            <v>10.7</v>
          </cell>
          <cell r="F154">
            <v>0.2</v>
          </cell>
          <cell r="G154">
            <v>2</v>
          </cell>
          <cell r="H154" t="str">
            <v>PU 30 mm</v>
          </cell>
          <cell r="I154" t="str">
            <v>PU 30 mm</v>
          </cell>
          <cell r="J154">
            <v>-0.5</v>
          </cell>
          <cell r="K154">
            <v>2</v>
          </cell>
          <cell r="L154">
            <v>1</v>
          </cell>
          <cell r="M154" t="str">
            <v>Type de mousse</v>
          </cell>
        </row>
      </sheetData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>
        <row r="4">
          <cell r="A4" t="str">
            <v>Adhesif armé</v>
          </cell>
        </row>
      </sheetData>
      <sheetData sheetId="25">
        <row r="2">
          <cell r="B2" t="str">
            <v>Aget</v>
          </cell>
        </row>
      </sheetData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3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F0"/>
  </sheetPr>
  <dimension ref="A1:Z1000"/>
  <sheetViews>
    <sheetView topLeftCell="A10" zoomScale="70" zoomScaleNormal="70" workbookViewId="0">
      <selection activeCell="F29" sqref="F29"/>
    </sheetView>
  </sheetViews>
  <sheetFormatPr baseColWidth="10" defaultColWidth="14.44140625" defaultRowHeight="14.4" x14ac:dyDescent="0.3"/>
  <cols>
    <col min="1" max="1" width="2.5546875" customWidth="1"/>
    <col min="2" max="2" width="40" customWidth="1"/>
    <col min="3" max="3" width="27.44140625" customWidth="1"/>
    <col min="4" max="4" width="18.88671875" customWidth="1"/>
    <col min="5" max="5" width="26.6640625" customWidth="1"/>
    <col min="6" max="6" width="23.6640625" customWidth="1"/>
    <col min="7" max="7" width="16.5546875" customWidth="1"/>
    <col min="8" max="8" width="9" customWidth="1"/>
    <col min="9" max="9" width="8" customWidth="1"/>
    <col min="10" max="12" width="18.88671875" customWidth="1"/>
    <col min="13" max="13" width="14.44140625" customWidth="1"/>
    <col min="14" max="14" width="18.33203125" customWidth="1"/>
    <col min="15" max="15" width="14.5546875" customWidth="1"/>
    <col min="16" max="16" width="11.44140625" customWidth="1"/>
    <col min="17" max="17" width="15.109375" customWidth="1"/>
    <col min="18" max="26" width="11.44140625" customWidth="1"/>
  </cols>
  <sheetData>
    <row r="1" spans="1:26" ht="21" x14ac:dyDescent="0.35">
      <c r="A1" s="1098" t="s">
        <v>0</v>
      </c>
      <c r="B1" s="1085"/>
      <c r="C1" s="1085"/>
      <c r="D1" s="1085"/>
      <c r="E1" s="1085"/>
      <c r="F1" s="1085"/>
      <c r="G1" s="1086"/>
      <c r="H1" s="1"/>
      <c r="I1" s="2"/>
      <c r="J1" s="2"/>
      <c r="K1" s="2"/>
      <c r="L1" s="2"/>
      <c r="M1" s="2"/>
      <c r="N1" s="3"/>
      <c r="O1" s="2"/>
      <c r="P1" s="2"/>
      <c r="Q1" s="4"/>
      <c r="R1" s="5"/>
      <c r="S1" s="2"/>
      <c r="T1" s="2"/>
      <c r="U1" s="2"/>
      <c r="V1" s="2"/>
      <c r="W1" s="2"/>
      <c r="X1" s="2"/>
      <c r="Y1" s="2"/>
      <c r="Z1" s="2"/>
    </row>
    <row r="2" spans="1:26" ht="21" x14ac:dyDescent="0.35">
      <c r="A2" s="1087"/>
      <c r="B2" s="1088"/>
      <c r="C2" s="1088"/>
      <c r="D2" s="1088"/>
      <c r="E2" s="1088"/>
      <c r="F2" s="1088"/>
      <c r="G2" s="1089"/>
      <c r="H2" s="1"/>
      <c r="I2" s="2"/>
      <c r="J2" s="2"/>
      <c r="K2" s="2"/>
      <c r="L2" s="2"/>
      <c r="M2" s="2"/>
      <c r="N2" s="3"/>
      <c r="O2" s="2"/>
      <c r="P2" s="2"/>
      <c r="Q2" s="4"/>
      <c r="R2" s="5"/>
      <c r="S2" s="2"/>
      <c r="T2" s="2"/>
      <c r="U2" s="2"/>
      <c r="V2" s="2"/>
      <c r="W2" s="2"/>
      <c r="X2" s="2"/>
      <c r="Y2" s="2"/>
      <c r="Z2" s="2"/>
    </row>
    <row r="3" spans="1:26" ht="18" x14ac:dyDescent="0.35">
      <c r="A3" s="2"/>
      <c r="B3" s="2"/>
      <c r="C3" s="2"/>
      <c r="D3" s="6"/>
      <c r="E3" s="7">
        <f>IF(C19="Boulons et platines","Boulons et platines",0)</f>
        <v>0</v>
      </c>
      <c r="F3" s="7">
        <f>IF(E3="Boulons et Platines","Nbre de Trous",0)</f>
        <v>0</v>
      </c>
      <c r="G3" s="8">
        <f>IF(E3="Boulons et Platines","Dim du Bord",0)</f>
        <v>0</v>
      </c>
      <c r="H3" s="9"/>
      <c r="I3" s="2"/>
      <c r="J3" s="2"/>
      <c r="K3" s="2"/>
      <c r="L3" s="2"/>
      <c r="M3" s="2"/>
      <c r="N3" s="3"/>
      <c r="O3" s="2"/>
      <c r="P3" s="2"/>
      <c r="Q3" s="4"/>
      <c r="R3" s="5"/>
      <c r="S3" s="2"/>
      <c r="T3" s="2"/>
      <c r="U3" s="2"/>
      <c r="V3" s="2"/>
      <c r="W3" s="2"/>
      <c r="X3" s="2"/>
      <c r="Y3" s="2"/>
      <c r="Z3" s="2"/>
    </row>
    <row r="4" spans="1:26" ht="18" x14ac:dyDescent="0.35">
      <c r="A4" s="2"/>
      <c r="B4" s="2"/>
      <c r="C4" s="2"/>
      <c r="D4" s="6"/>
      <c r="E4" s="10">
        <f>IF(C19="Vis bois",0,"Trous dans la Longueur")</f>
        <v>0</v>
      </c>
      <c r="F4" s="6">
        <f>IF(E4=0,0,IF(C58&lt;100,2,IF(C58&lt;150,3,IF(C58&lt;200,4,IF(C58&lt;250,5,IF(C58&lt;300,6,7))))))</f>
        <v>0</v>
      </c>
      <c r="G4" s="11">
        <f>IF(F4=0,0,IF(F4=3,0,(($C$58-32)/(F4-1))+16))</f>
        <v>0</v>
      </c>
      <c r="H4" s="12"/>
      <c r="I4" s="2"/>
      <c r="J4" s="2"/>
      <c r="K4" s="2"/>
      <c r="L4" s="2"/>
      <c r="M4" s="2"/>
      <c r="N4" s="3"/>
      <c r="O4" s="2"/>
      <c r="P4" s="2"/>
      <c r="Q4" s="4"/>
      <c r="R4" s="5"/>
      <c r="S4" s="2"/>
      <c r="T4" s="2"/>
      <c r="U4" s="2"/>
      <c r="V4" s="2"/>
      <c r="W4" s="2"/>
      <c r="X4" s="2"/>
      <c r="Y4" s="2"/>
      <c r="Z4" s="2"/>
    </row>
    <row r="5" spans="1:26" ht="21" x14ac:dyDescent="0.35">
      <c r="A5" s="1"/>
      <c r="B5" s="2"/>
      <c r="C5" s="2"/>
      <c r="D5" s="6"/>
      <c r="E5" s="13">
        <f>IF(F4=6,"2ème Trou",IF(F4=7,"2ème Trou",0))</f>
        <v>0</v>
      </c>
      <c r="F5" s="2"/>
      <c r="G5" s="11">
        <f>IF(E5=0,0,G4+G4-16)</f>
        <v>0</v>
      </c>
      <c r="H5" s="12"/>
      <c r="I5" s="2"/>
      <c r="J5" s="2"/>
      <c r="K5" s="2"/>
      <c r="L5" s="2"/>
      <c r="M5" s="2"/>
      <c r="N5" s="3"/>
      <c r="O5" s="2"/>
      <c r="P5" s="2"/>
      <c r="Q5" s="4"/>
      <c r="R5" s="5"/>
      <c r="S5" s="2"/>
      <c r="T5" s="2"/>
      <c r="U5" s="2"/>
      <c r="V5" s="2"/>
      <c r="W5" s="2"/>
      <c r="X5" s="2"/>
      <c r="Y5" s="2"/>
      <c r="Z5" s="2"/>
    </row>
    <row r="6" spans="1:26" ht="21" x14ac:dyDescent="0.35">
      <c r="A6" s="1"/>
      <c r="B6" s="2"/>
      <c r="C6" s="2"/>
      <c r="D6" s="6"/>
      <c r="E6" s="10">
        <f>IF(C19="Vis bois",0,"Trous dans la Hauteur")</f>
        <v>0</v>
      </c>
      <c r="F6" s="6">
        <f>IF(E6=0,0,IF(D58&lt;100,2,IF(D58&lt;150,3,IF(D58&lt;200,4,IF(D58&lt;250,5,IF(D58&lt;310,6,7))))))</f>
        <v>0</v>
      </c>
      <c r="G6" s="11">
        <f>IF(F6=0,0,IF(F6=3,0,(($D$58-32)/(F6-1))+16))</f>
        <v>0</v>
      </c>
      <c r="H6" s="12"/>
      <c r="I6" s="2"/>
      <c r="J6" s="2"/>
      <c r="K6" s="2"/>
      <c r="L6" s="2"/>
      <c r="M6" s="2"/>
      <c r="N6" s="3"/>
      <c r="O6" s="2"/>
      <c r="P6" s="2"/>
      <c r="Q6" s="4"/>
      <c r="R6" s="5"/>
      <c r="S6" s="2"/>
      <c r="T6" s="2"/>
      <c r="U6" s="2"/>
      <c r="V6" s="2"/>
      <c r="W6" s="2"/>
      <c r="X6" s="2"/>
      <c r="Y6" s="2"/>
      <c r="Z6" s="2"/>
    </row>
    <row r="7" spans="1:26" ht="18" x14ac:dyDescent="0.35">
      <c r="A7" s="2"/>
      <c r="B7" s="2"/>
      <c r="C7" s="2"/>
      <c r="D7" s="6"/>
      <c r="E7" s="14">
        <f>IF(F6=6,"2ème Trou",IF(F6=7,"2ème Trou",0))</f>
        <v>0</v>
      </c>
      <c r="F7" s="15"/>
      <c r="G7" s="16">
        <f>IF(E7=0,0,G6+G6-16)</f>
        <v>0</v>
      </c>
      <c r="H7" s="12"/>
      <c r="I7" s="2"/>
      <c r="J7" s="2"/>
      <c r="K7" s="2"/>
      <c r="L7" s="2"/>
      <c r="M7" s="2"/>
      <c r="N7" s="3"/>
      <c r="O7" s="2"/>
      <c r="P7" s="2"/>
      <c r="Q7" s="4"/>
      <c r="R7" s="5"/>
      <c r="S7" s="2"/>
      <c r="T7" s="2"/>
      <c r="U7" s="2"/>
      <c r="V7" s="2"/>
      <c r="W7" s="2"/>
      <c r="X7" s="2"/>
      <c r="Y7" s="2"/>
      <c r="Z7" s="2"/>
    </row>
    <row r="8" spans="1:26" ht="18" x14ac:dyDescent="0.35">
      <c r="A8" s="2"/>
      <c r="B8" s="6"/>
      <c r="C8" s="6"/>
      <c r="D8" s="6"/>
      <c r="E8" s="17"/>
      <c r="F8" s="2"/>
      <c r="G8" s="18"/>
      <c r="H8" s="12"/>
      <c r="I8" s="2"/>
      <c r="J8" s="2"/>
      <c r="K8" s="2"/>
      <c r="L8" s="2"/>
      <c r="M8" s="2"/>
      <c r="N8" s="3"/>
      <c r="O8" s="2"/>
      <c r="P8" s="2"/>
      <c r="Q8" s="4"/>
      <c r="R8" s="5"/>
      <c r="S8" s="2"/>
      <c r="T8" s="2"/>
      <c r="U8" s="2"/>
      <c r="V8" s="2"/>
      <c r="W8" s="2"/>
      <c r="X8" s="2"/>
      <c r="Y8" s="2"/>
      <c r="Z8" s="2"/>
    </row>
    <row r="9" spans="1:26" ht="18" x14ac:dyDescent="0.35">
      <c r="A9" s="2"/>
      <c r="B9" s="19" t="s">
        <v>1</v>
      </c>
      <c r="C9" s="20">
        <v>1</v>
      </c>
      <c r="D9" s="2"/>
      <c r="E9" s="21" t="s">
        <v>2</v>
      </c>
      <c r="F9" s="22" t="s">
        <v>3</v>
      </c>
      <c r="G9" s="2"/>
      <c r="H9" s="2"/>
      <c r="I9" s="2"/>
      <c r="J9" s="2"/>
      <c r="K9" s="2"/>
      <c r="L9" s="2"/>
      <c r="M9" s="2"/>
      <c r="N9" s="3"/>
      <c r="O9" s="2"/>
      <c r="P9" s="2"/>
      <c r="Q9" s="4"/>
      <c r="R9" s="5"/>
      <c r="S9" s="2"/>
      <c r="T9" s="2"/>
      <c r="U9" s="2"/>
      <c r="V9" s="2"/>
      <c r="W9" s="2"/>
      <c r="X9" s="2"/>
      <c r="Y9" s="2"/>
      <c r="Z9" s="2"/>
    </row>
    <row r="10" spans="1:26" ht="18" x14ac:dyDescent="0.35">
      <c r="A10" s="2"/>
      <c r="B10" s="19" t="s">
        <v>4</v>
      </c>
      <c r="C10" s="23">
        <v>1</v>
      </c>
      <c r="D10" s="2"/>
      <c r="E10" s="21" t="s">
        <v>5</v>
      </c>
      <c r="F10" s="24" t="s">
        <v>6</v>
      </c>
      <c r="G10" s="2"/>
      <c r="H10" s="2"/>
      <c r="I10" s="2"/>
      <c r="J10" s="2"/>
      <c r="K10" s="2"/>
      <c r="L10" s="2"/>
      <c r="M10" s="2"/>
      <c r="N10" s="3"/>
      <c r="O10" s="2"/>
      <c r="P10" s="2"/>
      <c r="Q10" s="4"/>
      <c r="R10" s="5"/>
      <c r="S10" s="2"/>
      <c r="T10" s="2"/>
      <c r="U10" s="2"/>
      <c r="V10" s="2"/>
      <c r="W10" s="2"/>
      <c r="X10" s="2"/>
      <c r="Y10" s="2"/>
      <c r="Z10" s="2"/>
    </row>
    <row r="11" spans="1:26" ht="18" x14ac:dyDescent="0.35">
      <c r="A11" s="2"/>
      <c r="B11" s="19" t="s">
        <v>7</v>
      </c>
      <c r="C11" s="23">
        <v>1</v>
      </c>
      <c r="D11" s="2"/>
      <c r="E11" s="21" t="s">
        <v>8</v>
      </c>
      <c r="F11" s="25">
        <v>1</v>
      </c>
      <c r="G11" s="2"/>
      <c r="H11" s="2"/>
      <c r="I11" s="2"/>
      <c r="J11" s="2"/>
      <c r="K11" s="2"/>
      <c r="L11" s="2"/>
      <c r="M11" s="2"/>
      <c r="N11" s="3"/>
      <c r="O11" s="2"/>
      <c r="P11" s="2"/>
      <c r="Q11" s="4"/>
      <c r="R11" s="5"/>
      <c r="S11" s="2"/>
      <c r="T11" s="2"/>
      <c r="U11" s="2"/>
      <c r="V11" s="2"/>
      <c r="W11" s="2"/>
      <c r="X11" s="2"/>
      <c r="Y11" s="2"/>
      <c r="Z11" s="2"/>
    </row>
    <row r="12" spans="1:26" ht="18" x14ac:dyDescent="0.3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3"/>
      <c r="O12" s="2"/>
      <c r="P12" s="2"/>
      <c r="Q12" s="4"/>
      <c r="R12" s="5"/>
      <c r="S12" s="2"/>
      <c r="T12" s="2"/>
      <c r="U12" s="2"/>
      <c r="V12" s="2"/>
      <c r="W12" s="2"/>
      <c r="X12" s="2"/>
      <c r="Y12" s="2"/>
      <c r="Z12" s="2"/>
    </row>
    <row r="13" spans="1:26" ht="21" x14ac:dyDescent="0.4">
      <c r="A13" s="2"/>
      <c r="B13" s="19" t="s">
        <v>9</v>
      </c>
      <c r="C13" s="23" t="s">
        <v>10</v>
      </c>
      <c r="D13" s="2"/>
      <c r="E13" s="1099"/>
      <c r="F13" s="1100"/>
      <c r="G13" s="1101"/>
      <c r="H13" s="2"/>
      <c r="I13" s="2"/>
      <c r="J13" s="2"/>
      <c r="K13" s="2"/>
      <c r="L13" s="2"/>
      <c r="M13" s="2"/>
      <c r="N13" s="3"/>
      <c r="O13" s="2"/>
      <c r="P13" s="2"/>
      <c r="Q13" s="4"/>
      <c r="R13" s="5"/>
      <c r="S13" s="2"/>
      <c r="T13" s="2"/>
      <c r="U13" s="2"/>
      <c r="V13" s="2"/>
      <c r="W13" s="2"/>
      <c r="X13" s="2"/>
      <c r="Y13" s="2"/>
      <c r="Z13" s="2"/>
    </row>
    <row r="14" spans="1:26" ht="21" x14ac:dyDescent="0.4">
      <c r="A14" s="2"/>
      <c r="B14" s="19"/>
      <c r="C14" s="6"/>
      <c r="D14" s="2"/>
      <c r="E14" s="1099"/>
      <c r="F14" s="1100"/>
      <c r="G14" s="1101"/>
      <c r="H14" s="2"/>
      <c r="I14" s="2"/>
      <c r="J14" s="2"/>
      <c r="K14" s="2"/>
      <c r="L14" s="2"/>
      <c r="M14" s="2"/>
      <c r="N14" s="3"/>
      <c r="O14" s="2"/>
      <c r="P14" s="2"/>
      <c r="Q14" s="4"/>
      <c r="R14" s="5"/>
      <c r="S14" s="2"/>
      <c r="T14" s="2"/>
      <c r="U14" s="2"/>
      <c r="V14" s="2"/>
      <c r="W14" s="2"/>
      <c r="X14" s="2"/>
      <c r="Y14" s="2"/>
      <c r="Z14" s="2"/>
    </row>
    <row r="15" spans="1:26" ht="21" x14ac:dyDescent="0.4">
      <c r="A15" s="2"/>
      <c r="B15" s="19" t="s">
        <v>11</v>
      </c>
      <c r="C15" s="23" t="s">
        <v>12</v>
      </c>
      <c r="D15" s="2"/>
      <c r="E15" s="26" t="s">
        <v>13</v>
      </c>
      <c r="F15" s="20" t="s">
        <v>14</v>
      </c>
      <c r="G15" s="2"/>
      <c r="H15" s="2"/>
      <c r="I15" s="2"/>
      <c r="J15" s="2"/>
      <c r="K15" s="2"/>
      <c r="L15" s="2"/>
      <c r="M15" s="2"/>
      <c r="N15" s="3"/>
      <c r="O15" s="2"/>
      <c r="P15" s="2"/>
      <c r="Q15" s="4"/>
      <c r="R15" s="5"/>
      <c r="S15" s="2"/>
      <c r="T15" s="2"/>
      <c r="U15" s="2"/>
      <c r="V15" s="2"/>
      <c r="W15" s="2"/>
      <c r="X15" s="2"/>
      <c r="Y15" s="2"/>
      <c r="Z15" s="2"/>
    </row>
    <row r="16" spans="1:26" ht="18" x14ac:dyDescent="0.35">
      <c r="A16" s="2"/>
      <c r="B16" s="2"/>
      <c r="C16" s="6"/>
      <c r="D16" s="2"/>
      <c r="E16" s="1098"/>
      <c r="F16" s="1085"/>
      <c r="G16" s="1086"/>
      <c r="H16" s="2"/>
      <c r="I16" s="2"/>
      <c r="J16" s="2"/>
      <c r="K16" s="2"/>
      <c r="L16" s="2"/>
      <c r="M16" s="2"/>
      <c r="N16" s="3"/>
      <c r="O16" s="2"/>
      <c r="P16" s="2"/>
      <c r="Q16" s="4"/>
      <c r="R16" s="5"/>
      <c r="S16" s="2"/>
      <c r="T16" s="2"/>
      <c r="U16" s="2"/>
      <c r="V16" s="2"/>
      <c r="W16" s="2"/>
      <c r="X16" s="2"/>
      <c r="Y16" s="2"/>
      <c r="Z16" s="2"/>
    </row>
    <row r="17" spans="1:26" ht="18" x14ac:dyDescent="0.35">
      <c r="A17" s="2"/>
      <c r="B17" s="19" t="s">
        <v>15</v>
      </c>
      <c r="C17" s="23" t="s">
        <v>16</v>
      </c>
      <c r="D17" s="2"/>
      <c r="E17" s="1091"/>
      <c r="F17" s="1097"/>
      <c r="G17" s="1092"/>
      <c r="H17" s="2"/>
      <c r="I17" s="2"/>
      <c r="J17" s="2"/>
      <c r="K17" s="2"/>
      <c r="L17" s="2"/>
      <c r="M17" s="2"/>
      <c r="N17" s="3"/>
      <c r="O17" s="2"/>
      <c r="P17" s="2"/>
      <c r="Q17" s="4"/>
      <c r="R17" s="5"/>
      <c r="S17" s="2"/>
      <c r="T17" s="2"/>
      <c r="U17" s="2"/>
      <c r="V17" s="2"/>
      <c r="W17" s="2"/>
      <c r="X17" s="2"/>
      <c r="Y17" s="2"/>
      <c r="Z17" s="2"/>
    </row>
    <row r="18" spans="1:26" ht="18" x14ac:dyDescent="0.35">
      <c r="A18" s="2"/>
      <c r="B18" s="2"/>
      <c r="C18" s="6"/>
      <c r="D18" s="2"/>
      <c r="E18" s="1087"/>
      <c r="F18" s="1088"/>
      <c r="G18" s="1089"/>
      <c r="H18" s="2"/>
      <c r="I18" s="2"/>
      <c r="J18" s="2"/>
      <c r="K18" s="2"/>
      <c r="L18" s="2"/>
      <c r="M18" s="2"/>
      <c r="N18" s="3"/>
      <c r="O18" s="2"/>
      <c r="P18" s="2"/>
      <c r="Q18" s="4"/>
      <c r="R18" s="5"/>
      <c r="S18" s="2"/>
      <c r="T18" s="2"/>
      <c r="U18" s="2"/>
      <c r="V18" s="2"/>
      <c r="W18" s="2"/>
      <c r="X18" s="2"/>
      <c r="Y18" s="2"/>
      <c r="Z18" s="2"/>
    </row>
    <row r="19" spans="1:26" ht="18" x14ac:dyDescent="0.35">
      <c r="A19" s="2"/>
      <c r="B19" s="19" t="s">
        <v>17</v>
      </c>
      <c r="C19" s="23" t="s">
        <v>18</v>
      </c>
      <c r="D19" s="2"/>
      <c r="E19" s="19" t="s">
        <v>19</v>
      </c>
      <c r="F19" s="23" t="s">
        <v>20</v>
      </c>
      <c r="G19" s="2"/>
      <c r="H19" s="2"/>
      <c r="I19" s="2"/>
      <c r="J19" s="2"/>
      <c r="K19" s="2"/>
      <c r="L19" s="2"/>
      <c r="M19" s="2"/>
      <c r="N19" s="3"/>
      <c r="O19" s="2"/>
      <c r="P19" s="2"/>
      <c r="Q19" s="4"/>
      <c r="R19" s="5"/>
      <c r="S19" s="2"/>
      <c r="T19" s="2"/>
      <c r="U19" s="2"/>
      <c r="V19" s="2"/>
      <c r="W19" s="2"/>
      <c r="X19" s="2"/>
      <c r="Y19" s="2"/>
      <c r="Z19" s="2"/>
    </row>
    <row r="20" spans="1:26" ht="18" x14ac:dyDescent="0.35">
      <c r="A20" s="2"/>
      <c r="B20" s="2"/>
      <c r="C20" s="6"/>
      <c r="D20" s="2"/>
      <c r="E20" s="27">
        <f>IF(F19="Oui","Type de Peinture",0)</f>
        <v>0</v>
      </c>
      <c r="F20" s="28">
        <f>IF(F19="Non",0,VLOOKUP(F10,'Infos Clients'!B2:E10,4))</f>
        <v>0</v>
      </c>
      <c r="G20" s="5"/>
      <c r="H20" s="2"/>
      <c r="I20" s="2"/>
      <c r="J20" s="2"/>
      <c r="K20" s="2"/>
      <c r="L20" s="2"/>
      <c r="M20" s="2"/>
      <c r="N20" s="3"/>
      <c r="O20" s="2"/>
      <c r="P20" s="2"/>
      <c r="Q20" s="4"/>
      <c r="R20" s="5"/>
      <c r="S20" s="2"/>
      <c r="T20" s="2"/>
      <c r="U20" s="2"/>
      <c r="V20" s="2"/>
      <c r="W20" s="2"/>
      <c r="X20" s="2"/>
      <c r="Y20" s="2"/>
      <c r="Z20" s="2"/>
    </row>
    <row r="21" spans="1:26" ht="18" x14ac:dyDescent="0.35">
      <c r="A21" s="2"/>
      <c r="B21" s="19" t="s">
        <v>21</v>
      </c>
      <c r="C21" s="23" t="s">
        <v>22</v>
      </c>
      <c r="D21" s="2"/>
      <c r="E21" s="27" t="s">
        <v>23</v>
      </c>
      <c r="F21" s="29" t="s">
        <v>20</v>
      </c>
      <c r="G21" s="5"/>
      <c r="H21" s="2"/>
      <c r="I21" s="2"/>
      <c r="J21" s="2"/>
      <c r="K21" s="2"/>
      <c r="L21" s="2"/>
      <c r="M21" s="2"/>
      <c r="N21" s="3"/>
      <c r="O21" s="2"/>
      <c r="P21" s="2"/>
      <c r="Q21" s="4"/>
      <c r="R21" s="5"/>
      <c r="S21" s="2"/>
      <c r="T21" s="2"/>
      <c r="U21" s="2"/>
      <c r="V21" s="2"/>
      <c r="W21" s="2"/>
      <c r="X21" s="2"/>
      <c r="Y21" s="2"/>
      <c r="Z21" s="2"/>
    </row>
    <row r="22" spans="1:26" ht="18" x14ac:dyDescent="0.35">
      <c r="A22" s="2"/>
      <c r="B22" s="19"/>
      <c r="C22" s="6"/>
      <c r="D22" s="2"/>
      <c r="E22" s="5"/>
      <c r="F22" s="5"/>
      <c r="G22" s="5"/>
      <c r="H22" s="2"/>
      <c r="I22" s="2"/>
      <c r="J22" s="2"/>
      <c r="K22" s="2"/>
      <c r="L22" s="2"/>
      <c r="M22" s="2"/>
      <c r="N22" s="3"/>
      <c r="O22" s="2"/>
      <c r="P22" s="2"/>
      <c r="Q22" s="4"/>
      <c r="R22" s="5"/>
      <c r="S22" s="2"/>
      <c r="T22" s="2"/>
      <c r="U22" s="2"/>
      <c r="V22" s="2"/>
      <c r="W22" s="2"/>
      <c r="X22" s="2"/>
      <c r="Y22" s="2"/>
      <c r="Z22" s="2"/>
    </row>
    <row r="23" spans="1:26" ht="18" x14ac:dyDescent="0.35">
      <c r="A23" s="2"/>
      <c r="B23" s="19" t="s">
        <v>24</v>
      </c>
      <c r="C23" s="23" t="s">
        <v>24</v>
      </c>
      <c r="D23" s="2"/>
      <c r="E23" s="30" t="s">
        <v>25</v>
      </c>
      <c r="F23" s="23" t="s">
        <v>16</v>
      </c>
      <c r="G23" s="5"/>
      <c r="H23" s="2"/>
      <c r="I23" s="2"/>
      <c r="J23" s="2"/>
      <c r="K23" s="2"/>
      <c r="L23" s="2"/>
      <c r="M23" s="2"/>
      <c r="N23" s="3"/>
      <c r="O23" s="2"/>
      <c r="P23" s="2"/>
      <c r="Q23" s="4"/>
      <c r="R23" s="5"/>
      <c r="S23" s="2"/>
      <c r="T23" s="2"/>
      <c r="U23" s="2"/>
      <c r="V23" s="2"/>
      <c r="W23" s="2"/>
      <c r="X23" s="2"/>
      <c r="Y23" s="2"/>
      <c r="Z23" s="2"/>
    </row>
    <row r="24" spans="1:26" ht="18" x14ac:dyDescent="0.35">
      <c r="A24" s="2"/>
      <c r="B24" s="19"/>
      <c r="C24" s="6"/>
      <c r="D24" s="2"/>
      <c r="E24" s="30"/>
      <c r="F24" s="6"/>
      <c r="G24" s="5"/>
      <c r="H24" s="2"/>
      <c r="I24" s="2"/>
      <c r="J24" s="2"/>
      <c r="K24" s="2"/>
      <c r="L24" s="2"/>
      <c r="M24" s="2"/>
      <c r="N24" s="3"/>
      <c r="O24" s="2"/>
      <c r="P24" s="2"/>
      <c r="Q24" s="4"/>
      <c r="R24" s="5"/>
      <c r="S24" s="2"/>
      <c r="T24" s="2"/>
      <c r="U24" s="2"/>
      <c r="V24" s="2"/>
      <c r="W24" s="2"/>
      <c r="X24" s="2"/>
      <c r="Y24" s="2"/>
      <c r="Z24" s="2"/>
    </row>
    <row r="25" spans="1:26" ht="18" x14ac:dyDescent="0.35">
      <c r="A25" s="2"/>
      <c r="B25" s="19"/>
      <c r="C25" s="6"/>
      <c r="D25" s="2"/>
      <c r="E25" s="30" t="s">
        <v>26</v>
      </c>
      <c r="F25" s="23" t="s">
        <v>27</v>
      </c>
      <c r="G25" s="5"/>
      <c r="H25" s="2"/>
      <c r="I25" s="2"/>
      <c r="J25" s="2"/>
      <c r="K25" s="2"/>
      <c r="L25" s="2"/>
      <c r="M25" s="2"/>
      <c r="N25" s="3"/>
      <c r="O25" s="2"/>
      <c r="P25" s="2"/>
      <c r="Q25" s="4"/>
      <c r="R25" s="5"/>
      <c r="S25" s="2"/>
      <c r="T25" s="2"/>
      <c r="U25" s="2"/>
      <c r="V25" s="2"/>
      <c r="W25" s="2"/>
      <c r="X25" s="2"/>
      <c r="Y25" s="2"/>
      <c r="Z25" s="2"/>
    </row>
    <row r="26" spans="1:26" ht="46.2" x14ac:dyDescent="0.85">
      <c r="A26" s="2"/>
      <c r="B26" s="1102" t="str">
        <f>IF(F23="Aucun"," ",F23)</f>
        <v xml:space="preserve"> </v>
      </c>
      <c r="C26" s="1101"/>
      <c r="D26" s="31">
        <f>IF(F21="Oui","+",0)</f>
        <v>0</v>
      </c>
      <c r="E26" s="1102">
        <f>IF(F21="Oui","Mousse Garnie Tyvek",0)</f>
        <v>0</v>
      </c>
      <c r="F26" s="1100"/>
      <c r="G26" s="1101"/>
      <c r="H26" s="2"/>
      <c r="I26" s="2"/>
      <c r="J26" s="2"/>
      <c r="K26" s="2"/>
      <c r="L26" s="2"/>
      <c r="M26" s="2"/>
      <c r="N26" s="3"/>
      <c r="O26" s="2"/>
      <c r="P26" s="2"/>
      <c r="Q26" s="4"/>
      <c r="R26" s="5"/>
      <c r="S26" s="2"/>
      <c r="T26" s="2"/>
      <c r="U26" s="2"/>
      <c r="V26" s="2"/>
      <c r="W26" s="2"/>
      <c r="X26" s="2"/>
      <c r="Y26" s="2"/>
      <c r="Z26" s="2"/>
    </row>
    <row r="27" spans="1:26" ht="46.2" x14ac:dyDescent="0.85">
      <c r="A27" s="2"/>
      <c r="B27" s="32"/>
      <c r="C27" s="32"/>
      <c r="D27" s="31"/>
      <c r="E27" s="32"/>
      <c r="F27" s="33"/>
      <c r="G27" s="33"/>
      <c r="H27" s="2"/>
      <c r="I27" s="2"/>
      <c r="J27" s="2"/>
      <c r="K27" s="2"/>
      <c r="L27" s="2"/>
      <c r="M27" s="2"/>
      <c r="N27" s="3"/>
      <c r="O27" s="2"/>
      <c r="P27" s="2"/>
      <c r="Q27" s="4"/>
      <c r="R27" s="5"/>
      <c r="S27" s="2"/>
      <c r="T27" s="2"/>
      <c r="U27" s="2"/>
      <c r="V27" s="2"/>
      <c r="W27" s="2"/>
      <c r="X27" s="2"/>
      <c r="Y27" s="2"/>
      <c r="Z27" s="2"/>
    </row>
    <row r="28" spans="1:26" ht="46.2" x14ac:dyDescent="0.85">
      <c r="A28" s="2"/>
      <c r="B28" s="1103" t="str">
        <f>IF(B34="Aucun","Dimensions intérieures utiles","Dimensions de l'œuvre")</f>
        <v>Dimensions de l'œuvre</v>
      </c>
      <c r="C28" s="34" t="s">
        <v>28</v>
      </c>
      <c r="D28" s="34" t="s">
        <v>29</v>
      </c>
      <c r="E28" s="34" t="s">
        <v>30</v>
      </c>
      <c r="F28" s="33"/>
      <c r="G28" s="33"/>
      <c r="H28" s="2"/>
      <c r="I28" s="2"/>
      <c r="J28" s="2"/>
      <c r="K28" s="2"/>
      <c r="L28" s="2"/>
      <c r="M28" s="2"/>
      <c r="N28" s="3"/>
      <c r="O28" s="2"/>
      <c r="P28" s="2"/>
      <c r="Q28" s="4"/>
      <c r="R28" s="5"/>
      <c r="S28" s="2"/>
      <c r="T28" s="2"/>
      <c r="U28" s="2"/>
      <c r="V28" s="2"/>
      <c r="W28" s="2"/>
      <c r="X28" s="2"/>
      <c r="Y28" s="2"/>
      <c r="Z28" s="2"/>
    </row>
    <row r="29" spans="1:26" ht="46.2" x14ac:dyDescent="0.85">
      <c r="A29" s="2"/>
      <c r="B29" s="1104"/>
      <c r="C29" s="35">
        <v>100</v>
      </c>
      <c r="D29" s="35">
        <v>5</v>
      </c>
      <c r="E29" s="35">
        <v>100</v>
      </c>
      <c r="F29" s="33"/>
      <c r="G29" s="33"/>
      <c r="H29" s="2"/>
      <c r="I29" s="2"/>
      <c r="J29" s="2"/>
      <c r="K29" s="2"/>
      <c r="L29" s="2"/>
      <c r="M29" s="2"/>
      <c r="N29" s="3"/>
      <c r="O29" s="2"/>
      <c r="P29" s="2"/>
      <c r="Q29" s="4"/>
      <c r="R29" s="5"/>
      <c r="S29" s="2"/>
      <c r="T29" s="2"/>
      <c r="U29" s="2"/>
      <c r="V29" s="2"/>
      <c r="W29" s="2"/>
      <c r="X29" s="2"/>
      <c r="Y29" s="2"/>
      <c r="Z29" s="2"/>
    </row>
    <row r="30" spans="1:26" ht="46.2" x14ac:dyDescent="0.85">
      <c r="A30" s="2"/>
      <c r="B30" s="36"/>
      <c r="C30" s="1093"/>
      <c r="D30" s="1094"/>
      <c r="E30" s="1095"/>
      <c r="F30" s="33"/>
      <c r="G30" s="33"/>
      <c r="H30" s="37"/>
      <c r="I30" s="2"/>
      <c r="J30" s="2"/>
      <c r="K30" s="2"/>
      <c r="L30" s="2"/>
      <c r="M30" s="2"/>
      <c r="N30" s="3"/>
      <c r="O30" s="2"/>
      <c r="P30" s="2"/>
      <c r="Q30" s="4"/>
      <c r="R30" s="5"/>
      <c r="S30" s="2"/>
      <c r="T30" s="2"/>
      <c r="U30" s="2"/>
      <c r="V30" s="2"/>
      <c r="W30" s="2"/>
      <c r="X30" s="2"/>
      <c r="Y30" s="2"/>
      <c r="Z30" s="2"/>
    </row>
    <row r="31" spans="1:26" ht="46.2" x14ac:dyDescent="0.85">
      <c r="A31" s="2"/>
      <c r="B31" s="36"/>
      <c r="C31" s="1087"/>
      <c r="D31" s="1088"/>
      <c r="E31" s="1089"/>
      <c r="F31" s="33"/>
      <c r="G31" s="33"/>
      <c r="H31" s="2"/>
      <c r="I31" s="2"/>
      <c r="J31" s="2"/>
      <c r="K31" s="2"/>
      <c r="L31" s="2"/>
      <c r="M31" s="2"/>
      <c r="N31" s="3"/>
      <c r="O31" s="2"/>
      <c r="P31" s="2"/>
      <c r="Q31" s="4"/>
      <c r="R31" s="5"/>
      <c r="S31" s="2"/>
      <c r="T31" s="2"/>
      <c r="U31" s="2"/>
      <c r="V31" s="2"/>
      <c r="W31" s="2"/>
      <c r="X31" s="2"/>
      <c r="Y31" s="2"/>
      <c r="Z31" s="2"/>
    </row>
    <row r="32" spans="1:26" ht="46.2" x14ac:dyDescent="0.85">
      <c r="A32" s="2"/>
      <c r="B32" s="2"/>
      <c r="C32" s="2"/>
      <c r="D32" s="2"/>
      <c r="E32" s="2"/>
      <c r="F32" s="33"/>
      <c r="G32" s="33"/>
      <c r="H32" s="2"/>
      <c r="I32" s="2"/>
      <c r="J32" s="2"/>
      <c r="K32" s="2"/>
      <c r="L32" s="2"/>
      <c r="M32" s="2"/>
      <c r="N32" s="3"/>
      <c r="O32" s="2"/>
      <c r="P32" s="2"/>
      <c r="Q32" s="4"/>
      <c r="R32" s="5"/>
      <c r="S32" s="2"/>
      <c r="T32" s="2"/>
      <c r="U32" s="2"/>
      <c r="V32" s="2"/>
      <c r="W32" s="2"/>
      <c r="X32" s="2"/>
      <c r="Y32" s="2"/>
      <c r="Z32" s="2"/>
    </row>
    <row r="33" spans="1:26" ht="46.2" x14ac:dyDescent="0.85">
      <c r="A33" s="2"/>
      <c r="B33" s="38" t="s">
        <v>31</v>
      </c>
      <c r="C33" s="2"/>
      <c r="D33" s="2"/>
      <c r="E33" s="2"/>
      <c r="F33" s="33"/>
      <c r="G33" s="33"/>
      <c r="H33" s="2"/>
      <c r="I33" s="2"/>
      <c r="J33" s="2"/>
      <c r="K33" s="2"/>
      <c r="L33" s="2"/>
      <c r="M33" s="2"/>
      <c r="N33" s="3"/>
      <c r="O33" s="2"/>
      <c r="P33" s="2"/>
      <c r="Q33" s="4"/>
      <c r="R33" s="5"/>
      <c r="S33" s="2"/>
      <c r="T33" s="2"/>
      <c r="U33" s="2"/>
      <c r="V33" s="2"/>
      <c r="W33" s="2"/>
      <c r="X33" s="2"/>
      <c r="Y33" s="2"/>
      <c r="Z33" s="2"/>
    </row>
    <row r="34" spans="1:26" ht="18" x14ac:dyDescent="0.35">
      <c r="A34" s="2"/>
      <c r="B34" s="39" t="s">
        <v>32</v>
      </c>
      <c r="C34" s="40"/>
      <c r="D34" s="40"/>
      <c r="E34" s="40"/>
      <c r="F34" s="40"/>
      <c r="G34" s="2"/>
      <c r="H34" s="2"/>
      <c r="I34" s="2"/>
      <c r="J34" s="2"/>
      <c r="K34" s="2"/>
      <c r="L34" s="2"/>
      <c r="M34" s="2"/>
      <c r="N34" s="3"/>
      <c r="O34" s="2"/>
      <c r="P34" s="2"/>
      <c r="Q34" s="4"/>
      <c r="R34" s="5"/>
      <c r="S34" s="2"/>
      <c r="T34" s="2"/>
      <c r="U34" s="2"/>
      <c r="V34" s="2"/>
      <c r="W34" s="2"/>
      <c r="X34" s="2"/>
      <c r="Y34" s="2"/>
      <c r="Z34" s="2"/>
    </row>
    <row r="35" spans="1:26" ht="18" x14ac:dyDescent="0.35">
      <c r="A35" s="21"/>
      <c r="B35" s="41"/>
      <c r="C35" s="42" t="s">
        <v>33</v>
      </c>
      <c r="D35" s="41" t="s">
        <v>28</v>
      </c>
      <c r="E35" s="41" t="s">
        <v>29</v>
      </c>
      <c r="F35" s="41" t="s">
        <v>34</v>
      </c>
      <c r="G35" s="2"/>
      <c r="H35" s="2"/>
      <c r="I35" s="2"/>
      <c r="J35" s="2"/>
      <c r="K35" s="43"/>
      <c r="L35" s="2"/>
      <c r="M35" s="2"/>
      <c r="N35" s="3"/>
      <c r="O35" s="2"/>
      <c r="P35" s="2"/>
      <c r="Q35" s="4"/>
      <c r="R35" s="5"/>
      <c r="S35" s="2"/>
      <c r="T35" s="2"/>
      <c r="U35" s="2"/>
      <c r="V35" s="2"/>
      <c r="W35" s="2"/>
      <c r="X35" s="2"/>
      <c r="Y35" s="2"/>
      <c r="Z35" s="2"/>
    </row>
    <row r="36" spans="1:26" ht="18" x14ac:dyDescent="0.35">
      <c r="A36" s="21"/>
      <c r="B36" s="44" t="s">
        <v>35</v>
      </c>
      <c r="C36" s="35">
        <v>5</v>
      </c>
      <c r="D36" s="45"/>
      <c r="E36" s="45"/>
      <c r="F36" s="45"/>
      <c r="G36" s="2"/>
      <c r="H36" s="2"/>
      <c r="I36" s="2"/>
      <c r="J36" s="2"/>
      <c r="K36" s="2"/>
      <c r="L36" s="2"/>
      <c r="M36" s="2"/>
      <c r="N36" s="3"/>
      <c r="O36" s="2"/>
      <c r="P36" s="2"/>
      <c r="Q36" s="4"/>
      <c r="R36" s="5"/>
      <c r="S36" s="2"/>
      <c r="T36" s="2"/>
      <c r="U36" s="2"/>
      <c r="V36" s="2"/>
      <c r="W36" s="2"/>
      <c r="X36" s="2"/>
      <c r="Y36" s="2"/>
      <c r="Z36" s="2"/>
    </row>
    <row r="37" spans="1:26" ht="18" x14ac:dyDescent="0.35">
      <c r="A37" s="21"/>
      <c r="B37" s="44" t="s">
        <v>36</v>
      </c>
      <c r="C37" s="35">
        <v>5</v>
      </c>
      <c r="D37" s="45"/>
      <c r="E37" s="45"/>
      <c r="F37" s="45"/>
      <c r="G37" s="2"/>
      <c r="H37" s="2"/>
      <c r="I37" s="2"/>
      <c r="J37" s="2"/>
      <c r="K37" s="2"/>
      <c r="L37" s="2"/>
      <c r="M37" s="2"/>
      <c r="N37" s="3"/>
      <c r="O37" s="2"/>
      <c r="P37" s="2"/>
      <c r="Q37" s="4"/>
      <c r="R37" s="5"/>
      <c r="S37" s="2"/>
      <c r="T37" s="2"/>
      <c r="U37" s="2"/>
      <c r="V37" s="2"/>
      <c r="W37" s="2"/>
      <c r="X37" s="2"/>
      <c r="Y37" s="2"/>
      <c r="Z37" s="2"/>
    </row>
    <row r="38" spans="1:26" ht="18" x14ac:dyDescent="0.35">
      <c r="A38" s="21"/>
      <c r="B38" s="46" t="s">
        <v>37</v>
      </c>
      <c r="C38" s="47">
        <f>+IF(C29=0,0,IF(C29&gt;70,12,6))</f>
        <v>12</v>
      </c>
      <c r="D38" s="45"/>
      <c r="E38" s="45"/>
      <c r="F38" s="47">
        <f>IF(C29&gt;300,6,IF(C29&gt;250,5,IF(C29&gt;200,4,IF(C29&gt;150,3,IF(C29&gt;120,3,2)))))</f>
        <v>2</v>
      </c>
      <c r="G38" s="2" t="s">
        <v>38</v>
      </c>
      <c r="H38" s="2"/>
      <c r="I38" s="2"/>
      <c r="J38" s="2"/>
      <c r="K38" s="2"/>
      <c r="L38" s="2"/>
      <c r="M38" s="2"/>
      <c r="N38" s="3"/>
      <c r="O38" s="2"/>
      <c r="P38" s="2"/>
      <c r="Q38" s="4"/>
      <c r="R38" s="5"/>
      <c r="S38" s="2"/>
      <c r="T38" s="2"/>
      <c r="U38" s="2"/>
      <c r="V38" s="2"/>
      <c r="W38" s="2"/>
      <c r="X38" s="2"/>
      <c r="Y38" s="2"/>
      <c r="Z38" s="2"/>
    </row>
    <row r="39" spans="1:26" ht="18" x14ac:dyDescent="0.35">
      <c r="A39" s="21"/>
      <c r="B39" s="44" t="s">
        <v>39</v>
      </c>
      <c r="C39" s="48"/>
      <c r="D39" s="34"/>
      <c r="E39" s="48"/>
      <c r="F39" s="45"/>
      <c r="G39" s="2"/>
      <c r="H39" s="2"/>
      <c r="I39" s="2"/>
      <c r="J39" s="2"/>
      <c r="K39" s="2"/>
      <c r="L39" s="2"/>
      <c r="M39" s="2"/>
      <c r="N39" s="3"/>
      <c r="O39" s="2"/>
      <c r="P39" s="2"/>
      <c r="Q39" s="4"/>
      <c r="R39" s="5"/>
      <c r="S39" s="2"/>
      <c r="T39" s="2"/>
      <c r="U39" s="2"/>
      <c r="V39" s="2"/>
      <c r="W39" s="2"/>
      <c r="X39" s="2"/>
      <c r="Y39" s="2"/>
      <c r="Z39" s="2"/>
    </row>
    <row r="40" spans="1:26" ht="18" x14ac:dyDescent="0.35">
      <c r="A40" s="21"/>
      <c r="B40" s="44"/>
      <c r="C40" s="34"/>
      <c r="D40" s="34"/>
      <c r="E40" s="34"/>
      <c r="F40" s="45"/>
      <c r="G40" s="2"/>
      <c r="H40" s="2"/>
      <c r="I40" s="2"/>
      <c r="J40" s="2"/>
      <c r="K40" s="2"/>
      <c r="L40" s="2"/>
      <c r="M40" s="2"/>
      <c r="N40" s="3"/>
      <c r="O40" s="2"/>
      <c r="P40" s="2"/>
      <c r="Q40" s="4"/>
      <c r="R40" s="5"/>
      <c r="S40" s="2"/>
      <c r="T40" s="2"/>
      <c r="U40" s="2"/>
      <c r="V40" s="2"/>
      <c r="W40" s="2"/>
      <c r="X40" s="2"/>
      <c r="Y40" s="2"/>
      <c r="Z40" s="2"/>
    </row>
    <row r="41" spans="1:26" ht="18" x14ac:dyDescent="0.35">
      <c r="A41" s="21"/>
      <c r="B41" s="44" t="s">
        <v>40</v>
      </c>
      <c r="C41" s="48"/>
      <c r="D41" s="48"/>
      <c r="E41" s="48"/>
      <c r="F41" s="45"/>
      <c r="G41" s="2"/>
      <c r="H41" s="2"/>
      <c r="I41" s="2"/>
      <c r="J41" s="2"/>
      <c r="K41" s="2"/>
      <c r="L41" s="2"/>
      <c r="M41" s="2"/>
      <c r="N41" s="3"/>
      <c r="O41" s="2"/>
      <c r="P41" s="2"/>
      <c r="Q41" s="4"/>
      <c r="R41" s="5"/>
      <c r="S41" s="2"/>
      <c r="T41" s="2"/>
      <c r="U41" s="2"/>
      <c r="V41" s="2"/>
      <c r="W41" s="2"/>
      <c r="X41" s="2"/>
      <c r="Y41" s="2"/>
      <c r="Z41" s="2"/>
    </row>
    <row r="42" spans="1:26" ht="18" x14ac:dyDescent="0.35">
      <c r="A42" s="21"/>
      <c r="B42" s="44" t="s">
        <v>41</v>
      </c>
      <c r="C42" s="48"/>
      <c r="D42" s="48"/>
      <c r="E42" s="48"/>
      <c r="F42" s="45"/>
      <c r="G42" s="2"/>
      <c r="H42" s="2"/>
      <c r="I42" s="2"/>
      <c r="J42" s="2"/>
      <c r="K42" s="2"/>
      <c r="L42" s="2"/>
      <c r="M42" s="2"/>
      <c r="N42" s="3"/>
      <c r="O42" s="2"/>
      <c r="P42" s="2"/>
      <c r="Q42" s="4"/>
      <c r="R42" s="5"/>
      <c r="S42" s="2"/>
      <c r="T42" s="2"/>
      <c r="U42" s="2"/>
      <c r="V42" s="2"/>
      <c r="W42" s="2"/>
      <c r="X42" s="2"/>
      <c r="Y42" s="2"/>
      <c r="Z42" s="2"/>
    </row>
    <row r="43" spans="1:26" ht="18" x14ac:dyDescent="0.35">
      <c r="A43" s="6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3"/>
      <c r="O43" s="2"/>
      <c r="P43" s="2"/>
      <c r="Q43" s="4"/>
      <c r="R43" s="5"/>
      <c r="S43" s="2"/>
      <c r="T43" s="2"/>
      <c r="U43" s="2"/>
      <c r="V43" s="2"/>
      <c r="W43" s="2"/>
      <c r="X43" s="2"/>
      <c r="Y43" s="2"/>
      <c r="Z43" s="2"/>
    </row>
    <row r="44" spans="1:26" ht="18" x14ac:dyDescent="0.35">
      <c r="A44" s="6"/>
      <c r="B44" s="49" t="s">
        <v>42</v>
      </c>
      <c r="C44" s="50">
        <f>C29+VLOOKUP(C17,B142:Q148,2)+VLOOKUP(B34,B169:M177,2)</f>
        <v>110.2</v>
      </c>
      <c r="D44" s="50">
        <f>D29+VLOOKUP($B$34,B169:M177,3)+VLOOKUP($C$17,B142:Q148,3)</f>
        <v>16</v>
      </c>
      <c r="E44" s="51">
        <f>E29+VLOOKUP($B$34,B169:M177,4)+VLOOKUP($C$17,B142:Q148,4)</f>
        <v>110.2</v>
      </c>
      <c r="F44" s="52" t="s">
        <v>43</v>
      </c>
      <c r="G44" s="21"/>
      <c r="H44" s="21"/>
      <c r="I44" s="21"/>
      <c r="J44" s="2"/>
      <c r="K44" s="2"/>
      <c r="L44" s="2"/>
      <c r="M44" s="2"/>
      <c r="N44" s="3"/>
      <c r="O44" s="2"/>
      <c r="P44" s="2"/>
      <c r="Q44" s="4"/>
      <c r="R44" s="5"/>
      <c r="S44" s="2"/>
      <c r="T44" s="2"/>
      <c r="U44" s="2"/>
      <c r="V44" s="2"/>
      <c r="W44" s="2"/>
      <c r="X44" s="2"/>
      <c r="Y44" s="2"/>
      <c r="Z44" s="2"/>
    </row>
    <row r="45" spans="1:26" ht="18" x14ac:dyDescent="0.35">
      <c r="A45" s="6"/>
      <c r="B45" s="19"/>
      <c r="C45" s="19"/>
      <c r="D45" s="19"/>
      <c r="E45" s="19"/>
      <c r="F45" s="53"/>
      <c r="G45" s="2"/>
      <c r="H45" s="2"/>
      <c r="I45" s="2"/>
      <c r="J45" s="2"/>
      <c r="K45" s="2"/>
      <c r="L45" s="2"/>
      <c r="M45" s="2"/>
      <c r="N45" s="3"/>
      <c r="O45" s="2"/>
      <c r="P45" s="2"/>
      <c r="Q45" s="4"/>
      <c r="R45" s="5"/>
      <c r="S45" s="2"/>
      <c r="T45" s="2"/>
      <c r="U45" s="2"/>
      <c r="V45" s="2"/>
      <c r="W45" s="2"/>
      <c r="X45" s="2"/>
      <c r="Y45" s="2"/>
      <c r="Z45" s="2"/>
    </row>
    <row r="46" spans="1:26" ht="18" x14ac:dyDescent="0.35">
      <c r="A46" s="6"/>
      <c r="B46" s="49" t="s">
        <v>44</v>
      </c>
      <c r="C46" s="54">
        <f>C44+VLOOKUP(C21,B153:C156,2)+VLOOKUP(C13,B132:F134,5)*2+VLOOKUP(C15,B136:E137,4)*2</f>
        <v>121.60000000000001</v>
      </c>
      <c r="D46" s="54">
        <f>IF(OR($F$23="Aucun",$F$23="Stabilisateur"),$D$44+VLOOKUP($C$13,$B$132:$F$134,4)*2+VLOOKUP($C$15,$B$136:$E$137,4)*2+0.5,$E$44+VLOOKUP($C$13,$B$132:$F$134,5)*2+VLOOKUP($C$15,$B$136:$E$137,4)*2)</f>
        <v>23.7</v>
      </c>
      <c r="E46" s="55">
        <f>IF(OR($F$23="Aucun",$F$23="Stabilisateur"),$E$44+VLOOKUP($C$13,$B$132:$F$134,5)*2+VLOOKUP($C$15,$B$136:$E$137,4)*2+VLOOKUP($C$23,$B$185:$C$187,2),$D$44+VLOOKUP($C$13,$B$132:$F$134,4)*2+VLOOKUP($C$15,$B$136:$E$137,4)*2+VLOOKUP($C$23,$B$185:$C$187,2)+VLOOKUP($F$23,$B$158:$E$161,4)+0.5)</f>
        <v>120.4</v>
      </c>
      <c r="F46" s="56">
        <f>ROUNDUP(C129,0)</f>
        <v>386</v>
      </c>
      <c r="G46" s="57"/>
      <c r="H46" s="58"/>
      <c r="I46" s="59"/>
      <c r="J46" s="2"/>
      <c r="K46" s="2"/>
      <c r="L46" s="2"/>
      <c r="M46" s="2"/>
      <c r="N46" s="3"/>
      <c r="O46" s="2"/>
      <c r="P46" s="2"/>
      <c r="Q46" s="4"/>
      <c r="R46" s="5"/>
      <c r="S46" s="2"/>
      <c r="T46" s="2"/>
      <c r="U46" s="2"/>
      <c r="V46" s="2"/>
      <c r="W46" s="2"/>
      <c r="X46" s="2"/>
      <c r="Y46" s="2"/>
      <c r="Z46" s="2"/>
    </row>
    <row r="47" spans="1:26" ht="18" x14ac:dyDescent="0.35">
      <c r="A47" s="6"/>
      <c r="B47" s="19"/>
      <c r="C47" s="60"/>
      <c r="D47" s="19"/>
      <c r="E47" s="19"/>
      <c r="F47" s="61"/>
      <c r="G47" s="57"/>
      <c r="H47" s="58"/>
      <c r="I47" s="59"/>
      <c r="J47" s="2"/>
      <c r="K47" s="2"/>
      <c r="L47" s="2"/>
      <c r="M47" s="2"/>
      <c r="N47" s="3"/>
      <c r="O47" s="2"/>
      <c r="P47" s="2"/>
      <c r="Q47" s="4"/>
      <c r="R47" s="5"/>
      <c r="S47" s="2"/>
      <c r="T47" s="2"/>
      <c r="U47" s="2"/>
      <c r="V47" s="2"/>
      <c r="W47" s="2"/>
      <c r="X47" s="2"/>
      <c r="Y47" s="2"/>
      <c r="Z47" s="2"/>
    </row>
    <row r="48" spans="1:26" ht="18" x14ac:dyDescent="0.35">
      <c r="A48" s="6"/>
      <c r="B48" s="62" t="s">
        <v>45</v>
      </c>
      <c r="C48" s="63">
        <f>Q121</f>
        <v>40.931230200000009</v>
      </c>
      <c r="D48" s="64" t="s">
        <v>46</v>
      </c>
      <c r="E48" s="65" t="s">
        <v>47</v>
      </c>
      <c r="F48" s="61"/>
      <c r="G48" s="57"/>
      <c r="H48" s="58"/>
      <c r="I48" s="59"/>
      <c r="J48" s="2"/>
      <c r="K48" s="2"/>
      <c r="L48" s="2"/>
      <c r="M48" s="2"/>
      <c r="N48" s="3"/>
      <c r="O48" s="2"/>
      <c r="P48" s="2"/>
      <c r="Q48" s="4"/>
      <c r="R48" s="5"/>
      <c r="S48" s="2"/>
      <c r="T48" s="2"/>
      <c r="U48" s="2"/>
      <c r="V48" s="2"/>
      <c r="W48" s="2"/>
      <c r="X48" s="2"/>
      <c r="Y48" s="2"/>
      <c r="Z48" s="2"/>
    </row>
    <row r="49" spans="1:26" ht="18" x14ac:dyDescent="0.35">
      <c r="A49" s="6"/>
      <c r="B49" s="66" t="s">
        <v>48</v>
      </c>
      <c r="C49" s="67">
        <f>D123</f>
        <v>120.02948740480004</v>
      </c>
      <c r="D49" s="68" t="s">
        <v>49</v>
      </c>
      <c r="E49" s="69">
        <f>R121</f>
        <v>29.294938269600003</v>
      </c>
      <c r="F49" s="61"/>
      <c r="G49" s="57"/>
      <c r="H49" s="58"/>
      <c r="I49" s="59"/>
      <c r="J49" s="2"/>
      <c r="K49" s="2"/>
      <c r="L49" s="2"/>
      <c r="M49" s="2"/>
      <c r="N49" s="3"/>
      <c r="O49" s="2"/>
      <c r="P49" s="2"/>
      <c r="Q49" s="4"/>
      <c r="R49" s="5"/>
      <c r="S49" s="2"/>
      <c r="T49" s="2"/>
      <c r="U49" s="2"/>
      <c r="V49" s="2"/>
      <c r="W49" s="2"/>
      <c r="X49" s="2"/>
      <c r="Y49" s="2"/>
      <c r="Z49" s="2"/>
    </row>
    <row r="50" spans="1:26" ht="18" x14ac:dyDescent="0.35">
      <c r="A50" s="6"/>
      <c r="B50" s="70"/>
      <c r="C50" s="60"/>
      <c r="D50" s="19"/>
      <c r="E50" s="19"/>
      <c r="F50" s="61"/>
      <c r="G50" s="57"/>
      <c r="H50" s="58"/>
      <c r="I50" s="59"/>
      <c r="J50" s="2"/>
      <c r="K50" s="2"/>
      <c r="L50" s="2"/>
      <c r="M50" s="2"/>
      <c r="N50" s="3"/>
      <c r="O50" s="2"/>
      <c r="P50" s="2"/>
      <c r="Q50" s="4"/>
      <c r="R50" s="5"/>
      <c r="S50" s="2"/>
      <c r="T50" s="2"/>
      <c r="U50" s="2"/>
      <c r="V50" s="2"/>
      <c r="W50" s="2"/>
      <c r="X50" s="2"/>
      <c r="Y50" s="2"/>
      <c r="Z50" s="2"/>
    </row>
    <row r="51" spans="1:26" ht="18" x14ac:dyDescent="0.35">
      <c r="A51" s="6"/>
      <c r="B51" s="70"/>
      <c r="C51" s="60"/>
      <c r="D51" s="19"/>
      <c r="E51" s="19"/>
      <c r="F51" s="61"/>
      <c r="G51" s="2"/>
      <c r="H51" s="71"/>
      <c r="I51" s="2"/>
      <c r="J51" s="2"/>
      <c r="K51" s="2"/>
      <c r="L51" s="2"/>
      <c r="M51" s="2"/>
      <c r="N51" s="3"/>
      <c r="O51" s="2"/>
      <c r="P51" s="2"/>
      <c r="Q51" s="4"/>
      <c r="R51" s="5"/>
      <c r="S51" s="2"/>
      <c r="T51" s="2"/>
      <c r="U51" s="2"/>
      <c r="V51" s="2"/>
      <c r="W51" s="2"/>
      <c r="X51" s="2"/>
      <c r="Y51" s="2"/>
      <c r="Z51" s="2"/>
    </row>
    <row r="52" spans="1:26" ht="18" x14ac:dyDescent="0.35">
      <c r="A52" s="72"/>
      <c r="B52" s="73" t="s">
        <v>50</v>
      </c>
      <c r="C52" s="74"/>
      <c r="D52" s="74"/>
      <c r="E52" s="74"/>
      <c r="F52" s="75"/>
      <c r="G52" s="76"/>
      <c r="H52" s="76"/>
      <c r="I52" s="76"/>
      <c r="J52" s="76"/>
      <c r="K52" s="76"/>
      <c r="L52" s="76"/>
      <c r="M52" s="76"/>
      <c r="N52" s="77"/>
      <c r="O52" s="76"/>
      <c r="P52" s="76"/>
      <c r="Q52" s="4"/>
      <c r="R52" s="5"/>
      <c r="S52" s="2"/>
      <c r="T52" s="2"/>
      <c r="U52" s="2"/>
      <c r="V52" s="2"/>
      <c r="W52" s="2"/>
      <c r="X52" s="2"/>
      <c r="Y52" s="2"/>
      <c r="Z52" s="2"/>
    </row>
    <row r="53" spans="1:26" ht="18" x14ac:dyDescent="0.35">
      <c r="A53" s="72"/>
      <c r="B53" s="78"/>
      <c r="C53" s="79"/>
      <c r="D53" s="79"/>
      <c r="E53" s="79"/>
      <c r="F53" s="80"/>
      <c r="G53" s="76"/>
      <c r="H53" s="76"/>
      <c r="I53" s="76"/>
      <c r="J53" s="76"/>
      <c r="K53" s="76"/>
      <c r="L53" s="76"/>
      <c r="M53" s="76"/>
      <c r="N53" s="77"/>
      <c r="O53" s="76"/>
      <c r="P53" s="76"/>
      <c r="Q53" s="4"/>
      <c r="R53" s="5"/>
      <c r="S53" s="2"/>
      <c r="T53" s="2"/>
      <c r="U53" s="2"/>
      <c r="V53" s="2"/>
      <c r="W53" s="2"/>
      <c r="X53" s="2"/>
      <c r="Y53" s="2"/>
      <c r="Z53" s="2"/>
    </row>
    <row r="54" spans="1:26" ht="18" x14ac:dyDescent="0.35">
      <c r="A54" s="72"/>
      <c r="B54" s="78"/>
      <c r="C54" s="79"/>
      <c r="D54" s="79"/>
      <c r="E54" s="79"/>
      <c r="F54" s="80"/>
      <c r="G54" s="76"/>
      <c r="H54" s="76"/>
      <c r="I54" s="76"/>
      <c r="J54" s="76"/>
      <c r="K54" s="76"/>
      <c r="L54" s="76"/>
      <c r="M54" s="76"/>
      <c r="N54" s="77"/>
      <c r="O54" s="76"/>
      <c r="P54" s="76"/>
      <c r="Q54" s="4"/>
      <c r="R54" s="5"/>
      <c r="S54" s="2"/>
      <c r="T54" s="2"/>
      <c r="U54" s="2"/>
      <c r="V54" s="2"/>
      <c r="W54" s="2"/>
      <c r="X54" s="2"/>
      <c r="Y54" s="2"/>
      <c r="Z54" s="2"/>
    </row>
    <row r="55" spans="1:26" ht="18" x14ac:dyDescent="0.35">
      <c r="A55" s="72"/>
      <c r="B55" s="81"/>
      <c r="C55" s="82"/>
      <c r="D55" s="82"/>
      <c r="E55" s="82"/>
      <c r="F55" s="83"/>
      <c r="G55" s="76"/>
      <c r="H55" s="76"/>
      <c r="I55" s="76"/>
      <c r="J55" s="76"/>
      <c r="K55" s="76"/>
      <c r="L55" s="76"/>
      <c r="M55" s="76"/>
      <c r="N55" s="77"/>
      <c r="O55" s="76"/>
      <c r="P55" s="76"/>
      <c r="Q55" s="4"/>
      <c r="R55" s="5"/>
      <c r="S55" s="2"/>
      <c r="T55" s="2"/>
      <c r="U55" s="2"/>
      <c r="V55" s="2"/>
      <c r="W55" s="2"/>
      <c r="X55" s="2"/>
      <c r="Y55" s="2"/>
      <c r="Z55" s="2"/>
    </row>
    <row r="56" spans="1:26" ht="18" x14ac:dyDescent="0.35">
      <c r="A56" s="6"/>
      <c r="B56" s="19"/>
      <c r="C56" s="19"/>
      <c r="D56" s="19"/>
      <c r="E56" s="19"/>
      <c r="F56" s="2"/>
      <c r="G56" s="2"/>
      <c r="H56" s="2"/>
      <c r="I56" s="2"/>
      <c r="J56" s="2"/>
      <c r="K56" s="2"/>
      <c r="L56" s="2"/>
      <c r="M56" s="2"/>
      <c r="N56" s="3"/>
      <c r="O56" s="2"/>
      <c r="P56" s="2"/>
      <c r="Q56" s="4" t="s">
        <v>51</v>
      </c>
      <c r="R56" s="5" t="s">
        <v>52</v>
      </c>
      <c r="S56" s="2"/>
      <c r="T56" s="2"/>
      <c r="U56" s="2"/>
      <c r="V56" s="2"/>
      <c r="W56" s="2"/>
      <c r="X56" s="2"/>
      <c r="Y56" s="2"/>
      <c r="Z56" s="2"/>
    </row>
    <row r="57" spans="1:26" ht="18" x14ac:dyDescent="0.35">
      <c r="A57" s="6"/>
      <c r="B57" s="2"/>
      <c r="C57" s="2"/>
      <c r="D57" s="2"/>
      <c r="E57" s="2"/>
      <c r="F57" s="6" t="s">
        <v>34</v>
      </c>
      <c r="G57" s="2"/>
      <c r="H57" s="2"/>
      <c r="I57" s="2"/>
      <c r="J57" s="2"/>
      <c r="K57" s="2"/>
      <c r="L57" s="2"/>
      <c r="M57" s="2"/>
      <c r="N57" s="3"/>
      <c r="O57" s="2"/>
      <c r="P57" s="2"/>
      <c r="Q57" s="4"/>
      <c r="R57" s="5"/>
      <c r="S57" s="2"/>
      <c r="T57" s="2"/>
      <c r="U57" s="2"/>
      <c r="V57" s="2"/>
      <c r="W57" s="2"/>
      <c r="X57" s="2"/>
      <c r="Y57" s="2"/>
      <c r="Z57" s="2"/>
    </row>
    <row r="58" spans="1:26" ht="18" x14ac:dyDescent="0.35">
      <c r="A58" s="84"/>
      <c r="B58" s="85" t="s">
        <v>53</v>
      </c>
      <c r="C58" s="86">
        <f>IF(C44=0,0,C44+2*(VLOOKUP(E59,B132:E134,4)+VLOOKUP(C15,B136:E137,4)))</f>
        <v>117.4</v>
      </c>
      <c r="D58" s="87">
        <f>IF(E44=0,0,E44+2*(VLOOKUP(E60,B132:E134,4)+VLOOKUP(C15,B136:E137,4)))</f>
        <v>117.4</v>
      </c>
      <c r="E58" s="85" t="str">
        <f>VLOOKUP($C$13,$B$132:$E$134,2)</f>
        <v>Peuplier 15 mm</v>
      </c>
      <c r="F58" s="88">
        <v>2</v>
      </c>
      <c r="G58" s="2"/>
      <c r="H58" s="2"/>
      <c r="I58" s="2"/>
      <c r="J58" s="89">
        <f t="shared" ref="J58:J69" si="0">IF(C58=0,0,(C58/100)*(D58/100)*F58)</f>
        <v>2.7565520000000006</v>
      </c>
      <c r="K58" s="89">
        <f t="shared" ref="K58:K69" si="1">J58/0.8</f>
        <v>3.4456900000000004</v>
      </c>
      <c r="L58" s="71">
        <f>IF(E58=0,0,VLOOKUP(E58,'Prix Matiere'!$A$4:$J$65,10))</f>
        <v>16.895876288659796</v>
      </c>
      <c r="M58" s="71">
        <f t="shared" ref="M58:M60" si="2">L58*K58-IF($F$15="Non",K58*0.75,0)</f>
        <v>58.217951969072182</v>
      </c>
      <c r="N58" s="3">
        <f t="shared" ref="N58:N60" si="3">IF(J58=0,0,IF($F$15="Oui",(7.0924*J58)+15,(6.0924*J58)+10))</f>
        <v>34.550569404800001</v>
      </c>
      <c r="O58" s="71">
        <f>N58*MinuteMO</f>
        <v>29.367983994079999</v>
      </c>
      <c r="P58" s="2"/>
      <c r="Q58" s="4">
        <f>IF(J58=0,0,J58*VLOOKUP(E58,'Prix Matiere'!$A$4:$L$60,12))</f>
        <v>18.193243200000005</v>
      </c>
      <c r="R58" s="90">
        <f>IF(J58=0,0,Q58*VLOOKUP(E58,'Prix Matiere'!$A$4:$L$60,11))</f>
        <v>14.063376993600004</v>
      </c>
      <c r="S58" s="2"/>
      <c r="T58" s="2"/>
      <c r="U58" s="2"/>
      <c r="V58" s="2"/>
      <c r="W58" s="2"/>
      <c r="X58" s="2"/>
      <c r="Y58" s="2"/>
      <c r="Z58" s="2"/>
    </row>
    <row r="59" spans="1:26" ht="18" x14ac:dyDescent="0.35">
      <c r="A59" s="84"/>
      <c r="B59" s="85" t="s">
        <v>54</v>
      </c>
      <c r="C59" s="86">
        <f>C58</f>
        <v>117.4</v>
      </c>
      <c r="D59" s="87">
        <f>D44</f>
        <v>16</v>
      </c>
      <c r="E59" s="85" t="str">
        <f t="shared" ref="E59:E60" si="4">VLOOKUP($C$13,$B$132:$E$134,3)</f>
        <v>Peuplier 15 mm</v>
      </c>
      <c r="F59" s="88">
        <v>2</v>
      </c>
      <c r="G59" s="2"/>
      <c r="H59" s="2"/>
      <c r="I59" s="2"/>
      <c r="J59" s="89">
        <f t="shared" si="0"/>
        <v>0.37568000000000007</v>
      </c>
      <c r="K59" s="89">
        <f t="shared" si="1"/>
        <v>0.46960000000000007</v>
      </c>
      <c r="L59" s="71">
        <f>IF(E59=0,0,VLOOKUP(E59,'Prix Matiere'!$A$4:$J$65,10))</f>
        <v>16.895876288659796</v>
      </c>
      <c r="M59" s="71">
        <f t="shared" si="2"/>
        <v>7.9343035051546416</v>
      </c>
      <c r="N59" s="3">
        <f t="shared" si="3"/>
        <v>17.664472832000001</v>
      </c>
      <c r="O59" s="71">
        <f>N59*MinuteMO</f>
        <v>15.014801907200001</v>
      </c>
      <c r="P59" s="2"/>
      <c r="Q59" s="4">
        <f>IF(J59=0,0,J59*VLOOKUP(E59,'Prix Matiere'!$A$4:$L$60,12))</f>
        <v>2.4794880000000008</v>
      </c>
      <c r="R59" s="90">
        <f>IF(J59=0,0,Q59*VLOOKUP(E59,'Prix Matiere'!$A$4:$L$60,11))</f>
        <v>1.9166442240000006</v>
      </c>
      <c r="S59" s="2"/>
      <c r="T59" s="2"/>
      <c r="U59" s="2"/>
      <c r="V59" s="2"/>
      <c r="W59" s="2"/>
      <c r="X59" s="2"/>
      <c r="Y59" s="2"/>
      <c r="Z59" s="2"/>
    </row>
    <row r="60" spans="1:26" ht="18" x14ac:dyDescent="0.35">
      <c r="A60" s="84"/>
      <c r="B60" s="85" t="s">
        <v>55</v>
      </c>
      <c r="C60" s="86">
        <f>E44</f>
        <v>110.2</v>
      </c>
      <c r="D60" s="87">
        <f>D44</f>
        <v>16</v>
      </c>
      <c r="E60" s="85" t="str">
        <f t="shared" si="4"/>
        <v>Peuplier 15 mm</v>
      </c>
      <c r="F60" s="88">
        <v>2</v>
      </c>
      <c r="G60" s="2"/>
      <c r="H60" s="2"/>
      <c r="I60" s="2"/>
      <c r="J60" s="89">
        <f t="shared" si="0"/>
        <v>0.35264000000000001</v>
      </c>
      <c r="K60" s="89">
        <f t="shared" si="1"/>
        <v>0.44079999999999997</v>
      </c>
      <c r="L60" s="71">
        <f>IF(E60=0,0,VLOOKUP(E60,'Prix Matiere'!$A$4:$J$65,10))</f>
        <v>16.895876288659796</v>
      </c>
      <c r="M60" s="71">
        <f t="shared" si="2"/>
        <v>7.4477022680412377</v>
      </c>
      <c r="N60" s="3">
        <f t="shared" si="3"/>
        <v>17.501063936000001</v>
      </c>
      <c r="O60" s="71">
        <f>N60*MinuteMO</f>
        <v>14.8759043456</v>
      </c>
      <c r="P60" s="2"/>
      <c r="Q60" s="4">
        <f>IF(J60=0,0,J60*VLOOKUP(E60,'Prix Matiere'!$A$4:$L$60,12))</f>
        <v>2.3274240000000002</v>
      </c>
      <c r="R60" s="90">
        <f>IF(J60=0,0,Q60*VLOOKUP(E60,'Prix Matiere'!$A$4:$L$60,11))</f>
        <v>1.7990987520000001</v>
      </c>
      <c r="S60" s="2"/>
      <c r="T60" s="2"/>
      <c r="U60" s="2"/>
      <c r="V60" s="2"/>
      <c r="W60" s="2"/>
      <c r="X60" s="2"/>
      <c r="Y60" s="2"/>
      <c r="Z60" s="2"/>
    </row>
    <row r="61" spans="1:26" ht="18" x14ac:dyDescent="0.35">
      <c r="A61" s="6"/>
      <c r="B61" s="2"/>
      <c r="C61" s="2"/>
      <c r="D61" s="2"/>
      <c r="E61" s="2"/>
      <c r="F61" s="2"/>
      <c r="G61" s="2"/>
      <c r="H61" s="2"/>
      <c r="I61" s="2"/>
      <c r="J61" s="89">
        <f t="shared" si="0"/>
        <v>0</v>
      </c>
      <c r="K61" s="89">
        <f t="shared" si="1"/>
        <v>0</v>
      </c>
      <c r="L61" s="71"/>
      <c r="M61" s="71"/>
      <c r="N61" s="3"/>
      <c r="O61" s="71"/>
      <c r="P61" s="2"/>
      <c r="Q61" s="4"/>
      <c r="R61" s="90"/>
      <c r="S61" s="2"/>
      <c r="T61" s="2"/>
      <c r="U61" s="2"/>
      <c r="V61" s="2"/>
      <c r="W61" s="2"/>
      <c r="X61" s="2"/>
      <c r="Y61" s="2"/>
      <c r="Z61" s="2"/>
    </row>
    <row r="62" spans="1:26" ht="18" x14ac:dyDescent="0.35">
      <c r="A62" s="6"/>
      <c r="B62" s="2"/>
      <c r="C62" s="2"/>
      <c r="D62" s="2"/>
      <c r="E62" s="2"/>
      <c r="F62" s="2"/>
      <c r="G62" s="2"/>
      <c r="H62" s="2"/>
      <c r="I62" s="2"/>
      <c r="J62" s="89">
        <f t="shared" si="0"/>
        <v>0</v>
      </c>
      <c r="K62" s="89">
        <f t="shared" si="1"/>
        <v>0</v>
      </c>
      <c r="L62" s="71"/>
      <c r="M62" s="71"/>
      <c r="N62" s="3"/>
      <c r="O62" s="71"/>
      <c r="P62" s="2"/>
      <c r="Q62" s="4"/>
      <c r="R62" s="90"/>
      <c r="S62" s="2"/>
      <c r="T62" s="2"/>
      <c r="U62" s="2"/>
      <c r="V62" s="2"/>
      <c r="W62" s="2"/>
      <c r="X62" s="2"/>
      <c r="Y62" s="2"/>
      <c r="Z62" s="2"/>
    </row>
    <row r="63" spans="1:26" ht="18" x14ac:dyDescent="0.35">
      <c r="A63" s="21"/>
      <c r="B63" s="91" t="s">
        <v>56</v>
      </c>
      <c r="C63" s="87">
        <f>C58</f>
        <v>117.4</v>
      </c>
      <c r="D63" s="45">
        <f>IF(D58&gt;80,9.4,7)</f>
        <v>9.4</v>
      </c>
      <c r="E63" s="34" t="str">
        <f t="shared" ref="E63:E65" si="5">IF($C$15="Pin raboté 4 faces","Barres 21 R4F","Barres 19 mm")</f>
        <v>Barres 21 R4F</v>
      </c>
      <c r="F63" s="45">
        <v>4</v>
      </c>
      <c r="G63" s="2"/>
      <c r="H63" s="2"/>
      <c r="I63" s="2"/>
      <c r="J63" s="89">
        <f t="shared" si="0"/>
        <v>0.44142400000000004</v>
      </c>
      <c r="K63" s="89">
        <f t="shared" si="1"/>
        <v>0.55178000000000005</v>
      </c>
      <c r="L63" s="71">
        <f>IF(E63=0,0,VLOOKUP(E63,'Prix Matiere'!$A$4:$J$65,10))</f>
        <v>18.969072164948454</v>
      </c>
      <c r="M63" s="71">
        <f t="shared" ref="M63:M69" si="6">L63*K63</f>
        <v>10.466754639175258</v>
      </c>
      <c r="N63" s="3">
        <f t="shared" ref="N63:N69" si="7">IF(J63=0,0,1+(11*J63))</f>
        <v>5.8556640000000009</v>
      </c>
      <c r="O63" s="71">
        <f t="shared" ref="O63:O69" si="8">N63*MinuteMO</f>
        <v>4.9773144000000009</v>
      </c>
      <c r="P63" s="2"/>
      <c r="Q63" s="4">
        <f>IF(J63=0,0,J63*VLOOKUP(E63,'Prix Matiere'!$A$4:$L$60,12))</f>
        <v>4.4142400000000004</v>
      </c>
      <c r="R63" s="90">
        <f>IF(J63=0,0,Q63*VLOOKUP(E63,'Prix Matiere'!$A$4:$L$60,11))</f>
        <v>2.13649216</v>
      </c>
      <c r="S63" s="2"/>
      <c r="T63" s="2"/>
      <c r="U63" s="2"/>
      <c r="V63" s="2"/>
      <c r="W63" s="2"/>
      <c r="X63" s="2"/>
      <c r="Y63" s="2"/>
      <c r="Z63" s="2"/>
    </row>
    <row r="64" spans="1:26" ht="18" x14ac:dyDescent="0.35">
      <c r="A64" s="2"/>
      <c r="B64" s="91" t="s">
        <v>57</v>
      </c>
      <c r="C64" s="87">
        <f>IF(D58=0,0,D58-2*D63)</f>
        <v>98.600000000000009</v>
      </c>
      <c r="D64" s="45">
        <f>D63</f>
        <v>9.4</v>
      </c>
      <c r="E64" s="34" t="str">
        <f t="shared" si="5"/>
        <v>Barres 21 R4F</v>
      </c>
      <c r="F64" s="45">
        <f>4</f>
        <v>4</v>
      </c>
      <c r="G64" s="2"/>
      <c r="H64" s="2"/>
      <c r="I64" s="2"/>
      <c r="J64" s="89">
        <f t="shared" si="0"/>
        <v>0.37073600000000007</v>
      </c>
      <c r="K64" s="89">
        <f t="shared" si="1"/>
        <v>0.46342000000000005</v>
      </c>
      <c r="L64" s="71">
        <f>IF(E64=0,0,VLOOKUP(E64,'Prix Matiere'!$A$4:$J$65,10))</f>
        <v>18.969072164948454</v>
      </c>
      <c r="M64" s="71">
        <f t="shared" si="6"/>
        <v>8.7906474226804132</v>
      </c>
      <c r="N64" s="3">
        <f t="shared" si="7"/>
        <v>5.0780960000000004</v>
      </c>
      <c r="O64" s="71">
        <f t="shared" si="8"/>
        <v>4.3163816000000006</v>
      </c>
      <c r="P64" s="2"/>
      <c r="Q64" s="4">
        <f>IF(J64=0,0,J64*VLOOKUP(E64,'Prix Matiere'!$A$4:$L$60,12))</f>
        <v>3.7073600000000004</v>
      </c>
      <c r="R64" s="90">
        <f>IF(J64=0,0,Q64*VLOOKUP(E64,'Prix Matiere'!$A$4:$L$60,11))</f>
        <v>1.7943622400000001</v>
      </c>
      <c r="S64" s="2"/>
      <c r="T64" s="2"/>
      <c r="U64" s="2"/>
      <c r="V64" s="2"/>
      <c r="W64" s="2"/>
      <c r="X64" s="2"/>
      <c r="Y64" s="2"/>
      <c r="Z64" s="2"/>
    </row>
    <row r="65" spans="1:26" ht="18" x14ac:dyDescent="0.35">
      <c r="A65" s="2"/>
      <c r="B65" s="91" t="s">
        <v>58</v>
      </c>
      <c r="C65" s="87">
        <f>C63</f>
        <v>117.4</v>
      </c>
      <c r="D65" s="45">
        <f>IF($D$44&lt;14.4,$D$44,7)</f>
        <v>7</v>
      </c>
      <c r="E65" s="34" t="str">
        <f t="shared" si="5"/>
        <v>Barres 21 R4F</v>
      </c>
      <c r="F65" s="92">
        <f>IF(D44&lt;14.4,2,4)</f>
        <v>4</v>
      </c>
      <c r="G65" s="2"/>
      <c r="H65" s="2"/>
      <c r="I65" s="2"/>
      <c r="J65" s="89">
        <f t="shared" si="0"/>
        <v>0.32872000000000007</v>
      </c>
      <c r="K65" s="89">
        <f t="shared" si="1"/>
        <v>0.41090000000000004</v>
      </c>
      <c r="L65" s="71">
        <f>IF(E65=0,0,VLOOKUP(E65,'Prix Matiere'!$A$4:$J$65,10))</f>
        <v>18.969072164948454</v>
      </c>
      <c r="M65" s="71">
        <f t="shared" si="6"/>
        <v>7.7943917525773205</v>
      </c>
      <c r="N65" s="3">
        <f t="shared" si="7"/>
        <v>4.6159200000000009</v>
      </c>
      <c r="O65" s="71">
        <f t="shared" si="8"/>
        <v>3.9235320000000007</v>
      </c>
      <c r="P65" s="2"/>
      <c r="Q65" s="4">
        <f>IF(J65=0,0,J65*VLOOKUP(E65,'Prix Matiere'!$A$4:$L$60,12))</f>
        <v>3.2872000000000008</v>
      </c>
      <c r="R65" s="90">
        <f>IF(J65=0,0,Q65*VLOOKUP(E65,'Prix Matiere'!$A$4:$L$60,11))</f>
        <v>1.5910048000000003</v>
      </c>
      <c r="S65" s="2"/>
      <c r="T65" s="2"/>
      <c r="U65" s="2"/>
      <c r="V65" s="2"/>
      <c r="W65" s="2"/>
      <c r="X65" s="2"/>
      <c r="Y65" s="2"/>
      <c r="Z65" s="2"/>
    </row>
    <row r="66" spans="1:26" ht="18" x14ac:dyDescent="0.35">
      <c r="A66" s="2"/>
      <c r="B66" s="91" t="str">
        <f>C23</f>
        <v>Skis</v>
      </c>
      <c r="C66" s="87">
        <f>IF(C58=0,0,IF(B66="Skis",C58-10,IF(B66="10 dessous en semelles",D46,IF(B66="10 dessous en skis",(C63-70)/2))))</f>
        <v>107.4</v>
      </c>
      <c r="D66" s="45">
        <f>IF($F$10="BOVIS",9.4,7)</f>
        <v>7</v>
      </c>
      <c r="E66" s="34" t="str">
        <f>IF($C$23="Skis","Barres 30 R4F","Semelles R4F")</f>
        <v>Barres 30 R4F</v>
      </c>
      <c r="F66" s="45">
        <f>IF(B66="Skis",2,IF(B66="10 dessous en semelles",2,F65))</f>
        <v>2</v>
      </c>
      <c r="G66" s="2"/>
      <c r="H66" s="2"/>
      <c r="I66" s="2"/>
      <c r="J66" s="89">
        <f t="shared" si="0"/>
        <v>0.15036000000000002</v>
      </c>
      <c r="K66" s="89">
        <f t="shared" si="1"/>
        <v>0.18795000000000001</v>
      </c>
      <c r="L66" s="71">
        <f>IF(E66=0,0,VLOOKUP(E66,'Prix Matiere'!$A$4:$J$65,10))</f>
        <v>45.432989690721641</v>
      </c>
      <c r="M66" s="71">
        <f t="shared" si="6"/>
        <v>8.5391304123711329</v>
      </c>
      <c r="N66" s="3">
        <f t="shared" si="7"/>
        <v>2.6539600000000005</v>
      </c>
      <c r="O66" s="71">
        <f t="shared" si="8"/>
        <v>2.2558660000000006</v>
      </c>
      <c r="P66" s="2"/>
      <c r="Q66" s="4">
        <f>IF(J66=0,0,J66*VLOOKUP(E66,'Prix Matiere'!$A$4:$L$60,12))</f>
        <v>1.5036000000000003</v>
      </c>
      <c r="R66" s="90">
        <f>IF(J66=0,0,Q66*VLOOKUP(E66,'Prix Matiere'!$A$4:$L$60,11))</f>
        <v>0.72774240000000012</v>
      </c>
      <c r="S66" s="2"/>
      <c r="T66" s="2"/>
      <c r="U66" s="2"/>
      <c r="V66" s="2"/>
      <c r="W66" s="2"/>
      <c r="X66" s="2"/>
      <c r="Y66" s="2"/>
      <c r="Z66" s="2"/>
    </row>
    <row r="67" spans="1:26" ht="18" x14ac:dyDescent="0.35">
      <c r="A67" s="2"/>
      <c r="B67" s="91" t="s">
        <v>59</v>
      </c>
      <c r="C67" s="87">
        <f>IF(D44&lt;14.4,0,D44)</f>
        <v>16</v>
      </c>
      <c r="D67" s="45">
        <f>IF(D44&lt;14.4,0,D63)</f>
        <v>9.4</v>
      </c>
      <c r="E67" s="34" t="str">
        <f t="shared" ref="E67:E68" si="9">IF($C$15="Pin raboté 4 faces","Barres 21 R4F","Barres 19 mm")</f>
        <v>Barres 21 R4F</v>
      </c>
      <c r="F67" s="45">
        <f>IF(D44&lt;14.4,0,4)</f>
        <v>4</v>
      </c>
      <c r="G67" s="2"/>
      <c r="H67" s="2"/>
      <c r="I67" s="2"/>
      <c r="J67" s="89">
        <f t="shared" si="0"/>
        <v>6.0159999999999998E-2</v>
      </c>
      <c r="K67" s="89">
        <f t="shared" si="1"/>
        <v>7.5199999999999989E-2</v>
      </c>
      <c r="L67" s="71">
        <f>IF(E67=0,0,VLOOKUP(E67,'Prix Matiere'!$A$4:$J$65,10))</f>
        <v>18.969072164948454</v>
      </c>
      <c r="M67" s="71">
        <f t="shared" si="6"/>
        <v>1.4264742268041235</v>
      </c>
      <c r="N67" s="3">
        <f t="shared" si="7"/>
        <v>1.6617600000000001</v>
      </c>
      <c r="O67" s="71">
        <f t="shared" si="8"/>
        <v>1.412496</v>
      </c>
      <c r="P67" s="2"/>
      <c r="Q67" s="4">
        <f>IF(J67=0,0,J67*VLOOKUP(E67,'Prix Matiere'!$A$4:$L$60,12))</f>
        <v>0.60160000000000002</v>
      </c>
      <c r="R67" s="90">
        <f>IF(J67=0,0,Q67*VLOOKUP(E67,'Prix Matiere'!$A$4:$L$60,11))</f>
        <v>0.2911744</v>
      </c>
      <c r="S67" s="2"/>
      <c r="T67" s="2"/>
      <c r="U67" s="2"/>
      <c r="V67" s="2"/>
      <c r="W67" s="2"/>
      <c r="X67" s="2"/>
      <c r="Y67" s="2"/>
      <c r="Z67" s="2"/>
    </row>
    <row r="68" spans="1:26" ht="18" x14ac:dyDescent="0.35">
      <c r="A68" s="2"/>
      <c r="B68" s="91" t="s">
        <v>60</v>
      </c>
      <c r="C68" s="87">
        <f>IF(D44&lt;14.4,E44,C60-2*D67)</f>
        <v>91.4</v>
      </c>
      <c r="D68" s="45">
        <f>IF($D$44&lt;14.4,$D$44,IF($D$44&lt;20,5,7))</f>
        <v>5</v>
      </c>
      <c r="E68" s="34" t="str">
        <f t="shared" si="9"/>
        <v>Barres 21 R4F</v>
      </c>
      <c r="F68" s="92">
        <f>IF(D44&lt;14.4,2,4)</f>
        <v>4</v>
      </c>
      <c r="G68" s="2"/>
      <c r="H68" s="2"/>
      <c r="I68" s="2"/>
      <c r="J68" s="89">
        <f t="shared" si="0"/>
        <v>0.18280000000000002</v>
      </c>
      <c r="K68" s="89">
        <f t="shared" si="1"/>
        <v>0.22850000000000001</v>
      </c>
      <c r="L68" s="71">
        <f>IF(E68=0,0,VLOOKUP(E68,'Prix Matiere'!$A$4:$J$65,10))</f>
        <v>18.969072164948454</v>
      </c>
      <c r="M68" s="71">
        <f t="shared" si="6"/>
        <v>4.3344329896907219</v>
      </c>
      <c r="N68" s="3">
        <f t="shared" si="7"/>
        <v>3.0108000000000001</v>
      </c>
      <c r="O68" s="71">
        <f t="shared" si="8"/>
        <v>2.55918</v>
      </c>
      <c r="P68" s="2"/>
      <c r="Q68" s="4">
        <f>IF(J68=0,0,J68*VLOOKUP(E68,'Prix Matiere'!$A$4:$L$60,12))</f>
        <v>1.8280000000000003</v>
      </c>
      <c r="R68" s="90">
        <f>IF(J68=0,0,Q68*VLOOKUP(E68,'Prix Matiere'!$A$4:$L$60,11))</f>
        <v>0.88475200000000009</v>
      </c>
      <c r="S68" s="2"/>
      <c r="T68" s="2"/>
      <c r="U68" s="2"/>
      <c r="V68" s="2"/>
      <c r="W68" s="2"/>
      <c r="X68" s="2"/>
      <c r="Y68" s="2"/>
      <c r="Z68" s="2"/>
    </row>
    <row r="69" spans="1:26" ht="18" x14ac:dyDescent="0.35">
      <c r="A69" s="2"/>
      <c r="B69" s="91" t="str">
        <f>IF(D44&lt;14.4,0,IF(C21="Bois","Poignées",IF(C21="Métal x 2 sur bouts","Supports poignées",0)))</f>
        <v>Poignées</v>
      </c>
      <c r="C69" s="87">
        <f>IF(B69="Poignées",D60+VLOOKUP(C13,B132:E134,4)*2+4.2,IF(B69="Supports poignées",D60-2*D68,0))</f>
        <v>23.2</v>
      </c>
      <c r="D69" s="45">
        <f>IF(B69="Poignées",7,IF(B69="Supports poignées",9.4,0))</f>
        <v>7</v>
      </c>
      <c r="E69" s="34" t="s">
        <v>61</v>
      </c>
      <c r="F69" s="45">
        <f>IF(B69=0,0,2)</f>
        <v>2</v>
      </c>
      <c r="G69" s="2"/>
      <c r="H69" s="2"/>
      <c r="I69" s="2"/>
      <c r="J69" s="89">
        <f t="shared" si="0"/>
        <v>3.2480000000000002E-2</v>
      </c>
      <c r="K69" s="89">
        <f t="shared" si="1"/>
        <v>4.0599999999999997E-2</v>
      </c>
      <c r="L69" s="71">
        <f>IF(E69=0,0,VLOOKUP(E69,'Prix Matiere'!$A$4:$J$65,10))</f>
        <v>18.969072164948454</v>
      </c>
      <c r="M69" s="71">
        <f t="shared" si="6"/>
        <v>0.77014432989690718</v>
      </c>
      <c r="N69" s="3">
        <f t="shared" si="7"/>
        <v>1.35728</v>
      </c>
      <c r="O69" s="71">
        <f t="shared" si="8"/>
        <v>1.153688</v>
      </c>
      <c r="P69" s="2"/>
      <c r="Q69" s="4">
        <f>IF(J69=0,0,J69*VLOOKUP(E69,'Prix Matiere'!$A$4:$L$60,12))</f>
        <v>0.32480000000000003</v>
      </c>
      <c r="R69" s="90">
        <f>IF(J69=0,0,Q69*VLOOKUP(E69,'Prix Matiere'!$A$4:$L$60,11))</f>
        <v>0.15720320000000002</v>
      </c>
      <c r="S69" s="2"/>
      <c r="T69" s="2"/>
      <c r="U69" s="2"/>
      <c r="V69" s="2"/>
      <c r="W69" s="2"/>
      <c r="X69" s="2"/>
      <c r="Y69" s="2"/>
      <c r="Z69" s="2"/>
    </row>
    <row r="70" spans="1:26" ht="18" x14ac:dyDescent="0.3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71"/>
      <c r="M70" s="71"/>
      <c r="N70" s="3"/>
      <c r="O70" s="71"/>
      <c r="P70" s="2"/>
      <c r="Q70" s="4"/>
      <c r="R70" s="90"/>
      <c r="S70" s="2"/>
      <c r="T70" s="2"/>
      <c r="U70" s="2"/>
      <c r="V70" s="2"/>
      <c r="W70" s="2"/>
      <c r="X70" s="2"/>
      <c r="Y70" s="2"/>
      <c r="Z70" s="2"/>
    </row>
    <row r="71" spans="1:26" ht="18" x14ac:dyDescent="0.35">
      <c r="A71" s="2"/>
      <c r="B71" s="38" t="s">
        <v>62</v>
      </c>
      <c r="C71" s="2"/>
      <c r="D71" s="2"/>
      <c r="E71" s="2"/>
      <c r="F71" s="2"/>
      <c r="G71" s="2"/>
      <c r="H71" s="2"/>
      <c r="I71" s="2"/>
      <c r="J71" s="2"/>
      <c r="K71" s="2"/>
      <c r="L71" s="71"/>
      <c r="M71" s="71"/>
      <c r="N71" s="3"/>
      <c r="O71" s="71"/>
      <c r="P71" s="2"/>
      <c r="Q71" s="4"/>
      <c r="R71" s="90"/>
      <c r="S71" s="2"/>
      <c r="T71" s="2"/>
      <c r="U71" s="2"/>
      <c r="V71" s="2"/>
      <c r="W71" s="2"/>
      <c r="X71" s="2"/>
      <c r="Y71" s="2"/>
      <c r="Z71" s="2"/>
    </row>
    <row r="72" spans="1:26" ht="18" x14ac:dyDescent="0.35">
      <c r="A72" s="2"/>
      <c r="B72" s="93" t="s">
        <v>63</v>
      </c>
      <c r="C72" s="45">
        <f>IF(F72=0,0,C44)</f>
        <v>0</v>
      </c>
      <c r="D72" s="45">
        <f>IF(F72=0,0,E76+VLOOKUP($C$17,B142:Q148,5))</f>
        <v>0</v>
      </c>
      <c r="E72" s="34">
        <f>VLOOKUP($C$17,B142:Q148,6)</f>
        <v>0</v>
      </c>
      <c r="F72" s="45">
        <f>VLOOKUP($C$17,B142:Q148,7)</f>
        <v>0</v>
      </c>
      <c r="G72" s="2"/>
      <c r="H72" s="2"/>
      <c r="I72" s="2"/>
      <c r="J72" s="89">
        <f t="shared" ref="J72:J74" si="10">IF(C72=0,0,(C72/100)*(D72/100)*F72)</f>
        <v>0</v>
      </c>
      <c r="K72" s="89">
        <f t="shared" ref="K72:K74" si="11">J72/0.8</f>
        <v>0</v>
      </c>
      <c r="L72" s="71">
        <f>IF(E72=0,0,VLOOKUP(E72,'Prix Matiere'!$A$4:$J$65,10))</f>
        <v>0</v>
      </c>
      <c r="M72" s="71">
        <f t="shared" ref="M72:M74" si="12">L72*K72</f>
        <v>0</v>
      </c>
      <c r="N72" s="3">
        <f t="shared" ref="N72:N74" si="13">IF(J72=0,0,(4.7283*J72)+3)</f>
        <v>0</v>
      </c>
      <c r="O72" s="71">
        <f>N72*MinuteMO</f>
        <v>0</v>
      </c>
      <c r="P72" s="2"/>
      <c r="Q72" s="4">
        <f>IF(J72=0,0,J72*VLOOKUP(E72,'Prix Matiere'!$A$4:$L$60,12))</f>
        <v>0</v>
      </c>
      <c r="R72" s="90">
        <f>IF(J72=0,0,Q72*VLOOKUP(E72,'Prix Matiere'!$A$4:$L$60,11))</f>
        <v>0</v>
      </c>
      <c r="S72" s="2"/>
      <c r="T72" s="2"/>
      <c r="U72" s="2"/>
      <c r="V72" s="2"/>
      <c r="W72" s="2"/>
      <c r="X72" s="2"/>
      <c r="Y72" s="2"/>
      <c r="Z72" s="2"/>
    </row>
    <row r="73" spans="1:26" ht="18" x14ac:dyDescent="0.35">
      <c r="A73" s="6"/>
      <c r="B73" s="91" t="s">
        <v>54</v>
      </c>
      <c r="C73" s="45">
        <f>IF(F73=0,0,C44)</f>
        <v>0</v>
      </c>
      <c r="D73" s="45">
        <f>IF(F73=0,0,D76)</f>
        <v>0</v>
      </c>
      <c r="E73" s="34">
        <f>IF($C$17="Aucun",0,VLOOKUP($C$17,B142:Q148,6))</f>
        <v>0</v>
      </c>
      <c r="F73" s="45">
        <f>VLOOKUP($C$17,B142:Q148,7)</f>
        <v>0</v>
      </c>
      <c r="G73" s="2"/>
      <c r="H73" s="2"/>
      <c r="I73" s="2"/>
      <c r="J73" s="89">
        <f t="shared" si="10"/>
        <v>0</v>
      </c>
      <c r="K73" s="89">
        <f t="shared" si="11"/>
        <v>0</v>
      </c>
      <c r="L73" s="71">
        <f>IF(E73=0,0,VLOOKUP(E73,'Prix Matiere'!$A$4:$J$65,10))</f>
        <v>0</v>
      </c>
      <c r="M73" s="71">
        <f t="shared" si="12"/>
        <v>0</v>
      </c>
      <c r="N73" s="3">
        <f t="shared" si="13"/>
        <v>0</v>
      </c>
      <c r="O73" s="71">
        <f>N73*MinuteMO</f>
        <v>0</v>
      </c>
      <c r="P73" s="2"/>
      <c r="Q73" s="4">
        <f>IF(J73=0,0,J73*VLOOKUP(E73,'Prix Matiere'!$A$4:$L$60,12))</f>
        <v>0</v>
      </c>
      <c r="R73" s="90">
        <f>IF(J73=0,0,Q73*VLOOKUP(E73,'Prix Matiere'!$A$4:$L$60,11))</f>
        <v>0</v>
      </c>
      <c r="S73" s="2"/>
      <c r="T73" s="2"/>
      <c r="U73" s="2"/>
      <c r="V73" s="2"/>
      <c r="W73" s="2"/>
      <c r="X73" s="2"/>
      <c r="Y73" s="2"/>
      <c r="Z73" s="2"/>
    </row>
    <row r="74" spans="1:26" ht="18" x14ac:dyDescent="0.35">
      <c r="A74" s="6"/>
      <c r="B74" s="91" t="s">
        <v>55</v>
      </c>
      <c r="C74" s="45">
        <f>IF(F74=0,0,E76)</f>
        <v>0</v>
      </c>
      <c r="D74" s="45">
        <f>IF(F74=0,0,D76)</f>
        <v>0</v>
      </c>
      <c r="E74" s="34">
        <f>IF($C$17="Aucun",0,VLOOKUP($C$17,B142:Q148,6))</f>
        <v>0</v>
      </c>
      <c r="F74" s="45">
        <f>VLOOKUP($C$17,B142:Q148,7)</f>
        <v>0</v>
      </c>
      <c r="G74" s="2"/>
      <c r="H74" s="2"/>
      <c r="I74" s="2"/>
      <c r="J74" s="89">
        <f t="shared" si="10"/>
        <v>0</v>
      </c>
      <c r="K74" s="89">
        <f t="shared" si="11"/>
        <v>0</v>
      </c>
      <c r="L74" s="71">
        <f>IF(E74=0,0,VLOOKUP(E74,'Prix Matiere'!$A$4:$J$65,10))</f>
        <v>0</v>
      </c>
      <c r="M74" s="71">
        <f t="shared" si="12"/>
        <v>0</v>
      </c>
      <c r="N74" s="3">
        <f t="shared" si="13"/>
        <v>0</v>
      </c>
      <c r="O74" s="71">
        <f>N74*MinuteMO</f>
        <v>0</v>
      </c>
      <c r="P74" s="2"/>
      <c r="Q74" s="4">
        <f>IF(J74=0,0,J74*VLOOKUP(E74,'Prix Matiere'!$A$4:$L$60,12))</f>
        <v>0</v>
      </c>
      <c r="R74" s="90">
        <f>IF(J74=0,0,Q74*VLOOKUP(E74,'Prix Matiere'!$A$4:$L$60,11))</f>
        <v>0</v>
      </c>
      <c r="S74" s="2"/>
      <c r="T74" s="2"/>
      <c r="U74" s="2"/>
      <c r="V74" s="2"/>
      <c r="W74" s="2"/>
      <c r="X74" s="2"/>
      <c r="Y74" s="2"/>
      <c r="Z74" s="2"/>
    </row>
    <row r="75" spans="1:26" ht="18" x14ac:dyDescent="0.35">
      <c r="A75" s="6"/>
      <c r="B75" s="2"/>
      <c r="C75" s="2"/>
      <c r="D75" s="2"/>
      <c r="E75" s="2"/>
      <c r="F75" s="2"/>
      <c r="G75" s="2"/>
      <c r="H75" s="2"/>
      <c r="I75" s="2"/>
      <c r="J75" s="2"/>
      <c r="K75" s="2"/>
      <c r="L75" s="71"/>
      <c r="M75" s="71"/>
      <c r="N75" s="3"/>
      <c r="O75" s="71"/>
      <c r="P75" s="2"/>
      <c r="Q75" s="4"/>
      <c r="R75" s="90"/>
      <c r="S75" s="2"/>
      <c r="T75" s="2"/>
      <c r="U75" s="2"/>
      <c r="V75" s="2"/>
      <c r="W75" s="2"/>
      <c r="X75" s="2"/>
      <c r="Y75" s="2"/>
      <c r="Z75" s="2"/>
    </row>
    <row r="76" spans="1:26" ht="18" x14ac:dyDescent="0.35">
      <c r="A76" s="6"/>
      <c r="B76" s="2" t="s">
        <v>64</v>
      </c>
      <c r="C76" s="2">
        <f>C44-VLOOKUP(C17,B142:Q148,5)</f>
        <v>110.2</v>
      </c>
      <c r="D76" s="2">
        <f>D44-VLOOKUP(C17,B142:Q148,5)</f>
        <v>16</v>
      </c>
      <c r="E76" s="2">
        <f>E44-VLOOKUP(C17,B142:Q148,5)</f>
        <v>110.2</v>
      </c>
      <c r="F76" s="2"/>
      <c r="G76" s="2"/>
      <c r="H76" s="2"/>
      <c r="I76" s="2"/>
      <c r="J76" s="2"/>
      <c r="K76" s="2"/>
      <c r="L76" s="71"/>
      <c r="M76" s="71"/>
      <c r="N76" s="3"/>
      <c r="O76" s="71"/>
      <c r="P76" s="2"/>
      <c r="Q76" s="4"/>
      <c r="R76" s="90"/>
      <c r="S76" s="2"/>
      <c r="T76" s="2"/>
      <c r="U76" s="2"/>
      <c r="V76" s="2"/>
      <c r="W76" s="2"/>
      <c r="X76" s="2"/>
      <c r="Y76" s="2"/>
      <c r="Z76" s="2"/>
    </row>
    <row r="77" spans="1:26" ht="18" x14ac:dyDescent="0.35">
      <c r="A77" s="6"/>
      <c r="B77" s="2"/>
      <c r="C77" s="2"/>
      <c r="D77" s="2"/>
      <c r="E77" s="2"/>
      <c r="F77" s="2"/>
      <c r="G77" s="2"/>
      <c r="H77" s="2"/>
      <c r="I77" s="2"/>
      <c r="J77" s="2"/>
      <c r="K77" s="2"/>
      <c r="L77" s="71"/>
      <c r="M77" s="71"/>
      <c r="N77" s="3"/>
      <c r="O77" s="71"/>
      <c r="P77" s="2"/>
      <c r="Q77" s="4"/>
      <c r="R77" s="90"/>
      <c r="S77" s="2"/>
      <c r="T77" s="2"/>
      <c r="U77" s="2"/>
      <c r="V77" s="2"/>
      <c r="W77" s="2"/>
      <c r="X77" s="2"/>
      <c r="Y77" s="2"/>
      <c r="Z77" s="2"/>
    </row>
    <row r="78" spans="1:26" ht="18" x14ac:dyDescent="0.35">
      <c r="A78" s="6"/>
      <c r="B78" s="38" t="s">
        <v>65</v>
      </c>
      <c r="C78" s="2"/>
      <c r="D78" s="2"/>
      <c r="E78" s="2"/>
      <c r="F78" s="2"/>
      <c r="G78" s="2"/>
      <c r="H78" s="2"/>
      <c r="I78" s="2"/>
      <c r="J78" s="2"/>
      <c r="K78" s="2"/>
      <c r="L78" s="71"/>
      <c r="M78" s="71"/>
      <c r="N78" s="3"/>
      <c r="O78" s="71"/>
      <c r="P78" s="2"/>
      <c r="Q78" s="4"/>
      <c r="R78" s="90"/>
      <c r="S78" s="2"/>
      <c r="T78" s="2"/>
      <c r="U78" s="2"/>
      <c r="V78" s="2"/>
      <c r="W78" s="2"/>
      <c r="X78" s="2"/>
      <c r="Y78" s="2"/>
      <c r="Z78" s="2"/>
    </row>
    <row r="79" spans="1:26" ht="18" x14ac:dyDescent="0.35">
      <c r="A79" s="2"/>
      <c r="B79" s="93" t="s">
        <v>63</v>
      </c>
      <c r="C79" s="45">
        <f>IF(F79=0,0,C83+VLOOKUP(C17,B142:Q148,8))-0.5</f>
        <v>-0.5</v>
      </c>
      <c r="D79" s="45">
        <f>IF(F79=0,0,E83+VLOOKUP(C17,B142:Q148,8))-0.5</f>
        <v>-0.5</v>
      </c>
      <c r="E79" s="34">
        <f>VLOOKUP(C17,B142:Q148,9)</f>
        <v>0</v>
      </c>
      <c r="F79" s="45">
        <f>VLOOKUP($C$17,B142:Q148,10)</f>
        <v>0</v>
      </c>
      <c r="G79" s="2"/>
      <c r="H79" s="2"/>
      <c r="I79" s="2"/>
      <c r="J79" s="89">
        <f t="shared" ref="J79:J81" si="14">IF(C79=0,0,(C79/100)*(D79/100)*F79)</f>
        <v>0</v>
      </c>
      <c r="K79" s="89">
        <f t="shared" ref="K79:K81" si="15">J79/0.8</f>
        <v>0</v>
      </c>
      <c r="L79" s="71">
        <f>IF(E79=0,0,VLOOKUP(E79,'Prix Matiere'!A4:J60,10))</f>
        <v>0</v>
      </c>
      <c r="M79" s="71">
        <f t="shared" ref="M79:M81" si="16">L79*K79</f>
        <v>0</v>
      </c>
      <c r="N79" s="3">
        <f t="shared" ref="N79:N81" si="17">IF(J79=0,0,(3.94*J79)+5)</f>
        <v>0</v>
      </c>
      <c r="O79" s="71">
        <f>N79*MinuteMO</f>
        <v>0</v>
      </c>
      <c r="P79" s="2"/>
      <c r="Q79" s="4">
        <f>IF(J79=0,0,J79*VLOOKUP(E79,'Prix Matiere'!$A$4:$L$60,12))</f>
        <v>0</v>
      </c>
      <c r="R79" s="90">
        <f>IF(J79=0,0,Q79*VLOOKUP(E79,'Prix Matiere'!$A$4:$L$60,11))</f>
        <v>0</v>
      </c>
      <c r="S79" s="2"/>
      <c r="T79" s="2"/>
      <c r="U79" s="2"/>
      <c r="V79" s="2"/>
      <c r="W79" s="2"/>
      <c r="X79" s="2"/>
      <c r="Y79" s="2"/>
      <c r="Z79" s="2"/>
    </row>
    <row r="80" spans="1:26" ht="18" x14ac:dyDescent="0.35">
      <c r="A80" s="6"/>
      <c r="B80" s="91" t="s">
        <v>54</v>
      </c>
      <c r="C80" s="45">
        <f>IF(F80=0,0,C83+VLOOKUP(C17,B142:Q148,8))</f>
        <v>0</v>
      </c>
      <c r="D80" s="45">
        <f>IF(F80=0,0,D83)</f>
        <v>0</v>
      </c>
      <c r="E80" s="34">
        <f>VLOOKUP(C17,B142:Q148,9)</f>
        <v>0</v>
      </c>
      <c r="F80" s="45">
        <f>VLOOKUP($C$17,B142:Q148,10)</f>
        <v>0</v>
      </c>
      <c r="G80" s="2"/>
      <c r="H80" s="2"/>
      <c r="I80" s="2"/>
      <c r="J80" s="89">
        <f t="shared" si="14"/>
        <v>0</v>
      </c>
      <c r="K80" s="89">
        <f t="shared" si="15"/>
        <v>0</v>
      </c>
      <c r="L80" s="71">
        <f>IF(E80=0,0,VLOOKUP(E80,'Prix Matiere'!A5:J61,10))</f>
        <v>0</v>
      </c>
      <c r="M80" s="71">
        <f t="shared" si="16"/>
        <v>0</v>
      </c>
      <c r="N80" s="3">
        <f t="shared" si="17"/>
        <v>0</v>
      </c>
      <c r="O80" s="71">
        <f>N80*MinuteMO</f>
        <v>0</v>
      </c>
      <c r="P80" s="2"/>
      <c r="Q80" s="4">
        <f>IF(J80=0,0,J80*VLOOKUP(E80,'Prix Matiere'!$A$4:$L$60,12))</f>
        <v>0</v>
      </c>
      <c r="R80" s="90">
        <f>IF(J80=0,0,Q80*VLOOKUP(E80,'Prix Matiere'!$A$4:$L$60,11))</f>
        <v>0</v>
      </c>
      <c r="S80" s="2"/>
      <c r="T80" s="2"/>
      <c r="U80" s="2"/>
      <c r="V80" s="2"/>
      <c r="W80" s="2"/>
      <c r="X80" s="2"/>
      <c r="Y80" s="2"/>
      <c r="Z80" s="2"/>
    </row>
    <row r="81" spans="1:26" ht="18" x14ac:dyDescent="0.35">
      <c r="A81" s="6"/>
      <c r="B81" s="91" t="s">
        <v>55</v>
      </c>
      <c r="C81" s="45">
        <f>IF(F81=0,0,E83)</f>
        <v>0</v>
      </c>
      <c r="D81" s="45">
        <f>IF(F81=0,0,D83)</f>
        <v>0</v>
      </c>
      <c r="E81" s="34">
        <f>VLOOKUP(C17,B142:Q148,9)</f>
        <v>0</v>
      </c>
      <c r="F81" s="45">
        <f>VLOOKUP($C$17,B142:Q148,10)</f>
        <v>0</v>
      </c>
      <c r="G81" s="2"/>
      <c r="H81" s="2"/>
      <c r="I81" s="2"/>
      <c r="J81" s="89">
        <f t="shared" si="14"/>
        <v>0</v>
      </c>
      <c r="K81" s="89">
        <f t="shared" si="15"/>
        <v>0</v>
      </c>
      <c r="L81" s="71">
        <f>IF(E81=0,0,VLOOKUP(E81,'Prix Matiere'!A6:J62,10))</f>
        <v>0</v>
      </c>
      <c r="M81" s="71">
        <f t="shared" si="16"/>
        <v>0</v>
      </c>
      <c r="N81" s="3">
        <f t="shared" si="17"/>
        <v>0</v>
      </c>
      <c r="O81" s="71">
        <f>N81*MinuteMO</f>
        <v>0</v>
      </c>
      <c r="P81" s="2"/>
      <c r="Q81" s="4">
        <f>IF(J81=0,0,J81*VLOOKUP(E81,'Prix Matiere'!$A$4:$L$60,12))</f>
        <v>0</v>
      </c>
      <c r="R81" s="90">
        <f>IF(J81=0,0,Q81*VLOOKUP(E81,'Prix Matiere'!$A$4:$L$60,11))</f>
        <v>0</v>
      </c>
      <c r="S81" s="2"/>
      <c r="T81" s="2"/>
      <c r="U81" s="2"/>
      <c r="V81" s="2"/>
      <c r="W81" s="2"/>
      <c r="X81" s="2"/>
      <c r="Y81" s="2"/>
      <c r="Z81" s="2"/>
    </row>
    <row r="82" spans="1:26" ht="18" x14ac:dyDescent="0.35">
      <c r="A82" s="6"/>
      <c r="B82" s="2"/>
      <c r="C82" s="2"/>
      <c r="D82" s="2"/>
      <c r="E82" s="2"/>
      <c r="F82" s="2"/>
      <c r="G82" s="2"/>
      <c r="H82" s="2"/>
      <c r="I82" s="2"/>
      <c r="J82" s="89"/>
      <c r="K82" s="89"/>
      <c r="L82" s="71"/>
      <c r="M82" s="71"/>
      <c r="N82" s="3"/>
      <c r="O82" s="71"/>
      <c r="P82" s="2"/>
      <c r="Q82" s="4"/>
      <c r="R82" s="90"/>
      <c r="S82" s="2"/>
      <c r="T82" s="2"/>
      <c r="U82" s="2"/>
      <c r="V82" s="2"/>
      <c r="W82" s="2"/>
      <c r="X82" s="2"/>
      <c r="Y82" s="2"/>
      <c r="Z82" s="2"/>
    </row>
    <row r="83" spans="1:26" ht="18" x14ac:dyDescent="0.35">
      <c r="A83" s="6"/>
      <c r="B83" s="2" t="s">
        <v>66</v>
      </c>
      <c r="C83" s="2">
        <f>C76-VLOOKUP(C17,B142:Q148,8)</f>
        <v>110.2</v>
      </c>
      <c r="D83" s="2">
        <f>D76-VLOOKUP(C17,B142:Q148,8)</f>
        <v>16</v>
      </c>
      <c r="E83" s="2">
        <f>E76-VLOOKUP(C17,B142:Q148,8)</f>
        <v>110.2</v>
      </c>
      <c r="F83" s="2"/>
      <c r="G83" s="2"/>
      <c r="H83" s="2"/>
      <c r="I83" s="2"/>
      <c r="J83" s="89"/>
      <c r="K83" s="89"/>
      <c r="L83" s="71"/>
      <c r="M83" s="71"/>
      <c r="N83" s="3"/>
      <c r="O83" s="71"/>
      <c r="P83" s="2"/>
      <c r="Q83" s="4"/>
      <c r="R83" s="90"/>
      <c r="S83" s="2"/>
      <c r="T83" s="2"/>
      <c r="U83" s="2"/>
      <c r="V83" s="2"/>
      <c r="W83" s="2"/>
      <c r="X83" s="2"/>
      <c r="Y83" s="2"/>
      <c r="Z83" s="2"/>
    </row>
    <row r="84" spans="1:26" ht="18" x14ac:dyDescent="0.35">
      <c r="A84" s="6"/>
      <c r="B84" s="2"/>
      <c r="C84" s="2"/>
      <c r="D84" s="2"/>
      <c r="E84" s="2"/>
      <c r="F84" s="2"/>
      <c r="G84" s="2"/>
      <c r="H84" s="2"/>
      <c r="I84" s="2"/>
      <c r="J84" s="89">
        <f>IF(C84=0,0,(C84/100)*(D84/100)*F84)</f>
        <v>0</v>
      </c>
      <c r="K84" s="89">
        <f>J84/0.8</f>
        <v>0</v>
      </c>
      <c r="L84" s="71"/>
      <c r="M84" s="71"/>
      <c r="N84" s="3"/>
      <c r="O84" s="71"/>
      <c r="P84" s="2"/>
      <c r="Q84" s="4"/>
      <c r="R84" s="90"/>
      <c r="S84" s="2"/>
      <c r="T84" s="2"/>
      <c r="U84" s="2"/>
      <c r="V84" s="2"/>
      <c r="W84" s="2"/>
      <c r="X84" s="2"/>
      <c r="Y84" s="2"/>
      <c r="Z84" s="2"/>
    </row>
    <row r="85" spans="1:26" ht="18" x14ac:dyDescent="0.35">
      <c r="A85" s="6"/>
      <c r="B85" s="38" t="s">
        <v>67</v>
      </c>
      <c r="C85" s="2"/>
      <c r="D85" s="2"/>
      <c r="E85" s="2"/>
      <c r="F85" s="2"/>
      <c r="G85" s="2"/>
      <c r="H85" s="2"/>
      <c r="I85" s="2"/>
      <c r="J85" s="89"/>
      <c r="K85" s="89"/>
      <c r="L85" s="71"/>
      <c r="M85" s="71"/>
      <c r="N85" s="3"/>
      <c r="O85" s="71"/>
      <c r="P85" s="2"/>
      <c r="Q85" s="4"/>
      <c r="R85" s="90"/>
      <c r="S85" s="2"/>
      <c r="T85" s="2"/>
      <c r="U85" s="2"/>
      <c r="V85" s="2"/>
      <c r="W85" s="2"/>
      <c r="X85" s="2"/>
      <c r="Y85" s="2"/>
      <c r="Z85" s="2"/>
    </row>
    <row r="86" spans="1:26" ht="18" x14ac:dyDescent="0.35">
      <c r="A86" s="2"/>
      <c r="B86" s="93" t="s">
        <v>63</v>
      </c>
      <c r="C86" s="45">
        <f>IF(F86=0,0,C89)</f>
        <v>0</v>
      </c>
      <c r="D86" s="45">
        <f>IF(F86=0,0,10)</f>
        <v>0</v>
      </c>
      <c r="E86" s="34">
        <f>VLOOKUP(C17,B142:Q148,12)</f>
        <v>0</v>
      </c>
      <c r="F86" s="94">
        <f>VLOOKUP(C17,B142:Q148,13)</f>
        <v>0</v>
      </c>
      <c r="G86" s="2"/>
      <c r="H86" s="2"/>
      <c r="I86" s="2"/>
      <c r="J86" s="89">
        <f t="shared" ref="J86:J90" si="18">IF(C86=0,0,(C86/100)*(D86/100)*F86)</f>
        <v>0</v>
      </c>
      <c r="K86" s="89">
        <f t="shared" ref="K86:K90" si="19">J86/0.8</f>
        <v>0</v>
      </c>
      <c r="L86" s="71">
        <f>IF(E86=0,0,VLOOKUP(E86,'Prix Matiere'!$A$4:$J$65,10))</f>
        <v>0</v>
      </c>
      <c r="M86" s="71">
        <f t="shared" ref="M86:M87" si="20">L86*K86</f>
        <v>0</v>
      </c>
      <c r="N86" s="3">
        <f t="shared" ref="N86:N87" si="21">IF(J86=0,0,1+(6*J86))</f>
        <v>0</v>
      </c>
      <c r="O86" s="71">
        <f>N86*MinuteMO</f>
        <v>0</v>
      </c>
      <c r="P86" s="2"/>
      <c r="Q86" s="4">
        <f>IF(J86=0,0,J86*VLOOKUP(E86,'Prix Matiere'!$A$4:$L$60,12))</f>
        <v>0</v>
      </c>
      <c r="R86" s="90">
        <f>IF(J86=0,0,Q86*VLOOKUP(E86,'Prix Matiere'!$A$4:$L$60,11))</f>
        <v>0</v>
      </c>
      <c r="S86" s="2"/>
      <c r="T86" s="2"/>
      <c r="U86" s="2"/>
      <c r="V86" s="2"/>
      <c r="W86" s="2"/>
      <c r="X86" s="2"/>
      <c r="Y86" s="2"/>
      <c r="Z86" s="2"/>
    </row>
    <row r="87" spans="1:26" ht="18" x14ac:dyDescent="0.35">
      <c r="A87" s="6"/>
      <c r="B87" s="91" t="s">
        <v>54</v>
      </c>
      <c r="C87" s="45">
        <f>IF(F87=0,0,D83)</f>
        <v>0</v>
      </c>
      <c r="D87" s="45">
        <f>IF(F86=0,0,D86)</f>
        <v>0</v>
      </c>
      <c r="E87" s="34">
        <f>VLOOKUP(C17,B142:Q148,12)</f>
        <v>0</v>
      </c>
      <c r="F87" s="45">
        <f>VLOOKUP(C17,B142:Q148,13)*2</f>
        <v>0</v>
      </c>
      <c r="G87" s="2"/>
      <c r="H87" s="2"/>
      <c r="I87" s="2"/>
      <c r="J87" s="89">
        <f t="shared" si="18"/>
        <v>0</v>
      </c>
      <c r="K87" s="89">
        <f t="shared" si="19"/>
        <v>0</v>
      </c>
      <c r="L87" s="71">
        <f>IF(E87=0,0,VLOOKUP(E87,'Prix Matiere'!$A$4:$J$65,10))</f>
        <v>0</v>
      </c>
      <c r="M87" s="71">
        <f t="shared" si="20"/>
        <v>0</v>
      </c>
      <c r="N87" s="3">
        <f t="shared" si="21"/>
        <v>0</v>
      </c>
      <c r="O87" s="71">
        <f>N87*MinuteMO</f>
        <v>0</v>
      </c>
      <c r="P87" s="2"/>
      <c r="Q87" s="4">
        <f>IF(J87=0,0,J87*VLOOKUP(E87,'Prix Matiere'!$A$4:$L$60,12))</f>
        <v>0</v>
      </c>
      <c r="R87" s="90">
        <f>IF(J87=0,0,Q87*VLOOKUP(E87,'Prix Matiere'!$A$4:$L$60,11))</f>
        <v>0</v>
      </c>
      <c r="S87" s="2"/>
      <c r="T87" s="2"/>
      <c r="U87" s="2"/>
      <c r="V87" s="2"/>
      <c r="W87" s="2"/>
      <c r="X87" s="2"/>
      <c r="Y87" s="2"/>
      <c r="Z87" s="2"/>
    </row>
    <row r="88" spans="1:26" ht="18" x14ac:dyDescent="0.35">
      <c r="A88" s="6"/>
      <c r="B88" s="2"/>
      <c r="C88" s="2"/>
      <c r="D88" s="2"/>
      <c r="E88" s="2"/>
      <c r="F88" s="2"/>
      <c r="G88" s="2"/>
      <c r="H88" s="2"/>
      <c r="I88" s="2"/>
      <c r="J88" s="89">
        <f t="shared" si="18"/>
        <v>0</v>
      </c>
      <c r="K88" s="89">
        <f t="shared" si="19"/>
        <v>0</v>
      </c>
      <c r="L88" s="71"/>
      <c r="M88" s="71"/>
      <c r="N88" s="3"/>
      <c r="O88" s="71"/>
      <c r="P88" s="2"/>
      <c r="Q88" s="4"/>
      <c r="R88" s="90">
        <f>IF(J88=0,0,Q88*VLOOKUP(E88,'Prix Matiere'!$A$4:$L$60,11))</f>
        <v>0</v>
      </c>
      <c r="S88" s="2"/>
      <c r="T88" s="2"/>
      <c r="U88" s="2"/>
      <c r="V88" s="2"/>
      <c r="W88" s="2"/>
      <c r="X88" s="2"/>
      <c r="Y88" s="2"/>
      <c r="Z88" s="2"/>
    </row>
    <row r="89" spans="1:26" ht="18" x14ac:dyDescent="0.35">
      <c r="A89" s="6"/>
      <c r="B89" s="2" t="s">
        <v>68</v>
      </c>
      <c r="C89" s="2">
        <f>C83-VLOOKUP($C$17,B142:Q148,11)</f>
        <v>110.2</v>
      </c>
      <c r="D89" s="2">
        <f>D83-VLOOKUP($C$17,B142:Q148,11)</f>
        <v>16</v>
      </c>
      <c r="E89" s="2">
        <f>E83-VLOOKUP($C$17,B142:Q148,11)</f>
        <v>110.2</v>
      </c>
      <c r="F89" s="2"/>
      <c r="G89" s="2"/>
      <c r="H89" s="2"/>
      <c r="I89" s="2"/>
      <c r="J89" s="89">
        <f t="shared" si="18"/>
        <v>0</v>
      </c>
      <c r="K89" s="89">
        <f t="shared" si="19"/>
        <v>0</v>
      </c>
      <c r="L89" s="71"/>
      <c r="M89" s="71"/>
      <c r="N89" s="3"/>
      <c r="O89" s="71"/>
      <c r="P89" s="2"/>
      <c r="Q89" s="4"/>
      <c r="R89" s="90"/>
      <c r="S89" s="2"/>
      <c r="T89" s="2"/>
      <c r="U89" s="2"/>
      <c r="V89" s="2"/>
      <c r="W89" s="2"/>
      <c r="X89" s="2"/>
      <c r="Y89" s="2"/>
      <c r="Z89" s="2"/>
    </row>
    <row r="90" spans="1:26" ht="18" x14ac:dyDescent="0.35">
      <c r="A90" s="6"/>
      <c r="B90" s="2"/>
      <c r="C90" s="2"/>
      <c r="D90" s="2"/>
      <c r="E90" s="2"/>
      <c r="F90" s="2"/>
      <c r="G90" s="2"/>
      <c r="H90" s="2"/>
      <c r="I90" s="2"/>
      <c r="J90" s="89">
        <f t="shared" si="18"/>
        <v>0</v>
      </c>
      <c r="K90" s="89">
        <f t="shared" si="19"/>
        <v>0</v>
      </c>
      <c r="L90" s="71"/>
      <c r="M90" s="71"/>
      <c r="N90" s="3"/>
      <c r="O90" s="71"/>
      <c r="P90" s="2"/>
      <c r="Q90" s="4"/>
      <c r="R90" s="90"/>
      <c r="S90" s="2"/>
      <c r="T90" s="2"/>
      <c r="U90" s="2"/>
      <c r="V90" s="2"/>
      <c r="W90" s="2"/>
      <c r="X90" s="2"/>
      <c r="Y90" s="2"/>
      <c r="Z90" s="2"/>
    </row>
    <row r="91" spans="1:26" ht="18" x14ac:dyDescent="0.35">
      <c r="A91" s="6"/>
      <c r="B91" s="38" t="s">
        <v>69</v>
      </c>
      <c r="C91" s="2"/>
      <c r="D91" s="2"/>
      <c r="E91" s="2"/>
      <c r="F91" s="2"/>
      <c r="G91" s="2"/>
      <c r="H91" s="2"/>
      <c r="I91" s="2"/>
      <c r="J91" s="89"/>
      <c r="K91" s="89"/>
      <c r="L91" s="71"/>
      <c r="M91" s="71"/>
      <c r="N91" s="3"/>
      <c r="O91" s="71"/>
      <c r="P91" s="2"/>
      <c r="Q91" s="4"/>
      <c r="R91" s="90"/>
      <c r="S91" s="2"/>
      <c r="T91" s="2"/>
      <c r="U91" s="2"/>
      <c r="V91" s="2"/>
      <c r="W91" s="2"/>
      <c r="X91" s="2"/>
      <c r="Y91" s="2"/>
      <c r="Z91" s="2"/>
    </row>
    <row r="92" spans="1:26" ht="18" x14ac:dyDescent="0.35">
      <c r="A92" s="2"/>
      <c r="B92" s="93" t="s">
        <v>63</v>
      </c>
      <c r="C92" s="45">
        <f>IF(F92=0,0,C96+VLOOKUP($C$17,B142:Q148,14))</f>
        <v>0</v>
      </c>
      <c r="D92" s="45">
        <f>IF(F92=0,0,E96+VLOOKUP($C$17,B142:Q148,14))</f>
        <v>0</v>
      </c>
      <c r="E92" s="34">
        <f>VLOOKUP($C$17,B142:Q148,15)</f>
        <v>0</v>
      </c>
      <c r="F92" s="95">
        <f>VLOOKUP($C$17,B142:Q148,16)</f>
        <v>0</v>
      </c>
      <c r="G92" s="2"/>
      <c r="H92" s="2"/>
      <c r="I92" s="2"/>
      <c r="J92" s="89">
        <f t="shared" ref="J92:J113" si="22">IF(C92=0,0,(C92/100)*(D92/100)*F92)</f>
        <v>0</v>
      </c>
      <c r="K92" s="89">
        <f t="shared" ref="K92:K113" si="23">J92/0.8</f>
        <v>0</v>
      </c>
      <c r="L92" s="71">
        <f>IF(E92=0,0,VLOOKUP(E92,'Prix Matiere'!A4:J60,10))</f>
        <v>0</v>
      </c>
      <c r="M92" s="71">
        <f t="shared" ref="M92:M94" si="24">L92*K92</f>
        <v>0</v>
      </c>
      <c r="N92" s="3">
        <f t="shared" ref="N92:N94" si="25">IF(J92=0,0,(3.94*J92)+5)</f>
        <v>0</v>
      </c>
      <c r="O92" s="71">
        <f>N92*MinuteMO</f>
        <v>0</v>
      </c>
      <c r="P92" s="2"/>
      <c r="Q92" s="4">
        <f>IF(J92=0,0,J92*VLOOKUP(E92,'Prix Matiere'!$A$4:$L$60,12))</f>
        <v>0</v>
      </c>
      <c r="R92" s="90">
        <f>IF(J92=0,0,Q92*VLOOKUP(E92,'Prix Matiere'!$A$4:$L$60,11))</f>
        <v>0</v>
      </c>
      <c r="S92" s="2"/>
      <c r="T92" s="2"/>
      <c r="U92" s="2"/>
      <c r="V92" s="2"/>
      <c r="W92" s="2"/>
      <c r="X92" s="2"/>
      <c r="Y92" s="2"/>
      <c r="Z92" s="2"/>
    </row>
    <row r="93" spans="1:26" ht="18" x14ac:dyDescent="0.35">
      <c r="A93" s="6"/>
      <c r="B93" s="91" t="s">
        <v>54</v>
      </c>
      <c r="C93" s="45">
        <f>IF(F93=0,0,C96+VLOOKUP($C$17,B142:Q148,14))</f>
        <v>0</v>
      </c>
      <c r="D93" s="45">
        <f>IF(F93=0,0,D96)</f>
        <v>0</v>
      </c>
      <c r="E93" s="34">
        <f>VLOOKUP($C$17,B142:Q148,15)</f>
        <v>0</v>
      </c>
      <c r="F93" s="95">
        <f>VLOOKUP($C$17,B142:Q148,16)</f>
        <v>0</v>
      </c>
      <c r="G93" s="2"/>
      <c r="H93" s="2"/>
      <c r="I93" s="2"/>
      <c r="J93" s="89">
        <f t="shared" si="22"/>
        <v>0</v>
      </c>
      <c r="K93" s="89">
        <f t="shared" si="23"/>
        <v>0</v>
      </c>
      <c r="L93" s="71">
        <f>IF(E93=0,0,VLOOKUP(E93,'Prix Matiere'!A5:J61,10))</f>
        <v>0</v>
      </c>
      <c r="M93" s="71">
        <f t="shared" si="24"/>
        <v>0</v>
      </c>
      <c r="N93" s="3">
        <f t="shared" si="25"/>
        <v>0</v>
      </c>
      <c r="O93" s="71">
        <f>N93*MinuteMO</f>
        <v>0</v>
      </c>
      <c r="P93" s="2"/>
      <c r="Q93" s="4">
        <f>IF(J93=0,0,J93*VLOOKUP(E93,'Prix Matiere'!$A$4:$L$60,12))</f>
        <v>0</v>
      </c>
      <c r="R93" s="90">
        <f>IF(J93=0,0,Q93*VLOOKUP(E93,'Prix Matiere'!$A$4:$L$60,11))</f>
        <v>0</v>
      </c>
      <c r="S93" s="2"/>
      <c r="T93" s="2"/>
      <c r="U93" s="2"/>
      <c r="V93" s="2"/>
      <c r="W93" s="2"/>
      <c r="X93" s="2"/>
      <c r="Y93" s="2"/>
      <c r="Z93" s="2"/>
    </row>
    <row r="94" spans="1:26" ht="18" x14ac:dyDescent="0.35">
      <c r="A94" s="6"/>
      <c r="B94" s="91" t="s">
        <v>55</v>
      </c>
      <c r="C94" s="45">
        <f>IF(F94=0,0,E96)</f>
        <v>0</v>
      </c>
      <c r="D94" s="45">
        <f>IF(F94=0,0,D96)</f>
        <v>0</v>
      </c>
      <c r="E94" s="34">
        <f>VLOOKUP($C$17,B142:Q148,15)</f>
        <v>0</v>
      </c>
      <c r="F94" s="95">
        <f>VLOOKUP($C$17,B142:Q148,16)</f>
        <v>0</v>
      </c>
      <c r="G94" s="2"/>
      <c r="H94" s="2"/>
      <c r="I94" s="2"/>
      <c r="J94" s="89">
        <f t="shared" si="22"/>
        <v>0</v>
      </c>
      <c r="K94" s="89">
        <f t="shared" si="23"/>
        <v>0</v>
      </c>
      <c r="L94" s="71">
        <f>IF(E94=0,0,VLOOKUP(E94,'Prix Matiere'!A6:J62,10))</f>
        <v>0</v>
      </c>
      <c r="M94" s="71">
        <f t="shared" si="24"/>
        <v>0</v>
      </c>
      <c r="N94" s="3">
        <f t="shared" si="25"/>
        <v>0</v>
      </c>
      <c r="O94" s="71">
        <f>N94*MinuteMO</f>
        <v>0</v>
      </c>
      <c r="P94" s="2"/>
      <c r="Q94" s="4">
        <f>IF(J94=0,0,J94*VLOOKUP(E94,'Prix Matiere'!$A$4:$L$60,12))</f>
        <v>0</v>
      </c>
      <c r="R94" s="90">
        <f>IF(J94=0,0,Q94*VLOOKUP(E94,'Prix Matiere'!$A$4:$L$60,11))</f>
        <v>0</v>
      </c>
      <c r="S94" s="2"/>
      <c r="T94" s="2"/>
      <c r="U94" s="2"/>
      <c r="V94" s="2"/>
      <c r="W94" s="2"/>
      <c r="X94" s="2"/>
      <c r="Y94" s="2"/>
      <c r="Z94" s="2"/>
    </row>
    <row r="95" spans="1:26" ht="18" x14ac:dyDescent="0.35">
      <c r="A95" s="6"/>
      <c r="B95" s="2"/>
      <c r="C95" s="2"/>
      <c r="D95" s="2"/>
      <c r="E95" s="2"/>
      <c r="F95" s="2"/>
      <c r="G95" s="2"/>
      <c r="H95" s="2"/>
      <c r="I95" s="2"/>
      <c r="J95" s="89">
        <f t="shared" si="22"/>
        <v>0</v>
      </c>
      <c r="K95" s="89">
        <f t="shared" si="23"/>
        <v>0</v>
      </c>
      <c r="L95" s="71"/>
      <c r="M95" s="71"/>
      <c r="N95" s="3"/>
      <c r="O95" s="71"/>
      <c r="P95" s="2"/>
      <c r="Q95" s="4">
        <f>IF(J95=0,0,J95*VLOOKUP(E95,'Prix Matiere'!$A$4:$L$60,12))</f>
        <v>0</v>
      </c>
      <c r="R95" s="90"/>
      <c r="S95" s="2"/>
      <c r="T95" s="2"/>
      <c r="U95" s="2"/>
      <c r="V95" s="2"/>
      <c r="W95" s="2"/>
      <c r="X95" s="2"/>
      <c r="Y95" s="2"/>
      <c r="Z95" s="2"/>
    </row>
    <row r="96" spans="1:26" ht="18" x14ac:dyDescent="0.35">
      <c r="A96" s="6"/>
      <c r="B96" s="2" t="s">
        <v>66</v>
      </c>
      <c r="C96" s="2">
        <f>C89-VLOOKUP($C$17,B142:Q148,14)</f>
        <v>110.2</v>
      </c>
      <c r="D96" s="2">
        <f>D89-VLOOKUP($C$17,B142:Q148,14)</f>
        <v>16</v>
      </c>
      <c r="E96" s="2">
        <f>E89-VLOOKUP($C$17,B142:Q148,14)</f>
        <v>110.2</v>
      </c>
      <c r="F96" s="2"/>
      <c r="G96" s="2"/>
      <c r="H96" s="2"/>
      <c r="I96" s="2"/>
      <c r="J96" s="89">
        <f t="shared" si="22"/>
        <v>0</v>
      </c>
      <c r="K96" s="89">
        <f t="shared" si="23"/>
        <v>0</v>
      </c>
      <c r="L96" s="71"/>
      <c r="M96" s="71"/>
      <c r="N96" s="3"/>
      <c r="O96" s="71"/>
      <c r="P96" s="2"/>
      <c r="Q96" s="4"/>
      <c r="R96" s="90"/>
      <c r="S96" s="2"/>
      <c r="T96" s="2"/>
      <c r="U96" s="2"/>
      <c r="V96" s="2"/>
      <c r="W96" s="2"/>
      <c r="X96" s="2"/>
      <c r="Y96" s="2"/>
      <c r="Z96" s="2"/>
    </row>
    <row r="97" spans="1:26" ht="18" x14ac:dyDescent="0.35">
      <c r="A97" s="6"/>
      <c r="B97" s="2"/>
      <c r="C97" s="2"/>
      <c r="D97" s="2"/>
      <c r="E97" s="2"/>
      <c r="F97" s="2"/>
      <c r="G97" s="2"/>
      <c r="H97" s="2"/>
      <c r="I97" s="2"/>
      <c r="J97" s="89">
        <f t="shared" si="22"/>
        <v>0</v>
      </c>
      <c r="K97" s="89">
        <f t="shared" si="23"/>
        <v>0</v>
      </c>
      <c r="L97" s="71"/>
      <c r="M97" s="71"/>
      <c r="N97" s="3"/>
      <c r="O97" s="71"/>
      <c r="P97" s="2"/>
      <c r="Q97" s="4"/>
      <c r="R97" s="90"/>
      <c r="S97" s="2"/>
      <c r="T97" s="2"/>
      <c r="U97" s="2"/>
      <c r="V97" s="2"/>
      <c r="W97" s="2"/>
      <c r="X97" s="2"/>
      <c r="Y97" s="2"/>
      <c r="Z97" s="2"/>
    </row>
    <row r="98" spans="1:26" ht="18" x14ac:dyDescent="0.35">
      <c r="A98" s="2"/>
      <c r="B98" s="2"/>
      <c r="C98" s="2"/>
      <c r="D98" s="2"/>
      <c r="E98" s="2"/>
      <c r="F98" s="2"/>
      <c r="G98" s="2"/>
      <c r="H98" s="2"/>
      <c r="I98" s="2"/>
      <c r="J98" s="89">
        <f t="shared" si="22"/>
        <v>0</v>
      </c>
      <c r="K98" s="89">
        <f t="shared" si="23"/>
        <v>0</v>
      </c>
      <c r="L98" s="71"/>
      <c r="M98" s="71"/>
      <c r="N98" s="3"/>
      <c r="O98" s="71"/>
      <c r="P98" s="2"/>
      <c r="Q98" s="4"/>
      <c r="R98" s="90"/>
      <c r="S98" s="2"/>
      <c r="T98" s="2"/>
      <c r="U98" s="2"/>
      <c r="V98" s="2"/>
      <c r="W98" s="2"/>
      <c r="X98" s="2"/>
      <c r="Y98" s="2"/>
      <c r="Z98" s="2"/>
    </row>
    <row r="99" spans="1:26" ht="18" x14ac:dyDescent="0.35">
      <c r="A99" s="6"/>
      <c r="B99" s="38" t="s">
        <v>70</v>
      </c>
      <c r="C99" s="2"/>
      <c r="D99" s="2"/>
      <c r="E99" s="2"/>
      <c r="F99" s="2"/>
      <c r="G99" s="2"/>
      <c r="H99" s="2"/>
      <c r="I99" s="2"/>
      <c r="J99" s="89">
        <f t="shared" si="22"/>
        <v>0</v>
      </c>
      <c r="K99" s="89">
        <f t="shared" si="23"/>
        <v>0</v>
      </c>
      <c r="L99" s="71"/>
      <c r="M99" s="71"/>
      <c r="N99" s="3"/>
      <c r="O99" s="71"/>
      <c r="P99" s="2"/>
      <c r="Q99" s="4"/>
      <c r="R99" s="90"/>
      <c r="S99" s="2"/>
      <c r="T99" s="2"/>
      <c r="U99" s="2"/>
      <c r="V99" s="2"/>
      <c r="W99" s="2"/>
      <c r="X99" s="2"/>
      <c r="Y99" s="2"/>
      <c r="Z99" s="2"/>
    </row>
    <row r="100" spans="1:26" ht="18" x14ac:dyDescent="0.35">
      <c r="A100" s="2"/>
      <c r="B100" s="93" t="str">
        <f>IF(B34="Aucun",0,"Dessus")</f>
        <v>Dessus</v>
      </c>
      <c r="C100" s="85">
        <f>IF(B34="Aucun",0,C96)</f>
        <v>110.2</v>
      </c>
      <c r="D100" s="85">
        <f>IF(B34="Aucun",0,D29+VLOOKUP(B34,B169:M177,5))</f>
        <v>16</v>
      </c>
      <c r="E100" s="85" t="str">
        <f>VLOOKUP(B34,B169:M177,9)</f>
        <v>PU 50 mm</v>
      </c>
      <c r="F100" s="45">
        <f>IF(B34="Aucun",0,IF(B34="Entourage Stratocell 20 mm",2,IF(B34="Entourage Stratocell 30 mm",2,1)))</f>
        <v>1</v>
      </c>
      <c r="G100" s="2"/>
      <c r="H100" s="2"/>
      <c r="I100" s="2"/>
      <c r="J100" s="89">
        <f t="shared" si="22"/>
        <v>0.17632</v>
      </c>
      <c r="K100" s="89">
        <f t="shared" si="23"/>
        <v>0.22039999999999998</v>
      </c>
      <c r="L100" s="71">
        <f>IF(E100=0,0,VLOOKUP(E100,'Prix Matiere'!$A$4:$J$65,10))</f>
        <v>9.5670103092783503</v>
      </c>
      <c r="M100" s="71">
        <f t="shared" ref="M100:M113" si="26">L100*K100</f>
        <v>2.1085690721649484</v>
      </c>
      <c r="N100" s="3">
        <f t="shared" ref="N100:N112" si="27">IF(J100=0,0,4.7283*J100+2)</f>
        <v>2.833693856</v>
      </c>
      <c r="O100" s="71">
        <f t="shared" ref="O100:O119" si="28">N100*MinuteMO</f>
        <v>2.4086397775999999</v>
      </c>
      <c r="P100" s="2"/>
      <c r="Q100" s="4">
        <f>IF(J100=0,0,J100*VLOOKUP(E100,'Prix Matiere'!$A$4:$L$60,12))</f>
        <v>0.22040000000000001</v>
      </c>
      <c r="R100" s="90">
        <f>IF(J100=0,0,Q100*VLOOKUP(E100,'Prix Matiere'!$A$4:$L$60,11))</f>
        <v>0.59508000000000005</v>
      </c>
      <c r="S100" s="2"/>
      <c r="T100" s="2"/>
      <c r="U100" s="2"/>
      <c r="V100" s="2"/>
      <c r="W100" s="2"/>
      <c r="X100" s="2"/>
      <c r="Y100" s="2"/>
      <c r="Z100" s="2"/>
    </row>
    <row r="101" spans="1:26" ht="18" x14ac:dyDescent="0.35">
      <c r="A101" s="2"/>
      <c r="B101" s="91" t="str">
        <f>IF(B34="Aucun",0,"Extrémité")</f>
        <v>Extrémité</v>
      </c>
      <c r="C101" s="85">
        <f>IF(B34="Aucun",0,IF(B34="Entourage Stratocell 20 mm",0,IF(B34="Entourage Stratocell 30 mm",0,IF(C29&lt;60,10,IF(C29&lt;80,15,20)))))</f>
        <v>20</v>
      </c>
      <c r="D101" s="85">
        <f>IF(B34="Entourage Stratocell 20 mm",0,IF(B34="Entourage Stratocell 30 mm",0,D100))</f>
        <v>16</v>
      </c>
      <c r="E101" s="85" t="str">
        <f>IF(B34="Entourage Stratocell 20 mm",0,IF(B34="Entourage Stratocell 30 mm",0,VLOOKUP(B34,B169:M177,9)))</f>
        <v>PU 50 mm</v>
      </c>
      <c r="F101" s="45">
        <f>IF(B34="Aucun",0,IF(B34="Entourage Stratocell 20 mm",0,IF(B34="Entourage Stratocell 30 mm",0,2)))</f>
        <v>2</v>
      </c>
      <c r="G101" s="2"/>
      <c r="H101" s="2"/>
      <c r="I101" s="2"/>
      <c r="J101" s="89">
        <f t="shared" si="22"/>
        <v>6.4000000000000001E-2</v>
      </c>
      <c r="K101" s="89">
        <f t="shared" si="23"/>
        <v>0.08</v>
      </c>
      <c r="L101" s="71">
        <f>IF(E101=0,0,VLOOKUP(E101,'Prix Matiere'!$A$4:$J$65,10))</f>
        <v>9.5670103092783503</v>
      </c>
      <c r="M101" s="71">
        <f t="shared" si="26"/>
        <v>0.76536082474226808</v>
      </c>
      <c r="N101" s="3">
        <f t="shared" si="27"/>
        <v>2.3026111999999999</v>
      </c>
      <c r="O101" s="71">
        <f t="shared" si="28"/>
        <v>1.9572195199999998</v>
      </c>
      <c r="P101" s="2"/>
      <c r="Q101" s="4">
        <f>IF(J101=0,0,J101*VLOOKUP(E101,'Prix Matiere'!$A$4:$L$60,12))</f>
        <v>0.08</v>
      </c>
      <c r="R101" s="90">
        <f>IF(J101=0,0,Q101*VLOOKUP(E101,'Prix Matiere'!$A$4:$L$60,11))</f>
        <v>0.21600000000000003</v>
      </c>
      <c r="S101" s="2"/>
      <c r="T101" s="2"/>
      <c r="U101" s="2"/>
      <c r="V101" s="2"/>
      <c r="W101" s="2"/>
      <c r="X101" s="2"/>
      <c r="Y101" s="2"/>
      <c r="Z101" s="2"/>
    </row>
    <row r="102" spans="1:26" ht="18" x14ac:dyDescent="0.35">
      <c r="A102" s="2"/>
      <c r="B102" s="91" t="str">
        <f>IF(B34="Aucun",0,B38)</f>
        <v>Ethafoam 50 mm</v>
      </c>
      <c r="C102" s="85">
        <f>C38</f>
        <v>12</v>
      </c>
      <c r="D102" s="85">
        <f>IF(B34="Entourage Stratocell 20 mm",0,IF(B34="Entourage Stratocell 30 mm",0,D101))</f>
        <v>16</v>
      </c>
      <c r="E102" s="85" t="str">
        <f>IF(B34="Aucun",0,IF(B34="Entourage Stratocell 20 mm",0,IF(B34="Entourage Stratocell 30 mm",0,IF(B102="Ethafoam 50 mm","Ethafoam 50 mm","Agglocelle 50 mm"))))</f>
        <v>Ethafoam 50 mm</v>
      </c>
      <c r="F102" s="45">
        <f>F38</f>
        <v>2</v>
      </c>
      <c r="G102" s="2"/>
      <c r="H102" s="2"/>
      <c r="I102" s="2"/>
      <c r="J102" s="89">
        <f t="shared" si="22"/>
        <v>3.8399999999999997E-2</v>
      </c>
      <c r="K102" s="89">
        <f t="shared" si="23"/>
        <v>4.7999999999999994E-2</v>
      </c>
      <c r="L102" s="71">
        <f>IF(E102=0,0,VLOOKUP(E102,'Prix Matiere'!$A$4:$J$65,10))</f>
        <v>22.000937207122774</v>
      </c>
      <c r="M102" s="71">
        <f t="shared" si="26"/>
        <v>1.056044985941893</v>
      </c>
      <c r="N102" s="3">
        <f t="shared" si="27"/>
        <v>2.1815667200000002</v>
      </c>
      <c r="O102" s="71">
        <f t="shared" si="28"/>
        <v>1.854331712</v>
      </c>
      <c r="P102" s="2"/>
      <c r="Q102" s="4">
        <f>IF(J102=0,0,J102*VLOOKUP(E102,'Prix Matiere'!$A$4:$L$60,12))</f>
        <v>6.7199999999999996E-2</v>
      </c>
      <c r="R102" s="90">
        <f>IF(J102=0,0,Q102*VLOOKUP(E102,'Prix Matiere'!$A$4:$L$60,11))</f>
        <v>0.19487999999999997</v>
      </c>
      <c r="S102" s="2"/>
      <c r="T102" s="2"/>
      <c r="U102" s="2"/>
      <c r="V102" s="2"/>
      <c r="W102" s="2"/>
      <c r="X102" s="2"/>
      <c r="Y102" s="2"/>
      <c r="Z102" s="2"/>
    </row>
    <row r="103" spans="1:26" ht="18" x14ac:dyDescent="0.35">
      <c r="A103" s="2"/>
      <c r="B103" s="91" t="str">
        <f>IF(B34="Aucun",0,"Milieu")</f>
        <v>Milieu</v>
      </c>
      <c r="C103" s="85">
        <f>IF(B34="Entourage Stratocell 20 mm",0,IF(B34="Entourage Stratocell 30 mm",0,(C100-((C101*F101)+(C102*F102)))/(F102-1)))</f>
        <v>46.2</v>
      </c>
      <c r="D103" s="85">
        <f>IF(B34="Entourage Stratocell 20 mm",0,IF(B34="Entourage 30 mm",0,D102))</f>
        <v>16</v>
      </c>
      <c r="E103" s="85" t="str">
        <f>IF(B34="Entourage Stratocell 20 mm",0,IF(B34="Entourage Stratocell 30 mm",0,VLOOKUP(B34,B169:M177,9)))</f>
        <v>PU 50 mm</v>
      </c>
      <c r="F103" s="45">
        <f>IF(B34="Aucun",0,IF(B34="Entourage Stratocell 20 mm",0,IF(B34="Entourage Stratocell 30 mm",0,F102-1)))</f>
        <v>1</v>
      </c>
      <c r="G103" s="2"/>
      <c r="H103" s="2"/>
      <c r="I103" s="2"/>
      <c r="J103" s="89">
        <f t="shared" si="22"/>
        <v>7.392E-2</v>
      </c>
      <c r="K103" s="89">
        <f t="shared" si="23"/>
        <v>9.2399999999999996E-2</v>
      </c>
      <c r="L103" s="71">
        <f>IF(E103=0,0,VLOOKUP(E103,'Prix Matiere'!$A$4:$J$65,10))</f>
        <v>9.5670103092783503</v>
      </c>
      <c r="M103" s="71">
        <f t="shared" si="26"/>
        <v>0.88399175257731955</v>
      </c>
      <c r="N103" s="3">
        <f t="shared" si="27"/>
        <v>2.349515936</v>
      </c>
      <c r="O103" s="71">
        <f t="shared" si="28"/>
        <v>1.9970885455999998</v>
      </c>
      <c r="P103" s="2"/>
      <c r="Q103" s="4">
        <f>IF(J103=0,0,J103*VLOOKUP(E103,'Prix Matiere'!$A$4:$L$60,12))</f>
        <v>9.2399999999999996E-2</v>
      </c>
      <c r="R103" s="90">
        <f>IF(J103=0,0,Q103*VLOOKUP(E103,'Prix Matiere'!$A$4:$L$60,11))</f>
        <v>0.24948000000000001</v>
      </c>
      <c r="S103" s="2"/>
      <c r="T103" s="2"/>
      <c r="U103" s="2"/>
      <c r="V103" s="2"/>
      <c r="W103" s="2"/>
      <c r="X103" s="2"/>
      <c r="Y103" s="2"/>
      <c r="Z103" s="2"/>
    </row>
    <row r="104" spans="1:26" ht="18" x14ac:dyDescent="0.35">
      <c r="A104" s="2"/>
      <c r="B104" s="91" t="str">
        <f>IF(B34="Aucun",0,"Bouts avec passage de main")</f>
        <v>Bouts avec passage de main</v>
      </c>
      <c r="C104" s="85">
        <f>IF(B34="Aucun",0,IF(B34="Entourage Stratocell 20 mm",E96-4.4,IF(B34="Entourage Stratocell 30 mm",E96-6.4,(E29-IF(E29&gt;120,30,15))/(F104/2))))</f>
        <v>42.5</v>
      </c>
      <c r="D104" s="85">
        <f>IF(B34="Entourage Stratocell 20 mm",D100,IF(B34="Entourage Stratocell 30 mm",D100,D103))</f>
        <v>16</v>
      </c>
      <c r="E104" s="85" t="str">
        <f>VLOOKUP(B34,B169:M177,9)</f>
        <v>PU 50 mm</v>
      </c>
      <c r="F104" s="45">
        <f>IF(B34="Aucun",0,IF(B34="Entourage Stratocell 20 mm",2,IF(B34="Entourage Stratocell 30 mm",2,IF(E29&gt;120,6,4))))</f>
        <v>4</v>
      </c>
      <c r="G104" s="2"/>
      <c r="H104" s="2"/>
      <c r="I104" s="2"/>
      <c r="J104" s="89">
        <f t="shared" si="22"/>
        <v>0.27200000000000002</v>
      </c>
      <c r="K104" s="89">
        <f t="shared" si="23"/>
        <v>0.34</v>
      </c>
      <c r="L104" s="71">
        <f>IF(E104=0,0,VLOOKUP(E104,'Prix Matiere'!$A$4:$J$65,10))</f>
        <v>9.5670103092783503</v>
      </c>
      <c r="M104" s="71">
        <f t="shared" si="26"/>
        <v>3.2527835051546394</v>
      </c>
      <c r="N104" s="3">
        <f t="shared" si="27"/>
        <v>3.2860976000000002</v>
      </c>
      <c r="O104" s="71">
        <f t="shared" si="28"/>
        <v>2.7931829600000002</v>
      </c>
      <c r="P104" s="2"/>
      <c r="Q104" s="4">
        <f>IF(J104=0,0,J104*VLOOKUP(E104,'Prix Matiere'!$A$4:$L$60,12))</f>
        <v>0.34</v>
      </c>
      <c r="R104" s="90">
        <f>IF(J104=0,0,Q104*VLOOKUP(E104,'Prix Matiere'!$A$4:$L$60,11))</f>
        <v>0.91800000000000015</v>
      </c>
      <c r="S104" s="2"/>
      <c r="T104" s="2"/>
      <c r="U104" s="2"/>
      <c r="V104" s="2"/>
      <c r="W104" s="2"/>
      <c r="X104" s="2"/>
      <c r="Y104" s="2"/>
      <c r="Z104" s="2"/>
    </row>
    <row r="105" spans="1:26" ht="18" x14ac:dyDescent="0.35">
      <c r="A105" s="2"/>
      <c r="B105" s="91" t="str">
        <f>IF(B34="Aucun",0,"Fond")</f>
        <v>Fond</v>
      </c>
      <c r="C105" s="85">
        <f>IF(B34="Aucun",0,C29+VLOOKUP(B34,B169:M177,6))</f>
        <v>100.2</v>
      </c>
      <c r="D105" s="85">
        <f>IF(B34="Sous verre 2 faces",E29+VLOOKUP(B34,B169:M177,6),IF(B34="Bandes de mousse fond plein",E29+VLOOKUP(B34,B169:M177,6),IF(B34="Entourage Stratocell 20 mm",E96,IF(B34="Entourage Stratocell 30 mm",E96,C37))))</f>
        <v>5</v>
      </c>
      <c r="E105" s="85" t="str">
        <f>VLOOKUP(B34,B169:M177,8)</f>
        <v>PU 50 mm</v>
      </c>
      <c r="F105" s="45">
        <f>VLOOKUP(B34,B169:M177,7)</f>
        <v>2</v>
      </c>
      <c r="G105" s="2"/>
      <c r="H105" s="2"/>
      <c r="I105" s="2"/>
      <c r="J105" s="89">
        <f t="shared" si="22"/>
        <v>0.10020000000000001</v>
      </c>
      <c r="K105" s="89">
        <f t="shared" si="23"/>
        <v>0.12525</v>
      </c>
      <c r="L105" s="71">
        <f>IF(E105=0,0,VLOOKUP(E105,'Prix Matiere'!$A$4:$J$65,10))</f>
        <v>9.5670103092783503</v>
      </c>
      <c r="M105" s="71">
        <f t="shared" si="26"/>
        <v>1.1982680412371134</v>
      </c>
      <c r="N105" s="3">
        <f t="shared" si="27"/>
        <v>2.4737756600000003</v>
      </c>
      <c r="O105" s="71">
        <f t="shared" si="28"/>
        <v>2.1027093110000004</v>
      </c>
      <c r="P105" s="2"/>
      <c r="Q105" s="4">
        <f>IF(J105=0,0,J105*VLOOKUP(E105,'Prix Matiere'!$A$4:$L$60,12))</f>
        <v>0.12525000000000003</v>
      </c>
      <c r="R105" s="90">
        <f>IF(J105=0,0,Q105*VLOOKUP(E105,'Prix Matiere'!$A$4:$L$60,11))</f>
        <v>0.33817500000000011</v>
      </c>
      <c r="S105" s="2"/>
      <c r="T105" s="2"/>
      <c r="U105" s="2"/>
      <c r="V105" s="2"/>
      <c r="W105" s="2"/>
      <c r="X105" s="2"/>
      <c r="Y105" s="2"/>
      <c r="Z105" s="2"/>
    </row>
    <row r="106" spans="1:26" ht="18" x14ac:dyDescent="0.35">
      <c r="A106" s="2"/>
      <c r="B106" s="91" t="str">
        <f>IF(B34="Aucun",0,"Remplis de fond")</f>
        <v>Remplis de fond</v>
      </c>
      <c r="C106" s="85">
        <f>IF(B34="Aucun",0,IF(B34="Entourage Stratocell 20 mm",0,IF(B34="Entourage Stratocell 30 mm",0,IF(B34="Sous verre 2 faces",0,IF(B34="Bandes de mousse fond plein",0,E29-D105*2+VLOOKUP(B34,B169:M177,6))))))</f>
        <v>90.2</v>
      </c>
      <c r="D106" s="85">
        <f>IF(B34="Sous verre 2 faces",0,C37)</f>
        <v>5</v>
      </c>
      <c r="E106" s="85" t="str">
        <f>IF(C106=0,0,VLOOKUP(B34,B169:M177,8))</f>
        <v>PU 50 mm</v>
      </c>
      <c r="F106" s="45">
        <f>IF(B34="Aucun",0,IF(B34="Entourage Stratocell 20 mm",0,IF(B34="Entourage Stratocell 30 mm",0,IF(B34="Sous verre 2 faces",0,2))))</f>
        <v>2</v>
      </c>
      <c r="G106" s="2"/>
      <c r="H106" s="2"/>
      <c r="I106" s="2"/>
      <c r="J106" s="89">
        <f t="shared" si="22"/>
        <v>9.0200000000000002E-2</v>
      </c>
      <c r="K106" s="89">
        <f t="shared" si="23"/>
        <v>0.11275</v>
      </c>
      <c r="L106" s="71">
        <f>IF(E106=0,0,VLOOKUP(E106,'Prix Matiere'!$A$4:$J$65,10))</f>
        <v>9.5670103092783503</v>
      </c>
      <c r="M106" s="71">
        <f t="shared" si="26"/>
        <v>1.078680412371134</v>
      </c>
      <c r="N106" s="3">
        <f t="shared" si="27"/>
        <v>2.4264926600000001</v>
      </c>
      <c r="O106" s="71">
        <f t="shared" si="28"/>
        <v>2.0625187610000002</v>
      </c>
      <c r="P106" s="2"/>
      <c r="Q106" s="4">
        <f>IF(J106=0,0,J106*VLOOKUP(E106,'Prix Matiere'!$A$4:$L$60,12))</f>
        <v>0.11275</v>
      </c>
      <c r="R106" s="90">
        <f>IF(J106=0,0,Q106*VLOOKUP(E106,'Prix Matiere'!$A$4:$L$60,11))</f>
        <v>0.304425</v>
      </c>
      <c r="S106" s="2"/>
      <c r="T106" s="2"/>
      <c r="U106" s="2"/>
      <c r="V106" s="2"/>
      <c r="W106" s="2"/>
      <c r="X106" s="2"/>
      <c r="Y106" s="2"/>
      <c r="Z106" s="2"/>
    </row>
    <row r="107" spans="1:26" ht="18" x14ac:dyDescent="0.35">
      <c r="A107" s="2"/>
      <c r="B107" s="91" t="str">
        <f>IF(B34="Aucun",0,"Dessus")</f>
        <v>Dessus</v>
      </c>
      <c r="C107" s="85">
        <f>IF(B34="Aucun",0,C29+VLOOKUP(B34,B169:M177,10))</f>
        <v>99.5</v>
      </c>
      <c r="D107" s="85">
        <f>IF(B34="Sous verre 2 faces",E29+VLOOKUP(B34,B169:M177,10),IF(B34="Sous verre / bandes de mousse",E29+VLOOKUP(B34,B169:M177,10),C36))</f>
        <v>5</v>
      </c>
      <c r="E107" s="85" t="str">
        <f>VLOOKUP(B34,B169:M177,9)</f>
        <v>PU 50 mm</v>
      </c>
      <c r="F107" s="45">
        <f>VLOOKUP(B34,B169:M177,11)</f>
        <v>2</v>
      </c>
      <c r="G107" s="2"/>
      <c r="H107" s="2"/>
      <c r="I107" s="2"/>
      <c r="J107" s="89">
        <f t="shared" si="22"/>
        <v>9.9500000000000005E-2</v>
      </c>
      <c r="K107" s="89">
        <f t="shared" si="23"/>
        <v>0.124375</v>
      </c>
      <c r="L107" s="71">
        <f>IF(E107=0,0,VLOOKUP(E107,'Prix Matiere'!$A$4:$J$65,10))</f>
        <v>9.5670103092783503</v>
      </c>
      <c r="M107" s="71">
        <f t="shared" si="26"/>
        <v>1.1898969072164949</v>
      </c>
      <c r="N107" s="3">
        <f t="shared" si="27"/>
        <v>2.4704658500000001</v>
      </c>
      <c r="O107" s="71">
        <f t="shared" si="28"/>
        <v>2.0998959725000002</v>
      </c>
      <c r="P107" s="2"/>
      <c r="Q107" s="4">
        <f>IF(J107=0,0,J107*VLOOKUP(E107,'Prix Matiere'!$A$4:$L$60,12))</f>
        <v>0.12437500000000001</v>
      </c>
      <c r="R107" s="90">
        <f>IF(J107=0,0,Q107*VLOOKUP(E107,'Prix Matiere'!$A$4:$L$60,11))</f>
        <v>0.33581250000000007</v>
      </c>
      <c r="S107" s="2"/>
      <c r="T107" s="2"/>
      <c r="U107" s="2"/>
      <c r="V107" s="2"/>
      <c r="W107" s="2"/>
      <c r="X107" s="2"/>
      <c r="Y107" s="2"/>
      <c r="Z107" s="2"/>
    </row>
    <row r="108" spans="1:26" ht="18" x14ac:dyDescent="0.35">
      <c r="A108" s="2"/>
      <c r="B108" s="91" t="str">
        <f>IF(B34="Aucun",0,"Remplis de dessus")</f>
        <v>Remplis de dessus</v>
      </c>
      <c r="C108" s="85">
        <f>IF(B34="Aucun",0,IF(B34="Entourage Stratocell 20 mm",0,IF(B34="Entourage Stratocell 30 mm",0,IF(B34="Sous verre 2 faces",0,IF(B34="Sous verre / bandes de mousse",0,E29-2*D107+VLOOKUP(B34,B169:M177,10))))))</f>
        <v>89.5</v>
      </c>
      <c r="D108" s="85">
        <f>IF(B34="Sous verre / bandes de mousse",0,IF(B34="Sous verre 2 faces",0,C36))</f>
        <v>5</v>
      </c>
      <c r="E108" s="85" t="str">
        <f>IF(C108=0,0,VLOOKUP(B34,B169:M177,9))</f>
        <v>PU 50 mm</v>
      </c>
      <c r="F108" s="45">
        <f>IF(B34="Aucun",0,IF(B34="Entourage Stratocell 20 mm",0,IF(B34="Entourage Stratocell 30 mm",0,IF(B34="Sous verre 2 faces",0,IF(B34="Sous verre / bandes de mousse",0,2)))))</f>
        <v>2</v>
      </c>
      <c r="G108" s="2"/>
      <c r="H108" s="2"/>
      <c r="I108" s="2"/>
      <c r="J108" s="89">
        <f t="shared" si="22"/>
        <v>8.950000000000001E-2</v>
      </c>
      <c r="K108" s="89">
        <f t="shared" si="23"/>
        <v>0.111875</v>
      </c>
      <c r="L108" s="71">
        <f>IF(E108=0,0,VLOOKUP(E108,'Prix Matiere'!$A$4:$J$65,10))</f>
        <v>9.5670103092783503</v>
      </c>
      <c r="M108" s="71">
        <f t="shared" si="26"/>
        <v>1.0703092783505155</v>
      </c>
      <c r="N108" s="3">
        <f t="shared" si="27"/>
        <v>2.4231828499999999</v>
      </c>
      <c r="O108" s="71">
        <f t="shared" si="28"/>
        <v>2.0597054225</v>
      </c>
      <c r="P108" s="2"/>
      <c r="Q108" s="4">
        <f>IF(J108=0,0,J108*VLOOKUP(E108,'Prix Matiere'!$A$4:$L$60,12))</f>
        <v>0.11187500000000002</v>
      </c>
      <c r="R108" s="90">
        <f>IF(J108=0,0,Q108*VLOOKUP(E108,'Prix Matiere'!$A$4:$L$60,11))</f>
        <v>0.30206250000000007</v>
      </c>
      <c r="S108" s="2"/>
      <c r="T108" s="2"/>
      <c r="U108" s="2"/>
      <c r="V108" s="2"/>
      <c r="W108" s="2"/>
      <c r="X108" s="2"/>
      <c r="Y108" s="2"/>
      <c r="Z108" s="2"/>
    </row>
    <row r="109" spans="1:26" ht="18" x14ac:dyDescent="0.35">
      <c r="A109" s="2"/>
      <c r="B109" s="91" t="str">
        <f>IF(B34="Aucun",0,"Rattrapage 1")</f>
        <v>Rattrapage 1</v>
      </c>
      <c r="C109" s="85">
        <f>IF(C39=0,0,C29+0.2)</f>
        <v>0</v>
      </c>
      <c r="D109" s="85">
        <f>IF(C39=0,0,C39)</f>
        <v>0</v>
      </c>
      <c r="E109" s="85">
        <f t="shared" ref="E109:E110" si="29">IF(C109=0,0,CONCATENATE("PU ",$E$39*10," mm"))</f>
        <v>0</v>
      </c>
      <c r="F109" s="45">
        <f>IF(C39=0,0,2)</f>
        <v>0</v>
      </c>
      <c r="G109" s="2"/>
      <c r="H109" s="2"/>
      <c r="I109" s="2"/>
      <c r="J109" s="89">
        <f t="shared" si="22"/>
        <v>0</v>
      </c>
      <c r="K109" s="89">
        <f t="shared" si="23"/>
        <v>0</v>
      </c>
      <c r="L109" s="71">
        <f>IF(E109=0,0,VLOOKUP(E109,'Prix Matiere'!$A$4:$J$65,10))</f>
        <v>0</v>
      </c>
      <c r="M109" s="71">
        <f t="shared" si="26"/>
        <v>0</v>
      </c>
      <c r="N109" s="3">
        <f t="shared" si="27"/>
        <v>0</v>
      </c>
      <c r="O109" s="71">
        <f t="shared" si="28"/>
        <v>0</v>
      </c>
      <c r="P109" s="2"/>
      <c r="Q109" s="4">
        <f>IF(J109=0,0,J109*VLOOKUP(E109,'Prix Matiere'!$A$4:$L$60,12))</f>
        <v>0</v>
      </c>
      <c r="R109" s="90">
        <f>IF(J109=0,0,Q109*VLOOKUP(E109,'Prix Matiere'!$A$4:$L$60,11))</f>
        <v>0</v>
      </c>
      <c r="S109" s="2"/>
      <c r="T109" s="2"/>
      <c r="U109" s="2"/>
      <c r="V109" s="2"/>
      <c r="W109" s="2"/>
      <c r="X109" s="2"/>
      <c r="Y109" s="2"/>
      <c r="Z109" s="2"/>
    </row>
    <row r="110" spans="1:26" ht="18" x14ac:dyDescent="0.35">
      <c r="A110" s="2"/>
      <c r="B110" s="91" t="str">
        <f>IF(B34="Aucun",0,"Rattrapage 2")</f>
        <v>Rattrapage 2</v>
      </c>
      <c r="C110" s="85">
        <f>IF(C39=0,0,E29+0.2-2*D109)</f>
        <v>0</v>
      </c>
      <c r="D110" s="85">
        <f>IF(C28=0,0,D109)</f>
        <v>0</v>
      </c>
      <c r="E110" s="85">
        <f t="shared" si="29"/>
        <v>0</v>
      </c>
      <c r="F110" s="45">
        <f>IF(C39=0,0,2)</f>
        <v>0</v>
      </c>
      <c r="G110" s="2"/>
      <c r="H110" s="2"/>
      <c r="I110" s="2"/>
      <c r="J110" s="89">
        <f t="shared" si="22"/>
        <v>0</v>
      </c>
      <c r="K110" s="89">
        <f t="shared" si="23"/>
        <v>0</v>
      </c>
      <c r="L110" s="71">
        <f>IF(E110=0,0,VLOOKUP(E110,'Prix Matiere'!$A$4:$J$65,10))</f>
        <v>0</v>
      </c>
      <c r="M110" s="71">
        <f t="shared" si="26"/>
        <v>0</v>
      </c>
      <c r="N110" s="3">
        <f t="shared" si="27"/>
        <v>0</v>
      </c>
      <c r="O110" s="71">
        <f t="shared" si="28"/>
        <v>0</v>
      </c>
      <c r="P110" s="2"/>
      <c r="Q110" s="4">
        <f>IF(J110=0,0,J110*VLOOKUP(E110,'Prix Matiere'!$A$4:$L$60,12))</f>
        <v>0</v>
      </c>
      <c r="R110" s="90">
        <f>IF(J110=0,0,Q110*VLOOKUP(E110,'Prix Matiere'!$A$4:$L$60,11))</f>
        <v>0</v>
      </c>
      <c r="S110" s="2"/>
      <c r="T110" s="2"/>
      <c r="U110" s="2"/>
      <c r="V110" s="2"/>
      <c r="W110" s="2"/>
      <c r="X110" s="2"/>
      <c r="Y110" s="2"/>
      <c r="Z110" s="2"/>
    </row>
    <row r="111" spans="1:26" ht="18" x14ac:dyDescent="0.35">
      <c r="A111" s="2"/>
      <c r="B111" s="91" t="str">
        <f>IF(B34="Aucun",0,"Remplissage 1")</f>
        <v>Remplissage 1</v>
      </c>
      <c r="C111" s="85">
        <f t="shared" ref="C111:D111" si="30">IF(C41=0,0,C41)</f>
        <v>0</v>
      </c>
      <c r="D111" s="85">
        <f t="shared" si="30"/>
        <v>0</v>
      </c>
      <c r="E111" s="85">
        <f>IF(C111=0,0,CONCATENATE("PU ",$E$41*10," mm"))</f>
        <v>0</v>
      </c>
      <c r="F111" s="45">
        <f t="shared" ref="F111:F112" si="31">IF(C41=0,0,1)</f>
        <v>0</v>
      </c>
      <c r="G111" s="2"/>
      <c r="H111" s="2"/>
      <c r="I111" s="2"/>
      <c r="J111" s="89">
        <f t="shared" si="22"/>
        <v>0</v>
      </c>
      <c r="K111" s="89">
        <f t="shared" si="23"/>
        <v>0</v>
      </c>
      <c r="L111" s="71">
        <f>IF(E111=0,0,VLOOKUP(E111,'Prix Matiere'!$A$4:$J$65,10))</f>
        <v>0</v>
      </c>
      <c r="M111" s="71">
        <f t="shared" si="26"/>
        <v>0</v>
      </c>
      <c r="N111" s="3">
        <f t="shared" si="27"/>
        <v>0</v>
      </c>
      <c r="O111" s="71">
        <f t="shared" si="28"/>
        <v>0</v>
      </c>
      <c r="P111" s="2"/>
      <c r="Q111" s="4">
        <f>IF(J111=0,0,J111*VLOOKUP(E111,'Prix Matiere'!$A$4:$L$60,12))</f>
        <v>0</v>
      </c>
      <c r="R111" s="90">
        <f>IF(J111=0,0,Q111*VLOOKUP(E111,'Prix Matiere'!$A$4:$L$60,11))</f>
        <v>0</v>
      </c>
      <c r="S111" s="2"/>
      <c r="T111" s="2"/>
      <c r="U111" s="2"/>
      <c r="V111" s="2"/>
      <c r="W111" s="2"/>
      <c r="X111" s="2"/>
      <c r="Y111" s="2"/>
      <c r="Z111" s="2"/>
    </row>
    <row r="112" spans="1:26" ht="18" x14ac:dyDescent="0.35">
      <c r="A112" s="2"/>
      <c r="B112" s="91" t="str">
        <f>IF(B34="Aucun",0,"Remplissage 2")</f>
        <v>Remplissage 2</v>
      </c>
      <c r="C112" s="85">
        <f t="shared" ref="C112:D112" si="32">IF(C42=0,0,C42)</f>
        <v>0</v>
      </c>
      <c r="D112" s="85">
        <f t="shared" si="32"/>
        <v>0</v>
      </c>
      <c r="E112" s="85">
        <f>IF(C112=0,0,CONCATENATE("PU ",$E$42*10," mm"))</f>
        <v>0</v>
      </c>
      <c r="F112" s="45">
        <f t="shared" si="31"/>
        <v>0</v>
      </c>
      <c r="G112" s="2"/>
      <c r="H112" s="2"/>
      <c r="I112" s="2"/>
      <c r="J112" s="89">
        <f t="shared" si="22"/>
        <v>0</v>
      </c>
      <c r="K112" s="89">
        <f t="shared" si="23"/>
        <v>0</v>
      </c>
      <c r="L112" s="71">
        <f>IF(E112=0,0,VLOOKUP(E112,'Prix Matiere'!$A$4:$J$65,10))</f>
        <v>0</v>
      </c>
      <c r="M112" s="71">
        <f t="shared" si="26"/>
        <v>0</v>
      </c>
      <c r="N112" s="3">
        <f t="shared" si="27"/>
        <v>0</v>
      </c>
      <c r="O112" s="71">
        <f t="shared" si="28"/>
        <v>0</v>
      </c>
      <c r="P112" s="2"/>
      <c r="Q112" s="4">
        <f>IF(J112=0,0,J112*VLOOKUP(E112,'Prix Matiere'!$A$4:$L$60,12))</f>
        <v>0</v>
      </c>
      <c r="R112" s="90">
        <f>IF(J112=0,0,Q112*VLOOKUP(E112,'Prix Matiere'!$A$4:$L$60,11))</f>
        <v>0</v>
      </c>
      <c r="S112" s="2"/>
      <c r="T112" s="2"/>
      <c r="U112" s="2"/>
      <c r="V112" s="2"/>
      <c r="W112" s="2"/>
      <c r="X112" s="2"/>
      <c r="Y112" s="2"/>
      <c r="Z112" s="2"/>
    </row>
    <row r="113" spans="1:26" ht="18" x14ac:dyDescent="0.35">
      <c r="A113" s="2"/>
      <c r="B113" s="91" t="str">
        <f>IF(B34="Aucun",0,"Carton")</f>
        <v>Carton</v>
      </c>
      <c r="C113" s="85">
        <f>IF(F113=0,0,C29+VLOOKUP(B34,B169:M177,10))</f>
        <v>99.5</v>
      </c>
      <c r="D113" s="85">
        <f>IF(F113=0,0,E29+VLOOKUP(B34,B167:M178,10))</f>
        <v>99.5</v>
      </c>
      <c r="E113" s="85" t="str">
        <f>IF(C113=0,0,"Carton")</f>
        <v>Carton</v>
      </c>
      <c r="F113" s="45">
        <f>VLOOKUP(B34,B169:M177,12)</f>
        <v>1</v>
      </c>
      <c r="G113" s="2"/>
      <c r="H113" s="2"/>
      <c r="I113" s="2"/>
      <c r="J113" s="89">
        <f t="shared" si="22"/>
        <v>0.99002500000000004</v>
      </c>
      <c r="K113" s="89">
        <f t="shared" si="23"/>
        <v>1.23753125</v>
      </c>
      <c r="L113" s="71">
        <f>IF(E113=0,0,Carton)</f>
        <v>2.3247749959090167</v>
      </c>
      <c r="M113" s="71">
        <f t="shared" si="26"/>
        <v>2.8769817066560304</v>
      </c>
      <c r="N113" s="3">
        <f>IF(J113=0,0,2.356*J113+1)</f>
        <v>3.3324989</v>
      </c>
      <c r="O113" s="71">
        <f t="shared" si="28"/>
        <v>2.8326240650000001</v>
      </c>
      <c r="P113" s="2"/>
      <c r="Q113" s="4">
        <f>IF(J113=0,0,J113*Poids_Carton)</f>
        <v>0.99002500000000004</v>
      </c>
      <c r="R113" s="90">
        <f>IF(J113=0,0,Q113*VLOOKUP(E113,'Prix Matiere'!$A$4:$L$60,11))</f>
        <v>0.47917209999999999</v>
      </c>
      <c r="S113" s="2"/>
      <c r="T113" s="2"/>
      <c r="U113" s="2"/>
      <c r="V113" s="2"/>
      <c r="W113" s="2"/>
      <c r="X113" s="2"/>
      <c r="Y113" s="2"/>
      <c r="Z113" s="2"/>
    </row>
    <row r="114" spans="1:26" ht="18" x14ac:dyDescent="0.3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71"/>
      <c r="M114" s="2"/>
      <c r="N114" s="3"/>
      <c r="O114" s="71">
        <f t="shared" si="28"/>
        <v>0</v>
      </c>
      <c r="P114" s="2"/>
      <c r="Q114" s="4">
        <f>IF(J114=0,0,J114*Poids_Carton)</f>
        <v>0</v>
      </c>
      <c r="R114" s="90">
        <f>IF(J114=0,0,Q114*VLOOKUP(E114,'Prix Matiere'!$A$4:$L$60,11))</f>
        <v>0</v>
      </c>
      <c r="S114" s="2"/>
      <c r="T114" s="2"/>
      <c r="U114" s="2"/>
      <c r="V114" s="2"/>
      <c r="W114" s="2"/>
      <c r="X114" s="2"/>
      <c r="Y114" s="2"/>
      <c r="Z114" s="2"/>
    </row>
    <row r="115" spans="1:26" ht="46.2" x14ac:dyDescent="0.85">
      <c r="A115" s="2"/>
      <c r="B115" s="2" t="s">
        <v>71</v>
      </c>
      <c r="C115" s="33" t="str">
        <f>IF(F23="Aucun"," ",F23)</f>
        <v xml:space="preserve"> </v>
      </c>
      <c r="D115" s="2"/>
      <c r="E115" s="2"/>
      <c r="F115" s="2"/>
      <c r="G115" s="2"/>
      <c r="H115" s="2"/>
      <c r="I115" s="2"/>
      <c r="J115" s="2"/>
      <c r="K115" s="2"/>
      <c r="L115" s="71"/>
      <c r="M115" s="71">
        <f>VLOOKUP($F$23,$B$158:$E$161,3)</f>
        <v>0</v>
      </c>
      <c r="N115" s="3">
        <f>IF(M115=0,0,12.5)</f>
        <v>0</v>
      </c>
      <c r="O115" s="71">
        <f t="shared" si="28"/>
        <v>0</v>
      </c>
      <c r="P115" s="2"/>
      <c r="Q115" s="4"/>
      <c r="R115" s="90">
        <f>IF(J115=0,0,Q115*VLOOKUP(E115,'Prix Matiere'!$A$4:$L$60,11))</f>
        <v>0</v>
      </c>
      <c r="S115" s="2"/>
      <c r="T115" s="2"/>
      <c r="U115" s="2"/>
      <c r="V115" s="2"/>
      <c r="W115" s="2"/>
      <c r="X115" s="2"/>
      <c r="Y115" s="2"/>
      <c r="Z115" s="2"/>
    </row>
    <row r="116" spans="1:26" ht="18" x14ac:dyDescent="0.35">
      <c r="A116" s="2"/>
      <c r="B116" s="2" t="s">
        <v>23</v>
      </c>
      <c r="C116" s="2">
        <f>IF($F$21="Oui","Tyvek",0)</f>
        <v>0</v>
      </c>
      <c r="D116" s="2"/>
      <c r="E116" s="2"/>
      <c r="F116" s="2"/>
      <c r="G116" s="2"/>
      <c r="H116" s="2"/>
      <c r="I116" s="2"/>
      <c r="J116" s="2"/>
      <c r="K116" s="89">
        <f>IF(C116="Tyvek",SUM(K100:K112)/0.7,0)</f>
        <v>0</v>
      </c>
      <c r="L116" s="71">
        <f>IF(C116=0,0,2.75)</f>
        <v>0</v>
      </c>
      <c r="M116" s="71">
        <f t="shared" ref="M116:M117" si="33">K116*L116</f>
        <v>0</v>
      </c>
      <c r="N116" s="3">
        <f>IF(K116=0,0,7*K116+2)</f>
        <v>0</v>
      </c>
      <c r="O116" s="71">
        <f t="shared" si="28"/>
        <v>0</v>
      </c>
      <c r="P116" s="2"/>
      <c r="Q116" s="4">
        <f>IF(K116=0,0,K116*VLOOKUP(C116,'Prix Matiere'!$A$4:$L$60,12))</f>
        <v>0</v>
      </c>
      <c r="R116" s="90">
        <f>IF(J116=0,0,Q116*VLOOKUP(E116,'Prix Matiere'!$A$4:$L$60,11))</f>
        <v>0</v>
      </c>
      <c r="S116" s="2"/>
      <c r="T116" s="2"/>
      <c r="U116" s="2"/>
      <c r="V116" s="2"/>
      <c r="W116" s="2"/>
      <c r="X116" s="2"/>
      <c r="Y116" s="2"/>
      <c r="Z116" s="2"/>
    </row>
    <row r="117" spans="1:26" ht="18" x14ac:dyDescent="0.35">
      <c r="A117" s="2"/>
      <c r="B117" s="2" t="s">
        <v>19</v>
      </c>
      <c r="C117" s="2">
        <f>IF(F19="Non",0,"Peinture")</f>
        <v>0</v>
      </c>
      <c r="D117" s="2"/>
      <c r="E117" s="2"/>
      <c r="F117" s="2"/>
      <c r="G117" s="2"/>
      <c r="H117" s="2"/>
      <c r="I117" s="2"/>
      <c r="J117" s="2">
        <f>IF(C117=0,0,(((C46/100)*(D46/100))+((C46/100)*(E46/100))+((D46/100)*(E46/100)))*2)</f>
        <v>0</v>
      </c>
      <c r="K117" s="2">
        <f>J117*0.5</f>
        <v>0</v>
      </c>
      <c r="L117" s="71">
        <f>IF(C117=0,0,VLOOKUP(C117,'Prix Matiere'!$A$4:$J$60,10))</f>
        <v>0</v>
      </c>
      <c r="M117" s="71">
        <f t="shared" si="33"/>
        <v>0</v>
      </c>
      <c r="N117" s="3">
        <f>IF(J117=0,0,IF(C117="Peinture",30+J117*15))</f>
        <v>0</v>
      </c>
      <c r="O117" s="71">
        <f t="shared" si="28"/>
        <v>0</v>
      </c>
      <c r="P117" s="2"/>
      <c r="Q117" s="4">
        <f>IF(J117=0,0,J117*VLOOKUP(C117,'Prix Matiere'!$A$4:$L$60,12))</f>
        <v>0</v>
      </c>
      <c r="R117" s="90">
        <f>IF(J117=0,0,Q117*VLOOKUP(C117,'Prix Matiere'!$A$4:$L$60,11))</f>
        <v>0</v>
      </c>
      <c r="S117" s="2"/>
      <c r="T117" s="2"/>
      <c r="U117" s="2"/>
      <c r="V117" s="2"/>
      <c r="W117" s="2"/>
      <c r="X117" s="2"/>
      <c r="Y117" s="2"/>
      <c r="Z117" s="2"/>
    </row>
    <row r="118" spans="1:26" ht="18" x14ac:dyDescent="0.35">
      <c r="A118" s="2"/>
      <c r="B118" s="2" t="s">
        <v>72</v>
      </c>
      <c r="C118" s="2" t="str">
        <f>C19</f>
        <v>Vis bois</v>
      </c>
      <c r="D118" s="2"/>
      <c r="E118" s="2"/>
      <c r="F118" s="2"/>
      <c r="G118" s="2"/>
      <c r="H118" s="2"/>
      <c r="I118" s="2"/>
      <c r="J118" s="2"/>
      <c r="K118" s="2"/>
      <c r="L118" s="71"/>
      <c r="M118" s="71">
        <f>IF(C118="Vis bois",0,(F4*2+F6*2)*1.5)</f>
        <v>0</v>
      </c>
      <c r="N118" s="3">
        <f>IF(C118="Vis bois",0,45)</f>
        <v>0</v>
      </c>
      <c r="O118" s="71">
        <f t="shared" si="28"/>
        <v>0</v>
      </c>
      <c r="P118" s="2"/>
      <c r="Q118" s="4">
        <f>IF(J118=0,0,J118*Poids_Carton)</f>
        <v>0</v>
      </c>
      <c r="R118" s="90"/>
      <c r="S118" s="2"/>
      <c r="T118" s="2"/>
      <c r="U118" s="2"/>
      <c r="V118" s="2"/>
      <c r="W118" s="2"/>
      <c r="X118" s="2"/>
      <c r="Y118" s="2"/>
      <c r="Z118" s="2"/>
    </row>
    <row r="119" spans="1:26" ht="18" x14ac:dyDescent="0.35">
      <c r="A119" s="2"/>
      <c r="B119" s="2" t="s">
        <v>21</v>
      </c>
      <c r="C119" s="2" t="str">
        <f>C21</f>
        <v>Bois</v>
      </c>
      <c r="D119" s="2"/>
      <c r="E119" s="2"/>
      <c r="F119" s="2"/>
      <c r="G119" s="2"/>
      <c r="H119" s="2"/>
      <c r="I119" s="2"/>
      <c r="J119" s="2"/>
      <c r="K119" s="2"/>
      <c r="L119" s="71"/>
      <c r="M119" s="71">
        <f>IF(C119="Métal x 4 sur GC",4*2,IF(C119="Métal x 2 sur bouts",2*2,0))</f>
        <v>0</v>
      </c>
      <c r="N119" s="3">
        <f>IF(C119="Métal x 4 sur GC",4*3,IF(C119="Métal x 2 sur bouts",2*3,0))</f>
        <v>0</v>
      </c>
      <c r="O119" s="71">
        <f t="shared" si="28"/>
        <v>0</v>
      </c>
      <c r="P119" s="2"/>
      <c r="Q119" s="4">
        <f>IF(J119=0,0,J119*Poids_Carton)</f>
        <v>0</v>
      </c>
      <c r="R119" s="90"/>
      <c r="S119" s="2"/>
      <c r="T119" s="2"/>
      <c r="U119" s="2"/>
      <c r="V119" s="2"/>
      <c r="W119" s="2"/>
      <c r="X119" s="2"/>
      <c r="Y119" s="2"/>
      <c r="Z119" s="2"/>
    </row>
    <row r="120" spans="1:26" ht="18" x14ac:dyDescent="0.3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71"/>
      <c r="M120" s="2"/>
      <c r="N120" s="3"/>
      <c r="O120" s="71"/>
      <c r="P120" s="2"/>
      <c r="Q120" s="4"/>
      <c r="R120" s="5"/>
      <c r="S120" s="2"/>
      <c r="T120" s="2"/>
      <c r="U120" s="2"/>
      <c r="V120" s="2"/>
      <c r="W120" s="2"/>
      <c r="X120" s="2"/>
      <c r="Y120" s="2"/>
      <c r="Z120" s="2"/>
    </row>
    <row r="121" spans="1:26" ht="18" x14ac:dyDescent="0.3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71">
        <f>IF(E121=0,0,VLOOKUP(E121,'Prix Matiere'!$A$4:$J$65,10))</f>
        <v>0</v>
      </c>
      <c r="M121" s="96">
        <f t="shared" ref="M121:N121" si="34">SUM(M58:M120)</f>
        <v>131.20282000187632</v>
      </c>
      <c r="N121" s="97">
        <f t="shared" si="34"/>
        <v>120.02948740480004</v>
      </c>
      <c r="O121" s="71">
        <f>N121*MinuteMO</f>
        <v>102.02506429408002</v>
      </c>
      <c r="P121" s="2"/>
      <c r="Q121" s="4">
        <f t="shared" ref="Q121:R121" si="35">SUM(Q58:Q119)</f>
        <v>40.931230200000009</v>
      </c>
      <c r="R121" s="4">
        <f t="shared" si="35"/>
        <v>29.294938269600003</v>
      </c>
      <c r="S121" s="2"/>
      <c r="T121" s="2"/>
      <c r="U121" s="2"/>
      <c r="V121" s="2"/>
      <c r="W121" s="2"/>
      <c r="X121" s="2"/>
      <c r="Y121" s="2"/>
      <c r="Z121" s="2"/>
    </row>
    <row r="122" spans="1:26" ht="18" x14ac:dyDescent="0.35">
      <c r="A122" s="2"/>
      <c r="B122" s="98" t="s">
        <v>73</v>
      </c>
      <c r="C122" s="99">
        <f>IF($F$9=0,0,M121)</f>
        <v>131.20282000187632</v>
      </c>
      <c r="D122" s="100"/>
      <c r="E122" s="101" t="s">
        <v>74</v>
      </c>
      <c r="F122" s="102" t="str">
        <f>CONCATENATE(ROUNDUP(SUM(K58:K60)+SUM(K86:K87),2)," m²")</f>
        <v>4,36 m²</v>
      </c>
      <c r="G122" s="103">
        <f>SUM(M58:M60)+SUM(M86:M87)</f>
        <v>73.59995774226806</v>
      </c>
      <c r="H122" s="104"/>
      <c r="I122" s="2"/>
      <c r="J122" s="2"/>
      <c r="K122" s="2"/>
      <c r="L122" s="2"/>
      <c r="M122" s="2"/>
      <c r="N122" s="3"/>
      <c r="O122" s="2"/>
      <c r="P122" s="2"/>
      <c r="Q122" s="4"/>
      <c r="R122" s="5"/>
      <c r="S122" s="2"/>
      <c r="T122" s="2"/>
      <c r="U122" s="2"/>
      <c r="V122" s="2"/>
      <c r="W122" s="2"/>
      <c r="X122" s="2"/>
      <c r="Y122" s="2"/>
      <c r="Z122" s="2"/>
    </row>
    <row r="123" spans="1:26" ht="18" x14ac:dyDescent="0.35">
      <c r="A123" s="2"/>
      <c r="B123" s="105" t="s">
        <v>75</v>
      </c>
      <c r="C123" s="71">
        <f>IF($F$9=0,0,O121)</f>
        <v>102.02506429408002</v>
      </c>
      <c r="D123" s="106">
        <f>IF($F$9=0,0,N121)</f>
        <v>120.02948740480004</v>
      </c>
      <c r="E123" s="5" t="s">
        <v>76</v>
      </c>
      <c r="F123" s="107" t="str">
        <f>CONCATENATE(ROUNDUP(SUM(K63:K69),2)," m²")</f>
        <v>1,96 m²</v>
      </c>
      <c r="G123" s="108">
        <f>SUM(M63:M69)</f>
        <v>42.121975773195871</v>
      </c>
      <c r="H123" s="104"/>
      <c r="I123" s="2"/>
      <c r="J123" s="2"/>
      <c r="K123" s="2"/>
      <c r="L123" s="2"/>
      <c r="M123" s="2"/>
      <c r="N123" s="3"/>
      <c r="O123" s="2"/>
      <c r="P123" s="2"/>
      <c r="Q123" s="4"/>
      <c r="R123" s="5"/>
      <c r="S123" s="2"/>
      <c r="T123" s="2"/>
      <c r="U123" s="2"/>
      <c r="V123" s="2"/>
      <c r="W123" s="2"/>
      <c r="X123" s="2"/>
      <c r="Y123" s="2"/>
      <c r="Z123" s="2"/>
    </row>
    <row r="124" spans="1:26" ht="18" x14ac:dyDescent="0.35">
      <c r="A124" s="2"/>
      <c r="B124" s="105" t="s">
        <v>77</v>
      </c>
      <c r="C124" s="71">
        <f>IF($F$9=0,0,((C122+C123)/Frais_Généraux)-(C122+C123))</f>
        <v>125.58424539013032</v>
      </c>
      <c r="D124" s="109"/>
      <c r="E124" s="5" t="s">
        <v>78</v>
      </c>
      <c r="F124" s="107" t="str">
        <f>CONCATENATE(ROUNDUP(SUM(K79:K81)+SUM(K92:K94),2)," m²")</f>
        <v>0 m²</v>
      </c>
      <c r="G124" s="108">
        <f>SUM(M79:M81)+SUM(M92:M94)</f>
        <v>0</v>
      </c>
      <c r="H124" s="104"/>
      <c r="I124" s="2"/>
      <c r="J124" s="2"/>
      <c r="K124" s="2"/>
      <c r="L124" s="2"/>
      <c r="M124" s="2"/>
      <c r="N124" s="3"/>
      <c r="O124" s="2"/>
      <c r="P124" s="2"/>
      <c r="Q124" s="4"/>
      <c r="R124" s="5"/>
      <c r="S124" s="2"/>
      <c r="T124" s="2"/>
      <c r="U124" s="2"/>
      <c r="V124" s="2"/>
      <c r="W124" s="2"/>
      <c r="X124" s="2"/>
      <c r="Y124" s="2"/>
      <c r="Z124" s="2"/>
    </row>
    <row r="125" spans="1:26" ht="18" x14ac:dyDescent="0.35">
      <c r="A125" s="2"/>
      <c r="B125" s="105" t="s">
        <v>79</v>
      </c>
      <c r="C125" s="71">
        <f>IF($F$9=0,0,SUM(C122:C124))</f>
        <v>358.81212968608668</v>
      </c>
      <c r="D125" s="109"/>
      <c r="E125" s="5" t="s">
        <v>80</v>
      </c>
      <c r="F125" s="107" t="str">
        <f>CONCATENATE(ROUNDUP(SUM(K72:K74)+SUM(K100:K112),2)," m²")</f>
        <v>1,26 m²</v>
      </c>
      <c r="G125" s="108">
        <f>SUM(M72:M74)+SUM(M100:M112)</f>
        <v>12.603904779756327</v>
      </c>
      <c r="H125" s="2"/>
      <c r="I125" s="2"/>
      <c r="J125" s="2"/>
      <c r="K125" s="2"/>
      <c r="L125" s="2"/>
      <c r="M125" s="2"/>
      <c r="N125" s="3"/>
      <c r="O125" s="2"/>
      <c r="P125" s="2"/>
      <c r="Q125" s="4"/>
      <c r="R125" s="5"/>
      <c r="S125" s="2"/>
      <c r="T125" s="2"/>
      <c r="U125" s="2"/>
      <c r="V125" s="2"/>
      <c r="W125" s="2"/>
      <c r="X125" s="2"/>
      <c r="Y125" s="2"/>
      <c r="Z125" s="2"/>
    </row>
    <row r="126" spans="1:26" ht="18" x14ac:dyDescent="0.35">
      <c r="A126" s="2"/>
      <c r="B126" s="105" t="s">
        <v>81</v>
      </c>
      <c r="C126" s="71">
        <f>IF($F$9=0,0,(C125/(1-Marge)-C125))</f>
        <v>27.007364600028041</v>
      </c>
      <c r="D126" s="110">
        <f>C125+C126</f>
        <v>385.81949428611472</v>
      </c>
      <c r="E126" s="5" t="s">
        <v>82</v>
      </c>
      <c r="F126" s="107" t="str">
        <f>CONCATENATE(ROUNDUP(K113,2)," m²")</f>
        <v>1,24 m²</v>
      </c>
      <c r="G126" s="108">
        <f>M113</f>
        <v>2.8769817066560304</v>
      </c>
      <c r="H126" s="2"/>
      <c r="I126" s="2"/>
      <c r="J126" s="2"/>
      <c r="K126" s="2"/>
      <c r="L126" s="2"/>
      <c r="M126" s="2"/>
      <c r="N126" s="3"/>
      <c r="O126" s="2"/>
      <c r="P126" s="2"/>
      <c r="Q126" s="4"/>
      <c r="R126" s="5"/>
      <c r="S126" s="2"/>
      <c r="T126" s="2"/>
      <c r="U126" s="2"/>
      <c r="V126" s="2"/>
      <c r="W126" s="2"/>
      <c r="X126" s="2"/>
      <c r="Y126" s="2"/>
      <c r="Z126" s="2"/>
    </row>
    <row r="127" spans="1:26" ht="18" x14ac:dyDescent="0.35">
      <c r="A127" s="2"/>
      <c r="B127" s="111" t="s">
        <v>83</v>
      </c>
      <c r="C127" s="71">
        <f>IF($F$10="BOVIS",((C125+C126)*(1+C128))-(C125+C126),((C125+C126)*(1+D127))-(C125+C126))</f>
        <v>0</v>
      </c>
      <c r="D127" s="112"/>
      <c r="E127" s="5"/>
      <c r="F127" s="107"/>
      <c r="G127" s="108"/>
      <c r="H127" s="2"/>
      <c r="I127" s="2"/>
      <c r="J127" s="2"/>
      <c r="K127" s="2"/>
      <c r="L127" s="2"/>
      <c r="M127" s="2"/>
      <c r="N127" s="3"/>
      <c r="O127" s="2"/>
      <c r="P127" s="2"/>
      <c r="Q127" s="4"/>
      <c r="R127" s="5"/>
      <c r="S127" s="2"/>
      <c r="T127" s="2"/>
      <c r="U127" s="2"/>
      <c r="V127" s="2"/>
      <c r="W127" s="2"/>
      <c r="X127" s="2"/>
      <c r="Y127" s="2"/>
      <c r="Z127" s="2"/>
    </row>
    <row r="128" spans="1:26" ht="18" x14ac:dyDescent="0.35">
      <c r="A128" s="2"/>
      <c r="B128" s="111"/>
      <c r="C128" s="104">
        <f>IF($F$10="BOVIS",0.03,0)</f>
        <v>0</v>
      </c>
      <c r="D128" s="113"/>
      <c r="E128" s="5"/>
      <c r="F128" s="107"/>
      <c r="G128" s="108"/>
      <c r="H128" s="2"/>
      <c r="I128" s="2"/>
      <c r="J128" s="2"/>
      <c r="K128" s="2"/>
      <c r="L128" s="2"/>
      <c r="M128" s="2"/>
      <c r="N128" s="3"/>
      <c r="O128" s="2"/>
      <c r="P128" s="2"/>
      <c r="Q128" s="4"/>
      <c r="R128" s="5"/>
      <c r="S128" s="2"/>
      <c r="T128" s="2"/>
      <c r="U128" s="2"/>
      <c r="V128" s="2"/>
      <c r="W128" s="2"/>
      <c r="X128" s="2"/>
      <c r="Y128" s="2"/>
      <c r="Z128" s="2"/>
    </row>
    <row r="129" spans="1:26" ht="18" x14ac:dyDescent="0.35">
      <c r="A129" s="2"/>
      <c r="B129" s="114" t="s">
        <v>84</v>
      </c>
      <c r="C129" s="115">
        <f>SUM(C125:C128)</f>
        <v>385.81949428611472</v>
      </c>
      <c r="D129" s="116"/>
      <c r="E129" s="117" t="s">
        <v>85</v>
      </c>
      <c r="F129" s="15"/>
      <c r="G129" s="118">
        <f>C122-SUM(G122:G126)</f>
        <v>0</v>
      </c>
      <c r="H129" s="2"/>
      <c r="I129" s="2"/>
      <c r="J129" s="2"/>
      <c r="K129" s="2"/>
      <c r="L129" s="2"/>
      <c r="M129" s="2"/>
      <c r="N129" s="3"/>
      <c r="O129" s="2"/>
      <c r="P129" s="2"/>
      <c r="Q129" s="4"/>
      <c r="R129" s="5"/>
      <c r="S129" s="2"/>
      <c r="T129" s="2"/>
      <c r="U129" s="2"/>
      <c r="V129" s="2"/>
      <c r="W129" s="2"/>
      <c r="X129" s="2"/>
      <c r="Y129" s="2"/>
      <c r="Z129" s="2"/>
    </row>
    <row r="130" spans="1:26" ht="18" x14ac:dyDescent="0.35">
      <c r="A130" s="76"/>
      <c r="B130" s="76"/>
      <c r="C130" s="76"/>
      <c r="D130" s="76"/>
      <c r="E130" s="76"/>
      <c r="F130" s="6"/>
      <c r="G130" s="76"/>
      <c r="H130" s="76"/>
      <c r="I130" s="76"/>
      <c r="J130" s="76"/>
      <c r="K130" s="76"/>
      <c r="L130" s="76"/>
      <c r="M130" s="76"/>
      <c r="N130" s="77"/>
      <c r="O130" s="76"/>
      <c r="P130" s="2"/>
      <c r="Q130" s="4"/>
      <c r="R130" s="5"/>
      <c r="S130" s="2"/>
      <c r="T130" s="2"/>
      <c r="U130" s="2"/>
      <c r="V130" s="2"/>
      <c r="W130" s="2"/>
      <c r="X130" s="2"/>
      <c r="Y130" s="2"/>
      <c r="Z130" s="2"/>
    </row>
    <row r="131" spans="1:26" ht="18" x14ac:dyDescent="0.3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3"/>
      <c r="O131" s="2"/>
      <c r="P131" s="2"/>
      <c r="Q131" s="4"/>
      <c r="R131" s="5"/>
      <c r="S131" s="2"/>
      <c r="T131" s="2"/>
      <c r="U131" s="2"/>
      <c r="V131" s="2"/>
      <c r="W131" s="2"/>
      <c r="X131" s="2"/>
      <c r="Y131" s="2"/>
      <c r="Z131" s="2"/>
    </row>
    <row r="132" spans="1:26" ht="18" x14ac:dyDescent="0.35">
      <c r="A132" s="2"/>
      <c r="B132" s="119" t="s">
        <v>86</v>
      </c>
      <c r="C132" s="120" t="s">
        <v>86</v>
      </c>
      <c r="D132" s="120" t="s">
        <v>86</v>
      </c>
      <c r="E132" s="120">
        <v>1</v>
      </c>
      <c r="F132" s="121">
        <v>1</v>
      </c>
      <c r="N132" s="122"/>
      <c r="Q132" s="123"/>
      <c r="R132" s="5"/>
      <c r="S132" s="2"/>
      <c r="T132" s="2"/>
      <c r="U132" s="2"/>
      <c r="V132" s="2"/>
      <c r="W132" s="2"/>
      <c r="X132" s="2"/>
      <c r="Y132" s="2"/>
      <c r="Z132" s="2"/>
    </row>
    <row r="133" spans="1:26" ht="18" x14ac:dyDescent="0.35">
      <c r="A133" s="2"/>
      <c r="B133" s="124" t="s">
        <v>10</v>
      </c>
      <c r="C133" s="125" t="s">
        <v>10</v>
      </c>
      <c r="D133" s="125" t="s">
        <v>10</v>
      </c>
      <c r="E133" s="125">
        <v>1.5</v>
      </c>
      <c r="F133" s="126">
        <v>1.5</v>
      </c>
      <c r="N133" s="122"/>
      <c r="Q133" s="123"/>
      <c r="R133" s="5"/>
      <c r="S133" s="2"/>
      <c r="T133" s="2"/>
      <c r="U133" s="2"/>
      <c r="V133" s="2"/>
      <c r="W133" s="2"/>
      <c r="X133" s="2"/>
      <c r="Y133" s="2"/>
      <c r="Z133" s="2"/>
    </row>
    <row r="134" spans="1:26" ht="18" x14ac:dyDescent="0.35">
      <c r="A134" s="2"/>
      <c r="B134" s="127" t="s">
        <v>87</v>
      </c>
      <c r="C134" s="128" t="s">
        <v>86</v>
      </c>
      <c r="D134" s="128" t="s">
        <v>10</v>
      </c>
      <c r="E134" s="128">
        <v>1</v>
      </c>
      <c r="F134" s="129">
        <v>1.5</v>
      </c>
      <c r="N134" s="122"/>
      <c r="Q134" s="123"/>
      <c r="R134" s="5"/>
      <c r="S134" s="2"/>
      <c r="T134" s="2"/>
      <c r="U134" s="2"/>
      <c r="V134" s="2"/>
      <c r="W134" s="2"/>
      <c r="X134" s="2"/>
      <c r="Y134" s="2"/>
      <c r="Z134" s="2"/>
    </row>
    <row r="135" spans="1:26" ht="18" x14ac:dyDescent="0.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3"/>
      <c r="O135" s="2"/>
      <c r="P135" s="2"/>
      <c r="Q135" s="4"/>
      <c r="R135" s="5"/>
      <c r="S135" s="2"/>
      <c r="T135" s="2"/>
      <c r="U135" s="2"/>
      <c r="V135" s="2"/>
      <c r="W135" s="2"/>
      <c r="X135" s="2"/>
      <c r="Y135" s="2"/>
      <c r="Z135" s="2"/>
    </row>
    <row r="136" spans="1:26" ht="18" x14ac:dyDescent="0.35">
      <c r="A136" s="2"/>
      <c r="B136" s="119" t="s">
        <v>88</v>
      </c>
      <c r="C136" s="120" t="s">
        <v>89</v>
      </c>
      <c r="D136" s="120" t="s">
        <v>89</v>
      </c>
      <c r="E136" s="121">
        <v>1.9</v>
      </c>
      <c r="N136" s="122"/>
      <c r="Q136" s="123"/>
      <c r="R136" s="5"/>
      <c r="S136" s="2"/>
      <c r="T136" s="2"/>
      <c r="U136" s="2"/>
      <c r="V136" s="2"/>
      <c r="W136" s="2"/>
      <c r="X136" s="2"/>
      <c r="Y136" s="2"/>
      <c r="Z136" s="2"/>
    </row>
    <row r="137" spans="1:26" ht="18" x14ac:dyDescent="0.35">
      <c r="A137" s="2"/>
      <c r="B137" s="127" t="s">
        <v>12</v>
      </c>
      <c r="C137" s="128" t="s">
        <v>90</v>
      </c>
      <c r="D137" s="128" t="s">
        <v>90</v>
      </c>
      <c r="E137" s="129">
        <v>2.1</v>
      </c>
      <c r="N137" s="122"/>
      <c r="Q137" s="123"/>
      <c r="R137" s="5"/>
      <c r="S137" s="2"/>
      <c r="T137" s="2"/>
      <c r="U137" s="2"/>
      <c r="V137" s="2"/>
      <c r="W137" s="2"/>
      <c r="X137" s="2"/>
      <c r="Y137" s="2"/>
      <c r="Z137" s="2"/>
    </row>
    <row r="138" spans="1:26" ht="18" x14ac:dyDescent="0.3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3"/>
      <c r="O138" s="2"/>
      <c r="P138" s="2"/>
      <c r="Q138" s="4"/>
      <c r="R138" s="5"/>
      <c r="S138" s="2"/>
      <c r="T138" s="2"/>
      <c r="U138" s="2"/>
      <c r="V138" s="2"/>
      <c r="W138" s="2"/>
      <c r="X138" s="2"/>
      <c r="Y138" s="2"/>
      <c r="Z138" s="2"/>
    </row>
    <row r="139" spans="1:26" ht="18" x14ac:dyDescent="0.35">
      <c r="A139" s="2"/>
      <c r="B139" s="119">
        <v>1</v>
      </c>
      <c r="C139" s="120">
        <v>2</v>
      </c>
      <c r="D139" s="120">
        <v>3</v>
      </c>
      <c r="E139" s="120">
        <v>4</v>
      </c>
      <c r="F139" s="130">
        <v>5</v>
      </c>
      <c r="G139" s="130">
        <v>6</v>
      </c>
      <c r="H139" s="130">
        <v>7</v>
      </c>
      <c r="I139" s="131">
        <v>8</v>
      </c>
      <c r="J139" s="131">
        <v>9</v>
      </c>
      <c r="K139" s="131">
        <v>10</v>
      </c>
      <c r="L139" s="132">
        <v>11</v>
      </c>
      <c r="M139" s="132">
        <v>12</v>
      </c>
      <c r="N139" s="133">
        <v>13</v>
      </c>
      <c r="O139" s="131">
        <v>14</v>
      </c>
      <c r="P139" s="131">
        <v>15</v>
      </c>
      <c r="Q139" s="134">
        <v>16</v>
      </c>
      <c r="R139" s="5"/>
      <c r="S139" s="2"/>
      <c r="T139" s="2"/>
      <c r="U139" s="2"/>
      <c r="V139" s="2"/>
      <c r="W139" s="2"/>
      <c r="X139" s="2"/>
      <c r="Y139" s="2"/>
      <c r="Z139" s="2"/>
    </row>
    <row r="140" spans="1:26" ht="29.4" x14ac:dyDescent="0.35">
      <c r="A140" s="2"/>
      <c r="B140" s="135"/>
      <c r="C140" s="136"/>
      <c r="D140" s="136"/>
      <c r="E140" s="136"/>
      <c r="F140" s="137" t="s">
        <v>80</v>
      </c>
      <c r="G140" s="137" t="s">
        <v>91</v>
      </c>
      <c r="H140" s="137" t="s">
        <v>34</v>
      </c>
      <c r="I140" s="138" t="s">
        <v>65</v>
      </c>
      <c r="J140" s="138" t="s">
        <v>92</v>
      </c>
      <c r="K140" s="138" t="s">
        <v>93</v>
      </c>
      <c r="L140" s="139" t="s">
        <v>67</v>
      </c>
      <c r="M140" s="139" t="s">
        <v>94</v>
      </c>
      <c r="N140" s="140" t="s">
        <v>95</v>
      </c>
      <c r="O140" s="138" t="s">
        <v>69</v>
      </c>
      <c r="P140" s="138" t="s">
        <v>96</v>
      </c>
      <c r="Q140" s="141" t="s">
        <v>97</v>
      </c>
      <c r="R140" s="5"/>
      <c r="S140" s="2"/>
      <c r="T140" s="2"/>
      <c r="U140" s="2"/>
      <c r="V140" s="2"/>
      <c r="W140" s="2"/>
      <c r="X140" s="2"/>
      <c r="Y140" s="2"/>
      <c r="Z140" s="2"/>
    </row>
    <row r="141" spans="1:26" ht="18" x14ac:dyDescent="0.35">
      <c r="A141" s="2"/>
      <c r="B141" s="124"/>
      <c r="F141" s="142"/>
      <c r="G141" s="142"/>
      <c r="H141" s="142"/>
      <c r="I141" s="143"/>
      <c r="J141" s="143"/>
      <c r="K141" s="143"/>
      <c r="L141" s="144"/>
      <c r="M141" s="144"/>
      <c r="N141" s="145">
        <v>0</v>
      </c>
      <c r="O141" s="143"/>
      <c r="P141" s="143"/>
      <c r="Q141" s="146"/>
      <c r="R141" s="5"/>
      <c r="S141" s="2"/>
      <c r="T141" s="2"/>
      <c r="U141" s="2"/>
      <c r="V141" s="2"/>
      <c r="W141" s="2"/>
      <c r="X141" s="2"/>
      <c r="Y141" s="2"/>
      <c r="Z141" s="2"/>
    </row>
    <row r="142" spans="1:26" ht="18" x14ac:dyDescent="0.35">
      <c r="A142" s="2"/>
      <c r="B142" s="124" t="s">
        <v>16</v>
      </c>
      <c r="C142" s="125">
        <v>0</v>
      </c>
      <c r="D142" s="125">
        <v>0</v>
      </c>
      <c r="E142" s="125">
        <v>0</v>
      </c>
      <c r="F142" s="142">
        <v>0</v>
      </c>
      <c r="G142" s="142">
        <v>0</v>
      </c>
      <c r="H142" s="142">
        <v>0</v>
      </c>
      <c r="I142" s="143">
        <v>0</v>
      </c>
      <c r="J142" s="143">
        <v>0</v>
      </c>
      <c r="K142" s="143">
        <v>0</v>
      </c>
      <c r="L142" s="144">
        <v>0</v>
      </c>
      <c r="M142" s="144">
        <v>0</v>
      </c>
      <c r="N142" s="145">
        <v>0</v>
      </c>
      <c r="O142" s="143">
        <v>0</v>
      </c>
      <c r="P142" s="143">
        <v>0</v>
      </c>
      <c r="Q142" s="146">
        <v>0</v>
      </c>
      <c r="R142" s="5"/>
      <c r="S142" s="2"/>
      <c r="T142" s="2"/>
      <c r="U142" s="2"/>
      <c r="V142" s="2"/>
      <c r="W142" s="2"/>
      <c r="X142" s="2"/>
      <c r="Y142" s="2"/>
      <c r="Z142" s="2"/>
    </row>
    <row r="143" spans="1:26" ht="18" x14ac:dyDescent="0.35">
      <c r="A143" s="2"/>
      <c r="B143" s="124" t="s">
        <v>98</v>
      </c>
      <c r="C143" s="125">
        <f t="shared" ref="C143:E143" si="36">(3+1.25+3)*2</f>
        <v>14.5</v>
      </c>
      <c r="D143" s="125">
        <f t="shared" si="36"/>
        <v>14.5</v>
      </c>
      <c r="E143" s="125">
        <f t="shared" si="36"/>
        <v>14.5</v>
      </c>
      <c r="F143" s="142">
        <v>0</v>
      </c>
      <c r="G143" s="142">
        <v>0</v>
      </c>
      <c r="H143" s="142">
        <v>0</v>
      </c>
      <c r="I143" s="143">
        <v>6</v>
      </c>
      <c r="J143" s="143" t="s">
        <v>99</v>
      </c>
      <c r="K143" s="143">
        <v>2</v>
      </c>
      <c r="L143" s="144">
        <v>2.5</v>
      </c>
      <c r="M143" s="144" t="s">
        <v>86</v>
      </c>
      <c r="N143" s="147">
        <v>4</v>
      </c>
      <c r="O143" s="143">
        <v>6</v>
      </c>
      <c r="P143" s="143" t="s">
        <v>99</v>
      </c>
      <c r="Q143" s="148">
        <v>2</v>
      </c>
      <c r="R143" s="5"/>
      <c r="S143" s="2"/>
      <c r="T143" s="2"/>
      <c r="U143" s="2"/>
      <c r="V143" s="2"/>
      <c r="W143" s="2"/>
      <c r="X143" s="2"/>
      <c r="Y143" s="2"/>
      <c r="Z143" s="2"/>
    </row>
    <row r="144" spans="1:26" ht="18" x14ac:dyDescent="0.35">
      <c r="A144" s="2"/>
      <c r="B144" s="124" t="s">
        <v>100</v>
      </c>
      <c r="C144" s="125">
        <f t="shared" ref="C144:E144" si="37">(5+1.25+5)*2</f>
        <v>22.5</v>
      </c>
      <c r="D144" s="125">
        <f t="shared" si="37"/>
        <v>22.5</v>
      </c>
      <c r="E144" s="125">
        <f t="shared" si="37"/>
        <v>22.5</v>
      </c>
      <c r="F144" s="142">
        <v>0</v>
      </c>
      <c r="G144" s="142">
        <v>0</v>
      </c>
      <c r="H144" s="142">
        <v>0</v>
      </c>
      <c r="I144" s="143">
        <v>10</v>
      </c>
      <c r="J144" s="143" t="s">
        <v>101</v>
      </c>
      <c r="K144" s="143">
        <v>2</v>
      </c>
      <c r="L144" s="144">
        <v>2.5</v>
      </c>
      <c r="M144" s="144" t="s">
        <v>86</v>
      </c>
      <c r="N144" s="147">
        <v>4</v>
      </c>
      <c r="O144" s="143">
        <v>10</v>
      </c>
      <c r="P144" s="143" t="s">
        <v>101</v>
      </c>
      <c r="Q144" s="148">
        <v>2</v>
      </c>
      <c r="R144" s="5"/>
      <c r="S144" s="2"/>
      <c r="T144" s="2"/>
      <c r="U144" s="2"/>
      <c r="V144" s="2"/>
      <c r="W144" s="2"/>
      <c r="X144" s="2"/>
      <c r="Y144" s="2"/>
      <c r="Z144" s="2"/>
    </row>
    <row r="145" spans="1:26" ht="18" x14ac:dyDescent="0.35">
      <c r="A145" s="2"/>
      <c r="B145" s="124" t="s">
        <v>102</v>
      </c>
      <c r="C145" s="125">
        <f t="shared" ref="C145:E145" si="38">(3)*2</f>
        <v>6</v>
      </c>
      <c r="D145" s="125">
        <f t="shared" si="38"/>
        <v>6</v>
      </c>
      <c r="E145" s="125">
        <f t="shared" si="38"/>
        <v>6</v>
      </c>
      <c r="F145" s="142">
        <v>0</v>
      </c>
      <c r="G145" s="142">
        <v>0</v>
      </c>
      <c r="H145" s="142">
        <v>0</v>
      </c>
      <c r="I145" s="143">
        <v>6</v>
      </c>
      <c r="J145" s="143" t="s">
        <v>99</v>
      </c>
      <c r="K145" s="143">
        <v>2</v>
      </c>
      <c r="L145" s="144">
        <v>0</v>
      </c>
      <c r="M145" s="144">
        <v>0</v>
      </c>
      <c r="N145" s="147">
        <v>0</v>
      </c>
      <c r="O145" s="143">
        <v>0</v>
      </c>
      <c r="P145" s="143"/>
      <c r="Q145" s="148">
        <v>0</v>
      </c>
      <c r="R145" s="5"/>
      <c r="S145" s="2"/>
      <c r="T145" s="2"/>
      <c r="U145" s="2"/>
      <c r="V145" s="2"/>
      <c r="W145" s="2"/>
      <c r="X145" s="2"/>
      <c r="Y145" s="2"/>
      <c r="Z145" s="2"/>
    </row>
    <row r="146" spans="1:26" ht="18" x14ac:dyDescent="0.35">
      <c r="A146" s="2"/>
      <c r="B146" s="124" t="s">
        <v>103</v>
      </c>
      <c r="C146" s="125">
        <f t="shared" ref="C146:E146" si="39">(5)*2</f>
        <v>10</v>
      </c>
      <c r="D146" s="125">
        <f t="shared" si="39"/>
        <v>10</v>
      </c>
      <c r="E146" s="125">
        <f t="shared" si="39"/>
        <v>10</v>
      </c>
      <c r="F146" s="142">
        <v>0</v>
      </c>
      <c r="G146" s="142">
        <v>0</v>
      </c>
      <c r="H146" s="142">
        <v>0</v>
      </c>
      <c r="I146" s="143">
        <v>10</v>
      </c>
      <c r="J146" s="143" t="s">
        <v>101</v>
      </c>
      <c r="K146" s="143">
        <v>2</v>
      </c>
      <c r="L146" s="144">
        <v>0</v>
      </c>
      <c r="M146" s="144">
        <v>0</v>
      </c>
      <c r="N146" s="147">
        <v>0</v>
      </c>
      <c r="O146" s="143">
        <v>0</v>
      </c>
      <c r="P146" s="143"/>
      <c r="Q146" s="148">
        <v>0</v>
      </c>
      <c r="R146" s="5"/>
      <c r="S146" s="2"/>
      <c r="T146" s="2"/>
      <c r="U146" s="2"/>
      <c r="V146" s="2"/>
      <c r="W146" s="2"/>
      <c r="X146" s="2"/>
      <c r="Y146" s="2"/>
      <c r="Z146" s="2"/>
    </row>
    <row r="147" spans="1:26" ht="18" x14ac:dyDescent="0.35">
      <c r="A147" s="2"/>
      <c r="B147" s="124" t="s">
        <v>104</v>
      </c>
      <c r="C147" s="125">
        <f t="shared" ref="C147:E147" si="40">(3+3+1.25+3)*2</f>
        <v>20.5</v>
      </c>
      <c r="D147" s="125">
        <f t="shared" si="40"/>
        <v>20.5</v>
      </c>
      <c r="E147" s="125">
        <f t="shared" si="40"/>
        <v>20.5</v>
      </c>
      <c r="F147" s="142">
        <v>6</v>
      </c>
      <c r="G147" s="142" t="s">
        <v>105</v>
      </c>
      <c r="H147" s="142">
        <v>2</v>
      </c>
      <c r="I147" s="143">
        <v>6</v>
      </c>
      <c r="J147" s="143" t="s">
        <v>99</v>
      </c>
      <c r="K147" s="143">
        <v>2</v>
      </c>
      <c r="L147" s="144">
        <v>2.5</v>
      </c>
      <c r="M147" s="144" t="s">
        <v>86</v>
      </c>
      <c r="N147" s="147">
        <v>4</v>
      </c>
      <c r="O147" s="143">
        <v>6</v>
      </c>
      <c r="P147" s="143" t="s">
        <v>99</v>
      </c>
      <c r="Q147" s="148">
        <v>2</v>
      </c>
      <c r="R147" s="5"/>
      <c r="S147" s="2"/>
      <c r="T147" s="2"/>
      <c r="U147" s="2"/>
      <c r="V147" s="2"/>
      <c r="W147" s="2"/>
      <c r="X147" s="2"/>
      <c r="Y147" s="2"/>
      <c r="Z147" s="2"/>
    </row>
    <row r="148" spans="1:26" ht="18" x14ac:dyDescent="0.35">
      <c r="A148" s="2"/>
      <c r="B148" s="127" t="s">
        <v>106</v>
      </c>
      <c r="C148" s="128">
        <f t="shared" ref="C148:E148" si="41">(5+5+1.25+5)*2</f>
        <v>32.5</v>
      </c>
      <c r="D148" s="128">
        <f t="shared" si="41"/>
        <v>32.5</v>
      </c>
      <c r="E148" s="128">
        <f t="shared" si="41"/>
        <v>32.5</v>
      </c>
      <c r="F148" s="149">
        <v>10</v>
      </c>
      <c r="G148" s="149" t="s">
        <v>27</v>
      </c>
      <c r="H148" s="149">
        <v>2</v>
      </c>
      <c r="I148" s="150">
        <v>10</v>
      </c>
      <c r="J148" s="150" t="s">
        <v>101</v>
      </c>
      <c r="K148" s="150">
        <v>2</v>
      </c>
      <c r="L148" s="151">
        <v>2.5</v>
      </c>
      <c r="M148" s="151" t="s">
        <v>86</v>
      </c>
      <c r="N148" s="152">
        <v>4</v>
      </c>
      <c r="O148" s="150">
        <v>10</v>
      </c>
      <c r="P148" s="150" t="s">
        <v>101</v>
      </c>
      <c r="Q148" s="153">
        <v>2</v>
      </c>
      <c r="R148" s="5"/>
      <c r="S148" s="2"/>
      <c r="T148" s="2"/>
      <c r="U148" s="2"/>
      <c r="V148" s="2"/>
      <c r="W148" s="2"/>
      <c r="X148" s="2"/>
      <c r="Y148" s="2"/>
      <c r="Z148" s="2"/>
    </row>
    <row r="149" spans="1:26" ht="18" x14ac:dyDescent="0.3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3"/>
      <c r="O149" s="2"/>
      <c r="P149" s="2"/>
      <c r="Q149" s="4"/>
      <c r="R149" s="5"/>
      <c r="S149" s="2"/>
      <c r="T149" s="2"/>
      <c r="U149" s="2"/>
      <c r="V149" s="2"/>
      <c r="W149" s="2"/>
      <c r="X149" s="2"/>
      <c r="Y149" s="2"/>
      <c r="Z149" s="2"/>
    </row>
    <row r="150" spans="1:26" ht="18" x14ac:dyDescent="0.35">
      <c r="A150" s="2"/>
      <c r="B150" s="119" t="s">
        <v>107</v>
      </c>
      <c r="C150" s="121">
        <v>1</v>
      </c>
      <c r="N150" s="122"/>
      <c r="Q150" s="123"/>
      <c r="R150" s="5"/>
      <c r="S150" s="2"/>
      <c r="T150" s="2"/>
      <c r="U150" s="2"/>
      <c r="V150" s="2"/>
      <c r="W150" s="2"/>
      <c r="X150" s="2"/>
      <c r="Y150" s="2"/>
      <c r="Z150" s="2"/>
    </row>
    <row r="151" spans="1:26" ht="18" x14ac:dyDescent="0.35">
      <c r="A151" s="2"/>
      <c r="B151" s="127" t="s">
        <v>18</v>
      </c>
      <c r="C151" s="129">
        <v>0</v>
      </c>
      <c r="N151" s="122"/>
      <c r="Q151" s="123"/>
      <c r="R151" s="5"/>
      <c r="S151" s="2"/>
      <c r="T151" s="2"/>
      <c r="U151" s="2"/>
      <c r="V151" s="2"/>
      <c r="W151" s="2"/>
      <c r="X151" s="2"/>
      <c r="Y151" s="2"/>
      <c r="Z151" s="2"/>
    </row>
    <row r="152" spans="1:26" ht="18" x14ac:dyDescent="0.35">
      <c r="A152" s="2"/>
      <c r="N152" s="122"/>
      <c r="Q152" s="123"/>
      <c r="R152" s="5"/>
      <c r="S152" s="2"/>
      <c r="T152" s="2"/>
      <c r="U152" s="2"/>
      <c r="V152" s="2"/>
      <c r="W152" s="2"/>
      <c r="X152" s="2"/>
      <c r="Y152" s="2"/>
      <c r="Z152" s="2"/>
    </row>
    <row r="153" spans="1:26" ht="18" x14ac:dyDescent="0.35">
      <c r="A153" s="2"/>
      <c r="B153" s="154" t="s">
        <v>22</v>
      </c>
      <c r="C153" s="121">
        <v>4.2</v>
      </c>
      <c r="N153" s="122"/>
      <c r="Q153" s="123"/>
      <c r="R153" s="5"/>
      <c r="S153" s="2"/>
      <c r="T153" s="2"/>
      <c r="U153" s="2"/>
      <c r="V153" s="2"/>
      <c r="W153" s="2"/>
      <c r="X153" s="2"/>
      <c r="Y153" s="2"/>
      <c r="Z153" s="2"/>
    </row>
    <row r="154" spans="1:26" ht="18" x14ac:dyDescent="0.35">
      <c r="A154" s="2"/>
      <c r="B154" s="155" t="s">
        <v>108</v>
      </c>
      <c r="C154" s="126">
        <v>2</v>
      </c>
      <c r="N154" s="122"/>
      <c r="Q154" s="123"/>
      <c r="R154" s="5"/>
      <c r="S154" s="2"/>
      <c r="T154" s="2"/>
      <c r="U154" s="2"/>
      <c r="V154" s="2"/>
      <c r="W154" s="2"/>
      <c r="X154" s="2"/>
      <c r="Y154" s="2"/>
      <c r="Z154" s="2"/>
    </row>
    <row r="155" spans="1:26" ht="18" x14ac:dyDescent="0.35">
      <c r="A155" s="2"/>
      <c r="B155" s="155" t="s">
        <v>109</v>
      </c>
      <c r="C155" s="126">
        <v>0</v>
      </c>
      <c r="N155" s="122"/>
      <c r="Q155" s="123"/>
      <c r="R155" s="5"/>
      <c r="S155" s="2"/>
      <c r="T155" s="2"/>
      <c r="U155" s="2"/>
      <c r="V155" s="2"/>
      <c r="W155" s="2"/>
      <c r="X155" s="2"/>
      <c r="Y155" s="2"/>
      <c r="Z155" s="2"/>
    </row>
    <row r="156" spans="1:26" ht="18" x14ac:dyDescent="0.35">
      <c r="A156" s="2"/>
      <c r="B156" s="156" t="s">
        <v>20</v>
      </c>
      <c r="C156" s="129"/>
      <c r="N156" s="122"/>
      <c r="Q156" s="123"/>
      <c r="R156" s="5"/>
      <c r="S156" s="2"/>
      <c r="T156" s="2"/>
      <c r="U156" s="2"/>
      <c r="V156" s="2"/>
      <c r="W156" s="2"/>
      <c r="X156" s="2"/>
      <c r="Y156" s="2"/>
      <c r="Z156" s="2"/>
    </row>
    <row r="157" spans="1:26" ht="18" x14ac:dyDescent="0.35">
      <c r="A157" s="2"/>
      <c r="N157" s="122"/>
      <c r="Q157" s="123"/>
      <c r="R157" s="5"/>
      <c r="S157" s="2"/>
      <c r="T157" s="2"/>
      <c r="U157" s="2"/>
      <c r="V157" s="2"/>
      <c r="W157" s="2"/>
      <c r="X157" s="2"/>
      <c r="Y157" s="2"/>
      <c r="Z157" s="2"/>
    </row>
    <row r="158" spans="1:26" ht="18" x14ac:dyDescent="0.35">
      <c r="A158" s="2"/>
      <c r="B158" s="119" t="s">
        <v>110</v>
      </c>
      <c r="C158" s="120">
        <v>0</v>
      </c>
      <c r="D158" s="120"/>
      <c r="E158" s="121">
        <v>0</v>
      </c>
      <c r="N158" s="122"/>
      <c r="Q158" s="123"/>
      <c r="R158" s="5"/>
      <c r="S158" s="2"/>
      <c r="T158" s="2"/>
      <c r="U158" s="2"/>
      <c r="V158" s="2"/>
      <c r="W158" s="2"/>
      <c r="X158" s="2"/>
      <c r="Y158" s="2"/>
      <c r="Z158" s="2"/>
    </row>
    <row r="159" spans="1:26" ht="18" x14ac:dyDescent="0.35">
      <c r="A159" s="2"/>
      <c r="B159" s="124" t="s">
        <v>111</v>
      </c>
      <c r="C159" s="125">
        <v>10</v>
      </c>
      <c r="D159" s="125">
        <v>40</v>
      </c>
      <c r="E159" s="126">
        <v>12</v>
      </c>
      <c r="N159" s="122"/>
      <c r="Q159" s="123"/>
      <c r="R159" s="5"/>
      <c r="S159" s="2"/>
      <c r="T159" s="2"/>
      <c r="U159" s="2"/>
      <c r="V159" s="2"/>
      <c r="W159" s="2"/>
      <c r="X159" s="2"/>
      <c r="Y159" s="2"/>
      <c r="Z159" s="2"/>
    </row>
    <row r="160" spans="1:26" ht="18" x14ac:dyDescent="0.35">
      <c r="A160" s="2"/>
      <c r="B160" s="124" t="s">
        <v>16</v>
      </c>
      <c r="C160" s="125">
        <v>0</v>
      </c>
      <c r="E160" s="126">
        <v>0</v>
      </c>
      <c r="N160" s="122"/>
      <c r="Q160" s="123"/>
      <c r="R160" s="5"/>
      <c r="S160" s="2"/>
      <c r="T160" s="2"/>
      <c r="U160" s="2"/>
      <c r="V160" s="2"/>
      <c r="W160" s="2"/>
      <c r="X160" s="2"/>
      <c r="Y160" s="2"/>
      <c r="Z160" s="2"/>
    </row>
    <row r="161" spans="1:26" ht="18" x14ac:dyDescent="0.35">
      <c r="A161" s="2"/>
      <c r="B161" s="157" t="s">
        <v>112</v>
      </c>
      <c r="C161" s="128">
        <v>5</v>
      </c>
      <c r="D161" s="128">
        <v>20</v>
      </c>
      <c r="E161" s="129">
        <v>0</v>
      </c>
      <c r="N161" s="122"/>
      <c r="Q161" s="123"/>
      <c r="R161" s="5"/>
      <c r="S161" s="2"/>
      <c r="T161" s="2"/>
      <c r="U161" s="2"/>
      <c r="V161" s="2"/>
      <c r="W161" s="2"/>
      <c r="X161" s="2"/>
      <c r="Y161" s="2"/>
      <c r="Z161" s="2"/>
    </row>
    <row r="162" spans="1:26" ht="18" x14ac:dyDescent="0.35">
      <c r="A162" s="2"/>
      <c r="N162" s="122"/>
      <c r="Q162" s="123"/>
      <c r="R162" s="5"/>
      <c r="S162" s="2"/>
      <c r="T162" s="2"/>
      <c r="U162" s="2"/>
      <c r="V162" s="2"/>
      <c r="W162" s="2"/>
      <c r="X162" s="2"/>
      <c r="Y162" s="2"/>
      <c r="Z162" s="2"/>
    </row>
    <row r="163" spans="1:26" ht="18" x14ac:dyDescent="0.35">
      <c r="A163" s="2"/>
      <c r="B163" s="154" t="s">
        <v>16</v>
      </c>
      <c r="N163" s="122"/>
      <c r="Q163" s="123"/>
      <c r="R163" s="5"/>
      <c r="S163" s="2"/>
      <c r="T163" s="2"/>
      <c r="U163" s="2"/>
      <c r="V163" s="2"/>
      <c r="W163" s="2"/>
      <c r="X163" s="2"/>
      <c r="Y163" s="2"/>
      <c r="Z163" s="2"/>
    </row>
    <row r="164" spans="1:26" ht="18" x14ac:dyDescent="0.35">
      <c r="A164" s="2"/>
      <c r="B164" s="155" t="s">
        <v>113</v>
      </c>
      <c r="N164" s="122"/>
      <c r="Q164" s="123"/>
      <c r="R164" s="5"/>
      <c r="S164" s="2"/>
      <c r="T164" s="2"/>
      <c r="U164" s="2"/>
      <c r="V164" s="2"/>
      <c r="W164" s="2"/>
      <c r="X164" s="2"/>
      <c r="Y164" s="2"/>
      <c r="Z164" s="2"/>
    </row>
    <row r="165" spans="1:26" ht="18" x14ac:dyDescent="0.35">
      <c r="A165" s="2"/>
      <c r="B165" s="156" t="s">
        <v>37</v>
      </c>
      <c r="N165" s="122"/>
      <c r="Q165" s="123"/>
      <c r="R165" s="5"/>
      <c r="S165" s="2"/>
      <c r="T165" s="2"/>
      <c r="U165" s="2"/>
      <c r="V165" s="2"/>
      <c r="W165" s="2"/>
      <c r="X165" s="2"/>
      <c r="Y165" s="2"/>
      <c r="Z165" s="2"/>
    </row>
    <row r="166" spans="1:26" ht="18" x14ac:dyDescent="0.35">
      <c r="A166" s="2"/>
      <c r="N166" s="122"/>
      <c r="Q166" s="123"/>
      <c r="R166" s="5"/>
      <c r="S166" s="2"/>
      <c r="T166" s="2"/>
      <c r="U166" s="2"/>
      <c r="V166" s="2"/>
      <c r="W166" s="2"/>
      <c r="X166" s="2"/>
      <c r="Y166" s="2"/>
      <c r="Z166" s="2"/>
    </row>
    <row r="167" spans="1:26" ht="18" x14ac:dyDescent="0.35">
      <c r="A167" s="2"/>
      <c r="B167" s="98"/>
      <c r="C167" s="120" t="s">
        <v>114</v>
      </c>
      <c r="D167" s="120" t="s">
        <v>115</v>
      </c>
      <c r="E167" s="120" t="s">
        <v>116</v>
      </c>
      <c r="F167" s="120" t="s">
        <v>117</v>
      </c>
      <c r="G167" s="120" t="s">
        <v>118</v>
      </c>
      <c r="H167" s="120" t="s">
        <v>119</v>
      </c>
      <c r="I167" s="120" t="s">
        <v>120</v>
      </c>
      <c r="J167" s="120" t="s">
        <v>121</v>
      </c>
      <c r="K167" s="120" t="s">
        <v>122</v>
      </c>
      <c r="L167" s="120" t="s">
        <v>123</v>
      </c>
      <c r="M167" s="121" t="s">
        <v>82</v>
      </c>
      <c r="N167" s="122"/>
      <c r="Q167" s="123"/>
      <c r="R167" s="5"/>
      <c r="S167" s="2"/>
      <c r="T167" s="2"/>
      <c r="U167" s="2"/>
      <c r="V167" s="2"/>
      <c r="W167" s="2"/>
      <c r="X167" s="2"/>
      <c r="Y167" s="2"/>
      <c r="Z167" s="2"/>
    </row>
    <row r="168" spans="1:26" ht="18" x14ac:dyDescent="0.35">
      <c r="A168" s="2"/>
      <c r="B168" s="124">
        <v>1</v>
      </c>
      <c r="C168" s="125">
        <v>2</v>
      </c>
      <c r="D168" s="125">
        <v>3</v>
      </c>
      <c r="E168" s="125">
        <v>4</v>
      </c>
      <c r="F168" s="125">
        <v>5</v>
      </c>
      <c r="G168" s="125">
        <v>6</v>
      </c>
      <c r="H168" s="125">
        <v>7</v>
      </c>
      <c r="I168" s="125">
        <v>8</v>
      </c>
      <c r="J168" s="125">
        <v>9</v>
      </c>
      <c r="K168" s="125">
        <v>10</v>
      </c>
      <c r="L168" s="125">
        <v>11</v>
      </c>
      <c r="M168" s="126">
        <v>12</v>
      </c>
      <c r="N168" s="122"/>
      <c r="Q168" s="123"/>
      <c r="R168" s="5"/>
      <c r="S168" s="2"/>
      <c r="T168" s="2"/>
      <c r="U168" s="2"/>
      <c r="V168" s="2"/>
      <c r="W168" s="2"/>
      <c r="X168" s="2"/>
      <c r="Y168" s="2"/>
      <c r="Z168" s="2"/>
    </row>
    <row r="169" spans="1:26" ht="18" x14ac:dyDescent="0.35">
      <c r="A169" s="2"/>
      <c r="B169" s="124" t="s">
        <v>16</v>
      </c>
      <c r="C169" s="125">
        <v>0</v>
      </c>
      <c r="D169" s="125">
        <v>0</v>
      </c>
      <c r="E169" s="125">
        <v>0</v>
      </c>
      <c r="F169" s="125">
        <v>0</v>
      </c>
      <c r="G169" s="125">
        <v>0</v>
      </c>
      <c r="H169" s="125">
        <v>0</v>
      </c>
      <c r="I169" s="125">
        <v>0</v>
      </c>
      <c r="J169" s="125">
        <v>0</v>
      </c>
      <c r="K169" s="125">
        <v>0</v>
      </c>
      <c r="L169" s="125">
        <v>0</v>
      </c>
      <c r="M169" s="126">
        <v>0</v>
      </c>
      <c r="N169" s="122"/>
      <c r="Q169" s="123"/>
      <c r="R169" s="5"/>
      <c r="S169" s="2"/>
      <c r="T169" s="2"/>
      <c r="U169" s="2"/>
      <c r="V169" s="2"/>
      <c r="W169" s="2"/>
      <c r="X169" s="2"/>
      <c r="Y169" s="2"/>
      <c r="Z169" s="2"/>
    </row>
    <row r="170" spans="1:26" ht="18" x14ac:dyDescent="0.35">
      <c r="A170" s="2"/>
      <c r="B170" s="124" t="s">
        <v>32</v>
      </c>
      <c r="C170" s="125">
        <f t="shared" ref="C170:C171" si="42">IF($F$25="PU 50 mm",10.2,6.2)</f>
        <v>10.199999999999999</v>
      </c>
      <c r="D170" s="125">
        <f t="shared" ref="D170:D171" si="43">IF($F$25="PU 50 mm",11,7)</f>
        <v>11</v>
      </c>
      <c r="E170" s="125">
        <f t="shared" ref="E170:E171" si="44">IF($F$25="PU 50 mm",10.2,6.2)</f>
        <v>10.199999999999999</v>
      </c>
      <c r="F170" s="125">
        <f t="shared" ref="F170:F171" si="45">IF($F$25="PU 50 mm",11,7)</f>
        <v>11</v>
      </c>
      <c r="G170" s="125">
        <v>0.2</v>
      </c>
      <c r="H170" s="125">
        <f>2</f>
        <v>2</v>
      </c>
      <c r="I170" s="125" t="str">
        <f t="shared" ref="I170:J170" si="46">IF($F$25="PU 50 mm","PU 50 mm","PU 30 mm")</f>
        <v>PU 50 mm</v>
      </c>
      <c r="J170" s="125" t="str">
        <f t="shared" si="46"/>
        <v>PU 50 mm</v>
      </c>
      <c r="K170" s="125">
        <v>-0.5</v>
      </c>
      <c r="L170" s="125">
        <v>2</v>
      </c>
      <c r="M170" s="126">
        <v>1</v>
      </c>
      <c r="N170" s="122"/>
      <c r="Q170" s="123"/>
      <c r="R170" s="5"/>
      <c r="S170" s="2"/>
      <c r="T170" s="2"/>
      <c r="U170" s="2"/>
      <c r="V170" s="2"/>
      <c r="W170" s="2"/>
      <c r="X170" s="2"/>
      <c r="Y170" s="2"/>
      <c r="Z170" s="2"/>
    </row>
    <row r="171" spans="1:26" ht="18" x14ac:dyDescent="0.35">
      <c r="A171" s="2"/>
      <c r="B171" s="124" t="s">
        <v>124</v>
      </c>
      <c r="C171" s="125">
        <f t="shared" si="42"/>
        <v>10.199999999999999</v>
      </c>
      <c r="D171" s="125">
        <f t="shared" si="43"/>
        <v>11</v>
      </c>
      <c r="E171" s="125">
        <f t="shared" si="44"/>
        <v>10.199999999999999</v>
      </c>
      <c r="F171" s="125">
        <f t="shared" si="45"/>
        <v>11</v>
      </c>
      <c r="G171" s="125">
        <v>0.2</v>
      </c>
      <c r="H171" s="125">
        <v>1</v>
      </c>
      <c r="I171" s="125" t="str">
        <f t="shared" ref="I171:J171" si="47">IF($F$25="PU 50 mm","PU 50 mm","PU 30 mm")</f>
        <v>PU 50 mm</v>
      </c>
      <c r="J171" s="125" t="str">
        <f t="shared" si="47"/>
        <v>PU 50 mm</v>
      </c>
      <c r="K171" s="125">
        <v>-0.5</v>
      </c>
      <c r="L171" s="125">
        <v>2</v>
      </c>
      <c r="M171" s="126">
        <v>1</v>
      </c>
      <c r="N171" s="122"/>
      <c r="Q171" s="123"/>
      <c r="R171" s="5"/>
      <c r="S171" s="2"/>
      <c r="T171" s="2"/>
      <c r="U171" s="2"/>
      <c r="V171" s="2"/>
      <c r="W171" s="2"/>
      <c r="X171" s="2"/>
      <c r="Y171" s="2"/>
      <c r="Z171" s="2"/>
    </row>
    <row r="172" spans="1:26" ht="18" x14ac:dyDescent="0.35">
      <c r="A172" s="2"/>
      <c r="B172" s="124" t="s">
        <v>125</v>
      </c>
      <c r="C172" s="125">
        <f t="shared" ref="C172:E172" si="48">4.4+IF($F$21="Oui",0.2)</f>
        <v>4.4000000000000004</v>
      </c>
      <c r="D172" s="125">
        <f t="shared" si="48"/>
        <v>4.4000000000000004</v>
      </c>
      <c r="E172" s="125">
        <f t="shared" si="48"/>
        <v>4.4000000000000004</v>
      </c>
      <c r="F172" s="125">
        <f t="shared" ref="F172:F173" si="49">0.2+IF($F$21="Oui",0.2)</f>
        <v>0.2</v>
      </c>
      <c r="G172" s="125">
        <v>4.4000000000000004</v>
      </c>
      <c r="H172" s="125">
        <v>2</v>
      </c>
      <c r="I172" s="125" t="s">
        <v>126</v>
      </c>
      <c r="J172" s="125" t="s">
        <v>126</v>
      </c>
      <c r="K172" s="125">
        <v>4.4000000000000004</v>
      </c>
      <c r="L172" s="125">
        <v>1</v>
      </c>
      <c r="M172" s="126">
        <v>0</v>
      </c>
      <c r="N172" s="122"/>
      <c r="Q172" s="123"/>
      <c r="R172" s="5"/>
      <c r="S172" s="2"/>
      <c r="T172" s="2"/>
      <c r="U172" s="2"/>
      <c r="V172" s="2"/>
      <c r="W172" s="2"/>
      <c r="X172" s="2"/>
      <c r="Y172" s="2"/>
      <c r="Z172" s="2"/>
    </row>
    <row r="173" spans="1:26" ht="18" x14ac:dyDescent="0.35">
      <c r="A173" s="2"/>
      <c r="B173" s="124" t="s">
        <v>127</v>
      </c>
      <c r="C173" s="125">
        <f t="shared" ref="C173:E173" si="50">6.4+IF($F$21="Oui",0.2)</f>
        <v>6.4</v>
      </c>
      <c r="D173" s="125">
        <f t="shared" si="50"/>
        <v>6.4</v>
      </c>
      <c r="E173" s="125">
        <f t="shared" si="50"/>
        <v>6.4</v>
      </c>
      <c r="F173" s="125">
        <f t="shared" si="49"/>
        <v>0.2</v>
      </c>
      <c r="G173" s="125">
        <v>6.4</v>
      </c>
      <c r="H173" s="125">
        <v>2</v>
      </c>
      <c r="I173" s="125" t="s">
        <v>128</v>
      </c>
      <c r="J173" s="125" t="s">
        <v>128</v>
      </c>
      <c r="K173" s="125">
        <v>6.4</v>
      </c>
      <c r="L173" s="125">
        <v>1</v>
      </c>
      <c r="M173" s="126">
        <v>0</v>
      </c>
      <c r="N173" s="122"/>
      <c r="Q173" s="123"/>
      <c r="R173" s="5"/>
      <c r="S173" s="2"/>
      <c r="T173" s="2"/>
      <c r="U173" s="2"/>
      <c r="V173" s="2"/>
      <c r="W173" s="2"/>
      <c r="X173" s="2"/>
      <c r="Y173" s="2"/>
      <c r="Z173" s="2"/>
    </row>
    <row r="174" spans="1:26" ht="18" x14ac:dyDescent="0.35">
      <c r="A174" s="2"/>
      <c r="B174" s="124" t="s">
        <v>129</v>
      </c>
      <c r="C174" s="125">
        <f t="shared" ref="C174:C177" si="51">IF($F$25="PU 50 mm",10.2,6.2)</f>
        <v>10.199999999999999</v>
      </c>
      <c r="D174" s="125">
        <f t="shared" ref="D174:D177" si="52">IF($F$25="PU 50 mm",11,7)</f>
        <v>11</v>
      </c>
      <c r="E174" s="125">
        <f t="shared" ref="E174:E177" si="53">IF($F$25="PU 50 mm",10.2,6.2)</f>
        <v>10.199999999999999</v>
      </c>
      <c r="F174" s="125">
        <f>IF($F$25="PU 50 mm",5.2,3.2)</f>
        <v>5.2</v>
      </c>
      <c r="G174" s="125">
        <v>0.2</v>
      </c>
      <c r="H174" s="125">
        <v>2</v>
      </c>
      <c r="I174" s="125" t="str">
        <f t="shared" ref="I174:J174" si="54">IF($F$25="PU 50 mm","PU 50 mm","PU 30 mm")</f>
        <v>PU 50 mm</v>
      </c>
      <c r="J174" s="125" t="str">
        <f t="shared" si="54"/>
        <v>PU 50 mm</v>
      </c>
      <c r="K174" s="125">
        <v>9.4</v>
      </c>
      <c r="L174" s="125">
        <v>2</v>
      </c>
      <c r="M174" s="126">
        <v>1</v>
      </c>
      <c r="N174" s="122"/>
      <c r="Q174" s="123"/>
      <c r="R174" s="5"/>
      <c r="S174" s="2"/>
      <c r="T174" s="2"/>
      <c r="U174" s="2"/>
      <c r="V174" s="2"/>
      <c r="W174" s="2"/>
      <c r="X174" s="2"/>
      <c r="Y174" s="2"/>
      <c r="Z174" s="2"/>
    </row>
    <row r="175" spans="1:26" ht="18" x14ac:dyDescent="0.35">
      <c r="A175" s="2"/>
      <c r="B175" s="124" t="s">
        <v>130</v>
      </c>
      <c r="C175" s="125">
        <f t="shared" si="51"/>
        <v>10.199999999999999</v>
      </c>
      <c r="D175" s="125">
        <f t="shared" si="52"/>
        <v>11</v>
      </c>
      <c r="E175" s="125">
        <f t="shared" si="53"/>
        <v>10.199999999999999</v>
      </c>
      <c r="F175" s="125">
        <f>IF($F$25="PU 50 mm",6,4)</f>
        <v>6</v>
      </c>
      <c r="G175" s="125">
        <f>IF($F$25="PU 50 mm",10.2,6.2)</f>
        <v>10.199999999999999</v>
      </c>
      <c r="H175" s="125">
        <v>2</v>
      </c>
      <c r="I175" s="125" t="str">
        <f>IF($F$25="PU 50 mm","Ethafoam 50 mm","Ethafoam 30 mm")</f>
        <v>Ethafoam 50 mm</v>
      </c>
      <c r="J175" s="125" t="str">
        <f>IF($F$25="PU 50 mm","PU 50 mm","PU 30 mm")</f>
        <v>PU 50 mm</v>
      </c>
      <c r="K175" s="125">
        <v>-0.5</v>
      </c>
      <c r="L175" s="125">
        <v>2</v>
      </c>
      <c r="M175" s="126">
        <v>1</v>
      </c>
      <c r="N175" s="122"/>
      <c r="Q175" s="123"/>
      <c r="R175" s="5"/>
      <c r="S175" s="2"/>
      <c r="T175" s="2"/>
      <c r="U175" s="2"/>
      <c r="V175" s="2"/>
      <c r="W175" s="2"/>
      <c r="X175" s="2"/>
      <c r="Y175" s="2"/>
      <c r="Z175" s="2"/>
    </row>
    <row r="176" spans="1:26" ht="18" x14ac:dyDescent="0.35">
      <c r="A176" s="2"/>
      <c r="B176" s="124" t="s">
        <v>131</v>
      </c>
      <c r="C176" s="125">
        <f t="shared" si="51"/>
        <v>10.199999999999999</v>
      </c>
      <c r="D176" s="125">
        <f t="shared" si="52"/>
        <v>11</v>
      </c>
      <c r="E176" s="125">
        <f t="shared" si="53"/>
        <v>10.199999999999999</v>
      </c>
      <c r="F176" s="125">
        <f t="shared" ref="F176:F177" si="55">IF($F$25="PU 50 mm",11,7)</f>
        <v>11</v>
      </c>
      <c r="G176" s="125">
        <v>0.2</v>
      </c>
      <c r="H176" s="125">
        <v>2</v>
      </c>
      <c r="I176" s="125" t="str">
        <f t="shared" ref="I176:J176" si="56">IF($F$25="PU 50 mm","PU 50 mm","PU 30 mm")</f>
        <v>PU 50 mm</v>
      </c>
      <c r="J176" s="125" t="str">
        <f t="shared" si="56"/>
        <v>PU 50 mm</v>
      </c>
      <c r="K176" s="125">
        <v>-0.5</v>
      </c>
      <c r="L176" s="128">
        <v>1</v>
      </c>
      <c r="M176" s="126">
        <v>1</v>
      </c>
      <c r="N176" s="122"/>
      <c r="Q176" s="123"/>
      <c r="R176" s="5"/>
      <c r="S176" s="2"/>
      <c r="T176" s="2"/>
      <c r="U176" s="2"/>
      <c r="V176" s="2"/>
      <c r="W176" s="2"/>
      <c r="X176" s="2"/>
      <c r="Y176" s="2"/>
      <c r="Z176" s="2"/>
    </row>
    <row r="177" spans="1:26" ht="18" x14ac:dyDescent="0.35">
      <c r="A177" s="2"/>
      <c r="B177" s="127" t="s">
        <v>132</v>
      </c>
      <c r="C177" s="125">
        <f t="shared" si="51"/>
        <v>10.199999999999999</v>
      </c>
      <c r="D177" s="125">
        <f t="shared" si="52"/>
        <v>11</v>
      </c>
      <c r="E177" s="125">
        <f t="shared" si="53"/>
        <v>10.199999999999999</v>
      </c>
      <c r="F177" s="125">
        <f t="shared" si="55"/>
        <v>11</v>
      </c>
      <c r="G177" s="128">
        <v>0.2</v>
      </c>
      <c r="H177" s="128">
        <v>1</v>
      </c>
      <c r="I177" s="125" t="str">
        <f t="shared" ref="I177:J177" si="57">IF($F$25="PU 50 mm","PU 50 mm","PU 30 mm")</f>
        <v>PU 50 mm</v>
      </c>
      <c r="J177" s="125" t="str">
        <f t="shared" si="57"/>
        <v>PU 50 mm</v>
      </c>
      <c r="K177" s="128">
        <v>-0.5</v>
      </c>
      <c r="L177" s="128">
        <v>1</v>
      </c>
      <c r="M177" s="129">
        <v>1</v>
      </c>
      <c r="N177" s="122"/>
      <c r="Q177" s="123"/>
      <c r="R177" s="5"/>
      <c r="S177" s="2"/>
      <c r="T177" s="2"/>
      <c r="U177" s="2"/>
      <c r="V177" s="2"/>
      <c r="W177" s="2"/>
      <c r="X177" s="2"/>
      <c r="Y177" s="2"/>
      <c r="Z177" s="2"/>
    </row>
    <row r="178" spans="1:26" ht="18" x14ac:dyDescent="0.3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3"/>
      <c r="O178" s="2"/>
      <c r="P178" s="2"/>
      <c r="Q178" s="4"/>
      <c r="R178" s="5"/>
      <c r="S178" s="2"/>
      <c r="T178" s="2"/>
      <c r="U178" s="2"/>
      <c r="V178" s="2"/>
      <c r="W178" s="2"/>
      <c r="X178" s="2"/>
      <c r="Y178" s="2"/>
      <c r="Z178" s="2"/>
    </row>
    <row r="179" spans="1:26" ht="18" x14ac:dyDescent="0.35">
      <c r="A179" s="2"/>
      <c r="B179" s="158" t="s">
        <v>20</v>
      </c>
      <c r="N179" s="122"/>
      <c r="Q179" s="123"/>
      <c r="R179" s="5"/>
      <c r="S179" s="2"/>
      <c r="T179" s="2"/>
      <c r="U179" s="2"/>
      <c r="V179" s="2"/>
      <c r="W179" s="2"/>
      <c r="X179" s="2"/>
      <c r="Y179" s="2"/>
      <c r="Z179" s="2"/>
    </row>
    <row r="180" spans="1:26" ht="18" x14ac:dyDescent="0.35">
      <c r="A180" s="2"/>
      <c r="B180" s="159" t="s">
        <v>14</v>
      </c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3"/>
      <c r="O180" s="2"/>
      <c r="P180" s="2"/>
      <c r="Q180" s="4"/>
      <c r="R180" s="5"/>
      <c r="S180" s="2"/>
      <c r="T180" s="2"/>
      <c r="U180" s="2"/>
      <c r="V180" s="2"/>
      <c r="W180" s="2"/>
      <c r="X180" s="2"/>
      <c r="Y180" s="2"/>
      <c r="Z180" s="2"/>
    </row>
    <row r="181" spans="1:26" ht="18" x14ac:dyDescent="0.3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3"/>
      <c r="O181" s="2"/>
      <c r="P181" s="2"/>
      <c r="Q181" s="4"/>
      <c r="R181" s="5"/>
      <c r="S181" s="2"/>
      <c r="T181" s="2"/>
      <c r="U181" s="2"/>
      <c r="V181" s="2"/>
      <c r="W181" s="2"/>
      <c r="X181" s="2"/>
      <c r="Y181" s="2"/>
      <c r="Z181" s="2"/>
    </row>
    <row r="182" spans="1:26" ht="18" x14ac:dyDescent="0.35">
      <c r="A182" s="2"/>
      <c r="B182" s="160" t="s">
        <v>133</v>
      </c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3"/>
      <c r="O182" s="2"/>
      <c r="P182" s="2"/>
      <c r="Q182" s="4"/>
      <c r="R182" s="5"/>
      <c r="S182" s="2"/>
      <c r="T182" s="2"/>
      <c r="U182" s="2"/>
      <c r="V182" s="2"/>
      <c r="W182" s="2"/>
      <c r="X182" s="2"/>
      <c r="Y182" s="2"/>
      <c r="Z182" s="2"/>
    </row>
    <row r="183" spans="1:26" ht="18" x14ac:dyDescent="0.35">
      <c r="A183" s="2"/>
      <c r="B183" s="161" t="s">
        <v>134</v>
      </c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3"/>
      <c r="O183" s="2"/>
      <c r="P183" s="2"/>
      <c r="Q183" s="4"/>
      <c r="R183" s="5"/>
      <c r="S183" s="2"/>
      <c r="T183" s="2"/>
      <c r="U183" s="2"/>
      <c r="V183" s="2"/>
      <c r="W183" s="2"/>
      <c r="X183" s="2"/>
      <c r="Y183" s="2"/>
      <c r="Z183" s="2"/>
    </row>
    <row r="184" spans="1:26" ht="18" x14ac:dyDescent="0.3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3"/>
      <c r="O184" s="2"/>
      <c r="P184" s="2"/>
      <c r="Q184" s="4"/>
      <c r="R184" s="5"/>
      <c r="S184" s="2"/>
      <c r="T184" s="2"/>
      <c r="U184" s="2"/>
      <c r="V184" s="2"/>
      <c r="W184" s="2"/>
      <c r="X184" s="2"/>
      <c r="Y184" s="2"/>
      <c r="Z184" s="2"/>
    </row>
    <row r="185" spans="1:26" ht="18" x14ac:dyDescent="0.35">
      <c r="A185" s="2"/>
      <c r="B185" s="162" t="s">
        <v>135</v>
      </c>
      <c r="C185" s="163">
        <v>10</v>
      </c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3"/>
      <c r="O185" s="2"/>
      <c r="P185" s="2"/>
      <c r="Q185" s="4"/>
      <c r="R185" s="5"/>
      <c r="S185" s="2"/>
      <c r="T185" s="2"/>
      <c r="U185" s="2"/>
      <c r="V185" s="2"/>
      <c r="W185" s="2"/>
      <c r="X185" s="2"/>
      <c r="Y185" s="2"/>
      <c r="Z185" s="2"/>
    </row>
    <row r="186" spans="1:26" ht="18" x14ac:dyDescent="0.35">
      <c r="A186" s="2"/>
      <c r="B186" s="164" t="s">
        <v>136</v>
      </c>
      <c r="C186" s="165">
        <v>10</v>
      </c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3"/>
      <c r="O186" s="2"/>
      <c r="P186" s="2"/>
      <c r="Q186" s="4"/>
      <c r="R186" s="5"/>
      <c r="S186" s="2"/>
      <c r="T186" s="2"/>
      <c r="U186" s="2"/>
      <c r="V186" s="2"/>
      <c r="W186" s="2"/>
      <c r="X186" s="2"/>
      <c r="Y186" s="2"/>
      <c r="Z186" s="2"/>
    </row>
    <row r="187" spans="1:26" ht="18" x14ac:dyDescent="0.35">
      <c r="A187" s="2"/>
      <c r="B187" s="166" t="s">
        <v>24</v>
      </c>
      <c r="C187" s="167">
        <v>3</v>
      </c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3"/>
      <c r="O187" s="2"/>
      <c r="P187" s="2"/>
      <c r="Q187" s="4"/>
      <c r="R187" s="5"/>
      <c r="S187" s="2"/>
      <c r="T187" s="2"/>
      <c r="U187" s="2"/>
      <c r="V187" s="2"/>
      <c r="W187" s="2"/>
      <c r="X187" s="2"/>
      <c r="Y187" s="2"/>
      <c r="Z187" s="2"/>
    </row>
    <row r="188" spans="1:26" ht="18" x14ac:dyDescent="0.3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3"/>
      <c r="O188" s="2"/>
      <c r="P188" s="2"/>
      <c r="Q188" s="4"/>
      <c r="R188" s="5"/>
      <c r="S188" s="2"/>
      <c r="T188" s="2"/>
      <c r="U188" s="2"/>
      <c r="V188" s="2"/>
      <c r="W188" s="2"/>
      <c r="X188" s="2"/>
      <c r="Y188" s="2"/>
      <c r="Z188" s="2"/>
    </row>
    <row r="189" spans="1:26" ht="18" x14ac:dyDescent="0.35">
      <c r="A189" s="2"/>
      <c r="B189" s="160" t="s">
        <v>105</v>
      </c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3"/>
      <c r="O189" s="2"/>
      <c r="P189" s="2"/>
      <c r="Q189" s="4"/>
      <c r="R189" s="5"/>
      <c r="S189" s="2"/>
      <c r="T189" s="2"/>
      <c r="U189" s="2"/>
      <c r="V189" s="2"/>
      <c r="W189" s="2"/>
      <c r="X189" s="2"/>
      <c r="Y189" s="2"/>
      <c r="Z189" s="2"/>
    </row>
    <row r="190" spans="1:26" ht="18" x14ac:dyDescent="0.35">
      <c r="A190" s="2"/>
      <c r="B190" s="161" t="s">
        <v>27</v>
      </c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3"/>
      <c r="O190" s="2"/>
      <c r="P190" s="2"/>
      <c r="Q190" s="4"/>
      <c r="R190" s="5"/>
      <c r="S190" s="2"/>
      <c r="T190" s="2"/>
      <c r="U190" s="2"/>
      <c r="V190" s="2"/>
      <c r="W190" s="2"/>
      <c r="X190" s="2"/>
      <c r="Y190" s="2"/>
      <c r="Z190" s="2"/>
    </row>
    <row r="191" spans="1:26" ht="18" x14ac:dyDescent="0.3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3"/>
      <c r="O191" s="2"/>
      <c r="P191" s="2"/>
      <c r="Q191" s="4"/>
      <c r="R191" s="5"/>
      <c r="S191" s="2"/>
      <c r="T191" s="2"/>
      <c r="U191" s="2"/>
      <c r="V191" s="2"/>
      <c r="W191" s="2"/>
      <c r="X191" s="2"/>
      <c r="Y191" s="2"/>
      <c r="Z191" s="2"/>
    </row>
    <row r="192" spans="1:26" ht="18" x14ac:dyDescent="0.3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3"/>
      <c r="O192" s="2"/>
      <c r="P192" s="2"/>
      <c r="Q192" s="4"/>
      <c r="R192" s="5"/>
      <c r="S192" s="2"/>
      <c r="T192" s="2"/>
      <c r="U192" s="2"/>
      <c r="V192" s="2"/>
      <c r="W192" s="2"/>
      <c r="X192" s="2"/>
      <c r="Y192" s="2"/>
      <c r="Z192" s="2"/>
    </row>
    <row r="193" spans="1:26" ht="18" x14ac:dyDescent="0.3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3"/>
      <c r="O193" s="2"/>
      <c r="P193" s="2"/>
      <c r="Q193" s="4"/>
      <c r="R193" s="5"/>
      <c r="S193" s="2"/>
      <c r="T193" s="2"/>
      <c r="U193" s="2"/>
      <c r="V193" s="2"/>
      <c r="W193" s="2"/>
      <c r="X193" s="2"/>
      <c r="Y193" s="2"/>
      <c r="Z193" s="2"/>
    </row>
    <row r="194" spans="1:26" ht="18" x14ac:dyDescent="0.35">
      <c r="A194" s="2"/>
      <c r="B194" s="2"/>
      <c r="C194" s="1096" t="str">
        <f>VLOOKUP($F$10,'Infos Clients'!$B$2:$G$10,2)</f>
        <v>#VALUE!</v>
      </c>
      <c r="D194" s="1085"/>
      <c r="E194" s="1086"/>
      <c r="F194" s="2"/>
      <c r="G194" s="2"/>
      <c r="H194" s="2"/>
      <c r="I194" s="2"/>
      <c r="J194" s="2"/>
      <c r="K194" s="2"/>
      <c r="L194" s="2"/>
      <c r="M194" s="2"/>
      <c r="N194" s="3"/>
      <c r="O194" s="2"/>
      <c r="P194" s="2"/>
      <c r="Q194" s="4"/>
      <c r="R194" s="5"/>
      <c r="S194" s="2"/>
      <c r="T194" s="2"/>
      <c r="U194" s="2"/>
      <c r="V194" s="2"/>
      <c r="W194" s="2"/>
      <c r="X194" s="2"/>
      <c r="Y194" s="2"/>
      <c r="Z194" s="2"/>
    </row>
    <row r="195" spans="1:26" ht="18" x14ac:dyDescent="0.35">
      <c r="A195" s="2"/>
      <c r="B195" s="2"/>
      <c r="C195" s="1091"/>
      <c r="D195" s="1097"/>
      <c r="E195" s="1092"/>
      <c r="F195" s="2"/>
      <c r="G195" s="2"/>
      <c r="H195" s="2"/>
      <c r="I195" s="2"/>
      <c r="J195" s="2"/>
      <c r="K195" s="2"/>
      <c r="L195" s="2"/>
      <c r="M195" s="2"/>
      <c r="N195" s="3"/>
      <c r="O195" s="2"/>
      <c r="P195" s="2"/>
      <c r="Q195" s="4"/>
      <c r="R195" s="5"/>
      <c r="S195" s="2"/>
      <c r="T195" s="2"/>
      <c r="U195" s="2"/>
      <c r="V195" s="2"/>
      <c r="W195" s="2"/>
      <c r="X195" s="2"/>
      <c r="Y195" s="2"/>
      <c r="Z195" s="2"/>
    </row>
    <row r="196" spans="1:26" ht="18" x14ac:dyDescent="0.35">
      <c r="A196" s="2"/>
      <c r="B196" s="2"/>
      <c r="C196" s="1091"/>
      <c r="D196" s="1097"/>
      <c r="E196" s="1092"/>
      <c r="F196" s="2"/>
      <c r="G196" s="2"/>
      <c r="H196" s="2"/>
      <c r="I196" s="2"/>
      <c r="J196" s="2"/>
      <c r="K196" s="2"/>
      <c r="L196" s="2"/>
      <c r="M196" s="2"/>
      <c r="N196" s="3"/>
      <c r="O196" s="2"/>
      <c r="P196" s="2"/>
      <c r="Q196" s="4"/>
      <c r="R196" s="5"/>
      <c r="S196" s="2"/>
      <c r="T196" s="2"/>
      <c r="U196" s="2"/>
      <c r="V196" s="2"/>
      <c r="W196" s="2"/>
      <c r="X196" s="2"/>
      <c r="Y196" s="2"/>
      <c r="Z196" s="2"/>
    </row>
    <row r="197" spans="1:26" ht="18" x14ac:dyDescent="0.35">
      <c r="A197" s="2"/>
      <c r="B197" s="2"/>
      <c r="C197" s="1091"/>
      <c r="D197" s="1097"/>
      <c r="E197" s="1092"/>
      <c r="F197" s="2"/>
      <c r="G197" s="2"/>
      <c r="H197" s="2"/>
      <c r="I197" s="2"/>
      <c r="J197" s="2"/>
      <c r="K197" s="2"/>
      <c r="L197" s="2"/>
      <c r="M197" s="2"/>
      <c r="N197" s="3"/>
      <c r="O197" s="2"/>
      <c r="P197" s="2"/>
      <c r="Q197" s="4"/>
      <c r="R197" s="5"/>
      <c r="S197" s="2"/>
      <c r="T197" s="2"/>
      <c r="U197" s="2"/>
      <c r="V197" s="2"/>
      <c r="W197" s="2"/>
      <c r="X197" s="2"/>
      <c r="Y197" s="2"/>
      <c r="Z197" s="2"/>
    </row>
    <row r="198" spans="1:26" ht="18" x14ac:dyDescent="0.35">
      <c r="A198" s="2"/>
      <c r="B198" s="2"/>
      <c r="C198" s="1091"/>
      <c r="D198" s="1097"/>
      <c r="E198" s="1092"/>
      <c r="F198" s="2"/>
      <c r="G198" s="2"/>
      <c r="H198" s="2"/>
      <c r="I198" s="2"/>
      <c r="J198" s="2"/>
      <c r="K198" s="2"/>
      <c r="L198" s="2"/>
      <c r="M198" s="2"/>
      <c r="N198" s="3"/>
      <c r="O198" s="2"/>
      <c r="P198" s="2"/>
      <c r="Q198" s="4"/>
      <c r="R198" s="5"/>
      <c r="S198" s="2"/>
      <c r="T198" s="2"/>
      <c r="U198" s="2"/>
      <c r="V198" s="2"/>
      <c r="W198" s="2"/>
      <c r="X198" s="2"/>
      <c r="Y198" s="2"/>
      <c r="Z198" s="2"/>
    </row>
    <row r="199" spans="1:26" ht="18" x14ac:dyDescent="0.35">
      <c r="A199" s="2"/>
      <c r="B199" s="2"/>
      <c r="C199" s="1087"/>
      <c r="D199" s="1088"/>
      <c r="E199" s="1089"/>
      <c r="F199" s="2"/>
      <c r="G199" s="2"/>
      <c r="H199" s="2"/>
      <c r="I199" s="2"/>
      <c r="J199" s="2"/>
      <c r="K199" s="2"/>
      <c r="L199" s="2"/>
      <c r="M199" s="2"/>
      <c r="N199" s="3"/>
      <c r="O199" s="2"/>
      <c r="P199" s="2"/>
      <c r="Q199" s="4"/>
      <c r="R199" s="5"/>
      <c r="S199" s="2"/>
      <c r="T199" s="2"/>
      <c r="U199" s="2"/>
      <c r="V199" s="2"/>
      <c r="W199" s="2"/>
      <c r="X199" s="2"/>
      <c r="Y199" s="2"/>
      <c r="Z199" s="2"/>
    </row>
    <row r="200" spans="1:26" ht="18" x14ac:dyDescent="0.3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3"/>
      <c r="O200" s="2"/>
      <c r="P200" s="2"/>
      <c r="Q200" s="4"/>
      <c r="R200" s="5"/>
      <c r="S200" s="2"/>
      <c r="T200" s="2"/>
      <c r="U200" s="2"/>
      <c r="V200" s="2"/>
      <c r="W200" s="2"/>
      <c r="X200" s="2"/>
      <c r="Y200" s="2"/>
      <c r="Z200" s="2"/>
    </row>
    <row r="201" spans="1:26" ht="18" x14ac:dyDescent="0.3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3"/>
      <c r="O201" s="2"/>
      <c r="P201" s="2"/>
      <c r="Q201" s="4"/>
      <c r="R201" s="5"/>
      <c r="S201" s="2"/>
      <c r="T201" s="2"/>
      <c r="U201" s="2"/>
      <c r="V201" s="2"/>
      <c r="W201" s="2"/>
      <c r="X201" s="2"/>
      <c r="Y201" s="2"/>
      <c r="Z201" s="2"/>
    </row>
    <row r="202" spans="1:26" ht="18" x14ac:dyDescent="0.3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3"/>
      <c r="O202" s="2"/>
      <c r="P202" s="2"/>
      <c r="Q202" s="4"/>
      <c r="R202" s="5"/>
      <c r="S202" s="2"/>
      <c r="T202" s="2"/>
      <c r="U202" s="2"/>
      <c r="V202" s="2"/>
      <c r="W202" s="2"/>
      <c r="X202" s="2"/>
      <c r="Y202" s="2"/>
      <c r="Z202" s="2"/>
    </row>
    <row r="203" spans="1:26" ht="18" x14ac:dyDescent="0.3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3"/>
      <c r="O203" s="2"/>
      <c r="P203" s="2"/>
      <c r="Q203" s="4"/>
      <c r="R203" s="5"/>
      <c r="S203" s="2"/>
      <c r="T203" s="2"/>
      <c r="U203" s="2"/>
      <c r="V203" s="2"/>
      <c r="W203" s="2"/>
      <c r="X203" s="2"/>
      <c r="Y203" s="2"/>
      <c r="Z203" s="2"/>
    </row>
    <row r="204" spans="1:26" ht="18" x14ac:dyDescent="0.3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3"/>
      <c r="O204" s="2"/>
      <c r="P204" s="2"/>
      <c r="Q204" s="4"/>
      <c r="R204" s="5"/>
      <c r="S204" s="2"/>
      <c r="T204" s="2"/>
      <c r="U204" s="2"/>
      <c r="V204" s="2"/>
      <c r="W204" s="2"/>
      <c r="X204" s="2"/>
      <c r="Y204" s="2"/>
      <c r="Z204" s="2"/>
    </row>
    <row r="205" spans="1:26" ht="18" x14ac:dyDescent="0.3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3"/>
      <c r="O205" s="2"/>
      <c r="P205" s="2"/>
      <c r="Q205" s="4"/>
      <c r="R205" s="5"/>
      <c r="S205" s="2"/>
      <c r="T205" s="2"/>
      <c r="U205" s="2"/>
      <c r="V205" s="2"/>
      <c r="W205" s="2"/>
      <c r="X205" s="2"/>
      <c r="Y205" s="2"/>
      <c r="Z205" s="2"/>
    </row>
    <row r="206" spans="1:26" ht="18" x14ac:dyDescent="0.3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3"/>
      <c r="O206" s="2"/>
      <c r="P206" s="2"/>
      <c r="Q206" s="4"/>
      <c r="R206" s="5"/>
      <c r="S206" s="2"/>
      <c r="T206" s="2"/>
      <c r="U206" s="2"/>
      <c r="V206" s="2"/>
      <c r="W206" s="2"/>
      <c r="X206" s="2"/>
      <c r="Y206" s="2"/>
      <c r="Z206" s="2"/>
    </row>
    <row r="207" spans="1:26" ht="18" x14ac:dyDescent="0.3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3"/>
      <c r="O207" s="2"/>
      <c r="P207" s="2"/>
      <c r="Q207" s="4"/>
      <c r="R207" s="5"/>
      <c r="S207" s="2"/>
      <c r="T207" s="2"/>
      <c r="U207" s="2"/>
      <c r="V207" s="2"/>
      <c r="W207" s="2"/>
      <c r="X207" s="2"/>
      <c r="Y207" s="2"/>
      <c r="Z207" s="2"/>
    </row>
    <row r="208" spans="1:26" ht="18" x14ac:dyDescent="0.3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3"/>
      <c r="O208" s="2"/>
      <c r="P208" s="2"/>
      <c r="Q208" s="4"/>
      <c r="R208" s="5"/>
      <c r="S208" s="2"/>
      <c r="T208" s="2"/>
      <c r="U208" s="2"/>
      <c r="V208" s="2"/>
      <c r="W208" s="2"/>
      <c r="X208" s="2"/>
      <c r="Y208" s="2"/>
      <c r="Z208" s="2"/>
    </row>
    <row r="209" spans="1:26" ht="18" x14ac:dyDescent="0.3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3"/>
      <c r="O209" s="2"/>
      <c r="P209" s="2"/>
      <c r="Q209" s="4"/>
      <c r="R209" s="5"/>
      <c r="S209" s="2"/>
      <c r="T209" s="2"/>
      <c r="U209" s="2"/>
      <c r="V209" s="2"/>
      <c r="W209" s="2"/>
      <c r="X209" s="2"/>
      <c r="Y209" s="2"/>
      <c r="Z209" s="2"/>
    </row>
    <row r="210" spans="1:26" ht="18" x14ac:dyDescent="0.3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3"/>
      <c r="O210" s="2"/>
      <c r="P210" s="2"/>
      <c r="Q210" s="4"/>
      <c r="R210" s="5"/>
      <c r="S210" s="2"/>
      <c r="T210" s="2"/>
      <c r="U210" s="2"/>
      <c r="V210" s="2"/>
      <c r="W210" s="2"/>
      <c r="X210" s="2"/>
      <c r="Y210" s="2"/>
      <c r="Z210" s="2"/>
    </row>
    <row r="211" spans="1:26" ht="18" x14ac:dyDescent="0.3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3"/>
      <c r="O211" s="2"/>
      <c r="P211" s="2"/>
      <c r="Q211" s="4"/>
      <c r="R211" s="5"/>
      <c r="S211" s="2"/>
      <c r="T211" s="2"/>
      <c r="U211" s="2"/>
      <c r="V211" s="2"/>
      <c r="W211" s="2"/>
      <c r="X211" s="2"/>
      <c r="Y211" s="2"/>
      <c r="Z211" s="2"/>
    </row>
    <row r="212" spans="1:26" ht="18" x14ac:dyDescent="0.3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3"/>
      <c r="O212" s="2"/>
      <c r="P212" s="2"/>
      <c r="Q212" s="4"/>
      <c r="R212" s="5"/>
      <c r="S212" s="2"/>
      <c r="T212" s="2"/>
      <c r="U212" s="2"/>
      <c r="V212" s="2"/>
      <c r="W212" s="2"/>
      <c r="X212" s="2"/>
      <c r="Y212" s="2"/>
      <c r="Z212" s="2"/>
    </row>
    <row r="213" spans="1:26" ht="18" x14ac:dyDescent="0.3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3"/>
      <c r="O213" s="2"/>
      <c r="P213" s="2"/>
      <c r="Q213" s="4"/>
      <c r="R213" s="5"/>
      <c r="S213" s="2"/>
      <c r="T213" s="2"/>
      <c r="U213" s="2"/>
      <c r="V213" s="2"/>
      <c r="W213" s="2"/>
      <c r="X213" s="2"/>
      <c r="Y213" s="2"/>
      <c r="Z213" s="2"/>
    </row>
    <row r="214" spans="1:26" ht="18" x14ac:dyDescent="0.3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3"/>
      <c r="O214" s="2"/>
      <c r="P214" s="2"/>
      <c r="Q214" s="4"/>
      <c r="R214" s="5"/>
      <c r="S214" s="2"/>
      <c r="T214" s="2"/>
      <c r="U214" s="2"/>
      <c r="V214" s="2"/>
      <c r="W214" s="2"/>
      <c r="X214" s="2"/>
      <c r="Y214" s="2"/>
      <c r="Z214" s="2"/>
    </row>
    <row r="215" spans="1:26" ht="18" x14ac:dyDescent="0.3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3"/>
      <c r="O215" s="2"/>
      <c r="P215" s="2"/>
      <c r="Q215" s="4"/>
      <c r="R215" s="5"/>
      <c r="S215" s="2"/>
      <c r="T215" s="2"/>
      <c r="U215" s="2"/>
      <c r="V215" s="2"/>
      <c r="W215" s="2"/>
      <c r="X215" s="2"/>
      <c r="Y215" s="2"/>
      <c r="Z215" s="2"/>
    </row>
    <row r="216" spans="1:26" ht="18" x14ac:dyDescent="0.3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3"/>
      <c r="O216" s="2"/>
      <c r="P216" s="2"/>
      <c r="Q216" s="4"/>
      <c r="R216" s="5"/>
      <c r="S216" s="2"/>
      <c r="T216" s="2"/>
      <c r="U216" s="2"/>
      <c r="V216" s="2"/>
      <c r="W216" s="2"/>
      <c r="X216" s="2"/>
      <c r="Y216" s="2"/>
      <c r="Z216" s="2"/>
    </row>
    <row r="217" spans="1:26" ht="18" x14ac:dyDescent="0.3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3"/>
      <c r="O217" s="2"/>
      <c r="P217" s="2"/>
      <c r="Q217" s="4"/>
      <c r="R217" s="5"/>
      <c r="S217" s="2"/>
      <c r="T217" s="2"/>
      <c r="U217" s="2"/>
      <c r="V217" s="2"/>
      <c r="W217" s="2"/>
      <c r="X217" s="2"/>
      <c r="Y217" s="2"/>
      <c r="Z217" s="2"/>
    </row>
    <row r="218" spans="1:26" ht="18" x14ac:dyDescent="0.3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3"/>
      <c r="O218" s="2"/>
      <c r="P218" s="2"/>
      <c r="Q218" s="4"/>
      <c r="R218" s="5"/>
      <c r="S218" s="2"/>
      <c r="T218" s="2"/>
      <c r="U218" s="2"/>
      <c r="V218" s="2"/>
      <c r="W218" s="2"/>
      <c r="X218" s="2"/>
      <c r="Y218" s="2"/>
      <c r="Z218" s="2"/>
    </row>
    <row r="219" spans="1:26" ht="18" x14ac:dyDescent="0.3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3"/>
      <c r="O219" s="2"/>
      <c r="P219" s="2"/>
      <c r="Q219" s="4"/>
      <c r="R219" s="5"/>
      <c r="S219" s="2"/>
      <c r="T219" s="2"/>
      <c r="U219" s="2"/>
      <c r="V219" s="2"/>
      <c r="W219" s="2"/>
      <c r="X219" s="2"/>
      <c r="Y219" s="2"/>
      <c r="Z219" s="2"/>
    </row>
    <row r="220" spans="1:26" ht="18" x14ac:dyDescent="0.3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3"/>
      <c r="O220" s="2"/>
      <c r="P220" s="2"/>
      <c r="Q220" s="4"/>
      <c r="R220" s="5"/>
      <c r="S220" s="2"/>
      <c r="T220" s="2"/>
      <c r="U220" s="2"/>
      <c r="V220" s="2"/>
      <c r="W220" s="2"/>
      <c r="X220" s="2"/>
      <c r="Y220" s="2"/>
      <c r="Z220" s="2"/>
    </row>
    <row r="221" spans="1:26" ht="18" x14ac:dyDescent="0.3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3"/>
      <c r="O221" s="2"/>
      <c r="P221" s="2"/>
      <c r="Q221" s="4"/>
      <c r="R221" s="5"/>
      <c r="S221" s="2"/>
      <c r="T221" s="2"/>
      <c r="U221" s="2"/>
      <c r="V221" s="2"/>
      <c r="W221" s="2"/>
      <c r="X221" s="2"/>
      <c r="Y221" s="2"/>
      <c r="Z221" s="2"/>
    </row>
    <row r="222" spans="1:26" ht="18" x14ac:dyDescent="0.3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3"/>
      <c r="O222" s="2"/>
      <c r="P222" s="2"/>
      <c r="Q222" s="4"/>
      <c r="R222" s="5"/>
      <c r="S222" s="2"/>
      <c r="T222" s="2"/>
      <c r="U222" s="2"/>
      <c r="V222" s="2"/>
      <c r="W222" s="2"/>
      <c r="X222" s="2"/>
      <c r="Y222" s="2"/>
      <c r="Z222" s="2"/>
    </row>
    <row r="223" spans="1:26" ht="18" x14ac:dyDescent="0.3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3"/>
      <c r="O223" s="2"/>
      <c r="P223" s="2"/>
      <c r="Q223" s="4"/>
      <c r="R223" s="5"/>
      <c r="S223" s="2"/>
      <c r="T223" s="2"/>
      <c r="U223" s="2"/>
      <c r="V223" s="2"/>
      <c r="W223" s="2"/>
      <c r="X223" s="2"/>
      <c r="Y223" s="2"/>
      <c r="Z223" s="2"/>
    </row>
    <row r="224" spans="1:26" ht="18" x14ac:dyDescent="0.3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3"/>
      <c r="O224" s="2"/>
      <c r="P224" s="2"/>
      <c r="Q224" s="4"/>
      <c r="R224" s="5"/>
      <c r="S224" s="2"/>
      <c r="T224" s="2"/>
      <c r="U224" s="2"/>
      <c r="V224" s="2"/>
      <c r="W224" s="2"/>
      <c r="X224" s="2"/>
      <c r="Y224" s="2"/>
      <c r="Z224" s="2"/>
    </row>
    <row r="225" spans="1:26" ht="18" x14ac:dyDescent="0.3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3"/>
      <c r="O225" s="2"/>
      <c r="P225" s="2"/>
      <c r="Q225" s="4"/>
      <c r="R225" s="5"/>
      <c r="S225" s="2"/>
      <c r="T225" s="2"/>
      <c r="U225" s="2"/>
      <c r="V225" s="2"/>
      <c r="W225" s="2"/>
      <c r="X225" s="2"/>
      <c r="Y225" s="2"/>
      <c r="Z225" s="2"/>
    </row>
    <row r="226" spans="1:26" ht="18" x14ac:dyDescent="0.3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3"/>
      <c r="O226" s="2"/>
      <c r="P226" s="2"/>
      <c r="Q226" s="4"/>
      <c r="R226" s="5"/>
      <c r="S226" s="2"/>
      <c r="T226" s="2"/>
      <c r="U226" s="2"/>
      <c r="V226" s="2"/>
      <c r="W226" s="2"/>
      <c r="X226" s="2"/>
      <c r="Y226" s="2"/>
      <c r="Z226" s="2"/>
    </row>
    <row r="227" spans="1:26" ht="18" x14ac:dyDescent="0.3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3"/>
      <c r="O227" s="2"/>
      <c r="P227" s="2"/>
      <c r="Q227" s="4"/>
      <c r="R227" s="5"/>
      <c r="S227" s="2"/>
      <c r="T227" s="2"/>
      <c r="U227" s="2"/>
      <c r="V227" s="2"/>
      <c r="W227" s="2"/>
      <c r="X227" s="2"/>
      <c r="Y227" s="2"/>
      <c r="Z227" s="2"/>
    </row>
    <row r="228" spans="1:26" ht="18" x14ac:dyDescent="0.3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3"/>
      <c r="O228" s="2"/>
      <c r="P228" s="2"/>
      <c r="Q228" s="4"/>
      <c r="R228" s="5"/>
      <c r="S228" s="2"/>
      <c r="T228" s="2"/>
      <c r="U228" s="2"/>
      <c r="V228" s="2"/>
      <c r="W228" s="2"/>
      <c r="X228" s="2"/>
      <c r="Y228" s="2"/>
      <c r="Z228" s="2"/>
    </row>
    <row r="229" spans="1:26" ht="18" x14ac:dyDescent="0.3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3"/>
      <c r="O229" s="2"/>
      <c r="P229" s="2"/>
      <c r="Q229" s="4"/>
      <c r="R229" s="5"/>
      <c r="S229" s="2"/>
      <c r="T229" s="2"/>
      <c r="U229" s="2"/>
      <c r="V229" s="2"/>
      <c r="W229" s="2"/>
      <c r="X229" s="2"/>
      <c r="Y229" s="2"/>
      <c r="Z229" s="2"/>
    </row>
    <row r="230" spans="1:26" ht="18" x14ac:dyDescent="0.3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3"/>
      <c r="O230" s="2"/>
      <c r="P230" s="2"/>
      <c r="Q230" s="4"/>
      <c r="R230" s="5"/>
      <c r="S230" s="2"/>
      <c r="T230" s="2"/>
      <c r="U230" s="2"/>
      <c r="V230" s="2"/>
      <c r="W230" s="2"/>
      <c r="X230" s="2"/>
      <c r="Y230" s="2"/>
      <c r="Z230" s="2"/>
    </row>
    <row r="231" spans="1:26" ht="18" x14ac:dyDescent="0.3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3"/>
      <c r="O231" s="2"/>
      <c r="P231" s="2"/>
      <c r="Q231" s="4"/>
      <c r="R231" s="5"/>
      <c r="S231" s="2"/>
      <c r="T231" s="2"/>
      <c r="U231" s="2"/>
      <c r="V231" s="2"/>
      <c r="W231" s="2"/>
      <c r="X231" s="2"/>
      <c r="Y231" s="2"/>
      <c r="Z231" s="2"/>
    </row>
    <row r="232" spans="1:26" ht="18" x14ac:dyDescent="0.3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3"/>
      <c r="O232" s="2"/>
      <c r="P232" s="2"/>
      <c r="Q232" s="4"/>
      <c r="R232" s="5"/>
      <c r="S232" s="2"/>
      <c r="T232" s="2"/>
      <c r="U232" s="2"/>
      <c r="V232" s="2"/>
      <c r="W232" s="2"/>
      <c r="X232" s="2"/>
      <c r="Y232" s="2"/>
      <c r="Z232" s="2"/>
    </row>
    <row r="233" spans="1:26" ht="18" x14ac:dyDescent="0.3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3"/>
      <c r="O233" s="2"/>
      <c r="P233" s="2"/>
      <c r="Q233" s="4"/>
      <c r="R233" s="5"/>
      <c r="S233" s="2"/>
      <c r="T233" s="2"/>
      <c r="U233" s="2"/>
      <c r="V233" s="2"/>
      <c r="W233" s="2"/>
      <c r="X233" s="2"/>
      <c r="Y233" s="2"/>
      <c r="Z233" s="2"/>
    </row>
    <row r="234" spans="1:26" ht="18" x14ac:dyDescent="0.3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3"/>
      <c r="O234" s="2"/>
      <c r="P234" s="2"/>
      <c r="Q234" s="4"/>
      <c r="R234" s="5"/>
      <c r="S234" s="2"/>
      <c r="T234" s="2"/>
      <c r="U234" s="2"/>
      <c r="V234" s="2"/>
      <c r="W234" s="2"/>
      <c r="X234" s="2"/>
      <c r="Y234" s="2"/>
      <c r="Z234" s="2"/>
    </row>
    <row r="235" spans="1:26" ht="18" x14ac:dyDescent="0.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3"/>
      <c r="O235" s="2"/>
      <c r="P235" s="2"/>
      <c r="Q235" s="4"/>
      <c r="R235" s="5"/>
      <c r="S235" s="2"/>
      <c r="T235" s="2"/>
      <c r="U235" s="2"/>
      <c r="V235" s="2"/>
      <c r="W235" s="2"/>
      <c r="X235" s="2"/>
      <c r="Y235" s="2"/>
      <c r="Z235" s="2"/>
    </row>
    <row r="236" spans="1:26" ht="18" x14ac:dyDescent="0.3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3"/>
      <c r="O236" s="2"/>
      <c r="P236" s="2"/>
      <c r="Q236" s="4"/>
      <c r="R236" s="5"/>
      <c r="S236" s="2"/>
      <c r="T236" s="2"/>
      <c r="U236" s="2"/>
      <c r="V236" s="2"/>
      <c r="W236" s="2"/>
      <c r="X236" s="2"/>
      <c r="Y236" s="2"/>
      <c r="Z236" s="2"/>
    </row>
    <row r="237" spans="1:26" ht="18" x14ac:dyDescent="0.3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3"/>
      <c r="O237" s="2"/>
      <c r="P237" s="2"/>
      <c r="Q237" s="4"/>
      <c r="R237" s="5"/>
      <c r="S237" s="2"/>
      <c r="T237" s="2"/>
      <c r="U237" s="2"/>
      <c r="V237" s="2"/>
      <c r="W237" s="2"/>
      <c r="X237" s="2"/>
      <c r="Y237" s="2"/>
      <c r="Z237" s="2"/>
    </row>
    <row r="238" spans="1:26" ht="18" x14ac:dyDescent="0.3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3"/>
      <c r="O238" s="2"/>
      <c r="P238" s="2"/>
      <c r="Q238" s="4"/>
      <c r="R238" s="5"/>
      <c r="S238" s="2"/>
      <c r="T238" s="2"/>
      <c r="U238" s="2"/>
      <c r="V238" s="2"/>
      <c r="W238" s="2"/>
      <c r="X238" s="2"/>
      <c r="Y238" s="2"/>
      <c r="Z238" s="2"/>
    </row>
    <row r="239" spans="1:26" ht="18" x14ac:dyDescent="0.3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3"/>
      <c r="O239" s="2"/>
      <c r="P239" s="2"/>
      <c r="Q239" s="4"/>
      <c r="R239" s="5"/>
      <c r="S239" s="2"/>
      <c r="T239" s="2"/>
      <c r="U239" s="2"/>
      <c r="V239" s="2"/>
      <c r="W239" s="2"/>
      <c r="X239" s="2"/>
      <c r="Y239" s="2"/>
      <c r="Z239" s="2"/>
    </row>
    <row r="240" spans="1:26" ht="18" x14ac:dyDescent="0.3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3"/>
      <c r="O240" s="2"/>
      <c r="P240" s="2"/>
      <c r="Q240" s="4"/>
      <c r="R240" s="5"/>
      <c r="S240" s="2"/>
      <c r="T240" s="2"/>
      <c r="U240" s="2"/>
      <c r="V240" s="2"/>
      <c r="W240" s="2"/>
      <c r="X240" s="2"/>
      <c r="Y240" s="2"/>
      <c r="Z240" s="2"/>
    </row>
    <row r="241" spans="1:26" ht="18" x14ac:dyDescent="0.3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3"/>
      <c r="O241" s="2"/>
      <c r="P241" s="2"/>
      <c r="Q241" s="4"/>
      <c r="R241" s="5"/>
      <c r="S241" s="2"/>
      <c r="T241" s="2"/>
      <c r="U241" s="2"/>
      <c r="V241" s="2"/>
      <c r="W241" s="2"/>
      <c r="X241" s="2"/>
      <c r="Y241" s="2"/>
      <c r="Z241" s="2"/>
    </row>
    <row r="242" spans="1:26" ht="18" x14ac:dyDescent="0.3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3"/>
      <c r="O242" s="2"/>
      <c r="P242" s="2"/>
      <c r="Q242" s="4"/>
      <c r="R242" s="5"/>
      <c r="S242" s="2"/>
      <c r="T242" s="2"/>
      <c r="U242" s="2"/>
      <c r="V242" s="2"/>
      <c r="W242" s="2"/>
      <c r="X242" s="2"/>
      <c r="Y242" s="2"/>
      <c r="Z242" s="2"/>
    </row>
    <row r="243" spans="1:26" ht="18" x14ac:dyDescent="0.3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3"/>
      <c r="O243" s="2"/>
      <c r="P243" s="2"/>
      <c r="Q243" s="4"/>
      <c r="R243" s="5"/>
      <c r="S243" s="2"/>
      <c r="T243" s="2"/>
      <c r="U243" s="2"/>
      <c r="V243" s="2"/>
      <c r="W243" s="2"/>
      <c r="X243" s="2"/>
      <c r="Y243" s="2"/>
      <c r="Z243" s="2"/>
    </row>
    <row r="244" spans="1:26" ht="18" x14ac:dyDescent="0.3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3"/>
      <c r="O244" s="2"/>
      <c r="P244" s="2"/>
      <c r="Q244" s="4"/>
      <c r="R244" s="5"/>
      <c r="S244" s="2"/>
      <c r="T244" s="2"/>
      <c r="U244" s="2"/>
      <c r="V244" s="2"/>
      <c r="W244" s="2"/>
      <c r="X244" s="2"/>
      <c r="Y244" s="2"/>
      <c r="Z244" s="2"/>
    </row>
    <row r="245" spans="1:26" ht="18" x14ac:dyDescent="0.3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3"/>
      <c r="O245" s="2"/>
      <c r="P245" s="2"/>
      <c r="Q245" s="4"/>
      <c r="R245" s="5"/>
      <c r="S245" s="2"/>
      <c r="T245" s="2"/>
      <c r="U245" s="2"/>
      <c r="V245" s="2"/>
      <c r="W245" s="2"/>
      <c r="X245" s="2"/>
      <c r="Y245" s="2"/>
      <c r="Z245" s="2"/>
    </row>
    <row r="246" spans="1:26" ht="18" x14ac:dyDescent="0.3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3"/>
      <c r="O246" s="2"/>
      <c r="P246" s="2"/>
      <c r="Q246" s="4"/>
      <c r="R246" s="5"/>
      <c r="S246" s="2"/>
      <c r="T246" s="2"/>
      <c r="U246" s="2"/>
      <c r="V246" s="2"/>
      <c r="W246" s="2"/>
      <c r="X246" s="2"/>
      <c r="Y246" s="2"/>
      <c r="Z246" s="2"/>
    </row>
    <row r="247" spans="1:26" ht="18" x14ac:dyDescent="0.3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3"/>
      <c r="O247" s="2"/>
      <c r="P247" s="2"/>
      <c r="Q247" s="4"/>
      <c r="R247" s="5"/>
      <c r="S247" s="2"/>
      <c r="T247" s="2"/>
      <c r="U247" s="2"/>
      <c r="V247" s="2"/>
      <c r="W247" s="2"/>
      <c r="X247" s="2"/>
      <c r="Y247" s="2"/>
      <c r="Z247" s="2"/>
    </row>
    <row r="248" spans="1:26" ht="18" x14ac:dyDescent="0.3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3"/>
      <c r="O248" s="2"/>
      <c r="P248" s="2"/>
      <c r="Q248" s="4"/>
      <c r="R248" s="5"/>
      <c r="S248" s="2"/>
      <c r="T248" s="2"/>
      <c r="U248" s="2"/>
      <c r="V248" s="2"/>
      <c r="W248" s="2"/>
      <c r="X248" s="2"/>
      <c r="Y248" s="2"/>
      <c r="Z248" s="2"/>
    </row>
    <row r="249" spans="1:26" ht="18" x14ac:dyDescent="0.3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3"/>
      <c r="O249" s="2"/>
      <c r="P249" s="2"/>
      <c r="Q249" s="4"/>
      <c r="R249" s="5"/>
      <c r="S249" s="2"/>
      <c r="T249" s="2"/>
      <c r="U249" s="2"/>
      <c r="V249" s="2"/>
      <c r="W249" s="2"/>
      <c r="X249" s="2"/>
      <c r="Y249" s="2"/>
      <c r="Z249" s="2"/>
    </row>
    <row r="250" spans="1:26" ht="18" x14ac:dyDescent="0.3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3"/>
      <c r="O250" s="2"/>
      <c r="P250" s="2"/>
      <c r="Q250" s="4"/>
      <c r="R250" s="5"/>
      <c r="S250" s="2"/>
      <c r="T250" s="2"/>
      <c r="U250" s="2"/>
      <c r="V250" s="2"/>
      <c r="W250" s="2"/>
      <c r="X250" s="2"/>
      <c r="Y250" s="2"/>
      <c r="Z250" s="2"/>
    </row>
    <row r="251" spans="1:26" ht="18" x14ac:dyDescent="0.3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3"/>
      <c r="O251" s="2"/>
      <c r="P251" s="2"/>
      <c r="Q251" s="4"/>
      <c r="R251" s="5"/>
      <c r="S251" s="2"/>
      <c r="T251" s="2"/>
      <c r="U251" s="2"/>
      <c r="V251" s="2"/>
      <c r="W251" s="2"/>
      <c r="X251" s="2"/>
      <c r="Y251" s="2"/>
      <c r="Z251" s="2"/>
    </row>
    <row r="252" spans="1:26" ht="18" x14ac:dyDescent="0.3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3"/>
      <c r="O252" s="2"/>
      <c r="P252" s="2"/>
      <c r="Q252" s="4"/>
      <c r="R252" s="5"/>
      <c r="S252" s="2"/>
      <c r="T252" s="2"/>
      <c r="U252" s="2"/>
      <c r="V252" s="2"/>
      <c r="W252" s="2"/>
      <c r="X252" s="2"/>
      <c r="Y252" s="2"/>
      <c r="Z252" s="2"/>
    </row>
    <row r="253" spans="1:26" ht="18" x14ac:dyDescent="0.3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3"/>
      <c r="O253" s="2"/>
      <c r="P253" s="2"/>
      <c r="Q253" s="4"/>
      <c r="R253" s="5"/>
      <c r="S253" s="2"/>
      <c r="T253" s="2"/>
      <c r="U253" s="2"/>
      <c r="V253" s="2"/>
      <c r="W253" s="2"/>
      <c r="X253" s="2"/>
      <c r="Y253" s="2"/>
      <c r="Z253" s="2"/>
    </row>
    <row r="254" spans="1:26" ht="18" x14ac:dyDescent="0.3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3"/>
      <c r="O254" s="2"/>
      <c r="P254" s="2"/>
      <c r="Q254" s="4"/>
      <c r="R254" s="5"/>
      <c r="S254" s="2"/>
      <c r="T254" s="2"/>
      <c r="U254" s="2"/>
      <c r="V254" s="2"/>
      <c r="W254" s="2"/>
      <c r="X254" s="2"/>
      <c r="Y254" s="2"/>
      <c r="Z254" s="2"/>
    </row>
    <row r="255" spans="1:26" ht="18" x14ac:dyDescent="0.3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3"/>
      <c r="O255" s="2"/>
      <c r="P255" s="2"/>
      <c r="Q255" s="4"/>
      <c r="R255" s="5"/>
      <c r="S255" s="2"/>
      <c r="T255" s="2"/>
      <c r="U255" s="2"/>
      <c r="V255" s="2"/>
      <c r="W255" s="2"/>
      <c r="X255" s="2"/>
      <c r="Y255" s="2"/>
      <c r="Z255" s="2"/>
    </row>
    <row r="256" spans="1:26" ht="18" x14ac:dyDescent="0.3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3"/>
      <c r="O256" s="2"/>
      <c r="P256" s="2"/>
      <c r="Q256" s="4"/>
      <c r="R256" s="5"/>
      <c r="S256" s="2"/>
      <c r="T256" s="2"/>
      <c r="U256" s="2"/>
      <c r="V256" s="2"/>
      <c r="W256" s="2"/>
      <c r="X256" s="2"/>
      <c r="Y256" s="2"/>
      <c r="Z256" s="2"/>
    </row>
    <row r="257" spans="1:26" ht="18" x14ac:dyDescent="0.3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3"/>
      <c r="O257" s="2"/>
      <c r="P257" s="2"/>
      <c r="Q257" s="4"/>
      <c r="R257" s="5"/>
      <c r="S257" s="2"/>
      <c r="T257" s="2"/>
      <c r="U257" s="2"/>
      <c r="V257" s="2"/>
      <c r="W257" s="2"/>
      <c r="X257" s="2"/>
      <c r="Y257" s="2"/>
      <c r="Z257" s="2"/>
    </row>
    <row r="258" spans="1:26" ht="18" x14ac:dyDescent="0.3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3"/>
      <c r="O258" s="2"/>
      <c r="P258" s="2"/>
      <c r="Q258" s="4"/>
      <c r="R258" s="5"/>
      <c r="S258" s="2"/>
      <c r="T258" s="2"/>
      <c r="U258" s="2"/>
      <c r="V258" s="2"/>
      <c r="W258" s="2"/>
      <c r="X258" s="2"/>
      <c r="Y258" s="2"/>
      <c r="Z258" s="2"/>
    </row>
    <row r="259" spans="1:26" ht="18" x14ac:dyDescent="0.3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3"/>
      <c r="O259" s="2"/>
      <c r="P259" s="2"/>
      <c r="Q259" s="4"/>
      <c r="R259" s="5"/>
      <c r="S259" s="2"/>
      <c r="T259" s="2"/>
      <c r="U259" s="2"/>
      <c r="V259" s="2"/>
      <c r="W259" s="2"/>
      <c r="X259" s="2"/>
      <c r="Y259" s="2"/>
      <c r="Z259" s="2"/>
    </row>
    <row r="260" spans="1:26" ht="18" x14ac:dyDescent="0.3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3"/>
      <c r="O260" s="2"/>
      <c r="P260" s="2"/>
      <c r="Q260" s="4"/>
      <c r="R260" s="5"/>
      <c r="S260" s="2"/>
      <c r="T260" s="2"/>
      <c r="U260" s="2"/>
      <c r="V260" s="2"/>
      <c r="W260" s="2"/>
      <c r="X260" s="2"/>
      <c r="Y260" s="2"/>
      <c r="Z260" s="2"/>
    </row>
    <row r="261" spans="1:26" ht="18" x14ac:dyDescent="0.3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3"/>
      <c r="O261" s="2"/>
      <c r="P261" s="2"/>
      <c r="Q261" s="4"/>
      <c r="R261" s="5"/>
      <c r="S261" s="2"/>
      <c r="T261" s="2"/>
      <c r="U261" s="2"/>
      <c r="V261" s="2"/>
      <c r="W261" s="2"/>
      <c r="X261" s="2"/>
      <c r="Y261" s="2"/>
      <c r="Z261" s="2"/>
    </row>
    <row r="262" spans="1:26" ht="18" x14ac:dyDescent="0.3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3"/>
      <c r="O262" s="2"/>
      <c r="P262" s="2"/>
      <c r="Q262" s="4"/>
      <c r="R262" s="5"/>
      <c r="S262" s="2"/>
      <c r="T262" s="2"/>
      <c r="U262" s="2"/>
      <c r="V262" s="2"/>
      <c r="W262" s="2"/>
      <c r="X262" s="2"/>
      <c r="Y262" s="2"/>
      <c r="Z262" s="2"/>
    </row>
    <row r="263" spans="1:26" ht="18" x14ac:dyDescent="0.3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3"/>
      <c r="O263" s="2"/>
      <c r="P263" s="2"/>
      <c r="Q263" s="4"/>
      <c r="R263" s="5"/>
      <c r="S263" s="2"/>
      <c r="T263" s="2"/>
      <c r="U263" s="2"/>
      <c r="V263" s="2"/>
      <c r="W263" s="2"/>
      <c r="X263" s="2"/>
      <c r="Y263" s="2"/>
      <c r="Z263" s="2"/>
    </row>
    <row r="264" spans="1:26" ht="18" x14ac:dyDescent="0.3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3"/>
      <c r="O264" s="2"/>
      <c r="P264" s="2"/>
      <c r="Q264" s="4"/>
      <c r="R264" s="5"/>
      <c r="S264" s="2"/>
      <c r="T264" s="2"/>
      <c r="U264" s="2"/>
      <c r="V264" s="2"/>
      <c r="W264" s="2"/>
      <c r="X264" s="2"/>
      <c r="Y264" s="2"/>
      <c r="Z264" s="2"/>
    </row>
    <row r="265" spans="1:26" ht="18" x14ac:dyDescent="0.3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3"/>
      <c r="O265" s="2"/>
      <c r="P265" s="2"/>
      <c r="Q265" s="4"/>
      <c r="R265" s="5"/>
      <c r="S265" s="2"/>
      <c r="T265" s="2"/>
      <c r="U265" s="2"/>
      <c r="V265" s="2"/>
      <c r="W265" s="2"/>
      <c r="X265" s="2"/>
      <c r="Y265" s="2"/>
      <c r="Z265" s="2"/>
    </row>
    <row r="266" spans="1:26" ht="18" x14ac:dyDescent="0.3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3"/>
      <c r="O266" s="2"/>
      <c r="P266" s="2"/>
      <c r="Q266" s="4"/>
      <c r="R266" s="5"/>
      <c r="S266" s="2"/>
      <c r="T266" s="2"/>
      <c r="U266" s="2"/>
      <c r="V266" s="2"/>
      <c r="W266" s="2"/>
      <c r="X266" s="2"/>
      <c r="Y266" s="2"/>
      <c r="Z266" s="2"/>
    </row>
    <row r="267" spans="1:26" ht="18" x14ac:dyDescent="0.3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3"/>
      <c r="O267" s="2"/>
      <c r="P267" s="2"/>
      <c r="Q267" s="4"/>
      <c r="R267" s="5"/>
      <c r="S267" s="2"/>
      <c r="T267" s="2"/>
      <c r="U267" s="2"/>
      <c r="V267" s="2"/>
      <c r="W267" s="2"/>
      <c r="X267" s="2"/>
      <c r="Y267" s="2"/>
      <c r="Z267" s="2"/>
    </row>
    <row r="268" spans="1:26" ht="18" x14ac:dyDescent="0.3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3"/>
      <c r="O268" s="2"/>
      <c r="P268" s="2"/>
      <c r="Q268" s="4"/>
      <c r="R268" s="5"/>
      <c r="S268" s="2"/>
      <c r="T268" s="2"/>
      <c r="U268" s="2"/>
      <c r="V268" s="2"/>
      <c r="W268" s="2"/>
      <c r="X268" s="2"/>
      <c r="Y268" s="2"/>
      <c r="Z268" s="2"/>
    </row>
    <row r="269" spans="1:26" ht="18" x14ac:dyDescent="0.3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3"/>
      <c r="O269" s="2"/>
      <c r="P269" s="2"/>
      <c r="Q269" s="4"/>
      <c r="R269" s="5"/>
      <c r="S269" s="2"/>
      <c r="T269" s="2"/>
      <c r="U269" s="2"/>
      <c r="V269" s="2"/>
      <c r="W269" s="2"/>
      <c r="X269" s="2"/>
      <c r="Y269" s="2"/>
      <c r="Z269" s="2"/>
    </row>
    <row r="270" spans="1:26" ht="18" x14ac:dyDescent="0.3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3"/>
      <c r="O270" s="2"/>
      <c r="P270" s="2"/>
      <c r="Q270" s="4"/>
      <c r="R270" s="5"/>
      <c r="S270" s="2"/>
      <c r="T270" s="2"/>
      <c r="U270" s="2"/>
      <c r="V270" s="2"/>
      <c r="W270" s="2"/>
      <c r="X270" s="2"/>
      <c r="Y270" s="2"/>
      <c r="Z270" s="2"/>
    </row>
    <row r="271" spans="1:26" ht="18" x14ac:dyDescent="0.3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3"/>
      <c r="O271" s="2"/>
      <c r="P271" s="2"/>
      <c r="Q271" s="4"/>
      <c r="R271" s="5"/>
      <c r="S271" s="2"/>
      <c r="T271" s="2"/>
      <c r="U271" s="2"/>
      <c r="V271" s="2"/>
      <c r="W271" s="2"/>
      <c r="X271" s="2"/>
      <c r="Y271" s="2"/>
      <c r="Z271" s="2"/>
    </row>
    <row r="272" spans="1:26" ht="18" x14ac:dyDescent="0.3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3"/>
      <c r="O272" s="2"/>
      <c r="P272" s="2"/>
      <c r="Q272" s="4"/>
      <c r="R272" s="5"/>
      <c r="S272" s="2"/>
      <c r="T272" s="2"/>
      <c r="U272" s="2"/>
      <c r="V272" s="2"/>
      <c r="W272" s="2"/>
      <c r="X272" s="2"/>
      <c r="Y272" s="2"/>
      <c r="Z272" s="2"/>
    </row>
    <row r="273" spans="1:26" ht="18" x14ac:dyDescent="0.3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3"/>
      <c r="O273" s="2"/>
      <c r="P273" s="2"/>
      <c r="Q273" s="4"/>
      <c r="R273" s="5"/>
      <c r="S273" s="2"/>
      <c r="T273" s="2"/>
      <c r="U273" s="2"/>
      <c r="V273" s="2"/>
      <c r="W273" s="2"/>
      <c r="X273" s="2"/>
      <c r="Y273" s="2"/>
      <c r="Z273" s="2"/>
    </row>
    <row r="274" spans="1:26" ht="18" x14ac:dyDescent="0.3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3"/>
      <c r="O274" s="2"/>
      <c r="P274" s="2"/>
      <c r="Q274" s="4"/>
      <c r="R274" s="5"/>
      <c r="S274" s="2"/>
      <c r="T274" s="2"/>
      <c r="U274" s="2"/>
      <c r="V274" s="2"/>
      <c r="W274" s="2"/>
      <c r="X274" s="2"/>
      <c r="Y274" s="2"/>
      <c r="Z274" s="2"/>
    </row>
    <row r="275" spans="1:26" ht="18" x14ac:dyDescent="0.3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3"/>
      <c r="O275" s="2"/>
      <c r="P275" s="2"/>
      <c r="Q275" s="4"/>
      <c r="R275" s="5"/>
      <c r="S275" s="2"/>
      <c r="T275" s="2"/>
      <c r="U275" s="2"/>
      <c r="V275" s="2"/>
      <c r="W275" s="2"/>
      <c r="X275" s="2"/>
      <c r="Y275" s="2"/>
      <c r="Z275" s="2"/>
    </row>
    <row r="276" spans="1:26" ht="18" x14ac:dyDescent="0.3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3"/>
      <c r="O276" s="2"/>
      <c r="P276" s="2"/>
      <c r="Q276" s="4"/>
      <c r="R276" s="5"/>
      <c r="S276" s="2"/>
      <c r="T276" s="2"/>
      <c r="U276" s="2"/>
      <c r="V276" s="2"/>
      <c r="W276" s="2"/>
      <c r="X276" s="2"/>
      <c r="Y276" s="2"/>
      <c r="Z276" s="2"/>
    </row>
    <row r="277" spans="1:26" ht="18" x14ac:dyDescent="0.3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3"/>
      <c r="O277" s="2"/>
      <c r="P277" s="2"/>
      <c r="Q277" s="4"/>
      <c r="R277" s="5"/>
      <c r="S277" s="2"/>
      <c r="T277" s="2"/>
      <c r="U277" s="2"/>
      <c r="V277" s="2"/>
      <c r="W277" s="2"/>
      <c r="X277" s="2"/>
      <c r="Y277" s="2"/>
      <c r="Z277" s="2"/>
    </row>
    <row r="278" spans="1:26" ht="18" x14ac:dyDescent="0.3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3"/>
      <c r="O278" s="2"/>
      <c r="P278" s="2"/>
      <c r="Q278" s="4"/>
      <c r="R278" s="5"/>
      <c r="S278" s="2"/>
      <c r="T278" s="2"/>
      <c r="U278" s="2"/>
      <c r="V278" s="2"/>
      <c r="W278" s="2"/>
      <c r="X278" s="2"/>
      <c r="Y278" s="2"/>
      <c r="Z278" s="2"/>
    </row>
    <row r="279" spans="1:26" ht="18" x14ac:dyDescent="0.3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3"/>
      <c r="O279" s="2"/>
      <c r="P279" s="2"/>
      <c r="Q279" s="4"/>
      <c r="R279" s="5"/>
      <c r="S279" s="2"/>
      <c r="T279" s="2"/>
      <c r="U279" s="2"/>
      <c r="V279" s="2"/>
      <c r="W279" s="2"/>
      <c r="X279" s="2"/>
      <c r="Y279" s="2"/>
      <c r="Z279" s="2"/>
    </row>
    <row r="280" spans="1:26" ht="18" x14ac:dyDescent="0.3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3"/>
      <c r="O280" s="2"/>
      <c r="P280" s="2"/>
      <c r="Q280" s="4"/>
      <c r="R280" s="5"/>
      <c r="S280" s="2"/>
      <c r="T280" s="2"/>
      <c r="U280" s="2"/>
      <c r="V280" s="2"/>
      <c r="W280" s="2"/>
      <c r="X280" s="2"/>
      <c r="Y280" s="2"/>
      <c r="Z280" s="2"/>
    </row>
    <row r="281" spans="1:26" ht="18" x14ac:dyDescent="0.3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3"/>
      <c r="O281" s="2"/>
      <c r="P281" s="2"/>
      <c r="Q281" s="4"/>
      <c r="R281" s="5"/>
      <c r="S281" s="2"/>
      <c r="T281" s="2"/>
      <c r="U281" s="2"/>
      <c r="V281" s="2"/>
      <c r="W281" s="2"/>
      <c r="X281" s="2"/>
      <c r="Y281" s="2"/>
      <c r="Z281" s="2"/>
    </row>
    <row r="282" spans="1:26" ht="18" x14ac:dyDescent="0.3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3"/>
      <c r="O282" s="2"/>
      <c r="P282" s="2"/>
      <c r="Q282" s="4"/>
      <c r="R282" s="5"/>
      <c r="S282" s="2"/>
      <c r="T282" s="2"/>
      <c r="U282" s="2"/>
      <c r="V282" s="2"/>
      <c r="W282" s="2"/>
      <c r="X282" s="2"/>
      <c r="Y282" s="2"/>
      <c r="Z282" s="2"/>
    </row>
    <row r="283" spans="1:26" ht="18" x14ac:dyDescent="0.3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3"/>
      <c r="O283" s="2"/>
      <c r="P283" s="2"/>
      <c r="Q283" s="4"/>
      <c r="R283" s="5"/>
      <c r="S283" s="2"/>
      <c r="T283" s="2"/>
      <c r="U283" s="2"/>
      <c r="V283" s="2"/>
      <c r="W283" s="2"/>
      <c r="X283" s="2"/>
      <c r="Y283" s="2"/>
      <c r="Z283" s="2"/>
    </row>
    <row r="284" spans="1:26" ht="18" x14ac:dyDescent="0.3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3"/>
      <c r="O284" s="2"/>
      <c r="P284" s="2"/>
      <c r="Q284" s="4"/>
      <c r="R284" s="5"/>
      <c r="S284" s="2"/>
      <c r="T284" s="2"/>
      <c r="U284" s="2"/>
      <c r="V284" s="2"/>
      <c r="W284" s="2"/>
      <c r="X284" s="2"/>
      <c r="Y284" s="2"/>
      <c r="Z284" s="2"/>
    </row>
    <row r="285" spans="1:26" ht="18" x14ac:dyDescent="0.3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3"/>
      <c r="O285" s="2"/>
      <c r="P285" s="2"/>
      <c r="Q285" s="4"/>
      <c r="R285" s="5"/>
      <c r="S285" s="2"/>
      <c r="T285" s="2"/>
      <c r="U285" s="2"/>
      <c r="V285" s="2"/>
      <c r="W285" s="2"/>
      <c r="X285" s="2"/>
      <c r="Y285" s="2"/>
      <c r="Z285" s="2"/>
    </row>
    <row r="286" spans="1:26" ht="18" x14ac:dyDescent="0.3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3"/>
      <c r="O286" s="2"/>
      <c r="P286" s="2"/>
      <c r="Q286" s="4"/>
      <c r="R286" s="5"/>
      <c r="S286" s="2"/>
      <c r="T286" s="2"/>
      <c r="U286" s="2"/>
      <c r="V286" s="2"/>
      <c r="W286" s="2"/>
      <c r="X286" s="2"/>
      <c r="Y286" s="2"/>
      <c r="Z286" s="2"/>
    </row>
    <row r="287" spans="1:26" ht="18" x14ac:dyDescent="0.3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3"/>
      <c r="O287" s="2"/>
      <c r="P287" s="2"/>
      <c r="Q287" s="4"/>
      <c r="R287" s="5"/>
      <c r="S287" s="2"/>
      <c r="T287" s="2"/>
      <c r="U287" s="2"/>
      <c r="V287" s="2"/>
      <c r="W287" s="2"/>
      <c r="X287" s="2"/>
      <c r="Y287" s="2"/>
      <c r="Z287" s="2"/>
    </row>
    <row r="288" spans="1:26" ht="18" x14ac:dyDescent="0.3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3"/>
      <c r="O288" s="2"/>
      <c r="P288" s="2"/>
      <c r="Q288" s="4"/>
      <c r="R288" s="5"/>
      <c r="S288" s="2"/>
      <c r="T288" s="2"/>
      <c r="U288" s="2"/>
      <c r="V288" s="2"/>
      <c r="W288" s="2"/>
      <c r="X288" s="2"/>
      <c r="Y288" s="2"/>
      <c r="Z288" s="2"/>
    </row>
    <row r="289" spans="1:26" ht="18" x14ac:dyDescent="0.3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3"/>
      <c r="O289" s="2"/>
      <c r="P289" s="2"/>
      <c r="Q289" s="4"/>
      <c r="R289" s="5"/>
      <c r="S289" s="2"/>
      <c r="T289" s="2"/>
      <c r="U289" s="2"/>
      <c r="V289" s="2"/>
      <c r="W289" s="2"/>
      <c r="X289" s="2"/>
      <c r="Y289" s="2"/>
      <c r="Z289" s="2"/>
    </row>
    <row r="290" spans="1:26" ht="18" x14ac:dyDescent="0.3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3"/>
      <c r="O290" s="2"/>
      <c r="P290" s="2"/>
      <c r="Q290" s="4"/>
      <c r="R290" s="5"/>
      <c r="S290" s="2"/>
      <c r="T290" s="2"/>
      <c r="U290" s="2"/>
      <c r="V290" s="2"/>
      <c r="W290" s="2"/>
      <c r="X290" s="2"/>
      <c r="Y290" s="2"/>
      <c r="Z290" s="2"/>
    </row>
    <row r="291" spans="1:26" ht="18" x14ac:dyDescent="0.3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3"/>
      <c r="O291" s="2"/>
      <c r="P291" s="2"/>
      <c r="Q291" s="4"/>
      <c r="R291" s="5"/>
      <c r="S291" s="2"/>
      <c r="T291" s="2"/>
      <c r="U291" s="2"/>
      <c r="V291" s="2"/>
      <c r="W291" s="2"/>
      <c r="X291" s="2"/>
      <c r="Y291" s="2"/>
      <c r="Z291" s="2"/>
    </row>
    <row r="292" spans="1:26" ht="18" x14ac:dyDescent="0.3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3"/>
      <c r="O292" s="2"/>
      <c r="P292" s="2"/>
      <c r="Q292" s="4"/>
      <c r="R292" s="5"/>
      <c r="S292" s="2"/>
      <c r="T292" s="2"/>
      <c r="U292" s="2"/>
      <c r="V292" s="2"/>
      <c r="W292" s="2"/>
      <c r="X292" s="2"/>
      <c r="Y292" s="2"/>
      <c r="Z292" s="2"/>
    </row>
    <row r="293" spans="1:26" ht="18" x14ac:dyDescent="0.3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3"/>
      <c r="O293" s="2"/>
      <c r="P293" s="2"/>
      <c r="Q293" s="4"/>
      <c r="R293" s="5"/>
      <c r="S293" s="2"/>
      <c r="T293" s="2"/>
      <c r="U293" s="2"/>
      <c r="V293" s="2"/>
      <c r="W293" s="2"/>
      <c r="X293" s="2"/>
      <c r="Y293" s="2"/>
      <c r="Z293" s="2"/>
    </row>
    <row r="294" spans="1:26" ht="18" x14ac:dyDescent="0.3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3"/>
      <c r="O294" s="2"/>
      <c r="P294" s="2"/>
      <c r="Q294" s="4"/>
      <c r="R294" s="5"/>
      <c r="S294" s="2"/>
      <c r="T294" s="2"/>
      <c r="U294" s="2"/>
      <c r="V294" s="2"/>
      <c r="W294" s="2"/>
      <c r="X294" s="2"/>
      <c r="Y294" s="2"/>
      <c r="Z294" s="2"/>
    </row>
    <row r="295" spans="1:26" ht="18" x14ac:dyDescent="0.3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3"/>
      <c r="O295" s="2"/>
      <c r="P295" s="2"/>
      <c r="Q295" s="4"/>
      <c r="R295" s="5"/>
      <c r="S295" s="2"/>
      <c r="T295" s="2"/>
      <c r="U295" s="2"/>
      <c r="V295" s="2"/>
      <c r="W295" s="2"/>
      <c r="X295" s="2"/>
      <c r="Y295" s="2"/>
      <c r="Z295" s="2"/>
    </row>
    <row r="296" spans="1:26" ht="18" x14ac:dyDescent="0.3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3"/>
      <c r="O296" s="2"/>
      <c r="P296" s="2"/>
      <c r="Q296" s="4"/>
      <c r="R296" s="5"/>
      <c r="S296" s="2"/>
      <c r="T296" s="2"/>
      <c r="U296" s="2"/>
      <c r="V296" s="2"/>
      <c r="W296" s="2"/>
      <c r="X296" s="2"/>
      <c r="Y296" s="2"/>
      <c r="Z296" s="2"/>
    </row>
    <row r="297" spans="1:26" ht="18" x14ac:dyDescent="0.3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3"/>
      <c r="O297" s="2"/>
      <c r="P297" s="2"/>
      <c r="Q297" s="4"/>
      <c r="R297" s="5"/>
      <c r="S297" s="2"/>
      <c r="T297" s="2"/>
      <c r="U297" s="2"/>
      <c r="V297" s="2"/>
      <c r="W297" s="2"/>
      <c r="X297" s="2"/>
      <c r="Y297" s="2"/>
      <c r="Z297" s="2"/>
    </row>
    <row r="298" spans="1:26" ht="18" x14ac:dyDescent="0.3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3"/>
      <c r="O298" s="2"/>
      <c r="P298" s="2"/>
      <c r="Q298" s="4"/>
      <c r="R298" s="5"/>
      <c r="S298" s="2"/>
      <c r="T298" s="2"/>
      <c r="U298" s="2"/>
      <c r="V298" s="2"/>
      <c r="W298" s="2"/>
      <c r="X298" s="2"/>
      <c r="Y298" s="2"/>
      <c r="Z298" s="2"/>
    </row>
    <row r="299" spans="1:26" ht="18" x14ac:dyDescent="0.3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3"/>
      <c r="O299" s="2"/>
      <c r="P299" s="2"/>
      <c r="Q299" s="4"/>
      <c r="R299" s="5"/>
      <c r="S299" s="2"/>
      <c r="T299" s="2"/>
      <c r="U299" s="2"/>
      <c r="V299" s="2"/>
      <c r="W299" s="2"/>
      <c r="X299" s="2"/>
      <c r="Y299" s="2"/>
      <c r="Z299" s="2"/>
    </row>
    <row r="300" spans="1:26" ht="18" x14ac:dyDescent="0.3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3"/>
      <c r="O300" s="2"/>
      <c r="P300" s="2"/>
      <c r="Q300" s="4"/>
      <c r="R300" s="5"/>
      <c r="S300" s="2"/>
      <c r="T300" s="2"/>
      <c r="U300" s="2"/>
      <c r="V300" s="2"/>
      <c r="W300" s="2"/>
      <c r="X300" s="2"/>
      <c r="Y300" s="2"/>
      <c r="Z300" s="2"/>
    </row>
    <row r="301" spans="1:26" ht="18" x14ac:dyDescent="0.3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3"/>
      <c r="O301" s="2"/>
      <c r="P301" s="2"/>
      <c r="Q301" s="4"/>
      <c r="R301" s="5"/>
      <c r="S301" s="2"/>
      <c r="T301" s="2"/>
      <c r="U301" s="2"/>
      <c r="V301" s="2"/>
      <c r="W301" s="2"/>
      <c r="X301" s="2"/>
      <c r="Y301" s="2"/>
      <c r="Z301" s="2"/>
    </row>
    <row r="302" spans="1:26" ht="18" x14ac:dyDescent="0.3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3"/>
      <c r="O302" s="2"/>
      <c r="P302" s="2"/>
      <c r="Q302" s="4"/>
      <c r="R302" s="5"/>
      <c r="S302" s="2"/>
      <c r="T302" s="2"/>
      <c r="U302" s="2"/>
      <c r="V302" s="2"/>
      <c r="W302" s="2"/>
      <c r="X302" s="2"/>
      <c r="Y302" s="2"/>
      <c r="Z302" s="2"/>
    </row>
    <row r="303" spans="1:26" ht="18" x14ac:dyDescent="0.3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3"/>
      <c r="O303" s="2"/>
      <c r="P303" s="2"/>
      <c r="Q303" s="4"/>
      <c r="R303" s="5"/>
      <c r="S303" s="2"/>
      <c r="T303" s="2"/>
      <c r="U303" s="2"/>
      <c r="V303" s="2"/>
      <c r="W303" s="2"/>
      <c r="X303" s="2"/>
      <c r="Y303" s="2"/>
      <c r="Z303" s="2"/>
    </row>
    <row r="304" spans="1:26" ht="18" x14ac:dyDescent="0.3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3"/>
      <c r="O304" s="2"/>
      <c r="P304" s="2"/>
      <c r="Q304" s="4"/>
      <c r="R304" s="5"/>
      <c r="S304" s="2"/>
      <c r="T304" s="2"/>
      <c r="U304" s="2"/>
      <c r="V304" s="2"/>
      <c r="W304" s="2"/>
      <c r="X304" s="2"/>
      <c r="Y304" s="2"/>
      <c r="Z304" s="2"/>
    </row>
    <row r="305" spans="1:26" ht="18" x14ac:dyDescent="0.3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3"/>
      <c r="O305" s="2"/>
      <c r="P305" s="2"/>
      <c r="Q305" s="4"/>
      <c r="R305" s="5"/>
      <c r="S305" s="2"/>
      <c r="T305" s="2"/>
      <c r="U305" s="2"/>
      <c r="V305" s="2"/>
      <c r="W305" s="2"/>
      <c r="X305" s="2"/>
      <c r="Y305" s="2"/>
      <c r="Z305" s="2"/>
    </row>
    <row r="306" spans="1:26" ht="18" x14ac:dyDescent="0.3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3"/>
      <c r="O306" s="2"/>
      <c r="P306" s="2"/>
      <c r="Q306" s="4"/>
      <c r="R306" s="5"/>
      <c r="S306" s="2"/>
      <c r="T306" s="2"/>
      <c r="U306" s="2"/>
      <c r="V306" s="2"/>
      <c r="W306" s="2"/>
      <c r="X306" s="2"/>
      <c r="Y306" s="2"/>
      <c r="Z306" s="2"/>
    </row>
    <row r="307" spans="1:26" ht="18" x14ac:dyDescent="0.3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3"/>
      <c r="O307" s="2"/>
      <c r="P307" s="2"/>
      <c r="Q307" s="4"/>
      <c r="R307" s="5"/>
      <c r="S307" s="2"/>
      <c r="T307" s="2"/>
      <c r="U307" s="2"/>
      <c r="V307" s="2"/>
      <c r="W307" s="2"/>
      <c r="X307" s="2"/>
      <c r="Y307" s="2"/>
      <c r="Z307" s="2"/>
    </row>
    <row r="308" spans="1:26" ht="18" x14ac:dyDescent="0.3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3"/>
      <c r="O308" s="2"/>
      <c r="P308" s="2"/>
      <c r="Q308" s="4"/>
      <c r="R308" s="5"/>
      <c r="S308" s="2"/>
      <c r="T308" s="2"/>
      <c r="U308" s="2"/>
      <c r="V308" s="2"/>
      <c r="W308" s="2"/>
      <c r="X308" s="2"/>
      <c r="Y308" s="2"/>
      <c r="Z308" s="2"/>
    </row>
    <row r="309" spans="1:26" ht="18" x14ac:dyDescent="0.3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3"/>
      <c r="O309" s="2"/>
      <c r="P309" s="2"/>
      <c r="Q309" s="4"/>
      <c r="R309" s="5"/>
      <c r="S309" s="2"/>
      <c r="T309" s="2"/>
      <c r="U309" s="2"/>
      <c r="V309" s="2"/>
      <c r="W309" s="2"/>
      <c r="X309" s="2"/>
      <c r="Y309" s="2"/>
      <c r="Z309" s="2"/>
    </row>
    <row r="310" spans="1:26" ht="18" x14ac:dyDescent="0.3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3"/>
      <c r="O310" s="2"/>
      <c r="P310" s="2"/>
      <c r="Q310" s="4"/>
      <c r="R310" s="5"/>
      <c r="S310" s="2"/>
      <c r="T310" s="2"/>
      <c r="U310" s="2"/>
      <c r="V310" s="2"/>
      <c r="W310" s="2"/>
      <c r="X310" s="2"/>
      <c r="Y310" s="2"/>
      <c r="Z310" s="2"/>
    </row>
    <row r="311" spans="1:26" ht="18" x14ac:dyDescent="0.3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3"/>
      <c r="O311" s="2"/>
      <c r="P311" s="2"/>
      <c r="Q311" s="4"/>
      <c r="R311" s="5"/>
      <c r="S311" s="2"/>
      <c r="T311" s="2"/>
      <c r="U311" s="2"/>
      <c r="V311" s="2"/>
      <c r="W311" s="2"/>
      <c r="X311" s="2"/>
      <c r="Y311" s="2"/>
      <c r="Z311" s="2"/>
    </row>
    <row r="312" spans="1:26" ht="18" x14ac:dyDescent="0.3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3"/>
      <c r="O312" s="2"/>
      <c r="P312" s="2"/>
      <c r="Q312" s="4"/>
      <c r="R312" s="5"/>
      <c r="S312" s="2"/>
      <c r="T312" s="2"/>
      <c r="U312" s="2"/>
      <c r="V312" s="2"/>
      <c r="W312" s="2"/>
      <c r="X312" s="2"/>
      <c r="Y312" s="2"/>
      <c r="Z312" s="2"/>
    </row>
    <row r="313" spans="1:26" ht="18" x14ac:dyDescent="0.3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3"/>
      <c r="O313" s="2"/>
      <c r="P313" s="2"/>
      <c r="Q313" s="4"/>
      <c r="R313" s="5"/>
      <c r="S313" s="2"/>
      <c r="T313" s="2"/>
      <c r="U313" s="2"/>
      <c r="V313" s="2"/>
      <c r="W313" s="2"/>
      <c r="X313" s="2"/>
      <c r="Y313" s="2"/>
      <c r="Z313" s="2"/>
    </row>
    <row r="314" spans="1:26" ht="18" x14ac:dyDescent="0.3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3"/>
      <c r="O314" s="2"/>
      <c r="P314" s="2"/>
      <c r="Q314" s="4"/>
      <c r="R314" s="5"/>
      <c r="S314" s="2"/>
      <c r="T314" s="2"/>
      <c r="U314" s="2"/>
      <c r="V314" s="2"/>
      <c r="W314" s="2"/>
      <c r="X314" s="2"/>
      <c r="Y314" s="2"/>
      <c r="Z314" s="2"/>
    </row>
    <row r="315" spans="1:26" ht="18" x14ac:dyDescent="0.3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3"/>
      <c r="O315" s="2"/>
      <c r="P315" s="2"/>
      <c r="Q315" s="4"/>
      <c r="R315" s="5"/>
      <c r="S315" s="2"/>
      <c r="T315" s="2"/>
      <c r="U315" s="2"/>
      <c r="V315" s="2"/>
      <c r="W315" s="2"/>
      <c r="X315" s="2"/>
      <c r="Y315" s="2"/>
      <c r="Z315" s="2"/>
    </row>
    <row r="316" spans="1:26" ht="18" x14ac:dyDescent="0.3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3"/>
      <c r="O316" s="2"/>
      <c r="P316" s="2"/>
      <c r="Q316" s="4"/>
      <c r="R316" s="5"/>
      <c r="S316" s="2"/>
      <c r="T316" s="2"/>
      <c r="U316" s="2"/>
      <c r="V316" s="2"/>
      <c r="W316" s="2"/>
      <c r="X316" s="2"/>
      <c r="Y316" s="2"/>
      <c r="Z316" s="2"/>
    </row>
    <row r="317" spans="1:26" ht="18" x14ac:dyDescent="0.3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3"/>
      <c r="O317" s="2"/>
      <c r="P317" s="2"/>
      <c r="Q317" s="4"/>
      <c r="R317" s="5"/>
      <c r="S317" s="2"/>
      <c r="T317" s="2"/>
      <c r="U317" s="2"/>
      <c r="V317" s="2"/>
      <c r="W317" s="2"/>
      <c r="X317" s="2"/>
      <c r="Y317" s="2"/>
      <c r="Z317" s="2"/>
    </row>
    <row r="318" spans="1:26" ht="18" x14ac:dyDescent="0.3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3"/>
      <c r="O318" s="2"/>
      <c r="P318" s="2"/>
      <c r="Q318" s="4"/>
      <c r="R318" s="5"/>
      <c r="S318" s="2"/>
      <c r="T318" s="2"/>
      <c r="U318" s="2"/>
      <c r="V318" s="2"/>
      <c r="W318" s="2"/>
      <c r="X318" s="2"/>
      <c r="Y318" s="2"/>
      <c r="Z318" s="2"/>
    </row>
    <row r="319" spans="1:26" ht="18" x14ac:dyDescent="0.3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3"/>
      <c r="O319" s="2"/>
      <c r="P319" s="2"/>
      <c r="Q319" s="4"/>
      <c r="R319" s="5"/>
      <c r="S319" s="2"/>
      <c r="T319" s="2"/>
      <c r="U319" s="2"/>
      <c r="V319" s="2"/>
      <c r="W319" s="2"/>
      <c r="X319" s="2"/>
      <c r="Y319" s="2"/>
      <c r="Z319" s="2"/>
    </row>
    <row r="320" spans="1:26" ht="18" x14ac:dyDescent="0.3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3"/>
      <c r="O320" s="2"/>
      <c r="P320" s="2"/>
      <c r="Q320" s="4"/>
      <c r="R320" s="5"/>
      <c r="S320" s="2"/>
      <c r="T320" s="2"/>
      <c r="U320" s="2"/>
      <c r="V320" s="2"/>
      <c r="W320" s="2"/>
      <c r="X320" s="2"/>
      <c r="Y320" s="2"/>
      <c r="Z320" s="2"/>
    </row>
    <row r="321" spans="1:26" ht="18" x14ac:dyDescent="0.3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3"/>
      <c r="O321" s="2"/>
      <c r="P321" s="2"/>
      <c r="Q321" s="4"/>
      <c r="R321" s="5"/>
      <c r="S321" s="2"/>
      <c r="T321" s="2"/>
      <c r="U321" s="2"/>
      <c r="V321" s="2"/>
      <c r="W321" s="2"/>
      <c r="X321" s="2"/>
      <c r="Y321" s="2"/>
      <c r="Z321" s="2"/>
    </row>
    <row r="322" spans="1:26" ht="18" x14ac:dyDescent="0.3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3"/>
      <c r="O322" s="2"/>
      <c r="P322" s="2"/>
      <c r="Q322" s="4"/>
      <c r="R322" s="5"/>
      <c r="S322" s="2"/>
      <c r="T322" s="2"/>
      <c r="U322" s="2"/>
      <c r="V322" s="2"/>
      <c r="W322" s="2"/>
      <c r="X322" s="2"/>
      <c r="Y322" s="2"/>
      <c r="Z322" s="2"/>
    </row>
    <row r="323" spans="1:26" ht="18" x14ac:dyDescent="0.3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3"/>
      <c r="O323" s="2"/>
      <c r="P323" s="2"/>
      <c r="Q323" s="4"/>
      <c r="R323" s="5"/>
      <c r="S323" s="2"/>
      <c r="T323" s="2"/>
      <c r="U323" s="2"/>
      <c r="V323" s="2"/>
      <c r="W323" s="2"/>
      <c r="X323" s="2"/>
      <c r="Y323" s="2"/>
      <c r="Z323" s="2"/>
    </row>
    <row r="324" spans="1:26" ht="18" x14ac:dyDescent="0.3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3"/>
      <c r="O324" s="2"/>
      <c r="P324" s="2"/>
      <c r="Q324" s="4"/>
      <c r="R324" s="5"/>
      <c r="S324" s="2"/>
      <c r="T324" s="2"/>
      <c r="U324" s="2"/>
      <c r="V324" s="2"/>
      <c r="W324" s="2"/>
      <c r="X324" s="2"/>
      <c r="Y324" s="2"/>
      <c r="Z324" s="2"/>
    </row>
    <row r="325" spans="1:26" ht="18" x14ac:dyDescent="0.3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3"/>
      <c r="O325" s="2"/>
      <c r="P325" s="2"/>
      <c r="Q325" s="4"/>
      <c r="R325" s="5"/>
      <c r="S325" s="2"/>
      <c r="T325" s="2"/>
      <c r="U325" s="2"/>
      <c r="V325" s="2"/>
      <c r="W325" s="2"/>
      <c r="X325" s="2"/>
      <c r="Y325" s="2"/>
      <c r="Z325" s="2"/>
    </row>
    <row r="326" spans="1:26" ht="18" x14ac:dyDescent="0.3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3"/>
      <c r="O326" s="2"/>
      <c r="P326" s="2"/>
      <c r="Q326" s="4"/>
      <c r="R326" s="5"/>
      <c r="S326" s="2"/>
      <c r="T326" s="2"/>
      <c r="U326" s="2"/>
      <c r="V326" s="2"/>
      <c r="W326" s="2"/>
      <c r="X326" s="2"/>
      <c r="Y326" s="2"/>
      <c r="Z326" s="2"/>
    </row>
    <row r="327" spans="1:26" ht="18" x14ac:dyDescent="0.3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3"/>
      <c r="O327" s="2"/>
      <c r="P327" s="2"/>
      <c r="Q327" s="4"/>
      <c r="R327" s="5"/>
      <c r="S327" s="2"/>
      <c r="T327" s="2"/>
      <c r="U327" s="2"/>
      <c r="V327" s="2"/>
      <c r="W327" s="2"/>
      <c r="X327" s="2"/>
      <c r="Y327" s="2"/>
      <c r="Z327" s="2"/>
    </row>
    <row r="328" spans="1:26" ht="18" x14ac:dyDescent="0.3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3"/>
      <c r="O328" s="2"/>
      <c r="P328" s="2"/>
      <c r="Q328" s="4"/>
      <c r="R328" s="5"/>
      <c r="S328" s="2"/>
      <c r="T328" s="2"/>
      <c r="U328" s="2"/>
      <c r="V328" s="2"/>
      <c r="W328" s="2"/>
      <c r="X328" s="2"/>
      <c r="Y328" s="2"/>
      <c r="Z328" s="2"/>
    </row>
    <row r="329" spans="1:26" ht="18" x14ac:dyDescent="0.3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3"/>
      <c r="O329" s="2"/>
      <c r="P329" s="2"/>
      <c r="Q329" s="4"/>
      <c r="R329" s="5"/>
      <c r="S329" s="2"/>
      <c r="T329" s="2"/>
      <c r="U329" s="2"/>
      <c r="V329" s="2"/>
      <c r="W329" s="2"/>
      <c r="X329" s="2"/>
      <c r="Y329" s="2"/>
      <c r="Z329" s="2"/>
    </row>
    <row r="330" spans="1:26" ht="18" x14ac:dyDescent="0.3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3"/>
      <c r="O330" s="2"/>
      <c r="P330" s="2"/>
      <c r="Q330" s="4"/>
      <c r="R330" s="5"/>
      <c r="S330" s="2"/>
      <c r="T330" s="2"/>
      <c r="U330" s="2"/>
      <c r="V330" s="2"/>
      <c r="W330" s="2"/>
      <c r="X330" s="2"/>
      <c r="Y330" s="2"/>
      <c r="Z330" s="2"/>
    </row>
    <row r="331" spans="1:26" ht="18" x14ac:dyDescent="0.3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3"/>
      <c r="O331" s="2"/>
      <c r="P331" s="2"/>
      <c r="Q331" s="4"/>
      <c r="R331" s="5"/>
      <c r="S331" s="2"/>
      <c r="T331" s="2"/>
      <c r="U331" s="2"/>
      <c r="V331" s="2"/>
      <c r="W331" s="2"/>
      <c r="X331" s="2"/>
      <c r="Y331" s="2"/>
      <c r="Z331" s="2"/>
    </row>
    <row r="332" spans="1:26" ht="18" x14ac:dyDescent="0.3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3"/>
      <c r="O332" s="2"/>
      <c r="P332" s="2"/>
      <c r="Q332" s="4"/>
      <c r="R332" s="5"/>
      <c r="S332" s="2"/>
      <c r="T332" s="2"/>
      <c r="U332" s="2"/>
      <c r="V332" s="2"/>
      <c r="W332" s="2"/>
      <c r="X332" s="2"/>
      <c r="Y332" s="2"/>
      <c r="Z332" s="2"/>
    </row>
    <row r="333" spans="1:26" ht="18" x14ac:dyDescent="0.3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3"/>
      <c r="O333" s="2"/>
      <c r="P333" s="2"/>
      <c r="Q333" s="4"/>
      <c r="R333" s="5"/>
      <c r="S333" s="2"/>
      <c r="T333" s="2"/>
      <c r="U333" s="2"/>
      <c r="V333" s="2"/>
      <c r="W333" s="2"/>
      <c r="X333" s="2"/>
      <c r="Y333" s="2"/>
      <c r="Z333" s="2"/>
    </row>
    <row r="334" spans="1:26" ht="18" x14ac:dyDescent="0.3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3"/>
      <c r="O334" s="2"/>
      <c r="P334" s="2"/>
      <c r="Q334" s="4"/>
      <c r="R334" s="5"/>
      <c r="S334" s="2"/>
      <c r="T334" s="2"/>
      <c r="U334" s="2"/>
      <c r="V334" s="2"/>
      <c r="W334" s="2"/>
      <c r="X334" s="2"/>
      <c r="Y334" s="2"/>
      <c r="Z334" s="2"/>
    </row>
    <row r="335" spans="1:26" ht="18" x14ac:dyDescent="0.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3"/>
      <c r="O335" s="2"/>
      <c r="P335" s="2"/>
      <c r="Q335" s="4"/>
      <c r="R335" s="5"/>
      <c r="S335" s="2"/>
      <c r="T335" s="2"/>
      <c r="U335" s="2"/>
      <c r="V335" s="2"/>
      <c r="W335" s="2"/>
      <c r="X335" s="2"/>
      <c r="Y335" s="2"/>
      <c r="Z335" s="2"/>
    </row>
    <row r="336" spans="1:26" ht="18" x14ac:dyDescent="0.3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3"/>
      <c r="O336" s="2"/>
      <c r="P336" s="2"/>
      <c r="Q336" s="4"/>
      <c r="R336" s="5"/>
      <c r="S336" s="2"/>
      <c r="T336" s="2"/>
      <c r="U336" s="2"/>
      <c r="V336" s="2"/>
      <c r="W336" s="2"/>
      <c r="X336" s="2"/>
      <c r="Y336" s="2"/>
      <c r="Z336" s="2"/>
    </row>
    <row r="337" spans="1:26" ht="18" x14ac:dyDescent="0.3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3"/>
      <c r="O337" s="2"/>
      <c r="P337" s="2"/>
      <c r="Q337" s="4"/>
      <c r="R337" s="5"/>
      <c r="S337" s="2"/>
      <c r="T337" s="2"/>
      <c r="U337" s="2"/>
      <c r="V337" s="2"/>
      <c r="W337" s="2"/>
      <c r="X337" s="2"/>
      <c r="Y337" s="2"/>
      <c r="Z337" s="2"/>
    </row>
    <row r="338" spans="1:26" ht="18" x14ac:dyDescent="0.3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3"/>
      <c r="O338" s="2"/>
      <c r="P338" s="2"/>
      <c r="Q338" s="4"/>
      <c r="R338" s="5"/>
      <c r="S338" s="2"/>
      <c r="T338" s="2"/>
      <c r="U338" s="2"/>
      <c r="V338" s="2"/>
      <c r="W338" s="2"/>
      <c r="X338" s="2"/>
      <c r="Y338" s="2"/>
      <c r="Z338" s="2"/>
    </row>
    <row r="339" spans="1:26" ht="18" x14ac:dyDescent="0.3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3"/>
      <c r="O339" s="2"/>
      <c r="P339" s="2"/>
      <c r="Q339" s="4"/>
      <c r="R339" s="5"/>
      <c r="S339" s="2"/>
      <c r="T339" s="2"/>
      <c r="U339" s="2"/>
      <c r="V339" s="2"/>
      <c r="W339" s="2"/>
      <c r="X339" s="2"/>
      <c r="Y339" s="2"/>
      <c r="Z339" s="2"/>
    </row>
    <row r="340" spans="1:26" ht="18" x14ac:dyDescent="0.3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3"/>
      <c r="O340" s="2"/>
      <c r="P340" s="2"/>
      <c r="Q340" s="4"/>
      <c r="R340" s="5"/>
      <c r="S340" s="2"/>
      <c r="T340" s="2"/>
      <c r="U340" s="2"/>
      <c r="V340" s="2"/>
      <c r="W340" s="2"/>
      <c r="X340" s="2"/>
      <c r="Y340" s="2"/>
      <c r="Z340" s="2"/>
    </row>
    <row r="341" spans="1:26" ht="18" x14ac:dyDescent="0.3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3"/>
      <c r="O341" s="2"/>
      <c r="P341" s="2"/>
      <c r="Q341" s="4"/>
      <c r="R341" s="5"/>
      <c r="S341" s="2"/>
      <c r="T341" s="2"/>
      <c r="U341" s="2"/>
      <c r="V341" s="2"/>
      <c r="W341" s="2"/>
      <c r="X341" s="2"/>
      <c r="Y341" s="2"/>
      <c r="Z341" s="2"/>
    </row>
    <row r="342" spans="1:26" ht="18" x14ac:dyDescent="0.3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3"/>
      <c r="O342" s="2"/>
      <c r="P342" s="2"/>
      <c r="Q342" s="4"/>
      <c r="R342" s="5"/>
      <c r="S342" s="2"/>
      <c r="T342" s="2"/>
      <c r="U342" s="2"/>
      <c r="V342" s="2"/>
      <c r="W342" s="2"/>
      <c r="X342" s="2"/>
      <c r="Y342" s="2"/>
      <c r="Z342" s="2"/>
    </row>
    <row r="343" spans="1:26" ht="18" x14ac:dyDescent="0.3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3"/>
      <c r="O343" s="2"/>
      <c r="P343" s="2"/>
      <c r="Q343" s="4"/>
      <c r="R343" s="5"/>
      <c r="S343" s="2"/>
      <c r="T343" s="2"/>
      <c r="U343" s="2"/>
      <c r="V343" s="2"/>
      <c r="W343" s="2"/>
      <c r="X343" s="2"/>
      <c r="Y343" s="2"/>
      <c r="Z343" s="2"/>
    </row>
    <row r="344" spans="1:26" ht="18" x14ac:dyDescent="0.3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3"/>
      <c r="O344" s="2"/>
      <c r="P344" s="2"/>
      <c r="Q344" s="4"/>
      <c r="R344" s="5"/>
      <c r="S344" s="2"/>
      <c r="T344" s="2"/>
      <c r="U344" s="2"/>
      <c r="V344" s="2"/>
      <c r="W344" s="2"/>
      <c r="X344" s="2"/>
      <c r="Y344" s="2"/>
      <c r="Z344" s="2"/>
    </row>
    <row r="345" spans="1:26" ht="18" x14ac:dyDescent="0.3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3"/>
      <c r="O345" s="2"/>
      <c r="P345" s="2"/>
      <c r="Q345" s="4"/>
      <c r="R345" s="5"/>
      <c r="S345" s="2"/>
      <c r="T345" s="2"/>
      <c r="U345" s="2"/>
      <c r="V345" s="2"/>
      <c r="W345" s="2"/>
      <c r="X345" s="2"/>
      <c r="Y345" s="2"/>
      <c r="Z345" s="2"/>
    </row>
    <row r="346" spans="1:26" ht="18" x14ac:dyDescent="0.3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3"/>
      <c r="O346" s="2"/>
      <c r="P346" s="2"/>
      <c r="Q346" s="4"/>
      <c r="R346" s="5"/>
      <c r="S346" s="2"/>
      <c r="T346" s="2"/>
      <c r="U346" s="2"/>
      <c r="V346" s="2"/>
      <c r="W346" s="2"/>
      <c r="X346" s="2"/>
      <c r="Y346" s="2"/>
      <c r="Z346" s="2"/>
    </row>
    <row r="347" spans="1:26" ht="18" x14ac:dyDescent="0.3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3"/>
      <c r="O347" s="2"/>
      <c r="P347" s="2"/>
      <c r="Q347" s="4"/>
      <c r="R347" s="5"/>
      <c r="S347" s="2"/>
      <c r="T347" s="2"/>
      <c r="U347" s="2"/>
      <c r="V347" s="2"/>
      <c r="W347" s="2"/>
      <c r="X347" s="2"/>
      <c r="Y347" s="2"/>
      <c r="Z347" s="2"/>
    </row>
    <row r="348" spans="1:26" ht="18" x14ac:dyDescent="0.3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3"/>
      <c r="O348" s="2"/>
      <c r="P348" s="2"/>
      <c r="Q348" s="4"/>
      <c r="R348" s="5"/>
      <c r="S348" s="2"/>
      <c r="T348" s="2"/>
      <c r="U348" s="2"/>
      <c r="V348" s="2"/>
      <c r="W348" s="2"/>
      <c r="X348" s="2"/>
      <c r="Y348" s="2"/>
      <c r="Z348" s="2"/>
    </row>
    <row r="349" spans="1:26" ht="18" x14ac:dyDescent="0.3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3"/>
      <c r="O349" s="2"/>
      <c r="P349" s="2"/>
      <c r="Q349" s="4"/>
      <c r="R349" s="5"/>
      <c r="S349" s="2"/>
      <c r="T349" s="2"/>
      <c r="U349" s="2"/>
      <c r="V349" s="2"/>
      <c r="W349" s="2"/>
      <c r="X349" s="2"/>
      <c r="Y349" s="2"/>
      <c r="Z349" s="2"/>
    </row>
    <row r="350" spans="1:26" ht="18" x14ac:dyDescent="0.3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3"/>
      <c r="O350" s="2"/>
      <c r="P350" s="2"/>
      <c r="Q350" s="4"/>
      <c r="R350" s="5"/>
      <c r="S350" s="2"/>
      <c r="T350" s="2"/>
      <c r="U350" s="2"/>
      <c r="V350" s="2"/>
      <c r="W350" s="2"/>
      <c r="X350" s="2"/>
      <c r="Y350" s="2"/>
      <c r="Z350" s="2"/>
    </row>
    <row r="351" spans="1:26" ht="18" x14ac:dyDescent="0.3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3"/>
      <c r="O351" s="2"/>
      <c r="P351" s="2"/>
      <c r="Q351" s="4"/>
      <c r="R351" s="5"/>
      <c r="S351" s="2"/>
      <c r="T351" s="2"/>
      <c r="U351" s="2"/>
      <c r="V351" s="2"/>
      <c r="W351" s="2"/>
      <c r="X351" s="2"/>
      <c r="Y351" s="2"/>
      <c r="Z351" s="2"/>
    </row>
    <row r="352" spans="1:26" ht="18" x14ac:dyDescent="0.3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3"/>
      <c r="O352" s="2"/>
      <c r="P352" s="2"/>
      <c r="Q352" s="4"/>
      <c r="R352" s="5"/>
      <c r="S352" s="2"/>
      <c r="T352" s="2"/>
      <c r="U352" s="2"/>
      <c r="V352" s="2"/>
      <c r="W352" s="2"/>
      <c r="X352" s="2"/>
      <c r="Y352" s="2"/>
      <c r="Z352" s="2"/>
    </row>
    <row r="353" spans="1:26" ht="18" x14ac:dyDescent="0.3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3"/>
      <c r="O353" s="2"/>
      <c r="P353" s="2"/>
      <c r="Q353" s="4"/>
      <c r="R353" s="5"/>
      <c r="S353" s="2"/>
      <c r="T353" s="2"/>
      <c r="U353" s="2"/>
      <c r="V353" s="2"/>
      <c r="W353" s="2"/>
      <c r="X353" s="2"/>
      <c r="Y353" s="2"/>
      <c r="Z353" s="2"/>
    </row>
    <row r="354" spans="1:26" ht="18" x14ac:dyDescent="0.3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3"/>
      <c r="O354" s="2"/>
      <c r="P354" s="2"/>
      <c r="Q354" s="4"/>
      <c r="R354" s="5"/>
      <c r="S354" s="2"/>
      <c r="T354" s="2"/>
      <c r="U354" s="2"/>
      <c r="V354" s="2"/>
      <c r="W354" s="2"/>
      <c r="X354" s="2"/>
      <c r="Y354" s="2"/>
      <c r="Z354" s="2"/>
    </row>
    <row r="355" spans="1:26" ht="18" x14ac:dyDescent="0.3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3"/>
      <c r="O355" s="2"/>
      <c r="P355" s="2"/>
      <c r="Q355" s="4"/>
      <c r="R355" s="5"/>
      <c r="S355" s="2"/>
      <c r="T355" s="2"/>
      <c r="U355" s="2"/>
      <c r="V355" s="2"/>
      <c r="W355" s="2"/>
      <c r="X355" s="2"/>
      <c r="Y355" s="2"/>
      <c r="Z355" s="2"/>
    </row>
    <row r="356" spans="1:26" ht="18" x14ac:dyDescent="0.3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3"/>
      <c r="O356" s="2"/>
      <c r="P356" s="2"/>
      <c r="Q356" s="4"/>
      <c r="R356" s="5"/>
      <c r="S356" s="2"/>
      <c r="T356" s="2"/>
      <c r="U356" s="2"/>
      <c r="V356" s="2"/>
      <c r="W356" s="2"/>
      <c r="X356" s="2"/>
      <c r="Y356" s="2"/>
      <c r="Z356" s="2"/>
    </row>
    <row r="357" spans="1:26" ht="18" x14ac:dyDescent="0.3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3"/>
      <c r="O357" s="2"/>
      <c r="P357" s="2"/>
      <c r="Q357" s="4"/>
      <c r="R357" s="5"/>
      <c r="S357" s="2"/>
      <c r="T357" s="2"/>
      <c r="U357" s="2"/>
      <c r="V357" s="2"/>
      <c r="W357" s="2"/>
      <c r="X357" s="2"/>
      <c r="Y357" s="2"/>
      <c r="Z357" s="2"/>
    </row>
    <row r="358" spans="1:26" ht="18" x14ac:dyDescent="0.3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3"/>
      <c r="O358" s="2"/>
      <c r="P358" s="2"/>
      <c r="Q358" s="4"/>
      <c r="R358" s="5"/>
      <c r="S358" s="2"/>
      <c r="T358" s="2"/>
      <c r="U358" s="2"/>
      <c r="V358" s="2"/>
      <c r="W358" s="2"/>
      <c r="X358" s="2"/>
      <c r="Y358" s="2"/>
      <c r="Z358" s="2"/>
    </row>
    <row r="359" spans="1:26" ht="18" x14ac:dyDescent="0.3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3"/>
      <c r="O359" s="2"/>
      <c r="P359" s="2"/>
      <c r="Q359" s="4"/>
      <c r="R359" s="5"/>
      <c r="S359" s="2"/>
      <c r="T359" s="2"/>
      <c r="U359" s="2"/>
      <c r="V359" s="2"/>
      <c r="W359" s="2"/>
      <c r="X359" s="2"/>
      <c r="Y359" s="2"/>
      <c r="Z359" s="2"/>
    </row>
    <row r="360" spans="1:26" ht="18" x14ac:dyDescent="0.3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3"/>
      <c r="O360" s="2"/>
      <c r="P360" s="2"/>
      <c r="Q360" s="4"/>
      <c r="R360" s="5"/>
      <c r="S360" s="2"/>
      <c r="T360" s="2"/>
      <c r="U360" s="2"/>
      <c r="V360" s="2"/>
      <c r="W360" s="2"/>
      <c r="X360" s="2"/>
      <c r="Y360" s="2"/>
      <c r="Z360" s="2"/>
    </row>
    <row r="361" spans="1:26" ht="18" x14ac:dyDescent="0.3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3"/>
      <c r="O361" s="2"/>
      <c r="P361" s="2"/>
      <c r="Q361" s="4"/>
      <c r="R361" s="5"/>
      <c r="S361" s="2"/>
      <c r="T361" s="2"/>
      <c r="U361" s="2"/>
      <c r="V361" s="2"/>
      <c r="W361" s="2"/>
      <c r="X361" s="2"/>
      <c r="Y361" s="2"/>
      <c r="Z361" s="2"/>
    </row>
    <row r="362" spans="1:26" ht="18" x14ac:dyDescent="0.3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3"/>
      <c r="O362" s="2"/>
      <c r="P362" s="2"/>
      <c r="Q362" s="4"/>
      <c r="R362" s="5"/>
      <c r="S362" s="2"/>
      <c r="T362" s="2"/>
      <c r="U362" s="2"/>
      <c r="V362" s="2"/>
      <c r="W362" s="2"/>
      <c r="X362" s="2"/>
      <c r="Y362" s="2"/>
      <c r="Z362" s="2"/>
    </row>
    <row r="363" spans="1:26" ht="18" x14ac:dyDescent="0.3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3"/>
      <c r="O363" s="2"/>
      <c r="P363" s="2"/>
      <c r="Q363" s="4"/>
      <c r="R363" s="5"/>
      <c r="S363" s="2"/>
      <c r="T363" s="2"/>
      <c r="U363" s="2"/>
      <c r="V363" s="2"/>
      <c r="W363" s="2"/>
      <c r="X363" s="2"/>
      <c r="Y363" s="2"/>
      <c r="Z363" s="2"/>
    </row>
    <row r="364" spans="1:26" ht="18" x14ac:dyDescent="0.3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3"/>
      <c r="O364" s="2"/>
      <c r="P364" s="2"/>
      <c r="Q364" s="4"/>
      <c r="R364" s="5"/>
      <c r="S364" s="2"/>
      <c r="T364" s="2"/>
      <c r="U364" s="2"/>
      <c r="V364" s="2"/>
      <c r="W364" s="2"/>
      <c r="X364" s="2"/>
      <c r="Y364" s="2"/>
      <c r="Z364" s="2"/>
    </row>
    <row r="365" spans="1:26" ht="18" x14ac:dyDescent="0.3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3"/>
      <c r="O365" s="2"/>
      <c r="P365" s="2"/>
      <c r="Q365" s="4"/>
      <c r="R365" s="5"/>
      <c r="S365" s="2"/>
      <c r="T365" s="2"/>
      <c r="U365" s="2"/>
      <c r="V365" s="2"/>
      <c r="W365" s="2"/>
      <c r="X365" s="2"/>
      <c r="Y365" s="2"/>
      <c r="Z365" s="2"/>
    </row>
    <row r="366" spans="1:26" ht="18" x14ac:dyDescent="0.3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3"/>
      <c r="O366" s="2"/>
      <c r="P366" s="2"/>
      <c r="Q366" s="4"/>
      <c r="R366" s="5"/>
      <c r="S366" s="2"/>
      <c r="T366" s="2"/>
      <c r="U366" s="2"/>
      <c r="V366" s="2"/>
      <c r="W366" s="2"/>
      <c r="X366" s="2"/>
      <c r="Y366" s="2"/>
      <c r="Z366" s="2"/>
    </row>
    <row r="367" spans="1:26" ht="18" x14ac:dyDescent="0.3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3"/>
      <c r="O367" s="2"/>
      <c r="P367" s="2"/>
      <c r="Q367" s="4"/>
      <c r="R367" s="5"/>
      <c r="S367" s="2"/>
      <c r="T367" s="2"/>
      <c r="U367" s="2"/>
      <c r="V367" s="2"/>
      <c r="W367" s="2"/>
      <c r="X367" s="2"/>
      <c r="Y367" s="2"/>
      <c r="Z367" s="2"/>
    </row>
    <row r="368" spans="1:26" ht="18" x14ac:dyDescent="0.3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3"/>
      <c r="O368" s="2"/>
      <c r="P368" s="2"/>
      <c r="Q368" s="4"/>
      <c r="R368" s="5"/>
      <c r="S368" s="2"/>
      <c r="T368" s="2"/>
      <c r="U368" s="2"/>
      <c r="V368" s="2"/>
      <c r="W368" s="2"/>
      <c r="X368" s="2"/>
      <c r="Y368" s="2"/>
      <c r="Z368" s="2"/>
    </row>
    <row r="369" spans="1:26" ht="18" x14ac:dyDescent="0.3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3"/>
      <c r="O369" s="2"/>
      <c r="P369" s="2"/>
      <c r="Q369" s="4"/>
      <c r="R369" s="5"/>
      <c r="S369" s="2"/>
      <c r="T369" s="2"/>
      <c r="U369" s="2"/>
      <c r="V369" s="2"/>
      <c r="W369" s="2"/>
      <c r="X369" s="2"/>
      <c r="Y369" s="2"/>
      <c r="Z369" s="2"/>
    </row>
    <row r="370" spans="1:26" ht="18" x14ac:dyDescent="0.3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3"/>
      <c r="O370" s="2"/>
      <c r="P370" s="2"/>
      <c r="Q370" s="4"/>
      <c r="R370" s="5"/>
      <c r="S370" s="2"/>
      <c r="T370" s="2"/>
      <c r="U370" s="2"/>
      <c r="V370" s="2"/>
      <c r="W370" s="2"/>
      <c r="X370" s="2"/>
      <c r="Y370" s="2"/>
      <c r="Z370" s="2"/>
    </row>
    <row r="371" spans="1:26" ht="18" x14ac:dyDescent="0.3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3"/>
      <c r="O371" s="2"/>
      <c r="P371" s="2"/>
      <c r="Q371" s="4"/>
      <c r="R371" s="5"/>
      <c r="S371" s="2"/>
      <c r="T371" s="2"/>
      <c r="U371" s="2"/>
      <c r="V371" s="2"/>
      <c r="W371" s="2"/>
      <c r="X371" s="2"/>
      <c r="Y371" s="2"/>
      <c r="Z371" s="2"/>
    </row>
    <row r="372" spans="1:26" ht="18" x14ac:dyDescent="0.3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3"/>
      <c r="O372" s="2"/>
      <c r="P372" s="2"/>
      <c r="Q372" s="4"/>
      <c r="R372" s="5"/>
      <c r="S372" s="2"/>
      <c r="T372" s="2"/>
      <c r="U372" s="2"/>
      <c r="V372" s="2"/>
      <c r="W372" s="2"/>
      <c r="X372" s="2"/>
      <c r="Y372" s="2"/>
      <c r="Z372" s="2"/>
    </row>
    <row r="373" spans="1:26" ht="18" x14ac:dyDescent="0.3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3"/>
      <c r="O373" s="2"/>
      <c r="P373" s="2"/>
      <c r="Q373" s="4"/>
      <c r="R373" s="5"/>
      <c r="S373" s="2"/>
      <c r="T373" s="2"/>
      <c r="U373" s="2"/>
      <c r="V373" s="2"/>
      <c r="W373" s="2"/>
      <c r="X373" s="2"/>
      <c r="Y373" s="2"/>
      <c r="Z373" s="2"/>
    </row>
    <row r="374" spans="1:26" ht="18" x14ac:dyDescent="0.3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3"/>
      <c r="O374" s="2"/>
      <c r="P374" s="2"/>
      <c r="Q374" s="4"/>
      <c r="R374" s="5"/>
      <c r="S374" s="2"/>
      <c r="T374" s="2"/>
      <c r="U374" s="2"/>
      <c r="V374" s="2"/>
      <c r="W374" s="2"/>
      <c r="X374" s="2"/>
      <c r="Y374" s="2"/>
      <c r="Z374" s="2"/>
    </row>
    <row r="375" spans="1:26" ht="18" x14ac:dyDescent="0.3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3"/>
      <c r="O375" s="2"/>
      <c r="P375" s="2"/>
      <c r="Q375" s="4"/>
      <c r="R375" s="5"/>
      <c r="S375" s="2"/>
      <c r="T375" s="2"/>
      <c r="U375" s="2"/>
      <c r="V375" s="2"/>
      <c r="W375" s="2"/>
      <c r="X375" s="2"/>
      <c r="Y375" s="2"/>
      <c r="Z375" s="2"/>
    </row>
    <row r="376" spans="1:26" ht="18" x14ac:dyDescent="0.3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3"/>
      <c r="O376" s="2"/>
      <c r="P376" s="2"/>
      <c r="Q376" s="4"/>
      <c r="R376" s="5"/>
      <c r="S376" s="2"/>
      <c r="T376" s="2"/>
      <c r="U376" s="2"/>
      <c r="V376" s="2"/>
      <c r="W376" s="2"/>
      <c r="X376" s="2"/>
      <c r="Y376" s="2"/>
      <c r="Z376" s="2"/>
    </row>
    <row r="377" spans="1:26" ht="18" x14ac:dyDescent="0.3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3"/>
      <c r="O377" s="2"/>
      <c r="P377" s="2"/>
      <c r="Q377" s="4"/>
      <c r="R377" s="5"/>
      <c r="S377" s="2"/>
      <c r="T377" s="2"/>
      <c r="U377" s="2"/>
      <c r="V377" s="2"/>
      <c r="W377" s="2"/>
      <c r="X377" s="2"/>
      <c r="Y377" s="2"/>
      <c r="Z377" s="2"/>
    </row>
    <row r="378" spans="1:26" ht="18" x14ac:dyDescent="0.3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3"/>
      <c r="O378" s="2"/>
      <c r="P378" s="2"/>
      <c r="Q378" s="4"/>
      <c r="R378" s="5"/>
      <c r="S378" s="2"/>
      <c r="T378" s="2"/>
      <c r="U378" s="2"/>
      <c r="V378" s="2"/>
      <c r="W378" s="2"/>
      <c r="X378" s="2"/>
      <c r="Y378" s="2"/>
      <c r="Z378" s="2"/>
    </row>
    <row r="379" spans="1:26" ht="18" x14ac:dyDescent="0.3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3"/>
      <c r="O379" s="2"/>
      <c r="P379" s="2"/>
      <c r="Q379" s="4"/>
      <c r="R379" s="5"/>
      <c r="S379" s="2"/>
      <c r="T379" s="2"/>
      <c r="U379" s="2"/>
      <c r="V379" s="2"/>
      <c r="W379" s="2"/>
      <c r="X379" s="2"/>
      <c r="Y379" s="2"/>
      <c r="Z379" s="2"/>
    </row>
    <row r="380" spans="1:26" ht="18" x14ac:dyDescent="0.3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3"/>
      <c r="O380" s="2"/>
      <c r="P380" s="2"/>
      <c r="Q380" s="4"/>
      <c r="R380" s="5"/>
      <c r="S380" s="2"/>
      <c r="T380" s="2"/>
      <c r="U380" s="2"/>
      <c r="V380" s="2"/>
      <c r="W380" s="2"/>
      <c r="X380" s="2"/>
      <c r="Y380" s="2"/>
      <c r="Z380" s="2"/>
    </row>
    <row r="381" spans="1:26" ht="18" x14ac:dyDescent="0.3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3"/>
      <c r="O381" s="2"/>
      <c r="P381" s="2"/>
      <c r="Q381" s="4"/>
      <c r="R381" s="5"/>
      <c r="S381" s="2"/>
      <c r="T381" s="2"/>
      <c r="U381" s="2"/>
      <c r="V381" s="2"/>
      <c r="W381" s="2"/>
      <c r="X381" s="2"/>
      <c r="Y381" s="2"/>
      <c r="Z381" s="2"/>
    </row>
    <row r="382" spans="1:26" ht="18" x14ac:dyDescent="0.3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3"/>
      <c r="O382" s="2"/>
      <c r="P382" s="2"/>
      <c r="Q382" s="4"/>
      <c r="R382" s="5"/>
      <c r="S382" s="2"/>
      <c r="T382" s="2"/>
      <c r="U382" s="2"/>
      <c r="V382" s="2"/>
      <c r="W382" s="2"/>
      <c r="X382" s="2"/>
      <c r="Y382" s="2"/>
      <c r="Z382" s="2"/>
    </row>
    <row r="383" spans="1:26" ht="18" x14ac:dyDescent="0.3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3"/>
      <c r="O383" s="2"/>
      <c r="P383" s="2"/>
      <c r="Q383" s="4"/>
      <c r="R383" s="5"/>
      <c r="S383" s="2"/>
      <c r="T383" s="2"/>
      <c r="U383" s="2"/>
      <c r="V383" s="2"/>
      <c r="W383" s="2"/>
      <c r="X383" s="2"/>
      <c r="Y383" s="2"/>
      <c r="Z383" s="2"/>
    </row>
    <row r="384" spans="1:26" ht="18" x14ac:dyDescent="0.3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3"/>
      <c r="O384" s="2"/>
      <c r="P384" s="2"/>
      <c r="Q384" s="4"/>
      <c r="R384" s="5"/>
      <c r="S384" s="2"/>
      <c r="T384" s="2"/>
      <c r="U384" s="2"/>
      <c r="V384" s="2"/>
      <c r="W384" s="2"/>
      <c r="X384" s="2"/>
      <c r="Y384" s="2"/>
      <c r="Z384" s="2"/>
    </row>
    <row r="385" spans="1:26" ht="18" x14ac:dyDescent="0.3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3"/>
      <c r="O385" s="2"/>
      <c r="P385" s="2"/>
      <c r="Q385" s="4"/>
      <c r="R385" s="5"/>
      <c r="S385" s="2"/>
      <c r="T385" s="2"/>
      <c r="U385" s="2"/>
      <c r="V385" s="2"/>
      <c r="W385" s="2"/>
      <c r="X385" s="2"/>
      <c r="Y385" s="2"/>
      <c r="Z385" s="2"/>
    </row>
    <row r="386" spans="1:26" ht="18" x14ac:dyDescent="0.3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3"/>
      <c r="O386" s="2"/>
      <c r="P386" s="2"/>
      <c r="Q386" s="4"/>
      <c r="R386" s="5"/>
      <c r="S386" s="2"/>
      <c r="T386" s="2"/>
      <c r="U386" s="2"/>
      <c r="V386" s="2"/>
      <c r="W386" s="2"/>
      <c r="X386" s="2"/>
      <c r="Y386" s="2"/>
      <c r="Z386" s="2"/>
    </row>
    <row r="387" spans="1:26" ht="18" x14ac:dyDescent="0.3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3"/>
      <c r="O387" s="2"/>
      <c r="P387" s="2"/>
      <c r="Q387" s="4"/>
      <c r="R387" s="5"/>
      <c r="S387" s="2"/>
      <c r="T387" s="2"/>
      <c r="U387" s="2"/>
      <c r="V387" s="2"/>
      <c r="W387" s="2"/>
      <c r="X387" s="2"/>
      <c r="Y387" s="2"/>
      <c r="Z387" s="2"/>
    </row>
    <row r="388" spans="1:26" ht="18" x14ac:dyDescent="0.3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3"/>
      <c r="O388" s="2"/>
      <c r="P388" s="2"/>
      <c r="Q388" s="4"/>
      <c r="R388" s="5"/>
      <c r="S388" s="2"/>
      <c r="T388" s="2"/>
      <c r="U388" s="2"/>
      <c r="V388" s="2"/>
      <c r="W388" s="2"/>
      <c r="X388" s="2"/>
      <c r="Y388" s="2"/>
      <c r="Z388" s="2"/>
    </row>
    <row r="389" spans="1:26" ht="18" x14ac:dyDescent="0.3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3"/>
      <c r="O389" s="2"/>
      <c r="P389" s="2"/>
      <c r="Q389" s="4"/>
      <c r="R389" s="5"/>
      <c r="S389" s="2"/>
      <c r="T389" s="2"/>
      <c r="U389" s="2"/>
      <c r="V389" s="2"/>
      <c r="W389" s="2"/>
      <c r="X389" s="2"/>
      <c r="Y389" s="2"/>
      <c r="Z389" s="2"/>
    </row>
    <row r="390" spans="1:26" ht="18" x14ac:dyDescent="0.3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3"/>
      <c r="O390" s="2"/>
      <c r="P390" s="2"/>
      <c r="Q390" s="4"/>
      <c r="R390" s="5"/>
      <c r="S390" s="2"/>
      <c r="T390" s="2"/>
      <c r="U390" s="2"/>
      <c r="V390" s="2"/>
      <c r="W390" s="2"/>
      <c r="X390" s="2"/>
      <c r="Y390" s="2"/>
      <c r="Z390" s="2"/>
    </row>
    <row r="391" spans="1:26" ht="18" x14ac:dyDescent="0.3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3"/>
      <c r="O391" s="2"/>
      <c r="P391" s="2"/>
      <c r="Q391" s="4"/>
      <c r="R391" s="5"/>
      <c r="S391" s="2"/>
      <c r="T391" s="2"/>
      <c r="U391" s="2"/>
      <c r="V391" s="2"/>
      <c r="W391" s="2"/>
      <c r="X391" s="2"/>
      <c r="Y391" s="2"/>
      <c r="Z391" s="2"/>
    </row>
    <row r="392" spans="1:26" ht="18" x14ac:dyDescent="0.3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3"/>
      <c r="O392" s="2"/>
      <c r="P392" s="2"/>
      <c r="Q392" s="4"/>
      <c r="R392" s="5"/>
      <c r="S392" s="2"/>
      <c r="T392" s="2"/>
      <c r="U392" s="2"/>
      <c r="V392" s="2"/>
      <c r="W392" s="2"/>
      <c r="X392" s="2"/>
      <c r="Y392" s="2"/>
      <c r="Z392" s="2"/>
    </row>
    <row r="393" spans="1:26" ht="18" x14ac:dyDescent="0.3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3"/>
      <c r="O393" s="2"/>
      <c r="P393" s="2"/>
      <c r="Q393" s="4"/>
      <c r="R393" s="5"/>
      <c r="S393" s="2"/>
      <c r="T393" s="2"/>
      <c r="U393" s="2"/>
      <c r="V393" s="2"/>
      <c r="W393" s="2"/>
      <c r="X393" s="2"/>
      <c r="Y393" s="2"/>
      <c r="Z393" s="2"/>
    </row>
    <row r="394" spans="1:26" ht="18" x14ac:dyDescent="0.3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3"/>
      <c r="O394" s="2"/>
      <c r="P394" s="2"/>
      <c r="Q394" s="4"/>
      <c r="R394" s="5"/>
      <c r="S394" s="2"/>
      <c r="T394" s="2"/>
      <c r="U394" s="2"/>
      <c r="V394" s="2"/>
      <c r="W394" s="2"/>
      <c r="X394" s="2"/>
      <c r="Y394" s="2"/>
      <c r="Z394" s="2"/>
    </row>
    <row r="395" spans="1:26" ht="18" x14ac:dyDescent="0.3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3"/>
      <c r="O395" s="2"/>
      <c r="P395" s="2"/>
      <c r="Q395" s="4"/>
      <c r="R395" s="5"/>
      <c r="S395" s="2"/>
      <c r="T395" s="2"/>
      <c r="U395" s="2"/>
      <c r="V395" s="2"/>
      <c r="W395" s="2"/>
      <c r="X395" s="2"/>
      <c r="Y395" s="2"/>
      <c r="Z395" s="2"/>
    </row>
    <row r="396" spans="1:26" ht="18" x14ac:dyDescent="0.3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3"/>
      <c r="O396" s="2"/>
      <c r="P396" s="2"/>
      <c r="Q396" s="4"/>
      <c r="R396" s="5"/>
      <c r="S396" s="2"/>
      <c r="T396" s="2"/>
      <c r="U396" s="2"/>
      <c r="V396" s="2"/>
      <c r="W396" s="2"/>
      <c r="X396" s="2"/>
      <c r="Y396" s="2"/>
      <c r="Z396" s="2"/>
    </row>
    <row r="397" spans="1:26" ht="18" x14ac:dyDescent="0.3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3"/>
      <c r="O397" s="2"/>
      <c r="P397" s="2"/>
      <c r="Q397" s="4"/>
      <c r="R397" s="5"/>
      <c r="S397" s="2"/>
      <c r="T397" s="2"/>
      <c r="U397" s="2"/>
      <c r="V397" s="2"/>
      <c r="W397" s="2"/>
      <c r="X397" s="2"/>
      <c r="Y397" s="2"/>
      <c r="Z397" s="2"/>
    </row>
    <row r="398" spans="1:26" ht="18" x14ac:dyDescent="0.3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3"/>
      <c r="O398" s="2"/>
      <c r="P398" s="2"/>
      <c r="Q398" s="4"/>
      <c r="R398" s="5"/>
      <c r="S398" s="2"/>
      <c r="T398" s="2"/>
      <c r="U398" s="2"/>
      <c r="V398" s="2"/>
      <c r="W398" s="2"/>
      <c r="X398" s="2"/>
      <c r="Y398" s="2"/>
      <c r="Z398" s="2"/>
    </row>
    <row r="399" spans="1:26" ht="18" x14ac:dyDescent="0.3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3"/>
      <c r="O399" s="2"/>
      <c r="P399" s="2"/>
      <c r="Q399" s="4"/>
      <c r="R399" s="5"/>
      <c r="S399" s="2"/>
      <c r="T399" s="2"/>
      <c r="U399" s="2"/>
      <c r="V399" s="2"/>
      <c r="W399" s="2"/>
      <c r="X399" s="2"/>
      <c r="Y399" s="2"/>
      <c r="Z399" s="2"/>
    </row>
    <row r="400" spans="1:26" ht="18" x14ac:dyDescent="0.3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3"/>
      <c r="O400" s="2"/>
      <c r="P400" s="2"/>
      <c r="Q400" s="4"/>
      <c r="R400" s="5"/>
      <c r="S400" s="2"/>
      <c r="T400" s="2"/>
      <c r="U400" s="2"/>
      <c r="V400" s="2"/>
      <c r="W400" s="2"/>
      <c r="X400" s="2"/>
      <c r="Y400" s="2"/>
      <c r="Z400" s="2"/>
    </row>
    <row r="401" spans="1:26" ht="18" x14ac:dyDescent="0.3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3"/>
      <c r="O401" s="2"/>
      <c r="P401" s="2"/>
      <c r="Q401" s="4"/>
      <c r="R401" s="5"/>
      <c r="S401" s="2"/>
      <c r="T401" s="2"/>
      <c r="U401" s="2"/>
      <c r="V401" s="2"/>
      <c r="W401" s="2"/>
      <c r="X401" s="2"/>
      <c r="Y401" s="2"/>
      <c r="Z401" s="2"/>
    </row>
    <row r="402" spans="1:26" ht="18" x14ac:dyDescent="0.3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3"/>
      <c r="O402" s="2"/>
      <c r="P402" s="2"/>
      <c r="Q402" s="4"/>
      <c r="R402" s="5"/>
      <c r="S402" s="2"/>
      <c r="T402" s="2"/>
      <c r="U402" s="2"/>
      <c r="V402" s="2"/>
      <c r="W402" s="2"/>
      <c r="X402" s="2"/>
      <c r="Y402" s="2"/>
      <c r="Z402" s="2"/>
    </row>
    <row r="403" spans="1:26" ht="18" x14ac:dyDescent="0.3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3"/>
      <c r="O403" s="2"/>
      <c r="P403" s="2"/>
      <c r="Q403" s="4"/>
      <c r="R403" s="5"/>
      <c r="S403" s="2"/>
      <c r="T403" s="2"/>
      <c r="U403" s="2"/>
      <c r="V403" s="2"/>
      <c r="W403" s="2"/>
      <c r="X403" s="2"/>
      <c r="Y403" s="2"/>
      <c r="Z403" s="2"/>
    </row>
    <row r="404" spans="1:26" ht="18" x14ac:dyDescent="0.3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3"/>
      <c r="O404" s="2"/>
      <c r="P404" s="2"/>
      <c r="Q404" s="4"/>
      <c r="R404" s="5"/>
      <c r="S404" s="2"/>
      <c r="T404" s="2"/>
      <c r="U404" s="2"/>
      <c r="V404" s="2"/>
      <c r="W404" s="2"/>
      <c r="X404" s="2"/>
      <c r="Y404" s="2"/>
      <c r="Z404" s="2"/>
    </row>
    <row r="405" spans="1:26" ht="18" x14ac:dyDescent="0.3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3"/>
      <c r="O405" s="2"/>
      <c r="P405" s="2"/>
      <c r="Q405" s="4"/>
      <c r="R405" s="5"/>
      <c r="S405" s="2"/>
      <c r="T405" s="2"/>
      <c r="U405" s="2"/>
      <c r="V405" s="2"/>
      <c r="W405" s="2"/>
      <c r="X405" s="2"/>
      <c r="Y405" s="2"/>
      <c r="Z405" s="2"/>
    </row>
    <row r="406" spans="1:26" ht="18" x14ac:dyDescent="0.3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3"/>
      <c r="O406" s="2"/>
      <c r="P406" s="2"/>
      <c r="Q406" s="4"/>
      <c r="R406" s="5"/>
      <c r="S406" s="2"/>
      <c r="T406" s="2"/>
      <c r="U406" s="2"/>
      <c r="V406" s="2"/>
      <c r="W406" s="2"/>
      <c r="X406" s="2"/>
      <c r="Y406" s="2"/>
      <c r="Z406" s="2"/>
    </row>
    <row r="407" spans="1:26" ht="18" x14ac:dyDescent="0.3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3"/>
      <c r="O407" s="2"/>
      <c r="P407" s="2"/>
      <c r="Q407" s="4"/>
      <c r="R407" s="5"/>
      <c r="S407" s="2"/>
      <c r="T407" s="2"/>
      <c r="U407" s="2"/>
      <c r="V407" s="2"/>
      <c r="W407" s="2"/>
      <c r="X407" s="2"/>
      <c r="Y407" s="2"/>
      <c r="Z407" s="2"/>
    </row>
    <row r="408" spans="1:26" ht="18" x14ac:dyDescent="0.3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3"/>
      <c r="O408" s="2"/>
      <c r="P408" s="2"/>
      <c r="Q408" s="4"/>
      <c r="R408" s="5"/>
      <c r="S408" s="2"/>
      <c r="T408" s="2"/>
      <c r="U408" s="2"/>
      <c r="V408" s="2"/>
      <c r="W408" s="2"/>
      <c r="X408" s="2"/>
      <c r="Y408" s="2"/>
      <c r="Z408" s="2"/>
    </row>
    <row r="409" spans="1:26" ht="18" x14ac:dyDescent="0.3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3"/>
      <c r="O409" s="2"/>
      <c r="P409" s="2"/>
      <c r="Q409" s="4"/>
      <c r="R409" s="5"/>
      <c r="S409" s="2"/>
      <c r="T409" s="2"/>
      <c r="U409" s="2"/>
      <c r="V409" s="2"/>
      <c r="W409" s="2"/>
      <c r="X409" s="2"/>
      <c r="Y409" s="2"/>
      <c r="Z409" s="2"/>
    </row>
    <row r="410" spans="1:26" ht="18" x14ac:dyDescent="0.3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3"/>
      <c r="O410" s="2"/>
      <c r="P410" s="2"/>
      <c r="Q410" s="4"/>
      <c r="R410" s="5"/>
      <c r="S410" s="2"/>
      <c r="T410" s="2"/>
      <c r="U410" s="2"/>
      <c r="V410" s="2"/>
      <c r="W410" s="2"/>
      <c r="X410" s="2"/>
      <c r="Y410" s="2"/>
      <c r="Z410" s="2"/>
    </row>
    <row r="411" spans="1:26" ht="18" x14ac:dyDescent="0.3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3"/>
      <c r="O411" s="2"/>
      <c r="P411" s="2"/>
      <c r="Q411" s="4"/>
      <c r="R411" s="5"/>
      <c r="S411" s="2"/>
      <c r="T411" s="2"/>
      <c r="U411" s="2"/>
      <c r="V411" s="2"/>
      <c r="W411" s="2"/>
      <c r="X411" s="2"/>
      <c r="Y411" s="2"/>
      <c r="Z411" s="2"/>
    </row>
    <row r="412" spans="1:26" ht="18" x14ac:dyDescent="0.3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3"/>
      <c r="O412" s="2"/>
      <c r="P412" s="2"/>
      <c r="Q412" s="4"/>
      <c r="R412" s="5"/>
      <c r="S412" s="2"/>
      <c r="T412" s="2"/>
      <c r="U412" s="2"/>
      <c r="V412" s="2"/>
      <c r="W412" s="2"/>
      <c r="X412" s="2"/>
      <c r="Y412" s="2"/>
      <c r="Z412" s="2"/>
    </row>
    <row r="413" spans="1:26" ht="18" x14ac:dyDescent="0.3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3"/>
      <c r="O413" s="2"/>
      <c r="P413" s="2"/>
      <c r="Q413" s="4"/>
      <c r="R413" s="5"/>
      <c r="S413" s="2"/>
      <c r="T413" s="2"/>
      <c r="U413" s="2"/>
      <c r="V413" s="2"/>
      <c r="W413" s="2"/>
      <c r="X413" s="2"/>
      <c r="Y413" s="2"/>
      <c r="Z413" s="2"/>
    </row>
    <row r="414" spans="1:26" ht="18" x14ac:dyDescent="0.3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3"/>
      <c r="O414" s="2"/>
      <c r="P414" s="2"/>
      <c r="Q414" s="4"/>
      <c r="R414" s="5"/>
      <c r="S414" s="2"/>
      <c r="T414" s="2"/>
      <c r="U414" s="2"/>
      <c r="V414" s="2"/>
      <c r="W414" s="2"/>
      <c r="X414" s="2"/>
      <c r="Y414" s="2"/>
      <c r="Z414" s="2"/>
    </row>
    <row r="415" spans="1:26" ht="18" x14ac:dyDescent="0.3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3"/>
      <c r="O415" s="2"/>
      <c r="P415" s="2"/>
      <c r="Q415" s="4"/>
      <c r="R415" s="5"/>
      <c r="S415" s="2"/>
      <c r="T415" s="2"/>
      <c r="U415" s="2"/>
      <c r="V415" s="2"/>
      <c r="W415" s="2"/>
      <c r="X415" s="2"/>
      <c r="Y415" s="2"/>
      <c r="Z415" s="2"/>
    </row>
    <row r="416" spans="1:26" ht="18" x14ac:dyDescent="0.3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3"/>
      <c r="O416" s="2"/>
      <c r="P416" s="2"/>
      <c r="Q416" s="4"/>
      <c r="R416" s="5"/>
      <c r="S416" s="2"/>
      <c r="T416" s="2"/>
      <c r="U416" s="2"/>
      <c r="V416" s="2"/>
      <c r="W416" s="2"/>
      <c r="X416" s="2"/>
      <c r="Y416" s="2"/>
      <c r="Z416" s="2"/>
    </row>
    <row r="417" spans="1:26" ht="18" x14ac:dyDescent="0.3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3"/>
      <c r="O417" s="2"/>
      <c r="P417" s="2"/>
      <c r="Q417" s="4"/>
      <c r="R417" s="5"/>
      <c r="S417" s="2"/>
      <c r="T417" s="2"/>
      <c r="U417" s="2"/>
      <c r="V417" s="2"/>
      <c r="W417" s="2"/>
      <c r="X417" s="2"/>
      <c r="Y417" s="2"/>
      <c r="Z417" s="2"/>
    </row>
    <row r="418" spans="1:26" ht="18" x14ac:dyDescent="0.3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3"/>
      <c r="O418" s="2"/>
      <c r="P418" s="2"/>
      <c r="Q418" s="4"/>
      <c r="R418" s="5"/>
      <c r="S418" s="2"/>
      <c r="T418" s="2"/>
      <c r="U418" s="2"/>
      <c r="V418" s="2"/>
      <c r="W418" s="2"/>
      <c r="X418" s="2"/>
      <c r="Y418" s="2"/>
      <c r="Z418" s="2"/>
    </row>
    <row r="419" spans="1:26" ht="18" x14ac:dyDescent="0.3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3"/>
      <c r="O419" s="2"/>
      <c r="P419" s="2"/>
      <c r="Q419" s="4"/>
      <c r="R419" s="5"/>
      <c r="S419" s="2"/>
      <c r="T419" s="2"/>
      <c r="U419" s="2"/>
      <c r="V419" s="2"/>
      <c r="W419" s="2"/>
      <c r="X419" s="2"/>
      <c r="Y419" s="2"/>
      <c r="Z419" s="2"/>
    </row>
    <row r="420" spans="1:26" ht="18" x14ac:dyDescent="0.3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3"/>
      <c r="O420" s="2"/>
      <c r="P420" s="2"/>
      <c r="Q420" s="4"/>
      <c r="R420" s="5"/>
      <c r="S420" s="2"/>
      <c r="T420" s="2"/>
      <c r="U420" s="2"/>
      <c r="V420" s="2"/>
      <c r="W420" s="2"/>
      <c r="X420" s="2"/>
      <c r="Y420" s="2"/>
      <c r="Z420" s="2"/>
    </row>
    <row r="421" spans="1:26" ht="18" x14ac:dyDescent="0.3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3"/>
      <c r="O421" s="2"/>
      <c r="P421" s="2"/>
      <c r="Q421" s="4"/>
      <c r="R421" s="5"/>
      <c r="S421" s="2"/>
      <c r="T421" s="2"/>
      <c r="U421" s="2"/>
      <c r="V421" s="2"/>
      <c r="W421" s="2"/>
      <c r="X421" s="2"/>
      <c r="Y421" s="2"/>
      <c r="Z421" s="2"/>
    </row>
    <row r="422" spans="1:26" ht="18" x14ac:dyDescent="0.3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3"/>
      <c r="O422" s="2"/>
      <c r="P422" s="2"/>
      <c r="Q422" s="4"/>
      <c r="R422" s="5"/>
      <c r="S422" s="2"/>
      <c r="T422" s="2"/>
      <c r="U422" s="2"/>
      <c r="V422" s="2"/>
      <c r="W422" s="2"/>
      <c r="X422" s="2"/>
      <c r="Y422" s="2"/>
      <c r="Z422" s="2"/>
    </row>
    <row r="423" spans="1:26" ht="18" x14ac:dyDescent="0.3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3"/>
      <c r="O423" s="2"/>
      <c r="P423" s="2"/>
      <c r="Q423" s="4"/>
      <c r="R423" s="5"/>
      <c r="S423" s="2"/>
      <c r="T423" s="2"/>
      <c r="U423" s="2"/>
      <c r="V423" s="2"/>
      <c r="W423" s="2"/>
      <c r="X423" s="2"/>
      <c r="Y423" s="2"/>
      <c r="Z423" s="2"/>
    </row>
    <row r="424" spans="1:26" ht="18" x14ac:dyDescent="0.3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3"/>
      <c r="O424" s="2"/>
      <c r="P424" s="2"/>
      <c r="Q424" s="4"/>
      <c r="R424" s="5"/>
      <c r="S424" s="2"/>
      <c r="T424" s="2"/>
      <c r="U424" s="2"/>
      <c r="V424" s="2"/>
      <c r="W424" s="2"/>
      <c r="X424" s="2"/>
      <c r="Y424" s="2"/>
      <c r="Z424" s="2"/>
    </row>
    <row r="425" spans="1:26" ht="18" x14ac:dyDescent="0.3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3"/>
      <c r="O425" s="2"/>
      <c r="P425" s="2"/>
      <c r="Q425" s="4"/>
      <c r="R425" s="5"/>
      <c r="S425" s="2"/>
      <c r="T425" s="2"/>
      <c r="U425" s="2"/>
      <c r="V425" s="2"/>
      <c r="W425" s="2"/>
      <c r="X425" s="2"/>
      <c r="Y425" s="2"/>
      <c r="Z425" s="2"/>
    </row>
    <row r="426" spans="1:26" ht="18" x14ac:dyDescent="0.3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3"/>
      <c r="O426" s="2"/>
      <c r="P426" s="2"/>
      <c r="Q426" s="4"/>
      <c r="R426" s="5"/>
      <c r="S426" s="2"/>
      <c r="T426" s="2"/>
      <c r="U426" s="2"/>
      <c r="V426" s="2"/>
      <c r="W426" s="2"/>
      <c r="X426" s="2"/>
      <c r="Y426" s="2"/>
      <c r="Z426" s="2"/>
    </row>
    <row r="427" spans="1:26" ht="18" x14ac:dyDescent="0.3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3"/>
      <c r="O427" s="2"/>
      <c r="P427" s="2"/>
      <c r="Q427" s="4"/>
      <c r="R427" s="5"/>
      <c r="S427" s="2"/>
      <c r="T427" s="2"/>
      <c r="U427" s="2"/>
      <c r="V427" s="2"/>
      <c r="W427" s="2"/>
      <c r="X427" s="2"/>
      <c r="Y427" s="2"/>
      <c r="Z427" s="2"/>
    </row>
    <row r="428" spans="1:26" ht="18" x14ac:dyDescent="0.3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3"/>
      <c r="O428" s="2"/>
      <c r="P428" s="2"/>
      <c r="Q428" s="4"/>
      <c r="R428" s="5"/>
      <c r="S428" s="2"/>
      <c r="T428" s="2"/>
      <c r="U428" s="2"/>
      <c r="V428" s="2"/>
      <c r="W428" s="2"/>
      <c r="X428" s="2"/>
      <c r="Y428" s="2"/>
      <c r="Z428" s="2"/>
    </row>
    <row r="429" spans="1:26" ht="18" x14ac:dyDescent="0.3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3"/>
      <c r="O429" s="2"/>
      <c r="P429" s="2"/>
      <c r="Q429" s="4"/>
      <c r="R429" s="5"/>
      <c r="S429" s="2"/>
      <c r="T429" s="2"/>
      <c r="U429" s="2"/>
      <c r="V429" s="2"/>
      <c r="W429" s="2"/>
      <c r="X429" s="2"/>
      <c r="Y429" s="2"/>
      <c r="Z429" s="2"/>
    </row>
    <row r="430" spans="1:26" ht="18" x14ac:dyDescent="0.3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3"/>
      <c r="O430" s="2"/>
      <c r="P430" s="2"/>
      <c r="Q430" s="4"/>
      <c r="R430" s="5"/>
      <c r="S430" s="2"/>
      <c r="T430" s="2"/>
      <c r="U430" s="2"/>
      <c r="V430" s="2"/>
      <c r="W430" s="2"/>
      <c r="X430" s="2"/>
      <c r="Y430" s="2"/>
      <c r="Z430" s="2"/>
    </row>
    <row r="431" spans="1:26" ht="18" x14ac:dyDescent="0.3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3"/>
      <c r="O431" s="2"/>
      <c r="P431" s="2"/>
      <c r="Q431" s="4"/>
      <c r="R431" s="5"/>
      <c r="S431" s="2"/>
      <c r="T431" s="2"/>
      <c r="U431" s="2"/>
      <c r="V431" s="2"/>
      <c r="W431" s="2"/>
      <c r="X431" s="2"/>
      <c r="Y431" s="2"/>
      <c r="Z431" s="2"/>
    </row>
    <row r="432" spans="1:26" ht="18" x14ac:dyDescent="0.3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3"/>
      <c r="O432" s="2"/>
      <c r="P432" s="2"/>
      <c r="Q432" s="4"/>
      <c r="R432" s="5"/>
      <c r="S432" s="2"/>
      <c r="T432" s="2"/>
      <c r="U432" s="2"/>
      <c r="V432" s="2"/>
      <c r="W432" s="2"/>
      <c r="X432" s="2"/>
      <c r="Y432" s="2"/>
      <c r="Z432" s="2"/>
    </row>
    <row r="433" spans="1:26" ht="18" x14ac:dyDescent="0.3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3"/>
      <c r="O433" s="2"/>
      <c r="P433" s="2"/>
      <c r="Q433" s="4"/>
      <c r="R433" s="5"/>
      <c r="S433" s="2"/>
      <c r="T433" s="2"/>
      <c r="U433" s="2"/>
      <c r="V433" s="2"/>
      <c r="W433" s="2"/>
      <c r="X433" s="2"/>
      <c r="Y433" s="2"/>
      <c r="Z433" s="2"/>
    </row>
    <row r="434" spans="1:26" ht="18" x14ac:dyDescent="0.3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3"/>
      <c r="O434" s="2"/>
      <c r="P434" s="2"/>
      <c r="Q434" s="4"/>
      <c r="R434" s="5"/>
      <c r="S434" s="2"/>
      <c r="T434" s="2"/>
      <c r="U434" s="2"/>
      <c r="V434" s="2"/>
      <c r="W434" s="2"/>
      <c r="X434" s="2"/>
      <c r="Y434" s="2"/>
      <c r="Z434" s="2"/>
    </row>
    <row r="435" spans="1:26" ht="18" x14ac:dyDescent="0.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3"/>
      <c r="O435" s="2"/>
      <c r="P435" s="2"/>
      <c r="Q435" s="4"/>
      <c r="R435" s="5"/>
      <c r="S435" s="2"/>
      <c r="T435" s="2"/>
      <c r="U435" s="2"/>
      <c r="V435" s="2"/>
      <c r="W435" s="2"/>
      <c r="X435" s="2"/>
      <c r="Y435" s="2"/>
      <c r="Z435" s="2"/>
    </row>
    <row r="436" spans="1:26" ht="18" x14ac:dyDescent="0.3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3"/>
      <c r="O436" s="2"/>
      <c r="P436" s="2"/>
      <c r="Q436" s="4"/>
      <c r="R436" s="5"/>
      <c r="S436" s="2"/>
      <c r="T436" s="2"/>
      <c r="U436" s="2"/>
      <c r="V436" s="2"/>
      <c r="W436" s="2"/>
      <c r="X436" s="2"/>
      <c r="Y436" s="2"/>
      <c r="Z436" s="2"/>
    </row>
    <row r="437" spans="1:26" ht="18" x14ac:dyDescent="0.3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3"/>
      <c r="O437" s="2"/>
      <c r="P437" s="2"/>
      <c r="Q437" s="4"/>
      <c r="R437" s="5"/>
      <c r="S437" s="2"/>
      <c r="T437" s="2"/>
      <c r="U437" s="2"/>
      <c r="V437" s="2"/>
      <c r="W437" s="2"/>
      <c r="X437" s="2"/>
      <c r="Y437" s="2"/>
      <c r="Z437" s="2"/>
    </row>
    <row r="438" spans="1:26" ht="18" x14ac:dyDescent="0.3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3"/>
      <c r="O438" s="2"/>
      <c r="P438" s="2"/>
      <c r="Q438" s="4"/>
      <c r="R438" s="5"/>
      <c r="S438" s="2"/>
      <c r="T438" s="2"/>
      <c r="U438" s="2"/>
      <c r="V438" s="2"/>
      <c r="W438" s="2"/>
      <c r="X438" s="2"/>
      <c r="Y438" s="2"/>
      <c r="Z438" s="2"/>
    </row>
    <row r="439" spans="1:26" ht="18" x14ac:dyDescent="0.3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3"/>
      <c r="O439" s="2"/>
      <c r="P439" s="2"/>
      <c r="Q439" s="4"/>
      <c r="R439" s="5"/>
      <c r="S439" s="2"/>
      <c r="T439" s="2"/>
      <c r="U439" s="2"/>
      <c r="V439" s="2"/>
      <c r="W439" s="2"/>
      <c r="X439" s="2"/>
      <c r="Y439" s="2"/>
      <c r="Z439" s="2"/>
    </row>
    <row r="440" spans="1:26" ht="18" x14ac:dyDescent="0.3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3"/>
      <c r="O440" s="2"/>
      <c r="P440" s="2"/>
      <c r="Q440" s="4"/>
      <c r="R440" s="5"/>
      <c r="S440" s="2"/>
      <c r="T440" s="2"/>
      <c r="U440" s="2"/>
      <c r="V440" s="2"/>
      <c r="W440" s="2"/>
      <c r="X440" s="2"/>
      <c r="Y440" s="2"/>
      <c r="Z440" s="2"/>
    </row>
    <row r="441" spans="1:26" ht="18" x14ac:dyDescent="0.3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3"/>
      <c r="O441" s="2"/>
      <c r="P441" s="2"/>
      <c r="Q441" s="4"/>
      <c r="R441" s="5"/>
      <c r="S441" s="2"/>
      <c r="T441" s="2"/>
      <c r="U441" s="2"/>
      <c r="V441" s="2"/>
      <c r="W441" s="2"/>
      <c r="X441" s="2"/>
      <c r="Y441" s="2"/>
      <c r="Z441" s="2"/>
    </row>
    <row r="442" spans="1:26" ht="18" x14ac:dyDescent="0.3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3"/>
      <c r="O442" s="2"/>
      <c r="P442" s="2"/>
      <c r="Q442" s="4"/>
      <c r="R442" s="5"/>
      <c r="S442" s="2"/>
      <c r="T442" s="2"/>
      <c r="U442" s="2"/>
      <c r="V442" s="2"/>
      <c r="W442" s="2"/>
      <c r="X442" s="2"/>
      <c r="Y442" s="2"/>
      <c r="Z442" s="2"/>
    </row>
    <row r="443" spans="1:26" ht="18" x14ac:dyDescent="0.3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3"/>
      <c r="O443" s="2"/>
      <c r="P443" s="2"/>
      <c r="Q443" s="4"/>
      <c r="R443" s="5"/>
      <c r="S443" s="2"/>
      <c r="T443" s="2"/>
      <c r="U443" s="2"/>
      <c r="V443" s="2"/>
      <c r="W443" s="2"/>
      <c r="X443" s="2"/>
      <c r="Y443" s="2"/>
      <c r="Z443" s="2"/>
    </row>
    <row r="444" spans="1:26" ht="18" x14ac:dyDescent="0.3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3"/>
      <c r="O444" s="2"/>
      <c r="P444" s="2"/>
      <c r="Q444" s="4"/>
      <c r="R444" s="5"/>
      <c r="S444" s="2"/>
      <c r="T444" s="2"/>
      <c r="U444" s="2"/>
      <c r="V444" s="2"/>
      <c r="W444" s="2"/>
      <c r="X444" s="2"/>
      <c r="Y444" s="2"/>
      <c r="Z444" s="2"/>
    </row>
    <row r="445" spans="1:26" ht="18" x14ac:dyDescent="0.3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3"/>
      <c r="O445" s="2"/>
      <c r="P445" s="2"/>
      <c r="Q445" s="4"/>
      <c r="R445" s="5"/>
      <c r="S445" s="2"/>
      <c r="T445" s="2"/>
      <c r="U445" s="2"/>
      <c r="V445" s="2"/>
      <c r="W445" s="2"/>
      <c r="X445" s="2"/>
      <c r="Y445" s="2"/>
      <c r="Z445" s="2"/>
    </row>
    <row r="446" spans="1:26" ht="18" x14ac:dyDescent="0.3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3"/>
      <c r="O446" s="2"/>
      <c r="P446" s="2"/>
      <c r="Q446" s="4"/>
      <c r="R446" s="5"/>
      <c r="S446" s="2"/>
      <c r="T446" s="2"/>
      <c r="U446" s="2"/>
      <c r="V446" s="2"/>
      <c r="W446" s="2"/>
      <c r="X446" s="2"/>
      <c r="Y446" s="2"/>
      <c r="Z446" s="2"/>
    </row>
    <row r="447" spans="1:26" ht="18" x14ac:dyDescent="0.3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3"/>
      <c r="O447" s="2"/>
      <c r="P447" s="2"/>
      <c r="Q447" s="4"/>
      <c r="R447" s="5"/>
      <c r="S447" s="2"/>
      <c r="T447" s="2"/>
      <c r="U447" s="2"/>
      <c r="V447" s="2"/>
      <c r="W447" s="2"/>
      <c r="X447" s="2"/>
      <c r="Y447" s="2"/>
      <c r="Z447" s="2"/>
    </row>
    <row r="448" spans="1:26" ht="18" x14ac:dyDescent="0.3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3"/>
      <c r="O448" s="2"/>
      <c r="P448" s="2"/>
      <c r="Q448" s="4"/>
      <c r="R448" s="5"/>
      <c r="S448" s="2"/>
      <c r="T448" s="2"/>
      <c r="U448" s="2"/>
      <c r="V448" s="2"/>
      <c r="W448" s="2"/>
      <c r="X448" s="2"/>
      <c r="Y448" s="2"/>
      <c r="Z448" s="2"/>
    </row>
    <row r="449" spans="1:26" ht="18" x14ac:dyDescent="0.3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3"/>
      <c r="O449" s="2"/>
      <c r="P449" s="2"/>
      <c r="Q449" s="4"/>
      <c r="R449" s="5"/>
      <c r="S449" s="2"/>
      <c r="T449" s="2"/>
      <c r="U449" s="2"/>
      <c r="V449" s="2"/>
      <c r="W449" s="2"/>
      <c r="X449" s="2"/>
      <c r="Y449" s="2"/>
      <c r="Z449" s="2"/>
    </row>
    <row r="450" spans="1:26" ht="18" x14ac:dyDescent="0.3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3"/>
      <c r="O450" s="2"/>
      <c r="P450" s="2"/>
      <c r="Q450" s="4"/>
      <c r="R450" s="5"/>
      <c r="S450" s="2"/>
      <c r="T450" s="2"/>
      <c r="U450" s="2"/>
      <c r="V450" s="2"/>
      <c r="W450" s="2"/>
      <c r="X450" s="2"/>
      <c r="Y450" s="2"/>
      <c r="Z450" s="2"/>
    </row>
    <row r="451" spans="1:26" ht="18" x14ac:dyDescent="0.3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3"/>
      <c r="O451" s="2"/>
      <c r="P451" s="2"/>
      <c r="Q451" s="4"/>
      <c r="R451" s="5"/>
      <c r="S451" s="2"/>
      <c r="T451" s="2"/>
      <c r="U451" s="2"/>
      <c r="V451" s="2"/>
      <c r="W451" s="2"/>
      <c r="X451" s="2"/>
      <c r="Y451" s="2"/>
      <c r="Z451" s="2"/>
    </row>
    <row r="452" spans="1:26" ht="18" x14ac:dyDescent="0.3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3"/>
      <c r="O452" s="2"/>
      <c r="P452" s="2"/>
      <c r="Q452" s="4"/>
      <c r="R452" s="5"/>
      <c r="S452" s="2"/>
      <c r="T452" s="2"/>
      <c r="U452" s="2"/>
      <c r="V452" s="2"/>
      <c r="W452" s="2"/>
      <c r="X452" s="2"/>
      <c r="Y452" s="2"/>
      <c r="Z452" s="2"/>
    </row>
    <row r="453" spans="1:26" ht="18" x14ac:dyDescent="0.3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3"/>
      <c r="O453" s="2"/>
      <c r="P453" s="2"/>
      <c r="Q453" s="4"/>
      <c r="R453" s="5"/>
      <c r="S453" s="2"/>
      <c r="T453" s="2"/>
      <c r="U453" s="2"/>
      <c r="V453" s="2"/>
      <c r="W453" s="2"/>
      <c r="X453" s="2"/>
      <c r="Y453" s="2"/>
      <c r="Z453" s="2"/>
    </row>
    <row r="454" spans="1:26" ht="18" x14ac:dyDescent="0.3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3"/>
      <c r="O454" s="2"/>
      <c r="P454" s="2"/>
      <c r="Q454" s="4"/>
      <c r="R454" s="5"/>
      <c r="S454" s="2"/>
      <c r="T454" s="2"/>
      <c r="U454" s="2"/>
      <c r="V454" s="2"/>
      <c r="W454" s="2"/>
      <c r="X454" s="2"/>
      <c r="Y454" s="2"/>
      <c r="Z454" s="2"/>
    </row>
    <row r="455" spans="1:26" ht="18" x14ac:dyDescent="0.3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3"/>
      <c r="O455" s="2"/>
      <c r="P455" s="2"/>
      <c r="Q455" s="4"/>
      <c r="R455" s="5"/>
      <c r="S455" s="2"/>
      <c r="T455" s="2"/>
      <c r="U455" s="2"/>
      <c r="V455" s="2"/>
      <c r="W455" s="2"/>
      <c r="X455" s="2"/>
      <c r="Y455" s="2"/>
      <c r="Z455" s="2"/>
    </row>
    <row r="456" spans="1:26" ht="18" x14ac:dyDescent="0.3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3"/>
      <c r="O456" s="2"/>
      <c r="P456" s="2"/>
      <c r="Q456" s="4"/>
      <c r="R456" s="5"/>
      <c r="S456" s="2"/>
      <c r="T456" s="2"/>
      <c r="U456" s="2"/>
      <c r="V456" s="2"/>
      <c r="W456" s="2"/>
      <c r="X456" s="2"/>
      <c r="Y456" s="2"/>
      <c r="Z456" s="2"/>
    </row>
    <row r="457" spans="1:26" ht="18" x14ac:dyDescent="0.3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3"/>
      <c r="O457" s="2"/>
      <c r="P457" s="2"/>
      <c r="Q457" s="4"/>
      <c r="R457" s="5"/>
      <c r="S457" s="2"/>
      <c r="T457" s="2"/>
      <c r="U457" s="2"/>
      <c r="V457" s="2"/>
      <c r="W457" s="2"/>
      <c r="X457" s="2"/>
      <c r="Y457" s="2"/>
      <c r="Z457" s="2"/>
    </row>
    <row r="458" spans="1:26" ht="18" x14ac:dyDescent="0.3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3"/>
      <c r="O458" s="2"/>
      <c r="P458" s="2"/>
      <c r="Q458" s="4"/>
      <c r="R458" s="5"/>
      <c r="S458" s="2"/>
      <c r="T458" s="2"/>
      <c r="U458" s="2"/>
      <c r="V458" s="2"/>
      <c r="W458" s="2"/>
      <c r="X458" s="2"/>
      <c r="Y458" s="2"/>
      <c r="Z458" s="2"/>
    </row>
    <row r="459" spans="1:26" ht="18" x14ac:dyDescent="0.3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3"/>
      <c r="O459" s="2"/>
      <c r="P459" s="2"/>
      <c r="Q459" s="4"/>
      <c r="R459" s="5"/>
      <c r="S459" s="2"/>
      <c r="T459" s="2"/>
      <c r="U459" s="2"/>
      <c r="V459" s="2"/>
      <c r="W459" s="2"/>
      <c r="X459" s="2"/>
      <c r="Y459" s="2"/>
      <c r="Z459" s="2"/>
    </row>
    <row r="460" spans="1:26" ht="18" x14ac:dyDescent="0.3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3"/>
      <c r="O460" s="2"/>
      <c r="P460" s="2"/>
      <c r="Q460" s="4"/>
      <c r="R460" s="5"/>
      <c r="S460" s="2"/>
      <c r="T460" s="2"/>
      <c r="U460" s="2"/>
      <c r="V460" s="2"/>
      <c r="W460" s="2"/>
      <c r="X460" s="2"/>
      <c r="Y460" s="2"/>
      <c r="Z460" s="2"/>
    </row>
    <row r="461" spans="1:26" ht="18" x14ac:dyDescent="0.3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3"/>
      <c r="O461" s="2"/>
      <c r="P461" s="2"/>
      <c r="Q461" s="4"/>
      <c r="R461" s="5"/>
      <c r="S461" s="2"/>
      <c r="T461" s="2"/>
      <c r="U461" s="2"/>
      <c r="V461" s="2"/>
      <c r="W461" s="2"/>
      <c r="X461" s="2"/>
      <c r="Y461" s="2"/>
      <c r="Z461" s="2"/>
    </row>
    <row r="462" spans="1:26" ht="18" x14ac:dyDescent="0.3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3"/>
      <c r="O462" s="2"/>
      <c r="P462" s="2"/>
      <c r="Q462" s="4"/>
      <c r="R462" s="5"/>
      <c r="S462" s="2"/>
      <c r="T462" s="2"/>
      <c r="U462" s="2"/>
      <c r="V462" s="2"/>
      <c r="W462" s="2"/>
      <c r="X462" s="2"/>
      <c r="Y462" s="2"/>
      <c r="Z462" s="2"/>
    </row>
    <row r="463" spans="1:26" ht="18" x14ac:dyDescent="0.3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3"/>
      <c r="O463" s="2"/>
      <c r="P463" s="2"/>
      <c r="Q463" s="4"/>
      <c r="R463" s="5"/>
      <c r="S463" s="2"/>
      <c r="T463" s="2"/>
      <c r="U463" s="2"/>
      <c r="V463" s="2"/>
      <c r="W463" s="2"/>
      <c r="X463" s="2"/>
      <c r="Y463" s="2"/>
      <c r="Z463" s="2"/>
    </row>
    <row r="464" spans="1:26" ht="18" x14ac:dyDescent="0.3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3"/>
      <c r="O464" s="2"/>
      <c r="P464" s="2"/>
      <c r="Q464" s="4"/>
      <c r="R464" s="5"/>
      <c r="S464" s="2"/>
      <c r="T464" s="2"/>
      <c r="U464" s="2"/>
      <c r="V464" s="2"/>
      <c r="W464" s="2"/>
      <c r="X464" s="2"/>
      <c r="Y464" s="2"/>
      <c r="Z464" s="2"/>
    </row>
    <row r="465" spans="1:26" ht="18" x14ac:dyDescent="0.3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3"/>
      <c r="O465" s="2"/>
      <c r="P465" s="2"/>
      <c r="Q465" s="4"/>
      <c r="R465" s="5"/>
      <c r="S465" s="2"/>
      <c r="T465" s="2"/>
      <c r="U465" s="2"/>
      <c r="V465" s="2"/>
      <c r="W465" s="2"/>
      <c r="X465" s="2"/>
      <c r="Y465" s="2"/>
      <c r="Z465" s="2"/>
    </row>
    <row r="466" spans="1:26" ht="18" x14ac:dyDescent="0.3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3"/>
      <c r="O466" s="2"/>
      <c r="P466" s="2"/>
      <c r="Q466" s="4"/>
      <c r="R466" s="5"/>
      <c r="S466" s="2"/>
      <c r="T466" s="2"/>
      <c r="U466" s="2"/>
      <c r="V466" s="2"/>
      <c r="W466" s="2"/>
      <c r="X466" s="2"/>
      <c r="Y466" s="2"/>
      <c r="Z466" s="2"/>
    </row>
    <row r="467" spans="1:26" ht="18" x14ac:dyDescent="0.3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3"/>
      <c r="O467" s="2"/>
      <c r="P467" s="2"/>
      <c r="Q467" s="4"/>
      <c r="R467" s="5"/>
      <c r="S467" s="2"/>
      <c r="T467" s="2"/>
      <c r="U467" s="2"/>
      <c r="V467" s="2"/>
      <c r="W467" s="2"/>
      <c r="X467" s="2"/>
      <c r="Y467" s="2"/>
      <c r="Z467" s="2"/>
    </row>
    <row r="468" spans="1:26" ht="18" x14ac:dyDescent="0.3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3"/>
      <c r="O468" s="2"/>
      <c r="P468" s="2"/>
      <c r="Q468" s="4"/>
      <c r="R468" s="5"/>
      <c r="S468" s="2"/>
      <c r="T468" s="2"/>
      <c r="U468" s="2"/>
      <c r="V468" s="2"/>
      <c r="W468" s="2"/>
      <c r="X468" s="2"/>
      <c r="Y468" s="2"/>
      <c r="Z468" s="2"/>
    </row>
    <row r="469" spans="1:26" ht="18" x14ac:dyDescent="0.3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3"/>
      <c r="O469" s="2"/>
      <c r="P469" s="2"/>
      <c r="Q469" s="4"/>
      <c r="R469" s="5"/>
      <c r="S469" s="2"/>
      <c r="T469" s="2"/>
      <c r="U469" s="2"/>
      <c r="V469" s="2"/>
      <c r="W469" s="2"/>
      <c r="X469" s="2"/>
      <c r="Y469" s="2"/>
      <c r="Z469" s="2"/>
    </row>
    <row r="470" spans="1:26" ht="18" x14ac:dyDescent="0.3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3"/>
      <c r="O470" s="2"/>
      <c r="P470" s="2"/>
      <c r="Q470" s="4"/>
      <c r="R470" s="5"/>
      <c r="S470" s="2"/>
      <c r="T470" s="2"/>
      <c r="U470" s="2"/>
      <c r="V470" s="2"/>
      <c r="W470" s="2"/>
      <c r="X470" s="2"/>
      <c r="Y470" s="2"/>
      <c r="Z470" s="2"/>
    </row>
    <row r="471" spans="1:26" ht="18" x14ac:dyDescent="0.3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3"/>
      <c r="O471" s="2"/>
      <c r="P471" s="2"/>
      <c r="Q471" s="4"/>
      <c r="R471" s="5"/>
      <c r="S471" s="2"/>
      <c r="T471" s="2"/>
      <c r="U471" s="2"/>
      <c r="V471" s="2"/>
      <c r="W471" s="2"/>
      <c r="X471" s="2"/>
      <c r="Y471" s="2"/>
      <c r="Z471" s="2"/>
    </row>
    <row r="472" spans="1:26" ht="18" x14ac:dyDescent="0.3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3"/>
      <c r="O472" s="2"/>
      <c r="P472" s="2"/>
      <c r="Q472" s="4"/>
      <c r="R472" s="5"/>
      <c r="S472" s="2"/>
      <c r="T472" s="2"/>
      <c r="U472" s="2"/>
      <c r="V472" s="2"/>
      <c r="W472" s="2"/>
      <c r="X472" s="2"/>
      <c r="Y472" s="2"/>
      <c r="Z472" s="2"/>
    </row>
    <row r="473" spans="1:26" ht="18" x14ac:dyDescent="0.3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3"/>
      <c r="O473" s="2"/>
      <c r="P473" s="2"/>
      <c r="Q473" s="4"/>
      <c r="R473" s="5"/>
      <c r="S473" s="2"/>
      <c r="T473" s="2"/>
      <c r="U473" s="2"/>
      <c r="V473" s="2"/>
      <c r="W473" s="2"/>
      <c r="X473" s="2"/>
      <c r="Y473" s="2"/>
      <c r="Z473" s="2"/>
    </row>
    <row r="474" spans="1:26" ht="18" x14ac:dyDescent="0.3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3"/>
      <c r="O474" s="2"/>
      <c r="P474" s="2"/>
      <c r="Q474" s="4"/>
      <c r="R474" s="5"/>
      <c r="S474" s="2"/>
      <c r="T474" s="2"/>
      <c r="U474" s="2"/>
      <c r="V474" s="2"/>
      <c r="W474" s="2"/>
      <c r="X474" s="2"/>
      <c r="Y474" s="2"/>
      <c r="Z474" s="2"/>
    </row>
    <row r="475" spans="1:26" ht="18" x14ac:dyDescent="0.3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3"/>
      <c r="O475" s="2"/>
      <c r="P475" s="2"/>
      <c r="Q475" s="4"/>
      <c r="R475" s="5"/>
      <c r="S475" s="2"/>
      <c r="T475" s="2"/>
      <c r="U475" s="2"/>
      <c r="V475" s="2"/>
      <c r="W475" s="2"/>
      <c r="X475" s="2"/>
      <c r="Y475" s="2"/>
      <c r="Z475" s="2"/>
    </row>
    <row r="476" spans="1:26" ht="18" x14ac:dyDescent="0.3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3"/>
      <c r="O476" s="2"/>
      <c r="P476" s="2"/>
      <c r="Q476" s="4"/>
      <c r="R476" s="5"/>
      <c r="S476" s="2"/>
      <c r="T476" s="2"/>
      <c r="U476" s="2"/>
      <c r="V476" s="2"/>
      <c r="W476" s="2"/>
      <c r="X476" s="2"/>
      <c r="Y476" s="2"/>
      <c r="Z476" s="2"/>
    </row>
    <row r="477" spans="1:26" ht="18" x14ac:dyDescent="0.3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3"/>
      <c r="O477" s="2"/>
      <c r="P477" s="2"/>
      <c r="Q477" s="4"/>
      <c r="R477" s="5"/>
      <c r="S477" s="2"/>
      <c r="T477" s="2"/>
      <c r="U477" s="2"/>
      <c r="V477" s="2"/>
      <c r="W477" s="2"/>
      <c r="X477" s="2"/>
      <c r="Y477" s="2"/>
      <c r="Z477" s="2"/>
    </row>
    <row r="478" spans="1:26" ht="18" x14ac:dyDescent="0.3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3"/>
      <c r="O478" s="2"/>
      <c r="P478" s="2"/>
      <c r="Q478" s="4"/>
      <c r="R478" s="5"/>
      <c r="S478" s="2"/>
      <c r="T478" s="2"/>
      <c r="U478" s="2"/>
      <c r="V478" s="2"/>
      <c r="W478" s="2"/>
      <c r="X478" s="2"/>
      <c r="Y478" s="2"/>
      <c r="Z478" s="2"/>
    </row>
    <row r="479" spans="1:26" ht="18" x14ac:dyDescent="0.3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3"/>
      <c r="O479" s="2"/>
      <c r="P479" s="2"/>
      <c r="Q479" s="4"/>
      <c r="R479" s="5"/>
      <c r="S479" s="2"/>
      <c r="T479" s="2"/>
      <c r="U479" s="2"/>
      <c r="V479" s="2"/>
      <c r="W479" s="2"/>
      <c r="X479" s="2"/>
      <c r="Y479" s="2"/>
      <c r="Z479" s="2"/>
    </row>
    <row r="480" spans="1:26" ht="18" x14ac:dyDescent="0.3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3"/>
      <c r="O480" s="2"/>
      <c r="P480" s="2"/>
      <c r="Q480" s="4"/>
      <c r="R480" s="5"/>
      <c r="S480" s="2"/>
      <c r="T480" s="2"/>
      <c r="U480" s="2"/>
      <c r="V480" s="2"/>
      <c r="W480" s="2"/>
      <c r="X480" s="2"/>
      <c r="Y480" s="2"/>
      <c r="Z480" s="2"/>
    </row>
    <row r="481" spans="1:26" ht="18" x14ac:dyDescent="0.3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3"/>
      <c r="O481" s="2"/>
      <c r="P481" s="2"/>
      <c r="Q481" s="4"/>
      <c r="R481" s="5"/>
      <c r="S481" s="2"/>
      <c r="T481" s="2"/>
      <c r="U481" s="2"/>
      <c r="V481" s="2"/>
      <c r="W481" s="2"/>
      <c r="X481" s="2"/>
      <c r="Y481" s="2"/>
      <c r="Z481" s="2"/>
    </row>
    <row r="482" spans="1:26" ht="18" x14ac:dyDescent="0.3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3"/>
      <c r="O482" s="2"/>
      <c r="P482" s="2"/>
      <c r="Q482" s="4"/>
      <c r="R482" s="5"/>
      <c r="S482" s="2"/>
      <c r="T482" s="2"/>
      <c r="U482" s="2"/>
      <c r="V482" s="2"/>
      <c r="W482" s="2"/>
      <c r="X482" s="2"/>
      <c r="Y482" s="2"/>
      <c r="Z482" s="2"/>
    </row>
    <row r="483" spans="1:26" ht="18" x14ac:dyDescent="0.3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3"/>
      <c r="O483" s="2"/>
      <c r="P483" s="2"/>
      <c r="Q483" s="4"/>
      <c r="R483" s="5"/>
      <c r="S483" s="2"/>
      <c r="T483" s="2"/>
      <c r="U483" s="2"/>
      <c r="V483" s="2"/>
      <c r="W483" s="2"/>
      <c r="X483" s="2"/>
      <c r="Y483" s="2"/>
      <c r="Z483" s="2"/>
    </row>
    <row r="484" spans="1:26" ht="18" x14ac:dyDescent="0.3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3"/>
      <c r="O484" s="2"/>
      <c r="P484" s="2"/>
      <c r="Q484" s="4"/>
      <c r="R484" s="5"/>
      <c r="S484" s="2"/>
      <c r="T484" s="2"/>
      <c r="U484" s="2"/>
      <c r="V484" s="2"/>
      <c r="W484" s="2"/>
      <c r="X484" s="2"/>
      <c r="Y484" s="2"/>
      <c r="Z484" s="2"/>
    </row>
    <row r="485" spans="1:26" ht="18" x14ac:dyDescent="0.3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3"/>
      <c r="O485" s="2"/>
      <c r="P485" s="2"/>
      <c r="Q485" s="4"/>
      <c r="R485" s="5"/>
      <c r="S485" s="2"/>
      <c r="T485" s="2"/>
      <c r="U485" s="2"/>
      <c r="V485" s="2"/>
      <c r="W485" s="2"/>
      <c r="X485" s="2"/>
      <c r="Y485" s="2"/>
      <c r="Z485" s="2"/>
    </row>
    <row r="486" spans="1:26" ht="18" x14ac:dyDescent="0.3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3"/>
      <c r="O486" s="2"/>
      <c r="P486" s="2"/>
      <c r="Q486" s="4"/>
      <c r="R486" s="5"/>
      <c r="S486" s="2"/>
      <c r="T486" s="2"/>
      <c r="U486" s="2"/>
      <c r="V486" s="2"/>
      <c r="W486" s="2"/>
      <c r="X486" s="2"/>
      <c r="Y486" s="2"/>
      <c r="Z486" s="2"/>
    </row>
    <row r="487" spans="1:26" ht="18" x14ac:dyDescent="0.3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3"/>
      <c r="O487" s="2"/>
      <c r="P487" s="2"/>
      <c r="Q487" s="4"/>
      <c r="R487" s="5"/>
      <c r="S487" s="2"/>
      <c r="T487" s="2"/>
      <c r="U487" s="2"/>
      <c r="V487" s="2"/>
      <c r="W487" s="2"/>
      <c r="X487" s="2"/>
      <c r="Y487" s="2"/>
      <c r="Z487" s="2"/>
    </row>
    <row r="488" spans="1:26" ht="18" x14ac:dyDescent="0.3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3"/>
      <c r="O488" s="2"/>
      <c r="P488" s="2"/>
      <c r="Q488" s="4"/>
      <c r="R488" s="5"/>
      <c r="S488" s="2"/>
      <c r="T488" s="2"/>
      <c r="U488" s="2"/>
      <c r="V488" s="2"/>
      <c r="W488" s="2"/>
      <c r="X488" s="2"/>
      <c r="Y488" s="2"/>
      <c r="Z488" s="2"/>
    </row>
    <row r="489" spans="1:26" ht="18" x14ac:dyDescent="0.3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3"/>
      <c r="O489" s="2"/>
      <c r="P489" s="2"/>
      <c r="Q489" s="4"/>
      <c r="R489" s="5"/>
      <c r="S489" s="2"/>
      <c r="T489" s="2"/>
      <c r="U489" s="2"/>
      <c r="V489" s="2"/>
      <c r="W489" s="2"/>
      <c r="X489" s="2"/>
      <c r="Y489" s="2"/>
      <c r="Z489" s="2"/>
    </row>
    <row r="490" spans="1:26" ht="18" x14ac:dyDescent="0.3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3"/>
      <c r="O490" s="2"/>
      <c r="P490" s="2"/>
      <c r="Q490" s="4"/>
      <c r="R490" s="5"/>
      <c r="S490" s="2"/>
      <c r="T490" s="2"/>
      <c r="U490" s="2"/>
      <c r="V490" s="2"/>
      <c r="W490" s="2"/>
      <c r="X490" s="2"/>
      <c r="Y490" s="2"/>
      <c r="Z490" s="2"/>
    </row>
    <row r="491" spans="1:26" ht="18" x14ac:dyDescent="0.3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3"/>
      <c r="O491" s="2"/>
      <c r="P491" s="2"/>
      <c r="Q491" s="4"/>
      <c r="R491" s="5"/>
      <c r="S491" s="2"/>
      <c r="T491" s="2"/>
      <c r="U491" s="2"/>
      <c r="V491" s="2"/>
      <c r="W491" s="2"/>
      <c r="X491" s="2"/>
      <c r="Y491" s="2"/>
      <c r="Z491" s="2"/>
    </row>
    <row r="492" spans="1:26" ht="18" x14ac:dyDescent="0.3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3"/>
      <c r="O492" s="2"/>
      <c r="P492" s="2"/>
      <c r="Q492" s="4"/>
      <c r="R492" s="5"/>
      <c r="S492" s="2"/>
      <c r="T492" s="2"/>
      <c r="U492" s="2"/>
      <c r="V492" s="2"/>
      <c r="W492" s="2"/>
      <c r="X492" s="2"/>
      <c r="Y492" s="2"/>
      <c r="Z492" s="2"/>
    </row>
    <row r="493" spans="1:26" ht="18" x14ac:dyDescent="0.3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3"/>
      <c r="O493" s="2"/>
      <c r="P493" s="2"/>
      <c r="Q493" s="4"/>
      <c r="R493" s="5"/>
      <c r="S493" s="2"/>
      <c r="T493" s="2"/>
      <c r="U493" s="2"/>
      <c r="V493" s="2"/>
      <c r="W493" s="2"/>
      <c r="X493" s="2"/>
      <c r="Y493" s="2"/>
      <c r="Z493" s="2"/>
    </row>
    <row r="494" spans="1:26" ht="18" x14ac:dyDescent="0.3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3"/>
      <c r="O494" s="2"/>
      <c r="P494" s="2"/>
      <c r="Q494" s="4"/>
      <c r="R494" s="5"/>
      <c r="S494" s="2"/>
      <c r="T494" s="2"/>
      <c r="U494" s="2"/>
      <c r="V494" s="2"/>
      <c r="W494" s="2"/>
      <c r="X494" s="2"/>
      <c r="Y494" s="2"/>
      <c r="Z494" s="2"/>
    </row>
    <row r="495" spans="1:26" ht="18" x14ac:dyDescent="0.3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3"/>
      <c r="O495" s="2"/>
      <c r="P495" s="2"/>
      <c r="Q495" s="4"/>
      <c r="R495" s="5"/>
      <c r="S495" s="2"/>
      <c r="T495" s="2"/>
      <c r="U495" s="2"/>
      <c r="V495" s="2"/>
      <c r="W495" s="2"/>
      <c r="X495" s="2"/>
      <c r="Y495" s="2"/>
      <c r="Z495" s="2"/>
    </row>
    <row r="496" spans="1:26" ht="18" x14ac:dyDescent="0.3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3"/>
      <c r="O496" s="2"/>
      <c r="P496" s="2"/>
      <c r="Q496" s="4"/>
      <c r="R496" s="5"/>
      <c r="S496" s="2"/>
      <c r="T496" s="2"/>
      <c r="U496" s="2"/>
      <c r="V496" s="2"/>
      <c r="W496" s="2"/>
      <c r="X496" s="2"/>
      <c r="Y496" s="2"/>
      <c r="Z496" s="2"/>
    </row>
    <row r="497" spans="1:26" ht="18" x14ac:dyDescent="0.3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3"/>
      <c r="O497" s="2"/>
      <c r="P497" s="2"/>
      <c r="Q497" s="4"/>
      <c r="R497" s="5"/>
      <c r="S497" s="2"/>
      <c r="T497" s="2"/>
      <c r="U497" s="2"/>
      <c r="V497" s="2"/>
      <c r="W497" s="2"/>
      <c r="X497" s="2"/>
      <c r="Y497" s="2"/>
      <c r="Z497" s="2"/>
    </row>
    <row r="498" spans="1:26" ht="18" x14ac:dyDescent="0.3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3"/>
      <c r="O498" s="2"/>
      <c r="P498" s="2"/>
      <c r="Q498" s="4"/>
      <c r="R498" s="5"/>
      <c r="S498" s="2"/>
      <c r="T498" s="2"/>
      <c r="U498" s="2"/>
      <c r="V498" s="2"/>
      <c r="W498" s="2"/>
      <c r="X498" s="2"/>
      <c r="Y498" s="2"/>
      <c r="Z498" s="2"/>
    </row>
    <row r="499" spans="1:26" ht="18" x14ac:dyDescent="0.3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3"/>
      <c r="O499" s="2"/>
      <c r="P499" s="2"/>
      <c r="Q499" s="4"/>
      <c r="R499" s="5"/>
      <c r="S499" s="2"/>
      <c r="T499" s="2"/>
      <c r="U499" s="2"/>
      <c r="V499" s="2"/>
      <c r="W499" s="2"/>
      <c r="X499" s="2"/>
      <c r="Y499" s="2"/>
      <c r="Z499" s="2"/>
    </row>
    <row r="500" spans="1:26" ht="18" x14ac:dyDescent="0.3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3"/>
      <c r="O500" s="2"/>
      <c r="P500" s="2"/>
      <c r="Q500" s="4"/>
      <c r="R500" s="5"/>
      <c r="S500" s="2"/>
      <c r="T500" s="2"/>
      <c r="U500" s="2"/>
      <c r="V500" s="2"/>
      <c r="W500" s="2"/>
      <c r="X500" s="2"/>
      <c r="Y500" s="2"/>
      <c r="Z500" s="2"/>
    </row>
    <row r="501" spans="1:26" ht="18" x14ac:dyDescent="0.3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3"/>
      <c r="O501" s="2"/>
      <c r="P501" s="2"/>
      <c r="Q501" s="4"/>
      <c r="R501" s="5"/>
      <c r="S501" s="2"/>
      <c r="T501" s="2"/>
      <c r="U501" s="2"/>
      <c r="V501" s="2"/>
      <c r="W501" s="2"/>
      <c r="X501" s="2"/>
      <c r="Y501" s="2"/>
      <c r="Z501" s="2"/>
    </row>
    <row r="502" spans="1:26" ht="18" x14ac:dyDescent="0.3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3"/>
      <c r="O502" s="2"/>
      <c r="P502" s="2"/>
      <c r="Q502" s="4"/>
      <c r="R502" s="5"/>
      <c r="S502" s="2"/>
      <c r="T502" s="2"/>
      <c r="U502" s="2"/>
      <c r="V502" s="2"/>
      <c r="W502" s="2"/>
      <c r="X502" s="2"/>
      <c r="Y502" s="2"/>
      <c r="Z502" s="2"/>
    </row>
    <row r="503" spans="1:26" ht="18" x14ac:dyDescent="0.3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3"/>
      <c r="O503" s="2"/>
      <c r="P503" s="2"/>
      <c r="Q503" s="4"/>
      <c r="R503" s="5"/>
      <c r="S503" s="2"/>
      <c r="T503" s="2"/>
      <c r="U503" s="2"/>
      <c r="V503" s="2"/>
      <c r="W503" s="2"/>
      <c r="X503" s="2"/>
      <c r="Y503" s="2"/>
      <c r="Z503" s="2"/>
    </row>
    <row r="504" spans="1:26" ht="18" x14ac:dyDescent="0.3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3"/>
      <c r="O504" s="2"/>
      <c r="P504" s="2"/>
      <c r="Q504" s="4"/>
      <c r="R504" s="5"/>
      <c r="S504" s="2"/>
      <c r="T504" s="2"/>
      <c r="U504" s="2"/>
      <c r="V504" s="2"/>
      <c r="W504" s="2"/>
      <c r="X504" s="2"/>
      <c r="Y504" s="2"/>
      <c r="Z504" s="2"/>
    </row>
    <row r="505" spans="1:26" ht="18" x14ac:dyDescent="0.3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3"/>
      <c r="O505" s="2"/>
      <c r="P505" s="2"/>
      <c r="Q505" s="4"/>
      <c r="R505" s="5"/>
      <c r="S505" s="2"/>
      <c r="T505" s="2"/>
      <c r="U505" s="2"/>
      <c r="V505" s="2"/>
      <c r="W505" s="2"/>
      <c r="X505" s="2"/>
      <c r="Y505" s="2"/>
      <c r="Z505" s="2"/>
    </row>
    <row r="506" spans="1:26" ht="18" x14ac:dyDescent="0.3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3"/>
      <c r="O506" s="2"/>
      <c r="P506" s="2"/>
      <c r="Q506" s="4"/>
      <c r="R506" s="5"/>
      <c r="S506" s="2"/>
      <c r="T506" s="2"/>
      <c r="U506" s="2"/>
      <c r="V506" s="2"/>
      <c r="W506" s="2"/>
      <c r="X506" s="2"/>
      <c r="Y506" s="2"/>
      <c r="Z506" s="2"/>
    </row>
    <row r="507" spans="1:26" ht="18" x14ac:dyDescent="0.3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3"/>
      <c r="O507" s="2"/>
      <c r="P507" s="2"/>
      <c r="Q507" s="4"/>
      <c r="R507" s="5"/>
      <c r="S507" s="2"/>
      <c r="T507" s="2"/>
      <c r="U507" s="2"/>
      <c r="V507" s="2"/>
      <c r="W507" s="2"/>
      <c r="X507" s="2"/>
      <c r="Y507" s="2"/>
      <c r="Z507" s="2"/>
    </row>
    <row r="508" spans="1:26" ht="18" x14ac:dyDescent="0.3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3"/>
      <c r="O508" s="2"/>
      <c r="P508" s="2"/>
      <c r="Q508" s="4"/>
      <c r="R508" s="5"/>
      <c r="S508" s="2"/>
      <c r="T508" s="2"/>
      <c r="U508" s="2"/>
      <c r="V508" s="2"/>
      <c r="W508" s="2"/>
      <c r="X508" s="2"/>
      <c r="Y508" s="2"/>
      <c r="Z508" s="2"/>
    </row>
    <row r="509" spans="1:26" ht="18" x14ac:dyDescent="0.3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3"/>
      <c r="O509" s="2"/>
      <c r="P509" s="2"/>
      <c r="Q509" s="4"/>
      <c r="R509" s="5"/>
      <c r="S509" s="2"/>
      <c r="T509" s="2"/>
      <c r="U509" s="2"/>
      <c r="V509" s="2"/>
      <c r="W509" s="2"/>
      <c r="X509" s="2"/>
      <c r="Y509" s="2"/>
      <c r="Z509" s="2"/>
    </row>
    <row r="510" spans="1:26" ht="18" x14ac:dyDescent="0.3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3"/>
      <c r="O510" s="2"/>
      <c r="P510" s="2"/>
      <c r="Q510" s="4"/>
      <c r="R510" s="5"/>
      <c r="S510" s="2"/>
      <c r="T510" s="2"/>
      <c r="U510" s="2"/>
      <c r="V510" s="2"/>
      <c r="W510" s="2"/>
      <c r="X510" s="2"/>
      <c r="Y510" s="2"/>
      <c r="Z510" s="2"/>
    </row>
    <row r="511" spans="1:26" ht="18" x14ac:dyDescent="0.3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3"/>
      <c r="O511" s="2"/>
      <c r="P511" s="2"/>
      <c r="Q511" s="4"/>
      <c r="R511" s="5"/>
      <c r="S511" s="2"/>
      <c r="T511" s="2"/>
      <c r="U511" s="2"/>
      <c r="V511" s="2"/>
      <c r="W511" s="2"/>
      <c r="X511" s="2"/>
      <c r="Y511" s="2"/>
      <c r="Z511" s="2"/>
    </row>
    <row r="512" spans="1:26" ht="18" x14ac:dyDescent="0.3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3"/>
      <c r="O512" s="2"/>
      <c r="P512" s="2"/>
      <c r="Q512" s="4"/>
      <c r="R512" s="5"/>
      <c r="S512" s="2"/>
      <c r="T512" s="2"/>
      <c r="U512" s="2"/>
      <c r="V512" s="2"/>
      <c r="W512" s="2"/>
      <c r="X512" s="2"/>
      <c r="Y512" s="2"/>
      <c r="Z512" s="2"/>
    </row>
    <row r="513" spans="1:26" ht="18" x14ac:dyDescent="0.3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3"/>
      <c r="O513" s="2"/>
      <c r="P513" s="2"/>
      <c r="Q513" s="4"/>
      <c r="R513" s="5"/>
      <c r="S513" s="2"/>
      <c r="T513" s="2"/>
      <c r="U513" s="2"/>
      <c r="V513" s="2"/>
      <c r="W513" s="2"/>
      <c r="X513" s="2"/>
      <c r="Y513" s="2"/>
      <c r="Z513" s="2"/>
    </row>
    <row r="514" spans="1:26" ht="18" x14ac:dyDescent="0.3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3"/>
      <c r="O514" s="2"/>
      <c r="P514" s="2"/>
      <c r="Q514" s="4"/>
      <c r="R514" s="5"/>
      <c r="S514" s="2"/>
      <c r="T514" s="2"/>
      <c r="U514" s="2"/>
      <c r="V514" s="2"/>
      <c r="W514" s="2"/>
      <c r="X514" s="2"/>
      <c r="Y514" s="2"/>
      <c r="Z514" s="2"/>
    </row>
    <row r="515" spans="1:26" ht="18" x14ac:dyDescent="0.3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3"/>
      <c r="O515" s="2"/>
      <c r="P515" s="2"/>
      <c r="Q515" s="4"/>
      <c r="R515" s="5"/>
      <c r="S515" s="2"/>
      <c r="T515" s="2"/>
      <c r="U515" s="2"/>
      <c r="V515" s="2"/>
      <c r="W515" s="2"/>
      <c r="X515" s="2"/>
      <c r="Y515" s="2"/>
      <c r="Z515" s="2"/>
    </row>
    <row r="516" spans="1:26" ht="18" x14ac:dyDescent="0.3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3"/>
      <c r="O516" s="2"/>
      <c r="P516" s="2"/>
      <c r="Q516" s="4"/>
      <c r="R516" s="5"/>
      <c r="S516" s="2"/>
      <c r="T516" s="2"/>
      <c r="U516" s="2"/>
      <c r="V516" s="2"/>
      <c r="W516" s="2"/>
      <c r="X516" s="2"/>
      <c r="Y516" s="2"/>
      <c r="Z516" s="2"/>
    </row>
    <row r="517" spans="1:26" ht="18" x14ac:dyDescent="0.3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3"/>
      <c r="O517" s="2"/>
      <c r="P517" s="2"/>
      <c r="Q517" s="4"/>
      <c r="R517" s="5"/>
      <c r="S517" s="2"/>
      <c r="T517" s="2"/>
      <c r="U517" s="2"/>
      <c r="V517" s="2"/>
      <c r="W517" s="2"/>
      <c r="X517" s="2"/>
      <c r="Y517" s="2"/>
      <c r="Z517" s="2"/>
    </row>
    <row r="518" spans="1:26" ht="18" x14ac:dyDescent="0.3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3"/>
      <c r="O518" s="2"/>
      <c r="P518" s="2"/>
      <c r="Q518" s="4"/>
      <c r="R518" s="5"/>
      <c r="S518" s="2"/>
      <c r="T518" s="2"/>
      <c r="U518" s="2"/>
      <c r="V518" s="2"/>
      <c r="W518" s="2"/>
      <c r="X518" s="2"/>
      <c r="Y518" s="2"/>
      <c r="Z518" s="2"/>
    </row>
    <row r="519" spans="1:26" ht="18" x14ac:dyDescent="0.3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3"/>
      <c r="O519" s="2"/>
      <c r="P519" s="2"/>
      <c r="Q519" s="4"/>
      <c r="R519" s="5"/>
      <c r="S519" s="2"/>
      <c r="T519" s="2"/>
      <c r="U519" s="2"/>
      <c r="V519" s="2"/>
      <c r="W519" s="2"/>
      <c r="X519" s="2"/>
      <c r="Y519" s="2"/>
      <c r="Z519" s="2"/>
    </row>
    <row r="520" spans="1:26" ht="18" x14ac:dyDescent="0.3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3"/>
      <c r="O520" s="2"/>
      <c r="P520" s="2"/>
      <c r="Q520" s="4"/>
      <c r="R520" s="5"/>
      <c r="S520" s="2"/>
      <c r="T520" s="2"/>
      <c r="U520" s="2"/>
      <c r="V520" s="2"/>
      <c r="W520" s="2"/>
      <c r="X520" s="2"/>
      <c r="Y520" s="2"/>
      <c r="Z520" s="2"/>
    </row>
    <row r="521" spans="1:26" ht="18" x14ac:dyDescent="0.3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3"/>
      <c r="O521" s="2"/>
      <c r="P521" s="2"/>
      <c r="Q521" s="4"/>
      <c r="R521" s="5"/>
      <c r="S521" s="2"/>
      <c r="T521" s="2"/>
      <c r="U521" s="2"/>
      <c r="V521" s="2"/>
      <c r="W521" s="2"/>
      <c r="X521" s="2"/>
      <c r="Y521" s="2"/>
      <c r="Z521" s="2"/>
    </row>
    <row r="522" spans="1:26" ht="18" x14ac:dyDescent="0.3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3"/>
      <c r="O522" s="2"/>
      <c r="P522" s="2"/>
      <c r="Q522" s="4"/>
      <c r="R522" s="5"/>
      <c r="S522" s="2"/>
      <c r="T522" s="2"/>
      <c r="U522" s="2"/>
      <c r="V522" s="2"/>
      <c r="W522" s="2"/>
      <c r="X522" s="2"/>
      <c r="Y522" s="2"/>
      <c r="Z522" s="2"/>
    </row>
    <row r="523" spans="1:26" ht="18" x14ac:dyDescent="0.3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3"/>
      <c r="O523" s="2"/>
      <c r="P523" s="2"/>
      <c r="Q523" s="4"/>
      <c r="R523" s="5"/>
      <c r="S523" s="2"/>
      <c r="T523" s="2"/>
      <c r="U523" s="2"/>
      <c r="V523" s="2"/>
      <c r="W523" s="2"/>
      <c r="X523" s="2"/>
      <c r="Y523" s="2"/>
      <c r="Z523" s="2"/>
    </row>
    <row r="524" spans="1:26" ht="18" x14ac:dyDescent="0.3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3"/>
      <c r="O524" s="2"/>
      <c r="P524" s="2"/>
      <c r="Q524" s="4"/>
      <c r="R524" s="5"/>
      <c r="S524" s="2"/>
      <c r="T524" s="2"/>
      <c r="U524" s="2"/>
      <c r="V524" s="2"/>
      <c r="W524" s="2"/>
      <c r="X524" s="2"/>
      <c r="Y524" s="2"/>
      <c r="Z524" s="2"/>
    </row>
    <row r="525" spans="1:26" ht="18" x14ac:dyDescent="0.3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3"/>
      <c r="O525" s="2"/>
      <c r="P525" s="2"/>
      <c r="Q525" s="4"/>
      <c r="R525" s="5"/>
      <c r="S525" s="2"/>
      <c r="T525" s="2"/>
      <c r="U525" s="2"/>
      <c r="V525" s="2"/>
      <c r="W525" s="2"/>
      <c r="X525" s="2"/>
      <c r="Y525" s="2"/>
      <c r="Z525" s="2"/>
    </row>
    <row r="526" spans="1:26" ht="18" x14ac:dyDescent="0.3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3"/>
      <c r="O526" s="2"/>
      <c r="P526" s="2"/>
      <c r="Q526" s="4"/>
      <c r="R526" s="5"/>
      <c r="S526" s="2"/>
      <c r="T526" s="2"/>
      <c r="U526" s="2"/>
      <c r="V526" s="2"/>
      <c r="W526" s="2"/>
      <c r="X526" s="2"/>
      <c r="Y526" s="2"/>
      <c r="Z526" s="2"/>
    </row>
    <row r="527" spans="1:26" ht="18" x14ac:dyDescent="0.3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3"/>
      <c r="O527" s="2"/>
      <c r="P527" s="2"/>
      <c r="Q527" s="4"/>
      <c r="R527" s="5"/>
      <c r="S527" s="2"/>
      <c r="T527" s="2"/>
      <c r="U527" s="2"/>
      <c r="V527" s="2"/>
      <c r="W527" s="2"/>
      <c r="X527" s="2"/>
      <c r="Y527" s="2"/>
      <c r="Z527" s="2"/>
    </row>
    <row r="528" spans="1:26" ht="18" x14ac:dyDescent="0.3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3"/>
      <c r="O528" s="2"/>
      <c r="P528" s="2"/>
      <c r="Q528" s="4"/>
      <c r="R528" s="5"/>
      <c r="S528" s="2"/>
      <c r="T528" s="2"/>
      <c r="U528" s="2"/>
      <c r="V528" s="2"/>
      <c r="W528" s="2"/>
      <c r="X528" s="2"/>
      <c r="Y528" s="2"/>
      <c r="Z528" s="2"/>
    </row>
    <row r="529" spans="1:26" ht="18" x14ac:dyDescent="0.3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3"/>
      <c r="O529" s="2"/>
      <c r="P529" s="2"/>
      <c r="Q529" s="4"/>
      <c r="R529" s="5"/>
      <c r="S529" s="2"/>
      <c r="T529" s="2"/>
      <c r="U529" s="2"/>
      <c r="V529" s="2"/>
      <c r="W529" s="2"/>
      <c r="X529" s="2"/>
      <c r="Y529" s="2"/>
      <c r="Z529" s="2"/>
    </row>
    <row r="530" spans="1:26" ht="18" x14ac:dyDescent="0.3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3"/>
      <c r="O530" s="2"/>
      <c r="P530" s="2"/>
      <c r="Q530" s="4"/>
      <c r="R530" s="5"/>
      <c r="S530" s="2"/>
      <c r="T530" s="2"/>
      <c r="U530" s="2"/>
      <c r="V530" s="2"/>
      <c r="W530" s="2"/>
      <c r="X530" s="2"/>
      <c r="Y530" s="2"/>
      <c r="Z530" s="2"/>
    </row>
    <row r="531" spans="1:26" ht="18" x14ac:dyDescent="0.3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3"/>
      <c r="O531" s="2"/>
      <c r="P531" s="2"/>
      <c r="Q531" s="4"/>
      <c r="R531" s="5"/>
      <c r="S531" s="2"/>
      <c r="T531" s="2"/>
      <c r="U531" s="2"/>
      <c r="V531" s="2"/>
      <c r="W531" s="2"/>
      <c r="X531" s="2"/>
      <c r="Y531" s="2"/>
      <c r="Z531" s="2"/>
    </row>
    <row r="532" spans="1:26" ht="18" x14ac:dyDescent="0.3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3"/>
      <c r="O532" s="2"/>
      <c r="P532" s="2"/>
      <c r="Q532" s="4"/>
      <c r="R532" s="5"/>
      <c r="S532" s="2"/>
      <c r="T532" s="2"/>
      <c r="U532" s="2"/>
      <c r="V532" s="2"/>
      <c r="W532" s="2"/>
      <c r="X532" s="2"/>
      <c r="Y532" s="2"/>
      <c r="Z532" s="2"/>
    </row>
    <row r="533" spans="1:26" ht="18" x14ac:dyDescent="0.3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3"/>
      <c r="O533" s="2"/>
      <c r="P533" s="2"/>
      <c r="Q533" s="4"/>
      <c r="R533" s="5"/>
      <c r="S533" s="2"/>
      <c r="T533" s="2"/>
      <c r="U533" s="2"/>
      <c r="V533" s="2"/>
      <c r="W533" s="2"/>
      <c r="X533" s="2"/>
      <c r="Y533" s="2"/>
      <c r="Z533" s="2"/>
    </row>
    <row r="534" spans="1:26" ht="18" x14ac:dyDescent="0.3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3"/>
      <c r="O534" s="2"/>
      <c r="P534" s="2"/>
      <c r="Q534" s="4"/>
      <c r="R534" s="5"/>
      <c r="S534" s="2"/>
      <c r="T534" s="2"/>
      <c r="U534" s="2"/>
      <c r="V534" s="2"/>
      <c r="W534" s="2"/>
      <c r="X534" s="2"/>
      <c r="Y534" s="2"/>
      <c r="Z534" s="2"/>
    </row>
    <row r="535" spans="1:26" ht="18" x14ac:dyDescent="0.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3"/>
      <c r="O535" s="2"/>
      <c r="P535" s="2"/>
      <c r="Q535" s="4"/>
      <c r="R535" s="5"/>
      <c r="S535" s="2"/>
      <c r="T535" s="2"/>
      <c r="U535" s="2"/>
      <c r="V535" s="2"/>
      <c r="W535" s="2"/>
      <c r="X535" s="2"/>
      <c r="Y535" s="2"/>
      <c r="Z535" s="2"/>
    </row>
    <row r="536" spans="1:26" ht="18" x14ac:dyDescent="0.3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3"/>
      <c r="O536" s="2"/>
      <c r="P536" s="2"/>
      <c r="Q536" s="4"/>
      <c r="R536" s="5"/>
      <c r="S536" s="2"/>
      <c r="T536" s="2"/>
      <c r="U536" s="2"/>
      <c r="V536" s="2"/>
      <c r="W536" s="2"/>
      <c r="X536" s="2"/>
      <c r="Y536" s="2"/>
      <c r="Z536" s="2"/>
    </row>
    <row r="537" spans="1:26" ht="18" x14ac:dyDescent="0.3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3"/>
      <c r="O537" s="2"/>
      <c r="P537" s="2"/>
      <c r="Q537" s="4"/>
      <c r="R537" s="5"/>
      <c r="S537" s="2"/>
      <c r="T537" s="2"/>
      <c r="U537" s="2"/>
      <c r="V537" s="2"/>
      <c r="W537" s="2"/>
      <c r="X537" s="2"/>
      <c r="Y537" s="2"/>
      <c r="Z537" s="2"/>
    </row>
    <row r="538" spans="1:26" ht="18" x14ac:dyDescent="0.3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3"/>
      <c r="O538" s="2"/>
      <c r="P538" s="2"/>
      <c r="Q538" s="4"/>
      <c r="R538" s="5"/>
      <c r="S538" s="2"/>
      <c r="T538" s="2"/>
      <c r="U538" s="2"/>
      <c r="V538" s="2"/>
      <c r="W538" s="2"/>
      <c r="X538" s="2"/>
      <c r="Y538" s="2"/>
      <c r="Z538" s="2"/>
    </row>
    <row r="539" spans="1:26" ht="18" x14ac:dyDescent="0.3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3"/>
      <c r="O539" s="2"/>
      <c r="P539" s="2"/>
      <c r="Q539" s="4"/>
      <c r="R539" s="5"/>
      <c r="S539" s="2"/>
      <c r="T539" s="2"/>
      <c r="U539" s="2"/>
      <c r="V539" s="2"/>
      <c r="W539" s="2"/>
      <c r="X539" s="2"/>
      <c r="Y539" s="2"/>
      <c r="Z539" s="2"/>
    </row>
    <row r="540" spans="1:26" ht="18" x14ac:dyDescent="0.3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3"/>
      <c r="O540" s="2"/>
      <c r="P540" s="2"/>
      <c r="Q540" s="4"/>
      <c r="R540" s="5"/>
      <c r="S540" s="2"/>
      <c r="T540" s="2"/>
      <c r="U540" s="2"/>
      <c r="V540" s="2"/>
      <c r="W540" s="2"/>
      <c r="X540" s="2"/>
      <c r="Y540" s="2"/>
      <c r="Z540" s="2"/>
    </row>
    <row r="541" spans="1:26" ht="18" x14ac:dyDescent="0.3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3"/>
      <c r="O541" s="2"/>
      <c r="P541" s="2"/>
      <c r="Q541" s="4"/>
      <c r="R541" s="5"/>
      <c r="S541" s="2"/>
      <c r="T541" s="2"/>
      <c r="U541" s="2"/>
      <c r="V541" s="2"/>
      <c r="W541" s="2"/>
      <c r="X541" s="2"/>
      <c r="Y541" s="2"/>
      <c r="Z541" s="2"/>
    </row>
    <row r="542" spans="1:26" ht="18" x14ac:dyDescent="0.3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3"/>
      <c r="O542" s="2"/>
      <c r="P542" s="2"/>
      <c r="Q542" s="4"/>
      <c r="R542" s="5"/>
      <c r="S542" s="2"/>
      <c r="T542" s="2"/>
      <c r="U542" s="2"/>
      <c r="V542" s="2"/>
      <c r="W542" s="2"/>
      <c r="X542" s="2"/>
      <c r="Y542" s="2"/>
      <c r="Z542" s="2"/>
    </row>
    <row r="543" spans="1:26" ht="18" x14ac:dyDescent="0.3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3"/>
      <c r="O543" s="2"/>
      <c r="P543" s="2"/>
      <c r="Q543" s="4"/>
      <c r="R543" s="5"/>
      <c r="S543" s="2"/>
      <c r="T543" s="2"/>
      <c r="U543" s="2"/>
      <c r="V543" s="2"/>
      <c r="W543" s="2"/>
      <c r="X543" s="2"/>
      <c r="Y543" s="2"/>
      <c r="Z543" s="2"/>
    </row>
    <row r="544" spans="1:26" ht="18" x14ac:dyDescent="0.3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3"/>
      <c r="O544" s="2"/>
      <c r="P544" s="2"/>
      <c r="Q544" s="4"/>
      <c r="R544" s="5"/>
      <c r="S544" s="2"/>
      <c r="T544" s="2"/>
      <c r="U544" s="2"/>
      <c r="V544" s="2"/>
      <c r="W544" s="2"/>
      <c r="X544" s="2"/>
      <c r="Y544" s="2"/>
      <c r="Z544" s="2"/>
    </row>
    <row r="545" spans="1:26" ht="18" x14ac:dyDescent="0.3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3"/>
      <c r="O545" s="2"/>
      <c r="P545" s="2"/>
      <c r="Q545" s="4"/>
      <c r="R545" s="5"/>
      <c r="S545" s="2"/>
      <c r="T545" s="2"/>
      <c r="U545" s="2"/>
      <c r="V545" s="2"/>
      <c r="W545" s="2"/>
      <c r="X545" s="2"/>
      <c r="Y545" s="2"/>
      <c r="Z545" s="2"/>
    </row>
    <row r="546" spans="1:26" ht="18" x14ac:dyDescent="0.3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3"/>
      <c r="O546" s="2"/>
      <c r="P546" s="2"/>
      <c r="Q546" s="4"/>
      <c r="R546" s="5"/>
      <c r="S546" s="2"/>
      <c r="T546" s="2"/>
      <c r="U546" s="2"/>
      <c r="V546" s="2"/>
      <c r="W546" s="2"/>
      <c r="X546" s="2"/>
      <c r="Y546" s="2"/>
      <c r="Z546" s="2"/>
    </row>
    <row r="547" spans="1:26" ht="18" x14ac:dyDescent="0.3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3"/>
      <c r="O547" s="2"/>
      <c r="P547" s="2"/>
      <c r="Q547" s="4"/>
      <c r="R547" s="5"/>
      <c r="S547" s="2"/>
      <c r="T547" s="2"/>
      <c r="U547" s="2"/>
      <c r="V547" s="2"/>
      <c r="W547" s="2"/>
      <c r="X547" s="2"/>
      <c r="Y547" s="2"/>
      <c r="Z547" s="2"/>
    </row>
    <row r="548" spans="1:26" ht="18" x14ac:dyDescent="0.3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3"/>
      <c r="O548" s="2"/>
      <c r="P548" s="2"/>
      <c r="Q548" s="4"/>
      <c r="R548" s="5"/>
      <c r="S548" s="2"/>
      <c r="T548" s="2"/>
      <c r="U548" s="2"/>
      <c r="V548" s="2"/>
      <c r="W548" s="2"/>
      <c r="X548" s="2"/>
      <c r="Y548" s="2"/>
      <c r="Z548" s="2"/>
    </row>
    <row r="549" spans="1:26" ht="18" x14ac:dyDescent="0.3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3"/>
      <c r="O549" s="2"/>
      <c r="P549" s="2"/>
      <c r="Q549" s="4"/>
      <c r="R549" s="5"/>
      <c r="S549" s="2"/>
      <c r="T549" s="2"/>
      <c r="U549" s="2"/>
      <c r="V549" s="2"/>
      <c r="W549" s="2"/>
      <c r="X549" s="2"/>
      <c r="Y549" s="2"/>
      <c r="Z549" s="2"/>
    </row>
    <row r="550" spans="1:26" ht="18" x14ac:dyDescent="0.3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3"/>
      <c r="O550" s="2"/>
      <c r="P550" s="2"/>
      <c r="Q550" s="4"/>
      <c r="R550" s="5"/>
      <c r="S550" s="2"/>
      <c r="T550" s="2"/>
      <c r="U550" s="2"/>
      <c r="V550" s="2"/>
      <c r="W550" s="2"/>
      <c r="X550" s="2"/>
      <c r="Y550" s="2"/>
      <c r="Z550" s="2"/>
    </row>
    <row r="551" spans="1:26" ht="18" x14ac:dyDescent="0.3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3"/>
      <c r="O551" s="2"/>
      <c r="P551" s="2"/>
      <c r="Q551" s="4"/>
      <c r="R551" s="5"/>
      <c r="S551" s="2"/>
      <c r="T551" s="2"/>
      <c r="U551" s="2"/>
      <c r="V551" s="2"/>
      <c r="W551" s="2"/>
      <c r="X551" s="2"/>
      <c r="Y551" s="2"/>
      <c r="Z551" s="2"/>
    </row>
    <row r="552" spans="1:26" ht="18" x14ac:dyDescent="0.3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3"/>
      <c r="O552" s="2"/>
      <c r="P552" s="2"/>
      <c r="Q552" s="4"/>
      <c r="R552" s="5"/>
      <c r="S552" s="2"/>
      <c r="T552" s="2"/>
      <c r="U552" s="2"/>
      <c r="V552" s="2"/>
      <c r="W552" s="2"/>
      <c r="X552" s="2"/>
      <c r="Y552" s="2"/>
      <c r="Z552" s="2"/>
    </row>
    <row r="553" spans="1:26" ht="18" x14ac:dyDescent="0.3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3"/>
      <c r="O553" s="2"/>
      <c r="P553" s="2"/>
      <c r="Q553" s="4"/>
      <c r="R553" s="5"/>
      <c r="S553" s="2"/>
      <c r="T553" s="2"/>
      <c r="U553" s="2"/>
      <c r="V553" s="2"/>
      <c r="W553" s="2"/>
      <c r="X553" s="2"/>
      <c r="Y553" s="2"/>
      <c r="Z553" s="2"/>
    </row>
    <row r="554" spans="1:26" ht="18" x14ac:dyDescent="0.3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3"/>
      <c r="O554" s="2"/>
      <c r="P554" s="2"/>
      <c r="Q554" s="4"/>
      <c r="R554" s="5"/>
      <c r="S554" s="2"/>
      <c r="T554" s="2"/>
      <c r="U554" s="2"/>
      <c r="V554" s="2"/>
      <c r="W554" s="2"/>
      <c r="X554" s="2"/>
      <c r="Y554" s="2"/>
      <c r="Z554" s="2"/>
    </row>
    <row r="555" spans="1:26" ht="18" x14ac:dyDescent="0.3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3"/>
      <c r="O555" s="2"/>
      <c r="P555" s="2"/>
      <c r="Q555" s="4"/>
      <c r="R555" s="5"/>
      <c r="S555" s="2"/>
      <c r="T555" s="2"/>
      <c r="U555" s="2"/>
      <c r="V555" s="2"/>
      <c r="W555" s="2"/>
      <c r="X555" s="2"/>
      <c r="Y555" s="2"/>
      <c r="Z555" s="2"/>
    </row>
    <row r="556" spans="1:26" ht="18" x14ac:dyDescent="0.3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3"/>
      <c r="O556" s="2"/>
      <c r="P556" s="2"/>
      <c r="Q556" s="4"/>
      <c r="R556" s="5"/>
      <c r="S556" s="2"/>
      <c r="T556" s="2"/>
      <c r="U556" s="2"/>
      <c r="V556" s="2"/>
      <c r="W556" s="2"/>
      <c r="X556" s="2"/>
      <c r="Y556" s="2"/>
      <c r="Z556" s="2"/>
    </row>
    <row r="557" spans="1:26" ht="18" x14ac:dyDescent="0.3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3"/>
      <c r="O557" s="2"/>
      <c r="P557" s="2"/>
      <c r="Q557" s="4"/>
      <c r="R557" s="5"/>
      <c r="S557" s="2"/>
      <c r="T557" s="2"/>
      <c r="U557" s="2"/>
      <c r="V557" s="2"/>
      <c r="W557" s="2"/>
      <c r="X557" s="2"/>
      <c r="Y557" s="2"/>
      <c r="Z557" s="2"/>
    </row>
    <row r="558" spans="1:26" ht="18" x14ac:dyDescent="0.3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3"/>
      <c r="O558" s="2"/>
      <c r="P558" s="2"/>
      <c r="Q558" s="4"/>
      <c r="R558" s="5"/>
      <c r="S558" s="2"/>
      <c r="T558" s="2"/>
      <c r="U558" s="2"/>
      <c r="V558" s="2"/>
      <c r="W558" s="2"/>
      <c r="X558" s="2"/>
      <c r="Y558" s="2"/>
      <c r="Z558" s="2"/>
    </row>
    <row r="559" spans="1:26" ht="18" x14ac:dyDescent="0.3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3"/>
      <c r="O559" s="2"/>
      <c r="P559" s="2"/>
      <c r="Q559" s="4"/>
      <c r="R559" s="5"/>
      <c r="S559" s="2"/>
      <c r="T559" s="2"/>
      <c r="U559" s="2"/>
      <c r="V559" s="2"/>
      <c r="W559" s="2"/>
      <c r="X559" s="2"/>
      <c r="Y559" s="2"/>
      <c r="Z559" s="2"/>
    </row>
    <row r="560" spans="1:26" ht="18" x14ac:dyDescent="0.3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3"/>
      <c r="O560" s="2"/>
      <c r="P560" s="2"/>
      <c r="Q560" s="4"/>
      <c r="R560" s="5"/>
      <c r="S560" s="2"/>
      <c r="T560" s="2"/>
      <c r="U560" s="2"/>
      <c r="V560" s="2"/>
      <c r="W560" s="2"/>
      <c r="X560" s="2"/>
      <c r="Y560" s="2"/>
      <c r="Z560" s="2"/>
    </row>
    <row r="561" spans="1:26" ht="18" x14ac:dyDescent="0.3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3"/>
      <c r="O561" s="2"/>
      <c r="P561" s="2"/>
      <c r="Q561" s="4"/>
      <c r="R561" s="5"/>
      <c r="S561" s="2"/>
      <c r="T561" s="2"/>
      <c r="U561" s="2"/>
      <c r="V561" s="2"/>
      <c r="W561" s="2"/>
      <c r="X561" s="2"/>
      <c r="Y561" s="2"/>
      <c r="Z561" s="2"/>
    </row>
    <row r="562" spans="1:26" ht="18" x14ac:dyDescent="0.3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3"/>
      <c r="O562" s="2"/>
      <c r="P562" s="2"/>
      <c r="Q562" s="4"/>
      <c r="R562" s="5"/>
      <c r="S562" s="2"/>
      <c r="T562" s="2"/>
      <c r="U562" s="2"/>
      <c r="V562" s="2"/>
      <c r="W562" s="2"/>
      <c r="X562" s="2"/>
      <c r="Y562" s="2"/>
      <c r="Z562" s="2"/>
    </row>
    <row r="563" spans="1:26" ht="18" x14ac:dyDescent="0.3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3"/>
      <c r="O563" s="2"/>
      <c r="P563" s="2"/>
      <c r="Q563" s="4"/>
      <c r="R563" s="5"/>
      <c r="S563" s="2"/>
      <c r="T563" s="2"/>
      <c r="U563" s="2"/>
      <c r="V563" s="2"/>
      <c r="W563" s="2"/>
      <c r="X563" s="2"/>
      <c r="Y563" s="2"/>
      <c r="Z563" s="2"/>
    </row>
    <row r="564" spans="1:26" ht="18" x14ac:dyDescent="0.3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3"/>
      <c r="O564" s="2"/>
      <c r="P564" s="2"/>
      <c r="Q564" s="4"/>
      <c r="R564" s="5"/>
      <c r="S564" s="2"/>
      <c r="T564" s="2"/>
      <c r="U564" s="2"/>
      <c r="V564" s="2"/>
      <c r="W564" s="2"/>
      <c r="X564" s="2"/>
      <c r="Y564" s="2"/>
      <c r="Z564" s="2"/>
    </row>
    <row r="565" spans="1:26" ht="18" x14ac:dyDescent="0.3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3"/>
      <c r="O565" s="2"/>
      <c r="P565" s="2"/>
      <c r="Q565" s="4"/>
      <c r="R565" s="5"/>
      <c r="S565" s="2"/>
      <c r="T565" s="2"/>
      <c r="U565" s="2"/>
      <c r="V565" s="2"/>
      <c r="W565" s="2"/>
      <c r="X565" s="2"/>
      <c r="Y565" s="2"/>
      <c r="Z565" s="2"/>
    </row>
    <row r="566" spans="1:26" ht="18" x14ac:dyDescent="0.3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3"/>
      <c r="O566" s="2"/>
      <c r="P566" s="2"/>
      <c r="Q566" s="4"/>
      <c r="R566" s="5"/>
      <c r="S566" s="2"/>
      <c r="T566" s="2"/>
      <c r="U566" s="2"/>
      <c r="V566" s="2"/>
      <c r="W566" s="2"/>
      <c r="X566" s="2"/>
      <c r="Y566" s="2"/>
      <c r="Z566" s="2"/>
    </row>
    <row r="567" spans="1:26" ht="18" x14ac:dyDescent="0.3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3"/>
      <c r="O567" s="2"/>
      <c r="P567" s="2"/>
      <c r="Q567" s="4"/>
      <c r="R567" s="5"/>
      <c r="S567" s="2"/>
      <c r="T567" s="2"/>
      <c r="U567" s="2"/>
      <c r="V567" s="2"/>
      <c r="W567" s="2"/>
      <c r="X567" s="2"/>
      <c r="Y567" s="2"/>
      <c r="Z567" s="2"/>
    </row>
    <row r="568" spans="1:26" ht="18" x14ac:dyDescent="0.3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3"/>
      <c r="O568" s="2"/>
      <c r="P568" s="2"/>
      <c r="Q568" s="4"/>
      <c r="R568" s="5"/>
      <c r="S568" s="2"/>
      <c r="T568" s="2"/>
      <c r="U568" s="2"/>
      <c r="V568" s="2"/>
      <c r="W568" s="2"/>
      <c r="X568" s="2"/>
      <c r="Y568" s="2"/>
      <c r="Z568" s="2"/>
    </row>
    <row r="569" spans="1:26" ht="18" x14ac:dyDescent="0.3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3"/>
      <c r="O569" s="2"/>
      <c r="P569" s="2"/>
      <c r="Q569" s="4"/>
      <c r="R569" s="5"/>
      <c r="S569" s="2"/>
      <c r="T569" s="2"/>
      <c r="U569" s="2"/>
      <c r="V569" s="2"/>
      <c r="W569" s="2"/>
      <c r="X569" s="2"/>
      <c r="Y569" s="2"/>
      <c r="Z569" s="2"/>
    </row>
    <row r="570" spans="1:26" ht="18" x14ac:dyDescent="0.3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3"/>
      <c r="O570" s="2"/>
      <c r="P570" s="2"/>
      <c r="Q570" s="4"/>
      <c r="R570" s="5"/>
      <c r="S570" s="2"/>
      <c r="T570" s="2"/>
      <c r="U570" s="2"/>
      <c r="V570" s="2"/>
      <c r="W570" s="2"/>
      <c r="X570" s="2"/>
      <c r="Y570" s="2"/>
      <c r="Z570" s="2"/>
    </row>
    <row r="571" spans="1:26" ht="18" x14ac:dyDescent="0.3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3"/>
      <c r="O571" s="2"/>
      <c r="P571" s="2"/>
      <c r="Q571" s="4"/>
      <c r="R571" s="5"/>
      <c r="S571" s="2"/>
      <c r="T571" s="2"/>
      <c r="U571" s="2"/>
      <c r="V571" s="2"/>
      <c r="W571" s="2"/>
      <c r="X571" s="2"/>
      <c r="Y571" s="2"/>
      <c r="Z571" s="2"/>
    </row>
    <row r="572" spans="1:26" ht="18" x14ac:dyDescent="0.3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3"/>
      <c r="O572" s="2"/>
      <c r="P572" s="2"/>
      <c r="Q572" s="4"/>
      <c r="R572" s="5"/>
      <c r="S572" s="2"/>
      <c r="T572" s="2"/>
      <c r="U572" s="2"/>
      <c r="V572" s="2"/>
      <c r="W572" s="2"/>
      <c r="X572" s="2"/>
      <c r="Y572" s="2"/>
      <c r="Z572" s="2"/>
    </row>
    <row r="573" spans="1:26" ht="18" x14ac:dyDescent="0.3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3"/>
      <c r="O573" s="2"/>
      <c r="P573" s="2"/>
      <c r="Q573" s="4"/>
      <c r="R573" s="5"/>
      <c r="S573" s="2"/>
      <c r="T573" s="2"/>
      <c r="U573" s="2"/>
      <c r="V573" s="2"/>
      <c r="W573" s="2"/>
      <c r="X573" s="2"/>
      <c r="Y573" s="2"/>
      <c r="Z573" s="2"/>
    </row>
    <row r="574" spans="1:26" ht="18" x14ac:dyDescent="0.3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3"/>
      <c r="O574" s="2"/>
      <c r="P574" s="2"/>
      <c r="Q574" s="4"/>
      <c r="R574" s="5"/>
      <c r="S574" s="2"/>
      <c r="T574" s="2"/>
      <c r="U574" s="2"/>
      <c r="V574" s="2"/>
      <c r="W574" s="2"/>
      <c r="X574" s="2"/>
      <c r="Y574" s="2"/>
      <c r="Z574" s="2"/>
    </row>
    <row r="575" spans="1:26" ht="18" x14ac:dyDescent="0.3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3"/>
      <c r="O575" s="2"/>
      <c r="P575" s="2"/>
      <c r="Q575" s="4"/>
      <c r="R575" s="5"/>
      <c r="S575" s="2"/>
      <c r="T575" s="2"/>
      <c r="U575" s="2"/>
      <c r="V575" s="2"/>
      <c r="W575" s="2"/>
      <c r="X575" s="2"/>
      <c r="Y575" s="2"/>
      <c r="Z575" s="2"/>
    </row>
    <row r="576" spans="1:26" ht="18" x14ac:dyDescent="0.3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3"/>
      <c r="O576" s="2"/>
      <c r="P576" s="2"/>
      <c r="Q576" s="4"/>
      <c r="R576" s="5"/>
      <c r="S576" s="2"/>
      <c r="T576" s="2"/>
      <c r="U576" s="2"/>
      <c r="V576" s="2"/>
      <c r="W576" s="2"/>
      <c r="X576" s="2"/>
      <c r="Y576" s="2"/>
      <c r="Z576" s="2"/>
    </row>
    <row r="577" spans="1:26" ht="18" x14ac:dyDescent="0.3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3"/>
      <c r="O577" s="2"/>
      <c r="P577" s="2"/>
      <c r="Q577" s="4"/>
      <c r="R577" s="5"/>
      <c r="S577" s="2"/>
      <c r="T577" s="2"/>
      <c r="U577" s="2"/>
      <c r="V577" s="2"/>
      <c r="W577" s="2"/>
      <c r="X577" s="2"/>
      <c r="Y577" s="2"/>
      <c r="Z577" s="2"/>
    </row>
    <row r="578" spans="1:26" ht="18" x14ac:dyDescent="0.3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3"/>
      <c r="O578" s="2"/>
      <c r="P578" s="2"/>
      <c r="Q578" s="4"/>
      <c r="R578" s="5"/>
      <c r="S578" s="2"/>
      <c r="T578" s="2"/>
      <c r="U578" s="2"/>
      <c r="V578" s="2"/>
      <c r="W578" s="2"/>
      <c r="X578" s="2"/>
      <c r="Y578" s="2"/>
      <c r="Z578" s="2"/>
    </row>
    <row r="579" spans="1:26" ht="18" x14ac:dyDescent="0.3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3"/>
      <c r="O579" s="2"/>
      <c r="P579" s="2"/>
      <c r="Q579" s="4"/>
      <c r="R579" s="5"/>
      <c r="S579" s="2"/>
      <c r="T579" s="2"/>
      <c r="U579" s="2"/>
      <c r="V579" s="2"/>
      <c r="W579" s="2"/>
      <c r="X579" s="2"/>
      <c r="Y579" s="2"/>
      <c r="Z579" s="2"/>
    </row>
    <row r="580" spans="1:26" ht="18" x14ac:dyDescent="0.3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3"/>
      <c r="O580" s="2"/>
      <c r="P580" s="2"/>
      <c r="Q580" s="4"/>
      <c r="R580" s="5"/>
      <c r="S580" s="2"/>
      <c r="T580" s="2"/>
      <c r="U580" s="2"/>
      <c r="V580" s="2"/>
      <c r="W580" s="2"/>
      <c r="X580" s="2"/>
      <c r="Y580" s="2"/>
      <c r="Z580" s="2"/>
    </row>
    <row r="581" spans="1:26" ht="18" x14ac:dyDescent="0.3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3"/>
      <c r="O581" s="2"/>
      <c r="P581" s="2"/>
      <c r="Q581" s="4"/>
      <c r="R581" s="5"/>
      <c r="S581" s="2"/>
      <c r="T581" s="2"/>
      <c r="U581" s="2"/>
      <c r="V581" s="2"/>
      <c r="W581" s="2"/>
      <c r="X581" s="2"/>
      <c r="Y581" s="2"/>
      <c r="Z581" s="2"/>
    </row>
    <row r="582" spans="1:26" ht="18" x14ac:dyDescent="0.3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3"/>
      <c r="O582" s="2"/>
      <c r="P582" s="2"/>
      <c r="Q582" s="4"/>
      <c r="R582" s="5"/>
      <c r="S582" s="2"/>
      <c r="T582" s="2"/>
      <c r="U582" s="2"/>
      <c r="V582" s="2"/>
      <c r="W582" s="2"/>
      <c r="X582" s="2"/>
      <c r="Y582" s="2"/>
      <c r="Z582" s="2"/>
    </row>
    <row r="583" spans="1:26" ht="18" x14ac:dyDescent="0.3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3"/>
      <c r="O583" s="2"/>
      <c r="P583" s="2"/>
      <c r="Q583" s="4"/>
      <c r="R583" s="5"/>
      <c r="S583" s="2"/>
      <c r="T583" s="2"/>
      <c r="U583" s="2"/>
      <c r="V583" s="2"/>
      <c r="W583" s="2"/>
      <c r="X583" s="2"/>
      <c r="Y583" s="2"/>
      <c r="Z583" s="2"/>
    </row>
    <row r="584" spans="1:26" ht="18" x14ac:dyDescent="0.3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3"/>
      <c r="O584" s="2"/>
      <c r="P584" s="2"/>
      <c r="Q584" s="4"/>
      <c r="R584" s="5"/>
      <c r="S584" s="2"/>
      <c r="T584" s="2"/>
      <c r="U584" s="2"/>
      <c r="V584" s="2"/>
      <c r="W584" s="2"/>
      <c r="X584" s="2"/>
      <c r="Y584" s="2"/>
      <c r="Z584" s="2"/>
    </row>
    <row r="585" spans="1:26" ht="18" x14ac:dyDescent="0.3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3"/>
      <c r="O585" s="2"/>
      <c r="P585" s="2"/>
      <c r="Q585" s="4"/>
      <c r="R585" s="5"/>
      <c r="S585" s="2"/>
      <c r="T585" s="2"/>
      <c r="U585" s="2"/>
      <c r="V585" s="2"/>
      <c r="W585" s="2"/>
      <c r="X585" s="2"/>
      <c r="Y585" s="2"/>
      <c r="Z585" s="2"/>
    </row>
    <row r="586" spans="1:26" ht="18" x14ac:dyDescent="0.3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3"/>
      <c r="O586" s="2"/>
      <c r="P586" s="2"/>
      <c r="Q586" s="4"/>
      <c r="R586" s="5"/>
      <c r="S586" s="2"/>
      <c r="T586" s="2"/>
      <c r="U586" s="2"/>
      <c r="V586" s="2"/>
      <c r="W586" s="2"/>
      <c r="X586" s="2"/>
      <c r="Y586" s="2"/>
      <c r="Z586" s="2"/>
    </row>
    <row r="587" spans="1:26" ht="18" x14ac:dyDescent="0.3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3"/>
      <c r="O587" s="2"/>
      <c r="P587" s="2"/>
      <c r="Q587" s="4"/>
      <c r="R587" s="5"/>
      <c r="S587" s="2"/>
      <c r="T587" s="2"/>
      <c r="U587" s="2"/>
      <c r="V587" s="2"/>
      <c r="W587" s="2"/>
      <c r="X587" s="2"/>
      <c r="Y587" s="2"/>
      <c r="Z587" s="2"/>
    </row>
    <row r="588" spans="1:26" ht="18" x14ac:dyDescent="0.3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3"/>
      <c r="O588" s="2"/>
      <c r="P588" s="2"/>
      <c r="Q588" s="4"/>
      <c r="R588" s="5"/>
      <c r="S588" s="2"/>
      <c r="T588" s="2"/>
      <c r="U588" s="2"/>
      <c r="V588" s="2"/>
      <c r="W588" s="2"/>
      <c r="X588" s="2"/>
      <c r="Y588" s="2"/>
      <c r="Z588" s="2"/>
    </row>
    <row r="589" spans="1:26" ht="18" x14ac:dyDescent="0.3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3"/>
      <c r="O589" s="2"/>
      <c r="P589" s="2"/>
      <c r="Q589" s="4"/>
      <c r="R589" s="5"/>
      <c r="S589" s="2"/>
      <c r="T589" s="2"/>
      <c r="U589" s="2"/>
      <c r="V589" s="2"/>
      <c r="W589" s="2"/>
      <c r="X589" s="2"/>
      <c r="Y589" s="2"/>
      <c r="Z589" s="2"/>
    </row>
    <row r="590" spans="1:26" ht="18" x14ac:dyDescent="0.3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3"/>
      <c r="O590" s="2"/>
      <c r="P590" s="2"/>
      <c r="Q590" s="4"/>
      <c r="R590" s="5"/>
      <c r="S590" s="2"/>
      <c r="T590" s="2"/>
      <c r="U590" s="2"/>
      <c r="V590" s="2"/>
      <c r="W590" s="2"/>
      <c r="X590" s="2"/>
      <c r="Y590" s="2"/>
      <c r="Z590" s="2"/>
    </row>
    <row r="591" spans="1:26" ht="18" x14ac:dyDescent="0.3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3"/>
      <c r="O591" s="2"/>
      <c r="P591" s="2"/>
      <c r="Q591" s="4"/>
      <c r="R591" s="5"/>
      <c r="S591" s="2"/>
      <c r="T591" s="2"/>
      <c r="U591" s="2"/>
      <c r="V591" s="2"/>
      <c r="W591" s="2"/>
      <c r="X591" s="2"/>
      <c r="Y591" s="2"/>
      <c r="Z591" s="2"/>
    </row>
    <row r="592" spans="1:26" ht="18" x14ac:dyDescent="0.3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3"/>
      <c r="O592" s="2"/>
      <c r="P592" s="2"/>
      <c r="Q592" s="4"/>
      <c r="R592" s="5"/>
      <c r="S592" s="2"/>
      <c r="T592" s="2"/>
      <c r="U592" s="2"/>
      <c r="V592" s="2"/>
      <c r="W592" s="2"/>
      <c r="X592" s="2"/>
      <c r="Y592" s="2"/>
      <c r="Z592" s="2"/>
    </row>
    <row r="593" spans="1:26" ht="18" x14ac:dyDescent="0.3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3"/>
      <c r="O593" s="2"/>
      <c r="P593" s="2"/>
      <c r="Q593" s="4"/>
      <c r="R593" s="5"/>
      <c r="S593" s="2"/>
      <c r="T593" s="2"/>
      <c r="U593" s="2"/>
      <c r="V593" s="2"/>
      <c r="W593" s="2"/>
      <c r="X593" s="2"/>
      <c r="Y593" s="2"/>
      <c r="Z593" s="2"/>
    </row>
    <row r="594" spans="1:26" ht="18" x14ac:dyDescent="0.3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3"/>
      <c r="O594" s="2"/>
      <c r="P594" s="2"/>
      <c r="Q594" s="4"/>
      <c r="R594" s="5"/>
      <c r="S594" s="2"/>
      <c r="T594" s="2"/>
      <c r="U594" s="2"/>
      <c r="V594" s="2"/>
      <c r="W594" s="2"/>
      <c r="X594" s="2"/>
      <c r="Y594" s="2"/>
      <c r="Z594" s="2"/>
    </row>
    <row r="595" spans="1:26" ht="18" x14ac:dyDescent="0.3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3"/>
      <c r="O595" s="2"/>
      <c r="P595" s="2"/>
      <c r="Q595" s="4"/>
      <c r="R595" s="5"/>
      <c r="S595" s="2"/>
      <c r="T595" s="2"/>
      <c r="U595" s="2"/>
      <c r="V595" s="2"/>
      <c r="W595" s="2"/>
      <c r="X595" s="2"/>
      <c r="Y595" s="2"/>
      <c r="Z595" s="2"/>
    </row>
    <row r="596" spans="1:26" ht="18" x14ac:dyDescent="0.3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3"/>
      <c r="O596" s="2"/>
      <c r="P596" s="2"/>
      <c r="Q596" s="4"/>
      <c r="R596" s="5"/>
      <c r="S596" s="2"/>
      <c r="T596" s="2"/>
      <c r="U596" s="2"/>
      <c r="V596" s="2"/>
      <c r="W596" s="2"/>
      <c r="X596" s="2"/>
      <c r="Y596" s="2"/>
      <c r="Z596" s="2"/>
    </row>
    <row r="597" spans="1:26" ht="18" x14ac:dyDescent="0.3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3"/>
      <c r="O597" s="2"/>
      <c r="P597" s="2"/>
      <c r="Q597" s="4"/>
      <c r="R597" s="5"/>
      <c r="S597" s="2"/>
      <c r="T597" s="2"/>
      <c r="U597" s="2"/>
      <c r="V597" s="2"/>
      <c r="W597" s="2"/>
      <c r="X597" s="2"/>
      <c r="Y597" s="2"/>
      <c r="Z597" s="2"/>
    </row>
    <row r="598" spans="1:26" ht="18" x14ac:dyDescent="0.3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3"/>
      <c r="O598" s="2"/>
      <c r="P598" s="2"/>
      <c r="Q598" s="4"/>
      <c r="R598" s="5"/>
      <c r="S598" s="2"/>
      <c r="T598" s="2"/>
      <c r="U598" s="2"/>
      <c r="V598" s="2"/>
      <c r="W598" s="2"/>
      <c r="X598" s="2"/>
      <c r="Y598" s="2"/>
      <c r="Z598" s="2"/>
    </row>
    <row r="599" spans="1:26" ht="18" x14ac:dyDescent="0.3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3"/>
      <c r="O599" s="2"/>
      <c r="P599" s="2"/>
      <c r="Q599" s="4"/>
      <c r="R599" s="5"/>
      <c r="S599" s="2"/>
      <c r="T599" s="2"/>
      <c r="U599" s="2"/>
      <c r="V599" s="2"/>
      <c r="W599" s="2"/>
      <c r="X599" s="2"/>
      <c r="Y599" s="2"/>
      <c r="Z599" s="2"/>
    </row>
    <row r="600" spans="1:26" ht="18" x14ac:dyDescent="0.3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3"/>
      <c r="O600" s="2"/>
      <c r="P600" s="2"/>
      <c r="Q600" s="4"/>
      <c r="R600" s="5"/>
      <c r="S600" s="2"/>
      <c r="T600" s="2"/>
      <c r="U600" s="2"/>
      <c r="V600" s="2"/>
      <c r="W600" s="2"/>
      <c r="X600" s="2"/>
      <c r="Y600" s="2"/>
      <c r="Z600" s="2"/>
    </row>
    <row r="601" spans="1:26" ht="18" x14ac:dyDescent="0.3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3"/>
      <c r="O601" s="2"/>
      <c r="P601" s="2"/>
      <c r="Q601" s="4"/>
      <c r="R601" s="5"/>
      <c r="S601" s="2"/>
      <c r="T601" s="2"/>
      <c r="U601" s="2"/>
      <c r="V601" s="2"/>
      <c r="W601" s="2"/>
      <c r="X601" s="2"/>
      <c r="Y601" s="2"/>
      <c r="Z601" s="2"/>
    </row>
    <row r="602" spans="1:26" ht="18" x14ac:dyDescent="0.3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3"/>
      <c r="O602" s="2"/>
      <c r="P602" s="2"/>
      <c r="Q602" s="4"/>
      <c r="R602" s="5"/>
      <c r="S602" s="2"/>
      <c r="T602" s="2"/>
      <c r="U602" s="2"/>
      <c r="V602" s="2"/>
      <c r="W602" s="2"/>
      <c r="X602" s="2"/>
      <c r="Y602" s="2"/>
      <c r="Z602" s="2"/>
    </row>
    <row r="603" spans="1:26" ht="18" x14ac:dyDescent="0.3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3"/>
      <c r="O603" s="2"/>
      <c r="P603" s="2"/>
      <c r="Q603" s="4"/>
      <c r="R603" s="5"/>
      <c r="S603" s="2"/>
      <c r="T603" s="2"/>
      <c r="U603" s="2"/>
      <c r="V603" s="2"/>
      <c r="W603" s="2"/>
      <c r="X603" s="2"/>
      <c r="Y603" s="2"/>
      <c r="Z603" s="2"/>
    </row>
    <row r="604" spans="1:26" ht="18" x14ac:dyDescent="0.3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3"/>
      <c r="O604" s="2"/>
      <c r="P604" s="2"/>
      <c r="Q604" s="4"/>
      <c r="R604" s="5"/>
      <c r="S604" s="2"/>
      <c r="T604" s="2"/>
      <c r="U604" s="2"/>
      <c r="V604" s="2"/>
      <c r="W604" s="2"/>
      <c r="X604" s="2"/>
      <c r="Y604" s="2"/>
      <c r="Z604" s="2"/>
    </row>
    <row r="605" spans="1:26" ht="18" x14ac:dyDescent="0.3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3"/>
      <c r="O605" s="2"/>
      <c r="P605" s="2"/>
      <c r="Q605" s="4"/>
      <c r="R605" s="5"/>
      <c r="S605" s="2"/>
      <c r="T605" s="2"/>
      <c r="U605" s="2"/>
      <c r="V605" s="2"/>
      <c r="W605" s="2"/>
      <c r="X605" s="2"/>
      <c r="Y605" s="2"/>
      <c r="Z605" s="2"/>
    </row>
    <row r="606" spans="1:26" ht="18" x14ac:dyDescent="0.3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3"/>
      <c r="O606" s="2"/>
      <c r="P606" s="2"/>
      <c r="Q606" s="4"/>
      <c r="R606" s="5"/>
      <c r="S606" s="2"/>
      <c r="T606" s="2"/>
      <c r="U606" s="2"/>
      <c r="V606" s="2"/>
      <c r="W606" s="2"/>
      <c r="X606" s="2"/>
      <c r="Y606" s="2"/>
      <c r="Z606" s="2"/>
    </row>
    <row r="607" spans="1:26" ht="18" x14ac:dyDescent="0.3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3"/>
      <c r="O607" s="2"/>
      <c r="P607" s="2"/>
      <c r="Q607" s="4"/>
      <c r="R607" s="5"/>
      <c r="S607" s="2"/>
      <c r="T607" s="2"/>
      <c r="U607" s="2"/>
      <c r="V607" s="2"/>
      <c r="W607" s="2"/>
      <c r="X607" s="2"/>
      <c r="Y607" s="2"/>
      <c r="Z607" s="2"/>
    </row>
    <row r="608" spans="1:26" ht="18" x14ac:dyDescent="0.3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3"/>
      <c r="O608" s="2"/>
      <c r="P608" s="2"/>
      <c r="Q608" s="4"/>
      <c r="R608" s="5"/>
      <c r="S608" s="2"/>
      <c r="T608" s="2"/>
      <c r="U608" s="2"/>
      <c r="V608" s="2"/>
      <c r="W608" s="2"/>
      <c r="X608" s="2"/>
      <c r="Y608" s="2"/>
      <c r="Z608" s="2"/>
    </row>
    <row r="609" spans="1:26" ht="18" x14ac:dyDescent="0.3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3"/>
      <c r="O609" s="2"/>
      <c r="P609" s="2"/>
      <c r="Q609" s="4"/>
      <c r="R609" s="5"/>
      <c r="S609" s="2"/>
      <c r="T609" s="2"/>
      <c r="U609" s="2"/>
      <c r="V609" s="2"/>
      <c r="W609" s="2"/>
      <c r="X609" s="2"/>
      <c r="Y609" s="2"/>
      <c r="Z609" s="2"/>
    </row>
    <row r="610" spans="1:26" ht="18" x14ac:dyDescent="0.3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3"/>
      <c r="O610" s="2"/>
      <c r="P610" s="2"/>
      <c r="Q610" s="4"/>
      <c r="R610" s="5"/>
      <c r="S610" s="2"/>
      <c r="T610" s="2"/>
      <c r="U610" s="2"/>
      <c r="V610" s="2"/>
      <c r="W610" s="2"/>
      <c r="X610" s="2"/>
      <c r="Y610" s="2"/>
      <c r="Z610" s="2"/>
    </row>
    <row r="611" spans="1:26" ht="18" x14ac:dyDescent="0.3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3"/>
      <c r="O611" s="2"/>
      <c r="P611" s="2"/>
      <c r="Q611" s="4"/>
      <c r="R611" s="5"/>
      <c r="S611" s="2"/>
      <c r="T611" s="2"/>
      <c r="U611" s="2"/>
      <c r="V611" s="2"/>
      <c r="W611" s="2"/>
      <c r="X611" s="2"/>
      <c r="Y611" s="2"/>
      <c r="Z611" s="2"/>
    </row>
    <row r="612" spans="1:26" ht="18" x14ac:dyDescent="0.3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3"/>
      <c r="O612" s="2"/>
      <c r="P612" s="2"/>
      <c r="Q612" s="4"/>
      <c r="R612" s="5"/>
      <c r="S612" s="2"/>
      <c r="T612" s="2"/>
      <c r="U612" s="2"/>
      <c r="V612" s="2"/>
      <c r="W612" s="2"/>
      <c r="X612" s="2"/>
      <c r="Y612" s="2"/>
      <c r="Z612" s="2"/>
    </row>
    <row r="613" spans="1:26" ht="18" x14ac:dyDescent="0.3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3"/>
      <c r="O613" s="2"/>
      <c r="P613" s="2"/>
      <c r="Q613" s="4"/>
      <c r="R613" s="5"/>
      <c r="S613" s="2"/>
      <c r="T613" s="2"/>
      <c r="U613" s="2"/>
      <c r="V613" s="2"/>
      <c r="W613" s="2"/>
      <c r="X613" s="2"/>
      <c r="Y613" s="2"/>
      <c r="Z613" s="2"/>
    </row>
    <row r="614" spans="1:26" ht="18" x14ac:dyDescent="0.3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3"/>
      <c r="O614" s="2"/>
      <c r="P614" s="2"/>
      <c r="Q614" s="4"/>
      <c r="R614" s="5"/>
      <c r="S614" s="2"/>
      <c r="T614" s="2"/>
      <c r="U614" s="2"/>
      <c r="V614" s="2"/>
      <c r="W614" s="2"/>
      <c r="X614" s="2"/>
      <c r="Y614" s="2"/>
      <c r="Z614" s="2"/>
    </row>
    <row r="615" spans="1:26" ht="18" x14ac:dyDescent="0.3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3"/>
      <c r="O615" s="2"/>
      <c r="P615" s="2"/>
      <c r="Q615" s="4"/>
      <c r="R615" s="5"/>
      <c r="S615" s="2"/>
      <c r="T615" s="2"/>
      <c r="U615" s="2"/>
      <c r="V615" s="2"/>
      <c r="W615" s="2"/>
      <c r="X615" s="2"/>
      <c r="Y615" s="2"/>
      <c r="Z615" s="2"/>
    </row>
    <row r="616" spans="1:26" ht="18" x14ac:dyDescent="0.3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3"/>
      <c r="O616" s="2"/>
      <c r="P616" s="2"/>
      <c r="Q616" s="4"/>
      <c r="R616" s="5"/>
      <c r="S616" s="2"/>
      <c r="T616" s="2"/>
      <c r="U616" s="2"/>
      <c r="V616" s="2"/>
      <c r="W616" s="2"/>
      <c r="X616" s="2"/>
      <c r="Y616" s="2"/>
      <c r="Z616" s="2"/>
    </row>
    <row r="617" spans="1:26" ht="18" x14ac:dyDescent="0.3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3"/>
      <c r="O617" s="2"/>
      <c r="P617" s="2"/>
      <c r="Q617" s="4"/>
      <c r="R617" s="5"/>
      <c r="S617" s="2"/>
      <c r="T617" s="2"/>
      <c r="U617" s="2"/>
      <c r="V617" s="2"/>
      <c r="W617" s="2"/>
      <c r="X617" s="2"/>
      <c r="Y617" s="2"/>
      <c r="Z617" s="2"/>
    </row>
    <row r="618" spans="1:26" ht="18" x14ac:dyDescent="0.3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3"/>
      <c r="O618" s="2"/>
      <c r="P618" s="2"/>
      <c r="Q618" s="4"/>
      <c r="R618" s="5"/>
      <c r="S618" s="2"/>
      <c r="T618" s="2"/>
      <c r="U618" s="2"/>
      <c r="V618" s="2"/>
      <c r="W618" s="2"/>
      <c r="X618" s="2"/>
      <c r="Y618" s="2"/>
      <c r="Z618" s="2"/>
    </row>
    <row r="619" spans="1:26" ht="18" x14ac:dyDescent="0.3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3"/>
      <c r="O619" s="2"/>
      <c r="P619" s="2"/>
      <c r="Q619" s="4"/>
      <c r="R619" s="5"/>
      <c r="S619" s="2"/>
      <c r="T619" s="2"/>
      <c r="U619" s="2"/>
      <c r="V619" s="2"/>
      <c r="W619" s="2"/>
      <c r="X619" s="2"/>
      <c r="Y619" s="2"/>
      <c r="Z619" s="2"/>
    </row>
    <row r="620" spans="1:26" ht="18" x14ac:dyDescent="0.3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3"/>
      <c r="O620" s="2"/>
      <c r="P620" s="2"/>
      <c r="Q620" s="4"/>
      <c r="R620" s="5"/>
      <c r="S620" s="2"/>
      <c r="T620" s="2"/>
      <c r="U620" s="2"/>
      <c r="V620" s="2"/>
      <c r="W620" s="2"/>
      <c r="X620" s="2"/>
      <c r="Y620" s="2"/>
      <c r="Z620" s="2"/>
    </row>
    <row r="621" spans="1:26" ht="18" x14ac:dyDescent="0.3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3"/>
      <c r="O621" s="2"/>
      <c r="P621" s="2"/>
      <c r="Q621" s="4"/>
      <c r="R621" s="5"/>
      <c r="S621" s="2"/>
      <c r="T621" s="2"/>
      <c r="U621" s="2"/>
      <c r="V621" s="2"/>
      <c r="W621" s="2"/>
      <c r="X621" s="2"/>
      <c r="Y621" s="2"/>
      <c r="Z621" s="2"/>
    </row>
    <row r="622" spans="1:26" ht="18" x14ac:dyDescent="0.3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3"/>
      <c r="O622" s="2"/>
      <c r="P622" s="2"/>
      <c r="Q622" s="4"/>
      <c r="R622" s="5"/>
      <c r="S622" s="2"/>
      <c r="T622" s="2"/>
      <c r="U622" s="2"/>
      <c r="V622" s="2"/>
      <c r="W622" s="2"/>
      <c r="X622" s="2"/>
      <c r="Y622" s="2"/>
      <c r="Z622" s="2"/>
    </row>
    <row r="623" spans="1:26" ht="18" x14ac:dyDescent="0.3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3"/>
      <c r="O623" s="2"/>
      <c r="P623" s="2"/>
      <c r="Q623" s="4"/>
      <c r="R623" s="5"/>
      <c r="S623" s="2"/>
      <c r="T623" s="2"/>
      <c r="U623" s="2"/>
      <c r="V623" s="2"/>
      <c r="W623" s="2"/>
      <c r="X623" s="2"/>
      <c r="Y623" s="2"/>
      <c r="Z623" s="2"/>
    </row>
    <row r="624" spans="1:26" ht="18" x14ac:dyDescent="0.3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3"/>
      <c r="O624" s="2"/>
      <c r="P624" s="2"/>
      <c r="Q624" s="4"/>
      <c r="R624" s="5"/>
      <c r="S624" s="2"/>
      <c r="T624" s="2"/>
      <c r="U624" s="2"/>
      <c r="V624" s="2"/>
      <c r="W624" s="2"/>
      <c r="X624" s="2"/>
      <c r="Y624" s="2"/>
      <c r="Z624" s="2"/>
    </row>
    <row r="625" spans="1:26" ht="18" x14ac:dyDescent="0.3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3"/>
      <c r="O625" s="2"/>
      <c r="P625" s="2"/>
      <c r="Q625" s="4"/>
      <c r="R625" s="5"/>
      <c r="S625" s="2"/>
      <c r="T625" s="2"/>
      <c r="U625" s="2"/>
      <c r="V625" s="2"/>
      <c r="W625" s="2"/>
      <c r="X625" s="2"/>
      <c r="Y625" s="2"/>
      <c r="Z625" s="2"/>
    </row>
    <row r="626" spans="1:26" ht="18" x14ac:dyDescent="0.3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3"/>
      <c r="O626" s="2"/>
      <c r="P626" s="2"/>
      <c r="Q626" s="4"/>
      <c r="R626" s="5"/>
      <c r="S626" s="2"/>
      <c r="T626" s="2"/>
      <c r="U626" s="2"/>
      <c r="V626" s="2"/>
      <c r="W626" s="2"/>
      <c r="X626" s="2"/>
      <c r="Y626" s="2"/>
      <c r="Z626" s="2"/>
    </row>
    <row r="627" spans="1:26" ht="18" x14ac:dyDescent="0.3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3"/>
      <c r="O627" s="2"/>
      <c r="P627" s="2"/>
      <c r="Q627" s="4"/>
      <c r="R627" s="5"/>
      <c r="S627" s="2"/>
      <c r="T627" s="2"/>
      <c r="U627" s="2"/>
      <c r="V627" s="2"/>
      <c r="W627" s="2"/>
      <c r="X627" s="2"/>
      <c r="Y627" s="2"/>
      <c r="Z627" s="2"/>
    </row>
    <row r="628" spans="1:26" ht="18" x14ac:dyDescent="0.3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3"/>
      <c r="O628" s="2"/>
      <c r="P628" s="2"/>
      <c r="Q628" s="4"/>
      <c r="R628" s="5"/>
      <c r="S628" s="2"/>
      <c r="T628" s="2"/>
      <c r="U628" s="2"/>
      <c r="V628" s="2"/>
      <c r="W628" s="2"/>
      <c r="X628" s="2"/>
      <c r="Y628" s="2"/>
      <c r="Z628" s="2"/>
    </row>
    <row r="629" spans="1:26" ht="18" x14ac:dyDescent="0.3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3"/>
      <c r="O629" s="2"/>
      <c r="P629" s="2"/>
      <c r="Q629" s="4"/>
      <c r="R629" s="5"/>
      <c r="S629" s="2"/>
      <c r="T629" s="2"/>
      <c r="U629" s="2"/>
      <c r="V629" s="2"/>
      <c r="W629" s="2"/>
      <c r="X629" s="2"/>
      <c r="Y629" s="2"/>
      <c r="Z629" s="2"/>
    </row>
    <row r="630" spans="1:26" ht="18" x14ac:dyDescent="0.3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3"/>
      <c r="O630" s="2"/>
      <c r="P630" s="2"/>
      <c r="Q630" s="4"/>
      <c r="R630" s="5"/>
      <c r="S630" s="2"/>
      <c r="T630" s="2"/>
      <c r="U630" s="2"/>
      <c r="V630" s="2"/>
      <c r="W630" s="2"/>
      <c r="X630" s="2"/>
      <c r="Y630" s="2"/>
      <c r="Z630" s="2"/>
    </row>
    <row r="631" spans="1:26" ht="18" x14ac:dyDescent="0.3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3"/>
      <c r="O631" s="2"/>
      <c r="P631" s="2"/>
      <c r="Q631" s="4"/>
      <c r="R631" s="5"/>
      <c r="S631" s="2"/>
      <c r="T631" s="2"/>
      <c r="U631" s="2"/>
      <c r="V631" s="2"/>
      <c r="W631" s="2"/>
      <c r="X631" s="2"/>
      <c r="Y631" s="2"/>
      <c r="Z631" s="2"/>
    </row>
    <row r="632" spans="1:26" ht="18" x14ac:dyDescent="0.3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3"/>
      <c r="O632" s="2"/>
      <c r="P632" s="2"/>
      <c r="Q632" s="4"/>
      <c r="R632" s="5"/>
      <c r="S632" s="2"/>
      <c r="T632" s="2"/>
      <c r="U632" s="2"/>
      <c r="V632" s="2"/>
      <c r="W632" s="2"/>
      <c r="X632" s="2"/>
      <c r="Y632" s="2"/>
      <c r="Z632" s="2"/>
    </row>
    <row r="633" spans="1:26" ht="18" x14ac:dyDescent="0.3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3"/>
      <c r="O633" s="2"/>
      <c r="P633" s="2"/>
      <c r="Q633" s="4"/>
      <c r="R633" s="5"/>
      <c r="S633" s="2"/>
      <c r="T633" s="2"/>
      <c r="U633" s="2"/>
      <c r="V633" s="2"/>
      <c r="W633" s="2"/>
      <c r="X633" s="2"/>
      <c r="Y633" s="2"/>
      <c r="Z633" s="2"/>
    </row>
    <row r="634" spans="1:26" ht="18" x14ac:dyDescent="0.3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3"/>
      <c r="O634" s="2"/>
      <c r="P634" s="2"/>
      <c r="Q634" s="4"/>
      <c r="R634" s="5"/>
      <c r="S634" s="2"/>
      <c r="T634" s="2"/>
      <c r="U634" s="2"/>
      <c r="V634" s="2"/>
      <c r="W634" s="2"/>
      <c r="X634" s="2"/>
      <c r="Y634" s="2"/>
      <c r="Z634" s="2"/>
    </row>
    <row r="635" spans="1:26" ht="18" x14ac:dyDescent="0.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3"/>
      <c r="O635" s="2"/>
      <c r="P635" s="2"/>
      <c r="Q635" s="4"/>
      <c r="R635" s="5"/>
      <c r="S635" s="2"/>
      <c r="T635" s="2"/>
      <c r="U635" s="2"/>
      <c r="V635" s="2"/>
      <c r="W635" s="2"/>
      <c r="X635" s="2"/>
      <c r="Y635" s="2"/>
      <c r="Z635" s="2"/>
    </row>
    <row r="636" spans="1:26" ht="18" x14ac:dyDescent="0.3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3"/>
      <c r="O636" s="2"/>
      <c r="P636" s="2"/>
      <c r="Q636" s="4"/>
      <c r="R636" s="5"/>
      <c r="S636" s="2"/>
      <c r="T636" s="2"/>
      <c r="U636" s="2"/>
      <c r="V636" s="2"/>
      <c r="W636" s="2"/>
      <c r="X636" s="2"/>
      <c r="Y636" s="2"/>
      <c r="Z636" s="2"/>
    </row>
    <row r="637" spans="1:26" ht="18" x14ac:dyDescent="0.3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3"/>
      <c r="O637" s="2"/>
      <c r="P637" s="2"/>
      <c r="Q637" s="4"/>
      <c r="R637" s="5"/>
      <c r="S637" s="2"/>
      <c r="T637" s="2"/>
      <c r="U637" s="2"/>
      <c r="V637" s="2"/>
      <c r="W637" s="2"/>
      <c r="X637" s="2"/>
      <c r="Y637" s="2"/>
      <c r="Z637" s="2"/>
    </row>
    <row r="638" spans="1:26" ht="18" x14ac:dyDescent="0.3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3"/>
      <c r="O638" s="2"/>
      <c r="P638" s="2"/>
      <c r="Q638" s="4"/>
      <c r="R638" s="5"/>
      <c r="S638" s="2"/>
      <c r="T638" s="2"/>
      <c r="U638" s="2"/>
      <c r="V638" s="2"/>
      <c r="W638" s="2"/>
      <c r="X638" s="2"/>
      <c r="Y638" s="2"/>
      <c r="Z638" s="2"/>
    </row>
    <row r="639" spans="1:26" ht="18" x14ac:dyDescent="0.3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3"/>
      <c r="O639" s="2"/>
      <c r="P639" s="2"/>
      <c r="Q639" s="4"/>
      <c r="R639" s="5"/>
      <c r="S639" s="2"/>
      <c r="T639" s="2"/>
      <c r="U639" s="2"/>
      <c r="V639" s="2"/>
      <c r="W639" s="2"/>
      <c r="X639" s="2"/>
      <c r="Y639" s="2"/>
      <c r="Z639" s="2"/>
    </row>
    <row r="640" spans="1:26" ht="18" x14ac:dyDescent="0.3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3"/>
      <c r="O640" s="2"/>
      <c r="P640" s="2"/>
      <c r="Q640" s="4"/>
      <c r="R640" s="5"/>
      <c r="S640" s="2"/>
      <c r="T640" s="2"/>
      <c r="U640" s="2"/>
      <c r="V640" s="2"/>
      <c r="W640" s="2"/>
      <c r="X640" s="2"/>
      <c r="Y640" s="2"/>
      <c r="Z640" s="2"/>
    </row>
    <row r="641" spans="1:26" ht="18" x14ac:dyDescent="0.3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3"/>
      <c r="O641" s="2"/>
      <c r="P641" s="2"/>
      <c r="Q641" s="4"/>
      <c r="R641" s="5"/>
      <c r="S641" s="2"/>
      <c r="T641" s="2"/>
      <c r="U641" s="2"/>
      <c r="V641" s="2"/>
      <c r="W641" s="2"/>
      <c r="X641" s="2"/>
      <c r="Y641" s="2"/>
      <c r="Z641" s="2"/>
    </row>
    <row r="642" spans="1:26" ht="18" x14ac:dyDescent="0.3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3"/>
      <c r="O642" s="2"/>
      <c r="P642" s="2"/>
      <c r="Q642" s="4"/>
      <c r="R642" s="5"/>
      <c r="S642" s="2"/>
      <c r="T642" s="2"/>
      <c r="U642" s="2"/>
      <c r="V642" s="2"/>
      <c r="W642" s="2"/>
      <c r="X642" s="2"/>
      <c r="Y642" s="2"/>
      <c r="Z642" s="2"/>
    </row>
    <row r="643" spans="1:26" ht="18" x14ac:dyDescent="0.3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3"/>
      <c r="O643" s="2"/>
      <c r="P643" s="2"/>
      <c r="Q643" s="4"/>
      <c r="R643" s="5"/>
      <c r="S643" s="2"/>
      <c r="T643" s="2"/>
      <c r="U643" s="2"/>
      <c r="V643" s="2"/>
      <c r="W643" s="2"/>
      <c r="X643" s="2"/>
      <c r="Y643" s="2"/>
      <c r="Z643" s="2"/>
    </row>
    <row r="644" spans="1:26" ht="18" x14ac:dyDescent="0.3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3"/>
      <c r="O644" s="2"/>
      <c r="P644" s="2"/>
      <c r="Q644" s="4"/>
      <c r="R644" s="5"/>
      <c r="S644" s="2"/>
      <c r="T644" s="2"/>
      <c r="U644" s="2"/>
      <c r="V644" s="2"/>
      <c r="W644" s="2"/>
      <c r="X644" s="2"/>
      <c r="Y644" s="2"/>
      <c r="Z644" s="2"/>
    </row>
    <row r="645" spans="1:26" ht="18" x14ac:dyDescent="0.3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3"/>
      <c r="O645" s="2"/>
      <c r="P645" s="2"/>
      <c r="Q645" s="4"/>
      <c r="R645" s="5"/>
      <c r="S645" s="2"/>
      <c r="T645" s="2"/>
      <c r="U645" s="2"/>
      <c r="V645" s="2"/>
      <c r="W645" s="2"/>
      <c r="X645" s="2"/>
      <c r="Y645" s="2"/>
      <c r="Z645" s="2"/>
    </row>
    <row r="646" spans="1:26" ht="18" x14ac:dyDescent="0.3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3"/>
      <c r="O646" s="2"/>
      <c r="P646" s="2"/>
      <c r="Q646" s="4"/>
      <c r="R646" s="5"/>
      <c r="S646" s="2"/>
      <c r="T646" s="2"/>
      <c r="U646" s="2"/>
      <c r="V646" s="2"/>
      <c r="W646" s="2"/>
      <c r="X646" s="2"/>
      <c r="Y646" s="2"/>
      <c r="Z646" s="2"/>
    </row>
    <row r="647" spans="1:26" ht="18" x14ac:dyDescent="0.3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3"/>
      <c r="O647" s="2"/>
      <c r="P647" s="2"/>
      <c r="Q647" s="4"/>
      <c r="R647" s="5"/>
      <c r="S647" s="2"/>
      <c r="T647" s="2"/>
      <c r="U647" s="2"/>
      <c r="V647" s="2"/>
      <c r="W647" s="2"/>
      <c r="X647" s="2"/>
      <c r="Y647" s="2"/>
      <c r="Z647" s="2"/>
    </row>
    <row r="648" spans="1:26" ht="18" x14ac:dyDescent="0.3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3"/>
      <c r="O648" s="2"/>
      <c r="P648" s="2"/>
      <c r="Q648" s="4"/>
      <c r="R648" s="5"/>
      <c r="S648" s="2"/>
      <c r="T648" s="2"/>
      <c r="U648" s="2"/>
      <c r="V648" s="2"/>
      <c r="W648" s="2"/>
      <c r="X648" s="2"/>
      <c r="Y648" s="2"/>
      <c r="Z648" s="2"/>
    </row>
    <row r="649" spans="1:26" ht="18" x14ac:dyDescent="0.3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3"/>
      <c r="O649" s="2"/>
      <c r="P649" s="2"/>
      <c r="Q649" s="4"/>
      <c r="R649" s="5"/>
      <c r="S649" s="2"/>
      <c r="T649" s="2"/>
      <c r="U649" s="2"/>
      <c r="V649" s="2"/>
      <c r="W649" s="2"/>
      <c r="X649" s="2"/>
      <c r="Y649" s="2"/>
      <c r="Z649" s="2"/>
    </row>
    <row r="650" spans="1:26" ht="18" x14ac:dyDescent="0.3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3"/>
      <c r="O650" s="2"/>
      <c r="P650" s="2"/>
      <c r="Q650" s="4"/>
      <c r="R650" s="5"/>
      <c r="S650" s="2"/>
      <c r="T650" s="2"/>
      <c r="U650" s="2"/>
      <c r="V650" s="2"/>
      <c r="W650" s="2"/>
      <c r="X650" s="2"/>
      <c r="Y650" s="2"/>
      <c r="Z650" s="2"/>
    </row>
    <row r="651" spans="1:26" ht="18" x14ac:dyDescent="0.3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3"/>
      <c r="O651" s="2"/>
      <c r="P651" s="2"/>
      <c r="Q651" s="4"/>
      <c r="R651" s="5"/>
      <c r="S651" s="2"/>
      <c r="T651" s="2"/>
      <c r="U651" s="2"/>
      <c r="V651" s="2"/>
      <c r="W651" s="2"/>
      <c r="X651" s="2"/>
      <c r="Y651" s="2"/>
      <c r="Z651" s="2"/>
    </row>
    <row r="652" spans="1:26" ht="18" x14ac:dyDescent="0.3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3"/>
      <c r="O652" s="2"/>
      <c r="P652" s="2"/>
      <c r="Q652" s="4"/>
      <c r="R652" s="5"/>
      <c r="S652" s="2"/>
      <c r="T652" s="2"/>
      <c r="U652" s="2"/>
      <c r="V652" s="2"/>
      <c r="W652" s="2"/>
      <c r="X652" s="2"/>
      <c r="Y652" s="2"/>
      <c r="Z652" s="2"/>
    </row>
    <row r="653" spans="1:26" ht="18" x14ac:dyDescent="0.3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3"/>
      <c r="O653" s="2"/>
      <c r="P653" s="2"/>
      <c r="Q653" s="4"/>
      <c r="R653" s="5"/>
      <c r="S653" s="2"/>
      <c r="T653" s="2"/>
      <c r="U653" s="2"/>
      <c r="V653" s="2"/>
      <c r="W653" s="2"/>
      <c r="X653" s="2"/>
      <c r="Y653" s="2"/>
      <c r="Z653" s="2"/>
    </row>
    <row r="654" spans="1:26" ht="18" x14ac:dyDescent="0.3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3"/>
      <c r="O654" s="2"/>
      <c r="P654" s="2"/>
      <c r="Q654" s="4"/>
      <c r="R654" s="5"/>
      <c r="S654" s="2"/>
      <c r="T654" s="2"/>
      <c r="U654" s="2"/>
      <c r="V654" s="2"/>
      <c r="W654" s="2"/>
      <c r="X654" s="2"/>
      <c r="Y654" s="2"/>
      <c r="Z654" s="2"/>
    </row>
    <row r="655" spans="1:26" ht="18" x14ac:dyDescent="0.3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3"/>
      <c r="O655" s="2"/>
      <c r="P655" s="2"/>
      <c r="Q655" s="4"/>
      <c r="R655" s="5"/>
      <c r="S655" s="2"/>
      <c r="T655" s="2"/>
      <c r="U655" s="2"/>
      <c r="V655" s="2"/>
      <c r="W655" s="2"/>
      <c r="X655" s="2"/>
      <c r="Y655" s="2"/>
      <c r="Z655" s="2"/>
    </row>
    <row r="656" spans="1:26" ht="18" x14ac:dyDescent="0.3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3"/>
      <c r="O656" s="2"/>
      <c r="P656" s="2"/>
      <c r="Q656" s="4"/>
      <c r="R656" s="5"/>
      <c r="S656" s="2"/>
      <c r="T656" s="2"/>
      <c r="U656" s="2"/>
      <c r="V656" s="2"/>
      <c r="W656" s="2"/>
      <c r="X656" s="2"/>
      <c r="Y656" s="2"/>
      <c r="Z656" s="2"/>
    </row>
    <row r="657" spans="1:26" ht="18" x14ac:dyDescent="0.3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3"/>
      <c r="O657" s="2"/>
      <c r="P657" s="2"/>
      <c r="Q657" s="4"/>
      <c r="R657" s="5"/>
      <c r="S657" s="2"/>
      <c r="T657" s="2"/>
      <c r="U657" s="2"/>
      <c r="V657" s="2"/>
      <c r="W657" s="2"/>
      <c r="X657" s="2"/>
      <c r="Y657" s="2"/>
      <c r="Z657" s="2"/>
    </row>
    <row r="658" spans="1:26" ht="18" x14ac:dyDescent="0.3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3"/>
      <c r="O658" s="2"/>
      <c r="P658" s="2"/>
      <c r="Q658" s="4"/>
      <c r="R658" s="5"/>
      <c r="S658" s="2"/>
      <c r="T658" s="2"/>
      <c r="U658" s="2"/>
      <c r="V658" s="2"/>
      <c r="W658" s="2"/>
      <c r="X658" s="2"/>
      <c r="Y658" s="2"/>
      <c r="Z658" s="2"/>
    </row>
    <row r="659" spans="1:26" ht="18" x14ac:dyDescent="0.3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3"/>
      <c r="O659" s="2"/>
      <c r="P659" s="2"/>
      <c r="Q659" s="4"/>
      <c r="R659" s="5"/>
      <c r="S659" s="2"/>
      <c r="T659" s="2"/>
      <c r="U659" s="2"/>
      <c r="V659" s="2"/>
      <c r="W659" s="2"/>
      <c r="X659" s="2"/>
      <c r="Y659" s="2"/>
      <c r="Z659" s="2"/>
    </row>
    <row r="660" spans="1:26" ht="18" x14ac:dyDescent="0.3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3"/>
      <c r="O660" s="2"/>
      <c r="P660" s="2"/>
      <c r="Q660" s="4"/>
      <c r="R660" s="5"/>
      <c r="S660" s="2"/>
      <c r="T660" s="2"/>
      <c r="U660" s="2"/>
      <c r="V660" s="2"/>
      <c r="W660" s="2"/>
      <c r="X660" s="2"/>
      <c r="Y660" s="2"/>
      <c r="Z660" s="2"/>
    </row>
    <row r="661" spans="1:26" ht="18" x14ac:dyDescent="0.3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3"/>
      <c r="O661" s="2"/>
      <c r="P661" s="2"/>
      <c r="Q661" s="4"/>
      <c r="R661" s="5"/>
      <c r="S661" s="2"/>
      <c r="T661" s="2"/>
      <c r="U661" s="2"/>
      <c r="V661" s="2"/>
      <c r="W661" s="2"/>
      <c r="X661" s="2"/>
      <c r="Y661" s="2"/>
      <c r="Z661" s="2"/>
    </row>
    <row r="662" spans="1:26" ht="18" x14ac:dyDescent="0.3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3"/>
      <c r="O662" s="2"/>
      <c r="P662" s="2"/>
      <c r="Q662" s="4"/>
      <c r="R662" s="5"/>
      <c r="S662" s="2"/>
      <c r="T662" s="2"/>
      <c r="U662" s="2"/>
      <c r="V662" s="2"/>
      <c r="W662" s="2"/>
      <c r="X662" s="2"/>
      <c r="Y662" s="2"/>
      <c r="Z662" s="2"/>
    </row>
    <row r="663" spans="1:26" ht="18" x14ac:dyDescent="0.3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3"/>
      <c r="O663" s="2"/>
      <c r="P663" s="2"/>
      <c r="Q663" s="4"/>
      <c r="R663" s="5"/>
      <c r="S663" s="2"/>
      <c r="T663" s="2"/>
      <c r="U663" s="2"/>
      <c r="V663" s="2"/>
      <c r="W663" s="2"/>
      <c r="X663" s="2"/>
      <c r="Y663" s="2"/>
      <c r="Z663" s="2"/>
    </row>
    <row r="664" spans="1:26" ht="18" x14ac:dyDescent="0.3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3"/>
      <c r="O664" s="2"/>
      <c r="P664" s="2"/>
      <c r="Q664" s="4"/>
      <c r="R664" s="5"/>
      <c r="S664" s="2"/>
      <c r="T664" s="2"/>
      <c r="U664" s="2"/>
      <c r="V664" s="2"/>
      <c r="W664" s="2"/>
      <c r="X664" s="2"/>
      <c r="Y664" s="2"/>
      <c r="Z664" s="2"/>
    </row>
    <row r="665" spans="1:26" ht="18" x14ac:dyDescent="0.3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3"/>
      <c r="O665" s="2"/>
      <c r="P665" s="2"/>
      <c r="Q665" s="4"/>
      <c r="R665" s="5"/>
      <c r="S665" s="2"/>
      <c r="T665" s="2"/>
      <c r="U665" s="2"/>
      <c r="V665" s="2"/>
      <c r="W665" s="2"/>
      <c r="X665" s="2"/>
      <c r="Y665" s="2"/>
      <c r="Z665" s="2"/>
    </row>
    <row r="666" spans="1:26" ht="18" x14ac:dyDescent="0.3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3"/>
      <c r="O666" s="2"/>
      <c r="P666" s="2"/>
      <c r="Q666" s="4"/>
      <c r="R666" s="5"/>
      <c r="S666" s="2"/>
      <c r="T666" s="2"/>
      <c r="U666" s="2"/>
      <c r="V666" s="2"/>
      <c r="W666" s="2"/>
      <c r="X666" s="2"/>
      <c r="Y666" s="2"/>
      <c r="Z666" s="2"/>
    </row>
    <row r="667" spans="1:26" ht="18" x14ac:dyDescent="0.3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3"/>
      <c r="O667" s="2"/>
      <c r="P667" s="2"/>
      <c r="Q667" s="4"/>
      <c r="R667" s="5"/>
      <c r="S667" s="2"/>
      <c r="T667" s="2"/>
      <c r="U667" s="2"/>
      <c r="V667" s="2"/>
      <c r="W667" s="2"/>
      <c r="X667" s="2"/>
      <c r="Y667" s="2"/>
      <c r="Z667" s="2"/>
    </row>
    <row r="668" spans="1:26" ht="18" x14ac:dyDescent="0.3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3"/>
      <c r="O668" s="2"/>
      <c r="P668" s="2"/>
      <c r="Q668" s="4"/>
      <c r="R668" s="5"/>
      <c r="S668" s="2"/>
      <c r="T668" s="2"/>
      <c r="U668" s="2"/>
      <c r="V668" s="2"/>
      <c r="W668" s="2"/>
      <c r="X668" s="2"/>
      <c r="Y668" s="2"/>
      <c r="Z668" s="2"/>
    </row>
    <row r="669" spans="1:26" ht="18" x14ac:dyDescent="0.3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3"/>
      <c r="O669" s="2"/>
      <c r="P669" s="2"/>
      <c r="Q669" s="4"/>
      <c r="R669" s="5"/>
      <c r="S669" s="2"/>
      <c r="T669" s="2"/>
      <c r="U669" s="2"/>
      <c r="V669" s="2"/>
      <c r="W669" s="2"/>
      <c r="X669" s="2"/>
      <c r="Y669" s="2"/>
      <c r="Z669" s="2"/>
    </row>
    <row r="670" spans="1:26" ht="18" x14ac:dyDescent="0.3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3"/>
      <c r="O670" s="2"/>
      <c r="P670" s="2"/>
      <c r="Q670" s="4"/>
      <c r="R670" s="5"/>
      <c r="S670" s="2"/>
      <c r="T670" s="2"/>
      <c r="U670" s="2"/>
      <c r="V670" s="2"/>
      <c r="W670" s="2"/>
      <c r="X670" s="2"/>
      <c r="Y670" s="2"/>
      <c r="Z670" s="2"/>
    </row>
    <row r="671" spans="1:26" ht="18" x14ac:dyDescent="0.3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3"/>
      <c r="O671" s="2"/>
      <c r="P671" s="2"/>
      <c r="Q671" s="4"/>
      <c r="R671" s="5"/>
      <c r="S671" s="2"/>
      <c r="T671" s="2"/>
      <c r="U671" s="2"/>
      <c r="V671" s="2"/>
      <c r="W671" s="2"/>
      <c r="X671" s="2"/>
      <c r="Y671" s="2"/>
      <c r="Z671" s="2"/>
    </row>
    <row r="672" spans="1:26" ht="18" x14ac:dyDescent="0.3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3"/>
      <c r="O672" s="2"/>
      <c r="P672" s="2"/>
      <c r="Q672" s="4"/>
      <c r="R672" s="5"/>
      <c r="S672" s="2"/>
      <c r="T672" s="2"/>
      <c r="U672" s="2"/>
      <c r="V672" s="2"/>
      <c r="W672" s="2"/>
      <c r="X672" s="2"/>
      <c r="Y672" s="2"/>
      <c r="Z672" s="2"/>
    </row>
    <row r="673" spans="1:26" ht="18" x14ac:dyDescent="0.3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3"/>
      <c r="O673" s="2"/>
      <c r="P673" s="2"/>
      <c r="Q673" s="4"/>
      <c r="R673" s="5"/>
      <c r="S673" s="2"/>
      <c r="T673" s="2"/>
      <c r="U673" s="2"/>
      <c r="V673" s="2"/>
      <c r="W673" s="2"/>
      <c r="X673" s="2"/>
      <c r="Y673" s="2"/>
      <c r="Z673" s="2"/>
    </row>
    <row r="674" spans="1:26" ht="18" x14ac:dyDescent="0.3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3"/>
      <c r="O674" s="2"/>
      <c r="P674" s="2"/>
      <c r="Q674" s="4"/>
      <c r="R674" s="5"/>
      <c r="S674" s="2"/>
      <c r="T674" s="2"/>
      <c r="U674" s="2"/>
      <c r="V674" s="2"/>
      <c r="W674" s="2"/>
      <c r="X674" s="2"/>
      <c r="Y674" s="2"/>
      <c r="Z674" s="2"/>
    </row>
    <row r="675" spans="1:26" ht="18" x14ac:dyDescent="0.3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3"/>
      <c r="O675" s="2"/>
      <c r="P675" s="2"/>
      <c r="Q675" s="4"/>
      <c r="R675" s="5"/>
      <c r="S675" s="2"/>
      <c r="T675" s="2"/>
      <c r="U675" s="2"/>
      <c r="V675" s="2"/>
      <c r="W675" s="2"/>
      <c r="X675" s="2"/>
      <c r="Y675" s="2"/>
      <c r="Z675" s="2"/>
    </row>
    <row r="676" spans="1:26" ht="18" x14ac:dyDescent="0.3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3"/>
      <c r="O676" s="2"/>
      <c r="P676" s="2"/>
      <c r="Q676" s="4"/>
      <c r="R676" s="5"/>
      <c r="S676" s="2"/>
      <c r="T676" s="2"/>
      <c r="U676" s="2"/>
      <c r="V676" s="2"/>
      <c r="W676" s="2"/>
      <c r="X676" s="2"/>
      <c r="Y676" s="2"/>
      <c r="Z676" s="2"/>
    </row>
    <row r="677" spans="1:26" ht="18" x14ac:dyDescent="0.3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3"/>
      <c r="O677" s="2"/>
      <c r="P677" s="2"/>
      <c r="Q677" s="4"/>
      <c r="R677" s="5"/>
      <c r="S677" s="2"/>
      <c r="T677" s="2"/>
      <c r="U677" s="2"/>
      <c r="V677" s="2"/>
      <c r="W677" s="2"/>
      <c r="X677" s="2"/>
      <c r="Y677" s="2"/>
      <c r="Z677" s="2"/>
    </row>
    <row r="678" spans="1:26" ht="18" x14ac:dyDescent="0.3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3"/>
      <c r="O678" s="2"/>
      <c r="P678" s="2"/>
      <c r="Q678" s="4"/>
      <c r="R678" s="5"/>
      <c r="S678" s="2"/>
      <c r="T678" s="2"/>
      <c r="U678" s="2"/>
      <c r="V678" s="2"/>
      <c r="W678" s="2"/>
      <c r="X678" s="2"/>
      <c r="Y678" s="2"/>
      <c r="Z678" s="2"/>
    </row>
    <row r="679" spans="1:26" ht="18" x14ac:dyDescent="0.3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3"/>
      <c r="O679" s="2"/>
      <c r="P679" s="2"/>
      <c r="Q679" s="4"/>
      <c r="R679" s="5"/>
      <c r="S679" s="2"/>
      <c r="T679" s="2"/>
      <c r="U679" s="2"/>
      <c r="V679" s="2"/>
      <c r="W679" s="2"/>
      <c r="X679" s="2"/>
      <c r="Y679" s="2"/>
      <c r="Z679" s="2"/>
    </row>
    <row r="680" spans="1:26" ht="18" x14ac:dyDescent="0.3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3"/>
      <c r="O680" s="2"/>
      <c r="P680" s="2"/>
      <c r="Q680" s="4"/>
      <c r="R680" s="5"/>
      <c r="S680" s="2"/>
      <c r="T680" s="2"/>
      <c r="U680" s="2"/>
      <c r="V680" s="2"/>
      <c r="W680" s="2"/>
      <c r="X680" s="2"/>
      <c r="Y680" s="2"/>
      <c r="Z680" s="2"/>
    </row>
    <row r="681" spans="1:26" ht="18" x14ac:dyDescent="0.3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3"/>
      <c r="O681" s="2"/>
      <c r="P681" s="2"/>
      <c r="Q681" s="4"/>
      <c r="R681" s="5"/>
      <c r="S681" s="2"/>
      <c r="T681" s="2"/>
      <c r="U681" s="2"/>
      <c r="V681" s="2"/>
      <c r="W681" s="2"/>
      <c r="X681" s="2"/>
      <c r="Y681" s="2"/>
      <c r="Z681" s="2"/>
    </row>
    <row r="682" spans="1:26" ht="18" x14ac:dyDescent="0.3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3"/>
      <c r="O682" s="2"/>
      <c r="P682" s="2"/>
      <c r="Q682" s="4"/>
      <c r="R682" s="5"/>
      <c r="S682" s="2"/>
      <c r="T682" s="2"/>
      <c r="U682" s="2"/>
      <c r="V682" s="2"/>
      <c r="W682" s="2"/>
      <c r="X682" s="2"/>
      <c r="Y682" s="2"/>
      <c r="Z682" s="2"/>
    </row>
    <row r="683" spans="1:26" ht="18" x14ac:dyDescent="0.3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3"/>
      <c r="O683" s="2"/>
      <c r="P683" s="2"/>
      <c r="Q683" s="4"/>
      <c r="R683" s="5"/>
      <c r="S683" s="2"/>
      <c r="T683" s="2"/>
      <c r="U683" s="2"/>
      <c r="V683" s="2"/>
      <c r="W683" s="2"/>
      <c r="X683" s="2"/>
      <c r="Y683" s="2"/>
      <c r="Z683" s="2"/>
    </row>
    <row r="684" spans="1:26" ht="18" x14ac:dyDescent="0.3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3"/>
      <c r="O684" s="2"/>
      <c r="P684" s="2"/>
      <c r="Q684" s="4"/>
      <c r="R684" s="5"/>
      <c r="S684" s="2"/>
      <c r="T684" s="2"/>
      <c r="U684" s="2"/>
      <c r="V684" s="2"/>
      <c r="W684" s="2"/>
      <c r="X684" s="2"/>
      <c r="Y684" s="2"/>
      <c r="Z684" s="2"/>
    </row>
    <row r="685" spans="1:26" ht="18" x14ac:dyDescent="0.3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3"/>
      <c r="O685" s="2"/>
      <c r="P685" s="2"/>
      <c r="Q685" s="4"/>
      <c r="R685" s="5"/>
      <c r="S685" s="2"/>
      <c r="T685" s="2"/>
      <c r="U685" s="2"/>
      <c r="V685" s="2"/>
      <c r="W685" s="2"/>
      <c r="X685" s="2"/>
      <c r="Y685" s="2"/>
      <c r="Z685" s="2"/>
    </row>
    <row r="686" spans="1:26" ht="18" x14ac:dyDescent="0.3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3"/>
      <c r="O686" s="2"/>
      <c r="P686" s="2"/>
      <c r="Q686" s="4"/>
      <c r="R686" s="5"/>
      <c r="S686" s="2"/>
      <c r="T686" s="2"/>
      <c r="U686" s="2"/>
      <c r="V686" s="2"/>
      <c r="W686" s="2"/>
      <c r="X686" s="2"/>
      <c r="Y686" s="2"/>
      <c r="Z686" s="2"/>
    </row>
    <row r="687" spans="1:26" ht="18" x14ac:dyDescent="0.3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3"/>
      <c r="O687" s="2"/>
      <c r="P687" s="2"/>
      <c r="Q687" s="4"/>
      <c r="R687" s="5"/>
      <c r="S687" s="2"/>
      <c r="T687" s="2"/>
      <c r="U687" s="2"/>
      <c r="V687" s="2"/>
      <c r="W687" s="2"/>
      <c r="X687" s="2"/>
      <c r="Y687" s="2"/>
      <c r="Z687" s="2"/>
    </row>
    <row r="688" spans="1:26" ht="18" x14ac:dyDescent="0.3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3"/>
      <c r="O688" s="2"/>
      <c r="P688" s="2"/>
      <c r="Q688" s="4"/>
      <c r="R688" s="5"/>
      <c r="S688" s="2"/>
      <c r="T688" s="2"/>
      <c r="U688" s="2"/>
      <c r="V688" s="2"/>
      <c r="W688" s="2"/>
      <c r="X688" s="2"/>
      <c r="Y688" s="2"/>
      <c r="Z688" s="2"/>
    </row>
    <row r="689" spans="1:26" ht="18" x14ac:dyDescent="0.3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3"/>
      <c r="O689" s="2"/>
      <c r="P689" s="2"/>
      <c r="Q689" s="4"/>
      <c r="R689" s="5"/>
      <c r="S689" s="2"/>
      <c r="T689" s="2"/>
      <c r="U689" s="2"/>
      <c r="V689" s="2"/>
      <c r="W689" s="2"/>
      <c r="X689" s="2"/>
      <c r="Y689" s="2"/>
      <c r="Z689" s="2"/>
    </row>
    <row r="690" spans="1:26" ht="18" x14ac:dyDescent="0.3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3"/>
      <c r="O690" s="2"/>
      <c r="P690" s="2"/>
      <c r="Q690" s="4"/>
      <c r="R690" s="5"/>
      <c r="S690" s="2"/>
      <c r="T690" s="2"/>
      <c r="U690" s="2"/>
      <c r="V690" s="2"/>
      <c r="W690" s="2"/>
      <c r="X690" s="2"/>
      <c r="Y690" s="2"/>
      <c r="Z690" s="2"/>
    </row>
    <row r="691" spans="1:26" ht="18" x14ac:dyDescent="0.3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3"/>
      <c r="O691" s="2"/>
      <c r="P691" s="2"/>
      <c r="Q691" s="4"/>
      <c r="R691" s="5"/>
      <c r="S691" s="2"/>
      <c r="T691" s="2"/>
      <c r="U691" s="2"/>
      <c r="V691" s="2"/>
      <c r="W691" s="2"/>
      <c r="X691" s="2"/>
      <c r="Y691" s="2"/>
      <c r="Z691" s="2"/>
    </row>
    <row r="692" spans="1:26" ht="18" x14ac:dyDescent="0.3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3"/>
      <c r="O692" s="2"/>
      <c r="P692" s="2"/>
      <c r="Q692" s="4"/>
      <c r="R692" s="5"/>
      <c r="S692" s="2"/>
      <c r="T692" s="2"/>
      <c r="U692" s="2"/>
      <c r="V692" s="2"/>
      <c r="W692" s="2"/>
      <c r="X692" s="2"/>
      <c r="Y692" s="2"/>
      <c r="Z692" s="2"/>
    </row>
    <row r="693" spans="1:26" ht="18" x14ac:dyDescent="0.3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3"/>
      <c r="O693" s="2"/>
      <c r="P693" s="2"/>
      <c r="Q693" s="4"/>
      <c r="R693" s="5"/>
      <c r="S693" s="2"/>
      <c r="T693" s="2"/>
      <c r="U693" s="2"/>
      <c r="V693" s="2"/>
      <c r="W693" s="2"/>
      <c r="X693" s="2"/>
      <c r="Y693" s="2"/>
      <c r="Z693" s="2"/>
    </row>
    <row r="694" spans="1:26" ht="18" x14ac:dyDescent="0.3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3"/>
      <c r="O694" s="2"/>
      <c r="P694" s="2"/>
      <c r="Q694" s="4"/>
      <c r="R694" s="5"/>
      <c r="S694" s="2"/>
      <c r="T694" s="2"/>
      <c r="U694" s="2"/>
      <c r="V694" s="2"/>
      <c r="W694" s="2"/>
      <c r="X694" s="2"/>
      <c r="Y694" s="2"/>
      <c r="Z694" s="2"/>
    </row>
    <row r="695" spans="1:26" ht="18" x14ac:dyDescent="0.3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3"/>
      <c r="O695" s="2"/>
      <c r="P695" s="2"/>
      <c r="Q695" s="4"/>
      <c r="R695" s="5"/>
      <c r="S695" s="2"/>
      <c r="T695" s="2"/>
      <c r="U695" s="2"/>
      <c r="V695" s="2"/>
      <c r="W695" s="2"/>
      <c r="X695" s="2"/>
      <c r="Y695" s="2"/>
      <c r="Z695" s="2"/>
    </row>
    <row r="696" spans="1:26" ht="18" x14ac:dyDescent="0.3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3"/>
      <c r="O696" s="2"/>
      <c r="P696" s="2"/>
      <c r="Q696" s="4"/>
      <c r="R696" s="5"/>
      <c r="S696" s="2"/>
      <c r="T696" s="2"/>
      <c r="U696" s="2"/>
      <c r="V696" s="2"/>
      <c r="W696" s="2"/>
      <c r="X696" s="2"/>
      <c r="Y696" s="2"/>
      <c r="Z696" s="2"/>
    </row>
    <row r="697" spans="1:26" ht="18" x14ac:dyDescent="0.3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3"/>
      <c r="O697" s="2"/>
      <c r="P697" s="2"/>
      <c r="Q697" s="4"/>
      <c r="R697" s="5"/>
      <c r="S697" s="2"/>
      <c r="T697" s="2"/>
      <c r="U697" s="2"/>
      <c r="V697" s="2"/>
      <c r="W697" s="2"/>
      <c r="X697" s="2"/>
      <c r="Y697" s="2"/>
      <c r="Z697" s="2"/>
    </row>
    <row r="698" spans="1:26" ht="18" x14ac:dyDescent="0.3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3"/>
      <c r="O698" s="2"/>
      <c r="P698" s="2"/>
      <c r="Q698" s="4"/>
      <c r="R698" s="5"/>
      <c r="S698" s="2"/>
      <c r="T698" s="2"/>
      <c r="U698" s="2"/>
      <c r="V698" s="2"/>
      <c r="W698" s="2"/>
      <c r="X698" s="2"/>
      <c r="Y698" s="2"/>
      <c r="Z698" s="2"/>
    </row>
    <row r="699" spans="1:26" ht="18" x14ac:dyDescent="0.3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3"/>
      <c r="O699" s="2"/>
      <c r="P699" s="2"/>
      <c r="Q699" s="4"/>
      <c r="R699" s="5"/>
      <c r="S699" s="2"/>
      <c r="T699" s="2"/>
      <c r="U699" s="2"/>
      <c r="V699" s="2"/>
      <c r="W699" s="2"/>
      <c r="X699" s="2"/>
      <c r="Y699" s="2"/>
      <c r="Z699" s="2"/>
    </row>
    <row r="700" spans="1:26" ht="18" x14ac:dyDescent="0.3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3"/>
      <c r="O700" s="2"/>
      <c r="P700" s="2"/>
      <c r="Q700" s="4"/>
      <c r="R700" s="5"/>
      <c r="S700" s="2"/>
      <c r="T700" s="2"/>
      <c r="U700" s="2"/>
      <c r="V700" s="2"/>
      <c r="W700" s="2"/>
      <c r="X700" s="2"/>
      <c r="Y700" s="2"/>
      <c r="Z700" s="2"/>
    </row>
    <row r="701" spans="1:26" ht="18" x14ac:dyDescent="0.3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3"/>
      <c r="O701" s="2"/>
      <c r="P701" s="2"/>
      <c r="Q701" s="4"/>
      <c r="R701" s="5"/>
      <c r="S701" s="2"/>
      <c r="T701" s="2"/>
      <c r="U701" s="2"/>
      <c r="V701" s="2"/>
      <c r="W701" s="2"/>
      <c r="X701" s="2"/>
      <c r="Y701" s="2"/>
      <c r="Z701" s="2"/>
    </row>
    <row r="702" spans="1:26" ht="18" x14ac:dyDescent="0.3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3"/>
      <c r="O702" s="2"/>
      <c r="P702" s="2"/>
      <c r="Q702" s="4"/>
      <c r="R702" s="5"/>
      <c r="S702" s="2"/>
      <c r="T702" s="2"/>
      <c r="U702" s="2"/>
      <c r="V702" s="2"/>
      <c r="W702" s="2"/>
      <c r="X702" s="2"/>
      <c r="Y702" s="2"/>
      <c r="Z702" s="2"/>
    </row>
    <row r="703" spans="1:26" ht="18" x14ac:dyDescent="0.3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3"/>
      <c r="O703" s="2"/>
      <c r="P703" s="2"/>
      <c r="Q703" s="4"/>
      <c r="R703" s="5"/>
      <c r="S703" s="2"/>
      <c r="T703" s="2"/>
      <c r="U703" s="2"/>
      <c r="V703" s="2"/>
      <c r="W703" s="2"/>
      <c r="X703" s="2"/>
      <c r="Y703" s="2"/>
      <c r="Z703" s="2"/>
    </row>
    <row r="704" spans="1:26" ht="18" x14ac:dyDescent="0.3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3"/>
      <c r="O704" s="2"/>
      <c r="P704" s="2"/>
      <c r="Q704" s="4"/>
      <c r="R704" s="5"/>
      <c r="S704" s="2"/>
      <c r="T704" s="2"/>
      <c r="U704" s="2"/>
      <c r="V704" s="2"/>
      <c r="W704" s="2"/>
      <c r="X704" s="2"/>
      <c r="Y704" s="2"/>
      <c r="Z704" s="2"/>
    </row>
    <row r="705" spans="1:26" ht="18" x14ac:dyDescent="0.3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3"/>
      <c r="O705" s="2"/>
      <c r="P705" s="2"/>
      <c r="Q705" s="4"/>
      <c r="R705" s="5"/>
      <c r="S705" s="2"/>
      <c r="T705" s="2"/>
      <c r="U705" s="2"/>
      <c r="V705" s="2"/>
      <c r="W705" s="2"/>
      <c r="X705" s="2"/>
      <c r="Y705" s="2"/>
      <c r="Z705" s="2"/>
    </row>
    <row r="706" spans="1:26" ht="18" x14ac:dyDescent="0.3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3"/>
      <c r="O706" s="2"/>
      <c r="P706" s="2"/>
      <c r="Q706" s="4"/>
      <c r="R706" s="5"/>
      <c r="S706" s="2"/>
      <c r="T706" s="2"/>
      <c r="U706" s="2"/>
      <c r="V706" s="2"/>
      <c r="W706" s="2"/>
      <c r="X706" s="2"/>
      <c r="Y706" s="2"/>
      <c r="Z706" s="2"/>
    </row>
    <row r="707" spans="1:26" ht="18" x14ac:dyDescent="0.3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3"/>
      <c r="O707" s="2"/>
      <c r="P707" s="2"/>
      <c r="Q707" s="4"/>
      <c r="R707" s="5"/>
      <c r="S707" s="2"/>
      <c r="T707" s="2"/>
      <c r="U707" s="2"/>
      <c r="V707" s="2"/>
      <c r="W707" s="2"/>
      <c r="X707" s="2"/>
      <c r="Y707" s="2"/>
      <c r="Z707" s="2"/>
    </row>
    <row r="708" spans="1:26" ht="18" x14ac:dyDescent="0.3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3"/>
      <c r="O708" s="2"/>
      <c r="P708" s="2"/>
      <c r="Q708" s="4"/>
      <c r="R708" s="5"/>
      <c r="S708" s="2"/>
      <c r="T708" s="2"/>
      <c r="U708" s="2"/>
      <c r="V708" s="2"/>
      <c r="W708" s="2"/>
      <c r="X708" s="2"/>
      <c r="Y708" s="2"/>
      <c r="Z708" s="2"/>
    </row>
    <row r="709" spans="1:26" ht="18" x14ac:dyDescent="0.3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3"/>
      <c r="O709" s="2"/>
      <c r="P709" s="2"/>
      <c r="Q709" s="4"/>
      <c r="R709" s="5"/>
      <c r="S709" s="2"/>
      <c r="T709" s="2"/>
      <c r="U709" s="2"/>
      <c r="V709" s="2"/>
      <c r="W709" s="2"/>
      <c r="X709" s="2"/>
      <c r="Y709" s="2"/>
      <c r="Z709" s="2"/>
    </row>
    <row r="710" spans="1:26" ht="18" x14ac:dyDescent="0.3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3"/>
      <c r="O710" s="2"/>
      <c r="P710" s="2"/>
      <c r="Q710" s="4"/>
      <c r="R710" s="5"/>
      <c r="S710" s="2"/>
      <c r="T710" s="2"/>
      <c r="U710" s="2"/>
      <c r="V710" s="2"/>
      <c r="W710" s="2"/>
      <c r="X710" s="2"/>
      <c r="Y710" s="2"/>
      <c r="Z710" s="2"/>
    </row>
    <row r="711" spans="1:26" ht="18" x14ac:dyDescent="0.3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3"/>
      <c r="O711" s="2"/>
      <c r="P711" s="2"/>
      <c r="Q711" s="4"/>
      <c r="R711" s="5"/>
      <c r="S711" s="2"/>
      <c r="T711" s="2"/>
      <c r="U711" s="2"/>
      <c r="V711" s="2"/>
      <c r="W711" s="2"/>
      <c r="X711" s="2"/>
      <c r="Y711" s="2"/>
      <c r="Z711" s="2"/>
    </row>
    <row r="712" spans="1:26" ht="18" x14ac:dyDescent="0.3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3"/>
      <c r="O712" s="2"/>
      <c r="P712" s="2"/>
      <c r="Q712" s="4"/>
      <c r="R712" s="5"/>
      <c r="S712" s="2"/>
      <c r="T712" s="2"/>
      <c r="U712" s="2"/>
      <c r="V712" s="2"/>
      <c r="W712" s="2"/>
      <c r="X712" s="2"/>
      <c r="Y712" s="2"/>
      <c r="Z712" s="2"/>
    </row>
    <row r="713" spans="1:26" ht="18" x14ac:dyDescent="0.3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3"/>
      <c r="O713" s="2"/>
      <c r="P713" s="2"/>
      <c r="Q713" s="4"/>
      <c r="R713" s="5"/>
      <c r="S713" s="2"/>
      <c r="T713" s="2"/>
      <c r="U713" s="2"/>
      <c r="V713" s="2"/>
      <c r="W713" s="2"/>
      <c r="X713" s="2"/>
      <c r="Y713" s="2"/>
      <c r="Z713" s="2"/>
    </row>
    <row r="714" spans="1:26" ht="18" x14ac:dyDescent="0.3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3"/>
      <c r="O714" s="2"/>
      <c r="P714" s="2"/>
      <c r="Q714" s="4"/>
      <c r="R714" s="5"/>
      <c r="S714" s="2"/>
      <c r="T714" s="2"/>
      <c r="U714" s="2"/>
      <c r="V714" s="2"/>
      <c r="W714" s="2"/>
      <c r="X714" s="2"/>
      <c r="Y714" s="2"/>
      <c r="Z714" s="2"/>
    </row>
    <row r="715" spans="1:26" ht="18" x14ac:dyDescent="0.3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3"/>
      <c r="O715" s="2"/>
      <c r="P715" s="2"/>
      <c r="Q715" s="4"/>
      <c r="R715" s="5"/>
      <c r="S715" s="2"/>
      <c r="T715" s="2"/>
      <c r="U715" s="2"/>
      <c r="V715" s="2"/>
      <c r="W715" s="2"/>
      <c r="X715" s="2"/>
      <c r="Y715" s="2"/>
      <c r="Z715" s="2"/>
    </row>
    <row r="716" spans="1:26" ht="18" x14ac:dyDescent="0.3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3"/>
      <c r="O716" s="2"/>
      <c r="P716" s="2"/>
      <c r="Q716" s="4"/>
      <c r="R716" s="5"/>
      <c r="S716" s="2"/>
      <c r="T716" s="2"/>
      <c r="U716" s="2"/>
      <c r="V716" s="2"/>
      <c r="W716" s="2"/>
      <c r="X716" s="2"/>
      <c r="Y716" s="2"/>
      <c r="Z716" s="2"/>
    </row>
    <row r="717" spans="1:26" ht="18" x14ac:dyDescent="0.3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3"/>
      <c r="O717" s="2"/>
      <c r="P717" s="2"/>
      <c r="Q717" s="4"/>
      <c r="R717" s="5"/>
      <c r="S717" s="2"/>
      <c r="T717" s="2"/>
      <c r="U717" s="2"/>
      <c r="V717" s="2"/>
      <c r="W717" s="2"/>
      <c r="X717" s="2"/>
      <c r="Y717" s="2"/>
      <c r="Z717" s="2"/>
    </row>
    <row r="718" spans="1:26" ht="18" x14ac:dyDescent="0.3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3"/>
      <c r="O718" s="2"/>
      <c r="P718" s="2"/>
      <c r="Q718" s="4"/>
      <c r="R718" s="5"/>
      <c r="S718" s="2"/>
      <c r="T718" s="2"/>
      <c r="U718" s="2"/>
      <c r="V718" s="2"/>
      <c r="W718" s="2"/>
      <c r="X718" s="2"/>
      <c r="Y718" s="2"/>
      <c r="Z718" s="2"/>
    </row>
    <row r="719" spans="1:26" ht="18" x14ac:dyDescent="0.3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3"/>
      <c r="O719" s="2"/>
      <c r="P719" s="2"/>
      <c r="Q719" s="4"/>
      <c r="R719" s="5"/>
      <c r="S719" s="2"/>
      <c r="T719" s="2"/>
      <c r="U719" s="2"/>
      <c r="V719" s="2"/>
      <c r="W719" s="2"/>
      <c r="X719" s="2"/>
      <c r="Y719" s="2"/>
      <c r="Z719" s="2"/>
    </row>
    <row r="720" spans="1:26" ht="18" x14ac:dyDescent="0.3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3"/>
      <c r="O720" s="2"/>
      <c r="P720" s="2"/>
      <c r="Q720" s="4"/>
      <c r="R720" s="5"/>
      <c r="S720" s="2"/>
      <c r="T720" s="2"/>
      <c r="U720" s="2"/>
      <c r="V720" s="2"/>
      <c r="W720" s="2"/>
      <c r="X720" s="2"/>
      <c r="Y720" s="2"/>
      <c r="Z720" s="2"/>
    </row>
    <row r="721" spans="1:26" ht="18" x14ac:dyDescent="0.3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3"/>
      <c r="O721" s="2"/>
      <c r="P721" s="2"/>
      <c r="Q721" s="4"/>
      <c r="R721" s="5"/>
      <c r="S721" s="2"/>
      <c r="T721" s="2"/>
      <c r="U721" s="2"/>
      <c r="V721" s="2"/>
      <c r="W721" s="2"/>
      <c r="X721" s="2"/>
      <c r="Y721" s="2"/>
      <c r="Z721" s="2"/>
    </row>
    <row r="722" spans="1:26" ht="18" x14ac:dyDescent="0.3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3"/>
      <c r="O722" s="2"/>
      <c r="P722" s="2"/>
      <c r="Q722" s="4"/>
      <c r="R722" s="5"/>
      <c r="S722" s="2"/>
      <c r="T722" s="2"/>
      <c r="U722" s="2"/>
      <c r="V722" s="2"/>
      <c r="W722" s="2"/>
      <c r="X722" s="2"/>
      <c r="Y722" s="2"/>
      <c r="Z722" s="2"/>
    </row>
    <row r="723" spans="1:26" ht="18" x14ac:dyDescent="0.3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3"/>
      <c r="O723" s="2"/>
      <c r="P723" s="2"/>
      <c r="Q723" s="4"/>
      <c r="R723" s="5"/>
      <c r="S723" s="2"/>
      <c r="T723" s="2"/>
      <c r="U723" s="2"/>
      <c r="V723" s="2"/>
      <c r="W723" s="2"/>
      <c r="X723" s="2"/>
      <c r="Y723" s="2"/>
      <c r="Z723" s="2"/>
    </row>
    <row r="724" spans="1:26" ht="18" x14ac:dyDescent="0.3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3"/>
      <c r="O724" s="2"/>
      <c r="P724" s="2"/>
      <c r="Q724" s="4"/>
      <c r="R724" s="5"/>
      <c r="S724" s="2"/>
      <c r="T724" s="2"/>
      <c r="U724" s="2"/>
      <c r="V724" s="2"/>
      <c r="W724" s="2"/>
      <c r="X724" s="2"/>
      <c r="Y724" s="2"/>
      <c r="Z724" s="2"/>
    </row>
    <row r="725" spans="1:26" ht="18" x14ac:dyDescent="0.3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3"/>
      <c r="O725" s="2"/>
      <c r="P725" s="2"/>
      <c r="Q725" s="4"/>
      <c r="R725" s="5"/>
      <c r="S725" s="2"/>
      <c r="T725" s="2"/>
      <c r="U725" s="2"/>
      <c r="V725" s="2"/>
      <c r="W725" s="2"/>
      <c r="X725" s="2"/>
      <c r="Y725" s="2"/>
      <c r="Z725" s="2"/>
    </row>
    <row r="726" spans="1:26" ht="18" x14ac:dyDescent="0.3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3"/>
      <c r="O726" s="2"/>
      <c r="P726" s="2"/>
      <c r="Q726" s="4"/>
      <c r="R726" s="5"/>
      <c r="S726" s="2"/>
      <c r="T726" s="2"/>
      <c r="U726" s="2"/>
      <c r="V726" s="2"/>
      <c r="W726" s="2"/>
      <c r="X726" s="2"/>
      <c r="Y726" s="2"/>
      <c r="Z726" s="2"/>
    </row>
    <row r="727" spans="1:26" ht="18" x14ac:dyDescent="0.3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3"/>
      <c r="O727" s="2"/>
      <c r="P727" s="2"/>
      <c r="Q727" s="4"/>
      <c r="R727" s="5"/>
      <c r="S727" s="2"/>
      <c r="T727" s="2"/>
      <c r="U727" s="2"/>
      <c r="V727" s="2"/>
      <c r="W727" s="2"/>
      <c r="X727" s="2"/>
      <c r="Y727" s="2"/>
      <c r="Z727" s="2"/>
    </row>
    <row r="728" spans="1:26" ht="18" x14ac:dyDescent="0.3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3"/>
      <c r="O728" s="2"/>
      <c r="P728" s="2"/>
      <c r="Q728" s="4"/>
      <c r="R728" s="5"/>
      <c r="S728" s="2"/>
      <c r="T728" s="2"/>
      <c r="U728" s="2"/>
      <c r="V728" s="2"/>
      <c r="W728" s="2"/>
      <c r="X728" s="2"/>
      <c r="Y728" s="2"/>
      <c r="Z728" s="2"/>
    </row>
    <row r="729" spans="1:26" ht="18" x14ac:dyDescent="0.3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3"/>
      <c r="O729" s="2"/>
      <c r="P729" s="2"/>
      <c r="Q729" s="4"/>
      <c r="R729" s="5"/>
      <c r="S729" s="2"/>
      <c r="T729" s="2"/>
      <c r="U729" s="2"/>
      <c r="V729" s="2"/>
      <c r="W729" s="2"/>
      <c r="X729" s="2"/>
      <c r="Y729" s="2"/>
      <c r="Z729" s="2"/>
    </row>
    <row r="730" spans="1:26" ht="18" x14ac:dyDescent="0.3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3"/>
      <c r="O730" s="2"/>
      <c r="P730" s="2"/>
      <c r="Q730" s="4"/>
      <c r="R730" s="5"/>
      <c r="S730" s="2"/>
      <c r="T730" s="2"/>
      <c r="U730" s="2"/>
      <c r="V730" s="2"/>
      <c r="W730" s="2"/>
      <c r="X730" s="2"/>
      <c r="Y730" s="2"/>
      <c r="Z730" s="2"/>
    </row>
    <row r="731" spans="1:26" ht="18" x14ac:dyDescent="0.3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3"/>
      <c r="O731" s="2"/>
      <c r="P731" s="2"/>
      <c r="Q731" s="4"/>
      <c r="R731" s="5"/>
      <c r="S731" s="2"/>
      <c r="T731" s="2"/>
      <c r="U731" s="2"/>
      <c r="V731" s="2"/>
      <c r="W731" s="2"/>
      <c r="X731" s="2"/>
      <c r="Y731" s="2"/>
      <c r="Z731" s="2"/>
    </row>
    <row r="732" spans="1:26" ht="18" x14ac:dyDescent="0.3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3"/>
      <c r="O732" s="2"/>
      <c r="P732" s="2"/>
      <c r="Q732" s="4"/>
      <c r="R732" s="5"/>
      <c r="S732" s="2"/>
      <c r="T732" s="2"/>
      <c r="U732" s="2"/>
      <c r="V732" s="2"/>
      <c r="W732" s="2"/>
      <c r="X732" s="2"/>
      <c r="Y732" s="2"/>
      <c r="Z732" s="2"/>
    </row>
    <row r="733" spans="1:26" ht="18" x14ac:dyDescent="0.3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3"/>
      <c r="O733" s="2"/>
      <c r="P733" s="2"/>
      <c r="Q733" s="4"/>
      <c r="R733" s="5"/>
      <c r="S733" s="2"/>
      <c r="T733" s="2"/>
      <c r="U733" s="2"/>
      <c r="V733" s="2"/>
      <c r="W733" s="2"/>
      <c r="X733" s="2"/>
      <c r="Y733" s="2"/>
      <c r="Z733" s="2"/>
    </row>
    <row r="734" spans="1:26" ht="18" x14ac:dyDescent="0.3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3"/>
      <c r="O734" s="2"/>
      <c r="P734" s="2"/>
      <c r="Q734" s="4"/>
      <c r="R734" s="5"/>
      <c r="S734" s="2"/>
      <c r="T734" s="2"/>
      <c r="U734" s="2"/>
      <c r="V734" s="2"/>
      <c r="W734" s="2"/>
      <c r="X734" s="2"/>
      <c r="Y734" s="2"/>
      <c r="Z734" s="2"/>
    </row>
    <row r="735" spans="1:26" ht="18" x14ac:dyDescent="0.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3"/>
      <c r="O735" s="2"/>
      <c r="P735" s="2"/>
      <c r="Q735" s="4"/>
      <c r="R735" s="5"/>
      <c r="S735" s="2"/>
      <c r="T735" s="2"/>
      <c r="U735" s="2"/>
      <c r="V735" s="2"/>
      <c r="W735" s="2"/>
      <c r="X735" s="2"/>
      <c r="Y735" s="2"/>
      <c r="Z735" s="2"/>
    </row>
    <row r="736" spans="1:26" ht="18" x14ac:dyDescent="0.3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3"/>
      <c r="O736" s="2"/>
      <c r="P736" s="2"/>
      <c r="Q736" s="4"/>
      <c r="R736" s="5"/>
      <c r="S736" s="2"/>
      <c r="T736" s="2"/>
      <c r="U736" s="2"/>
      <c r="V736" s="2"/>
      <c r="W736" s="2"/>
      <c r="X736" s="2"/>
      <c r="Y736" s="2"/>
      <c r="Z736" s="2"/>
    </row>
    <row r="737" spans="1:26" ht="18" x14ac:dyDescent="0.3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3"/>
      <c r="O737" s="2"/>
      <c r="P737" s="2"/>
      <c r="Q737" s="4"/>
      <c r="R737" s="5"/>
      <c r="S737" s="2"/>
      <c r="T737" s="2"/>
      <c r="U737" s="2"/>
      <c r="V737" s="2"/>
      <c r="W737" s="2"/>
      <c r="X737" s="2"/>
      <c r="Y737" s="2"/>
      <c r="Z737" s="2"/>
    </row>
    <row r="738" spans="1:26" ht="18" x14ac:dyDescent="0.3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3"/>
      <c r="O738" s="2"/>
      <c r="P738" s="2"/>
      <c r="Q738" s="4"/>
      <c r="R738" s="5"/>
      <c r="S738" s="2"/>
      <c r="T738" s="2"/>
      <c r="U738" s="2"/>
      <c r="V738" s="2"/>
      <c r="W738" s="2"/>
      <c r="X738" s="2"/>
      <c r="Y738" s="2"/>
      <c r="Z738" s="2"/>
    </row>
    <row r="739" spans="1:26" ht="18" x14ac:dyDescent="0.3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3"/>
      <c r="O739" s="2"/>
      <c r="P739" s="2"/>
      <c r="Q739" s="4"/>
      <c r="R739" s="5"/>
      <c r="S739" s="2"/>
      <c r="T739" s="2"/>
      <c r="U739" s="2"/>
      <c r="V739" s="2"/>
      <c r="W739" s="2"/>
      <c r="X739" s="2"/>
      <c r="Y739" s="2"/>
      <c r="Z739" s="2"/>
    </row>
    <row r="740" spans="1:26" ht="18" x14ac:dyDescent="0.3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3"/>
      <c r="O740" s="2"/>
      <c r="P740" s="2"/>
      <c r="Q740" s="4"/>
      <c r="R740" s="5"/>
      <c r="S740" s="2"/>
      <c r="T740" s="2"/>
      <c r="U740" s="2"/>
      <c r="V740" s="2"/>
      <c r="W740" s="2"/>
      <c r="X740" s="2"/>
      <c r="Y740" s="2"/>
      <c r="Z740" s="2"/>
    </row>
    <row r="741" spans="1:26" ht="18" x14ac:dyDescent="0.3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3"/>
      <c r="O741" s="2"/>
      <c r="P741" s="2"/>
      <c r="Q741" s="4"/>
      <c r="R741" s="5"/>
      <c r="S741" s="2"/>
      <c r="T741" s="2"/>
      <c r="U741" s="2"/>
      <c r="V741" s="2"/>
      <c r="W741" s="2"/>
      <c r="X741" s="2"/>
      <c r="Y741" s="2"/>
      <c r="Z741" s="2"/>
    </row>
    <row r="742" spans="1:26" ht="18" x14ac:dyDescent="0.3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3"/>
      <c r="O742" s="2"/>
      <c r="P742" s="2"/>
      <c r="Q742" s="4"/>
      <c r="R742" s="5"/>
      <c r="S742" s="2"/>
      <c r="T742" s="2"/>
      <c r="U742" s="2"/>
      <c r="V742" s="2"/>
      <c r="W742" s="2"/>
      <c r="X742" s="2"/>
      <c r="Y742" s="2"/>
      <c r="Z742" s="2"/>
    </row>
    <row r="743" spans="1:26" ht="18" x14ac:dyDescent="0.3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3"/>
      <c r="O743" s="2"/>
      <c r="P743" s="2"/>
      <c r="Q743" s="4"/>
      <c r="R743" s="5"/>
      <c r="S743" s="2"/>
      <c r="T743" s="2"/>
      <c r="U743" s="2"/>
      <c r="V743" s="2"/>
      <c r="W743" s="2"/>
      <c r="X743" s="2"/>
      <c r="Y743" s="2"/>
      <c r="Z743" s="2"/>
    </row>
    <row r="744" spans="1:26" ht="18" x14ac:dyDescent="0.3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3"/>
      <c r="O744" s="2"/>
      <c r="P744" s="2"/>
      <c r="Q744" s="4"/>
      <c r="R744" s="5"/>
      <c r="S744" s="2"/>
      <c r="T744" s="2"/>
      <c r="U744" s="2"/>
      <c r="V744" s="2"/>
      <c r="W744" s="2"/>
      <c r="X744" s="2"/>
      <c r="Y744" s="2"/>
      <c r="Z744" s="2"/>
    </row>
    <row r="745" spans="1:26" ht="18" x14ac:dyDescent="0.3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3"/>
      <c r="O745" s="2"/>
      <c r="P745" s="2"/>
      <c r="Q745" s="4"/>
      <c r="R745" s="5"/>
      <c r="S745" s="2"/>
      <c r="T745" s="2"/>
      <c r="U745" s="2"/>
      <c r="V745" s="2"/>
      <c r="W745" s="2"/>
      <c r="X745" s="2"/>
      <c r="Y745" s="2"/>
      <c r="Z745" s="2"/>
    </row>
    <row r="746" spans="1:26" ht="18" x14ac:dyDescent="0.3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3"/>
      <c r="O746" s="2"/>
      <c r="P746" s="2"/>
      <c r="Q746" s="4"/>
      <c r="R746" s="5"/>
      <c r="S746" s="2"/>
      <c r="T746" s="2"/>
      <c r="U746" s="2"/>
      <c r="V746" s="2"/>
      <c r="W746" s="2"/>
      <c r="X746" s="2"/>
      <c r="Y746" s="2"/>
      <c r="Z746" s="2"/>
    </row>
    <row r="747" spans="1:26" ht="18" x14ac:dyDescent="0.3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3"/>
      <c r="O747" s="2"/>
      <c r="P747" s="2"/>
      <c r="Q747" s="4"/>
      <c r="R747" s="5"/>
      <c r="S747" s="2"/>
      <c r="T747" s="2"/>
      <c r="U747" s="2"/>
      <c r="V747" s="2"/>
      <c r="W747" s="2"/>
      <c r="X747" s="2"/>
      <c r="Y747" s="2"/>
      <c r="Z747" s="2"/>
    </row>
    <row r="748" spans="1:26" ht="18" x14ac:dyDescent="0.3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3"/>
      <c r="O748" s="2"/>
      <c r="P748" s="2"/>
      <c r="Q748" s="4"/>
      <c r="R748" s="5"/>
      <c r="S748" s="2"/>
      <c r="T748" s="2"/>
      <c r="U748" s="2"/>
      <c r="V748" s="2"/>
      <c r="W748" s="2"/>
      <c r="X748" s="2"/>
      <c r="Y748" s="2"/>
      <c r="Z748" s="2"/>
    </row>
    <row r="749" spans="1:26" ht="18" x14ac:dyDescent="0.3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3"/>
      <c r="O749" s="2"/>
      <c r="P749" s="2"/>
      <c r="Q749" s="4"/>
      <c r="R749" s="5"/>
      <c r="S749" s="2"/>
      <c r="T749" s="2"/>
      <c r="U749" s="2"/>
      <c r="V749" s="2"/>
      <c r="W749" s="2"/>
      <c r="X749" s="2"/>
      <c r="Y749" s="2"/>
      <c r="Z749" s="2"/>
    </row>
    <row r="750" spans="1:26" ht="18" x14ac:dyDescent="0.3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3"/>
      <c r="O750" s="2"/>
      <c r="P750" s="2"/>
      <c r="Q750" s="4"/>
      <c r="R750" s="5"/>
      <c r="S750" s="2"/>
      <c r="T750" s="2"/>
      <c r="U750" s="2"/>
      <c r="V750" s="2"/>
      <c r="W750" s="2"/>
      <c r="X750" s="2"/>
      <c r="Y750" s="2"/>
      <c r="Z750" s="2"/>
    </row>
    <row r="751" spans="1:26" ht="18" x14ac:dyDescent="0.3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3"/>
      <c r="O751" s="2"/>
      <c r="P751" s="2"/>
      <c r="Q751" s="4"/>
      <c r="R751" s="5"/>
      <c r="S751" s="2"/>
      <c r="T751" s="2"/>
      <c r="U751" s="2"/>
      <c r="V751" s="2"/>
      <c r="W751" s="2"/>
      <c r="X751" s="2"/>
      <c r="Y751" s="2"/>
      <c r="Z751" s="2"/>
    </row>
    <row r="752" spans="1:26" ht="18" x14ac:dyDescent="0.3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3"/>
      <c r="O752" s="2"/>
      <c r="P752" s="2"/>
      <c r="Q752" s="4"/>
      <c r="R752" s="5"/>
      <c r="S752" s="2"/>
      <c r="T752" s="2"/>
      <c r="U752" s="2"/>
      <c r="V752" s="2"/>
      <c r="W752" s="2"/>
      <c r="X752" s="2"/>
      <c r="Y752" s="2"/>
      <c r="Z752" s="2"/>
    </row>
    <row r="753" spans="1:26" ht="18" x14ac:dyDescent="0.3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3"/>
      <c r="O753" s="2"/>
      <c r="P753" s="2"/>
      <c r="Q753" s="4"/>
      <c r="R753" s="5"/>
      <c r="S753" s="2"/>
      <c r="T753" s="2"/>
      <c r="U753" s="2"/>
      <c r="V753" s="2"/>
      <c r="W753" s="2"/>
      <c r="X753" s="2"/>
      <c r="Y753" s="2"/>
      <c r="Z753" s="2"/>
    </row>
    <row r="754" spans="1:26" ht="18" x14ac:dyDescent="0.3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3"/>
      <c r="O754" s="2"/>
      <c r="P754" s="2"/>
      <c r="Q754" s="4"/>
      <c r="R754" s="5"/>
      <c r="S754" s="2"/>
      <c r="T754" s="2"/>
      <c r="U754" s="2"/>
      <c r="V754" s="2"/>
      <c r="W754" s="2"/>
      <c r="X754" s="2"/>
      <c r="Y754" s="2"/>
      <c r="Z754" s="2"/>
    </row>
    <row r="755" spans="1:26" ht="18" x14ac:dyDescent="0.3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3"/>
      <c r="O755" s="2"/>
      <c r="P755" s="2"/>
      <c r="Q755" s="4"/>
      <c r="R755" s="5"/>
      <c r="S755" s="2"/>
      <c r="T755" s="2"/>
      <c r="U755" s="2"/>
      <c r="V755" s="2"/>
      <c r="W755" s="2"/>
      <c r="X755" s="2"/>
      <c r="Y755" s="2"/>
      <c r="Z755" s="2"/>
    </row>
    <row r="756" spans="1:26" ht="18" x14ac:dyDescent="0.3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3"/>
      <c r="O756" s="2"/>
      <c r="P756" s="2"/>
      <c r="Q756" s="4"/>
      <c r="R756" s="5"/>
      <c r="S756" s="2"/>
      <c r="T756" s="2"/>
      <c r="U756" s="2"/>
      <c r="V756" s="2"/>
      <c r="W756" s="2"/>
      <c r="X756" s="2"/>
      <c r="Y756" s="2"/>
      <c r="Z756" s="2"/>
    </row>
    <row r="757" spans="1:26" ht="18" x14ac:dyDescent="0.3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3"/>
      <c r="O757" s="2"/>
      <c r="P757" s="2"/>
      <c r="Q757" s="4"/>
      <c r="R757" s="5"/>
      <c r="S757" s="2"/>
      <c r="T757" s="2"/>
      <c r="U757" s="2"/>
      <c r="V757" s="2"/>
      <c r="W757" s="2"/>
      <c r="X757" s="2"/>
      <c r="Y757" s="2"/>
      <c r="Z757" s="2"/>
    </row>
    <row r="758" spans="1:26" ht="18" x14ac:dyDescent="0.3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3"/>
      <c r="O758" s="2"/>
      <c r="P758" s="2"/>
      <c r="Q758" s="4"/>
      <c r="R758" s="5"/>
      <c r="S758" s="2"/>
      <c r="T758" s="2"/>
      <c r="U758" s="2"/>
      <c r="V758" s="2"/>
      <c r="W758" s="2"/>
      <c r="X758" s="2"/>
      <c r="Y758" s="2"/>
      <c r="Z758" s="2"/>
    </row>
    <row r="759" spans="1:26" ht="18" x14ac:dyDescent="0.3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3"/>
      <c r="O759" s="2"/>
      <c r="P759" s="2"/>
      <c r="Q759" s="4"/>
      <c r="R759" s="5"/>
      <c r="S759" s="2"/>
      <c r="T759" s="2"/>
      <c r="U759" s="2"/>
      <c r="V759" s="2"/>
      <c r="W759" s="2"/>
      <c r="X759" s="2"/>
      <c r="Y759" s="2"/>
      <c r="Z759" s="2"/>
    </row>
    <row r="760" spans="1:26" ht="18" x14ac:dyDescent="0.3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3"/>
      <c r="O760" s="2"/>
      <c r="P760" s="2"/>
      <c r="Q760" s="4"/>
      <c r="R760" s="5"/>
      <c r="S760" s="2"/>
      <c r="T760" s="2"/>
      <c r="U760" s="2"/>
      <c r="V760" s="2"/>
      <c r="W760" s="2"/>
      <c r="X760" s="2"/>
      <c r="Y760" s="2"/>
      <c r="Z760" s="2"/>
    </row>
    <row r="761" spans="1:26" ht="18" x14ac:dyDescent="0.3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3"/>
      <c r="O761" s="2"/>
      <c r="P761" s="2"/>
      <c r="Q761" s="4"/>
      <c r="R761" s="5"/>
      <c r="S761" s="2"/>
      <c r="T761" s="2"/>
      <c r="U761" s="2"/>
      <c r="V761" s="2"/>
      <c r="W761" s="2"/>
      <c r="X761" s="2"/>
      <c r="Y761" s="2"/>
      <c r="Z761" s="2"/>
    </row>
    <row r="762" spans="1:26" ht="18" x14ac:dyDescent="0.3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3"/>
      <c r="O762" s="2"/>
      <c r="P762" s="2"/>
      <c r="Q762" s="4"/>
      <c r="R762" s="5"/>
      <c r="S762" s="2"/>
      <c r="T762" s="2"/>
      <c r="U762" s="2"/>
      <c r="V762" s="2"/>
      <c r="W762" s="2"/>
      <c r="X762" s="2"/>
      <c r="Y762" s="2"/>
      <c r="Z762" s="2"/>
    </row>
    <row r="763" spans="1:26" ht="18" x14ac:dyDescent="0.3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3"/>
      <c r="O763" s="2"/>
      <c r="P763" s="2"/>
      <c r="Q763" s="4"/>
      <c r="R763" s="5"/>
      <c r="S763" s="2"/>
      <c r="T763" s="2"/>
      <c r="U763" s="2"/>
      <c r="V763" s="2"/>
      <c r="W763" s="2"/>
      <c r="X763" s="2"/>
      <c r="Y763" s="2"/>
      <c r="Z763" s="2"/>
    </row>
    <row r="764" spans="1:26" ht="18" x14ac:dyDescent="0.3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3"/>
      <c r="O764" s="2"/>
      <c r="P764" s="2"/>
      <c r="Q764" s="4"/>
      <c r="R764" s="5"/>
      <c r="S764" s="2"/>
      <c r="T764" s="2"/>
      <c r="U764" s="2"/>
      <c r="V764" s="2"/>
      <c r="W764" s="2"/>
      <c r="X764" s="2"/>
      <c r="Y764" s="2"/>
      <c r="Z764" s="2"/>
    </row>
    <row r="765" spans="1:26" ht="18" x14ac:dyDescent="0.3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3"/>
      <c r="O765" s="2"/>
      <c r="P765" s="2"/>
      <c r="Q765" s="4"/>
      <c r="R765" s="5"/>
      <c r="S765" s="2"/>
      <c r="T765" s="2"/>
      <c r="U765" s="2"/>
      <c r="V765" s="2"/>
      <c r="W765" s="2"/>
      <c r="X765" s="2"/>
      <c r="Y765" s="2"/>
      <c r="Z765" s="2"/>
    </row>
    <row r="766" spans="1:26" ht="18" x14ac:dyDescent="0.3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3"/>
      <c r="O766" s="2"/>
      <c r="P766" s="2"/>
      <c r="Q766" s="4"/>
      <c r="R766" s="5"/>
      <c r="S766" s="2"/>
      <c r="T766" s="2"/>
      <c r="U766" s="2"/>
      <c r="V766" s="2"/>
      <c r="W766" s="2"/>
      <c r="X766" s="2"/>
      <c r="Y766" s="2"/>
      <c r="Z766" s="2"/>
    </row>
    <row r="767" spans="1:26" ht="18" x14ac:dyDescent="0.3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3"/>
      <c r="O767" s="2"/>
      <c r="P767" s="2"/>
      <c r="Q767" s="4"/>
      <c r="R767" s="5"/>
      <c r="S767" s="2"/>
      <c r="T767" s="2"/>
      <c r="U767" s="2"/>
      <c r="V767" s="2"/>
      <c r="W767" s="2"/>
      <c r="X767" s="2"/>
      <c r="Y767" s="2"/>
      <c r="Z767" s="2"/>
    </row>
    <row r="768" spans="1:26" ht="18" x14ac:dyDescent="0.3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3"/>
      <c r="O768" s="2"/>
      <c r="P768" s="2"/>
      <c r="Q768" s="4"/>
      <c r="R768" s="5"/>
      <c r="S768" s="2"/>
      <c r="T768" s="2"/>
      <c r="U768" s="2"/>
      <c r="V768" s="2"/>
      <c r="W768" s="2"/>
      <c r="X768" s="2"/>
      <c r="Y768" s="2"/>
      <c r="Z768" s="2"/>
    </row>
    <row r="769" spans="1:26" ht="18" x14ac:dyDescent="0.3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3"/>
      <c r="O769" s="2"/>
      <c r="P769" s="2"/>
      <c r="Q769" s="4"/>
      <c r="R769" s="5"/>
      <c r="S769" s="2"/>
      <c r="T769" s="2"/>
      <c r="U769" s="2"/>
      <c r="V769" s="2"/>
      <c r="W769" s="2"/>
      <c r="X769" s="2"/>
      <c r="Y769" s="2"/>
      <c r="Z769" s="2"/>
    </row>
    <row r="770" spans="1:26" ht="18" x14ac:dyDescent="0.3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3"/>
      <c r="O770" s="2"/>
      <c r="P770" s="2"/>
      <c r="Q770" s="4"/>
      <c r="R770" s="5"/>
      <c r="S770" s="2"/>
      <c r="T770" s="2"/>
      <c r="U770" s="2"/>
      <c r="V770" s="2"/>
      <c r="W770" s="2"/>
      <c r="X770" s="2"/>
      <c r="Y770" s="2"/>
      <c r="Z770" s="2"/>
    </row>
    <row r="771" spans="1:26" ht="18" x14ac:dyDescent="0.3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3"/>
      <c r="O771" s="2"/>
      <c r="P771" s="2"/>
      <c r="Q771" s="4"/>
      <c r="R771" s="5"/>
      <c r="S771" s="2"/>
      <c r="T771" s="2"/>
      <c r="U771" s="2"/>
      <c r="V771" s="2"/>
      <c r="W771" s="2"/>
      <c r="X771" s="2"/>
      <c r="Y771" s="2"/>
      <c r="Z771" s="2"/>
    </row>
    <row r="772" spans="1:26" ht="18" x14ac:dyDescent="0.3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3"/>
      <c r="O772" s="2"/>
      <c r="P772" s="2"/>
      <c r="Q772" s="4"/>
      <c r="R772" s="5"/>
      <c r="S772" s="2"/>
      <c r="T772" s="2"/>
      <c r="U772" s="2"/>
      <c r="V772" s="2"/>
      <c r="W772" s="2"/>
      <c r="X772" s="2"/>
      <c r="Y772" s="2"/>
      <c r="Z772" s="2"/>
    </row>
    <row r="773" spans="1:26" ht="18" x14ac:dyDescent="0.3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3"/>
      <c r="O773" s="2"/>
      <c r="P773" s="2"/>
      <c r="Q773" s="4"/>
      <c r="R773" s="5"/>
      <c r="S773" s="2"/>
      <c r="T773" s="2"/>
      <c r="U773" s="2"/>
      <c r="V773" s="2"/>
      <c r="W773" s="2"/>
      <c r="X773" s="2"/>
      <c r="Y773" s="2"/>
      <c r="Z773" s="2"/>
    </row>
    <row r="774" spans="1:26" ht="18" x14ac:dyDescent="0.3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3"/>
      <c r="O774" s="2"/>
      <c r="P774" s="2"/>
      <c r="Q774" s="4"/>
      <c r="R774" s="5"/>
      <c r="S774" s="2"/>
      <c r="T774" s="2"/>
      <c r="U774" s="2"/>
      <c r="V774" s="2"/>
      <c r="W774" s="2"/>
      <c r="X774" s="2"/>
      <c r="Y774" s="2"/>
      <c r="Z774" s="2"/>
    </row>
    <row r="775" spans="1:26" ht="18" x14ac:dyDescent="0.3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3"/>
      <c r="O775" s="2"/>
      <c r="P775" s="2"/>
      <c r="Q775" s="4"/>
      <c r="R775" s="5"/>
      <c r="S775" s="2"/>
      <c r="T775" s="2"/>
      <c r="U775" s="2"/>
      <c r="V775" s="2"/>
      <c r="W775" s="2"/>
      <c r="X775" s="2"/>
      <c r="Y775" s="2"/>
      <c r="Z775" s="2"/>
    </row>
    <row r="776" spans="1:26" ht="18" x14ac:dyDescent="0.3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3"/>
      <c r="O776" s="2"/>
      <c r="P776" s="2"/>
      <c r="Q776" s="4"/>
      <c r="R776" s="5"/>
      <c r="S776" s="2"/>
      <c r="T776" s="2"/>
      <c r="U776" s="2"/>
      <c r="V776" s="2"/>
      <c r="W776" s="2"/>
      <c r="X776" s="2"/>
      <c r="Y776" s="2"/>
      <c r="Z776" s="2"/>
    </row>
    <row r="777" spans="1:26" ht="18" x14ac:dyDescent="0.3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3"/>
      <c r="O777" s="2"/>
      <c r="P777" s="2"/>
      <c r="Q777" s="4"/>
      <c r="R777" s="5"/>
      <c r="S777" s="2"/>
      <c r="T777" s="2"/>
      <c r="U777" s="2"/>
      <c r="V777" s="2"/>
      <c r="W777" s="2"/>
      <c r="X777" s="2"/>
      <c r="Y777" s="2"/>
      <c r="Z777" s="2"/>
    </row>
    <row r="778" spans="1:26" ht="18" x14ac:dyDescent="0.3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3"/>
      <c r="O778" s="2"/>
      <c r="P778" s="2"/>
      <c r="Q778" s="4"/>
      <c r="R778" s="5"/>
      <c r="S778" s="2"/>
      <c r="T778" s="2"/>
      <c r="U778" s="2"/>
      <c r="V778" s="2"/>
      <c r="W778" s="2"/>
      <c r="X778" s="2"/>
      <c r="Y778" s="2"/>
      <c r="Z778" s="2"/>
    </row>
    <row r="779" spans="1:26" ht="18" x14ac:dyDescent="0.3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3"/>
      <c r="O779" s="2"/>
      <c r="P779" s="2"/>
      <c r="Q779" s="4"/>
      <c r="R779" s="5"/>
      <c r="S779" s="2"/>
      <c r="T779" s="2"/>
      <c r="U779" s="2"/>
      <c r="V779" s="2"/>
      <c r="W779" s="2"/>
      <c r="X779" s="2"/>
      <c r="Y779" s="2"/>
      <c r="Z779" s="2"/>
    </row>
    <row r="780" spans="1:26" ht="18" x14ac:dyDescent="0.3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3"/>
      <c r="O780" s="2"/>
      <c r="P780" s="2"/>
      <c r="Q780" s="4"/>
      <c r="R780" s="5"/>
      <c r="S780" s="2"/>
      <c r="T780" s="2"/>
      <c r="U780" s="2"/>
      <c r="V780" s="2"/>
      <c r="W780" s="2"/>
      <c r="X780" s="2"/>
      <c r="Y780" s="2"/>
      <c r="Z780" s="2"/>
    </row>
    <row r="781" spans="1:26" ht="18" x14ac:dyDescent="0.3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3"/>
      <c r="O781" s="2"/>
      <c r="P781" s="2"/>
      <c r="Q781" s="4"/>
      <c r="R781" s="5"/>
      <c r="S781" s="2"/>
      <c r="T781" s="2"/>
      <c r="U781" s="2"/>
      <c r="V781" s="2"/>
      <c r="W781" s="2"/>
      <c r="X781" s="2"/>
      <c r="Y781" s="2"/>
      <c r="Z781" s="2"/>
    </row>
    <row r="782" spans="1:26" ht="18" x14ac:dyDescent="0.3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3"/>
      <c r="O782" s="2"/>
      <c r="P782" s="2"/>
      <c r="Q782" s="4"/>
      <c r="R782" s="5"/>
      <c r="S782" s="2"/>
      <c r="T782" s="2"/>
      <c r="U782" s="2"/>
      <c r="V782" s="2"/>
      <c r="W782" s="2"/>
      <c r="X782" s="2"/>
      <c r="Y782" s="2"/>
      <c r="Z782" s="2"/>
    </row>
    <row r="783" spans="1:26" ht="18" x14ac:dyDescent="0.3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3"/>
      <c r="O783" s="2"/>
      <c r="P783" s="2"/>
      <c r="Q783" s="4"/>
      <c r="R783" s="5"/>
      <c r="S783" s="2"/>
      <c r="T783" s="2"/>
      <c r="U783" s="2"/>
      <c r="V783" s="2"/>
      <c r="W783" s="2"/>
      <c r="X783" s="2"/>
      <c r="Y783" s="2"/>
      <c r="Z783" s="2"/>
    </row>
    <row r="784" spans="1:26" ht="18" x14ac:dyDescent="0.3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3"/>
      <c r="O784" s="2"/>
      <c r="P784" s="2"/>
      <c r="Q784" s="4"/>
      <c r="R784" s="5"/>
      <c r="S784" s="2"/>
      <c r="T784" s="2"/>
      <c r="U784" s="2"/>
      <c r="V784" s="2"/>
      <c r="W784" s="2"/>
      <c r="X784" s="2"/>
      <c r="Y784" s="2"/>
      <c r="Z784" s="2"/>
    </row>
    <row r="785" spans="1:26" ht="18" x14ac:dyDescent="0.3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3"/>
      <c r="O785" s="2"/>
      <c r="P785" s="2"/>
      <c r="Q785" s="4"/>
      <c r="R785" s="5"/>
      <c r="S785" s="2"/>
      <c r="T785" s="2"/>
      <c r="U785" s="2"/>
      <c r="V785" s="2"/>
      <c r="W785" s="2"/>
      <c r="X785" s="2"/>
      <c r="Y785" s="2"/>
      <c r="Z785" s="2"/>
    </row>
    <row r="786" spans="1:26" ht="18" x14ac:dyDescent="0.3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3"/>
      <c r="O786" s="2"/>
      <c r="P786" s="2"/>
      <c r="Q786" s="4"/>
      <c r="R786" s="5"/>
      <c r="S786" s="2"/>
      <c r="T786" s="2"/>
      <c r="U786" s="2"/>
      <c r="V786" s="2"/>
      <c r="W786" s="2"/>
      <c r="X786" s="2"/>
      <c r="Y786" s="2"/>
      <c r="Z786" s="2"/>
    </row>
    <row r="787" spans="1:26" ht="18" x14ac:dyDescent="0.3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3"/>
      <c r="O787" s="2"/>
      <c r="P787" s="2"/>
      <c r="Q787" s="4"/>
      <c r="R787" s="5"/>
      <c r="S787" s="2"/>
      <c r="T787" s="2"/>
      <c r="U787" s="2"/>
      <c r="V787" s="2"/>
      <c r="W787" s="2"/>
      <c r="X787" s="2"/>
      <c r="Y787" s="2"/>
      <c r="Z787" s="2"/>
    </row>
    <row r="788" spans="1:26" ht="18" x14ac:dyDescent="0.3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3"/>
      <c r="O788" s="2"/>
      <c r="P788" s="2"/>
      <c r="Q788" s="4"/>
      <c r="R788" s="5"/>
      <c r="S788" s="2"/>
      <c r="T788" s="2"/>
      <c r="U788" s="2"/>
      <c r="V788" s="2"/>
      <c r="W788" s="2"/>
      <c r="X788" s="2"/>
      <c r="Y788" s="2"/>
      <c r="Z788" s="2"/>
    </row>
    <row r="789" spans="1:26" ht="18" x14ac:dyDescent="0.3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3"/>
      <c r="O789" s="2"/>
      <c r="P789" s="2"/>
      <c r="Q789" s="4"/>
      <c r="R789" s="5"/>
      <c r="S789" s="2"/>
      <c r="T789" s="2"/>
      <c r="U789" s="2"/>
      <c r="V789" s="2"/>
      <c r="W789" s="2"/>
      <c r="X789" s="2"/>
      <c r="Y789" s="2"/>
      <c r="Z789" s="2"/>
    </row>
    <row r="790" spans="1:26" ht="18" x14ac:dyDescent="0.3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3"/>
      <c r="O790" s="2"/>
      <c r="P790" s="2"/>
      <c r="Q790" s="4"/>
      <c r="R790" s="5"/>
      <c r="S790" s="2"/>
      <c r="T790" s="2"/>
      <c r="U790" s="2"/>
      <c r="V790" s="2"/>
      <c r="W790" s="2"/>
      <c r="X790" s="2"/>
      <c r="Y790" s="2"/>
      <c r="Z790" s="2"/>
    </row>
    <row r="791" spans="1:26" ht="18" x14ac:dyDescent="0.3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3"/>
      <c r="O791" s="2"/>
      <c r="P791" s="2"/>
      <c r="Q791" s="4"/>
      <c r="R791" s="5"/>
      <c r="S791" s="2"/>
      <c r="T791" s="2"/>
      <c r="U791" s="2"/>
      <c r="V791" s="2"/>
      <c r="W791" s="2"/>
      <c r="X791" s="2"/>
      <c r="Y791" s="2"/>
      <c r="Z791" s="2"/>
    </row>
    <row r="792" spans="1:26" ht="18" x14ac:dyDescent="0.3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3"/>
      <c r="O792" s="2"/>
      <c r="P792" s="2"/>
      <c r="Q792" s="4"/>
      <c r="R792" s="5"/>
      <c r="S792" s="2"/>
      <c r="T792" s="2"/>
      <c r="U792" s="2"/>
      <c r="V792" s="2"/>
      <c r="W792" s="2"/>
      <c r="X792" s="2"/>
      <c r="Y792" s="2"/>
      <c r="Z792" s="2"/>
    </row>
    <row r="793" spans="1:26" ht="18" x14ac:dyDescent="0.3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3"/>
      <c r="O793" s="2"/>
      <c r="P793" s="2"/>
      <c r="Q793" s="4"/>
      <c r="R793" s="5"/>
      <c r="S793" s="2"/>
      <c r="T793" s="2"/>
      <c r="U793" s="2"/>
      <c r="V793" s="2"/>
      <c r="W793" s="2"/>
      <c r="X793" s="2"/>
      <c r="Y793" s="2"/>
      <c r="Z793" s="2"/>
    </row>
    <row r="794" spans="1:26" ht="18" x14ac:dyDescent="0.3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3"/>
      <c r="O794" s="2"/>
      <c r="P794" s="2"/>
      <c r="Q794" s="4"/>
      <c r="R794" s="5"/>
      <c r="S794" s="2"/>
      <c r="T794" s="2"/>
      <c r="U794" s="2"/>
      <c r="V794" s="2"/>
      <c r="W794" s="2"/>
      <c r="X794" s="2"/>
      <c r="Y794" s="2"/>
      <c r="Z794" s="2"/>
    </row>
    <row r="795" spans="1:26" ht="18" x14ac:dyDescent="0.3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3"/>
      <c r="O795" s="2"/>
      <c r="P795" s="2"/>
      <c r="Q795" s="4"/>
      <c r="R795" s="5"/>
      <c r="S795" s="2"/>
      <c r="T795" s="2"/>
      <c r="U795" s="2"/>
      <c r="V795" s="2"/>
      <c r="W795" s="2"/>
      <c r="X795" s="2"/>
      <c r="Y795" s="2"/>
      <c r="Z795" s="2"/>
    </row>
    <row r="796" spans="1:26" ht="18" x14ac:dyDescent="0.3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3"/>
      <c r="O796" s="2"/>
      <c r="P796" s="2"/>
      <c r="Q796" s="4"/>
      <c r="R796" s="5"/>
      <c r="S796" s="2"/>
      <c r="T796" s="2"/>
      <c r="U796" s="2"/>
      <c r="V796" s="2"/>
      <c r="W796" s="2"/>
      <c r="X796" s="2"/>
      <c r="Y796" s="2"/>
      <c r="Z796" s="2"/>
    </row>
    <row r="797" spans="1:26" ht="18" x14ac:dyDescent="0.3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3"/>
      <c r="O797" s="2"/>
      <c r="P797" s="2"/>
      <c r="Q797" s="4"/>
      <c r="R797" s="5"/>
      <c r="S797" s="2"/>
      <c r="T797" s="2"/>
      <c r="U797" s="2"/>
      <c r="V797" s="2"/>
      <c r="W797" s="2"/>
      <c r="X797" s="2"/>
      <c r="Y797" s="2"/>
      <c r="Z797" s="2"/>
    </row>
    <row r="798" spans="1:26" ht="18" x14ac:dyDescent="0.3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3"/>
      <c r="O798" s="2"/>
      <c r="P798" s="2"/>
      <c r="Q798" s="4"/>
      <c r="R798" s="5"/>
      <c r="S798" s="2"/>
      <c r="T798" s="2"/>
      <c r="U798" s="2"/>
      <c r="V798" s="2"/>
      <c r="W798" s="2"/>
      <c r="X798" s="2"/>
      <c r="Y798" s="2"/>
      <c r="Z798" s="2"/>
    </row>
    <row r="799" spans="1:26" ht="18" x14ac:dyDescent="0.3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3"/>
      <c r="O799" s="2"/>
      <c r="P799" s="2"/>
      <c r="Q799" s="4"/>
      <c r="R799" s="5"/>
      <c r="S799" s="2"/>
      <c r="T799" s="2"/>
      <c r="U799" s="2"/>
      <c r="V799" s="2"/>
      <c r="W799" s="2"/>
      <c r="X799" s="2"/>
      <c r="Y799" s="2"/>
      <c r="Z799" s="2"/>
    </row>
    <row r="800" spans="1:26" ht="18" x14ac:dyDescent="0.3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3"/>
      <c r="O800" s="2"/>
      <c r="P800" s="2"/>
      <c r="Q800" s="4"/>
      <c r="R800" s="5"/>
      <c r="S800" s="2"/>
      <c r="T800" s="2"/>
      <c r="U800" s="2"/>
      <c r="V800" s="2"/>
      <c r="W800" s="2"/>
      <c r="X800" s="2"/>
      <c r="Y800" s="2"/>
      <c r="Z800" s="2"/>
    </row>
    <row r="801" spans="1:26" ht="18" x14ac:dyDescent="0.3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3"/>
      <c r="O801" s="2"/>
      <c r="P801" s="2"/>
      <c r="Q801" s="4"/>
      <c r="R801" s="5"/>
      <c r="S801" s="2"/>
      <c r="T801" s="2"/>
      <c r="U801" s="2"/>
      <c r="V801" s="2"/>
      <c r="W801" s="2"/>
      <c r="X801" s="2"/>
      <c r="Y801" s="2"/>
      <c r="Z801" s="2"/>
    </row>
    <row r="802" spans="1:26" ht="18" x14ac:dyDescent="0.3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3"/>
      <c r="O802" s="2"/>
      <c r="P802" s="2"/>
      <c r="Q802" s="4"/>
      <c r="R802" s="5"/>
      <c r="S802" s="2"/>
      <c r="T802" s="2"/>
      <c r="U802" s="2"/>
      <c r="V802" s="2"/>
      <c r="W802" s="2"/>
      <c r="X802" s="2"/>
      <c r="Y802" s="2"/>
      <c r="Z802" s="2"/>
    </row>
    <row r="803" spans="1:26" ht="18" x14ac:dyDescent="0.3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3"/>
      <c r="O803" s="2"/>
      <c r="P803" s="2"/>
      <c r="Q803" s="4"/>
      <c r="R803" s="5"/>
      <c r="S803" s="2"/>
      <c r="T803" s="2"/>
      <c r="U803" s="2"/>
      <c r="V803" s="2"/>
      <c r="W803" s="2"/>
      <c r="X803" s="2"/>
      <c r="Y803" s="2"/>
      <c r="Z803" s="2"/>
    </row>
    <row r="804" spans="1:26" ht="18" x14ac:dyDescent="0.3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3"/>
      <c r="O804" s="2"/>
      <c r="P804" s="2"/>
      <c r="Q804" s="4"/>
      <c r="R804" s="5"/>
      <c r="S804" s="2"/>
      <c r="T804" s="2"/>
      <c r="U804" s="2"/>
      <c r="V804" s="2"/>
      <c r="W804" s="2"/>
      <c r="X804" s="2"/>
      <c r="Y804" s="2"/>
      <c r="Z804" s="2"/>
    </row>
    <row r="805" spans="1:26" ht="18" x14ac:dyDescent="0.3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3"/>
      <c r="O805" s="2"/>
      <c r="P805" s="2"/>
      <c r="Q805" s="4"/>
      <c r="R805" s="5"/>
      <c r="S805" s="2"/>
      <c r="T805" s="2"/>
      <c r="U805" s="2"/>
      <c r="V805" s="2"/>
      <c r="W805" s="2"/>
      <c r="X805" s="2"/>
      <c r="Y805" s="2"/>
      <c r="Z805" s="2"/>
    </row>
    <row r="806" spans="1:26" ht="18" x14ac:dyDescent="0.3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3"/>
      <c r="O806" s="2"/>
      <c r="P806" s="2"/>
      <c r="Q806" s="4"/>
      <c r="R806" s="5"/>
      <c r="S806" s="2"/>
      <c r="T806" s="2"/>
      <c r="U806" s="2"/>
      <c r="V806" s="2"/>
      <c r="W806" s="2"/>
      <c r="X806" s="2"/>
      <c r="Y806" s="2"/>
      <c r="Z806" s="2"/>
    </row>
    <row r="807" spans="1:26" ht="18" x14ac:dyDescent="0.3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3"/>
      <c r="O807" s="2"/>
      <c r="P807" s="2"/>
      <c r="Q807" s="4"/>
      <c r="R807" s="5"/>
      <c r="S807" s="2"/>
      <c r="T807" s="2"/>
      <c r="U807" s="2"/>
      <c r="V807" s="2"/>
      <c r="W807" s="2"/>
      <c r="X807" s="2"/>
      <c r="Y807" s="2"/>
      <c r="Z807" s="2"/>
    </row>
    <row r="808" spans="1:26" ht="18" x14ac:dyDescent="0.3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3"/>
      <c r="O808" s="2"/>
      <c r="P808" s="2"/>
      <c r="Q808" s="4"/>
      <c r="R808" s="5"/>
      <c r="S808" s="2"/>
      <c r="T808" s="2"/>
      <c r="U808" s="2"/>
      <c r="V808" s="2"/>
      <c r="W808" s="2"/>
      <c r="X808" s="2"/>
      <c r="Y808" s="2"/>
      <c r="Z808" s="2"/>
    </row>
    <row r="809" spans="1:26" ht="18" x14ac:dyDescent="0.3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3"/>
      <c r="O809" s="2"/>
      <c r="P809" s="2"/>
      <c r="Q809" s="4"/>
      <c r="R809" s="5"/>
      <c r="S809" s="2"/>
      <c r="T809" s="2"/>
      <c r="U809" s="2"/>
      <c r="V809" s="2"/>
      <c r="W809" s="2"/>
      <c r="X809" s="2"/>
      <c r="Y809" s="2"/>
      <c r="Z809" s="2"/>
    </row>
    <row r="810" spans="1:26" ht="18" x14ac:dyDescent="0.3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3"/>
      <c r="O810" s="2"/>
      <c r="P810" s="2"/>
      <c r="Q810" s="4"/>
      <c r="R810" s="5"/>
      <c r="S810" s="2"/>
      <c r="T810" s="2"/>
      <c r="U810" s="2"/>
      <c r="V810" s="2"/>
      <c r="W810" s="2"/>
      <c r="X810" s="2"/>
      <c r="Y810" s="2"/>
      <c r="Z810" s="2"/>
    </row>
    <row r="811" spans="1:26" ht="18" x14ac:dyDescent="0.3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3"/>
      <c r="O811" s="2"/>
      <c r="P811" s="2"/>
      <c r="Q811" s="4"/>
      <c r="R811" s="5"/>
      <c r="S811" s="2"/>
      <c r="T811" s="2"/>
      <c r="U811" s="2"/>
      <c r="V811" s="2"/>
      <c r="W811" s="2"/>
      <c r="X811" s="2"/>
      <c r="Y811" s="2"/>
      <c r="Z811" s="2"/>
    </row>
    <row r="812" spans="1:26" ht="18" x14ac:dyDescent="0.3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3"/>
      <c r="O812" s="2"/>
      <c r="P812" s="2"/>
      <c r="Q812" s="4"/>
      <c r="R812" s="5"/>
      <c r="S812" s="2"/>
      <c r="T812" s="2"/>
      <c r="U812" s="2"/>
      <c r="V812" s="2"/>
      <c r="W812" s="2"/>
      <c r="X812" s="2"/>
      <c r="Y812" s="2"/>
      <c r="Z812" s="2"/>
    </row>
    <row r="813" spans="1:26" ht="18" x14ac:dyDescent="0.3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3"/>
      <c r="O813" s="2"/>
      <c r="P813" s="2"/>
      <c r="Q813" s="4"/>
      <c r="R813" s="5"/>
      <c r="S813" s="2"/>
      <c r="T813" s="2"/>
      <c r="U813" s="2"/>
      <c r="V813" s="2"/>
      <c r="W813" s="2"/>
      <c r="X813" s="2"/>
      <c r="Y813" s="2"/>
      <c r="Z813" s="2"/>
    </row>
    <row r="814" spans="1:26" ht="18" x14ac:dyDescent="0.3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3"/>
      <c r="O814" s="2"/>
      <c r="P814" s="2"/>
      <c r="Q814" s="4"/>
      <c r="R814" s="5"/>
      <c r="S814" s="2"/>
      <c r="T814" s="2"/>
      <c r="U814" s="2"/>
      <c r="V814" s="2"/>
      <c r="W814" s="2"/>
      <c r="X814" s="2"/>
      <c r="Y814" s="2"/>
      <c r="Z814" s="2"/>
    </row>
    <row r="815" spans="1:26" ht="18" x14ac:dyDescent="0.3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3"/>
      <c r="O815" s="2"/>
      <c r="P815" s="2"/>
      <c r="Q815" s="4"/>
      <c r="R815" s="5"/>
      <c r="S815" s="2"/>
      <c r="T815" s="2"/>
      <c r="U815" s="2"/>
      <c r="V815" s="2"/>
      <c r="W815" s="2"/>
      <c r="X815" s="2"/>
      <c r="Y815" s="2"/>
      <c r="Z815" s="2"/>
    </row>
    <row r="816" spans="1:26" ht="18" x14ac:dyDescent="0.3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3"/>
      <c r="O816" s="2"/>
      <c r="P816" s="2"/>
      <c r="Q816" s="4"/>
      <c r="R816" s="5"/>
      <c r="S816" s="2"/>
      <c r="T816" s="2"/>
      <c r="U816" s="2"/>
      <c r="V816" s="2"/>
      <c r="W816" s="2"/>
      <c r="X816" s="2"/>
      <c r="Y816" s="2"/>
      <c r="Z816" s="2"/>
    </row>
    <row r="817" spans="1:26" ht="18" x14ac:dyDescent="0.3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3"/>
      <c r="O817" s="2"/>
      <c r="P817" s="2"/>
      <c r="Q817" s="4"/>
      <c r="R817" s="5"/>
      <c r="S817" s="2"/>
      <c r="T817" s="2"/>
      <c r="U817" s="2"/>
      <c r="V817" s="2"/>
      <c r="W817" s="2"/>
      <c r="X817" s="2"/>
      <c r="Y817" s="2"/>
      <c r="Z817" s="2"/>
    </row>
    <row r="818" spans="1:26" ht="18" x14ac:dyDescent="0.3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3"/>
      <c r="O818" s="2"/>
      <c r="P818" s="2"/>
      <c r="Q818" s="4"/>
      <c r="R818" s="5"/>
      <c r="S818" s="2"/>
      <c r="T818" s="2"/>
      <c r="U818" s="2"/>
      <c r="V818" s="2"/>
      <c r="W818" s="2"/>
      <c r="X818" s="2"/>
      <c r="Y818" s="2"/>
      <c r="Z818" s="2"/>
    </row>
    <row r="819" spans="1:26" ht="18" x14ac:dyDescent="0.3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3"/>
      <c r="O819" s="2"/>
      <c r="P819" s="2"/>
      <c r="Q819" s="4"/>
      <c r="R819" s="5"/>
      <c r="S819" s="2"/>
      <c r="T819" s="2"/>
      <c r="U819" s="2"/>
      <c r="V819" s="2"/>
      <c r="W819" s="2"/>
      <c r="X819" s="2"/>
      <c r="Y819" s="2"/>
      <c r="Z819" s="2"/>
    </row>
    <row r="820" spans="1:26" ht="18" x14ac:dyDescent="0.3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3"/>
      <c r="O820" s="2"/>
      <c r="P820" s="2"/>
      <c r="Q820" s="4"/>
      <c r="R820" s="5"/>
      <c r="S820" s="2"/>
      <c r="T820" s="2"/>
      <c r="U820" s="2"/>
      <c r="V820" s="2"/>
      <c r="W820" s="2"/>
      <c r="X820" s="2"/>
      <c r="Y820" s="2"/>
      <c r="Z820" s="2"/>
    </row>
    <row r="821" spans="1:26" ht="18" x14ac:dyDescent="0.3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3"/>
      <c r="O821" s="2"/>
      <c r="P821" s="2"/>
      <c r="Q821" s="4"/>
      <c r="R821" s="5"/>
      <c r="S821" s="2"/>
      <c r="T821" s="2"/>
      <c r="U821" s="2"/>
      <c r="V821" s="2"/>
      <c r="W821" s="2"/>
      <c r="X821" s="2"/>
      <c r="Y821" s="2"/>
      <c r="Z821" s="2"/>
    </row>
    <row r="822" spans="1:26" ht="18" x14ac:dyDescent="0.3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3"/>
      <c r="O822" s="2"/>
      <c r="P822" s="2"/>
      <c r="Q822" s="4"/>
      <c r="R822" s="5"/>
      <c r="S822" s="2"/>
      <c r="T822" s="2"/>
      <c r="U822" s="2"/>
      <c r="V822" s="2"/>
      <c r="W822" s="2"/>
      <c r="X822" s="2"/>
      <c r="Y822" s="2"/>
      <c r="Z822" s="2"/>
    </row>
    <row r="823" spans="1:26" ht="18" x14ac:dyDescent="0.3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3"/>
      <c r="O823" s="2"/>
      <c r="P823" s="2"/>
      <c r="Q823" s="4"/>
      <c r="R823" s="5"/>
      <c r="S823" s="2"/>
      <c r="T823" s="2"/>
      <c r="U823" s="2"/>
      <c r="V823" s="2"/>
      <c r="W823" s="2"/>
      <c r="X823" s="2"/>
      <c r="Y823" s="2"/>
      <c r="Z823" s="2"/>
    </row>
    <row r="824" spans="1:26" ht="18" x14ac:dyDescent="0.3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3"/>
      <c r="O824" s="2"/>
      <c r="P824" s="2"/>
      <c r="Q824" s="4"/>
      <c r="R824" s="5"/>
      <c r="S824" s="2"/>
      <c r="T824" s="2"/>
      <c r="U824" s="2"/>
      <c r="V824" s="2"/>
      <c r="W824" s="2"/>
      <c r="X824" s="2"/>
      <c r="Y824" s="2"/>
      <c r="Z824" s="2"/>
    </row>
    <row r="825" spans="1:26" ht="18" x14ac:dyDescent="0.3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3"/>
      <c r="O825" s="2"/>
      <c r="P825" s="2"/>
      <c r="Q825" s="4"/>
      <c r="R825" s="5"/>
      <c r="S825" s="2"/>
      <c r="T825" s="2"/>
      <c r="U825" s="2"/>
      <c r="V825" s="2"/>
      <c r="W825" s="2"/>
      <c r="X825" s="2"/>
      <c r="Y825" s="2"/>
      <c r="Z825" s="2"/>
    </row>
    <row r="826" spans="1:26" ht="18" x14ac:dyDescent="0.3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3"/>
      <c r="O826" s="2"/>
      <c r="P826" s="2"/>
      <c r="Q826" s="4"/>
      <c r="R826" s="5"/>
      <c r="S826" s="2"/>
      <c r="T826" s="2"/>
      <c r="U826" s="2"/>
      <c r="V826" s="2"/>
      <c r="W826" s="2"/>
      <c r="X826" s="2"/>
      <c r="Y826" s="2"/>
      <c r="Z826" s="2"/>
    </row>
    <row r="827" spans="1:26" ht="18" x14ac:dyDescent="0.3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3"/>
      <c r="O827" s="2"/>
      <c r="P827" s="2"/>
      <c r="Q827" s="4"/>
      <c r="R827" s="5"/>
      <c r="S827" s="2"/>
      <c r="T827" s="2"/>
      <c r="U827" s="2"/>
      <c r="V827" s="2"/>
      <c r="W827" s="2"/>
      <c r="X827" s="2"/>
      <c r="Y827" s="2"/>
      <c r="Z827" s="2"/>
    </row>
    <row r="828" spans="1:26" ht="18" x14ac:dyDescent="0.3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3"/>
      <c r="O828" s="2"/>
      <c r="P828" s="2"/>
      <c r="Q828" s="4"/>
      <c r="R828" s="5"/>
      <c r="S828" s="2"/>
      <c r="T828" s="2"/>
      <c r="U828" s="2"/>
      <c r="V828" s="2"/>
      <c r="W828" s="2"/>
      <c r="X828" s="2"/>
      <c r="Y828" s="2"/>
      <c r="Z828" s="2"/>
    </row>
    <row r="829" spans="1:26" ht="18" x14ac:dyDescent="0.3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3"/>
      <c r="O829" s="2"/>
      <c r="P829" s="2"/>
      <c r="Q829" s="4"/>
      <c r="R829" s="5"/>
      <c r="S829" s="2"/>
      <c r="T829" s="2"/>
      <c r="U829" s="2"/>
      <c r="V829" s="2"/>
      <c r="W829" s="2"/>
      <c r="X829" s="2"/>
      <c r="Y829" s="2"/>
      <c r="Z829" s="2"/>
    </row>
    <row r="830" spans="1:26" ht="18" x14ac:dyDescent="0.3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3"/>
      <c r="O830" s="2"/>
      <c r="P830" s="2"/>
      <c r="Q830" s="4"/>
      <c r="R830" s="5"/>
      <c r="S830" s="2"/>
      <c r="T830" s="2"/>
      <c r="U830" s="2"/>
      <c r="V830" s="2"/>
      <c r="W830" s="2"/>
      <c r="X830" s="2"/>
      <c r="Y830" s="2"/>
      <c r="Z830" s="2"/>
    </row>
    <row r="831" spans="1:26" ht="18" x14ac:dyDescent="0.3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3"/>
      <c r="O831" s="2"/>
      <c r="P831" s="2"/>
      <c r="Q831" s="4"/>
      <c r="R831" s="5"/>
      <c r="S831" s="2"/>
      <c r="T831" s="2"/>
      <c r="U831" s="2"/>
      <c r="V831" s="2"/>
      <c r="W831" s="2"/>
      <c r="X831" s="2"/>
      <c r="Y831" s="2"/>
      <c r="Z831" s="2"/>
    </row>
    <row r="832" spans="1:26" ht="18" x14ac:dyDescent="0.3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3"/>
      <c r="O832" s="2"/>
      <c r="P832" s="2"/>
      <c r="Q832" s="4"/>
      <c r="R832" s="5"/>
      <c r="S832" s="2"/>
      <c r="T832" s="2"/>
      <c r="U832" s="2"/>
      <c r="V832" s="2"/>
      <c r="W832" s="2"/>
      <c r="X832" s="2"/>
      <c r="Y832" s="2"/>
      <c r="Z832" s="2"/>
    </row>
    <row r="833" spans="1:26" ht="18" x14ac:dyDescent="0.3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3"/>
      <c r="O833" s="2"/>
      <c r="P833" s="2"/>
      <c r="Q833" s="4"/>
      <c r="R833" s="5"/>
      <c r="S833" s="2"/>
      <c r="T833" s="2"/>
      <c r="U833" s="2"/>
      <c r="V833" s="2"/>
      <c r="W833" s="2"/>
      <c r="X833" s="2"/>
      <c r="Y833" s="2"/>
      <c r="Z833" s="2"/>
    </row>
    <row r="834" spans="1:26" ht="18" x14ac:dyDescent="0.3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3"/>
      <c r="O834" s="2"/>
      <c r="P834" s="2"/>
      <c r="Q834" s="4"/>
      <c r="R834" s="5"/>
      <c r="S834" s="2"/>
      <c r="T834" s="2"/>
      <c r="U834" s="2"/>
      <c r="V834" s="2"/>
      <c r="W834" s="2"/>
      <c r="X834" s="2"/>
      <c r="Y834" s="2"/>
      <c r="Z834" s="2"/>
    </row>
    <row r="835" spans="1:26" ht="18" x14ac:dyDescent="0.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3"/>
      <c r="O835" s="2"/>
      <c r="P835" s="2"/>
      <c r="Q835" s="4"/>
      <c r="R835" s="5"/>
      <c r="S835" s="2"/>
      <c r="T835" s="2"/>
      <c r="U835" s="2"/>
      <c r="V835" s="2"/>
      <c r="W835" s="2"/>
      <c r="X835" s="2"/>
      <c r="Y835" s="2"/>
      <c r="Z835" s="2"/>
    </row>
    <row r="836" spans="1:26" ht="18" x14ac:dyDescent="0.3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3"/>
      <c r="O836" s="2"/>
      <c r="P836" s="2"/>
      <c r="Q836" s="4"/>
      <c r="R836" s="5"/>
      <c r="S836" s="2"/>
      <c r="T836" s="2"/>
      <c r="U836" s="2"/>
      <c r="V836" s="2"/>
      <c r="W836" s="2"/>
      <c r="X836" s="2"/>
      <c r="Y836" s="2"/>
      <c r="Z836" s="2"/>
    </row>
    <row r="837" spans="1:26" ht="18" x14ac:dyDescent="0.3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3"/>
      <c r="O837" s="2"/>
      <c r="P837" s="2"/>
      <c r="Q837" s="4"/>
      <c r="R837" s="5"/>
      <c r="S837" s="2"/>
      <c r="T837" s="2"/>
      <c r="U837" s="2"/>
      <c r="V837" s="2"/>
      <c r="W837" s="2"/>
      <c r="X837" s="2"/>
      <c r="Y837" s="2"/>
      <c r="Z837" s="2"/>
    </row>
    <row r="838" spans="1:26" ht="18" x14ac:dyDescent="0.3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3"/>
      <c r="O838" s="2"/>
      <c r="P838" s="2"/>
      <c r="Q838" s="4"/>
      <c r="R838" s="5"/>
      <c r="S838" s="2"/>
      <c r="T838" s="2"/>
      <c r="U838" s="2"/>
      <c r="V838" s="2"/>
      <c r="W838" s="2"/>
      <c r="X838" s="2"/>
      <c r="Y838" s="2"/>
      <c r="Z838" s="2"/>
    </row>
    <row r="839" spans="1:26" ht="18" x14ac:dyDescent="0.3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3"/>
      <c r="O839" s="2"/>
      <c r="P839" s="2"/>
      <c r="Q839" s="4"/>
      <c r="R839" s="5"/>
      <c r="S839" s="2"/>
      <c r="T839" s="2"/>
      <c r="U839" s="2"/>
      <c r="V839" s="2"/>
      <c r="W839" s="2"/>
      <c r="X839" s="2"/>
      <c r="Y839" s="2"/>
      <c r="Z839" s="2"/>
    </row>
    <row r="840" spans="1:26" ht="18" x14ac:dyDescent="0.3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3"/>
      <c r="O840" s="2"/>
      <c r="P840" s="2"/>
      <c r="Q840" s="4"/>
      <c r="R840" s="5"/>
      <c r="S840" s="2"/>
      <c r="T840" s="2"/>
      <c r="U840" s="2"/>
      <c r="V840" s="2"/>
      <c r="W840" s="2"/>
      <c r="X840" s="2"/>
      <c r="Y840" s="2"/>
      <c r="Z840" s="2"/>
    </row>
    <row r="841" spans="1:26" ht="18" x14ac:dyDescent="0.3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3"/>
      <c r="O841" s="2"/>
      <c r="P841" s="2"/>
      <c r="Q841" s="4"/>
      <c r="R841" s="5"/>
      <c r="S841" s="2"/>
      <c r="T841" s="2"/>
      <c r="U841" s="2"/>
      <c r="V841" s="2"/>
      <c r="W841" s="2"/>
      <c r="X841" s="2"/>
      <c r="Y841" s="2"/>
      <c r="Z841" s="2"/>
    </row>
    <row r="842" spans="1:26" ht="18" x14ac:dyDescent="0.3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3"/>
      <c r="O842" s="2"/>
      <c r="P842" s="2"/>
      <c r="Q842" s="4"/>
      <c r="R842" s="5"/>
      <c r="S842" s="2"/>
      <c r="T842" s="2"/>
      <c r="U842" s="2"/>
      <c r="V842" s="2"/>
      <c r="W842" s="2"/>
      <c r="X842" s="2"/>
      <c r="Y842" s="2"/>
      <c r="Z842" s="2"/>
    </row>
    <row r="843" spans="1:26" ht="18" x14ac:dyDescent="0.3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3"/>
      <c r="O843" s="2"/>
      <c r="P843" s="2"/>
      <c r="Q843" s="4"/>
      <c r="R843" s="5"/>
      <c r="S843" s="2"/>
      <c r="T843" s="2"/>
      <c r="U843" s="2"/>
      <c r="V843" s="2"/>
      <c r="W843" s="2"/>
      <c r="X843" s="2"/>
      <c r="Y843" s="2"/>
      <c r="Z843" s="2"/>
    </row>
    <row r="844" spans="1:26" ht="18" x14ac:dyDescent="0.3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3"/>
      <c r="O844" s="2"/>
      <c r="P844" s="2"/>
      <c r="Q844" s="4"/>
      <c r="R844" s="5"/>
      <c r="S844" s="2"/>
      <c r="T844" s="2"/>
      <c r="U844" s="2"/>
      <c r="V844" s="2"/>
      <c r="W844" s="2"/>
      <c r="X844" s="2"/>
      <c r="Y844" s="2"/>
      <c r="Z844" s="2"/>
    </row>
    <row r="845" spans="1:26" ht="18" x14ac:dyDescent="0.3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3"/>
      <c r="O845" s="2"/>
      <c r="P845" s="2"/>
      <c r="Q845" s="4"/>
      <c r="R845" s="5"/>
      <c r="S845" s="2"/>
      <c r="T845" s="2"/>
      <c r="U845" s="2"/>
      <c r="V845" s="2"/>
      <c r="W845" s="2"/>
      <c r="X845" s="2"/>
      <c r="Y845" s="2"/>
      <c r="Z845" s="2"/>
    </row>
    <row r="846" spans="1:26" ht="18" x14ac:dyDescent="0.3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3"/>
      <c r="O846" s="2"/>
      <c r="P846" s="2"/>
      <c r="Q846" s="4"/>
      <c r="R846" s="5"/>
      <c r="S846" s="2"/>
      <c r="T846" s="2"/>
      <c r="U846" s="2"/>
      <c r="V846" s="2"/>
      <c r="W846" s="2"/>
      <c r="X846" s="2"/>
      <c r="Y846" s="2"/>
      <c r="Z846" s="2"/>
    </row>
    <row r="847" spans="1:26" ht="18" x14ac:dyDescent="0.3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3"/>
      <c r="O847" s="2"/>
      <c r="P847" s="2"/>
      <c r="Q847" s="4"/>
      <c r="R847" s="5"/>
      <c r="S847" s="2"/>
      <c r="T847" s="2"/>
      <c r="U847" s="2"/>
      <c r="V847" s="2"/>
      <c r="W847" s="2"/>
      <c r="X847" s="2"/>
      <c r="Y847" s="2"/>
      <c r="Z847" s="2"/>
    </row>
    <row r="848" spans="1:26" ht="18" x14ac:dyDescent="0.3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3"/>
      <c r="O848" s="2"/>
      <c r="P848" s="2"/>
      <c r="Q848" s="4"/>
      <c r="R848" s="5"/>
      <c r="S848" s="2"/>
      <c r="T848" s="2"/>
      <c r="U848" s="2"/>
      <c r="V848" s="2"/>
      <c r="W848" s="2"/>
      <c r="X848" s="2"/>
      <c r="Y848" s="2"/>
      <c r="Z848" s="2"/>
    </row>
    <row r="849" spans="1:26" ht="18" x14ac:dyDescent="0.3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3"/>
      <c r="O849" s="2"/>
      <c r="P849" s="2"/>
      <c r="Q849" s="4"/>
      <c r="R849" s="5"/>
      <c r="S849" s="2"/>
      <c r="T849" s="2"/>
      <c r="U849" s="2"/>
      <c r="V849" s="2"/>
      <c r="W849" s="2"/>
      <c r="X849" s="2"/>
      <c r="Y849" s="2"/>
      <c r="Z849" s="2"/>
    </row>
    <row r="850" spans="1:26" ht="18" x14ac:dyDescent="0.3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3"/>
      <c r="O850" s="2"/>
      <c r="P850" s="2"/>
      <c r="Q850" s="4"/>
      <c r="R850" s="5"/>
      <c r="S850" s="2"/>
      <c r="T850" s="2"/>
      <c r="U850" s="2"/>
      <c r="V850" s="2"/>
      <c r="W850" s="2"/>
      <c r="X850" s="2"/>
      <c r="Y850" s="2"/>
      <c r="Z850" s="2"/>
    </row>
    <row r="851" spans="1:26" ht="18" x14ac:dyDescent="0.3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3"/>
      <c r="O851" s="2"/>
      <c r="P851" s="2"/>
      <c r="Q851" s="4"/>
      <c r="R851" s="5"/>
      <c r="S851" s="2"/>
      <c r="T851" s="2"/>
      <c r="U851" s="2"/>
      <c r="V851" s="2"/>
      <c r="W851" s="2"/>
      <c r="X851" s="2"/>
      <c r="Y851" s="2"/>
      <c r="Z851" s="2"/>
    </row>
    <row r="852" spans="1:26" ht="18" x14ac:dyDescent="0.3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3"/>
      <c r="O852" s="2"/>
      <c r="P852" s="2"/>
      <c r="Q852" s="4"/>
      <c r="R852" s="5"/>
      <c r="S852" s="2"/>
      <c r="T852" s="2"/>
      <c r="U852" s="2"/>
      <c r="V852" s="2"/>
      <c r="W852" s="2"/>
      <c r="X852" s="2"/>
      <c r="Y852" s="2"/>
      <c r="Z852" s="2"/>
    </row>
    <row r="853" spans="1:26" ht="18" x14ac:dyDescent="0.3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3"/>
      <c r="O853" s="2"/>
      <c r="P853" s="2"/>
      <c r="Q853" s="4"/>
      <c r="R853" s="5"/>
      <c r="S853" s="2"/>
      <c r="T853" s="2"/>
      <c r="U853" s="2"/>
      <c r="V853" s="2"/>
      <c r="W853" s="2"/>
      <c r="X853" s="2"/>
      <c r="Y853" s="2"/>
      <c r="Z853" s="2"/>
    </row>
    <row r="854" spans="1:26" ht="18" x14ac:dyDescent="0.3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3"/>
      <c r="O854" s="2"/>
      <c r="P854" s="2"/>
      <c r="Q854" s="4"/>
      <c r="R854" s="5"/>
      <c r="S854" s="2"/>
      <c r="T854" s="2"/>
      <c r="U854" s="2"/>
      <c r="V854" s="2"/>
      <c r="W854" s="2"/>
      <c r="X854" s="2"/>
      <c r="Y854" s="2"/>
      <c r="Z854" s="2"/>
    </row>
    <row r="855" spans="1:26" ht="18" x14ac:dyDescent="0.3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3"/>
      <c r="O855" s="2"/>
      <c r="P855" s="2"/>
      <c r="Q855" s="4"/>
      <c r="R855" s="5"/>
      <c r="S855" s="2"/>
      <c r="T855" s="2"/>
      <c r="U855" s="2"/>
      <c r="V855" s="2"/>
      <c r="W855" s="2"/>
      <c r="X855" s="2"/>
      <c r="Y855" s="2"/>
      <c r="Z855" s="2"/>
    </row>
    <row r="856" spans="1:26" ht="18" x14ac:dyDescent="0.3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3"/>
      <c r="O856" s="2"/>
      <c r="P856" s="2"/>
      <c r="Q856" s="4"/>
      <c r="R856" s="5"/>
      <c r="S856" s="2"/>
      <c r="T856" s="2"/>
      <c r="U856" s="2"/>
      <c r="V856" s="2"/>
      <c r="W856" s="2"/>
      <c r="X856" s="2"/>
      <c r="Y856" s="2"/>
      <c r="Z856" s="2"/>
    </row>
    <row r="857" spans="1:26" ht="18" x14ac:dyDescent="0.3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3"/>
      <c r="O857" s="2"/>
      <c r="P857" s="2"/>
      <c r="Q857" s="4"/>
      <c r="R857" s="5"/>
      <c r="S857" s="2"/>
      <c r="T857" s="2"/>
      <c r="U857" s="2"/>
      <c r="V857" s="2"/>
      <c r="W857" s="2"/>
      <c r="X857" s="2"/>
      <c r="Y857" s="2"/>
      <c r="Z857" s="2"/>
    </row>
    <row r="858" spans="1:26" ht="18" x14ac:dyDescent="0.3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3"/>
      <c r="O858" s="2"/>
      <c r="P858" s="2"/>
      <c r="Q858" s="4"/>
      <c r="R858" s="5"/>
      <c r="S858" s="2"/>
      <c r="T858" s="2"/>
      <c r="U858" s="2"/>
      <c r="V858" s="2"/>
      <c r="W858" s="2"/>
      <c r="X858" s="2"/>
      <c r="Y858" s="2"/>
      <c r="Z858" s="2"/>
    </row>
    <row r="859" spans="1:26" ht="18" x14ac:dyDescent="0.3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3"/>
      <c r="O859" s="2"/>
      <c r="P859" s="2"/>
      <c r="Q859" s="4"/>
      <c r="R859" s="5"/>
      <c r="S859" s="2"/>
      <c r="T859" s="2"/>
      <c r="U859" s="2"/>
      <c r="V859" s="2"/>
      <c r="W859" s="2"/>
      <c r="X859" s="2"/>
      <c r="Y859" s="2"/>
      <c r="Z859" s="2"/>
    </row>
    <row r="860" spans="1:26" ht="18" x14ac:dyDescent="0.3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3"/>
      <c r="O860" s="2"/>
      <c r="P860" s="2"/>
      <c r="Q860" s="4"/>
      <c r="R860" s="5"/>
      <c r="S860" s="2"/>
      <c r="T860" s="2"/>
      <c r="U860" s="2"/>
      <c r="V860" s="2"/>
      <c r="W860" s="2"/>
      <c r="X860" s="2"/>
      <c r="Y860" s="2"/>
      <c r="Z860" s="2"/>
    </row>
    <row r="861" spans="1:26" ht="18" x14ac:dyDescent="0.3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3"/>
      <c r="O861" s="2"/>
      <c r="P861" s="2"/>
      <c r="Q861" s="4"/>
      <c r="R861" s="5"/>
      <c r="S861" s="2"/>
      <c r="T861" s="2"/>
      <c r="U861" s="2"/>
      <c r="V861" s="2"/>
      <c r="W861" s="2"/>
      <c r="X861" s="2"/>
      <c r="Y861" s="2"/>
      <c r="Z861" s="2"/>
    </row>
    <row r="862" spans="1:26" ht="18" x14ac:dyDescent="0.3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3"/>
      <c r="O862" s="2"/>
      <c r="P862" s="2"/>
      <c r="Q862" s="4"/>
      <c r="R862" s="5"/>
      <c r="S862" s="2"/>
      <c r="T862" s="2"/>
      <c r="U862" s="2"/>
      <c r="V862" s="2"/>
      <c r="W862" s="2"/>
      <c r="X862" s="2"/>
      <c r="Y862" s="2"/>
      <c r="Z862" s="2"/>
    </row>
    <row r="863" spans="1:26" ht="18" x14ac:dyDescent="0.3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3"/>
      <c r="O863" s="2"/>
      <c r="P863" s="2"/>
      <c r="Q863" s="4"/>
      <c r="R863" s="5"/>
      <c r="S863" s="2"/>
      <c r="T863" s="2"/>
      <c r="U863" s="2"/>
      <c r="V863" s="2"/>
      <c r="W863" s="2"/>
      <c r="X863" s="2"/>
      <c r="Y863" s="2"/>
      <c r="Z863" s="2"/>
    </row>
    <row r="864" spans="1:26" ht="18" x14ac:dyDescent="0.3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3"/>
      <c r="O864" s="2"/>
      <c r="P864" s="2"/>
      <c r="Q864" s="4"/>
      <c r="R864" s="5"/>
      <c r="S864" s="2"/>
      <c r="T864" s="2"/>
      <c r="U864" s="2"/>
      <c r="V864" s="2"/>
      <c r="W864" s="2"/>
      <c r="X864" s="2"/>
      <c r="Y864" s="2"/>
      <c r="Z864" s="2"/>
    </row>
    <row r="865" spans="1:26" ht="18" x14ac:dyDescent="0.3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3"/>
      <c r="O865" s="2"/>
      <c r="P865" s="2"/>
      <c r="Q865" s="4"/>
      <c r="R865" s="5"/>
      <c r="S865" s="2"/>
      <c r="T865" s="2"/>
      <c r="U865" s="2"/>
      <c r="V865" s="2"/>
      <c r="W865" s="2"/>
      <c r="X865" s="2"/>
      <c r="Y865" s="2"/>
      <c r="Z865" s="2"/>
    </row>
    <row r="866" spans="1:26" ht="18" x14ac:dyDescent="0.3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3"/>
      <c r="O866" s="2"/>
      <c r="P866" s="2"/>
      <c r="Q866" s="4"/>
      <c r="R866" s="5"/>
      <c r="S866" s="2"/>
      <c r="T866" s="2"/>
      <c r="U866" s="2"/>
      <c r="V866" s="2"/>
      <c r="W866" s="2"/>
      <c r="X866" s="2"/>
      <c r="Y866" s="2"/>
      <c r="Z866" s="2"/>
    </row>
    <row r="867" spans="1:26" ht="18" x14ac:dyDescent="0.3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3"/>
      <c r="O867" s="2"/>
      <c r="P867" s="2"/>
      <c r="Q867" s="4"/>
      <c r="R867" s="5"/>
      <c r="S867" s="2"/>
      <c r="T867" s="2"/>
      <c r="U867" s="2"/>
      <c r="V867" s="2"/>
      <c r="W867" s="2"/>
      <c r="X867" s="2"/>
      <c r="Y867" s="2"/>
      <c r="Z867" s="2"/>
    </row>
    <row r="868" spans="1:26" ht="18" x14ac:dyDescent="0.3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3"/>
      <c r="O868" s="2"/>
      <c r="P868" s="2"/>
      <c r="Q868" s="4"/>
      <c r="R868" s="5"/>
      <c r="S868" s="2"/>
      <c r="T868" s="2"/>
      <c r="U868" s="2"/>
      <c r="V868" s="2"/>
      <c r="W868" s="2"/>
      <c r="X868" s="2"/>
      <c r="Y868" s="2"/>
      <c r="Z868" s="2"/>
    </row>
    <row r="869" spans="1:26" ht="18" x14ac:dyDescent="0.3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3"/>
      <c r="O869" s="2"/>
      <c r="P869" s="2"/>
      <c r="Q869" s="4"/>
      <c r="R869" s="5"/>
      <c r="S869" s="2"/>
      <c r="T869" s="2"/>
      <c r="U869" s="2"/>
      <c r="V869" s="2"/>
      <c r="W869" s="2"/>
      <c r="X869" s="2"/>
      <c r="Y869" s="2"/>
      <c r="Z869" s="2"/>
    </row>
    <row r="870" spans="1:26" ht="18" x14ac:dyDescent="0.3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3"/>
      <c r="O870" s="2"/>
      <c r="P870" s="2"/>
      <c r="Q870" s="4"/>
      <c r="R870" s="5"/>
      <c r="S870" s="2"/>
      <c r="T870" s="2"/>
      <c r="U870" s="2"/>
      <c r="V870" s="2"/>
      <c r="W870" s="2"/>
      <c r="X870" s="2"/>
      <c r="Y870" s="2"/>
      <c r="Z870" s="2"/>
    </row>
    <row r="871" spans="1:26" ht="18" x14ac:dyDescent="0.3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3"/>
      <c r="O871" s="2"/>
      <c r="P871" s="2"/>
      <c r="Q871" s="4"/>
      <c r="R871" s="5"/>
      <c r="S871" s="2"/>
      <c r="T871" s="2"/>
      <c r="U871" s="2"/>
      <c r="V871" s="2"/>
      <c r="W871" s="2"/>
      <c r="X871" s="2"/>
      <c r="Y871" s="2"/>
      <c r="Z871" s="2"/>
    </row>
    <row r="872" spans="1:26" ht="18" x14ac:dyDescent="0.3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3"/>
      <c r="O872" s="2"/>
      <c r="P872" s="2"/>
      <c r="Q872" s="4"/>
      <c r="R872" s="5"/>
      <c r="S872" s="2"/>
      <c r="T872" s="2"/>
      <c r="U872" s="2"/>
      <c r="V872" s="2"/>
      <c r="W872" s="2"/>
      <c r="X872" s="2"/>
      <c r="Y872" s="2"/>
      <c r="Z872" s="2"/>
    </row>
    <row r="873" spans="1:26" ht="18" x14ac:dyDescent="0.3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3"/>
      <c r="O873" s="2"/>
      <c r="P873" s="2"/>
      <c r="Q873" s="4"/>
      <c r="R873" s="5"/>
      <c r="S873" s="2"/>
      <c r="T873" s="2"/>
      <c r="U873" s="2"/>
      <c r="V873" s="2"/>
      <c r="W873" s="2"/>
      <c r="X873" s="2"/>
      <c r="Y873" s="2"/>
      <c r="Z873" s="2"/>
    </row>
    <row r="874" spans="1:26" ht="18" x14ac:dyDescent="0.3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3"/>
      <c r="O874" s="2"/>
      <c r="P874" s="2"/>
      <c r="Q874" s="4"/>
      <c r="R874" s="5"/>
      <c r="S874" s="2"/>
      <c r="T874" s="2"/>
      <c r="U874" s="2"/>
      <c r="V874" s="2"/>
      <c r="W874" s="2"/>
      <c r="X874" s="2"/>
      <c r="Y874" s="2"/>
      <c r="Z874" s="2"/>
    </row>
    <row r="875" spans="1:26" ht="18" x14ac:dyDescent="0.3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3"/>
      <c r="O875" s="2"/>
      <c r="P875" s="2"/>
      <c r="Q875" s="4"/>
      <c r="R875" s="5"/>
      <c r="S875" s="2"/>
      <c r="T875" s="2"/>
      <c r="U875" s="2"/>
      <c r="V875" s="2"/>
      <c r="W875" s="2"/>
      <c r="X875" s="2"/>
      <c r="Y875" s="2"/>
      <c r="Z875" s="2"/>
    </row>
    <row r="876" spans="1:26" ht="18" x14ac:dyDescent="0.3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3"/>
      <c r="O876" s="2"/>
      <c r="P876" s="2"/>
      <c r="Q876" s="4"/>
      <c r="R876" s="5"/>
      <c r="S876" s="2"/>
      <c r="T876" s="2"/>
      <c r="U876" s="2"/>
      <c r="V876" s="2"/>
      <c r="W876" s="2"/>
      <c r="X876" s="2"/>
      <c r="Y876" s="2"/>
      <c r="Z876" s="2"/>
    </row>
    <row r="877" spans="1:26" ht="18" x14ac:dyDescent="0.3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3"/>
      <c r="O877" s="2"/>
      <c r="P877" s="2"/>
      <c r="Q877" s="4"/>
      <c r="R877" s="5"/>
      <c r="S877" s="2"/>
      <c r="T877" s="2"/>
      <c r="U877" s="2"/>
      <c r="V877" s="2"/>
      <c r="W877" s="2"/>
      <c r="X877" s="2"/>
      <c r="Y877" s="2"/>
      <c r="Z877" s="2"/>
    </row>
    <row r="878" spans="1:26" ht="18" x14ac:dyDescent="0.3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3"/>
      <c r="O878" s="2"/>
      <c r="P878" s="2"/>
      <c r="Q878" s="4"/>
      <c r="R878" s="5"/>
      <c r="S878" s="2"/>
      <c r="T878" s="2"/>
      <c r="U878" s="2"/>
      <c r="V878" s="2"/>
      <c r="W878" s="2"/>
      <c r="X878" s="2"/>
      <c r="Y878" s="2"/>
      <c r="Z878" s="2"/>
    </row>
    <row r="879" spans="1:26" ht="18" x14ac:dyDescent="0.3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3"/>
      <c r="O879" s="2"/>
      <c r="P879" s="2"/>
      <c r="Q879" s="4"/>
      <c r="R879" s="5"/>
      <c r="S879" s="2"/>
      <c r="T879" s="2"/>
      <c r="U879" s="2"/>
      <c r="V879" s="2"/>
      <c r="W879" s="2"/>
      <c r="X879" s="2"/>
      <c r="Y879" s="2"/>
      <c r="Z879" s="2"/>
    </row>
    <row r="880" spans="1:26" ht="18" x14ac:dyDescent="0.3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3"/>
      <c r="O880" s="2"/>
      <c r="P880" s="2"/>
      <c r="Q880" s="4"/>
      <c r="R880" s="5"/>
      <c r="S880" s="2"/>
      <c r="T880" s="2"/>
      <c r="U880" s="2"/>
      <c r="V880" s="2"/>
      <c r="W880" s="2"/>
      <c r="X880" s="2"/>
      <c r="Y880" s="2"/>
      <c r="Z880" s="2"/>
    </row>
    <row r="881" spans="1:26" ht="18" x14ac:dyDescent="0.3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3"/>
      <c r="O881" s="2"/>
      <c r="P881" s="2"/>
      <c r="Q881" s="4"/>
      <c r="R881" s="5"/>
      <c r="S881" s="2"/>
      <c r="T881" s="2"/>
      <c r="U881" s="2"/>
      <c r="V881" s="2"/>
      <c r="W881" s="2"/>
      <c r="X881" s="2"/>
      <c r="Y881" s="2"/>
      <c r="Z881" s="2"/>
    </row>
    <row r="882" spans="1:26" ht="18" x14ac:dyDescent="0.3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3"/>
      <c r="O882" s="2"/>
      <c r="P882" s="2"/>
      <c r="Q882" s="4"/>
      <c r="R882" s="5"/>
      <c r="S882" s="2"/>
      <c r="T882" s="2"/>
      <c r="U882" s="2"/>
      <c r="V882" s="2"/>
      <c r="W882" s="2"/>
      <c r="X882" s="2"/>
      <c r="Y882" s="2"/>
      <c r="Z882" s="2"/>
    </row>
    <row r="883" spans="1:26" ht="18" x14ac:dyDescent="0.3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3"/>
      <c r="O883" s="2"/>
      <c r="P883" s="2"/>
      <c r="Q883" s="4"/>
      <c r="R883" s="5"/>
      <c r="S883" s="2"/>
      <c r="T883" s="2"/>
      <c r="U883" s="2"/>
      <c r="V883" s="2"/>
      <c r="W883" s="2"/>
      <c r="X883" s="2"/>
      <c r="Y883" s="2"/>
      <c r="Z883" s="2"/>
    </row>
    <row r="884" spans="1:26" ht="18" x14ac:dyDescent="0.3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3"/>
      <c r="O884" s="2"/>
      <c r="P884" s="2"/>
      <c r="Q884" s="4"/>
      <c r="R884" s="5"/>
      <c r="S884" s="2"/>
      <c r="T884" s="2"/>
      <c r="U884" s="2"/>
      <c r="V884" s="2"/>
      <c r="W884" s="2"/>
      <c r="X884" s="2"/>
      <c r="Y884" s="2"/>
      <c r="Z884" s="2"/>
    </row>
    <row r="885" spans="1:26" ht="18" x14ac:dyDescent="0.3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3"/>
      <c r="O885" s="2"/>
      <c r="P885" s="2"/>
      <c r="Q885" s="4"/>
      <c r="R885" s="5"/>
      <c r="S885" s="2"/>
      <c r="T885" s="2"/>
      <c r="U885" s="2"/>
      <c r="V885" s="2"/>
      <c r="W885" s="2"/>
      <c r="X885" s="2"/>
      <c r="Y885" s="2"/>
      <c r="Z885" s="2"/>
    </row>
    <row r="886" spans="1:26" ht="18" x14ac:dyDescent="0.3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3"/>
      <c r="O886" s="2"/>
      <c r="P886" s="2"/>
      <c r="Q886" s="4"/>
      <c r="R886" s="5"/>
      <c r="S886" s="2"/>
      <c r="T886" s="2"/>
      <c r="U886" s="2"/>
      <c r="V886" s="2"/>
      <c r="W886" s="2"/>
      <c r="X886" s="2"/>
      <c r="Y886" s="2"/>
      <c r="Z886" s="2"/>
    </row>
    <row r="887" spans="1:26" ht="18" x14ac:dyDescent="0.3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3"/>
      <c r="O887" s="2"/>
      <c r="P887" s="2"/>
      <c r="Q887" s="4"/>
      <c r="R887" s="5"/>
      <c r="S887" s="2"/>
      <c r="T887" s="2"/>
      <c r="U887" s="2"/>
      <c r="V887" s="2"/>
      <c r="W887" s="2"/>
      <c r="X887" s="2"/>
      <c r="Y887" s="2"/>
      <c r="Z887" s="2"/>
    </row>
    <row r="888" spans="1:26" ht="18" x14ac:dyDescent="0.3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3"/>
      <c r="O888" s="2"/>
      <c r="P888" s="2"/>
      <c r="Q888" s="4"/>
      <c r="R888" s="5"/>
      <c r="S888" s="2"/>
      <c r="T888" s="2"/>
      <c r="U888" s="2"/>
      <c r="V888" s="2"/>
      <c r="W888" s="2"/>
      <c r="X888" s="2"/>
      <c r="Y888" s="2"/>
      <c r="Z888" s="2"/>
    </row>
    <row r="889" spans="1:26" ht="18" x14ac:dyDescent="0.3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3"/>
      <c r="O889" s="2"/>
      <c r="P889" s="2"/>
      <c r="Q889" s="4"/>
      <c r="R889" s="5"/>
      <c r="S889" s="2"/>
      <c r="T889" s="2"/>
      <c r="U889" s="2"/>
      <c r="V889" s="2"/>
      <c r="W889" s="2"/>
      <c r="X889" s="2"/>
      <c r="Y889" s="2"/>
      <c r="Z889" s="2"/>
    </row>
    <row r="890" spans="1:26" ht="18" x14ac:dyDescent="0.3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3"/>
      <c r="O890" s="2"/>
      <c r="P890" s="2"/>
      <c r="Q890" s="4"/>
      <c r="R890" s="5"/>
      <c r="S890" s="2"/>
      <c r="T890" s="2"/>
      <c r="U890" s="2"/>
      <c r="V890" s="2"/>
      <c r="W890" s="2"/>
      <c r="X890" s="2"/>
      <c r="Y890" s="2"/>
      <c r="Z890" s="2"/>
    </row>
    <row r="891" spans="1:26" ht="18" x14ac:dyDescent="0.3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3"/>
      <c r="O891" s="2"/>
      <c r="P891" s="2"/>
      <c r="Q891" s="4"/>
      <c r="R891" s="5"/>
      <c r="S891" s="2"/>
      <c r="T891" s="2"/>
      <c r="U891" s="2"/>
      <c r="V891" s="2"/>
      <c r="W891" s="2"/>
      <c r="X891" s="2"/>
      <c r="Y891" s="2"/>
      <c r="Z891" s="2"/>
    </row>
    <row r="892" spans="1:26" ht="18" x14ac:dyDescent="0.3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3"/>
      <c r="O892" s="2"/>
      <c r="P892" s="2"/>
      <c r="Q892" s="4"/>
      <c r="R892" s="5"/>
      <c r="S892" s="2"/>
      <c r="T892" s="2"/>
      <c r="U892" s="2"/>
      <c r="V892" s="2"/>
      <c r="W892" s="2"/>
      <c r="X892" s="2"/>
      <c r="Y892" s="2"/>
      <c r="Z892" s="2"/>
    </row>
    <row r="893" spans="1:26" ht="18" x14ac:dyDescent="0.3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3"/>
      <c r="O893" s="2"/>
      <c r="P893" s="2"/>
      <c r="Q893" s="4"/>
      <c r="R893" s="5"/>
      <c r="S893" s="2"/>
      <c r="T893" s="2"/>
      <c r="U893" s="2"/>
      <c r="V893" s="2"/>
      <c r="W893" s="2"/>
      <c r="X893" s="2"/>
      <c r="Y893" s="2"/>
      <c r="Z893" s="2"/>
    </row>
    <row r="894" spans="1:26" ht="18" x14ac:dyDescent="0.3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3"/>
      <c r="O894" s="2"/>
      <c r="P894" s="2"/>
      <c r="Q894" s="4"/>
      <c r="R894" s="5"/>
      <c r="S894" s="2"/>
      <c r="T894" s="2"/>
      <c r="U894" s="2"/>
      <c r="V894" s="2"/>
      <c r="W894" s="2"/>
      <c r="X894" s="2"/>
      <c r="Y894" s="2"/>
      <c r="Z894" s="2"/>
    </row>
    <row r="895" spans="1:26" ht="18" x14ac:dyDescent="0.3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3"/>
      <c r="O895" s="2"/>
      <c r="P895" s="2"/>
      <c r="Q895" s="4"/>
      <c r="R895" s="5"/>
      <c r="S895" s="2"/>
      <c r="T895" s="2"/>
      <c r="U895" s="2"/>
      <c r="V895" s="2"/>
      <c r="W895" s="2"/>
      <c r="X895" s="2"/>
      <c r="Y895" s="2"/>
      <c r="Z895" s="2"/>
    </row>
    <row r="896" spans="1:26" ht="18" x14ac:dyDescent="0.3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3"/>
      <c r="O896" s="2"/>
      <c r="P896" s="2"/>
      <c r="Q896" s="4"/>
      <c r="R896" s="5"/>
      <c r="S896" s="2"/>
      <c r="T896" s="2"/>
      <c r="U896" s="2"/>
      <c r="V896" s="2"/>
      <c r="W896" s="2"/>
      <c r="X896" s="2"/>
      <c r="Y896" s="2"/>
      <c r="Z896" s="2"/>
    </row>
    <row r="897" spans="1:26" ht="18" x14ac:dyDescent="0.3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3"/>
      <c r="O897" s="2"/>
      <c r="P897" s="2"/>
      <c r="Q897" s="4"/>
      <c r="R897" s="5"/>
      <c r="S897" s="2"/>
      <c r="T897" s="2"/>
      <c r="U897" s="2"/>
      <c r="V897" s="2"/>
      <c r="W897" s="2"/>
      <c r="X897" s="2"/>
      <c r="Y897" s="2"/>
      <c r="Z897" s="2"/>
    </row>
    <row r="898" spans="1:26" ht="18" x14ac:dyDescent="0.3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3"/>
      <c r="O898" s="2"/>
      <c r="P898" s="2"/>
      <c r="Q898" s="4"/>
      <c r="R898" s="5"/>
      <c r="S898" s="2"/>
      <c r="T898" s="2"/>
      <c r="U898" s="2"/>
      <c r="V898" s="2"/>
      <c r="W898" s="2"/>
      <c r="X898" s="2"/>
      <c r="Y898" s="2"/>
      <c r="Z898" s="2"/>
    </row>
    <row r="899" spans="1:26" ht="18" x14ac:dyDescent="0.3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3"/>
      <c r="O899" s="2"/>
      <c r="P899" s="2"/>
      <c r="Q899" s="4"/>
      <c r="R899" s="5"/>
      <c r="S899" s="2"/>
      <c r="T899" s="2"/>
      <c r="U899" s="2"/>
      <c r="V899" s="2"/>
      <c r="W899" s="2"/>
      <c r="X899" s="2"/>
      <c r="Y899" s="2"/>
      <c r="Z899" s="2"/>
    </row>
    <row r="900" spans="1:26" ht="18" x14ac:dyDescent="0.3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3"/>
      <c r="O900" s="2"/>
      <c r="P900" s="2"/>
      <c r="Q900" s="4"/>
      <c r="R900" s="5"/>
      <c r="S900" s="2"/>
      <c r="T900" s="2"/>
      <c r="U900" s="2"/>
      <c r="V900" s="2"/>
      <c r="W900" s="2"/>
      <c r="X900" s="2"/>
      <c r="Y900" s="2"/>
      <c r="Z900" s="2"/>
    </row>
    <row r="901" spans="1:26" ht="18" x14ac:dyDescent="0.3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3"/>
      <c r="O901" s="2"/>
      <c r="P901" s="2"/>
      <c r="Q901" s="4"/>
      <c r="R901" s="5"/>
      <c r="S901" s="2"/>
      <c r="T901" s="2"/>
      <c r="U901" s="2"/>
      <c r="V901" s="2"/>
      <c r="W901" s="2"/>
      <c r="X901" s="2"/>
      <c r="Y901" s="2"/>
      <c r="Z901" s="2"/>
    </row>
    <row r="902" spans="1:26" ht="18" x14ac:dyDescent="0.3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3"/>
      <c r="O902" s="2"/>
      <c r="P902" s="2"/>
      <c r="Q902" s="4"/>
      <c r="R902" s="5"/>
      <c r="S902" s="2"/>
      <c r="T902" s="2"/>
      <c r="U902" s="2"/>
      <c r="V902" s="2"/>
      <c r="W902" s="2"/>
      <c r="X902" s="2"/>
      <c r="Y902" s="2"/>
      <c r="Z902" s="2"/>
    </row>
    <row r="903" spans="1:26" ht="18" x14ac:dyDescent="0.3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3"/>
      <c r="O903" s="2"/>
      <c r="P903" s="2"/>
      <c r="Q903" s="4"/>
      <c r="R903" s="5"/>
      <c r="S903" s="2"/>
      <c r="T903" s="2"/>
      <c r="U903" s="2"/>
      <c r="V903" s="2"/>
      <c r="W903" s="2"/>
      <c r="X903" s="2"/>
      <c r="Y903" s="2"/>
      <c r="Z903" s="2"/>
    </row>
    <row r="904" spans="1:26" ht="18" x14ac:dyDescent="0.3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3"/>
      <c r="O904" s="2"/>
      <c r="P904" s="2"/>
      <c r="Q904" s="4"/>
      <c r="R904" s="5"/>
      <c r="S904" s="2"/>
      <c r="T904" s="2"/>
      <c r="U904" s="2"/>
      <c r="V904" s="2"/>
      <c r="W904" s="2"/>
      <c r="X904" s="2"/>
      <c r="Y904" s="2"/>
      <c r="Z904" s="2"/>
    </row>
    <row r="905" spans="1:26" ht="18" x14ac:dyDescent="0.3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3"/>
      <c r="O905" s="2"/>
      <c r="P905" s="2"/>
      <c r="Q905" s="4"/>
      <c r="R905" s="5"/>
      <c r="S905" s="2"/>
      <c r="T905" s="2"/>
      <c r="U905" s="2"/>
      <c r="V905" s="2"/>
      <c r="W905" s="2"/>
      <c r="X905" s="2"/>
      <c r="Y905" s="2"/>
      <c r="Z905" s="2"/>
    </row>
    <row r="906" spans="1:26" ht="18" x14ac:dyDescent="0.3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3"/>
      <c r="O906" s="2"/>
      <c r="P906" s="2"/>
      <c r="Q906" s="4"/>
      <c r="R906" s="5"/>
      <c r="S906" s="2"/>
      <c r="T906" s="2"/>
      <c r="U906" s="2"/>
      <c r="V906" s="2"/>
      <c r="W906" s="2"/>
      <c r="X906" s="2"/>
      <c r="Y906" s="2"/>
      <c r="Z906" s="2"/>
    </row>
    <row r="907" spans="1:26" ht="18" x14ac:dyDescent="0.3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3"/>
      <c r="O907" s="2"/>
      <c r="P907" s="2"/>
      <c r="Q907" s="4"/>
      <c r="R907" s="5"/>
      <c r="S907" s="2"/>
      <c r="T907" s="2"/>
      <c r="U907" s="2"/>
      <c r="V907" s="2"/>
      <c r="W907" s="2"/>
      <c r="X907" s="2"/>
      <c r="Y907" s="2"/>
      <c r="Z907" s="2"/>
    </row>
    <row r="908" spans="1:26" ht="18" x14ac:dyDescent="0.3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3"/>
      <c r="O908" s="2"/>
      <c r="P908" s="2"/>
      <c r="Q908" s="4"/>
      <c r="R908" s="5"/>
      <c r="S908" s="2"/>
      <c r="T908" s="2"/>
      <c r="U908" s="2"/>
      <c r="V908" s="2"/>
      <c r="W908" s="2"/>
      <c r="X908" s="2"/>
      <c r="Y908" s="2"/>
      <c r="Z908" s="2"/>
    </row>
    <row r="909" spans="1:26" ht="18" x14ac:dyDescent="0.3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3"/>
      <c r="O909" s="2"/>
      <c r="P909" s="2"/>
      <c r="Q909" s="4"/>
      <c r="R909" s="5"/>
      <c r="S909" s="2"/>
      <c r="T909" s="2"/>
      <c r="U909" s="2"/>
      <c r="V909" s="2"/>
      <c r="W909" s="2"/>
      <c r="X909" s="2"/>
      <c r="Y909" s="2"/>
      <c r="Z909" s="2"/>
    </row>
    <row r="910" spans="1:26" ht="18" x14ac:dyDescent="0.3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3"/>
      <c r="O910" s="2"/>
      <c r="P910" s="2"/>
      <c r="Q910" s="4"/>
      <c r="R910" s="5"/>
      <c r="S910" s="2"/>
      <c r="T910" s="2"/>
      <c r="U910" s="2"/>
      <c r="V910" s="2"/>
      <c r="W910" s="2"/>
      <c r="X910" s="2"/>
      <c r="Y910" s="2"/>
      <c r="Z910" s="2"/>
    </row>
    <row r="911" spans="1:26" ht="18" x14ac:dyDescent="0.3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3"/>
      <c r="O911" s="2"/>
      <c r="P911" s="2"/>
      <c r="Q911" s="4"/>
      <c r="R911" s="5"/>
      <c r="S911" s="2"/>
      <c r="T911" s="2"/>
      <c r="U911" s="2"/>
      <c r="V911" s="2"/>
      <c r="W911" s="2"/>
      <c r="X911" s="2"/>
      <c r="Y911" s="2"/>
      <c r="Z911" s="2"/>
    </row>
    <row r="912" spans="1:26" ht="18" x14ac:dyDescent="0.3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3"/>
      <c r="O912" s="2"/>
      <c r="P912" s="2"/>
      <c r="Q912" s="4"/>
      <c r="R912" s="5"/>
      <c r="S912" s="2"/>
      <c r="T912" s="2"/>
      <c r="U912" s="2"/>
      <c r="V912" s="2"/>
      <c r="W912" s="2"/>
      <c r="X912" s="2"/>
      <c r="Y912" s="2"/>
      <c r="Z912" s="2"/>
    </row>
    <row r="913" spans="1:26" ht="18" x14ac:dyDescent="0.3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3"/>
      <c r="O913" s="2"/>
      <c r="P913" s="2"/>
      <c r="Q913" s="4"/>
      <c r="R913" s="5"/>
      <c r="S913" s="2"/>
      <c r="T913" s="2"/>
      <c r="U913" s="2"/>
      <c r="V913" s="2"/>
      <c r="W913" s="2"/>
      <c r="X913" s="2"/>
      <c r="Y913" s="2"/>
      <c r="Z913" s="2"/>
    </row>
    <row r="914" spans="1:26" ht="18" x14ac:dyDescent="0.3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3"/>
      <c r="O914" s="2"/>
      <c r="P914" s="2"/>
      <c r="Q914" s="4"/>
      <c r="R914" s="5"/>
      <c r="S914" s="2"/>
      <c r="T914" s="2"/>
      <c r="U914" s="2"/>
      <c r="V914" s="2"/>
      <c r="W914" s="2"/>
      <c r="X914" s="2"/>
      <c r="Y914" s="2"/>
      <c r="Z914" s="2"/>
    </row>
    <row r="915" spans="1:26" ht="18" x14ac:dyDescent="0.3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3"/>
      <c r="O915" s="2"/>
      <c r="P915" s="2"/>
      <c r="Q915" s="4"/>
      <c r="R915" s="5"/>
      <c r="S915" s="2"/>
      <c r="T915" s="2"/>
      <c r="U915" s="2"/>
      <c r="V915" s="2"/>
      <c r="W915" s="2"/>
      <c r="X915" s="2"/>
      <c r="Y915" s="2"/>
      <c r="Z915" s="2"/>
    </row>
    <row r="916" spans="1:26" ht="18" x14ac:dyDescent="0.3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3"/>
      <c r="O916" s="2"/>
      <c r="P916" s="2"/>
      <c r="Q916" s="4"/>
      <c r="R916" s="5"/>
      <c r="S916" s="2"/>
      <c r="T916" s="2"/>
      <c r="U916" s="2"/>
      <c r="V916" s="2"/>
      <c r="W916" s="2"/>
      <c r="X916" s="2"/>
      <c r="Y916" s="2"/>
      <c r="Z916" s="2"/>
    </row>
    <row r="917" spans="1:26" ht="18" x14ac:dyDescent="0.3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3"/>
      <c r="O917" s="2"/>
      <c r="P917" s="2"/>
      <c r="Q917" s="4"/>
      <c r="R917" s="5"/>
      <c r="S917" s="2"/>
      <c r="T917" s="2"/>
      <c r="U917" s="2"/>
      <c r="V917" s="2"/>
      <c r="W917" s="2"/>
      <c r="X917" s="2"/>
      <c r="Y917" s="2"/>
      <c r="Z917" s="2"/>
    </row>
    <row r="918" spans="1:26" ht="18" x14ac:dyDescent="0.3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3"/>
      <c r="O918" s="2"/>
      <c r="P918" s="2"/>
      <c r="Q918" s="4"/>
      <c r="R918" s="5"/>
      <c r="S918" s="2"/>
      <c r="T918" s="2"/>
      <c r="U918" s="2"/>
      <c r="V918" s="2"/>
      <c r="W918" s="2"/>
      <c r="X918" s="2"/>
      <c r="Y918" s="2"/>
      <c r="Z918" s="2"/>
    </row>
    <row r="919" spans="1:26" ht="18" x14ac:dyDescent="0.3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3"/>
      <c r="O919" s="2"/>
      <c r="P919" s="2"/>
      <c r="Q919" s="4"/>
      <c r="R919" s="5"/>
      <c r="S919" s="2"/>
      <c r="T919" s="2"/>
      <c r="U919" s="2"/>
      <c r="V919" s="2"/>
      <c r="W919" s="2"/>
      <c r="X919" s="2"/>
      <c r="Y919" s="2"/>
      <c r="Z919" s="2"/>
    </row>
    <row r="920" spans="1:26" ht="18" x14ac:dyDescent="0.3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3"/>
      <c r="O920" s="2"/>
      <c r="P920" s="2"/>
      <c r="Q920" s="4"/>
      <c r="R920" s="5"/>
      <c r="S920" s="2"/>
      <c r="T920" s="2"/>
      <c r="U920" s="2"/>
      <c r="V920" s="2"/>
      <c r="W920" s="2"/>
      <c r="X920" s="2"/>
      <c r="Y920" s="2"/>
      <c r="Z920" s="2"/>
    </row>
    <row r="921" spans="1:26" ht="18" x14ac:dyDescent="0.3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3"/>
      <c r="O921" s="2"/>
      <c r="P921" s="2"/>
      <c r="Q921" s="4"/>
      <c r="R921" s="5"/>
      <c r="S921" s="2"/>
      <c r="T921" s="2"/>
      <c r="U921" s="2"/>
      <c r="V921" s="2"/>
      <c r="W921" s="2"/>
      <c r="X921" s="2"/>
      <c r="Y921" s="2"/>
      <c r="Z921" s="2"/>
    </row>
    <row r="922" spans="1:26" ht="18" x14ac:dyDescent="0.3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3"/>
      <c r="O922" s="2"/>
      <c r="P922" s="2"/>
      <c r="Q922" s="4"/>
      <c r="R922" s="5"/>
      <c r="S922" s="2"/>
      <c r="T922" s="2"/>
      <c r="U922" s="2"/>
      <c r="V922" s="2"/>
      <c r="W922" s="2"/>
      <c r="X922" s="2"/>
      <c r="Y922" s="2"/>
      <c r="Z922" s="2"/>
    </row>
    <row r="923" spans="1:26" ht="18" x14ac:dyDescent="0.3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3"/>
      <c r="O923" s="2"/>
      <c r="P923" s="2"/>
      <c r="Q923" s="4"/>
      <c r="R923" s="5"/>
      <c r="S923" s="2"/>
      <c r="T923" s="2"/>
      <c r="U923" s="2"/>
      <c r="V923" s="2"/>
      <c r="W923" s="2"/>
      <c r="X923" s="2"/>
      <c r="Y923" s="2"/>
      <c r="Z923" s="2"/>
    </row>
    <row r="924" spans="1:26" ht="18" x14ac:dyDescent="0.3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3"/>
      <c r="O924" s="2"/>
      <c r="P924" s="2"/>
      <c r="Q924" s="4"/>
      <c r="R924" s="5"/>
      <c r="S924" s="2"/>
      <c r="T924" s="2"/>
      <c r="U924" s="2"/>
      <c r="V924" s="2"/>
      <c r="W924" s="2"/>
      <c r="X924" s="2"/>
      <c r="Y924" s="2"/>
      <c r="Z924" s="2"/>
    </row>
    <row r="925" spans="1:26" ht="18" x14ac:dyDescent="0.3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3"/>
      <c r="O925" s="2"/>
      <c r="P925" s="2"/>
      <c r="Q925" s="4"/>
      <c r="R925" s="5"/>
      <c r="S925" s="2"/>
      <c r="T925" s="2"/>
      <c r="U925" s="2"/>
      <c r="V925" s="2"/>
      <c r="W925" s="2"/>
      <c r="X925" s="2"/>
      <c r="Y925" s="2"/>
      <c r="Z925" s="2"/>
    </row>
    <row r="926" spans="1:26" ht="18" x14ac:dyDescent="0.3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3"/>
      <c r="O926" s="2"/>
      <c r="P926" s="2"/>
      <c r="Q926" s="4"/>
      <c r="R926" s="5"/>
      <c r="S926" s="2"/>
      <c r="T926" s="2"/>
      <c r="U926" s="2"/>
      <c r="V926" s="2"/>
      <c r="W926" s="2"/>
      <c r="X926" s="2"/>
      <c r="Y926" s="2"/>
      <c r="Z926" s="2"/>
    </row>
    <row r="927" spans="1:26" ht="18" x14ac:dyDescent="0.3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3"/>
      <c r="O927" s="2"/>
      <c r="P927" s="2"/>
      <c r="Q927" s="4"/>
      <c r="R927" s="5"/>
      <c r="S927" s="2"/>
      <c r="T927" s="2"/>
      <c r="U927" s="2"/>
      <c r="V927" s="2"/>
      <c r="W927" s="2"/>
      <c r="X927" s="2"/>
      <c r="Y927" s="2"/>
      <c r="Z927" s="2"/>
    </row>
    <row r="928" spans="1:26" ht="18" x14ac:dyDescent="0.3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3"/>
      <c r="O928" s="2"/>
      <c r="P928" s="2"/>
      <c r="Q928" s="4"/>
      <c r="R928" s="5"/>
      <c r="S928" s="2"/>
      <c r="T928" s="2"/>
      <c r="U928" s="2"/>
      <c r="V928" s="2"/>
      <c r="W928" s="2"/>
      <c r="X928" s="2"/>
      <c r="Y928" s="2"/>
      <c r="Z928" s="2"/>
    </row>
    <row r="929" spans="1:26" ht="18" x14ac:dyDescent="0.3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3"/>
      <c r="O929" s="2"/>
      <c r="P929" s="2"/>
      <c r="Q929" s="4"/>
      <c r="R929" s="5"/>
      <c r="S929" s="2"/>
      <c r="T929" s="2"/>
      <c r="U929" s="2"/>
      <c r="V929" s="2"/>
      <c r="W929" s="2"/>
      <c r="X929" s="2"/>
      <c r="Y929" s="2"/>
      <c r="Z929" s="2"/>
    </row>
    <row r="930" spans="1:26" ht="18" x14ac:dyDescent="0.3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3"/>
      <c r="O930" s="2"/>
      <c r="P930" s="2"/>
      <c r="Q930" s="4"/>
      <c r="R930" s="5"/>
      <c r="S930" s="2"/>
      <c r="T930" s="2"/>
      <c r="U930" s="2"/>
      <c r="V930" s="2"/>
      <c r="W930" s="2"/>
      <c r="X930" s="2"/>
      <c r="Y930" s="2"/>
      <c r="Z930" s="2"/>
    </row>
    <row r="931" spans="1:26" ht="18" x14ac:dyDescent="0.3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3"/>
      <c r="O931" s="2"/>
      <c r="P931" s="2"/>
      <c r="Q931" s="4"/>
      <c r="R931" s="5"/>
      <c r="S931" s="2"/>
      <c r="T931" s="2"/>
      <c r="U931" s="2"/>
      <c r="V931" s="2"/>
      <c r="W931" s="2"/>
      <c r="X931" s="2"/>
      <c r="Y931" s="2"/>
      <c r="Z931" s="2"/>
    </row>
    <row r="932" spans="1:26" ht="18" x14ac:dyDescent="0.3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3"/>
      <c r="O932" s="2"/>
      <c r="P932" s="2"/>
      <c r="Q932" s="4"/>
      <c r="R932" s="5"/>
      <c r="S932" s="2"/>
      <c r="T932" s="2"/>
      <c r="U932" s="2"/>
      <c r="V932" s="2"/>
      <c r="W932" s="2"/>
      <c r="X932" s="2"/>
      <c r="Y932" s="2"/>
      <c r="Z932" s="2"/>
    </row>
    <row r="933" spans="1:26" ht="18" x14ac:dyDescent="0.3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3"/>
      <c r="O933" s="2"/>
      <c r="P933" s="2"/>
      <c r="Q933" s="4"/>
      <c r="R933" s="5"/>
      <c r="S933" s="2"/>
      <c r="T933" s="2"/>
      <c r="U933" s="2"/>
      <c r="V933" s="2"/>
      <c r="W933" s="2"/>
      <c r="X933" s="2"/>
      <c r="Y933" s="2"/>
      <c r="Z933" s="2"/>
    </row>
    <row r="934" spans="1:26" ht="18" x14ac:dyDescent="0.3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3"/>
      <c r="O934" s="2"/>
      <c r="P934" s="2"/>
      <c r="Q934" s="4"/>
      <c r="R934" s="5"/>
      <c r="S934" s="2"/>
      <c r="T934" s="2"/>
      <c r="U934" s="2"/>
      <c r="V934" s="2"/>
      <c r="W934" s="2"/>
      <c r="X934" s="2"/>
      <c r="Y934" s="2"/>
      <c r="Z934" s="2"/>
    </row>
    <row r="935" spans="1:26" ht="18" x14ac:dyDescent="0.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3"/>
      <c r="O935" s="2"/>
      <c r="P935" s="2"/>
      <c r="Q935" s="4"/>
      <c r="R935" s="5"/>
      <c r="S935" s="2"/>
      <c r="T935" s="2"/>
      <c r="U935" s="2"/>
      <c r="V935" s="2"/>
      <c r="W935" s="2"/>
      <c r="X935" s="2"/>
      <c r="Y935" s="2"/>
      <c r="Z935" s="2"/>
    </row>
    <row r="936" spans="1:26" ht="18" x14ac:dyDescent="0.3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3"/>
      <c r="O936" s="2"/>
      <c r="P936" s="2"/>
      <c r="Q936" s="4"/>
      <c r="R936" s="5"/>
      <c r="S936" s="2"/>
      <c r="T936" s="2"/>
      <c r="U936" s="2"/>
      <c r="V936" s="2"/>
      <c r="W936" s="2"/>
      <c r="X936" s="2"/>
      <c r="Y936" s="2"/>
      <c r="Z936" s="2"/>
    </row>
    <row r="937" spans="1:26" ht="18" x14ac:dyDescent="0.3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3"/>
      <c r="O937" s="2"/>
      <c r="P937" s="2"/>
      <c r="Q937" s="4"/>
      <c r="R937" s="5"/>
      <c r="S937" s="2"/>
      <c r="T937" s="2"/>
      <c r="U937" s="2"/>
      <c r="V937" s="2"/>
      <c r="W937" s="2"/>
      <c r="X937" s="2"/>
      <c r="Y937" s="2"/>
      <c r="Z937" s="2"/>
    </row>
    <row r="938" spans="1:26" ht="18" x14ac:dyDescent="0.3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3"/>
      <c r="O938" s="2"/>
      <c r="P938" s="2"/>
      <c r="Q938" s="4"/>
      <c r="R938" s="5"/>
      <c r="S938" s="2"/>
      <c r="T938" s="2"/>
      <c r="U938" s="2"/>
      <c r="V938" s="2"/>
      <c r="W938" s="2"/>
      <c r="X938" s="2"/>
      <c r="Y938" s="2"/>
      <c r="Z938" s="2"/>
    </row>
    <row r="939" spans="1:26" ht="18" x14ac:dyDescent="0.3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3"/>
      <c r="O939" s="2"/>
      <c r="P939" s="2"/>
      <c r="Q939" s="4"/>
      <c r="R939" s="5"/>
      <c r="S939" s="2"/>
      <c r="T939" s="2"/>
      <c r="U939" s="2"/>
      <c r="V939" s="2"/>
      <c r="W939" s="2"/>
      <c r="X939" s="2"/>
      <c r="Y939" s="2"/>
      <c r="Z939" s="2"/>
    </row>
    <row r="940" spans="1:26" ht="18" x14ac:dyDescent="0.3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3"/>
      <c r="O940" s="2"/>
      <c r="P940" s="2"/>
      <c r="Q940" s="4"/>
      <c r="R940" s="5"/>
      <c r="S940" s="2"/>
      <c r="T940" s="2"/>
      <c r="U940" s="2"/>
      <c r="V940" s="2"/>
      <c r="W940" s="2"/>
      <c r="X940" s="2"/>
      <c r="Y940" s="2"/>
      <c r="Z940" s="2"/>
    </row>
    <row r="941" spans="1:26" ht="18" x14ac:dyDescent="0.3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3"/>
      <c r="O941" s="2"/>
      <c r="P941" s="2"/>
      <c r="Q941" s="4"/>
      <c r="R941" s="5"/>
      <c r="S941" s="2"/>
      <c r="T941" s="2"/>
      <c r="U941" s="2"/>
      <c r="V941" s="2"/>
      <c r="W941" s="2"/>
      <c r="X941" s="2"/>
      <c r="Y941" s="2"/>
      <c r="Z941" s="2"/>
    </row>
    <row r="942" spans="1:26" ht="18" x14ac:dyDescent="0.3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3"/>
      <c r="O942" s="2"/>
      <c r="P942" s="2"/>
      <c r="Q942" s="4"/>
      <c r="R942" s="5"/>
      <c r="S942" s="2"/>
      <c r="T942" s="2"/>
      <c r="U942" s="2"/>
      <c r="V942" s="2"/>
      <c r="W942" s="2"/>
      <c r="X942" s="2"/>
      <c r="Y942" s="2"/>
      <c r="Z942" s="2"/>
    </row>
    <row r="943" spans="1:26" ht="18" x14ac:dyDescent="0.3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3"/>
      <c r="O943" s="2"/>
      <c r="P943" s="2"/>
      <c r="Q943" s="4"/>
      <c r="R943" s="5"/>
      <c r="S943" s="2"/>
      <c r="T943" s="2"/>
      <c r="U943" s="2"/>
      <c r="V943" s="2"/>
      <c r="W943" s="2"/>
      <c r="X943" s="2"/>
      <c r="Y943" s="2"/>
      <c r="Z943" s="2"/>
    </row>
    <row r="944" spans="1:26" ht="18" x14ac:dyDescent="0.3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3"/>
      <c r="O944" s="2"/>
      <c r="P944" s="2"/>
      <c r="Q944" s="4"/>
      <c r="R944" s="5"/>
      <c r="S944" s="2"/>
      <c r="T944" s="2"/>
      <c r="U944" s="2"/>
      <c r="V944" s="2"/>
      <c r="W944" s="2"/>
      <c r="X944" s="2"/>
      <c r="Y944" s="2"/>
      <c r="Z944" s="2"/>
    </row>
    <row r="945" spans="1:26" ht="18" x14ac:dyDescent="0.3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3"/>
      <c r="O945" s="2"/>
      <c r="P945" s="2"/>
      <c r="Q945" s="4"/>
      <c r="R945" s="5"/>
      <c r="S945" s="2"/>
      <c r="T945" s="2"/>
      <c r="U945" s="2"/>
      <c r="V945" s="2"/>
      <c r="W945" s="2"/>
      <c r="X945" s="2"/>
      <c r="Y945" s="2"/>
      <c r="Z945" s="2"/>
    </row>
    <row r="946" spans="1:26" ht="18" x14ac:dyDescent="0.3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3"/>
      <c r="O946" s="2"/>
      <c r="P946" s="2"/>
      <c r="Q946" s="4"/>
      <c r="R946" s="5"/>
      <c r="S946" s="2"/>
      <c r="T946" s="2"/>
      <c r="U946" s="2"/>
      <c r="V946" s="2"/>
      <c r="W946" s="2"/>
      <c r="X946" s="2"/>
      <c r="Y946" s="2"/>
      <c r="Z946" s="2"/>
    </row>
    <row r="947" spans="1:26" ht="18" x14ac:dyDescent="0.3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3"/>
      <c r="O947" s="2"/>
      <c r="P947" s="2"/>
      <c r="Q947" s="4"/>
      <c r="R947" s="5"/>
      <c r="S947" s="2"/>
      <c r="T947" s="2"/>
      <c r="U947" s="2"/>
      <c r="V947" s="2"/>
      <c r="W947" s="2"/>
      <c r="X947" s="2"/>
      <c r="Y947" s="2"/>
      <c r="Z947" s="2"/>
    </row>
    <row r="948" spans="1:26" ht="18" x14ac:dyDescent="0.3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3"/>
      <c r="O948" s="2"/>
      <c r="P948" s="2"/>
      <c r="Q948" s="4"/>
      <c r="R948" s="5"/>
      <c r="S948" s="2"/>
      <c r="T948" s="2"/>
      <c r="U948" s="2"/>
      <c r="V948" s="2"/>
      <c r="W948" s="2"/>
      <c r="X948" s="2"/>
      <c r="Y948" s="2"/>
      <c r="Z948" s="2"/>
    </row>
    <row r="949" spans="1:26" ht="18" x14ac:dyDescent="0.3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3"/>
      <c r="O949" s="2"/>
      <c r="P949" s="2"/>
      <c r="Q949" s="4"/>
      <c r="R949" s="5"/>
      <c r="S949" s="2"/>
      <c r="T949" s="2"/>
      <c r="U949" s="2"/>
      <c r="V949" s="2"/>
      <c r="W949" s="2"/>
      <c r="X949" s="2"/>
      <c r="Y949" s="2"/>
      <c r="Z949" s="2"/>
    </row>
    <row r="950" spans="1:26" ht="18" x14ac:dyDescent="0.3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3"/>
      <c r="O950" s="2"/>
      <c r="P950" s="2"/>
      <c r="Q950" s="4"/>
      <c r="R950" s="5"/>
      <c r="S950" s="2"/>
      <c r="T950" s="2"/>
      <c r="U950" s="2"/>
      <c r="V950" s="2"/>
      <c r="W950" s="2"/>
      <c r="X950" s="2"/>
      <c r="Y950" s="2"/>
      <c r="Z950" s="2"/>
    </row>
    <row r="951" spans="1:26" ht="18" x14ac:dyDescent="0.3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3"/>
      <c r="O951" s="2"/>
      <c r="P951" s="2"/>
      <c r="Q951" s="4"/>
      <c r="R951" s="5"/>
      <c r="S951" s="2"/>
      <c r="T951" s="2"/>
      <c r="U951" s="2"/>
      <c r="V951" s="2"/>
      <c r="W951" s="2"/>
      <c r="X951" s="2"/>
      <c r="Y951" s="2"/>
      <c r="Z951" s="2"/>
    </row>
    <row r="952" spans="1:26" ht="18" x14ac:dyDescent="0.3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3"/>
      <c r="O952" s="2"/>
      <c r="P952" s="2"/>
      <c r="Q952" s="4"/>
      <c r="R952" s="5"/>
      <c r="S952" s="2"/>
      <c r="T952" s="2"/>
      <c r="U952" s="2"/>
      <c r="V952" s="2"/>
      <c r="W952" s="2"/>
      <c r="X952" s="2"/>
      <c r="Y952" s="2"/>
      <c r="Z952" s="2"/>
    </row>
    <row r="953" spans="1:26" ht="18" x14ac:dyDescent="0.3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3"/>
      <c r="O953" s="2"/>
      <c r="P953" s="2"/>
      <c r="Q953" s="4"/>
      <c r="R953" s="5"/>
      <c r="S953" s="2"/>
      <c r="T953" s="2"/>
      <c r="U953" s="2"/>
      <c r="V953" s="2"/>
      <c r="W953" s="2"/>
      <c r="X953" s="2"/>
      <c r="Y953" s="2"/>
      <c r="Z953" s="2"/>
    </row>
    <row r="954" spans="1:26" ht="18" x14ac:dyDescent="0.3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3"/>
      <c r="O954" s="2"/>
      <c r="P954" s="2"/>
      <c r="Q954" s="4"/>
      <c r="R954" s="5"/>
      <c r="S954" s="2"/>
      <c r="T954" s="2"/>
      <c r="U954" s="2"/>
      <c r="V954" s="2"/>
      <c r="W954" s="2"/>
      <c r="X954" s="2"/>
      <c r="Y954" s="2"/>
      <c r="Z954" s="2"/>
    </row>
    <row r="955" spans="1:26" ht="18" x14ac:dyDescent="0.3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3"/>
      <c r="O955" s="2"/>
      <c r="P955" s="2"/>
      <c r="Q955" s="4"/>
      <c r="R955" s="5"/>
      <c r="S955" s="2"/>
      <c r="T955" s="2"/>
      <c r="U955" s="2"/>
      <c r="V955" s="2"/>
      <c r="W955" s="2"/>
      <c r="X955" s="2"/>
      <c r="Y955" s="2"/>
      <c r="Z955" s="2"/>
    </row>
    <row r="956" spans="1:26" ht="18" x14ac:dyDescent="0.3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3"/>
      <c r="O956" s="2"/>
      <c r="P956" s="2"/>
      <c r="Q956" s="4"/>
      <c r="R956" s="5"/>
      <c r="S956" s="2"/>
      <c r="T956" s="2"/>
      <c r="U956" s="2"/>
      <c r="V956" s="2"/>
      <c r="W956" s="2"/>
      <c r="X956" s="2"/>
      <c r="Y956" s="2"/>
      <c r="Z956" s="2"/>
    </row>
    <row r="957" spans="1:26" ht="18" x14ac:dyDescent="0.3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3"/>
      <c r="O957" s="2"/>
      <c r="P957" s="2"/>
      <c r="Q957" s="4"/>
      <c r="R957" s="5"/>
      <c r="S957" s="2"/>
      <c r="T957" s="2"/>
      <c r="U957" s="2"/>
      <c r="V957" s="2"/>
      <c r="W957" s="2"/>
      <c r="X957" s="2"/>
      <c r="Y957" s="2"/>
      <c r="Z957" s="2"/>
    </row>
    <row r="958" spans="1:26" ht="18" x14ac:dyDescent="0.3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3"/>
      <c r="O958" s="2"/>
      <c r="P958" s="2"/>
      <c r="Q958" s="4"/>
      <c r="R958" s="5"/>
      <c r="S958" s="2"/>
      <c r="T958" s="2"/>
      <c r="U958" s="2"/>
      <c r="V958" s="2"/>
      <c r="W958" s="2"/>
      <c r="X958" s="2"/>
      <c r="Y958" s="2"/>
      <c r="Z958" s="2"/>
    </row>
    <row r="959" spans="1:26" ht="18" x14ac:dyDescent="0.3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3"/>
      <c r="O959" s="2"/>
      <c r="P959" s="2"/>
      <c r="Q959" s="4"/>
      <c r="R959" s="5"/>
      <c r="S959" s="2"/>
      <c r="T959" s="2"/>
      <c r="U959" s="2"/>
      <c r="V959" s="2"/>
      <c r="W959" s="2"/>
      <c r="X959" s="2"/>
      <c r="Y959" s="2"/>
      <c r="Z959" s="2"/>
    </row>
    <row r="960" spans="1:26" ht="18" x14ac:dyDescent="0.3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3"/>
      <c r="O960" s="2"/>
      <c r="P960" s="2"/>
      <c r="Q960" s="4"/>
      <c r="R960" s="5"/>
      <c r="S960" s="2"/>
      <c r="T960" s="2"/>
      <c r="U960" s="2"/>
      <c r="V960" s="2"/>
      <c r="W960" s="2"/>
      <c r="X960" s="2"/>
      <c r="Y960" s="2"/>
      <c r="Z960" s="2"/>
    </row>
    <row r="961" spans="1:26" ht="18" x14ac:dyDescent="0.3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3"/>
      <c r="O961" s="2"/>
      <c r="P961" s="2"/>
      <c r="Q961" s="4"/>
      <c r="R961" s="5"/>
      <c r="S961" s="2"/>
      <c r="T961" s="2"/>
      <c r="U961" s="2"/>
      <c r="V961" s="2"/>
      <c r="W961" s="2"/>
      <c r="X961" s="2"/>
      <c r="Y961" s="2"/>
      <c r="Z961" s="2"/>
    </row>
    <row r="962" spans="1:26" ht="18" x14ac:dyDescent="0.3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3"/>
      <c r="O962" s="2"/>
      <c r="P962" s="2"/>
      <c r="Q962" s="4"/>
      <c r="R962" s="5"/>
      <c r="S962" s="2"/>
      <c r="T962" s="2"/>
      <c r="U962" s="2"/>
      <c r="V962" s="2"/>
      <c r="W962" s="2"/>
      <c r="X962" s="2"/>
      <c r="Y962" s="2"/>
      <c r="Z962" s="2"/>
    </row>
    <row r="963" spans="1:26" ht="18" x14ac:dyDescent="0.3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3"/>
      <c r="O963" s="2"/>
      <c r="P963" s="2"/>
      <c r="Q963" s="4"/>
      <c r="R963" s="5"/>
      <c r="S963" s="2"/>
      <c r="T963" s="2"/>
      <c r="U963" s="2"/>
      <c r="V963" s="2"/>
      <c r="W963" s="2"/>
      <c r="X963" s="2"/>
      <c r="Y963" s="2"/>
      <c r="Z963" s="2"/>
    </row>
    <row r="964" spans="1:26" ht="18" x14ac:dyDescent="0.3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3"/>
      <c r="O964" s="2"/>
      <c r="P964" s="2"/>
      <c r="Q964" s="4"/>
      <c r="R964" s="5"/>
      <c r="S964" s="2"/>
      <c r="T964" s="2"/>
      <c r="U964" s="2"/>
      <c r="V964" s="2"/>
      <c r="W964" s="2"/>
      <c r="X964" s="2"/>
      <c r="Y964" s="2"/>
      <c r="Z964" s="2"/>
    </row>
    <row r="965" spans="1:26" ht="18" x14ac:dyDescent="0.3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3"/>
      <c r="O965" s="2"/>
      <c r="P965" s="2"/>
      <c r="Q965" s="4"/>
      <c r="R965" s="5"/>
      <c r="S965" s="2"/>
      <c r="T965" s="2"/>
      <c r="U965" s="2"/>
      <c r="V965" s="2"/>
      <c r="W965" s="2"/>
      <c r="X965" s="2"/>
      <c r="Y965" s="2"/>
      <c r="Z965" s="2"/>
    </row>
    <row r="966" spans="1:26" ht="18" x14ac:dyDescent="0.3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3"/>
      <c r="O966" s="2"/>
      <c r="P966" s="2"/>
      <c r="Q966" s="4"/>
      <c r="R966" s="5"/>
      <c r="S966" s="2"/>
      <c r="T966" s="2"/>
      <c r="U966" s="2"/>
      <c r="V966" s="2"/>
      <c r="W966" s="2"/>
      <c r="X966" s="2"/>
      <c r="Y966" s="2"/>
      <c r="Z966" s="2"/>
    </row>
    <row r="967" spans="1:26" ht="18" x14ac:dyDescent="0.3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3"/>
      <c r="O967" s="2"/>
      <c r="P967" s="2"/>
      <c r="Q967" s="4"/>
      <c r="R967" s="5"/>
      <c r="S967" s="2"/>
      <c r="T967" s="2"/>
      <c r="U967" s="2"/>
      <c r="V967" s="2"/>
      <c r="W967" s="2"/>
      <c r="X967" s="2"/>
      <c r="Y967" s="2"/>
      <c r="Z967" s="2"/>
    </row>
    <row r="968" spans="1:26" ht="18" x14ac:dyDescent="0.3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3"/>
      <c r="O968" s="2"/>
      <c r="P968" s="2"/>
      <c r="Q968" s="4"/>
      <c r="R968" s="5"/>
      <c r="S968" s="2"/>
      <c r="T968" s="2"/>
      <c r="U968" s="2"/>
      <c r="V968" s="2"/>
      <c r="W968" s="2"/>
      <c r="X968" s="2"/>
      <c r="Y968" s="2"/>
      <c r="Z968" s="2"/>
    </row>
    <row r="969" spans="1:26" ht="18" x14ac:dyDescent="0.3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3"/>
      <c r="O969" s="2"/>
      <c r="P969" s="2"/>
      <c r="Q969" s="4"/>
      <c r="R969" s="5"/>
      <c r="S969" s="2"/>
      <c r="T969" s="2"/>
      <c r="U969" s="2"/>
      <c r="V969" s="2"/>
      <c r="W969" s="2"/>
      <c r="X969" s="2"/>
      <c r="Y969" s="2"/>
      <c r="Z969" s="2"/>
    </row>
    <row r="970" spans="1:26" ht="18" x14ac:dyDescent="0.3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3"/>
      <c r="O970" s="2"/>
      <c r="P970" s="2"/>
      <c r="Q970" s="4"/>
      <c r="R970" s="5"/>
      <c r="S970" s="2"/>
      <c r="T970" s="2"/>
      <c r="U970" s="2"/>
      <c r="V970" s="2"/>
      <c r="W970" s="2"/>
      <c r="X970" s="2"/>
      <c r="Y970" s="2"/>
      <c r="Z970" s="2"/>
    </row>
    <row r="971" spans="1:26" ht="18" x14ac:dyDescent="0.3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3"/>
      <c r="O971" s="2"/>
      <c r="P971" s="2"/>
      <c r="Q971" s="4"/>
      <c r="R971" s="5"/>
      <c r="S971" s="2"/>
      <c r="T971" s="2"/>
      <c r="U971" s="2"/>
      <c r="V971" s="2"/>
      <c r="W971" s="2"/>
      <c r="X971" s="2"/>
      <c r="Y971" s="2"/>
      <c r="Z971" s="2"/>
    </row>
    <row r="972" spans="1:26" ht="18" x14ac:dyDescent="0.3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3"/>
      <c r="O972" s="2"/>
      <c r="P972" s="2"/>
      <c r="Q972" s="4"/>
      <c r="R972" s="5"/>
      <c r="S972" s="2"/>
      <c r="T972" s="2"/>
      <c r="U972" s="2"/>
      <c r="V972" s="2"/>
      <c r="W972" s="2"/>
      <c r="X972" s="2"/>
      <c r="Y972" s="2"/>
      <c r="Z972" s="2"/>
    </row>
    <row r="973" spans="1:26" ht="18" x14ac:dyDescent="0.3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3"/>
      <c r="O973" s="2"/>
      <c r="P973" s="2"/>
      <c r="Q973" s="4"/>
      <c r="R973" s="5"/>
      <c r="S973" s="2"/>
      <c r="T973" s="2"/>
      <c r="U973" s="2"/>
      <c r="V973" s="2"/>
      <c r="W973" s="2"/>
      <c r="X973" s="2"/>
      <c r="Y973" s="2"/>
      <c r="Z973" s="2"/>
    </row>
    <row r="974" spans="1:26" ht="18" x14ac:dyDescent="0.3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3"/>
      <c r="O974" s="2"/>
      <c r="P974" s="2"/>
      <c r="Q974" s="4"/>
      <c r="R974" s="5"/>
      <c r="S974" s="2"/>
      <c r="T974" s="2"/>
      <c r="U974" s="2"/>
      <c r="V974" s="2"/>
      <c r="W974" s="2"/>
      <c r="X974" s="2"/>
      <c r="Y974" s="2"/>
      <c r="Z974" s="2"/>
    </row>
    <row r="975" spans="1:26" ht="18" x14ac:dyDescent="0.3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3"/>
      <c r="O975" s="2"/>
      <c r="P975" s="2"/>
      <c r="Q975" s="4"/>
      <c r="R975" s="5"/>
      <c r="S975" s="2"/>
      <c r="T975" s="2"/>
      <c r="U975" s="2"/>
      <c r="V975" s="2"/>
      <c r="W975" s="2"/>
      <c r="X975" s="2"/>
      <c r="Y975" s="2"/>
      <c r="Z975" s="2"/>
    </row>
    <row r="976" spans="1:26" ht="18" x14ac:dyDescent="0.3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3"/>
      <c r="O976" s="2"/>
      <c r="P976" s="2"/>
      <c r="Q976" s="4"/>
      <c r="R976" s="5"/>
      <c r="S976" s="2"/>
      <c r="T976" s="2"/>
      <c r="U976" s="2"/>
      <c r="V976" s="2"/>
      <c r="W976" s="2"/>
      <c r="X976" s="2"/>
      <c r="Y976" s="2"/>
      <c r="Z976" s="2"/>
    </row>
    <row r="977" spans="1:26" ht="18" x14ac:dyDescent="0.3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3"/>
      <c r="O977" s="2"/>
      <c r="P977" s="2"/>
      <c r="Q977" s="4"/>
      <c r="R977" s="5"/>
      <c r="S977" s="2"/>
      <c r="T977" s="2"/>
      <c r="U977" s="2"/>
      <c r="V977" s="2"/>
      <c r="W977" s="2"/>
      <c r="X977" s="2"/>
      <c r="Y977" s="2"/>
      <c r="Z977" s="2"/>
    </row>
    <row r="978" spans="1:26" ht="18" x14ac:dyDescent="0.3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3"/>
      <c r="O978" s="2"/>
      <c r="P978" s="2"/>
      <c r="Q978" s="4"/>
      <c r="R978" s="5"/>
      <c r="S978" s="2"/>
      <c r="T978" s="2"/>
      <c r="U978" s="2"/>
      <c r="V978" s="2"/>
      <c r="W978" s="2"/>
      <c r="X978" s="2"/>
      <c r="Y978" s="2"/>
      <c r="Z978" s="2"/>
    </row>
    <row r="979" spans="1:26" ht="18" x14ac:dyDescent="0.3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3"/>
      <c r="O979" s="2"/>
      <c r="P979" s="2"/>
      <c r="Q979" s="4"/>
      <c r="R979" s="5"/>
      <c r="S979" s="2"/>
      <c r="T979" s="2"/>
      <c r="U979" s="2"/>
      <c r="V979" s="2"/>
      <c r="W979" s="2"/>
      <c r="X979" s="2"/>
      <c r="Y979" s="2"/>
      <c r="Z979" s="2"/>
    </row>
    <row r="980" spans="1:26" ht="18" x14ac:dyDescent="0.3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3"/>
      <c r="O980" s="2"/>
      <c r="P980" s="2"/>
      <c r="Q980" s="4"/>
      <c r="R980" s="5"/>
      <c r="S980" s="2"/>
      <c r="T980" s="2"/>
      <c r="U980" s="2"/>
      <c r="V980" s="2"/>
      <c r="W980" s="2"/>
      <c r="X980" s="2"/>
      <c r="Y980" s="2"/>
      <c r="Z980" s="2"/>
    </row>
    <row r="981" spans="1:26" ht="18" x14ac:dyDescent="0.3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3"/>
      <c r="O981" s="2"/>
      <c r="P981" s="2"/>
      <c r="Q981" s="4"/>
      <c r="R981" s="5"/>
      <c r="S981" s="2"/>
      <c r="T981" s="2"/>
      <c r="U981" s="2"/>
      <c r="V981" s="2"/>
      <c r="W981" s="2"/>
      <c r="X981" s="2"/>
      <c r="Y981" s="2"/>
      <c r="Z981" s="2"/>
    </row>
    <row r="982" spans="1:26" ht="18" x14ac:dyDescent="0.3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3"/>
      <c r="O982" s="2"/>
      <c r="P982" s="2"/>
      <c r="Q982" s="4"/>
      <c r="R982" s="5"/>
      <c r="S982" s="2"/>
      <c r="T982" s="2"/>
      <c r="U982" s="2"/>
      <c r="V982" s="2"/>
      <c r="W982" s="2"/>
      <c r="X982" s="2"/>
      <c r="Y982" s="2"/>
      <c r="Z982" s="2"/>
    </row>
    <row r="983" spans="1:26" ht="18" x14ac:dyDescent="0.3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3"/>
      <c r="O983" s="2"/>
      <c r="P983" s="2"/>
      <c r="Q983" s="4"/>
      <c r="R983" s="5"/>
      <c r="S983" s="2"/>
      <c r="T983" s="2"/>
      <c r="U983" s="2"/>
      <c r="V983" s="2"/>
      <c r="W983" s="2"/>
      <c r="X983" s="2"/>
      <c r="Y983" s="2"/>
      <c r="Z983" s="2"/>
    </row>
    <row r="984" spans="1:26" ht="18" x14ac:dyDescent="0.3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3"/>
      <c r="O984" s="2"/>
      <c r="P984" s="2"/>
      <c r="Q984" s="4"/>
      <c r="R984" s="5"/>
      <c r="S984" s="2"/>
      <c r="T984" s="2"/>
      <c r="U984" s="2"/>
      <c r="V984" s="2"/>
      <c r="W984" s="2"/>
      <c r="X984" s="2"/>
      <c r="Y984" s="2"/>
      <c r="Z984" s="2"/>
    </row>
    <row r="985" spans="1:26" ht="18" x14ac:dyDescent="0.3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3"/>
      <c r="O985" s="2"/>
      <c r="P985" s="2"/>
      <c r="Q985" s="4"/>
      <c r="R985" s="5"/>
      <c r="S985" s="2"/>
      <c r="T985" s="2"/>
      <c r="U985" s="2"/>
      <c r="V985" s="2"/>
      <c r="W985" s="2"/>
      <c r="X985" s="2"/>
      <c r="Y985" s="2"/>
      <c r="Z985" s="2"/>
    </row>
    <row r="986" spans="1:26" ht="18" x14ac:dyDescent="0.3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3"/>
      <c r="O986" s="2"/>
      <c r="P986" s="2"/>
      <c r="Q986" s="4"/>
      <c r="R986" s="5"/>
      <c r="S986" s="2"/>
      <c r="T986" s="2"/>
      <c r="U986" s="2"/>
      <c r="V986" s="2"/>
      <c r="W986" s="2"/>
      <c r="X986" s="2"/>
      <c r="Y986" s="2"/>
      <c r="Z986" s="2"/>
    </row>
    <row r="987" spans="1:26" ht="18" x14ac:dyDescent="0.3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3"/>
      <c r="O987" s="2"/>
      <c r="P987" s="2"/>
      <c r="Q987" s="4"/>
      <c r="R987" s="5"/>
      <c r="S987" s="2"/>
      <c r="T987" s="2"/>
      <c r="U987" s="2"/>
      <c r="V987" s="2"/>
      <c r="W987" s="2"/>
      <c r="X987" s="2"/>
      <c r="Y987" s="2"/>
      <c r="Z987" s="2"/>
    </row>
    <row r="988" spans="1:26" ht="18" x14ac:dyDescent="0.3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3"/>
      <c r="O988" s="2"/>
      <c r="P988" s="2"/>
      <c r="Q988" s="4"/>
      <c r="R988" s="5"/>
      <c r="S988" s="2"/>
      <c r="T988" s="2"/>
      <c r="U988" s="2"/>
      <c r="V988" s="2"/>
      <c r="W988" s="2"/>
      <c r="X988" s="2"/>
      <c r="Y988" s="2"/>
      <c r="Z988" s="2"/>
    </row>
    <row r="989" spans="1:26" ht="18" x14ac:dyDescent="0.3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3"/>
      <c r="O989" s="2"/>
      <c r="P989" s="2"/>
      <c r="Q989" s="4"/>
      <c r="R989" s="5"/>
      <c r="S989" s="2"/>
      <c r="T989" s="2"/>
      <c r="U989" s="2"/>
      <c r="V989" s="2"/>
      <c r="W989" s="2"/>
      <c r="X989" s="2"/>
      <c r="Y989" s="2"/>
      <c r="Z989" s="2"/>
    </row>
    <row r="990" spans="1:26" ht="18" x14ac:dyDescent="0.3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3"/>
      <c r="O990" s="2"/>
      <c r="P990" s="2"/>
      <c r="Q990" s="4"/>
      <c r="R990" s="5"/>
      <c r="S990" s="2"/>
      <c r="T990" s="2"/>
      <c r="U990" s="2"/>
      <c r="V990" s="2"/>
      <c r="W990" s="2"/>
      <c r="X990" s="2"/>
      <c r="Y990" s="2"/>
      <c r="Z990" s="2"/>
    </row>
    <row r="991" spans="1:26" ht="18" x14ac:dyDescent="0.3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3"/>
      <c r="O991" s="2"/>
      <c r="P991" s="2"/>
      <c r="Q991" s="4"/>
      <c r="R991" s="5"/>
      <c r="S991" s="2"/>
      <c r="T991" s="2"/>
      <c r="U991" s="2"/>
      <c r="V991" s="2"/>
      <c r="W991" s="2"/>
      <c r="X991" s="2"/>
      <c r="Y991" s="2"/>
      <c r="Z991" s="2"/>
    </row>
    <row r="992" spans="1:26" ht="18" x14ac:dyDescent="0.3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3"/>
      <c r="O992" s="2"/>
      <c r="P992" s="2"/>
      <c r="Q992" s="4"/>
      <c r="R992" s="5"/>
      <c r="S992" s="2"/>
      <c r="T992" s="2"/>
      <c r="U992" s="2"/>
      <c r="V992" s="2"/>
      <c r="W992" s="2"/>
      <c r="X992" s="2"/>
      <c r="Y992" s="2"/>
      <c r="Z992" s="2"/>
    </row>
    <row r="993" spans="1:26" ht="18" x14ac:dyDescent="0.3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3"/>
      <c r="O993" s="2"/>
      <c r="P993" s="2"/>
      <c r="Q993" s="4"/>
      <c r="R993" s="5"/>
      <c r="S993" s="2"/>
      <c r="T993" s="2"/>
      <c r="U993" s="2"/>
      <c r="V993" s="2"/>
      <c r="W993" s="2"/>
      <c r="X993" s="2"/>
      <c r="Y993" s="2"/>
      <c r="Z993" s="2"/>
    </row>
    <row r="994" spans="1:26" ht="18" x14ac:dyDescent="0.3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3"/>
      <c r="O994" s="2"/>
      <c r="P994" s="2"/>
      <c r="Q994" s="4"/>
      <c r="R994" s="5"/>
      <c r="S994" s="2"/>
      <c r="T994" s="2"/>
      <c r="U994" s="2"/>
      <c r="V994" s="2"/>
      <c r="W994" s="2"/>
      <c r="X994" s="2"/>
      <c r="Y994" s="2"/>
      <c r="Z994" s="2"/>
    </row>
    <row r="995" spans="1:26" ht="18" x14ac:dyDescent="0.3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3"/>
      <c r="O995" s="2"/>
      <c r="P995" s="2"/>
      <c r="Q995" s="4"/>
      <c r="R995" s="5"/>
      <c r="S995" s="2"/>
      <c r="T995" s="2"/>
      <c r="U995" s="2"/>
      <c r="V995" s="2"/>
      <c r="W995" s="2"/>
      <c r="X995" s="2"/>
      <c r="Y995" s="2"/>
      <c r="Z995" s="2"/>
    </row>
    <row r="996" spans="1:26" ht="18" x14ac:dyDescent="0.3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3"/>
      <c r="O996" s="2"/>
      <c r="P996" s="2"/>
      <c r="Q996" s="4"/>
      <c r="R996" s="5"/>
      <c r="S996" s="2"/>
      <c r="T996" s="2"/>
      <c r="U996" s="2"/>
      <c r="V996" s="2"/>
      <c r="W996" s="2"/>
      <c r="X996" s="2"/>
      <c r="Y996" s="2"/>
      <c r="Z996" s="2"/>
    </row>
    <row r="997" spans="1:26" ht="18" x14ac:dyDescent="0.3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3"/>
      <c r="O997" s="2"/>
      <c r="P997" s="2"/>
      <c r="Q997" s="4"/>
      <c r="R997" s="5"/>
      <c r="S997" s="2"/>
      <c r="T997" s="2"/>
      <c r="U997" s="2"/>
      <c r="V997" s="2"/>
      <c r="W997" s="2"/>
      <c r="X997" s="2"/>
      <c r="Y997" s="2"/>
      <c r="Z997" s="2"/>
    </row>
    <row r="998" spans="1:26" ht="18" x14ac:dyDescent="0.3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3"/>
      <c r="O998" s="2"/>
      <c r="P998" s="2"/>
      <c r="Q998" s="4"/>
      <c r="R998" s="5"/>
      <c r="S998" s="2"/>
      <c r="T998" s="2"/>
      <c r="U998" s="2"/>
      <c r="V998" s="2"/>
      <c r="W998" s="2"/>
      <c r="X998" s="2"/>
      <c r="Y998" s="2"/>
      <c r="Z998" s="2"/>
    </row>
    <row r="999" spans="1:26" ht="18" x14ac:dyDescent="0.3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3"/>
      <c r="O999" s="2"/>
      <c r="P999" s="2"/>
      <c r="Q999" s="4"/>
      <c r="R999" s="5"/>
      <c r="S999" s="2"/>
      <c r="T999" s="2"/>
      <c r="U999" s="2"/>
      <c r="V999" s="2"/>
      <c r="W999" s="2"/>
      <c r="X999" s="2"/>
      <c r="Y999" s="2"/>
      <c r="Z999" s="2"/>
    </row>
    <row r="1000" spans="1:26" ht="18" x14ac:dyDescent="0.3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3"/>
      <c r="O1000" s="2"/>
      <c r="P1000" s="2"/>
      <c r="Q1000" s="4"/>
      <c r="R1000" s="5"/>
      <c r="S1000" s="2"/>
      <c r="T1000" s="2"/>
      <c r="U1000" s="2"/>
      <c r="V1000" s="2"/>
      <c r="W1000" s="2"/>
      <c r="X1000" s="2"/>
      <c r="Y1000" s="2"/>
      <c r="Z1000" s="2"/>
    </row>
  </sheetData>
  <mergeCells count="9">
    <mergeCell ref="C30:E31"/>
    <mergeCell ref="C194:E199"/>
    <mergeCell ref="A1:G2"/>
    <mergeCell ref="E13:G13"/>
    <mergeCell ref="E14:G14"/>
    <mergeCell ref="E16:G18"/>
    <mergeCell ref="B26:C26"/>
    <mergeCell ref="E26:G26"/>
    <mergeCell ref="B28:B29"/>
  </mergeCells>
  <conditionalFormatting sqref="C19">
    <cfRule type="containsText" dxfId="65" priority="1" operator="containsText" text="Boulons et platines">
      <formula>NOT(ISERROR(SEARCH(("Boulons et platines"),(C19))))</formula>
    </cfRule>
  </conditionalFormatting>
  <conditionalFormatting sqref="E3">
    <cfRule type="containsText" dxfId="64" priority="2" operator="containsText" text="Boulons et platines">
      <formula>NOT(ISERROR(SEARCH(("Boulons et platines"),(E3))))</formula>
    </cfRule>
    <cfRule type="containsText" dxfId="63" priority="3" operator="containsText" text="Oui">
      <formula>NOT(ISERROR(SEARCH(("Oui"),(E3))))</formula>
    </cfRule>
  </conditionalFormatting>
  <conditionalFormatting sqref="F19">
    <cfRule type="cellIs" dxfId="62" priority="4" operator="equal">
      <formula>"Oui"</formula>
    </cfRule>
  </conditionalFormatting>
  <conditionalFormatting sqref="F21">
    <cfRule type="cellIs" dxfId="61" priority="5" operator="equal">
      <formula>"Oui"</formula>
    </cfRule>
  </conditionalFormatting>
  <dataValidations disablePrompts="1" count="11">
    <dataValidation type="list" allowBlank="1" showErrorMessage="1" sqref="F15 F19 F21" xr:uid="{00000000-0002-0000-0000-000000000000}">
      <formula1>$B$179:$B$180</formula1>
    </dataValidation>
    <dataValidation type="list" allowBlank="1" showErrorMessage="1" sqref="C17" xr:uid="{00000000-0002-0000-0000-000003000000}">
      <formula1>$B$142:$B$148</formula1>
    </dataValidation>
    <dataValidation type="list" allowBlank="1" showErrorMessage="1" sqref="F25" xr:uid="{00000000-0002-0000-0000-000004000000}">
      <formula1>$B$189:$B$190</formula1>
    </dataValidation>
    <dataValidation type="list" allowBlank="1" showErrorMessage="1" sqref="B34" xr:uid="{00000000-0002-0000-0000-000005000000}">
      <formula1>$B$169:$B$177</formula1>
    </dataValidation>
    <dataValidation type="list" allowBlank="1" showErrorMessage="1" sqref="B38" xr:uid="{00000000-0002-0000-0000-000006000000}">
      <formula1>$B$163:$B$165</formula1>
    </dataValidation>
    <dataValidation type="list" allowBlank="1" showErrorMessage="1" sqref="F23" xr:uid="{00000000-0002-0000-0000-000007000000}">
      <formula1>$B$158:$B$161</formula1>
    </dataValidation>
    <dataValidation type="list" allowBlank="1" showErrorMessage="1" sqref="C15" xr:uid="{00000000-0002-0000-0000-000008000000}">
      <formula1>$B$136:$B$137</formula1>
    </dataValidation>
    <dataValidation type="list" allowBlank="1" showErrorMessage="1" sqref="C19" xr:uid="{00000000-0002-0000-0000-000009000000}">
      <formula1>$B$150:$B$151</formula1>
    </dataValidation>
    <dataValidation type="list" allowBlank="1" showErrorMessage="1" sqref="C21" xr:uid="{00000000-0002-0000-0000-00000A000000}">
      <formula1>$B$153:$B$156</formula1>
    </dataValidation>
    <dataValidation type="list" allowBlank="1" showErrorMessage="1" sqref="C23:C25" xr:uid="{00000000-0002-0000-0000-00000B000000}">
      <formula1>$B$185:$B$187</formula1>
    </dataValidation>
    <dataValidation type="list" allowBlank="1" showErrorMessage="1" sqref="C13" xr:uid="{00000000-0002-0000-0000-00000C000000}">
      <formula1>$B$132:$B$134</formula1>
    </dataValidation>
  </dataValidations>
  <pageMargins left="0.39370078740157483" right="0.19685039370078741" top="0.55118110236220474" bottom="0.74803149606299213" header="0" footer="0"/>
  <pageSetup paperSize="9" orientation="portrait"/>
  <headerFooter>
    <oddFooter>&amp;C&amp;D     [Heure]</oddFooter>
  </headerFooter>
  <extLst>
    <ext xmlns:x14="http://schemas.microsoft.com/office/spreadsheetml/2009/9/main" uri="{CCE6A557-97BC-4b89-ADB6-D9C93CAAB3DF}">
      <x14:dataValidations xmlns:xm="http://schemas.microsoft.com/office/excel/2006/main" disablePrompts="1" count="2">
        <x14:dataValidation type="list" allowBlank="1" showErrorMessage="1" xr:uid="{00000000-0002-0000-0000-000001000000}">
          <x14:formula1>
            <xm:f>'Infos Clients'!$B$2:$B$10</xm:f>
          </x14:formula1>
          <xm:sqref>F10</xm:sqref>
        </x14:dataValidation>
        <x14:dataValidation type="list" allowBlank="1" showErrorMessage="1" xr:uid="{00000000-0002-0000-0000-000002000000}">
          <x14:formula1>
            <xm:f>'Infos Clients'!$A$19:$A$20</xm:f>
          </x14:formula1>
          <xm:sqref>F9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F0"/>
  </sheetPr>
  <dimension ref="A1:Z1000"/>
  <sheetViews>
    <sheetView topLeftCell="A16" zoomScale="70" zoomScaleNormal="70" workbookViewId="0">
      <selection activeCell="F23" sqref="F23"/>
    </sheetView>
  </sheetViews>
  <sheetFormatPr baseColWidth="10" defaultColWidth="14.44140625" defaultRowHeight="15" customHeight="1" x14ac:dyDescent="0.3"/>
  <cols>
    <col min="1" max="1" width="35.44140625" customWidth="1"/>
    <col min="2" max="2" width="29" customWidth="1"/>
    <col min="3" max="3" width="25.5546875" customWidth="1"/>
    <col min="4" max="4" width="20.88671875" customWidth="1"/>
    <col min="5" max="5" width="25.109375" customWidth="1"/>
    <col min="6" max="6" width="16.109375" customWidth="1"/>
    <col min="7" max="7" width="22.6640625" customWidth="1"/>
    <col min="8" max="8" width="21.33203125" customWidth="1"/>
    <col min="9" max="10" width="18.88671875" customWidth="1"/>
    <col min="11" max="11" width="21" customWidth="1"/>
    <col min="12" max="12" width="18.88671875" customWidth="1"/>
    <col min="13" max="13" width="14.44140625" customWidth="1"/>
    <col min="14" max="14" width="18.33203125" customWidth="1"/>
    <col min="15" max="15" width="14.5546875" customWidth="1"/>
    <col min="16" max="16" width="11.44140625" customWidth="1"/>
    <col min="17" max="17" width="12.109375" customWidth="1"/>
    <col min="18" max="26" width="11.44140625" customWidth="1"/>
  </cols>
  <sheetData>
    <row r="1" spans="1:26" ht="18" customHeight="1" x14ac:dyDescent="0.35">
      <c r="A1" s="1106" t="s">
        <v>137</v>
      </c>
      <c r="B1" s="1085"/>
      <c r="C1" s="1085"/>
      <c r="D1" s="1085"/>
      <c r="E1" s="1085"/>
      <c r="F1" s="1085"/>
      <c r="G1" s="1085"/>
      <c r="H1" s="1085"/>
      <c r="I1" s="1085"/>
      <c r="J1" s="1085"/>
      <c r="K1" s="1086"/>
      <c r="L1" s="2"/>
      <c r="M1" s="2"/>
      <c r="N1" s="3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8" customHeight="1" x14ac:dyDescent="0.35">
      <c r="A2" s="1087"/>
      <c r="B2" s="1088"/>
      <c r="C2" s="1088"/>
      <c r="D2" s="1088"/>
      <c r="E2" s="1088"/>
      <c r="F2" s="1088"/>
      <c r="G2" s="1088"/>
      <c r="H2" s="1088"/>
      <c r="I2" s="1088"/>
      <c r="J2" s="1088"/>
      <c r="K2" s="1089"/>
      <c r="L2" s="2"/>
      <c r="M2" s="2"/>
      <c r="N2" s="3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21.75" hidden="1" customHeight="1" x14ac:dyDescent="0.35">
      <c r="A3" s="1107"/>
      <c r="B3" s="2"/>
      <c r="C3" s="2"/>
      <c r="D3" s="2"/>
      <c r="E3" s="38">
        <f>IF(C19="Boulons et platines","Boulons et Platines",0)</f>
        <v>0</v>
      </c>
      <c r="F3" s="38">
        <f>IF(E3="Boulons et Platines","Nbre de Trous",0)</f>
        <v>0</v>
      </c>
      <c r="G3" s="168">
        <f>IF(E3="Boulons et Platines","Dim du Bord",0)</f>
        <v>0</v>
      </c>
      <c r="H3" s="2"/>
      <c r="I3" s="2"/>
      <c r="J3" s="2"/>
      <c r="K3" s="2"/>
      <c r="L3" s="2"/>
      <c r="M3" s="2"/>
      <c r="N3" s="3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8" hidden="1" customHeight="1" x14ac:dyDescent="0.35">
      <c r="A4" s="1108"/>
      <c r="B4" s="2"/>
      <c r="C4" s="2"/>
      <c r="D4" s="2"/>
      <c r="E4" s="10">
        <f>IF(C19="Vis bois",0,"Trous dans la Longueur")</f>
        <v>0</v>
      </c>
      <c r="F4" s="6">
        <f>IF(E4=0,0,IF(C90&lt;100,2,IF(C90&lt;150,3,IF(C90&lt;200,4,IF(C90&lt;250,5,IF(C90&lt;300,6,7))))))</f>
        <v>0</v>
      </c>
      <c r="G4" s="11">
        <f>IF(F4=0,0,IF(F4=3,0,(($C$90-32)/(F4-1))+16))</f>
        <v>0</v>
      </c>
      <c r="H4" s="2"/>
      <c r="I4" s="2"/>
      <c r="J4" s="2"/>
      <c r="K4" s="2"/>
      <c r="L4" s="2"/>
      <c r="M4" s="2"/>
      <c r="N4" s="3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8" hidden="1" customHeight="1" x14ac:dyDescent="0.35">
      <c r="A5" s="2"/>
      <c r="B5" s="2"/>
      <c r="C5" s="2"/>
      <c r="D5" s="2"/>
      <c r="E5" s="13">
        <f>IF(F4=6,"2ème Trou",IF(F4=7,"2ème Trou",0))</f>
        <v>0</v>
      </c>
      <c r="F5" s="2"/>
      <c r="G5" s="11">
        <f>IF(E5=0,0,G4+G4-16)</f>
        <v>0</v>
      </c>
      <c r="H5" s="2"/>
      <c r="I5" s="2"/>
      <c r="J5" s="2"/>
      <c r="K5" s="2"/>
      <c r="L5" s="2"/>
      <c r="M5" s="2"/>
      <c r="N5" s="3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8" hidden="1" customHeight="1" x14ac:dyDescent="0.35">
      <c r="A6" s="2"/>
      <c r="B6" s="2"/>
      <c r="C6" s="2"/>
      <c r="D6" s="2"/>
      <c r="E6" s="10">
        <f>IF(C19="Vis bois",0,"Trous dans la Hauteur")</f>
        <v>0</v>
      </c>
      <c r="F6" s="6">
        <f>IF(E6=0,0,IF(D90&lt;100,2,IF(D90&lt;150,3,IF(D90&lt;200,4,IF(D90&lt;250,5,IF(D90&lt;310,6,7))))))</f>
        <v>0</v>
      </c>
      <c r="G6" s="11">
        <f>IF(F6=0,0,IF(F6=3,0,(($D$90-32)/(F6-1))+16))</f>
        <v>0</v>
      </c>
      <c r="H6" s="2"/>
      <c r="I6" s="2"/>
      <c r="J6" s="2"/>
      <c r="K6" s="2"/>
      <c r="L6" s="2"/>
      <c r="M6" s="2"/>
      <c r="N6" s="3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8" hidden="1" customHeight="1" x14ac:dyDescent="0.35">
      <c r="A7" s="2"/>
      <c r="B7" s="2"/>
      <c r="C7" s="2"/>
      <c r="D7" s="2"/>
      <c r="E7" s="14">
        <f>IF(F6=6,"2ème Trou",IF(F6=7,"2ème Trou",0))</f>
        <v>0</v>
      </c>
      <c r="F7" s="15"/>
      <c r="G7" s="16">
        <f>IF(E7=0,0,G6+G6-16)</f>
        <v>0</v>
      </c>
      <c r="H7" s="2"/>
      <c r="I7" s="2"/>
      <c r="J7" s="2"/>
      <c r="K7" s="2"/>
      <c r="L7" s="2"/>
      <c r="M7" s="2"/>
      <c r="N7" s="3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8" customHeight="1" x14ac:dyDescent="0.3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3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8" customHeight="1" x14ac:dyDescent="0.35">
      <c r="A9" s="2"/>
      <c r="B9" s="2" t="s">
        <v>1</v>
      </c>
      <c r="C9" s="20"/>
      <c r="D9" s="2"/>
      <c r="E9" s="6" t="s">
        <v>2</v>
      </c>
      <c r="F9" s="22" t="s">
        <v>3</v>
      </c>
      <c r="G9" s="2"/>
      <c r="H9" s="2"/>
      <c r="I9" s="2"/>
      <c r="J9" s="2"/>
      <c r="K9" s="2"/>
      <c r="L9" s="2"/>
      <c r="M9" s="2"/>
      <c r="N9" s="3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8" customHeight="1" x14ac:dyDescent="0.35">
      <c r="A10" s="2"/>
      <c r="B10" s="2" t="s">
        <v>4</v>
      </c>
      <c r="C10" s="23"/>
      <c r="D10" s="2"/>
      <c r="E10" s="6" t="s">
        <v>5</v>
      </c>
      <c r="F10" s="24" t="s">
        <v>6</v>
      </c>
      <c r="G10" s="2"/>
      <c r="H10" s="2"/>
      <c r="I10" s="2"/>
      <c r="J10" s="2"/>
      <c r="K10" s="2"/>
      <c r="L10" s="2"/>
      <c r="M10" s="2"/>
      <c r="N10" s="3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8" customHeight="1" x14ac:dyDescent="0.35">
      <c r="A11" s="2"/>
      <c r="B11" s="2" t="s">
        <v>138</v>
      </c>
      <c r="C11" s="23"/>
      <c r="D11" s="2"/>
      <c r="E11" s="6" t="s">
        <v>8</v>
      </c>
      <c r="F11" s="25"/>
      <c r="G11" s="2"/>
      <c r="H11" s="2"/>
      <c r="I11" s="2"/>
      <c r="J11" s="2"/>
      <c r="K11" s="2"/>
      <c r="L11" s="2"/>
      <c r="M11" s="2"/>
      <c r="N11" s="3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8" customHeight="1" x14ac:dyDescent="0.35">
      <c r="A12" s="2"/>
      <c r="B12" s="2"/>
      <c r="C12" s="6"/>
      <c r="D12" s="2"/>
      <c r="E12" s="2"/>
      <c r="F12" s="2"/>
      <c r="G12" s="2"/>
      <c r="H12" s="2"/>
      <c r="I12" s="2"/>
      <c r="J12" s="2"/>
      <c r="K12" s="2"/>
      <c r="L12" s="2"/>
      <c r="M12" s="2"/>
      <c r="N12" s="3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21.75" customHeight="1" x14ac:dyDescent="0.35">
      <c r="A13" s="2"/>
      <c r="B13" s="19" t="s">
        <v>9</v>
      </c>
      <c r="C13" s="23" t="s">
        <v>10</v>
      </c>
      <c r="D13" s="2"/>
      <c r="E13" s="19"/>
      <c r="F13" s="6"/>
      <c r="G13" s="2"/>
      <c r="H13" s="1109" t="str">
        <f>VLOOKUP($F$10,'Infos Clients'!$B$2:$G$10,2)</f>
        <v>#VALUE!</v>
      </c>
      <c r="I13" s="1085"/>
      <c r="J13" s="1086"/>
      <c r="K13" s="2"/>
      <c r="L13" s="2"/>
      <c r="M13" s="2"/>
      <c r="N13" s="3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21.75" customHeight="1" x14ac:dyDescent="0.35">
      <c r="A14" s="2"/>
      <c r="B14" s="19"/>
      <c r="C14" s="6"/>
      <c r="D14" s="2"/>
      <c r="E14" s="19"/>
      <c r="F14" s="2"/>
      <c r="G14" s="2"/>
      <c r="H14" s="1091"/>
      <c r="I14" s="1097"/>
      <c r="J14" s="1092"/>
      <c r="K14" s="2"/>
      <c r="L14" s="2"/>
      <c r="M14" s="2"/>
      <c r="N14" s="3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8" customHeight="1" x14ac:dyDescent="0.35">
      <c r="A15" s="2"/>
      <c r="B15" s="19" t="s">
        <v>11</v>
      </c>
      <c r="C15" s="23" t="s">
        <v>12</v>
      </c>
      <c r="D15" s="2"/>
      <c r="E15" s="19" t="s">
        <v>13</v>
      </c>
      <c r="F15" s="23" t="s">
        <v>14</v>
      </c>
      <c r="G15" s="2"/>
      <c r="H15" s="1091"/>
      <c r="I15" s="1097"/>
      <c r="J15" s="1092"/>
      <c r="K15" s="2"/>
      <c r="L15" s="2"/>
      <c r="M15" s="2"/>
      <c r="N15" s="3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9.5" customHeight="1" x14ac:dyDescent="0.35">
      <c r="A16" s="2"/>
      <c r="B16" s="2"/>
      <c r="C16" s="6"/>
      <c r="D16" s="2"/>
      <c r="E16" s="2"/>
      <c r="F16" s="2"/>
      <c r="G16" s="2"/>
      <c r="H16" s="1091"/>
      <c r="I16" s="1097"/>
      <c r="J16" s="1092"/>
      <c r="K16" s="2"/>
      <c r="L16" s="2"/>
      <c r="M16" s="2"/>
      <c r="N16" s="3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9.5" customHeight="1" x14ac:dyDescent="0.35">
      <c r="A17" s="2"/>
      <c r="B17" s="19" t="s">
        <v>15</v>
      </c>
      <c r="C17" s="23" t="s">
        <v>104</v>
      </c>
      <c r="D17" s="2"/>
      <c r="E17" s="2"/>
      <c r="F17" s="2"/>
      <c r="G17" s="2"/>
      <c r="H17" s="1091"/>
      <c r="I17" s="1097"/>
      <c r="J17" s="1092"/>
      <c r="K17" s="2"/>
      <c r="L17" s="2"/>
      <c r="M17" s="2"/>
      <c r="N17" s="3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9.5" customHeight="1" x14ac:dyDescent="0.35">
      <c r="A18" s="2"/>
      <c r="B18" s="2"/>
      <c r="C18" s="6"/>
      <c r="D18" s="2"/>
      <c r="E18" s="2"/>
      <c r="F18" s="2"/>
      <c r="G18" s="2"/>
      <c r="H18" s="1087"/>
      <c r="I18" s="1088"/>
      <c r="J18" s="1089"/>
      <c r="K18" s="2"/>
      <c r="L18" s="2"/>
      <c r="M18" s="2"/>
      <c r="N18" s="3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8" customHeight="1" x14ac:dyDescent="0.35">
      <c r="A19" s="2"/>
      <c r="B19" s="19" t="s">
        <v>17</v>
      </c>
      <c r="C19" s="23" t="s">
        <v>18</v>
      </c>
      <c r="D19" s="2"/>
      <c r="E19" s="19" t="s">
        <v>19</v>
      </c>
      <c r="F19" s="23" t="s">
        <v>20</v>
      </c>
      <c r="G19" s="2"/>
      <c r="H19" s="2"/>
      <c r="I19" s="2"/>
      <c r="J19" s="2"/>
      <c r="K19" s="2"/>
      <c r="L19" s="2"/>
      <c r="M19" s="2"/>
      <c r="N19" s="3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8" customHeight="1" x14ac:dyDescent="0.35">
      <c r="A20" s="2"/>
      <c r="B20" s="2"/>
      <c r="C20" s="6"/>
      <c r="D20" s="2"/>
      <c r="E20" s="19">
        <f>IF(F19="Oui","Type de Peinture",0)</f>
        <v>0</v>
      </c>
      <c r="F20" s="169">
        <f>IF(F19="Non",0,VLOOKUP(F10,'Infos Clients'!B2:E10,4))</f>
        <v>0</v>
      </c>
      <c r="G20" s="2"/>
      <c r="H20" s="2"/>
      <c r="I20" s="2"/>
      <c r="J20" s="2"/>
      <c r="K20" s="2"/>
      <c r="L20" s="2"/>
      <c r="M20" s="2"/>
      <c r="N20" s="3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8" customHeight="1" x14ac:dyDescent="0.35">
      <c r="A21" s="2"/>
      <c r="B21" s="19" t="s">
        <v>21</v>
      </c>
      <c r="C21" s="23" t="s">
        <v>22</v>
      </c>
      <c r="D21" s="2"/>
      <c r="E21" s="27" t="s">
        <v>23</v>
      </c>
      <c r="F21" s="29" t="s">
        <v>20</v>
      </c>
      <c r="G21" s="5"/>
      <c r="H21" s="2"/>
      <c r="I21" s="2"/>
      <c r="J21" s="2"/>
      <c r="K21" s="2"/>
      <c r="L21" s="2"/>
      <c r="M21" s="2"/>
      <c r="N21" s="3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8" customHeight="1" x14ac:dyDescent="0.35">
      <c r="A22" s="2"/>
      <c r="B22" s="19"/>
      <c r="C22" s="2"/>
      <c r="D22" s="2"/>
      <c r="E22" s="5"/>
      <c r="F22" s="5"/>
      <c r="G22" s="5"/>
      <c r="H22" s="2"/>
      <c r="I22" s="2"/>
      <c r="J22" s="2"/>
      <c r="K22" s="2"/>
      <c r="L22" s="2"/>
      <c r="M22" s="2"/>
      <c r="N22" s="3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8" customHeight="1" x14ac:dyDescent="0.35">
      <c r="A23" s="2"/>
      <c r="B23" s="19" t="s">
        <v>24</v>
      </c>
      <c r="C23" s="23" t="s">
        <v>24</v>
      </c>
      <c r="D23" s="2"/>
      <c r="E23" s="30" t="s">
        <v>25</v>
      </c>
      <c r="F23" s="23" t="s">
        <v>16</v>
      </c>
      <c r="G23" s="5"/>
      <c r="H23" s="2"/>
      <c r="I23" s="2"/>
      <c r="J23" s="2"/>
      <c r="K23" s="2"/>
      <c r="L23" s="2"/>
      <c r="M23" s="2"/>
      <c r="N23" s="3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37.5" hidden="1" customHeight="1" x14ac:dyDescent="0.85">
      <c r="A24" s="2"/>
      <c r="B24" s="1102" t="str">
        <f>IF(F23="Aucun"," ",F23)</f>
        <v xml:space="preserve"> </v>
      </c>
      <c r="C24" s="1101"/>
      <c r="D24" s="31">
        <f>IF(F21="Oui","+",0)</f>
        <v>0</v>
      </c>
      <c r="E24" s="1102">
        <f>IF(F21="Oui","Mousse Garnie Tyvek",0)</f>
        <v>0</v>
      </c>
      <c r="F24" s="1100"/>
      <c r="G24" s="1101"/>
      <c r="H24" s="2"/>
      <c r="I24" s="2"/>
      <c r="J24" s="2"/>
      <c r="K24" s="2"/>
      <c r="L24" s="2"/>
      <c r="M24" s="2"/>
      <c r="N24" s="3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37.5" hidden="1" customHeight="1" x14ac:dyDescent="0.85">
      <c r="A25" s="2"/>
      <c r="B25" s="32"/>
      <c r="C25" s="32"/>
      <c r="D25" s="31"/>
      <c r="E25" s="32"/>
      <c r="F25" s="32"/>
      <c r="G25" s="32"/>
      <c r="H25" s="2"/>
      <c r="I25" s="2"/>
      <c r="J25" s="2"/>
      <c r="K25" s="2"/>
      <c r="L25" s="2"/>
      <c r="M25" s="2"/>
      <c r="N25" s="3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37.5" hidden="1" customHeight="1" x14ac:dyDescent="0.85">
      <c r="A26" s="2"/>
      <c r="B26" s="1110">
        <f>IF(F10="Bovis","Attention retirer 2 mm aux dimensions transmises",0)</f>
        <v>0</v>
      </c>
      <c r="C26" s="1100"/>
      <c r="D26" s="1100"/>
      <c r="E26" s="1101"/>
      <c r="F26" s="32"/>
      <c r="G26" s="32"/>
      <c r="H26" s="2"/>
      <c r="I26" s="2"/>
      <c r="J26" s="2"/>
      <c r="K26" s="2"/>
      <c r="L26" s="2"/>
      <c r="M26" s="2"/>
      <c r="N26" s="3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8" customHeight="1" x14ac:dyDescent="0.35">
      <c r="A27" s="105"/>
      <c r="B27" s="19"/>
      <c r="C27" s="2"/>
      <c r="D27" s="2"/>
      <c r="E27" s="5"/>
      <c r="F27" s="5"/>
      <c r="G27" s="5"/>
      <c r="H27" s="2"/>
      <c r="I27" s="2"/>
      <c r="J27" s="2"/>
      <c r="K27" s="109"/>
      <c r="L27" s="2"/>
      <c r="M27" s="2"/>
      <c r="N27" s="3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8" customHeight="1" x14ac:dyDescent="0.4">
      <c r="A28" s="170" t="str">
        <f>IF(B29="Aucun","Dimensions intérieures utiles","Dimensions de l'œuvre")</f>
        <v>Dimensions de l'œuvre</v>
      </c>
      <c r="B28" s="171" t="s">
        <v>28</v>
      </c>
      <c r="C28" s="171" t="s">
        <v>29</v>
      </c>
      <c r="D28" s="171" t="s">
        <v>30</v>
      </c>
      <c r="E28" s="172" t="s">
        <v>139</v>
      </c>
      <c r="F28" s="2"/>
      <c r="G28" s="173" t="str">
        <f>IF(H29="Aucun","Dimensions intérieures utiles","Dimensions de l'œuvre")</f>
        <v>Dimensions de l'œuvre</v>
      </c>
      <c r="H28" s="171" t="s">
        <v>28</v>
      </c>
      <c r="I28" s="171" t="s">
        <v>29</v>
      </c>
      <c r="J28" s="171" t="s">
        <v>30</v>
      </c>
      <c r="K28" s="172" t="s">
        <v>140</v>
      </c>
      <c r="L28" s="2"/>
      <c r="M28" s="2"/>
      <c r="N28" s="3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8" customHeight="1" x14ac:dyDescent="0.4">
      <c r="A29" s="174"/>
      <c r="B29" s="35">
        <v>62</v>
      </c>
      <c r="C29" s="35">
        <v>13</v>
      </c>
      <c r="D29" s="35">
        <v>43</v>
      </c>
      <c r="E29" s="175"/>
      <c r="F29" s="2"/>
      <c r="G29" s="174"/>
      <c r="H29" s="35"/>
      <c r="I29" s="35"/>
      <c r="J29" s="35"/>
      <c r="K29" s="175"/>
      <c r="L29" s="2"/>
      <c r="M29" s="2"/>
      <c r="N29" s="3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8" customHeight="1" x14ac:dyDescent="0.35">
      <c r="A30" s="176" t="s">
        <v>31</v>
      </c>
      <c r="B30" s="46" t="s">
        <v>32</v>
      </c>
      <c r="C30" s="34" t="s">
        <v>141</v>
      </c>
      <c r="D30" s="177"/>
      <c r="E30" s="175"/>
      <c r="F30" s="2"/>
      <c r="G30" s="176" t="s">
        <v>31</v>
      </c>
      <c r="H30" s="46" t="s">
        <v>16</v>
      </c>
      <c r="I30" s="34" t="s">
        <v>141</v>
      </c>
      <c r="J30" s="177"/>
      <c r="K30" s="175"/>
      <c r="L30" s="2"/>
      <c r="M30" s="2"/>
      <c r="N30" s="3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8" customHeight="1" x14ac:dyDescent="0.35">
      <c r="A31" s="178"/>
      <c r="B31" s="45" t="s">
        <v>33</v>
      </c>
      <c r="C31" s="45" t="s">
        <v>28</v>
      </c>
      <c r="D31" s="45" t="s">
        <v>29</v>
      </c>
      <c r="E31" s="175" t="s">
        <v>34</v>
      </c>
      <c r="F31" s="2"/>
      <c r="G31" s="178"/>
      <c r="H31" s="45" t="s">
        <v>33</v>
      </c>
      <c r="I31" s="45" t="s">
        <v>28</v>
      </c>
      <c r="J31" s="45" t="s">
        <v>29</v>
      </c>
      <c r="K31" s="175" t="s">
        <v>34</v>
      </c>
      <c r="L31" s="2"/>
      <c r="M31" s="2"/>
      <c r="N31" s="3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8" customHeight="1" x14ac:dyDescent="0.35">
      <c r="A32" s="176" t="s">
        <v>35</v>
      </c>
      <c r="B32" s="35">
        <v>10</v>
      </c>
      <c r="C32" s="45"/>
      <c r="D32" s="45"/>
      <c r="E32" s="175"/>
      <c r="F32" s="2"/>
      <c r="G32" s="176" t="s">
        <v>35</v>
      </c>
      <c r="H32" s="35"/>
      <c r="I32" s="45"/>
      <c r="J32" s="45"/>
      <c r="K32" s="175"/>
      <c r="L32" s="2"/>
      <c r="M32" s="2"/>
      <c r="N32" s="3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8" customHeight="1" x14ac:dyDescent="0.35">
      <c r="A33" s="176" t="s">
        <v>36</v>
      </c>
      <c r="B33" s="35">
        <v>10</v>
      </c>
      <c r="C33" s="45"/>
      <c r="D33" s="45"/>
      <c r="E33" s="175"/>
      <c r="F33" s="2"/>
      <c r="G33" s="176" t="s">
        <v>36</v>
      </c>
      <c r="H33" s="35"/>
      <c r="I33" s="45"/>
      <c r="J33" s="45"/>
      <c r="K33" s="175"/>
      <c r="L33" s="2"/>
      <c r="M33" s="2"/>
      <c r="N33" s="3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8" customHeight="1" x14ac:dyDescent="0.35">
      <c r="A34" s="179" t="s">
        <v>113</v>
      </c>
      <c r="B34" s="47">
        <f>+IF(B29=0,0,IF(B29&gt;70,12,6))</f>
        <v>6</v>
      </c>
      <c r="C34" s="45"/>
      <c r="D34" s="45"/>
      <c r="E34" s="47">
        <f>IF(B29&gt;300,6,IF(B29&gt;250,5,IF(B29&gt;200,4,IF(B29&gt;150,3,IF(B29&gt;120,3,2)))))</f>
        <v>2</v>
      </c>
      <c r="F34" s="180"/>
      <c r="G34" s="179" t="s">
        <v>16</v>
      </c>
      <c r="H34" s="47">
        <f>+IF(H29=0,0,IF(H29&gt;70,12,6))</f>
        <v>0</v>
      </c>
      <c r="I34" s="45"/>
      <c r="J34" s="45"/>
      <c r="K34" s="47">
        <f>IF(H29&gt;300,6,IF(H29&gt;250,5,IF(H29&gt;200,4,IF(H29&gt;150,3,IF(H29&gt;120,3,2)))))</f>
        <v>2</v>
      </c>
      <c r="L34" s="2"/>
      <c r="M34" s="2"/>
      <c r="N34" s="3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8" customHeight="1" x14ac:dyDescent="0.35">
      <c r="A35" s="176" t="s">
        <v>39</v>
      </c>
      <c r="B35" s="181"/>
      <c r="C35" s="34"/>
      <c r="D35" s="181"/>
      <c r="E35" s="175"/>
      <c r="F35" s="2"/>
      <c r="G35" s="176" t="s">
        <v>39</v>
      </c>
      <c r="H35" s="181"/>
      <c r="I35" s="34"/>
      <c r="J35" s="181"/>
      <c r="K35" s="175"/>
      <c r="L35" s="2"/>
      <c r="M35" s="2"/>
      <c r="N35" s="3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8" customHeight="1" x14ac:dyDescent="0.35">
      <c r="A36" s="176" t="s">
        <v>40</v>
      </c>
      <c r="B36" s="181"/>
      <c r="C36" s="181"/>
      <c r="D36" s="181"/>
      <c r="E36" s="175"/>
      <c r="F36" s="2"/>
      <c r="G36" s="176" t="s">
        <v>40</v>
      </c>
      <c r="H36" s="181"/>
      <c r="I36" s="181"/>
      <c r="J36" s="181"/>
      <c r="K36" s="175"/>
      <c r="L36" s="2"/>
      <c r="M36" s="2"/>
      <c r="N36" s="3"/>
      <c r="O36" s="2"/>
      <c r="P36" s="2"/>
      <c r="Q36" s="5"/>
      <c r="R36" s="2"/>
      <c r="S36" s="2"/>
      <c r="T36" s="2"/>
      <c r="U36" s="2"/>
      <c r="V36" s="2"/>
      <c r="W36" s="2"/>
      <c r="X36" s="2"/>
      <c r="Y36" s="2"/>
      <c r="Z36" s="2"/>
    </row>
    <row r="37" spans="1:26" ht="18" customHeight="1" x14ac:dyDescent="0.35">
      <c r="A37" s="182" t="s">
        <v>41</v>
      </c>
      <c r="B37" s="183"/>
      <c r="C37" s="183"/>
      <c r="D37" s="183"/>
      <c r="E37" s="184"/>
      <c r="F37" s="2"/>
      <c r="G37" s="182" t="s">
        <v>41</v>
      </c>
      <c r="H37" s="183"/>
      <c r="I37" s="183"/>
      <c r="J37" s="183"/>
      <c r="K37" s="184"/>
      <c r="L37" s="2"/>
      <c r="M37" s="2"/>
      <c r="N37" s="3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8" hidden="1" customHeight="1" x14ac:dyDescent="0.35">
      <c r="A38" s="185" t="s">
        <v>142</v>
      </c>
      <c r="B38" s="2">
        <f>IF(B29=0,0,B29+VLOOKUP(B30,$A$282:$L$288,2))</f>
        <v>72.2</v>
      </c>
      <c r="C38" s="2">
        <f>IF(C29=0,0,C29+VLOOKUP(B30,$A$282:$L$288,3))</f>
        <v>24</v>
      </c>
      <c r="D38" s="2">
        <f>IF(D29=0,0,D29+VLOOKUP(B30,$A$282:$L$288,4))</f>
        <v>53.2</v>
      </c>
      <c r="E38" s="2"/>
      <c r="F38" s="2"/>
      <c r="G38" s="185" t="s">
        <v>143</v>
      </c>
      <c r="H38" s="2">
        <f>IF(H29=0,0,H29+VLOOKUP(H30,$A$282:$L$288,2))</f>
        <v>0</v>
      </c>
      <c r="I38" s="2">
        <f>IF(I29=0,0,I29+VLOOKUP(H30,$A$282:$L$288,3))</f>
        <v>0</v>
      </c>
      <c r="J38" s="2">
        <f>IF(J29=0,0,J29+VLOOKUP(H30,$A$282:$L$288,4))</f>
        <v>0</v>
      </c>
      <c r="K38" s="109"/>
      <c r="L38" s="2"/>
      <c r="M38" s="2"/>
      <c r="N38" s="3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8" hidden="1" customHeight="1" x14ac:dyDescent="0.35">
      <c r="A39" s="185"/>
      <c r="B39" s="2"/>
      <c r="C39" s="2"/>
      <c r="D39" s="2"/>
      <c r="E39" s="2"/>
      <c r="F39" s="2"/>
      <c r="G39" s="19"/>
      <c r="H39" s="2"/>
      <c r="I39" s="2"/>
      <c r="J39" s="2"/>
      <c r="K39" s="109"/>
      <c r="L39" s="2"/>
      <c r="M39" s="2"/>
      <c r="N39" s="3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8" hidden="1" customHeight="1" x14ac:dyDescent="0.35">
      <c r="A40" s="186"/>
      <c r="B40" s="187"/>
      <c r="C40" s="187"/>
      <c r="D40" s="187"/>
      <c r="E40" s="187"/>
      <c r="F40" s="187"/>
      <c r="G40" s="188" t="s">
        <v>144</v>
      </c>
      <c r="H40" s="189">
        <f>IF(B41=0,0,MAX(B41,B56+5.5,B72+5.5))</f>
        <v>75.2</v>
      </c>
      <c r="I40" s="189">
        <f>C41</f>
        <v>24</v>
      </c>
      <c r="J40" s="189">
        <f>IF(D41=0,0,MAX(D41,D56+5.5,D72+5.5))</f>
        <v>56.2</v>
      </c>
      <c r="K40" s="190"/>
      <c r="L40" s="187"/>
      <c r="M40" s="187"/>
      <c r="N40" s="191"/>
      <c r="O40" s="187"/>
      <c r="P40" s="187"/>
      <c r="Q40" s="187"/>
      <c r="R40" s="187"/>
      <c r="S40" s="187"/>
      <c r="T40" s="187"/>
      <c r="U40" s="187"/>
      <c r="V40" s="187"/>
      <c r="W40" s="187"/>
      <c r="X40" s="187"/>
      <c r="Y40" s="187"/>
      <c r="Z40" s="187"/>
    </row>
    <row r="41" spans="1:26" ht="18" hidden="1" customHeight="1" x14ac:dyDescent="0.35">
      <c r="A41" s="192" t="s">
        <v>145</v>
      </c>
      <c r="B41" s="193">
        <f>B38+IF(H38=0,0,1.5+H38)</f>
        <v>72.2</v>
      </c>
      <c r="C41" s="193">
        <f t="shared" ref="C41:D41" si="0">MAX(C38,I38)</f>
        <v>24</v>
      </c>
      <c r="D41" s="193">
        <f t="shared" si="0"/>
        <v>53.2</v>
      </c>
      <c r="E41" s="193"/>
      <c r="F41" s="193"/>
      <c r="G41" s="194" t="s">
        <v>146</v>
      </c>
      <c r="H41" s="194">
        <f t="shared" ref="H41:J41" si="1">IF(H40=0,0,H40)</f>
        <v>75.2</v>
      </c>
      <c r="I41" s="194">
        <f t="shared" si="1"/>
        <v>24</v>
      </c>
      <c r="J41" s="194">
        <f t="shared" si="1"/>
        <v>56.2</v>
      </c>
      <c r="K41" s="187"/>
      <c r="L41" s="187"/>
      <c r="M41" s="187"/>
      <c r="N41" s="191"/>
      <c r="O41" s="187"/>
      <c r="P41" s="187"/>
      <c r="Q41" s="187"/>
      <c r="R41" s="187"/>
      <c r="S41" s="187"/>
      <c r="T41" s="187"/>
      <c r="U41" s="187"/>
      <c r="V41" s="187"/>
      <c r="W41" s="187"/>
      <c r="X41" s="187"/>
      <c r="Y41" s="187"/>
      <c r="Z41" s="187"/>
    </row>
    <row r="42" spans="1:26" ht="18" customHeight="1" x14ac:dyDescent="0.35">
      <c r="A42" s="19"/>
      <c r="B42" s="2"/>
      <c r="C42" s="2"/>
      <c r="D42" s="2"/>
      <c r="E42" s="2"/>
      <c r="F42" s="2"/>
      <c r="G42" s="19"/>
      <c r="H42" s="2"/>
      <c r="I42" s="2"/>
      <c r="J42" s="2"/>
      <c r="K42" s="2"/>
      <c r="L42" s="2"/>
      <c r="M42" s="2"/>
      <c r="N42" s="3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8" customHeight="1" x14ac:dyDescent="0.35">
      <c r="A43" s="195" t="str">
        <f>IF(B44="Aucun","Dimensions intérieures utiles","Dimensions de l'œuvre")</f>
        <v>Dimensions de l'œuvre</v>
      </c>
      <c r="B43" s="196" t="s">
        <v>28</v>
      </c>
      <c r="C43" s="196" t="s">
        <v>29</v>
      </c>
      <c r="D43" s="196" t="s">
        <v>30</v>
      </c>
      <c r="E43" s="197" t="s">
        <v>147</v>
      </c>
      <c r="F43" s="198"/>
      <c r="G43" s="195" t="str">
        <f>IF(H44="Aucun","Dimensions intérieures utiles","Dimensions de l'œuvre")</f>
        <v>Dimensions de l'œuvre</v>
      </c>
      <c r="H43" s="196" t="s">
        <v>28</v>
      </c>
      <c r="I43" s="196" t="s">
        <v>29</v>
      </c>
      <c r="J43" s="196" t="s">
        <v>30</v>
      </c>
      <c r="K43" s="197" t="s">
        <v>148</v>
      </c>
      <c r="L43" s="199"/>
      <c r="M43" s="199"/>
      <c r="N43" s="200"/>
      <c r="O43" s="199"/>
      <c r="P43" s="199"/>
      <c r="Q43" s="199"/>
      <c r="R43" s="199"/>
      <c r="S43" s="199"/>
      <c r="T43" s="199"/>
      <c r="U43" s="199"/>
      <c r="V43" s="199"/>
      <c r="W43" s="199"/>
      <c r="X43" s="199"/>
      <c r="Y43" s="199"/>
      <c r="Z43" s="199"/>
    </row>
    <row r="44" spans="1:26" ht="18" customHeight="1" x14ac:dyDescent="0.4">
      <c r="A44" s="201"/>
      <c r="B44" s="35">
        <v>59</v>
      </c>
      <c r="C44" s="35">
        <v>8.5</v>
      </c>
      <c r="D44" s="35">
        <v>40.5</v>
      </c>
      <c r="E44" s="202"/>
      <c r="F44" s="199"/>
      <c r="G44" s="201"/>
      <c r="H44" s="203"/>
      <c r="I44" s="203"/>
      <c r="J44" s="203"/>
      <c r="K44" s="202"/>
      <c r="L44" s="199"/>
      <c r="M44" s="199"/>
      <c r="N44" s="200"/>
      <c r="O44" s="199"/>
      <c r="P44" s="199"/>
      <c r="Q44" s="199"/>
      <c r="R44" s="199"/>
      <c r="S44" s="199"/>
      <c r="T44" s="199"/>
      <c r="U44" s="199"/>
      <c r="V44" s="199"/>
      <c r="W44" s="199"/>
      <c r="X44" s="199"/>
      <c r="Y44" s="199"/>
      <c r="Z44" s="199"/>
    </row>
    <row r="45" spans="1:26" ht="18" customHeight="1" x14ac:dyDescent="0.35">
      <c r="A45" s="204" t="s">
        <v>31</v>
      </c>
      <c r="B45" s="205" t="s">
        <v>32</v>
      </c>
      <c r="C45" s="206" t="s">
        <v>141</v>
      </c>
      <c r="D45" s="207"/>
      <c r="E45" s="202"/>
      <c r="F45" s="199"/>
      <c r="G45" s="204" t="s">
        <v>31</v>
      </c>
      <c r="H45" s="205" t="s">
        <v>16</v>
      </c>
      <c r="I45" s="206" t="s">
        <v>141</v>
      </c>
      <c r="J45" s="207"/>
      <c r="K45" s="202"/>
      <c r="L45" s="199"/>
      <c r="M45" s="199"/>
      <c r="N45" s="200"/>
      <c r="O45" s="199"/>
      <c r="P45" s="199"/>
      <c r="Q45" s="199"/>
      <c r="R45" s="199"/>
      <c r="S45" s="199"/>
      <c r="T45" s="199"/>
      <c r="U45" s="199"/>
      <c r="V45" s="199"/>
      <c r="W45" s="199"/>
      <c r="X45" s="199"/>
      <c r="Y45" s="199"/>
      <c r="Z45" s="199"/>
    </row>
    <row r="46" spans="1:26" ht="18" customHeight="1" x14ac:dyDescent="0.35">
      <c r="A46" s="208"/>
      <c r="B46" s="209" t="s">
        <v>33</v>
      </c>
      <c r="C46" s="209" t="s">
        <v>28</v>
      </c>
      <c r="D46" s="209" t="s">
        <v>29</v>
      </c>
      <c r="E46" s="202" t="s">
        <v>34</v>
      </c>
      <c r="F46" s="199"/>
      <c r="G46" s="208"/>
      <c r="H46" s="209" t="s">
        <v>33</v>
      </c>
      <c r="I46" s="209" t="s">
        <v>28</v>
      </c>
      <c r="J46" s="209" t="s">
        <v>29</v>
      </c>
      <c r="K46" s="202" t="s">
        <v>34</v>
      </c>
      <c r="L46" s="199"/>
      <c r="M46" s="199"/>
      <c r="N46" s="200"/>
      <c r="O46" s="199"/>
      <c r="P46" s="199"/>
      <c r="Q46" s="199"/>
      <c r="R46" s="199"/>
      <c r="S46" s="199"/>
      <c r="T46" s="199"/>
      <c r="U46" s="199"/>
      <c r="V46" s="199"/>
      <c r="W46" s="199"/>
      <c r="X46" s="199"/>
      <c r="Y46" s="199"/>
      <c r="Z46" s="199"/>
    </row>
    <row r="47" spans="1:26" ht="18" customHeight="1" x14ac:dyDescent="0.35">
      <c r="A47" s="204" t="s">
        <v>35</v>
      </c>
      <c r="B47" s="203">
        <v>10</v>
      </c>
      <c r="C47" s="209"/>
      <c r="D47" s="209"/>
      <c r="E47" s="202"/>
      <c r="F47" s="199"/>
      <c r="G47" s="204" t="s">
        <v>35</v>
      </c>
      <c r="H47" s="203"/>
      <c r="I47" s="209"/>
      <c r="J47" s="209"/>
      <c r="K47" s="202"/>
      <c r="L47" s="199"/>
      <c r="M47" s="199"/>
      <c r="N47" s="200"/>
      <c r="O47" s="199"/>
      <c r="P47" s="199"/>
      <c r="Q47" s="199"/>
      <c r="R47" s="199"/>
      <c r="S47" s="199"/>
      <c r="T47" s="199"/>
      <c r="U47" s="199"/>
      <c r="V47" s="199"/>
      <c r="W47" s="199"/>
      <c r="X47" s="199"/>
      <c r="Y47" s="199"/>
      <c r="Z47" s="199"/>
    </row>
    <row r="48" spans="1:26" ht="18" customHeight="1" x14ac:dyDescent="0.35">
      <c r="A48" s="204" t="s">
        <v>36</v>
      </c>
      <c r="B48" s="203">
        <v>10</v>
      </c>
      <c r="C48" s="209"/>
      <c r="D48" s="209"/>
      <c r="E48" s="202"/>
      <c r="F48" s="199"/>
      <c r="G48" s="204" t="s">
        <v>36</v>
      </c>
      <c r="H48" s="203"/>
      <c r="I48" s="209"/>
      <c r="J48" s="209"/>
      <c r="K48" s="202"/>
      <c r="L48" s="199"/>
      <c r="M48" s="199"/>
      <c r="N48" s="200"/>
      <c r="O48" s="199"/>
      <c r="P48" s="199"/>
      <c r="Q48" s="199"/>
      <c r="R48" s="199"/>
      <c r="S48" s="199"/>
      <c r="T48" s="199"/>
      <c r="U48" s="199"/>
      <c r="V48" s="199"/>
      <c r="W48" s="199"/>
      <c r="X48" s="199"/>
      <c r="Y48" s="199"/>
      <c r="Z48" s="199"/>
    </row>
    <row r="49" spans="1:26" ht="18" customHeight="1" x14ac:dyDescent="0.35">
      <c r="A49" s="179" t="s">
        <v>113</v>
      </c>
      <c r="B49" s="210">
        <f>+IF(B44=0,0,IF(B44&gt;70,12,6))</f>
        <v>6</v>
      </c>
      <c r="C49" s="209"/>
      <c r="D49" s="209"/>
      <c r="E49" s="210">
        <f>IF(B44&gt;300,6,IF(B44&gt;250,5,IF(B44&gt;200,4,IF(B44&gt;150,3,IF(B44&gt;120,3,2)))))</f>
        <v>2</v>
      </c>
      <c r="F49" s="211"/>
      <c r="G49" s="179" t="s">
        <v>16</v>
      </c>
      <c r="H49" s="210">
        <f>+IF(H44=0,0,IF(H44&gt;70,12,6))</f>
        <v>0</v>
      </c>
      <c r="I49" s="209"/>
      <c r="J49" s="209"/>
      <c r="K49" s="210">
        <f>IF(H44&gt;300,6,IF(H44&gt;250,5,IF(H44&gt;200,4,IF(H44&gt;150,3,IF(H44&gt;120,3,2)))))</f>
        <v>2</v>
      </c>
      <c r="L49" s="199"/>
      <c r="M49" s="199"/>
      <c r="N49" s="200"/>
      <c r="O49" s="199"/>
      <c r="P49" s="199"/>
      <c r="Q49" s="199"/>
      <c r="R49" s="199"/>
      <c r="S49" s="199"/>
      <c r="T49" s="199"/>
      <c r="U49" s="199"/>
      <c r="V49" s="199"/>
      <c r="W49" s="199"/>
      <c r="X49" s="199"/>
      <c r="Y49" s="199"/>
      <c r="Z49" s="199"/>
    </row>
    <row r="50" spans="1:26" ht="18" customHeight="1" x14ac:dyDescent="0.35">
      <c r="A50" s="204" t="s">
        <v>39</v>
      </c>
      <c r="B50" s="212"/>
      <c r="C50" s="206"/>
      <c r="D50" s="212"/>
      <c r="E50" s="202"/>
      <c r="F50" s="199"/>
      <c r="G50" s="204" t="s">
        <v>39</v>
      </c>
      <c r="H50" s="212"/>
      <c r="I50" s="206"/>
      <c r="J50" s="212"/>
      <c r="K50" s="202"/>
      <c r="L50" s="199"/>
      <c r="M50" s="199"/>
      <c r="N50" s="200"/>
      <c r="O50" s="199"/>
      <c r="P50" s="199"/>
      <c r="Q50" s="199"/>
      <c r="R50" s="199"/>
      <c r="S50" s="199"/>
      <c r="T50" s="199"/>
      <c r="U50" s="199"/>
      <c r="V50" s="199"/>
      <c r="W50" s="199"/>
      <c r="X50" s="199"/>
      <c r="Y50" s="199"/>
      <c r="Z50" s="199"/>
    </row>
    <row r="51" spans="1:26" ht="18" customHeight="1" x14ac:dyDescent="0.35">
      <c r="A51" s="204" t="s">
        <v>40</v>
      </c>
      <c r="B51" s="212"/>
      <c r="C51" s="212"/>
      <c r="D51" s="212"/>
      <c r="E51" s="202"/>
      <c r="F51" s="199"/>
      <c r="G51" s="204" t="s">
        <v>40</v>
      </c>
      <c r="H51" s="212"/>
      <c r="I51" s="212"/>
      <c r="J51" s="212"/>
      <c r="K51" s="202"/>
      <c r="L51" s="199"/>
      <c r="M51" s="199"/>
      <c r="N51" s="200"/>
      <c r="O51" s="199"/>
      <c r="P51" s="199"/>
      <c r="Q51" s="199"/>
      <c r="R51" s="199"/>
      <c r="S51" s="199"/>
      <c r="T51" s="199"/>
      <c r="U51" s="199"/>
      <c r="V51" s="199"/>
      <c r="W51" s="199"/>
      <c r="X51" s="199"/>
      <c r="Y51" s="199"/>
      <c r="Z51" s="199"/>
    </row>
    <row r="52" spans="1:26" ht="18" customHeight="1" x14ac:dyDescent="0.35">
      <c r="A52" s="213" t="s">
        <v>41</v>
      </c>
      <c r="B52" s="214"/>
      <c r="C52" s="214"/>
      <c r="D52" s="214"/>
      <c r="E52" s="215"/>
      <c r="F52" s="199"/>
      <c r="G52" s="213" t="s">
        <v>41</v>
      </c>
      <c r="H52" s="214"/>
      <c r="I52" s="214"/>
      <c r="J52" s="214"/>
      <c r="K52" s="215"/>
      <c r="L52" s="199"/>
      <c r="M52" s="199"/>
      <c r="N52" s="200"/>
      <c r="O52" s="199"/>
      <c r="P52" s="199"/>
      <c r="Q52" s="199"/>
      <c r="R52" s="199"/>
      <c r="S52" s="199"/>
      <c r="T52" s="199"/>
      <c r="U52" s="199"/>
      <c r="V52" s="199"/>
      <c r="W52" s="199"/>
      <c r="X52" s="199"/>
      <c r="Y52" s="199"/>
      <c r="Z52" s="199"/>
    </row>
    <row r="53" spans="1:26" ht="18" hidden="1" customHeight="1" x14ac:dyDescent="0.35">
      <c r="A53" s="216" t="s">
        <v>142</v>
      </c>
      <c r="B53" s="199">
        <f>IF(B44=0,0,B44+VLOOKUP(B45,$A$282:$L$288,2))</f>
        <v>69.2</v>
      </c>
      <c r="C53" s="199">
        <f>IF(C44=0,0,C44+VLOOKUP(B45,$A$282:$L$288,3))</f>
        <v>19.5</v>
      </c>
      <c r="D53" s="199">
        <f>IF(D44=0,0,D44+VLOOKUP(B45,$A$282:$L$288,4))</f>
        <v>50.7</v>
      </c>
      <c r="E53" s="199"/>
      <c r="F53" s="199"/>
      <c r="G53" s="216" t="s">
        <v>143</v>
      </c>
      <c r="H53" s="199">
        <f>IF(H44=0,0,H44+VLOOKUP(H45,$A$282:$L$288,2))</f>
        <v>0</v>
      </c>
      <c r="I53" s="199">
        <f>IF(I44=0,0,I44+VLOOKUP(H45,$A$282:$L$288,3))</f>
        <v>0</v>
      </c>
      <c r="J53" s="199">
        <f>IF(J44=0,0,J44+VLOOKUP(H45,$A$282:$L$288,4))</f>
        <v>0</v>
      </c>
      <c r="K53" s="217"/>
      <c r="L53" s="199"/>
      <c r="M53" s="199"/>
      <c r="N53" s="200"/>
      <c r="O53" s="199"/>
      <c r="P53" s="199"/>
      <c r="Q53" s="199"/>
      <c r="R53" s="199"/>
      <c r="S53" s="199"/>
      <c r="T53" s="199"/>
      <c r="U53" s="199"/>
      <c r="V53" s="199"/>
      <c r="W53" s="199"/>
      <c r="X53" s="199"/>
      <c r="Y53" s="199"/>
      <c r="Z53" s="199"/>
    </row>
    <row r="54" spans="1:26" ht="18" hidden="1" customHeight="1" x14ac:dyDescent="0.35">
      <c r="A54" s="216"/>
      <c r="B54" s="199"/>
      <c r="C54" s="199"/>
      <c r="D54" s="199"/>
      <c r="E54" s="199"/>
      <c r="F54" s="199"/>
      <c r="G54" s="218"/>
      <c r="H54" s="199"/>
      <c r="I54" s="199"/>
      <c r="J54" s="199"/>
      <c r="K54" s="217"/>
      <c r="L54" s="199"/>
      <c r="M54" s="199"/>
      <c r="N54" s="200"/>
      <c r="O54" s="199"/>
      <c r="P54" s="199"/>
      <c r="Q54" s="199"/>
      <c r="R54" s="199"/>
      <c r="S54" s="199"/>
      <c r="T54" s="199"/>
      <c r="U54" s="199"/>
      <c r="V54" s="199"/>
      <c r="W54" s="199"/>
      <c r="X54" s="199"/>
      <c r="Y54" s="199"/>
      <c r="Z54" s="199"/>
    </row>
    <row r="55" spans="1:26" ht="18" hidden="1" customHeight="1" x14ac:dyDescent="0.35">
      <c r="A55" s="1111" t="s">
        <v>149</v>
      </c>
      <c r="B55" s="199"/>
      <c r="C55" s="199"/>
      <c r="D55" s="199"/>
      <c r="E55" s="199"/>
      <c r="F55" s="199"/>
      <c r="G55" s="219" t="s">
        <v>150</v>
      </c>
      <c r="H55" s="209">
        <f>IF(H57=0,0,H56-3)</f>
        <v>69.7</v>
      </c>
      <c r="I55" s="209">
        <f>IF(I57=0,0,I56-1)</f>
        <v>19.5</v>
      </c>
      <c r="J55" s="209">
        <f>IF(J57=0,0,J56-3)</f>
        <v>50.7</v>
      </c>
      <c r="K55" s="209"/>
      <c r="L55" s="199"/>
      <c r="M55" s="199"/>
      <c r="N55" s="200"/>
      <c r="O55" s="199"/>
      <c r="P55" s="199"/>
      <c r="Q55" s="199"/>
      <c r="R55" s="199"/>
      <c r="S55" s="199"/>
      <c r="T55" s="199"/>
      <c r="U55" s="199"/>
      <c r="V55" s="199"/>
      <c r="W55" s="199"/>
      <c r="X55" s="199"/>
      <c r="Y55" s="199"/>
      <c r="Z55" s="199"/>
    </row>
    <row r="56" spans="1:26" ht="18" hidden="1" customHeight="1" x14ac:dyDescent="0.35">
      <c r="A56" s="1112"/>
      <c r="B56" s="220">
        <f>B53+IF(H53=0,0,1.5+H53)</f>
        <v>69.2</v>
      </c>
      <c r="C56" s="220">
        <f t="shared" ref="C56:D56" si="2">MAX(C53,I53)</f>
        <v>19.5</v>
      </c>
      <c r="D56" s="220">
        <f t="shared" si="2"/>
        <v>50.7</v>
      </c>
      <c r="E56" s="220"/>
      <c r="F56" s="220"/>
      <c r="G56" s="219" t="s">
        <v>151</v>
      </c>
      <c r="H56" s="219">
        <f>IF(H57=0,0,H57-2.5)</f>
        <v>72.7</v>
      </c>
      <c r="I56" s="219">
        <f>IF(I57=0,0,I57-0.2)</f>
        <v>20.5</v>
      </c>
      <c r="J56" s="219">
        <f>IF(J57=0,0,J57-2.5)</f>
        <v>53.7</v>
      </c>
      <c r="K56" s="209"/>
      <c r="L56" s="199"/>
      <c r="M56" s="199"/>
      <c r="N56" s="200"/>
      <c r="O56" s="199"/>
      <c r="P56" s="199"/>
      <c r="Q56" s="199"/>
      <c r="R56" s="199"/>
      <c r="S56" s="199"/>
      <c r="T56" s="199"/>
      <c r="U56" s="199"/>
      <c r="V56" s="199"/>
      <c r="W56" s="199"/>
      <c r="X56" s="199"/>
      <c r="Y56" s="199"/>
      <c r="Z56" s="199"/>
    </row>
    <row r="57" spans="1:26" ht="18" hidden="1" customHeight="1" x14ac:dyDescent="0.35">
      <c r="A57" s="199"/>
      <c r="B57" s="199"/>
      <c r="C57" s="199"/>
      <c r="D57" s="199"/>
      <c r="E57" s="199"/>
      <c r="F57" s="199"/>
      <c r="G57" s="199" t="s">
        <v>152</v>
      </c>
      <c r="H57" s="199">
        <f>IF(B56=0,0,MAX(B41,B56+5.5,B72+5.5))</f>
        <v>75.2</v>
      </c>
      <c r="I57" s="199">
        <f>IF(C56=0,0,C56+1.2)</f>
        <v>20.7</v>
      </c>
      <c r="J57" s="199">
        <f>IF(D56=0,0,MAX(D41,D56+5.5,D72+5.5))</f>
        <v>56.2</v>
      </c>
      <c r="K57" s="199"/>
      <c r="L57" s="199"/>
      <c r="M57" s="199"/>
      <c r="N57" s="200"/>
      <c r="O57" s="199"/>
      <c r="P57" s="199"/>
      <c r="Q57" s="199"/>
      <c r="R57" s="199"/>
      <c r="S57" s="199"/>
      <c r="T57" s="199"/>
      <c r="U57" s="199"/>
      <c r="V57" s="199"/>
      <c r="W57" s="199"/>
      <c r="X57" s="199"/>
      <c r="Y57" s="199"/>
      <c r="Z57" s="199"/>
    </row>
    <row r="58" spans="1:26" ht="18" customHeight="1" x14ac:dyDescent="0.35">
      <c r="A58" s="19"/>
      <c r="B58" s="2"/>
      <c r="C58" s="2"/>
      <c r="D58" s="2"/>
      <c r="E58" s="2"/>
      <c r="F58" s="2"/>
      <c r="G58" s="19"/>
      <c r="H58" s="2"/>
      <c r="I58" s="2"/>
      <c r="J58" s="2"/>
      <c r="K58" s="2"/>
      <c r="L58" s="2"/>
      <c r="M58" s="2"/>
      <c r="N58" s="3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8" customHeight="1" x14ac:dyDescent="0.4">
      <c r="A59" s="221" t="str">
        <f>IF(B60="Aucun","Dimensions intérieures utiles","Dimensions de l'œuvre")</f>
        <v>Dimensions de l'œuvre</v>
      </c>
      <c r="B59" s="222" t="s">
        <v>28</v>
      </c>
      <c r="C59" s="222" t="s">
        <v>29</v>
      </c>
      <c r="D59" s="222" t="s">
        <v>30</v>
      </c>
      <c r="E59" s="223" t="s">
        <v>153</v>
      </c>
      <c r="F59" s="224"/>
      <c r="G59" s="225" t="str">
        <f>IF(H60="Aucun","Dimensions intérieures utiles","Dimensions de l'œuvre")</f>
        <v>Dimensions de l'œuvre</v>
      </c>
      <c r="H59" s="222" t="s">
        <v>28</v>
      </c>
      <c r="I59" s="222" t="s">
        <v>29</v>
      </c>
      <c r="J59" s="222" t="s">
        <v>30</v>
      </c>
      <c r="K59" s="223" t="s">
        <v>154</v>
      </c>
      <c r="L59" s="226"/>
      <c r="M59" s="226"/>
      <c r="N59" s="227"/>
      <c r="O59" s="226"/>
      <c r="P59" s="226"/>
      <c r="Q59" s="226"/>
      <c r="R59" s="226"/>
      <c r="S59" s="226"/>
      <c r="T59" s="226"/>
      <c r="U59" s="226"/>
      <c r="V59" s="226"/>
      <c r="W59" s="226"/>
      <c r="X59" s="226"/>
      <c r="Y59" s="226"/>
      <c r="Z59" s="226"/>
    </row>
    <row r="60" spans="1:26" ht="18" customHeight="1" x14ac:dyDescent="0.4">
      <c r="A60" s="228"/>
      <c r="B60" s="35">
        <v>59.5</v>
      </c>
      <c r="C60" s="35">
        <v>8</v>
      </c>
      <c r="D60" s="35">
        <v>39.5</v>
      </c>
      <c r="E60" s="229"/>
      <c r="F60" s="226"/>
      <c r="G60" s="228"/>
      <c r="H60" s="203"/>
      <c r="I60" s="203"/>
      <c r="J60" s="203"/>
      <c r="K60" s="229"/>
      <c r="L60" s="226"/>
      <c r="M60" s="226"/>
      <c r="N60" s="227"/>
      <c r="O60" s="226"/>
      <c r="P60" s="226"/>
      <c r="Q60" s="226"/>
      <c r="R60" s="226"/>
      <c r="S60" s="226"/>
      <c r="T60" s="226"/>
      <c r="U60" s="226"/>
      <c r="V60" s="226"/>
      <c r="W60" s="226"/>
      <c r="X60" s="226"/>
      <c r="Y60" s="226"/>
      <c r="Z60" s="226"/>
    </row>
    <row r="61" spans="1:26" ht="18" customHeight="1" x14ac:dyDescent="0.35">
      <c r="A61" s="230" t="s">
        <v>31</v>
      </c>
      <c r="B61" s="46" t="s">
        <v>32</v>
      </c>
      <c r="C61" s="231" t="s">
        <v>141</v>
      </c>
      <c r="D61" s="177"/>
      <c r="E61" s="229"/>
      <c r="F61" s="226"/>
      <c r="G61" s="230" t="s">
        <v>31</v>
      </c>
      <c r="H61" s="205" t="s">
        <v>16</v>
      </c>
      <c r="I61" s="231" t="s">
        <v>141</v>
      </c>
      <c r="J61" s="177"/>
      <c r="K61" s="229"/>
      <c r="L61" s="226"/>
      <c r="M61" s="226"/>
      <c r="N61" s="227"/>
      <c r="O61" s="226"/>
      <c r="P61" s="226"/>
      <c r="Q61" s="226"/>
      <c r="R61" s="226"/>
      <c r="S61" s="226"/>
      <c r="T61" s="226"/>
      <c r="U61" s="226"/>
      <c r="V61" s="226"/>
      <c r="W61" s="226"/>
      <c r="X61" s="226"/>
      <c r="Y61" s="226"/>
      <c r="Z61" s="226"/>
    </row>
    <row r="62" spans="1:26" ht="18" customHeight="1" x14ac:dyDescent="0.35">
      <c r="A62" s="232"/>
      <c r="B62" s="233" t="s">
        <v>33</v>
      </c>
      <c r="C62" s="233" t="s">
        <v>28</v>
      </c>
      <c r="D62" s="233" t="s">
        <v>29</v>
      </c>
      <c r="E62" s="229" t="s">
        <v>34</v>
      </c>
      <c r="F62" s="226"/>
      <c r="G62" s="232"/>
      <c r="H62" s="233" t="s">
        <v>33</v>
      </c>
      <c r="I62" s="233" t="s">
        <v>28</v>
      </c>
      <c r="J62" s="233" t="s">
        <v>29</v>
      </c>
      <c r="K62" s="229" t="s">
        <v>34</v>
      </c>
      <c r="L62" s="226"/>
      <c r="M62" s="226"/>
      <c r="N62" s="227"/>
      <c r="O62" s="226"/>
      <c r="P62" s="226"/>
      <c r="Q62" s="226"/>
      <c r="R62" s="226"/>
      <c r="S62" s="226"/>
      <c r="T62" s="226"/>
      <c r="U62" s="226"/>
      <c r="V62" s="226"/>
      <c r="W62" s="226"/>
      <c r="X62" s="226"/>
      <c r="Y62" s="226"/>
      <c r="Z62" s="226"/>
    </row>
    <row r="63" spans="1:26" ht="18" customHeight="1" x14ac:dyDescent="0.35">
      <c r="A63" s="230" t="s">
        <v>35</v>
      </c>
      <c r="B63" s="203">
        <v>7</v>
      </c>
      <c r="C63" s="233"/>
      <c r="D63" s="233"/>
      <c r="E63" s="229"/>
      <c r="F63" s="226"/>
      <c r="G63" s="230" t="s">
        <v>35</v>
      </c>
      <c r="H63" s="203"/>
      <c r="I63" s="233"/>
      <c r="J63" s="233"/>
      <c r="K63" s="229"/>
      <c r="L63" s="226"/>
      <c r="M63" s="226"/>
      <c r="N63" s="227"/>
      <c r="O63" s="226"/>
      <c r="P63" s="226"/>
      <c r="Q63" s="226"/>
      <c r="R63" s="226"/>
      <c r="S63" s="226"/>
      <c r="T63" s="226"/>
      <c r="U63" s="226"/>
      <c r="V63" s="226"/>
      <c r="W63" s="226"/>
      <c r="X63" s="226"/>
      <c r="Y63" s="226"/>
      <c r="Z63" s="226"/>
    </row>
    <row r="64" spans="1:26" ht="18" customHeight="1" x14ac:dyDescent="0.35">
      <c r="A64" s="230" t="s">
        <v>36</v>
      </c>
      <c r="B64" s="203">
        <v>7</v>
      </c>
      <c r="C64" s="233"/>
      <c r="D64" s="233"/>
      <c r="E64" s="229"/>
      <c r="F64" s="226"/>
      <c r="G64" s="230" t="s">
        <v>36</v>
      </c>
      <c r="H64" s="203"/>
      <c r="I64" s="233"/>
      <c r="J64" s="233"/>
      <c r="K64" s="229"/>
      <c r="L64" s="226"/>
      <c r="M64" s="226"/>
      <c r="N64" s="227"/>
      <c r="O64" s="226"/>
      <c r="P64" s="226"/>
      <c r="Q64" s="226"/>
      <c r="R64" s="226"/>
      <c r="S64" s="226"/>
      <c r="T64" s="226"/>
      <c r="U64" s="226"/>
      <c r="V64" s="226"/>
      <c r="W64" s="226"/>
      <c r="X64" s="226"/>
      <c r="Y64" s="226"/>
      <c r="Z64" s="226"/>
    </row>
    <row r="65" spans="1:26" ht="18" customHeight="1" x14ac:dyDescent="0.35">
      <c r="A65" s="179" t="s">
        <v>37</v>
      </c>
      <c r="B65" s="234">
        <f>+IF(B60=0,0,IF(B60&gt;70,12,6))</f>
        <v>6</v>
      </c>
      <c r="C65" s="233"/>
      <c r="D65" s="233"/>
      <c r="E65" s="234">
        <f>IF(B60&gt;300,6,IF(B60&gt;250,5,IF(B60&gt;200,4,IF(B60&gt;150,3,IF(B60&gt;120,3,2)))))</f>
        <v>2</v>
      </c>
      <c r="F65" s="235"/>
      <c r="G65" s="179" t="s">
        <v>16</v>
      </c>
      <c r="H65" s="234">
        <f>+IF(H60=0,0,IF(H60&gt;70,12,6))</f>
        <v>0</v>
      </c>
      <c r="I65" s="233"/>
      <c r="J65" s="233"/>
      <c r="K65" s="234">
        <f>IF(H60&gt;300,6,IF(H60&gt;250,5,IF(H60&gt;200,4,IF(H60&gt;150,3,IF(H60&gt;120,3,2)))))</f>
        <v>2</v>
      </c>
      <c r="L65" s="226"/>
      <c r="M65" s="226"/>
      <c r="N65" s="227"/>
      <c r="O65" s="226"/>
      <c r="P65" s="226"/>
      <c r="Q65" s="226"/>
      <c r="R65" s="226"/>
      <c r="S65" s="226"/>
      <c r="T65" s="226"/>
      <c r="U65" s="226"/>
      <c r="V65" s="226"/>
      <c r="W65" s="226"/>
      <c r="X65" s="226"/>
      <c r="Y65" s="226"/>
      <c r="Z65" s="226"/>
    </row>
    <row r="66" spans="1:26" ht="18" customHeight="1" x14ac:dyDescent="0.35">
      <c r="A66" s="230" t="s">
        <v>39</v>
      </c>
      <c r="B66" s="212"/>
      <c r="C66" s="231"/>
      <c r="D66" s="212"/>
      <c r="E66" s="236"/>
      <c r="F66" s="226"/>
      <c r="G66" s="230" t="s">
        <v>39</v>
      </c>
      <c r="H66" s="212"/>
      <c r="I66" s="231"/>
      <c r="J66" s="212"/>
      <c r="K66" s="236"/>
      <c r="L66" s="226"/>
      <c r="M66" s="226"/>
      <c r="N66" s="227"/>
      <c r="O66" s="226"/>
      <c r="P66" s="226"/>
      <c r="Q66" s="226"/>
      <c r="R66" s="226"/>
      <c r="S66" s="226"/>
      <c r="T66" s="226"/>
      <c r="U66" s="226"/>
      <c r="V66" s="226"/>
      <c r="W66" s="226"/>
      <c r="X66" s="226"/>
      <c r="Y66" s="226"/>
      <c r="Z66" s="226"/>
    </row>
    <row r="67" spans="1:26" ht="18" customHeight="1" x14ac:dyDescent="0.35">
      <c r="A67" s="230" t="s">
        <v>40</v>
      </c>
      <c r="B67" s="212"/>
      <c r="C67" s="212"/>
      <c r="D67" s="212"/>
      <c r="E67" s="236"/>
      <c r="F67" s="226"/>
      <c r="G67" s="230" t="s">
        <v>40</v>
      </c>
      <c r="H67" s="212"/>
      <c r="I67" s="212"/>
      <c r="J67" s="212"/>
      <c r="K67" s="236"/>
      <c r="L67" s="226"/>
      <c r="M67" s="226"/>
      <c r="N67" s="227"/>
      <c r="O67" s="226"/>
      <c r="P67" s="226"/>
      <c r="Q67" s="226"/>
      <c r="R67" s="226"/>
      <c r="S67" s="226"/>
      <c r="T67" s="226"/>
      <c r="U67" s="226"/>
      <c r="V67" s="226"/>
      <c r="W67" s="226"/>
      <c r="X67" s="226"/>
      <c r="Y67" s="226"/>
      <c r="Z67" s="226"/>
    </row>
    <row r="68" spans="1:26" ht="18" customHeight="1" x14ac:dyDescent="0.35">
      <c r="A68" s="237" t="s">
        <v>41</v>
      </c>
      <c r="B68" s="214"/>
      <c r="C68" s="214"/>
      <c r="D68" s="214"/>
      <c r="E68" s="238"/>
      <c r="F68" s="226"/>
      <c r="G68" s="237" t="s">
        <v>41</v>
      </c>
      <c r="H68" s="214"/>
      <c r="I68" s="214"/>
      <c r="J68" s="214"/>
      <c r="K68" s="238"/>
      <c r="L68" s="226"/>
      <c r="M68" s="226"/>
      <c r="N68" s="227"/>
      <c r="O68" s="226"/>
      <c r="P68" s="226"/>
      <c r="Q68" s="226"/>
      <c r="R68" s="226"/>
      <c r="S68" s="226"/>
      <c r="T68" s="226"/>
      <c r="U68" s="226"/>
      <c r="V68" s="226"/>
      <c r="W68" s="226"/>
      <c r="X68" s="226"/>
      <c r="Y68" s="226"/>
      <c r="Z68" s="226"/>
    </row>
    <row r="69" spans="1:26" ht="18" hidden="1" customHeight="1" x14ac:dyDescent="0.35">
      <c r="A69" s="239" t="s">
        <v>142</v>
      </c>
      <c r="B69" s="226">
        <f>IF(B60=0,0,B60+VLOOKUP(B61,$A$282:$L$288,2))</f>
        <v>69.7</v>
      </c>
      <c r="C69" s="226">
        <f>IF(C60=0,0,C60+VLOOKUP(B61,$A$282:$L$288,3))</f>
        <v>19</v>
      </c>
      <c r="D69" s="226">
        <f>IF(D60=0,0,D60+VLOOKUP(B61,$A$282:$L$288,4))</f>
        <v>49.7</v>
      </c>
      <c r="E69" s="226"/>
      <c r="F69" s="226"/>
      <c r="G69" s="239" t="s">
        <v>143</v>
      </c>
      <c r="H69" s="226">
        <f>IF(H60=0,0,H60+VLOOKUP(H61,$A$282:$L$288,2))</f>
        <v>0</v>
      </c>
      <c r="I69" s="226">
        <f>IF(I60=0,0,I60+VLOOKUP(H61,$A$282:$L$288,3))</f>
        <v>0</v>
      </c>
      <c r="J69" s="226">
        <f>IF(J60=0,0,J60+VLOOKUP(H61,$A$282:$L$288,4))</f>
        <v>0</v>
      </c>
      <c r="K69" s="240"/>
      <c r="L69" s="226"/>
      <c r="M69" s="226"/>
      <c r="N69" s="227"/>
      <c r="O69" s="226"/>
      <c r="P69" s="226"/>
      <c r="Q69" s="226"/>
      <c r="R69" s="226"/>
      <c r="S69" s="226"/>
      <c r="T69" s="226"/>
      <c r="U69" s="226"/>
      <c r="V69" s="226"/>
      <c r="W69" s="226"/>
      <c r="X69" s="226"/>
      <c r="Y69" s="226"/>
      <c r="Z69" s="226"/>
    </row>
    <row r="70" spans="1:26" ht="18" hidden="1" customHeight="1" x14ac:dyDescent="0.35">
      <c r="A70" s="239"/>
      <c r="B70" s="226"/>
      <c r="C70" s="226"/>
      <c r="D70" s="226"/>
      <c r="E70" s="226"/>
      <c r="F70" s="226"/>
      <c r="G70" s="241"/>
      <c r="H70" s="226"/>
      <c r="I70" s="226"/>
      <c r="J70" s="226"/>
      <c r="K70" s="240"/>
      <c r="L70" s="226"/>
      <c r="M70" s="226"/>
      <c r="N70" s="227"/>
      <c r="O70" s="226"/>
      <c r="P70" s="226"/>
      <c r="Q70" s="226"/>
      <c r="R70" s="226"/>
      <c r="S70" s="226"/>
      <c r="T70" s="226"/>
      <c r="U70" s="226"/>
      <c r="V70" s="226"/>
      <c r="W70" s="226"/>
      <c r="X70" s="226"/>
      <c r="Y70" s="226"/>
      <c r="Z70" s="226"/>
    </row>
    <row r="71" spans="1:26" ht="18" hidden="1" customHeight="1" x14ac:dyDescent="0.35">
      <c r="A71" s="1113" t="s">
        <v>155</v>
      </c>
      <c r="B71" s="226"/>
      <c r="C71" s="226"/>
      <c r="D71" s="226"/>
      <c r="E71" s="226"/>
      <c r="F71" s="226"/>
      <c r="G71" s="242" t="s">
        <v>150</v>
      </c>
      <c r="H71" s="233">
        <f>IF(H73=0,0,H72-3)</f>
        <v>69.7</v>
      </c>
      <c r="I71" s="233">
        <f>IF(I73=0,0,I72-1)</f>
        <v>19</v>
      </c>
      <c r="J71" s="233">
        <f>IF(J73=0,0,J72-3)</f>
        <v>50.7</v>
      </c>
      <c r="K71" s="233"/>
      <c r="L71" s="226"/>
      <c r="M71" s="226"/>
      <c r="N71" s="227"/>
      <c r="O71" s="226"/>
      <c r="P71" s="226"/>
      <c r="Q71" s="226"/>
      <c r="R71" s="226"/>
      <c r="S71" s="226"/>
      <c r="T71" s="226"/>
      <c r="U71" s="226"/>
      <c r="V71" s="226"/>
      <c r="W71" s="226"/>
      <c r="X71" s="226"/>
      <c r="Y71" s="226"/>
      <c r="Z71" s="226"/>
    </row>
    <row r="72" spans="1:26" ht="18" hidden="1" customHeight="1" x14ac:dyDescent="0.35">
      <c r="A72" s="1112"/>
      <c r="B72" s="243">
        <f>B69+IF(H69=0,0,1.5+H69)</f>
        <v>69.7</v>
      </c>
      <c r="C72" s="243">
        <f t="shared" ref="C72:D72" si="3">MAX(C69,I69)</f>
        <v>19</v>
      </c>
      <c r="D72" s="243">
        <f t="shared" si="3"/>
        <v>49.7</v>
      </c>
      <c r="E72" s="243"/>
      <c r="F72" s="243"/>
      <c r="G72" s="242" t="s">
        <v>151</v>
      </c>
      <c r="H72" s="242">
        <f>IF(H73=0,0,H73-2.5)</f>
        <v>72.7</v>
      </c>
      <c r="I72" s="242">
        <f>IF(I73=0,0,I73-0.2)</f>
        <v>20</v>
      </c>
      <c r="J72" s="242">
        <f>IF(J73=0,0,J73-2.5)</f>
        <v>53.7</v>
      </c>
      <c r="K72" s="233"/>
      <c r="L72" s="226"/>
      <c r="M72" s="226"/>
      <c r="N72" s="227"/>
      <c r="O72" s="226"/>
      <c r="P72" s="226"/>
      <c r="Q72" s="226"/>
      <c r="R72" s="226"/>
      <c r="S72" s="226"/>
      <c r="T72" s="226"/>
      <c r="U72" s="226"/>
      <c r="V72" s="226"/>
      <c r="W72" s="226"/>
      <c r="X72" s="226"/>
      <c r="Y72" s="226"/>
      <c r="Z72" s="226"/>
    </row>
    <row r="73" spans="1:26" ht="18" hidden="1" customHeight="1" x14ac:dyDescent="0.35">
      <c r="A73" s="241"/>
      <c r="B73" s="226"/>
      <c r="C73" s="226"/>
      <c r="D73" s="226"/>
      <c r="E73" s="226"/>
      <c r="F73" s="226"/>
      <c r="G73" s="199" t="s">
        <v>152</v>
      </c>
      <c r="H73" s="199">
        <f>IF(B72=0,0,MAX(B41,B56+5.5,B72+5.5))</f>
        <v>75.2</v>
      </c>
      <c r="I73" s="199">
        <f>IF(C72=0,0,C72+1.2)</f>
        <v>20.2</v>
      </c>
      <c r="J73" s="199">
        <f>IF(D72=0,0,MAX(D41,D56+5.5,D72+5.5))</f>
        <v>56.2</v>
      </c>
      <c r="K73" s="226"/>
      <c r="L73" s="226"/>
      <c r="M73" s="226"/>
      <c r="N73" s="227"/>
      <c r="O73" s="226"/>
      <c r="P73" s="226"/>
      <c r="Q73" s="226"/>
      <c r="R73" s="226"/>
      <c r="S73" s="226"/>
      <c r="T73" s="226"/>
      <c r="U73" s="226"/>
      <c r="V73" s="226"/>
      <c r="W73" s="226"/>
      <c r="X73" s="226"/>
      <c r="Y73" s="226"/>
      <c r="Z73" s="226"/>
    </row>
    <row r="74" spans="1:26" ht="18" hidden="1" customHeight="1" x14ac:dyDescent="0.35">
      <c r="A74" s="1114" t="s">
        <v>156</v>
      </c>
      <c r="B74" s="2"/>
      <c r="C74" s="2"/>
      <c r="D74" s="2"/>
      <c r="E74" s="2"/>
      <c r="F74" s="2"/>
      <c r="G74" s="19"/>
      <c r="H74" s="2"/>
      <c r="I74" s="2"/>
      <c r="J74" s="2"/>
      <c r="K74" s="2"/>
      <c r="L74" s="2"/>
      <c r="M74" s="2"/>
      <c r="N74" s="3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8" hidden="1" customHeight="1" x14ac:dyDescent="0.35">
      <c r="A75" s="1108"/>
      <c r="B75" s="2"/>
      <c r="C75" s="2">
        <f>MAX(H41,H57,H73)</f>
        <v>75.2</v>
      </c>
      <c r="D75" s="2">
        <f>I41+I57+I73</f>
        <v>64.900000000000006</v>
      </c>
      <c r="E75" s="2">
        <f>MAX(J41,J57,J73)</f>
        <v>56.2</v>
      </c>
      <c r="F75" s="2"/>
      <c r="G75" s="19"/>
      <c r="H75" s="2"/>
      <c r="I75" s="2"/>
      <c r="J75" s="2"/>
      <c r="K75" s="2"/>
      <c r="L75" s="2"/>
      <c r="M75" s="2"/>
      <c r="N75" s="3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8" customHeight="1" x14ac:dyDescent="0.35">
      <c r="A76" s="19"/>
      <c r="B76" s="2"/>
      <c r="C76" s="2"/>
      <c r="D76" s="2"/>
      <c r="E76" s="2"/>
      <c r="F76" s="2"/>
      <c r="G76" s="19"/>
      <c r="H76" s="2"/>
      <c r="I76" s="2"/>
      <c r="J76" s="2"/>
      <c r="K76" s="2"/>
      <c r="L76" s="2"/>
      <c r="M76" s="2"/>
      <c r="N76" s="3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9.5" customHeight="1" x14ac:dyDescent="0.35">
      <c r="A77" s="2"/>
      <c r="B77" s="244" t="s">
        <v>42</v>
      </c>
      <c r="C77" s="50">
        <f>C75+VLOOKUP(C17,$A$257:$P$263,2)</f>
        <v>95.7</v>
      </c>
      <c r="D77" s="50">
        <f>D75+VLOOKUP(C17,$A$257:$P$263,3)</f>
        <v>85.4</v>
      </c>
      <c r="E77" s="50">
        <f>E75+VLOOKUP(C17,$A$257:$P$263,4)</f>
        <v>76.7</v>
      </c>
      <c r="F77" s="52" t="s">
        <v>43</v>
      </c>
      <c r="G77" s="21"/>
      <c r="H77" s="2"/>
      <c r="I77" s="2"/>
      <c r="J77" s="2"/>
      <c r="K77" s="2"/>
      <c r="L77" s="2"/>
      <c r="M77" s="2"/>
      <c r="N77" s="3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8" customHeight="1" x14ac:dyDescent="0.35">
      <c r="A78" s="2"/>
      <c r="B78" s="19"/>
      <c r="C78" s="19"/>
      <c r="D78" s="19"/>
      <c r="E78" s="19"/>
      <c r="F78" s="53"/>
      <c r="G78" s="2"/>
      <c r="H78" s="2"/>
      <c r="I78" s="2"/>
      <c r="J78" s="2"/>
      <c r="K78" s="2"/>
      <c r="L78" s="2"/>
      <c r="M78" s="2"/>
      <c r="N78" s="3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8" customHeight="1" x14ac:dyDescent="0.35">
      <c r="A79" s="2"/>
      <c r="B79" s="244" t="s">
        <v>44</v>
      </c>
      <c r="C79" s="245">
        <f>C77+VLOOKUP(C21,A268:B270,2)+VLOOKUP(C13,A247:E249,5)*2+VLOOKUP(C15,A251:D252,4)*2</f>
        <v>107.10000000000001</v>
      </c>
      <c r="D79" s="50">
        <f>IF(OR($F$23="Aucun",$F$23="Stalilisateur"),$D$77+VLOOKUP($C$13,$A$247:$E$249,4)*2+VLOOKUP($C$15,$A$251:$D$252,4)*2+0.5,$E$77+VLOOKUP($C$13,$A$247:$E$249,5)*2+VLOOKUP($C$15,$A$251:$D$252,4)*2)</f>
        <v>93.100000000000009</v>
      </c>
      <c r="E79" s="51">
        <f>IF(OR($F$23="Aucun",$F$23="Stabilisateur"),$E$77+VLOOKUP($C$13,$A$247:$E$249,5)*2+VLOOKUP($C$15,$A$251:$D$252,4)*2+VLOOKUP($C$23,$A$296:$B$298,2),$D$77+VLOOKUP($C$13,$A$247:$E$249,4)*2+VLOOKUP($C$15,$A$251:$D$252,4)*2+VLOOKUP($C$23,$A$296:$B$298,2)+VLOOKUP($F$23,$A$272:$D$275,4)+0.5)</f>
        <v>86.9</v>
      </c>
      <c r="F79" s="56">
        <f>ROUNDUP(C244,0)</f>
        <v>918</v>
      </c>
      <c r="G79" s="96"/>
      <c r="H79" s="71"/>
      <c r="I79" s="2"/>
      <c r="J79" s="2"/>
      <c r="K79" s="2"/>
      <c r="L79" s="2"/>
      <c r="M79" s="2"/>
      <c r="N79" s="3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8" customHeight="1" x14ac:dyDescent="0.35">
      <c r="A80" s="2"/>
      <c r="B80" s="70"/>
      <c r="C80" s="60"/>
      <c r="D80" s="19"/>
      <c r="E80" s="19"/>
      <c r="F80" s="61"/>
      <c r="G80" s="96"/>
      <c r="H80" s="71"/>
      <c r="I80" s="71"/>
      <c r="J80" s="2"/>
      <c r="K80" s="2"/>
      <c r="L80" s="2"/>
      <c r="M80" s="2"/>
      <c r="N80" s="3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8" customHeight="1" x14ac:dyDescent="0.35">
      <c r="A81" s="2"/>
      <c r="B81" s="62" t="s">
        <v>45</v>
      </c>
      <c r="C81" s="63">
        <f>Q236</f>
        <v>74.93637360000001</v>
      </c>
      <c r="D81" s="64" t="s">
        <v>46</v>
      </c>
      <c r="E81" s="65" t="s">
        <v>47</v>
      </c>
      <c r="F81" s="61"/>
      <c r="G81" s="96"/>
      <c r="H81" s="71"/>
      <c r="I81" s="2"/>
      <c r="J81" s="2"/>
      <c r="K81" s="2"/>
      <c r="L81" s="2"/>
      <c r="M81" s="2"/>
      <c r="N81" s="3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8" customHeight="1" x14ac:dyDescent="0.35">
      <c r="A82" s="2"/>
      <c r="B82" s="66" t="s">
        <v>48</v>
      </c>
      <c r="C82" s="67">
        <f>D238</f>
        <v>271.75584553320004</v>
      </c>
      <c r="D82" s="68" t="s">
        <v>49</v>
      </c>
      <c r="E82" s="69">
        <f>R236</f>
        <v>79.123892559400005</v>
      </c>
      <c r="F82" s="61"/>
      <c r="G82" s="96"/>
      <c r="H82" s="71"/>
      <c r="I82" s="2"/>
      <c r="J82" s="2"/>
      <c r="K82" s="2"/>
      <c r="L82" s="2"/>
      <c r="M82" s="2"/>
      <c r="N82" s="3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8" customHeight="1" x14ac:dyDescent="0.35">
      <c r="A83" s="2"/>
      <c r="B83" s="70"/>
      <c r="C83" s="60"/>
      <c r="D83" s="19"/>
      <c r="E83" s="19"/>
      <c r="F83" s="61"/>
      <c r="G83" s="2"/>
      <c r="H83" s="71"/>
      <c r="I83" s="2"/>
      <c r="J83" s="2"/>
      <c r="K83" s="2"/>
      <c r="L83" s="2"/>
      <c r="M83" s="2"/>
      <c r="N83" s="3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8" customHeight="1" x14ac:dyDescent="0.35">
      <c r="A84" s="76"/>
      <c r="B84" s="73" t="s">
        <v>50</v>
      </c>
      <c r="C84" s="246"/>
      <c r="D84" s="246"/>
      <c r="E84" s="246"/>
      <c r="F84" s="247"/>
      <c r="G84" s="76"/>
      <c r="H84" s="76"/>
      <c r="I84" s="76"/>
      <c r="J84" s="76"/>
      <c r="K84" s="76"/>
      <c r="L84" s="76"/>
      <c r="M84" s="76"/>
      <c r="N84" s="77"/>
      <c r="O84" s="76"/>
      <c r="P84" s="76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8" customHeight="1" x14ac:dyDescent="0.35">
      <c r="A85" s="76"/>
      <c r="B85" s="248"/>
      <c r="C85" s="249"/>
      <c r="D85" s="249"/>
      <c r="E85" s="249"/>
      <c r="F85" s="250"/>
      <c r="G85" s="76"/>
      <c r="H85" s="76"/>
      <c r="I85" s="76"/>
      <c r="J85" s="76"/>
      <c r="K85" s="76"/>
      <c r="L85" s="76"/>
      <c r="M85" s="76"/>
      <c r="N85" s="77"/>
      <c r="O85" s="76"/>
      <c r="P85" s="76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8" customHeight="1" x14ac:dyDescent="0.35">
      <c r="A86" s="76"/>
      <c r="B86" s="248"/>
      <c r="C86" s="249"/>
      <c r="D86" s="249"/>
      <c r="E86" s="249"/>
      <c r="F86" s="250"/>
      <c r="G86" s="76"/>
      <c r="H86" s="76"/>
      <c r="I86" s="76"/>
      <c r="J86" s="76"/>
      <c r="K86" s="76"/>
      <c r="L86" s="76"/>
      <c r="M86" s="76"/>
      <c r="N86" s="77"/>
      <c r="O86" s="76"/>
      <c r="P86" s="76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8" customHeight="1" x14ac:dyDescent="0.35">
      <c r="A87" s="76"/>
      <c r="B87" s="251"/>
      <c r="C87" s="252"/>
      <c r="D87" s="252"/>
      <c r="E87" s="252"/>
      <c r="F87" s="253"/>
      <c r="G87" s="76"/>
      <c r="H87" s="76"/>
      <c r="I87" s="76"/>
      <c r="J87" s="76"/>
      <c r="K87" s="76"/>
      <c r="L87" s="76"/>
      <c r="M87" s="76"/>
      <c r="N87" s="77"/>
      <c r="O87" s="76"/>
      <c r="P87" s="76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8" customHeight="1" x14ac:dyDescent="0.35">
      <c r="A88" s="2"/>
      <c r="B88" s="19"/>
      <c r="C88" s="19"/>
      <c r="D88" s="19"/>
      <c r="E88" s="19"/>
      <c r="F88" s="2"/>
      <c r="G88" s="2"/>
      <c r="H88" s="2"/>
      <c r="I88" s="2"/>
      <c r="J88" s="2"/>
      <c r="K88" s="2"/>
      <c r="L88" s="2"/>
      <c r="M88" s="2"/>
      <c r="N88" s="3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9.5" hidden="1" customHeight="1" x14ac:dyDescent="0.35">
      <c r="A89" s="2"/>
      <c r="B89" s="2"/>
      <c r="C89" s="2"/>
      <c r="D89" s="2"/>
      <c r="E89" s="2"/>
      <c r="F89" s="6" t="s">
        <v>34</v>
      </c>
      <c r="G89" s="2"/>
      <c r="H89" s="2"/>
      <c r="I89" s="2"/>
      <c r="J89" s="2"/>
      <c r="K89" s="2"/>
      <c r="L89" s="2"/>
      <c r="M89" s="2"/>
      <c r="N89" s="3"/>
      <c r="O89" s="2"/>
      <c r="P89" s="2"/>
      <c r="Q89" s="2" t="s">
        <v>157</v>
      </c>
      <c r="R89" s="5" t="s">
        <v>52</v>
      </c>
      <c r="S89" s="2"/>
      <c r="T89" s="2"/>
      <c r="U89" s="2"/>
      <c r="V89" s="2"/>
      <c r="W89" s="2"/>
      <c r="X89" s="2"/>
      <c r="Y89" s="2"/>
      <c r="Z89" s="2"/>
    </row>
    <row r="90" spans="1:26" ht="18" hidden="1" customHeight="1" x14ac:dyDescent="0.35">
      <c r="A90" s="60" t="s">
        <v>53</v>
      </c>
      <c r="B90" s="85" t="str">
        <f>VLOOKUP(C13,A247:D249,2)</f>
        <v>Peuplier 15 mm</v>
      </c>
      <c r="C90" s="87">
        <f>IF(C77=0,0,C77+2*(VLOOKUP(B91,A247:D249,4)+VLOOKUP(C15,A251:D252,4)))</f>
        <v>102.9</v>
      </c>
      <c r="D90" s="87">
        <f>IF(E77=0,0,E77+2*(VLOOKUP(B92,A247:D249,4)+VLOOKUP(C15,A251:D252,4)))</f>
        <v>83.9</v>
      </c>
      <c r="E90" s="85" t="str">
        <f t="shared" ref="E90:E92" si="4">B90</f>
        <v>Peuplier 15 mm</v>
      </c>
      <c r="F90" s="88">
        <v>2</v>
      </c>
      <c r="G90" s="2"/>
      <c r="H90" s="2"/>
      <c r="I90" s="2"/>
      <c r="J90" s="89">
        <f t="shared" ref="J90:J101" si="5">IF(C90=0,0,(C90/100)*(D90/100)*F90)</f>
        <v>1.7266620000000004</v>
      </c>
      <c r="K90" s="89">
        <f t="shared" ref="K90:K101" si="6">J90/0.8</f>
        <v>2.1583275000000004</v>
      </c>
      <c r="L90" s="71">
        <f>IF(E90=0,0,VLOOKUP(E90,'Prix Matiere'!$A$4:$J$65,10))</f>
        <v>16.895876288659796</v>
      </c>
      <c r="M90" s="71">
        <f t="shared" ref="M90:M92" si="7">L90*K90-IF($F$15="Non",K90*0.75,0)</f>
        <v>36.466834430412383</v>
      </c>
      <c r="N90" s="3">
        <f t="shared" ref="N90:N92" si="8">IF(J90=0,0,IF($F$15="Oui",(7.0924*J90)+15,(6.0924*J90)+10))</f>
        <v>27.2461775688</v>
      </c>
      <c r="O90" s="71">
        <f>N90*MinuteMO</f>
        <v>23.159250933479999</v>
      </c>
      <c r="P90" s="2"/>
      <c r="Q90" s="254">
        <f>IF(J90=0,0,J90*VLOOKUP(E90,'Prix Matiere'!$A$4:$L$60,12))</f>
        <v>11.395969200000003</v>
      </c>
      <c r="R90" s="254">
        <f>IF(J90=0,0,Q90*VLOOKUP(E90,'Prix Matiere'!$A$4:$L$60,11))</f>
        <v>8.809084191600002</v>
      </c>
      <c r="S90" s="2"/>
      <c r="T90" s="2"/>
      <c r="U90" s="2"/>
      <c r="V90" s="2"/>
      <c r="W90" s="2"/>
      <c r="X90" s="2"/>
      <c r="Y90" s="2"/>
      <c r="Z90" s="2"/>
    </row>
    <row r="91" spans="1:26" ht="18" hidden="1" customHeight="1" x14ac:dyDescent="0.35">
      <c r="A91" s="60" t="s">
        <v>54</v>
      </c>
      <c r="B91" s="85" t="str">
        <f>VLOOKUP(C13,A247:D249,3)</f>
        <v>Peuplier 15 mm</v>
      </c>
      <c r="C91" s="87">
        <f>C90</f>
        <v>102.9</v>
      </c>
      <c r="D91" s="87">
        <f>D77</f>
        <v>85.4</v>
      </c>
      <c r="E91" s="85" t="str">
        <f t="shared" si="4"/>
        <v>Peuplier 15 mm</v>
      </c>
      <c r="F91" s="88">
        <v>2</v>
      </c>
      <c r="G91" s="2"/>
      <c r="H91" s="2"/>
      <c r="I91" s="2"/>
      <c r="J91" s="89">
        <f t="shared" si="5"/>
        <v>1.7575320000000003</v>
      </c>
      <c r="K91" s="89">
        <f t="shared" si="6"/>
        <v>2.1969150000000002</v>
      </c>
      <c r="L91" s="71">
        <f>IF(E91=0,0,VLOOKUP(E91,'Prix Matiere'!$A$4:$J$65,10))</f>
        <v>16.895876288659796</v>
      </c>
      <c r="M91" s="71">
        <f t="shared" si="7"/>
        <v>37.118804056701038</v>
      </c>
      <c r="N91" s="3">
        <f t="shared" si="8"/>
        <v>27.465119956800002</v>
      </c>
      <c r="O91" s="71">
        <f>N91*MinuteMO</f>
        <v>23.345351963280002</v>
      </c>
      <c r="P91" s="2"/>
      <c r="Q91" s="254">
        <f>IF(J91=0,0,J91*VLOOKUP(E91,'Prix Matiere'!$A$4:$L$60,12))</f>
        <v>11.599711200000003</v>
      </c>
      <c r="R91" s="254">
        <f>IF(J91=0,0,Q91*VLOOKUP(E91,'Prix Matiere'!$A$4:$L$60,11))</f>
        <v>8.9665767576000022</v>
      </c>
      <c r="S91" s="2"/>
      <c r="T91" s="2"/>
      <c r="U91" s="2"/>
      <c r="V91" s="2"/>
      <c r="W91" s="2"/>
      <c r="X91" s="2"/>
      <c r="Y91" s="2"/>
      <c r="Z91" s="2"/>
    </row>
    <row r="92" spans="1:26" ht="18" hidden="1" customHeight="1" x14ac:dyDescent="0.35">
      <c r="A92" s="60" t="s">
        <v>55</v>
      </c>
      <c r="B92" s="85" t="str">
        <f>VLOOKUP(C13,A247:D249,3)</f>
        <v>Peuplier 15 mm</v>
      </c>
      <c r="C92" s="87">
        <f>E77</f>
        <v>76.7</v>
      </c>
      <c r="D92" s="87">
        <f>D77</f>
        <v>85.4</v>
      </c>
      <c r="E92" s="85" t="str">
        <f t="shared" si="4"/>
        <v>Peuplier 15 mm</v>
      </c>
      <c r="F92" s="88">
        <v>2</v>
      </c>
      <c r="G92" s="2"/>
      <c r="H92" s="2"/>
      <c r="I92" s="2"/>
      <c r="J92" s="89">
        <f t="shared" si="5"/>
        <v>1.3100360000000002</v>
      </c>
      <c r="K92" s="89">
        <f t="shared" si="6"/>
        <v>1.6375450000000003</v>
      </c>
      <c r="L92" s="71">
        <f>IF(E92=0,0,VLOOKUP(E92,'Prix Matiere'!$A$4:$J$65,10))</f>
        <v>16.895876288659796</v>
      </c>
      <c r="M92" s="71">
        <f t="shared" si="7"/>
        <v>27.667757737113408</v>
      </c>
      <c r="N92" s="3">
        <f t="shared" si="8"/>
        <v>24.291299326400001</v>
      </c>
      <c r="O92" s="71">
        <f>N92*MinuteMO</f>
        <v>20.647604427440001</v>
      </c>
      <c r="P92" s="2"/>
      <c r="Q92" s="254">
        <f>IF(J92=0,0,J92*VLOOKUP(E92,'Prix Matiere'!$A$4:$L$60,12))</f>
        <v>8.6462376000000027</v>
      </c>
      <c r="R92" s="254">
        <f>IF(J92=0,0,Q92*VLOOKUP(E92,'Prix Matiere'!$A$4:$L$60,11))</f>
        <v>6.6835416648000026</v>
      </c>
      <c r="S92" s="2"/>
      <c r="T92" s="2"/>
      <c r="U92" s="2"/>
      <c r="V92" s="2"/>
      <c r="W92" s="2"/>
      <c r="X92" s="2"/>
      <c r="Y92" s="2"/>
      <c r="Z92" s="2"/>
    </row>
    <row r="93" spans="1:26" ht="18" hidden="1" customHeight="1" x14ac:dyDescent="0.35">
      <c r="A93" s="2"/>
      <c r="B93" s="2"/>
      <c r="C93" s="2"/>
      <c r="D93" s="2"/>
      <c r="E93" s="2"/>
      <c r="F93" s="2"/>
      <c r="G93" s="2"/>
      <c r="H93" s="2"/>
      <c r="I93" s="2"/>
      <c r="J93" s="89">
        <f t="shared" si="5"/>
        <v>0</v>
      </c>
      <c r="K93" s="89">
        <f t="shared" si="6"/>
        <v>0</v>
      </c>
      <c r="L93" s="71"/>
      <c r="M93" s="71"/>
      <c r="N93" s="3"/>
      <c r="O93" s="71"/>
      <c r="P93" s="2"/>
      <c r="Q93" s="254">
        <f>IF(J93=0,0,J93*VLOOKUP(E93,'Prix Matiere'!$A$4:$L$60,12))</f>
        <v>0</v>
      </c>
      <c r="R93" s="254"/>
      <c r="S93" s="2"/>
      <c r="T93" s="2"/>
      <c r="U93" s="2"/>
      <c r="V93" s="2"/>
      <c r="W93" s="2"/>
      <c r="X93" s="2"/>
      <c r="Y93" s="2"/>
      <c r="Z93" s="2"/>
    </row>
    <row r="94" spans="1:26" ht="18" hidden="1" customHeight="1" x14ac:dyDescent="0.35">
      <c r="A94" s="2"/>
      <c r="B94" s="2"/>
      <c r="C94" s="2"/>
      <c r="D94" s="2"/>
      <c r="E94" s="2"/>
      <c r="F94" s="2"/>
      <c r="G94" s="2"/>
      <c r="H94" s="2"/>
      <c r="I94" s="2"/>
      <c r="J94" s="89">
        <f t="shared" si="5"/>
        <v>0</v>
      </c>
      <c r="K94" s="89">
        <f t="shared" si="6"/>
        <v>0</v>
      </c>
      <c r="L94" s="71"/>
      <c r="M94" s="71"/>
      <c r="N94" s="3"/>
      <c r="O94" s="71"/>
      <c r="P94" s="2"/>
      <c r="Q94" s="254">
        <f>IF(J94=0,0,J94*VLOOKUP(E94,'Prix Matiere'!$A$4:$L$60,12))</f>
        <v>0</v>
      </c>
      <c r="R94" s="254"/>
      <c r="S94" s="2"/>
      <c r="T94" s="2"/>
      <c r="U94" s="2"/>
      <c r="V94" s="2"/>
      <c r="W94" s="2"/>
      <c r="X94" s="2"/>
      <c r="Y94" s="2"/>
      <c r="Z94" s="2"/>
    </row>
    <row r="95" spans="1:26" ht="18" hidden="1" customHeight="1" x14ac:dyDescent="0.35">
      <c r="A95" s="19" t="s">
        <v>11</v>
      </c>
      <c r="B95" s="45" t="s">
        <v>56</v>
      </c>
      <c r="C95" s="87">
        <f>C90</f>
        <v>102.9</v>
      </c>
      <c r="D95" s="45">
        <f>IF(D90&gt;80,9.4,7)</f>
        <v>9.4</v>
      </c>
      <c r="E95" s="34" t="str">
        <f t="shared" ref="E95:E97" si="9">IF($C$15="Pin raboté 4 faces","Barres 21 R4F","Barres 19 mm")</f>
        <v>Barres 21 R4F</v>
      </c>
      <c r="F95" s="45">
        <v>4</v>
      </c>
      <c r="G95" s="2"/>
      <c r="H95" s="2"/>
      <c r="I95" s="2"/>
      <c r="J95" s="89">
        <f t="shared" si="5"/>
        <v>0.38690400000000003</v>
      </c>
      <c r="K95" s="89">
        <f t="shared" si="6"/>
        <v>0.48363</v>
      </c>
      <c r="L95" s="71">
        <f>IF(E95=0,0,VLOOKUP(E95,'Prix Matiere'!$A$4:$J$65,10))</f>
        <v>18.969072164948454</v>
      </c>
      <c r="M95" s="71">
        <f t="shared" ref="M95:M101" si="10">L95*K95</f>
        <v>9.1740123711340207</v>
      </c>
      <c r="N95" s="3">
        <f t="shared" ref="N95:N101" si="11">IF(J95=0,0,1+(11*J95))</f>
        <v>5.2559440000000004</v>
      </c>
      <c r="O95" s="71">
        <f t="shared" ref="O95:O101" si="12">N95*MinuteMO</f>
        <v>4.4675524000000006</v>
      </c>
      <c r="P95" s="2"/>
      <c r="Q95" s="254">
        <f>IF(J95=0,0,J95*VLOOKUP(E95,'Prix Matiere'!$A$4:$L$60,12))</f>
        <v>3.86904</v>
      </c>
      <c r="R95" s="254">
        <f>IF(J95=0,0,Q95*VLOOKUP(E95,'Prix Matiere'!$A$4:$L$60,11))</f>
        <v>1.87261536</v>
      </c>
      <c r="S95" s="2"/>
      <c r="T95" s="2"/>
      <c r="U95" s="2"/>
      <c r="V95" s="2"/>
      <c r="W95" s="2"/>
      <c r="X95" s="2"/>
      <c r="Y95" s="2"/>
      <c r="Z95" s="2"/>
    </row>
    <row r="96" spans="1:26" ht="18" hidden="1" customHeight="1" x14ac:dyDescent="0.35">
      <c r="A96" s="2"/>
      <c r="B96" s="45" t="s">
        <v>57</v>
      </c>
      <c r="C96" s="87">
        <f>IF(D90=0,0,D90-2*D95)</f>
        <v>65.100000000000009</v>
      </c>
      <c r="D96" s="45">
        <f>D95</f>
        <v>9.4</v>
      </c>
      <c r="E96" s="34" t="str">
        <f t="shared" si="9"/>
        <v>Barres 21 R4F</v>
      </c>
      <c r="F96" s="45">
        <f>4</f>
        <v>4</v>
      </c>
      <c r="G96" s="2"/>
      <c r="H96" s="2"/>
      <c r="I96" s="2"/>
      <c r="J96" s="89">
        <f t="shared" si="5"/>
        <v>0.24477600000000005</v>
      </c>
      <c r="K96" s="89">
        <f t="shared" si="6"/>
        <v>0.30597000000000002</v>
      </c>
      <c r="L96" s="71">
        <f>IF(E96=0,0,VLOOKUP(E96,'Prix Matiere'!$A$4:$J$65,10))</f>
        <v>18.969072164948454</v>
      </c>
      <c r="M96" s="71">
        <f t="shared" si="10"/>
        <v>5.8039670103092789</v>
      </c>
      <c r="N96" s="3">
        <f t="shared" si="11"/>
        <v>3.6925360000000005</v>
      </c>
      <c r="O96" s="71">
        <f t="shared" si="12"/>
        <v>3.1386556000000003</v>
      </c>
      <c r="P96" s="2"/>
      <c r="Q96" s="254">
        <f>IF(J96=0,0,J96*VLOOKUP(E96,'Prix Matiere'!$A$4:$L$60,12))</f>
        <v>2.4477600000000006</v>
      </c>
      <c r="R96" s="254">
        <f>IF(J96=0,0,Q96*VLOOKUP(E96,'Prix Matiere'!$A$4:$L$60,11))</f>
        <v>1.1847158400000002</v>
      </c>
      <c r="S96" s="2"/>
      <c r="T96" s="2"/>
      <c r="U96" s="2"/>
      <c r="V96" s="2"/>
      <c r="W96" s="2"/>
      <c r="X96" s="2"/>
      <c r="Y96" s="2"/>
      <c r="Z96" s="2"/>
    </row>
    <row r="97" spans="1:26" ht="18" hidden="1" customHeight="1" x14ac:dyDescent="0.35">
      <c r="A97" s="2"/>
      <c r="B97" s="45" t="s">
        <v>58</v>
      </c>
      <c r="C97" s="87">
        <f>C95</f>
        <v>102.9</v>
      </c>
      <c r="D97" s="45">
        <f>IF($D$77&lt;14.4,$D$77,7)</f>
        <v>7</v>
      </c>
      <c r="E97" s="34" t="str">
        <f t="shared" si="9"/>
        <v>Barres 21 R4F</v>
      </c>
      <c r="F97" s="92">
        <f>IF(D77&lt;14.4,2,4)</f>
        <v>4</v>
      </c>
      <c r="G97" s="2"/>
      <c r="H97" s="2"/>
      <c r="I97" s="2"/>
      <c r="J97" s="89">
        <f t="shared" si="5"/>
        <v>0.28812000000000004</v>
      </c>
      <c r="K97" s="89">
        <f t="shared" si="6"/>
        <v>0.36015000000000003</v>
      </c>
      <c r="L97" s="71">
        <f>IF(E97=0,0,VLOOKUP(E97,'Prix Matiere'!$A$4:$J$65,10))</f>
        <v>18.969072164948454</v>
      </c>
      <c r="M97" s="71">
        <f t="shared" si="10"/>
        <v>6.8317113402061862</v>
      </c>
      <c r="N97" s="3">
        <f t="shared" si="11"/>
        <v>4.1693200000000008</v>
      </c>
      <c r="O97" s="71">
        <f t="shared" si="12"/>
        <v>3.5439220000000007</v>
      </c>
      <c r="P97" s="2"/>
      <c r="Q97" s="254">
        <f>IF(J97=0,0,J97*VLOOKUP(E97,'Prix Matiere'!$A$4:$L$60,12))</f>
        <v>2.8812000000000006</v>
      </c>
      <c r="R97" s="254">
        <f>IF(J97=0,0,Q97*VLOOKUP(E97,'Prix Matiere'!$A$4:$L$60,11))</f>
        <v>1.3945008000000003</v>
      </c>
      <c r="S97" s="2"/>
      <c r="T97" s="2"/>
      <c r="U97" s="2"/>
      <c r="V97" s="2"/>
      <c r="W97" s="2"/>
      <c r="X97" s="2"/>
      <c r="Y97" s="2"/>
      <c r="Z97" s="2"/>
    </row>
    <row r="98" spans="1:26" ht="18" hidden="1" customHeight="1" x14ac:dyDescent="0.35">
      <c r="A98" s="2"/>
      <c r="B98" s="45" t="str">
        <f>C23</f>
        <v>Skis</v>
      </c>
      <c r="C98" s="87">
        <f>IF(C90=0,0,IF(B98="Skis",C97-10,IF(B98="10 dessous en semelles",D79,IF(B98="10 dessous en skis",(C97-70)/2))))</f>
        <v>92.9</v>
      </c>
      <c r="D98" s="45">
        <f>IF($F$10="BOVIS",9.4,7)</f>
        <v>7</v>
      </c>
      <c r="E98" s="34" t="str">
        <f>IF($C$23="Skis","Barres 30 R4F","Semelles R4F")</f>
        <v>Barres 30 R4F</v>
      </c>
      <c r="F98" s="45">
        <f>IF(B98="Skis",2,IF(B98="10 dessous en semelles",2,F97))</f>
        <v>2</v>
      </c>
      <c r="G98" s="2"/>
      <c r="H98" s="2"/>
      <c r="I98" s="2"/>
      <c r="J98" s="89">
        <f t="shared" si="5"/>
        <v>0.13006000000000001</v>
      </c>
      <c r="K98" s="89">
        <f t="shared" si="6"/>
        <v>0.162575</v>
      </c>
      <c r="L98" s="71">
        <f>IF(E98=0,0,VLOOKUP(E98,'Prix Matiere'!$A$4:$J$65,10))</f>
        <v>45.432989690721641</v>
      </c>
      <c r="M98" s="71">
        <f t="shared" si="10"/>
        <v>7.3862682989690702</v>
      </c>
      <c r="N98" s="3">
        <f t="shared" si="11"/>
        <v>2.43066</v>
      </c>
      <c r="O98" s="71">
        <f t="shared" si="12"/>
        <v>2.0660609999999999</v>
      </c>
      <c r="P98" s="2"/>
      <c r="Q98" s="254">
        <f>IF(J98=0,0,J98*VLOOKUP(E98,'Prix Matiere'!$A$4:$L$60,12))</f>
        <v>1.3006000000000002</v>
      </c>
      <c r="R98" s="254">
        <f>IF(J98=0,0,Q98*VLOOKUP(E98,'Prix Matiere'!$A$4:$L$60,11))</f>
        <v>0.62949040000000012</v>
      </c>
      <c r="S98" s="2"/>
      <c r="T98" s="2"/>
      <c r="U98" s="2"/>
      <c r="V98" s="2"/>
      <c r="W98" s="2"/>
      <c r="X98" s="2"/>
      <c r="Y98" s="2"/>
      <c r="Z98" s="2"/>
    </row>
    <row r="99" spans="1:26" ht="18" hidden="1" customHeight="1" x14ac:dyDescent="0.35">
      <c r="A99" s="2"/>
      <c r="B99" s="45" t="s">
        <v>59</v>
      </c>
      <c r="C99" s="87">
        <f>IF(D77&lt;14.4,0,D77)</f>
        <v>85.4</v>
      </c>
      <c r="D99" s="45">
        <f>IF(D77&lt;14.4,0,D95)</f>
        <v>9.4</v>
      </c>
      <c r="E99" s="34" t="str">
        <f t="shared" ref="E99:E100" si="13">IF($C$15="Pin raboté 4 faces","Barres 21 R4F","Barres 19 mm")</f>
        <v>Barres 21 R4F</v>
      </c>
      <c r="F99" s="45">
        <f>IF(D77&lt;14.4,0,4)</f>
        <v>4</v>
      </c>
      <c r="G99" s="2"/>
      <c r="H99" s="2"/>
      <c r="I99" s="2"/>
      <c r="J99" s="89">
        <f t="shared" si="5"/>
        <v>0.32110400000000006</v>
      </c>
      <c r="K99" s="89">
        <f t="shared" si="6"/>
        <v>0.40138000000000007</v>
      </c>
      <c r="L99" s="71">
        <f>IF(E99=0,0,VLOOKUP(E99,'Prix Matiere'!$A$4:$J$65,10))</f>
        <v>18.969072164948454</v>
      </c>
      <c r="M99" s="71">
        <f t="shared" si="10"/>
        <v>7.6138061855670118</v>
      </c>
      <c r="N99" s="3">
        <f t="shared" si="11"/>
        <v>4.5321440000000006</v>
      </c>
      <c r="O99" s="71">
        <f t="shared" si="12"/>
        <v>3.8523224000000003</v>
      </c>
      <c r="P99" s="2"/>
      <c r="Q99" s="254">
        <f>IF(J99=0,0,J99*VLOOKUP(E99,'Prix Matiere'!$A$4:$L$60,12))</f>
        <v>3.2110400000000006</v>
      </c>
      <c r="R99" s="254">
        <f>IF(J99=0,0,Q99*VLOOKUP(E99,'Prix Matiere'!$A$4:$L$60,11))</f>
        <v>1.5541433600000003</v>
      </c>
      <c r="S99" s="2"/>
      <c r="T99" s="2"/>
      <c r="U99" s="2"/>
      <c r="V99" s="2"/>
      <c r="W99" s="2"/>
      <c r="X99" s="2"/>
      <c r="Y99" s="2"/>
      <c r="Z99" s="2"/>
    </row>
    <row r="100" spans="1:26" ht="18" hidden="1" customHeight="1" x14ac:dyDescent="0.35">
      <c r="A100" s="2"/>
      <c r="B100" s="45" t="s">
        <v>60</v>
      </c>
      <c r="C100" s="87">
        <f>IF(D77&lt;14.4,E77,C92-2*D99)</f>
        <v>57.900000000000006</v>
      </c>
      <c r="D100" s="45">
        <f>IF($D$77&lt;14.4,$D$77,IF($D$77&lt;20,5,7))</f>
        <v>7</v>
      </c>
      <c r="E100" s="34" t="str">
        <f t="shared" si="13"/>
        <v>Barres 21 R4F</v>
      </c>
      <c r="F100" s="92">
        <f>IF(D77&lt;14.4,2,4)</f>
        <v>4</v>
      </c>
      <c r="G100" s="2"/>
      <c r="H100" s="2"/>
      <c r="I100" s="2"/>
      <c r="J100" s="89">
        <f t="shared" si="5"/>
        <v>0.16212000000000004</v>
      </c>
      <c r="K100" s="89">
        <f t="shared" si="6"/>
        <v>0.20265000000000005</v>
      </c>
      <c r="L100" s="71">
        <f>IF(E100=0,0,VLOOKUP(E100,'Prix Matiere'!$A$4:$J$65,10))</f>
        <v>18.969072164948454</v>
      </c>
      <c r="M100" s="71">
        <f t="shared" si="10"/>
        <v>3.8440824742268052</v>
      </c>
      <c r="N100" s="3">
        <f t="shared" si="11"/>
        <v>2.7833200000000007</v>
      </c>
      <c r="O100" s="71">
        <f t="shared" si="12"/>
        <v>2.3658220000000005</v>
      </c>
      <c r="P100" s="2"/>
      <c r="Q100" s="254">
        <f>IF(J100=0,0,J100*VLOOKUP(E100,'Prix Matiere'!$A$4:$L$60,12))</f>
        <v>1.6212000000000004</v>
      </c>
      <c r="R100" s="254">
        <f>IF(J100=0,0,Q100*VLOOKUP(E100,'Prix Matiere'!$A$4:$L$60,11))</f>
        <v>0.78466080000000016</v>
      </c>
      <c r="S100" s="2"/>
      <c r="T100" s="2"/>
      <c r="U100" s="2"/>
      <c r="V100" s="2"/>
      <c r="W100" s="2"/>
      <c r="X100" s="2"/>
      <c r="Y100" s="2"/>
      <c r="Z100" s="2"/>
    </row>
    <row r="101" spans="1:26" ht="18" hidden="1" customHeight="1" x14ac:dyDescent="0.35">
      <c r="A101" s="2"/>
      <c r="B101" s="45" t="str">
        <f>IF(D77&lt;14.4,0,IF(C21="Bois","Poignées",IF(C21="Métal x 2 sur bouts","Supports poignées",0)))</f>
        <v>Poignées</v>
      </c>
      <c r="C101" s="87">
        <f>IF(B101="Poignées",D92+VLOOKUP(C13,A247:D249,4)*2+4.2,IF(B101="Supports poignées",D92-2*D100,0))</f>
        <v>92.600000000000009</v>
      </c>
      <c r="D101" s="45">
        <f>IF(B101="Poignées",7,IF(B101="Supports poignées",9.4,0))</f>
        <v>7</v>
      </c>
      <c r="E101" s="34" t="s">
        <v>61</v>
      </c>
      <c r="F101" s="45">
        <f>IF(B101=0,0,2)</f>
        <v>2</v>
      </c>
      <c r="G101" s="2"/>
      <c r="H101" s="2"/>
      <c r="I101" s="2"/>
      <c r="J101" s="89">
        <f t="shared" si="5"/>
        <v>0.12964000000000001</v>
      </c>
      <c r="K101" s="89">
        <f t="shared" si="6"/>
        <v>0.16205</v>
      </c>
      <c r="L101" s="71">
        <f>IF(E101=0,0,VLOOKUP(E101,'Prix Matiere'!$A$4:$J$65,10))</f>
        <v>18.969072164948454</v>
      </c>
      <c r="M101" s="71">
        <f t="shared" si="10"/>
        <v>3.073938144329897</v>
      </c>
      <c r="N101" s="3">
        <f t="shared" si="11"/>
        <v>2.42604</v>
      </c>
      <c r="O101" s="71">
        <f t="shared" si="12"/>
        <v>2.0621339999999999</v>
      </c>
      <c r="P101" s="2"/>
      <c r="Q101" s="254">
        <f>IF(J101=0,0,J101*VLOOKUP(E101,'Prix Matiere'!$A$4:$L$60,12))</f>
        <v>1.2964</v>
      </c>
      <c r="R101" s="254">
        <f>IF(J101=0,0,Q101*VLOOKUP(E101,'Prix Matiere'!$A$4:$L$60,11))</f>
        <v>0.62745759999999995</v>
      </c>
      <c r="S101" s="2"/>
      <c r="T101" s="2"/>
      <c r="U101" s="2"/>
      <c r="V101" s="2"/>
      <c r="W101" s="2"/>
      <c r="X101" s="2"/>
      <c r="Y101" s="2"/>
      <c r="Z101" s="2"/>
    </row>
    <row r="102" spans="1:26" ht="18" hidden="1" customHeight="1" x14ac:dyDescent="0.3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71"/>
      <c r="M102" s="71"/>
      <c r="N102" s="3"/>
      <c r="O102" s="71"/>
      <c r="P102" s="2"/>
      <c r="Q102" s="254">
        <f>IF(J102=0,0,J102*VLOOKUP(E102,'Prix Matiere'!$A$4:$L$60,12))</f>
        <v>0</v>
      </c>
      <c r="R102" s="254"/>
      <c r="S102" s="2"/>
      <c r="T102" s="2"/>
      <c r="U102" s="2"/>
      <c r="V102" s="2"/>
      <c r="W102" s="2"/>
      <c r="X102" s="2"/>
      <c r="Y102" s="2"/>
      <c r="Z102" s="2"/>
    </row>
    <row r="103" spans="1:26" ht="18" hidden="1" customHeight="1" x14ac:dyDescent="0.3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71"/>
      <c r="M103" s="71"/>
      <c r="N103" s="3"/>
      <c r="O103" s="71"/>
      <c r="P103" s="2"/>
      <c r="Q103" s="254">
        <f>IF(J103=0,0,J103*VLOOKUP(E103,'Prix Matiere'!$A$4:$L$60,12))</f>
        <v>0</v>
      </c>
      <c r="R103" s="254"/>
      <c r="S103" s="2"/>
      <c r="T103" s="2"/>
      <c r="U103" s="2"/>
      <c r="V103" s="2"/>
      <c r="W103" s="2"/>
      <c r="X103" s="2"/>
      <c r="Y103" s="2"/>
      <c r="Z103" s="2"/>
    </row>
    <row r="104" spans="1:26" ht="18" hidden="1" customHeight="1" x14ac:dyDescent="0.35">
      <c r="A104" s="19" t="s">
        <v>62</v>
      </c>
      <c r="B104" s="45" t="s">
        <v>63</v>
      </c>
      <c r="C104" s="45">
        <f>IF(F104=0,0,C77)</f>
        <v>95.7</v>
      </c>
      <c r="D104" s="45">
        <f>IF(F104=0,0,E108+VLOOKUP($C$17,A257:P263,5))</f>
        <v>76.7</v>
      </c>
      <c r="E104" s="34" t="str">
        <f>VLOOKUP($C$17,A257:P263,6)</f>
        <v>PU 30 mm</v>
      </c>
      <c r="F104" s="45">
        <f>VLOOKUP($C$17,A257:P263,7)</f>
        <v>2</v>
      </c>
      <c r="G104" s="2"/>
      <c r="H104" s="2"/>
      <c r="I104" s="2"/>
      <c r="J104" s="89">
        <f t="shared" ref="J104:J106" si="14">IF(C104=0,0,(C104/100)*(D104/100)*F104)</f>
        <v>1.4680380000000002</v>
      </c>
      <c r="K104" s="89">
        <f t="shared" ref="K104:K106" si="15">J104/0.8</f>
        <v>1.8350475000000002</v>
      </c>
      <c r="L104" s="71">
        <f>IF(E104=0,0,VLOOKUP(E104,'Prix Matiere'!$A$4:$J$65,10))</f>
        <v>8.3118241244403972</v>
      </c>
      <c r="M104" s="71">
        <f t="shared" ref="M104:M106" si="16">L104*K104</f>
        <v>15.252592079994042</v>
      </c>
      <c r="N104" s="3">
        <f t="shared" ref="N104:N106" si="17">IF(J104=0,0,(4.7283*J104)+3)</f>
        <v>9.9413240754000007</v>
      </c>
      <c r="O104" s="71">
        <f>N104*MinuteMO</f>
        <v>8.4501254640900001</v>
      </c>
      <c r="P104" s="2"/>
      <c r="Q104" s="254">
        <f>IF(J104=0,0,J104*VLOOKUP(E104,'Prix Matiere'!$A$4:$L$60,12))</f>
        <v>1.1010285000000002</v>
      </c>
      <c r="R104" s="254">
        <f>IF(J104=0,0,Q104*VLOOKUP(E104,'Prix Matiere'!$A$4:$L$60,11))</f>
        <v>2.9727769500000005</v>
      </c>
      <c r="S104" s="2"/>
      <c r="T104" s="2"/>
      <c r="U104" s="2"/>
      <c r="V104" s="2"/>
      <c r="W104" s="2"/>
      <c r="X104" s="2"/>
      <c r="Y104" s="2"/>
      <c r="Z104" s="2"/>
    </row>
    <row r="105" spans="1:26" ht="18" hidden="1" customHeight="1" x14ac:dyDescent="0.35">
      <c r="A105" s="2"/>
      <c r="B105" s="45" t="s">
        <v>54</v>
      </c>
      <c r="C105" s="45">
        <f>IF(F105=0,0,C77)</f>
        <v>95.7</v>
      </c>
      <c r="D105" s="45">
        <f>IF(F105=0,0,D108)</f>
        <v>79.400000000000006</v>
      </c>
      <c r="E105" s="34" t="str">
        <f>IF($C$17="Aucun",0,VLOOKUP($C$17,A257:P263,6))</f>
        <v>PU 30 mm</v>
      </c>
      <c r="F105" s="45">
        <f>VLOOKUP($C$17,A257:P263,7)</f>
        <v>2</v>
      </c>
      <c r="G105" s="2"/>
      <c r="H105" s="2"/>
      <c r="I105" s="2"/>
      <c r="J105" s="89">
        <f t="shared" si="14"/>
        <v>1.5197160000000003</v>
      </c>
      <c r="K105" s="89">
        <f t="shared" si="15"/>
        <v>1.8996450000000003</v>
      </c>
      <c r="L105" s="71">
        <f>IF(E105=0,0,VLOOKUP(E105,'Prix Matiere'!$A$4:$J$65,10))</f>
        <v>8.3118241244403972</v>
      </c>
      <c r="M105" s="71">
        <f t="shared" si="16"/>
        <v>15.789515138872581</v>
      </c>
      <c r="N105" s="3">
        <f t="shared" si="17"/>
        <v>10.185673162800001</v>
      </c>
      <c r="O105" s="71">
        <f>N105*MinuteMO</f>
        <v>8.6578221883800008</v>
      </c>
      <c r="P105" s="2"/>
      <c r="Q105" s="254">
        <f>IF(J105=0,0,J105*VLOOKUP(E105,'Prix Matiere'!$A$4:$L$60,12))</f>
        <v>1.1397870000000001</v>
      </c>
      <c r="R105" s="254">
        <f>IF(J105=0,0,Q105*VLOOKUP(E105,'Prix Matiere'!$A$4:$L$60,11))</f>
        <v>3.0774249000000005</v>
      </c>
      <c r="S105" s="2"/>
      <c r="T105" s="2"/>
      <c r="U105" s="2"/>
      <c r="V105" s="2"/>
      <c r="W105" s="2"/>
      <c r="X105" s="2"/>
      <c r="Y105" s="2"/>
      <c r="Z105" s="2"/>
    </row>
    <row r="106" spans="1:26" ht="18" hidden="1" customHeight="1" x14ac:dyDescent="0.35">
      <c r="A106" s="2"/>
      <c r="B106" s="45" t="s">
        <v>55</v>
      </c>
      <c r="C106" s="45">
        <f>IF(F106=0,0,E108)</f>
        <v>70.7</v>
      </c>
      <c r="D106" s="45">
        <f>IF(F106=0,0,D108)</f>
        <v>79.400000000000006</v>
      </c>
      <c r="E106" s="34" t="str">
        <f>IF($C$17="Aucun",0,VLOOKUP($C$17,A257:P263,6))</f>
        <v>PU 30 mm</v>
      </c>
      <c r="F106" s="45">
        <f>VLOOKUP($C$17,A257:P263,7)</f>
        <v>2</v>
      </c>
      <c r="G106" s="2"/>
      <c r="H106" s="2"/>
      <c r="I106" s="2"/>
      <c r="J106" s="89">
        <f t="shared" si="14"/>
        <v>1.1227160000000003</v>
      </c>
      <c r="K106" s="89">
        <f t="shared" si="15"/>
        <v>1.4033950000000002</v>
      </c>
      <c r="L106" s="71">
        <f>IF(E106=0,0,VLOOKUP(E106,'Prix Matiere'!$A$4:$J$65,10))</f>
        <v>8.3118241244403972</v>
      </c>
      <c r="M106" s="71">
        <f t="shared" si="16"/>
        <v>11.664772417119032</v>
      </c>
      <c r="N106" s="3">
        <f t="shared" si="17"/>
        <v>8.3085380628000003</v>
      </c>
      <c r="O106" s="71">
        <f>N106*MinuteMO</f>
        <v>7.0622573533799997</v>
      </c>
      <c r="P106" s="2"/>
      <c r="Q106" s="254">
        <f>IF(J106=0,0,J106*VLOOKUP(E106,'Prix Matiere'!$A$4:$L$60,12))</f>
        <v>0.84203700000000015</v>
      </c>
      <c r="R106" s="254">
        <f>IF(J106=0,0,Q106*VLOOKUP(E106,'Prix Matiere'!$A$4:$L$60,11))</f>
        <v>2.2734999000000005</v>
      </c>
      <c r="S106" s="2"/>
      <c r="T106" s="2"/>
      <c r="U106" s="2"/>
      <c r="V106" s="2"/>
      <c r="W106" s="2"/>
      <c r="X106" s="2"/>
      <c r="Y106" s="2"/>
      <c r="Z106" s="2"/>
    </row>
    <row r="107" spans="1:26" ht="18" hidden="1" customHeight="1" x14ac:dyDescent="0.35">
      <c r="A107" s="2"/>
      <c r="B107" s="2"/>
      <c r="C107" s="2"/>
      <c r="D107" s="2"/>
      <c r="E107" s="2"/>
      <c r="F107" s="2"/>
      <c r="G107" s="2"/>
      <c r="H107" s="2"/>
      <c r="I107" s="2"/>
      <c r="J107" s="89"/>
      <c r="K107" s="89"/>
      <c r="L107" s="71"/>
      <c r="M107" s="71"/>
      <c r="N107" s="3"/>
      <c r="O107" s="71"/>
      <c r="P107" s="2"/>
      <c r="Q107" s="254">
        <f>IF(J107=0,0,J107*VLOOKUP(E107,'Prix Matiere'!$A$4:$L$60,12))</f>
        <v>0</v>
      </c>
      <c r="R107" s="254"/>
      <c r="S107" s="2"/>
      <c r="T107" s="2"/>
      <c r="U107" s="2"/>
      <c r="V107" s="2"/>
      <c r="W107" s="2"/>
      <c r="X107" s="2"/>
      <c r="Y107" s="2"/>
      <c r="Z107" s="2"/>
    </row>
    <row r="108" spans="1:26" ht="18" hidden="1" customHeight="1" x14ac:dyDescent="0.35">
      <c r="A108" s="1105" t="s">
        <v>64</v>
      </c>
      <c r="B108" s="1101"/>
      <c r="C108" s="2">
        <f>C77-VLOOKUP(C17,A257:P263,5)</f>
        <v>89.7</v>
      </c>
      <c r="D108" s="2">
        <f>D77-VLOOKUP(C17,A257:P263,5)</f>
        <v>79.400000000000006</v>
      </c>
      <c r="E108" s="2">
        <f>E77-VLOOKUP(C17,A257:P263,5)</f>
        <v>70.7</v>
      </c>
      <c r="F108" s="2"/>
      <c r="G108" s="2"/>
      <c r="H108" s="2"/>
      <c r="I108" s="2"/>
      <c r="J108" s="89"/>
      <c r="K108" s="89"/>
      <c r="L108" s="71"/>
      <c r="M108" s="71"/>
      <c r="N108" s="3"/>
      <c r="O108" s="71"/>
      <c r="P108" s="2"/>
      <c r="Q108" s="254">
        <f>IF(J108=0,0,J108*VLOOKUP(E108,'Prix Matiere'!$A$4:$L$60,12))</f>
        <v>0</v>
      </c>
      <c r="R108" s="254"/>
      <c r="S108" s="2"/>
      <c r="T108" s="2"/>
      <c r="U108" s="2"/>
      <c r="V108" s="2"/>
      <c r="W108" s="2"/>
      <c r="X108" s="2"/>
      <c r="Y108" s="2"/>
      <c r="Z108" s="2"/>
    </row>
    <row r="109" spans="1:26" ht="18" hidden="1" customHeight="1" x14ac:dyDescent="0.35">
      <c r="A109" s="2"/>
      <c r="B109" s="2"/>
      <c r="C109" s="2"/>
      <c r="D109" s="2"/>
      <c r="E109" s="2"/>
      <c r="F109" s="2"/>
      <c r="G109" s="2"/>
      <c r="H109" s="2"/>
      <c r="I109" s="2"/>
      <c r="J109" s="89"/>
      <c r="K109" s="89"/>
      <c r="L109" s="71"/>
      <c r="M109" s="71"/>
      <c r="N109" s="3"/>
      <c r="O109" s="71"/>
      <c r="P109" s="2"/>
      <c r="Q109" s="254">
        <f>IF(J109=0,0,J109*VLOOKUP(E109,'Prix Matiere'!$A$4:$L$60,12))</f>
        <v>0</v>
      </c>
      <c r="R109" s="254"/>
      <c r="S109" s="2"/>
      <c r="T109" s="2"/>
      <c r="U109" s="2"/>
      <c r="V109" s="2"/>
      <c r="W109" s="2"/>
      <c r="X109" s="2"/>
      <c r="Y109" s="2"/>
      <c r="Z109" s="2"/>
    </row>
    <row r="110" spans="1:26" ht="18" hidden="1" customHeight="1" x14ac:dyDescent="0.35">
      <c r="A110" s="19" t="s">
        <v>65</v>
      </c>
      <c r="B110" s="45" t="s">
        <v>63</v>
      </c>
      <c r="C110" s="45">
        <f>IF(F110=0,0,C114+VLOOKUP(C17,A257:P263,8))-0.5</f>
        <v>89.2</v>
      </c>
      <c r="D110" s="45">
        <f>IF(F110=0,0,E114+VLOOKUP(C17,A257:P263,8))-0.5</f>
        <v>70.2</v>
      </c>
      <c r="E110" s="34" t="str">
        <f>VLOOKUP(C17,A257:P263,9)</f>
        <v>Styro 30 mm</v>
      </c>
      <c r="F110" s="45">
        <f>VLOOKUP($C$17,A257:P263,10)</f>
        <v>2</v>
      </c>
      <c r="G110" s="2"/>
      <c r="H110" s="2"/>
      <c r="I110" s="2"/>
      <c r="J110" s="89">
        <f t="shared" ref="J110:J112" si="18">IF(C110=0,0,(C110/100)*(D110/100)*F110)</f>
        <v>1.2523680000000001</v>
      </c>
      <c r="K110" s="89">
        <f t="shared" ref="K110:K112" si="19">J110/0.8</f>
        <v>1.5654600000000001</v>
      </c>
      <c r="L110" s="71">
        <f>IF(E110=0,0,VLOOKUP(E110,'Prix Matiere'!A4:J60,10))</f>
        <v>7.0144329896907225</v>
      </c>
      <c r="M110" s="71">
        <f t="shared" ref="M110:M112" si="20">L110*K110</f>
        <v>10.98081426804124</v>
      </c>
      <c r="N110" s="3">
        <f t="shared" ref="N110:N112" si="21">IF(J110=0,0,(3.94*J110)+5)</f>
        <v>9.9343299199999997</v>
      </c>
      <c r="O110" s="71">
        <f>N110*MinuteMO</f>
        <v>8.4441804319999996</v>
      </c>
      <c r="P110" s="2"/>
      <c r="Q110" s="254">
        <f>IF(J110=0,0,J110*VLOOKUP(E110,'Prix Matiere'!$A$4:$L$60,12))</f>
        <v>1.2774153600000002</v>
      </c>
      <c r="R110" s="254">
        <f>IF(J110=0,0,Q110*VLOOKUP(E110,'Prix Matiere'!$A$4:$L$60,11))</f>
        <v>3.7683753120000008</v>
      </c>
      <c r="S110" s="2"/>
      <c r="T110" s="2"/>
      <c r="U110" s="2"/>
      <c r="V110" s="2"/>
      <c r="W110" s="2"/>
      <c r="X110" s="2"/>
      <c r="Y110" s="2"/>
      <c r="Z110" s="2"/>
    </row>
    <row r="111" spans="1:26" ht="18" hidden="1" customHeight="1" x14ac:dyDescent="0.35">
      <c r="A111" s="2"/>
      <c r="B111" s="45" t="s">
        <v>54</v>
      </c>
      <c r="C111" s="45">
        <f>IF(F111=0,0,C114+VLOOKUP(C17,A257:P263,8))</f>
        <v>89.7</v>
      </c>
      <c r="D111" s="45">
        <f>IF(F111=0,0,D114)</f>
        <v>73.400000000000006</v>
      </c>
      <c r="E111" s="34" t="str">
        <f>VLOOKUP(C17,A257:P263,9)</f>
        <v>Styro 30 mm</v>
      </c>
      <c r="F111" s="45">
        <f>VLOOKUP($C$17,A257:P263,10)</f>
        <v>2</v>
      </c>
      <c r="G111" s="2"/>
      <c r="H111" s="2"/>
      <c r="I111" s="2"/>
      <c r="J111" s="89">
        <f t="shared" si="18"/>
        <v>1.3167960000000003</v>
      </c>
      <c r="K111" s="89">
        <f t="shared" si="19"/>
        <v>1.6459950000000003</v>
      </c>
      <c r="L111" s="71">
        <f>IF(E111=0,0,VLOOKUP(E111,'Prix Matiere'!A5:J61,10))</f>
        <v>7.0144329896907225</v>
      </c>
      <c r="M111" s="71">
        <f t="shared" si="20"/>
        <v>11.545721628865984</v>
      </c>
      <c r="N111" s="3">
        <f t="shared" si="21"/>
        <v>10.188176240000001</v>
      </c>
      <c r="O111" s="71">
        <f>N111*MinuteMO</f>
        <v>8.659949804</v>
      </c>
      <c r="P111" s="2"/>
      <c r="Q111" s="254">
        <f>IF(J111=0,0,J111*VLOOKUP(E111,'Prix Matiere'!$A$4:$L$60,12))</f>
        <v>1.3431319200000003</v>
      </c>
      <c r="R111" s="254">
        <f>IF(J111=0,0,Q111*VLOOKUP(E111,'Prix Matiere'!$A$4:$L$60,11))</f>
        <v>3.962239164000001</v>
      </c>
      <c r="S111" s="2"/>
      <c r="T111" s="2"/>
      <c r="U111" s="2"/>
      <c r="V111" s="2"/>
      <c r="W111" s="2"/>
      <c r="X111" s="2"/>
      <c r="Y111" s="2"/>
      <c r="Z111" s="2"/>
    </row>
    <row r="112" spans="1:26" ht="18" hidden="1" customHeight="1" x14ac:dyDescent="0.35">
      <c r="A112" s="2"/>
      <c r="B112" s="45" t="s">
        <v>55</v>
      </c>
      <c r="C112" s="45">
        <f>IF(F112=0,0,E114)</f>
        <v>64.7</v>
      </c>
      <c r="D112" s="45">
        <f>IF(F112=0,0,D114)</f>
        <v>73.400000000000006</v>
      </c>
      <c r="E112" s="34" t="str">
        <f>VLOOKUP(C17,A257:P263,9)</f>
        <v>Styro 30 mm</v>
      </c>
      <c r="F112" s="45">
        <f>VLOOKUP($C$17,A257:P263,10)</f>
        <v>2</v>
      </c>
      <c r="G112" s="2"/>
      <c r="H112" s="2"/>
      <c r="I112" s="2"/>
      <c r="J112" s="89">
        <f t="shared" si="18"/>
        <v>0.9497960000000002</v>
      </c>
      <c r="K112" s="89">
        <f t="shared" si="19"/>
        <v>1.1872450000000001</v>
      </c>
      <c r="L112" s="71">
        <f>IF(E112=0,0,VLOOKUP(E112,'Prix Matiere'!A6:J62,10))</f>
        <v>7.0144329896907225</v>
      </c>
      <c r="M112" s="71">
        <f t="shared" si="20"/>
        <v>8.3278504948453627</v>
      </c>
      <c r="N112" s="3">
        <f t="shared" si="21"/>
        <v>8.7421962400000002</v>
      </c>
      <c r="O112" s="71">
        <f>N112*MinuteMO</f>
        <v>7.4308668039999999</v>
      </c>
      <c r="P112" s="2"/>
      <c r="Q112" s="254">
        <f>IF(J112=0,0,J112*VLOOKUP(E112,'Prix Matiere'!$A$4:$L$60,12))</f>
        <v>0.96879192000000025</v>
      </c>
      <c r="R112" s="254">
        <f>IF(J112=0,0,Q112*VLOOKUP(E112,'Prix Matiere'!$A$4:$L$60,11))</f>
        <v>2.8579361640000007</v>
      </c>
      <c r="S112" s="2"/>
      <c r="T112" s="2"/>
      <c r="U112" s="2"/>
      <c r="V112" s="2"/>
      <c r="W112" s="2"/>
      <c r="X112" s="2"/>
      <c r="Y112" s="2"/>
      <c r="Z112" s="2"/>
    </row>
    <row r="113" spans="1:26" ht="18" hidden="1" customHeight="1" x14ac:dyDescent="0.35">
      <c r="A113" s="2"/>
      <c r="B113" s="2"/>
      <c r="C113" s="2"/>
      <c r="D113" s="2"/>
      <c r="E113" s="2"/>
      <c r="F113" s="2"/>
      <c r="G113" s="2"/>
      <c r="H113" s="2"/>
      <c r="I113" s="2"/>
      <c r="J113" s="89"/>
      <c r="K113" s="89"/>
      <c r="L113" s="71"/>
      <c r="M113" s="71"/>
      <c r="N113" s="3"/>
      <c r="O113" s="71"/>
      <c r="P113" s="2"/>
      <c r="Q113" s="254">
        <f>IF(J113=0,0,J113*VLOOKUP(E113,'Prix Matiere'!$A$4:$L$60,12))</f>
        <v>0</v>
      </c>
      <c r="R113" s="254"/>
      <c r="S113" s="2"/>
      <c r="T113" s="2"/>
      <c r="U113" s="2"/>
      <c r="V113" s="2"/>
      <c r="W113" s="2"/>
      <c r="X113" s="2"/>
      <c r="Y113" s="2"/>
      <c r="Z113" s="2"/>
    </row>
    <row r="114" spans="1:26" ht="18" hidden="1" customHeight="1" x14ac:dyDescent="0.35">
      <c r="A114" s="1105" t="s">
        <v>66</v>
      </c>
      <c r="B114" s="1101"/>
      <c r="C114" s="2">
        <f>C108-VLOOKUP(C17,A257:P263,8)</f>
        <v>83.7</v>
      </c>
      <c r="D114" s="2">
        <f>D108-VLOOKUP(C17,A257:P263,8)</f>
        <v>73.400000000000006</v>
      </c>
      <c r="E114" s="2">
        <f>E108-VLOOKUP(C17,A257:P263,8)</f>
        <v>64.7</v>
      </c>
      <c r="F114" s="2"/>
      <c r="G114" s="2"/>
      <c r="H114" s="2"/>
      <c r="I114" s="2"/>
      <c r="J114" s="89"/>
      <c r="K114" s="89"/>
      <c r="L114" s="71"/>
      <c r="M114" s="71"/>
      <c r="N114" s="3"/>
      <c r="O114" s="71"/>
      <c r="P114" s="2"/>
      <c r="Q114" s="254">
        <f>IF(J114=0,0,J114*VLOOKUP(E114,'Prix Matiere'!$A$4:$L$60,12))</f>
        <v>0</v>
      </c>
      <c r="R114" s="254"/>
      <c r="S114" s="2"/>
      <c r="T114" s="2"/>
      <c r="U114" s="2"/>
      <c r="V114" s="2"/>
      <c r="W114" s="2"/>
      <c r="X114" s="2"/>
      <c r="Y114" s="2"/>
      <c r="Z114" s="2"/>
    </row>
    <row r="115" spans="1:26" ht="18" hidden="1" customHeight="1" x14ac:dyDescent="0.35">
      <c r="A115" s="2"/>
      <c r="B115" s="2"/>
      <c r="C115" s="2"/>
      <c r="D115" s="2"/>
      <c r="E115" s="2"/>
      <c r="F115" s="2"/>
      <c r="G115" s="2"/>
      <c r="H115" s="2"/>
      <c r="I115" s="2"/>
      <c r="J115" s="89"/>
      <c r="K115" s="89"/>
      <c r="L115" s="71"/>
      <c r="M115" s="71"/>
      <c r="N115" s="3"/>
      <c r="O115" s="71"/>
      <c r="P115" s="2"/>
      <c r="Q115" s="254">
        <f>IF(J115=0,0,J115*VLOOKUP(E115,'Prix Matiere'!$A$4:$L$60,12))</f>
        <v>0</v>
      </c>
      <c r="R115" s="254"/>
      <c r="S115" s="2"/>
      <c r="T115" s="2"/>
      <c r="U115" s="2"/>
      <c r="V115" s="2"/>
      <c r="W115" s="2"/>
      <c r="X115" s="2"/>
      <c r="Y115" s="2"/>
      <c r="Z115" s="2"/>
    </row>
    <row r="116" spans="1:26" ht="18" hidden="1" customHeight="1" x14ac:dyDescent="0.35">
      <c r="A116" s="19" t="s">
        <v>67</v>
      </c>
      <c r="B116" s="45" t="s">
        <v>63</v>
      </c>
      <c r="C116" s="45">
        <f>IF(F116=0,0,C119)</f>
        <v>81.2</v>
      </c>
      <c r="D116" s="45">
        <f>IF(F116=0,0,10)</f>
        <v>10</v>
      </c>
      <c r="E116" s="34" t="str">
        <f>VLOOKUP(C17,A257:P263,12)</f>
        <v>Peuplier 10 mm</v>
      </c>
      <c r="F116" s="255">
        <f>VLOOKUP(C17,A257:P263,13)</f>
        <v>4</v>
      </c>
      <c r="G116" s="2"/>
      <c r="H116" s="2"/>
      <c r="I116" s="2"/>
      <c r="J116" s="89">
        <f t="shared" ref="J116:J117" si="22">IF(C116=0,0,(C116/100)*(D116/100)*F116)</f>
        <v>0.32480000000000003</v>
      </c>
      <c r="K116" s="89">
        <f t="shared" ref="K116:K117" si="23">J116/0.8</f>
        <v>0.40600000000000003</v>
      </c>
      <c r="L116" s="71">
        <f>IF(E116=0,0,VLOOKUP(E116,'Prix Matiere'!$A$4:$J$65,10))</f>
        <v>13.071134020618558</v>
      </c>
      <c r="M116" s="71">
        <f t="shared" ref="M116:M117" si="24">L116*K116</f>
        <v>5.3068804123711351</v>
      </c>
      <c r="N116" s="3">
        <f t="shared" ref="N116:N117" si="25">IF(J116=0,0,1+(6*J116))</f>
        <v>2.9488000000000003</v>
      </c>
      <c r="O116" s="71">
        <f>N116*MinuteMO</f>
        <v>2.5064800000000003</v>
      </c>
      <c r="P116" s="2"/>
      <c r="Q116" s="254">
        <f>IF(J116=0,0,J116*VLOOKUP(E116,'Prix Matiere'!$A$4:$L$60,12))</f>
        <v>1.33168</v>
      </c>
      <c r="R116" s="254">
        <f>IF(J116=0,0,Q116*VLOOKUP(E116,'Prix Matiere'!$A$4:$L$60,11))</f>
        <v>1.0293886400000001</v>
      </c>
      <c r="S116" s="2"/>
      <c r="T116" s="2"/>
      <c r="U116" s="2"/>
      <c r="V116" s="2"/>
      <c r="W116" s="2"/>
      <c r="X116" s="2"/>
      <c r="Y116" s="2"/>
      <c r="Z116" s="2"/>
    </row>
    <row r="117" spans="1:26" ht="18" hidden="1" customHeight="1" x14ac:dyDescent="0.35">
      <c r="A117" s="2"/>
      <c r="B117" s="45" t="s">
        <v>54</v>
      </c>
      <c r="C117" s="45">
        <f>IF(F117=0,0,D114)</f>
        <v>73.400000000000006</v>
      </c>
      <c r="D117" s="45">
        <f>IF(F116=0,0,D116)</f>
        <v>10</v>
      </c>
      <c r="E117" s="34" t="str">
        <f>VLOOKUP(C17,A257:P263,12)</f>
        <v>Peuplier 10 mm</v>
      </c>
      <c r="F117" s="45">
        <f>VLOOKUP(C17,A257:P263,13)*2</f>
        <v>8</v>
      </c>
      <c r="G117" s="2"/>
      <c r="H117" s="2"/>
      <c r="I117" s="2"/>
      <c r="J117" s="89">
        <f t="shared" si="22"/>
        <v>0.58720000000000006</v>
      </c>
      <c r="K117" s="89">
        <f t="shared" si="23"/>
        <v>0.73399999999999999</v>
      </c>
      <c r="L117" s="71">
        <f>IF(E117=0,0,VLOOKUP(E117,'Prix Matiere'!$A$4:$J$65,10))</f>
        <v>13.071134020618558</v>
      </c>
      <c r="M117" s="71">
        <f t="shared" si="24"/>
        <v>9.5942123711340219</v>
      </c>
      <c r="N117" s="3">
        <f t="shared" si="25"/>
        <v>4.5232000000000001</v>
      </c>
      <c r="O117" s="71">
        <f>N117*MinuteMO</f>
        <v>3.8447200000000001</v>
      </c>
      <c r="P117" s="2"/>
      <c r="Q117" s="254">
        <f>IF(J117=0,0,J117*VLOOKUP(E117,'Prix Matiere'!$A$4:$L$60,12))</f>
        <v>2.4075199999999999</v>
      </c>
      <c r="R117" s="254">
        <f>IF(J117=0,0,Q117*VLOOKUP(E117,'Prix Matiere'!$A$4:$L$60,11))</f>
        <v>1.86101296</v>
      </c>
      <c r="S117" s="2"/>
      <c r="T117" s="2"/>
      <c r="U117" s="2"/>
      <c r="V117" s="2"/>
      <c r="W117" s="2"/>
      <c r="X117" s="2"/>
      <c r="Y117" s="2"/>
      <c r="Z117" s="2"/>
    </row>
    <row r="118" spans="1:26" ht="18" hidden="1" customHeight="1" x14ac:dyDescent="0.35">
      <c r="A118" s="2"/>
      <c r="B118" s="2"/>
      <c r="C118" s="2"/>
      <c r="D118" s="2"/>
      <c r="E118" s="2"/>
      <c r="F118" s="2"/>
      <c r="G118" s="2"/>
      <c r="H118" s="2"/>
      <c r="I118" s="2"/>
      <c r="J118" s="89"/>
      <c r="K118" s="89"/>
      <c r="L118" s="71"/>
      <c r="M118" s="71"/>
      <c r="N118" s="3"/>
      <c r="O118" s="71"/>
      <c r="P118" s="2"/>
      <c r="Q118" s="254">
        <f>IF(J118=0,0,J118*VLOOKUP(E118,'Prix Matiere'!$A$4:$L$60,12))</f>
        <v>0</v>
      </c>
      <c r="R118" s="254"/>
      <c r="S118" s="2"/>
      <c r="T118" s="2"/>
      <c r="U118" s="2"/>
      <c r="V118" s="2"/>
      <c r="W118" s="2"/>
      <c r="X118" s="2"/>
      <c r="Y118" s="2"/>
      <c r="Z118" s="2"/>
    </row>
    <row r="119" spans="1:26" ht="18" hidden="1" customHeight="1" x14ac:dyDescent="0.35">
      <c r="A119" s="1105" t="s">
        <v>68</v>
      </c>
      <c r="B119" s="1101"/>
      <c r="C119" s="2">
        <f>C114-VLOOKUP($C$17,A257:P263,11)</f>
        <v>81.2</v>
      </c>
      <c r="D119" s="2">
        <f>D114-VLOOKUP($C$17,A257:P263,11)</f>
        <v>70.900000000000006</v>
      </c>
      <c r="E119" s="2">
        <f>E114-VLOOKUP($C$17,A257:P263,11)</f>
        <v>62.2</v>
      </c>
      <c r="F119" s="2"/>
      <c r="G119" s="2"/>
      <c r="H119" s="2"/>
      <c r="I119" s="2"/>
      <c r="J119" s="89"/>
      <c r="K119" s="89"/>
      <c r="L119" s="71"/>
      <c r="M119" s="71"/>
      <c r="N119" s="3"/>
      <c r="O119" s="71"/>
      <c r="P119" s="2"/>
      <c r="Q119" s="254">
        <f>IF(J119=0,0,J119*VLOOKUP(E119,'Prix Matiere'!$A$4:$L$60,12))</f>
        <v>0</v>
      </c>
      <c r="R119" s="254"/>
      <c r="S119" s="2"/>
      <c r="T119" s="2"/>
      <c r="U119" s="2"/>
      <c r="V119" s="2"/>
      <c r="W119" s="2"/>
      <c r="X119" s="2"/>
      <c r="Y119" s="2"/>
      <c r="Z119" s="2"/>
    </row>
    <row r="120" spans="1:26" ht="18" hidden="1" customHeight="1" x14ac:dyDescent="0.35">
      <c r="A120" s="2"/>
      <c r="B120" s="2"/>
      <c r="C120" s="2"/>
      <c r="D120" s="2"/>
      <c r="E120" s="2"/>
      <c r="F120" s="2"/>
      <c r="G120" s="2"/>
      <c r="H120" s="2"/>
      <c r="I120" s="2"/>
      <c r="J120" s="89"/>
      <c r="K120" s="89"/>
      <c r="L120" s="71"/>
      <c r="M120" s="71"/>
      <c r="N120" s="3"/>
      <c r="O120" s="71"/>
      <c r="P120" s="2"/>
      <c r="Q120" s="254">
        <f>IF(J120=0,0,J120*VLOOKUP(E120,'Prix Matiere'!$A$4:$L$60,12))</f>
        <v>0</v>
      </c>
      <c r="R120" s="254"/>
      <c r="S120" s="2"/>
      <c r="T120" s="2"/>
      <c r="U120" s="2"/>
      <c r="V120" s="2"/>
      <c r="W120" s="2"/>
      <c r="X120" s="2"/>
      <c r="Y120" s="2"/>
      <c r="Z120" s="2"/>
    </row>
    <row r="121" spans="1:26" ht="18" hidden="1" customHeight="1" x14ac:dyDescent="0.35">
      <c r="A121" s="19" t="s">
        <v>69</v>
      </c>
      <c r="B121" s="45" t="s">
        <v>63</v>
      </c>
      <c r="C121" s="45">
        <f>IF(F121=0,0,C125+VLOOKUP($C$17,A257:P263,14))</f>
        <v>81.2</v>
      </c>
      <c r="D121" s="45">
        <f>IF(F121=0,0,E125+VLOOKUP($C$17,A257:P263,14))</f>
        <v>62.2</v>
      </c>
      <c r="E121" s="34" t="str">
        <f>VLOOKUP($C$17,A257:P263,15)</f>
        <v>Styro 30 mm</v>
      </c>
      <c r="F121" s="255">
        <f>VLOOKUP($C$17,A257:P263,16)</f>
        <v>2</v>
      </c>
      <c r="G121" s="2"/>
      <c r="H121" s="2"/>
      <c r="I121" s="2"/>
      <c r="J121" s="89">
        <f t="shared" ref="J121:J123" si="26">IF(C121=0,0,(C121/100)*(D121/100)*F121)</f>
        <v>1.0101280000000001</v>
      </c>
      <c r="K121" s="89">
        <f t="shared" ref="K121:K123" si="27">J121/0.8</f>
        <v>1.2626600000000001</v>
      </c>
      <c r="L121" s="71">
        <f>IF(E121=0,0,VLOOKUP(E121,'Prix Matiere'!A4:J60,10))</f>
        <v>7.0144329896907225</v>
      </c>
      <c r="M121" s="71">
        <f t="shared" ref="M121:M123" si="28">L121*K121</f>
        <v>8.8568439587628891</v>
      </c>
      <c r="N121" s="3">
        <f t="shared" ref="N121:N123" si="29">IF(J121=0,0,(3.94*J121)+5)</f>
        <v>8.9799043200000011</v>
      </c>
      <c r="O121" s="71">
        <f>N121*MinuteMO</f>
        <v>7.6329186720000006</v>
      </c>
      <c r="P121" s="2"/>
      <c r="Q121" s="254">
        <f>IF(J121=0,0,J121*VLOOKUP(E121,'Prix Matiere'!$A$4:$L$60,12))</f>
        <v>1.0303305600000001</v>
      </c>
      <c r="R121" s="254">
        <f>IF(J121=0,0,Q121*VLOOKUP(E121,'Prix Matiere'!$A$4:$L$60,11))</f>
        <v>3.0394751520000005</v>
      </c>
      <c r="S121" s="2"/>
      <c r="T121" s="2"/>
      <c r="U121" s="2"/>
      <c r="V121" s="2"/>
      <c r="W121" s="2"/>
      <c r="X121" s="2"/>
      <c r="Y121" s="2"/>
      <c r="Z121" s="2"/>
    </row>
    <row r="122" spans="1:26" ht="18" hidden="1" customHeight="1" x14ac:dyDescent="0.35">
      <c r="A122" s="2"/>
      <c r="B122" s="45" t="s">
        <v>54</v>
      </c>
      <c r="C122" s="45">
        <f>IF(F122=0,0,C125+VLOOKUP($C$17,A257:P263,14))</f>
        <v>81.2</v>
      </c>
      <c r="D122" s="45">
        <f>IF(F122=0,0,D125)</f>
        <v>64.900000000000006</v>
      </c>
      <c r="E122" s="34" t="str">
        <f>VLOOKUP($C$17,A257:P263,15)</f>
        <v>Styro 30 mm</v>
      </c>
      <c r="F122" s="255">
        <f>VLOOKUP($C$17,A257:P263,16)</f>
        <v>2</v>
      </c>
      <c r="G122" s="2"/>
      <c r="H122" s="2"/>
      <c r="I122" s="2"/>
      <c r="J122" s="89">
        <f t="shared" si="26"/>
        <v>1.053976</v>
      </c>
      <c r="K122" s="89">
        <f t="shared" si="27"/>
        <v>1.3174699999999999</v>
      </c>
      <c r="L122" s="71">
        <f>IF(E122=0,0,VLOOKUP(E122,'Prix Matiere'!A5:J61,10))</f>
        <v>7.0144329896907225</v>
      </c>
      <c r="M122" s="71">
        <f t="shared" si="28"/>
        <v>9.2413050309278351</v>
      </c>
      <c r="N122" s="3">
        <f t="shared" si="29"/>
        <v>9.1526654399999998</v>
      </c>
      <c r="O122" s="71">
        <f>N122*MinuteMO</f>
        <v>7.7797656239999995</v>
      </c>
      <c r="P122" s="2"/>
      <c r="Q122" s="254">
        <f>IF(J122=0,0,J122*VLOOKUP(E122,'Prix Matiere'!$A$4:$L$60,12))</f>
        <v>1.07505552</v>
      </c>
      <c r="R122" s="254">
        <f>IF(J122=0,0,Q122*VLOOKUP(E122,'Prix Matiere'!$A$4:$L$60,11))</f>
        <v>3.1714137840000003</v>
      </c>
      <c r="S122" s="2"/>
      <c r="T122" s="2"/>
      <c r="U122" s="2"/>
      <c r="V122" s="2"/>
      <c r="W122" s="2"/>
      <c r="X122" s="2"/>
      <c r="Y122" s="2"/>
      <c r="Z122" s="2"/>
    </row>
    <row r="123" spans="1:26" ht="18" hidden="1" customHeight="1" x14ac:dyDescent="0.35">
      <c r="A123" s="2"/>
      <c r="B123" s="45" t="s">
        <v>55</v>
      </c>
      <c r="C123" s="45">
        <f>IF(F123=0,0,E125)</f>
        <v>56.2</v>
      </c>
      <c r="D123" s="45">
        <f>IF(F123=0,0,D125)</f>
        <v>64.900000000000006</v>
      </c>
      <c r="E123" s="34" t="str">
        <f>VLOOKUP($C$17,A257:P263,15)</f>
        <v>Styro 30 mm</v>
      </c>
      <c r="F123" s="255">
        <f>VLOOKUP($C$17,A257:P263,16)</f>
        <v>2</v>
      </c>
      <c r="G123" s="2"/>
      <c r="H123" s="2"/>
      <c r="I123" s="2"/>
      <c r="J123" s="89">
        <f t="shared" si="26"/>
        <v>0.72947600000000012</v>
      </c>
      <c r="K123" s="89">
        <f t="shared" si="27"/>
        <v>0.91184500000000013</v>
      </c>
      <c r="L123" s="71">
        <f>IF(E123=0,0,VLOOKUP(E123,'Prix Matiere'!A6:J62,10))</f>
        <v>7.0144329896907225</v>
      </c>
      <c r="M123" s="71">
        <f t="shared" si="28"/>
        <v>6.3960756494845379</v>
      </c>
      <c r="N123" s="3">
        <f t="shared" si="29"/>
        <v>7.8741354399999999</v>
      </c>
      <c r="O123" s="71">
        <f>N123*MinuteMO</f>
        <v>6.6930151239999995</v>
      </c>
      <c r="P123" s="2"/>
      <c r="Q123" s="254">
        <f>IF(J123=0,0,J123*VLOOKUP(E123,'Prix Matiere'!$A$4:$L$60,12))</f>
        <v>0.74406552000000015</v>
      </c>
      <c r="R123" s="254">
        <f>IF(J123=0,0,Q123*VLOOKUP(E123,'Prix Matiere'!$A$4:$L$60,11))</f>
        <v>2.1949932840000006</v>
      </c>
      <c r="S123" s="2"/>
      <c r="T123" s="2"/>
      <c r="U123" s="2"/>
      <c r="V123" s="2"/>
      <c r="W123" s="2"/>
      <c r="X123" s="2"/>
      <c r="Y123" s="2"/>
      <c r="Z123" s="2"/>
    </row>
    <row r="124" spans="1:26" ht="18" hidden="1" customHeight="1" x14ac:dyDescent="0.35">
      <c r="A124" s="2"/>
      <c r="B124" s="2"/>
      <c r="C124" s="2"/>
      <c r="D124" s="2"/>
      <c r="E124" s="2"/>
      <c r="F124" s="2"/>
      <c r="G124" s="2"/>
      <c r="H124" s="2"/>
      <c r="I124" s="2"/>
      <c r="J124" s="89"/>
      <c r="K124" s="89"/>
      <c r="L124" s="71"/>
      <c r="M124" s="71"/>
      <c r="N124" s="3"/>
      <c r="O124" s="71"/>
      <c r="P124" s="2"/>
      <c r="Q124" s="254">
        <f>IF(J124=0,0,J124*VLOOKUP(E124,'Prix Matiere'!$A$4:$L$60,12))</f>
        <v>0</v>
      </c>
      <c r="R124" s="254">
        <f>IF(J124=0,0,Q124*VLOOKUP(E124,'Prix Matiere'!$A$4:$L$60,11))</f>
        <v>0</v>
      </c>
      <c r="S124" s="2"/>
      <c r="T124" s="2"/>
      <c r="U124" s="2"/>
      <c r="V124" s="2"/>
      <c r="W124" s="2"/>
      <c r="X124" s="2"/>
      <c r="Y124" s="2"/>
      <c r="Z124" s="2"/>
    </row>
    <row r="125" spans="1:26" ht="18" hidden="1" customHeight="1" x14ac:dyDescent="0.35">
      <c r="A125" s="1105" t="s">
        <v>66</v>
      </c>
      <c r="B125" s="1101"/>
      <c r="C125" s="2">
        <f>C119-VLOOKUP($C$17,A257:P263,14)</f>
        <v>75.2</v>
      </c>
      <c r="D125" s="2">
        <f>D119-VLOOKUP($C$17,A257:P263,14)</f>
        <v>64.900000000000006</v>
      </c>
      <c r="E125" s="2">
        <f>E119-VLOOKUP($C$17,A257:P263,14)</f>
        <v>56.2</v>
      </c>
      <c r="F125" s="2"/>
      <c r="G125" s="2"/>
      <c r="H125" s="2"/>
      <c r="I125" s="2"/>
      <c r="J125" s="89"/>
      <c r="K125" s="89"/>
      <c r="L125" s="71"/>
      <c r="M125" s="71"/>
      <c r="N125" s="3"/>
      <c r="O125" s="71"/>
      <c r="P125" s="2"/>
      <c r="Q125" s="254">
        <f>IF(J125=0,0,J125*VLOOKUP(E125,'Prix Matiere'!$A$4:$L$60,12))</f>
        <v>0</v>
      </c>
      <c r="R125" s="254">
        <f>IF(J125=0,0,Q125*VLOOKUP(E125,'Prix Matiere'!$A$4:$L$60,11))</f>
        <v>0</v>
      </c>
      <c r="S125" s="2"/>
      <c r="T125" s="2"/>
      <c r="U125" s="2"/>
      <c r="V125" s="2"/>
      <c r="W125" s="2"/>
      <c r="X125" s="2"/>
      <c r="Y125" s="2"/>
      <c r="Z125" s="2"/>
    </row>
    <row r="126" spans="1:26" ht="18" hidden="1" customHeight="1" x14ac:dyDescent="0.35">
      <c r="A126" s="2"/>
      <c r="B126" s="2"/>
      <c r="C126" s="2"/>
      <c r="D126" s="2"/>
      <c r="E126" s="2"/>
      <c r="F126" s="2"/>
      <c r="G126" s="2"/>
      <c r="H126" s="2"/>
      <c r="I126" s="2"/>
      <c r="J126" s="89"/>
      <c r="K126" s="89"/>
      <c r="L126" s="71"/>
      <c r="M126" s="71"/>
      <c r="N126" s="3"/>
      <c r="O126" s="71"/>
      <c r="P126" s="2"/>
      <c r="Q126" s="254">
        <f>IF(J126=0,0,J126*VLOOKUP(E126,'Prix Matiere'!$A$4:$L$60,12))</f>
        <v>0</v>
      </c>
      <c r="R126" s="254">
        <f>IF(J126=0,0,Q126*VLOOKUP(E126,'Prix Matiere'!$A$4:$L$60,11))</f>
        <v>0</v>
      </c>
      <c r="S126" s="2"/>
      <c r="T126" s="2"/>
      <c r="U126" s="2"/>
      <c r="V126" s="2"/>
      <c r="W126" s="2"/>
      <c r="X126" s="2"/>
      <c r="Y126" s="2"/>
      <c r="Z126" s="2"/>
    </row>
    <row r="127" spans="1:26" ht="18" hidden="1" customHeight="1" x14ac:dyDescent="0.35">
      <c r="A127" s="2"/>
      <c r="B127" s="38" t="s">
        <v>158</v>
      </c>
      <c r="C127" s="2"/>
      <c r="D127" s="2"/>
      <c r="E127" s="2"/>
      <c r="F127" s="2"/>
      <c r="G127" s="2"/>
      <c r="H127" s="2"/>
      <c r="I127" s="2"/>
      <c r="J127" s="89"/>
      <c r="K127" s="89"/>
      <c r="L127" s="71"/>
      <c r="M127" s="71"/>
      <c r="N127" s="3"/>
      <c r="O127" s="71"/>
      <c r="P127" s="2"/>
      <c r="Q127" s="254">
        <f>IF(J127=0,0,J127*VLOOKUP(E127,'Prix Matiere'!$A$4:$L$60,12))</f>
        <v>0</v>
      </c>
      <c r="R127" s="254">
        <f>IF(J127=0,0,Q127*VLOOKUP(E127,'Prix Matiere'!$A$4:$L$60,11))</f>
        <v>0</v>
      </c>
      <c r="S127" s="2"/>
      <c r="T127" s="2"/>
      <c r="U127" s="2"/>
      <c r="V127" s="2"/>
      <c r="W127" s="2"/>
      <c r="X127" s="2"/>
      <c r="Y127" s="2"/>
      <c r="Z127" s="2"/>
    </row>
    <row r="128" spans="1:26" ht="18" hidden="1" customHeight="1" x14ac:dyDescent="0.35">
      <c r="A128" s="2"/>
      <c r="B128" s="41" t="str">
        <f>IF(B30="Aucun",0,"Dessus")</f>
        <v>Dessus</v>
      </c>
      <c r="C128" s="85">
        <f>IF(B30="Aucun",0,VLOOKUP(B30,$A$282:$L$288,2)+B29)</f>
        <v>72.2</v>
      </c>
      <c r="D128" s="85">
        <f>IF(B30="Aucun",0,C29+VLOOKUP(B30,$A$282:$L$288,5))</f>
        <v>24</v>
      </c>
      <c r="E128" s="85" t="str">
        <f>VLOOKUP(B30,$A$282:$L$288,9)</f>
        <v>PU 50 mm</v>
      </c>
      <c r="F128" s="45">
        <f>IF(B30="Aucun",0,1)</f>
        <v>1</v>
      </c>
      <c r="G128" s="2"/>
      <c r="H128" s="2"/>
      <c r="I128" s="2"/>
      <c r="J128" s="89">
        <f t="shared" ref="J128:J141" si="30">IF(C128=0,0,(C128/100)*(D128/100)*F128)</f>
        <v>0.17327999999999999</v>
      </c>
      <c r="K128" s="89">
        <f t="shared" ref="K128:K141" si="31">J128/0.8</f>
        <v>0.21659999999999999</v>
      </c>
      <c r="L128" s="71">
        <f>IF(E128=0,0,VLOOKUP(E128,'Prix Matiere'!$A$4:$J$65,10))</f>
        <v>9.5670103092783503</v>
      </c>
      <c r="M128" s="71">
        <f t="shared" ref="M128:M141" si="32">L128*K128</f>
        <v>2.0722144329896905</v>
      </c>
      <c r="N128" s="3">
        <f t="shared" ref="N128:N140" si="33">IF(J128=0,0,4.7283*J128+2)</f>
        <v>2.8193198239999999</v>
      </c>
      <c r="O128" s="71">
        <f t="shared" ref="O128:O142" si="34">N128*MinuteMO</f>
        <v>2.3964218503999999</v>
      </c>
      <c r="P128" s="2"/>
      <c r="Q128" s="254">
        <f>IF(J128=0,0,J128*VLOOKUP(E128,'Prix Matiere'!$A$4:$L$60,12))</f>
        <v>0.21659999999999999</v>
      </c>
      <c r="R128" s="254">
        <f>IF(J128=0,0,Q128*VLOOKUP(E128,'Prix Matiere'!$A$4:$L$60,11))</f>
        <v>0.58482000000000001</v>
      </c>
      <c r="S128" s="2"/>
      <c r="T128" s="2"/>
      <c r="U128" s="2"/>
      <c r="V128" s="2"/>
      <c r="W128" s="2"/>
      <c r="X128" s="2"/>
      <c r="Y128" s="2"/>
      <c r="Z128" s="2"/>
    </row>
    <row r="129" spans="1:26" ht="18" hidden="1" customHeight="1" x14ac:dyDescent="0.35">
      <c r="A129" s="2"/>
      <c r="B129" s="45" t="str">
        <f>IF(B30="Aucun",0,"Extrémité")</f>
        <v>Extrémité</v>
      </c>
      <c r="C129" s="85">
        <f>IF(B30="Aucun",0,IF(B29&lt;60,10,IF(B29&lt;80,15,20)))</f>
        <v>15</v>
      </c>
      <c r="D129" s="85">
        <f t="shared" ref="D129:D132" si="35">D128</f>
        <v>24</v>
      </c>
      <c r="E129" s="85" t="str">
        <f>VLOOKUP(B30,$A$282:$L$288,9)</f>
        <v>PU 50 mm</v>
      </c>
      <c r="F129" s="45">
        <f>IF(B30="Aucun",0,2)</f>
        <v>2</v>
      </c>
      <c r="G129" s="2"/>
      <c r="H129" s="2"/>
      <c r="I129" s="2"/>
      <c r="J129" s="89">
        <f t="shared" si="30"/>
        <v>7.1999999999999995E-2</v>
      </c>
      <c r="K129" s="89">
        <f t="shared" si="31"/>
        <v>8.9999999999999983E-2</v>
      </c>
      <c r="L129" s="71">
        <f>IF(E129=0,0,VLOOKUP(E129,'Prix Matiere'!$A$4:$J$65,10))</f>
        <v>9.5670103092783503</v>
      </c>
      <c r="M129" s="71">
        <f t="shared" si="32"/>
        <v>0.86103092783505131</v>
      </c>
      <c r="N129" s="3">
        <f t="shared" si="33"/>
        <v>2.3404376</v>
      </c>
      <c r="O129" s="71">
        <f t="shared" si="34"/>
        <v>1.9893719599999999</v>
      </c>
      <c r="P129" s="2"/>
      <c r="Q129" s="254">
        <f>IF(J129=0,0,J129*VLOOKUP(E129,'Prix Matiere'!$A$4:$L$60,12))</f>
        <v>0.09</v>
      </c>
      <c r="R129" s="254">
        <f>IF(J129=0,0,Q129*VLOOKUP(E129,'Prix Matiere'!$A$4:$L$60,11))</f>
        <v>0.24299999999999999</v>
      </c>
      <c r="S129" s="2"/>
      <c r="T129" s="2"/>
      <c r="U129" s="2"/>
      <c r="V129" s="2"/>
      <c r="W129" s="2"/>
      <c r="X129" s="2"/>
      <c r="Y129" s="2"/>
      <c r="Z129" s="2"/>
    </row>
    <row r="130" spans="1:26" ht="18" hidden="1" customHeight="1" x14ac:dyDescent="0.35">
      <c r="A130" s="2"/>
      <c r="B130" s="45" t="str">
        <f>IF(B30="Aucun",0,A34)</f>
        <v>Agglocelle 50 mm</v>
      </c>
      <c r="C130" s="85">
        <f>B34</f>
        <v>6</v>
      </c>
      <c r="D130" s="85">
        <f t="shared" si="35"/>
        <v>24</v>
      </c>
      <c r="E130" s="85" t="str">
        <f>IF(B30="Aucun",0,IF(B130="Ethafoam 50 mm","Ethafoam 50 mm","Agglocelle 50 mm"))</f>
        <v>Agglocelle 50 mm</v>
      </c>
      <c r="F130" s="45">
        <f>E34</f>
        <v>2</v>
      </c>
      <c r="G130" s="2"/>
      <c r="H130" s="2"/>
      <c r="I130" s="2"/>
      <c r="J130" s="89">
        <f t="shared" si="30"/>
        <v>2.8799999999999999E-2</v>
      </c>
      <c r="K130" s="89">
        <f t="shared" si="31"/>
        <v>3.5999999999999997E-2</v>
      </c>
      <c r="L130" s="71">
        <f>IF(E130=0,0,VLOOKUP(E130,'Prix Matiere'!$A$4:$J$65,10))</f>
        <v>20.325783352800769</v>
      </c>
      <c r="M130" s="71">
        <f t="shared" si="32"/>
        <v>0.73172820070082767</v>
      </c>
      <c r="N130" s="3">
        <f t="shared" si="33"/>
        <v>2.1361750399999999</v>
      </c>
      <c r="O130" s="71">
        <f t="shared" si="34"/>
        <v>1.8157487839999999</v>
      </c>
      <c r="P130" s="2"/>
      <c r="Q130" s="254">
        <f>IF(J130=0,0,J130*VLOOKUP(E130,'Prix Matiere'!$A$4:$L$60,12))</f>
        <v>9.3600000000000003E-2</v>
      </c>
      <c r="R130" s="254">
        <f>IF(J130=0,0,Q130*VLOOKUP(E130,'Prix Matiere'!$A$4:$L$60,11))</f>
        <v>0.28828799999999999</v>
      </c>
      <c r="S130" s="2"/>
      <c r="T130" s="2"/>
      <c r="U130" s="2"/>
      <c r="V130" s="2"/>
      <c r="W130" s="2"/>
      <c r="X130" s="2"/>
      <c r="Y130" s="2"/>
      <c r="Z130" s="2"/>
    </row>
    <row r="131" spans="1:26" ht="18" hidden="1" customHeight="1" x14ac:dyDescent="0.35">
      <c r="A131" s="2"/>
      <c r="B131" s="45" t="str">
        <f>IF(B30="Aucun",0,"Milieu")</f>
        <v>Milieu</v>
      </c>
      <c r="C131" s="85">
        <f>(C128-((C129*F129)+(C130*F130)))/(F130-1)</f>
        <v>30.200000000000003</v>
      </c>
      <c r="D131" s="85">
        <f t="shared" si="35"/>
        <v>24</v>
      </c>
      <c r="E131" s="85" t="str">
        <f>VLOOKUP(B30,$A$282:$L$288,9)</f>
        <v>PU 50 mm</v>
      </c>
      <c r="F131" s="45">
        <f>IF(B30="Aucun",0,F130-1)</f>
        <v>1</v>
      </c>
      <c r="G131" s="2"/>
      <c r="H131" s="2"/>
      <c r="I131" s="2"/>
      <c r="J131" s="89">
        <f t="shared" si="30"/>
        <v>7.2480000000000003E-2</v>
      </c>
      <c r="K131" s="89">
        <f t="shared" si="31"/>
        <v>9.06E-2</v>
      </c>
      <c r="L131" s="71">
        <f>IF(E131=0,0,VLOOKUP(E131,'Prix Matiere'!$A$4:$J$65,10))</f>
        <v>9.5670103092783503</v>
      </c>
      <c r="M131" s="71">
        <f t="shared" si="32"/>
        <v>0.86677113402061856</v>
      </c>
      <c r="N131" s="3">
        <f t="shared" si="33"/>
        <v>2.342707184</v>
      </c>
      <c r="O131" s="71">
        <f t="shared" si="34"/>
        <v>1.9913011063999999</v>
      </c>
      <c r="P131" s="2"/>
      <c r="Q131" s="254">
        <f>IF(J131=0,0,J131*VLOOKUP(E131,'Prix Matiere'!$A$4:$L$60,12))</f>
        <v>9.06E-2</v>
      </c>
      <c r="R131" s="254">
        <f>IF(J131=0,0,Q131*VLOOKUP(E131,'Prix Matiere'!$A$4:$L$60,11))</f>
        <v>0.24462</v>
      </c>
      <c r="S131" s="2"/>
      <c r="T131" s="2"/>
      <c r="U131" s="2"/>
      <c r="V131" s="2"/>
      <c r="W131" s="2"/>
      <c r="X131" s="2"/>
      <c r="Y131" s="2"/>
      <c r="Z131" s="2"/>
    </row>
    <row r="132" spans="1:26" ht="18" hidden="1" customHeight="1" x14ac:dyDescent="0.35">
      <c r="A132" s="2"/>
      <c r="B132" s="45" t="str">
        <f>IF(B30="Aucun",0,"Bouts avec passage de main")</f>
        <v>Bouts avec passage de main</v>
      </c>
      <c r="C132" s="85">
        <f>IF(B30="Aucun",0,(D29-IF(D29&gt;120,30,15))/(F132/2))</f>
        <v>14</v>
      </c>
      <c r="D132" s="85">
        <f t="shared" si="35"/>
        <v>24</v>
      </c>
      <c r="E132" s="85" t="str">
        <f>VLOOKUP(B30,$A$282:$L$288,9)</f>
        <v>PU 50 mm</v>
      </c>
      <c r="F132" s="45">
        <f>IF(B30="Aucun",0,IF(D29&gt;120,6,4))</f>
        <v>4</v>
      </c>
      <c r="G132" s="2"/>
      <c r="H132" s="2"/>
      <c r="I132" s="2"/>
      <c r="J132" s="89">
        <f t="shared" si="30"/>
        <v>0.13440000000000002</v>
      </c>
      <c r="K132" s="89">
        <f t="shared" si="31"/>
        <v>0.16800000000000001</v>
      </c>
      <c r="L132" s="71">
        <f>IF(E132=0,0,VLOOKUP(E132,'Prix Matiere'!$A$4:$J$65,10))</f>
        <v>9.5670103092783503</v>
      </c>
      <c r="M132" s="71">
        <f t="shared" si="32"/>
        <v>1.6072577319587629</v>
      </c>
      <c r="N132" s="3">
        <f t="shared" si="33"/>
        <v>2.6354835200000002</v>
      </c>
      <c r="O132" s="71">
        <f t="shared" si="34"/>
        <v>2.2401609920000003</v>
      </c>
      <c r="P132" s="2"/>
      <c r="Q132" s="254">
        <f>IF(J132=0,0,J132*VLOOKUP(E132,'Prix Matiere'!$A$4:$L$60,12))</f>
        <v>0.16800000000000004</v>
      </c>
      <c r="R132" s="254">
        <f>IF(J132=0,0,Q132*VLOOKUP(E132,'Prix Matiere'!$A$4:$L$60,11))</f>
        <v>0.45360000000000011</v>
      </c>
      <c r="S132" s="2"/>
      <c r="T132" s="2"/>
      <c r="U132" s="2"/>
      <c r="V132" s="2"/>
      <c r="W132" s="2"/>
      <c r="X132" s="2"/>
      <c r="Y132" s="2"/>
      <c r="Z132" s="2"/>
    </row>
    <row r="133" spans="1:26" ht="18" hidden="1" customHeight="1" x14ac:dyDescent="0.35">
      <c r="A133" s="2"/>
      <c r="B133" s="45" t="str">
        <f>IF(B30="Aucun",0,"Fond")</f>
        <v>Fond</v>
      </c>
      <c r="C133" s="85">
        <f>IF(B30="Aucun",0,B29+VLOOKUP(B30,$A$282:$L$288,6))</f>
        <v>62.2</v>
      </c>
      <c r="D133" s="85">
        <f>IF(B30="Sous verre 2 faces",D29+VLOOKUP(B30,$A$280:$L$288,6),IF(B30="Bandes de mousse fond plein",D29+VLOOKUP(B30,$A$280:$L288,6),IF(B30="Entourage Stratocell 20 mm",D29+4,IF(B30="Entourage Stratocell 30 mm",D29+6,C33))))</f>
        <v>0</v>
      </c>
      <c r="E133" s="85" t="str">
        <f>VLOOKUP(B30,$A$282:$L$288,8)</f>
        <v>PU 50 mm</v>
      </c>
      <c r="F133" s="45">
        <f>VLOOKUP(B30,A282:L288,7)</f>
        <v>2</v>
      </c>
      <c r="G133" s="2"/>
      <c r="H133" s="2"/>
      <c r="I133" s="2"/>
      <c r="J133" s="89">
        <f t="shared" si="30"/>
        <v>0</v>
      </c>
      <c r="K133" s="89">
        <f t="shared" si="31"/>
        <v>0</v>
      </c>
      <c r="L133" s="71">
        <f>IF(E133=0,0,VLOOKUP(E133,'Prix Matiere'!$A$4:$J$65,10))</f>
        <v>9.5670103092783503</v>
      </c>
      <c r="M133" s="71">
        <f t="shared" si="32"/>
        <v>0</v>
      </c>
      <c r="N133" s="3">
        <f t="shared" si="33"/>
        <v>0</v>
      </c>
      <c r="O133" s="71">
        <f t="shared" si="34"/>
        <v>0</v>
      </c>
      <c r="P133" s="2"/>
      <c r="Q133" s="254">
        <f>IF(J133=0,0,J133*VLOOKUP(E133,'Prix Matiere'!$A$4:$L$60,12))</f>
        <v>0</v>
      </c>
      <c r="R133" s="254">
        <f>IF(J133=0,0,Q133*VLOOKUP(E133,'Prix Matiere'!$A$4:$L$60,11))</f>
        <v>0</v>
      </c>
      <c r="S133" s="2"/>
      <c r="T133" s="2"/>
      <c r="U133" s="2"/>
      <c r="V133" s="2"/>
      <c r="W133" s="2"/>
      <c r="X133" s="2"/>
      <c r="Y133" s="2"/>
      <c r="Z133" s="2"/>
    </row>
    <row r="134" spans="1:26" ht="18" hidden="1" customHeight="1" x14ac:dyDescent="0.35">
      <c r="A134" s="2"/>
      <c r="B134" s="45" t="str">
        <f>IF(B30="Aucun",0,"Remplis de fond")</f>
        <v>Remplis de fond</v>
      </c>
      <c r="C134" s="85">
        <f>IF(B30="Aucun",0,IF(B30="Entourage Stratocell 20 mm",0,IF(B30="Entourage Stratocell 30 mm",0,IF(B30="Sous verre 2 faces",0,IF(B30="Bandes de mousse fond plein",0,E57-D133*2+VLOOKUP(B30,$A$281:$L$288,6))))))</f>
        <v>0.2</v>
      </c>
      <c r="D134" s="85">
        <f>IF(B30="Sous verre 2 faces",0,IF(B30="Bandes de mousse fond plein",0,B33))</f>
        <v>10</v>
      </c>
      <c r="E134" s="85" t="str">
        <f>IF(C134=0,0,VLOOKUP(B30,$A$282:$L$288,8))</f>
        <v>PU 50 mm</v>
      </c>
      <c r="F134" s="45">
        <f>IF(B30="Aucun",0,IF(B30="Sous verre 2 faces",0,2))</f>
        <v>2</v>
      </c>
      <c r="G134" s="2"/>
      <c r="H134" s="2"/>
      <c r="I134" s="2"/>
      <c r="J134" s="89">
        <f t="shared" si="30"/>
        <v>4.0000000000000002E-4</v>
      </c>
      <c r="K134" s="89">
        <f t="shared" si="31"/>
        <v>5.0000000000000001E-4</v>
      </c>
      <c r="L134" s="71">
        <f>IF(E134=0,0,VLOOKUP(E134,'Prix Matiere'!$A$4:$J$65,10))</f>
        <v>9.5670103092783503</v>
      </c>
      <c r="M134" s="71">
        <f t="shared" si="32"/>
        <v>4.7835051546391751E-3</v>
      </c>
      <c r="N134" s="3">
        <f t="shared" si="33"/>
        <v>2.0018913199999999</v>
      </c>
      <c r="O134" s="71">
        <f t="shared" si="34"/>
        <v>1.7016076219999998</v>
      </c>
      <c r="P134" s="2"/>
      <c r="Q134" s="254">
        <f>IF(J134=0,0,J134*VLOOKUP(E134,'Prix Matiere'!$A$4:$L$60,12))</f>
        <v>5.0000000000000001E-4</v>
      </c>
      <c r="R134" s="254">
        <f>IF(J134=0,0,Q134*VLOOKUP(E134,'Prix Matiere'!$A$4:$L$60,11))</f>
        <v>1.3500000000000001E-3</v>
      </c>
      <c r="S134" s="2"/>
      <c r="T134" s="2"/>
      <c r="U134" s="2"/>
      <c r="V134" s="2"/>
      <c r="W134" s="2"/>
      <c r="X134" s="2"/>
      <c r="Y134" s="2"/>
      <c r="Z134" s="2"/>
    </row>
    <row r="135" spans="1:26" ht="18" hidden="1" customHeight="1" x14ac:dyDescent="0.35">
      <c r="A135" s="2"/>
      <c r="B135" s="45" t="str">
        <f>IF(B30="Aucun",0,"Dessus")</f>
        <v>Dessus</v>
      </c>
      <c r="C135" s="85">
        <f>IF(B30="Aucun",0,B29+VLOOKUP(B30,$A$282:$L$288,10))</f>
        <v>61.5</v>
      </c>
      <c r="D135" s="85">
        <f>IF(B30="Sous verre 2 faces",D29+VLOOKUP(B30,$A$282:$L$288,10),IF(B30="Sous verre / bandes de mousse",D29+VLOOKUP(B30,$A$282:$L$288,10),B32))</f>
        <v>10</v>
      </c>
      <c r="E135" s="85" t="str">
        <f>VLOOKUP(B30,$A$282:$L$288,9)</f>
        <v>PU 50 mm</v>
      </c>
      <c r="F135" s="45">
        <f>VLOOKUP(B30,A282:L288,11)</f>
        <v>2</v>
      </c>
      <c r="G135" s="2"/>
      <c r="H135" s="2"/>
      <c r="I135" s="2"/>
      <c r="J135" s="89">
        <f t="shared" si="30"/>
        <v>0.123</v>
      </c>
      <c r="K135" s="89">
        <f t="shared" si="31"/>
        <v>0.15375</v>
      </c>
      <c r="L135" s="71">
        <f>IF(E135=0,0,VLOOKUP(E135,'Prix Matiere'!$A$4:$J$65,10))</f>
        <v>9.5670103092783503</v>
      </c>
      <c r="M135" s="71">
        <f t="shared" si="32"/>
        <v>1.4709278350515462</v>
      </c>
      <c r="N135" s="3">
        <f t="shared" si="33"/>
        <v>2.5815809000000001</v>
      </c>
      <c r="O135" s="71">
        <f t="shared" si="34"/>
        <v>2.1943437650000002</v>
      </c>
      <c r="P135" s="2"/>
      <c r="Q135" s="254">
        <f>IF(J135=0,0,J135*VLOOKUP(E135,'Prix Matiere'!$A$4:$L$60,12))</f>
        <v>0.15375</v>
      </c>
      <c r="R135" s="254">
        <f>IF(J135=0,0,Q135*VLOOKUP(E135,'Prix Matiere'!$A$4:$L$60,11))</f>
        <v>0.41512500000000002</v>
      </c>
      <c r="S135" s="2"/>
      <c r="T135" s="2"/>
      <c r="U135" s="2"/>
      <c r="V135" s="2"/>
      <c r="W135" s="2"/>
      <c r="X135" s="2"/>
      <c r="Y135" s="2"/>
      <c r="Z135" s="2"/>
    </row>
    <row r="136" spans="1:26" ht="18" hidden="1" customHeight="1" x14ac:dyDescent="0.35">
      <c r="A136" s="2"/>
      <c r="B136" s="45" t="str">
        <f>IF(B30="Aucun",0,"Remplis de dessus")</f>
        <v>Remplis de dessus</v>
      </c>
      <c r="C136" s="85">
        <f>IF(B30="Aucun",0,IF(B30="Sous verre 2 faces",0,IF(B30="Sous verre / bandes de mousse",0,D29-2*D135+VLOOKUP(B30,$A$282:$L$288,10))))</f>
        <v>22.5</v>
      </c>
      <c r="D136" s="85">
        <f>IF(B30="Sous verre / bandes de mousse",0,IF(B30="Sous verre 2 faces",0,B32))</f>
        <v>10</v>
      </c>
      <c r="E136" s="85" t="str">
        <f>IF(C136=0,0,VLOOKUP(B30,$A$282:$L$288,9))</f>
        <v>PU 50 mm</v>
      </c>
      <c r="F136" s="45">
        <f>IF(B30="Aucun",0,IF(B30="Sous verre 2 faces",0,IF(B30="Sous verre / bandes de mousse",0,2)))</f>
        <v>2</v>
      </c>
      <c r="G136" s="2"/>
      <c r="H136" s="2"/>
      <c r="I136" s="2"/>
      <c r="J136" s="89">
        <f t="shared" si="30"/>
        <v>4.5000000000000005E-2</v>
      </c>
      <c r="K136" s="89">
        <f t="shared" si="31"/>
        <v>5.6250000000000001E-2</v>
      </c>
      <c r="L136" s="71">
        <f>IF(E136=0,0,VLOOKUP(E136,'Prix Matiere'!$A$4:$J$65,10))</f>
        <v>9.5670103092783503</v>
      </c>
      <c r="M136" s="71">
        <f t="shared" si="32"/>
        <v>0.53814432989690719</v>
      </c>
      <c r="N136" s="3">
        <f t="shared" si="33"/>
        <v>2.2127734999999999</v>
      </c>
      <c r="O136" s="71">
        <f t="shared" si="34"/>
        <v>1.880857475</v>
      </c>
      <c r="P136" s="2"/>
      <c r="Q136" s="254">
        <f>IF(J136=0,0,J136*VLOOKUP(E136,'Prix Matiere'!$A$4:$L$60,12))</f>
        <v>5.6250000000000008E-2</v>
      </c>
      <c r="R136" s="254">
        <f>IF(J136=0,0,Q136*VLOOKUP(E136,'Prix Matiere'!$A$4:$L$60,11))</f>
        <v>0.15187500000000004</v>
      </c>
      <c r="S136" s="2"/>
      <c r="T136" s="2"/>
      <c r="U136" s="2"/>
      <c r="V136" s="2"/>
      <c r="W136" s="2"/>
      <c r="X136" s="2"/>
      <c r="Y136" s="2"/>
      <c r="Z136" s="2"/>
    </row>
    <row r="137" spans="1:26" ht="18" hidden="1" customHeight="1" x14ac:dyDescent="0.35">
      <c r="A137" s="2"/>
      <c r="B137" s="45" t="str">
        <f>IF(B30="Aucun",0,"Rattrapage 1")</f>
        <v>Rattrapage 1</v>
      </c>
      <c r="C137" s="85">
        <f>IF(B35=0,0,B29+0.2)</f>
        <v>0</v>
      </c>
      <c r="D137" s="85">
        <f>IF(B35=0,0,B35)</f>
        <v>0</v>
      </c>
      <c r="E137" s="85">
        <f t="shared" ref="E137:E138" si="36">IF(C137=0,0,CONCATENATE("PU ",$D$35*10," mm"))</f>
        <v>0</v>
      </c>
      <c r="F137" s="45">
        <f>IF(B35=0,0,2)</f>
        <v>0</v>
      </c>
      <c r="G137" s="2"/>
      <c r="H137" s="2"/>
      <c r="I137" s="2"/>
      <c r="J137" s="89">
        <f t="shared" si="30"/>
        <v>0</v>
      </c>
      <c r="K137" s="89">
        <f t="shared" si="31"/>
        <v>0</v>
      </c>
      <c r="L137" s="71">
        <f>IF(E137=0,0,VLOOKUP(E137,'Prix Matiere'!$A$4:$J$65,10))</f>
        <v>0</v>
      </c>
      <c r="M137" s="71">
        <f t="shared" si="32"/>
        <v>0</v>
      </c>
      <c r="N137" s="3">
        <f t="shared" si="33"/>
        <v>0</v>
      </c>
      <c r="O137" s="71">
        <f t="shared" si="34"/>
        <v>0</v>
      </c>
      <c r="P137" s="2"/>
      <c r="Q137" s="254">
        <f>IF(J137=0,0,J137*VLOOKUP(E137,'Prix Matiere'!$A$4:$L$60,12))</f>
        <v>0</v>
      </c>
      <c r="R137" s="254">
        <f>IF(J137=0,0,Q137*VLOOKUP(E137,'Prix Matiere'!$A$4:$L$60,11))</f>
        <v>0</v>
      </c>
      <c r="S137" s="2"/>
      <c r="T137" s="2"/>
      <c r="U137" s="2"/>
      <c r="V137" s="2"/>
      <c r="W137" s="2"/>
      <c r="X137" s="2"/>
      <c r="Y137" s="2"/>
      <c r="Z137" s="2"/>
    </row>
    <row r="138" spans="1:26" ht="18" hidden="1" customHeight="1" x14ac:dyDescent="0.35">
      <c r="A138" s="2"/>
      <c r="B138" s="45" t="str">
        <f>IF(B30="Aucun",0,"Rattrapage 2")</f>
        <v>Rattrapage 2</v>
      </c>
      <c r="C138" s="85">
        <f>IF(B35=0,0,D29+0.2-2*D137)</f>
        <v>0</v>
      </c>
      <c r="D138" s="85">
        <f>IF(B35=0,0,D137)</f>
        <v>0</v>
      </c>
      <c r="E138" s="85">
        <f t="shared" si="36"/>
        <v>0</v>
      </c>
      <c r="F138" s="45">
        <f>IF(B35=0,0,2)</f>
        <v>0</v>
      </c>
      <c r="G138" s="2"/>
      <c r="H138" s="2"/>
      <c r="I138" s="2"/>
      <c r="J138" s="89">
        <f t="shared" si="30"/>
        <v>0</v>
      </c>
      <c r="K138" s="89">
        <f t="shared" si="31"/>
        <v>0</v>
      </c>
      <c r="L138" s="71">
        <f>IF(E138=0,0,VLOOKUP(E138,'Prix Matiere'!$A$4:$J$65,10))</f>
        <v>0</v>
      </c>
      <c r="M138" s="71">
        <f t="shared" si="32"/>
        <v>0</v>
      </c>
      <c r="N138" s="3">
        <f t="shared" si="33"/>
        <v>0</v>
      </c>
      <c r="O138" s="71">
        <f t="shared" si="34"/>
        <v>0</v>
      </c>
      <c r="P138" s="2"/>
      <c r="Q138" s="254">
        <f>IF(J138=0,0,J138*VLOOKUP(E138,'Prix Matiere'!$A$4:$L$60,12))</f>
        <v>0</v>
      </c>
      <c r="R138" s="254">
        <f>IF(J138=0,0,Q138*VLOOKUP(E138,'Prix Matiere'!$A$4:$L$60,11))</f>
        <v>0</v>
      </c>
      <c r="S138" s="2"/>
      <c r="T138" s="2"/>
      <c r="U138" s="2"/>
      <c r="V138" s="2"/>
      <c r="W138" s="2"/>
      <c r="X138" s="2"/>
      <c r="Y138" s="2"/>
      <c r="Z138" s="2"/>
    </row>
    <row r="139" spans="1:26" ht="18" hidden="1" customHeight="1" x14ac:dyDescent="0.35">
      <c r="A139" s="2"/>
      <c r="B139" s="45" t="str">
        <f>IF(B30="Aucun",0,"Remplissage 1")</f>
        <v>Remplissage 1</v>
      </c>
      <c r="C139" s="85">
        <f t="shared" ref="C139:D139" si="37">IF(B36=0,0,B36)</f>
        <v>0</v>
      </c>
      <c r="D139" s="85">
        <f t="shared" si="37"/>
        <v>0</v>
      </c>
      <c r="E139" s="85">
        <f>IF(C139=0,0,CONCATENATE("PU ",$D$36*10," mm"))</f>
        <v>0</v>
      </c>
      <c r="F139" s="45">
        <f t="shared" ref="F139:F140" si="38">IF(B36=0,0,1)</f>
        <v>0</v>
      </c>
      <c r="G139" s="2"/>
      <c r="H139" s="2"/>
      <c r="I139" s="2"/>
      <c r="J139" s="89">
        <f t="shared" si="30"/>
        <v>0</v>
      </c>
      <c r="K139" s="89">
        <f t="shared" si="31"/>
        <v>0</v>
      </c>
      <c r="L139" s="71">
        <f>IF(E139=0,0,VLOOKUP(E139,'Prix Matiere'!$A$4:$J$65,10))</f>
        <v>0</v>
      </c>
      <c r="M139" s="71">
        <f t="shared" si="32"/>
        <v>0</v>
      </c>
      <c r="N139" s="3">
        <f t="shared" si="33"/>
        <v>0</v>
      </c>
      <c r="O139" s="71">
        <f t="shared" si="34"/>
        <v>0</v>
      </c>
      <c r="P139" s="2"/>
      <c r="Q139" s="254">
        <f>IF(J139=0,0,J139*VLOOKUP(E139,'Prix Matiere'!$A$4:$L$60,12))</f>
        <v>0</v>
      </c>
      <c r="R139" s="254">
        <f>IF(J139=0,0,Q139*VLOOKUP(E139,'Prix Matiere'!$A$4:$L$60,11))</f>
        <v>0</v>
      </c>
      <c r="S139" s="2"/>
      <c r="T139" s="2"/>
      <c r="U139" s="2"/>
      <c r="V139" s="2"/>
      <c r="W139" s="2"/>
      <c r="X139" s="2"/>
      <c r="Y139" s="2"/>
      <c r="Z139" s="2"/>
    </row>
    <row r="140" spans="1:26" ht="18" hidden="1" customHeight="1" x14ac:dyDescent="0.35">
      <c r="A140" s="2"/>
      <c r="B140" s="45" t="str">
        <f>IF(B30="Aucun",0,"Remplissage 2")</f>
        <v>Remplissage 2</v>
      </c>
      <c r="C140" s="85">
        <f t="shared" ref="C140:D140" si="39">IF(B37=0,0,B37)</f>
        <v>0</v>
      </c>
      <c r="D140" s="85">
        <f t="shared" si="39"/>
        <v>0</v>
      </c>
      <c r="E140" s="85">
        <f>IF(C140=0,0,CONCATENATE("PU ",$D$37*10," mm"))</f>
        <v>0</v>
      </c>
      <c r="F140" s="45">
        <f t="shared" si="38"/>
        <v>0</v>
      </c>
      <c r="G140" s="2"/>
      <c r="H140" s="2"/>
      <c r="I140" s="2"/>
      <c r="J140" s="89">
        <f t="shared" si="30"/>
        <v>0</v>
      </c>
      <c r="K140" s="89">
        <f t="shared" si="31"/>
        <v>0</v>
      </c>
      <c r="L140" s="71">
        <f>IF(E140=0,0,VLOOKUP(E140,'Prix Matiere'!$A$4:$J$65,10))</f>
        <v>0</v>
      </c>
      <c r="M140" s="71">
        <f t="shared" si="32"/>
        <v>0</v>
      </c>
      <c r="N140" s="3">
        <f t="shared" si="33"/>
        <v>0</v>
      </c>
      <c r="O140" s="71">
        <f t="shared" si="34"/>
        <v>0</v>
      </c>
      <c r="P140" s="2"/>
      <c r="Q140" s="254">
        <f>IF(J140=0,0,J140*VLOOKUP(E140,'Prix Matiere'!$A$4:$L$60,12))</f>
        <v>0</v>
      </c>
      <c r="R140" s="254">
        <f>IF(J140=0,0,Q140*VLOOKUP(E140,'Prix Matiere'!$A$4:$L$60,11))</f>
        <v>0</v>
      </c>
      <c r="S140" s="2"/>
      <c r="T140" s="2"/>
      <c r="U140" s="2"/>
      <c r="V140" s="2"/>
      <c r="W140" s="2"/>
      <c r="X140" s="2"/>
      <c r="Y140" s="2"/>
      <c r="Z140" s="2"/>
    </row>
    <row r="141" spans="1:26" ht="18" hidden="1" customHeight="1" x14ac:dyDescent="0.35">
      <c r="A141" s="2"/>
      <c r="B141" s="45" t="str">
        <f>IF(B30="Aucun",0,"Carton")</f>
        <v>Carton</v>
      </c>
      <c r="C141" s="85">
        <f>IF(F141=0,0,B29+VLOOKUP(B30,$A$282:$L$288,10))</f>
        <v>61.5</v>
      </c>
      <c r="D141" s="85">
        <f>IF(E141=0,0,D29+VLOOKUP(B30,$A$282:$L$288,10))</f>
        <v>42.5</v>
      </c>
      <c r="E141" s="85" t="str">
        <f>IF(C141=0,0,"Carton")</f>
        <v>Carton</v>
      </c>
      <c r="F141" s="45">
        <f>VLOOKUP(B30,A282:L288,12)</f>
        <v>1</v>
      </c>
      <c r="G141" s="2"/>
      <c r="H141" s="2"/>
      <c r="I141" s="2"/>
      <c r="J141" s="89">
        <f t="shared" si="30"/>
        <v>0.26137499999999997</v>
      </c>
      <c r="K141" s="89">
        <f t="shared" si="31"/>
        <v>0.32671874999999995</v>
      </c>
      <c r="L141" s="71">
        <f>IF(E141=0,0,Carton)</f>
        <v>2.3247749959090167</v>
      </c>
      <c r="M141" s="71">
        <f t="shared" si="32"/>
        <v>0.75954758069464889</v>
      </c>
      <c r="N141" s="3">
        <f>IF(J141=0,0,2.356*J141+1)</f>
        <v>1.6157995000000001</v>
      </c>
      <c r="O141" s="71">
        <f t="shared" si="34"/>
        <v>1.3734295750000001</v>
      </c>
      <c r="P141" s="2"/>
      <c r="Q141" s="254">
        <f>IF(J141=0,0,J141*Poids_Carton)</f>
        <v>0.26137499999999997</v>
      </c>
      <c r="R141" s="254">
        <f>IF(J141=0,0,Q141*VLOOKUP(E141,'Prix Matiere'!$A$4:$L$60,11))</f>
        <v>0.12650549999999999</v>
      </c>
      <c r="S141" s="2"/>
      <c r="T141" s="2"/>
      <c r="U141" s="2"/>
      <c r="V141" s="2"/>
      <c r="W141" s="2"/>
      <c r="X141" s="2"/>
      <c r="Y141" s="2"/>
      <c r="Z141" s="2"/>
    </row>
    <row r="142" spans="1:26" ht="18" hidden="1" customHeight="1" x14ac:dyDescent="0.35">
      <c r="A142" s="2"/>
      <c r="B142" s="2"/>
      <c r="C142" s="2"/>
      <c r="D142" s="2"/>
      <c r="E142" s="2"/>
      <c r="F142" s="2"/>
      <c r="G142" s="2"/>
      <c r="H142" s="2"/>
      <c r="I142" s="2"/>
      <c r="J142" s="89"/>
      <c r="K142" s="89"/>
      <c r="L142" s="71"/>
      <c r="M142" s="2"/>
      <c r="N142" s="3"/>
      <c r="O142" s="71">
        <f t="shared" si="34"/>
        <v>0</v>
      </c>
      <c r="P142" s="2"/>
      <c r="Q142" s="254">
        <f>IF(J142=0,0,J142*VLOOKUP(E142,'Prix Matiere'!$A$4:$L$60,12))</f>
        <v>0</v>
      </c>
      <c r="R142" s="254"/>
      <c r="S142" s="2"/>
      <c r="T142" s="2"/>
      <c r="U142" s="2"/>
      <c r="V142" s="2"/>
      <c r="W142" s="2"/>
      <c r="X142" s="2"/>
      <c r="Y142" s="2"/>
      <c r="Z142" s="2"/>
    </row>
    <row r="143" spans="1:26" ht="18" hidden="1" customHeight="1" x14ac:dyDescent="0.35">
      <c r="A143" s="2"/>
      <c r="B143" s="38" t="s">
        <v>159</v>
      </c>
      <c r="C143" s="2"/>
      <c r="D143" s="2"/>
      <c r="E143" s="2"/>
      <c r="F143" s="2"/>
      <c r="G143" s="2"/>
      <c r="H143" s="2"/>
      <c r="I143" s="2"/>
      <c r="J143" s="89"/>
      <c r="K143" s="89"/>
      <c r="L143" s="71"/>
      <c r="M143" s="71"/>
      <c r="N143" s="3"/>
      <c r="O143" s="71"/>
      <c r="P143" s="2"/>
      <c r="Q143" s="254">
        <f>IF(J143=0,0,J143*VLOOKUP(E143,'Prix Matiere'!$A$4:$L$60,12))</f>
        <v>0</v>
      </c>
      <c r="R143" s="254"/>
      <c r="S143" s="2"/>
      <c r="T143" s="2"/>
      <c r="U143" s="2"/>
      <c r="V143" s="2"/>
      <c r="W143" s="2"/>
      <c r="X143" s="2"/>
      <c r="Y143" s="2"/>
      <c r="Z143" s="2"/>
    </row>
    <row r="144" spans="1:26" ht="18" hidden="1" customHeight="1" x14ac:dyDescent="0.35">
      <c r="A144" s="2"/>
      <c r="B144" s="41">
        <f>IF(H30="Aucun",0,"Dessus")</f>
        <v>0</v>
      </c>
      <c r="C144" s="85">
        <f>IF(H30="Aucun",0,VLOOKUP(H30,$A$282:$L$288,2)+H29)</f>
        <v>0</v>
      </c>
      <c r="D144" s="85">
        <f>IF(H30="Aucun",0,I29+VLOOKUP(H30,$A$282:$L$288,5))</f>
        <v>0</v>
      </c>
      <c r="E144" s="85">
        <f>VLOOKUP(H30,$A$282:$L$288,9)</f>
        <v>0</v>
      </c>
      <c r="F144" s="45">
        <f>IF(H30="Aucun",0,1)</f>
        <v>0</v>
      </c>
      <c r="G144" s="2"/>
      <c r="H144" s="2"/>
      <c r="I144" s="2"/>
      <c r="J144" s="89">
        <f t="shared" ref="J144:J157" si="40">IF(C144=0,0,(C144/100)*(D144/100)*F144)</f>
        <v>0</v>
      </c>
      <c r="K144" s="89">
        <f t="shared" ref="K144:K157" si="41">J144/0.8</f>
        <v>0</v>
      </c>
      <c r="L144" s="71">
        <f>IF(E144=0,0,VLOOKUP(E144,'Prix Matiere'!$A$4:$J$65,10))</f>
        <v>0</v>
      </c>
      <c r="M144" s="71">
        <f t="shared" ref="M144:M157" si="42">L144*K144</f>
        <v>0</v>
      </c>
      <c r="N144" s="3">
        <f t="shared" ref="N144:N156" si="43">IF(J144=0,0,4.7283*J144+2)</f>
        <v>0</v>
      </c>
      <c r="O144" s="71">
        <f t="shared" ref="O144:O157" si="44">N144*MinuteMO</f>
        <v>0</v>
      </c>
      <c r="P144" s="2"/>
      <c r="Q144" s="254">
        <f>IF(J144=0,0,J144*VLOOKUP(E144,'Prix Matiere'!$A$4:$L$60,12))</f>
        <v>0</v>
      </c>
      <c r="R144" s="254">
        <f>IF(J144=0,0,Q144*VLOOKUP(E144,'Prix Matiere'!$A$4:$L$60,11))</f>
        <v>0</v>
      </c>
      <c r="S144" s="2"/>
      <c r="T144" s="2"/>
      <c r="U144" s="2"/>
      <c r="V144" s="2"/>
      <c r="W144" s="2"/>
      <c r="X144" s="2"/>
      <c r="Y144" s="2"/>
      <c r="Z144" s="2"/>
    </row>
    <row r="145" spans="1:26" ht="18" hidden="1" customHeight="1" x14ac:dyDescent="0.35">
      <c r="A145" s="2"/>
      <c r="B145" s="45">
        <f>IF(H30="Aucun",0,"Extrémité")</f>
        <v>0</v>
      </c>
      <c r="C145" s="85">
        <f>IF(H30="Aucun",0,IF(H29&lt;60,10,IF(H29&lt;80,15,20)))</f>
        <v>0</v>
      </c>
      <c r="D145" s="85">
        <f t="shared" ref="D145:D148" si="45">D144</f>
        <v>0</v>
      </c>
      <c r="E145" s="85">
        <f>VLOOKUP(H30,$A$282:$L$288,9)</f>
        <v>0</v>
      </c>
      <c r="F145" s="45">
        <f>IF(H30="Aucun",0,2)</f>
        <v>0</v>
      </c>
      <c r="G145" s="2"/>
      <c r="H145" s="2"/>
      <c r="I145" s="2"/>
      <c r="J145" s="89">
        <f t="shared" si="40"/>
        <v>0</v>
      </c>
      <c r="K145" s="89">
        <f t="shared" si="41"/>
        <v>0</v>
      </c>
      <c r="L145" s="71">
        <f>IF(E145=0,0,VLOOKUP(E145,'Prix Matiere'!$A$4:$J$65,10))</f>
        <v>0</v>
      </c>
      <c r="M145" s="71">
        <f t="shared" si="42"/>
        <v>0</v>
      </c>
      <c r="N145" s="3">
        <f t="shared" si="43"/>
        <v>0</v>
      </c>
      <c r="O145" s="71">
        <f t="shared" si="44"/>
        <v>0</v>
      </c>
      <c r="P145" s="2"/>
      <c r="Q145" s="254">
        <f>IF(J145=0,0,J145*VLOOKUP(E145,'Prix Matiere'!$A$4:$L$60,12))</f>
        <v>0</v>
      </c>
      <c r="R145" s="254">
        <f>IF(J145=0,0,Q145*VLOOKUP(E145,'Prix Matiere'!$A$4:$L$60,11))</f>
        <v>0</v>
      </c>
      <c r="S145" s="2"/>
      <c r="T145" s="2"/>
      <c r="U145" s="2"/>
      <c r="V145" s="2"/>
      <c r="W145" s="2"/>
      <c r="X145" s="2"/>
      <c r="Y145" s="2"/>
      <c r="Z145" s="2"/>
    </row>
    <row r="146" spans="1:26" ht="18" hidden="1" customHeight="1" x14ac:dyDescent="0.35">
      <c r="A146" s="2"/>
      <c r="B146" s="45">
        <f>IF(H30="Aucun",0,G34)</f>
        <v>0</v>
      </c>
      <c r="C146" s="85">
        <f>H34</f>
        <v>0</v>
      </c>
      <c r="D146" s="85">
        <f t="shared" si="45"/>
        <v>0</v>
      </c>
      <c r="E146" s="85">
        <f>IF(H30="Aucun",0,IF(B146="Ethafoam 50 mm","Ethafoam 50 mm","Agglocelle 50 mm"))</f>
        <v>0</v>
      </c>
      <c r="F146" s="45">
        <f>K34</f>
        <v>2</v>
      </c>
      <c r="G146" s="2"/>
      <c r="H146" s="2"/>
      <c r="I146" s="2"/>
      <c r="J146" s="89">
        <f t="shared" si="40"/>
        <v>0</v>
      </c>
      <c r="K146" s="89">
        <f t="shared" si="41"/>
        <v>0</v>
      </c>
      <c r="L146" s="71">
        <f>IF(E146=0,0,VLOOKUP(E146,'Prix Matiere'!$A$4:$J$65,10))</f>
        <v>0</v>
      </c>
      <c r="M146" s="71">
        <f t="shared" si="42"/>
        <v>0</v>
      </c>
      <c r="N146" s="3">
        <f t="shared" si="43"/>
        <v>0</v>
      </c>
      <c r="O146" s="71">
        <f t="shared" si="44"/>
        <v>0</v>
      </c>
      <c r="P146" s="2"/>
      <c r="Q146" s="254">
        <f>IF(J146=0,0,J146*VLOOKUP(E146,'Prix Matiere'!$A$4:$L$60,12))</f>
        <v>0</v>
      </c>
      <c r="R146" s="254">
        <f>IF(J146=0,0,Q146*VLOOKUP(E146,'Prix Matiere'!$A$4:$L$60,11))</f>
        <v>0</v>
      </c>
      <c r="S146" s="2"/>
      <c r="T146" s="2"/>
      <c r="U146" s="2"/>
      <c r="V146" s="2"/>
      <c r="W146" s="2"/>
      <c r="X146" s="2"/>
      <c r="Y146" s="2"/>
      <c r="Z146" s="2"/>
    </row>
    <row r="147" spans="1:26" ht="18" hidden="1" customHeight="1" x14ac:dyDescent="0.35">
      <c r="A147" s="2"/>
      <c r="B147" s="45">
        <f>IF(H30="Aucun",0,"Milieu")</f>
        <v>0</v>
      </c>
      <c r="C147" s="85">
        <f>(C144-((C145*F145)+(C146*F146)))/(F146-1)</f>
        <v>0</v>
      </c>
      <c r="D147" s="85">
        <f t="shared" si="45"/>
        <v>0</v>
      </c>
      <c r="E147" s="85">
        <f>VLOOKUP(H30,$A$282:$L$288,9)</f>
        <v>0</v>
      </c>
      <c r="F147" s="45">
        <f>IF(H30="Aucun",0,F146-1)</f>
        <v>0</v>
      </c>
      <c r="G147" s="2"/>
      <c r="H147" s="2"/>
      <c r="I147" s="2"/>
      <c r="J147" s="89">
        <f t="shared" si="40"/>
        <v>0</v>
      </c>
      <c r="K147" s="89">
        <f t="shared" si="41"/>
        <v>0</v>
      </c>
      <c r="L147" s="71">
        <f>IF(E147=0,0,VLOOKUP(E147,'Prix Matiere'!$A$4:$J$65,10))</f>
        <v>0</v>
      </c>
      <c r="M147" s="71">
        <f t="shared" si="42"/>
        <v>0</v>
      </c>
      <c r="N147" s="3">
        <f t="shared" si="43"/>
        <v>0</v>
      </c>
      <c r="O147" s="71">
        <f t="shared" si="44"/>
        <v>0</v>
      </c>
      <c r="P147" s="2"/>
      <c r="Q147" s="254">
        <f>IF(J147=0,0,J147*VLOOKUP(E147,'Prix Matiere'!$A$4:$L$60,12))</f>
        <v>0</v>
      </c>
      <c r="R147" s="254">
        <f>IF(J147=0,0,Q147*VLOOKUP(E147,'Prix Matiere'!$A$4:$L$60,11))</f>
        <v>0</v>
      </c>
      <c r="S147" s="2"/>
      <c r="T147" s="2"/>
      <c r="U147" s="2"/>
      <c r="V147" s="2"/>
      <c r="W147" s="2"/>
      <c r="X147" s="2"/>
      <c r="Y147" s="2"/>
      <c r="Z147" s="2"/>
    </row>
    <row r="148" spans="1:26" ht="18" hidden="1" customHeight="1" x14ac:dyDescent="0.35">
      <c r="A148" s="2"/>
      <c r="B148" s="45">
        <f>IF(H30="Aucun",0,"Bouts avec passage de main")</f>
        <v>0</v>
      </c>
      <c r="C148" s="85">
        <f>IF(H30="Aucun",0,(J29-IF(J29&gt;120,30,15))/(F148/2))</f>
        <v>0</v>
      </c>
      <c r="D148" s="85">
        <f t="shared" si="45"/>
        <v>0</v>
      </c>
      <c r="E148" s="85">
        <f>VLOOKUP(H30,$A$282:$L$288,9)</f>
        <v>0</v>
      </c>
      <c r="F148" s="45">
        <f>IF(H30="Aucun",0,IF(J29&gt;120,6,4))</f>
        <v>0</v>
      </c>
      <c r="G148" s="2"/>
      <c r="H148" s="2"/>
      <c r="I148" s="2"/>
      <c r="J148" s="89">
        <f t="shared" si="40"/>
        <v>0</v>
      </c>
      <c r="K148" s="89">
        <f t="shared" si="41"/>
        <v>0</v>
      </c>
      <c r="L148" s="71">
        <f>IF(E148=0,0,VLOOKUP(E148,'Prix Matiere'!$A$4:$J$65,10))</f>
        <v>0</v>
      </c>
      <c r="M148" s="71">
        <f t="shared" si="42"/>
        <v>0</v>
      </c>
      <c r="N148" s="3">
        <f t="shared" si="43"/>
        <v>0</v>
      </c>
      <c r="O148" s="71">
        <f t="shared" si="44"/>
        <v>0</v>
      </c>
      <c r="P148" s="2"/>
      <c r="Q148" s="254">
        <f>IF(J148=0,0,J148*VLOOKUP(E148,'Prix Matiere'!$A$4:$L$60,12))</f>
        <v>0</v>
      </c>
      <c r="R148" s="254">
        <f>IF(J148=0,0,Q148*VLOOKUP(E148,'Prix Matiere'!$A$4:$L$60,11))</f>
        <v>0</v>
      </c>
      <c r="S148" s="2"/>
      <c r="T148" s="2"/>
      <c r="U148" s="2"/>
      <c r="V148" s="2"/>
      <c r="W148" s="2"/>
      <c r="X148" s="2"/>
      <c r="Y148" s="2"/>
      <c r="Z148" s="2"/>
    </row>
    <row r="149" spans="1:26" ht="18" hidden="1" customHeight="1" x14ac:dyDescent="0.35">
      <c r="A149" s="2"/>
      <c r="B149" s="45">
        <f>IF(H30="Aucun",0,"Fond")</f>
        <v>0</v>
      </c>
      <c r="C149" s="85">
        <f>IF(H30="Aucun",0,H29+VLOOKUP(H30,$A$282:$L$288,6))</f>
        <v>0</v>
      </c>
      <c r="D149" s="85">
        <f>IF(H30="Sous verre 2 faces",H29+VLOOKUP(H30,$A$280:$L$288,6),IF(H30="Bandes de mousse fond plein",H29+VLOOKUP(H30,$A$280:$L288,6),IF(H30="Entourage Stratocell 20 mm",H29+4,IF(H30="Entourage Stratocell 30 mm",H29+6,H33))))</f>
        <v>0</v>
      </c>
      <c r="E149" s="85">
        <f>VLOOKUP(H30,$A$282:$L$288,8)</f>
        <v>0</v>
      </c>
      <c r="F149" s="45">
        <f>VLOOKUP(H30,$A$282:$L$288,7)</f>
        <v>0</v>
      </c>
      <c r="G149" s="2"/>
      <c r="H149" s="2"/>
      <c r="I149" s="2"/>
      <c r="J149" s="89">
        <f t="shared" si="40"/>
        <v>0</v>
      </c>
      <c r="K149" s="89">
        <f t="shared" si="41"/>
        <v>0</v>
      </c>
      <c r="L149" s="71">
        <f>IF(E149=0,0,VLOOKUP(E149,'Prix Matiere'!$A$4:$J$65,10))</f>
        <v>0</v>
      </c>
      <c r="M149" s="71">
        <f t="shared" si="42"/>
        <v>0</v>
      </c>
      <c r="N149" s="3">
        <f t="shared" si="43"/>
        <v>0</v>
      </c>
      <c r="O149" s="71">
        <f t="shared" si="44"/>
        <v>0</v>
      </c>
      <c r="P149" s="2"/>
      <c r="Q149" s="254">
        <f>IF(J149=0,0,J149*VLOOKUP(E149,'Prix Matiere'!$A$4:$L$60,12))</f>
        <v>0</v>
      </c>
      <c r="R149" s="254">
        <f>IF(J149=0,0,Q149*VLOOKUP(E149,'Prix Matiere'!$A$4:$L$60,11))</f>
        <v>0</v>
      </c>
      <c r="S149" s="2"/>
      <c r="T149" s="2"/>
      <c r="U149" s="2"/>
      <c r="V149" s="2"/>
      <c r="W149" s="2"/>
      <c r="X149" s="2"/>
      <c r="Y149" s="2"/>
      <c r="Z149" s="2"/>
    </row>
    <row r="150" spans="1:26" ht="18" hidden="1" customHeight="1" x14ac:dyDescent="0.35">
      <c r="A150" s="2"/>
      <c r="B150" s="45">
        <f>IF(H30="Aucun",0,"Remplis de fond")</f>
        <v>0</v>
      </c>
      <c r="C150" s="85">
        <f>IF(H30="Aucun",0,IF(H30="Entourage Stratocell 20 mm",0,IF(H30="Entourage Stratocell 30 mm",0,IF(H30="Sous verre 2 faces",0,IF(H30="Bandes de mousse fond plein",0,J29-H33*2+VLOOKUP(H30,$A$281:$L$288,6))))))</f>
        <v>0</v>
      </c>
      <c r="D150" s="85">
        <f>IF(H30="Sous verre 2 faces",0,IF(H30="Bandes de mousse fond plein",0,H33))</f>
        <v>0</v>
      </c>
      <c r="E150" s="85">
        <f>IF(C150=0,0,VLOOKUP(H30,$A$282:$L$288,8))</f>
        <v>0</v>
      </c>
      <c r="F150" s="45">
        <f>IF(H30="Aucun",0,IF(H30="Sous verre 2 faces",0,2))</f>
        <v>0</v>
      </c>
      <c r="G150" s="2"/>
      <c r="H150" s="2"/>
      <c r="I150" s="2"/>
      <c r="J150" s="89">
        <f t="shared" si="40"/>
        <v>0</v>
      </c>
      <c r="K150" s="89">
        <f t="shared" si="41"/>
        <v>0</v>
      </c>
      <c r="L150" s="71">
        <f>IF(E150=0,0,VLOOKUP(E150,'Prix Matiere'!$A$4:$J$65,10))</f>
        <v>0</v>
      </c>
      <c r="M150" s="71">
        <f t="shared" si="42"/>
        <v>0</v>
      </c>
      <c r="N150" s="3">
        <f t="shared" si="43"/>
        <v>0</v>
      </c>
      <c r="O150" s="71">
        <f t="shared" si="44"/>
        <v>0</v>
      </c>
      <c r="P150" s="2"/>
      <c r="Q150" s="254">
        <f>IF(J150=0,0,J150*VLOOKUP(E150,'Prix Matiere'!$A$4:$L$60,12))</f>
        <v>0</v>
      </c>
      <c r="R150" s="254">
        <f>IF(J150=0,0,Q150*VLOOKUP(E150,'Prix Matiere'!$A$4:$L$60,11))</f>
        <v>0</v>
      </c>
      <c r="S150" s="2"/>
      <c r="T150" s="2"/>
      <c r="U150" s="2"/>
      <c r="V150" s="2"/>
      <c r="W150" s="2"/>
      <c r="X150" s="2"/>
      <c r="Y150" s="2"/>
      <c r="Z150" s="2"/>
    </row>
    <row r="151" spans="1:26" ht="18" hidden="1" customHeight="1" x14ac:dyDescent="0.35">
      <c r="A151" s="2"/>
      <c r="B151" s="45">
        <f>IF(H30="Aucun",0,"Dessus")</f>
        <v>0</v>
      </c>
      <c r="C151" s="85">
        <f>IF(H30="Aucun",0,H29+VLOOKUP(H30,$A$282:$L$288,10))</f>
        <v>0</v>
      </c>
      <c r="D151" s="85">
        <f>IF(H30="Sous verre 2 faces",H32+VLOOKUP(H30,$A$282:$L$288,10),IF(H30="Sous verre / bandes de mousse",H32+VLOOKUP(H30,$A$282:$L$288,10),H32))</f>
        <v>0</v>
      </c>
      <c r="E151" s="85">
        <f>VLOOKUP(H30,$A$282:$L$288,9)</f>
        <v>0</v>
      </c>
      <c r="F151" s="45">
        <f>VLOOKUP(H30,$A$282:$L$288,11)</f>
        <v>0</v>
      </c>
      <c r="G151" s="2"/>
      <c r="H151" s="2"/>
      <c r="I151" s="2"/>
      <c r="J151" s="89">
        <f t="shared" si="40"/>
        <v>0</v>
      </c>
      <c r="K151" s="89">
        <f t="shared" si="41"/>
        <v>0</v>
      </c>
      <c r="L151" s="71">
        <f>IF(E151=0,0,VLOOKUP(E151,'Prix Matiere'!$A$4:$J$65,10))</f>
        <v>0</v>
      </c>
      <c r="M151" s="71">
        <f t="shared" si="42"/>
        <v>0</v>
      </c>
      <c r="N151" s="3">
        <f t="shared" si="43"/>
        <v>0</v>
      </c>
      <c r="O151" s="71">
        <f t="shared" si="44"/>
        <v>0</v>
      </c>
      <c r="P151" s="2"/>
      <c r="Q151" s="254">
        <f>IF(J151=0,0,J151*VLOOKUP(E151,'Prix Matiere'!$A$4:$L$60,12))</f>
        <v>0</v>
      </c>
      <c r="R151" s="254">
        <f>IF(J151=0,0,Q151*VLOOKUP(E151,'Prix Matiere'!$A$4:$L$60,11))</f>
        <v>0</v>
      </c>
      <c r="S151" s="2"/>
      <c r="T151" s="2"/>
      <c r="U151" s="2"/>
      <c r="V151" s="2"/>
      <c r="W151" s="2"/>
      <c r="X151" s="2"/>
      <c r="Y151" s="2"/>
      <c r="Z151" s="2"/>
    </row>
    <row r="152" spans="1:26" ht="18" hidden="1" customHeight="1" x14ac:dyDescent="0.35">
      <c r="A152" s="2"/>
      <c r="B152" s="45">
        <f>IF(H30="Aucun",0,"Remplis de dessus")</f>
        <v>0</v>
      </c>
      <c r="C152" s="85">
        <f>IF(H30="Aucun",0,IF(H30="Sous verre 2 faces",0,IF(H30="Sous verre / bandes de mousse",0,J29-2*D151+VLOOKUP(H30,$A$282:$L$288,10))))</f>
        <v>0</v>
      </c>
      <c r="D152" s="85">
        <f>IF(H30="Sous verre / bandes de mousse",0,IF(H30="Sous verre 2 faces",0,H32))</f>
        <v>0</v>
      </c>
      <c r="E152" s="85">
        <f>IF(C152=0,0,VLOOKUP(H30,$A$282:$L$288,9))</f>
        <v>0</v>
      </c>
      <c r="F152" s="45">
        <f>IF(H30="Aucun",0,IF(H30="Sous verre 2 faces",0,IF(H30="Sous verre / bandes de mousse",0,2)))</f>
        <v>0</v>
      </c>
      <c r="G152" s="2"/>
      <c r="H152" s="2"/>
      <c r="I152" s="2"/>
      <c r="J152" s="89">
        <f t="shared" si="40"/>
        <v>0</v>
      </c>
      <c r="K152" s="89">
        <f t="shared" si="41"/>
        <v>0</v>
      </c>
      <c r="L152" s="71">
        <f>IF(E152=0,0,VLOOKUP(E152,'Prix Matiere'!$A$4:$J$65,10))</f>
        <v>0</v>
      </c>
      <c r="M152" s="71">
        <f t="shared" si="42"/>
        <v>0</v>
      </c>
      <c r="N152" s="3">
        <f t="shared" si="43"/>
        <v>0</v>
      </c>
      <c r="O152" s="71">
        <f t="shared" si="44"/>
        <v>0</v>
      </c>
      <c r="P152" s="2"/>
      <c r="Q152" s="254">
        <f>IF(J152=0,0,J152*VLOOKUP(E152,'Prix Matiere'!$A$4:$L$60,12))</f>
        <v>0</v>
      </c>
      <c r="R152" s="254">
        <f>IF(J152=0,0,Q152*VLOOKUP(E152,'Prix Matiere'!$A$4:$L$60,11))</f>
        <v>0</v>
      </c>
      <c r="S152" s="2"/>
      <c r="T152" s="2"/>
      <c r="U152" s="2"/>
      <c r="V152" s="2"/>
      <c r="W152" s="2"/>
      <c r="X152" s="2"/>
      <c r="Y152" s="2"/>
      <c r="Z152" s="2"/>
    </row>
    <row r="153" spans="1:26" ht="18" hidden="1" customHeight="1" x14ac:dyDescent="0.35">
      <c r="A153" s="2"/>
      <c r="B153" s="45">
        <f>IF(H30="Aucun",0,"Rattrapage 1")</f>
        <v>0</v>
      </c>
      <c r="C153" s="85">
        <f>IF(H35=0,0,H29+0.2)</f>
        <v>0</v>
      </c>
      <c r="D153" s="85">
        <f>IF(H35=0,0,J35)</f>
        <v>0</v>
      </c>
      <c r="E153" s="85">
        <f t="shared" ref="E153:E154" si="46">IF(C153=0,0,CONCATENATE("PU ",$J$35*10," mm"))</f>
        <v>0</v>
      </c>
      <c r="F153" s="45">
        <f>IF(H35=0,0,2)</f>
        <v>0</v>
      </c>
      <c r="G153" s="2"/>
      <c r="H153" s="2"/>
      <c r="I153" s="2"/>
      <c r="J153" s="89">
        <f t="shared" si="40"/>
        <v>0</v>
      </c>
      <c r="K153" s="89">
        <f t="shared" si="41"/>
        <v>0</v>
      </c>
      <c r="L153" s="71">
        <f>IF(E153=0,0,VLOOKUP(E153,'Prix Matiere'!$A$4:$J$65,10))</f>
        <v>0</v>
      </c>
      <c r="M153" s="71">
        <f t="shared" si="42"/>
        <v>0</v>
      </c>
      <c r="N153" s="3">
        <f t="shared" si="43"/>
        <v>0</v>
      </c>
      <c r="O153" s="71">
        <f t="shared" si="44"/>
        <v>0</v>
      </c>
      <c r="P153" s="2"/>
      <c r="Q153" s="254">
        <f>IF(J153=0,0,J153*VLOOKUP(E153,'Prix Matiere'!$A$4:$L$60,12))</f>
        <v>0</v>
      </c>
      <c r="R153" s="254">
        <f>IF(J153=0,0,Q153*VLOOKUP(E153,'Prix Matiere'!$A$4:$L$60,11))</f>
        <v>0</v>
      </c>
      <c r="S153" s="2"/>
      <c r="T153" s="2"/>
      <c r="U153" s="2"/>
      <c r="V153" s="2"/>
      <c r="W153" s="2"/>
      <c r="X153" s="2"/>
      <c r="Y153" s="2"/>
      <c r="Z153" s="2"/>
    </row>
    <row r="154" spans="1:26" ht="18" hidden="1" customHeight="1" x14ac:dyDescent="0.35">
      <c r="A154" s="2"/>
      <c r="B154" s="45">
        <f>IF(H30="Aucun",0,"Rattrapage 2")</f>
        <v>0</v>
      </c>
      <c r="C154" s="85">
        <f>IF(H35=0,0,J29+0.2-2*D153)</f>
        <v>0</v>
      </c>
      <c r="D154" s="85">
        <f>IF(H35=0,0,D153)</f>
        <v>0</v>
      </c>
      <c r="E154" s="85">
        <f t="shared" si="46"/>
        <v>0</v>
      </c>
      <c r="F154" s="45">
        <f>IF(H35=0,0,2)</f>
        <v>0</v>
      </c>
      <c r="G154" s="2"/>
      <c r="H154" s="2"/>
      <c r="I154" s="2"/>
      <c r="J154" s="89">
        <f t="shared" si="40"/>
        <v>0</v>
      </c>
      <c r="K154" s="89">
        <f t="shared" si="41"/>
        <v>0</v>
      </c>
      <c r="L154" s="71">
        <f>IF(E154=0,0,VLOOKUP(E154,'Prix Matiere'!$A$4:$J$65,10))</f>
        <v>0</v>
      </c>
      <c r="M154" s="71">
        <f t="shared" si="42"/>
        <v>0</v>
      </c>
      <c r="N154" s="3">
        <f t="shared" si="43"/>
        <v>0</v>
      </c>
      <c r="O154" s="71">
        <f t="shared" si="44"/>
        <v>0</v>
      </c>
      <c r="P154" s="2"/>
      <c r="Q154" s="254">
        <f>IF(J154=0,0,J154*VLOOKUP(E154,'Prix Matiere'!$A$4:$L$60,12))</f>
        <v>0</v>
      </c>
      <c r="R154" s="254">
        <f>IF(J154=0,0,Q154*VLOOKUP(E154,'Prix Matiere'!$A$4:$L$60,11))</f>
        <v>0</v>
      </c>
      <c r="S154" s="2"/>
      <c r="T154" s="2"/>
      <c r="U154" s="2"/>
      <c r="V154" s="2"/>
      <c r="W154" s="2"/>
      <c r="X154" s="2"/>
      <c r="Y154" s="2"/>
      <c r="Z154" s="2"/>
    </row>
    <row r="155" spans="1:26" ht="18" hidden="1" customHeight="1" x14ac:dyDescent="0.35">
      <c r="A155" s="2"/>
      <c r="B155" s="45">
        <f>IF(H30="Aucun",0,"Remplissage 1")</f>
        <v>0</v>
      </c>
      <c r="C155" s="85">
        <f t="shared" ref="C155:C156" si="47">IF(H36=0,0,H36)</f>
        <v>0</v>
      </c>
      <c r="D155" s="85">
        <f t="shared" ref="D155:D156" si="48">IF(H36=0,0,I36)</f>
        <v>0</v>
      </c>
      <c r="E155" s="85">
        <f>IF(C155=0,0,CONCATENATE("PU ",$J$36*10," mm"))</f>
        <v>0</v>
      </c>
      <c r="F155" s="45">
        <f t="shared" ref="F155:F156" si="49">IF(H36=0,0,1)</f>
        <v>0</v>
      </c>
      <c r="G155" s="2"/>
      <c r="H155" s="2"/>
      <c r="I155" s="2"/>
      <c r="J155" s="89">
        <f t="shared" si="40"/>
        <v>0</v>
      </c>
      <c r="K155" s="89">
        <f t="shared" si="41"/>
        <v>0</v>
      </c>
      <c r="L155" s="71">
        <f>IF(E155=0,0,VLOOKUP(E155,'Prix Matiere'!$A$4:$J$65,10))</f>
        <v>0</v>
      </c>
      <c r="M155" s="71">
        <f t="shared" si="42"/>
        <v>0</v>
      </c>
      <c r="N155" s="3">
        <f t="shared" si="43"/>
        <v>0</v>
      </c>
      <c r="O155" s="71">
        <f t="shared" si="44"/>
        <v>0</v>
      </c>
      <c r="P155" s="2"/>
      <c r="Q155" s="254">
        <f>IF(J155=0,0,J155*VLOOKUP(E155,'Prix Matiere'!$A$4:$L$60,12))</f>
        <v>0</v>
      </c>
      <c r="R155" s="254">
        <f>IF(J155=0,0,Q155*VLOOKUP(E155,'Prix Matiere'!$A$4:$L$60,11))</f>
        <v>0</v>
      </c>
      <c r="S155" s="2"/>
      <c r="T155" s="2"/>
      <c r="U155" s="2"/>
      <c r="V155" s="2"/>
      <c r="W155" s="2"/>
      <c r="X155" s="2"/>
      <c r="Y155" s="2"/>
      <c r="Z155" s="2"/>
    </row>
    <row r="156" spans="1:26" ht="18" hidden="1" customHeight="1" x14ac:dyDescent="0.35">
      <c r="A156" s="2"/>
      <c r="B156" s="45">
        <f>IF(H30="Aucun",0,"Remplissage 2")</f>
        <v>0</v>
      </c>
      <c r="C156" s="85">
        <f t="shared" si="47"/>
        <v>0</v>
      </c>
      <c r="D156" s="85">
        <f t="shared" si="48"/>
        <v>0</v>
      </c>
      <c r="E156" s="85">
        <f>IF(C156=0,0,CONCATENATE("PU ",$J$37*10," mm"))</f>
        <v>0</v>
      </c>
      <c r="F156" s="45">
        <f t="shared" si="49"/>
        <v>0</v>
      </c>
      <c r="G156" s="2"/>
      <c r="H156" s="2"/>
      <c r="I156" s="2"/>
      <c r="J156" s="89">
        <f t="shared" si="40"/>
        <v>0</v>
      </c>
      <c r="K156" s="89">
        <f t="shared" si="41"/>
        <v>0</v>
      </c>
      <c r="L156" s="71">
        <f>IF(E156=0,0,VLOOKUP(E156,'Prix Matiere'!$A$4:$J$65,10))</f>
        <v>0</v>
      </c>
      <c r="M156" s="71">
        <f t="shared" si="42"/>
        <v>0</v>
      </c>
      <c r="N156" s="3">
        <f t="shared" si="43"/>
        <v>0</v>
      </c>
      <c r="O156" s="71">
        <f t="shared" si="44"/>
        <v>0</v>
      </c>
      <c r="P156" s="2"/>
      <c r="Q156" s="254">
        <f>IF(J156=0,0,J156*VLOOKUP(E156,'Prix Matiere'!$A$4:$L$60,12))</f>
        <v>0</v>
      </c>
      <c r="R156" s="254">
        <f>IF(J156=0,0,Q156*VLOOKUP(E156,'Prix Matiere'!$A$4:$L$60,11))</f>
        <v>0</v>
      </c>
      <c r="S156" s="2"/>
      <c r="T156" s="2"/>
      <c r="U156" s="2"/>
      <c r="V156" s="2"/>
      <c r="W156" s="2"/>
      <c r="X156" s="2"/>
      <c r="Y156" s="2"/>
      <c r="Z156" s="2"/>
    </row>
    <row r="157" spans="1:26" ht="18" hidden="1" customHeight="1" x14ac:dyDescent="0.35">
      <c r="A157" s="2"/>
      <c r="B157" s="45">
        <f>IF(H30="Aucun",0,"Carton")</f>
        <v>0</v>
      </c>
      <c r="C157" s="85">
        <f>IF(F157=0,0,H29+VLOOKUP(H30,$A$282:$L$288,10))</f>
        <v>0</v>
      </c>
      <c r="D157" s="85">
        <f>IF(E157=0,0,J29+VLOOKUP(H30,$A$282:$L$288,10))</f>
        <v>0</v>
      </c>
      <c r="E157" s="85">
        <f>IF(C157=0,0,"Carton")</f>
        <v>0</v>
      </c>
      <c r="F157" s="45">
        <f>VLOOKUP(H30,$A$282:$L$288,12)</f>
        <v>0</v>
      </c>
      <c r="G157" s="2"/>
      <c r="H157" s="2"/>
      <c r="I157" s="2"/>
      <c r="J157" s="89">
        <f t="shared" si="40"/>
        <v>0</v>
      </c>
      <c r="K157" s="89">
        <f t="shared" si="41"/>
        <v>0</v>
      </c>
      <c r="L157" s="71">
        <f>IF(E157=0,0,Carton)</f>
        <v>0</v>
      </c>
      <c r="M157" s="71">
        <f t="shared" si="42"/>
        <v>0</v>
      </c>
      <c r="N157" s="3">
        <f>IF(J157=0,0,2.356*J157+1)</f>
        <v>0</v>
      </c>
      <c r="O157" s="71">
        <f t="shared" si="44"/>
        <v>0</v>
      </c>
      <c r="P157" s="2"/>
      <c r="Q157" s="254">
        <f>IF(J157=0,0,J157*Poids_Carton)</f>
        <v>0</v>
      </c>
      <c r="R157" s="254">
        <f>IF(J157=0,0,Q157*VLOOKUP(E157,'Prix Matiere'!$A$4:$L$60,11))</f>
        <v>0</v>
      </c>
      <c r="S157" s="2"/>
      <c r="T157" s="2"/>
      <c r="U157" s="2"/>
      <c r="V157" s="2"/>
      <c r="W157" s="2"/>
      <c r="X157" s="2"/>
      <c r="Y157" s="2"/>
      <c r="Z157" s="2"/>
    </row>
    <row r="158" spans="1:26" ht="18" hidden="1" customHeight="1" x14ac:dyDescent="0.35">
      <c r="A158" s="2"/>
      <c r="B158" s="2"/>
      <c r="C158" s="256"/>
      <c r="D158" s="256"/>
      <c r="E158" s="256"/>
      <c r="F158" s="2"/>
      <c r="G158" s="2"/>
      <c r="H158" s="2"/>
      <c r="I158" s="2"/>
      <c r="J158" s="89"/>
      <c r="K158" s="89"/>
      <c r="L158" s="71"/>
      <c r="M158" s="71"/>
      <c r="N158" s="3"/>
      <c r="O158" s="71"/>
      <c r="P158" s="2"/>
      <c r="Q158" s="254">
        <f>IF(J158=0,0,J158*VLOOKUP(E158,'Prix Matiere'!$A$4:$L$60,12))</f>
        <v>0</v>
      </c>
      <c r="R158" s="254"/>
      <c r="S158" s="2"/>
      <c r="T158" s="2"/>
      <c r="U158" s="2"/>
      <c r="V158" s="2"/>
      <c r="W158" s="2"/>
      <c r="X158" s="2"/>
      <c r="Y158" s="2"/>
      <c r="Z158" s="2"/>
    </row>
    <row r="159" spans="1:26" ht="18" hidden="1" customHeight="1" x14ac:dyDescent="0.35">
      <c r="A159" s="257" t="s">
        <v>160</v>
      </c>
      <c r="B159" s="258" t="str">
        <f>IF(B56=0,0,"GC cuvette 1")</f>
        <v>GC cuvette 1</v>
      </c>
      <c r="C159" s="259">
        <f>IF(B56=0,0,H56)</f>
        <v>72.7</v>
      </c>
      <c r="D159" s="259">
        <f>IF(B56=0,0,I55)</f>
        <v>19.5</v>
      </c>
      <c r="E159" s="259" t="str">
        <f>IF(B56=0,0,"Peuplier 15 mm")</f>
        <v>Peuplier 15 mm</v>
      </c>
      <c r="F159" s="260">
        <f>IF(B56=0,0,2)</f>
        <v>2</v>
      </c>
      <c r="G159" s="2"/>
      <c r="H159" s="2"/>
      <c r="I159" s="2"/>
      <c r="J159" s="89">
        <f t="shared" ref="J159:J161" si="50">IF(C159=0,0,(C159/100)*(D159/100)*F159)</f>
        <v>0.28353</v>
      </c>
      <c r="K159" s="89">
        <f t="shared" ref="K159:K161" si="51">J159/0.8</f>
        <v>0.35441249999999996</v>
      </c>
      <c r="L159" s="71">
        <f>IF(E159=0,0,VLOOKUP(E159,'Prix Matiere'!$A$4:$J$65,10))</f>
        <v>16.895876288659796</v>
      </c>
      <c r="M159" s="71">
        <f t="shared" ref="M159:M161" si="52">L159*K159</f>
        <v>5.9881097551546389</v>
      </c>
      <c r="N159" s="3">
        <f t="shared" ref="N159:N161" si="53">IF(J159=0,0,7.0924*J159)</f>
        <v>2.0109081719999997</v>
      </c>
      <c r="O159" s="71">
        <f>N159*MinuteMO</f>
        <v>1.7092719461999997</v>
      </c>
      <c r="P159" s="2"/>
      <c r="Q159" s="254">
        <f>IF(J159=0,0,J159*VLOOKUP(E159,'Prix Matiere'!$A$4:$L$60,12))</f>
        <v>1.8712980000000001</v>
      </c>
      <c r="R159" s="254">
        <f>IF(J159=0,0,Q159*VLOOKUP(E159,'Prix Matiere'!$A$4:$L$60,11))</f>
        <v>1.4465133540000001</v>
      </c>
      <c r="S159" s="2"/>
      <c r="T159" s="2"/>
      <c r="U159" s="2"/>
      <c r="V159" s="2"/>
      <c r="W159" s="2"/>
      <c r="X159" s="2"/>
      <c r="Y159" s="2"/>
      <c r="Z159" s="2"/>
    </row>
    <row r="160" spans="1:26" ht="18" hidden="1" customHeight="1" x14ac:dyDescent="0.35">
      <c r="A160" s="178"/>
      <c r="B160" s="45" t="str">
        <f>IF(B56=0,0,"Bouts cuvette 1")</f>
        <v>Bouts cuvette 1</v>
      </c>
      <c r="C160" s="85">
        <f>IF(B56=0,0,J55)</f>
        <v>50.7</v>
      </c>
      <c r="D160" s="85">
        <f>D159</f>
        <v>19.5</v>
      </c>
      <c r="E160" s="85" t="str">
        <f>IF(B56=0,0,"Peuplier 15 mm")</f>
        <v>Peuplier 15 mm</v>
      </c>
      <c r="F160" s="175">
        <f>IF(B56=0,0,2)</f>
        <v>2</v>
      </c>
      <c r="G160" s="2"/>
      <c r="H160" s="2"/>
      <c r="I160" s="2"/>
      <c r="J160" s="89">
        <f t="shared" si="50"/>
        <v>0.19773000000000002</v>
      </c>
      <c r="K160" s="89">
        <f t="shared" si="51"/>
        <v>0.24716250000000001</v>
      </c>
      <c r="L160" s="71">
        <f>IF(E160=0,0,VLOOKUP(E160,'Prix Matiere'!$A$4:$J$65,10))</f>
        <v>16.895876288659796</v>
      </c>
      <c r="M160" s="71">
        <f t="shared" si="52"/>
        <v>4.1760270231958767</v>
      </c>
      <c r="N160" s="3">
        <f t="shared" si="53"/>
        <v>1.4023802519999999</v>
      </c>
      <c r="O160" s="71">
        <f>N160*MinuteMO</f>
        <v>1.1920232142</v>
      </c>
      <c r="P160" s="2"/>
      <c r="Q160" s="254">
        <f>IF(J160=0,0,J160*VLOOKUP(E160,'Prix Matiere'!$A$4:$L$60,12))</f>
        <v>1.3050180000000002</v>
      </c>
      <c r="R160" s="254">
        <f>IF(J160=0,0,Q160*VLOOKUP(E160,'Prix Matiere'!$A$4:$L$60,11))</f>
        <v>1.0087789140000003</v>
      </c>
      <c r="S160" s="2"/>
      <c r="T160" s="2"/>
      <c r="U160" s="2"/>
      <c r="V160" s="2"/>
      <c r="W160" s="2"/>
      <c r="X160" s="2"/>
      <c r="Y160" s="2"/>
      <c r="Z160" s="2"/>
    </row>
    <row r="161" spans="1:26" ht="18" hidden="1" customHeight="1" x14ac:dyDescent="0.35">
      <c r="A161" s="261"/>
      <c r="B161" s="262" t="str">
        <f>IF(B56=0,0,"Fond cuvette 1")</f>
        <v>Fond cuvette 1</v>
      </c>
      <c r="C161" s="263">
        <f>IF(B56=0,0,C159)</f>
        <v>72.7</v>
      </c>
      <c r="D161" s="263">
        <f>IF(B56=0,0,C160+3)</f>
        <v>53.7</v>
      </c>
      <c r="E161" s="263" t="str">
        <f>IF(B56=0,0,"Peuplier 10 mm")</f>
        <v>Peuplier 10 mm</v>
      </c>
      <c r="F161" s="184">
        <f>IF(B56=0,0,1)</f>
        <v>1</v>
      </c>
      <c r="G161" s="2"/>
      <c r="H161" s="2"/>
      <c r="I161" s="2"/>
      <c r="J161" s="89">
        <f t="shared" si="50"/>
        <v>0.390399</v>
      </c>
      <c r="K161" s="89">
        <f t="shared" si="51"/>
        <v>0.48799874999999998</v>
      </c>
      <c r="L161" s="71">
        <f>IF(E161=0,0,VLOOKUP(E161,'Prix Matiere'!$A$4:$J$65,10))</f>
        <v>13.071134020618558</v>
      </c>
      <c r="M161" s="71">
        <f t="shared" si="52"/>
        <v>6.3786970631443305</v>
      </c>
      <c r="N161" s="3">
        <f t="shared" si="53"/>
        <v>2.7688658675999998</v>
      </c>
      <c r="O161" s="71">
        <f>N161*MinuteMO</f>
        <v>2.3535359874599999</v>
      </c>
      <c r="P161" s="2"/>
      <c r="Q161" s="254">
        <f>IF(J161=0,0,J161*VLOOKUP(E161,'Prix Matiere'!$A$4:$L$60,12))</f>
        <v>1.6006358999999999</v>
      </c>
      <c r="R161" s="254">
        <f>IF(J161=0,0,Q161*VLOOKUP(E161,'Prix Matiere'!$A$4:$L$60,11))</f>
        <v>1.2372915507</v>
      </c>
      <c r="S161" s="2"/>
      <c r="T161" s="2"/>
      <c r="U161" s="2"/>
      <c r="V161" s="2"/>
      <c r="W161" s="2"/>
      <c r="X161" s="2"/>
      <c r="Y161" s="2"/>
      <c r="Z161" s="2"/>
    </row>
    <row r="162" spans="1:26" ht="18" hidden="1" customHeight="1" x14ac:dyDescent="0.35">
      <c r="A162" s="2"/>
      <c r="B162" s="2"/>
      <c r="C162" s="2"/>
      <c r="D162" s="2"/>
      <c r="E162" s="2"/>
      <c r="F162" s="2"/>
      <c r="G162" s="2"/>
      <c r="H162" s="2"/>
      <c r="I162" s="2"/>
      <c r="J162" s="89"/>
      <c r="K162" s="89"/>
      <c r="L162" s="71"/>
      <c r="M162" s="2"/>
      <c r="N162" s="3"/>
      <c r="O162" s="71"/>
      <c r="P162" s="2"/>
      <c r="Q162" s="254"/>
      <c r="R162" s="254"/>
      <c r="S162" s="2"/>
      <c r="T162" s="2"/>
      <c r="U162" s="2"/>
      <c r="V162" s="2"/>
      <c r="W162" s="2"/>
      <c r="X162" s="2"/>
      <c r="Y162" s="2"/>
      <c r="Z162" s="2"/>
    </row>
    <row r="163" spans="1:26" ht="18" hidden="1" customHeight="1" x14ac:dyDescent="0.35">
      <c r="A163" s="2"/>
      <c r="B163" s="38" t="s">
        <v>161</v>
      </c>
      <c r="C163" s="2"/>
      <c r="D163" s="2"/>
      <c r="E163" s="2"/>
      <c r="F163" s="2"/>
      <c r="G163" s="2"/>
      <c r="H163" s="2"/>
      <c r="I163" s="2"/>
      <c r="J163" s="89"/>
      <c r="K163" s="89"/>
      <c r="L163" s="71"/>
      <c r="M163" s="71"/>
      <c r="N163" s="3"/>
      <c r="O163" s="71"/>
      <c r="P163" s="2"/>
      <c r="Q163" s="254"/>
      <c r="R163" s="254"/>
      <c r="S163" s="2"/>
      <c r="T163" s="2"/>
      <c r="U163" s="2"/>
      <c r="V163" s="2"/>
      <c r="W163" s="2"/>
      <c r="X163" s="2"/>
      <c r="Y163" s="2"/>
      <c r="Z163" s="2"/>
    </row>
    <row r="164" spans="1:26" ht="18" hidden="1" customHeight="1" x14ac:dyDescent="0.35">
      <c r="A164" s="2"/>
      <c r="B164" s="41" t="str">
        <f>IF(B45="Aucun",0,"Dessus")</f>
        <v>Dessus</v>
      </c>
      <c r="C164" s="85">
        <f>IF(B45="Aucun",0,VLOOKUP(B45,$A$282:$L$288,2)+B44)</f>
        <v>69.2</v>
      </c>
      <c r="D164" s="85">
        <f>IF(B45="Aucun",0,C44+VLOOKUP(B45,$A$282:$L$288,5))</f>
        <v>19.5</v>
      </c>
      <c r="E164" s="85" t="str">
        <f>VLOOKUP(B45,$A$282:$L$288,9)</f>
        <v>PU 50 mm</v>
      </c>
      <c r="F164" s="45">
        <f>IF(B45="Aucun",0,1)</f>
        <v>1</v>
      </c>
      <c r="G164" s="2"/>
      <c r="H164" s="2"/>
      <c r="I164" s="2"/>
      <c r="J164" s="89">
        <f t="shared" ref="J164:J177" si="54">IF(C164=0,0,(C164/100)*(D164/100)*F164)</f>
        <v>0.13494</v>
      </c>
      <c r="K164" s="89">
        <f t="shared" ref="K164:K177" si="55">J164/0.8</f>
        <v>0.16867499999999999</v>
      </c>
      <c r="L164" s="71">
        <f>IF(E164=0,0,VLOOKUP(E164,'Prix Matiere'!$A$4:$J$65,10))</f>
        <v>9.5670103092783503</v>
      </c>
      <c r="M164" s="71">
        <f t="shared" ref="M164:M177" si="56">L164*K164</f>
        <v>1.6137154639175257</v>
      </c>
      <c r="N164" s="3">
        <f t="shared" ref="N164:N176" si="57">IF(J164=0,0,4.7283*J164+2)</f>
        <v>2.6380368020000002</v>
      </c>
      <c r="O164" s="71">
        <f t="shared" ref="O164:O177" si="58">N164*MinuteMO</f>
        <v>2.2423312817000003</v>
      </c>
      <c r="P164" s="2"/>
      <c r="Q164" s="254">
        <f>IF(J164=0,0,J164*VLOOKUP(E164,'Prix Matiere'!$A$4:$L$60,12))</f>
        <v>0.16867500000000002</v>
      </c>
      <c r="R164" s="254">
        <f>IF(J164=0,0,Q164*VLOOKUP(E164,'Prix Matiere'!$A$4:$L$60,11))</f>
        <v>0.45542250000000006</v>
      </c>
      <c r="S164" s="2"/>
      <c r="T164" s="2"/>
      <c r="U164" s="2"/>
      <c r="V164" s="2"/>
      <c r="W164" s="2"/>
      <c r="X164" s="2"/>
      <c r="Y164" s="2"/>
      <c r="Z164" s="2"/>
    </row>
    <row r="165" spans="1:26" ht="18" hidden="1" customHeight="1" x14ac:dyDescent="0.35">
      <c r="A165" s="2"/>
      <c r="B165" s="45" t="str">
        <f>IF(B45="Aucun",0,"Extrémité")</f>
        <v>Extrémité</v>
      </c>
      <c r="C165" s="85">
        <f>IF(B45="Aucun",0,IF(B44&lt;60,10,IF(B44&lt;80,15,20)))</f>
        <v>10</v>
      </c>
      <c r="D165" s="85">
        <f t="shared" ref="D165:D168" si="59">D164</f>
        <v>19.5</v>
      </c>
      <c r="E165" s="85" t="str">
        <f>VLOOKUP(B45,$A$282:$L$288,9)</f>
        <v>PU 50 mm</v>
      </c>
      <c r="F165" s="45">
        <f>IF(B45="Aucun",0,2)</f>
        <v>2</v>
      </c>
      <c r="G165" s="2"/>
      <c r="H165" s="2"/>
      <c r="I165" s="2"/>
      <c r="J165" s="89">
        <f t="shared" si="54"/>
        <v>3.9000000000000007E-2</v>
      </c>
      <c r="K165" s="89">
        <f t="shared" si="55"/>
        <v>4.8750000000000009E-2</v>
      </c>
      <c r="L165" s="71">
        <f>IF(E165=0,0,VLOOKUP(E165,'Prix Matiere'!$A$4:$J$65,10))</f>
        <v>9.5670103092783503</v>
      </c>
      <c r="M165" s="71">
        <f t="shared" si="56"/>
        <v>0.46639175257731968</v>
      </c>
      <c r="N165" s="3">
        <f t="shared" si="57"/>
        <v>2.1844036999999998</v>
      </c>
      <c r="O165" s="71">
        <f t="shared" si="58"/>
        <v>1.8567431449999998</v>
      </c>
      <c r="P165" s="2"/>
      <c r="Q165" s="254">
        <f>IF(J165=0,0,J165*VLOOKUP(E165,'Prix Matiere'!$A$4:$L$60,12))</f>
        <v>4.8750000000000009E-2</v>
      </c>
      <c r="R165" s="254">
        <f>IF(J165=0,0,Q165*VLOOKUP(E165,'Prix Matiere'!$A$4:$L$60,11))</f>
        <v>0.13162500000000002</v>
      </c>
      <c r="S165" s="2"/>
      <c r="T165" s="2"/>
      <c r="U165" s="2"/>
      <c r="V165" s="2"/>
      <c r="W165" s="2"/>
      <c r="X165" s="2"/>
      <c r="Y165" s="2"/>
      <c r="Z165" s="2"/>
    </row>
    <row r="166" spans="1:26" ht="18" hidden="1" customHeight="1" x14ac:dyDescent="0.35">
      <c r="A166" s="2"/>
      <c r="B166" s="45" t="str">
        <f>IF(B45="Aucun",0,A49)</f>
        <v>Agglocelle 50 mm</v>
      </c>
      <c r="C166" s="85">
        <f>B49</f>
        <v>6</v>
      </c>
      <c r="D166" s="85">
        <f t="shared" si="59"/>
        <v>19.5</v>
      </c>
      <c r="E166" s="85" t="str">
        <f>IF(B45="Aucun",0,IF(B166="Ethafoam 50 mm","Ethafoam 50 mm","Agglocelle 50 mm"))</f>
        <v>Agglocelle 50 mm</v>
      </c>
      <c r="F166" s="45">
        <f>E49</f>
        <v>2</v>
      </c>
      <c r="G166" s="2"/>
      <c r="H166" s="2"/>
      <c r="I166" s="2"/>
      <c r="J166" s="89">
        <f t="shared" si="54"/>
        <v>2.3400000000000001E-2</v>
      </c>
      <c r="K166" s="89">
        <f t="shared" si="55"/>
        <v>2.9249999999999998E-2</v>
      </c>
      <c r="L166" s="71">
        <f>IF(E166=0,0,VLOOKUP(E166,'Prix Matiere'!$A$4:$J$65,10))</f>
        <v>20.325783352800769</v>
      </c>
      <c r="M166" s="71">
        <f t="shared" si="56"/>
        <v>0.59452916306942249</v>
      </c>
      <c r="N166" s="3">
        <f t="shared" si="57"/>
        <v>2.1106422199999999</v>
      </c>
      <c r="O166" s="71">
        <f t="shared" si="58"/>
        <v>1.7940458869999998</v>
      </c>
      <c r="P166" s="2"/>
      <c r="Q166" s="254">
        <f>IF(J166=0,0,J166*VLOOKUP(E166,'Prix Matiere'!$A$4:$L$60,12))</f>
        <v>7.6050000000000006E-2</v>
      </c>
      <c r="R166" s="254">
        <f>IF(J166=0,0,Q166*VLOOKUP(E166,'Prix Matiere'!$A$4:$L$60,11))</f>
        <v>0.23423400000000003</v>
      </c>
      <c r="S166" s="2"/>
      <c r="T166" s="2"/>
      <c r="U166" s="2"/>
      <c r="V166" s="2"/>
      <c r="W166" s="2"/>
      <c r="X166" s="2"/>
      <c r="Y166" s="2"/>
      <c r="Z166" s="2"/>
    </row>
    <row r="167" spans="1:26" ht="18" hidden="1" customHeight="1" x14ac:dyDescent="0.35">
      <c r="A167" s="2"/>
      <c r="B167" s="45" t="str">
        <f>IF(B45="Aucun",0,"Milieu")</f>
        <v>Milieu</v>
      </c>
      <c r="C167" s="85">
        <f>(C164-((C165*F165)+(C166*F166)))/(F166-1)</f>
        <v>37.200000000000003</v>
      </c>
      <c r="D167" s="85">
        <f t="shared" si="59"/>
        <v>19.5</v>
      </c>
      <c r="E167" s="85" t="str">
        <f>VLOOKUP(B45,$A$282:$L$288,9)</f>
        <v>PU 50 mm</v>
      </c>
      <c r="F167" s="45">
        <f>IF(B45="Aucun",0,F166-1)</f>
        <v>1</v>
      </c>
      <c r="G167" s="2"/>
      <c r="H167" s="2"/>
      <c r="I167" s="2"/>
      <c r="J167" s="89">
        <f t="shared" si="54"/>
        <v>7.2540000000000007E-2</v>
      </c>
      <c r="K167" s="89">
        <f t="shared" si="55"/>
        <v>9.0675000000000006E-2</v>
      </c>
      <c r="L167" s="71">
        <f>IF(E167=0,0,VLOOKUP(E167,'Prix Matiere'!$A$4:$J$65,10))</f>
        <v>9.5670103092783503</v>
      </c>
      <c r="M167" s="71">
        <f t="shared" si="56"/>
        <v>0.86748865979381451</v>
      </c>
      <c r="N167" s="3">
        <f t="shared" si="57"/>
        <v>2.3429908820000001</v>
      </c>
      <c r="O167" s="71">
        <f t="shared" si="58"/>
        <v>1.9915422496999999</v>
      </c>
      <c r="P167" s="2"/>
      <c r="Q167" s="254">
        <f>IF(J167=0,0,J167*VLOOKUP(E167,'Prix Matiere'!$A$4:$L$60,12))</f>
        <v>9.0675000000000006E-2</v>
      </c>
      <c r="R167" s="254">
        <f>IF(J167=0,0,Q167*VLOOKUP(E167,'Prix Matiere'!$A$4:$L$60,11))</f>
        <v>0.24482250000000003</v>
      </c>
      <c r="S167" s="2"/>
      <c r="T167" s="2"/>
      <c r="U167" s="2"/>
      <c r="V167" s="2"/>
      <c r="W167" s="2"/>
      <c r="X167" s="2"/>
      <c r="Y167" s="2"/>
      <c r="Z167" s="2"/>
    </row>
    <row r="168" spans="1:26" ht="18" hidden="1" customHeight="1" x14ac:dyDescent="0.35">
      <c r="A168" s="2"/>
      <c r="B168" s="45" t="str">
        <f>IF(B45="Aucun",0,"Bouts avec passage de main")</f>
        <v>Bouts avec passage de main</v>
      </c>
      <c r="C168" s="85">
        <f>IF(B45="Aucun",0,(D44-IF(D44&gt;120,30,15))/(F168/2))</f>
        <v>12.75</v>
      </c>
      <c r="D168" s="85">
        <f t="shared" si="59"/>
        <v>19.5</v>
      </c>
      <c r="E168" s="85" t="str">
        <f>VLOOKUP(B45,$A$282:$L$288,9)</f>
        <v>PU 50 mm</v>
      </c>
      <c r="F168" s="45">
        <f>IF(B45="Aucun",0,IF(D44&gt;120,6,4))</f>
        <v>4</v>
      </c>
      <c r="G168" s="2"/>
      <c r="H168" s="2"/>
      <c r="I168" s="2"/>
      <c r="J168" s="89">
        <f t="shared" si="54"/>
        <v>9.9450000000000011E-2</v>
      </c>
      <c r="K168" s="89">
        <f t="shared" si="55"/>
        <v>0.12431250000000001</v>
      </c>
      <c r="L168" s="71">
        <f>IF(E168=0,0,VLOOKUP(E168,'Prix Matiere'!$A$4:$J$65,10))</f>
        <v>9.5670103092783503</v>
      </c>
      <c r="M168" s="71">
        <f t="shared" si="56"/>
        <v>1.1892989690721649</v>
      </c>
      <c r="N168" s="3">
        <f t="shared" si="57"/>
        <v>2.4702294350000003</v>
      </c>
      <c r="O168" s="71">
        <f t="shared" si="58"/>
        <v>2.0996950197499999</v>
      </c>
      <c r="P168" s="2"/>
      <c r="Q168" s="254">
        <f>IF(J168=0,0,J168*VLOOKUP(E168,'Prix Matiere'!$A$4:$L$60,12))</f>
        <v>0.12431250000000002</v>
      </c>
      <c r="R168" s="254">
        <f>IF(J168=0,0,Q168*VLOOKUP(E168,'Prix Matiere'!$A$4:$L$60,11))</f>
        <v>0.33564375000000007</v>
      </c>
      <c r="S168" s="2"/>
      <c r="T168" s="2"/>
      <c r="U168" s="2"/>
      <c r="V168" s="2"/>
      <c r="W168" s="2"/>
      <c r="X168" s="2"/>
      <c r="Y168" s="2"/>
      <c r="Z168" s="2"/>
    </row>
    <row r="169" spans="1:26" ht="18" hidden="1" customHeight="1" x14ac:dyDescent="0.35">
      <c r="A169" s="2"/>
      <c r="B169" s="45" t="str">
        <f>IF(B45="Aucun",0,"Fond")</f>
        <v>Fond</v>
      </c>
      <c r="C169" s="85">
        <f>IF(B45="Aucun",0,B44+VLOOKUP(B45,$A$282:$L$288,6))</f>
        <v>59.2</v>
      </c>
      <c r="D169" s="85">
        <f>IF(B45="Sous verre 2 faces",B44+VLOOKUP(H45,$A$280:$L$288,6),IF(B45="Bandes de mousse fond plein",B44+VLOOKUP(B45,$A$280:$L308,6),IF(B45="Entourage Stratocell 20 mm",B44+4,IF(B45="Entourage Stratocell 30 mm",B44+6,B48))))</f>
        <v>10</v>
      </c>
      <c r="E169" s="85" t="str">
        <f>VLOOKUP(B45,$A$282:$L$288,8)</f>
        <v>PU 50 mm</v>
      </c>
      <c r="F169" s="45">
        <f>VLOOKUP(B45,$A$282:$L$288,7)</f>
        <v>2</v>
      </c>
      <c r="G169" s="2"/>
      <c r="H169" s="2"/>
      <c r="I169" s="2"/>
      <c r="J169" s="89">
        <f t="shared" si="54"/>
        <v>0.11840000000000002</v>
      </c>
      <c r="K169" s="89">
        <f t="shared" si="55"/>
        <v>0.14800000000000002</v>
      </c>
      <c r="L169" s="71">
        <f>IF(E169=0,0,VLOOKUP(E169,'Prix Matiere'!$A$4:$J$65,10))</f>
        <v>9.5670103092783503</v>
      </c>
      <c r="M169" s="71">
        <f t="shared" si="56"/>
        <v>1.415917525773196</v>
      </c>
      <c r="N169" s="3">
        <f t="shared" si="57"/>
        <v>2.5598307199999999</v>
      </c>
      <c r="O169" s="71">
        <f t="shared" si="58"/>
        <v>2.175856112</v>
      </c>
      <c r="P169" s="2"/>
      <c r="Q169" s="254">
        <f>IF(J169=0,0,J169*VLOOKUP(E169,'Prix Matiere'!$A$4:$L$60,12))</f>
        <v>0.14800000000000002</v>
      </c>
      <c r="R169" s="254">
        <f>IF(J169=0,0,Q169*VLOOKUP(E169,'Prix Matiere'!$A$4:$L$60,11))</f>
        <v>0.39960000000000007</v>
      </c>
      <c r="S169" s="2"/>
      <c r="T169" s="2"/>
      <c r="U169" s="2"/>
      <c r="V169" s="2"/>
      <c r="W169" s="2"/>
      <c r="X169" s="2"/>
      <c r="Y169" s="2"/>
      <c r="Z169" s="2"/>
    </row>
    <row r="170" spans="1:26" ht="18" hidden="1" customHeight="1" x14ac:dyDescent="0.35">
      <c r="A170" s="2"/>
      <c r="B170" s="45" t="str">
        <f>IF(B45="Aucun",0,"Remplis de fond")</f>
        <v>Remplis de fond</v>
      </c>
      <c r="C170" s="85">
        <f>IF(B45="Aucun",0,IF(B45="Entourage Stratocell 20 mm",0,IF(B45="Entourage Stratocell 30 mm",0,IF(B45="Sous verre 2 faces",0,IF(B45="Bandes de mousse fond plein",0,D44-B48*2+VLOOKUP(B45,$A$281:$L$288,6))))))</f>
        <v>20.7</v>
      </c>
      <c r="D170" s="85">
        <f>IF(H45="Sous verre 2 faces",0,IF(H45="Bandes de mousse fond plein",0,H48))</f>
        <v>0</v>
      </c>
      <c r="E170" s="85" t="str">
        <f>IF(C170=0,0,VLOOKUP(B45,$A$282:$L$288,8))</f>
        <v>PU 50 mm</v>
      </c>
      <c r="F170" s="45">
        <f>IF(B45="Aucun",0,IF(B45="Sous verre 2 faces",0,2))</f>
        <v>2</v>
      </c>
      <c r="G170" s="2"/>
      <c r="H170" s="2"/>
      <c r="I170" s="2"/>
      <c r="J170" s="89">
        <f t="shared" si="54"/>
        <v>0</v>
      </c>
      <c r="K170" s="89">
        <f t="shared" si="55"/>
        <v>0</v>
      </c>
      <c r="L170" s="71">
        <f>IF(E170=0,0,VLOOKUP(E170,'Prix Matiere'!$A$4:$J$65,10))</f>
        <v>9.5670103092783503</v>
      </c>
      <c r="M170" s="71">
        <f t="shared" si="56"/>
        <v>0</v>
      </c>
      <c r="N170" s="3">
        <f t="shared" si="57"/>
        <v>0</v>
      </c>
      <c r="O170" s="71">
        <f t="shared" si="58"/>
        <v>0</v>
      </c>
      <c r="P170" s="2"/>
      <c r="Q170" s="254">
        <f>IF(J170=0,0,J170*VLOOKUP(E170,'Prix Matiere'!$A$4:$L$60,12))</f>
        <v>0</v>
      </c>
      <c r="R170" s="254">
        <f>IF(J170=0,0,Q170*VLOOKUP(E170,'Prix Matiere'!$A$4:$L$60,11))</f>
        <v>0</v>
      </c>
      <c r="S170" s="2"/>
      <c r="T170" s="2"/>
      <c r="U170" s="2"/>
      <c r="V170" s="2"/>
      <c r="W170" s="2"/>
      <c r="X170" s="2"/>
      <c r="Y170" s="2"/>
      <c r="Z170" s="2"/>
    </row>
    <row r="171" spans="1:26" ht="18" hidden="1" customHeight="1" x14ac:dyDescent="0.35">
      <c r="A171" s="2"/>
      <c r="B171" s="45" t="str">
        <f>IF(B45="Aucun",0,"Dessus")</f>
        <v>Dessus</v>
      </c>
      <c r="C171" s="85">
        <f>IF(B45="Aucun",0,B44+VLOOKUP(B45,$A$282:$L$288,10))</f>
        <v>58.5</v>
      </c>
      <c r="D171" s="85">
        <f>IF(B45="Sous verre 2 faces",D44+VLOOKUP(B45,$A$282:$L$288,10),IF(B45="Sous verre / bandes de mousse",D44+VLOOKUP(B45,$A$282:$L$288,10),B47))</f>
        <v>10</v>
      </c>
      <c r="E171" s="85" t="str">
        <f>VLOOKUP(B45,$A$282:$L$288,9)</f>
        <v>PU 50 mm</v>
      </c>
      <c r="F171" s="45">
        <f>VLOOKUP(B45,$A$282:$L$288,11)</f>
        <v>2</v>
      </c>
      <c r="G171" s="2"/>
      <c r="H171" s="2"/>
      <c r="I171" s="2"/>
      <c r="J171" s="89">
        <f t="shared" si="54"/>
        <v>0.11699999999999999</v>
      </c>
      <c r="K171" s="89">
        <f t="shared" si="55"/>
        <v>0.14624999999999999</v>
      </c>
      <c r="L171" s="71">
        <f>IF(E171=0,0,VLOOKUP(E171,'Prix Matiere'!$A$4:$J$65,10))</f>
        <v>9.5670103092783503</v>
      </c>
      <c r="M171" s="71">
        <f t="shared" si="56"/>
        <v>1.3991752577319587</v>
      </c>
      <c r="N171" s="3">
        <f t="shared" si="57"/>
        <v>2.5532111</v>
      </c>
      <c r="O171" s="71">
        <f t="shared" si="58"/>
        <v>2.170229435</v>
      </c>
      <c r="P171" s="2"/>
      <c r="Q171" s="254">
        <f>IF(J171=0,0,J171*VLOOKUP(E171,'Prix Matiere'!$A$4:$L$60,12))</f>
        <v>0.14624999999999999</v>
      </c>
      <c r="R171" s="254">
        <f>IF(J171=0,0,Q171*VLOOKUP(E171,'Prix Matiere'!$A$4:$L$60,11))</f>
        <v>0.39487499999999998</v>
      </c>
      <c r="S171" s="2"/>
      <c r="T171" s="2"/>
      <c r="U171" s="2"/>
      <c r="V171" s="2"/>
      <c r="W171" s="2"/>
      <c r="X171" s="2"/>
      <c r="Y171" s="2"/>
      <c r="Z171" s="2"/>
    </row>
    <row r="172" spans="1:26" ht="18" hidden="1" customHeight="1" x14ac:dyDescent="0.35">
      <c r="A172" s="2"/>
      <c r="B172" s="45" t="str">
        <f>IF(B45="Aucun",0,"Remplis de dessus")</f>
        <v>Remplis de dessus</v>
      </c>
      <c r="C172" s="85">
        <f>IF(B45="Aucun",0,IF(B45="Sous verre 2 faces",0,IF(B45="Sous verre / bandes de mousse",0,D44-2*D171+VLOOKUP(B45,$A$282:$L$288,10))))</f>
        <v>20</v>
      </c>
      <c r="D172" s="85">
        <f>IF(B45="Sous verre / bandes de mousse",0,IF(B45="Sous verre 2 faces",0,B47))</f>
        <v>10</v>
      </c>
      <c r="E172" s="85" t="str">
        <f>IF(C172=0,0,VLOOKUP(B45,$A$282:$L$288,9))</f>
        <v>PU 50 mm</v>
      </c>
      <c r="F172" s="45">
        <f>IF(B45="Aucun",0,IF(B45="Sous verre 2 faces",0,IF(B45="Sous verre / bandes de mousse",0,2)))</f>
        <v>2</v>
      </c>
      <c r="G172" s="2"/>
      <c r="H172" s="2"/>
      <c r="I172" s="2"/>
      <c r="J172" s="89">
        <f t="shared" si="54"/>
        <v>4.0000000000000008E-2</v>
      </c>
      <c r="K172" s="89">
        <f t="shared" si="55"/>
        <v>5.000000000000001E-2</v>
      </c>
      <c r="L172" s="71">
        <f>IF(E172=0,0,VLOOKUP(E172,'Prix Matiere'!$A$4:$J$65,10))</f>
        <v>9.5670103092783503</v>
      </c>
      <c r="M172" s="71">
        <f t="shared" si="56"/>
        <v>0.4783505154639176</v>
      </c>
      <c r="N172" s="3">
        <f t="shared" si="57"/>
        <v>2.1891319999999999</v>
      </c>
      <c r="O172" s="71">
        <f t="shared" si="58"/>
        <v>1.8607621999999999</v>
      </c>
      <c r="P172" s="2"/>
      <c r="Q172" s="254">
        <f>IF(J172=0,0,J172*VLOOKUP(E172,'Prix Matiere'!$A$4:$L$60,12))</f>
        <v>5.000000000000001E-2</v>
      </c>
      <c r="R172" s="254">
        <f>IF(J172=0,0,Q172*VLOOKUP(E172,'Prix Matiere'!$A$4:$L$60,11))</f>
        <v>0.13500000000000004</v>
      </c>
      <c r="S172" s="2"/>
      <c r="T172" s="2"/>
      <c r="U172" s="2"/>
      <c r="V172" s="2"/>
      <c r="W172" s="2"/>
      <c r="X172" s="2"/>
      <c r="Y172" s="2"/>
      <c r="Z172" s="2"/>
    </row>
    <row r="173" spans="1:26" ht="18" hidden="1" customHeight="1" x14ac:dyDescent="0.35">
      <c r="A173" s="2"/>
      <c r="B173" s="45" t="str">
        <f>IF(B45="Aucun",0,"Rattrapage 1")</f>
        <v>Rattrapage 1</v>
      </c>
      <c r="C173" s="85">
        <f>IF(B50=0,0,B44+0.2)</f>
        <v>0</v>
      </c>
      <c r="D173" s="85">
        <f>IF(B50=0,0,B50)</f>
        <v>0</v>
      </c>
      <c r="E173" s="85">
        <f t="shared" ref="E173:E174" si="60">IF(C173=0,0,CONCATENATE("PU ",$D$50*10," mm"))</f>
        <v>0</v>
      </c>
      <c r="F173" s="45">
        <f>IF(B50=0,0,2)</f>
        <v>0</v>
      </c>
      <c r="G173" s="2"/>
      <c r="H173" s="2"/>
      <c r="I173" s="2"/>
      <c r="J173" s="89">
        <f t="shared" si="54"/>
        <v>0</v>
      </c>
      <c r="K173" s="89">
        <f t="shared" si="55"/>
        <v>0</v>
      </c>
      <c r="L173" s="71">
        <f>IF(E173=0,0,VLOOKUP(E173,'Prix Matiere'!$A$4:$J$65,10))</f>
        <v>0</v>
      </c>
      <c r="M173" s="71">
        <f t="shared" si="56"/>
        <v>0</v>
      </c>
      <c r="N173" s="3">
        <f t="shared" si="57"/>
        <v>0</v>
      </c>
      <c r="O173" s="71">
        <f t="shared" si="58"/>
        <v>0</v>
      </c>
      <c r="P173" s="2"/>
      <c r="Q173" s="254">
        <f>IF(J173=0,0,J173*VLOOKUP(E173,'Prix Matiere'!$A$4:$L$60,12))</f>
        <v>0</v>
      </c>
      <c r="R173" s="254">
        <f>IF(J173=0,0,Q173*VLOOKUP(E173,'Prix Matiere'!$A$4:$L$60,11))</f>
        <v>0</v>
      </c>
      <c r="S173" s="2"/>
      <c r="T173" s="2"/>
      <c r="U173" s="2"/>
      <c r="V173" s="2"/>
      <c r="W173" s="2"/>
      <c r="X173" s="2"/>
      <c r="Y173" s="2"/>
      <c r="Z173" s="2"/>
    </row>
    <row r="174" spans="1:26" ht="18" hidden="1" customHeight="1" x14ac:dyDescent="0.35">
      <c r="A174" s="2"/>
      <c r="B174" s="45" t="str">
        <f>IF(B45="Aucun",0,"Rattrapage 2")</f>
        <v>Rattrapage 2</v>
      </c>
      <c r="C174" s="85">
        <f>IF(B50=0,0,D44+0.2-2*D173)</f>
        <v>0</v>
      </c>
      <c r="D174" s="85">
        <f>IF(B50=0,0,D173)</f>
        <v>0</v>
      </c>
      <c r="E174" s="85">
        <f t="shared" si="60"/>
        <v>0</v>
      </c>
      <c r="F174" s="45">
        <f>IF(B50=0,0,2)</f>
        <v>0</v>
      </c>
      <c r="G174" s="2"/>
      <c r="H174" s="2"/>
      <c r="I174" s="2"/>
      <c r="J174" s="89">
        <f t="shared" si="54"/>
        <v>0</v>
      </c>
      <c r="K174" s="89">
        <f t="shared" si="55"/>
        <v>0</v>
      </c>
      <c r="L174" s="71">
        <f>IF(E174=0,0,VLOOKUP(E174,'Prix Matiere'!$A$4:$J$65,10))</f>
        <v>0</v>
      </c>
      <c r="M174" s="71">
        <f t="shared" si="56"/>
        <v>0</v>
      </c>
      <c r="N174" s="3">
        <f t="shared" si="57"/>
        <v>0</v>
      </c>
      <c r="O174" s="71">
        <f t="shared" si="58"/>
        <v>0</v>
      </c>
      <c r="P174" s="2"/>
      <c r="Q174" s="254">
        <f>IF(J174=0,0,J174*VLOOKUP(E174,'Prix Matiere'!$A$4:$L$60,12))</f>
        <v>0</v>
      </c>
      <c r="R174" s="254">
        <f>IF(J174=0,0,Q174*VLOOKUP(E174,'Prix Matiere'!$A$4:$L$60,11))</f>
        <v>0</v>
      </c>
      <c r="S174" s="2"/>
      <c r="T174" s="2"/>
      <c r="U174" s="2"/>
      <c r="V174" s="2"/>
      <c r="W174" s="2"/>
      <c r="X174" s="2"/>
      <c r="Y174" s="2"/>
      <c r="Z174" s="2"/>
    </row>
    <row r="175" spans="1:26" ht="18" hidden="1" customHeight="1" x14ac:dyDescent="0.35">
      <c r="A175" s="2"/>
      <c r="B175" s="45" t="str">
        <f>IF(B45="Aucun",0,"Remplissage 1")</f>
        <v>Remplissage 1</v>
      </c>
      <c r="C175" s="85">
        <f t="shared" ref="C175:D175" si="61">IF(B51=0,0,B51)</f>
        <v>0</v>
      </c>
      <c r="D175" s="85">
        <f t="shared" si="61"/>
        <v>0</v>
      </c>
      <c r="E175" s="85">
        <f>IF(C175=0,0,CONCATENATE("PU ",$D$51*10," mm"))</f>
        <v>0</v>
      </c>
      <c r="F175" s="45">
        <f t="shared" ref="F175:F176" si="62">IF(B51=0,0,1)</f>
        <v>0</v>
      </c>
      <c r="G175" s="2"/>
      <c r="H175" s="2"/>
      <c r="I175" s="2"/>
      <c r="J175" s="89">
        <f t="shared" si="54"/>
        <v>0</v>
      </c>
      <c r="K175" s="89">
        <f t="shared" si="55"/>
        <v>0</v>
      </c>
      <c r="L175" s="71">
        <f>IF(E175=0,0,VLOOKUP(E175,'Prix Matiere'!$A$4:$J$65,10))</f>
        <v>0</v>
      </c>
      <c r="M175" s="71">
        <f t="shared" si="56"/>
        <v>0</v>
      </c>
      <c r="N175" s="3">
        <f t="shared" si="57"/>
        <v>0</v>
      </c>
      <c r="O175" s="71">
        <f t="shared" si="58"/>
        <v>0</v>
      </c>
      <c r="P175" s="2"/>
      <c r="Q175" s="254">
        <f>IF(J175=0,0,J175*VLOOKUP(E175,'Prix Matiere'!$A$4:$L$60,12))</f>
        <v>0</v>
      </c>
      <c r="R175" s="254">
        <f>IF(J175=0,0,Q175*VLOOKUP(E175,'Prix Matiere'!$A$4:$L$60,11))</f>
        <v>0</v>
      </c>
      <c r="S175" s="2"/>
      <c r="T175" s="2"/>
      <c r="U175" s="2"/>
      <c r="V175" s="2"/>
      <c r="W175" s="2"/>
      <c r="X175" s="2"/>
      <c r="Y175" s="2"/>
      <c r="Z175" s="2"/>
    </row>
    <row r="176" spans="1:26" ht="18" hidden="1" customHeight="1" x14ac:dyDescent="0.35">
      <c r="A176" s="2"/>
      <c r="B176" s="45" t="str">
        <f>IF(B45="Aucun",0,"Remplissage 2")</f>
        <v>Remplissage 2</v>
      </c>
      <c r="C176" s="85">
        <f t="shared" ref="C176:D176" si="63">IF(B52=0,0,B52)</f>
        <v>0</v>
      </c>
      <c r="D176" s="85">
        <f t="shared" si="63"/>
        <v>0</v>
      </c>
      <c r="E176" s="85">
        <f>IF(C176=0,0,CONCATENATE("PU ",$D$52*10," mm"))</f>
        <v>0</v>
      </c>
      <c r="F176" s="45">
        <f t="shared" si="62"/>
        <v>0</v>
      </c>
      <c r="G176" s="2"/>
      <c r="H176" s="2"/>
      <c r="I176" s="2"/>
      <c r="J176" s="89">
        <f t="shared" si="54"/>
        <v>0</v>
      </c>
      <c r="K176" s="89">
        <f t="shared" si="55"/>
        <v>0</v>
      </c>
      <c r="L176" s="71">
        <f>IF(E176=0,0,VLOOKUP(E176,'Prix Matiere'!$A$4:$J$65,10))</f>
        <v>0</v>
      </c>
      <c r="M176" s="71">
        <f t="shared" si="56"/>
        <v>0</v>
      </c>
      <c r="N176" s="3">
        <f t="shared" si="57"/>
        <v>0</v>
      </c>
      <c r="O176" s="71">
        <f t="shared" si="58"/>
        <v>0</v>
      </c>
      <c r="P176" s="2"/>
      <c r="Q176" s="254">
        <f>IF(J176=0,0,J176*VLOOKUP(E176,'Prix Matiere'!$A$4:$L$60,12))</f>
        <v>0</v>
      </c>
      <c r="R176" s="254">
        <f>IF(J176=0,0,Q176*VLOOKUP(E176,'Prix Matiere'!$A$4:$L$60,11))</f>
        <v>0</v>
      </c>
      <c r="S176" s="2"/>
      <c r="T176" s="2"/>
      <c r="U176" s="2"/>
      <c r="V176" s="2"/>
      <c r="W176" s="2"/>
      <c r="X176" s="2"/>
      <c r="Y176" s="2"/>
      <c r="Z176" s="2"/>
    </row>
    <row r="177" spans="1:26" ht="18" hidden="1" customHeight="1" x14ac:dyDescent="0.35">
      <c r="A177" s="2"/>
      <c r="B177" s="45" t="str">
        <f>IF(B45="Aucun",0,"Carton")</f>
        <v>Carton</v>
      </c>
      <c r="C177" s="85">
        <f>IF(F177=0,0,B44+VLOOKUP(B45,$A$282:$L$288,10))</f>
        <v>58.5</v>
      </c>
      <c r="D177" s="85">
        <f>IF(E177=0,0,D44+VLOOKUP(B45,$A$282:$L$288,10))</f>
        <v>40</v>
      </c>
      <c r="E177" s="85" t="str">
        <f>IF(C177=0,0,"Carton")</f>
        <v>Carton</v>
      </c>
      <c r="F177" s="45">
        <f>VLOOKUP(B45,$A$282:$L$288,12)</f>
        <v>1</v>
      </c>
      <c r="G177" s="2"/>
      <c r="H177" s="2"/>
      <c r="I177" s="2"/>
      <c r="J177" s="89">
        <f t="shared" si="54"/>
        <v>0.23399999999999999</v>
      </c>
      <c r="K177" s="89">
        <f t="shared" si="55"/>
        <v>0.29249999999999998</v>
      </c>
      <c r="L177" s="71">
        <f>IF(E177=0,0,Carton)</f>
        <v>2.3247749959090167</v>
      </c>
      <c r="M177" s="71">
        <f t="shared" si="56"/>
        <v>0.67999668630338739</v>
      </c>
      <c r="N177" s="3">
        <f>IF(J177=0,0,2.356*J177+1)</f>
        <v>1.551304</v>
      </c>
      <c r="O177" s="71">
        <f t="shared" si="58"/>
        <v>1.3186084</v>
      </c>
      <c r="P177" s="2"/>
      <c r="Q177" s="254">
        <f>IF(J177=0,0,J177*Poids_Carton)</f>
        <v>0.23399999999999999</v>
      </c>
      <c r="R177" s="254">
        <f>IF(J177=0,0,Q177*VLOOKUP(E177,'Prix Matiere'!$A$4:$L$60,11))</f>
        <v>0.113256</v>
      </c>
      <c r="S177" s="2"/>
      <c r="T177" s="2"/>
      <c r="U177" s="2"/>
      <c r="V177" s="2"/>
      <c r="W177" s="2"/>
      <c r="X177" s="2"/>
      <c r="Y177" s="2"/>
      <c r="Z177" s="2"/>
    </row>
    <row r="178" spans="1:26" ht="18" hidden="1" customHeight="1" x14ac:dyDescent="0.35">
      <c r="A178" s="2"/>
      <c r="B178" s="2"/>
      <c r="C178" s="2"/>
      <c r="D178" s="2"/>
      <c r="E178" s="2"/>
      <c r="F178" s="2"/>
      <c r="G178" s="2"/>
      <c r="H178" s="2"/>
      <c r="I178" s="2"/>
      <c r="J178" s="89"/>
      <c r="K178" s="89"/>
      <c r="L178" s="71"/>
      <c r="M178" s="71"/>
      <c r="N178" s="3"/>
      <c r="O178" s="71"/>
      <c r="P178" s="2"/>
      <c r="Q178" s="254">
        <f>IF(J178=0,0,J178*VLOOKUP(E178,'Prix Matiere'!$A$4:$L$60,12))</f>
        <v>0</v>
      </c>
      <c r="R178" s="254"/>
      <c r="S178" s="2"/>
      <c r="T178" s="2"/>
      <c r="U178" s="2"/>
      <c r="V178" s="2"/>
      <c r="W178" s="2"/>
      <c r="X178" s="2"/>
      <c r="Y178" s="2"/>
      <c r="Z178" s="2"/>
    </row>
    <row r="179" spans="1:26" ht="18" hidden="1" customHeight="1" x14ac:dyDescent="0.35">
      <c r="A179" s="2"/>
      <c r="B179" s="38" t="s">
        <v>162</v>
      </c>
      <c r="C179" s="2"/>
      <c r="D179" s="2"/>
      <c r="E179" s="2"/>
      <c r="F179" s="2"/>
      <c r="G179" s="2"/>
      <c r="H179" s="2"/>
      <c r="I179" s="2"/>
      <c r="J179" s="89"/>
      <c r="K179" s="89"/>
      <c r="L179" s="71"/>
      <c r="M179" s="71"/>
      <c r="N179" s="3"/>
      <c r="O179" s="71"/>
      <c r="P179" s="2"/>
      <c r="Q179" s="254">
        <f>IF(J179=0,0,J179*VLOOKUP(E179,'Prix Matiere'!$A$4:$L$60,12))</f>
        <v>0</v>
      </c>
      <c r="R179" s="254"/>
      <c r="S179" s="2"/>
      <c r="T179" s="2"/>
      <c r="U179" s="2"/>
      <c r="V179" s="2"/>
      <c r="W179" s="2"/>
      <c r="X179" s="2"/>
      <c r="Y179" s="2"/>
      <c r="Z179" s="2"/>
    </row>
    <row r="180" spans="1:26" ht="18" hidden="1" customHeight="1" x14ac:dyDescent="0.35">
      <c r="A180" s="2"/>
      <c r="B180" s="41">
        <f>IF(H45="Aucun",0,"Dessus")</f>
        <v>0</v>
      </c>
      <c r="C180" s="85">
        <f>IF(H45="Aucun",0,VLOOKUP(H45,$A$282:$L$288,2)+H44)</f>
        <v>0</v>
      </c>
      <c r="D180" s="85">
        <f>IF(H45="Aucun",0,I44+VLOOKUP(H45,$A$282:$L$288,5))</f>
        <v>0</v>
      </c>
      <c r="E180" s="85">
        <f>VLOOKUP(H45,$A$282:$L$288,9)</f>
        <v>0</v>
      </c>
      <c r="F180" s="45">
        <f>IF(H45="Aucun",0,1)</f>
        <v>0</v>
      </c>
      <c r="G180" s="2"/>
      <c r="H180" s="2"/>
      <c r="I180" s="2"/>
      <c r="J180" s="89">
        <f t="shared" ref="J180:J193" si="64">IF(C180=0,0,(C180/100)*(D180/100)*F180)</f>
        <v>0</v>
      </c>
      <c r="K180" s="89">
        <f t="shared" ref="K180:K193" si="65">J180/0.8</f>
        <v>0</v>
      </c>
      <c r="L180" s="71">
        <f>IF(E180=0,0,VLOOKUP(E180,'Prix Matiere'!$A$4:$J$65,10))</f>
        <v>0</v>
      </c>
      <c r="M180" s="71">
        <f t="shared" ref="M180:M193" si="66">L180*K180</f>
        <v>0</v>
      </c>
      <c r="N180" s="3">
        <f t="shared" ref="N180:N192" si="67">IF(J180=0,0,4.7283*J180+2)</f>
        <v>0</v>
      </c>
      <c r="O180" s="71">
        <f t="shared" ref="O180:O193" si="68">N180*MinuteMO</f>
        <v>0</v>
      </c>
      <c r="P180" s="2"/>
      <c r="Q180" s="254">
        <f>IF(J180=0,0,J180*VLOOKUP(E180,'Prix Matiere'!$A$4:$L$60,12))</f>
        <v>0</v>
      </c>
      <c r="R180" s="254">
        <f>IF(J180=0,0,Q180*VLOOKUP(E180,'Prix Matiere'!$A$4:$L$60,11))</f>
        <v>0</v>
      </c>
      <c r="S180" s="2"/>
      <c r="T180" s="2"/>
      <c r="U180" s="2"/>
      <c r="V180" s="2"/>
      <c r="W180" s="2"/>
      <c r="X180" s="2"/>
      <c r="Y180" s="2"/>
      <c r="Z180" s="2"/>
    </row>
    <row r="181" spans="1:26" ht="18" hidden="1" customHeight="1" x14ac:dyDescent="0.35">
      <c r="A181" s="2"/>
      <c r="B181" s="45">
        <f>IF(H45="Aucun",0,"Extrémité")</f>
        <v>0</v>
      </c>
      <c r="C181" s="85">
        <f>IF(H45="Aucun",0,IF(B44&lt;60,10,IF(H44&lt;80,15,20)))</f>
        <v>0</v>
      </c>
      <c r="D181" s="85">
        <f t="shared" ref="D181:D184" si="69">D180</f>
        <v>0</v>
      </c>
      <c r="E181" s="85">
        <f>VLOOKUP(H45,$A$282:$L$288,9)</f>
        <v>0</v>
      </c>
      <c r="F181" s="45">
        <f>IF(H45="Aucun",0,2)</f>
        <v>0</v>
      </c>
      <c r="G181" s="2"/>
      <c r="H181" s="2"/>
      <c r="I181" s="2"/>
      <c r="J181" s="89">
        <f t="shared" si="64"/>
        <v>0</v>
      </c>
      <c r="K181" s="89">
        <f t="shared" si="65"/>
        <v>0</v>
      </c>
      <c r="L181" s="71">
        <f>IF(E181=0,0,VLOOKUP(E181,'Prix Matiere'!$A$4:$J$65,10))</f>
        <v>0</v>
      </c>
      <c r="M181" s="71">
        <f t="shared" si="66"/>
        <v>0</v>
      </c>
      <c r="N181" s="3">
        <f t="shared" si="67"/>
        <v>0</v>
      </c>
      <c r="O181" s="71">
        <f t="shared" si="68"/>
        <v>0</v>
      </c>
      <c r="P181" s="2"/>
      <c r="Q181" s="254">
        <f>IF(J181=0,0,J181*VLOOKUP(E181,'Prix Matiere'!$A$4:$L$60,12))</f>
        <v>0</v>
      </c>
      <c r="R181" s="254">
        <f>IF(J181=0,0,Q181*VLOOKUP(E181,'Prix Matiere'!$A$4:$L$60,11))</f>
        <v>0</v>
      </c>
      <c r="S181" s="2"/>
      <c r="T181" s="2"/>
      <c r="U181" s="2"/>
      <c r="V181" s="2"/>
      <c r="W181" s="2"/>
      <c r="X181" s="2"/>
      <c r="Y181" s="2"/>
      <c r="Z181" s="2"/>
    </row>
    <row r="182" spans="1:26" ht="18" hidden="1" customHeight="1" x14ac:dyDescent="0.35">
      <c r="A182" s="2"/>
      <c r="B182" s="45">
        <f>IF(H45="Aucun",0,G49)</f>
        <v>0</v>
      </c>
      <c r="C182" s="85">
        <f>H49</f>
        <v>0</v>
      </c>
      <c r="D182" s="85">
        <f t="shared" si="69"/>
        <v>0</v>
      </c>
      <c r="E182" s="85">
        <f>IF(H45="Aucun",0,IF(B182="Ethafoam 50 mm","Ethafoam 50 mm","Agglocelle 50 mm"))</f>
        <v>0</v>
      </c>
      <c r="F182" s="45">
        <f>K49</f>
        <v>2</v>
      </c>
      <c r="G182" s="2"/>
      <c r="H182" s="2"/>
      <c r="I182" s="2"/>
      <c r="J182" s="89">
        <f t="shared" si="64"/>
        <v>0</v>
      </c>
      <c r="K182" s="89">
        <f t="shared" si="65"/>
        <v>0</v>
      </c>
      <c r="L182" s="71">
        <f>IF(E182=0,0,VLOOKUP(E182,'Prix Matiere'!$A$4:$J$65,10))</f>
        <v>0</v>
      </c>
      <c r="M182" s="71">
        <f t="shared" si="66"/>
        <v>0</v>
      </c>
      <c r="N182" s="3">
        <f t="shared" si="67"/>
        <v>0</v>
      </c>
      <c r="O182" s="71">
        <f t="shared" si="68"/>
        <v>0</v>
      </c>
      <c r="P182" s="2"/>
      <c r="Q182" s="254">
        <f>IF(J182=0,0,J182*VLOOKUP(E182,'Prix Matiere'!$A$4:$L$60,12))</f>
        <v>0</v>
      </c>
      <c r="R182" s="254">
        <f>IF(J182=0,0,Q182*VLOOKUP(E182,'Prix Matiere'!$A$4:$L$60,11))</f>
        <v>0</v>
      </c>
      <c r="S182" s="2"/>
      <c r="T182" s="2"/>
      <c r="U182" s="2"/>
      <c r="V182" s="2"/>
      <c r="W182" s="2"/>
      <c r="X182" s="2"/>
      <c r="Y182" s="2"/>
      <c r="Z182" s="2"/>
    </row>
    <row r="183" spans="1:26" ht="18" hidden="1" customHeight="1" x14ac:dyDescent="0.35">
      <c r="A183" s="2"/>
      <c r="B183" s="45">
        <f>IF(H45="Aucun",0,"Milieu")</f>
        <v>0</v>
      </c>
      <c r="C183" s="85">
        <f>(C180-((C181*F181)+(C182*F182)))/(F182-1)</f>
        <v>0</v>
      </c>
      <c r="D183" s="85">
        <f t="shared" si="69"/>
        <v>0</v>
      </c>
      <c r="E183" s="85">
        <f>VLOOKUP(H45,$A$282:$L$288,9)</f>
        <v>0</v>
      </c>
      <c r="F183" s="45">
        <f>IF(H45="Aucun",0,F182-1)</f>
        <v>0</v>
      </c>
      <c r="G183" s="2"/>
      <c r="H183" s="2"/>
      <c r="I183" s="2"/>
      <c r="J183" s="89">
        <f t="shared" si="64"/>
        <v>0</v>
      </c>
      <c r="K183" s="89">
        <f t="shared" si="65"/>
        <v>0</v>
      </c>
      <c r="L183" s="71">
        <f>IF(E183=0,0,VLOOKUP(E183,'Prix Matiere'!$A$4:$J$65,10))</f>
        <v>0</v>
      </c>
      <c r="M183" s="71">
        <f t="shared" si="66"/>
        <v>0</v>
      </c>
      <c r="N183" s="3">
        <f t="shared" si="67"/>
        <v>0</v>
      </c>
      <c r="O183" s="71">
        <f t="shared" si="68"/>
        <v>0</v>
      </c>
      <c r="P183" s="2"/>
      <c r="Q183" s="254">
        <f>IF(J183=0,0,J183*VLOOKUP(E183,'Prix Matiere'!$A$4:$L$60,12))</f>
        <v>0</v>
      </c>
      <c r="R183" s="254">
        <f>IF(J183=0,0,Q183*VLOOKUP(E183,'Prix Matiere'!$A$4:$L$60,11))</f>
        <v>0</v>
      </c>
      <c r="S183" s="2"/>
      <c r="T183" s="2"/>
      <c r="U183" s="2"/>
      <c r="V183" s="2"/>
      <c r="W183" s="2"/>
      <c r="X183" s="2"/>
      <c r="Y183" s="2"/>
      <c r="Z183" s="2"/>
    </row>
    <row r="184" spans="1:26" ht="18" hidden="1" customHeight="1" x14ac:dyDescent="0.35">
      <c r="A184" s="2"/>
      <c r="B184" s="45">
        <f>IF(H45="Aucun",0,"Bouts avec passage de main")</f>
        <v>0</v>
      </c>
      <c r="C184" s="85">
        <f>IF(H45="Aucun",0,(J44-IF(J44&gt;120,30,15))/(F184/2))</f>
        <v>0</v>
      </c>
      <c r="D184" s="85">
        <f t="shared" si="69"/>
        <v>0</v>
      </c>
      <c r="E184" s="85">
        <f>VLOOKUP(H45,$A$282:$L$288,9)</f>
        <v>0</v>
      </c>
      <c r="F184" s="45">
        <f>IF(H45="Aucun",0,IF(J44&gt;120,6,4))</f>
        <v>0</v>
      </c>
      <c r="G184" s="2"/>
      <c r="H184" s="2"/>
      <c r="I184" s="2"/>
      <c r="J184" s="89">
        <f t="shared" si="64"/>
        <v>0</v>
      </c>
      <c r="K184" s="89">
        <f t="shared" si="65"/>
        <v>0</v>
      </c>
      <c r="L184" s="71">
        <f>IF(E184=0,0,VLOOKUP(E184,'Prix Matiere'!$A$4:$J$65,10))</f>
        <v>0</v>
      </c>
      <c r="M184" s="71">
        <f t="shared" si="66"/>
        <v>0</v>
      </c>
      <c r="N184" s="3">
        <f t="shared" si="67"/>
        <v>0</v>
      </c>
      <c r="O184" s="71">
        <f t="shared" si="68"/>
        <v>0</v>
      </c>
      <c r="P184" s="2"/>
      <c r="Q184" s="254">
        <f>IF(J184=0,0,J184*VLOOKUP(E184,'Prix Matiere'!$A$4:$L$60,12))</f>
        <v>0</v>
      </c>
      <c r="R184" s="254">
        <f>IF(J184=0,0,Q184*VLOOKUP(E184,'Prix Matiere'!$A$4:$L$60,11))</f>
        <v>0</v>
      </c>
      <c r="S184" s="2"/>
      <c r="T184" s="2"/>
      <c r="U184" s="2"/>
      <c r="V184" s="2"/>
      <c r="W184" s="2"/>
      <c r="X184" s="2"/>
      <c r="Y184" s="2"/>
      <c r="Z184" s="2"/>
    </row>
    <row r="185" spans="1:26" ht="18" hidden="1" customHeight="1" x14ac:dyDescent="0.35">
      <c r="A185" s="2"/>
      <c r="B185" s="45">
        <f>IF(H45="Aucun",0,"Fond")</f>
        <v>0</v>
      </c>
      <c r="C185" s="85">
        <f>IF(H45="Aucun",0,H44+VLOOKUP(H45,$A$282:$L$288,6))</f>
        <v>0</v>
      </c>
      <c r="D185" s="85">
        <f>IF(H45="Sous verre 2 faces",H44+VLOOKUP(H45,$A$280:$L$288,6),IF(H45="Bandes de mousse fond plein",H44+VLOOKUP(H45,$A$280:$L324,6),IF(H45="Entourage Stratocell 20 mm",H44+4,IF(H45="Entourage Stratocell 30 mm",H44+6,H48))))</f>
        <v>0</v>
      </c>
      <c r="E185" s="85">
        <f>VLOOKUP(H45,$A$282:$L$288,8)</f>
        <v>0</v>
      </c>
      <c r="F185" s="45">
        <f>VLOOKUP(H45,$A$282:$L$288,7)</f>
        <v>0</v>
      </c>
      <c r="G185" s="2"/>
      <c r="H185" s="2"/>
      <c r="I185" s="2"/>
      <c r="J185" s="89">
        <f t="shared" si="64"/>
        <v>0</v>
      </c>
      <c r="K185" s="89">
        <f t="shared" si="65"/>
        <v>0</v>
      </c>
      <c r="L185" s="71">
        <f>IF(E185=0,0,VLOOKUP(E185,'Prix Matiere'!$A$4:$J$65,10))</f>
        <v>0</v>
      </c>
      <c r="M185" s="71">
        <f t="shared" si="66"/>
        <v>0</v>
      </c>
      <c r="N185" s="3">
        <f t="shared" si="67"/>
        <v>0</v>
      </c>
      <c r="O185" s="71">
        <f t="shared" si="68"/>
        <v>0</v>
      </c>
      <c r="P185" s="2"/>
      <c r="Q185" s="254">
        <f>IF(J185=0,0,J185*VLOOKUP(E185,'Prix Matiere'!$A$4:$L$60,12))</f>
        <v>0</v>
      </c>
      <c r="R185" s="254">
        <f>IF(J185=0,0,Q185*VLOOKUP(E185,'Prix Matiere'!$A$4:$L$60,11))</f>
        <v>0</v>
      </c>
      <c r="S185" s="2"/>
      <c r="T185" s="2"/>
      <c r="U185" s="2"/>
      <c r="V185" s="2"/>
      <c r="W185" s="2"/>
      <c r="X185" s="2"/>
      <c r="Y185" s="2"/>
      <c r="Z185" s="2"/>
    </row>
    <row r="186" spans="1:26" ht="18" hidden="1" customHeight="1" x14ac:dyDescent="0.35">
      <c r="A186" s="2"/>
      <c r="B186" s="45">
        <f>IF(H45="Aucun",0,"Remplis de fond")</f>
        <v>0</v>
      </c>
      <c r="C186" s="85">
        <f>IF(H45="Aucun",0,IF(H45="Entourage Stratocell 20 mm",0,IF(H45="Entourage Stratocell 30 mm",0,IF(H45="Sous verre 2 faces",0,IF(H45="Bandes de mousse fond plein",0,J44-H48*2+VLOOKUP(H45,$A$281:$L$288,6))))))</f>
        <v>0</v>
      </c>
      <c r="D186" s="85">
        <f>IF(H45="Sous verre 2 faces",0,IF(H45="Bandes de mousse fond plein",0,H48))</f>
        <v>0</v>
      </c>
      <c r="E186" s="85">
        <f>IF(C186=0,0,VLOOKUP(H45,$A$282:$L$288,8))</f>
        <v>0</v>
      </c>
      <c r="F186" s="45">
        <f>IF(H45="Aucun",0,IF(H45="Sous verre 2 faces",0,2))</f>
        <v>0</v>
      </c>
      <c r="G186" s="2"/>
      <c r="H186" s="2"/>
      <c r="I186" s="2"/>
      <c r="J186" s="89">
        <f t="shared" si="64"/>
        <v>0</v>
      </c>
      <c r="K186" s="89">
        <f t="shared" si="65"/>
        <v>0</v>
      </c>
      <c r="L186" s="71">
        <f>IF(E186=0,0,VLOOKUP(E186,'Prix Matiere'!$A$4:$J$65,10))</f>
        <v>0</v>
      </c>
      <c r="M186" s="71">
        <f t="shared" si="66"/>
        <v>0</v>
      </c>
      <c r="N186" s="3">
        <f t="shared" si="67"/>
        <v>0</v>
      </c>
      <c r="O186" s="71">
        <f t="shared" si="68"/>
        <v>0</v>
      </c>
      <c r="P186" s="2"/>
      <c r="Q186" s="254">
        <f>IF(J186=0,0,J186*VLOOKUP(E186,'Prix Matiere'!$A$4:$L$60,12))</f>
        <v>0</v>
      </c>
      <c r="R186" s="254">
        <f>IF(J186=0,0,Q186*VLOOKUP(E186,'Prix Matiere'!$A$4:$L$60,11))</f>
        <v>0</v>
      </c>
      <c r="S186" s="2"/>
      <c r="T186" s="2"/>
      <c r="U186" s="2"/>
      <c r="V186" s="2"/>
      <c r="W186" s="2"/>
      <c r="X186" s="2"/>
      <c r="Y186" s="2"/>
      <c r="Z186" s="2"/>
    </row>
    <row r="187" spans="1:26" ht="18" hidden="1" customHeight="1" x14ac:dyDescent="0.35">
      <c r="A187" s="2"/>
      <c r="B187" s="45">
        <f>IF(H45="Aucun",0,"Dessus")</f>
        <v>0</v>
      </c>
      <c r="C187" s="85">
        <f>IF(H45="Aucun",0,H44+VLOOKUP(H45,$A$282:$L$288,10))</f>
        <v>0</v>
      </c>
      <c r="D187" s="85">
        <f>IF(H45="Sous verre 2 faces",J44+VLOOKUP(H45,$A$282:$L$288,10),IF(H45="Sous verre / bandes de mousse",J44+VLOOKUP(H45,$A$282:$L$288,10),H47))</f>
        <v>0</v>
      </c>
      <c r="E187" s="85">
        <f>VLOOKUP(H45,$A$282:$L$288,9)</f>
        <v>0</v>
      </c>
      <c r="F187" s="45">
        <f>VLOOKUP(H45,$A$282:$L$288,11)</f>
        <v>0</v>
      </c>
      <c r="G187" s="2"/>
      <c r="H187" s="2"/>
      <c r="I187" s="2"/>
      <c r="J187" s="89">
        <f t="shared" si="64"/>
        <v>0</v>
      </c>
      <c r="K187" s="89">
        <f t="shared" si="65"/>
        <v>0</v>
      </c>
      <c r="L187" s="71">
        <f>IF(E187=0,0,VLOOKUP(E187,'Prix Matiere'!$A$4:$J$65,10))</f>
        <v>0</v>
      </c>
      <c r="M187" s="71">
        <f t="shared" si="66"/>
        <v>0</v>
      </c>
      <c r="N187" s="3">
        <f t="shared" si="67"/>
        <v>0</v>
      </c>
      <c r="O187" s="71">
        <f t="shared" si="68"/>
        <v>0</v>
      </c>
      <c r="P187" s="2"/>
      <c r="Q187" s="254">
        <f>IF(J187=0,0,J187*VLOOKUP(E187,'Prix Matiere'!$A$4:$L$60,12))</f>
        <v>0</v>
      </c>
      <c r="R187" s="254">
        <f>IF(J187=0,0,Q187*VLOOKUP(E187,'Prix Matiere'!$A$4:$L$60,11))</f>
        <v>0</v>
      </c>
      <c r="S187" s="2"/>
      <c r="T187" s="2"/>
      <c r="U187" s="2"/>
      <c r="V187" s="2"/>
      <c r="W187" s="2"/>
      <c r="X187" s="2"/>
      <c r="Y187" s="2"/>
      <c r="Z187" s="2"/>
    </row>
    <row r="188" spans="1:26" ht="18" hidden="1" customHeight="1" x14ac:dyDescent="0.35">
      <c r="A188" s="2"/>
      <c r="B188" s="45">
        <f>IF(H45="Aucun",0,"Remplis de dessus")</f>
        <v>0</v>
      </c>
      <c r="C188" s="85">
        <f>IF(H45="Aucun",0,IF(H45="Sous verre 2 faces",0,IF(H45="Sous verre / bandes de mousse",0,J44-2*D187+VLOOKUP(H45,$A$282:$L$288,10))))</f>
        <v>0</v>
      </c>
      <c r="D188" s="85">
        <f>IF(H45="Sous verre / bandes de mousse",0,IF(H45="Sous verre 2 faces",0,H47))</f>
        <v>0</v>
      </c>
      <c r="E188" s="85">
        <f>IF(C188=0,0,VLOOKUP(H45,$A$282:$L$288,9))</f>
        <v>0</v>
      </c>
      <c r="F188" s="45">
        <f>IF(H45="Aucun",0,IF(H45="Sous verre 2 faces",0,IF(H45="Sous verre / bandes de mousse",0,2)))</f>
        <v>0</v>
      </c>
      <c r="G188" s="2"/>
      <c r="H188" s="2"/>
      <c r="I188" s="2"/>
      <c r="J188" s="89">
        <f t="shared" si="64"/>
        <v>0</v>
      </c>
      <c r="K188" s="89">
        <f t="shared" si="65"/>
        <v>0</v>
      </c>
      <c r="L188" s="71">
        <f>IF(E188=0,0,VLOOKUP(E188,'Prix Matiere'!$A$4:$J$65,10))</f>
        <v>0</v>
      </c>
      <c r="M188" s="71">
        <f t="shared" si="66"/>
        <v>0</v>
      </c>
      <c r="N188" s="3">
        <f t="shared" si="67"/>
        <v>0</v>
      </c>
      <c r="O188" s="71">
        <f t="shared" si="68"/>
        <v>0</v>
      </c>
      <c r="P188" s="2"/>
      <c r="Q188" s="254">
        <f>IF(J188=0,0,J188*VLOOKUP(E188,'Prix Matiere'!$A$4:$L$60,12))</f>
        <v>0</v>
      </c>
      <c r="R188" s="254">
        <f>IF(J188=0,0,Q188*VLOOKUP(E188,'Prix Matiere'!$A$4:$L$60,11))</f>
        <v>0</v>
      </c>
      <c r="S188" s="2"/>
      <c r="T188" s="2"/>
      <c r="U188" s="2"/>
      <c r="V188" s="2"/>
      <c r="W188" s="2"/>
      <c r="X188" s="2"/>
      <c r="Y188" s="2"/>
      <c r="Z188" s="2"/>
    </row>
    <row r="189" spans="1:26" ht="18" hidden="1" customHeight="1" x14ac:dyDescent="0.35">
      <c r="A189" s="2"/>
      <c r="B189" s="45">
        <f>IF(H45="Aucun",0,"Rattrapage 1")</f>
        <v>0</v>
      </c>
      <c r="C189" s="85">
        <f>IF(H50=0,0,H44+0.2)</f>
        <v>0</v>
      </c>
      <c r="D189" s="85">
        <f>IF(H50=0,0,H50)</f>
        <v>0</v>
      </c>
      <c r="E189" s="85">
        <f t="shared" ref="E189:E190" si="70">IF(C189=0,0,CONCATENATE("PU ",$J$50*10," mm"))</f>
        <v>0</v>
      </c>
      <c r="F189" s="45">
        <f>IF(H50=0,0,2)</f>
        <v>0</v>
      </c>
      <c r="G189" s="2"/>
      <c r="H189" s="2"/>
      <c r="I189" s="2"/>
      <c r="J189" s="89">
        <f t="shared" si="64"/>
        <v>0</v>
      </c>
      <c r="K189" s="89">
        <f t="shared" si="65"/>
        <v>0</v>
      </c>
      <c r="L189" s="71">
        <f>IF(E189=0,0,VLOOKUP(E189,'Prix Matiere'!$A$4:$J$65,10))</f>
        <v>0</v>
      </c>
      <c r="M189" s="71">
        <f t="shared" si="66"/>
        <v>0</v>
      </c>
      <c r="N189" s="3">
        <f t="shared" si="67"/>
        <v>0</v>
      </c>
      <c r="O189" s="71">
        <f t="shared" si="68"/>
        <v>0</v>
      </c>
      <c r="P189" s="2"/>
      <c r="Q189" s="254">
        <f>IF(J189=0,0,J189*VLOOKUP(E189,'Prix Matiere'!$A$4:$L$60,12))</f>
        <v>0</v>
      </c>
      <c r="R189" s="254">
        <f>IF(J189=0,0,Q189*VLOOKUP(E189,'Prix Matiere'!$A$4:$L$60,11))</f>
        <v>0</v>
      </c>
      <c r="S189" s="2"/>
      <c r="T189" s="2"/>
      <c r="U189" s="2"/>
      <c r="V189" s="2"/>
      <c r="W189" s="2"/>
      <c r="X189" s="2"/>
      <c r="Y189" s="2"/>
      <c r="Z189" s="2"/>
    </row>
    <row r="190" spans="1:26" ht="18" hidden="1" customHeight="1" x14ac:dyDescent="0.35">
      <c r="A190" s="2"/>
      <c r="B190" s="45">
        <f>IF(H45="Aucun",0,"Rattrapage 2")</f>
        <v>0</v>
      </c>
      <c r="C190" s="85">
        <f>IF(H50=0,0,J44+0.2-2*D189)</f>
        <v>0</v>
      </c>
      <c r="D190" s="85">
        <f>IF(H50=0,0,D189)</f>
        <v>0</v>
      </c>
      <c r="E190" s="85">
        <f t="shared" si="70"/>
        <v>0</v>
      </c>
      <c r="F190" s="45">
        <f>IF(H50=0,0,2)</f>
        <v>0</v>
      </c>
      <c r="G190" s="2"/>
      <c r="H190" s="2"/>
      <c r="I190" s="2"/>
      <c r="J190" s="89">
        <f t="shared" si="64"/>
        <v>0</v>
      </c>
      <c r="K190" s="89">
        <f t="shared" si="65"/>
        <v>0</v>
      </c>
      <c r="L190" s="71">
        <f>IF(E190=0,0,VLOOKUP(E190,'Prix Matiere'!$A$4:$J$65,10))</f>
        <v>0</v>
      </c>
      <c r="M190" s="71">
        <f t="shared" si="66"/>
        <v>0</v>
      </c>
      <c r="N190" s="3">
        <f t="shared" si="67"/>
        <v>0</v>
      </c>
      <c r="O190" s="71">
        <f t="shared" si="68"/>
        <v>0</v>
      </c>
      <c r="P190" s="2"/>
      <c r="Q190" s="254">
        <f>IF(J190=0,0,J190*VLOOKUP(E190,'Prix Matiere'!$A$4:$L$60,12))</f>
        <v>0</v>
      </c>
      <c r="R190" s="254">
        <f>IF(J190=0,0,Q190*VLOOKUP(E190,'Prix Matiere'!$A$4:$L$60,11))</f>
        <v>0</v>
      </c>
      <c r="S190" s="2"/>
      <c r="T190" s="2"/>
      <c r="U190" s="2"/>
      <c r="V190" s="2"/>
      <c r="W190" s="2"/>
      <c r="X190" s="2"/>
      <c r="Y190" s="2"/>
      <c r="Z190" s="2"/>
    </row>
    <row r="191" spans="1:26" ht="18" hidden="1" customHeight="1" x14ac:dyDescent="0.35">
      <c r="A191" s="2"/>
      <c r="B191" s="45">
        <f>IF(H45="Aucun",0,"Remplissage 1")</f>
        <v>0</v>
      </c>
      <c r="C191" s="85">
        <f t="shared" ref="C191:C192" si="71">IF(H51=0,0,H51)</f>
        <v>0</v>
      </c>
      <c r="D191" s="85">
        <f t="shared" ref="D191:D192" si="72">IF(H51=0,0,I51)</f>
        <v>0</v>
      </c>
      <c r="E191" s="85">
        <f>IF(C191=0,0,CONCATENATE("PU ",$J$51*10," mm"))</f>
        <v>0</v>
      </c>
      <c r="F191" s="45">
        <f t="shared" ref="F191:F192" si="73">IF(H51=0,0,1)</f>
        <v>0</v>
      </c>
      <c r="G191" s="2"/>
      <c r="H191" s="2"/>
      <c r="I191" s="2"/>
      <c r="J191" s="89">
        <f t="shared" si="64"/>
        <v>0</v>
      </c>
      <c r="K191" s="89">
        <f t="shared" si="65"/>
        <v>0</v>
      </c>
      <c r="L191" s="71">
        <f>IF(E191=0,0,VLOOKUP(E191,'Prix Matiere'!$A$4:$J$65,10))</f>
        <v>0</v>
      </c>
      <c r="M191" s="71">
        <f t="shared" si="66"/>
        <v>0</v>
      </c>
      <c r="N191" s="3">
        <f t="shared" si="67"/>
        <v>0</v>
      </c>
      <c r="O191" s="71">
        <f t="shared" si="68"/>
        <v>0</v>
      </c>
      <c r="P191" s="2"/>
      <c r="Q191" s="254">
        <f>IF(J191=0,0,J191*VLOOKUP(E191,'Prix Matiere'!$A$4:$L$60,12))</f>
        <v>0</v>
      </c>
      <c r="R191" s="254">
        <f>IF(J191=0,0,Q191*VLOOKUP(E191,'Prix Matiere'!$A$4:$L$60,11))</f>
        <v>0</v>
      </c>
      <c r="S191" s="2"/>
      <c r="T191" s="2"/>
      <c r="U191" s="2"/>
      <c r="V191" s="2"/>
      <c r="W191" s="2"/>
      <c r="X191" s="2"/>
      <c r="Y191" s="2"/>
      <c r="Z191" s="2"/>
    </row>
    <row r="192" spans="1:26" ht="18" hidden="1" customHeight="1" x14ac:dyDescent="0.35">
      <c r="A192" s="2"/>
      <c r="B192" s="45">
        <f>IF(H45="Aucun",0,"Remplissage 2")</f>
        <v>0</v>
      </c>
      <c r="C192" s="85">
        <f t="shared" si="71"/>
        <v>0</v>
      </c>
      <c r="D192" s="85">
        <f t="shared" si="72"/>
        <v>0</v>
      </c>
      <c r="E192" s="85">
        <f>IF(C192=0,0,CONCATENATE("PU ",$J$52*10," mm"))</f>
        <v>0</v>
      </c>
      <c r="F192" s="45">
        <f t="shared" si="73"/>
        <v>0</v>
      </c>
      <c r="G192" s="2"/>
      <c r="H192" s="2"/>
      <c r="I192" s="2"/>
      <c r="J192" s="89">
        <f t="shared" si="64"/>
        <v>0</v>
      </c>
      <c r="K192" s="89">
        <f t="shared" si="65"/>
        <v>0</v>
      </c>
      <c r="L192" s="71">
        <f>IF(E192=0,0,VLOOKUP(E192,'Prix Matiere'!$A$4:$J$65,10))</f>
        <v>0</v>
      </c>
      <c r="M192" s="71">
        <f t="shared" si="66"/>
        <v>0</v>
      </c>
      <c r="N192" s="3">
        <f t="shared" si="67"/>
        <v>0</v>
      </c>
      <c r="O192" s="71">
        <f t="shared" si="68"/>
        <v>0</v>
      </c>
      <c r="P192" s="2"/>
      <c r="Q192" s="254">
        <f>IF(J192=0,0,J192*VLOOKUP(E192,'Prix Matiere'!$A$4:$L$60,12))</f>
        <v>0</v>
      </c>
      <c r="R192" s="254">
        <f>IF(J192=0,0,Q192*VLOOKUP(E192,'Prix Matiere'!$A$4:$L$60,11))</f>
        <v>0</v>
      </c>
      <c r="S192" s="2"/>
      <c r="T192" s="2"/>
      <c r="U192" s="2"/>
      <c r="V192" s="2"/>
      <c r="W192" s="2"/>
      <c r="X192" s="2"/>
      <c r="Y192" s="2"/>
      <c r="Z192" s="2"/>
    </row>
    <row r="193" spans="1:26" ht="18" hidden="1" customHeight="1" x14ac:dyDescent="0.35">
      <c r="A193" s="2"/>
      <c r="B193" s="45">
        <f>IF(H45="Aucun",0,"Carton")</f>
        <v>0</v>
      </c>
      <c r="C193" s="85">
        <f>IF(F193=0,0,H44+VLOOKUP(H45,$A$282:$L$288,10))</f>
        <v>0</v>
      </c>
      <c r="D193" s="85">
        <f>IF(E193=0,0,J44+VLOOKUP(H45,$A$282:$L$288,10))</f>
        <v>0</v>
      </c>
      <c r="E193" s="85">
        <f>IF(C193=0,0,"Carton")</f>
        <v>0</v>
      </c>
      <c r="F193" s="45">
        <f>VLOOKUP(H45,$A$282:$L$288,12)</f>
        <v>0</v>
      </c>
      <c r="G193" s="2"/>
      <c r="H193" s="2"/>
      <c r="I193" s="2"/>
      <c r="J193" s="89">
        <f t="shared" si="64"/>
        <v>0</v>
      </c>
      <c r="K193" s="89">
        <f t="shared" si="65"/>
        <v>0</v>
      </c>
      <c r="L193" s="71">
        <f>IF(E193=0,0,Carton)</f>
        <v>0</v>
      </c>
      <c r="M193" s="71">
        <f t="shared" si="66"/>
        <v>0</v>
      </c>
      <c r="N193" s="3">
        <f>IF(J193=0,0,2.356*J193+1)</f>
        <v>0</v>
      </c>
      <c r="O193" s="71">
        <f t="shared" si="68"/>
        <v>0</v>
      </c>
      <c r="P193" s="2"/>
      <c r="Q193" s="254">
        <f>IF(J193=0,0,J193*Poids_Carton)</f>
        <v>0</v>
      </c>
      <c r="R193" s="254">
        <f>IF(J193=0,0,Q193*VLOOKUP(E193,'Prix Matiere'!$A$4:$L$60,11))</f>
        <v>0</v>
      </c>
      <c r="S193" s="2"/>
      <c r="T193" s="2"/>
      <c r="U193" s="2"/>
      <c r="V193" s="2"/>
      <c r="W193" s="2"/>
      <c r="X193" s="2"/>
      <c r="Y193" s="2"/>
      <c r="Z193" s="2"/>
    </row>
    <row r="194" spans="1:26" ht="18" hidden="1" customHeight="1" x14ac:dyDescent="0.35">
      <c r="A194" s="2"/>
      <c r="B194" s="2"/>
      <c r="C194" s="256"/>
      <c r="D194" s="256"/>
      <c r="E194" s="256"/>
      <c r="F194" s="2"/>
      <c r="G194" s="2"/>
      <c r="H194" s="2"/>
      <c r="I194" s="2"/>
      <c r="J194" s="89"/>
      <c r="K194" s="89"/>
      <c r="L194" s="71"/>
      <c r="M194" s="71"/>
      <c r="N194" s="3"/>
      <c r="O194" s="71"/>
      <c r="P194" s="2"/>
      <c r="Q194" s="254">
        <f>IF(J194=0,0,J194*VLOOKUP(E194,'Prix Matiere'!$A$4:$L$60,12))</f>
        <v>0</v>
      </c>
      <c r="R194" s="254"/>
      <c r="S194" s="2"/>
      <c r="T194" s="2"/>
      <c r="U194" s="2"/>
      <c r="V194" s="2"/>
      <c r="W194" s="2"/>
      <c r="X194" s="2"/>
      <c r="Y194" s="2"/>
      <c r="Z194" s="2"/>
    </row>
    <row r="195" spans="1:26" ht="18" hidden="1" customHeight="1" x14ac:dyDescent="0.35">
      <c r="A195" s="257" t="s">
        <v>163</v>
      </c>
      <c r="B195" s="258" t="str">
        <f>IF(B72=0,0,"GC cuvette 1")</f>
        <v>GC cuvette 1</v>
      </c>
      <c r="C195" s="259">
        <f>IF(B72=0,0,H72)</f>
        <v>72.7</v>
      </c>
      <c r="D195" s="259">
        <f>IF(B72=0,0,I71)</f>
        <v>19</v>
      </c>
      <c r="E195" s="259" t="str">
        <f>IF(B72=0,0,"Peuplier 15 mm")</f>
        <v>Peuplier 15 mm</v>
      </c>
      <c r="F195" s="260">
        <f t="shared" ref="F195:F196" si="74">IF(C195=0,0,2)</f>
        <v>2</v>
      </c>
      <c r="G195" s="2"/>
      <c r="H195" s="2"/>
      <c r="I195" s="2"/>
      <c r="J195" s="89">
        <f t="shared" ref="J195:J197" si="75">IF(C195=0,0,(C195/100)*(D195/100)*F195)</f>
        <v>0.27626000000000001</v>
      </c>
      <c r="K195" s="89">
        <f t="shared" ref="K195:K197" si="76">J195/0.8</f>
        <v>0.34532499999999999</v>
      </c>
      <c r="L195" s="71">
        <f>IF(E195=0,0,VLOOKUP(E195,'Prix Matiere'!$A$4:$J$65,10))</f>
        <v>16.895876288659796</v>
      </c>
      <c r="M195" s="71">
        <f t="shared" ref="M195:M197" si="77">L195*K195</f>
        <v>5.8345684793814439</v>
      </c>
      <c r="N195" s="3">
        <f t="shared" ref="N195:N197" si="78">IF(J195=0,0,7.0924*J195)</f>
        <v>1.959346424</v>
      </c>
      <c r="O195" s="71">
        <f>N195*MinuteMO</f>
        <v>1.6654444604</v>
      </c>
      <c r="P195" s="2"/>
      <c r="Q195" s="254">
        <f>IF(J195=0,0,J195*VLOOKUP(E195,'Prix Matiere'!$A$4:$L$60,12))</f>
        <v>1.8233160000000002</v>
      </c>
      <c r="R195" s="254">
        <f>IF(J195=0,0,Q195*VLOOKUP(E195,'Prix Matiere'!$A$4:$L$60,11))</f>
        <v>1.4094232680000001</v>
      </c>
      <c r="S195" s="2"/>
      <c r="T195" s="2"/>
      <c r="U195" s="2"/>
      <c r="V195" s="2"/>
      <c r="W195" s="2"/>
      <c r="X195" s="2"/>
      <c r="Y195" s="2"/>
      <c r="Z195" s="2"/>
    </row>
    <row r="196" spans="1:26" ht="18" hidden="1" customHeight="1" x14ac:dyDescent="0.35">
      <c r="A196" s="178"/>
      <c r="B196" s="45" t="str">
        <f>IF(B72=0,0,"Bouts cuvette 1")</f>
        <v>Bouts cuvette 1</v>
      </c>
      <c r="C196" s="85">
        <f>IF(B72=0,0,J71)</f>
        <v>50.7</v>
      </c>
      <c r="D196" s="85">
        <f>D195</f>
        <v>19</v>
      </c>
      <c r="E196" s="85" t="str">
        <f>IF(B72=0,0,"Peuplier 15 mm")</f>
        <v>Peuplier 15 mm</v>
      </c>
      <c r="F196" s="175">
        <f t="shared" si="74"/>
        <v>2</v>
      </c>
      <c r="G196" s="2"/>
      <c r="H196" s="2"/>
      <c r="I196" s="2"/>
      <c r="J196" s="89">
        <f t="shared" si="75"/>
        <v>0.19266</v>
      </c>
      <c r="K196" s="89">
        <f t="shared" si="76"/>
        <v>0.24082499999999998</v>
      </c>
      <c r="L196" s="71">
        <f>IF(E196=0,0,VLOOKUP(E196,'Prix Matiere'!$A$4:$J$65,10))</f>
        <v>16.895876288659796</v>
      </c>
      <c r="M196" s="71">
        <f t="shared" si="77"/>
        <v>4.0689494072164951</v>
      </c>
      <c r="N196" s="3">
        <f t="shared" si="78"/>
        <v>1.3664217839999999</v>
      </c>
      <c r="O196" s="71">
        <f>N196*MinuteMO</f>
        <v>1.1614585164</v>
      </c>
      <c r="P196" s="2"/>
      <c r="Q196" s="254">
        <f>IF(J196=0,0,J196*VLOOKUP(E196,'Prix Matiere'!$A$4:$L$60,12))</f>
        <v>1.2715560000000001</v>
      </c>
      <c r="R196" s="254">
        <f>IF(J196=0,0,Q196*VLOOKUP(E196,'Prix Matiere'!$A$4:$L$60,11))</f>
        <v>0.98291278800000015</v>
      </c>
      <c r="S196" s="2"/>
      <c r="T196" s="2"/>
      <c r="U196" s="2"/>
      <c r="V196" s="2"/>
      <c r="W196" s="2"/>
      <c r="X196" s="2"/>
      <c r="Y196" s="2"/>
      <c r="Z196" s="2"/>
    </row>
    <row r="197" spans="1:26" ht="18" hidden="1" customHeight="1" x14ac:dyDescent="0.35">
      <c r="A197" s="261"/>
      <c r="B197" s="262" t="str">
        <f>IF(B72=0,0,"Fond cuvette 1")</f>
        <v>Fond cuvette 1</v>
      </c>
      <c r="C197" s="263">
        <f>IF(B72=0,0,C195)</f>
        <v>72.7</v>
      </c>
      <c r="D197" s="263">
        <f>IF(B72=0,0,C196+3)</f>
        <v>53.7</v>
      </c>
      <c r="E197" s="263" t="str">
        <f>IF(B72=0,0,"Peuplier 10 mm")</f>
        <v>Peuplier 10 mm</v>
      </c>
      <c r="F197" s="184">
        <f>IF(C197=0,0,1)</f>
        <v>1</v>
      </c>
      <c r="G197" s="2"/>
      <c r="H197" s="2"/>
      <c r="I197" s="2"/>
      <c r="J197" s="89">
        <f t="shared" si="75"/>
        <v>0.390399</v>
      </c>
      <c r="K197" s="89">
        <f t="shared" si="76"/>
        <v>0.48799874999999998</v>
      </c>
      <c r="L197" s="71">
        <f>IF(E197=0,0,VLOOKUP(E197,'Prix Matiere'!$A$4:$J$65,10))</f>
        <v>13.071134020618558</v>
      </c>
      <c r="M197" s="71">
        <f t="shared" si="77"/>
        <v>6.3786970631443305</v>
      </c>
      <c r="N197" s="3">
        <f t="shared" si="78"/>
        <v>2.7688658675999998</v>
      </c>
      <c r="O197" s="71">
        <f>N197*MinuteMO</f>
        <v>2.3535359874599999</v>
      </c>
      <c r="P197" s="2"/>
      <c r="Q197" s="254">
        <f>IF(J197=0,0,J197*VLOOKUP(E197,'Prix Matiere'!$A$4:$L$60,12))</f>
        <v>1.6006358999999999</v>
      </c>
      <c r="R197" s="254">
        <f>IF(J197=0,0,Q197*VLOOKUP(E197,'Prix Matiere'!$A$4:$L$60,11))</f>
        <v>1.2372915507</v>
      </c>
      <c r="S197" s="2"/>
      <c r="T197" s="2"/>
      <c r="U197" s="2"/>
      <c r="V197" s="2"/>
      <c r="W197" s="2"/>
      <c r="X197" s="2"/>
      <c r="Y197" s="2"/>
      <c r="Z197" s="2"/>
    </row>
    <row r="198" spans="1:26" ht="18" hidden="1" customHeight="1" x14ac:dyDescent="0.35">
      <c r="A198" s="2"/>
      <c r="B198" s="2"/>
      <c r="C198" s="2"/>
      <c r="D198" s="2"/>
      <c r="E198" s="2"/>
      <c r="F198" s="2"/>
      <c r="G198" s="2"/>
      <c r="H198" s="2"/>
      <c r="I198" s="2"/>
      <c r="J198" s="89"/>
      <c r="K198" s="89"/>
      <c r="L198" s="71"/>
      <c r="M198" s="2"/>
      <c r="N198" s="3"/>
      <c r="O198" s="71">
        <f>N198*MinuteMO</f>
        <v>0</v>
      </c>
      <c r="P198" s="2"/>
      <c r="Q198" s="254">
        <f>IF(J198=0,0,J198*VLOOKUP(E198,'Prix Matiere'!$A$4:$L$60,12))</f>
        <v>0</v>
      </c>
      <c r="R198" s="254">
        <f>IF(J198=0,0,Q198*VLOOKUP(E198,'Prix Matiere'!$A$4:$L$60,11))</f>
        <v>0</v>
      </c>
      <c r="S198" s="2"/>
      <c r="T198" s="2"/>
      <c r="U198" s="2"/>
      <c r="V198" s="2"/>
      <c r="W198" s="2"/>
      <c r="X198" s="2"/>
      <c r="Y198" s="2"/>
      <c r="Z198" s="2"/>
    </row>
    <row r="199" spans="1:26" ht="18" hidden="1" customHeight="1" x14ac:dyDescent="0.35">
      <c r="A199" s="2"/>
      <c r="B199" s="38" t="s">
        <v>164</v>
      </c>
      <c r="C199" s="2"/>
      <c r="D199" s="2"/>
      <c r="E199" s="2"/>
      <c r="F199" s="2"/>
      <c r="G199" s="2"/>
      <c r="H199" s="2"/>
      <c r="I199" s="2"/>
      <c r="J199" s="89">
        <f t="shared" ref="J199:J213" si="79">IF(C199=0,0,(C199/100)*(D199/100)*F199)</f>
        <v>0</v>
      </c>
      <c r="K199" s="89">
        <f t="shared" ref="K199:K213" si="80">J199/0.8</f>
        <v>0</v>
      </c>
      <c r="L199" s="71"/>
      <c r="M199" s="71"/>
      <c r="N199" s="3"/>
      <c r="O199" s="71"/>
      <c r="P199" s="2"/>
      <c r="Q199" s="254">
        <f>IF(J199=0,0,J199*VLOOKUP(E199,'Prix Matiere'!$A$4:$L$60,12))</f>
        <v>0</v>
      </c>
      <c r="R199" s="254"/>
      <c r="S199" s="2"/>
      <c r="T199" s="2"/>
      <c r="U199" s="2"/>
      <c r="V199" s="2"/>
      <c r="W199" s="2"/>
      <c r="X199" s="2"/>
      <c r="Y199" s="2"/>
      <c r="Z199" s="2"/>
    </row>
    <row r="200" spans="1:26" ht="18" hidden="1" customHeight="1" x14ac:dyDescent="0.35">
      <c r="A200" s="2"/>
      <c r="B200" s="41" t="str">
        <f>IF(B61="Aucun",0,"Dessus")</f>
        <v>Dessus</v>
      </c>
      <c r="C200" s="85">
        <f>IF(B61="Aucun",0,VLOOKUP(B61,$A$282:$L$288,2)+B60)</f>
        <v>69.7</v>
      </c>
      <c r="D200" s="85">
        <f>IF(B61="Aucun",0,C60+VLOOKUP(B61,$A$282:$L$288,5))</f>
        <v>19</v>
      </c>
      <c r="E200" s="85" t="str">
        <f>VLOOKUP(B61,$A$282:$L$288,9)</f>
        <v>PU 50 mm</v>
      </c>
      <c r="F200" s="45">
        <f>IF(B61="Aucun",0,1)</f>
        <v>1</v>
      </c>
      <c r="G200" s="2"/>
      <c r="H200" s="2"/>
      <c r="I200" s="2"/>
      <c r="J200" s="89">
        <f t="shared" si="79"/>
        <v>0.13243000000000002</v>
      </c>
      <c r="K200" s="89">
        <f t="shared" si="80"/>
        <v>0.1655375</v>
      </c>
      <c r="L200" s="71">
        <f>IF(E200=0,0,VLOOKUP(E200,'Prix Matiere'!$A$4:$J$65,10))</f>
        <v>9.5670103092783503</v>
      </c>
      <c r="M200" s="71">
        <f t="shared" ref="M200:M213" si="81">L200*K200</f>
        <v>1.583698969072165</v>
      </c>
      <c r="N200" s="3">
        <f t="shared" ref="N200:N212" si="82">IF(J200=0,0,4.7283*J200+2)</f>
        <v>2.626168769</v>
      </c>
      <c r="O200" s="71">
        <f t="shared" ref="O200:O213" si="83">N200*MinuteMO</f>
        <v>2.2322434536499998</v>
      </c>
      <c r="P200" s="2"/>
      <c r="Q200" s="254">
        <f>IF(J200=0,0,J200*VLOOKUP(E200,'Prix Matiere'!$A$4:$L$60,12))</f>
        <v>0.16553750000000003</v>
      </c>
      <c r="R200" s="254">
        <f>IF(J200=0,0,Q200*VLOOKUP(E200,'Prix Matiere'!$A$4:$L$60,11))</f>
        <v>0.44695125000000013</v>
      </c>
      <c r="S200" s="2"/>
      <c r="T200" s="2"/>
      <c r="U200" s="2"/>
      <c r="V200" s="2"/>
      <c r="W200" s="2"/>
      <c r="X200" s="2"/>
      <c r="Y200" s="2"/>
      <c r="Z200" s="2"/>
    </row>
    <row r="201" spans="1:26" ht="18" hidden="1" customHeight="1" x14ac:dyDescent="0.35">
      <c r="A201" s="2"/>
      <c r="B201" s="45" t="str">
        <f>IF(B61="Aucun",0,"Extrémité")</f>
        <v>Extrémité</v>
      </c>
      <c r="C201" s="85">
        <f>IF(B61="Aucun",0,IF(B60&lt;60,10,IF(B60&lt;80,15,20)))</f>
        <v>10</v>
      </c>
      <c r="D201" s="85">
        <f t="shared" ref="D201:D204" si="84">D200</f>
        <v>19</v>
      </c>
      <c r="E201" s="85" t="str">
        <f>VLOOKUP(B61,$A$282:$L$288,9)</f>
        <v>PU 50 mm</v>
      </c>
      <c r="F201" s="45">
        <f>IF(B61="Aucun",0,2)</f>
        <v>2</v>
      </c>
      <c r="G201" s="2"/>
      <c r="H201" s="2"/>
      <c r="I201" s="2"/>
      <c r="J201" s="89">
        <f t="shared" si="79"/>
        <v>3.8000000000000006E-2</v>
      </c>
      <c r="K201" s="89">
        <f t="shared" si="80"/>
        <v>4.7500000000000007E-2</v>
      </c>
      <c r="L201" s="71">
        <f>IF(E201=0,0,VLOOKUP(E201,'Prix Matiere'!$A$4:$J$65,10))</f>
        <v>9.5670103092783503</v>
      </c>
      <c r="M201" s="71">
        <f t="shared" si="81"/>
        <v>0.45443298969072171</v>
      </c>
      <c r="N201" s="3">
        <f t="shared" si="82"/>
        <v>2.1796753999999998</v>
      </c>
      <c r="O201" s="71">
        <f t="shared" si="83"/>
        <v>1.8527240899999997</v>
      </c>
      <c r="P201" s="2"/>
      <c r="Q201" s="254">
        <f>IF(J201=0,0,J201*VLOOKUP(E201,'Prix Matiere'!$A$4:$L$60,12))</f>
        <v>4.7500000000000007E-2</v>
      </c>
      <c r="R201" s="254">
        <f>IF(J201=0,0,Q201*VLOOKUP(E201,'Prix Matiere'!$A$4:$L$60,11))</f>
        <v>0.12825000000000003</v>
      </c>
      <c r="S201" s="2"/>
      <c r="T201" s="2"/>
      <c r="U201" s="2"/>
      <c r="V201" s="2"/>
      <c r="W201" s="2"/>
      <c r="X201" s="2"/>
      <c r="Y201" s="2"/>
      <c r="Z201" s="2"/>
    </row>
    <row r="202" spans="1:26" ht="18" hidden="1" customHeight="1" x14ac:dyDescent="0.35">
      <c r="A202" s="2"/>
      <c r="B202" s="45" t="str">
        <f>IF(B61="Aucun",0,A65)</f>
        <v>Ethafoam 50 mm</v>
      </c>
      <c r="C202" s="85">
        <f>B65</f>
        <v>6</v>
      </c>
      <c r="D202" s="85">
        <f t="shared" si="84"/>
        <v>19</v>
      </c>
      <c r="E202" s="85" t="str">
        <f>IF(B61="Aucun",0,IF(B202="Ethafoam 50 mm","Ethafoam 50 mm","Agglocelle 50 mm"))</f>
        <v>Ethafoam 50 mm</v>
      </c>
      <c r="F202" s="45">
        <f>E65</f>
        <v>2</v>
      </c>
      <c r="G202" s="2"/>
      <c r="H202" s="2"/>
      <c r="I202" s="2"/>
      <c r="J202" s="89">
        <f t="shared" si="79"/>
        <v>2.2800000000000001E-2</v>
      </c>
      <c r="K202" s="89">
        <f t="shared" si="80"/>
        <v>2.8500000000000001E-2</v>
      </c>
      <c r="L202" s="71">
        <f>IF(E202=0,0,VLOOKUP(E202,'Prix Matiere'!$A$4:$J$65,10))</f>
        <v>22.000937207122774</v>
      </c>
      <c r="M202" s="71">
        <f t="shared" si="81"/>
        <v>0.62702671040299907</v>
      </c>
      <c r="N202" s="3">
        <f t="shared" si="82"/>
        <v>2.1078052399999998</v>
      </c>
      <c r="O202" s="71">
        <f t="shared" si="83"/>
        <v>1.7916344539999998</v>
      </c>
      <c r="P202" s="2"/>
      <c r="Q202" s="254">
        <f>IF(J202=0,0,J202*VLOOKUP(E202,'Prix Matiere'!$A$4:$L$60,12))</f>
        <v>3.9900000000000005E-2</v>
      </c>
      <c r="R202" s="254">
        <f>IF(J202=0,0,Q202*VLOOKUP(E202,'Prix Matiere'!$A$4:$L$60,11))</f>
        <v>0.11571000000000001</v>
      </c>
      <c r="S202" s="2"/>
      <c r="T202" s="2"/>
      <c r="U202" s="2"/>
      <c r="V202" s="2"/>
      <c r="W202" s="2"/>
      <c r="X202" s="2"/>
      <c r="Y202" s="2"/>
      <c r="Z202" s="2"/>
    </row>
    <row r="203" spans="1:26" ht="18" hidden="1" customHeight="1" x14ac:dyDescent="0.35">
      <c r="A203" s="2"/>
      <c r="B203" s="45" t="str">
        <f>IF(B61="Aucun",0,"Milieu")</f>
        <v>Milieu</v>
      </c>
      <c r="C203" s="85">
        <f>(C200-((C201*F201)+(C202*F202)))/(F202-1)</f>
        <v>37.700000000000003</v>
      </c>
      <c r="D203" s="85">
        <f t="shared" si="84"/>
        <v>19</v>
      </c>
      <c r="E203" s="85" t="str">
        <f>VLOOKUP(B61,$A$282:$L$288,9)</f>
        <v>PU 50 mm</v>
      </c>
      <c r="F203" s="45">
        <f>IF(B61="Aucun",0,F202-1)</f>
        <v>1</v>
      </c>
      <c r="G203" s="2"/>
      <c r="H203" s="2"/>
      <c r="I203" s="2"/>
      <c r="J203" s="89">
        <f t="shared" si="79"/>
        <v>7.1629999999999999E-2</v>
      </c>
      <c r="K203" s="89">
        <f t="shared" si="80"/>
        <v>8.9537499999999992E-2</v>
      </c>
      <c r="L203" s="71">
        <f>IF(E203=0,0,VLOOKUP(E203,'Prix Matiere'!$A$4:$J$65,10))</f>
        <v>9.5670103092783503</v>
      </c>
      <c r="M203" s="71">
        <f t="shared" si="81"/>
        <v>0.85660618556701018</v>
      </c>
      <c r="N203" s="3">
        <f t="shared" si="82"/>
        <v>2.3386881289999999</v>
      </c>
      <c r="O203" s="71">
        <f t="shared" si="83"/>
        <v>1.9878849096499998</v>
      </c>
      <c r="P203" s="2"/>
      <c r="Q203" s="254">
        <f>IF(J203=0,0,J203*VLOOKUP(E203,'Prix Matiere'!$A$4:$L$60,12))</f>
        <v>8.9537499999999992E-2</v>
      </c>
      <c r="R203" s="254">
        <f>IF(J203=0,0,Q203*VLOOKUP(E203,'Prix Matiere'!$A$4:$L$60,11))</f>
        <v>0.24175125</v>
      </c>
      <c r="S203" s="2"/>
      <c r="T203" s="2"/>
      <c r="U203" s="2"/>
      <c r="V203" s="2"/>
      <c r="W203" s="2"/>
      <c r="X203" s="2"/>
      <c r="Y203" s="2"/>
      <c r="Z203" s="2"/>
    </row>
    <row r="204" spans="1:26" ht="18" hidden="1" customHeight="1" x14ac:dyDescent="0.35">
      <c r="A204" s="2"/>
      <c r="B204" s="45" t="str">
        <f>IF(B61="Aucun",0,"Bouts avec passage de main")</f>
        <v>Bouts avec passage de main</v>
      </c>
      <c r="C204" s="85">
        <f>IF(B61="Aucun",0,(D60-IF(D60&gt;120,30,15))/(F204/2))</f>
        <v>12.25</v>
      </c>
      <c r="D204" s="85">
        <f t="shared" si="84"/>
        <v>19</v>
      </c>
      <c r="E204" s="85" t="str">
        <f>VLOOKUP(B61,$A$282:$L$288,9)</f>
        <v>PU 50 mm</v>
      </c>
      <c r="F204" s="45">
        <f>IF(B61="Aucun",0,IF(D60&gt;120,6,4))</f>
        <v>4</v>
      </c>
      <c r="G204" s="2"/>
      <c r="H204" s="2"/>
      <c r="I204" s="2"/>
      <c r="J204" s="89">
        <f t="shared" si="79"/>
        <v>9.3100000000000002E-2</v>
      </c>
      <c r="K204" s="89">
        <f t="shared" si="80"/>
        <v>0.11637499999999999</v>
      </c>
      <c r="L204" s="71">
        <f>IF(E204=0,0,VLOOKUP(E204,'Prix Matiere'!$A$4:$J$65,10))</f>
        <v>9.5670103092783503</v>
      </c>
      <c r="M204" s="71">
        <f t="shared" si="81"/>
        <v>1.1133608247422679</v>
      </c>
      <c r="N204" s="3">
        <f t="shared" si="82"/>
        <v>2.44020473</v>
      </c>
      <c r="O204" s="71">
        <f t="shared" si="83"/>
        <v>2.0741740205000001</v>
      </c>
      <c r="P204" s="2"/>
      <c r="Q204" s="254">
        <f>IF(J204=0,0,J204*VLOOKUP(E204,'Prix Matiere'!$A$4:$L$60,12))</f>
        <v>0.11637500000000001</v>
      </c>
      <c r="R204" s="254">
        <f>IF(J204=0,0,Q204*VLOOKUP(E204,'Prix Matiere'!$A$4:$L$60,11))</f>
        <v>0.31421250000000006</v>
      </c>
      <c r="S204" s="2"/>
      <c r="T204" s="2"/>
      <c r="U204" s="2"/>
      <c r="V204" s="2"/>
      <c r="W204" s="2"/>
      <c r="X204" s="2"/>
      <c r="Y204" s="2"/>
      <c r="Z204" s="2"/>
    </row>
    <row r="205" spans="1:26" ht="18" hidden="1" customHeight="1" x14ac:dyDescent="0.35">
      <c r="A205" s="2"/>
      <c r="B205" s="45" t="str">
        <f>IF(B61="Aucun",0,"Fond")</f>
        <v>Fond</v>
      </c>
      <c r="C205" s="85">
        <f>IF(B61="Aucun",0,B60+VLOOKUP(B61,$A$282:$L$288,6))</f>
        <v>59.7</v>
      </c>
      <c r="D205" s="85">
        <f>IF(B61="Sous verre 2 faces",D60+VLOOKUP(B61,$A$282:$L$288,6),IF(B61="Bandes de mousse fond plein",D60+VLOOKUP(B61,$A$282:$L288,6),IF(B61="Entourage Stratocell 20 mm",D60+4,IF(B61="Entourage Stratocell 30 mm",D60+6,B44))))</f>
        <v>59</v>
      </c>
      <c r="E205" s="85" t="str">
        <f>VLOOKUP(B61,$A$282:$L$288,8)</f>
        <v>PU 50 mm</v>
      </c>
      <c r="F205" s="45">
        <f>VLOOKUP(B61,$A$282:$L$288,7)</f>
        <v>2</v>
      </c>
      <c r="G205" s="2"/>
      <c r="H205" s="2"/>
      <c r="I205" s="2"/>
      <c r="J205" s="89">
        <f t="shared" si="79"/>
        <v>0.70445999999999998</v>
      </c>
      <c r="K205" s="89">
        <f t="shared" si="80"/>
        <v>0.88057499999999989</v>
      </c>
      <c r="L205" s="71">
        <f>IF(E205=0,0,VLOOKUP(E205,'Prix Matiere'!$A$4:$J$65,10))</f>
        <v>9.5670103092783503</v>
      </c>
      <c r="M205" s="71">
        <f t="shared" si="81"/>
        <v>8.4244701030927818</v>
      </c>
      <c r="N205" s="3">
        <f t="shared" si="82"/>
        <v>5.3308982179999997</v>
      </c>
      <c r="O205" s="71">
        <f t="shared" si="83"/>
        <v>4.5312634852999993</v>
      </c>
      <c r="P205" s="2"/>
      <c r="Q205" s="254">
        <f>IF(J205=0,0,J205*VLOOKUP(E205,'Prix Matiere'!$A$4:$L$60,12))</f>
        <v>0.880575</v>
      </c>
      <c r="R205" s="254">
        <f>IF(J205=0,0,Q205*VLOOKUP(E205,'Prix Matiere'!$A$4:$L$60,11))</f>
        <v>2.3775525000000002</v>
      </c>
      <c r="S205" s="2"/>
      <c r="T205" s="2"/>
      <c r="U205" s="2"/>
      <c r="V205" s="2"/>
      <c r="W205" s="2"/>
      <c r="X205" s="2"/>
      <c r="Y205" s="2"/>
      <c r="Z205" s="2"/>
    </row>
    <row r="206" spans="1:26" ht="18" hidden="1" customHeight="1" x14ac:dyDescent="0.35">
      <c r="A206" s="2"/>
      <c r="B206" s="45" t="str">
        <f>IF(B61="Aucun",0,"Remplis de fond")</f>
        <v>Remplis de fond</v>
      </c>
      <c r="C206" s="85">
        <f>IF(B61="Aucun",0,IF(B61="Entourage Stratocell 20 mm",0,IF(B61="Entourage Stratocell 30 mm",0,IF(B61="Sous verre 2 faces",0,IF(B61="Bandes de mousse fond plein",0,D60-B64*2+VLOOKUP(B61,$A$281:$L$288,6))))))</f>
        <v>25.7</v>
      </c>
      <c r="D206" s="85">
        <f>IF(H61="Sous verre 2 faces",0,IF(H61="Bandes de mousse fond plein",0,H64))</f>
        <v>0</v>
      </c>
      <c r="E206" s="85" t="str">
        <f>IF(C206=0,0,VLOOKUP(B61,$A$282:$L$288,8))</f>
        <v>PU 50 mm</v>
      </c>
      <c r="F206" s="45">
        <f>IF(B61="Aucun",0,IF(B61="Sous verre 2 faces",0,2))</f>
        <v>2</v>
      </c>
      <c r="G206" s="2"/>
      <c r="H206" s="2"/>
      <c r="I206" s="2"/>
      <c r="J206" s="89">
        <f t="shared" si="79"/>
        <v>0</v>
      </c>
      <c r="K206" s="89">
        <f t="shared" si="80"/>
        <v>0</v>
      </c>
      <c r="L206" s="71">
        <f>IF(E206=0,0,VLOOKUP(E206,'Prix Matiere'!$A$4:$J$65,10))</f>
        <v>9.5670103092783503</v>
      </c>
      <c r="M206" s="71">
        <f t="shared" si="81"/>
        <v>0</v>
      </c>
      <c r="N206" s="3">
        <f t="shared" si="82"/>
        <v>0</v>
      </c>
      <c r="O206" s="71">
        <f t="shared" si="83"/>
        <v>0</v>
      </c>
      <c r="P206" s="2"/>
      <c r="Q206" s="254">
        <f>IF(J206=0,0,J206*VLOOKUP(E206,'Prix Matiere'!$A$4:$L$60,12))</f>
        <v>0</v>
      </c>
      <c r="R206" s="254">
        <f>IF(J206=0,0,Q206*VLOOKUP(E206,'Prix Matiere'!$A$4:$L$60,11))</f>
        <v>0</v>
      </c>
      <c r="S206" s="2"/>
      <c r="T206" s="2"/>
      <c r="U206" s="2"/>
      <c r="V206" s="2"/>
      <c r="W206" s="2"/>
      <c r="X206" s="2"/>
      <c r="Y206" s="2"/>
      <c r="Z206" s="2"/>
    </row>
    <row r="207" spans="1:26" ht="18" hidden="1" customHeight="1" x14ac:dyDescent="0.35">
      <c r="A207" s="2"/>
      <c r="B207" s="45" t="str">
        <f>IF(B61="Aucun",0,"Dessus")</f>
        <v>Dessus</v>
      </c>
      <c r="C207" s="85">
        <f>IF(B61="Aucun",0,B60+VLOOKUP(B61,$A$282:$L$288,10))</f>
        <v>59</v>
      </c>
      <c r="D207" s="85">
        <f>IF(B61="Sous verre 2 faces",D60+VLOOKUP(B61,$A$282:$L$288,10),IF(B61="Sous verre / bandes de mousse",D60+VLOOKUP(B61,$A$282:$L$288,10),B63))</f>
        <v>7</v>
      </c>
      <c r="E207" s="85" t="str">
        <f>VLOOKUP(B61,$A$282:$L$288,9)</f>
        <v>PU 50 mm</v>
      </c>
      <c r="F207" s="45">
        <f>VLOOKUP(B61,$A$282:$L$288,11)</f>
        <v>2</v>
      </c>
      <c r="G207" s="2"/>
      <c r="H207" s="2"/>
      <c r="I207" s="2"/>
      <c r="J207" s="89">
        <f t="shared" si="79"/>
        <v>8.2600000000000007E-2</v>
      </c>
      <c r="K207" s="89">
        <f t="shared" si="80"/>
        <v>0.10325000000000001</v>
      </c>
      <c r="L207" s="71">
        <f>IF(E207=0,0,VLOOKUP(E207,'Prix Matiere'!$A$4:$J$65,10))</f>
        <v>9.5670103092783503</v>
      </c>
      <c r="M207" s="71">
        <f t="shared" si="81"/>
        <v>0.98779381443298975</v>
      </c>
      <c r="N207" s="3">
        <f t="shared" si="82"/>
        <v>2.3905575799999998</v>
      </c>
      <c r="O207" s="71">
        <f t="shared" si="83"/>
        <v>2.0319739429999997</v>
      </c>
      <c r="P207" s="2"/>
      <c r="Q207" s="254">
        <f>IF(J207=0,0,J207*VLOOKUP(E207,'Prix Matiere'!$A$4:$L$60,12))</f>
        <v>0.10325000000000001</v>
      </c>
      <c r="R207" s="254">
        <f>IF(J207=0,0,Q207*VLOOKUP(E207,'Prix Matiere'!$A$4:$L$60,11))</f>
        <v>0.27877500000000005</v>
      </c>
      <c r="S207" s="2"/>
      <c r="T207" s="2"/>
      <c r="U207" s="2"/>
      <c r="V207" s="2"/>
      <c r="W207" s="2"/>
      <c r="X207" s="2"/>
      <c r="Y207" s="2"/>
      <c r="Z207" s="2"/>
    </row>
    <row r="208" spans="1:26" ht="18" hidden="1" customHeight="1" x14ac:dyDescent="0.35">
      <c r="A208" s="2"/>
      <c r="B208" s="45" t="str">
        <f>IF(B61="Aucun",0,"Remplis de dessus")</f>
        <v>Remplis de dessus</v>
      </c>
      <c r="C208" s="85">
        <f>IF(B61="Aucun",0,IF(B61="Sous verre 2 faces",0,IF(B61="Sous verre / bandes de mousse",0,D60-2*D207+VLOOKUP(B61,$A$282:$L$288,10))))</f>
        <v>25</v>
      </c>
      <c r="D208" s="85">
        <f>IF(B61="Sous verre / bandes de mousse",0,IF(B61="Sous verre 2 faces",0,B63))</f>
        <v>7</v>
      </c>
      <c r="E208" s="85" t="str">
        <f>IF(C208=0,0,VLOOKUP(B61,$A$282:$L$288,9))</f>
        <v>PU 50 mm</v>
      </c>
      <c r="F208" s="45">
        <f>IF(B61="Aucun",0,IF(B61="Sous verre 2 faces",0,IF(B61="Sous verre / bandes de mousse",0,2)))</f>
        <v>2</v>
      </c>
      <c r="G208" s="2"/>
      <c r="H208" s="2"/>
      <c r="I208" s="2"/>
      <c r="J208" s="89">
        <f t="shared" si="79"/>
        <v>3.5000000000000003E-2</v>
      </c>
      <c r="K208" s="89">
        <f t="shared" si="80"/>
        <v>4.3750000000000004E-2</v>
      </c>
      <c r="L208" s="71">
        <f>IF(E208=0,0,VLOOKUP(E208,'Prix Matiere'!$A$4:$J$65,10))</f>
        <v>9.5670103092783503</v>
      </c>
      <c r="M208" s="71">
        <f t="shared" si="81"/>
        <v>0.41855670103092785</v>
      </c>
      <c r="N208" s="3">
        <f t="shared" si="82"/>
        <v>2.1654905000000002</v>
      </c>
      <c r="O208" s="71">
        <f t="shared" si="83"/>
        <v>1.8406669250000001</v>
      </c>
      <c r="P208" s="2"/>
      <c r="Q208" s="254">
        <f>IF(J208=0,0,J208*VLOOKUP(E208,'Prix Matiere'!$A$4:$L$60,12))</f>
        <v>4.3750000000000004E-2</v>
      </c>
      <c r="R208" s="254">
        <f>IF(J208=0,0,Q208*VLOOKUP(E208,'Prix Matiere'!$A$4:$L$60,11))</f>
        <v>0.11812500000000002</v>
      </c>
      <c r="S208" s="2"/>
      <c r="T208" s="2"/>
      <c r="U208" s="2"/>
      <c r="V208" s="2"/>
      <c r="W208" s="2"/>
      <c r="X208" s="2"/>
      <c r="Y208" s="2"/>
      <c r="Z208" s="2"/>
    </row>
    <row r="209" spans="1:26" ht="18" hidden="1" customHeight="1" x14ac:dyDescent="0.35">
      <c r="A209" s="2"/>
      <c r="B209" s="45" t="str">
        <f>IF(B61="Aucun",0,"Rattrapage 1")</f>
        <v>Rattrapage 1</v>
      </c>
      <c r="C209" s="85">
        <f>IF(B66=0,0,B60+0.2)</f>
        <v>0</v>
      </c>
      <c r="D209" s="85">
        <f>IF(B66=0,0,B66)</f>
        <v>0</v>
      </c>
      <c r="E209" s="85">
        <f t="shared" ref="E209:E210" si="85">IF(C209=0,0,CONCATENATE("PU ",$D$66*10," mm"))</f>
        <v>0</v>
      </c>
      <c r="F209" s="45">
        <f>IF(B66=0,0,2)</f>
        <v>0</v>
      </c>
      <c r="G209" s="2"/>
      <c r="H209" s="2"/>
      <c r="I209" s="2"/>
      <c r="J209" s="89">
        <f t="shared" si="79"/>
        <v>0</v>
      </c>
      <c r="K209" s="89">
        <f t="shared" si="80"/>
        <v>0</v>
      </c>
      <c r="L209" s="71">
        <f>IF(E209=0,0,VLOOKUP(E209,'Prix Matiere'!$A$4:$J$65,10))</f>
        <v>0</v>
      </c>
      <c r="M209" s="71">
        <f t="shared" si="81"/>
        <v>0</v>
      </c>
      <c r="N209" s="3">
        <f t="shared" si="82"/>
        <v>0</v>
      </c>
      <c r="O209" s="71">
        <f t="shared" si="83"/>
        <v>0</v>
      </c>
      <c r="P209" s="2"/>
      <c r="Q209" s="254">
        <f>IF(J209=0,0,J209*VLOOKUP(E209,'Prix Matiere'!$A$4:$L$60,12))</f>
        <v>0</v>
      </c>
      <c r="R209" s="254">
        <f>IF(J209=0,0,Q209*VLOOKUP(E209,'Prix Matiere'!$A$4:$L$60,11))</f>
        <v>0</v>
      </c>
      <c r="S209" s="2"/>
      <c r="T209" s="2"/>
      <c r="U209" s="2"/>
      <c r="V209" s="2"/>
      <c r="W209" s="2"/>
      <c r="X209" s="2"/>
      <c r="Y209" s="2"/>
      <c r="Z209" s="2"/>
    </row>
    <row r="210" spans="1:26" ht="18" hidden="1" customHeight="1" x14ac:dyDescent="0.35">
      <c r="A210" s="2"/>
      <c r="B210" s="45" t="str">
        <f>IF(B61="Aucun",0,"Rattrapage 2")</f>
        <v>Rattrapage 2</v>
      </c>
      <c r="C210" s="85">
        <f>IF(B66=0,0,D60+0.2-2*D209)</f>
        <v>0</v>
      </c>
      <c r="D210" s="85">
        <f>IF(B66=0,0,D209)</f>
        <v>0</v>
      </c>
      <c r="E210" s="85">
        <f t="shared" si="85"/>
        <v>0</v>
      </c>
      <c r="F210" s="45">
        <f>IF(B66=0,0,2)</f>
        <v>0</v>
      </c>
      <c r="G210" s="2"/>
      <c r="H210" s="2"/>
      <c r="I210" s="2"/>
      <c r="J210" s="89">
        <f t="shared" si="79"/>
        <v>0</v>
      </c>
      <c r="K210" s="89">
        <f t="shared" si="80"/>
        <v>0</v>
      </c>
      <c r="L210" s="71">
        <f>IF(E210=0,0,VLOOKUP(E210,'Prix Matiere'!$A$4:$J$65,10))</f>
        <v>0</v>
      </c>
      <c r="M210" s="71">
        <f t="shared" si="81"/>
        <v>0</v>
      </c>
      <c r="N210" s="3">
        <f t="shared" si="82"/>
        <v>0</v>
      </c>
      <c r="O210" s="71">
        <f t="shared" si="83"/>
        <v>0</v>
      </c>
      <c r="P210" s="2"/>
      <c r="Q210" s="254">
        <f>IF(J210=0,0,J210*VLOOKUP(E210,'Prix Matiere'!$A$4:$L$60,12))</f>
        <v>0</v>
      </c>
      <c r="R210" s="254">
        <f>IF(J210=0,0,Q210*VLOOKUP(E210,'Prix Matiere'!$A$4:$L$60,11))</f>
        <v>0</v>
      </c>
      <c r="S210" s="2"/>
      <c r="T210" s="2"/>
      <c r="U210" s="2"/>
      <c r="V210" s="2"/>
      <c r="W210" s="2"/>
      <c r="X210" s="2"/>
      <c r="Y210" s="2"/>
      <c r="Z210" s="2"/>
    </row>
    <row r="211" spans="1:26" ht="18" hidden="1" customHeight="1" x14ac:dyDescent="0.35">
      <c r="A211" s="2"/>
      <c r="B211" s="45" t="str">
        <f>IF(B61="Aucun",0,"Remplissage 1")</f>
        <v>Remplissage 1</v>
      </c>
      <c r="C211" s="85">
        <f t="shared" ref="C211:D211" si="86">IF(B67=0,0,B67)</f>
        <v>0</v>
      </c>
      <c r="D211" s="85">
        <f t="shared" si="86"/>
        <v>0</v>
      </c>
      <c r="E211" s="85">
        <f>IF(C211=0,0,CONCATENATE("PU ",$D$67*10," mm"))</f>
        <v>0</v>
      </c>
      <c r="F211" s="45">
        <f t="shared" ref="F211:F212" si="87">IF(B67=0,0,1)</f>
        <v>0</v>
      </c>
      <c r="G211" s="2"/>
      <c r="H211" s="2"/>
      <c r="I211" s="2"/>
      <c r="J211" s="89">
        <f t="shared" si="79"/>
        <v>0</v>
      </c>
      <c r="K211" s="89">
        <f t="shared" si="80"/>
        <v>0</v>
      </c>
      <c r="L211" s="71">
        <f>IF(E211=0,0,VLOOKUP(E211,'Prix Matiere'!$A$4:$J$65,10))</f>
        <v>0</v>
      </c>
      <c r="M211" s="71">
        <f t="shared" si="81"/>
        <v>0</v>
      </c>
      <c r="N211" s="3">
        <f t="shared" si="82"/>
        <v>0</v>
      </c>
      <c r="O211" s="71">
        <f t="shared" si="83"/>
        <v>0</v>
      </c>
      <c r="P211" s="2"/>
      <c r="Q211" s="254">
        <f>IF(J211=0,0,J211*VLOOKUP(E211,'Prix Matiere'!$A$4:$L$60,12))</f>
        <v>0</v>
      </c>
      <c r="R211" s="254">
        <f>IF(J211=0,0,Q211*VLOOKUP(E211,'Prix Matiere'!$A$4:$L$60,11))</f>
        <v>0</v>
      </c>
      <c r="S211" s="2"/>
      <c r="T211" s="2"/>
      <c r="U211" s="2"/>
      <c r="V211" s="2"/>
      <c r="W211" s="2"/>
      <c r="X211" s="2"/>
      <c r="Y211" s="2"/>
      <c r="Z211" s="2"/>
    </row>
    <row r="212" spans="1:26" ht="18" hidden="1" customHeight="1" x14ac:dyDescent="0.35">
      <c r="A212" s="2"/>
      <c r="B212" s="45" t="str">
        <f>IF(B61="Aucun",0,"Remplissage 2")</f>
        <v>Remplissage 2</v>
      </c>
      <c r="C212" s="85">
        <f t="shared" ref="C212:D212" si="88">IF(B68=0,0,B68)</f>
        <v>0</v>
      </c>
      <c r="D212" s="85">
        <f t="shared" si="88"/>
        <v>0</v>
      </c>
      <c r="E212" s="85">
        <f>IF(C212=0,0,CONCATENATE("PU ",$D$68*10," mm"))</f>
        <v>0</v>
      </c>
      <c r="F212" s="45">
        <f t="shared" si="87"/>
        <v>0</v>
      </c>
      <c r="G212" s="2"/>
      <c r="H212" s="2"/>
      <c r="I212" s="2"/>
      <c r="J212" s="89">
        <f t="shared" si="79"/>
        <v>0</v>
      </c>
      <c r="K212" s="89">
        <f t="shared" si="80"/>
        <v>0</v>
      </c>
      <c r="L212" s="71">
        <f>IF(E212=0,0,VLOOKUP(E212,'Prix Matiere'!$A$4:$J$65,10))</f>
        <v>0</v>
      </c>
      <c r="M212" s="71">
        <f t="shared" si="81"/>
        <v>0</v>
      </c>
      <c r="N212" s="3">
        <f t="shared" si="82"/>
        <v>0</v>
      </c>
      <c r="O212" s="71">
        <f t="shared" si="83"/>
        <v>0</v>
      </c>
      <c r="P212" s="2"/>
      <c r="Q212" s="254">
        <f>IF(J212=0,0,J212*VLOOKUP(E212,'Prix Matiere'!$A$4:$L$60,12))</f>
        <v>0</v>
      </c>
      <c r="R212" s="254">
        <f>IF(J212=0,0,Q212*VLOOKUP(E212,'Prix Matiere'!$A$4:$L$60,11))</f>
        <v>0</v>
      </c>
      <c r="S212" s="2"/>
      <c r="T212" s="2"/>
      <c r="U212" s="2"/>
      <c r="V212" s="2"/>
      <c r="W212" s="2"/>
      <c r="X212" s="2"/>
      <c r="Y212" s="2"/>
      <c r="Z212" s="2"/>
    </row>
    <row r="213" spans="1:26" ht="18" hidden="1" customHeight="1" x14ac:dyDescent="0.35">
      <c r="A213" s="2"/>
      <c r="B213" s="45" t="str">
        <f>IF(B61="Aucun",0,"Carton")</f>
        <v>Carton</v>
      </c>
      <c r="C213" s="85">
        <f>IF(F213=0,0,B60+VLOOKUP(B61,$A$282:$L$288,10))</f>
        <v>59</v>
      </c>
      <c r="D213" s="85">
        <f>IF(E213=0,0,D60+VLOOKUP(B61,$A$282:$L$288,10))</f>
        <v>39</v>
      </c>
      <c r="E213" s="85" t="str">
        <f>IF(C213=0,0,"Carton")</f>
        <v>Carton</v>
      </c>
      <c r="F213" s="45">
        <f>VLOOKUP(B61,$A$282:$L$288,12)</f>
        <v>1</v>
      </c>
      <c r="G213" s="2"/>
      <c r="H213" s="2"/>
      <c r="I213" s="2"/>
      <c r="J213" s="89">
        <f t="shared" si="79"/>
        <v>0.2301</v>
      </c>
      <c r="K213" s="89">
        <f t="shared" si="80"/>
        <v>0.28762499999999996</v>
      </c>
      <c r="L213" s="71">
        <f>IF(E213=0,0,Carton)</f>
        <v>2.3247749959090167</v>
      </c>
      <c r="M213" s="71">
        <f t="shared" si="81"/>
        <v>0.66866340819833081</v>
      </c>
      <c r="N213" s="3">
        <f>IF(J213=0,0,2.356*J213+1)</f>
        <v>1.5421155999999998</v>
      </c>
      <c r="O213" s="71">
        <f t="shared" si="83"/>
        <v>1.3107982599999999</v>
      </c>
      <c r="P213" s="2"/>
      <c r="Q213" s="254">
        <f>IF(J213=0,0,J213*Poids_Carton)</f>
        <v>0.2301</v>
      </c>
      <c r="R213" s="254">
        <f>IF(J213=0,0,Q213*VLOOKUP(E213,'Prix Matiere'!$A$4:$L$60,11))</f>
        <v>0.11136839999999999</v>
      </c>
      <c r="S213" s="2"/>
      <c r="T213" s="2"/>
      <c r="U213" s="2"/>
      <c r="V213" s="2"/>
      <c r="W213" s="2"/>
      <c r="X213" s="2"/>
      <c r="Y213" s="2"/>
      <c r="Z213" s="2"/>
    </row>
    <row r="214" spans="1:26" ht="18" hidden="1" customHeight="1" x14ac:dyDescent="0.35">
      <c r="A214" s="2"/>
      <c r="B214" s="2"/>
      <c r="C214" s="2"/>
      <c r="D214" s="2"/>
      <c r="E214" s="2"/>
      <c r="F214" s="2"/>
      <c r="G214" s="2"/>
      <c r="H214" s="2"/>
      <c r="I214" s="2"/>
      <c r="J214" s="89"/>
      <c r="K214" s="89"/>
      <c r="L214" s="71"/>
      <c r="M214" s="71"/>
      <c r="N214" s="3"/>
      <c r="O214" s="71"/>
      <c r="P214" s="2"/>
      <c r="Q214" s="254">
        <f>IF(J214=0,0,J214*VLOOKUP(E214,'Prix Matiere'!$A$4:$L$60,12))</f>
        <v>0</v>
      </c>
      <c r="R214" s="254"/>
      <c r="S214" s="2"/>
      <c r="T214" s="2"/>
      <c r="U214" s="2"/>
      <c r="V214" s="2"/>
      <c r="W214" s="2"/>
      <c r="X214" s="2"/>
      <c r="Y214" s="2"/>
      <c r="Z214" s="2"/>
    </row>
    <row r="215" spans="1:26" ht="18" hidden="1" customHeight="1" x14ac:dyDescent="0.35">
      <c r="A215" s="2"/>
      <c r="B215" s="38" t="s">
        <v>165</v>
      </c>
      <c r="C215" s="2"/>
      <c r="D215" s="2"/>
      <c r="E215" s="2"/>
      <c r="F215" s="2"/>
      <c r="G215" s="2"/>
      <c r="H215" s="2"/>
      <c r="I215" s="2"/>
      <c r="J215" s="89"/>
      <c r="K215" s="89"/>
      <c r="L215" s="71"/>
      <c r="M215" s="71"/>
      <c r="N215" s="3"/>
      <c r="O215" s="71"/>
      <c r="P215" s="2"/>
      <c r="Q215" s="254">
        <f>IF(J215=0,0,J215*VLOOKUP(E215,'Prix Matiere'!$A$4:$L$60,12))</f>
        <v>0</v>
      </c>
      <c r="R215" s="254"/>
      <c r="S215" s="2"/>
      <c r="T215" s="2"/>
      <c r="U215" s="2"/>
      <c r="V215" s="2"/>
      <c r="W215" s="2"/>
      <c r="X215" s="2"/>
      <c r="Y215" s="2"/>
      <c r="Z215" s="2"/>
    </row>
    <row r="216" spans="1:26" ht="18" hidden="1" customHeight="1" x14ac:dyDescent="0.35">
      <c r="A216" s="2"/>
      <c r="B216" s="41">
        <f>IF(H61="Aucun",0,"Dessus")</f>
        <v>0</v>
      </c>
      <c r="C216" s="85">
        <f>IF(H61="Aucun",0,VLOOKUP(H61,$A$282:$L$288,2)+H60)</f>
        <v>0</v>
      </c>
      <c r="D216" s="85">
        <f>IF(H61="Aucun",0,I60+VLOOKUP(H61,$A$282:$L$288,5))</f>
        <v>0</v>
      </c>
      <c r="E216" s="85">
        <f>VLOOKUP(H61,$A$282:$L$288,9)</f>
        <v>0</v>
      </c>
      <c r="F216" s="45">
        <f>IF(H61="Aucun",0,1)</f>
        <v>0</v>
      </c>
      <c r="G216" s="2"/>
      <c r="H216" s="2"/>
      <c r="I216" s="2"/>
      <c r="J216" s="89">
        <f t="shared" ref="J216:J229" si="89">IF(C216=0,0,(C216/100)*(D216/100)*F216)</f>
        <v>0</v>
      </c>
      <c r="K216" s="89">
        <f t="shared" ref="K216:K229" si="90">J216/0.8</f>
        <v>0</v>
      </c>
      <c r="L216" s="71">
        <f>IF(E216=0,0,VLOOKUP(E216,'Prix Matiere'!$A$4:$J$65,10))</f>
        <v>0</v>
      </c>
      <c r="M216" s="71">
        <f t="shared" ref="M216:M229" si="91">L216*K216</f>
        <v>0</v>
      </c>
      <c r="N216" s="3">
        <f t="shared" ref="N216:N228" si="92">IF(J216=0,0,4.7283*J216+2)</f>
        <v>0</v>
      </c>
      <c r="O216" s="71">
        <f t="shared" ref="O216:O234" si="93">N216*MinuteMO</f>
        <v>0</v>
      </c>
      <c r="P216" s="2"/>
      <c r="Q216" s="254">
        <f>IF(J216=0,0,J216*VLOOKUP(E216,'Prix Matiere'!$A$4:$L$60,12))</f>
        <v>0</v>
      </c>
      <c r="R216" s="254">
        <f>IF(J216=0,0,Q216*VLOOKUP(E216,'Prix Matiere'!$A$4:$L$60,11))</f>
        <v>0</v>
      </c>
      <c r="S216" s="2"/>
      <c r="T216" s="2"/>
      <c r="U216" s="2"/>
      <c r="V216" s="2"/>
      <c r="W216" s="2"/>
      <c r="X216" s="2"/>
      <c r="Y216" s="2"/>
      <c r="Z216" s="2"/>
    </row>
    <row r="217" spans="1:26" ht="18" hidden="1" customHeight="1" x14ac:dyDescent="0.35">
      <c r="A217" s="2"/>
      <c r="B217" s="45">
        <f>IF(H61="Aucun",0,"Extrémité")</f>
        <v>0</v>
      </c>
      <c r="C217" s="85">
        <f>IF(H61="Aucun",0,IF(H60&lt;60,10,IF(H60&lt;80,15,20)))</f>
        <v>0</v>
      </c>
      <c r="D217" s="85">
        <f t="shared" ref="D217:D220" si="94">D216</f>
        <v>0</v>
      </c>
      <c r="E217" s="85">
        <f>VLOOKUP(H61,$A$282:$L$288,9)</f>
        <v>0</v>
      </c>
      <c r="F217" s="45">
        <f>IF(H61="Aucun",0,2)</f>
        <v>0</v>
      </c>
      <c r="G217" s="2"/>
      <c r="H217" s="2"/>
      <c r="I217" s="2"/>
      <c r="J217" s="89">
        <f t="shared" si="89"/>
        <v>0</v>
      </c>
      <c r="K217" s="89">
        <f t="shared" si="90"/>
        <v>0</v>
      </c>
      <c r="L217" s="71">
        <f>IF(E217=0,0,VLOOKUP(E217,'Prix Matiere'!$A$4:$J$65,10))</f>
        <v>0</v>
      </c>
      <c r="M217" s="71">
        <f t="shared" si="91"/>
        <v>0</v>
      </c>
      <c r="N217" s="3">
        <f t="shared" si="92"/>
        <v>0</v>
      </c>
      <c r="O217" s="71">
        <f t="shared" si="93"/>
        <v>0</v>
      </c>
      <c r="P217" s="2"/>
      <c r="Q217" s="254">
        <f>IF(J217=0,0,J217*VLOOKUP(E217,'Prix Matiere'!$A$4:$L$60,12))</f>
        <v>0</v>
      </c>
      <c r="R217" s="254">
        <f>IF(J217=0,0,Q217*VLOOKUP(E217,'Prix Matiere'!$A$4:$L$60,11))</f>
        <v>0</v>
      </c>
      <c r="S217" s="2"/>
      <c r="T217" s="2"/>
      <c r="U217" s="2"/>
      <c r="V217" s="2"/>
      <c r="W217" s="2"/>
      <c r="X217" s="2"/>
      <c r="Y217" s="2"/>
      <c r="Z217" s="2"/>
    </row>
    <row r="218" spans="1:26" ht="18" hidden="1" customHeight="1" x14ac:dyDescent="0.35">
      <c r="A218" s="2"/>
      <c r="B218" s="45">
        <f>IF(H61="Aucun",0,G65)</f>
        <v>0</v>
      </c>
      <c r="C218" s="85">
        <f>H65</f>
        <v>0</v>
      </c>
      <c r="D218" s="85">
        <f t="shared" si="94"/>
        <v>0</v>
      </c>
      <c r="E218" s="85">
        <f>IF(H61="Aucun",0,IF(B218="Ethafoam 50 mm","Ethafoam 50 mm","Agglocelle 50 mm"))</f>
        <v>0</v>
      </c>
      <c r="F218" s="45">
        <f>K65</f>
        <v>2</v>
      </c>
      <c r="G218" s="2"/>
      <c r="H218" s="2"/>
      <c r="I218" s="2"/>
      <c r="J218" s="89">
        <f t="shared" si="89"/>
        <v>0</v>
      </c>
      <c r="K218" s="89">
        <f t="shared" si="90"/>
        <v>0</v>
      </c>
      <c r="L218" s="71">
        <f>IF(E218=0,0,VLOOKUP(E218,'Prix Matiere'!$A$4:$J$65,10))</f>
        <v>0</v>
      </c>
      <c r="M218" s="71">
        <f t="shared" si="91"/>
        <v>0</v>
      </c>
      <c r="N218" s="3">
        <f t="shared" si="92"/>
        <v>0</v>
      </c>
      <c r="O218" s="71">
        <f t="shared" si="93"/>
        <v>0</v>
      </c>
      <c r="P218" s="2"/>
      <c r="Q218" s="254">
        <f>IF(J218=0,0,J218*VLOOKUP(E218,'Prix Matiere'!$A$4:$L$60,12))</f>
        <v>0</v>
      </c>
      <c r="R218" s="254">
        <f>IF(J218=0,0,Q218*VLOOKUP(E218,'Prix Matiere'!$A$4:$L$60,11))</f>
        <v>0</v>
      </c>
      <c r="S218" s="2"/>
      <c r="T218" s="2"/>
      <c r="U218" s="2"/>
      <c r="V218" s="2"/>
      <c r="W218" s="2"/>
      <c r="X218" s="2"/>
      <c r="Y218" s="2"/>
      <c r="Z218" s="2"/>
    </row>
    <row r="219" spans="1:26" ht="18" hidden="1" customHeight="1" x14ac:dyDescent="0.35">
      <c r="A219" s="2"/>
      <c r="B219" s="45">
        <f>IF(H61="Aucun",0,"Milieu")</f>
        <v>0</v>
      </c>
      <c r="C219" s="85">
        <f>(C216-((C217*F217)+(C218*F218)))/(F218-1)</f>
        <v>0</v>
      </c>
      <c r="D219" s="85">
        <f t="shared" si="94"/>
        <v>0</v>
      </c>
      <c r="E219" s="85">
        <f>VLOOKUP(H61,$A$282:$L$288,9)</f>
        <v>0</v>
      </c>
      <c r="F219" s="45">
        <f>IF(H61="Aucun",0,F218-1)</f>
        <v>0</v>
      </c>
      <c r="G219" s="2"/>
      <c r="H219" s="2"/>
      <c r="I219" s="2"/>
      <c r="J219" s="89">
        <f t="shared" si="89"/>
        <v>0</v>
      </c>
      <c r="K219" s="89">
        <f t="shared" si="90"/>
        <v>0</v>
      </c>
      <c r="L219" s="71">
        <f>IF(E219=0,0,VLOOKUP(E219,'Prix Matiere'!$A$4:$J$65,10))</f>
        <v>0</v>
      </c>
      <c r="M219" s="71">
        <f t="shared" si="91"/>
        <v>0</v>
      </c>
      <c r="N219" s="3">
        <f t="shared" si="92"/>
        <v>0</v>
      </c>
      <c r="O219" s="71">
        <f t="shared" si="93"/>
        <v>0</v>
      </c>
      <c r="P219" s="2"/>
      <c r="Q219" s="254">
        <f>IF(J219=0,0,J219*VLOOKUP(E219,'Prix Matiere'!$A$4:$L$60,12))</f>
        <v>0</v>
      </c>
      <c r="R219" s="254">
        <f>IF(J219=0,0,Q219*VLOOKUP(E219,'Prix Matiere'!$A$4:$L$60,11))</f>
        <v>0</v>
      </c>
      <c r="S219" s="2"/>
      <c r="T219" s="2"/>
      <c r="U219" s="2"/>
      <c r="V219" s="2"/>
      <c r="W219" s="2"/>
      <c r="X219" s="2"/>
      <c r="Y219" s="2"/>
      <c r="Z219" s="2"/>
    </row>
    <row r="220" spans="1:26" ht="18" hidden="1" customHeight="1" x14ac:dyDescent="0.35">
      <c r="A220" s="2"/>
      <c r="B220" s="45">
        <f>IF(H61="Aucun",0,"Bouts avec passage de main")</f>
        <v>0</v>
      </c>
      <c r="C220" s="85">
        <f>IF(H61="Aucun",0,(J60-IF(J60&gt;120,30,15))/(F220/2))</f>
        <v>0</v>
      </c>
      <c r="D220" s="85">
        <f t="shared" si="94"/>
        <v>0</v>
      </c>
      <c r="E220" s="85">
        <f>VLOOKUP(H61,$A$282:$L$288,9)</f>
        <v>0</v>
      </c>
      <c r="F220" s="45">
        <f>IF(H61="Aucun",0,IF(J99&gt;120,6,4))</f>
        <v>0</v>
      </c>
      <c r="G220" s="2"/>
      <c r="H220" s="2"/>
      <c r="I220" s="2"/>
      <c r="J220" s="89">
        <f t="shared" si="89"/>
        <v>0</v>
      </c>
      <c r="K220" s="89">
        <f t="shared" si="90"/>
        <v>0</v>
      </c>
      <c r="L220" s="71">
        <f>IF(E220=0,0,VLOOKUP(E220,'Prix Matiere'!$A$4:$J$65,10))</f>
        <v>0</v>
      </c>
      <c r="M220" s="71">
        <f t="shared" si="91"/>
        <v>0</v>
      </c>
      <c r="N220" s="3">
        <f t="shared" si="92"/>
        <v>0</v>
      </c>
      <c r="O220" s="71">
        <f t="shared" si="93"/>
        <v>0</v>
      </c>
      <c r="P220" s="2"/>
      <c r="Q220" s="254">
        <f>IF(J220=0,0,J220*VLOOKUP(E220,'Prix Matiere'!$A$4:$L$60,12))</f>
        <v>0</v>
      </c>
      <c r="R220" s="254">
        <f>IF(J220=0,0,Q220*VLOOKUP(E220,'Prix Matiere'!$A$4:$L$60,11))</f>
        <v>0</v>
      </c>
      <c r="S220" s="2"/>
      <c r="T220" s="2"/>
      <c r="U220" s="2"/>
      <c r="V220" s="2"/>
      <c r="W220" s="2"/>
      <c r="X220" s="2"/>
      <c r="Y220" s="2"/>
      <c r="Z220" s="2"/>
    </row>
    <row r="221" spans="1:26" ht="18" hidden="1" customHeight="1" x14ac:dyDescent="0.35">
      <c r="A221" s="2"/>
      <c r="B221" s="45">
        <f>IF(H61="Aucun",0,"Fond")</f>
        <v>0</v>
      </c>
      <c r="C221" s="85">
        <f>IF(H61="Aucun",0,H60+VLOOKUP(H61,$A$282:$L$288,6))</f>
        <v>0</v>
      </c>
      <c r="D221" s="85">
        <f>IF(H61="Sous verre 2 faces",H60+VLOOKUP(H61,$A$280:$L$288,6),IF(H61="Bandes de mousse fond plein",H60+VLOOKUP(H61,$A$280:$L360,6),IF(H61="Entourage Stratocell 20 mm",H60+4,IF(H61="Entourage Stratocell 30 mm",H60+6,H64))))</f>
        <v>0</v>
      </c>
      <c r="E221" s="85">
        <f>VLOOKUP(H61,$A$282:$L$288,8)</f>
        <v>0</v>
      </c>
      <c r="F221" s="45">
        <f>VLOOKUP(H61,$A$282:$L$288,7)</f>
        <v>0</v>
      </c>
      <c r="G221" s="2"/>
      <c r="H221" s="2"/>
      <c r="I221" s="2"/>
      <c r="J221" s="89">
        <f t="shared" si="89"/>
        <v>0</v>
      </c>
      <c r="K221" s="89">
        <f t="shared" si="90"/>
        <v>0</v>
      </c>
      <c r="L221" s="71">
        <f>IF(E221=0,0,VLOOKUP(E221,'Prix Matiere'!$A$4:$J$65,10))</f>
        <v>0</v>
      </c>
      <c r="M221" s="71">
        <f t="shared" si="91"/>
        <v>0</v>
      </c>
      <c r="N221" s="3">
        <f t="shared" si="92"/>
        <v>0</v>
      </c>
      <c r="O221" s="71">
        <f t="shared" si="93"/>
        <v>0</v>
      </c>
      <c r="P221" s="2"/>
      <c r="Q221" s="254">
        <f>IF(J221=0,0,J221*VLOOKUP(E221,'Prix Matiere'!$A$4:$L$60,12))</f>
        <v>0</v>
      </c>
      <c r="R221" s="254">
        <f>IF(J221=0,0,Q221*VLOOKUP(E221,'Prix Matiere'!$A$4:$L$60,11))</f>
        <v>0</v>
      </c>
      <c r="S221" s="2"/>
      <c r="T221" s="2"/>
      <c r="U221" s="2"/>
      <c r="V221" s="2"/>
      <c r="W221" s="2"/>
      <c r="X221" s="2"/>
      <c r="Y221" s="2"/>
      <c r="Z221" s="2"/>
    </row>
    <row r="222" spans="1:26" ht="18" hidden="1" customHeight="1" x14ac:dyDescent="0.35">
      <c r="A222" s="2"/>
      <c r="B222" s="45">
        <f>IF(H61="Aucun",0,"Remplis de fond")</f>
        <v>0</v>
      </c>
      <c r="C222" s="85">
        <f>IF(H61="Aucun",0,IF(H61="Entourage Stratocell 20 mm",0,IF(H61="Entourage Stratocell 30 mm",0,IF(H61="Sous verre 2 faces",0,IF(H61="Bandes de mousse fond plein",0,J60-H64*2+VLOOKUP(H61,$A$281:$L$288,6))))))</f>
        <v>0</v>
      </c>
      <c r="D222" s="85">
        <f>IF(H61="Sous verre 2 faces",0,IF(H61="Bandes de mousse fond plein",0,H64))</f>
        <v>0</v>
      </c>
      <c r="E222" s="85">
        <f>IF(C222=0,0,VLOOKUP(H61,$A$282:$L$288,8))</f>
        <v>0</v>
      </c>
      <c r="F222" s="45">
        <f>IF(H61="Aucun",0,IF(H61="Sous verre 2 faces",0,2))</f>
        <v>0</v>
      </c>
      <c r="G222" s="2"/>
      <c r="H222" s="2"/>
      <c r="I222" s="2"/>
      <c r="J222" s="89">
        <f t="shared" si="89"/>
        <v>0</v>
      </c>
      <c r="K222" s="89">
        <f t="shared" si="90"/>
        <v>0</v>
      </c>
      <c r="L222" s="71">
        <f>IF(E222=0,0,VLOOKUP(E222,'Prix Matiere'!$A$4:$J$65,10))</f>
        <v>0</v>
      </c>
      <c r="M222" s="71">
        <f t="shared" si="91"/>
        <v>0</v>
      </c>
      <c r="N222" s="3">
        <f t="shared" si="92"/>
        <v>0</v>
      </c>
      <c r="O222" s="71">
        <f t="shared" si="93"/>
        <v>0</v>
      </c>
      <c r="P222" s="2"/>
      <c r="Q222" s="254">
        <f>IF(J222=0,0,J222*VLOOKUP(E222,'Prix Matiere'!$A$4:$L$60,12))</f>
        <v>0</v>
      </c>
      <c r="R222" s="254">
        <f>IF(J222=0,0,Q222*VLOOKUP(E222,'Prix Matiere'!$A$4:$L$60,11))</f>
        <v>0</v>
      </c>
      <c r="S222" s="2"/>
      <c r="T222" s="2"/>
      <c r="U222" s="2"/>
      <c r="V222" s="2"/>
      <c r="W222" s="2"/>
      <c r="X222" s="2"/>
      <c r="Y222" s="2"/>
      <c r="Z222" s="2"/>
    </row>
    <row r="223" spans="1:26" ht="18" hidden="1" customHeight="1" x14ac:dyDescent="0.35">
      <c r="A223" s="2"/>
      <c r="B223" s="45">
        <f>IF(H61="Aucun",0,"Dessus")</f>
        <v>0</v>
      </c>
      <c r="C223" s="85">
        <f>IF(H61="Aucun",0,H60+VLOOKUP(H61,$A$282:$L$288,10))</f>
        <v>0</v>
      </c>
      <c r="D223" s="85">
        <f>IF(H61="Sous verre 2 faces",J60+VLOOKUP(H61,$A$282:$L$288,10),IF(H61="Sous verre / bandes de mousse",J60+VLOOKUP(H61,$A$282:$L$288,10),H63))</f>
        <v>0</v>
      </c>
      <c r="E223" s="85">
        <f>VLOOKUP(H61,$A$282:$L$288,9)</f>
        <v>0</v>
      </c>
      <c r="F223" s="45">
        <f>VLOOKUP(H61,$A$282:$L$288,11)</f>
        <v>0</v>
      </c>
      <c r="G223" s="2"/>
      <c r="H223" s="2"/>
      <c r="I223" s="2"/>
      <c r="J223" s="89">
        <f t="shared" si="89"/>
        <v>0</v>
      </c>
      <c r="K223" s="89">
        <f t="shared" si="90"/>
        <v>0</v>
      </c>
      <c r="L223" s="71">
        <f>IF(E223=0,0,VLOOKUP(E223,'Prix Matiere'!$A$4:$J$65,10))</f>
        <v>0</v>
      </c>
      <c r="M223" s="71">
        <f t="shared" si="91"/>
        <v>0</v>
      </c>
      <c r="N223" s="3">
        <f t="shared" si="92"/>
        <v>0</v>
      </c>
      <c r="O223" s="71">
        <f t="shared" si="93"/>
        <v>0</v>
      </c>
      <c r="P223" s="2"/>
      <c r="Q223" s="254">
        <f>IF(J223=0,0,J223*VLOOKUP(E223,'Prix Matiere'!$A$4:$L$60,12))</f>
        <v>0</v>
      </c>
      <c r="R223" s="254">
        <f>IF(J223=0,0,Q223*VLOOKUP(E223,'Prix Matiere'!$A$4:$L$60,11))</f>
        <v>0</v>
      </c>
      <c r="S223" s="2"/>
      <c r="T223" s="2"/>
      <c r="U223" s="2"/>
      <c r="V223" s="2"/>
      <c r="W223" s="2"/>
      <c r="X223" s="2"/>
      <c r="Y223" s="2"/>
      <c r="Z223" s="2"/>
    </row>
    <row r="224" spans="1:26" ht="18" hidden="1" customHeight="1" x14ac:dyDescent="0.35">
      <c r="A224" s="2"/>
      <c r="B224" s="45">
        <f>IF(H61="Aucun",0,"Remplis de dessus")</f>
        <v>0</v>
      </c>
      <c r="C224" s="85">
        <f>IF(H61="Aucun",0,IF(H61="Sous verre 2 faces",0,IF(H61="Sous verre / bandes de mousse",0,J60-2*D223+VLOOKUP(H61,$A$282:$L$288,10))))</f>
        <v>0</v>
      </c>
      <c r="D224" s="85">
        <f>IF(H61="Sous verre / bandes de mousse",0,IF(H61="Sous verre 2 faces",0,H63))</f>
        <v>0</v>
      </c>
      <c r="E224" s="85">
        <f>IF(C224=0,0,VLOOKUP(H61,$A$282:$L$288,9))</f>
        <v>0</v>
      </c>
      <c r="F224" s="45">
        <f>IF(H61="Aucun",0,IF(H61="Sous verre 2 faces",0,IF(H61="Sous verre / bandes de mousse",0,2)))</f>
        <v>0</v>
      </c>
      <c r="G224" s="2"/>
      <c r="H224" s="2"/>
      <c r="I224" s="2"/>
      <c r="J224" s="89">
        <f t="shared" si="89"/>
        <v>0</v>
      </c>
      <c r="K224" s="89">
        <f t="shared" si="90"/>
        <v>0</v>
      </c>
      <c r="L224" s="71">
        <f>IF(E224=0,0,VLOOKUP(E224,'Prix Matiere'!$A$4:$J$65,10))</f>
        <v>0</v>
      </c>
      <c r="M224" s="71">
        <f t="shared" si="91"/>
        <v>0</v>
      </c>
      <c r="N224" s="3">
        <f t="shared" si="92"/>
        <v>0</v>
      </c>
      <c r="O224" s="71">
        <f t="shared" si="93"/>
        <v>0</v>
      </c>
      <c r="P224" s="2"/>
      <c r="Q224" s="254">
        <f>IF(J224=0,0,J224*VLOOKUP(E224,'Prix Matiere'!$A$4:$L$60,12))</f>
        <v>0</v>
      </c>
      <c r="R224" s="254">
        <f>IF(J224=0,0,Q224*VLOOKUP(E224,'Prix Matiere'!$A$4:$L$60,11))</f>
        <v>0</v>
      </c>
      <c r="S224" s="2"/>
      <c r="T224" s="2"/>
      <c r="U224" s="2"/>
      <c r="V224" s="2"/>
      <c r="W224" s="2"/>
      <c r="X224" s="2"/>
      <c r="Y224" s="2"/>
      <c r="Z224" s="2"/>
    </row>
    <row r="225" spans="1:26" ht="18" hidden="1" customHeight="1" x14ac:dyDescent="0.35">
      <c r="A225" s="2"/>
      <c r="B225" s="45">
        <f>IF(H61="Aucun",0,"Rattrapage 1")</f>
        <v>0</v>
      </c>
      <c r="C225" s="85">
        <f>IF(H66=0,0,H60+0.2)</f>
        <v>0</v>
      </c>
      <c r="D225" s="85">
        <f>IF(H66=0,0,H66)</f>
        <v>0</v>
      </c>
      <c r="E225" s="85">
        <f t="shared" ref="E225:E226" si="95">IF(C225=0,0,CONCATENATE("PU ",$J$66*10," mm"))</f>
        <v>0</v>
      </c>
      <c r="F225" s="45">
        <f>IF(H66=0,0,2)</f>
        <v>0</v>
      </c>
      <c r="G225" s="2"/>
      <c r="H225" s="2"/>
      <c r="I225" s="2"/>
      <c r="J225" s="89">
        <f t="shared" si="89"/>
        <v>0</v>
      </c>
      <c r="K225" s="89">
        <f t="shared" si="90"/>
        <v>0</v>
      </c>
      <c r="L225" s="71">
        <f>IF(E225=0,0,VLOOKUP(E225,'Prix Matiere'!$A$4:$J$65,10))</f>
        <v>0</v>
      </c>
      <c r="M225" s="71">
        <f t="shared" si="91"/>
        <v>0</v>
      </c>
      <c r="N225" s="3">
        <f t="shared" si="92"/>
        <v>0</v>
      </c>
      <c r="O225" s="71">
        <f t="shared" si="93"/>
        <v>0</v>
      </c>
      <c r="P225" s="2"/>
      <c r="Q225" s="254">
        <f>IF(J225=0,0,J225*VLOOKUP(E225,'Prix Matiere'!$A$4:$L$60,12))</f>
        <v>0</v>
      </c>
      <c r="R225" s="254">
        <f>IF(J225=0,0,Q225*VLOOKUP(E225,'Prix Matiere'!$A$4:$L$60,11))</f>
        <v>0</v>
      </c>
      <c r="S225" s="2"/>
      <c r="T225" s="2"/>
      <c r="U225" s="2"/>
      <c r="V225" s="2"/>
      <c r="W225" s="2"/>
      <c r="X225" s="2"/>
      <c r="Y225" s="2"/>
      <c r="Z225" s="2"/>
    </row>
    <row r="226" spans="1:26" ht="18" hidden="1" customHeight="1" x14ac:dyDescent="0.35">
      <c r="A226" s="2"/>
      <c r="B226" s="45">
        <f>IF(H61="Aucun",0,"Rattrapage 2")</f>
        <v>0</v>
      </c>
      <c r="C226" s="85">
        <f>IF(H66=0,0,J60+0.2-2*D225)</f>
        <v>0</v>
      </c>
      <c r="D226" s="85">
        <f>IF(H66=0,0,D225)</f>
        <v>0</v>
      </c>
      <c r="E226" s="85">
        <f t="shared" si="95"/>
        <v>0</v>
      </c>
      <c r="F226" s="45">
        <f>IF(H66=0,0,2)</f>
        <v>0</v>
      </c>
      <c r="G226" s="2"/>
      <c r="H226" s="2"/>
      <c r="I226" s="2"/>
      <c r="J226" s="89">
        <f t="shared" si="89"/>
        <v>0</v>
      </c>
      <c r="K226" s="89">
        <f t="shared" si="90"/>
        <v>0</v>
      </c>
      <c r="L226" s="71">
        <f>IF(E226=0,0,VLOOKUP(E226,'Prix Matiere'!$A$4:$J$65,10))</f>
        <v>0</v>
      </c>
      <c r="M226" s="71">
        <f t="shared" si="91"/>
        <v>0</v>
      </c>
      <c r="N226" s="3">
        <f t="shared" si="92"/>
        <v>0</v>
      </c>
      <c r="O226" s="71">
        <f t="shared" si="93"/>
        <v>0</v>
      </c>
      <c r="P226" s="2"/>
      <c r="Q226" s="254">
        <f>IF(J226=0,0,J226*VLOOKUP(E226,'Prix Matiere'!$A$4:$L$60,12))</f>
        <v>0</v>
      </c>
      <c r="R226" s="254">
        <f>IF(J226=0,0,Q226*VLOOKUP(E226,'Prix Matiere'!$A$4:$L$60,11))</f>
        <v>0</v>
      </c>
      <c r="S226" s="2"/>
      <c r="T226" s="2"/>
      <c r="U226" s="2"/>
      <c r="V226" s="2"/>
      <c r="W226" s="2"/>
      <c r="X226" s="2"/>
      <c r="Y226" s="2"/>
      <c r="Z226" s="2"/>
    </row>
    <row r="227" spans="1:26" ht="18" hidden="1" customHeight="1" x14ac:dyDescent="0.35">
      <c r="A227" s="2"/>
      <c r="B227" s="45">
        <f>IF(H61="Aucun",0,"Remplissage 1")</f>
        <v>0</v>
      </c>
      <c r="C227" s="85">
        <f t="shared" ref="C227:C228" si="96">IF(H67=0,0,H67)</f>
        <v>0</v>
      </c>
      <c r="D227" s="85">
        <f t="shared" ref="D227:D228" si="97">IF(H67=0,0,I67)</f>
        <v>0</v>
      </c>
      <c r="E227" s="85">
        <f>IF(C227=0,0,CONCATENATE("PU ",$J$67*10," mm"))</f>
        <v>0</v>
      </c>
      <c r="F227" s="45">
        <f t="shared" ref="F227:F228" si="98">IF(H67=0,0,1)</f>
        <v>0</v>
      </c>
      <c r="G227" s="2"/>
      <c r="H227" s="2"/>
      <c r="I227" s="2"/>
      <c r="J227" s="89">
        <f t="shared" si="89"/>
        <v>0</v>
      </c>
      <c r="K227" s="89">
        <f t="shared" si="90"/>
        <v>0</v>
      </c>
      <c r="L227" s="71">
        <f>IF(E227=0,0,VLOOKUP(E227,'Prix Matiere'!$A$4:$J$65,10))</f>
        <v>0</v>
      </c>
      <c r="M227" s="71">
        <f t="shared" si="91"/>
        <v>0</v>
      </c>
      <c r="N227" s="3">
        <f t="shared" si="92"/>
        <v>0</v>
      </c>
      <c r="O227" s="71">
        <f t="shared" si="93"/>
        <v>0</v>
      </c>
      <c r="P227" s="2"/>
      <c r="Q227" s="254">
        <f>IF(J227=0,0,J227*VLOOKUP(E227,'Prix Matiere'!$A$4:$L$60,12))</f>
        <v>0</v>
      </c>
      <c r="R227" s="254">
        <f>IF(J227=0,0,Q227*VLOOKUP(E227,'Prix Matiere'!$A$4:$L$60,11))</f>
        <v>0</v>
      </c>
      <c r="S227" s="2"/>
      <c r="T227" s="2"/>
      <c r="U227" s="2"/>
      <c r="V227" s="2"/>
      <c r="W227" s="2"/>
      <c r="X227" s="2"/>
      <c r="Y227" s="2"/>
      <c r="Z227" s="2"/>
    </row>
    <row r="228" spans="1:26" ht="18" hidden="1" customHeight="1" x14ac:dyDescent="0.35">
      <c r="A228" s="2"/>
      <c r="B228" s="45">
        <f>IF(H61="Aucun",0,"Remplissage 2")</f>
        <v>0</v>
      </c>
      <c r="C228" s="85">
        <f t="shared" si="96"/>
        <v>0</v>
      </c>
      <c r="D228" s="85">
        <f t="shared" si="97"/>
        <v>0</v>
      </c>
      <c r="E228" s="85">
        <f>IF(C228=0,0,CONCATENATE("PU ",$J$68*10," mm"))</f>
        <v>0</v>
      </c>
      <c r="F228" s="45">
        <f t="shared" si="98"/>
        <v>0</v>
      </c>
      <c r="G228" s="2"/>
      <c r="H228" s="2"/>
      <c r="I228" s="2"/>
      <c r="J228" s="89">
        <f t="shared" si="89"/>
        <v>0</v>
      </c>
      <c r="K228" s="89">
        <f t="shared" si="90"/>
        <v>0</v>
      </c>
      <c r="L228" s="71">
        <f>IF(E228=0,0,VLOOKUP(E228,'Prix Matiere'!$A$4:$J$65,10))</f>
        <v>0</v>
      </c>
      <c r="M228" s="71">
        <f t="shared" si="91"/>
        <v>0</v>
      </c>
      <c r="N228" s="3">
        <f t="shared" si="92"/>
        <v>0</v>
      </c>
      <c r="O228" s="71">
        <f t="shared" si="93"/>
        <v>0</v>
      </c>
      <c r="P228" s="2"/>
      <c r="Q228" s="254">
        <f>IF(J228=0,0,J228*VLOOKUP(E228,'Prix Matiere'!$A$4:$L$60,12))</f>
        <v>0</v>
      </c>
      <c r="R228" s="254">
        <f>IF(J228=0,0,Q228*VLOOKUP(E228,'Prix Matiere'!$A$4:$L$60,11))</f>
        <v>0</v>
      </c>
      <c r="S228" s="2"/>
      <c r="T228" s="2"/>
      <c r="U228" s="2"/>
      <c r="V228" s="2"/>
      <c r="W228" s="2"/>
      <c r="X228" s="2"/>
      <c r="Y228" s="2"/>
      <c r="Z228" s="2"/>
    </row>
    <row r="229" spans="1:26" ht="18" hidden="1" customHeight="1" x14ac:dyDescent="0.35">
      <c r="A229" s="2"/>
      <c r="B229" s="45">
        <f>IF(H61="Aucun",0,"Carton")</f>
        <v>0</v>
      </c>
      <c r="C229" s="85">
        <f>IF(F229=0,0,H60+VLOOKUP(H61,$A$282:$L$288,10))</f>
        <v>0</v>
      </c>
      <c r="D229" s="85">
        <f>IF(E229=0,0,J60+VLOOKUP(H61,$A$282:$L$288,10))</f>
        <v>0</v>
      </c>
      <c r="E229" s="85">
        <f>IF(C229=0,0,"Carton")</f>
        <v>0</v>
      </c>
      <c r="F229" s="45">
        <f>VLOOKUP(H61,$A$282:$L$288,12)</f>
        <v>0</v>
      </c>
      <c r="G229" s="2"/>
      <c r="H229" s="2"/>
      <c r="I229" s="2"/>
      <c r="J229" s="89">
        <f t="shared" si="89"/>
        <v>0</v>
      </c>
      <c r="K229" s="89">
        <f t="shared" si="90"/>
        <v>0</v>
      </c>
      <c r="L229" s="71">
        <f>IF(E229=0,0,Carton)</f>
        <v>0</v>
      </c>
      <c r="M229" s="71">
        <f t="shared" si="91"/>
        <v>0</v>
      </c>
      <c r="N229" s="3">
        <f>IF(J229=0,0,2.356*J229+1)</f>
        <v>0</v>
      </c>
      <c r="O229" s="71">
        <f t="shared" si="93"/>
        <v>0</v>
      </c>
      <c r="P229" s="2"/>
      <c r="Q229" s="254">
        <f>IF(J229=0,0,J229*Poids_Carton)</f>
        <v>0</v>
      </c>
      <c r="R229" s="254">
        <f>IF(J229=0,0,Q229*VLOOKUP(E229,'Prix Matiere'!$A$4:$L$60,11))</f>
        <v>0</v>
      </c>
      <c r="S229" s="2"/>
      <c r="T229" s="2"/>
      <c r="U229" s="2"/>
      <c r="V229" s="2"/>
      <c r="W229" s="2"/>
      <c r="X229" s="2"/>
      <c r="Y229" s="2"/>
      <c r="Z229" s="2"/>
    </row>
    <row r="230" spans="1:26" ht="18" hidden="1" customHeight="1" x14ac:dyDescent="0.85">
      <c r="A230" s="2" t="s">
        <v>71</v>
      </c>
      <c r="B230" s="33" t="str">
        <f>IF(F23="Aucun"," ",F23)</f>
        <v xml:space="preserve"> </v>
      </c>
      <c r="C230" s="2"/>
      <c r="D230" s="2"/>
      <c r="E230" s="2"/>
      <c r="F230" s="2"/>
      <c r="G230" s="2"/>
      <c r="H230" s="2"/>
      <c r="I230" s="2"/>
      <c r="J230" s="89"/>
      <c r="K230" s="89"/>
      <c r="L230" s="71"/>
      <c r="M230" s="71">
        <f>VLOOKUP($F$23,$A$272:$D$275,3)</f>
        <v>0</v>
      </c>
      <c r="N230" s="3">
        <f>IF(M230=0,0,12.5)</f>
        <v>0</v>
      </c>
      <c r="O230" s="71">
        <f t="shared" si="93"/>
        <v>0</v>
      </c>
      <c r="P230" s="2"/>
      <c r="Q230" s="2"/>
      <c r="R230" s="254"/>
      <c r="S230" s="2"/>
      <c r="T230" s="2"/>
      <c r="U230" s="2"/>
      <c r="V230" s="2"/>
      <c r="W230" s="2"/>
      <c r="X230" s="2"/>
      <c r="Y230" s="2"/>
      <c r="Z230" s="2"/>
    </row>
    <row r="231" spans="1:26" ht="19.5" hidden="1" customHeight="1" x14ac:dyDescent="0.35">
      <c r="A231" s="2" t="s">
        <v>23</v>
      </c>
      <c r="B231" s="2">
        <f>IF($F$21="Oui","Tyvek",0)</f>
        <v>0</v>
      </c>
      <c r="C231" s="2"/>
      <c r="D231" s="2"/>
      <c r="E231" s="2"/>
      <c r="F231" s="2"/>
      <c r="G231" s="2"/>
      <c r="H231" s="2"/>
      <c r="I231" s="2"/>
      <c r="J231" s="2"/>
      <c r="K231" s="89">
        <f>IF(B231="Tyvek",SUM(K216:K228)+SUM(K128:K140)+SUM(K144:K156)+SUM(K164:K176)+SUM(K180:K192)+SUM(K200:K212)/0.7,0)</f>
        <v>0</v>
      </c>
      <c r="L231" s="71">
        <f>IF(B231=0,0,2.75)</f>
        <v>0</v>
      </c>
      <c r="M231" s="71">
        <f t="shared" ref="M231:M232" si="99">K231*L231</f>
        <v>0</v>
      </c>
      <c r="N231" s="3">
        <f>IF(K231=0,0,7*K231+2)</f>
        <v>0</v>
      </c>
      <c r="O231" s="71">
        <f t="shared" si="93"/>
        <v>0</v>
      </c>
      <c r="P231" s="2"/>
      <c r="Q231" s="254">
        <f>IF(K231=0,0,K231*VLOOKUP(B231,'Prix Matiere'!$A$4:$L$60,12))</f>
        <v>0</v>
      </c>
      <c r="R231" s="254">
        <f>IF(K231=0,0,Q231*VLOOKUP(B231,'Prix Matiere'!$A$4:$L$60,11))</f>
        <v>0</v>
      </c>
      <c r="S231" s="2"/>
      <c r="T231" s="2"/>
      <c r="U231" s="2"/>
      <c r="V231" s="2"/>
      <c r="W231" s="2"/>
      <c r="X231" s="2"/>
      <c r="Y231" s="2"/>
      <c r="Z231" s="2"/>
    </row>
    <row r="232" spans="1:26" ht="18" hidden="1" customHeight="1" x14ac:dyDescent="0.35">
      <c r="A232" s="2" t="s">
        <v>19</v>
      </c>
      <c r="B232" s="2">
        <f>IF(F19="Non",0,"Peinture")</f>
        <v>0</v>
      </c>
      <c r="C232" s="2"/>
      <c r="D232" s="2"/>
      <c r="E232" s="2"/>
      <c r="F232" s="2"/>
      <c r="G232" s="2"/>
      <c r="H232" s="2"/>
      <c r="I232" s="2"/>
      <c r="J232" s="89">
        <f>IF(B232=0,0,(((C79/100)*(D79/100))+((C79/100)*(E79/100))+((D79/100)*(E79/100)))*2)</f>
        <v>0</v>
      </c>
      <c r="K232" s="89">
        <f>J232*0.5</f>
        <v>0</v>
      </c>
      <c r="L232" s="71">
        <f>IF(B232=0,0,VLOOKUP(B232,'Prix Matiere'!$A$4:$J$60,10))</f>
        <v>0</v>
      </c>
      <c r="M232" s="71">
        <f t="shared" si="99"/>
        <v>0</v>
      </c>
      <c r="N232" s="3">
        <f>IF(J232=0,0,IF(B232="Peinture",30+J232*15))</f>
        <v>0</v>
      </c>
      <c r="O232" s="71">
        <f t="shared" si="93"/>
        <v>0</v>
      </c>
      <c r="P232" s="2"/>
      <c r="Q232" s="254">
        <f>IF(J232=0,0,J232*VLOOKUP(B232,'Prix Matiere'!$A$4:$L$60,12))</f>
        <v>0</v>
      </c>
      <c r="R232" s="254">
        <f>IF(J232=0,0,Q232*VLOOKUP(B232,'Prix Matiere'!$A$4:$L$60,11))</f>
        <v>0</v>
      </c>
      <c r="S232" s="2"/>
      <c r="T232" s="2"/>
      <c r="U232" s="2"/>
      <c r="V232" s="2"/>
      <c r="W232" s="2"/>
      <c r="X232" s="2"/>
      <c r="Y232" s="2"/>
      <c r="Z232" s="2"/>
    </row>
    <row r="233" spans="1:26" ht="18" hidden="1" customHeight="1" x14ac:dyDescent="0.35">
      <c r="A233" s="2" t="s">
        <v>72</v>
      </c>
      <c r="B233" s="2" t="str">
        <f>C19</f>
        <v>Vis bois</v>
      </c>
      <c r="C233" s="2"/>
      <c r="D233" s="2"/>
      <c r="E233" s="2"/>
      <c r="F233" s="2"/>
      <c r="G233" s="2"/>
      <c r="H233" s="2"/>
      <c r="I233" s="2"/>
      <c r="J233" s="2"/>
      <c r="K233" s="2"/>
      <c r="L233" s="71"/>
      <c r="M233" s="71">
        <f>IF(C233="Vis bois",0,(F4*2+F6*2)*1.5)</f>
        <v>0</v>
      </c>
      <c r="N233" s="3">
        <f>IF(B233="Vis bois",0,45)</f>
        <v>0</v>
      </c>
      <c r="O233" s="71">
        <f t="shared" si="93"/>
        <v>0</v>
      </c>
      <c r="P233" s="2"/>
      <c r="Q233" s="2"/>
      <c r="R233" s="254">
        <f>IF(J233=0,0,Q233*VLOOKUP(E233,'Prix Matiere'!$A$4:$L$60,11))</f>
        <v>0</v>
      </c>
      <c r="S233" s="2"/>
      <c r="T233" s="2"/>
      <c r="U233" s="2"/>
      <c r="V233" s="2"/>
      <c r="W233" s="2"/>
      <c r="X233" s="2"/>
      <c r="Y233" s="2"/>
      <c r="Z233" s="2"/>
    </row>
    <row r="234" spans="1:26" ht="18" hidden="1" customHeight="1" x14ac:dyDescent="0.35">
      <c r="A234" s="2" t="s">
        <v>21</v>
      </c>
      <c r="B234" s="2" t="str">
        <f>C21</f>
        <v>Bois</v>
      </c>
      <c r="C234" s="2"/>
      <c r="D234" s="2"/>
      <c r="E234" s="2"/>
      <c r="F234" s="2"/>
      <c r="G234" s="2"/>
      <c r="H234" s="2"/>
      <c r="I234" s="2"/>
      <c r="J234" s="2"/>
      <c r="K234" s="2"/>
      <c r="L234" s="71"/>
      <c r="M234" s="71">
        <f>IF(B234="Métal x 4 sur GC",4*2,IF(B234="Métal x 2 sur bouts",2*2,0))</f>
        <v>0</v>
      </c>
      <c r="N234" s="3">
        <f>IF(B234="Métal x 4 sur GC",4*3,IF(B234="Métal x 2 sur bouts",2*3,0))</f>
        <v>0</v>
      </c>
      <c r="O234" s="71">
        <f t="shared" si="93"/>
        <v>0</v>
      </c>
      <c r="P234" s="2"/>
      <c r="Q234" s="2"/>
      <c r="R234" s="254">
        <f>IF(J234=0,0,Q234*VLOOKUP(E234,'Prix Matiere'!$A$4:$L$60,11))</f>
        <v>0</v>
      </c>
      <c r="S234" s="2"/>
      <c r="T234" s="2"/>
      <c r="U234" s="2"/>
      <c r="V234" s="2"/>
      <c r="W234" s="2"/>
      <c r="X234" s="2"/>
      <c r="Y234" s="2"/>
      <c r="Z234" s="2"/>
    </row>
    <row r="235" spans="1:26" ht="18" hidden="1" customHeight="1" x14ac:dyDescent="0.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71"/>
      <c r="M235" s="2"/>
      <c r="N235" s="3"/>
      <c r="O235" s="71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8" hidden="1" customHeight="1" x14ac:dyDescent="0.3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71">
        <f>IF(E236=0,0,VLOOKUP(E236,'Prix Matiere'!$A$4:$J$65,10))</f>
        <v>0</v>
      </c>
      <c r="M236" s="96">
        <f t="shared" ref="M236:N236" si="100">SUM(M90:M235)</f>
        <v>323.51469366886039</v>
      </c>
      <c r="N236" s="97">
        <f t="shared" si="100"/>
        <v>271.75584553320004</v>
      </c>
      <c r="O236" s="71">
        <f>N236*MinuteMO</f>
        <v>230.99246870322003</v>
      </c>
      <c r="P236" s="2"/>
      <c r="Q236" s="43">
        <f t="shared" ref="Q236:R236" si="101">SUM(Q90:Q235)</f>
        <v>74.93637360000001</v>
      </c>
      <c r="R236" s="43">
        <f t="shared" si="101"/>
        <v>79.123892559400005</v>
      </c>
      <c r="S236" s="2"/>
      <c r="T236" s="2"/>
      <c r="U236" s="2"/>
      <c r="V236" s="2"/>
      <c r="W236" s="2"/>
      <c r="X236" s="2"/>
      <c r="Y236" s="2"/>
      <c r="Z236" s="2"/>
    </row>
    <row r="237" spans="1:26" ht="18" hidden="1" customHeight="1" x14ac:dyDescent="0.35">
      <c r="A237" s="2"/>
      <c r="B237" s="98" t="s">
        <v>73</v>
      </c>
      <c r="C237" s="99">
        <f>IF($F$9=0,0,M236)</f>
        <v>323.51469366886039</v>
      </c>
      <c r="D237" s="100"/>
      <c r="E237" s="101" t="s">
        <v>74</v>
      </c>
      <c r="F237" s="102" t="str">
        <f>CONCATENATE(ROUNDUP(SUM(K90:K92)+SUM(K116:K117)+SUM(K159:K161)+SUM(K195:K197),2)," m²")</f>
        <v>9,3 m²</v>
      </c>
      <c r="G237" s="264">
        <f>(SUM(M90:M92)+SUM(M116:M117)+SUM(M159:M161)+SUM(M195:M197))</f>
        <v>148.97953779896909</v>
      </c>
      <c r="H237" s="2"/>
      <c r="I237" s="2"/>
      <c r="J237" s="2"/>
      <c r="K237" s="2"/>
      <c r="L237" s="2"/>
      <c r="M237" s="2"/>
      <c r="N237" s="3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8" hidden="1" customHeight="1" x14ac:dyDescent="0.35">
      <c r="A238" s="2"/>
      <c r="B238" s="105" t="s">
        <v>75</v>
      </c>
      <c r="C238" s="71">
        <f>IF($F$9=0,0,O236)</f>
        <v>230.99246870322003</v>
      </c>
      <c r="D238" s="106">
        <f>IF($F$9=0,0,N236)</f>
        <v>271.75584553320004</v>
      </c>
      <c r="E238" s="5" t="s">
        <v>76</v>
      </c>
      <c r="F238" s="107" t="str">
        <f>CONCATENATE(ROUNDUP(SUM(K95:K101),2)," m²")</f>
        <v>2,08 m²</v>
      </c>
      <c r="G238" s="265">
        <f>(SUM(M95:M101))</f>
        <v>43.727785824742263</v>
      </c>
      <c r="H238" s="2"/>
      <c r="I238" s="2"/>
      <c r="J238" s="2"/>
      <c r="K238" s="2"/>
      <c r="L238" s="2"/>
      <c r="M238" s="2"/>
      <c r="N238" s="3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8" hidden="1" customHeight="1" x14ac:dyDescent="0.35">
      <c r="A239" s="2"/>
      <c r="B239" s="105" t="s">
        <v>77</v>
      </c>
      <c r="C239" s="71">
        <f>IF($F$9=0,0,((C237+C238)/Frais_Généraux)-(C237+C238))</f>
        <v>298.58077973881245</v>
      </c>
      <c r="D239" s="109"/>
      <c r="E239" s="5" t="s">
        <v>78</v>
      </c>
      <c r="F239" s="107" t="str">
        <f>CONCATENATE(ROUNDUP(SUM(K110:K112)+SUM(K121:K123),2)," m²")</f>
        <v>7,9 m²</v>
      </c>
      <c r="G239" s="265">
        <f>(SUM(M110:M112)+SUM(M121:M123))</f>
        <v>55.348611030927842</v>
      </c>
      <c r="H239" s="2"/>
      <c r="I239" s="2"/>
      <c r="J239" s="2"/>
      <c r="K239" s="2"/>
      <c r="L239" s="2"/>
      <c r="M239" s="2"/>
      <c r="N239" s="3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8" hidden="1" customHeight="1" x14ac:dyDescent="0.35">
      <c r="A240" s="2"/>
      <c r="B240" s="105" t="s">
        <v>79</v>
      </c>
      <c r="C240" s="71">
        <f>IF($F$9=0,0,SUM(C237:C239))</f>
        <v>853.08794211089287</v>
      </c>
      <c r="D240" s="109"/>
      <c r="E240" s="5" t="s">
        <v>80</v>
      </c>
      <c r="F240" s="107" t="str">
        <f>CONCATENATE(ROUNDUP(SUM(K104:K106)+SUM(K128:K140)+SUM(K144:K156)+SUM(K164:K176)+SUM(K180:K192)+SUM(K200:K212)+SUM(K216:K228),2)," m²")</f>
        <v>8,24 m²</v>
      </c>
      <c r="G240" s="265">
        <f>(SUM(M104:M106)+SUM(M128:M140)+SUM(M144:M156)+SUM(M164:M176)+SUM(M180:M192)+SUM(M200:M212)+SUM(M216:M228))</f>
        <v>73.350551339024889</v>
      </c>
      <c r="H240" s="2"/>
      <c r="I240" s="2"/>
      <c r="J240" s="2"/>
      <c r="K240" s="2"/>
      <c r="L240" s="2"/>
      <c r="M240" s="2"/>
      <c r="N240" s="3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8" hidden="1" customHeight="1" x14ac:dyDescent="0.35">
      <c r="A241" s="2"/>
      <c r="B241" s="105" t="s">
        <v>81</v>
      </c>
      <c r="C241" s="71">
        <f>IF($F$9=0,0,(C240/(1-Marge)-C240))</f>
        <v>64.210920373938279</v>
      </c>
      <c r="D241" s="110">
        <f>C240+C241</f>
        <v>917.29886248483115</v>
      </c>
      <c r="E241" s="5" t="s">
        <v>82</v>
      </c>
      <c r="F241" s="107" t="str">
        <f>CONCATENATE(ROUNDUP(K229+K213+K193+K177+K157+K141,2)," m²")</f>
        <v>0,91 m²</v>
      </c>
      <c r="G241" s="265">
        <f>(M229+M213+M193+M177+M157+M141)</f>
        <v>2.108207675196367</v>
      </c>
      <c r="H241" s="2"/>
      <c r="I241" s="2"/>
      <c r="J241" s="2"/>
      <c r="K241" s="2"/>
      <c r="L241" s="2"/>
      <c r="M241" s="2"/>
      <c r="N241" s="3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8" hidden="1" customHeight="1" x14ac:dyDescent="0.35">
      <c r="A242" s="2"/>
      <c r="B242" s="111" t="s">
        <v>83</v>
      </c>
      <c r="C242" s="71">
        <f>IF($F$10="BOVIS",((C240+C241)*(1+C243))-(C240+C241),((C240+C241)*(1+D242))-(C240+C241))</f>
        <v>0</v>
      </c>
      <c r="D242" s="112">
        <v>0</v>
      </c>
      <c r="E242" s="5"/>
      <c r="F242" s="107"/>
      <c r="G242" s="265"/>
      <c r="H242" s="2"/>
      <c r="I242" s="2"/>
      <c r="J242" s="2"/>
      <c r="K242" s="2"/>
      <c r="L242" s="2"/>
      <c r="M242" s="2"/>
      <c r="N242" s="3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8" hidden="1" customHeight="1" x14ac:dyDescent="0.35">
      <c r="A243" s="2"/>
      <c r="B243" s="111"/>
      <c r="C243" s="104">
        <f>IF($F$10="BOVIS",0.03,0)</f>
        <v>0</v>
      </c>
      <c r="D243" s="266"/>
      <c r="E243" s="5"/>
      <c r="F243" s="107"/>
      <c r="G243" s="265"/>
      <c r="H243" s="2"/>
      <c r="I243" s="2"/>
      <c r="J243" s="2"/>
      <c r="K243" s="2"/>
      <c r="L243" s="2"/>
      <c r="M243" s="2"/>
      <c r="N243" s="3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8" hidden="1" customHeight="1" x14ac:dyDescent="0.35">
      <c r="A244" s="2"/>
      <c r="B244" s="114" t="s">
        <v>84</v>
      </c>
      <c r="C244" s="115">
        <f>SUM(C240:C243)</f>
        <v>917.29886248483115</v>
      </c>
      <c r="D244" s="116"/>
      <c r="E244" s="117" t="s">
        <v>85</v>
      </c>
      <c r="F244" s="15"/>
      <c r="G244" s="267">
        <f>M236-SUM(G237:G241)</f>
        <v>0</v>
      </c>
      <c r="H244" s="2"/>
      <c r="I244" s="2"/>
      <c r="J244" s="2"/>
      <c r="K244" s="2"/>
      <c r="L244" s="2"/>
      <c r="M244" s="2"/>
      <c r="N244" s="3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8" hidden="1" customHeight="1" x14ac:dyDescent="0.35">
      <c r="A245" s="76"/>
      <c r="B245" s="76"/>
      <c r="C245" s="76"/>
      <c r="D245" s="76"/>
      <c r="E245" s="76"/>
      <c r="F245" s="6"/>
      <c r="G245" s="76"/>
      <c r="H245" s="76"/>
      <c r="I245" s="76"/>
      <c r="J245" s="76"/>
      <c r="K245" s="76"/>
      <c r="L245" s="76"/>
      <c r="M245" s="76"/>
      <c r="N245" s="77"/>
      <c r="O245" s="76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8" hidden="1" customHeight="1" x14ac:dyDescent="0.3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3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8" hidden="1" customHeight="1" x14ac:dyDescent="0.35">
      <c r="A247" s="119" t="s">
        <v>86</v>
      </c>
      <c r="B247" s="120" t="s">
        <v>86</v>
      </c>
      <c r="C247" s="120" t="s">
        <v>86</v>
      </c>
      <c r="D247" s="120">
        <v>1</v>
      </c>
      <c r="E247" s="121">
        <v>1</v>
      </c>
      <c r="N247" s="12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8" hidden="1" customHeight="1" x14ac:dyDescent="0.35">
      <c r="A248" s="124" t="s">
        <v>10</v>
      </c>
      <c r="B248" s="125" t="s">
        <v>10</v>
      </c>
      <c r="C248" s="125" t="s">
        <v>10</v>
      </c>
      <c r="D248" s="125">
        <v>1.5</v>
      </c>
      <c r="E248" s="126">
        <v>1.5</v>
      </c>
      <c r="N248" s="12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8" hidden="1" customHeight="1" x14ac:dyDescent="0.35">
      <c r="A249" s="127" t="s">
        <v>87</v>
      </c>
      <c r="B249" s="128" t="s">
        <v>86</v>
      </c>
      <c r="C249" s="128" t="s">
        <v>10</v>
      </c>
      <c r="D249" s="128">
        <v>1</v>
      </c>
      <c r="E249" s="129">
        <v>1.5</v>
      </c>
      <c r="N249" s="12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8" hidden="1" customHeight="1" x14ac:dyDescent="0.3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3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8" hidden="1" customHeight="1" x14ac:dyDescent="0.35">
      <c r="A251" s="119" t="s">
        <v>88</v>
      </c>
      <c r="B251" s="120" t="s">
        <v>89</v>
      </c>
      <c r="C251" s="120" t="s">
        <v>89</v>
      </c>
      <c r="D251" s="121">
        <v>1.9</v>
      </c>
      <c r="N251" s="12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8" hidden="1" customHeight="1" x14ac:dyDescent="0.35">
      <c r="A252" s="127" t="s">
        <v>12</v>
      </c>
      <c r="B252" s="128" t="s">
        <v>90</v>
      </c>
      <c r="C252" s="128" t="s">
        <v>90</v>
      </c>
      <c r="D252" s="129">
        <v>2.1</v>
      </c>
      <c r="N252" s="12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8" hidden="1" customHeight="1" x14ac:dyDescent="0.3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3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8" hidden="1" customHeight="1" x14ac:dyDescent="0.35">
      <c r="A254" s="119">
        <v>1</v>
      </c>
      <c r="B254" s="120">
        <v>2</v>
      </c>
      <c r="C254" s="120">
        <v>3</v>
      </c>
      <c r="D254" s="120">
        <v>4</v>
      </c>
      <c r="E254" s="130">
        <v>5</v>
      </c>
      <c r="F254" s="130">
        <v>6</v>
      </c>
      <c r="G254" s="130">
        <v>7</v>
      </c>
      <c r="H254" s="131">
        <v>8</v>
      </c>
      <c r="I254" s="131">
        <v>9</v>
      </c>
      <c r="J254" s="131">
        <v>10</v>
      </c>
      <c r="K254" s="132">
        <v>11</v>
      </c>
      <c r="L254" s="132">
        <v>12</v>
      </c>
      <c r="M254" s="133">
        <v>13</v>
      </c>
      <c r="N254" s="131">
        <v>14</v>
      </c>
      <c r="O254" s="131">
        <v>15</v>
      </c>
      <c r="P254" s="134">
        <v>16</v>
      </c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8" hidden="1" customHeight="1" x14ac:dyDescent="0.35">
      <c r="A255" s="135"/>
      <c r="B255" s="136"/>
      <c r="C255" s="136"/>
      <c r="D255" s="136"/>
      <c r="E255" s="137" t="s">
        <v>80</v>
      </c>
      <c r="F255" s="137" t="s">
        <v>91</v>
      </c>
      <c r="G255" s="137" t="s">
        <v>34</v>
      </c>
      <c r="H255" s="138" t="s">
        <v>65</v>
      </c>
      <c r="I255" s="138" t="s">
        <v>92</v>
      </c>
      <c r="J255" s="138" t="s">
        <v>93</v>
      </c>
      <c r="K255" s="139" t="s">
        <v>67</v>
      </c>
      <c r="L255" s="139" t="s">
        <v>94</v>
      </c>
      <c r="M255" s="140" t="s">
        <v>95</v>
      </c>
      <c r="N255" s="138" t="s">
        <v>69</v>
      </c>
      <c r="O255" s="138" t="s">
        <v>96</v>
      </c>
      <c r="P255" s="141" t="s">
        <v>97</v>
      </c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8" hidden="1" customHeight="1" x14ac:dyDescent="0.35">
      <c r="A256" s="124"/>
      <c r="E256" s="142"/>
      <c r="F256" s="142"/>
      <c r="G256" s="142"/>
      <c r="H256" s="143"/>
      <c r="I256" s="143"/>
      <c r="J256" s="143"/>
      <c r="K256" s="144"/>
      <c r="L256" s="144"/>
      <c r="M256" s="145">
        <v>0</v>
      </c>
      <c r="N256" s="143"/>
      <c r="O256" s="143"/>
      <c r="P256" s="146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8" hidden="1" customHeight="1" x14ac:dyDescent="0.35">
      <c r="A257" s="124" t="s">
        <v>16</v>
      </c>
      <c r="B257" s="125">
        <v>0</v>
      </c>
      <c r="C257" s="125">
        <v>0</v>
      </c>
      <c r="D257" s="125">
        <v>0</v>
      </c>
      <c r="E257" s="142">
        <v>0</v>
      </c>
      <c r="F257" s="142">
        <v>0</v>
      </c>
      <c r="G257" s="142">
        <v>0</v>
      </c>
      <c r="H257" s="143">
        <v>0</v>
      </c>
      <c r="I257" s="143">
        <v>0</v>
      </c>
      <c r="J257" s="143">
        <v>0</v>
      </c>
      <c r="K257" s="144">
        <v>0</v>
      </c>
      <c r="L257" s="144">
        <v>0</v>
      </c>
      <c r="M257" s="145">
        <v>0</v>
      </c>
      <c r="N257" s="143">
        <v>0</v>
      </c>
      <c r="O257" s="143">
        <v>0</v>
      </c>
      <c r="P257" s="146">
        <v>0</v>
      </c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8" hidden="1" customHeight="1" x14ac:dyDescent="0.35">
      <c r="A258" s="124" t="s">
        <v>98</v>
      </c>
      <c r="B258" s="125">
        <f t="shared" ref="B258:D258" si="102">(3+1.25+3)*2</f>
        <v>14.5</v>
      </c>
      <c r="C258" s="125">
        <f t="shared" si="102"/>
        <v>14.5</v>
      </c>
      <c r="D258" s="125">
        <f t="shared" si="102"/>
        <v>14.5</v>
      </c>
      <c r="E258" s="142">
        <v>0</v>
      </c>
      <c r="F258" s="142">
        <v>0</v>
      </c>
      <c r="G258" s="142">
        <v>0</v>
      </c>
      <c r="H258" s="143">
        <v>6</v>
      </c>
      <c r="I258" s="143" t="s">
        <v>99</v>
      </c>
      <c r="J258" s="143">
        <v>2</v>
      </c>
      <c r="K258" s="144">
        <v>2.5</v>
      </c>
      <c r="L258" s="144" t="s">
        <v>86</v>
      </c>
      <c r="M258" s="147">
        <v>4</v>
      </c>
      <c r="N258" s="143">
        <v>6</v>
      </c>
      <c r="O258" s="143" t="s">
        <v>99</v>
      </c>
      <c r="P258" s="148">
        <v>2</v>
      </c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8" hidden="1" customHeight="1" x14ac:dyDescent="0.35">
      <c r="A259" s="124" t="s">
        <v>100</v>
      </c>
      <c r="B259" s="125">
        <f t="shared" ref="B259:D259" si="103">(5+1.25+5)*2</f>
        <v>22.5</v>
      </c>
      <c r="C259" s="125">
        <f t="shared" si="103"/>
        <v>22.5</v>
      </c>
      <c r="D259" s="125">
        <f t="shared" si="103"/>
        <v>22.5</v>
      </c>
      <c r="E259" s="142">
        <v>0</v>
      </c>
      <c r="F259" s="142">
        <v>0</v>
      </c>
      <c r="G259" s="142">
        <v>0</v>
      </c>
      <c r="H259" s="143">
        <v>10</v>
      </c>
      <c r="I259" s="143" t="s">
        <v>101</v>
      </c>
      <c r="J259" s="143">
        <v>2</v>
      </c>
      <c r="K259" s="144">
        <v>2.5</v>
      </c>
      <c r="L259" s="144" t="s">
        <v>86</v>
      </c>
      <c r="M259" s="147">
        <v>4</v>
      </c>
      <c r="N259" s="143">
        <v>10</v>
      </c>
      <c r="O259" s="143" t="s">
        <v>101</v>
      </c>
      <c r="P259" s="148">
        <v>2</v>
      </c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8" hidden="1" customHeight="1" x14ac:dyDescent="0.35">
      <c r="A260" s="124" t="s">
        <v>102</v>
      </c>
      <c r="B260" s="125">
        <f t="shared" ref="B260:D260" si="104">(3)*2</f>
        <v>6</v>
      </c>
      <c r="C260" s="125">
        <f t="shared" si="104"/>
        <v>6</v>
      </c>
      <c r="D260" s="125">
        <f t="shared" si="104"/>
        <v>6</v>
      </c>
      <c r="E260" s="142">
        <v>0</v>
      </c>
      <c r="F260" s="142">
        <v>0</v>
      </c>
      <c r="G260" s="142">
        <v>0</v>
      </c>
      <c r="H260" s="143">
        <v>6</v>
      </c>
      <c r="I260" s="143" t="s">
        <v>99</v>
      </c>
      <c r="J260" s="143">
        <v>2</v>
      </c>
      <c r="K260" s="144">
        <v>0</v>
      </c>
      <c r="L260" s="144">
        <v>0</v>
      </c>
      <c r="M260" s="147">
        <v>0</v>
      </c>
      <c r="N260" s="143">
        <v>0</v>
      </c>
      <c r="O260" s="143"/>
      <c r="P260" s="148">
        <v>0</v>
      </c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8" hidden="1" customHeight="1" x14ac:dyDescent="0.35">
      <c r="A261" s="124" t="s">
        <v>103</v>
      </c>
      <c r="B261" s="125">
        <f t="shared" ref="B261:D261" si="105">(5)*2</f>
        <v>10</v>
      </c>
      <c r="C261" s="125">
        <f t="shared" si="105"/>
        <v>10</v>
      </c>
      <c r="D261" s="125">
        <f t="shared" si="105"/>
        <v>10</v>
      </c>
      <c r="E261" s="142">
        <v>0</v>
      </c>
      <c r="F261" s="142">
        <v>0</v>
      </c>
      <c r="G261" s="142">
        <v>0</v>
      </c>
      <c r="H261" s="143">
        <v>10</v>
      </c>
      <c r="I261" s="143" t="s">
        <v>101</v>
      </c>
      <c r="J261" s="143">
        <v>2</v>
      </c>
      <c r="K261" s="144">
        <v>0</v>
      </c>
      <c r="L261" s="144">
        <v>0</v>
      </c>
      <c r="M261" s="147">
        <v>0</v>
      </c>
      <c r="N261" s="143">
        <v>0</v>
      </c>
      <c r="O261" s="143"/>
      <c r="P261" s="148">
        <v>0</v>
      </c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8" hidden="1" customHeight="1" x14ac:dyDescent="0.35">
      <c r="A262" s="124" t="s">
        <v>104</v>
      </c>
      <c r="B262" s="125">
        <f t="shared" ref="B262:D262" si="106">(3+3+1.25+3)*2</f>
        <v>20.5</v>
      </c>
      <c r="C262" s="125">
        <f t="shared" si="106"/>
        <v>20.5</v>
      </c>
      <c r="D262" s="125">
        <f t="shared" si="106"/>
        <v>20.5</v>
      </c>
      <c r="E262" s="142">
        <v>6</v>
      </c>
      <c r="F262" s="142" t="s">
        <v>105</v>
      </c>
      <c r="G262" s="142">
        <v>2</v>
      </c>
      <c r="H262" s="143">
        <v>6</v>
      </c>
      <c r="I262" s="143" t="s">
        <v>99</v>
      </c>
      <c r="J262" s="143">
        <v>2</v>
      </c>
      <c r="K262" s="144">
        <v>2.5</v>
      </c>
      <c r="L262" s="144" t="s">
        <v>86</v>
      </c>
      <c r="M262" s="147">
        <v>4</v>
      </c>
      <c r="N262" s="143">
        <v>6</v>
      </c>
      <c r="O262" s="143" t="s">
        <v>99</v>
      </c>
      <c r="P262" s="148">
        <v>2</v>
      </c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8" hidden="1" customHeight="1" x14ac:dyDescent="0.35">
      <c r="A263" s="127" t="s">
        <v>106</v>
      </c>
      <c r="B263" s="128">
        <f t="shared" ref="B263:D263" si="107">(5+5+1.25+5)*2</f>
        <v>32.5</v>
      </c>
      <c r="C263" s="128">
        <f t="shared" si="107"/>
        <v>32.5</v>
      </c>
      <c r="D263" s="128">
        <f t="shared" si="107"/>
        <v>32.5</v>
      </c>
      <c r="E263" s="149">
        <v>10</v>
      </c>
      <c r="F263" s="149" t="s">
        <v>27</v>
      </c>
      <c r="G263" s="149">
        <v>2</v>
      </c>
      <c r="H263" s="150">
        <v>10</v>
      </c>
      <c r="I263" s="150" t="s">
        <v>101</v>
      </c>
      <c r="J263" s="150">
        <v>2</v>
      </c>
      <c r="K263" s="151">
        <v>2.5</v>
      </c>
      <c r="L263" s="151" t="s">
        <v>86</v>
      </c>
      <c r="M263" s="152">
        <v>4</v>
      </c>
      <c r="N263" s="150">
        <v>10</v>
      </c>
      <c r="O263" s="150" t="s">
        <v>101</v>
      </c>
      <c r="P263" s="153">
        <v>2</v>
      </c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8" hidden="1" customHeight="1" x14ac:dyDescent="0.3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3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8" hidden="1" customHeight="1" x14ac:dyDescent="0.35">
      <c r="A265" s="119" t="s">
        <v>107</v>
      </c>
      <c r="B265" s="121">
        <v>1</v>
      </c>
      <c r="N265" s="12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8" hidden="1" customHeight="1" x14ac:dyDescent="0.35">
      <c r="A266" s="127" t="s">
        <v>18</v>
      </c>
      <c r="B266" s="129">
        <v>0</v>
      </c>
      <c r="N266" s="12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8" hidden="1" customHeight="1" x14ac:dyDescent="0.35">
      <c r="N267" s="12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8" hidden="1" customHeight="1" x14ac:dyDescent="0.35">
      <c r="A268" s="154" t="s">
        <v>22</v>
      </c>
      <c r="B268" s="121">
        <v>4.2</v>
      </c>
      <c r="N268" s="12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8" hidden="1" customHeight="1" x14ac:dyDescent="0.35">
      <c r="A269" s="155" t="s">
        <v>108</v>
      </c>
      <c r="B269" s="126">
        <v>2</v>
      </c>
      <c r="N269" s="12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8" hidden="1" customHeight="1" x14ac:dyDescent="0.35">
      <c r="A270" s="156" t="s">
        <v>109</v>
      </c>
      <c r="B270" s="129">
        <v>0</v>
      </c>
      <c r="N270" s="12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8" hidden="1" customHeight="1" x14ac:dyDescent="0.35">
      <c r="N271" s="12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8" hidden="1" customHeight="1" x14ac:dyDescent="0.35">
      <c r="A272" s="119" t="s">
        <v>110</v>
      </c>
      <c r="B272" s="120">
        <v>0</v>
      </c>
      <c r="C272" s="120"/>
      <c r="D272" s="121">
        <v>0</v>
      </c>
      <c r="N272" s="12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8" hidden="1" customHeight="1" x14ac:dyDescent="0.35">
      <c r="A273" s="124" t="s">
        <v>111</v>
      </c>
      <c r="B273" s="125">
        <v>10</v>
      </c>
      <c r="C273" s="125">
        <v>40</v>
      </c>
      <c r="D273" s="126">
        <v>12</v>
      </c>
      <c r="N273" s="12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8" hidden="1" customHeight="1" x14ac:dyDescent="0.35">
      <c r="A274" s="124" t="s">
        <v>16</v>
      </c>
      <c r="B274" s="125">
        <v>0</v>
      </c>
      <c r="D274" s="126">
        <v>0</v>
      </c>
      <c r="N274" s="12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8" hidden="1" customHeight="1" x14ac:dyDescent="0.35">
      <c r="A275" s="157" t="s">
        <v>112</v>
      </c>
      <c r="B275" s="128">
        <v>5</v>
      </c>
      <c r="C275" s="128">
        <v>20</v>
      </c>
      <c r="D275" s="129">
        <v>0</v>
      </c>
      <c r="N275" s="12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8" hidden="1" customHeight="1" x14ac:dyDescent="0.35">
      <c r="N276" s="12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8" hidden="1" customHeight="1" x14ac:dyDescent="0.35">
      <c r="A277" s="154" t="s">
        <v>16</v>
      </c>
      <c r="N277" s="12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8" hidden="1" customHeight="1" x14ac:dyDescent="0.35">
      <c r="A278" s="155" t="s">
        <v>113</v>
      </c>
      <c r="N278" s="12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8" hidden="1" customHeight="1" x14ac:dyDescent="0.35">
      <c r="A279" s="156" t="s">
        <v>37</v>
      </c>
      <c r="N279" s="12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8" hidden="1" customHeight="1" x14ac:dyDescent="0.35">
      <c r="A280" s="98"/>
      <c r="B280" s="120" t="s">
        <v>114</v>
      </c>
      <c r="C280" s="120" t="s">
        <v>115</v>
      </c>
      <c r="D280" s="120" t="s">
        <v>116</v>
      </c>
      <c r="E280" s="120" t="s">
        <v>117</v>
      </c>
      <c r="F280" s="120" t="s">
        <v>118</v>
      </c>
      <c r="G280" s="120" t="s">
        <v>119</v>
      </c>
      <c r="H280" s="120" t="s">
        <v>120</v>
      </c>
      <c r="I280" s="120" t="s">
        <v>121</v>
      </c>
      <c r="J280" s="120" t="s">
        <v>122</v>
      </c>
      <c r="K280" s="120" t="s">
        <v>123</v>
      </c>
      <c r="L280" s="121" t="s">
        <v>82</v>
      </c>
      <c r="M280" s="76"/>
      <c r="N280" s="77"/>
      <c r="O280" s="76"/>
      <c r="P280" s="76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8" hidden="1" customHeight="1" x14ac:dyDescent="0.35">
      <c r="A281" s="124">
        <v>1</v>
      </c>
      <c r="B281" s="125">
        <v>2</v>
      </c>
      <c r="C281" s="125">
        <v>3</v>
      </c>
      <c r="D281" s="125">
        <v>4</v>
      </c>
      <c r="E281" s="125">
        <v>5</v>
      </c>
      <c r="F281" s="125">
        <v>6</v>
      </c>
      <c r="G281" s="125">
        <v>7</v>
      </c>
      <c r="H281" s="125">
        <v>8</v>
      </c>
      <c r="I281" s="125">
        <v>9</v>
      </c>
      <c r="J281" s="125">
        <v>10</v>
      </c>
      <c r="K281" s="125">
        <v>11</v>
      </c>
      <c r="L281" s="126">
        <v>12</v>
      </c>
      <c r="M281" s="76"/>
      <c r="N281" s="77"/>
      <c r="O281" s="76"/>
      <c r="P281" s="76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8" hidden="1" customHeight="1" x14ac:dyDescent="0.35">
      <c r="A282" s="124" t="s">
        <v>16</v>
      </c>
      <c r="B282" s="125">
        <v>0</v>
      </c>
      <c r="C282" s="125">
        <v>0</v>
      </c>
      <c r="D282" s="125">
        <v>0</v>
      </c>
      <c r="E282" s="125">
        <v>0</v>
      </c>
      <c r="F282" s="125">
        <v>0</v>
      </c>
      <c r="G282" s="125">
        <v>0</v>
      </c>
      <c r="H282" s="125">
        <v>0</v>
      </c>
      <c r="I282" s="125">
        <v>0</v>
      </c>
      <c r="J282" s="125">
        <v>0</v>
      </c>
      <c r="K282" s="125">
        <v>0</v>
      </c>
      <c r="L282" s="126">
        <v>0</v>
      </c>
      <c r="M282" s="76"/>
      <c r="N282" s="77"/>
      <c r="O282" s="76"/>
      <c r="P282" s="76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8" hidden="1" customHeight="1" x14ac:dyDescent="0.35">
      <c r="A283" s="124" t="s">
        <v>32</v>
      </c>
      <c r="B283" s="125">
        <f>10.2+IF($F$21="Oui",0.2)</f>
        <v>10.199999999999999</v>
      </c>
      <c r="C283" s="125">
        <f>11+IF($F$21="Oui",0.2)</f>
        <v>11</v>
      </c>
      <c r="D283" s="125">
        <f>10.2+IF($F$21="Oui",0.2)</f>
        <v>10.199999999999999</v>
      </c>
      <c r="E283" s="125">
        <f>11+IF($F$21="Oui",0.2)</f>
        <v>11</v>
      </c>
      <c r="F283" s="125">
        <v>0.2</v>
      </c>
      <c r="G283" s="125">
        <f>2</f>
        <v>2</v>
      </c>
      <c r="H283" s="125" t="s">
        <v>27</v>
      </c>
      <c r="I283" s="125" t="s">
        <v>27</v>
      </c>
      <c r="J283" s="125">
        <v>-0.5</v>
      </c>
      <c r="K283" s="125">
        <v>2</v>
      </c>
      <c r="L283" s="126">
        <v>1</v>
      </c>
      <c r="M283" s="76"/>
      <c r="N283" s="77"/>
      <c r="O283" s="76"/>
      <c r="P283" s="76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8" hidden="1" customHeight="1" x14ac:dyDescent="0.35">
      <c r="A284" s="268" t="s">
        <v>124</v>
      </c>
      <c r="B284" s="124">
        <v>10.199999999999999</v>
      </c>
      <c r="C284" s="125">
        <v>11</v>
      </c>
      <c r="D284" s="125">
        <v>10.199999999999999</v>
      </c>
      <c r="E284" s="125">
        <v>11</v>
      </c>
      <c r="F284" s="125">
        <v>0.2</v>
      </c>
      <c r="G284" s="125">
        <v>1</v>
      </c>
      <c r="H284" s="125" t="s">
        <v>27</v>
      </c>
      <c r="I284" s="125" t="s">
        <v>27</v>
      </c>
      <c r="J284" s="125">
        <v>-0.5</v>
      </c>
      <c r="K284" s="125">
        <v>2</v>
      </c>
      <c r="L284" s="125">
        <v>1</v>
      </c>
      <c r="M284" s="126"/>
      <c r="N284" s="122"/>
      <c r="Q284" s="123"/>
      <c r="R284" s="5"/>
      <c r="S284" s="2"/>
      <c r="T284" s="2"/>
      <c r="U284" s="2"/>
      <c r="V284" s="2"/>
      <c r="W284" s="2"/>
      <c r="X284" s="2"/>
      <c r="Y284" s="2"/>
      <c r="Z284" s="2"/>
    </row>
    <row r="285" spans="1:26" ht="18" hidden="1" customHeight="1" x14ac:dyDescent="0.35">
      <c r="A285" s="124" t="s">
        <v>129</v>
      </c>
      <c r="B285" s="125">
        <f t="shared" ref="B285:B288" si="108">10.2+IF($F$21="Oui",0.2)</f>
        <v>10.199999999999999</v>
      </c>
      <c r="C285" s="125">
        <f t="shared" ref="C285:C288" si="109">11+IF($F$21="Oui",0.2)</f>
        <v>11</v>
      </c>
      <c r="D285" s="125">
        <f t="shared" ref="D285:D288" si="110">10.2+IF($F$21="Oui",0.2)</f>
        <v>10.199999999999999</v>
      </c>
      <c r="E285" s="125">
        <f>5.2+IF($F$21="Oui",0.1)</f>
        <v>5.2</v>
      </c>
      <c r="F285" s="125">
        <v>0.2</v>
      </c>
      <c r="G285" s="125">
        <v>2</v>
      </c>
      <c r="H285" s="125" t="s">
        <v>27</v>
      </c>
      <c r="I285" s="125" t="s">
        <v>27</v>
      </c>
      <c r="J285" s="125">
        <v>9.5</v>
      </c>
      <c r="K285" s="125">
        <v>2</v>
      </c>
      <c r="L285" s="126">
        <v>1</v>
      </c>
      <c r="M285" s="76"/>
      <c r="N285" s="77"/>
      <c r="O285" s="76"/>
      <c r="P285" s="76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8" hidden="1" customHeight="1" x14ac:dyDescent="0.35">
      <c r="A286" s="124" t="s">
        <v>130</v>
      </c>
      <c r="B286" s="125">
        <f t="shared" si="108"/>
        <v>10.199999999999999</v>
      </c>
      <c r="C286" s="125">
        <f t="shared" si="109"/>
        <v>11</v>
      </c>
      <c r="D286" s="125">
        <f t="shared" si="110"/>
        <v>10.199999999999999</v>
      </c>
      <c r="E286" s="125">
        <f>6+IF($F$21="Oui",0.1)</f>
        <v>6</v>
      </c>
      <c r="F286" s="125">
        <v>10.199999999999999</v>
      </c>
      <c r="G286" s="125">
        <v>2</v>
      </c>
      <c r="H286" s="125" t="s">
        <v>37</v>
      </c>
      <c r="I286" s="125" t="s">
        <v>27</v>
      </c>
      <c r="J286" s="125">
        <v>-0.5</v>
      </c>
      <c r="K286" s="125">
        <v>2</v>
      </c>
      <c r="L286" s="126">
        <v>1</v>
      </c>
      <c r="M286" s="76"/>
      <c r="N286" s="77"/>
      <c r="O286" s="76"/>
      <c r="P286" s="76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8" hidden="1" customHeight="1" x14ac:dyDescent="0.35">
      <c r="A287" s="124" t="s">
        <v>131</v>
      </c>
      <c r="B287" s="125">
        <f t="shared" si="108"/>
        <v>10.199999999999999</v>
      </c>
      <c r="C287" s="125">
        <f t="shared" si="109"/>
        <v>11</v>
      </c>
      <c r="D287" s="125">
        <f t="shared" si="110"/>
        <v>10.199999999999999</v>
      </c>
      <c r="E287" s="125">
        <f t="shared" ref="E287:E288" si="111">11+IF($F$21="Oui",0.2)</f>
        <v>11</v>
      </c>
      <c r="F287" s="125">
        <v>0.2</v>
      </c>
      <c r="G287" s="125">
        <v>2</v>
      </c>
      <c r="H287" s="125" t="s">
        <v>27</v>
      </c>
      <c r="I287" s="125" t="s">
        <v>27</v>
      </c>
      <c r="J287" s="125">
        <v>-0.5</v>
      </c>
      <c r="K287" s="128">
        <v>1</v>
      </c>
      <c r="L287" s="126">
        <v>1</v>
      </c>
      <c r="M287" s="76"/>
      <c r="N287" s="77"/>
      <c r="O287" s="76"/>
      <c r="P287" s="76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8" hidden="1" customHeight="1" x14ac:dyDescent="0.35">
      <c r="A288" s="127" t="s">
        <v>132</v>
      </c>
      <c r="B288" s="128">
        <f t="shared" si="108"/>
        <v>10.199999999999999</v>
      </c>
      <c r="C288" s="128">
        <f t="shared" si="109"/>
        <v>11</v>
      </c>
      <c r="D288" s="128">
        <f t="shared" si="110"/>
        <v>10.199999999999999</v>
      </c>
      <c r="E288" s="128">
        <f t="shared" si="111"/>
        <v>11</v>
      </c>
      <c r="F288" s="128">
        <v>0.2</v>
      </c>
      <c r="G288" s="128">
        <v>1</v>
      </c>
      <c r="H288" s="128" t="s">
        <v>27</v>
      </c>
      <c r="I288" s="128" t="s">
        <v>27</v>
      </c>
      <c r="J288" s="128">
        <v>-0.5</v>
      </c>
      <c r="K288" s="128">
        <v>1</v>
      </c>
      <c r="L288" s="129">
        <v>1</v>
      </c>
      <c r="M288" s="76"/>
      <c r="N288" s="77"/>
      <c r="O288" s="76"/>
      <c r="P288" s="76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8" hidden="1" customHeight="1" x14ac:dyDescent="0.3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3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8" hidden="1" customHeight="1" x14ac:dyDescent="0.35">
      <c r="A290" s="158" t="s">
        <v>20</v>
      </c>
      <c r="N290" s="12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8" hidden="1" customHeight="1" x14ac:dyDescent="0.35">
      <c r="A291" s="159" t="s">
        <v>14</v>
      </c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3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8" hidden="1" customHeight="1" x14ac:dyDescent="0.3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3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8" hidden="1" customHeight="1" x14ac:dyDescent="0.35">
      <c r="A293" s="160" t="s">
        <v>133</v>
      </c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3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8" hidden="1" customHeight="1" x14ac:dyDescent="0.35">
      <c r="A294" s="161" t="s">
        <v>134</v>
      </c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3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8" hidden="1" customHeight="1" x14ac:dyDescent="0.3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3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8" hidden="1" customHeight="1" x14ac:dyDescent="0.35">
      <c r="A296" s="162" t="s">
        <v>135</v>
      </c>
      <c r="B296" s="163">
        <v>10</v>
      </c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3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8" hidden="1" customHeight="1" x14ac:dyDescent="0.35">
      <c r="A297" s="164" t="s">
        <v>136</v>
      </c>
      <c r="B297" s="165">
        <v>10</v>
      </c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3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8" hidden="1" customHeight="1" x14ac:dyDescent="0.35">
      <c r="A298" s="166" t="s">
        <v>24</v>
      </c>
      <c r="B298" s="167">
        <v>3</v>
      </c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3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8" customHeight="1" x14ac:dyDescent="0.3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3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8" customHeight="1" x14ac:dyDescent="0.3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3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8" customHeight="1" x14ac:dyDescent="0.3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3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8" customHeight="1" x14ac:dyDescent="0.3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3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8" customHeight="1" x14ac:dyDescent="0.3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3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8" customHeight="1" x14ac:dyDescent="0.3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3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8" customHeight="1" x14ac:dyDescent="0.3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3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8" customHeight="1" x14ac:dyDescent="0.3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3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8" customHeight="1" x14ac:dyDescent="0.3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3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8" customHeight="1" x14ac:dyDescent="0.3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3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8" customHeight="1" x14ac:dyDescent="0.3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3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8" customHeight="1" x14ac:dyDescent="0.3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3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8" customHeight="1" x14ac:dyDescent="0.3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3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8" customHeight="1" x14ac:dyDescent="0.3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3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8" customHeight="1" x14ac:dyDescent="0.3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3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8" customHeight="1" x14ac:dyDescent="0.3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3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8" customHeight="1" x14ac:dyDescent="0.3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3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8" customHeight="1" x14ac:dyDescent="0.3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3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8" customHeight="1" x14ac:dyDescent="0.3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3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8" customHeight="1" x14ac:dyDescent="0.3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3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8" customHeight="1" x14ac:dyDescent="0.3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3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8" customHeight="1" x14ac:dyDescent="0.3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3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8" customHeight="1" x14ac:dyDescent="0.3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3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8" customHeight="1" x14ac:dyDescent="0.3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3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8" customHeight="1" x14ac:dyDescent="0.3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3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8" customHeight="1" x14ac:dyDescent="0.3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3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8" customHeight="1" x14ac:dyDescent="0.3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3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8" customHeight="1" x14ac:dyDescent="0.3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3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8" customHeight="1" x14ac:dyDescent="0.3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3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8" customHeight="1" x14ac:dyDescent="0.3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3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8" customHeight="1" x14ac:dyDescent="0.3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3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8" customHeight="1" x14ac:dyDescent="0.3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3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8" customHeight="1" x14ac:dyDescent="0.3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3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8" customHeight="1" x14ac:dyDescent="0.3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3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8" customHeight="1" x14ac:dyDescent="0.3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3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8" customHeight="1" x14ac:dyDescent="0.3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3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8" customHeight="1" x14ac:dyDescent="0.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3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8" customHeight="1" x14ac:dyDescent="0.3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3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8" customHeight="1" x14ac:dyDescent="0.3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3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8" customHeight="1" x14ac:dyDescent="0.3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3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8" customHeight="1" x14ac:dyDescent="0.3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3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8" customHeight="1" x14ac:dyDescent="0.3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3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8" customHeight="1" x14ac:dyDescent="0.3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3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8" customHeight="1" x14ac:dyDescent="0.3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3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8" customHeight="1" x14ac:dyDescent="0.3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3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8" customHeight="1" x14ac:dyDescent="0.3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3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8" customHeight="1" x14ac:dyDescent="0.3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3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8" customHeight="1" x14ac:dyDescent="0.3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3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8" customHeight="1" x14ac:dyDescent="0.3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3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8" customHeight="1" x14ac:dyDescent="0.3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3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8" customHeight="1" x14ac:dyDescent="0.3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3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8" customHeight="1" x14ac:dyDescent="0.3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3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8" customHeight="1" x14ac:dyDescent="0.3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3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8" customHeight="1" x14ac:dyDescent="0.3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3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8" customHeight="1" x14ac:dyDescent="0.3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3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8" customHeight="1" x14ac:dyDescent="0.3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3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8" customHeight="1" x14ac:dyDescent="0.3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3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8" customHeight="1" x14ac:dyDescent="0.3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3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8" customHeight="1" x14ac:dyDescent="0.3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3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8" customHeight="1" x14ac:dyDescent="0.3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3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8" customHeight="1" x14ac:dyDescent="0.3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3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8" customHeight="1" x14ac:dyDescent="0.3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3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8" customHeight="1" x14ac:dyDescent="0.3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3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8" customHeight="1" x14ac:dyDescent="0.3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3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8" customHeight="1" x14ac:dyDescent="0.3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3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8" customHeight="1" x14ac:dyDescent="0.3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3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8" customHeight="1" x14ac:dyDescent="0.3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3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8" customHeight="1" x14ac:dyDescent="0.3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3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8" customHeight="1" x14ac:dyDescent="0.3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3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8" customHeight="1" x14ac:dyDescent="0.3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3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8" customHeight="1" x14ac:dyDescent="0.3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3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8" customHeight="1" x14ac:dyDescent="0.3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3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8" customHeight="1" x14ac:dyDescent="0.3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3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8" customHeight="1" x14ac:dyDescent="0.3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3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8" customHeight="1" x14ac:dyDescent="0.3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3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8" customHeight="1" x14ac:dyDescent="0.3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3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8" customHeight="1" x14ac:dyDescent="0.3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3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8" customHeight="1" x14ac:dyDescent="0.3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3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8" customHeight="1" x14ac:dyDescent="0.3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3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8" customHeight="1" x14ac:dyDescent="0.3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3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8" customHeight="1" x14ac:dyDescent="0.3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3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8" customHeight="1" x14ac:dyDescent="0.3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3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8" customHeight="1" x14ac:dyDescent="0.3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3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8" customHeight="1" x14ac:dyDescent="0.3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3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8" customHeight="1" x14ac:dyDescent="0.3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3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8" customHeight="1" x14ac:dyDescent="0.3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3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8" customHeight="1" x14ac:dyDescent="0.3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3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8" customHeight="1" x14ac:dyDescent="0.3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3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8" customHeight="1" x14ac:dyDescent="0.3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3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8" customHeight="1" x14ac:dyDescent="0.3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3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8" customHeight="1" x14ac:dyDescent="0.3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3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8" customHeight="1" x14ac:dyDescent="0.3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3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8" customHeight="1" x14ac:dyDescent="0.3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3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8" customHeight="1" x14ac:dyDescent="0.3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3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8" customHeight="1" x14ac:dyDescent="0.3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3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8" customHeight="1" x14ac:dyDescent="0.3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3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8" customHeight="1" x14ac:dyDescent="0.3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3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8" customHeight="1" x14ac:dyDescent="0.3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3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8" customHeight="1" x14ac:dyDescent="0.3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3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8" customHeight="1" x14ac:dyDescent="0.3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3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8" customHeight="1" x14ac:dyDescent="0.3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3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8" customHeight="1" x14ac:dyDescent="0.3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3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8" customHeight="1" x14ac:dyDescent="0.3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3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8" customHeight="1" x14ac:dyDescent="0.3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3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8" customHeight="1" x14ac:dyDescent="0.3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3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8" customHeight="1" x14ac:dyDescent="0.3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3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8" customHeight="1" x14ac:dyDescent="0.3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3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8" customHeight="1" x14ac:dyDescent="0.3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3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8" customHeight="1" x14ac:dyDescent="0.3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3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8" customHeight="1" x14ac:dyDescent="0.3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3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8" customHeight="1" x14ac:dyDescent="0.3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3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8" customHeight="1" x14ac:dyDescent="0.3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3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8" customHeight="1" x14ac:dyDescent="0.3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3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8" customHeight="1" x14ac:dyDescent="0.3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3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8" customHeight="1" x14ac:dyDescent="0.3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3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8" customHeight="1" x14ac:dyDescent="0.3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3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8" customHeight="1" x14ac:dyDescent="0.3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3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8" customHeight="1" x14ac:dyDescent="0.3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3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8" customHeight="1" x14ac:dyDescent="0.3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3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8" customHeight="1" x14ac:dyDescent="0.3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3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8" customHeight="1" x14ac:dyDescent="0.3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3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8" customHeight="1" x14ac:dyDescent="0.3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3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8" customHeight="1" x14ac:dyDescent="0.3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3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8" customHeight="1" x14ac:dyDescent="0.3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3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8" customHeight="1" x14ac:dyDescent="0.3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3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8" customHeight="1" x14ac:dyDescent="0.3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3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8" customHeight="1" x14ac:dyDescent="0.3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3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8" customHeight="1" x14ac:dyDescent="0.3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3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8" customHeight="1" x14ac:dyDescent="0.3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3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8" customHeight="1" x14ac:dyDescent="0.3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3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8" customHeight="1" x14ac:dyDescent="0.3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3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8" customHeight="1" x14ac:dyDescent="0.3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3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8" customHeight="1" x14ac:dyDescent="0.3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3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8" customHeight="1" x14ac:dyDescent="0.3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3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8" customHeight="1" x14ac:dyDescent="0.3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3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8" customHeight="1" x14ac:dyDescent="0.3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3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8" customHeight="1" x14ac:dyDescent="0.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3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8" customHeight="1" x14ac:dyDescent="0.3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3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8" customHeight="1" x14ac:dyDescent="0.3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3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8" customHeight="1" x14ac:dyDescent="0.3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3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8" customHeight="1" x14ac:dyDescent="0.3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3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8" customHeight="1" x14ac:dyDescent="0.3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3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8" customHeight="1" x14ac:dyDescent="0.3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3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8" customHeight="1" x14ac:dyDescent="0.3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3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8" customHeight="1" x14ac:dyDescent="0.3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3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8" customHeight="1" x14ac:dyDescent="0.3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3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8" customHeight="1" x14ac:dyDescent="0.3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3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8" customHeight="1" x14ac:dyDescent="0.3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3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8" customHeight="1" x14ac:dyDescent="0.3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3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8" customHeight="1" x14ac:dyDescent="0.3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3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8" customHeight="1" x14ac:dyDescent="0.3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3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8" customHeight="1" x14ac:dyDescent="0.3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3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8" customHeight="1" x14ac:dyDescent="0.3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3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8" customHeight="1" x14ac:dyDescent="0.3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3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8" customHeight="1" x14ac:dyDescent="0.3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3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8" customHeight="1" x14ac:dyDescent="0.3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3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8" customHeight="1" x14ac:dyDescent="0.3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3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8" customHeight="1" x14ac:dyDescent="0.3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3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8" customHeight="1" x14ac:dyDescent="0.3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3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8" customHeight="1" x14ac:dyDescent="0.3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3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8" customHeight="1" x14ac:dyDescent="0.3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3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8" customHeight="1" x14ac:dyDescent="0.3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3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8" customHeight="1" x14ac:dyDescent="0.3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3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8" customHeight="1" x14ac:dyDescent="0.3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3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8" customHeight="1" x14ac:dyDescent="0.3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3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8" customHeight="1" x14ac:dyDescent="0.3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3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8" customHeight="1" x14ac:dyDescent="0.3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3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8" customHeight="1" x14ac:dyDescent="0.3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3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8" customHeight="1" x14ac:dyDescent="0.3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3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8" customHeight="1" x14ac:dyDescent="0.3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3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8" customHeight="1" x14ac:dyDescent="0.3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3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8" customHeight="1" x14ac:dyDescent="0.3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3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8" customHeight="1" x14ac:dyDescent="0.3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3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8" customHeight="1" x14ac:dyDescent="0.3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3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8" customHeight="1" x14ac:dyDescent="0.3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3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8" customHeight="1" x14ac:dyDescent="0.3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3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8" customHeight="1" x14ac:dyDescent="0.3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3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8" customHeight="1" x14ac:dyDescent="0.3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3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8" customHeight="1" x14ac:dyDescent="0.3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3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8" customHeight="1" x14ac:dyDescent="0.3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3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8" customHeight="1" x14ac:dyDescent="0.3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3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8" customHeight="1" x14ac:dyDescent="0.3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3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8" customHeight="1" x14ac:dyDescent="0.3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3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8" customHeight="1" x14ac:dyDescent="0.3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3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8" customHeight="1" x14ac:dyDescent="0.3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3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8" customHeight="1" x14ac:dyDescent="0.3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3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8" customHeight="1" x14ac:dyDescent="0.3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3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8" customHeight="1" x14ac:dyDescent="0.3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3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8" customHeight="1" x14ac:dyDescent="0.3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3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8" customHeight="1" x14ac:dyDescent="0.3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3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8" customHeight="1" x14ac:dyDescent="0.3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3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8" customHeight="1" x14ac:dyDescent="0.3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3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8" customHeight="1" x14ac:dyDescent="0.3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3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8" customHeight="1" x14ac:dyDescent="0.3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3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8" customHeight="1" x14ac:dyDescent="0.3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3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8" customHeight="1" x14ac:dyDescent="0.3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3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8" customHeight="1" x14ac:dyDescent="0.3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3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8" customHeight="1" x14ac:dyDescent="0.3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3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8" customHeight="1" x14ac:dyDescent="0.3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3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8" customHeight="1" x14ac:dyDescent="0.3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3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8" customHeight="1" x14ac:dyDescent="0.3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3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8" customHeight="1" x14ac:dyDescent="0.3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3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8" customHeight="1" x14ac:dyDescent="0.3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3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8" customHeight="1" x14ac:dyDescent="0.3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3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8" customHeight="1" x14ac:dyDescent="0.3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3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8" customHeight="1" x14ac:dyDescent="0.3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3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8" customHeight="1" x14ac:dyDescent="0.3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3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8" customHeight="1" x14ac:dyDescent="0.3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3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8" customHeight="1" x14ac:dyDescent="0.3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3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8" customHeight="1" x14ac:dyDescent="0.3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3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8" customHeight="1" x14ac:dyDescent="0.3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3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8" customHeight="1" x14ac:dyDescent="0.3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3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8" customHeight="1" x14ac:dyDescent="0.3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3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8" customHeight="1" x14ac:dyDescent="0.3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3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8" customHeight="1" x14ac:dyDescent="0.3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3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8" customHeight="1" x14ac:dyDescent="0.3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3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8" customHeight="1" x14ac:dyDescent="0.3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3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8" customHeight="1" x14ac:dyDescent="0.3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3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8" customHeight="1" x14ac:dyDescent="0.3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3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8" customHeight="1" x14ac:dyDescent="0.3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3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8" customHeight="1" x14ac:dyDescent="0.3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3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8" customHeight="1" x14ac:dyDescent="0.3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3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8" customHeight="1" x14ac:dyDescent="0.3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3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8" customHeight="1" x14ac:dyDescent="0.3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3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8" customHeight="1" x14ac:dyDescent="0.3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3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8" customHeight="1" x14ac:dyDescent="0.3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3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8" customHeight="1" x14ac:dyDescent="0.3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3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8" customHeight="1" x14ac:dyDescent="0.3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3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8" customHeight="1" x14ac:dyDescent="0.3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3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8" customHeight="1" x14ac:dyDescent="0.3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3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8" customHeight="1" x14ac:dyDescent="0.3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3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8" customHeight="1" x14ac:dyDescent="0.3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3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8" customHeight="1" x14ac:dyDescent="0.3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3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8" customHeight="1" x14ac:dyDescent="0.3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3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8" customHeight="1" x14ac:dyDescent="0.3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3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8" customHeight="1" x14ac:dyDescent="0.3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3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8" customHeight="1" x14ac:dyDescent="0.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3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8" customHeight="1" x14ac:dyDescent="0.3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3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8" customHeight="1" x14ac:dyDescent="0.3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3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8" customHeight="1" x14ac:dyDescent="0.3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3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8" customHeight="1" x14ac:dyDescent="0.3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3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8" customHeight="1" x14ac:dyDescent="0.3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3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8" customHeight="1" x14ac:dyDescent="0.3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3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8" customHeight="1" x14ac:dyDescent="0.3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3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8" customHeight="1" x14ac:dyDescent="0.3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3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8" customHeight="1" x14ac:dyDescent="0.3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3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8" customHeight="1" x14ac:dyDescent="0.3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3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8" customHeight="1" x14ac:dyDescent="0.3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3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8" customHeight="1" x14ac:dyDescent="0.3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3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8" customHeight="1" x14ac:dyDescent="0.3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3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8" customHeight="1" x14ac:dyDescent="0.3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3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8" customHeight="1" x14ac:dyDescent="0.3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3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8" customHeight="1" x14ac:dyDescent="0.3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3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8" customHeight="1" x14ac:dyDescent="0.3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3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8" customHeight="1" x14ac:dyDescent="0.3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3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8" customHeight="1" x14ac:dyDescent="0.3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3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8" customHeight="1" x14ac:dyDescent="0.3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3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8" customHeight="1" x14ac:dyDescent="0.3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3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8" customHeight="1" x14ac:dyDescent="0.3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3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8" customHeight="1" x14ac:dyDescent="0.3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3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8" customHeight="1" x14ac:dyDescent="0.3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3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8" customHeight="1" x14ac:dyDescent="0.3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3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8" customHeight="1" x14ac:dyDescent="0.3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3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8" customHeight="1" x14ac:dyDescent="0.3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3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8" customHeight="1" x14ac:dyDescent="0.3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3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8" customHeight="1" x14ac:dyDescent="0.3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3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8" customHeight="1" x14ac:dyDescent="0.3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3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8" customHeight="1" x14ac:dyDescent="0.3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3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8" customHeight="1" x14ac:dyDescent="0.3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3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8" customHeight="1" x14ac:dyDescent="0.3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3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8" customHeight="1" x14ac:dyDescent="0.3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3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8" customHeight="1" x14ac:dyDescent="0.3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3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8" customHeight="1" x14ac:dyDescent="0.3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3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8" customHeight="1" x14ac:dyDescent="0.3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3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8" customHeight="1" x14ac:dyDescent="0.3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3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8" customHeight="1" x14ac:dyDescent="0.3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3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8" customHeight="1" x14ac:dyDescent="0.3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3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8" customHeight="1" x14ac:dyDescent="0.3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3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8" customHeight="1" x14ac:dyDescent="0.3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3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8" customHeight="1" x14ac:dyDescent="0.3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3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8" customHeight="1" x14ac:dyDescent="0.3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3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8" customHeight="1" x14ac:dyDescent="0.3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3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8" customHeight="1" x14ac:dyDescent="0.3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3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8" customHeight="1" x14ac:dyDescent="0.3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3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8" customHeight="1" x14ac:dyDescent="0.3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3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8" customHeight="1" x14ac:dyDescent="0.3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3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8" customHeight="1" x14ac:dyDescent="0.3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3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8" customHeight="1" x14ac:dyDescent="0.3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3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8" customHeight="1" x14ac:dyDescent="0.3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3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8" customHeight="1" x14ac:dyDescent="0.3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3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8" customHeight="1" x14ac:dyDescent="0.3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3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8" customHeight="1" x14ac:dyDescent="0.3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3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8" customHeight="1" x14ac:dyDescent="0.3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3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8" customHeight="1" x14ac:dyDescent="0.3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3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8" customHeight="1" x14ac:dyDescent="0.3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3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8" customHeight="1" x14ac:dyDescent="0.3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3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8" customHeight="1" x14ac:dyDescent="0.3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3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8" customHeight="1" x14ac:dyDescent="0.3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3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8" customHeight="1" x14ac:dyDescent="0.3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3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8" customHeight="1" x14ac:dyDescent="0.3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3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8" customHeight="1" x14ac:dyDescent="0.3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3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8" customHeight="1" x14ac:dyDescent="0.3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3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8" customHeight="1" x14ac:dyDescent="0.3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3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8" customHeight="1" x14ac:dyDescent="0.3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3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8" customHeight="1" x14ac:dyDescent="0.3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3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8" customHeight="1" x14ac:dyDescent="0.3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3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8" customHeight="1" x14ac:dyDescent="0.3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3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8" customHeight="1" x14ac:dyDescent="0.3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3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8" customHeight="1" x14ac:dyDescent="0.3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3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8" customHeight="1" x14ac:dyDescent="0.3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3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8" customHeight="1" x14ac:dyDescent="0.3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3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8" customHeight="1" x14ac:dyDescent="0.3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3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8" customHeight="1" x14ac:dyDescent="0.3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3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8" customHeight="1" x14ac:dyDescent="0.3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3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8" customHeight="1" x14ac:dyDescent="0.3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3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8" customHeight="1" x14ac:dyDescent="0.3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3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8" customHeight="1" x14ac:dyDescent="0.3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3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8" customHeight="1" x14ac:dyDescent="0.3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3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8" customHeight="1" x14ac:dyDescent="0.3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3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8" customHeight="1" x14ac:dyDescent="0.3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3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8" customHeight="1" x14ac:dyDescent="0.3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3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8" customHeight="1" x14ac:dyDescent="0.3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3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8" customHeight="1" x14ac:dyDescent="0.3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3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8" customHeight="1" x14ac:dyDescent="0.3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3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8" customHeight="1" x14ac:dyDescent="0.3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3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8" customHeight="1" x14ac:dyDescent="0.3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3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8" customHeight="1" x14ac:dyDescent="0.3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3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8" customHeight="1" x14ac:dyDescent="0.3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3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8" customHeight="1" x14ac:dyDescent="0.3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3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8" customHeight="1" x14ac:dyDescent="0.3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3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8" customHeight="1" x14ac:dyDescent="0.3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3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8" customHeight="1" x14ac:dyDescent="0.3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3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8" customHeight="1" x14ac:dyDescent="0.3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3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8" customHeight="1" x14ac:dyDescent="0.3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3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8" customHeight="1" x14ac:dyDescent="0.3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3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8" customHeight="1" x14ac:dyDescent="0.3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3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8" customHeight="1" x14ac:dyDescent="0.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3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8" customHeight="1" x14ac:dyDescent="0.3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3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8" customHeight="1" x14ac:dyDescent="0.3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3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8" customHeight="1" x14ac:dyDescent="0.3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3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8" customHeight="1" x14ac:dyDescent="0.3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3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8" customHeight="1" x14ac:dyDescent="0.3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3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8" customHeight="1" x14ac:dyDescent="0.3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3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8" customHeight="1" x14ac:dyDescent="0.3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3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8" customHeight="1" x14ac:dyDescent="0.3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3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8" customHeight="1" x14ac:dyDescent="0.3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3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8" customHeight="1" x14ac:dyDescent="0.3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3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8" customHeight="1" x14ac:dyDescent="0.3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3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8" customHeight="1" x14ac:dyDescent="0.3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3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8" customHeight="1" x14ac:dyDescent="0.3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3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8" customHeight="1" x14ac:dyDescent="0.3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3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8" customHeight="1" x14ac:dyDescent="0.3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3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8" customHeight="1" x14ac:dyDescent="0.3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3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8" customHeight="1" x14ac:dyDescent="0.3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3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8" customHeight="1" x14ac:dyDescent="0.3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3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8" customHeight="1" x14ac:dyDescent="0.3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3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8" customHeight="1" x14ac:dyDescent="0.3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3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8" customHeight="1" x14ac:dyDescent="0.3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3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8" customHeight="1" x14ac:dyDescent="0.3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3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8" customHeight="1" x14ac:dyDescent="0.3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3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8" customHeight="1" x14ac:dyDescent="0.3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3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8" customHeight="1" x14ac:dyDescent="0.3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3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8" customHeight="1" x14ac:dyDescent="0.3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3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8" customHeight="1" x14ac:dyDescent="0.3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3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8" customHeight="1" x14ac:dyDescent="0.3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3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8" customHeight="1" x14ac:dyDescent="0.3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3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8" customHeight="1" x14ac:dyDescent="0.3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3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8" customHeight="1" x14ac:dyDescent="0.3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3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8" customHeight="1" x14ac:dyDescent="0.3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3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8" customHeight="1" x14ac:dyDescent="0.3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3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8" customHeight="1" x14ac:dyDescent="0.3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3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8" customHeight="1" x14ac:dyDescent="0.3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3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8" customHeight="1" x14ac:dyDescent="0.3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3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8" customHeight="1" x14ac:dyDescent="0.3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3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8" customHeight="1" x14ac:dyDescent="0.3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3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8" customHeight="1" x14ac:dyDescent="0.3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3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8" customHeight="1" x14ac:dyDescent="0.3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3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8" customHeight="1" x14ac:dyDescent="0.3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3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8" customHeight="1" x14ac:dyDescent="0.3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3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8" customHeight="1" x14ac:dyDescent="0.3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3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8" customHeight="1" x14ac:dyDescent="0.3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3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8" customHeight="1" x14ac:dyDescent="0.3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3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8" customHeight="1" x14ac:dyDescent="0.3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3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8" customHeight="1" x14ac:dyDescent="0.3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3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8" customHeight="1" x14ac:dyDescent="0.3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3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8" customHeight="1" x14ac:dyDescent="0.3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3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8" customHeight="1" x14ac:dyDescent="0.3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3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8" customHeight="1" x14ac:dyDescent="0.3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3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8" customHeight="1" x14ac:dyDescent="0.3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3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8" customHeight="1" x14ac:dyDescent="0.3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3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8" customHeight="1" x14ac:dyDescent="0.3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3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8" customHeight="1" x14ac:dyDescent="0.3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3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8" customHeight="1" x14ac:dyDescent="0.3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3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8" customHeight="1" x14ac:dyDescent="0.3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3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8" customHeight="1" x14ac:dyDescent="0.3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3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8" customHeight="1" x14ac:dyDescent="0.3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3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8" customHeight="1" x14ac:dyDescent="0.3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3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8" customHeight="1" x14ac:dyDescent="0.3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3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8" customHeight="1" x14ac:dyDescent="0.3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3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8" customHeight="1" x14ac:dyDescent="0.3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3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8" customHeight="1" x14ac:dyDescent="0.3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3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8" customHeight="1" x14ac:dyDescent="0.3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3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8" customHeight="1" x14ac:dyDescent="0.3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3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8" customHeight="1" x14ac:dyDescent="0.3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3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8" customHeight="1" x14ac:dyDescent="0.3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3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8" customHeight="1" x14ac:dyDescent="0.3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3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8" customHeight="1" x14ac:dyDescent="0.3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3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8" customHeight="1" x14ac:dyDescent="0.3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3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8" customHeight="1" x14ac:dyDescent="0.3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3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8" customHeight="1" x14ac:dyDescent="0.3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3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8" customHeight="1" x14ac:dyDescent="0.3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3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8" customHeight="1" x14ac:dyDescent="0.3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3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8" customHeight="1" x14ac:dyDescent="0.3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3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8" customHeight="1" x14ac:dyDescent="0.3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3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8" customHeight="1" x14ac:dyDescent="0.3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3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8" customHeight="1" x14ac:dyDescent="0.3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3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8" customHeight="1" x14ac:dyDescent="0.3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3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8" customHeight="1" x14ac:dyDescent="0.3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3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8" customHeight="1" x14ac:dyDescent="0.3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3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8" customHeight="1" x14ac:dyDescent="0.3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3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8" customHeight="1" x14ac:dyDescent="0.3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3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8" customHeight="1" x14ac:dyDescent="0.3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3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8" customHeight="1" x14ac:dyDescent="0.3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3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8" customHeight="1" x14ac:dyDescent="0.3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3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8" customHeight="1" x14ac:dyDescent="0.3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3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8" customHeight="1" x14ac:dyDescent="0.3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3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8" customHeight="1" x14ac:dyDescent="0.3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3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8" customHeight="1" x14ac:dyDescent="0.3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3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8" customHeight="1" x14ac:dyDescent="0.3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3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8" customHeight="1" x14ac:dyDescent="0.3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3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8" customHeight="1" x14ac:dyDescent="0.3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3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8" customHeight="1" x14ac:dyDescent="0.3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3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8" customHeight="1" x14ac:dyDescent="0.3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3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8" customHeight="1" x14ac:dyDescent="0.3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3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8" customHeight="1" x14ac:dyDescent="0.3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3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8" customHeight="1" x14ac:dyDescent="0.3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3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8" customHeight="1" x14ac:dyDescent="0.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3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8" customHeight="1" x14ac:dyDescent="0.3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3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8" customHeight="1" x14ac:dyDescent="0.3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3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8" customHeight="1" x14ac:dyDescent="0.3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3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8" customHeight="1" x14ac:dyDescent="0.3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3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8" customHeight="1" x14ac:dyDescent="0.3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3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8" customHeight="1" x14ac:dyDescent="0.3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3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8" customHeight="1" x14ac:dyDescent="0.3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3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8" customHeight="1" x14ac:dyDescent="0.3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3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8" customHeight="1" x14ac:dyDescent="0.3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3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8" customHeight="1" x14ac:dyDescent="0.3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3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8" customHeight="1" x14ac:dyDescent="0.3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3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8" customHeight="1" x14ac:dyDescent="0.3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3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8" customHeight="1" x14ac:dyDescent="0.3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3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8" customHeight="1" x14ac:dyDescent="0.3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3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8" customHeight="1" x14ac:dyDescent="0.3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3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8" customHeight="1" x14ac:dyDescent="0.3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3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8" customHeight="1" x14ac:dyDescent="0.3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3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8" customHeight="1" x14ac:dyDescent="0.3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3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8" customHeight="1" x14ac:dyDescent="0.3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3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8" customHeight="1" x14ac:dyDescent="0.3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3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8" customHeight="1" x14ac:dyDescent="0.3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3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8" customHeight="1" x14ac:dyDescent="0.3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3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8" customHeight="1" x14ac:dyDescent="0.3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3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8" customHeight="1" x14ac:dyDescent="0.3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3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8" customHeight="1" x14ac:dyDescent="0.3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3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8" customHeight="1" x14ac:dyDescent="0.3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3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8" customHeight="1" x14ac:dyDescent="0.3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3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8" customHeight="1" x14ac:dyDescent="0.3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3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8" customHeight="1" x14ac:dyDescent="0.3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3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8" customHeight="1" x14ac:dyDescent="0.3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3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8" customHeight="1" x14ac:dyDescent="0.3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3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8" customHeight="1" x14ac:dyDescent="0.3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3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8" customHeight="1" x14ac:dyDescent="0.3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3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8" customHeight="1" x14ac:dyDescent="0.3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3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8" customHeight="1" x14ac:dyDescent="0.3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3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8" customHeight="1" x14ac:dyDescent="0.3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3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8" customHeight="1" x14ac:dyDescent="0.3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3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8" customHeight="1" x14ac:dyDescent="0.3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3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8" customHeight="1" x14ac:dyDescent="0.3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3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8" customHeight="1" x14ac:dyDescent="0.3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3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8" customHeight="1" x14ac:dyDescent="0.3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3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8" customHeight="1" x14ac:dyDescent="0.3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3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8" customHeight="1" x14ac:dyDescent="0.3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3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8" customHeight="1" x14ac:dyDescent="0.3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3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8" customHeight="1" x14ac:dyDescent="0.3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3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8" customHeight="1" x14ac:dyDescent="0.3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3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8" customHeight="1" x14ac:dyDescent="0.3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3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8" customHeight="1" x14ac:dyDescent="0.3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3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8" customHeight="1" x14ac:dyDescent="0.3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3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8" customHeight="1" x14ac:dyDescent="0.3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3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8" customHeight="1" x14ac:dyDescent="0.3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3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8" customHeight="1" x14ac:dyDescent="0.3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3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8" customHeight="1" x14ac:dyDescent="0.3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3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8" customHeight="1" x14ac:dyDescent="0.3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3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8" customHeight="1" x14ac:dyDescent="0.3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3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8" customHeight="1" x14ac:dyDescent="0.3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3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8" customHeight="1" x14ac:dyDescent="0.3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3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8" customHeight="1" x14ac:dyDescent="0.3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3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8" customHeight="1" x14ac:dyDescent="0.3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3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8" customHeight="1" x14ac:dyDescent="0.3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3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8" customHeight="1" x14ac:dyDescent="0.3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3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8" customHeight="1" x14ac:dyDescent="0.3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3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8" customHeight="1" x14ac:dyDescent="0.3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3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8" customHeight="1" x14ac:dyDescent="0.3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3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8" customHeight="1" x14ac:dyDescent="0.3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3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8" customHeight="1" x14ac:dyDescent="0.3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3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8" customHeight="1" x14ac:dyDescent="0.3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3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8" customHeight="1" x14ac:dyDescent="0.3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3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8" customHeight="1" x14ac:dyDescent="0.3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3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8" customHeight="1" x14ac:dyDescent="0.3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3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8" customHeight="1" x14ac:dyDescent="0.3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3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8" customHeight="1" x14ac:dyDescent="0.3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3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8" customHeight="1" x14ac:dyDescent="0.3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3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8" customHeight="1" x14ac:dyDescent="0.3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3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8" customHeight="1" x14ac:dyDescent="0.3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3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8" customHeight="1" x14ac:dyDescent="0.3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3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8" customHeight="1" x14ac:dyDescent="0.3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3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8" customHeight="1" x14ac:dyDescent="0.3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3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8" customHeight="1" x14ac:dyDescent="0.3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3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8" customHeight="1" x14ac:dyDescent="0.3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3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8" customHeight="1" x14ac:dyDescent="0.3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3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8" customHeight="1" x14ac:dyDescent="0.3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3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8" customHeight="1" x14ac:dyDescent="0.3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3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8" customHeight="1" x14ac:dyDescent="0.3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3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8" customHeight="1" x14ac:dyDescent="0.3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3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8" customHeight="1" x14ac:dyDescent="0.3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3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8" customHeight="1" x14ac:dyDescent="0.3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3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8" customHeight="1" x14ac:dyDescent="0.3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3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8" customHeight="1" x14ac:dyDescent="0.3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3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8" customHeight="1" x14ac:dyDescent="0.3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3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8" customHeight="1" x14ac:dyDescent="0.3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3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8" customHeight="1" x14ac:dyDescent="0.3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3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8" customHeight="1" x14ac:dyDescent="0.3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3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8" customHeight="1" x14ac:dyDescent="0.3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3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8" customHeight="1" x14ac:dyDescent="0.3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3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8" customHeight="1" x14ac:dyDescent="0.3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3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8" customHeight="1" x14ac:dyDescent="0.3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3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8" customHeight="1" x14ac:dyDescent="0.3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3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8" customHeight="1" x14ac:dyDescent="0.3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3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8" customHeight="1" x14ac:dyDescent="0.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3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8" customHeight="1" x14ac:dyDescent="0.3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3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8" customHeight="1" x14ac:dyDescent="0.3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3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8" customHeight="1" x14ac:dyDescent="0.3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3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8" customHeight="1" x14ac:dyDescent="0.3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3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8" customHeight="1" x14ac:dyDescent="0.3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3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8" customHeight="1" x14ac:dyDescent="0.3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3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8" customHeight="1" x14ac:dyDescent="0.3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3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8" customHeight="1" x14ac:dyDescent="0.3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3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8" customHeight="1" x14ac:dyDescent="0.3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3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8" customHeight="1" x14ac:dyDescent="0.3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3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8" customHeight="1" x14ac:dyDescent="0.3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3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8" customHeight="1" x14ac:dyDescent="0.3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3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8" customHeight="1" x14ac:dyDescent="0.3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3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8" customHeight="1" x14ac:dyDescent="0.3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3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8" customHeight="1" x14ac:dyDescent="0.3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3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8" customHeight="1" x14ac:dyDescent="0.3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3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8" customHeight="1" x14ac:dyDescent="0.3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3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8" customHeight="1" x14ac:dyDescent="0.3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3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8" customHeight="1" x14ac:dyDescent="0.3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3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8" customHeight="1" x14ac:dyDescent="0.3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3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8" customHeight="1" x14ac:dyDescent="0.3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3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8" customHeight="1" x14ac:dyDescent="0.3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3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8" customHeight="1" x14ac:dyDescent="0.3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3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8" customHeight="1" x14ac:dyDescent="0.3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3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8" customHeight="1" x14ac:dyDescent="0.3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3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8" customHeight="1" x14ac:dyDescent="0.3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3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8" customHeight="1" x14ac:dyDescent="0.3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3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8" customHeight="1" x14ac:dyDescent="0.3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3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8" customHeight="1" x14ac:dyDescent="0.3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3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8" customHeight="1" x14ac:dyDescent="0.3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3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8" customHeight="1" x14ac:dyDescent="0.3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3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8" customHeight="1" x14ac:dyDescent="0.3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3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8" customHeight="1" x14ac:dyDescent="0.3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3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8" customHeight="1" x14ac:dyDescent="0.3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3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8" customHeight="1" x14ac:dyDescent="0.3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3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8" customHeight="1" x14ac:dyDescent="0.3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3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8" customHeight="1" x14ac:dyDescent="0.3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3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8" customHeight="1" x14ac:dyDescent="0.3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3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8" customHeight="1" x14ac:dyDescent="0.3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3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8" customHeight="1" x14ac:dyDescent="0.3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3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8" customHeight="1" x14ac:dyDescent="0.3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3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8" customHeight="1" x14ac:dyDescent="0.3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3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8" customHeight="1" x14ac:dyDescent="0.3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3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8" customHeight="1" x14ac:dyDescent="0.3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3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8" customHeight="1" x14ac:dyDescent="0.3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3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8" customHeight="1" x14ac:dyDescent="0.3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3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8" customHeight="1" x14ac:dyDescent="0.3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3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8" customHeight="1" x14ac:dyDescent="0.3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3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8" customHeight="1" x14ac:dyDescent="0.3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3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8" customHeight="1" x14ac:dyDescent="0.3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3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8" customHeight="1" x14ac:dyDescent="0.3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3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8" customHeight="1" x14ac:dyDescent="0.3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3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8" customHeight="1" x14ac:dyDescent="0.3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3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8" customHeight="1" x14ac:dyDescent="0.3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3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8" customHeight="1" x14ac:dyDescent="0.3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3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8" customHeight="1" x14ac:dyDescent="0.3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3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8" customHeight="1" x14ac:dyDescent="0.3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3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8" customHeight="1" x14ac:dyDescent="0.3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3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8" customHeight="1" x14ac:dyDescent="0.3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3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8" customHeight="1" x14ac:dyDescent="0.3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3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8" customHeight="1" x14ac:dyDescent="0.3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3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8" customHeight="1" x14ac:dyDescent="0.3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3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8" customHeight="1" x14ac:dyDescent="0.3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3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8" customHeight="1" x14ac:dyDescent="0.3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3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8" customHeight="1" x14ac:dyDescent="0.3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3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8" customHeight="1" x14ac:dyDescent="0.3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3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8" customHeight="1" x14ac:dyDescent="0.3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3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8" customHeight="1" x14ac:dyDescent="0.3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3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8" customHeight="1" x14ac:dyDescent="0.3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3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8" customHeight="1" x14ac:dyDescent="0.3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3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8" customHeight="1" x14ac:dyDescent="0.3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3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8" customHeight="1" x14ac:dyDescent="0.3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3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8" customHeight="1" x14ac:dyDescent="0.3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3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8" customHeight="1" x14ac:dyDescent="0.3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3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8" customHeight="1" x14ac:dyDescent="0.3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3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8" customHeight="1" x14ac:dyDescent="0.3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3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8" customHeight="1" x14ac:dyDescent="0.3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3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8" customHeight="1" x14ac:dyDescent="0.3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3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8" customHeight="1" x14ac:dyDescent="0.3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3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8" customHeight="1" x14ac:dyDescent="0.3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3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8" customHeight="1" x14ac:dyDescent="0.3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3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8" customHeight="1" x14ac:dyDescent="0.3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3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8" customHeight="1" x14ac:dyDescent="0.3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3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8" customHeight="1" x14ac:dyDescent="0.3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3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8" customHeight="1" x14ac:dyDescent="0.3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3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8" customHeight="1" x14ac:dyDescent="0.3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3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8" customHeight="1" x14ac:dyDescent="0.3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3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8" customHeight="1" x14ac:dyDescent="0.3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3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8" customHeight="1" x14ac:dyDescent="0.3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3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8" customHeight="1" x14ac:dyDescent="0.3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3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8" customHeight="1" x14ac:dyDescent="0.3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3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8" customHeight="1" x14ac:dyDescent="0.3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3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8" customHeight="1" x14ac:dyDescent="0.3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3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8" customHeight="1" x14ac:dyDescent="0.3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3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8" customHeight="1" x14ac:dyDescent="0.3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3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8" customHeight="1" x14ac:dyDescent="0.3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3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8" customHeight="1" x14ac:dyDescent="0.3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3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8" customHeight="1" x14ac:dyDescent="0.3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3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8" customHeight="1" x14ac:dyDescent="0.3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3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8" customHeight="1" x14ac:dyDescent="0.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3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8" customHeight="1" x14ac:dyDescent="0.3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3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8" customHeight="1" x14ac:dyDescent="0.3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3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8" customHeight="1" x14ac:dyDescent="0.3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3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8" customHeight="1" x14ac:dyDescent="0.3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3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8" customHeight="1" x14ac:dyDescent="0.3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3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8" customHeight="1" x14ac:dyDescent="0.3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3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8" customHeight="1" x14ac:dyDescent="0.3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3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8" customHeight="1" x14ac:dyDescent="0.3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3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8" customHeight="1" x14ac:dyDescent="0.3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3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8" customHeight="1" x14ac:dyDescent="0.3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3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8" customHeight="1" x14ac:dyDescent="0.3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3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8" customHeight="1" x14ac:dyDescent="0.3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3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8" customHeight="1" x14ac:dyDescent="0.3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3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8" customHeight="1" x14ac:dyDescent="0.3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3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8" customHeight="1" x14ac:dyDescent="0.3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3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8" customHeight="1" x14ac:dyDescent="0.3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3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8" customHeight="1" x14ac:dyDescent="0.3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3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8" customHeight="1" x14ac:dyDescent="0.3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3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8" customHeight="1" x14ac:dyDescent="0.3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3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8" customHeight="1" x14ac:dyDescent="0.3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3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8" customHeight="1" x14ac:dyDescent="0.3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3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8" customHeight="1" x14ac:dyDescent="0.3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3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8" customHeight="1" x14ac:dyDescent="0.3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3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8" customHeight="1" x14ac:dyDescent="0.3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3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8" customHeight="1" x14ac:dyDescent="0.3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3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8" customHeight="1" x14ac:dyDescent="0.3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3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8" customHeight="1" x14ac:dyDescent="0.3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3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8" customHeight="1" x14ac:dyDescent="0.3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3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8" customHeight="1" x14ac:dyDescent="0.3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3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8" customHeight="1" x14ac:dyDescent="0.3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3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8" customHeight="1" x14ac:dyDescent="0.3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3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8" customHeight="1" x14ac:dyDescent="0.3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3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8" customHeight="1" x14ac:dyDescent="0.3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3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8" customHeight="1" x14ac:dyDescent="0.3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3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8" customHeight="1" x14ac:dyDescent="0.3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3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8" customHeight="1" x14ac:dyDescent="0.3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3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8" customHeight="1" x14ac:dyDescent="0.3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3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8" customHeight="1" x14ac:dyDescent="0.3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3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8" customHeight="1" x14ac:dyDescent="0.3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3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8" customHeight="1" x14ac:dyDescent="0.3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3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8" customHeight="1" x14ac:dyDescent="0.3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3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8" customHeight="1" x14ac:dyDescent="0.3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3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8" customHeight="1" x14ac:dyDescent="0.3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3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8" customHeight="1" x14ac:dyDescent="0.3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3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8" customHeight="1" x14ac:dyDescent="0.3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3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8" customHeight="1" x14ac:dyDescent="0.3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3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8" customHeight="1" x14ac:dyDescent="0.3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3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8" customHeight="1" x14ac:dyDescent="0.3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3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8" customHeight="1" x14ac:dyDescent="0.3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3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8" customHeight="1" x14ac:dyDescent="0.3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3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8" customHeight="1" x14ac:dyDescent="0.3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3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8" customHeight="1" x14ac:dyDescent="0.3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3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8" customHeight="1" x14ac:dyDescent="0.3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3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8" customHeight="1" x14ac:dyDescent="0.3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3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8" customHeight="1" x14ac:dyDescent="0.3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3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8" customHeight="1" x14ac:dyDescent="0.3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3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8" customHeight="1" x14ac:dyDescent="0.3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3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8" customHeight="1" x14ac:dyDescent="0.3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3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8" customHeight="1" x14ac:dyDescent="0.3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3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8" customHeight="1" x14ac:dyDescent="0.3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3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8" customHeight="1" x14ac:dyDescent="0.3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3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8" customHeight="1" x14ac:dyDescent="0.3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3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8" customHeight="1" x14ac:dyDescent="0.3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3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8" customHeight="1" x14ac:dyDescent="0.3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3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8" customHeight="1" x14ac:dyDescent="0.3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3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13">
    <mergeCell ref="A125:B125"/>
    <mergeCell ref="A1:K2"/>
    <mergeCell ref="A3:A4"/>
    <mergeCell ref="H13:J18"/>
    <mergeCell ref="B24:C24"/>
    <mergeCell ref="E24:G24"/>
    <mergeCell ref="B26:E26"/>
    <mergeCell ref="A55:A56"/>
    <mergeCell ref="A71:A72"/>
    <mergeCell ref="A74:A75"/>
    <mergeCell ref="A108:B108"/>
    <mergeCell ref="A114:B114"/>
    <mergeCell ref="A119:B119"/>
  </mergeCells>
  <conditionalFormatting sqref="E3 C19">
    <cfRule type="containsText" dxfId="60" priority="1" operator="containsText" text="Boulons et platines">
      <formula>NOT(ISERROR(SEARCH(("Boulons et platines"),(C19))))</formula>
    </cfRule>
  </conditionalFormatting>
  <conditionalFormatting sqref="F19">
    <cfRule type="containsText" dxfId="59" priority="2" operator="containsText" text="Oui">
      <formula>NOT(ISERROR(SEARCH(("Oui"),(F19))))</formula>
    </cfRule>
  </conditionalFormatting>
  <conditionalFormatting sqref="F21">
    <cfRule type="cellIs" dxfId="58" priority="3" operator="equal">
      <formula>"Oui"</formula>
    </cfRule>
  </conditionalFormatting>
  <dataValidations count="10">
    <dataValidation type="list" allowBlank="1" showErrorMessage="1" sqref="C21" xr:uid="{00000000-0002-0000-0100-000000000000}">
      <formula1>$A$268:$A$270</formula1>
    </dataValidation>
    <dataValidation type="list" allowBlank="1" showErrorMessage="1" sqref="C19" xr:uid="{00000000-0002-0000-0100-000001000000}">
      <formula1>$A$265:$A$266</formula1>
    </dataValidation>
    <dataValidation type="list" allowBlank="1" showErrorMessage="1" sqref="F15 F19 F21" xr:uid="{00000000-0002-0000-0100-000002000000}">
      <formula1>$A$290:$A$291</formula1>
    </dataValidation>
    <dataValidation type="list" allowBlank="1" showErrorMessage="1" sqref="C13" xr:uid="{00000000-0002-0000-0100-000003000000}">
      <formula1>$A$247:$A$249</formula1>
    </dataValidation>
    <dataValidation type="list" allowBlank="1" showErrorMessage="1" sqref="F23" xr:uid="{00000000-0002-0000-0100-000006000000}">
      <formula1>$A$272:$A$275</formula1>
    </dataValidation>
    <dataValidation type="list" allowBlank="1" showErrorMessage="1" sqref="B30 H30 B45 H45 B61 H61" xr:uid="{00000000-0002-0000-0100-000007000000}">
      <formula1>$A$282:$A$288</formula1>
    </dataValidation>
    <dataValidation type="list" allowBlank="1" showErrorMessage="1" sqref="C17" xr:uid="{00000000-0002-0000-0100-000008000000}">
      <formula1>$A$257:$A$263</formula1>
    </dataValidation>
    <dataValidation type="list" allowBlank="1" showErrorMessage="1" sqref="C15" xr:uid="{00000000-0002-0000-0100-000009000000}">
      <formula1>$A$251:$A$252</formula1>
    </dataValidation>
    <dataValidation type="list" allowBlank="1" showErrorMessage="1" sqref="C23" xr:uid="{00000000-0002-0000-0100-00000A000000}">
      <formula1>$A$296:$A$298</formula1>
    </dataValidation>
    <dataValidation type="list" allowBlank="1" showErrorMessage="1" sqref="A34 G34 A49 G49 A65 G65" xr:uid="{00000000-0002-0000-0100-00000B000000}">
      <formula1>$A$277:$A$279</formula1>
    </dataValidation>
  </dataValidations>
  <pageMargins left="0.9055118110236221" right="0.31496062992125984" top="0.35433070866141736" bottom="0.35433070866141736" header="0" footer="0"/>
  <pageSetup paperSize="9" orientation="landscape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ErrorMessage="1" xr:uid="{00000000-0002-0000-0100-000004000000}">
          <x14:formula1>
            <xm:f>'Infos Clients'!$B$2:$B$10</xm:f>
          </x14:formula1>
          <xm:sqref>F10</xm:sqref>
        </x14:dataValidation>
        <x14:dataValidation type="list" allowBlank="1" showErrorMessage="1" xr:uid="{00000000-0002-0000-0100-000005000000}">
          <x14:formula1>
            <xm:f>'Infos Clients'!$A$19:$A$20</xm:f>
          </x14:formula1>
          <xm:sqref>F9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B0F0"/>
  </sheetPr>
  <dimension ref="A1:Z1000"/>
  <sheetViews>
    <sheetView topLeftCell="A45" zoomScale="80" zoomScaleNormal="80" workbookViewId="0">
      <selection activeCell="F9" sqref="F9"/>
    </sheetView>
  </sheetViews>
  <sheetFormatPr baseColWidth="10" defaultColWidth="14.44140625" defaultRowHeight="15" customHeight="1" x14ac:dyDescent="0.3"/>
  <cols>
    <col min="1" max="1" width="25.33203125" customWidth="1"/>
    <col min="2" max="2" width="26.88671875" customWidth="1"/>
    <col min="3" max="3" width="26.6640625" customWidth="1"/>
    <col min="4" max="4" width="22.6640625" customWidth="1"/>
    <col min="5" max="5" width="26.44140625" customWidth="1"/>
    <col min="6" max="6" width="20.109375" customWidth="1"/>
    <col min="7" max="7" width="22.6640625" customWidth="1"/>
    <col min="8" max="8" width="27.5546875" customWidth="1"/>
    <col min="9" max="10" width="18.88671875" customWidth="1"/>
    <col min="11" max="11" width="24.5546875" customWidth="1"/>
    <col min="12" max="12" width="18.88671875" customWidth="1"/>
    <col min="13" max="13" width="14.44140625" customWidth="1"/>
    <col min="14" max="14" width="18.33203125" customWidth="1"/>
    <col min="15" max="15" width="14.5546875" customWidth="1"/>
    <col min="16" max="26" width="11.44140625" customWidth="1"/>
  </cols>
  <sheetData>
    <row r="1" spans="1:26" ht="18" customHeight="1" x14ac:dyDescent="0.35">
      <c r="A1" s="1106" t="s">
        <v>166</v>
      </c>
      <c r="B1" s="1085"/>
      <c r="C1" s="1085"/>
      <c r="D1" s="1085"/>
      <c r="E1" s="1085"/>
      <c r="F1" s="1085"/>
      <c r="G1" s="1085"/>
      <c r="H1" s="1085"/>
      <c r="I1" s="1085"/>
      <c r="J1" s="1086"/>
      <c r="K1" s="2"/>
      <c r="L1" s="2"/>
      <c r="M1" s="2"/>
      <c r="N1" s="3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8" customHeight="1" x14ac:dyDescent="0.35">
      <c r="A2" s="1087"/>
      <c r="B2" s="1088"/>
      <c r="C2" s="1088"/>
      <c r="D2" s="1088"/>
      <c r="E2" s="1088"/>
      <c r="F2" s="1088"/>
      <c r="G2" s="1088"/>
      <c r="H2" s="1088"/>
      <c r="I2" s="1088"/>
      <c r="J2" s="1089"/>
      <c r="K2" s="2"/>
      <c r="L2" s="2"/>
      <c r="M2" s="2"/>
      <c r="N2" s="3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21" hidden="1" customHeight="1" x14ac:dyDescent="0.35">
      <c r="A3" s="1107"/>
      <c r="B3" s="1109"/>
      <c r="C3" s="1086"/>
      <c r="D3" s="2"/>
      <c r="E3" s="38">
        <f>IF(C19="Boulons et platines","Boulons et Platines GC",0)</f>
        <v>0</v>
      </c>
      <c r="F3" s="38">
        <f>IF(E3="Boulons et Platines GC","Nbre de Trous",0)</f>
        <v>0</v>
      </c>
      <c r="G3" s="168">
        <f>IF(E3="Boulons et Platines GC","Dim du Bord",0)</f>
        <v>0</v>
      </c>
      <c r="H3" s="38">
        <f>IF(C19="Boulons et platines","Boulons et Platines CV",0)</f>
        <v>0</v>
      </c>
      <c r="I3" s="38">
        <f>IF(H3="Boulons et Platines CV","Nbre de Trous",0)</f>
        <v>0</v>
      </c>
      <c r="J3" s="168">
        <f>IF(H3="Boulons et Platines CV","Dim du Bord",0)</f>
        <v>0</v>
      </c>
      <c r="K3" s="2"/>
      <c r="L3" s="2"/>
      <c r="M3" s="2"/>
      <c r="N3" s="3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9.5" hidden="1" customHeight="1" x14ac:dyDescent="0.35">
      <c r="A4" s="1108"/>
      <c r="B4" s="1091"/>
      <c r="C4" s="1092"/>
      <c r="D4" s="2"/>
      <c r="E4" s="10">
        <f>IF(C19="Vis bois",0,"Trous dans la Longueur")</f>
        <v>0</v>
      </c>
      <c r="F4" s="6">
        <f>IF(E4=0,0,IF(C91&lt;100,2,IF(C91&lt;150,3,IF(C91&lt;200,4,IF(C91&lt;250,5,IF(C91&lt;300,6,7))))))</f>
        <v>0</v>
      </c>
      <c r="G4" s="11">
        <f>IF(F4=0,0,IF(F4=2,0,IF(F4=3,0,(($C$91-32)/(F4-1))+16)))</f>
        <v>0</v>
      </c>
      <c r="H4" s="10">
        <f>IF(C19="Vis bois",0,"Trous dans la Longueur")</f>
        <v>0</v>
      </c>
      <c r="I4" s="6">
        <f>IF(H4=0,0,IF(C92&lt;100,2,IF(C92&lt;150,3,IF(C92&lt;200,4,IF(C92&lt;250,5,IF(E51&lt;300,6,7))))))</f>
        <v>0</v>
      </c>
      <c r="J4" s="11">
        <f>IF(I4=0,0,IF(I4=2,0,IF(I4=3,0,(($C$92-32)/(I4-1))+16)))</f>
        <v>0</v>
      </c>
      <c r="K4" s="2"/>
      <c r="L4" s="2"/>
      <c r="M4" s="2"/>
      <c r="N4" s="3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8" hidden="1" customHeight="1" x14ac:dyDescent="0.35">
      <c r="A5" s="2"/>
      <c r="B5" s="1091"/>
      <c r="C5" s="1092"/>
      <c r="D5" s="2"/>
      <c r="E5" s="13">
        <f>IF(F4=6,"2ème Trou",IF(F4=7,"2ème Trou",0))</f>
        <v>0</v>
      </c>
      <c r="F5" s="2"/>
      <c r="G5" s="11">
        <f>IF(E5=0,0,G4+G4-16)</f>
        <v>0</v>
      </c>
      <c r="H5" s="13">
        <f>IF(I4=6,"2ème Trou",IF(I4=7,"2ème Trou",0))</f>
        <v>0</v>
      </c>
      <c r="I5" s="2"/>
      <c r="J5" s="11">
        <f>IF(H5=0,0,J4+J4-16)</f>
        <v>0</v>
      </c>
      <c r="K5" s="2"/>
      <c r="L5" s="2"/>
      <c r="M5" s="2"/>
      <c r="N5" s="3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8" hidden="1" customHeight="1" x14ac:dyDescent="0.35">
      <c r="A6" s="2"/>
      <c r="B6" s="1091"/>
      <c r="C6" s="1092"/>
      <c r="D6" s="2"/>
      <c r="E6" s="10">
        <f>IF(C19="Vis bois",0,"Trous dans la Hauteur")</f>
        <v>0</v>
      </c>
      <c r="F6" s="6">
        <f>IF(E6=0,0,IF(D91&lt;100,2,IF(D91&lt;150,3,IF(D91&lt;200,4,IF(D91&lt;250,5,IF(D91&lt;310,6,7))))))</f>
        <v>0</v>
      </c>
      <c r="G6" s="11">
        <f>IF(F6=0,0,IF(F6=2,0,IF(F6=3,0,(($D$91-32)/(F6-1))+16)))</f>
        <v>0</v>
      </c>
      <c r="H6" s="10">
        <f>IF(C19="Vis bois",0,"Trous dans la Largeur")</f>
        <v>0</v>
      </c>
      <c r="I6" s="6">
        <f>IF(H6=0,0,IF(D92&lt;50,1,IF(D92&lt;100,2,IF(D92&lt;150,3,IF(D92&lt;200,4,IF(D92&lt;250,5,IF(D92&lt;310,6,7)))))))</f>
        <v>0</v>
      </c>
      <c r="J6" s="11">
        <f>IF(I6=0,0,IF(I6=1,0,IF(I6=2,0,IF(I6=3,0,(($D$92-32)/(I6-1))+16))))</f>
        <v>0</v>
      </c>
      <c r="K6" s="2"/>
      <c r="L6" s="2"/>
      <c r="M6" s="2"/>
      <c r="N6" s="3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8" hidden="1" customHeight="1" x14ac:dyDescent="0.35">
      <c r="A7" s="2"/>
      <c r="B7" s="1087"/>
      <c r="C7" s="1089"/>
      <c r="D7" s="2"/>
      <c r="E7" s="14">
        <f>IF(F6=6,"2ème Trou",IF(F6=7,"2ème Trou",0))</f>
        <v>0</v>
      </c>
      <c r="F7" s="15"/>
      <c r="G7" s="16">
        <f>IF(E7=0,0,G6+G6-16)</f>
        <v>0</v>
      </c>
      <c r="H7" s="14">
        <f>IF(I6=6,"2ème Trou",IF(I6=7,"2ème Trou",0))</f>
        <v>0</v>
      </c>
      <c r="I7" s="15"/>
      <c r="J7" s="16">
        <f>IF(H7=0,0,J6+J6-16)</f>
        <v>0</v>
      </c>
      <c r="K7" s="2"/>
      <c r="L7" s="2"/>
      <c r="M7" s="2"/>
      <c r="N7" s="3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8" customHeight="1" x14ac:dyDescent="0.3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3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8" customHeight="1" x14ac:dyDescent="0.35">
      <c r="A9" s="2"/>
      <c r="B9" s="2" t="s">
        <v>1</v>
      </c>
      <c r="C9" s="20"/>
      <c r="D9" s="2"/>
      <c r="E9" s="6" t="s">
        <v>2</v>
      </c>
      <c r="F9" s="22" t="s">
        <v>3</v>
      </c>
      <c r="G9" s="2"/>
      <c r="H9" s="2"/>
      <c r="I9" s="2"/>
      <c r="J9" s="2"/>
      <c r="K9" s="2"/>
      <c r="L9" s="2"/>
      <c r="M9" s="2"/>
      <c r="N9" s="3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8" customHeight="1" x14ac:dyDescent="0.35">
      <c r="A10" s="2"/>
      <c r="B10" s="2" t="s">
        <v>4</v>
      </c>
      <c r="C10" s="23"/>
      <c r="D10" s="2"/>
      <c r="E10" s="6" t="s">
        <v>5</v>
      </c>
      <c r="F10" s="24" t="s">
        <v>6</v>
      </c>
      <c r="G10" s="2"/>
      <c r="H10" s="2"/>
      <c r="I10" s="2"/>
      <c r="J10" s="2"/>
      <c r="K10" s="2"/>
      <c r="L10" s="2"/>
      <c r="M10" s="2"/>
      <c r="N10" s="3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8" customHeight="1" x14ac:dyDescent="0.35">
      <c r="A11" s="2"/>
      <c r="B11" s="2" t="s">
        <v>138</v>
      </c>
      <c r="C11" s="23"/>
      <c r="D11" s="2"/>
      <c r="E11" s="6" t="s">
        <v>8</v>
      </c>
      <c r="F11" s="25"/>
      <c r="G11" s="2"/>
      <c r="H11" s="2"/>
      <c r="I11" s="2"/>
      <c r="J11" s="2"/>
      <c r="K11" s="2"/>
      <c r="L11" s="2"/>
      <c r="M11" s="2"/>
      <c r="N11" s="3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8" customHeight="1" x14ac:dyDescent="0.35">
      <c r="A12" s="2"/>
      <c r="B12" s="2"/>
      <c r="C12" s="6"/>
      <c r="D12" s="2"/>
      <c r="E12" s="2"/>
      <c r="F12" s="2"/>
      <c r="G12" s="2"/>
      <c r="H12" s="2"/>
      <c r="I12" s="2"/>
      <c r="J12" s="2"/>
      <c r="K12" s="2"/>
      <c r="L12" s="2"/>
      <c r="M12" s="2"/>
      <c r="N12" s="3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8" customHeight="1" x14ac:dyDescent="0.4">
      <c r="A13" s="2"/>
      <c r="B13" s="19" t="s">
        <v>9</v>
      </c>
      <c r="C13" s="23" t="s">
        <v>10</v>
      </c>
      <c r="D13" s="2"/>
      <c r="E13" s="19"/>
      <c r="F13" s="6"/>
      <c r="G13" s="2"/>
      <c r="H13" s="1099"/>
      <c r="I13" s="1100"/>
      <c r="J13" s="1101"/>
      <c r="K13" s="2"/>
      <c r="L13" s="2"/>
      <c r="M13" s="2"/>
      <c r="N13" s="3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8" customHeight="1" x14ac:dyDescent="0.35">
      <c r="A14" s="2"/>
      <c r="B14" s="19"/>
      <c r="C14" s="6"/>
      <c r="D14" s="2"/>
      <c r="E14" s="19"/>
      <c r="F14" s="2"/>
      <c r="G14" s="2"/>
      <c r="H14" s="1109" t="str">
        <f>VLOOKUP($F$10,'Infos Clients'!$B$2:$G$10,2)</f>
        <v>#VALUE!</v>
      </c>
      <c r="I14" s="1085"/>
      <c r="J14" s="1086"/>
      <c r="K14" s="2"/>
      <c r="L14" s="2"/>
      <c r="M14" s="2"/>
      <c r="N14" s="3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8" customHeight="1" x14ac:dyDescent="0.35">
      <c r="A15" s="2"/>
      <c r="B15" s="19" t="s">
        <v>11</v>
      </c>
      <c r="C15" s="23" t="s">
        <v>12</v>
      </c>
      <c r="D15" s="2"/>
      <c r="E15" s="19" t="s">
        <v>13</v>
      </c>
      <c r="F15" s="23" t="s">
        <v>14</v>
      </c>
      <c r="G15" s="2"/>
      <c r="H15" s="1091"/>
      <c r="I15" s="1097"/>
      <c r="J15" s="1092"/>
      <c r="K15" s="2"/>
      <c r="L15" s="2"/>
      <c r="M15" s="2"/>
      <c r="N15" s="3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9.5" customHeight="1" x14ac:dyDescent="0.35">
      <c r="A16" s="2"/>
      <c r="B16" s="2"/>
      <c r="C16" s="6"/>
      <c r="D16" s="2"/>
      <c r="E16" s="2"/>
      <c r="F16" s="2"/>
      <c r="G16" s="2"/>
      <c r="H16" s="1091"/>
      <c r="I16" s="1097"/>
      <c r="J16" s="1092"/>
      <c r="K16" s="2"/>
      <c r="L16" s="2"/>
      <c r="M16" s="2"/>
      <c r="N16" s="3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9.5" customHeight="1" x14ac:dyDescent="0.35">
      <c r="A17" s="2"/>
      <c r="B17" s="19" t="s">
        <v>15</v>
      </c>
      <c r="C17" s="23" t="s">
        <v>16</v>
      </c>
      <c r="D17" s="2"/>
      <c r="E17" s="2"/>
      <c r="F17" s="2"/>
      <c r="G17" s="2"/>
      <c r="H17" s="1091"/>
      <c r="I17" s="1097"/>
      <c r="J17" s="1092"/>
      <c r="K17" s="2"/>
      <c r="L17" s="2"/>
      <c r="M17" s="2"/>
      <c r="N17" s="3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9.5" customHeight="1" x14ac:dyDescent="0.35">
      <c r="A18" s="2"/>
      <c r="B18" s="2"/>
      <c r="C18" s="6"/>
      <c r="D18" s="2"/>
      <c r="E18" s="2"/>
      <c r="F18" s="2"/>
      <c r="G18" s="2"/>
      <c r="H18" s="1091"/>
      <c r="I18" s="1097"/>
      <c r="J18" s="1092"/>
      <c r="K18" s="2"/>
      <c r="L18" s="2"/>
      <c r="M18" s="2"/>
      <c r="N18" s="3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8" customHeight="1" x14ac:dyDescent="0.35">
      <c r="A19" s="2"/>
      <c r="B19" s="19" t="s">
        <v>17</v>
      </c>
      <c r="C19" s="23" t="s">
        <v>18</v>
      </c>
      <c r="D19" s="2"/>
      <c r="E19" s="19" t="s">
        <v>19</v>
      </c>
      <c r="F19" s="23" t="s">
        <v>20</v>
      </c>
      <c r="G19" s="2"/>
      <c r="H19" s="1091"/>
      <c r="I19" s="1097"/>
      <c r="J19" s="1092"/>
      <c r="K19" s="2"/>
      <c r="L19" s="2"/>
      <c r="M19" s="2"/>
      <c r="N19" s="3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8" customHeight="1" x14ac:dyDescent="0.35">
      <c r="A20" s="2"/>
      <c r="B20" s="2"/>
      <c r="C20" s="6"/>
      <c r="D20" s="2"/>
      <c r="E20" s="19">
        <f>IF(F19="Oui","Type de Peinture",0)</f>
        <v>0</v>
      </c>
      <c r="F20" s="169">
        <f>IF(F19="Non",0,VLOOKUP(F10,'Infos Clients'!B2:E10,4))</f>
        <v>0</v>
      </c>
      <c r="G20" s="2"/>
      <c r="H20" s="1087"/>
      <c r="I20" s="1088"/>
      <c r="J20" s="1089"/>
      <c r="K20" s="2"/>
      <c r="L20" s="2"/>
      <c r="M20" s="2"/>
      <c r="N20" s="3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8" customHeight="1" x14ac:dyDescent="0.35">
      <c r="A21" s="2"/>
      <c r="B21" s="19" t="s">
        <v>21</v>
      </c>
      <c r="C21" s="23" t="s">
        <v>22</v>
      </c>
      <c r="D21" s="2"/>
      <c r="E21" s="27" t="s">
        <v>23</v>
      </c>
      <c r="F21" s="29" t="s">
        <v>20</v>
      </c>
      <c r="G21" s="5"/>
      <c r="H21" s="2"/>
      <c r="I21" s="2"/>
      <c r="J21" s="2"/>
      <c r="K21" s="2"/>
      <c r="L21" s="2"/>
      <c r="M21" s="2"/>
      <c r="N21" s="3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8" customHeight="1" x14ac:dyDescent="0.35">
      <c r="A22" s="2"/>
      <c r="B22" s="19"/>
      <c r="C22" s="2"/>
      <c r="D22" s="2"/>
      <c r="E22" s="5"/>
      <c r="F22" s="5"/>
      <c r="G22" s="5"/>
      <c r="H22" s="2"/>
      <c r="I22" s="2"/>
      <c r="J22" s="2"/>
      <c r="K22" s="2"/>
      <c r="L22" s="2"/>
      <c r="M22" s="2"/>
      <c r="N22" s="3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8" customHeight="1" x14ac:dyDescent="0.35">
      <c r="A23" s="2"/>
      <c r="B23" s="19" t="s">
        <v>24</v>
      </c>
      <c r="C23" s="23" t="s">
        <v>136</v>
      </c>
      <c r="D23" s="2"/>
      <c r="E23" s="30" t="s">
        <v>25</v>
      </c>
      <c r="F23" s="23" t="s">
        <v>16</v>
      </c>
      <c r="G23" s="5"/>
      <c r="H23" s="2"/>
      <c r="I23" s="2"/>
      <c r="J23" s="2"/>
      <c r="K23" s="2"/>
      <c r="L23" s="2"/>
      <c r="M23" s="2"/>
      <c r="N23" s="3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37.5" hidden="1" customHeight="1" x14ac:dyDescent="0.85">
      <c r="A24" s="2"/>
      <c r="B24" s="1102" t="str">
        <f>IF(F23="Aucun"," ",F23)</f>
        <v xml:space="preserve"> </v>
      </c>
      <c r="C24" s="1101"/>
      <c r="D24" s="31">
        <f>IF(F21="Oui","+",0)</f>
        <v>0</v>
      </c>
      <c r="E24" s="1102">
        <f>IF(F21="Oui","Mousse Garnie Tyvek",0)</f>
        <v>0</v>
      </c>
      <c r="F24" s="1100"/>
      <c r="G24" s="1101"/>
      <c r="H24" s="2"/>
      <c r="I24" s="2"/>
      <c r="J24" s="2"/>
      <c r="K24" s="2"/>
      <c r="L24" s="2"/>
      <c r="M24" s="2"/>
      <c r="N24" s="3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37.5" hidden="1" customHeight="1" x14ac:dyDescent="0.85">
      <c r="A25" s="2"/>
      <c r="B25" s="1110">
        <f>IF(F10="Bovis","Attention retirer 2 mm aux dimensions transmises",0)</f>
        <v>0</v>
      </c>
      <c r="C25" s="1100"/>
      <c r="D25" s="1100"/>
      <c r="E25" s="1101"/>
      <c r="F25" s="32"/>
      <c r="G25" s="32"/>
      <c r="H25" s="2"/>
      <c r="I25" s="2"/>
      <c r="J25" s="2"/>
      <c r="K25" s="2"/>
      <c r="L25" s="2"/>
      <c r="M25" s="2"/>
      <c r="N25" s="3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8" customHeight="1" x14ac:dyDescent="0.35">
      <c r="A26" s="98"/>
      <c r="B26" s="269"/>
      <c r="C26" s="270"/>
      <c r="D26" s="270"/>
      <c r="E26" s="101"/>
      <c r="F26" s="101"/>
      <c r="G26" s="101"/>
      <c r="H26" s="270"/>
      <c r="I26" s="270"/>
      <c r="J26" s="270"/>
      <c r="K26" s="100"/>
      <c r="L26" s="2"/>
      <c r="M26" s="2"/>
      <c r="N26" s="3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8" customHeight="1" x14ac:dyDescent="0.35">
      <c r="A27" s="170" t="str">
        <f>IF(B28="Aucun","Dimensions intérieures utiles","Dimensions de l'œuvre")</f>
        <v>Dimensions de l'œuvre</v>
      </c>
      <c r="B27" s="171" t="s">
        <v>28</v>
      </c>
      <c r="C27" s="171" t="s">
        <v>29</v>
      </c>
      <c r="D27" s="171" t="s">
        <v>30</v>
      </c>
      <c r="E27" s="172" t="s">
        <v>139</v>
      </c>
      <c r="F27" s="2"/>
      <c r="G27" s="170" t="str">
        <f>IF(H28="Aucun","Dimensions intérieures utiles","Dimensions de l'œuvre")</f>
        <v>Dimensions de l'œuvre</v>
      </c>
      <c r="H27" s="171" t="s">
        <v>28</v>
      </c>
      <c r="I27" s="171" t="s">
        <v>29</v>
      </c>
      <c r="J27" s="171" t="s">
        <v>30</v>
      </c>
      <c r="K27" s="172" t="s">
        <v>140</v>
      </c>
      <c r="L27" s="2"/>
      <c r="M27" s="2"/>
      <c r="N27" s="3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8" customHeight="1" x14ac:dyDescent="0.4">
      <c r="A28" s="174"/>
      <c r="B28" s="35"/>
      <c r="C28" s="35"/>
      <c r="D28" s="35"/>
      <c r="E28" s="175"/>
      <c r="F28" s="2"/>
      <c r="G28" s="174"/>
      <c r="H28" s="35"/>
      <c r="I28" s="35"/>
      <c r="J28" s="35"/>
      <c r="K28" s="175"/>
      <c r="L28" s="2"/>
      <c r="M28" s="2"/>
      <c r="N28" s="3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8" customHeight="1" x14ac:dyDescent="0.35">
      <c r="A29" s="176" t="s">
        <v>31</v>
      </c>
      <c r="B29" s="46" t="s">
        <v>16</v>
      </c>
      <c r="C29" s="34" t="s">
        <v>141</v>
      </c>
      <c r="D29" s="177"/>
      <c r="E29" s="175"/>
      <c r="F29" s="2"/>
      <c r="G29" s="176" t="s">
        <v>31</v>
      </c>
      <c r="H29" s="46" t="s">
        <v>16</v>
      </c>
      <c r="I29" s="34" t="s">
        <v>141</v>
      </c>
      <c r="J29" s="177"/>
      <c r="K29" s="175"/>
      <c r="L29" s="2"/>
      <c r="M29" s="2"/>
      <c r="N29" s="3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8" customHeight="1" x14ac:dyDescent="0.35">
      <c r="A30" s="178"/>
      <c r="B30" s="45" t="s">
        <v>33</v>
      </c>
      <c r="C30" s="45" t="s">
        <v>28</v>
      </c>
      <c r="D30" s="45" t="s">
        <v>29</v>
      </c>
      <c r="E30" s="175" t="s">
        <v>34</v>
      </c>
      <c r="F30" s="2"/>
      <c r="G30" s="178"/>
      <c r="H30" s="45" t="s">
        <v>33</v>
      </c>
      <c r="I30" s="45" t="s">
        <v>28</v>
      </c>
      <c r="J30" s="45" t="s">
        <v>29</v>
      </c>
      <c r="K30" s="175" t="s">
        <v>34</v>
      </c>
      <c r="L30" s="2"/>
      <c r="M30" s="2"/>
      <c r="N30" s="3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8" customHeight="1" x14ac:dyDescent="0.35">
      <c r="A31" s="176" t="s">
        <v>35</v>
      </c>
      <c r="B31" s="35"/>
      <c r="C31" s="45"/>
      <c r="D31" s="45"/>
      <c r="E31" s="175"/>
      <c r="F31" s="2"/>
      <c r="G31" s="176" t="s">
        <v>35</v>
      </c>
      <c r="H31" s="35"/>
      <c r="I31" s="45"/>
      <c r="J31" s="45"/>
      <c r="K31" s="175"/>
      <c r="L31" s="2"/>
      <c r="M31" s="2"/>
      <c r="N31" s="3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8" customHeight="1" x14ac:dyDescent="0.35">
      <c r="A32" s="176" t="s">
        <v>36</v>
      </c>
      <c r="B32" s="35"/>
      <c r="C32" s="45"/>
      <c r="D32" s="45"/>
      <c r="E32" s="175"/>
      <c r="F32" s="2"/>
      <c r="G32" s="176" t="s">
        <v>36</v>
      </c>
      <c r="H32" s="35"/>
      <c r="I32" s="45"/>
      <c r="J32" s="45"/>
      <c r="K32" s="175"/>
      <c r="L32" s="2"/>
      <c r="M32" s="2"/>
      <c r="N32" s="3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8" customHeight="1" x14ac:dyDescent="0.35">
      <c r="A33" s="179" t="s">
        <v>37</v>
      </c>
      <c r="B33" s="47">
        <f>+IF(B28=0,0,IF(B28&gt;70,12,6))</f>
        <v>0</v>
      </c>
      <c r="C33" s="45"/>
      <c r="D33" s="45"/>
      <c r="E33" s="47">
        <f>IF(B28&gt;300,6,IF(B28&gt;250,5,IF(B28&gt;200,4,IF(B28&gt;150,3,IF(B28&gt;120,3,2)))))</f>
        <v>2</v>
      </c>
      <c r="F33" s="180"/>
      <c r="G33" s="179" t="s">
        <v>37</v>
      </c>
      <c r="H33" s="47">
        <f>+IF(H28=0,0,IF(H28&gt;70,12,6))</f>
        <v>0</v>
      </c>
      <c r="I33" s="45"/>
      <c r="J33" s="45"/>
      <c r="K33" s="47">
        <f>IF(H28&gt;300,6,IF(H28&gt;250,5,IF(H28&gt;200,4,IF(H28&gt;150,3,IF(H28&gt;120,3,2)))))</f>
        <v>2</v>
      </c>
      <c r="L33" s="2"/>
      <c r="M33" s="2"/>
      <c r="N33" s="3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8" customHeight="1" x14ac:dyDescent="0.35">
      <c r="A34" s="176" t="s">
        <v>39</v>
      </c>
      <c r="B34" s="207"/>
      <c r="C34" s="45"/>
      <c r="D34" s="207"/>
      <c r="E34" s="175"/>
      <c r="F34" s="2"/>
      <c r="G34" s="176" t="s">
        <v>39</v>
      </c>
      <c r="H34" s="207"/>
      <c r="I34" s="45"/>
      <c r="J34" s="207"/>
      <c r="K34" s="175"/>
      <c r="L34" s="2"/>
      <c r="M34" s="2"/>
      <c r="N34" s="3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8" customHeight="1" x14ac:dyDescent="0.35">
      <c r="A35" s="176" t="s">
        <v>40</v>
      </c>
      <c r="B35" s="207"/>
      <c r="C35" s="207"/>
      <c r="D35" s="207"/>
      <c r="E35" s="175"/>
      <c r="F35" s="2"/>
      <c r="G35" s="176" t="s">
        <v>40</v>
      </c>
      <c r="H35" s="207"/>
      <c r="I35" s="207"/>
      <c r="J35" s="207"/>
      <c r="K35" s="175"/>
      <c r="L35" s="2"/>
      <c r="M35" s="2"/>
      <c r="N35" s="3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8" customHeight="1" x14ac:dyDescent="0.35">
      <c r="A36" s="182" t="s">
        <v>41</v>
      </c>
      <c r="B36" s="207"/>
      <c r="C36" s="207"/>
      <c r="D36" s="207"/>
      <c r="E36" s="184"/>
      <c r="F36" s="2"/>
      <c r="G36" s="182" t="s">
        <v>41</v>
      </c>
      <c r="H36" s="207"/>
      <c r="I36" s="207"/>
      <c r="J36" s="207"/>
      <c r="K36" s="184"/>
      <c r="L36" s="2"/>
      <c r="M36" s="2"/>
      <c r="N36" s="3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8" hidden="1" customHeight="1" x14ac:dyDescent="0.35">
      <c r="A37" s="185" t="s">
        <v>143</v>
      </c>
      <c r="B37" s="2">
        <f>IF(B28=0,0,B28+VLOOKUP(B29,$A$292:$L$297,2))</f>
        <v>0</v>
      </c>
      <c r="C37" s="2">
        <f>IF(C28=0,0,C28+VLOOKUP(B29,$A$292:$L$297,3))</f>
        <v>0</v>
      </c>
      <c r="D37" s="2">
        <f>IF(D28=0,0,D28+VLOOKUP(B29,$A$292:$L$297,4))</f>
        <v>0</v>
      </c>
      <c r="E37" s="2"/>
      <c r="F37" s="2"/>
      <c r="G37" s="185" t="s">
        <v>143</v>
      </c>
      <c r="H37" s="2">
        <f>IF(H28=0,0,H28+VLOOKUP(H29,$A$292:$L$297,2))</f>
        <v>0</v>
      </c>
      <c r="I37" s="2">
        <f>IF(I28=0,0,I28+VLOOKUP(H29,$A$292:$L$297,3))</f>
        <v>0</v>
      </c>
      <c r="J37" s="2">
        <f>IF(J28=0,0,J28+VLOOKUP(H29,$A$292:$L$297,4))</f>
        <v>0</v>
      </c>
      <c r="K37" s="109"/>
      <c r="L37" s="2"/>
      <c r="M37" s="2"/>
      <c r="N37" s="3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8" hidden="1" customHeight="1" x14ac:dyDescent="0.35">
      <c r="A38" s="185"/>
      <c r="B38" s="2"/>
      <c r="C38" s="2"/>
      <c r="D38" s="2"/>
      <c r="E38" s="2"/>
      <c r="F38" s="2"/>
      <c r="G38" s="66"/>
      <c r="H38" s="15"/>
      <c r="I38" s="15"/>
      <c r="J38" s="15"/>
      <c r="K38" s="271"/>
      <c r="L38" s="2"/>
      <c r="M38" s="2"/>
      <c r="N38" s="3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8" hidden="1" customHeight="1" x14ac:dyDescent="0.35">
      <c r="A39" s="186"/>
      <c r="B39" s="187"/>
      <c r="C39" s="187"/>
      <c r="D39" s="187"/>
      <c r="E39" s="187"/>
      <c r="F39" s="187"/>
      <c r="G39" s="272" t="s">
        <v>167</v>
      </c>
      <c r="H39" s="41">
        <f>IF(H41=0,0,H40-3)</f>
        <v>0</v>
      </c>
      <c r="I39" s="41">
        <f>IF(I41=0,0,I40-3.5)</f>
        <v>0</v>
      </c>
      <c r="J39" s="273">
        <f>IF(J41=0,0,J40-3)</f>
        <v>0</v>
      </c>
      <c r="K39" s="187"/>
      <c r="L39" s="187"/>
      <c r="M39" s="187"/>
      <c r="N39" s="191"/>
      <c r="O39" s="187"/>
      <c r="P39" s="187"/>
      <c r="Q39" s="187"/>
      <c r="R39" s="187"/>
      <c r="S39" s="187"/>
      <c r="T39" s="187"/>
      <c r="U39" s="187"/>
      <c r="V39" s="187"/>
      <c r="W39" s="187"/>
      <c r="X39" s="187"/>
      <c r="Y39" s="187"/>
      <c r="Z39" s="187"/>
    </row>
    <row r="40" spans="1:26" ht="18" hidden="1" customHeight="1" x14ac:dyDescent="0.35">
      <c r="A40" s="274" t="s">
        <v>168</v>
      </c>
      <c r="B40" s="193">
        <f>B37+IF(H37=0,0,1.5+H37)</f>
        <v>0</v>
      </c>
      <c r="C40" s="193">
        <f t="shared" ref="C40:D40" si="0">MAX(C37,I37)</f>
        <v>0</v>
      </c>
      <c r="D40" s="193">
        <f t="shared" si="0"/>
        <v>0</v>
      </c>
      <c r="E40" s="193"/>
      <c r="F40" s="193"/>
      <c r="G40" s="176" t="s">
        <v>169</v>
      </c>
      <c r="H40" s="44">
        <f t="shared" ref="H40:J40" si="1">IF(H41=0,0,H41)</f>
        <v>0</v>
      </c>
      <c r="I40" s="44">
        <f t="shared" si="1"/>
        <v>0</v>
      </c>
      <c r="J40" s="275">
        <f t="shared" si="1"/>
        <v>0</v>
      </c>
      <c r="K40" s="187"/>
      <c r="L40" s="187"/>
      <c r="M40" s="187"/>
      <c r="N40" s="191"/>
      <c r="O40" s="187"/>
      <c r="P40" s="187"/>
      <c r="Q40" s="187"/>
      <c r="R40" s="187"/>
      <c r="S40" s="187"/>
      <c r="T40" s="187"/>
      <c r="U40" s="187"/>
      <c r="V40" s="187"/>
      <c r="W40" s="187"/>
      <c r="X40" s="187"/>
      <c r="Y40" s="187"/>
      <c r="Z40" s="187"/>
    </row>
    <row r="41" spans="1:26" ht="18" hidden="1" customHeight="1" x14ac:dyDescent="0.35">
      <c r="A41" s="19"/>
      <c r="B41" s="2"/>
      <c r="C41" s="2"/>
      <c r="D41" s="2"/>
      <c r="E41" s="2"/>
      <c r="F41" s="2"/>
      <c r="G41" s="114" t="s">
        <v>152</v>
      </c>
      <c r="H41" s="15">
        <f>IF(B40=0,0,MAX(B40+3,B56+3,B72+3))</f>
        <v>0</v>
      </c>
      <c r="I41" s="15">
        <f>IF(C40=0,0,C40+3.5)</f>
        <v>0</v>
      </c>
      <c r="J41" s="271">
        <f>IF(D40=0,0,MAX(D40+3,D56+3,D72+3))</f>
        <v>0</v>
      </c>
      <c r="K41" s="2"/>
      <c r="L41" s="2"/>
      <c r="M41" s="2"/>
      <c r="N41" s="3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8" customHeight="1" x14ac:dyDescent="0.35">
      <c r="A42" s="19"/>
      <c r="B42" s="2"/>
      <c r="C42" s="2"/>
      <c r="D42" s="2"/>
      <c r="E42" s="2"/>
      <c r="F42" s="2"/>
      <c r="G42" s="19"/>
      <c r="H42" s="2"/>
      <c r="I42" s="2"/>
      <c r="J42" s="2"/>
      <c r="K42" s="2"/>
      <c r="L42" s="2"/>
      <c r="M42" s="2"/>
      <c r="N42" s="3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8" customHeight="1" x14ac:dyDescent="0.35">
      <c r="A43" s="195" t="str">
        <f>IF(B44="Aucun","Dimensions intérieures utiles","Dimensions de l'œuvre")</f>
        <v>Dimensions de l'œuvre</v>
      </c>
      <c r="B43" s="196" t="s">
        <v>28</v>
      </c>
      <c r="C43" s="196" t="s">
        <v>29</v>
      </c>
      <c r="D43" s="196" t="s">
        <v>30</v>
      </c>
      <c r="E43" s="197" t="s">
        <v>147</v>
      </c>
      <c r="F43" s="198"/>
      <c r="G43" s="195" t="str">
        <f>IF(H44="Aucun","Dimensions intérieures utiles","Dimensions de l'œuvre")</f>
        <v>Dimensions de l'œuvre</v>
      </c>
      <c r="H43" s="196" t="s">
        <v>28</v>
      </c>
      <c r="I43" s="196" t="s">
        <v>29</v>
      </c>
      <c r="J43" s="196" t="s">
        <v>30</v>
      </c>
      <c r="K43" s="197" t="s">
        <v>148</v>
      </c>
      <c r="L43" s="199"/>
      <c r="M43" s="199"/>
      <c r="N43" s="200"/>
      <c r="O43" s="199"/>
      <c r="P43" s="199"/>
      <c r="Q43" s="199"/>
      <c r="R43" s="199"/>
      <c r="S43" s="199"/>
      <c r="T43" s="199"/>
      <c r="U43" s="199"/>
      <c r="V43" s="199"/>
      <c r="W43" s="199"/>
      <c r="X43" s="199"/>
      <c r="Y43" s="199"/>
      <c r="Z43" s="199"/>
    </row>
    <row r="44" spans="1:26" ht="18" customHeight="1" x14ac:dyDescent="0.4">
      <c r="A44" s="201"/>
      <c r="B44" s="203"/>
      <c r="C44" s="203"/>
      <c r="D44" s="203"/>
      <c r="E44" s="202"/>
      <c r="F44" s="199"/>
      <c r="G44" s="201"/>
      <c r="H44" s="203"/>
      <c r="I44" s="203"/>
      <c r="J44" s="203"/>
      <c r="K44" s="202"/>
      <c r="L44" s="199"/>
      <c r="M44" s="199"/>
      <c r="N44" s="200"/>
      <c r="O44" s="199"/>
      <c r="P44" s="199"/>
      <c r="Q44" s="199"/>
      <c r="R44" s="199"/>
      <c r="S44" s="199"/>
      <c r="T44" s="199"/>
      <c r="U44" s="199"/>
      <c r="V44" s="199"/>
      <c r="W44" s="199"/>
      <c r="X44" s="199"/>
      <c r="Y44" s="199"/>
      <c r="Z44" s="199"/>
    </row>
    <row r="45" spans="1:26" ht="18" customHeight="1" x14ac:dyDescent="0.35">
      <c r="A45" s="204" t="s">
        <v>31</v>
      </c>
      <c r="B45" s="205" t="s">
        <v>16</v>
      </c>
      <c r="C45" s="206" t="s">
        <v>141</v>
      </c>
      <c r="D45" s="207"/>
      <c r="E45" s="202"/>
      <c r="F45" s="199"/>
      <c r="G45" s="204" t="s">
        <v>31</v>
      </c>
      <c r="H45" s="205" t="s">
        <v>16</v>
      </c>
      <c r="I45" s="206" t="s">
        <v>141</v>
      </c>
      <c r="J45" s="207"/>
      <c r="K45" s="202"/>
      <c r="L45" s="199"/>
      <c r="M45" s="199"/>
      <c r="N45" s="200"/>
      <c r="O45" s="199"/>
      <c r="P45" s="199"/>
      <c r="Q45" s="199"/>
      <c r="R45" s="199"/>
      <c r="S45" s="199"/>
      <c r="T45" s="199"/>
      <c r="U45" s="199"/>
      <c r="V45" s="199"/>
      <c r="W45" s="199"/>
      <c r="X45" s="199"/>
      <c r="Y45" s="199"/>
      <c r="Z45" s="199"/>
    </row>
    <row r="46" spans="1:26" ht="18" customHeight="1" x14ac:dyDescent="0.35">
      <c r="A46" s="208"/>
      <c r="B46" s="209" t="s">
        <v>33</v>
      </c>
      <c r="C46" s="209" t="s">
        <v>28</v>
      </c>
      <c r="D46" s="209" t="s">
        <v>29</v>
      </c>
      <c r="E46" s="202" t="s">
        <v>34</v>
      </c>
      <c r="F46" s="199"/>
      <c r="G46" s="208"/>
      <c r="H46" s="209" t="s">
        <v>33</v>
      </c>
      <c r="I46" s="209" t="s">
        <v>28</v>
      </c>
      <c r="J46" s="209" t="s">
        <v>29</v>
      </c>
      <c r="K46" s="202" t="s">
        <v>34</v>
      </c>
      <c r="L46" s="199"/>
      <c r="M46" s="199"/>
      <c r="N46" s="200"/>
      <c r="O46" s="199"/>
      <c r="P46" s="199"/>
      <c r="Q46" s="199"/>
      <c r="R46" s="199"/>
      <c r="S46" s="199"/>
      <c r="T46" s="199"/>
      <c r="U46" s="199"/>
      <c r="V46" s="199"/>
      <c r="W46" s="199"/>
      <c r="X46" s="199"/>
      <c r="Y46" s="199"/>
      <c r="Z46" s="199"/>
    </row>
    <row r="47" spans="1:26" ht="18" customHeight="1" x14ac:dyDescent="0.35">
      <c r="A47" s="204" t="s">
        <v>35</v>
      </c>
      <c r="B47" s="203"/>
      <c r="C47" s="209"/>
      <c r="D47" s="209"/>
      <c r="E47" s="202"/>
      <c r="F47" s="199"/>
      <c r="G47" s="204" t="s">
        <v>35</v>
      </c>
      <c r="H47" s="203"/>
      <c r="I47" s="209"/>
      <c r="J47" s="209"/>
      <c r="K47" s="202"/>
      <c r="L47" s="199"/>
      <c r="M47" s="199"/>
      <c r="N47" s="200"/>
      <c r="O47" s="199"/>
      <c r="P47" s="199"/>
      <c r="Q47" s="199"/>
      <c r="R47" s="199"/>
      <c r="S47" s="199"/>
      <c r="T47" s="199"/>
      <c r="U47" s="199"/>
      <c r="V47" s="199"/>
      <c r="W47" s="199"/>
      <c r="X47" s="199"/>
      <c r="Y47" s="199"/>
      <c r="Z47" s="199"/>
    </row>
    <row r="48" spans="1:26" ht="18" customHeight="1" x14ac:dyDescent="0.35">
      <c r="A48" s="204" t="s">
        <v>36</v>
      </c>
      <c r="B48" s="203"/>
      <c r="C48" s="209"/>
      <c r="D48" s="209"/>
      <c r="E48" s="202"/>
      <c r="F48" s="199"/>
      <c r="G48" s="204" t="s">
        <v>36</v>
      </c>
      <c r="H48" s="203"/>
      <c r="I48" s="209"/>
      <c r="J48" s="209"/>
      <c r="K48" s="202"/>
      <c r="L48" s="199"/>
      <c r="M48" s="199"/>
      <c r="N48" s="200"/>
      <c r="O48" s="199"/>
      <c r="P48" s="199"/>
      <c r="Q48" s="199"/>
      <c r="R48" s="199"/>
      <c r="S48" s="199"/>
      <c r="T48" s="199"/>
      <c r="U48" s="199"/>
      <c r="V48" s="199"/>
      <c r="W48" s="199"/>
      <c r="X48" s="199"/>
      <c r="Y48" s="199"/>
      <c r="Z48" s="199"/>
    </row>
    <row r="49" spans="1:26" ht="18" customHeight="1" x14ac:dyDescent="0.35">
      <c r="A49" s="179" t="s">
        <v>37</v>
      </c>
      <c r="B49" s="210">
        <f>+IF(B44=0,0,IF(B44&gt;70,12,6))</f>
        <v>0</v>
      </c>
      <c r="C49" s="209"/>
      <c r="D49" s="209"/>
      <c r="E49" s="210">
        <f>IF(B44&gt;300,6,IF(B44&gt;250,5,IF(B44&gt;200,4,IF(B44&gt;150,3,IF(B44&gt;120,3,2)))))</f>
        <v>2</v>
      </c>
      <c r="F49" s="211"/>
      <c r="G49" s="179" t="s">
        <v>37</v>
      </c>
      <c r="H49" s="210">
        <f>+IF(H44=0,0,IF(H44&gt;70,12,6))</f>
        <v>0</v>
      </c>
      <c r="I49" s="209"/>
      <c r="J49" s="209"/>
      <c r="K49" s="210">
        <f>IF(H44&gt;300,6,IF(H44&gt;250,5,IF(H44&gt;200,4,IF(H44&gt;150,3,IF(H44&gt;120,3,2)))))</f>
        <v>2</v>
      </c>
      <c r="L49" s="199"/>
      <c r="M49" s="199"/>
      <c r="N49" s="200"/>
      <c r="O49" s="199"/>
      <c r="P49" s="199"/>
      <c r="Q49" s="199"/>
      <c r="R49" s="199"/>
      <c r="S49" s="199"/>
      <c r="T49" s="199"/>
      <c r="U49" s="199"/>
      <c r="V49" s="199"/>
      <c r="W49" s="199"/>
      <c r="X49" s="199"/>
      <c r="Y49" s="199"/>
      <c r="Z49" s="199"/>
    </row>
    <row r="50" spans="1:26" ht="18" customHeight="1" x14ac:dyDescent="0.35">
      <c r="A50" s="204" t="s">
        <v>39</v>
      </c>
      <c r="B50" s="177"/>
      <c r="C50" s="209"/>
      <c r="D50" s="177"/>
      <c r="E50" s="202"/>
      <c r="F50" s="199"/>
      <c r="G50" s="204" t="s">
        <v>39</v>
      </c>
      <c r="H50" s="177"/>
      <c r="I50" s="209"/>
      <c r="J50" s="177"/>
      <c r="K50" s="202"/>
      <c r="L50" s="199"/>
      <c r="M50" s="199"/>
      <c r="N50" s="200"/>
      <c r="O50" s="199"/>
      <c r="P50" s="199"/>
      <c r="Q50" s="199"/>
      <c r="R50" s="199"/>
      <c r="S50" s="199"/>
      <c r="T50" s="199"/>
      <c r="U50" s="199"/>
      <c r="V50" s="199"/>
      <c r="W50" s="199"/>
      <c r="X50" s="199"/>
      <c r="Y50" s="199"/>
      <c r="Z50" s="199"/>
    </row>
    <row r="51" spans="1:26" ht="18" customHeight="1" x14ac:dyDescent="0.35">
      <c r="A51" s="204" t="s">
        <v>40</v>
      </c>
      <c r="B51" s="177"/>
      <c r="C51" s="177"/>
      <c r="D51" s="177"/>
      <c r="E51" s="202"/>
      <c r="F51" s="199"/>
      <c r="G51" s="204" t="s">
        <v>40</v>
      </c>
      <c r="H51" s="177"/>
      <c r="I51" s="177"/>
      <c r="J51" s="177"/>
      <c r="K51" s="202"/>
      <c r="L51" s="199"/>
      <c r="M51" s="199"/>
      <c r="N51" s="200"/>
      <c r="O51" s="199"/>
      <c r="P51" s="199"/>
      <c r="Q51" s="199"/>
      <c r="R51" s="199"/>
      <c r="S51" s="199"/>
      <c r="T51" s="199"/>
      <c r="U51" s="199"/>
      <c r="V51" s="199"/>
      <c r="W51" s="199"/>
      <c r="X51" s="199"/>
      <c r="Y51" s="199"/>
      <c r="Z51" s="199"/>
    </row>
    <row r="52" spans="1:26" ht="18" customHeight="1" x14ac:dyDescent="0.35">
      <c r="A52" s="213" t="s">
        <v>41</v>
      </c>
      <c r="B52" s="276"/>
      <c r="C52" s="276"/>
      <c r="D52" s="276"/>
      <c r="E52" s="215"/>
      <c r="F52" s="199"/>
      <c r="G52" s="213" t="s">
        <v>41</v>
      </c>
      <c r="H52" s="276"/>
      <c r="I52" s="276"/>
      <c r="J52" s="276"/>
      <c r="K52" s="215"/>
      <c r="L52" s="199"/>
      <c r="M52" s="199"/>
      <c r="N52" s="200"/>
      <c r="O52" s="199"/>
      <c r="P52" s="199"/>
      <c r="Q52" s="199"/>
      <c r="R52" s="199"/>
      <c r="S52" s="199"/>
      <c r="T52" s="199"/>
      <c r="U52" s="199"/>
      <c r="V52" s="199"/>
      <c r="W52" s="199"/>
      <c r="X52" s="199"/>
      <c r="Y52" s="199"/>
      <c r="Z52" s="199"/>
    </row>
    <row r="53" spans="1:26" ht="18" hidden="1" customHeight="1" x14ac:dyDescent="0.35">
      <c r="A53" s="216" t="s">
        <v>143</v>
      </c>
      <c r="B53" s="199">
        <f>IF(B44=0,0,B44+VLOOKUP(B45,$A$292:$L$297,2))</f>
        <v>0</v>
      </c>
      <c r="C53" s="199">
        <f>IF(C44=0,0,C44+VLOOKUP(B45,$A$292:$L$297,3))</f>
        <v>0</v>
      </c>
      <c r="D53" s="199">
        <f>IF(D44=0,0,D44+VLOOKUP(B45,$A$292:$L$297,4))</f>
        <v>0</v>
      </c>
      <c r="E53" s="199"/>
      <c r="F53" s="199"/>
      <c r="G53" s="216" t="s">
        <v>143</v>
      </c>
      <c r="H53" s="199">
        <f>IF(H44=0,0,H44+VLOOKUP(H45,$A$292:$L$297,2))</f>
        <v>0</v>
      </c>
      <c r="I53" s="199">
        <f>IF(I44=0,0,I44+VLOOKUP(H45,$A$292:$L$297,3))</f>
        <v>0</v>
      </c>
      <c r="J53" s="199">
        <f>IF(J44=0,0,J44+VLOOKUP(H45,$A$292:$L$297,4))</f>
        <v>0</v>
      </c>
      <c r="K53" s="217"/>
      <c r="L53" s="199"/>
      <c r="M53" s="199"/>
      <c r="N53" s="200"/>
      <c r="O53" s="199"/>
      <c r="P53" s="199"/>
      <c r="Q53" s="199"/>
      <c r="R53" s="199"/>
      <c r="S53" s="199"/>
      <c r="T53" s="199"/>
      <c r="U53" s="199"/>
      <c r="V53" s="199"/>
      <c r="W53" s="199"/>
      <c r="X53" s="199"/>
      <c r="Y53" s="199"/>
      <c r="Z53" s="199"/>
    </row>
    <row r="54" spans="1:26" ht="18" hidden="1" customHeight="1" x14ac:dyDescent="0.35">
      <c r="A54" s="216"/>
      <c r="B54" s="199"/>
      <c r="C54" s="199"/>
      <c r="D54" s="199"/>
      <c r="E54" s="199"/>
      <c r="F54" s="199"/>
      <c r="G54" s="277"/>
      <c r="H54" s="220"/>
      <c r="I54" s="220"/>
      <c r="J54" s="220"/>
      <c r="K54" s="278"/>
      <c r="L54" s="199"/>
      <c r="M54" s="199"/>
      <c r="N54" s="200"/>
      <c r="O54" s="199"/>
      <c r="P54" s="199"/>
      <c r="Q54" s="199"/>
      <c r="R54" s="199"/>
      <c r="S54" s="199"/>
      <c r="T54" s="199"/>
      <c r="U54" s="199"/>
      <c r="V54" s="199"/>
      <c r="W54" s="199"/>
      <c r="X54" s="199"/>
      <c r="Y54" s="199"/>
      <c r="Z54" s="199"/>
    </row>
    <row r="55" spans="1:26" ht="23.25" hidden="1" customHeight="1" x14ac:dyDescent="0.35">
      <c r="A55" s="216"/>
      <c r="B55" s="199"/>
      <c r="C55" s="199"/>
      <c r="D55" s="199"/>
      <c r="E55" s="199"/>
      <c r="F55" s="199"/>
      <c r="G55" s="279" t="s">
        <v>167</v>
      </c>
      <c r="H55" s="280">
        <f>IF(H57=0,0,H56-3)</f>
        <v>0</v>
      </c>
      <c r="I55" s="280">
        <f>IF(I57=0,0,I56-3.5)</f>
        <v>0</v>
      </c>
      <c r="J55" s="281">
        <f>IF(J57=0,0,J56-3)</f>
        <v>0</v>
      </c>
      <c r="K55" s="199"/>
      <c r="L55" s="199"/>
      <c r="M55" s="199"/>
      <c r="N55" s="200"/>
      <c r="O55" s="199"/>
      <c r="P55" s="199"/>
      <c r="Q55" s="199"/>
      <c r="R55" s="199"/>
      <c r="S55" s="199"/>
      <c r="T55" s="199"/>
      <c r="U55" s="199"/>
      <c r="V55" s="199"/>
      <c r="W55" s="199"/>
      <c r="X55" s="199"/>
      <c r="Y55" s="199"/>
      <c r="Z55" s="199"/>
    </row>
    <row r="56" spans="1:26" ht="45" hidden="1" customHeight="1" x14ac:dyDescent="0.35">
      <c r="A56" s="282" t="s">
        <v>170</v>
      </c>
      <c r="B56" s="220">
        <f>B53+IF(H53=0,0,1.5+H53)</f>
        <v>0</v>
      </c>
      <c r="C56" s="220">
        <f t="shared" ref="C56:D56" si="2">MAX(C53,I53)</f>
        <v>0</v>
      </c>
      <c r="D56" s="220">
        <f t="shared" si="2"/>
        <v>0</v>
      </c>
      <c r="E56" s="220"/>
      <c r="F56" s="220"/>
      <c r="G56" s="204" t="s">
        <v>169</v>
      </c>
      <c r="H56" s="219">
        <f t="shared" ref="H56:J56" si="3">IF(H57=0,0,H57)</f>
        <v>0</v>
      </c>
      <c r="I56" s="219">
        <f t="shared" si="3"/>
        <v>0</v>
      </c>
      <c r="J56" s="283">
        <f t="shared" si="3"/>
        <v>0</v>
      </c>
      <c r="K56" s="199"/>
      <c r="L56" s="199"/>
      <c r="M56" s="199"/>
      <c r="N56" s="200"/>
      <c r="O56" s="199"/>
      <c r="P56" s="199"/>
      <c r="Q56" s="199"/>
      <c r="R56" s="199"/>
      <c r="S56" s="199"/>
      <c r="T56" s="199"/>
      <c r="U56" s="199"/>
      <c r="V56" s="199"/>
      <c r="W56" s="199"/>
      <c r="X56" s="199"/>
      <c r="Y56" s="199"/>
      <c r="Z56" s="199"/>
    </row>
    <row r="57" spans="1:26" ht="18" hidden="1" customHeight="1" x14ac:dyDescent="0.35">
      <c r="A57" s="199"/>
      <c r="B57" s="199"/>
      <c r="C57" s="199"/>
      <c r="D57" s="199"/>
      <c r="E57" s="199"/>
      <c r="F57" s="199"/>
      <c r="G57" s="284" t="s">
        <v>152</v>
      </c>
      <c r="H57" s="285">
        <f>IF(B56=0,0,MAX(B40+3,B56+3,B72+3))</f>
        <v>0</v>
      </c>
      <c r="I57" s="220">
        <f>IF(C56=0,0,C56+3.5)</f>
        <v>0</v>
      </c>
      <c r="J57" s="278">
        <f>IF(D56=0,0,MAX(D40+3,D56+3,D72+3))</f>
        <v>0</v>
      </c>
      <c r="K57" s="199"/>
      <c r="L57" s="199"/>
      <c r="M57" s="199"/>
      <c r="N57" s="200"/>
      <c r="O57" s="199"/>
      <c r="P57" s="199"/>
      <c r="Q57" s="199"/>
      <c r="R57" s="199"/>
      <c r="S57" s="199"/>
      <c r="T57" s="199"/>
      <c r="U57" s="199"/>
      <c r="V57" s="199"/>
      <c r="W57" s="199"/>
      <c r="X57" s="199"/>
      <c r="Y57" s="199"/>
      <c r="Z57" s="199"/>
    </row>
    <row r="58" spans="1:26" ht="18" customHeight="1" x14ac:dyDescent="0.35">
      <c r="A58" s="19"/>
      <c r="B58" s="2"/>
      <c r="C58" s="2"/>
      <c r="D58" s="2"/>
      <c r="E58" s="2"/>
      <c r="F58" s="2"/>
      <c r="G58" s="19"/>
      <c r="H58" s="2"/>
      <c r="I58" s="2"/>
      <c r="J58" s="2"/>
      <c r="K58" s="2"/>
      <c r="L58" s="2"/>
      <c r="M58" s="2"/>
      <c r="N58" s="3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8" customHeight="1" x14ac:dyDescent="0.35">
      <c r="A59" s="221" t="str">
        <f>IF(B60="Aucun","Dimensions intérieures utiles","Dimensions de l'œuvre")</f>
        <v>Dimensions de l'œuvre</v>
      </c>
      <c r="B59" s="222" t="s">
        <v>28</v>
      </c>
      <c r="C59" s="222" t="s">
        <v>29</v>
      </c>
      <c r="D59" s="222" t="s">
        <v>30</v>
      </c>
      <c r="E59" s="223" t="s">
        <v>153</v>
      </c>
      <c r="F59" s="224"/>
      <c r="G59" s="221" t="str">
        <f>IF(H60="Aucun","Dimensions intérieures utiles","Dimensions de l'œuvre")</f>
        <v>Dimensions de l'œuvre</v>
      </c>
      <c r="H59" s="222" t="s">
        <v>28</v>
      </c>
      <c r="I59" s="222" t="s">
        <v>29</v>
      </c>
      <c r="J59" s="222" t="s">
        <v>30</v>
      </c>
      <c r="K59" s="223" t="s">
        <v>154</v>
      </c>
      <c r="L59" s="226"/>
      <c r="M59" s="226"/>
      <c r="N59" s="227"/>
      <c r="O59" s="226"/>
      <c r="P59" s="226"/>
      <c r="Q59" s="226"/>
      <c r="R59" s="226"/>
      <c r="S59" s="226"/>
      <c r="T59" s="226"/>
      <c r="U59" s="226"/>
      <c r="V59" s="226"/>
      <c r="W59" s="226"/>
      <c r="X59" s="226"/>
      <c r="Y59" s="226"/>
      <c r="Z59" s="226"/>
    </row>
    <row r="60" spans="1:26" ht="18" customHeight="1" x14ac:dyDescent="0.4">
      <c r="A60" s="228"/>
      <c r="B60" s="203"/>
      <c r="C60" s="203"/>
      <c r="D60" s="203"/>
      <c r="E60" s="229"/>
      <c r="F60" s="226"/>
      <c r="G60" s="228"/>
      <c r="H60" s="203"/>
      <c r="I60" s="203"/>
      <c r="J60" s="203"/>
      <c r="K60" s="229"/>
      <c r="L60" s="226"/>
      <c r="M60" s="226"/>
      <c r="N60" s="227"/>
      <c r="O60" s="226"/>
      <c r="P60" s="226"/>
      <c r="Q60" s="226"/>
      <c r="R60" s="226"/>
      <c r="S60" s="226"/>
      <c r="T60" s="226"/>
      <c r="U60" s="226"/>
      <c r="V60" s="226"/>
      <c r="W60" s="226"/>
      <c r="X60" s="226"/>
      <c r="Y60" s="226"/>
      <c r="Z60" s="226"/>
    </row>
    <row r="61" spans="1:26" ht="18" customHeight="1" x14ac:dyDescent="0.35">
      <c r="A61" s="230" t="s">
        <v>31</v>
      </c>
      <c r="B61" s="46" t="s">
        <v>16</v>
      </c>
      <c r="C61" s="231" t="s">
        <v>141</v>
      </c>
      <c r="D61" s="177"/>
      <c r="E61" s="229"/>
      <c r="F61" s="226"/>
      <c r="G61" s="230" t="s">
        <v>31</v>
      </c>
      <c r="H61" s="205" t="s">
        <v>16</v>
      </c>
      <c r="I61" s="231" t="s">
        <v>141</v>
      </c>
      <c r="J61" s="177"/>
      <c r="K61" s="229"/>
      <c r="L61" s="226"/>
      <c r="M61" s="226"/>
      <c r="N61" s="227"/>
      <c r="O61" s="226"/>
      <c r="P61" s="226"/>
      <c r="Q61" s="226"/>
      <c r="R61" s="226"/>
      <c r="S61" s="226"/>
      <c r="T61" s="226"/>
      <c r="U61" s="226"/>
      <c r="V61" s="226"/>
      <c r="W61" s="226"/>
      <c r="X61" s="226"/>
      <c r="Y61" s="226"/>
      <c r="Z61" s="226"/>
    </row>
    <row r="62" spans="1:26" ht="18" customHeight="1" x14ac:dyDescent="0.35">
      <c r="A62" s="232"/>
      <c r="B62" s="233" t="s">
        <v>33</v>
      </c>
      <c r="C62" s="233" t="s">
        <v>28</v>
      </c>
      <c r="D62" s="233" t="s">
        <v>29</v>
      </c>
      <c r="E62" s="229" t="s">
        <v>34</v>
      </c>
      <c r="F62" s="226"/>
      <c r="G62" s="232"/>
      <c r="H62" s="233" t="s">
        <v>33</v>
      </c>
      <c r="I62" s="233" t="s">
        <v>28</v>
      </c>
      <c r="J62" s="233" t="s">
        <v>29</v>
      </c>
      <c r="K62" s="229" t="s">
        <v>34</v>
      </c>
      <c r="L62" s="226"/>
      <c r="M62" s="226"/>
      <c r="N62" s="227"/>
      <c r="O62" s="226"/>
      <c r="P62" s="226"/>
      <c r="Q62" s="226"/>
      <c r="R62" s="226"/>
      <c r="S62" s="226"/>
      <c r="T62" s="226"/>
      <c r="U62" s="226"/>
      <c r="V62" s="226"/>
      <c r="W62" s="226"/>
      <c r="X62" s="226"/>
      <c r="Y62" s="226"/>
      <c r="Z62" s="226"/>
    </row>
    <row r="63" spans="1:26" ht="18" customHeight="1" x14ac:dyDescent="0.35">
      <c r="A63" s="230" t="s">
        <v>35</v>
      </c>
      <c r="B63" s="203"/>
      <c r="C63" s="233"/>
      <c r="D63" s="233"/>
      <c r="E63" s="229"/>
      <c r="F63" s="226"/>
      <c r="G63" s="230" t="s">
        <v>35</v>
      </c>
      <c r="H63" s="203"/>
      <c r="I63" s="233"/>
      <c r="J63" s="233"/>
      <c r="K63" s="229"/>
      <c r="L63" s="226"/>
      <c r="M63" s="226"/>
      <c r="N63" s="227"/>
      <c r="O63" s="226"/>
      <c r="P63" s="226"/>
      <c r="Q63" s="226"/>
      <c r="R63" s="226"/>
      <c r="S63" s="226"/>
      <c r="T63" s="226"/>
      <c r="U63" s="226"/>
      <c r="V63" s="226"/>
      <c r="W63" s="226"/>
      <c r="X63" s="226"/>
      <c r="Y63" s="226"/>
      <c r="Z63" s="226"/>
    </row>
    <row r="64" spans="1:26" ht="18" customHeight="1" x14ac:dyDescent="0.35">
      <c r="A64" s="230" t="s">
        <v>36</v>
      </c>
      <c r="B64" s="203"/>
      <c r="C64" s="233"/>
      <c r="D64" s="233"/>
      <c r="E64" s="229"/>
      <c r="F64" s="226"/>
      <c r="G64" s="230" t="s">
        <v>36</v>
      </c>
      <c r="H64" s="203"/>
      <c r="I64" s="233"/>
      <c r="J64" s="233"/>
      <c r="K64" s="229"/>
      <c r="L64" s="226"/>
      <c r="M64" s="226"/>
      <c r="N64" s="227"/>
      <c r="O64" s="226"/>
      <c r="P64" s="226"/>
      <c r="Q64" s="226"/>
      <c r="R64" s="226"/>
      <c r="S64" s="226"/>
      <c r="T64" s="226"/>
      <c r="U64" s="226"/>
      <c r="V64" s="226"/>
      <c r="W64" s="226"/>
      <c r="X64" s="226"/>
      <c r="Y64" s="226"/>
      <c r="Z64" s="226"/>
    </row>
    <row r="65" spans="1:26" ht="18" customHeight="1" x14ac:dyDescent="0.35">
      <c r="A65" s="179" t="s">
        <v>37</v>
      </c>
      <c r="B65" s="234">
        <f>+IF(B60=0,0,IF(B60&gt;70,12,6))</f>
        <v>0</v>
      </c>
      <c r="C65" s="233"/>
      <c r="D65" s="233"/>
      <c r="E65" s="234">
        <f>IF(B60&gt;300,6,IF(B60&gt;250,5,IF(B60&gt;200,4,IF(B60&gt;150,3,IF(B60&gt;120,3,2)))))</f>
        <v>2</v>
      </c>
      <c r="F65" s="235"/>
      <c r="G65" s="179" t="s">
        <v>37</v>
      </c>
      <c r="H65" s="234">
        <f>+IF(H60=0,0,IF(H60&gt;70,12,6))</f>
        <v>0</v>
      </c>
      <c r="I65" s="233"/>
      <c r="J65" s="233"/>
      <c r="K65" s="234">
        <f>IF(H60&gt;300,6,IF(H60&gt;250,5,IF(H60&gt;200,4,IF(H60&gt;150,3,IF(H60&gt;120,3,2)))))</f>
        <v>2</v>
      </c>
      <c r="L65" s="226"/>
      <c r="M65" s="226"/>
      <c r="N65" s="227"/>
      <c r="O65" s="226"/>
      <c r="P65" s="226"/>
      <c r="Q65" s="226"/>
      <c r="R65" s="226"/>
      <c r="S65" s="226"/>
      <c r="T65" s="226"/>
      <c r="U65" s="226"/>
      <c r="V65" s="226"/>
      <c r="W65" s="226"/>
      <c r="X65" s="226"/>
      <c r="Y65" s="226"/>
      <c r="Z65" s="226"/>
    </row>
    <row r="66" spans="1:26" ht="18" customHeight="1" x14ac:dyDescent="0.35">
      <c r="A66" s="230" t="s">
        <v>39</v>
      </c>
      <c r="B66" s="177"/>
      <c r="C66" s="233"/>
      <c r="D66" s="177"/>
      <c r="E66" s="229"/>
      <c r="F66" s="226"/>
      <c r="G66" s="230" t="s">
        <v>39</v>
      </c>
      <c r="H66" s="177"/>
      <c r="I66" s="233"/>
      <c r="J66" s="177"/>
      <c r="K66" s="229"/>
      <c r="L66" s="226"/>
      <c r="M66" s="226"/>
      <c r="N66" s="227"/>
      <c r="O66" s="226"/>
      <c r="P66" s="226"/>
      <c r="Q66" s="226"/>
      <c r="R66" s="226"/>
      <c r="S66" s="226"/>
      <c r="T66" s="226"/>
      <c r="U66" s="226"/>
      <c r="V66" s="226"/>
      <c r="W66" s="226"/>
      <c r="X66" s="226"/>
      <c r="Y66" s="226"/>
      <c r="Z66" s="226"/>
    </row>
    <row r="67" spans="1:26" ht="18" customHeight="1" x14ac:dyDescent="0.35">
      <c r="A67" s="230" t="s">
        <v>40</v>
      </c>
      <c r="B67" s="177"/>
      <c r="C67" s="177"/>
      <c r="D67" s="177"/>
      <c r="E67" s="229"/>
      <c r="F67" s="226"/>
      <c r="G67" s="230" t="s">
        <v>40</v>
      </c>
      <c r="H67" s="177"/>
      <c r="I67" s="177"/>
      <c r="J67" s="177"/>
      <c r="K67" s="229"/>
      <c r="L67" s="226"/>
      <c r="M67" s="226"/>
      <c r="N67" s="227"/>
      <c r="O67" s="226"/>
      <c r="P67" s="226"/>
      <c r="Q67" s="226"/>
      <c r="R67" s="226"/>
      <c r="S67" s="226"/>
      <c r="T67" s="226"/>
      <c r="U67" s="226"/>
      <c r="V67" s="226"/>
      <c r="W67" s="226"/>
      <c r="X67" s="226"/>
      <c r="Y67" s="226"/>
      <c r="Z67" s="226"/>
    </row>
    <row r="68" spans="1:26" ht="18" customHeight="1" x14ac:dyDescent="0.35">
      <c r="A68" s="237" t="s">
        <v>41</v>
      </c>
      <c r="B68" s="276"/>
      <c r="C68" s="276"/>
      <c r="D68" s="276"/>
      <c r="E68" s="286"/>
      <c r="F68" s="226"/>
      <c r="G68" s="237" t="s">
        <v>41</v>
      </c>
      <c r="H68" s="276"/>
      <c r="I68" s="276"/>
      <c r="J68" s="276"/>
      <c r="K68" s="286"/>
      <c r="L68" s="226"/>
      <c r="M68" s="226"/>
      <c r="N68" s="227"/>
      <c r="O68" s="226"/>
      <c r="P68" s="226"/>
      <c r="Q68" s="226"/>
      <c r="R68" s="226"/>
      <c r="S68" s="226"/>
      <c r="T68" s="226"/>
      <c r="U68" s="226"/>
      <c r="V68" s="226"/>
      <c r="W68" s="226"/>
      <c r="X68" s="226"/>
      <c r="Y68" s="226"/>
      <c r="Z68" s="226"/>
    </row>
    <row r="69" spans="1:26" ht="18" hidden="1" customHeight="1" x14ac:dyDescent="0.35">
      <c r="A69" s="239" t="s">
        <v>143</v>
      </c>
      <c r="B69" s="226">
        <f>IF(B60=0,0,B60+VLOOKUP(B61,$A$292:$L$297,2))</f>
        <v>0</v>
      </c>
      <c r="C69" s="226">
        <f>IF(C60=0,0,C60+VLOOKUP(B61,$A$292:$L$297,3))</f>
        <v>0</v>
      </c>
      <c r="D69" s="226">
        <f>IF(D60=0,0,D60+VLOOKUP(B61,$A$292:$L$297,4))</f>
        <v>0</v>
      </c>
      <c r="E69" s="226"/>
      <c r="F69" s="226"/>
      <c r="G69" s="239" t="s">
        <v>143</v>
      </c>
      <c r="H69" s="226">
        <f>IF(H60=0,0,H60+VLOOKUP(H61,$A$292:$L$297,2))</f>
        <v>0</v>
      </c>
      <c r="I69" s="226">
        <f>IF(I60=0,0,I60+VLOOKUP(H61,$A$292:$L$297,3))</f>
        <v>0</v>
      </c>
      <c r="J69" s="226">
        <f>IF(J60=0,0,J60+VLOOKUP(H61,$A$292:$L$297,4))</f>
        <v>0</v>
      </c>
      <c r="K69" s="240"/>
      <c r="L69" s="226"/>
      <c r="M69" s="226"/>
      <c r="N69" s="227"/>
      <c r="O69" s="226"/>
      <c r="P69" s="226"/>
      <c r="Q69" s="226"/>
      <c r="R69" s="226"/>
      <c r="S69" s="226"/>
      <c r="T69" s="226"/>
      <c r="U69" s="226"/>
      <c r="V69" s="226"/>
      <c r="W69" s="226"/>
      <c r="X69" s="226"/>
      <c r="Y69" s="226"/>
      <c r="Z69" s="226"/>
    </row>
    <row r="70" spans="1:26" ht="18" hidden="1" customHeight="1" x14ac:dyDescent="0.35">
      <c r="A70" s="239"/>
      <c r="B70" s="226"/>
      <c r="C70" s="226"/>
      <c r="D70" s="226"/>
      <c r="E70" s="226"/>
      <c r="F70" s="226"/>
      <c r="G70" s="287"/>
      <c r="H70" s="243"/>
      <c r="I70" s="243"/>
      <c r="J70" s="243"/>
      <c r="K70" s="288"/>
      <c r="L70" s="226"/>
      <c r="M70" s="226"/>
      <c r="N70" s="227"/>
      <c r="O70" s="226"/>
      <c r="P70" s="226"/>
      <c r="Q70" s="226"/>
      <c r="R70" s="226"/>
      <c r="S70" s="226"/>
      <c r="T70" s="226"/>
      <c r="U70" s="226"/>
      <c r="V70" s="226"/>
      <c r="W70" s="226"/>
      <c r="X70" s="226"/>
      <c r="Y70" s="226"/>
      <c r="Z70" s="226"/>
    </row>
    <row r="71" spans="1:26" ht="18" hidden="1" customHeight="1" x14ac:dyDescent="0.35">
      <c r="A71" s="239"/>
      <c r="B71" s="226"/>
      <c r="C71" s="226"/>
      <c r="D71" s="226"/>
      <c r="E71" s="226"/>
      <c r="F71" s="226"/>
      <c r="G71" s="289" t="s">
        <v>167</v>
      </c>
      <c r="H71" s="290">
        <f>IF(H73=0,0,H72-3)</f>
        <v>0</v>
      </c>
      <c r="I71" s="290">
        <f>IF(I73=0,0,I72-3.5)</f>
        <v>0</v>
      </c>
      <c r="J71" s="291">
        <f>IF(J73=0,0,J72-3)</f>
        <v>0</v>
      </c>
      <c r="K71" s="226"/>
      <c r="L71" s="226"/>
      <c r="M71" s="226"/>
      <c r="N71" s="227"/>
      <c r="O71" s="226"/>
      <c r="P71" s="226"/>
      <c r="Q71" s="226"/>
      <c r="R71" s="226"/>
      <c r="S71" s="226"/>
      <c r="T71" s="226"/>
      <c r="U71" s="226"/>
      <c r="V71" s="226"/>
      <c r="W71" s="226"/>
      <c r="X71" s="226"/>
      <c r="Y71" s="226"/>
      <c r="Z71" s="226"/>
    </row>
    <row r="72" spans="1:26" ht="18" hidden="1" customHeight="1" x14ac:dyDescent="0.35">
      <c r="A72" s="292" t="s">
        <v>171</v>
      </c>
      <c r="B72" s="243">
        <f>B69+IF(H69=0,0,1.5+H69)</f>
        <v>0</v>
      </c>
      <c r="C72" s="243">
        <f t="shared" ref="C72:D72" si="4">MAX(C69,I69)</f>
        <v>0</v>
      </c>
      <c r="D72" s="243">
        <f t="shared" si="4"/>
        <v>0</v>
      </c>
      <c r="E72" s="243"/>
      <c r="F72" s="243"/>
      <c r="G72" s="230" t="s">
        <v>169</v>
      </c>
      <c r="H72" s="242">
        <f t="shared" ref="H72:J72" si="5">IF(H73=0,0,H73)</f>
        <v>0</v>
      </c>
      <c r="I72" s="242">
        <f t="shared" si="5"/>
        <v>0</v>
      </c>
      <c r="J72" s="293">
        <f t="shared" si="5"/>
        <v>0</v>
      </c>
      <c r="K72" s="226"/>
      <c r="L72" s="226"/>
      <c r="M72" s="226"/>
      <c r="N72" s="227"/>
      <c r="O72" s="226"/>
      <c r="P72" s="226"/>
      <c r="Q72" s="226"/>
      <c r="R72" s="226"/>
      <c r="S72" s="226"/>
      <c r="T72" s="226"/>
      <c r="U72" s="226"/>
      <c r="V72" s="226"/>
      <c r="W72" s="226"/>
      <c r="X72" s="226"/>
      <c r="Y72" s="226"/>
      <c r="Z72" s="226"/>
    </row>
    <row r="73" spans="1:26" ht="18" hidden="1" customHeight="1" x14ac:dyDescent="0.35">
      <c r="A73" s="241"/>
      <c r="B73" s="226"/>
      <c r="C73" s="226"/>
      <c r="D73" s="226"/>
      <c r="E73" s="226"/>
      <c r="F73" s="226"/>
      <c r="G73" s="294" t="s">
        <v>152</v>
      </c>
      <c r="H73" s="243">
        <f>IF(B72=0,0,MAX(B40+3,B56+3,B72+3))</f>
        <v>0</v>
      </c>
      <c r="I73" s="243">
        <f>IF(C72=0,0,C72+3.5)</f>
        <v>0</v>
      </c>
      <c r="J73" s="288">
        <f>IF(D72=0,0,MAX(D40+3,D56+3,D72+3))</f>
        <v>0</v>
      </c>
      <c r="K73" s="226"/>
      <c r="L73" s="226"/>
      <c r="M73" s="226"/>
      <c r="N73" s="227"/>
      <c r="O73" s="226"/>
      <c r="P73" s="226"/>
      <c r="Q73" s="226"/>
      <c r="R73" s="226"/>
      <c r="S73" s="226"/>
      <c r="T73" s="226"/>
      <c r="U73" s="226"/>
      <c r="V73" s="226"/>
      <c r="W73" s="226"/>
      <c r="X73" s="226"/>
      <c r="Y73" s="226"/>
      <c r="Z73" s="226"/>
    </row>
    <row r="74" spans="1:26" ht="18" hidden="1" customHeight="1" x14ac:dyDescent="0.35">
      <c r="A74" s="19"/>
      <c r="B74" s="2"/>
      <c r="C74" s="2"/>
      <c r="D74" s="2"/>
      <c r="E74" s="2"/>
      <c r="F74" s="2"/>
      <c r="G74" s="19"/>
      <c r="H74" s="2"/>
      <c r="I74" s="2"/>
      <c r="J74" s="2"/>
      <c r="K74" s="2"/>
      <c r="L74" s="2"/>
      <c r="M74" s="2"/>
      <c r="N74" s="3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8" hidden="1" customHeight="1" x14ac:dyDescent="0.35">
      <c r="A75" s="1115" t="s">
        <v>172</v>
      </c>
      <c r="B75" s="1101"/>
      <c r="C75" s="2">
        <f>MAX(H41,H57,H73)</f>
        <v>0</v>
      </c>
      <c r="D75" s="2">
        <f>I41+I57+I73</f>
        <v>0</v>
      </c>
      <c r="E75" s="2">
        <f>MAX(J41,J57,J73)</f>
        <v>0</v>
      </c>
      <c r="F75" s="2"/>
      <c r="G75" s="19"/>
      <c r="H75" s="2"/>
      <c r="I75" s="2"/>
      <c r="J75" s="2"/>
      <c r="K75" s="2"/>
      <c r="L75" s="2"/>
      <c r="M75" s="2"/>
      <c r="N75" s="3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8" hidden="1" customHeight="1" x14ac:dyDescent="0.35">
      <c r="A76" s="19"/>
      <c r="B76" s="2"/>
      <c r="C76" s="2"/>
      <c r="D76" s="2"/>
      <c r="E76" s="2"/>
      <c r="F76" s="2"/>
      <c r="G76" s="19"/>
      <c r="H76" s="2"/>
      <c r="I76" s="2"/>
      <c r="J76" s="2"/>
      <c r="K76" s="2"/>
      <c r="L76" s="2"/>
      <c r="M76" s="2"/>
      <c r="N76" s="3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8" customHeight="1" x14ac:dyDescent="0.3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3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8" customHeight="1" x14ac:dyDescent="0.35">
      <c r="A78" s="2"/>
      <c r="B78" s="244" t="s">
        <v>173</v>
      </c>
      <c r="C78" s="50">
        <f>IF(C75=0,0,C75+VLOOKUP(C17,$A$266:$P$272,2))</f>
        <v>0</v>
      </c>
      <c r="D78" s="50">
        <f>IF(D75=0,0,D75+VLOOKUP(C17,$A$266:$P$272,3))</f>
        <v>0</v>
      </c>
      <c r="E78" s="50">
        <f>IF(E75=0,0,E75+VLOOKUP(C17,$A$266:$P$272,4))</f>
        <v>0</v>
      </c>
      <c r="F78" s="1116" t="s">
        <v>43</v>
      </c>
      <c r="G78" s="1117"/>
      <c r="H78" s="2"/>
      <c r="I78" s="2"/>
      <c r="J78" s="2"/>
      <c r="K78" s="2"/>
      <c r="L78" s="2"/>
      <c r="M78" s="2"/>
      <c r="N78" s="3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8" customHeight="1" x14ac:dyDescent="0.35">
      <c r="A79" s="2"/>
      <c r="B79" s="19"/>
      <c r="C79" s="19"/>
      <c r="D79" s="19"/>
      <c r="E79" s="19"/>
      <c r="F79" s="10"/>
      <c r="G79" s="109"/>
      <c r="H79" s="2"/>
      <c r="I79" s="2"/>
      <c r="J79" s="2"/>
      <c r="K79" s="2"/>
      <c r="L79" s="2"/>
      <c r="M79" s="2"/>
      <c r="N79" s="3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8" customHeight="1" x14ac:dyDescent="0.35">
      <c r="A80" s="2"/>
      <c r="B80" s="244" t="s">
        <v>174</v>
      </c>
      <c r="C80" s="245">
        <f>C78+VLOOKUP(C21,A277:B279,2)+VLOOKUP(C13,A256:E258,5)*2+VLOOKUP(C15,A260:D261,4)*2</f>
        <v>11.4</v>
      </c>
      <c r="D80" s="50">
        <f>IF(OR($F$23="Aucun",$F$23="Stabilisateur"),$D$78+VLOOKUP($C$13,$A$256:$E$258,4)*2+VLOOKUP($C$15,$A$260:$D$261,4)*2+0.5,$E$78+VLOOKUP($C$13,$A$256:$E$258,5)*2+VLOOKUP($C$15,$A$260:$D$261,4)*2)</f>
        <v>7.7</v>
      </c>
      <c r="E80" s="51">
        <f>IF(OR($F$23="Aucun",$F$23="Stabilisateur"),$E$78+VLOOKUP($C$13,$A$256:$E$258,5)*2+VLOOKUP($C$15,$A$260:$D$261,4)*2+VLOOKUP($C$23,$A$305:$B$307,2),$D$78+VLOOKUP($C$13,$A$256:$E$258,4)*2+VLOOKUP($C$15,$A$260:$D$261,4)*2+VLOOKUP($C$23,$A$305:$B$307,2)+VLOOKUP($F$23,$A$281:$D$284,4)+0.5)</f>
        <v>17.2</v>
      </c>
      <c r="F80" s="1118">
        <f>ROUNDUP(C253,0)</f>
        <v>30</v>
      </c>
      <c r="G80" s="1119"/>
      <c r="H80" s="71"/>
      <c r="I80" s="2"/>
      <c r="J80" s="2"/>
      <c r="K80" s="2"/>
      <c r="L80" s="2"/>
      <c r="M80" s="2"/>
      <c r="N80" s="3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8" customHeight="1" x14ac:dyDescent="0.35">
      <c r="A81" s="2"/>
      <c r="B81" s="70"/>
      <c r="C81" s="60"/>
      <c r="D81" s="19"/>
      <c r="E81" s="19"/>
      <c r="F81" s="61"/>
      <c r="G81" s="96"/>
      <c r="H81" s="71"/>
      <c r="I81" s="2"/>
      <c r="J81" s="2"/>
      <c r="K81" s="2"/>
      <c r="L81" s="2"/>
      <c r="M81" s="2"/>
      <c r="N81" s="3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8" customHeight="1" x14ac:dyDescent="0.35">
      <c r="A82" s="2"/>
      <c r="B82" s="62" t="s">
        <v>45</v>
      </c>
      <c r="C82" s="63">
        <f>Q245</f>
        <v>-4.9159952000000011</v>
      </c>
      <c r="D82" s="64" t="s">
        <v>46</v>
      </c>
      <c r="E82" s="65" t="s">
        <v>47</v>
      </c>
      <c r="F82" s="61"/>
      <c r="G82" s="96"/>
      <c r="H82" s="71"/>
      <c r="I82" s="2"/>
      <c r="J82" s="2"/>
      <c r="K82" s="2"/>
      <c r="L82" s="2"/>
      <c r="M82" s="2"/>
      <c r="N82" s="3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8" customHeight="1" x14ac:dyDescent="0.35">
      <c r="A83" s="2"/>
      <c r="B83" s="66" t="s">
        <v>48</v>
      </c>
      <c r="C83" s="67">
        <f>D247</f>
        <v>34.217307267200006</v>
      </c>
      <c r="D83" s="68" t="s">
        <v>49</v>
      </c>
      <c r="E83" s="69">
        <f>R245</f>
        <v>-2.3588790896000003</v>
      </c>
      <c r="F83" s="61"/>
      <c r="G83" s="96"/>
      <c r="H83" s="71"/>
      <c r="I83" s="2"/>
      <c r="J83" s="2"/>
      <c r="K83" s="2"/>
      <c r="L83" s="2"/>
      <c r="M83" s="2"/>
      <c r="N83" s="3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8" customHeight="1" x14ac:dyDescent="0.35">
      <c r="A84" s="2"/>
      <c r="B84" s="70"/>
      <c r="C84" s="60"/>
      <c r="D84" s="19"/>
      <c r="E84" s="19"/>
      <c r="F84" s="61"/>
      <c r="G84" s="2"/>
      <c r="H84" s="71"/>
      <c r="I84" s="2"/>
      <c r="J84" s="2"/>
      <c r="K84" s="2"/>
      <c r="L84" s="2"/>
      <c r="M84" s="2"/>
      <c r="N84" s="3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8" customHeight="1" x14ac:dyDescent="0.35">
      <c r="A85" s="76"/>
      <c r="B85" s="73" t="s">
        <v>50</v>
      </c>
      <c r="C85" s="295"/>
      <c r="D85" s="295"/>
      <c r="E85" s="295"/>
      <c r="F85" s="296"/>
      <c r="G85" s="76"/>
      <c r="H85" s="76"/>
      <c r="I85" s="76"/>
      <c r="J85" s="76"/>
      <c r="K85" s="76"/>
      <c r="L85" s="76"/>
      <c r="M85" s="76"/>
      <c r="N85" s="77"/>
      <c r="O85" s="76"/>
      <c r="P85" s="76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 x14ac:dyDescent="0.35">
      <c r="A86" s="76"/>
      <c r="B86" s="164"/>
      <c r="C86" s="297"/>
      <c r="D86" s="297"/>
      <c r="E86" s="297"/>
      <c r="F86" s="298"/>
      <c r="G86" s="76"/>
      <c r="H86" s="76"/>
      <c r="I86" s="76"/>
      <c r="J86" s="76"/>
      <c r="K86" s="76"/>
      <c r="L86" s="76"/>
      <c r="M86" s="76"/>
      <c r="N86" s="77"/>
      <c r="O86" s="76"/>
      <c r="P86" s="76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 x14ac:dyDescent="0.45">
      <c r="A87" s="76"/>
      <c r="B87" s="299"/>
      <c r="C87" s="297"/>
      <c r="D87" s="297"/>
      <c r="E87" s="297"/>
      <c r="F87" s="298"/>
      <c r="G87" s="76"/>
      <c r="H87" s="76"/>
      <c r="I87" s="76"/>
      <c r="J87" s="76"/>
      <c r="K87" s="76"/>
      <c r="L87" s="76"/>
      <c r="M87" s="76"/>
      <c r="N87" s="77"/>
      <c r="O87" s="76"/>
      <c r="P87" s="76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 x14ac:dyDescent="0.35">
      <c r="A88" s="76"/>
      <c r="B88" s="166"/>
      <c r="C88" s="300"/>
      <c r="D88" s="300"/>
      <c r="E88" s="300"/>
      <c r="F88" s="301"/>
      <c r="G88" s="76"/>
      <c r="H88" s="76"/>
      <c r="I88" s="76"/>
      <c r="J88" s="76"/>
      <c r="K88" s="76"/>
      <c r="L88" s="76"/>
      <c r="M88" s="76"/>
      <c r="N88" s="77"/>
      <c r="O88" s="76"/>
      <c r="P88" s="76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8" hidden="1" customHeight="1" x14ac:dyDescent="0.35">
      <c r="A89" s="2"/>
      <c r="B89" s="19"/>
      <c r="C89" s="19"/>
      <c r="D89" s="19"/>
      <c r="E89" s="19"/>
      <c r="F89" s="2"/>
      <c r="G89" s="2"/>
      <c r="H89" s="2"/>
      <c r="I89" s="2"/>
      <c r="J89" s="2"/>
      <c r="K89" s="2"/>
      <c r="L89" s="2"/>
      <c r="M89" s="2"/>
      <c r="N89" s="3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8" hidden="1" customHeight="1" x14ac:dyDescent="0.35">
      <c r="A90" s="2"/>
      <c r="B90" s="2"/>
      <c r="C90" s="2"/>
      <c r="D90" s="2"/>
      <c r="E90" s="2"/>
      <c r="F90" s="6" t="s">
        <v>34</v>
      </c>
      <c r="G90" s="2"/>
      <c r="H90" s="2"/>
      <c r="I90" s="2"/>
      <c r="J90" s="2"/>
      <c r="K90" s="2"/>
      <c r="L90" s="2"/>
      <c r="M90" s="2"/>
      <c r="N90" s="3"/>
      <c r="O90" s="2"/>
      <c r="P90" s="2"/>
      <c r="Q90" s="2" t="s">
        <v>157</v>
      </c>
      <c r="R90" s="5" t="s">
        <v>52</v>
      </c>
      <c r="S90" s="2"/>
      <c r="T90" s="2"/>
      <c r="U90" s="2"/>
      <c r="V90" s="2"/>
      <c r="W90" s="2"/>
      <c r="X90" s="2"/>
      <c r="Y90" s="2"/>
      <c r="Z90" s="2"/>
    </row>
    <row r="91" spans="1:26" ht="18" hidden="1" customHeight="1" x14ac:dyDescent="0.35">
      <c r="A91" s="60" t="s">
        <v>53</v>
      </c>
      <c r="B91" s="87" t="str">
        <f t="shared" ref="B91:B94" si="6">VLOOKUP($C$13,$A$256:$E$258,2)</f>
        <v>Peuplier 15 mm</v>
      </c>
      <c r="C91" s="87">
        <f>C78+2*(VLOOKUP(B91,$A$256:$E$257,4)+VLOOKUP($C$15,$A$260:$D$261,4))</f>
        <v>7.2</v>
      </c>
      <c r="D91" s="87">
        <f>E78+(VLOOKUP(B91,$A$256:$E$257,5)+VLOOKUP($C$15,$A$260:$D$261,4))</f>
        <v>3.6</v>
      </c>
      <c r="E91" s="85" t="str">
        <f t="shared" ref="E91:E94" si="7">B91</f>
        <v>Peuplier 15 mm</v>
      </c>
      <c r="F91" s="88">
        <v>2</v>
      </c>
      <c r="G91" s="2"/>
      <c r="H91" s="2"/>
      <c r="I91" s="2"/>
      <c r="J91" s="89">
        <f t="shared" ref="J91:J94" si="8">IF(C91=0,0,(C91/100)*(D91/100)*F91)</f>
        <v>5.1840000000000011E-3</v>
      </c>
      <c r="K91" s="89">
        <f t="shared" ref="K91:K94" si="9">J91/0.8</f>
        <v>6.4800000000000014E-3</v>
      </c>
      <c r="L91" s="71">
        <f>IF(E91=0,0,VLOOKUP(E91,'Prix Matiere'!$A$4:$J$65,10))</f>
        <v>16.895876288659796</v>
      </c>
      <c r="M91" s="71">
        <f t="shared" ref="M91:M94" si="10">L91*K91-IF($F$15="Non",K91*0.75,0)</f>
        <v>0.1094852783505155</v>
      </c>
      <c r="N91" s="3">
        <f t="shared" ref="N91:N94" si="11">IF(J91=0,0,IF($F$15="Oui",(7.0924*J91)+15,(6.0924*J91)+10))</f>
        <v>15.036767001599999</v>
      </c>
      <c r="O91" s="71">
        <f>N91*MinuteMO</f>
        <v>12.78125195136</v>
      </c>
      <c r="P91" s="2"/>
      <c r="Q91" s="254">
        <f>IF(J91=0,0,J91*VLOOKUP(E91,'Prix Matiere'!$A$4:$L$60,12))</f>
        <v>3.4214400000000013E-2</v>
      </c>
      <c r="R91" s="254">
        <f>IF(J91=0,0,Q91*VLOOKUP(E91,'Prix Matiere'!$A$4:$L$60,11))</f>
        <v>2.6447731200000012E-2</v>
      </c>
      <c r="S91" s="2"/>
      <c r="T91" s="2"/>
      <c r="U91" s="2"/>
      <c r="V91" s="2"/>
      <c r="W91" s="2"/>
      <c r="X91" s="2"/>
      <c r="Y91" s="2"/>
      <c r="Z91" s="2"/>
    </row>
    <row r="92" spans="1:26" ht="18" hidden="1" customHeight="1" x14ac:dyDescent="0.35">
      <c r="A92" s="60" t="s">
        <v>175</v>
      </c>
      <c r="B92" s="87" t="str">
        <f t="shared" si="6"/>
        <v>Peuplier 15 mm</v>
      </c>
      <c r="C92" s="87">
        <f>C91</f>
        <v>7.2</v>
      </c>
      <c r="D92" s="87">
        <f>D78+2*(VLOOKUP(B92,A256:E257,4)+VLOOKUP($C$15,A260:D261,4))+0.5</f>
        <v>7.7</v>
      </c>
      <c r="E92" s="85" t="str">
        <f t="shared" si="7"/>
        <v>Peuplier 15 mm</v>
      </c>
      <c r="F92" s="88">
        <v>1</v>
      </c>
      <c r="G92" s="2"/>
      <c r="H92" s="2"/>
      <c r="I92" s="2"/>
      <c r="J92" s="89">
        <f t="shared" si="8"/>
        <v>5.5440000000000003E-3</v>
      </c>
      <c r="K92" s="89">
        <f t="shared" si="9"/>
        <v>6.9300000000000004E-3</v>
      </c>
      <c r="L92" s="71">
        <f>IF(E92=0,0,VLOOKUP(E92,'Prix Matiere'!$A$4:$J$65,10))</f>
        <v>16.895876288659796</v>
      </c>
      <c r="M92" s="71">
        <f t="shared" si="10"/>
        <v>0.11708842268041239</v>
      </c>
      <c r="N92" s="3">
        <f t="shared" si="11"/>
        <v>15.039320265600001</v>
      </c>
      <c r="O92" s="71">
        <f>N92*MinuteMO</f>
        <v>12.783422225760001</v>
      </c>
      <c r="P92" s="2"/>
      <c r="Q92" s="254">
        <f>IF(J92=0,0,J92*VLOOKUP(E92,'Prix Matiere'!$A$4:$L$60,12))</f>
        <v>3.6590400000000002E-2</v>
      </c>
      <c r="R92" s="254">
        <f>IF(J92=0,0,Q92*VLOOKUP(E92,'Prix Matiere'!$A$4:$L$60,11))</f>
        <v>2.8284379200000001E-2</v>
      </c>
      <c r="S92" s="2"/>
      <c r="T92" s="2"/>
      <c r="U92" s="2"/>
      <c r="V92" s="2"/>
      <c r="W92" s="2"/>
      <c r="X92" s="2"/>
      <c r="Y92" s="2"/>
      <c r="Z92" s="2"/>
    </row>
    <row r="93" spans="1:26" ht="18" hidden="1" customHeight="1" x14ac:dyDescent="0.35">
      <c r="A93" s="60" t="s">
        <v>176</v>
      </c>
      <c r="B93" s="87" t="str">
        <f t="shared" si="6"/>
        <v>Peuplier 15 mm</v>
      </c>
      <c r="C93" s="87">
        <f t="shared" ref="C93:D93" si="12">C78</f>
        <v>0</v>
      </c>
      <c r="D93" s="87">
        <f t="shared" si="12"/>
        <v>0</v>
      </c>
      <c r="E93" s="85" t="str">
        <f t="shared" si="7"/>
        <v>Peuplier 15 mm</v>
      </c>
      <c r="F93" s="88">
        <v>1</v>
      </c>
      <c r="G93" s="2"/>
      <c r="H93" s="2"/>
      <c r="I93" s="2"/>
      <c r="J93" s="89">
        <f t="shared" si="8"/>
        <v>0</v>
      </c>
      <c r="K93" s="89">
        <f t="shared" si="9"/>
        <v>0</v>
      </c>
      <c r="L93" s="71">
        <f>IF(E93=0,0,VLOOKUP(E93,'Prix Matiere'!$A$4:$J$65,10))</f>
        <v>16.895876288659796</v>
      </c>
      <c r="M93" s="71">
        <f t="shared" si="10"/>
        <v>0</v>
      </c>
      <c r="N93" s="3">
        <f t="shared" si="11"/>
        <v>0</v>
      </c>
      <c r="O93" s="71">
        <f>N93*MinuteMO</f>
        <v>0</v>
      </c>
      <c r="P93" s="2"/>
      <c r="Q93" s="254">
        <f>IF(J93=0,0,J93*VLOOKUP(E93,'Prix Matiere'!$A$4:$L$60,12))</f>
        <v>0</v>
      </c>
      <c r="R93" s="254">
        <f>IF(J93=0,0,Q93*VLOOKUP(E93,'Prix Matiere'!$A$4:$L$60,11))</f>
        <v>0</v>
      </c>
      <c r="S93" s="2"/>
      <c r="T93" s="2"/>
      <c r="U93" s="2"/>
      <c r="V93" s="2"/>
      <c r="W93" s="2"/>
      <c r="X93" s="2"/>
      <c r="Y93" s="2"/>
      <c r="Z93" s="2"/>
    </row>
    <row r="94" spans="1:26" ht="18" hidden="1" customHeight="1" x14ac:dyDescent="0.35">
      <c r="A94" s="60" t="s">
        <v>55</v>
      </c>
      <c r="B94" s="87" t="str">
        <f t="shared" si="6"/>
        <v>Peuplier 15 mm</v>
      </c>
      <c r="C94" s="87">
        <f>D78</f>
        <v>0</v>
      </c>
      <c r="D94" s="87">
        <f>D91</f>
        <v>3.6</v>
      </c>
      <c r="E94" s="85" t="str">
        <f t="shared" si="7"/>
        <v>Peuplier 15 mm</v>
      </c>
      <c r="F94" s="88">
        <v>2</v>
      </c>
      <c r="G94" s="2"/>
      <c r="H94" s="2"/>
      <c r="I94" s="2"/>
      <c r="J94" s="89">
        <f t="shared" si="8"/>
        <v>0</v>
      </c>
      <c r="K94" s="89">
        <f t="shared" si="9"/>
        <v>0</v>
      </c>
      <c r="L94" s="71">
        <f>IF(E94=0,0,VLOOKUP(E94,'Prix Matiere'!$A$4:$J$65,10))</f>
        <v>16.895876288659796</v>
      </c>
      <c r="M94" s="71">
        <f t="shared" si="10"/>
        <v>0</v>
      </c>
      <c r="N94" s="3">
        <f t="shared" si="11"/>
        <v>0</v>
      </c>
      <c r="O94" s="71">
        <f>N94*MinuteMO</f>
        <v>0</v>
      </c>
      <c r="P94" s="2"/>
      <c r="Q94" s="254">
        <f>IF(J94=0,0,J94*VLOOKUP(E94,'Prix Matiere'!$A$4:$L$60,12))</f>
        <v>0</v>
      </c>
      <c r="R94" s="254">
        <f>IF(J94=0,0,Q94*VLOOKUP(E94,'Prix Matiere'!$A$4:$L$60,11))</f>
        <v>0</v>
      </c>
      <c r="S94" s="2"/>
      <c r="T94" s="2"/>
      <c r="U94" s="2"/>
      <c r="V94" s="2"/>
      <c r="W94" s="2"/>
      <c r="X94" s="2"/>
      <c r="Y94" s="2"/>
      <c r="Z94" s="2"/>
    </row>
    <row r="95" spans="1:26" ht="18" hidden="1" customHeight="1" x14ac:dyDescent="0.35">
      <c r="A95" s="2"/>
      <c r="B95" s="2"/>
      <c r="C95" s="2"/>
      <c r="D95" s="2"/>
      <c r="E95" s="2"/>
      <c r="F95" s="2"/>
      <c r="G95" s="2"/>
      <c r="H95" s="2"/>
      <c r="I95" s="2"/>
      <c r="J95" s="89"/>
      <c r="K95" s="89"/>
      <c r="L95" s="71"/>
      <c r="M95" s="71"/>
      <c r="N95" s="3"/>
      <c r="O95" s="71"/>
      <c r="P95" s="2"/>
      <c r="Q95" s="254"/>
      <c r="R95" s="254">
        <f>IF(Q95=0,0,J95*VLOOKUP(E95,'Prix Matiere'!$A$4:$L$60,11))</f>
        <v>0</v>
      </c>
      <c r="S95" s="2"/>
      <c r="T95" s="2"/>
      <c r="U95" s="2"/>
      <c r="V95" s="2"/>
      <c r="W95" s="2"/>
      <c r="X95" s="2"/>
      <c r="Y95" s="2"/>
      <c r="Z95" s="2"/>
    </row>
    <row r="96" spans="1:26" ht="18" hidden="1" customHeight="1" x14ac:dyDescent="0.35">
      <c r="A96" s="2"/>
      <c r="B96" s="2"/>
      <c r="C96" s="2"/>
      <c r="D96" s="2"/>
      <c r="E96" s="2"/>
      <c r="F96" s="2"/>
      <c r="G96" s="2"/>
      <c r="H96" s="2"/>
      <c r="I96" s="2"/>
      <c r="J96" s="89"/>
      <c r="K96" s="89"/>
      <c r="L96" s="71"/>
      <c r="M96" s="71"/>
      <c r="N96" s="3"/>
      <c r="O96" s="71"/>
      <c r="P96" s="2"/>
      <c r="Q96" s="254"/>
      <c r="R96" s="254">
        <f>IF(Q96=0,0,J96*VLOOKUP(E96,'Prix Matiere'!$A$4:$L$60,11))</f>
        <v>0</v>
      </c>
      <c r="S96" s="2"/>
      <c r="T96" s="2"/>
      <c r="U96" s="2"/>
      <c r="V96" s="2"/>
      <c r="W96" s="2"/>
      <c r="X96" s="2"/>
      <c r="Y96" s="2"/>
      <c r="Z96" s="2"/>
    </row>
    <row r="97" spans="1:26" ht="18" hidden="1" customHeight="1" x14ac:dyDescent="0.35">
      <c r="A97" s="19" t="s">
        <v>11</v>
      </c>
      <c r="B97" s="45" t="s">
        <v>56</v>
      </c>
      <c r="C97" s="87">
        <f>C91</f>
        <v>7.2</v>
      </c>
      <c r="D97" s="45">
        <f>IF(D91&gt;80,9.4,7)</f>
        <v>7</v>
      </c>
      <c r="E97" s="34" t="str">
        <f t="shared" ref="E97:E102" si="13">IF($C$15="Pin raboté 4 faces","Barres 21 R4F","Barres 19 mm")</f>
        <v>Barres 21 R4F</v>
      </c>
      <c r="F97" s="45">
        <v>4</v>
      </c>
      <c r="G97" s="2"/>
      <c r="H97" s="2"/>
      <c r="I97" s="2"/>
      <c r="J97" s="89">
        <f t="shared" ref="J97:J106" si="14">IF(C97=0,0,(C97/100)*(D97/100)*F97)</f>
        <v>2.0160000000000004E-2</v>
      </c>
      <c r="K97" s="89">
        <f t="shared" ref="K97:K106" si="15">J97/0.8</f>
        <v>2.5200000000000004E-2</v>
      </c>
      <c r="L97" s="71">
        <f>IF(E97=0,0,VLOOKUP(E97,'Prix Matiere'!$A$4:$J$65,10))</f>
        <v>18.969072164948454</v>
      </c>
      <c r="M97" s="71">
        <f t="shared" ref="M97:M106" si="16">L97*K97</f>
        <v>0.47802061855670108</v>
      </c>
      <c r="N97" s="3">
        <f t="shared" ref="N97:N106" si="17">IF(J97=0,0,1+(11*J97))</f>
        <v>1.22176</v>
      </c>
      <c r="O97" s="71">
        <f t="shared" ref="O97:O106" si="18">N97*MinuteMO</f>
        <v>1.0384959999999999</v>
      </c>
      <c r="P97" s="2"/>
      <c r="Q97" s="254">
        <f>IF(J97=0,0,J97*VLOOKUP(E97,'Prix Matiere'!$A$4:$L$60,12))</f>
        <v>0.20160000000000006</v>
      </c>
      <c r="R97" s="254">
        <f>IF(J97=0,0,Q97*VLOOKUP(E97,'Prix Matiere'!$A$4:$L$60,11))</f>
        <v>9.7574400000000019E-2</v>
      </c>
      <c r="S97" s="2"/>
      <c r="T97" s="2"/>
      <c r="U97" s="2"/>
      <c r="V97" s="2"/>
      <c r="W97" s="2"/>
      <c r="X97" s="2"/>
      <c r="Y97" s="2"/>
      <c r="Z97" s="2"/>
    </row>
    <row r="98" spans="1:26" ht="18" hidden="1" customHeight="1" x14ac:dyDescent="0.35">
      <c r="A98" s="2"/>
      <c r="B98" s="45" t="s">
        <v>57</v>
      </c>
      <c r="C98" s="87">
        <f>D91-2*D97</f>
        <v>-10.4</v>
      </c>
      <c r="D98" s="45">
        <f>D97</f>
        <v>7</v>
      </c>
      <c r="E98" s="34" t="str">
        <f t="shared" si="13"/>
        <v>Barres 21 R4F</v>
      </c>
      <c r="F98" s="45">
        <f>4</f>
        <v>4</v>
      </c>
      <c r="G98" s="2"/>
      <c r="H98" s="2"/>
      <c r="I98" s="2"/>
      <c r="J98" s="89">
        <f t="shared" si="14"/>
        <v>-2.9120000000000007E-2</v>
      </c>
      <c r="K98" s="89">
        <f t="shared" si="15"/>
        <v>-3.6400000000000009E-2</v>
      </c>
      <c r="L98" s="71">
        <f>IF(E98=0,0,VLOOKUP(E98,'Prix Matiere'!$A$4:$J$65,10))</f>
        <v>18.969072164948454</v>
      </c>
      <c r="M98" s="71">
        <f t="shared" si="16"/>
        <v>-0.69047422680412385</v>
      </c>
      <c r="N98" s="3">
        <f t="shared" si="17"/>
        <v>0.67967999999999995</v>
      </c>
      <c r="O98" s="71">
        <f t="shared" si="18"/>
        <v>0.57772799999999991</v>
      </c>
      <c r="P98" s="2"/>
      <c r="Q98" s="254">
        <f>IF(J98=0,0,J98*VLOOKUP(E98,'Prix Matiere'!$A$4:$L$60,12))</f>
        <v>-0.29120000000000007</v>
      </c>
      <c r="R98" s="254">
        <f>IF(J98=0,0,Q98*VLOOKUP(E98,'Prix Matiere'!$A$4:$L$60,11))</f>
        <v>-0.14094080000000003</v>
      </c>
      <c r="S98" s="2"/>
      <c r="T98" s="2"/>
      <c r="U98" s="2"/>
      <c r="V98" s="2"/>
      <c r="W98" s="2"/>
      <c r="X98" s="2"/>
      <c r="Y98" s="2"/>
      <c r="Z98" s="2"/>
    </row>
    <row r="99" spans="1:26" ht="18" hidden="1" customHeight="1" x14ac:dyDescent="0.35">
      <c r="A99" s="2"/>
      <c r="B99" s="45" t="s">
        <v>177</v>
      </c>
      <c r="C99" s="87">
        <f>C97</f>
        <v>7.2</v>
      </c>
      <c r="D99" s="45">
        <f>IF($D$92&lt;80,7,9.4)</f>
        <v>7</v>
      </c>
      <c r="E99" s="34" t="str">
        <f t="shared" si="13"/>
        <v>Barres 21 R4F</v>
      </c>
      <c r="F99" s="45">
        <f t="shared" ref="F99:F100" si="19">IF(D99&lt;14.4,2,4)</f>
        <v>2</v>
      </c>
      <c r="G99" s="2"/>
      <c r="H99" s="2"/>
      <c r="I99" s="2"/>
      <c r="J99" s="89">
        <f t="shared" si="14"/>
        <v>1.0080000000000002E-2</v>
      </c>
      <c r="K99" s="89">
        <f t="shared" si="15"/>
        <v>1.2600000000000002E-2</v>
      </c>
      <c r="L99" s="71">
        <f>IF(E99=0,0,VLOOKUP(E99,'Prix Matiere'!$A$4:$J$65,10))</f>
        <v>18.969072164948454</v>
      </c>
      <c r="M99" s="71">
        <f t="shared" si="16"/>
        <v>0.23901030927835054</v>
      </c>
      <c r="N99" s="3">
        <f t="shared" si="17"/>
        <v>1.1108800000000001</v>
      </c>
      <c r="O99" s="71">
        <f t="shared" si="18"/>
        <v>0.94424800000000009</v>
      </c>
      <c r="P99" s="2"/>
      <c r="Q99" s="254">
        <f>IF(J99=0,0,J99*VLOOKUP(E99,'Prix Matiere'!$A$4:$L$60,12))</f>
        <v>0.10080000000000003</v>
      </c>
      <c r="R99" s="254">
        <f>IF(J99=0,0,Q99*VLOOKUP(E99,'Prix Matiere'!$A$4:$L$60,11))</f>
        <v>4.878720000000001E-2</v>
      </c>
      <c r="S99" s="2"/>
      <c r="T99" s="2"/>
      <c r="U99" s="2"/>
      <c r="V99" s="2"/>
      <c r="W99" s="2"/>
      <c r="X99" s="2"/>
      <c r="Y99" s="2"/>
      <c r="Z99" s="2"/>
    </row>
    <row r="100" spans="1:26" ht="18" hidden="1" customHeight="1" x14ac:dyDescent="0.35">
      <c r="A100" s="2"/>
      <c r="B100" s="45" t="s">
        <v>178</v>
      </c>
      <c r="C100" s="87">
        <f>D92-2*D99</f>
        <v>-6.3</v>
      </c>
      <c r="D100" s="45">
        <f>D99</f>
        <v>7</v>
      </c>
      <c r="E100" s="34" t="str">
        <f t="shared" si="13"/>
        <v>Barres 21 R4F</v>
      </c>
      <c r="F100" s="45">
        <f t="shared" si="19"/>
        <v>2</v>
      </c>
      <c r="G100" s="2"/>
      <c r="H100" s="2"/>
      <c r="I100" s="2"/>
      <c r="J100" s="89">
        <f t="shared" si="14"/>
        <v>-8.8200000000000014E-3</v>
      </c>
      <c r="K100" s="89">
        <f t="shared" si="15"/>
        <v>-1.1025000000000002E-2</v>
      </c>
      <c r="L100" s="71">
        <f>IF(E100=0,0,VLOOKUP(E100,'Prix Matiere'!$A$4:$J$65,10))</f>
        <v>18.969072164948454</v>
      </c>
      <c r="M100" s="71">
        <f t="shared" si="16"/>
        <v>-0.20913402061855674</v>
      </c>
      <c r="N100" s="3">
        <f t="shared" si="17"/>
        <v>0.90298</v>
      </c>
      <c r="O100" s="71">
        <f t="shared" si="18"/>
        <v>0.76753300000000002</v>
      </c>
      <c r="P100" s="2"/>
      <c r="Q100" s="254">
        <f>IF(J100=0,0,J100*VLOOKUP(E100,'Prix Matiere'!$A$4:$L$60,12))</f>
        <v>-8.8200000000000014E-2</v>
      </c>
      <c r="R100" s="254">
        <f>IF(J100=0,0,Q100*VLOOKUP(E100,'Prix Matiere'!$A$4:$L$60,11))</f>
        <v>-4.2688800000000006E-2</v>
      </c>
      <c r="S100" s="2"/>
      <c r="T100" s="2"/>
      <c r="U100" s="2"/>
      <c r="V100" s="2"/>
      <c r="W100" s="2"/>
      <c r="X100" s="2"/>
      <c r="Y100" s="2"/>
      <c r="Z100" s="2"/>
    </row>
    <row r="101" spans="1:26" ht="18" hidden="1" customHeight="1" x14ac:dyDescent="0.35">
      <c r="A101" s="2"/>
      <c r="B101" s="45" t="s">
        <v>179</v>
      </c>
      <c r="C101" s="87">
        <f>C78</f>
        <v>0</v>
      </c>
      <c r="D101" s="45">
        <v>7</v>
      </c>
      <c r="E101" s="34" t="str">
        <f t="shared" si="13"/>
        <v>Barres 21 R4F</v>
      </c>
      <c r="F101" s="45">
        <f>IF(D83&gt;70,3,2)</f>
        <v>3</v>
      </c>
      <c r="G101" s="2"/>
      <c r="H101" s="2"/>
      <c r="I101" s="2"/>
      <c r="J101" s="89">
        <f t="shared" si="14"/>
        <v>0</v>
      </c>
      <c r="K101" s="89">
        <f t="shared" si="15"/>
        <v>0</v>
      </c>
      <c r="L101" s="71">
        <f>IF(E101=0,0,VLOOKUP(E101,'Prix Matiere'!$A$4:$J$65,10))</f>
        <v>18.969072164948454</v>
      </c>
      <c r="M101" s="71">
        <f t="shared" si="16"/>
        <v>0</v>
      </c>
      <c r="N101" s="3">
        <f t="shared" si="17"/>
        <v>0</v>
      </c>
      <c r="O101" s="71">
        <f t="shared" si="18"/>
        <v>0</v>
      </c>
      <c r="P101" s="2"/>
      <c r="Q101" s="254">
        <f>IF(J101=0,0,J101*VLOOKUP(E101,'Prix Matiere'!$A$4:$L$60,12))</f>
        <v>0</v>
      </c>
      <c r="R101" s="254">
        <f>IF(J101=0,0,Q101*VLOOKUP(E101,'Prix Matiere'!$A$4:$L$60,11))</f>
        <v>0</v>
      </c>
      <c r="S101" s="2"/>
      <c r="T101" s="2"/>
      <c r="U101" s="2"/>
      <c r="V101" s="2"/>
      <c r="W101" s="2"/>
      <c r="X101" s="2"/>
      <c r="Y101" s="2"/>
      <c r="Z101" s="2"/>
    </row>
    <row r="102" spans="1:26" ht="18" hidden="1" customHeight="1" x14ac:dyDescent="0.35">
      <c r="A102" s="2"/>
      <c r="B102" s="45" t="s">
        <v>180</v>
      </c>
      <c r="C102" s="87">
        <f>(D78-(D101*F101))/(F101-1)</f>
        <v>-10.5</v>
      </c>
      <c r="D102" s="45">
        <v>7</v>
      </c>
      <c r="E102" s="34" t="str">
        <f t="shared" si="13"/>
        <v>Barres 21 R4F</v>
      </c>
      <c r="F102" s="45">
        <f>IF(F101=2,2,4)</f>
        <v>4</v>
      </c>
      <c r="G102" s="2"/>
      <c r="H102" s="2"/>
      <c r="I102" s="2"/>
      <c r="J102" s="89">
        <f t="shared" si="14"/>
        <v>-2.9400000000000003E-2</v>
      </c>
      <c r="K102" s="89">
        <f t="shared" si="15"/>
        <v>-3.6749999999999998E-2</v>
      </c>
      <c r="L102" s="71">
        <f>IF(E102=0,0,VLOOKUP(E102,'Prix Matiere'!$A$4:$J$65,10))</f>
        <v>18.969072164948454</v>
      </c>
      <c r="M102" s="71">
        <f t="shared" si="16"/>
        <v>-0.69711340206185568</v>
      </c>
      <c r="N102" s="3">
        <f t="shared" si="17"/>
        <v>0.67659999999999998</v>
      </c>
      <c r="O102" s="71">
        <f t="shared" si="18"/>
        <v>0.57511000000000001</v>
      </c>
      <c r="P102" s="2"/>
      <c r="Q102" s="254">
        <f>IF(J102=0,0,J102*VLOOKUP(E102,'Prix Matiere'!$A$4:$L$60,12))</f>
        <v>-0.29400000000000004</v>
      </c>
      <c r="R102" s="254">
        <f>IF(J102=0,0,Q102*VLOOKUP(E102,'Prix Matiere'!$A$4:$L$60,11))</f>
        <v>-0.14229600000000001</v>
      </c>
      <c r="S102" s="2"/>
      <c r="T102" s="2"/>
      <c r="U102" s="2"/>
      <c r="V102" s="2"/>
      <c r="W102" s="2"/>
      <c r="X102" s="2"/>
      <c r="Y102" s="2"/>
      <c r="Z102" s="2"/>
    </row>
    <row r="103" spans="1:26" ht="18" hidden="1" customHeight="1" x14ac:dyDescent="0.35">
      <c r="A103" s="2"/>
      <c r="B103" s="45" t="str">
        <f>C23</f>
        <v>10 dessous en skis</v>
      </c>
      <c r="C103" s="87">
        <f>IF(B103="10 dessous en skis", (C97-70)/2,IF(B103="10 dessous en semelles",D92,C99-10))</f>
        <v>-31.4</v>
      </c>
      <c r="D103" s="45">
        <f>IF($F$10="BOVIS",9.4,7)</f>
        <v>7</v>
      </c>
      <c r="E103" s="34" t="str">
        <f>IF(B103="skis","Barres 30 R4F","Semelles R4F")</f>
        <v>Semelles R4F</v>
      </c>
      <c r="F103" s="45">
        <f>IF(B103="10 dessous en skis",6,IF(B103="10 dessous en semelles",2,2))</f>
        <v>6</v>
      </c>
      <c r="G103" s="2"/>
      <c r="H103" s="2"/>
      <c r="I103" s="2"/>
      <c r="J103" s="89">
        <f t="shared" si="14"/>
        <v>-0.13188000000000002</v>
      </c>
      <c r="K103" s="89">
        <f t="shared" si="15"/>
        <v>-0.16485000000000002</v>
      </c>
      <c r="L103" s="71">
        <f>IF(E103=0,0,VLOOKUP(E103,'Prix Matiere'!$A$4:$J$65,10))</f>
        <v>63.319587628865982</v>
      </c>
      <c r="M103" s="71">
        <f t="shared" si="16"/>
        <v>-10.438234020618559</v>
      </c>
      <c r="N103" s="3">
        <f t="shared" si="17"/>
        <v>-0.45068000000000019</v>
      </c>
      <c r="O103" s="71">
        <f t="shared" si="18"/>
        <v>-0.38307800000000014</v>
      </c>
      <c r="P103" s="2"/>
      <c r="Q103" s="254">
        <f>IF(J103=0,0,J103*VLOOKUP(E103,'Prix Matiere'!$A$4:$L$60,12))</f>
        <v>-4.615800000000001</v>
      </c>
      <c r="R103" s="254">
        <f>IF(J103=0,0,Q103*VLOOKUP(E103,'Prix Matiere'!$A$4:$L$60,11))</f>
        <v>-2.2340472000000005</v>
      </c>
      <c r="S103" s="2"/>
      <c r="T103" s="2"/>
      <c r="U103" s="2"/>
      <c r="V103" s="2"/>
      <c r="W103" s="2"/>
      <c r="X103" s="2"/>
      <c r="Y103" s="2"/>
      <c r="Z103" s="2"/>
    </row>
    <row r="104" spans="1:26" ht="18" hidden="1" customHeight="1" x14ac:dyDescent="0.35">
      <c r="A104" s="2"/>
      <c r="B104" s="45" t="s">
        <v>59</v>
      </c>
      <c r="C104" s="87">
        <f>IF($D$53&lt;14.4,0,C94)</f>
        <v>0</v>
      </c>
      <c r="D104" s="45">
        <f>IF(D83&lt;14.4,0,D97)</f>
        <v>7</v>
      </c>
      <c r="E104" s="34" t="str">
        <f t="shared" ref="E104:E105" si="20">IF($C$15="Pin raboté 4 faces","Barres 21 R4F","Barres 19 mm")</f>
        <v>Barres 21 R4F</v>
      </c>
      <c r="F104" s="45">
        <f>IF(D83&lt;14.4,0,4)</f>
        <v>4</v>
      </c>
      <c r="G104" s="2"/>
      <c r="H104" s="2"/>
      <c r="I104" s="2"/>
      <c r="J104" s="89">
        <f t="shared" si="14"/>
        <v>0</v>
      </c>
      <c r="K104" s="89">
        <f t="shared" si="15"/>
        <v>0</v>
      </c>
      <c r="L104" s="71">
        <f>IF(E104=0,0,VLOOKUP(E104,'Prix Matiere'!$A$4:$J$65,10))</f>
        <v>18.969072164948454</v>
      </c>
      <c r="M104" s="71">
        <f t="shared" si="16"/>
        <v>0</v>
      </c>
      <c r="N104" s="3">
        <f t="shared" si="17"/>
        <v>0</v>
      </c>
      <c r="O104" s="71">
        <f t="shared" si="18"/>
        <v>0</v>
      </c>
      <c r="P104" s="2"/>
      <c r="Q104" s="254">
        <f>IF(J104=0,0,J104*VLOOKUP(E104,'Prix Matiere'!$A$4:$L$60,12))</f>
        <v>0</v>
      </c>
      <c r="R104" s="254">
        <f>IF(J104=0,0,Q104*VLOOKUP(E104,'Prix Matiere'!$A$4:$L$60,11))</f>
        <v>0</v>
      </c>
      <c r="S104" s="2"/>
      <c r="T104" s="2"/>
      <c r="U104" s="2"/>
      <c r="V104" s="2"/>
      <c r="W104" s="2"/>
      <c r="X104" s="2"/>
      <c r="Y104" s="2"/>
      <c r="Z104" s="2"/>
    </row>
    <row r="105" spans="1:26" ht="18" hidden="1" customHeight="1" x14ac:dyDescent="0.35">
      <c r="A105" s="2"/>
      <c r="B105" s="45" t="s">
        <v>60</v>
      </c>
      <c r="C105" s="87">
        <f>IF(D83&lt;14.4,E84,D94-2*D104)</f>
        <v>-10.4</v>
      </c>
      <c r="D105" s="45">
        <f>IF($D$78&lt;14.4,$D$78,IF($D$78&lt;20,5,7))</f>
        <v>0</v>
      </c>
      <c r="E105" s="34" t="str">
        <f t="shared" si="20"/>
        <v>Barres 21 R4F</v>
      </c>
      <c r="F105" s="45">
        <f>IF(D83&lt;14.4,2,4)</f>
        <v>4</v>
      </c>
      <c r="G105" s="2"/>
      <c r="H105" s="2"/>
      <c r="I105" s="2"/>
      <c r="J105" s="89">
        <f t="shared" si="14"/>
        <v>0</v>
      </c>
      <c r="K105" s="89">
        <f t="shared" si="15"/>
        <v>0</v>
      </c>
      <c r="L105" s="71">
        <f>IF(E105=0,0,VLOOKUP(E105,'Prix Matiere'!$A$4:$J$65,10))</f>
        <v>18.969072164948454</v>
      </c>
      <c r="M105" s="71">
        <f t="shared" si="16"/>
        <v>0</v>
      </c>
      <c r="N105" s="3">
        <f t="shared" si="17"/>
        <v>0</v>
      </c>
      <c r="O105" s="71">
        <f t="shared" si="18"/>
        <v>0</v>
      </c>
      <c r="P105" s="2"/>
      <c r="Q105" s="254">
        <f>IF(J105=0,0,J105*VLOOKUP(E105,'Prix Matiere'!$A$4:$L$60,12))</f>
        <v>0</v>
      </c>
      <c r="R105" s="254">
        <f>IF(J105=0,0,Q105*VLOOKUP(E105,'Prix Matiere'!$A$4:$L$60,11))</f>
        <v>0</v>
      </c>
      <c r="S105" s="2"/>
      <c r="T105" s="2"/>
      <c r="U105" s="2"/>
      <c r="V105" s="2"/>
      <c r="W105" s="2"/>
      <c r="X105" s="2"/>
      <c r="Y105" s="2"/>
      <c r="Z105" s="2"/>
    </row>
    <row r="106" spans="1:26" ht="18" hidden="1" customHeight="1" x14ac:dyDescent="0.35">
      <c r="A106" s="2"/>
      <c r="B106" s="45">
        <f>IF(D78&lt;14.4,0,IF(C21="Bois","Poignées",IF(C21="Métal x 2 sur bouts","Supports poignées",0)))</f>
        <v>0</v>
      </c>
      <c r="C106" s="45">
        <f>IF(B106="Poignées",D78+VLOOKUP(C13,A256:D257,4)*2+4.2,IF(B106="Supports poignées",D80-2*D105,0))</f>
        <v>0</v>
      </c>
      <c r="D106" s="45">
        <f>IF(B106="Poignées",7,IF(B106="Supports poignées",9.4,0))</f>
        <v>0</v>
      </c>
      <c r="E106" s="34" t="s">
        <v>61</v>
      </c>
      <c r="F106" s="45">
        <f>IF(B106=0,0,2)</f>
        <v>0</v>
      </c>
      <c r="G106" s="2"/>
      <c r="H106" s="2"/>
      <c r="I106" s="2"/>
      <c r="J106" s="89">
        <f t="shared" si="14"/>
        <v>0</v>
      </c>
      <c r="K106" s="89">
        <f t="shared" si="15"/>
        <v>0</v>
      </c>
      <c r="L106" s="71">
        <f>IF(E106=0,0,VLOOKUP(E106,'Prix Matiere'!$A$4:$J$65,10))</f>
        <v>18.969072164948454</v>
      </c>
      <c r="M106" s="71">
        <f t="shared" si="16"/>
        <v>0</v>
      </c>
      <c r="N106" s="3">
        <f t="shared" si="17"/>
        <v>0</v>
      </c>
      <c r="O106" s="71">
        <f t="shared" si="18"/>
        <v>0</v>
      </c>
      <c r="P106" s="2"/>
      <c r="Q106" s="254">
        <f>IF(J106=0,0,J106*VLOOKUP(E106,'Prix Matiere'!$A$4:$L$60,12))</f>
        <v>0</v>
      </c>
      <c r="R106" s="254">
        <f>IF(J106=0,0,Q106*VLOOKUP(E106,'Prix Matiere'!$A$4:$L$60,11))</f>
        <v>0</v>
      </c>
      <c r="S106" s="2"/>
      <c r="T106" s="2"/>
      <c r="U106" s="2"/>
      <c r="V106" s="2"/>
      <c r="W106" s="2"/>
      <c r="X106" s="2"/>
      <c r="Y106" s="2"/>
      <c r="Z106" s="2"/>
    </row>
    <row r="107" spans="1:26" ht="18" hidden="1" customHeight="1" x14ac:dyDescent="0.3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71"/>
      <c r="M107" s="71"/>
      <c r="N107" s="3"/>
      <c r="O107" s="71"/>
      <c r="P107" s="2"/>
      <c r="Q107" s="254"/>
      <c r="R107" s="254"/>
      <c r="S107" s="2"/>
      <c r="T107" s="2"/>
      <c r="U107" s="2"/>
      <c r="V107" s="2"/>
      <c r="W107" s="2"/>
      <c r="X107" s="2"/>
      <c r="Y107" s="2"/>
      <c r="Z107" s="2"/>
    </row>
    <row r="108" spans="1:26" ht="18" hidden="1" customHeight="1" x14ac:dyDescent="0.3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71"/>
      <c r="M108" s="71"/>
      <c r="N108" s="3"/>
      <c r="O108" s="71"/>
      <c r="P108" s="2"/>
      <c r="Q108" s="254"/>
      <c r="R108" s="254"/>
      <c r="S108" s="2"/>
      <c r="T108" s="2"/>
      <c r="U108" s="2"/>
      <c r="V108" s="2"/>
      <c r="W108" s="2"/>
      <c r="X108" s="2"/>
      <c r="Y108" s="2"/>
      <c r="Z108" s="2"/>
    </row>
    <row r="109" spans="1:26" ht="18" hidden="1" customHeight="1" x14ac:dyDescent="0.35">
      <c r="A109" s="19" t="s">
        <v>62</v>
      </c>
      <c r="B109" s="45" t="s">
        <v>63</v>
      </c>
      <c r="C109" s="45">
        <f>IF(F109=0,0,C78)</f>
        <v>0</v>
      </c>
      <c r="D109" s="45">
        <f>IF(F109=0,0,E113+VLOOKUP($C$17,A266:P272,5))</f>
        <v>0</v>
      </c>
      <c r="E109" s="34">
        <f>VLOOKUP($C$17,A266:P272,6)</f>
        <v>0</v>
      </c>
      <c r="F109" s="45">
        <f>VLOOKUP($C$17,A266:P272,7)</f>
        <v>0</v>
      </c>
      <c r="G109" s="2"/>
      <c r="H109" s="2"/>
      <c r="I109" s="2"/>
      <c r="J109" s="2">
        <f t="shared" ref="J109:J111" si="21">IF(C109=0,0,(C109/100)*(D109/100)*F109)</f>
        <v>0</v>
      </c>
      <c r="K109" s="2">
        <f t="shared" ref="K109:K111" si="22">J109/0.8</f>
        <v>0</v>
      </c>
      <c r="L109" s="71">
        <f>IF(E109=0,0,VLOOKUP(E109,'Prix Matiere'!$A$4:$J$65,10))</f>
        <v>0</v>
      </c>
      <c r="M109" s="71">
        <f t="shared" ref="M109:M111" si="23">L109*K109</f>
        <v>0</v>
      </c>
      <c r="N109" s="3">
        <f t="shared" ref="N109:N111" si="24">IF(J109=0,0,2+(6*J109))</f>
        <v>0</v>
      </c>
      <c r="O109" s="71">
        <f>N109*MinuteMO</f>
        <v>0</v>
      </c>
      <c r="P109" s="2"/>
      <c r="Q109" s="254">
        <f>IF(J109=0,0,J109*VLOOKUP(E109,'Prix Matiere'!$A$4:$L$60,12))</f>
        <v>0</v>
      </c>
      <c r="R109" s="254">
        <f>IF(J109=0,0,Q109*VLOOKUP(E109,'Prix Matiere'!$A$4:$L$60,11))</f>
        <v>0</v>
      </c>
      <c r="S109" s="2"/>
      <c r="T109" s="2"/>
      <c r="U109" s="2"/>
      <c r="V109" s="2"/>
      <c r="W109" s="2"/>
      <c r="X109" s="2"/>
      <c r="Y109" s="2"/>
      <c r="Z109" s="2"/>
    </row>
    <row r="110" spans="1:26" ht="18" hidden="1" customHeight="1" x14ac:dyDescent="0.35">
      <c r="A110" s="2"/>
      <c r="B110" s="45" t="s">
        <v>54</v>
      </c>
      <c r="C110" s="45">
        <f>IF(F110=0,0,C78)</f>
        <v>0</v>
      </c>
      <c r="D110" s="45">
        <f>IF(F110=0,0,D113)</f>
        <v>0</v>
      </c>
      <c r="E110" s="34">
        <f>IF($C$17="Aucun",0,VLOOKUP($C$17,A266:P272,6))</f>
        <v>0</v>
      </c>
      <c r="F110" s="45">
        <f>VLOOKUP($C$17,A266:P272,7)</f>
        <v>0</v>
      </c>
      <c r="G110" s="2"/>
      <c r="H110" s="2"/>
      <c r="I110" s="2"/>
      <c r="J110" s="2">
        <f t="shared" si="21"/>
        <v>0</v>
      </c>
      <c r="K110" s="2">
        <f t="shared" si="22"/>
        <v>0</v>
      </c>
      <c r="L110" s="71">
        <f>IF(E110=0,0,VLOOKUP(E110,'Prix Matiere'!$A$4:$J$65,10))</f>
        <v>0</v>
      </c>
      <c r="M110" s="71">
        <f t="shared" si="23"/>
        <v>0</v>
      </c>
      <c r="N110" s="3">
        <f t="shared" si="24"/>
        <v>0</v>
      </c>
      <c r="O110" s="71">
        <f>N110*MinuteMO</f>
        <v>0</v>
      </c>
      <c r="P110" s="2"/>
      <c r="Q110" s="254">
        <f>IF(J110=0,0,J110*VLOOKUP(E110,'Prix Matiere'!$A$4:$L$60,12))</f>
        <v>0</v>
      </c>
      <c r="R110" s="254">
        <f>IF(J110=0,0,Q110*VLOOKUP(E110,'Prix Matiere'!$A$4:$L$60,11))</f>
        <v>0</v>
      </c>
      <c r="S110" s="2"/>
      <c r="T110" s="2"/>
      <c r="U110" s="2"/>
      <c r="V110" s="2"/>
      <c r="W110" s="2"/>
      <c r="X110" s="2"/>
      <c r="Y110" s="2"/>
      <c r="Z110" s="2"/>
    </row>
    <row r="111" spans="1:26" ht="18" hidden="1" customHeight="1" x14ac:dyDescent="0.35">
      <c r="A111" s="2"/>
      <c r="B111" s="45" t="s">
        <v>55</v>
      </c>
      <c r="C111" s="45">
        <f>IF(F111=0,0,E113)</f>
        <v>0</v>
      </c>
      <c r="D111" s="45">
        <f>IF(F111=0,0,D113)</f>
        <v>0</v>
      </c>
      <c r="E111" s="34">
        <f>IF($C$17="Aucun",0,VLOOKUP($C$17,A266:P272,6))</f>
        <v>0</v>
      </c>
      <c r="F111" s="45">
        <f>VLOOKUP($C$17,A266:P272,7)</f>
        <v>0</v>
      </c>
      <c r="G111" s="2"/>
      <c r="H111" s="2"/>
      <c r="I111" s="2"/>
      <c r="J111" s="2">
        <f t="shared" si="21"/>
        <v>0</v>
      </c>
      <c r="K111" s="2">
        <f t="shared" si="22"/>
        <v>0</v>
      </c>
      <c r="L111" s="71">
        <f>IF(E111=0,0,VLOOKUP(E111,'Prix Matiere'!$A$4:$J$65,10))</f>
        <v>0</v>
      </c>
      <c r="M111" s="71">
        <f t="shared" si="23"/>
        <v>0</v>
      </c>
      <c r="N111" s="3">
        <f t="shared" si="24"/>
        <v>0</v>
      </c>
      <c r="O111" s="71">
        <f>N111*MinuteMO</f>
        <v>0</v>
      </c>
      <c r="P111" s="2"/>
      <c r="Q111" s="254">
        <f>IF(J111=0,0,J111*VLOOKUP(E111,'Prix Matiere'!$A$4:$L$60,12))</f>
        <v>0</v>
      </c>
      <c r="R111" s="254">
        <f>IF(J111=0,0,Q111*VLOOKUP(E111,'Prix Matiere'!$A$4:$L$60,11))</f>
        <v>0</v>
      </c>
      <c r="S111" s="2"/>
      <c r="T111" s="2"/>
      <c r="U111" s="2"/>
      <c r="V111" s="2"/>
      <c r="W111" s="2"/>
      <c r="X111" s="2"/>
      <c r="Y111" s="2"/>
      <c r="Z111" s="2"/>
    </row>
    <row r="112" spans="1:26" ht="18" hidden="1" customHeight="1" x14ac:dyDescent="0.3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71"/>
      <c r="M112" s="71"/>
      <c r="N112" s="3"/>
      <c r="O112" s="71"/>
      <c r="P112" s="2"/>
      <c r="Q112" s="254"/>
      <c r="R112" s="254"/>
      <c r="S112" s="2"/>
      <c r="T112" s="2"/>
      <c r="U112" s="2"/>
      <c r="V112" s="2"/>
      <c r="W112" s="2"/>
      <c r="X112" s="2"/>
      <c r="Y112" s="2"/>
      <c r="Z112" s="2"/>
    </row>
    <row r="113" spans="1:26" ht="18" hidden="1" customHeight="1" x14ac:dyDescent="0.35">
      <c r="A113" s="1105" t="s">
        <v>64</v>
      </c>
      <c r="B113" s="1101"/>
      <c r="C113" s="2">
        <f>C78-VLOOKUP(C17,A266:P272,5)</f>
        <v>0</v>
      </c>
      <c r="D113" s="2">
        <f>D78-VLOOKUP(C17,A266:P272,5)</f>
        <v>0</v>
      </c>
      <c r="E113" s="2">
        <f>E78-VLOOKUP(C17,A266:P272,5)</f>
        <v>0</v>
      </c>
      <c r="F113" s="2"/>
      <c r="G113" s="2"/>
      <c r="H113" s="2"/>
      <c r="I113" s="2"/>
      <c r="J113" s="2"/>
      <c r="K113" s="2"/>
      <c r="L113" s="71"/>
      <c r="M113" s="71"/>
      <c r="N113" s="3"/>
      <c r="O113" s="71"/>
      <c r="P113" s="2"/>
      <c r="Q113" s="254"/>
      <c r="R113" s="254"/>
      <c r="S113" s="2"/>
      <c r="T113" s="2"/>
      <c r="U113" s="2"/>
      <c r="V113" s="2"/>
      <c r="W113" s="2"/>
      <c r="X113" s="2"/>
      <c r="Y113" s="2"/>
      <c r="Z113" s="2"/>
    </row>
    <row r="114" spans="1:26" ht="18" hidden="1" customHeight="1" x14ac:dyDescent="0.3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71"/>
      <c r="M114" s="71"/>
      <c r="N114" s="3"/>
      <c r="O114" s="71"/>
      <c r="P114" s="2"/>
      <c r="Q114" s="254"/>
      <c r="R114" s="254"/>
      <c r="S114" s="2"/>
      <c r="T114" s="2"/>
      <c r="U114" s="2"/>
      <c r="V114" s="2"/>
      <c r="W114" s="2"/>
      <c r="X114" s="2"/>
      <c r="Y114" s="2"/>
      <c r="Z114" s="2"/>
    </row>
    <row r="115" spans="1:26" ht="18" hidden="1" customHeight="1" x14ac:dyDescent="0.35">
      <c r="A115" s="19" t="s">
        <v>65</v>
      </c>
      <c r="B115" s="45" t="s">
        <v>63</v>
      </c>
      <c r="C115" s="45">
        <f>IF(F115=0,0,C119+VLOOKUP(C17,A266:P272,8))-0.5</f>
        <v>-0.5</v>
      </c>
      <c r="D115" s="45">
        <f>IF(F115=0,0,E119+VLOOKUP(C17,A266:P272,8))-0.5</f>
        <v>-0.5</v>
      </c>
      <c r="E115" s="34">
        <f>VLOOKUP(C17,A266:P272,9)</f>
        <v>0</v>
      </c>
      <c r="F115" s="45">
        <f>VLOOKUP($C$17,A266:P272,10)</f>
        <v>0</v>
      </c>
      <c r="G115" s="2"/>
      <c r="H115" s="2"/>
      <c r="I115" s="2"/>
      <c r="J115" s="2">
        <f t="shared" ref="J115:J117" si="25">IF(C115=0,0,(C115/100)*(D115/100)*F115)</f>
        <v>0</v>
      </c>
      <c r="K115" s="2">
        <f t="shared" ref="K115:K117" si="26">J115/0.8</f>
        <v>0</v>
      </c>
      <c r="L115" s="71">
        <f>IF(E115=0,0,VLOOKUP(E115,'Prix Matiere'!A4:J60,10))</f>
        <v>0</v>
      </c>
      <c r="M115" s="71">
        <f t="shared" ref="M115:M117" si="27">L115*K115</f>
        <v>0</v>
      </c>
      <c r="N115" s="3">
        <f t="shared" ref="N115:N117" si="28">IF(J115=0,0,4+(5*J115))</f>
        <v>0</v>
      </c>
      <c r="O115" s="71">
        <f>N115*MinuteMO</f>
        <v>0</v>
      </c>
      <c r="P115" s="2"/>
      <c r="Q115" s="254">
        <f>IF(J115=0,0,J115*VLOOKUP(E115,'Prix Matiere'!$A$4:$L$60,12))</f>
        <v>0</v>
      </c>
      <c r="R115" s="254">
        <f>IF(J115=0,0,Q115*VLOOKUP(E115,'Prix Matiere'!$A$4:$L$60,11))</f>
        <v>0</v>
      </c>
      <c r="S115" s="2"/>
      <c r="T115" s="2"/>
      <c r="U115" s="2"/>
      <c r="V115" s="2"/>
      <c r="W115" s="2"/>
      <c r="X115" s="2"/>
      <c r="Y115" s="2"/>
      <c r="Z115" s="2"/>
    </row>
    <row r="116" spans="1:26" ht="18" hidden="1" customHeight="1" x14ac:dyDescent="0.35">
      <c r="A116" s="2"/>
      <c r="B116" s="45" t="s">
        <v>54</v>
      </c>
      <c r="C116" s="45">
        <f>IF(F116=0,0,C119+VLOOKUP(C17,A266:P272,8))</f>
        <v>0</v>
      </c>
      <c r="D116" s="45">
        <f>IF(F116=0,0,D119)</f>
        <v>0</v>
      </c>
      <c r="E116" s="34">
        <f>VLOOKUP(C17,A266:P272,9)</f>
        <v>0</v>
      </c>
      <c r="F116" s="45">
        <f>VLOOKUP($C$17,A266:P272,10)</f>
        <v>0</v>
      </c>
      <c r="G116" s="2"/>
      <c r="H116" s="2"/>
      <c r="I116" s="2"/>
      <c r="J116" s="2">
        <f t="shared" si="25"/>
        <v>0</v>
      </c>
      <c r="K116" s="2">
        <f t="shared" si="26"/>
        <v>0</v>
      </c>
      <c r="L116" s="71">
        <f>IF(E116=0,0,VLOOKUP(E116,'Prix Matiere'!A5:J61,10))</f>
        <v>0</v>
      </c>
      <c r="M116" s="71">
        <f t="shared" si="27"/>
        <v>0</v>
      </c>
      <c r="N116" s="3">
        <f t="shared" si="28"/>
        <v>0</v>
      </c>
      <c r="O116" s="71">
        <f>N116*MinuteMO</f>
        <v>0</v>
      </c>
      <c r="P116" s="2"/>
      <c r="Q116" s="254">
        <f>IF(J116=0,0,J116*VLOOKUP(E116,'Prix Matiere'!$A$4:$L$60,12))</f>
        <v>0</v>
      </c>
      <c r="R116" s="254">
        <f>IF(J116=0,0,Q116*VLOOKUP(E116,'Prix Matiere'!$A$4:$L$60,11))</f>
        <v>0</v>
      </c>
      <c r="S116" s="2"/>
      <c r="T116" s="2"/>
      <c r="U116" s="2"/>
      <c r="V116" s="2"/>
      <c r="W116" s="2"/>
      <c r="X116" s="2"/>
      <c r="Y116" s="2"/>
      <c r="Z116" s="2"/>
    </row>
    <row r="117" spans="1:26" ht="18" hidden="1" customHeight="1" x14ac:dyDescent="0.35">
      <c r="A117" s="2"/>
      <c r="B117" s="45" t="s">
        <v>55</v>
      </c>
      <c r="C117" s="45">
        <f>IF(F117=0,0,E119)</f>
        <v>0</v>
      </c>
      <c r="D117" s="45">
        <f>IF(F117=0,0,D119)</f>
        <v>0</v>
      </c>
      <c r="E117" s="34">
        <f>VLOOKUP(C17,A266:P272,9)</f>
        <v>0</v>
      </c>
      <c r="F117" s="45">
        <f>VLOOKUP($C$17,A266:P272,10)</f>
        <v>0</v>
      </c>
      <c r="G117" s="2"/>
      <c r="H117" s="2"/>
      <c r="I117" s="2"/>
      <c r="J117" s="2">
        <f t="shared" si="25"/>
        <v>0</v>
      </c>
      <c r="K117" s="2">
        <f t="shared" si="26"/>
        <v>0</v>
      </c>
      <c r="L117" s="71">
        <f>IF(E117=0,0,VLOOKUP(E117,'Prix Matiere'!A6:J62,10))</f>
        <v>0</v>
      </c>
      <c r="M117" s="71">
        <f t="shared" si="27"/>
        <v>0</v>
      </c>
      <c r="N117" s="3">
        <f t="shared" si="28"/>
        <v>0</v>
      </c>
      <c r="O117" s="71">
        <f>N117*MinuteMO</f>
        <v>0</v>
      </c>
      <c r="P117" s="2"/>
      <c r="Q117" s="254">
        <f>IF(J117=0,0,J117*VLOOKUP(E117,'Prix Matiere'!$A$4:$L$60,12))</f>
        <v>0</v>
      </c>
      <c r="R117" s="254">
        <f>IF(J117=0,0,Q117*VLOOKUP(E117,'Prix Matiere'!$A$4:$L$60,11))</f>
        <v>0</v>
      </c>
      <c r="S117" s="2"/>
      <c r="T117" s="2"/>
      <c r="U117" s="2"/>
      <c r="V117" s="2"/>
      <c r="W117" s="2"/>
      <c r="X117" s="2"/>
      <c r="Y117" s="2"/>
      <c r="Z117" s="2"/>
    </row>
    <row r="118" spans="1:26" ht="18" hidden="1" customHeight="1" x14ac:dyDescent="0.3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71"/>
      <c r="M118" s="71"/>
      <c r="N118" s="3"/>
      <c r="O118" s="71"/>
      <c r="P118" s="2"/>
      <c r="Q118" s="254"/>
      <c r="R118" s="254"/>
      <c r="S118" s="2"/>
      <c r="T118" s="2"/>
      <c r="U118" s="2"/>
      <c r="V118" s="2"/>
      <c r="W118" s="2"/>
      <c r="X118" s="2"/>
      <c r="Y118" s="2"/>
      <c r="Z118" s="2"/>
    </row>
    <row r="119" spans="1:26" ht="18" hidden="1" customHeight="1" x14ac:dyDescent="0.35">
      <c r="A119" s="1105" t="s">
        <v>66</v>
      </c>
      <c r="B119" s="1101"/>
      <c r="C119" s="2">
        <f>C113-VLOOKUP(C17,A266:P272,8)</f>
        <v>0</v>
      </c>
      <c r="D119" s="2">
        <f>D113-VLOOKUP(C17,A266:P272,8)</f>
        <v>0</v>
      </c>
      <c r="E119" s="2">
        <f>E113-VLOOKUP(C17,A266:P272,8)</f>
        <v>0</v>
      </c>
      <c r="F119" s="2"/>
      <c r="G119" s="2"/>
      <c r="H119" s="2"/>
      <c r="I119" s="2"/>
      <c r="J119" s="2"/>
      <c r="K119" s="2"/>
      <c r="L119" s="71"/>
      <c r="M119" s="71"/>
      <c r="N119" s="3"/>
      <c r="O119" s="71"/>
      <c r="P119" s="2"/>
      <c r="Q119" s="254"/>
      <c r="R119" s="254"/>
      <c r="S119" s="2"/>
      <c r="T119" s="2"/>
      <c r="U119" s="2"/>
      <c r="V119" s="2"/>
      <c r="W119" s="2"/>
      <c r="X119" s="2"/>
      <c r="Y119" s="2"/>
      <c r="Z119" s="2"/>
    </row>
    <row r="120" spans="1:26" ht="18" hidden="1" customHeight="1" x14ac:dyDescent="0.3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71"/>
      <c r="M120" s="71"/>
      <c r="N120" s="3"/>
      <c r="O120" s="71"/>
      <c r="P120" s="2"/>
      <c r="Q120" s="254"/>
      <c r="R120" s="254"/>
      <c r="S120" s="2"/>
      <c r="T120" s="2"/>
      <c r="U120" s="2"/>
      <c r="V120" s="2"/>
      <c r="W120" s="2"/>
      <c r="X120" s="2"/>
      <c r="Y120" s="2"/>
      <c r="Z120" s="2"/>
    </row>
    <row r="121" spans="1:26" ht="18" hidden="1" customHeight="1" x14ac:dyDescent="0.35">
      <c r="A121" s="19" t="s">
        <v>67</v>
      </c>
      <c r="B121" s="45" t="s">
        <v>63</v>
      </c>
      <c r="C121" s="45">
        <f>IF(F121=0,0,C124)</f>
        <v>0</v>
      </c>
      <c r="D121" s="45">
        <f>IF(F121=0,0,10)</f>
        <v>0</v>
      </c>
      <c r="E121" s="34">
        <f>VLOOKUP(C17,A266:P272,12)</f>
        <v>0</v>
      </c>
      <c r="F121" s="94">
        <f>VLOOKUP(C17,A266:P272,13)</f>
        <v>0</v>
      </c>
      <c r="G121" s="2"/>
      <c r="H121" s="2"/>
      <c r="I121" s="2"/>
      <c r="J121" s="2">
        <f t="shared" ref="J121:J122" si="29">IF(C121=0,0,(C121/100)*(D121/100)*F121)</f>
        <v>0</v>
      </c>
      <c r="K121" s="2">
        <f t="shared" ref="K121:K122" si="30">J121/0.8</f>
        <v>0</v>
      </c>
      <c r="L121" s="71">
        <f>IF(E121=0,0,VLOOKUP(E121,'Prix Matiere'!$A$4:$J$65,10))</f>
        <v>0</v>
      </c>
      <c r="M121" s="71">
        <f t="shared" ref="M121:M122" si="31">L121*K121</f>
        <v>0</v>
      </c>
      <c r="N121" s="3">
        <f t="shared" ref="N121:N122" si="32">IF(J121=0,0,1+(6*J121))</f>
        <v>0</v>
      </c>
      <c r="O121" s="71">
        <f>N121*MinuteMO</f>
        <v>0</v>
      </c>
      <c r="P121" s="2"/>
      <c r="Q121" s="254">
        <f>IF(J121=0,0,J121*VLOOKUP(E121,'Prix Matiere'!$A$4:$L$60,12))</f>
        <v>0</v>
      </c>
      <c r="R121" s="254">
        <f>IF(J121=0,0,Q121*VLOOKUP(E121,'Prix Matiere'!$A$4:$L$60,11))</f>
        <v>0</v>
      </c>
      <c r="S121" s="2"/>
      <c r="T121" s="2"/>
      <c r="U121" s="2"/>
      <c r="V121" s="2"/>
      <c r="W121" s="2"/>
      <c r="X121" s="2"/>
      <c r="Y121" s="2"/>
      <c r="Z121" s="2"/>
    </row>
    <row r="122" spans="1:26" ht="18" hidden="1" customHeight="1" x14ac:dyDescent="0.35">
      <c r="A122" s="2"/>
      <c r="B122" s="45" t="s">
        <v>54</v>
      </c>
      <c r="C122" s="45">
        <f>IF(F122=0,0,D119)</f>
        <v>0</v>
      </c>
      <c r="D122" s="45">
        <f>IF(F121=0,0,D121)</f>
        <v>0</v>
      </c>
      <c r="E122" s="34">
        <f>VLOOKUP(C17,A266:P272,12)</f>
        <v>0</v>
      </c>
      <c r="F122" s="45">
        <f>VLOOKUP(C17,A266:P272,13)*2</f>
        <v>0</v>
      </c>
      <c r="G122" s="2"/>
      <c r="H122" s="2"/>
      <c r="I122" s="2"/>
      <c r="J122" s="2">
        <f t="shared" si="29"/>
        <v>0</v>
      </c>
      <c r="K122" s="2">
        <f t="shared" si="30"/>
        <v>0</v>
      </c>
      <c r="L122" s="71">
        <f>IF(E122=0,0,VLOOKUP(E122,'Prix Matiere'!$A$4:$J$65,10))</f>
        <v>0</v>
      </c>
      <c r="M122" s="71">
        <f t="shared" si="31"/>
        <v>0</v>
      </c>
      <c r="N122" s="3">
        <f t="shared" si="32"/>
        <v>0</v>
      </c>
      <c r="O122" s="71">
        <f>N122*MinuteMO</f>
        <v>0</v>
      </c>
      <c r="P122" s="2"/>
      <c r="Q122" s="254">
        <f>IF(J122=0,0,J122*VLOOKUP(E122,'Prix Matiere'!$A$4:$L$60,12))</f>
        <v>0</v>
      </c>
      <c r="R122" s="254">
        <f>IF(J122=0,0,Q122*VLOOKUP(E122,'Prix Matiere'!$A$4:$L$60,11))</f>
        <v>0</v>
      </c>
      <c r="S122" s="2"/>
      <c r="T122" s="2"/>
      <c r="U122" s="2"/>
      <c r="V122" s="2"/>
      <c r="W122" s="2"/>
      <c r="X122" s="2"/>
      <c r="Y122" s="2"/>
      <c r="Z122" s="2"/>
    </row>
    <row r="123" spans="1:26" ht="18" hidden="1" customHeight="1" x14ac:dyDescent="0.3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71"/>
      <c r="M123" s="71"/>
      <c r="N123" s="3"/>
      <c r="O123" s="71"/>
      <c r="P123" s="2"/>
      <c r="Q123" s="254"/>
      <c r="R123" s="254"/>
      <c r="S123" s="2"/>
      <c r="T123" s="2"/>
      <c r="U123" s="2"/>
      <c r="V123" s="2"/>
      <c r="W123" s="2"/>
      <c r="X123" s="2"/>
      <c r="Y123" s="2"/>
      <c r="Z123" s="2"/>
    </row>
    <row r="124" spans="1:26" ht="18" hidden="1" customHeight="1" x14ac:dyDescent="0.35">
      <c r="A124" s="1105" t="s">
        <v>68</v>
      </c>
      <c r="B124" s="1101"/>
      <c r="C124" s="2">
        <f>C119-VLOOKUP($C$17,A266:P272,11)</f>
        <v>0</v>
      </c>
      <c r="D124" s="2">
        <f>D119-VLOOKUP($C$17,A266:P272,11)</f>
        <v>0</v>
      </c>
      <c r="E124" s="2">
        <f>E119-VLOOKUP($C$17,A266:P272,11)</f>
        <v>0</v>
      </c>
      <c r="F124" s="2"/>
      <c r="G124" s="2"/>
      <c r="H124" s="2"/>
      <c r="I124" s="2"/>
      <c r="J124" s="2"/>
      <c r="K124" s="2"/>
      <c r="L124" s="71"/>
      <c r="M124" s="71"/>
      <c r="N124" s="3"/>
      <c r="O124" s="71"/>
      <c r="P124" s="2"/>
      <c r="Q124" s="254"/>
      <c r="R124" s="254"/>
      <c r="S124" s="2"/>
      <c r="T124" s="2"/>
      <c r="U124" s="2"/>
      <c r="V124" s="2"/>
      <c r="W124" s="2"/>
      <c r="X124" s="2"/>
      <c r="Y124" s="2"/>
      <c r="Z124" s="2"/>
    </row>
    <row r="125" spans="1:26" ht="18" hidden="1" customHeight="1" x14ac:dyDescent="0.3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71"/>
      <c r="M125" s="71"/>
      <c r="N125" s="3"/>
      <c r="O125" s="71"/>
      <c r="P125" s="2"/>
      <c r="Q125" s="254"/>
      <c r="R125" s="254"/>
      <c r="S125" s="2"/>
      <c r="T125" s="2"/>
      <c r="U125" s="2"/>
      <c r="V125" s="2"/>
      <c r="W125" s="2"/>
      <c r="X125" s="2"/>
      <c r="Y125" s="2"/>
      <c r="Z125" s="2"/>
    </row>
    <row r="126" spans="1:26" ht="18" hidden="1" customHeight="1" x14ac:dyDescent="0.35">
      <c r="A126" s="19" t="s">
        <v>69</v>
      </c>
      <c r="B126" s="45" t="s">
        <v>63</v>
      </c>
      <c r="C126" s="45">
        <f>IF(F126=0,0,C130+VLOOKUP($C$17,A266:P272,14))</f>
        <v>0</v>
      </c>
      <c r="D126" s="45">
        <f>IF(F126=0,0,E130+VLOOKUP($C$17,A266:P272,14))</f>
        <v>0</v>
      </c>
      <c r="E126" s="34">
        <f>VLOOKUP($C$17,A266:P272,15)</f>
        <v>0</v>
      </c>
      <c r="F126" s="95">
        <f>VLOOKUP($C$17,A266:P272,16)</f>
        <v>0</v>
      </c>
      <c r="G126" s="2"/>
      <c r="H126" s="2"/>
      <c r="I126" s="2"/>
      <c r="J126" s="2">
        <f t="shared" ref="J126:J128" si="33">IF(C126=0,0,(C126/100)*(D126/100)*F126)</f>
        <v>0</v>
      </c>
      <c r="K126" s="2">
        <f t="shared" ref="K126:K128" si="34">J126/0.8</f>
        <v>0</v>
      </c>
      <c r="L126" s="71">
        <f>IF(E126=0,0,VLOOKUP(E126,'Prix Matiere'!A4:J60,10))</f>
        <v>0</v>
      </c>
      <c r="M126" s="71">
        <f t="shared" ref="M126:M128" si="35">L126*K126</f>
        <v>0</v>
      </c>
      <c r="N126" s="3">
        <f t="shared" ref="N126:N128" si="36">IF(J126=0,0,4+(5*J126))</f>
        <v>0</v>
      </c>
      <c r="O126" s="71">
        <f>N126*MinuteMO</f>
        <v>0</v>
      </c>
      <c r="P126" s="2"/>
      <c r="Q126" s="254">
        <f>IF(J126=0,0,J126*VLOOKUP(E126,'Prix Matiere'!$A$4:$L$60,12))</f>
        <v>0</v>
      </c>
      <c r="R126" s="254">
        <f>IF(J126=0,0,Q126*VLOOKUP(E126,'Prix Matiere'!$A$4:$L$60,11))</f>
        <v>0</v>
      </c>
      <c r="S126" s="2"/>
      <c r="T126" s="2"/>
      <c r="U126" s="2"/>
      <c r="V126" s="2"/>
      <c r="W126" s="2"/>
      <c r="X126" s="2"/>
      <c r="Y126" s="2"/>
      <c r="Z126" s="2"/>
    </row>
    <row r="127" spans="1:26" ht="18" hidden="1" customHeight="1" x14ac:dyDescent="0.35">
      <c r="A127" s="2"/>
      <c r="B127" s="45" t="s">
        <v>54</v>
      </c>
      <c r="C127" s="45">
        <f>IF(F127=0,0,C130+VLOOKUP($C$17,A266:P272,14))</f>
        <v>0</v>
      </c>
      <c r="D127" s="45">
        <f>IF(F127=0,0,D130)</f>
        <v>0</v>
      </c>
      <c r="E127" s="34">
        <f>VLOOKUP($C$17,A266:P272,15)</f>
        <v>0</v>
      </c>
      <c r="F127" s="95">
        <f>VLOOKUP($C$17,A266:P272,16)</f>
        <v>0</v>
      </c>
      <c r="G127" s="2"/>
      <c r="H127" s="2"/>
      <c r="I127" s="2"/>
      <c r="J127" s="2">
        <f t="shared" si="33"/>
        <v>0</v>
      </c>
      <c r="K127" s="2">
        <f t="shared" si="34"/>
        <v>0</v>
      </c>
      <c r="L127" s="71">
        <f>IF(E127=0,0,VLOOKUP(E127,'Prix Matiere'!A5:J61,10))</f>
        <v>0</v>
      </c>
      <c r="M127" s="71">
        <f t="shared" si="35"/>
        <v>0</v>
      </c>
      <c r="N127" s="3">
        <f t="shared" si="36"/>
        <v>0</v>
      </c>
      <c r="O127" s="71">
        <f>N127*MinuteMO</f>
        <v>0</v>
      </c>
      <c r="P127" s="2"/>
      <c r="Q127" s="254">
        <f>IF(J127=0,0,J127*VLOOKUP(E127,'Prix Matiere'!$A$4:$L$60,12))</f>
        <v>0</v>
      </c>
      <c r="R127" s="254">
        <f>IF(J127=0,0,Q127*VLOOKUP(E127,'Prix Matiere'!$A$4:$L$60,11))</f>
        <v>0</v>
      </c>
      <c r="S127" s="2"/>
      <c r="T127" s="2"/>
      <c r="U127" s="2"/>
      <c r="V127" s="2"/>
      <c r="W127" s="2"/>
      <c r="X127" s="2"/>
      <c r="Y127" s="2"/>
      <c r="Z127" s="2"/>
    </row>
    <row r="128" spans="1:26" ht="18" hidden="1" customHeight="1" x14ac:dyDescent="0.35">
      <c r="A128" s="2"/>
      <c r="B128" s="45" t="s">
        <v>55</v>
      </c>
      <c r="C128" s="45">
        <f>IF(F128=0,0,E130)</f>
        <v>0</v>
      </c>
      <c r="D128" s="45">
        <f>IF(F128=0,0,D130)</f>
        <v>0</v>
      </c>
      <c r="E128" s="34">
        <f>VLOOKUP($C$17,A266:P272,15)</f>
        <v>0</v>
      </c>
      <c r="F128" s="95">
        <f>VLOOKUP($C$17,A266:P272,16)</f>
        <v>0</v>
      </c>
      <c r="G128" s="2"/>
      <c r="H128" s="2"/>
      <c r="I128" s="2"/>
      <c r="J128" s="2">
        <f t="shared" si="33"/>
        <v>0</v>
      </c>
      <c r="K128" s="2">
        <f t="shared" si="34"/>
        <v>0</v>
      </c>
      <c r="L128" s="71">
        <f>IF(E128=0,0,VLOOKUP(E128,'Prix Matiere'!A6:J62,10))</f>
        <v>0</v>
      </c>
      <c r="M128" s="71">
        <f t="shared" si="35"/>
        <v>0</v>
      </c>
      <c r="N128" s="3">
        <f t="shared" si="36"/>
        <v>0</v>
      </c>
      <c r="O128" s="71">
        <f>N128*MinuteMO</f>
        <v>0</v>
      </c>
      <c r="P128" s="2"/>
      <c r="Q128" s="254">
        <f>IF(J128=0,0,J128*VLOOKUP(E128,'Prix Matiere'!$A$4:$L$60,12))</f>
        <v>0</v>
      </c>
      <c r="R128" s="254">
        <f>IF(J128=0,0,Q128*VLOOKUP(E128,'Prix Matiere'!$A$4:$L$60,11))</f>
        <v>0</v>
      </c>
      <c r="S128" s="2"/>
      <c r="T128" s="2"/>
      <c r="U128" s="2"/>
      <c r="V128" s="2"/>
      <c r="W128" s="2"/>
      <c r="X128" s="2"/>
      <c r="Y128" s="2"/>
      <c r="Z128" s="2"/>
    </row>
    <row r="129" spans="1:26" ht="18" hidden="1" customHeight="1" x14ac:dyDescent="0.3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71"/>
      <c r="M129" s="71"/>
      <c r="N129" s="3"/>
      <c r="O129" s="71"/>
      <c r="P129" s="2"/>
      <c r="Q129" s="254"/>
      <c r="R129" s="254"/>
      <c r="S129" s="2"/>
      <c r="T129" s="2"/>
      <c r="U129" s="2"/>
      <c r="V129" s="2"/>
      <c r="W129" s="2"/>
      <c r="X129" s="2"/>
      <c r="Y129" s="2"/>
      <c r="Z129" s="2"/>
    </row>
    <row r="130" spans="1:26" ht="18" hidden="1" customHeight="1" x14ac:dyDescent="0.35">
      <c r="A130" s="1105" t="s">
        <v>66</v>
      </c>
      <c r="B130" s="1101"/>
      <c r="C130" s="2">
        <f>C124-VLOOKUP($C$17,A266:P272,14)</f>
        <v>0</v>
      </c>
      <c r="D130" s="2">
        <f>D124-VLOOKUP($C$17,A266:P272,14)</f>
        <v>0</v>
      </c>
      <c r="E130" s="2">
        <f>E124-VLOOKUP($C$17,A266:P272,14)</f>
        <v>0</v>
      </c>
      <c r="F130" s="2"/>
      <c r="G130" s="2"/>
      <c r="H130" s="2"/>
      <c r="I130" s="2"/>
      <c r="J130" s="2"/>
      <c r="K130" s="2"/>
      <c r="L130" s="71"/>
      <c r="M130" s="71"/>
      <c r="N130" s="3"/>
      <c r="O130" s="71"/>
      <c r="P130" s="2"/>
      <c r="Q130" s="254"/>
      <c r="R130" s="254"/>
      <c r="S130" s="2"/>
      <c r="T130" s="2"/>
      <c r="U130" s="2"/>
      <c r="V130" s="2"/>
      <c r="W130" s="2"/>
      <c r="X130" s="2"/>
      <c r="Y130" s="2"/>
      <c r="Z130" s="2"/>
    </row>
    <row r="131" spans="1:26" ht="18" hidden="1" customHeight="1" x14ac:dyDescent="0.3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71"/>
      <c r="M131" s="71"/>
      <c r="N131" s="3"/>
      <c r="O131" s="71"/>
      <c r="P131" s="2"/>
      <c r="Q131" s="254"/>
      <c r="R131" s="254"/>
      <c r="S131" s="2"/>
      <c r="T131" s="2"/>
      <c r="U131" s="2"/>
      <c r="V131" s="2"/>
      <c r="W131" s="2"/>
      <c r="X131" s="2"/>
      <c r="Y131" s="2"/>
      <c r="Z131" s="2"/>
    </row>
    <row r="132" spans="1:26" ht="18" hidden="1" customHeight="1" x14ac:dyDescent="0.35">
      <c r="A132" s="257" t="s">
        <v>181</v>
      </c>
      <c r="B132" s="258">
        <f>IF(B40=0,0,"Dessus/Dessous")</f>
        <v>0</v>
      </c>
      <c r="C132" s="259">
        <f>IF(B40=0,0,H40)</f>
        <v>0</v>
      </c>
      <c r="D132" s="259">
        <f>IF(B40=0,0,I39)</f>
        <v>0</v>
      </c>
      <c r="E132" s="259">
        <f>IF(B40=0,0,"Peuplier 15 mm")</f>
        <v>0</v>
      </c>
      <c r="F132" s="260">
        <f>IF(B40=0,0,2)</f>
        <v>0</v>
      </c>
      <c r="G132" s="2"/>
      <c r="H132" s="2"/>
      <c r="I132" s="2"/>
      <c r="J132" s="89">
        <f t="shared" ref="J132:J134" si="37">IF(C132=0,0,(C132/100)*(D132/100)*F132)</f>
        <v>0</v>
      </c>
      <c r="K132" s="89">
        <f t="shared" ref="K132:K134" si="38">J132/0.8</f>
        <v>0</v>
      </c>
      <c r="L132" s="71">
        <f>IF(E132=0,0,VLOOKUP(E132,'Prix Matiere'!$A$4:$J$65,10))</f>
        <v>0</v>
      </c>
      <c r="M132" s="71">
        <f t="shared" ref="M132:M134" si="39">L132*K132</f>
        <v>0</v>
      </c>
      <c r="N132" s="3">
        <f t="shared" ref="N132:N134" si="40">IF(J132=0,0,5+(6*J132))</f>
        <v>0</v>
      </c>
      <c r="O132" s="71">
        <f>N132*MinuteMO</f>
        <v>0</v>
      </c>
      <c r="P132" s="2"/>
      <c r="Q132" s="254">
        <f>IF(J132=0,0,J132*VLOOKUP(E132,'Prix Matiere'!$A$4:$L$60,12))</f>
        <v>0</v>
      </c>
      <c r="R132" s="254">
        <f>IF(J132=0,0,Q132*VLOOKUP(E132,'Prix Matiere'!$A$4:$L$60,11))</f>
        <v>0</v>
      </c>
      <c r="S132" s="2"/>
      <c r="T132" s="2"/>
      <c r="U132" s="2"/>
      <c r="V132" s="2"/>
      <c r="W132" s="2"/>
      <c r="X132" s="2"/>
      <c r="Y132" s="2"/>
      <c r="Z132" s="2"/>
    </row>
    <row r="133" spans="1:26" ht="18" hidden="1" customHeight="1" x14ac:dyDescent="0.35">
      <c r="A133" s="178"/>
      <c r="B133" s="45">
        <f>IF(B40=0,0,"Bouts")</f>
        <v>0</v>
      </c>
      <c r="C133" s="85">
        <f>IF(B40=0,0,J39)</f>
        <v>0</v>
      </c>
      <c r="D133" s="85">
        <f>D132</f>
        <v>0</v>
      </c>
      <c r="E133" s="85">
        <f>IF(B40=0,0,"Peuplier 15 mm")</f>
        <v>0</v>
      </c>
      <c r="F133" s="175">
        <f>IF(B40=0,0,2)</f>
        <v>0</v>
      </c>
      <c r="G133" s="2"/>
      <c r="H133" s="2"/>
      <c r="I133" s="2"/>
      <c r="J133" s="89">
        <f t="shared" si="37"/>
        <v>0</v>
      </c>
      <c r="K133" s="89">
        <f t="shared" si="38"/>
        <v>0</v>
      </c>
      <c r="L133" s="71">
        <f>IF(E133=0,0,VLOOKUP(E133,'Prix Matiere'!$A$4:$J$65,10))</f>
        <v>0</v>
      </c>
      <c r="M133" s="71">
        <f t="shared" si="39"/>
        <v>0</v>
      </c>
      <c r="N133" s="3">
        <f t="shared" si="40"/>
        <v>0</v>
      </c>
      <c r="O133" s="71">
        <f>N133*MinuteMO</f>
        <v>0</v>
      </c>
      <c r="P133" s="2"/>
      <c r="Q133" s="254">
        <f>IF(J133=0,0,J133*VLOOKUP(E133,'Prix Matiere'!$A$4:$L$60,12))</f>
        <v>0</v>
      </c>
      <c r="R133" s="254">
        <f>IF(J133=0,0,Q133*VLOOKUP(E133,'Prix Matiere'!$A$4:$L$60,11))</f>
        <v>0</v>
      </c>
      <c r="S133" s="2"/>
      <c r="T133" s="2"/>
      <c r="U133" s="2"/>
      <c r="V133" s="2"/>
      <c r="W133" s="2"/>
      <c r="X133" s="2"/>
      <c r="Y133" s="2"/>
      <c r="Z133" s="2"/>
    </row>
    <row r="134" spans="1:26" ht="18" hidden="1" customHeight="1" x14ac:dyDescent="0.35">
      <c r="A134" s="261"/>
      <c r="B134" s="262">
        <f>IF(B40=0,0,"GC")</f>
        <v>0</v>
      </c>
      <c r="C134" s="263">
        <f>IF(B40=0,0,C132)</f>
        <v>0</v>
      </c>
      <c r="D134" s="263">
        <f>IF(B40=0,0,C133+3)</f>
        <v>0</v>
      </c>
      <c r="E134" s="263">
        <f>IF(B40=0,0,"Peuplier 15 mm")</f>
        <v>0</v>
      </c>
      <c r="F134" s="184">
        <f>IF(B40=0,0,2)</f>
        <v>0</v>
      </c>
      <c r="G134" s="2"/>
      <c r="H134" s="2"/>
      <c r="I134" s="2"/>
      <c r="J134" s="89">
        <f t="shared" si="37"/>
        <v>0</v>
      </c>
      <c r="K134" s="89">
        <f t="shared" si="38"/>
        <v>0</v>
      </c>
      <c r="L134" s="71">
        <f>IF(E134=0,0,VLOOKUP(E134,'Prix Matiere'!$A$4:$J$65,10))</f>
        <v>0</v>
      </c>
      <c r="M134" s="71">
        <f t="shared" si="39"/>
        <v>0</v>
      </c>
      <c r="N134" s="3">
        <f t="shared" si="40"/>
        <v>0</v>
      </c>
      <c r="O134" s="71">
        <f>N134*MinuteMO</f>
        <v>0</v>
      </c>
      <c r="P134" s="2"/>
      <c r="Q134" s="254">
        <f>IF(J134=0,0,J134*VLOOKUP(E134,'Prix Matiere'!$A$4:$L$60,12))</f>
        <v>0</v>
      </c>
      <c r="R134" s="254">
        <f>IF(J134=0,0,Q134*VLOOKUP(E134,'Prix Matiere'!$A$4:$L$60,11))</f>
        <v>0</v>
      </c>
      <c r="S134" s="2"/>
      <c r="T134" s="2"/>
      <c r="U134" s="2"/>
      <c r="V134" s="2"/>
      <c r="W134" s="2"/>
      <c r="X134" s="2"/>
      <c r="Y134" s="2"/>
      <c r="Z134" s="2"/>
    </row>
    <row r="135" spans="1:26" ht="18" hidden="1" customHeight="1" x14ac:dyDescent="0.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71"/>
      <c r="M135" s="2"/>
      <c r="N135" s="3"/>
      <c r="O135" s="71">
        <f>N135*MinuteMO</f>
        <v>0</v>
      </c>
      <c r="P135" s="2"/>
      <c r="Q135" s="254"/>
      <c r="R135" s="254"/>
      <c r="S135" s="2"/>
      <c r="T135" s="2"/>
      <c r="U135" s="2"/>
      <c r="V135" s="2"/>
      <c r="W135" s="2"/>
      <c r="X135" s="2"/>
      <c r="Y135" s="2"/>
      <c r="Z135" s="2"/>
    </row>
    <row r="136" spans="1:26" ht="18" hidden="1" customHeight="1" x14ac:dyDescent="0.35">
      <c r="A136" s="2"/>
      <c r="B136" s="38" t="s">
        <v>158</v>
      </c>
      <c r="C136" s="2"/>
      <c r="D136" s="2"/>
      <c r="E136" s="2"/>
      <c r="F136" s="2"/>
      <c r="G136" s="2"/>
      <c r="H136" s="2"/>
      <c r="I136" s="2"/>
      <c r="J136" s="2"/>
      <c r="K136" s="2"/>
      <c r="L136" s="71"/>
      <c r="M136" s="71"/>
      <c r="N136" s="3"/>
      <c r="O136" s="71"/>
      <c r="P136" s="2"/>
      <c r="Q136" s="254"/>
      <c r="R136" s="254"/>
      <c r="S136" s="2"/>
      <c r="T136" s="2"/>
      <c r="U136" s="2"/>
      <c r="V136" s="2"/>
      <c r="W136" s="2"/>
      <c r="X136" s="2"/>
      <c r="Y136" s="2"/>
      <c r="Z136" s="2"/>
    </row>
    <row r="137" spans="1:26" ht="18" hidden="1" customHeight="1" x14ac:dyDescent="0.35">
      <c r="A137" s="2"/>
      <c r="B137" s="41">
        <f>IF(B29="Aucun",0,"Dessus")</f>
        <v>0</v>
      </c>
      <c r="C137" s="85">
        <f>IF(B29="Aucun",0,VLOOKUP(B29,$A$292:$L$297,2)+B28)</f>
        <v>0</v>
      </c>
      <c r="D137" s="85">
        <f>IF(B29="Aucun",0,C28+VLOOKUP(B29,$A$292:$L$297,5))</f>
        <v>0</v>
      </c>
      <c r="E137" s="85">
        <f>VLOOKUP(B29,$A$292:$L$297,9)</f>
        <v>0</v>
      </c>
      <c r="F137" s="45">
        <f>IF(B29="Aucun",0,1)</f>
        <v>0</v>
      </c>
      <c r="G137" s="2"/>
      <c r="H137" s="2"/>
      <c r="I137" s="2"/>
      <c r="J137" s="2">
        <f t="shared" ref="J137:J150" si="41">IF(C137=0,0,(C137/100)*(D137/100)*F137)</f>
        <v>0</v>
      </c>
      <c r="K137" s="2">
        <f t="shared" ref="K137:K150" si="42">J137/0.8</f>
        <v>0</v>
      </c>
      <c r="L137" s="71">
        <f>IF(E137=0,0,VLOOKUP(E137,'Prix Matiere'!$A$4:$J$65,10))</f>
        <v>0</v>
      </c>
      <c r="M137" s="71">
        <f t="shared" ref="M137:M150" si="43">L137*K137</f>
        <v>0</v>
      </c>
      <c r="N137" s="3">
        <f t="shared" ref="N137:N147" si="44">IF(J137=0,0,1+(6*J137))</f>
        <v>0</v>
      </c>
      <c r="O137" s="71">
        <f t="shared" ref="O137:O150" si="45">N137*MinuteMO</f>
        <v>0</v>
      </c>
      <c r="P137" s="2"/>
      <c r="Q137" s="254">
        <f>IF(J137=0,0,J137*VLOOKUP(E137,'Prix Matiere'!$A$4:$L$60,12))</f>
        <v>0</v>
      </c>
      <c r="R137" s="254">
        <f>IF(J137=0,0,Q137*VLOOKUP(E137,'Prix Matiere'!$A$4:$L$60,11))</f>
        <v>0</v>
      </c>
      <c r="S137" s="2"/>
      <c r="T137" s="2"/>
      <c r="U137" s="2"/>
      <c r="V137" s="2"/>
      <c r="W137" s="2"/>
      <c r="X137" s="2"/>
      <c r="Y137" s="2"/>
      <c r="Z137" s="2"/>
    </row>
    <row r="138" spans="1:26" ht="18" hidden="1" customHeight="1" x14ac:dyDescent="0.35">
      <c r="A138" s="2"/>
      <c r="B138" s="45">
        <f>IF(B29="Aucun",0,"Extrémité")</f>
        <v>0</v>
      </c>
      <c r="C138" s="85">
        <f>IF(B29="Aucun",0,IF(B28&lt;60,10,IF(B28&lt;80,15,20)))</f>
        <v>0</v>
      </c>
      <c r="D138" s="85">
        <f t="shared" ref="D138:D141" si="46">D137</f>
        <v>0</v>
      </c>
      <c r="E138" s="85">
        <f>VLOOKUP(B29,$A$292:$L$297,9)</f>
        <v>0</v>
      </c>
      <c r="F138" s="45">
        <f>IF(B29="Aucun",0,2)</f>
        <v>0</v>
      </c>
      <c r="G138" s="2"/>
      <c r="H138" s="2"/>
      <c r="I138" s="2"/>
      <c r="J138" s="2">
        <f t="shared" si="41"/>
        <v>0</v>
      </c>
      <c r="K138" s="2">
        <f t="shared" si="42"/>
        <v>0</v>
      </c>
      <c r="L138" s="71">
        <f>IF(E138=0,0,VLOOKUP(E138,'Prix Matiere'!$A$4:$J$65,10))</f>
        <v>0</v>
      </c>
      <c r="M138" s="71">
        <f t="shared" si="43"/>
        <v>0</v>
      </c>
      <c r="N138" s="3">
        <f t="shared" si="44"/>
        <v>0</v>
      </c>
      <c r="O138" s="71">
        <f t="shared" si="45"/>
        <v>0</v>
      </c>
      <c r="P138" s="2"/>
      <c r="Q138" s="254">
        <f>IF(J138=0,0,J138*VLOOKUP(E138,'Prix Matiere'!$A$4:$L$60,12))</f>
        <v>0</v>
      </c>
      <c r="R138" s="254">
        <f>IF(J138=0,0,Q138*VLOOKUP(E138,'Prix Matiere'!$A$4:$L$60,11))</f>
        <v>0</v>
      </c>
      <c r="S138" s="2"/>
      <c r="T138" s="2"/>
      <c r="U138" s="2"/>
      <c r="V138" s="2"/>
      <c r="W138" s="2"/>
      <c r="X138" s="2"/>
      <c r="Y138" s="2"/>
      <c r="Z138" s="2"/>
    </row>
    <row r="139" spans="1:26" ht="18" hidden="1" customHeight="1" x14ac:dyDescent="0.35">
      <c r="A139" s="2"/>
      <c r="B139" s="45">
        <f>IF(B29="Aucun",0,A33)</f>
        <v>0</v>
      </c>
      <c r="C139" s="85">
        <f>B33</f>
        <v>0</v>
      </c>
      <c r="D139" s="85">
        <f t="shared" si="46"/>
        <v>0</v>
      </c>
      <c r="E139" s="85">
        <f>IF(B29="Aucun",0,IF(B139="Ethafoam 50 mm","Ethafoam 50 mm","Agglocelle 50 mm"))</f>
        <v>0</v>
      </c>
      <c r="F139" s="45">
        <f>E33</f>
        <v>2</v>
      </c>
      <c r="G139" s="2"/>
      <c r="H139" s="2"/>
      <c r="I139" s="2"/>
      <c r="J139" s="2">
        <f t="shared" si="41"/>
        <v>0</v>
      </c>
      <c r="K139" s="2">
        <f t="shared" si="42"/>
        <v>0</v>
      </c>
      <c r="L139" s="71">
        <f>IF(E139=0,0,VLOOKUP(E139,'Prix Matiere'!$A$4:$J$65,10))</f>
        <v>0</v>
      </c>
      <c r="M139" s="71">
        <f t="shared" si="43"/>
        <v>0</v>
      </c>
      <c r="N139" s="3">
        <f t="shared" si="44"/>
        <v>0</v>
      </c>
      <c r="O139" s="71">
        <f t="shared" si="45"/>
        <v>0</v>
      </c>
      <c r="P139" s="2"/>
      <c r="Q139" s="254">
        <f>IF(J139=0,0,J139*VLOOKUP(E139,'Prix Matiere'!$A$4:$L$60,12))</f>
        <v>0</v>
      </c>
      <c r="R139" s="254">
        <f>IF(J139=0,0,Q139*VLOOKUP(E139,'Prix Matiere'!$A$4:$L$60,11))</f>
        <v>0</v>
      </c>
      <c r="S139" s="2"/>
      <c r="T139" s="2"/>
      <c r="U139" s="2"/>
      <c r="V139" s="2"/>
      <c r="W139" s="2"/>
      <c r="X139" s="2"/>
      <c r="Y139" s="2"/>
      <c r="Z139" s="2"/>
    </row>
    <row r="140" spans="1:26" ht="18" hidden="1" customHeight="1" x14ac:dyDescent="0.35">
      <c r="A140" s="2"/>
      <c r="B140" s="45">
        <f>IF(B29="Aucun",0,"Milieu")</f>
        <v>0</v>
      </c>
      <c r="C140" s="85">
        <f>(C137-((C138*F138)+(C139*F139)))/(F139-1)</f>
        <v>0</v>
      </c>
      <c r="D140" s="85">
        <f t="shared" si="46"/>
        <v>0</v>
      </c>
      <c r="E140" s="85">
        <f>VLOOKUP(B29,$A$292:$L$297,9)</f>
        <v>0</v>
      </c>
      <c r="F140" s="45">
        <f>IF(B29="Aucun",0,F139-1)</f>
        <v>0</v>
      </c>
      <c r="G140" s="2"/>
      <c r="H140" s="2"/>
      <c r="I140" s="2"/>
      <c r="J140" s="2">
        <f t="shared" si="41"/>
        <v>0</v>
      </c>
      <c r="K140" s="2">
        <f t="shared" si="42"/>
        <v>0</v>
      </c>
      <c r="L140" s="71">
        <f>IF(E140=0,0,VLOOKUP(E140,'Prix Matiere'!$A$4:$J$65,10))</f>
        <v>0</v>
      </c>
      <c r="M140" s="71">
        <f t="shared" si="43"/>
        <v>0</v>
      </c>
      <c r="N140" s="3">
        <f t="shared" si="44"/>
        <v>0</v>
      </c>
      <c r="O140" s="71">
        <f t="shared" si="45"/>
        <v>0</v>
      </c>
      <c r="P140" s="2"/>
      <c r="Q140" s="254">
        <f>IF(J140=0,0,J140*VLOOKUP(E140,'Prix Matiere'!$A$4:$L$60,12))</f>
        <v>0</v>
      </c>
      <c r="R140" s="254">
        <f>IF(J140=0,0,Q140*VLOOKUP(E140,'Prix Matiere'!$A$4:$L$60,11))</f>
        <v>0</v>
      </c>
      <c r="S140" s="2"/>
      <c r="T140" s="2"/>
      <c r="U140" s="2"/>
      <c r="V140" s="2"/>
      <c r="W140" s="2"/>
      <c r="X140" s="2"/>
      <c r="Y140" s="2"/>
      <c r="Z140" s="2"/>
    </row>
    <row r="141" spans="1:26" ht="18" hidden="1" customHeight="1" x14ac:dyDescent="0.35">
      <c r="A141" s="2"/>
      <c r="B141" s="45">
        <f>IF(B29="Aucun",0,"Bouts avec passage de main")</f>
        <v>0</v>
      </c>
      <c r="C141" s="85">
        <f>IF(B29="Aucun",0,(D28-IF(D28&gt;120,30,15))/(F141/2))</f>
        <v>0</v>
      </c>
      <c r="D141" s="85">
        <f t="shared" si="46"/>
        <v>0</v>
      </c>
      <c r="E141" s="85">
        <f>VLOOKUP(B29,$A$292:$L$297,9)</f>
        <v>0</v>
      </c>
      <c r="F141" s="45">
        <f>IF(B29="Aucun",0,IF(D28&gt;120,6,4))</f>
        <v>0</v>
      </c>
      <c r="G141" s="2"/>
      <c r="H141" s="2"/>
      <c r="I141" s="2"/>
      <c r="J141" s="2">
        <f t="shared" si="41"/>
        <v>0</v>
      </c>
      <c r="K141" s="2">
        <f t="shared" si="42"/>
        <v>0</v>
      </c>
      <c r="L141" s="71">
        <f>IF(E141=0,0,VLOOKUP(E141,'Prix Matiere'!$A$4:$J$65,10))</f>
        <v>0</v>
      </c>
      <c r="M141" s="71">
        <f t="shared" si="43"/>
        <v>0</v>
      </c>
      <c r="N141" s="3">
        <f t="shared" si="44"/>
        <v>0</v>
      </c>
      <c r="O141" s="71">
        <f t="shared" si="45"/>
        <v>0</v>
      </c>
      <c r="P141" s="2"/>
      <c r="Q141" s="254">
        <f>IF(J141=0,0,J141*VLOOKUP(E141,'Prix Matiere'!$A$4:$L$60,12))</f>
        <v>0</v>
      </c>
      <c r="R141" s="254">
        <f>IF(J141=0,0,Q141*VLOOKUP(E141,'Prix Matiere'!$A$4:$L$60,11))</f>
        <v>0</v>
      </c>
      <c r="S141" s="2"/>
      <c r="T141" s="2"/>
      <c r="U141" s="2"/>
      <c r="V141" s="2"/>
      <c r="W141" s="2"/>
      <c r="X141" s="2"/>
      <c r="Y141" s="2"/>
      <c r="Z141" s="2"/>
    </row>
    <row r="142" spans="1:26" ht="18" hidden="1" customHeight="1" x14ac:dyDescent="0.35">
      <c r="A142" s="2"/>
      <c r="B142" s="45">
        <f>IF(B29="Aucun",0,"Fond")</f>
        <v>0</v>
      </c>
      <c r="C142" s="85">
        <f>IF(B29="Aucun",0,B28+VLOOKUP(B29,$A$292:$L$297,6))</f>
        <v>0</v>
      </c>
      <c r="D142" s="85">
        <f>IF(B29="Sous verre 2 faces",D28+VLOOKUP(B29,$A$292:$L$297,6),B32)</f>
        <v>0</v>
      </c>
      <c r="E142" s="85">
        <f>VLOOKUP(B29,$A$292:$L$297,8)</f>
        <v>0</v>
      </c>
      <c r="F142" s="45">
        <f>VLOOKUP(B29,A292:L297,7)</f>
        <v>0</v>
      </c>
      <c r="G142" s="2"/>
      <c r="H142" s="2"/>
      <c r="I142" s="2"/>
      <c r="J142" s="2">
        <f t="shared" si="41"/>
        <v>0</v>
      </c>
      <c r="K142" s="2">
        <f t="shared" si="42"/>
        <v>0</v>
      </c>
      <c r="L142" s="71">
        <f>IF(E142=0,0,VLOOKUP(E142,'Prix Matiere'!$A$4:$J$65,10))</f>
        <v>0</v>
      </c>
      <c r="M142" s="71">
        <f t="shared" si="43"/>
        <v>0</v>
      </c>
      <c r="N142" s="3">
        <f t="shared" si="44"/>
        <v>0</v>
      </c>
      <c r="O142" s="71">
        <f t="shared" si="45"/>
        <v>0</v>
      </c>
      <c r="P142" s="2"/>
      <c r="Q142" s="254">
        <f>IF(J142=0,0,J142*VLOOKUP(E142,'Prix Matiere'!$A$4:$L$60,12))</f>
        <v>0</v>
      </c>
      <c r="R142" s="254">
        <f>IF(J142=0,0,Q142*VLOOKUP(E142,'Prix Matiere'!$A$4:$L$60,11))</f>
        <v>0</v>
      </c>
      <c r="S142" s="2"/>
      <c r="T142" s="2"/>
      <c r="U142" s="2"/>
      <c r="V142" s="2"/>
      <c r="W142" s="2"/>
      <c r="X142" s="2"/>
      <c r="Y142" s="2"/>
      <c r="Z142" s="2"/>
    </row>
    <row r="143" spans="1:26" ht="18" hidden="1" customHeight="1" x14ac:dyDescent="0.35">
      <c r="A143" s="2"/>
      <c r="B143" s="45">
        <f>IF(B29="Aucun",0,"Remplis de fond")</f>
        <v>0</v>
      </c>
      <c r="C143" s="85">
        <f>IF(B29="Aucun",0,IF(B29="Sous verre 2 faces",0,D28-D142*2+VLOOKUP(B29,$A$292:$L$297,6)))</f>
        <v>0</v>
      </c>
      <c r="D143" s="85">
        <f>IF(B29="Sous verre 2 faces",0,B32)</f>
        <v>0</v>
      </c>
      <c r="E143" s="85">
        <f>IF(C143=0,0,VLOOKUP(B29,$A$292:$L$297,8))</f>
        <v>0</v>
      </c>
      <c r="F143" s="45">
        <f>IF(B29="Aucun",0,IF(B29="Sous verre 2 faces",0,2))</f>
        <v>0</v>
      </c>
      <c r="G143" s="2"/>
      <c r="H143" s="2"/>
      <c r="I143" s="2"/>
      <c r="J143" s="2">
        <f t="shared" si="41"/>
        <v>0</v>
      </c>
      <c r="K143" s="2">
        <f t="shared" si="42"/>
        <v>0</v>
      </c>
      <c r="L143" s="71">
        <f>IF(E143=0,0,VLOOKUP(E143,'Prix Matiere'!$A$4:$J$65,10))</f>
        <v>0</v>
      </c>
      <c r="M143" s="71">
        <f t="shared" si="43"/>
        <v>0</v>
      </c>
      <c r="N143" s="3">
        <f t="shared" si="44"/>
        <v>0</v>
      </c>
      <c r="O143" s="71">
        <f t="shared" si="45"/>
        <v>0</v>
      </c>
      <c r="P143" s="2"/>
      <c r="Q143" s="254">
        <f>IF(J143=0,0,J143*VLOOKUP(E143,'Prix Matiere'!$A$4:$L$60,12))</f>
        <v>0</v>
      </c>
      <c r="R143" s="254">
        <f>IF(J143=0,0,Q143*VLOOKUP(E143,'Prix Matiere'!$A$4:$L$60,11))</f>
        <v>0</v>
      </c>
      <c r="S143" s="2"/>
      <c r="T143" s="2"/>
      <c r="U143" s="2"/>
      <c r="V143" s="2"/>
      <c r="W143" s="2"/>
      <c r="X143" s="2"/>
      <c r="Y143" s="2"/>
      <c r="Z143" s="2"/>
    </row>
    <row r="144" spans="1:26" ht="18" hidden="1" customHeight="1" x14ac:dyDescent="0.35">
      <c r="A144" s="2"/>
      <c r="B144" s="45">
        <f>IF(B29="Aucun",0,"Dessus")</f>
        <v>0</v>
      </c>
      <c r="C144" s="85">
        <f>IF(B29="Aucun",0,B28+VLOOKUP(B29,$A$292:$L$297,10))</f>
        <v>0</v>
      </c>
      <c r="D144" s="85">
        <f>IF(B29="Sous verre 2 faces",D28+VLOOKUP(B29,$A$292:$L$297,10),IF(B29="Sous verre / bandes de mousse",D28+VLOOKUP(B29,$A$292:$L$297,10),B31))</f>
        <v>0</v>
      </c>
      <c r="E144" s="85">
        <f>VLOOKUP(B29,$A$292:$L$297,9)</f>
        <v>0</v>
      </c>
      <c r="F144" s="45">
        <f>VLOOKUP(B29,A292:L297,11)</f>
        <v>0</v>
      </c>
      <c r="G144" s="2"/>
      <c r="H144" s="2"/>
      <c r="I144" s="2"/>
      <c r="J144" s="2">
        <f t="shared" si="41"/>
        <v>0</v>
      </c>
      <c r="K144" s="2">
        <f t="shared" si="42"/>
        <v>0</v>
      </c>
      <c r="L144" s="71">
        <f>IF(E144=0,0,VLOOKUP(E144,'Prix Matiere'!$A$4:$J$65,10))</f>
        <v>0</v>
      </c>
      <c r="M144" s="71">
        <f t="shared" si="43"/>
        <v>0</v>
      </c>
      <c r="N144" s="3">
        <f t="shared" si="44"/>
        <v>0</v>
      </c>
      <c r="O144" s="71">
        <f t="shared" si="45"/>
        <v>0</v>
      </c>
      <c r="P144" s="2"/>
      <c r="Q144" s="254">
        <f>IF(J144=0,0,J144*VLOOKUP(E144,'Prix Matiere'!$A$4:$L$60,12))</f>
        <v>0</v>
      </c>
      <c r="R144" s="254">
        <f>IF(J144=0,0,Q144*VLOOKUP(E144,'Prix Matiere'!$A$4:$L$60,11))</f>
        <v>0</v>
      </c>
      <c r="S144" s="2"/>
      <c r="T144" s="2"/>
      <c r="U144" s="2"/>
      <c r="V144" s="2"/>
      <c r="W144" s="2"/>
      <c r="X144" s="2"/>
      <c r="Y144" s="2"/>
      <c r="Z144" s="2"/>
    </row>
    <row r="145" spans="1:26" ht="18" hidden="1" customHeight="1" x14ac:dyDescent="0.35">
      <c r="A145" s="2"/>
      <c r="B145" s="45">
        <f>IF(B29="Aucun",0,"Remplis de dessus")</f>
        <v>0</v>
      </c>
      <c r="C145" s="85">
        <f>IF(B29="Aucun",0,IF(B29="Sous verre 2 faces",0,IF(B29="Sous verre / bandes de mousse",0,D28-2*D144+VLOOKUP(B29,$A$292:$L$297,10))))</f>
        <v>0</v>
      </c>
      <c r="D145" s="85">
        <f>IF(B29="Sous verre / bandes de mousse",0,IF(B29="Sous verre 2 faces",0,B31))</f>
        <v>0</v>
      </c>
      <c r="E145" s="85">
        <f>IF(C145=0,0,VLOOKUP(B29,$A$292:$L$297,9))</f>
        <v>0</v>
      </c>
      <c r="F145" s="45">
        <f>IF(B29="Aucun",0,IF(B29="Sous verre 2 faces",0,IF(B29="Sous verre / bandes de mousse",0,2)))</f>
        <v>0</v>
      </c>
      <c r="G145" s="2"/>
      <c r="H145" s="2"/>
      <c r="I145" s="2"/>
      <c r="J145" s="2">
        <f t="shared" si="41"/>
        <v>0</v>
      </c>
      <c r="K145" s="2">
        <f t="shared" si="42"/>
        <v>0</v>
      </c>
      <c r="L145" s="71">
        <f>IF(E145=0,0,VLOOKUP(E145,'Prix Matiere'!$A$4:$J$65,10))</f>
        <v>0</v>
      </c>
      <c r="M145" s="71">
        <f t="shared" si="43"/>
        <v>0</v>
      </c>
      <c r="N145" s="3">
        <f t="shared" si="44"/>
        <v>0</v>
      </c>
      <c r="O145" s="71">
        <f t="shared" si="45"/>
        <v>0</v>
      </c>
      <c r="P145" s="2"/>
      <c r="Q145" s="254">
        <f>IF(J145=0,0,J145*VLOOKUP(E145,'Prix Matiere'!$A$4:$L$60,12))</f>
        <v>0</v>
      </c>
      <c r="R145" s="254">
        <f>IF(J145=0,0,Q145*VLOOKUP(E145,'Prix Matiere'!$A$4:$L$60,11))</f>
        <v>0</v>
      </c>
      <c r="S145" s="2"/>
      <c r="T145" s="2"/>
      <c r="U145" s="2"/>
      <c r="V145" s="2"/>
      <c r="W145" s="2"/>
      <c r="X145" s="2"/>
      <c r="Y145" s="2"/>
      <c r="Z145" s="2"/>
    </row>
    <row r="146" spans="1:26" ht="18" hidden="1" customHeight="1" x14ac:dyDescent="0.35">
      <c r="A146" s="2"/>
      <c r="B146" s="45">
        <f>IF(B29="Aucun",0,"Rattrapage 1")</f>
        <v>0</v>
      </c>
      <c r="C146" s="85">
        <f>IF(B34=0,0,B28+0.2)</f>
        <v>0</v>
      </c>
      <c r="D146" s="85">
        <f>IF(B34=0,0,B34)</f>
        <v>0</v>
      </c>
      <c r="E146" s="85">
        <f t="shared" ref="E146:E147" si="47">IF(C146=0,0,CONCATENATE("PU ",$D$34*10," mm"))</f>
        <v>0</v>
      </c>
      <c r="F146" s="45">
        <f>IF(B34=0,0,2)</f>
        <v>0</v>
      </c>
      <c r="G146" s="2"/>
      <c r="H146" s="2"/>
      <c r="I146" s="2"/>
      <c r="J146" s="2">
        <f t="shared" si="41"/>
        <v>0</v>
      </c>
      <c r="K146" s="2">
        <f t="shared" si="42"/>
        <v>0</v>
      </c>
      <c r="L146" s="71">
        <f>IF(E146=0,0,VLOOKUP(E146,'Prix Matiere'!$A$4:$J$65,10))</f>
        <v>0</v>
      </c>
      <c r="M146" s="71">
        <f t="shared" si="43"/>
        <v>0</v>
      </c>
      <c r="N146" s="3">
        <f t="shared" si="44"/>
        <v>0</v>
      </c>
      <c r="O146" s="71">
        <f t="shared" si="45"/>
        <v>0</v>
      </c>
      <c r="P146" s="2"/>
      <c r="Q146" s="254">
        <f>IF(J146=0,0,J146*VLOOKUP(E146,'Prix Matiere'!$A$4:$L$60,12))</f>
        <v>0</v>
      </c>
      <c r="R146" s="254">
        <f>IF(J146=0,0,Q146*VLOOKUP(E146,'Prix Matiere'!$A$4:$L$60,11))</f>
        <v>0</v>
      </c>
      <c r="S146" s="2"/>
      <c r="T146" s="2"/>
      <c r="U146" s="2"/>
      <c r="V146" s="2"/>
      <c r="W146" s="2"/>
      <c r="X146" s="2"/>
      <c r="Y146" s="2"/>
      <c r="Z146" s="2"/>
    </row>
    <row r="147" spans="1:26" ht="18" hidden="1" customHeight="1" x14ac:dyDescent="0.35">
      <c r="A147" s="2"/>
      <c r="B147" s="45">
        <f>IF(B29="Aucun",0,"Rattrapage 2")</f>
        <v>0</v>
      </c>
      <c r="C147" s="85">
        <f>IF(B34=0,0,D28+0.2-2*D146)</f>
        <v>0</v>
      </c>
      <c r="D147" s="85">
        <f>IF(B34=0,0,D146)</f>
        <v>0</v>
      </c>
      <c r="E147" s="85">
        <f t="shared" si="47"/>
        <v>0</v>
      </c>
      <c r="F147" s="45">
        <f>IF(B34=0,0,2)</f>
        <v>0</v>
      </c>
      <c r="G147" s="2"/>
      <c r="H147" s="2"/>
      <c r="I147" s="2"/>
      <c r="J147" s="2">
        <f t="shared" si="41"/>
        <v>0</v>
      </c>
      <c r="K147" s="2">
        <f t="shared" si="42"/>
        <v>0</v>
      </c>
      <c r="L147" s="71">
        <f>IF(E147=0,0,VLOOKUP(E147,'Prix Matiere'!$A$4:$J$65,10))</f>
        <v>0</v>
      </c>
      <c r="M147" s="71">
        <f t="shared" si="43"/>
        <v>0</v>
      </c>
      <c r="N147" s="3">
        <f t="shared" si="44"/>
        <v>0</v>
      </c>
      <c r="O147" s="71">
        <f t="shared" si="45"/>
        <v>0</v>
      </c>
      <c r="P147" s="2"/>
      <c r="Q147" s="254">
        <f>IF(J147=0,0,J147*VLOOKUP(E147,'Prix Matiere'!$A$4:$L$60,12))</f>
        <v>0</v>
      </c>
      <c r="R147" s="254">
        <f>IF(J147=0,0,Q147*VLOOKUP(E147,'Prix Matiere'!$A$4:$L$60,11))</f>
        <v>0</v>
      </c>
      <c r="S147" s="2"/>
      <c r="T147" s="2"/>
      <c r="U147" s="2"/>
      <c r="V147" s="2"/>
      <c r="W147" s="2"/>
      <c r="X147" s="2"/>
      <c r="Y147" s="2"/>
      <c r="Z147" s="2"/>
    </row>
    <row r="148" spans="1:26" ht="18" hidden="1" customHeight="1" x14ac:dyDescent="0.35">
      <c r="A148" s="2"/>
      <c r="B148" s="45">
        <f>IF(B29="Aucun",0,"Remplissage 1")</f>
        <v>0</v>
      </c>
      <c r="C148" s="85">
        <f t="shared" ref="C148:D148" si="48">IF(B35=0,0,B35)</f>
        <v>0</v>
      </c>
      <c r="D148" s="85">
        <f t="shared" si="48"/>
        <v>0</v>
      </c>
      <c r="E148" s="85">
        <f>IF(C148=0,0,CONCATENATE("PU ",$D$35*10," mm"))</f>
        <v>0</v>
      </c>
      <c r="F148" s="45">
        <f t="shared" ref="F148:F149" si="49">IF(B35=0,0,1)</f>
        <v>0</v>
      </c>
      <c r="G148" s="2"/>
      <c r="H148" s="2"/>
      <c r="I148" s="2"/>
      <c r="J148" s="2">
        <f t="shared" si="41"/>
        <v>0</v>
      </c>
      <c r="K148" s="2">
        <f t="shared" si="42"/>
        <v>0</v>
      </c>
      <c r="L148" s="71">
        <f>IF(E148=0,0,VLOOKUP(E148,'Prix Matiere'!$A$4:$J$65,10))</f>
        <v>0</v>
      </c>
      <c r="M148" s="71">
        <f t="shared" si="43"/>
        <v>0</v>
      </c>
      <c r="N148" s="3">
        <f t="shared" ref="N148:N149" si="50">IF(J148=0,0,4+(6*J148))</f>
        <v>0</v>
      </c>
      <c r="O148" s="71">
        <f t="shared" si="45"/>
        <v>0</v>
      </c>
      <c r="P148" s="2"/>
      <c r="Q148" s="254">
        <f>IF(J148=0,0,J148*VLOOKUP(E148,'Prix Matiere'!$A$4:$L$60,12))</f>
        <v>0</v>
      </c>
      <c r="R148" s="254">
        <f>IF(J148=0,0,Q148*VLOOKUP(E148,'Prix Matiere'!$A$4:$L$60,11))</f>
        <v>0</v>
      </c>
      <c r="S148" s="2"/>
      <c r="T148" s="2"/>
      <c r="U148" s="2"/>
      <c r="V148" s="2"/>
      <c r="W148" s="2"/>
      <c r="X148" s="2"/>
      <c r="Y148" s="2"/>
      <c r="Z148" s="2"/>
    </row>
    <row r="149" spans="1:26" ht="18" hidden="1" customHeight="1" x14ac:dyDescent="0.35">
      <c r="A149" s="2"/>
      <c r="B149" s="45">
        <f>IF(B29="Aucun",0,"Remplissage 2")</f>
        <v>0</v>
      </c>
      <c r="C149" s="85">
        <f t="shared" ref="C149:D149" si="51">IF(B36=0,0,B36)</f>
        <v>0</v>
      </c>
      <c r="D149" s="85">
        <f t="shared" si="51"/>
        <v>0</v>
      </c>
      <c r="E149" s="85">
        <f>IF(C149=0,0,CONCATENATE("PU ",$D$36*10," mm"))</f>
        <v>0</v>
      </c>
      <c r="F149" s="45">
        <f t="shared" si="49"/>
        <v>0</v>
      </c>
      <c r="G149" s="2"/>
      <c r="H149" s="2"/>
      <c r="I149" s="2"/>
      <c r="J149" s="2">
        <f t="shared" si="41"/>
        <v>0</v>
      </c>
      <c r="K149" s="2">
        <f t="shared" si="42"/>
        <v>0</v>
      </c>
      <c r="L149" s="71">
        <f>IF(E149=0,0,VLOOKUP(E149,'Prix Matiere'!$A$4:$J$65,10))</f>
        <v>0</v>
      </c>
      <c r="M149" s="71">
        <f t="shared" si="43"/>
        <v>0</v>
      </c>
      <c r="N149" s="3">
        <f t="shared" si="50"/>
        <v>0</v>
      </c>
      <c r="O149" s="71">
        <f t="shared" si="45"/>
        <v>0</v>
      </c>
      <c r="P149" s="2"/>
      <c r="Q149" s="254">
        <f>IF(J149=0,0,J149*VLOOKUP(E149,'Prix Matiere'!$A$4:$L$60,12))</f>
        <v>0</v>
      </c>
      <c r="R149" s="254">
        <f>IF(J149=0,0,Q149*VLOOKUP(E149,'Prix Matiere'!$A$4:$L$60,11))</f>
        <v>0</v>
      </c>
      <c r="S149" s="2"/>
      <c r="T149" s="2"/>
      <c r="U149" s="2"/>
      <c r="V149" s="2"/>
      <c r="W149" s="2"/>
      <c r="X149" s="2"/>
      <c r="Y149" s="2"/>
      <c r="Z149" s="2"/>
    </row>
    <row r="150" spans="1:26" ht="18" hidden="1" customHeight="1" x14ac:dyDescent="0.35">
      <c r="A150" s="2"/>
      <c r="B150" s="45">
        <f>IF(B29="Aucun",0,"Carton")</f>
        <v>0</v>
      </c>
      <c r="C150" s="85">
        <f>IF(F150=0,0,B28+VLOOKUP(B29,$A$292:$L$297,10))</f>
        <v>0</v>
      </c>
      <c r="D150" s="85">
        <f>IF(E150=0,0,D28+VLOOKUP(B29,$A$292:$L$297,10))</f>
        <v>0</v>
      </c>
      <c r="E150" s="85">
        <f>IF(C150=0,0,"Carton")</f>
        <v>0</v>
      </c>
      <c r="F150" s="45">
        <f>VLOOKUP(B29,A292:L297,12)</f>
        <v>0</v>
      </c>
      <c r="G150" s="2"/>
      <c r="H150" s="2"/>
      <c r="I150" s="2"/>
      <c r="J150" s="2">
        <f t="shared" si="41"/>
        <v>0</v>
      </c>
      <c r="K150" s="2">
        <f t="shared" si="42"/>
        <v>0</v>
      </c>
      <c r="L150" s="71">
        <f>IF(E150=0,0,Carton)</f>
        <v>0</v>
      </c>
      <c r="M150" s="71">
        <f t="shared" si="43"/>
        <v>0</v>
      </c>
      <c r="N150" s="3">
        <f>IF(J150=0,0,1+(3*J150))</f>
        <v>0</v>
      </c>
      <c r="O150" s="71">
        <f t="shared" si="45"/>
        <v>0</v>
      </c>
      <c r="P150" s="2"/>
      <c r="Q150" s="254">
        <f>IF(J150=0,0,J150*Poids_Carton)</f>
        <v>0</v>
      </c>
      <c r="R150" s="254">
        <f>IF(J150=0,0,Q150*VLOOKUP(E150,'Prix Matiere'!$A$4:$L$60,11))</f>
        <v>0</v>
      </c>
      <c r="S150" s="2"/>
      <c r="T150" s="2"/>
      <c r="U150" s="2"/>
      <c r="V150" s="2"/>
      <c r="W150" s="2"/>
      <c r="X150" s="2"/>
      <c r="Y150" s="2"/>
      <c r="Z150" s="2"/>
    </row>
    <row r="151" spans="1:26" ht="18" hidden="1" customHeight="1" x14ac:dyDescent="0.3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71"/>
      <c r="M151" s="71"/>
      <c r="N151" s="3"/>
      <c r="O151" s="71"/>
      <c r="P151" s="2"/>
      <c r="Q151" s="254"/>
      <c r="R151" s="254"/>
      <c r="S151" s="2"/>
      <c r="T151" s="2"/>
      <c r="U151" s="2"/>
      <c r="V151" s="2"/>
      <c r="W151" s="2"/>
      <c r="X151" s="2"/>
      <c r="Y151" s="2"/>
      <c r="Z151" s="2"/>
    </row>
    <row r="152" spans="1:26" ht="18" hidden="1" customHeight="1" x14ac:dyDescent="0.35">
      <c r="A152" s="2"/>
      <c r="B152" s="38" t="s">
        <v>159</v>
      </c>
      <c r="C152" s="2"/>
      <c r="D152" s="2"/>
      <c r="E152" s="2"/>
      <c r="F152" s="2"/>
      <c r="G152" s="2"/>
      <c r="H152" s="2"/>
      <c r="I152" s="2"/>
      <c r="J152" s="2"/>
      <c r="K152" s="2"/>
      <c r="L152" s="71"/>
      <c r="M152" s="71"/>
      <c r="N152" s="3"/>
      <c r="O152" s="71"/>
      <c r="P152" s="2"/>
      <c r="Q152" s="254"/>
      <c r="R152" s="254"/>
      <c r="S152" s="2"/>
      <c r="T152" s="2"/>
      <c r="U152" s="2"/>
      <c r="V152" s="2"/>
      <c r="W152" s="2"/>
      <c r="X152" s="2"/>
      <c r="Y152" s="2"/>
      <c r="Z152" s="2"/>
    </row>
    <row r="153" spans="1:26" ht="18" hidden="1" customHeight="1" x14ac:dyDescent="0.35">
      <c r="A153" s="2"/>
      <c r="B153" s="41">
        <f>IF(H29="Aucun",0,"Dessus")</f>
        <v>0</v>
      </c>
      <c r="C153" s="85">
        <f>IF(H29="Aucun",0,VLOOKUP(H29,$A$292:$L$297,2)+H28)</f>
        <v>0</v>
      </c>
      <c r="D153" s="85">
        <f>IF(H29="Aucun",0,I28+VLOOKUP(H29,$A$292:$L$297,5))</f>
        <v>0</v>
      </c>
      <c r="E153" s="85">
        <f>VLOOKUP(H29,$A$292:$L$297,9)</f>
        <v>0</v>
      </c>
      <c r="F153" s="45">
        <f>IF(H29="Aucun",0,1)</f>
        <v>0</v>
      </c>
      <c r="G153" s="2"/>
      <c r="H153" s="2"/>
      <c r="I153" s="2"/>
      <c r="J153" s="2">
        <f t="shared" ref="J153:J166" si="52">IF(C153=0,0,(C153/100)*(D153/100)*F153)</f>
        <v>0</v>
      </c>
      <c r="K153" s="2">
        <f t="shared" ref="K153:K166" si="53">J153/0.8</f>
        <v>0</v>
      </c>
      <c r="L153" s="71">
        <f>IF(E153=0,0,VLOOKUP(E153,'Prix Matiere'!$A$4:$J$65,10))</f>
        <v>0</v>
      </c>
      <c r="M153" s="71">
        <f t="shared" ref="M153:M166" si="54">L153*K153</f>
        <v>0</v>
      </c>
      <c r="N153" s="3">
        <f t="shared" ref="N153:N163" si="55">IF(J153=0,0,1+(6*J153))</f>
        <v>0</v>
      </c>
      <c r="O153" s="71">
        <f t="shared" ref="O153:O166" si="56">N153*MinuteMO</f>
        <v>0</v>
      </c>
      <c r="P153" s="2"/>
      <c r="Q153" s="254">
        <f>IF(J153=0,0,J153*VLOOKUP(E153,'Prix Matiere'!$A$4:$L$60,12))</f>
        <v>0</v>
      </c>
      <c r="R153" s="254">
        <f>IF(J153=0,0,Q153*VLOOKUP(E153,'Prix Matiere'!$A$4:$L$60,11))</f>
        <v>0</v>
      </c>
      <c r="S153" s="2"/>
      <c r="T153" s="2"/>
      <c r="U153" s="2"/>
      <c r="V153" s="2"/>
      <c r="W153" s="2"/>
      <c r="X153" s="2"/>
      <c r="Y153" s="2"/>
      <c r="Z153" s="2"/>
    </row>
    <row r="154" spans="1:26" ht="18" hidden="1" customHeight="1" x14ac:dyDescent="0.35">
      <c r="A154" s="2"/>
      <c r="B154" s="45">
        <f>IF(H29="Aucun",0,"Extrémité")</f>
        <v>0</v>
      </c>
      <c r="C154" s="85">
        <f>IF(H29="Aucun",0,IF(H28&lt;60,10,IF(H28&lt;80,15,20)))</f>
        <v>0</v>
      </c>
      <c r="D154" s="85">
        <f t="shared" ref="D154:D157" si="57">D153</f>
        <v>0</v>
      </c>
      <c r="E154" s="85">
        <f>VLOOKUP(H29,$A$292:$L$297,9)</f>
        <v>0</v>
      </c>
      <c r="F154" s="45">
        <f>IF(H29="Aucun",0,2)</f>
        <v>0</v>
      </c>
      <c r="G154" s="2"/>
      <c r="H154" s="2"/>
      <c r="I154" s="2"/>
      <c r="J154" s="2">
        <f t="shared" si="52"/>
        <v>0</v>
      </c>
      <c r="K154" s="2">
        <f t="shared" si="53"/>
        <v>0</v>
      </c>
      <c r="L154" s="71">
        <f>IF(E154=0,0,VLOOKUP(E154,'Prix Matiere'!$A$4:$J$65,10))</f>
        <v>0</v>
      </c>
      <c r="M154" s="71">
        <f t="shared" si="54"/>
        <v>0</v>
      </c>
      <c r="N154" s="3">
        <f t="shared" si="55"/>
        <v>0</v>
      </c>
      <c r="O154" s="71">
        <f t="shared" si="56"/>
        <v>0</v>
      </c>
      <c r="P154" s="2"/>
      <c r="Q154" s="254">
        <f>IF(J154=0,0,J154*VLOOKUP(E154,'Prix Matiere'!$A$4:$L$60,12))</f>
        <v>0</v>
      </c>
      <c r="R154" s="254">
        <f>IF(J154=0,0,Q154*VLOOKUP(E154,'Prix Matiere'!$A$4:$L$60,11))</f>
        <v>0</v>
      </c>
      <c r="S154" s="2"/>
      <c r="T154" s="2"/>
      <c r="U154" s="2"/>
      <c r="V154" s="2"/>
      <c r="W154" s="2"/>
      <c r="X154" s="2"/>
      <c r="Y154" s="2"/>
      <c r="Z154" s="2"/>
    </row>
    <row r="155" spans="1:26" ht="18" hidden="1" customHeight="1" x14ac:dyDescent="0.35">
      <c r="A155" s="2"/>
      <c r="B155" s="45">
        <f>IF(H29="Aucun",0,G33)</f>
        <v>0</v>
      </c>
      <c r="C155" s="85">
        <f>H33</f>
        <v>0</v>
      </c>
      <c r="D155" s="85">
        <f t="shared" si="57"/>
        <v>0</v>
      </c>
      <c r="E155" s="85">
        <f>IF(H29="Aucun",0,IF(B155="Ethafoam 50 mm","Ethafoam 50 mm","Agglocelle 50 mm"))</f>
        <v>0</v>
      </c>
      <c r="F155" s="45">
        <f>K33</f>
        <v>2</v>
      </c>
      <c r="G155" s="2"/>
      <c r="H155" s="2"/>
      <c r="I155" s="2"/>
      <c r="J155" s="2">
        <f t="shared" si="52"/>
        <v>0</v>
      </c>
      <c r="K155" s="2">
        <f t="shared" si="53"/>
        <v>0</v>
      </c>
      <c r="L155" s="71">
        <f>IF(E155=0,0,VLOOKUP(E155,'Prix Matiere'!$A$4:$J$65,10))</f>
        <v>0</v>
      </c>
      <c r="M155" s="71">
        <f t="shared" si="54"/>
        <v>0</v>
      </c>
      <c r="N155" s="3">
        <f t="shared" si="55"/>
        <v>0</v>
      </c>
      <c r="O155" s="71">
        <f t="shared" si="56"/>
        <v>0</v>
      </c>
      <c r="P155" s="2"/>
      <c r="Q155" s="254">
        <f>IF(J155=0,0,J155*VLOOKUP(E155,'Prix Matiere'!$A$4:$L$60,12))</f>
        <v>0</v>
      </c>
      <c r="R155" s="254">
        <f>IF(J155=0,0,Q155*VLOOKUP(E155,'Prix Matiere'!$A$4:$L$60,11))</f>
        <v>0</v>
      </c>
      <c r="S155" s="2"/>
      <c r="T155" s="2"/>
      <c r="U155" s="2"/>
      <c r="V155" s="2"/>
      <c r="W155" s="2"/>
      <c r="X155" s="2"/>
      <c r="Y155" s="2"/>
      <c r="Z155" s="2"/>
    </row>
    <row r="156" spans="1:26" ht="18" hidden="1" customHeight="1" x14ac:dyDescent="0.35">
      <c r="A156" s="2"/>
      <c r="B156" s="45">
        <f>IF(H29="Aucun",0,"Milieu")</f>
        <v>0</v>
      </c>
      <c r="C156" s="85">
        <f>(C153-((C154*F154)+(C155*F155)))/(F155-1)</f>
        <v>0</v>
      </c>
      <c r="D156" s="85">
        <f t="shared" si="57"/>
        <v>0</v>
      </c>
      <c r="E156" s="85">
        <f>VLOOKUP(H29,$A$292:$L$297,9)</f>
        <v>0</v>
      </c>
      <c r="F156" s="45">
        <f>IF(H29="Aucun",0,F155-1)</f>
        <v>0</v>
      </c>
      <c r="G156" s="2"/>
      <c r="H156" s="2"/>
      <c r="I156" s="2"/>
      <c r="J156" s="2">
        <f t="shared" si="52"/>
        <v>0</v>
      </c>
      <c r="K156" s="2">
        <f t="shared" si="53"/>
        <v>0</v>
      </c>
      <c r="L156" s="71">
        <f>IF(E156=0,0,VLOOKUP(E156,'Prix Matiere'!$A$4:$J$65,10))</f>
        <v>0</v>
      </c>
      <c r="M156" s="71">
        <f t="shared" si="54"/>
        <v>0</v>
      </c>
      <c r="N156" s="3">
        <f t="shared" si="55"/>
        <v>0</v>
      </c>
      <c r="O156" s="71">
        <f t="shared" si="56"/>
        <v>0</v>
      </c>
      <c r="P156" s="2"/>
      <c r="Q156" s="254">
        <f>IF(J156=0,0,J156*VLOOKUP(E156,'Prix Matiere'!$A$4:$L$60,12))</f>
        <v>0</v>
      </c>
      <c r="R156" s="254">
        <f>IF(J156=0,0,Q156*VLOOKUP(E156,'Prix Matiere'!$A$4:$L$60,11))</f>
        <v>0</v>
      </c>
      <c r="S156" s="2"/>
      <c r="T156" s="2"/>
      <c r="U156" s="2"/>
      <c r="V156" s="2"/>
      <c r="W156" s="2"/>
      <c r="X156" s="2"/>
      <c r="Y156" s="2"/>
      <c r="Z156" s="2"/>
    </row>
    <row r="157" spans="1:26" ht="18" hidden="1" customHeight="1" x14ac:dyDescent="0.35">
      <c r="A157" s="2"/>
      <c r="B157" s="45">
        <f>IF(H29="Aucun",0,"Bouts avec passage de main")</f>
        <v>0</v>
      </c>
      <c r="C157" s="85">
        <f>IF(H29="Aucun",0,(J28-IF(J28&gt;120,30,15))/(F157/2))</f>
        <v>0</v>
      </c>
      <c r="D157" s="85">
        <f t="shared" si="57"/>
        <v>0</v>
      </c>
      <c r="E157" s="85">
        <f>VLOOKUP(H29,$A$292:$L$297,9)</f>
        <v>0</v>
      </c>
      <c r="F157" s="45">
        <f>IF(H29="Aucun",0,IF(J28&gt;120,6,4))</f>
        <v>0</v>
      </c>
      <c r="G157" s="2"/>
      <c r="H157" s="2"/>
      <c r="I157" s="2"/>
      <c r="J157" s="2">
        <f t="shared" si="52"/>
        <v>0</v>
      </c>
      <c r="K157" s="2">
        <f t="shared" si="53"/>
        <v>0</v>
      </c>
      <c r="L157" s="71">
        <f>IF(E157=0,0,VLOOKUP(E157,'Prix Matiere'!$A$4:$J$65,10))</f>
        <v>0</v>
      </c>
      <c r="M157" s="71">
        <f t="shared" si="54"/>
        <v>0</v>
      </c>
      <c r="N157" s="3">
        <f t="shared" si="55"/>
        <v>0</v>
      </c>
      <c r="O157" s="71">
        <f t="shared" si="56"/>
        <v>0</v>
      </c>
      <c r="P157" s="2"/>
      <c r="Q157" s="254">
        <f>IF(J157=0,0,J157*VLOOKUP(E157,'Prix Matiere'!$A$4:$L$60,12))</f>
        <v>0</v>
      </c>
      <c r="R157" s="254">
        <f>IF(J157=0,0,Q157*VLOOKUP(E157,'Prix Matiere'!$A$4:$L$60,11))</f>
        <v>0</v>
      </c>
      <c r="S157" s="2"/>
      <c r="T157" s="2"/>
      <c r="U157" s="2"/>
      <c r="V157" s="2"/>
      <c r="W157" s="2"/>
      <c r="X157" s="2"/>
      <c r="Y157" s="2"/>
      <c r="Z157" s="2"/>
    </row>
    <row r="158" spans="1:26" ht="18" hidden="1" customHeight="1" x14ac:dyDescent="0.35">
      <c r="A158" s="2"/>
      <c r="B158" s="45">
        <f>IF(H29="Aucun",0,"Fond")</f>
        <v>0</v>
      </c>
      <c r="C158" s="85">
        <f>IF(H29="Aucun",0,H28+VLOOKUP(H29,$A$292:$L$297,6))</f>
        <v>0</v>
      </c>
      <c r="D158" s="85">
        <f>IF(H29="Sous verre 2 faces",J28+VLOOKUP(H29,$A$292:$L$297,6),H32)</f>
        <v>0</v>
      </c>
      <c r="E158" s="85">
        <f>VLOOKUP(H29,$A$292:$L$297,8)</f>
        <v>0</v>
      </c>
      <c r="F158" s="45">
        <f>VLOOKUP(H29,$A$292:$L$297,7)</f>
        <v>0</v>
      </c>
      <c r="G158" s="2"/>
      <c r="H158" s="2"/>
      <c r="I158" s="2"/>
      <c r="J158" s="2">
        <f t="shared" si="52"/>
        <v>0</v>
      </c>
      <c r="K158" s="2">
        <f t="shared" si="53"/>
        <v>0</v>
      </c>
      <c r="L158" s="71">
        <f>IF(E158=0,0,VLOOKUP(E158,'Prix Matiere'!$A$4:$J$65,10))</f>
        <v>0</v>
      </c>
      <c r="M158" s="71">
        <f t="shared" si="54"/>
        <v>0</v>
      </c>
      <c r="N158" s="3">
        <f t="shared" si="55"/>
        <v>0</v>
      </c>
      <c r="O158" s="71">
        <f t="shared" si="56"/>
        <v>0</v>
      </c>
      <c r="P158" s="2"/>
      <c r="Q158" s="254">
        <f>IF(J158=0,0,J158*VLOOKUP(E158,'Prix Matiere'!$A$4:$L$60,12))</f>
        <v>0</v>
      </c>
      <c r="R158" s="254">
        <f>IF(J158=0,0,Q158*VLOOKUP(E158,'Prix Matiere'!$A$4:$L$60,11))</f>
        <v>0</v>
      </c>
      <c r="S158" s="2"/>
      <c r="T158" s="2"/>
      <c r="U158" s="2"/>
      <c r="V158" s="2"/>
      <c r="W158" s="2"/>
      <c r="X158" s="2"/>
      <c r="Y158" s="2"/>
      <c r="Z158" s="2"/>
    </row>
    <row r="159" spans="1:26" ht="18" hidden="1" customHeight="1" x14ac:dyDescent="0.35">
      <c r="A159" s="2"/>
      <c r="B159" s="45">
        <f>IF(H29="Aucun",0,"Remplis de fond")</f>
        <v>0</v>
      </c>
      <c r="C159" s="85">
        <f>IF(H29="Aucun",0,IF(H29="Sous verre 2 faces",0,J28-D158*2+VLOOKUP(H29,$A$292:$L$297,6)))</f>
        <v>0</v>
      </c>
      <c r="D159" s="85">
        <f>IF(H29="Sous verre 2 faces",0,H32)</f>
        <v>0</v>
      </c>
      <c r="E159" s="85">
        <f>IF(C159=0,0,VLOOKUP(H29,$A$292:$L$297,8))</f>
        <v>0</v>
      </c>
      <c r="F159" s="45">
        <f>IF(H29="Aucun",0,IF(H29="Sous verre 2 faces",0,2))</f>
        <v>0</v>
      </c>
      <c r="G159" s="2"/>
      <c r="H159" s="2"/>
      <c r="I159" s="2"/>
      <c r="J159" s="2">
        <f t="shared" si="52"/>
        <v>0</v>
      </c>
      <c r="K159" s="2">
        <f t="shared" si="53"/>
        <v>0</v>
      </c>
      <c r="L159" s="71">
        <f>IF(E159=0,0,VLOOKUP(E159,'Prix Matiere'!$A$4:$J$65,10))</f>
        <v>0</v>
      </c>
      <c r="M159" s="71">
        <f t="shared" si="54"/>
        <v>0</v>
      </c>
      <c r="N159" s="3">
        <f t="shared" si="55"/>
        <v>0</v>
      </c>
      <c r="O159" s="71">
        <f t="shared" si="56"/>
        <v>0</v>
      </c>
      <c r="P159" s="2"/>
      <c r="Q159" s="254">
        <f>IF(J159=0,0,J159*VLOOKUP(E159,'Prix Matiere'!$A$4:$L$60,12))</f>
        <v>0</v>
      </c>
      <c r="R159" s="254">
        <f>IF(J159=0,0,Q159*VLOOKUP(E159,'Prix Matiere'!$A$4:$L$60,11))</f>
        <v>0</v>
      </c>
      <c r="S159" s="2"/>
      <c r="T159" s="2"/>
      <c r="U159" s="2"/>
      <c r="V159" s="2"/>
      <c r="W159" s="2"/>
      <c r="X159" s="2"/>
      <c r="Y159" s="2"/>
      <c r="Z159" s="2"/>
    </row>
    <row r="160" spans="1:26" ht="18" hidden="1" customHeight="1" x14ac:dyDescent="0.35">
      <c r="A160" s="2"/>
      <c r="B160" s="45">
        <f>IF(H29="Aucun",0,"Dessus")</f>
        <v>0</v>
      </c>
      <c r="C160" s="85">
        <f>IF(H29="Aucun",0,H28+VLOOKUP(H29,$A$292:$L$297,10))</f>
        <v>0</v>
      </c>
      <c r="D160" s="85">
        <f>IF(H29="Sous verre 2 faces",H31+VLOOKUP(H29,$A$292:$L$297,10),IF(H29="Sous verre / bandes de mousse",H31+VLOOKUP(H29,$A$292:$L$297,10),H31))</f>
        <v>0</v>
      </c>
      <c r="E160" s="85">
        <f>VLOOKUP(H29,$A$292:$L$297,9)</f>
        <v>0</v>
      </c>
      <c r="F160" s="45">
        <f>VLOOKUP(H29,$A$292:$L$297,11)</f>
        <v>0</v>
      </c>
      <c r="G160" s="2"/>
      <c r="H160" s="2"/>
      <c r="I160" s="2"/>
      <c r="J160" s="2">
        <f t="shared" si="52"/>
        <v>0</v>
      </c>
      <c r="K160" s="2">
        <f t="shared" si="53"/>
        <v>0</v>
      </c>
      <c r="L160" s="71">
        <f>IF(E160=0,0,VLOOKUP(E160,'Prix Matiere'!$A$4:$J$65,10))</f>
        <v>0</v>
      </c>
      <c r="M160" s="71">
        <f t="shared" si="54"/>
        <v>0</v>
      </c>
      <c r="N160" s="3">
        <f t="shared" si="55"/>
        <v>0</v>
      </c>
      <c r="O160" s="71">
        <f t="shared" si="56"/>
        <v>0</v>
      </c>
      <c r="P160" s="2"/>
      <c r="Q160" s="254">
        <f>IF(J160=0,0,J160*VLOOKUP(E160,'Prix Matiere'!$A$4:$L$60,12))</f>
        <v>0</v>
      </c>
      <c r="R160" s="254">
        <f>IF(J160=0,0,Q160*VLOOKUP(E160,'Prix Matiere'!$A$4:$L$60,11))</f>
        <v>0</v>
      </c>
      <c r="S160" s="2"/>
      <c r="T160" s="2"/>
      <c r="U160" s="2"/>
      <c r="V160" s="2"/>
      <c r="W160" s="2"/>
      <c r="X160" s="2"/>
      <c r="Y160" s="2"/>
      <c r="Z160" s="2"/>
    </row>
    <row r="161" spans="1:26" ht="18" hidden="1" customHeight="1" x14ac:dyDescent="0.35">
      <c r="A161" s="2"/>
      <c r="B161" s="45">
        <f>IF(H29="Aucun",0,"Remplis de dessus")</f>
        <v>0</v>
      </c>
      <c r="C161" s="85">
        <f>IF(H29="Aucun",0,IF(H29="Sous verre 2 faces",0,IF(H29="Sous verre / bandes de mousse",0,J28-2*D160+VLOOKUP(H29,$A$292:$L$297,10))))</f>
        <v>0</v>
      </c>
      <c r="D161" s="85">
        <f>IF(H29="Sous verre / bandes de mousse",0,IF(H29="Sous verre 2 faces",0,H31))</f>
        <v>0</v>
      </c>
      <c r="E161" s="85">
        <f>IF(C161=0,0,VLOOKUP(H29,$A$292:$L$297,9))</f>
        <v>0</v>
      </c>
      <c r="F161" s="45">
        <f>IF(H29="Aucun",0,IF(H29="Sous verre 2 faces",0,IF(H29="Sous verre / bandes de mousse",0,2)))</f>
        <v>0</v>
      </c>
      <c r="G161" s="2"/>
      <c r="H161" s="2"/>
      <c r="I161" s="2"/>
      <c r="J161" s="2">
        <f t="shared" si="52"/>
        <v>0</v>
      </c>
      <c r="K161" s="2">
        <f t="shared" si="53"/>
        <v>0</v>
      </c>
      <c r="L161" s="71">
        <f>IF(E161=0,0,VLOOKUP(E161,'Prix Matiere'!$A$4:$J$65,10))</f>
        <v>0</v>
      </c>
      <c r="M161" s="71">
        <f t="shared" si="54"/>
        <v>0</v>
      </c>
      <c r="N161" s="3">
        <f t="shared" si="55"/>
        <v>0</v>
      </c>
      <c r="O161" s="71">
        <f t="shared" si="56"/>
        <v>0</v>
      </c>
      <c r="P161" s="2"/>
      <c r="Q161" s="254">
        <f>IF(J161=0,0,J161*VLOOKUP(E161,'Prix Matiere'!$A$4:$L$60,12))</f>
        <v>0</v>
      </c>
      <c r="R161" s="254">
        <f>IF(J161=0,0,Q161*VLOOKUP(E161,'Prix Matiere'!$A$4:$L$60,11))</f>
        <v>0</v>
      </c>
      <c r="S161" s="2"/>
      <c r="T161" s="2"/>
      <c r="U161" s="2"/>
      <c r="V161" s="2"/>
      <c r="W161" s="2"/>
      <c r="X161" s="2"/>
      <c r="Y161" s="2"/>
      <c r="Z161" s="2"/>
    </row>
    <row r="162" spans="1:26" ht="18" hidden="1" customHeight="1" x14ac:dyDescent="0.35">
      <c r="A162" s="2"/>
      <c r="B162" s="45">
        <f>IF(H29="Aucun",0,"Rattrapage 1")</f>
        <v>0</v>
      </c>
      <c r="C162" s="85">
        <f>IF(H34=0,0,H28+0.2)</f>
        <v>0</v>
      </c>
      <c r="D162" s="85">
        <f>IF(H34=0,0,H34)</f>
        <v>0</v>
      </c>
      <c r="E162" s="85">
        <f t="shared" ref="E162:E163" si="58">IF(C162=0,0,CONCATENATE("PU ",$J$34*10," mm"))</f>
        <v>0</v>
      </c>
      <c r="F162" s="45">
        <f>IF(H34=0,0,2)</f>
        <v>0</v>
      </c>
      <c r="G162" s="2"/>
      <c r="H162" s="2"/>
      <c r="I162" s="2"/>
      <c r="J162" s="2">
        <f t="shared" si="52"/>
        <v>0</v>
      </c>
      <c r="K162" s="2">
        <f t="shared" si="53"/>
        <v>0</v>
      </c>
      <c r="L162" s="71">
        <f>IF(E162=0,0,VLOOKUP(E162,'Prix Matiere'!$A$4:$J$65,10))</f>
        <v>0</v>
      </c>
      <c r="M162" s="71">
        <f t="shared" si="54"/>
        <v>0</v>
      </c>
      <c r="N162" s="3">
        <f t="shared" si="55"/>
        <v>0</v>
      </c>
      <c r="O162" s="71">
        <f t="shared" si="56"/>
        <v>0</v>
      </c>
      <c r="P162" s="2"/>
      <c r="Q162" s="254">
        <f>IF(J162=0,0,J162*VLOOKUP(E162,'Prix Matiere'!$A$4:$L$60,12))</f>
        <v>0</v>
      </c>
      <c r="R162" s="254">
        <f>IF(J162=0,0,Q162*VLOOKUP(E162,'Prix Matiere'!$A$4:$L$60,11))</f>
        <v>0</v>
      </c>
      <c r="S162" s="2"/>
      <c r="T162" s="2"/>
      <c r="U162" s="2"/>
      <c r="V162" s="2"/>
      <c r="W162" s="2"/>
      <c r="X162" s="2"/>
      <c r="Y162" s="2"/>
      <c r="Z162" s="2"/>
    </row>
    <row r="163" spans="1:26" ht="18" hidden="1" customHeight="1" x14ac:dyDescent="0.35">
      <c r="A163" s="2"/>
      <c r="B163" s="45">
        <f>IF(H29="Aucun",0,"Rattrapage 2")</f>
        <v>0</v>
      </c>
      <c r="C163" s="85">
        <f>IF(H34=0,0,J28+0.2-2*D162)</f>
        <v>0</v>
      </c>
      <c r="D163" s="85">
        <f>IF(H34=0,0,D162)</f>
        <v>0</v>
      </c>
      <c r="E163" s="85">
        <f t="shared" si="58"/>
        <v>0</v>
      </c>
      <c r="F163" s="45">
        <f>IF(H34=0,0,2)</f>
        <v>0</v>
      </c>
      <c r="G163" s="2"/>
      <c r="H163" s="2"/>
      <c r="I163" s="2"/>
      <c r="J163" s="2">
        <f t="shared" si="52"/>
        <v>0</v>
      </c>
      <c r="K163" s="2">
        <f t="shared" si="53"/>
        <v>0</v>
      </c>
      <c r="L163" s="71">
        <f>IF(E163=0,0,VLOOKUP(E163,'Prix Matiere'!$A$4:$J$65,10))</f>
        <v>0</v>
      </c>
      <c r="M163" s="71">
        <f t="shared" si="54"/>
        <v>0</v>
      </c>
      <c r="N163" s="3">
        <f t="shared" si="55"/>
        <v>0</v>
      </c>
      <c r="O163" s="71">
        <f t="shared" si="56"/>
        <v>0</v>
      </c>
      <c r="P163" s="2"/>
      <c r="Q163" s="254">
        <f>IF(J163=0,0,J163*VLOOKUP(E163,'Prix Matiere'!$A$4:$L$60,12))</f>
        <v>0</v>
      </c>
      <c r="R163" s="254">
        <f>IF(J163=0,0,Q163*VLOOKUP(E163,'Prix Matiere'!$A$4:$L$60,11))</f>
        <v>0</v>
      </c>
      <c r="S163" s="2"/>
      <c r="T163" s="2"/>
      <c r="U163" s="2"/>
      <c r="V163" s="2"/>
      <c r="W163" s="2"/>
      <c r="X163" s="2"/>
      <c r="Y163" s="2"/>
      <c r="Z163" s="2"/>
    </row>
    <row r="164" spans="1:26" ht="18" hidden="1" customHeight="1" x14ac:dyDescent="0.35">
      <c r="A164" s="2"/>
      <c r="B164" s="45">
        <f>IF(H29="Aucun",0,"Remplissage 1")</f>
        <v>0</v>
      </c>
      <c r="C164" s="85">
        <f t="shared" ref="C164:C165" si="59">IF(H35=0,0,H35)</f>
        <v>0</v>
      </c>
      <c r="D164" s="85">
        <f t="shared" ref="D164:D165" si="60">IF(H35=0,0,I35)</f>
        <v>0</v>
      </c>
      <c r="E164" s="85">
        <f>IF(C164=0,0,CONCATENATE("PU ",$J$35*10," mm"))</f>
        <v>0</v>
      </c>
      <c r="F164" s="45">
        <f t="shared" ref="F164:F165" si="61">IF(H35=0,0,1)</f>
        <v>0</v>
      </c>
      <c r="G164" s="2"/>
      <c r="H164" s="2"/>
      <c r="I164" s="2"/>
      <c r="J164" s="2">
        <f t="shared" si="52"/>
        <v>0</v>
      </c>
      <c r="K164" s="2">
        <f t="shared" si="53"/>
        <v>0</v>
      </c>
      <c r="L164" s="71">
        <f>IF(E164=0,0,VLOOKUP(E164,'Prix Matiere'!$A$4:$J$65,10))</f>
        <v>0</v>
      </c>
      <c r="M164" s="71">
        <f t="shared" si="54"/>
        <v>0</v>
      </c>
      <c r="N164" s="3">
        <f t="shared" ref="N164:N165" si="62">IF(J164=0,0,4+(6*J164))</f>
        <v>0</v>
      </c>
      <c r="O164" s="71">
        <f t="shared" si="56"/>
        <v>0</v>
      </c>
      <c r="P164" s="2"/>
      <c r="Q164" s="254">
        <f>IF(J164=0,0,J164*VLOOKUP(E164,'Prix Matiere'!$A$4:$L$60,12))</f>
        <v>0</v>
      </c>
      <c r="R164" s="254">
        <f>IF(J164=0,0,Q164*VLOOKUP(E164,'Prix Matiere'!$A$4:$L$60,11))</f>
        <v>0</v>
      </c>
      <c r="S164" s="2"/>
      <c r="T164" s="2"/>
      <c r="U164" s="2"/>
      <c r="V164" s="2"/>
      <c r="W164" s="2"/>
      <c r="X164" s="2"/>
      <c r="Y164" s="2"/>
      <c r="Z164" s="2"/>
    </row>
    <row r="165" spans="1:26" ht="18" hidden="1" customHeight="1" x14ac:dyDescent="0.35">
      <c r="A165" s="2"/>
      <c r="B165" s="45">
        <f>IF(H29="Aucun",0,"Remplissage 2")</f>
        <v>0</v>
      </c>
      <c r="C165" s="85">
        <f t="shared" si="59"/>
        <v>0</v>
      </c>
      <c r="D165" s="85">
        <f t="shared" si="60"/>
        <v>0</v>
      </c>
      <c r="E165" s="85">
        <f>IF(C165=0,0,CONCATENATE("PU ",$J$36*10," mm"))</f>
        <v>0</v>
      </c>
      <c r="F165" s="45">
        <f t="shared" si="61"/>
        <v>0</v>
      </c>
      <c r="G165" s="2"/>
      <c r="H165" s="2"/>
      <c r="I165" s="2"/>
      <c r="J165" s="2">
        <f t="shared" si="52"/>
        <v>0</v>
      </c>
      <c r="K165" s="2">
        <f t="shared" si="53"/>
        <v>0</v>
      </c>
      <c r="L165" s="71">
        <f>IF(E165=0,0,VLOOKUP(E165,'Prix Matiere'!$A$4:$J$65,10))</f>
        <v>0</v>
      </c>
      <c r="M165" s="71">
        <f t="shared" si="54"/>
        <v>0</v>
      </c>
      <c r="N165" s="3">
        <f t="shared" si="62"/>
        <v>0</v>
      </c>
      <c r="O165" s="71">
        <f t="shared" si="56"/>
        <v>0</v>
      </c>
      <c r="P165" s="2"/>
      <c r="Q165" s="254">
        <f>IF(J165=0,0,J165*VLOOKUP(E165,'Prix Matiere'!$A$4:$L$60,12))</f>
        <v>0</v>
      </c>
      <c r="R165" s="254">
        <f>IF(J165=0,0,Q165*VLOOKUP(E165,'Prix Matiere'!$A$4:$L$60,11))</f>
        <v>0</v>
      </c>
      <c r="S165" s="2"/>
      <c r="T165" s="2"/>
      <c r="U165" s="2"/>
      <c r="V165" s="2"/>
      <c r="W165" s="2"/>
      <c r="X165" s="2"/>
      <c r="Y165" s="2"/>
      <c r="Z165" s="2"/>
    </row>
    <row r="166" spans="1:26" ht="18" hidden="1" customHeight="1" x14ac:dyDescent="0.35">
      <c r="A166" s="2"/>
      <c r="B166" s="45">
        <f>IF(H29="Aucun",0,"Carton")</f>
        <v>0</v>
      </c>
      <c r="C166" s="85">
        <f>IF(F166=0,0,H28+VLOOKUP(H29,$A$292:$L$297,10))</f>
        <v>0</v>
      </c>
      <c r="D166" s="85">
        <f>IF(E166=0,0,J28+VLOOKUP(H29,$A$292:$L$297,10))</f>
        <v>0</v>
      </c>
      <c r="E166" s="85">
        <f>IF(C166=0,0,"Carton")</f>
        <v>0</v>
      </c>
      <c r="F166" s="45">
        <f>VLOOKUP(H29,$A$292:$L$297,12)</f>
        <v>0</v>
      </c>
      <c r="G166" s="2"/>
      <c r="H166" s="2"/>
      <c r="I166" s="2"/>
      <c r="J166" s="2">
        <f t="shared" si="52"/>
        <v>0</v>
      </c>
      <c r="K166" s="2">
        <f t="shared" si="53"/>
        <v>0</v>
      </c>
      <c r="L166" s="71">
        <f>IF(E166=0,0,Carton)</f>
        <v>0</v>
      </c>
      <c r="M166" s="71">
        <f t="shared" si="54"/>
        <v>0</v>
      </c>
      <c r="N166" s="3">
        <f>IF(J166=0,0,1+(3*J166))</f>
        <v>0</v>
      </c>
      <c r="O166" s="71">
        <f t="shared" si="56"/>
        <v>0</v>
      </c>
      <c r="P166" s="2"/>
      <c r="Q166" s="254">
        <f>IF(J166=0,0,J166*Poids_Carton)</f>
        <v>0</v>
      </c>
      <c r="R166" s="254">
        <f>IF(J166=0,0,Q166*VLOOKUP(E166,'Prix Matiere'!$A$4:$L$60,11))</f>
        <v>0</v>
      </c>
      <c r="S166" s="2"/>
      <c r="T166" s="2"/>
      <c r="U166" s="2"/>
      <c r="V166" s="2"/>
      <c r="W166" s="2"/>
      <c r="X166" s="2"/>
      <c r="Y166" s="2"/>
      <c r="Z166" s="2"/>
    </row>
    <row r="167" spans="1:26" ht="18" hidden="1" customHeight="1" x14ac:dyDescent="0.35">
      <c r="A167" s="2"/>
      <c r="B167" s="2"/>
      <c r="C167" s="256"/>
      <c r="D167" s="256"/>
      <c r="E167" s="256"/>
      <c r="F167" s="2"/>
      <c r="G167" s="2"/>
      <c r="H167" s="2"/>
      <c r="I167" s="2"/>
      <c r="J167" s="2"/>
      <c r="K167" s="2"/>
      <c r="L167" s="71"/>
      <c r="M167" s="71"/>
      <c r="N167" s="3"/>
      <c r="O167" s="71"/>
      <c r="P167" s="2"/>
      <c r="Q167" s="254"/>
      <c r="R167" s="254"/>
      <c r="S167" s="2"/>
      <c r="T167" s="2"/>
      <c r="U167" s="2"/>
      <c r="V167" s="2"/>
      <c r="W167" s="2"/>
      <c r="X167" s="2"/>
      <c r="Y167" s="2"/>
      <c r="Z167" s="2"/>
    </row>
    <row r="168" spans="1:26" ht="18" hidden="1" customHeight="1" x14ac:dyDescent="0.35">
      <c r="A168" s="257" t="s">
        <v>182</v>
      </c>
      <c r="B168" s="258">
        <f>IF(B56=0,0,"Dessus/Dessous")</f>
        <v>0</v>
      </c>
      <c r="C168" s="259">
        <f>IF(B56=0,0,H56)</f>
        <v>0</v>
      </c>
      <c r="D168" s="259">
        <f>IF(B56=0,0,I55)</f>
        <v>0</v>
      </c>
      <c r="E168" s="259">
        <f>IF(B56=0,0,"Peuplier 15 mm")</f>
        <v>0</v>
      </c>
      <c r="F168" s="260">
        <f>IF(B56=0,0,2)</f>
        <v>0</v>
      </c>
      <c r="G168" s="2"/>
      <c r="H168" s="2"/>
      <c r="I168" s="2"/>
      <c r="J168" s="89">
        <f t="shared" ref="J168:J170" si="63">IF(C168=0,0,(C168/100)*(D168/100)*F168)</f>
        <v>0</v>
      </c>
      <c r="K168" s="89">
        <f t="shared" ref="K168:K170" si="64">J168/0.8</f>
        <v>0</v>
      </c>
      <c r="L168" s="71">
        <f>IF(E168=0,0,VLOOKUP(E168,'Prix Matiere'!$A$4:$J$65,10))</f>
        <v>0</v>
      </c>
      <c r="M168" s="71">
        <f t="shared" ref="M168:M170" si="65">L168*K168</f>
        <v>0</v>
      </c>
      <c r="N168" s="3">
        <f t="shared" ref="N168:N170" si="66">IF(J168=0,0,5+(6*J168))</f>
        <v>0</v>
      </c>
      <c r="O168" s="71">
        <f>N168*MinuteMO</f>
        <v>0</v>
      </c>
      <c r="P168" s="2"/>
      <c r="Q168" s="254">
        <f>IF(J168=0,0,J168*VLOOKUP(E168,'Prix Matiere'!$A$4:$L$60,12))</f>
        <v>0</v>
      </c>
      <c r="R168" s="254">
        <f>IF(Q168=0,0,J168*VLOOKUP(E168,'Prix Matiere'!$A$4:$L$60,11))</f>
        <v>0</v>
      </c>
      <c r="S168" s="2"/>
      <c r="T168" s="2"/>
      <c r="U168" s="2"/>
      <c r="V168" s="2"/>
      <c r="W168" s="2"/>
      <c r="X168" s="2"/>
      <c r="Y168" s="2"/>
      <c r="Z168" s="2"/>
    </row>
    <row r="169" spans="1:26" ht="18" hidden="1" customHeight="1" x14ac:dyDescent="0.35">
      <c r="A169" s="178"/>
      <c r="B169" s="45">
        <f>IF(B56=0,0,"Bouts")</f>
        <v>0</v>
      </c>
      <c r="C169" s="85">
        <f>IF(B56=0,0,J55)</f>
        <v>0</v>
      </c>
      <c r="D169" s="85">
        <f>D168</f>
        <v>0</v>
      </c>
      <c r="E169" s="85">
        <f>IF(B56=0,0,"Peuplier 15 mm")</f>
        <v>0</v>
      </c>
      <c r="F169" s="175">
        <f>IF(B56=0,0,2)</f>
        <v>0</v>
      </c>
      <c r="G169" s="2"/>
      <c r="H169" s="2"/>
      <c r="I169" s="2"/>
      <c r="J169" s="89">
        <f t="shared" si="63"/>
        <v>0</v>
      </c>
      <c r="K169" s="89">
        <f t="shared" si="64"/>
        <v>0</v>
      </c>
      <c r="L169" s="71">
        <f>IF(E169=0,0,VLOOKUP(E169,'Prix Matiere'!$A$4:$J$65,10))</f>
        <v>0</v>
      </c>
      <c r="M169" s="71">
        <f t="shared" si="65"/>
        <v>0</v>
      </c>
      <c r="N169" s="3">
        <f t="shared" si="66"/>
        <v>0</v>
      </c>
      <c r="O169" s="71">
        <f>N169*MinuteMO</f>
        <v>0</v>
      </c>
      <c r="P169" s="2"/>
      <c r="Q169" s="254">
        <f>IF(J169=0,0,J169*VLOOKUP(E169,'Prix Matiere'!$A$4:$L$60,12))</f>
        <v>0</v>
      </c>
      <c r="R169" s="254">
        <f>IF(Q169=0,0,J169*VLOOKUP(E169,'Prix Matiere'!$A$4:$L$60,11))</f>
        <v>0</v>
      </c>
      <c r="S169" s="2"/>
      <c r="T169" s="2"/>
      <c r="U169" s="2"/>
      <c r="V169" s="2"/>
      <c r="W169" s="2"/>
      <c r="X169" s="2"/>
      <c r="Y169" s="2"/>
      <c r="Z169" s="2"/>
    </row>
    <row r="170" spans="1:26" ht="18" hidden="1" customHeight="1" x14ac:dyDescent="0.35">
      <c r="A170" s="261"/>
      <c r="B170" s="262">
        <f>IF(B56=0,0,"GC")</f>
        <v>0</v>
      </c>
      <c r="C170" s="263">
        <f>IF(B56=0,0,C168)</f>
        <v>0</v>
      </c>
      <c r="D170" s="263">
        <f>IF(B56=0,0,C169+3)</f>
        <v>0</v>
      </c>
      <c r="E170" s="263">
        <f>IF(B56=0,0,"Peuplier 15 mm")</f>
        <v>0</v>
      </c>
      <c r="F170" s="184">
        <f>IF(B56=0,0,2)</f>
        <v>0</v>
      </c>
      <c r="G170" s="2"/>
      <c r="H170" s="2"/>
      <c r="I170" s="2"/>
      <c r="J170" s="89">
        <f t="shared" si="63"/>
        <v>0</v>
      </c>
      <c r="K170" s="89">
        <f t="shared" si="64"/>
        <v>0</v>
      </c>
      <c r="L170" s="71">
        <f>IF(E170=0,0,VLOOKUP(E170,'Prix Matiere'!$A$4:$J$65,10))</f>
        <v>0</v>
      </c>
      <c r="M170" s="71">
        <f t="shared" si="65"/>
        <v>0</v>
      </c>
      <c r="N170" s="3">
        <f t="shared" si="66"/>
        <v>0</v>
      </c>
      <c r="O170" s="71">
        <f>N170*MinuteMO</f>
        <v>0</v>
      </c>
      <c r="P170" s="2"/>
      <c r="Q170" s="254">
        <f>IF(J170=0,0,J170*VLOOKUP(E170,'Prix Matiere'!$A$4:$L$60,12))</f>
        <v>0</v>
      </c>
      <c r="R170" s="254">
        <f>IF(Q170=0,0,J170*VLOOKUP(E170,'Prix Matiere'!$A$4:$L$60,11))</f>
        <v>0</v>
      </c>
      <c r="S170" s="2"/>
      <c r="T170" s="2"/>
      <c r="U170" s="2"/>
      <c r="V170" s="2"/>
      <c r="W170" s="2"/>
      <c r="X170" s="2"/>
      <c r="Y170" s="2"/>
      <c r="Z170" s="2"/>
    </row>
    <row r="171" spans="1:26" ht="18" hidden="1" customHeight="1" x14ac:dyDescent="0.3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71"/>
      <c r="M171" s="2"/>
      <c r="N171" s="3"/>
      <c r="O171" s="71"/>
      <c r="P171" s="2"/>
      <c r="Q171" s="254"/>
      <c r="R171" s="254">
        <f>IF(Q171=0,0,J171*VLOOKUP(E171,'Prix Matiere'!$A$4:$L$60,11))</f>
        <v>0</v>
      </c>
      <c r="S171" s="2"/>
      <c r="T171" s="2"/>
      <c r="U171" s="2"/>
      <c r="V171" s="2"/>
      <c r="W171" s="2"/>
      <c r="X171" s="2"/>
      <c r="Y171" s="2"/>
      <c r="Z171" s="2"/>
    </row>
    <row r="172" spans="1:26" ht="18" hidden="1" customHeight="1" x14ac:dyDescent="0.35">
      <c r="A172" s="2"/>
      <c r="B172" s="38" t="s">
        <v>161</v>
      </c>
      <c r="C172" s="2"/>
      <c r="D172" s="2"/>
      <c r="E172" s="2"/>
      <c r="F172" s="2"/>
      <c r="G172" s="2"/>
      <c r="H172" s="2"/>
      <c r="I172" s="2"/>
      <c r="J172" s="2"/>
      <c r="K172" s="2"/>
      <c r="L172" s="71"/>
      <c r="M172" s="71"/>
      <c r="N172" s="3"/>
      <c r="O172" s="71"/>
      <c r="P172" s="2"/>
      <c r="Q172" s="254"/>
      <c r="R172" s="254">
        <f>IF(Q172=0,0,J172*VLOOKUP(E172,'Prix Matiere'!$A$4:$L$60,11))</f>
        <v>0</v>
      </c>
      <c r="S172" s="2"/>
      <c r="T172" s="2"/>
      <c r="U172" s="2"/>
      <c r="V172" s="2"/>
      <c r="W172" s="2"/>
      <c r="X172" s="2"/>
      <c r="Y172" s="2"/>
      <c r="Z172" s="2"/>
    </row>
    <row r="173" spans="1:26" ht="18" hidden="1" customHeight="1" x14ac:dyDescent="0.35">
      <c r="A173" s="2"/>
      <c r="B173" s="41">
        <f>IF(B45="Aucun",0,"Dessus")</f>
        <v>0</v>
      </c>
      <c r="C173" s="85">
        <f>IF(B45="Aucun",0,VLOOKUP(B45,$A$292:$L$297,2)+B44)</f>
        <v>0</v>
      </c>
      <c r="D173" s="85">
        <f>IF(B45="Aucun",0,C63+VLOOKUP(B45,$A$292:$L$297,5))</f>
        <v>0</v>
      </c>
      <c r="E173" s="85">
        <f>VLOOKUP(B45,$A$292:$L$297,9)</f>
        <v>0</v>
      </c>
      <c r="F173" s="45">
        <f>IF(B45="Aucun",0,1)</f>
        <v>0</v>
      </c>
      <c r="G173" s="2"/>
      <c r="H173" s="2"/>
      <c r="I173" s="2"/>
      <c r="J173" s="2">
        <f t="shared" ref="J173:J186" si="67">IF(C173=0,0,(C173/100)*(D173/100)*F173)</f>
        <v>0</v>
      </c>
      <c r="K173" s="2">
        <f t="shared" ref="K173:K186" si="68">J173/0.8</f>
        <v>0</v>
      </c>
      <c r="L173" s="71">
        <f>IF(E173=0,0,VLOOKUP(E173,'Prix Matiere'!$A$4:$J$65,10))</f>
        <v>0</v>
      </c>
      <c r="M173" s="71">
        <f t="shared" ref="M173:M186" si="69">L173*K173</f>
        <v>0</v>
      </c>
      <c r="N173" s="3">
        <f t="shared" ref="N173:N183" si="70">IF(J173=0,0,1+(6*J173))</f>
        <v>0</v>
      </c>
      <c r="O173" s="71">
        <f t="shared" ref="O173:O186" si="71">N173*MinuteMO</f>
        <v>0</v>
      </c>
      <c r="P173" s="2"/>
      <c r="Q173" s="254">
        <f>IF(J173=0,0,J173*VLOOKUP(E173,'Prix Matiere'!$A$4:$L$60,12))</f>
        <v>0</v>
      </c>
      <c r="R173" s="254">
        <f>IF(Q173=0,0,J173*VLOOKUP(E173,'Prix Matiere'!$A$4:$L$60,11))</f>
        <v>0</v>
      </c>
      <c r="S173" s="2"/>
      <c r="T173" s="2"/>
      <c r="U173" s="2"/>
      <c r="V173" s="2"/>
      <c r="W173" s="2"/>
      <c r="X173" s="2"/>
      <c r="Y173" s="2"/>
      <c r="Z173" s="2"/>
    </row>
    <row r="174" spans="1:26" ht="18" hidden="1" customHeight="1" x14ac:dyDescent="0.35">
      <c r="A174" s="2"/>
      <c r="B174" s="45">
        <f>IF(B45="Aucun",0,"Extrémité")</f>
        <v>0</v>
      </c>
      <c r="C174" s="85">
        <f>IF(B45="Aucun",0,IF(B44&lt;60,10,IF(B44&lt;80,15,20)))</f>
        <v>0</v>
      </c>
      <c r="D174" s="85">
        <f t="shared" ref="D174:D177" si="72">D173</f>
        <v>0</v>
      </c>
      <c r="E174" s="85">
        <f>VLOOKUP(B45,$A$292:$L$297,9)</f>
        <v>0</v>
      </c>
      <c r="F174" s="45">
        <f>IF(B45="Aucun",0,2)</f>
        <v>0</v>
      </c>
      <c r="G174" s="2"/>
      <c r="H174" s="2"/>
      <c r="I174" s="2"/>
      <c r="J174" s="2">
        <f t="shared" si="67"/>
        <v>0</v>
      </c>
      <c r="K174" s="2">
        <f t="shared" si="68"/>
        <v>0</v>
      </c>
      <c r="L174" s="71">
        <f>IF(E174=0,0,VLOOKUP(E174,'Prix Matiere'!$A$4:$J$65,10))</f>
        <v>0</v>
      </c>
      <c r="M174" s="71">
        <f t="shared" si="69"/>
        <v>0</v>
      </c>
      <c r="N174" s="3">
        <f t="shared" si="70"/>
        <v>0</v>
      </c>
      <c r="O174" s="71">
        <f t="shared" si="71"/>
        <v>0</v>
      </c>
      <c r="P174" s="2"/>
      <c r="Q174" s="254">
        <f>IF(J174=0,0,J174*VLOOKUP(E174,'Prix Matiere'!$A$4:$L$60,12))</f>
        <v>0</v>
      </c>
      <c r="R174" s="254">
        <f>IF(Q174=0,0,J174*VLOOKUP(E174,'Prix Matiere'!$A$4:$L$60,11))</f>
        <v>0</v>
      </c>
      <c r="S174" s="2"/>
      <c r="T174" s="2"/>
      <c r="U174" s="2"/>
      <c r="V174" s="2"/>
      <c r="W174" s="2"/>
      <c r="X174" s="2"/>
      <c r="Y174" s="2"/>
      <c r="Z174" s="2"/>
    </row>
    <row r="175" spans="1:26" ht="18" hidden="1" customHeight="1" x14ac:dyDescent="0.35">
      <c r="A175" s="2"/>
      <c r="B175" s="45">
        <f>IF(B45="Aucun",0,A49)</f>
        <v>0</v>
      </c>
      <c r="C175" s="85">
        <f>B49</f>
        <v>0</v>
      </c>
      <c r="D175" s="85">
        <f t="shared" si="72"/>
        <v>0</v>
      </c>
      <c r="E175" s="85">
        <f>IF(B45="Aucun",0,IF(B175="Ethafoam 50 mm","Ethafoam 50 mm","Agglocelle 50 mm"))</f>
        <v>0</v>
      </c>
      <c r="F175" s="45">
        <f>E49</f>
        <v>2</v>
      </c>
      <c r="G175" s="2"/>
      <c r="H175" s="2"/>
      <c r="I175" s="2"/>
      <c r="J175" s="2">
        <f t="shared" si="67"/>
        <v>0</v>
      </c>
      <c r="K175" s="2">
        <f t="shared" si="68"/>
        <v>0</v>
      </c>
      <c r="L175" s="71">
        <f>IF(E175=0,0,VLOOKUP(E175,'Prix Matiere'!$A$4:$J$65,10))</f>
        <v>0</v>
      </c>
      <c r="M175" s="71">
        <f t="shared" si="69"/>
        <v>0</v>
      </c>
      <c r="N175" s="3">
        <f t="shared" si="70"/>
        <v>0</v>
      </c>
      <c r="O175" s="71">
        <f t="shared" si="71"/>
        <v>0</v>
      </c>
      <c r="P175" s="2"/>
      <c r="Q175" s="254">
        <f>IF(J175=0,0,J175*VLOOKUP(E175,'Prix Matiere'!$A$4:$L$60,12))</f>
        <v>0</v>
      </c>
      <c r="R175" s="254">
        <f>IF(Q175=0,0,J175*VLOOKUP(E175,'Prix Matiere'!$A$4:$L$60,11))</f>
        <v>0</v>
      </c>
      <c r="S175" s="2"/>
      <c r="T175" s="2"/>
      <c r="U175" s="2"/>
      <c r="V175" s="2"/>
      <c r="W175" s="2"/>
      <c r="X175" s="2"/>
      <c r="Y175" s="2"/>
      <c r="Z175" s="2"/>
    </row>
    <row r="176" spans="1:26" ht="18" hidden="1" customHeight="1" x14ac:dyDescent="0.35">
      <c r="A176" s="2"/>
      <c r="B176" s="45">
        <f>IF(B45="Aucun",0,"Milieu")</f>
        <v>0</v>
      </c>
      <c r="C176" s="85">
        <f>(C173-((C174*F174)+(C175*F175)))/(F175-1)</f>
        <v>0</v>
      </c>
      <c r="D176" s="85">
        <f t="shared" si="72"/>
        <v>0</v>
      </c>
      <c r="E176" s="85">
        <f>VLOOKUP(B45,$A$292:$L$297,9)</f>
        <v>0</v>
      </c>
      <c r="F176" s="45">
        <f>IF(B45="Aucun",0,F175-1)</f>
        <v>0</v>
      </c>
      <c r="G176" s="2"/>
      <c r="H176" s="2"/>
      <c r="I176" s="2"/>
      <c r="J176" s="2">
        <f t="shared" si="67"/>
        <v>0</v>
      </c>
      <c r="K176" s="2">
        <f t="shared" si="68"/>
        <v>0</v>
      </c>
      <c r="L176" s="71">
        <f>IF(E176=0,0,VLOOKUP(E176,'Prix Matiere'!$A$4:$J$65,10))</f>
        <v>0</v>
      </c>
      <c r="M176" s="71">
        <f t="shared" si="69"/>
        <v>0</v>
      </c>
      <c r="N176" s="3">
        <f t="shared" si="70"/>
        <v>0</v>
      </c>
      <c r="O176" s="71">
        <f t="shared" si="71"/>
        <v>0</v>
      </c>
      <c r="P176" s="2"/>
      <c r="Q176" s="254">
        <f>IF(J176=0,0,J176*VLOOKUP(E176,'Prix Matiere'!$A$4:$L$60,12))</f>
        <v>0</v>
      </c>
      <c r="R176" s="254">
        <f>IF(Q176=0,0,J176*VLOOKUP(E176,'Prix Matiere'!$A$4:$L$60,11))</f>
        <v>0</v>
      </c>
      <c r="S176" s="2"/>
      <c r="T176" s="2"/>
      <c r="U176" s="2"/>
      <c r="V176" s="2"/>
      <c r="W176" s="2"/>
      <c r="X176" s="2"/>
      <c r="Y176" s="2"/>
      <c r="Z176" s="2"/>
    </row>
    <row r="177" spans="1:26" ht="18" hidden="1" customHeight="1" x14ac:dyDescent="0.35">
      <c r="A177" s="2"/>
      <c r="B177" s="45">
        <f>IF(B45="Aucun",0,"Bouts avec passage de main")</f>
        <v>0</v>
      </c>
      <c r="C177" s="85">
        <f>IF(B45="Aucun",0,(D44-IF(D44&gt;120,30,15))/(F177/2))</f>
        <v>0</v>
      </c>
      <c r="D177" s="85">
        <f t="shared" si="72"/>
        <v>0</v>
      </c>
      <c r="E177" s="85">
        <f>VLOOKUP(B45,$A$292:$L$297,9)</f>
        <v>0</v>
      </c>
      <c r="F177" s="45">
        <f>IF(B45="Aucun",0,IF(D44&gt;120,6,4))</f>
        <v>0</v>
      </c>
      <c r="G177" s="2"/>
      <c r="H177" s="2"/>
      <c r="I177" s="2"/>
      <c r="J177" s="2">
        <f t="shared" si="67"/>
        <v>0</v>
      </c>
      <c r="K177" s="2">
        <f t="shared" si="68"/>
        <v>0</v>
      </c>
      <c r="L177" s="71">
        <f>IF(E177=0,0,VLOOKUP(E177,'Prix Matiere'!$A$4:$J$65,10))</f>
        <v>0</v>
      </c>
      <c r="M177" s="71">
        <f t="shared" si="69"/>
        <v>0</v>
      </c>
      <c r="N177" s="3">
        <f t="shared" si="70"/>
        <v>0</v>
      </c>
      <c r="O177" s="71">
        <f t="shared" si="71"/>
        <v>0</v>
      </c>
      <c r="P177" s="2"/>
      <c r="Q177" s="254">
        <f>IF(J177=0,0,J177*VLOOKUP(E177,'Prix Matiere'!$A$4:$L$60,12))</f>
        <v>0</v>
      </c>
      <c r="R177" s="254">
        <f>IF(Q177=0,0,J177*VLOOKUP(E177,'Prix Matiere'!$A$4:$L$60,11))</f>
        <v>0</v>
      </c>
      <c r="S177" s="2"/>
      <c r="T177" s="2"/>
      <c r="U177" s="2"/>
      <c r="V177" s="2"/>
      <c r="W177" s="2"/>
      <c r="X177" s="2"/>
      <c r="Y177" s="2"/>
      <c r="Z177" s="2"/>
    </row>
    <row r="178" spans="1:26" ht="18" hidden="1" customHeight="1" x14ac:dyDescent="0.35">
      <c r="A178" s="2"/>
      <c r="B178" s="45">
        <f>IF(B45="Aucun",0,"Fond")</f>
        <v>0</v>
      </c>
      <c r="C178" s="85">
        <f>IF(B45="Aucun",0,B44+VLOOKUP(B45,$A$292:$L$297,6))</f>
        <v>0</v>
      </c>
      <c r="D178" s="85">
        <f>IF(B45="Sous verre 2 faces",D44+VLOOKUP(B45,$A$292:$L$297,6),B48)</f>
        <v>0</v>
      </c>
      <c r="E178" s="85">
        <f>VLOOKUP(B45,$A$292:$L$297,8)</f>
        <v>0</v>
      </c>
      <c r="F178" s="45">
        <f>VLOOKUP(B45,$A$292:$L$297,7)</f>
        <v>0</v>
      </c>
      <c r="G178" s="2"/>
      <c r="H178" s="2"/>
      <c r="I178" s="2"/>
      <c r="J178" s="2">
        <f t="shared" si="67"/>
        <v>0</v>
      </c>
      <c r="K178" s="2">
        <f t="shared" si="68"/>
        <v>0</v>
      </c>
      <c r="L178" s="71">
        <f>IF(E178=0,0,VLOOKUP(E178,'Prix Matiere'!$A$4:$J$65,10))</f>
        <v>0</v>
      </c>
      <c r="M178" s="71">
        <f t="shared" si="69"/>
        <v>0</v>
      </c>
      <c r="N178" s="3">
        <f t="shared" si="70"/>
        <v>0</v>
      </c>
      <c r="O178" s="71">
        <f t="shared" si="71"/>
        <v>0</v>
      </c>
      <c r="P178" s="2"/>
      <c r="Q178" s="254">
        <f>IF(J178=0,0,J178*VLOOKUP(E178,'Prix Matiere'!$A$4:$L$60,12))</f>
        <v>0</v>
      </c>
      <c r="R178" s="254">
        <f>IF(Q178=0,0,J178*VLOOKUP(E178,'Prix Matiere'!$A$4:$L$60,11))</f>
        <v>0</v>
      </c>
      <c r="S178" s="2"/>
      <c r="T178" s="2"/>
      <c r="U178" s="2"/>
      <c r="V178" s="2"/>
      <c r="W178" s="2"/>
      <c r="X178" s="2"/>
      <c r="Y178" s="2"/>
      <c r="Z178" s="2"/>
    </row>
    <row r="179" spans="1:26" ht="18" hidden="1" customHeight="1" x14ac:dyDescent="0.35">
      <c r="A179" s="2"/>
      <c r="B179" s="45">
        <f>IF(B45="Aucun",0,"Remplis de fond")</f>
        <v>0</v>
      </c>
      <c r="C179" s="85">
        <f>IF(B45="Aucun",0,IF(B45="Sous verre 2 faces",0,D44-D178*2+VLOOKUP(B45,$A$292:$L$297,6)))</f>
        <v>0</v>
      </c>
      <c r="D179" s="85">
        <f>IF(B45="Sous verre 2 faces",0,B48)</f>
        <v>0</v>
      </c>
      <c r="E179" s="85">
        <f>IF(C179=0,0,VLOOKUP(B45,$A$292:$L$297,8))</f>
        <v>0</v>
      </c>
      <c r="F179" s="45">
        <f>IF(B45="Aucun",0,IF(B45="Sous verre 2 faces",0,2))</f>
        <v>0</v>
      </c>
      <c r="G179" s="2"/>
      <c r="H179" s="2"/>
      <c r="I179" s="2"/>
      <c r="J179" s="2">
        <f t="shared" si="67"/>
        <v>0</v>
      </c>
      <c r="K179" s="2">
        <f t="shared" si="68"/>
        <v>0</v>
      </c>
      <c r="L179" s="71">
        <f>IF(E179=0,0,VLOOKUP(E179,'Prix Matiere'!$A$4:$J$65,10))</f>
        <v>0</v>
      </c>
      <c r="M179" s="71">
        <f t="shared" si="69"/>
        <v>0</v>
      </c>
      <c r="N179" s="3">
        <f t="shared" si="70"/>
        <v>0</v>
      </c>
      <c r="O179" s="71">
        <f t="shared" si="71"/>
        <v>0</v>
      </c>
      <c r="P179" s="2"/>
      <c r="Q179" s="254">
        <f>IF(J179=0,0,J179*VLOOKUP(E179,'Prix Matiere'!$A$4:$L$60,12))</f>
        <v>0</v>
      </c>
      <c r="R179" s="254">
        <f>IF(Q179=0,0,J179*VLOOKUP(E179,'Prix Matiere'!$A$4:$L$60,11))</f>
        <v>0</v>
      </c>
      <c r="S179" s="2"/>
      <c r="T179" s="2"/>
      <c r="U179" s="2"/>
      <c r="V179" s="2"/>
      <c r="W179" s="2"/>
      <c r="X179" s="2"/>
      <c r="Y179" s="2"/>
      <c r="Z179" s="2"/>
    </row>
    <row r="180" spans="1:26" ht="18" hidden="1" customHeight="1" x14ac:dyDescent="0.35">
      <c r="A180" s="2"/>
      <c r="B180" s="45">
        <f>IF(B45="Aucun",0,"Dessus")</f>
        <v>0</v>
      </c>
      <c r="C180" s="85">
        <f>IF(B45="Aucun",0,B44+VLOOKUP(B45,$A$292:$L$297,10))</f>
        <v>0</v>
      </c>
      <c r="D180" s="85">
        <f>IF(B45="Sous verre 2 faces",D44+VLOOKUP(B45,$A$292:$L$297,10),IF(B45="Sous verre / bandes de mousse",D44+VLOOKUP(B45,$A$292:$L$297,10),B47))</f>
        <v>0</v>
      </c>
      <c r="E180" s="85">
        <f>VLOOKUP(B45,$A$292:$L$297,9)</f>
        <v>0</v>
      </c>
      <c r="F180" s="45">
        <f>VLOOKUP(B45,$A$292:$L$297,11)</f>
        <v>0</v>
      </c>
      <c r="G180" s="2"/>
      <c r="H180" s="2"/>
      <c r="I180" s="2"/>
      <c r="J180" s="2">
        <f t="shared" si="67"/>
        <v>0</v>
      </c>
      <c r="K180" s="2">
        <f t="shared" si="68"/>
        <v>0</v>
      </c>
      <c r="L180" s="71">
        <f>IF(E180=0,0,VLOOKUP(E180,'Prix Matiere'!$A$4:$J$65,10))</f>
        <v>0</v>
      </c>
      <c r="M180" s="71">
        <f t="shared" si="69"/>
        <v>0</v>
      </c>
      <c r="N180" s="3">
        <f t="shared" si="70"/>
        <v>0</v>
      </c>
      <c r="O180" s="71">
        <f t="shared" si="71"/>
        <v>0</v>
      </c>
      <c r="P180" s="2"/>
      <c r="Q180" s="254">
        <f>IF(J180=0,0,J180*VLOOKUP(E180,'Prix Matiere'!$A$4:$L$60,12))</f>
        <v>0</v>
      </c>
      <c r="R180" s="254">
        <f>IF(Q180=0,0,J180*VLOOKUP(E180,'Prix Matiere'!$A$4:$L$60,11))</f>
        <v>0</v>
      </c>
      <c r="S180" s="2"/>
      <c r="T180" s="2"/>
      <c r="U180" s="2"/>
      <c r="V180" s="2"/>
      <c r="W180" s="2"/>
      <c r="X180" s="2"/>
      <c r="Y180" s="2"/>
      <c r="Z180" s="2"/>
    </row>
    <row r="181" spans="1:26" ht="18" hidden="1" customHeight="1" x14ac:dyDescent="0.35">
      <c r="A181" s="2"/>
      <c r="B181" s="45">
        <f>IF(B45="Aucun",0,"Remplis de dessus")</f>
        <v>0</v>
      </c>
      <c r="C181" s="85">
        <f>IF(B45="Aucun",0,IF(B45="Sous verre 2 faces",0,IF(B45="Sous verre / bandes de mousse",0,D44-2*D180+VLOOKUP(B45,$A$292:$L$297,10))))</f>
        <v>0</v>
      </c>
      <c r="D181" s="85">
        <f>IF(B45="Sous verre / bandes de mousse",0,IF(B45="Sous verre 2 faces",0,B47))</f>
        <v>0</v>
      </c>
      <c r="E181" s="85">
        <f>IF(C181=0,0,VLOOKUP(B45,$A$292:$L$297,9))</f>
        <v>0</v>
      </c>
      <c r="F181" s="45">
        <f>IF(B45="Aucun",0,IF(B45="Sous verre 2 faces",0,IF(B45="Sous verre / bandes de mousse",0,2)))</f>
        <v>0</v>
      </c>
      <c r="G181" s="2"/>
      <c r="H181" s="2"/>
      <c r="I181" s="2"/>
      <c r="J181" s="2">
        <f t="shared" si="67"/>
        <v>0</v>
      </c>
      <c r="K181" s="2">
        <f t="shared" si="68"/>
        <v>0</v>
      </c>
      <c r="L181" s="71">
        <f>IF(E181=0,0,VLOOKUP(E181,'Prix Matiere'!$A$4:$J$65,10))</f>
        <v>0</v>
      </c>
      <c r="M181" s="71">
        <f t="shared" si="69"/>
        <v>0</v>
      </c>
      <c r="N181" s="3">
        <f t="shared" si="70"/>
        <v>0</v>
      </c>
      <c r="O181" s="71">
        <f t="shared" si="71"/>
        <v>0</v>
      </c>
      <c r="P181" s="2"/>
      <c r="Q181" s="254">
        <f>IF(J181=0,0,J181*VLOOKUP(E181,'Prix Matiere'!$A$4:$L$60,12))</f>
        <v>0</v>
      </c>
      <c r="R181" s="254">
        <f>IF(Q181=0,0,J181*VLOOKUP(E181,'Prix Matiere'!$A$4:$L$60,11))</f>
        <v>0</v>
      </c>
      <c r="S181" s="2"/>
      <c r="T181" s="2"/>
      <c r="U181" s="2"/>
      <c r="V181" s="2"/>
      <c r="W181" s="2"/>
      <c r="X181" s="2"/>
      <c r="Y181" s="2"/>
      <c r="Z181" s="2"/>
    </row>
    <row r="182" spans="1:26" ht="18" hidden="1" customHeight="1" x14ac:dyDescent="0.35">
      <c r="A182" s="2"/>
      <c r="B182" s="45">
        <f>IF(B45="Aucun",0,"Rattrapage 1")</f>
        <v>0</v>
      </c>
      <c r="C182" s="85">
        <f>IF(B50=0,0,B44+0.2)</f>
        <v>0</v>
      </c>
      <c r="D182" s="85">
        <f>IF(B50=0,0,B50)</f>
        <v>0</v>
      </c>
      <c r="E182" s="85">
        <f t="shared" ref="E182:E183" si="73">IF(C182=0,0,CONCATENATE("PU ",$D$50*10," mm"))</f>
        <v>0</v>
      </c>
      <c r="F182" s="45">
        <f>IF(B50=0,0,2)</f>
        <v>0</v>
      </c>
      <c r="G182" s="2"/>
      <c r="H182" s="2"/>
      <c r="I182" s="2"/>
      <c r="J182" s="2">
        <f t="shared" si="67"/>
        <v>0</v>
      </c>
      <c r="K182" s="2">
        <f t="shared" si="68"/>
        <v>0</v>
      </c>
      <c r="L182" s="71">
        <f>IF(E182=0,0,VLOOKUP(E182,'Prix Matiere'!$A$4:$J$65,10))</f>
        <v>0</v>
      </c>
      <c r="M182" s="71">
        <f t="shared" si="69"/>
        <v>0</v>
      </c>
      <c r="N182" s="3">
        <f t="shared" si="70"/>
        <v>0</v>
      </c>
      <c r="O182" s="71">
        <f t="shared" si="71"/>
        <v>0</v>
      </c>
      <c r="P182" s="2"/>
      <c r="Q182" s="254">
        <f>IF(J182=0,0,J182*VLOOKUP(E182,'Prix Matiere'!$A$4:$L$60,12))</f>
        <v>0</v>
      </c>
      <c r="R182" s="254">
        <f>IF(Q182=0,0,J182*VLOOKUP(E182,'Prix Matiere'!$A$4:$L$60,11))</f>
        <v>0</v>
      </c>
      <c r="S182" s="2"/>
      <c r="T182" s="2"/>
      <c r="U182" s="2"/>
      <c r="V182" s="2"/>
      <c r="W182" s="2"/>
      <c r="X182" s="2"/>
      <c r="Y182" s="2"/>
      <c r="Z182" s="2"/>
    </row>
    <row r="183" spans="1:26" ht="18" hidden="1" customHeight="1" x14ac:dyDescent="0.35">
      <c r="A183" s="2"/>
      <c r="B183" s="45">
        <f>IF(B45="Aucun",0,"Rattrapage 2")</f>
        <v>0</v>
      </c>
      <c r="C183" s="85">
        <f>IF(B50=0,0,D44+0.2-2*D182)</f>
        <v>0</v>
      </c>
      <c r="D183" s="85">
        <f>IF(B50=0,0,D182)</f>
        <v>0</v>
      </c>
      <c r="E183" s="85">
        <f t="shared" si="73"/>
        <v>0</v>
      </c>
      <c r="F183" s="45">
        <f>IF(B50=0,0,2)</f>
        <v>0</v>
      </c>
      <c r="G183" s="2"/>
      <c r="H183" s="2"/>
      <c r="I183" s="2"/>
      <c r="J183" s="2">
        <f t="shared" si="67"/>
        <v>0</v>
      </c>
      <c r="K183" s="2">
        <f t="shared" si="68"/>
        <v>0</v>
      </c>
      <c r="L183" s="71">
        <f>IF(E183=0,0,VLOOKUP(E183,'Prix Matiere'!$A$4:$J$65,10))</f>
        <v>0</v>
      </c>
      <c r="M183" s="71">
        <f t="shared" si="69"/>
        <v>0</v>
      </c>
      <c r="N183" s="3">
        <f t="shared" si="70"/>
        <v>0</v>
      </c>
      <c r="O183" s="71">
        <f t="shared" si="71"/>
        <v>0</v>
      </c>
      <c r="P183" s="2"/>
      <c r="Q183" s="254">
        <f>IF(J183=0,0,J183*VLOOKUP(E183,'Prix Matiere'!$A$4:$L$60,12))</f>
        <v>0</v>
      </c>
      <c r="R183" s="254">
        <f>IF(Q183=0,0,J183*VLOOKUP(E183,'Prix Matiere'!$A$4:$L$60,11))</f>
        <v>0</v>
      </c>
      <c r="S183" s="2"/>
      <c r="T183" s="2"/>
      <c r="U183" s="2"/>
      <c r="V183" s="2"/>
      <c r="W183" s="2"/>
      <c r="X183" s="2"/>
      <c r="Y183" s="2"/>
      <c r="Z183" s="2"/>
    </row>
    <row r="184" spans="1:26" ht="18" hidden="1" customHeight="1" x14ac:dyDescent="0.35">
      <c r="A184" s="2"/>
      <c r="B184" s="45">
        <f>IF(B45="Aucun",0,"Remplissage 1")</f>
        <v>0</v>
      </c>
      <c r="C184" s="85">
        <f t="shared" ref="C184:D184" si="74">IF(B51=0,0,B51)</f>
        <v>0</v>
      </c>
      <c r="D184" s="85">
        <f t="shared" si="74"/>
        <v>0</v>
      </c>
      <c r="E184" s="85">
        <f>IF(C184=0,0,CONCATENATE("PU ",$D$51*10," mm"))</f>
        <v>0</v>
      </c>
      <c r="F184" s="45">
        <f t="shared" ref="F184:F185" si="75">IF(B51=0,0,1)</f>
        <v>0</v>
      </c>
      <c r="G184" s="2"/>
      <c r="H184" s="2"/>
      <c r="I184" s="2"/>
      <c r="J184" s="2">
        <f t="shared" si="67"/>
        <v>0</v>
      </c>
      <c r="K184" s="2">
        <f t="shared" si="68"/>
        <v>0</v>
      </c>
      <c r="L184" s="71">
        <f>IF(E184=0,0,VLOOKUP(E184,'Prix Matiere'!$A$4:$J$65,10))</f>
        <v>0</v>
      </c>
      <c r="M184" s="71">
        <f t="shared" si="69"/>
        <v>0</v>
      </c>
      <c r="N184" s="3">
        <f t="shared" ref="N184:N185" si="76">IF(J184=0,0,4+(6*J184))</f>
        <v>0</v>
      </c>
      <c r="O184" s="71">
        <f t="shared" si="71"/>
        <v>0</v>
      </c>
      <c r="P184" s="2"/>
      <c r="Q184" s="254">
        <f>IF(J184=0,0,J184*VLOOKUP(E184,'Prix Matiere'!$A$4:$L$60,12))</f>
        <v>0</v>
      </c>
      <c r="R184" s="254">
        <f>IF(Q184=0,0,J184*VLOOKUP(E184,'Prix Matiere'!$A$4:$L$60,11))</f>
        <v>0</v>
      </c>
      <c r="S184" s="2"/>
      <c r="T184" s="2"/>
      <c r="U184" s="2"/>
      <c r="V184" s="2"/>
      <c r="W184" s="2"/>
      <c r="X184" s="2"/>
      <c r="Y184" s="2"/>
      <c r="Z184" s="2"/>
    </row>
    <row r="185" spans="1:26" ht="18" hidden="1" customHeight="1" x14ac:dyDescent="0.35">
      <c r="A185" s="2"/>
      <c r="B185" s="45">
        <f>IF(B45="Aucun",0,"Remplissage 2")</f>
        <v>0</v>
      </c>
      <c r="C185" s="85">
        <f t="shared" ref="C185:D185" si="77">IF(B52=0,0,B52)</f>
        <v>0</v>
      </c>
      <c r="D185" s="85">
        <f t="shared" si="77"/>
        <v>0</v>
      </c>
      <c r="E185" s="85">
        <f>IF(C185=0,0,CONCATENATE("PU ",$D$52*10," mm"))</f>
        <v>0</v>
      </c>
      <c r="F185" s="45">
        <f t="shared" si="75"/>
        <v>0</v>
      </c>
      <c r="G185" s="2"/>
      <c r="H185" s="2"/>
      <c r="I185" s="2"/>
      <c r="J185" s="2">
        <f t="shared" si="67"/>
        <v>0</v>
      </c>
      <c r="K185" s="2">
        <f t="shared" si="68"/>
        <v>0</v>
      </c>
      <c r="L185" s="71">
        <f>IF(E185=0,0,VLOOKUP(E185,'Prix Matiere'!$A$4:$J$65,10))</f>
        <v>0</v>
      </c>
      <c r="M185" s="71">
        <f t="shared" si="69"/>
        <v>0</v>
      </c>
      <c r="N185" s="3">
        <f t="shared" si="76"/>
        <v>0</v>
      </c>
      <c r="O185" s="71">
        <f t="shared" si="71"/>
        <v>0</v>
      </c>
      <c r="P185" s="2"/>
      <c r="Q185" s="254">
        <f>IF(J185=0,0,J185*VLOOKUP(E185,'Prix Matiere'!$A$4:$L$60,12))</f>
        <v>0</v>
      </c>
      <c r="R185" s="254">
        <f>IF(Q185=0,0,J185*VLOOKUP(E185,'Prix Matiere'!$A$4:$L$60,11))</f>
        <v>0</v>
      </c>
      <c r="S185" s="2"/>
      <c r="T185" s="2"/>
      <c r="U185" s="2"/>
      <c r="V185" s="2"/>
      <c r="W185" s="2"/>
      <c r="X185" s="2"/>
      <c r="Y185" s="2"/>
      <c r="Z185" s="2"/>
    </row>
    <row r="186" spans="1:26" ht="18" hidden="1" customHeight="1" x14ac:dyDescent="0.35">
      <c r="A186" s="2"/>
      <c r="B186" s="45">
        <f>IF(B45="Aucun",0,"Carton")</f>
        <v>0</v>
      </c>
      <c r="C186" s="85">
        <f>IF(F186=0,0,B44+VLOOKUP(B45,$A$292:$L$297,10))</f>
        <v>0</v>
      </c>
      <c r="D186" s="85">
        <f>IF(E186=0,0,D44+VLOOKUP(B45,$A$292:$L$297,10))</f>
        <v>0</v>
      </c>
      <c r="E186" s="85">
        <f>IF(C186=0,0,"Carton")</f>
        <v>0</v>
      </c>
      <c r="F186" s="45">
        <f>VLOOKUP(B45,$A$292:$L$297,12)</f>
        <v>0</v>
      </c>
      <c r="G186" s="2"/>
      <c r="H186" s="2"/>
      <c r="I186" s="2"/>
      <c r="J186" s="2">
        <f t="shared" si="67"/>
        <v>0</v>
      </c>
      <c r="K186" s="2">
        <f t="shared" si="68"/>
        <v>0</v>
      </c>
      <c r="L186" s="71">
        <f>IF(E186=0,0,Carton)</f>
        <v>0</v>
      </c>
      <c r="M186" s="71">
        <f t="shared" si="69"/>
        <v>0</v>
      </c>
      <c r="N186" s="3">
        <f>IF(J186=0,0,1+(3*J186))</f>
        <v>0</v>
      </c>
      <c r="O186" s="71">
        <f t="shared" si="71"/>
        <v>0</v>
      </c>
      <c r="P186" s="2"/>
      <c r="Q186" s="254">
        <f>IF(J186=0,0,J186*Poids_Carton)</f>
        <v>0</v>
      </c>
      <c r="R186" s="254">
        <f>IF(Q186=0,0,J186*VLOOKUP(E186,'Prix Matiere'!$A$4:$L$60,11))</f>
        <v>0</v>
      </c>
      <c r="S186" s="2"/>
      <c r="T186" s="2"/>
      <c r="U186" s="2"/>
      <c r="V186" s="2"/>
      <c r="W186" s="2"/>
      <c r="X186" s="2"/>
      <c r="Y186" s="2"/>
      <c r="Z186" s="2"/>
    </row>
    <row r="187" spans="1:26" ht="18" hidden="1" customHeight="1" x14ac:dyDescent="0.3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71"/>
      <c r="M187" s="2"/>
      <c r="N187" s="3"/>
      <c r="O187" s="71"/>
      <c r="P187" s="2"/>
      <c r="Q187" s="254"/>
      <c r="R187" s="254">
        <f>IF(Q187=0,0,J187*VLOOKUP(E187,'Prix Matiere'!$A$4:$L$60,11))</f>
        <v>0</v>
      </c>
      <c r="S187" s="2"/>
      <c r="T187" s="2"/>
      <c r="U187" s="2"/>
      <c r="V187" s="2"/>
      <c r="W187" s="2"/>
      <c r="X187" s="2"/>
      <c r="Y187" s="2"/>
      <c r="Z187" s="2"/>
    </row>
    <row r="188" spans="1:26" ht="18" hidden="1" customHeight="1" x14ac:dyDescent="0.35">
      <c r="A188" s="2"/>
      <c r="B188" s="38" t="s">
        <v>162</v>
      </c>
      <c r="C188" s="2"/>
      <c r="D188" s="2"/>
      <c r="E188" s="2"/>
      <c r="F188" s="2"/>
      <c r="G188" s="2"/>
      <c r="H188" s="2"/>
      <c r="I188" s="2"/>
      <c r="J188" s="2"/>
      <c r="K188" s="2"/>
      <c r="L188" s="71"/>
      <c r="M188" s="71"/>
      <c r="N188" s="3"/>
      <c r="O188" s="71"/>
      <c r="P188" s="2"/>
      <c r="Q188" s="254"/>
      <c r="R188" s="254">
        <f>IF(Q188=0,0,J188*VLOOKUP(E188,'Prix Matiere'!$A$4:$L$60,11))</f>
        <v>0</v>
      </c>
      <c r="S188" s="2"/>
      <c r="T188" s="2"/>
      <c r="U188" s="2"/>
      <c r="V188" s="2"/>
      <c r="W188" s="2"/>
      <c r="X188" s="2"/>
      <c r="Y188" s="2"/>
      <c r="Z188" s="2"/>
    </row>
    <row r="189" spans="1:26" ht="18" hidden="1" customHeight="1" x14ac:dyDescent="0.35">
      <c r="A189" s="2"/>
      <c r="B189" s="41">
        <f>IF(H45="Aucun",0,"Dessus")</f>
        <v>0</v>
      </c>
      <c r="C189" s="85">
        <f>IF(H45="Aucun",0,VLOOKUP(H45,$A$292:$L$297,2)+H44)</f>
        <v>0</v>
      </c>
      <c r="D189" s="85">
        <f>IF(H45="Aucun",0,I44+VLOOKUP(H45,$A$292:$L$297,5))</f>
        <v>0</v>
      </c>
      <c r="E189" s="85">
        <f>VLOOKUP(H45,$A$292:$L$297,9)</f>
        <v>0</v>
      </c>
      <c r="F189" s="45">
        <f>IF(H45="Aucun",0,1)</f>
        <v>0</v>
      </c>
      <c r="G189" s="2"/>
      <c r="H189" s="2"/>
      <c r="I189" s="2"/>
      <c r="J189" s="2">
        <f t="shared" ref="J189:J202" si="78">IF(C189=0,0,(C189/100)*(D189/100)*F189)</f>
        <v>0</v>
      </c>
      <c r="K189" s="2">
        <f t="shared" ref="K189:K202" si="79">J189/0.8</f>
        <v>0</v>
      </c>
      <c r="L189" s="71">
        <f>IF(E189=0,0,VLOOKUP(E189,'Prix Matiere'!$A$4:$J$65,10))</f>
        <v>0</v>
      </c>
      <c r="M189" s="71">
        <f t="shared" ref="M189:M202" si="80">L189*K189</f>
        <v>0</v>
      </c>
      <c r="N189" s="3">
        <f t="shared" ref="N189:N199" si="81">IF(J189=0,0,1+(6*J189))</f>
        <v>0</v>
      </c>
      <c r="O189" s="71">
        <f t="shared" ref="O189:O202" si="82">N189*MinuteMO</f>
        <v>0</v>
      </c>
      <c r="P189" s="2"/>
      <c r="Q189" s="254">
        <f>IF(J189=0,0,J189*VLOOKUP(E189,'Prix Matiere'!$A$4:$L$60,12))</f>
        <v>0</v>
      </c>
      <c r="R189" s="254">
        <f>IF(Q189=0,0,J189*VLOOKUP(E189,'Prix Matiere'!$A$4:$L$60,11))</f>
        <v>0</v>
      </c>
      <c r="S189" s="2"/>
      <c r="T189" s="2"/>
      <c r="U189" s="2"/>
      <c r="V189" s="2"/>
      <c r="W189" s="2"/>
      <c r="X189" s="2"/>
      <c r="Y189" s="2"/>
      <c r="Z189" s="2"/>
    </row>
    <row r="190" spans="1:26" ht="18" hidden="1" customHeight="1" x14ac:dyDescent="0.35">
      <c r="A190" s="2"/>
      <c r="B190" s="45">
        <f>IF(H45="Aucun",0,"Extrémité")</f>
        <v>0</v>
      </c>
      <c r="C190" s="85">
        <f>IF(H45="Aucun",0,IF(B44&lt;60,10,IF(H44&lt;80,15,20)))</f>
        <v>0</v>
      </c>
      <c r="D190" s="85">
        <f t="shared" ref="D190:D193" si="83">D189</f>
        <v>0</v>
      </c>
      <c r="E190" s="85">
        <f>VLOOKUP(H45,$A$292:$L$297,9)</f>
        <v>0</v>
      </c>
      <c r="F190" s="45">
        <f>IF(H45="Aucun",0,2)</f>
        <v>0</v>
      </c>
      <c r="G190" s="2"/>
      <c r="H190" s="2"/>
      <c r="I190" s="2"/>
      <c r="J190" s="2">
        <f t="shared" si="78"/>
        <v>0</v>
      </c>
      <c r="K190" s="2">
        <f t="shared" si="79"/>
        <v>0</v>
      </c>
      <c r="L190" s="71">
        <f>IF(E190=0,0,VLOOKUP(E190,'Prix Matiere'!$A$4:$J$65,10))</f>
        <v>0</v>
      </c>
      <c r="M190" s="71">
        <f t="shared" si="80"/>
        <v>0</v>
      </c>
      <c r="N190" s="3">
        <f t="shared" si="81"/>
        <v>0</v>
      </c>
      <c r="O190" s="71">
        <f t="shared" si="82"/>
        <v>0</v>
      </c>
      <c r="P190" s="2"/>
      <c r="Q190" s="254">
        <f>IF(J190=0,0,J190*VLOOKUP(E190,'Prix Matiere'!$A$4:$L$60,12))</f>
        <v>0</v>
      </c>
      <c r="R190" s="254">
        <f>IF(Q190=0,0,J190*VLOOKUP(E190,'Prix Matiere'!$A$4:$L$60,11))</f>
        <v>0</v>
      </c>
      <c r="S190" s="2"/>
      <c r="T190" s="2"/>
      <c r="U190" s="2"/>
      <c r="V190" s="2"/>
      <c r="W190" s="2"/>
      <c r="X190" s="2"/>
      <c r="Y190" s="2"/>
      <c r="Z190" s="2"/>
    </row>
    <row r="191" spans="1:26" ht="18" hidden="1" customHeight="1" x14ac:dyDescent="0.35">
      <c r="A191" s="2"/>
      <c r="B191" s="45">
        <f>IF(H45="Aucun",0,G49)</f>
        <v>0</v>
      </c>
      <c r="C191" s="85">
        <f>H49</f>
        <v>0</v>
      </c>
      <c r="D191" s="85">
        <f t="shared" si="83"/>
        <v>0</v>
      </c>
      <c r="E191" s="85">
        <f>IF(H45="Aucun",0,IF(B191="Ethafoam 50 mm","Ethafoam 50 mm","Agglocelle 50 mm"))</f>
        <v>0</v>
      </c>
      <c r="F191" s="45">
        <f>K49</f>
        <v>2</v>
      </c>
      <c r="G191" s="2"/>
      <c r="H191" s="2"/>
      <c r="I191" s="2"/>
      <c r="J191" s="2">
        <f t="shared" si="78"/>
        <v>0</v>
      </c>
      <c r="K191" s="2">
        <f t="shared" si="79"/>
        <v>0</v>
      </c>
      <c r="L191" s="71">
        <f>IF(E191=0,0,VLOOKUP(E191,'Prix Matiere'!$A$4:$J$65,10))</f>
        <v>0</v>
      </c>
      <c r="M191" s="71">
        <f t="shared" si="80"/>
        <v>0</v>
      </c>
      <c r="N191" s="3">
        <f t="shared" si="81"/>
        <v>0</v>
      </c>
      <c r="O191" s="71">
        <f t="shared" si="82"/>
        <v>0</v>
      </c>
      <c r="P191" s="2"/>
      <c r="Q191" s="254">
        <f>IF(J191=0,0,J191*VLOOKUP(E191,'Prix Matiere'!$A$4:$L$60,12))</f>
        <v>0</v>
      </c>
      <c r="R191" s="254">
        <f>IF(Q191=0,0,J191*VLOOKUP(E191,'Prix Matiere'!$A$4:$L$60,11))</f>
        <v>0</v>
      </c>
      <c r="S191" s="2"/>
      <c r="T191" s="2"/>
      <c r="U191" s="2"/>
      <c r="V191" s="2"/>
      <c r="W191" s="2"/>
      <c r="X191" s="2"/>
      <c r="Y191" s="2"/>
      <c r="Z191" s="2"/>
    </row>
    <row r="192" spans="1:26" ht="18" hidden="1" customHeight="1" x14ac:dyDescent="0.35">
      <c r="A192" s="2"/>
      <c r="B192" s="45">
        <f>IF(H45="Aucun",0,"Milieu")</f>
        <v>0</v>
      </c>
      <c r="C192" s="85">
        <f>(C189-((C190*F190)+(C191*F191)))/(F191-1)</f>
        <v>0</v>
      </c>
      <c r="D192" s="85">
        <f t="shared" si="83"/>
        <v>0</v>
      </c>
      <c r="E192" s="85">
        <f>VLOOKUP(H45,$A$292:$L$297,9)</f>
        <v>0</v>
      </c>
      <c r="F192" s="45">
        <f>IF(H45="Aucun",0,F191-1)</f>
        <v>0</v>
      </c>
      <c r="G192" s="2"/>
      <c r="H192" s="2"/>
      <c r="I192" s="2"/>
      <c r="J192" s="2">
        <f t="shared" si="78"/>
        <v>0</v>
      </c>
      <c r="K192" s="2">
        <f t="shared" si="79"/>
        <v>0</v>
      </c>
      <c r="L192" s="71">
        <f>IF(E192=0,0,VLOOKUP(E192,'Prix Matiere'!$A$4:$J$65,10))</f>
        <v>0</v>
      </c>
      <c r="M192" s="71">
        <f t="shared" si="80"/>
        <v>0</v>
      </c>
      <c r="N192" s="3">
        <f t="shared" si="81"/>
        <v>0</v>
      </c>
      <c r="O192" s="71">
        <f t="shared" si="82"/>
        <v>0</v>
      </c>
      <c r="P192" s="2"/>
      <c r="Q192" s="254">
        <f>IF(J192=0,0,J192*VLOOKUP(E192,'Prix Matiere'!$A$4:$L$60,12))</f>
        <v>0</v>
      </c>
      <c r="R192" s="254">
        <f>IF(Q192=0,0,J192*VLOOKUP(E192,'Prix Matiere'!$A$4:$L$60,11))</f>
        <v>0</v>
      </c>
      <c r="S192" s="2"/>
      <c r="T192" s="2"/>
      <c r="U192" s="2"/>
      <c r="V192" s="2"/>
      <c r="W192" s="2"/>
      <c r="X192" s="2"/>
      <c r="Y192" s="2"/>
      <c r="Z192" s="2"/>
    </row>
    <row r="193" spans="1:26" ht="18" hidden="1" customHeight="1" x14ac:dyDescent="0.35">
      <c r="A193" s="2"/>
      <c r="B193" s="45">
        <f>IF(H45="Aucun",0,"Bouts avec passage de main")</f>
        <v>0</v>
      </c>
      <c r="C193" s="85">
        <f>IF(H45="Aucun",0,(J44-IF(J44&gt;120,30,15))/(F193/2))</f>
        <v>0</v>
      </c>
      <c r="D193" s="85">
        <f t="shared" si="83"/>
        <v>0</v>
      </c>
      <c r="E193" s="85">
        <f>VLOOKUP(H45,$A$292:$L$297,9)</f>
        <v>0</v>
      </c>
      <c r="F193" s="45">
        <f>IF(H45="Aucun",0,IF(J44&gt;120,6,4))</f>
        <v>0</v>
      </c>
      <c r="G193" s="2"/>
      <c r="H193" s="2"/>
      <c r="I193" s="2"/>
      <c r="J193" s="2">
        <f t="shared" si="78"/>
        <v>0</v>
      </c>
      <c r="K193" s="2">
        <f t="shared" si="79"/>
        <v>0</v>
      </c>
      <c r="L193" s="71">
        <f>IF(E193=0,0,VLOOKUP(E193,'Prix Matiere'!$A$4:$J$65,10))</f>
        <v>0</v>
      </c>
      <c r="M193" s="71">
        <f t="shared" si="80"/>
        <v>0</v>
      </c>
      <c r="N193" s="3">
        <f t="shared" si="81"/>
        <v>0</v>
      </c>
      <c r="O193" s="71">
        <f t="shared" si="82"/>
        <v>0</v>
      </c>
      <c r="P193" s="2"/>
      <c r="Q193" s="254">
        <f>IF(J193=0,0,J193*VLOOKUP(E193,'Prix Matiere'!$A$4:$L$60,12))</f>
        <v>0</v>
      </c>
      <c r="R193" s="254">
        <f>IF(Q193=0,0,J193*VLOOKUP(E193,'Prix Matiere'!$A$4:$L$60,11))</f>
        <v>0</v>
      </c>
      <c r="S193" s="2"/>
      <c r="T193" s="2"/>
      <c r="U193" s="2"/>
      <c r="V193" s="2"/>
      <c r="W193" s="2"/>
      <c r="X193" s="2"/>
      <c r="Y193" s="2"/>
      <c r="Z193" s="2"/>
    </row>
    <row r="194" spans="1:26" ht="18" hidden="1" customHeight="1" x14ac:dyDescent="0.35">
      <c r="A194" s="2"/>
      <c r="B194" s="45">
        <f>IF(H45="Aucun",0,"Fond")</f>
        <v>0</v>
      </c>
      <c r="C194" s="85">
        <f>IF(H45="Aucun",0,H44+VLOOKUP(H45,$A$292:$L$297,6))</f>
        <v>0</v>
      </c>
      <c r="D194" s="85">
        <f>IF(H45="Sous verre 2 faces",J44+VLOOKUP(H45,$A$292:$L$297,6),H48)</f>
        <v>0</v>
      </c>
      <c r="E194" s="85">
        <f>VLOOKUP(H45,$A$292:$L$297,8)</f>
        <v>0</v>
      </c>
      <c r="F194" s="45">
        <f>VLOOKUP(H45,$A$292:$L$297,7)</f>
        <v>0</v>
      </c>
      <c r="G194" s="2"/>
      <c r="H194" s="2"/>
      <c r="I194" s="2"/>
      <c r="J194" s="2">
        <f t="shared" si="78"/>
        <v>0</v>
      </c>
      <c r="K194" s="2">
        <f t="shared" si="79"/>
        <v>0</v>
      </c>
      <c r="L194" s="71">
        <f>IF(E194=0,0,VLOOKUP(E194,'Prix Matiere'!$A$4:$J$65,10))</f>
        <v>0</v>
      </c>
      <c r="M194" s="71">
        <f t="shared" si="80"/>
        <v>0</v>
      </c>
      <c r="N194" s="3">
        <f t="shared" si="81"/>
        <v>0</v>
      </c>
      <c r="O194" s="71">
        <f t="shared" si="82"/>
        <v>0</v>
      </c>
      <c r="P194" s="2"/>
      <c r="Q194" s="254">
        <f>IF(J194=0,0,J194*VLOOKUP(E194,'Prix Matiere'!$A$4:$L$60,12))</f>
        <v>0</v>
      </c>
      <c r="R194" s="254">
        <f>IF(Q194=0,0,J194*VLOOKUP(E194,'Prix Matiere'!$A$4:$L$60,11))</f>
        <v>0</v>
      </c>
      <c r="S194" s="2"/>
      <c r="T194" s="2"/>
      <c r="U194" s="2"/>
      <c r="V194" s="2"/>
      <c r="W194" s="2"/>
      <c r="X194" s="2"/>
      <c r="Y194" s="2"/>
      <c r="Z194" s="2"/>
    </row>
    <row r="195" spans="1:26" ht="18" hidden="1" customHeight="1" x14ac:dyDescent="0.35">
      <c r="A195" s="2"/>
      <c r="B195" s="45">
        <f>IF(H45="Aucun",0,"Remplis de fond")</f>
        <v>0</v>
      </c>
      <c r="C195" s="85">
        <f>IF(H45="Aucun",0,IF(H45="Sous verre 2 faces",0,J44-D194*2+VLOOKUP(H45,$A$292:$L$297,6)))</f>
        <v>0</v>
      </c>
      <c r="D195" s="85">
        <f>IF(H45="Sous verre 2 faces",0,H48)</f>
        <v>0</v>
      </c>
      <c r="E195" s="85">
        <f>IF(C195=0,0,VLOOKUP(H45,$A$292:$L$297,8))</f>
        <v>0</v>
      </c>
      <c r="F195" s="45">
        <f>IF(H45="Aucun",0,IF(H45="Sous verre 2 faces",0,2))</f>
        <v>0</v>
      </c>
      <c r="G195" s="2"/>
      <c r="H195" s="2"/>
      <c r="I195" s="2"/>
      <c r="J195" s="2">
        <f t="shared" si="78"/>
        <v>0</v>
      </c>
      <c r="K195" s="2">
        <f t="shared" si="79"/>
        <v>0</v>
      </c>
      <c r="L195" s="71">
        <f>IF(E195=0,0,VLOOKUP(E195,'Prix Matiere'!$A$4:$J$65,10))</f>
        <v>0</v>
      </c>
      <c r="M195" s="71">
        <f t="shared" si="80"/>
        <v>0</v>
      </c>
      <c r="N195" s="3">
        <f t="shared" si="81"/>
        <v>0</v>
      </c>
      <c r="O195" s="71">
        <f t="shared" si="82"/>
        <v>0</v>
      </c>
      <c r="P195" s="2"/>
      <c r="Q195" s="254">
        <f>IF(J195=0,0,J195*VLOOKUP(E195,'Prix Matiere'!$A$4:$L$60,12))</f>
        <v>0</v>
      </c>
      <c r="R195" s="254">
        <f>IF(Q195=0,0,J195*VLOOKUP(E195,'Prix Matiere'!$A$4:$L$60,11))</f>
        <v>0</v>
      </c>
      <c r="S195" s="2"/>
      <c r="T195" s="2"/>
      <c r="U195" s="2"/>
      <c r="V195" s="2"/>
      <c r="W195" s="2"/>
      <c r="X195" s="2"/>
      <c r="Y195" s="2"/>
      <c r="Z195" s="2"/>
    </row>
    <row r="196" spans="1:26" ht="18" hidden="1" customHeight="1" x14ac:dyDescent="0.35">
      <c r="A196" s="2"/>
      <c r="B196" s="45">
        <f>IF(H45="Aucun",0,"Dessus")</f>
        <v>0</v>
      </c>
      <c r="C196" s="85">
        <f>IF(H45="Aucun",0,H44+VLOOKUP(H45,$A$292:$L$297,10))</f>
        <v>0</v>
      </c>
      <c r="D196" s="85">
        <f>IF(H45="Sous verre 2 faces",J44+VLOOKUP(H45,$A$292:$L$297,10),IF(H45="Sous verre / bandes de mousse",J44+VLOOKUP(H45,$A$292:$L$297,10),H47))</f>
        <v>0</v>
      </c>
      <c r="E196" s="85">
        <f>VLOOKUP(H45,$A$292:$L$297,9)</f>
        <v>0</v>
      </c>
      <c r="F196" s="45">
        <f>VLOOKUP(H45,$A$292:$L$297,11)</f>
        <v>0</v>
      </c>
      <c r="G196" s="2"/>
      <c r="H196" s="2"/>
      <c r="I196" s="2"/>
      <c r="J196" s="2">
        <f t="shared" si="78"/>
        <v>0</v>
      </c>
      <c r="K196" s="2">
        <f t="shared" si="79"/>
        <v>0</v>
      </c>
      <c r="L196" s="71">
        <f>IF(E196=0,0,VLOOKUP(E196,'Prix Matiere'!$A$4:$J$65,10))</f>
        <v>0</v>
      </c>
      <c r="M196" s="71">
        <f t="shared" si="80"/>
        <v>0</v>
      </c>
      <c r="N196" s="3">
        <f t="shared" si="81"/>
        <v>0</v>
      </c>
      <c r="O196" s="71">
        <f t="shared" si="82"/>
        <v>0</v>
      </c>
      <c r="P196" s="2"/>
      <c r="Q196" s="254">
        <f>IF(J196=0,0,J196*VLOOKUP(E196,'Prix Matiere'!$A$4:$L$60,12))</f>
        <v>0</v>
      </c>
      <c r="R196" s="254">
        <f>IF(Q196=0,0,J196*VLOOKUP(E196,'Prix Matiere'!$A$4:$L$60,11))</f>
        <v>0</v>
      </c>
      <c r="S196" s="2"/>
      <c r="T196" s="2"/>
      <c r="U196" s="2"/>
      <c r="V196" s="2"/>
      <c r="W196" s="2"/>
      <c r="X196" s="2"/>
      <c r="Y196" s="2"/>
      <c r="Z196" s="2"/>
    </row>
    <row r="197" spans="1:26" ht="18" hidden="1" customHeight="1" x14ac:dyDescent="0.35">
      <c r="A197" s="2"/>
      <c r="B197" s="45">
        <f>IF(H45="Aucun",0,"Remplis de dessus")</f>
        <v>0</v>
      </c>
      <c r="C197" s="85">
        <f>IF(H45="Aucun",0,IF(H45="Sous verre 2 faces",0,IF(H45="Sous verre / bandes de mousse",0,J44-2*D196+VLOOKUP(H45,$A$292:$L$297,10))))</f>
        <v>0</v>
      </c>
      <c r="D197" s="85">
        <f>IF(H45="Sous verre / bandes de mousse",0,IF(H45="Sous verre 2 faces",0,H47))</f>
        <v>0</v>
      </c>
      <c r="E197" s="85">
        <f>IF(C197=0,0,VLOOKUP(H45,$A$292:$L$297,9))</f>
        <v>0</v>
      </c>
      <c r="F197" s="45">
        <f>IF(H45="Aucun",0,IF(H45="Sous verre 2 faces",0,IF(H45="Sous verre / bandes de mousse",0,2)))</f>
        <v>0</v>
      </c>
      <c r="G197" s="2"/>
      <c r="H197" s="2"/>
      <c r="I197" s="2"/>
      <c r="J197" s="2">
        <f t="shared" si="78"/>
        <v>0</v>
      </c>
      <c r="K197" s="2">
        <f t="shared" si="79"/>
        <v>0</v>
      </c>
      <c r="L197" s="71">
        <f>IF(E197=0,0,VLOOKUP(E197,'Prix Matiere'!$A$4:$J$65,10))</f>
        <v>0</v>
      </c>
      <c r="M197" s="71">
        <f t="shared" si="80"/>
        <v>0</v>
      </c>
      <c r="N197" s="3">
        <f t="shared" si="81"/>
        <v>0</v>
      </c>
      <c r="O197" s="71">
        <f t="shared" si="82"/>
        <v>0</v>
      </c>
      <c r="P197" s="2"/>
      <c r="Q197" s="254">
        <f>IF(J197=0,0,J197*VLOOKUP(E197,'Prix Matiere'!$A$4:$L$60,12))</f>
        <v>0</v>
      </c>
      <c r="R197" s="254">
        <f>IF(Q197=0,0,J197*VLOOKUP(E197,'Prix Matiere'!$A$4:$L$60,11))</f>
        <v>0</v>
      </c>
      <c r="S197" s="2"/>
      <c r="T197" s="2"/>
      <c r="U197" s="2"/>
      <c r="V197" s="2"/>
      <c r="W197" s="2"/>
      <c r="X197" s="2"/>
      <c r="Y197" s="2"/>
      <c r="Z197" s="2"/>
    </row>
    <row r="198" spans="1:26" ht="18" hidden="1" customHeight="1" x14ac:dyDescent="0.35">
      <c r="A198" s="2"/>
      <c r="B198" s="45">
        <f>IF(H45="Aucun",0,"Rattrapage 1")</f>
        <v>0</v>
      </c>
      <c r="C198" s="85">
        <f>IF(H50=0,0,H44+0.2)</f>
        <v>0</v>
      </c>
      <c r="D198" s="85">
        <f>IF(H50=0,0,H50)</f>
        <v>0</v>
      </c>
      <c r="E198" s="85">
        <f t="shared" ref="E198:E199" si="84">IF(C198=0,0,CONCATENATE("PU ",$J$50*10," mm"))</f>
        <v>0</v>
      </c>
      <c r="F198" s="45">
        <f>IF(H50=0,0,2)</f>
        <v>0</v>
      </c>
      <c r="G198" s="2"/>
      <c r="H198" s="2"/>
      <c r="I198" s="2"/>
      <c r="J198" s="2">
        <f t="shared" si="78"/>
        <v>0</v>
      </c>
      <c r="K198" s="2">
        <f t="shared" si="79"/>
        <v>0</v>
      </c>
      <c r="L198" s="71">
        <f>IF(E198=0,0,VLOOKUP(E198,'Prix Matiere'!$A$4:$J$65,10))</f>
        <v>0</v>
      </c>
      <c r="M198" s="71">
        <f t="shared" si="80"/>
        <v>0</v>
      </c>
      <c r="N198" s="3">
        <f t="shared" si="81"/>
        <v>0</v>
      </c>
      <c r="O198" s="71">
        <f t="shared" si="82"/>
        <v>0</v>
      </c>
      <c r="P198" s="2"/>
      <c r="Q198" s="254">
        <f>IF(J198=0,0,J198*VLOOKUP(E198,'Prix Matiere'!$A$4:$L$60,12))</f>
        <v>0</v>
      </c>
      <c r="R198" s="254">
        <f>IF(Q198=0,0,J198*VLOOKUP(E198,'Prix Matiere'!$A$4:$L$60,11))</f>
        <v>0</v>
      </c>
      <c r="S198" s="2"/>
      <c r="T198" s="2"/>
      <c r="U198" s="2"/>
      <c r="V198" s="2"/>
      <c r="W198" s="2"/>
      <c r="X198" s="2"/>
      <c r="Y198" s="2"/>
      <c r="Z198" s="2"/>
    </row>
    <row r="199" spans="1:26" ht="18" hidden="1" customHeight="1" x14ac:dyDescent="0.35">
      <c r="A199" s="2"/>
      <c r="B199" s="45">
        <f>IF(H45="Aucun",0,"Rattrapage 2")</f>
        <v>0</v>
      </c>
      <c r="C199" s="85">
        <f>IF(H50=0,0,J44+0.2-2*D198)</f>
        <v>0</v>
      </c>
      <c r="D199" s="85">
        <f>IF(H50=0,0,D198)</f>
        <v>0</v>
      </c>
      <c r="E199" s="85">
        <f t="shared" si="84"/>
        <v>0</v>
      </c>
      <c r="F199" s="45">
        <f>IF(H50=0,0,2)</f>
        <v>0</v>
      </c>
      <c r="G199" s="2"/>
      <c r="H199" s="2"/>
      <c r="I199" s="2"/>
      <c r="J199" s="2">
        <f t="shared" si="78"/>
        <v>0</v>
      </c>
      <c r="K199" s="2">
        <f t="shared" si="79"/>
        <v>0</v>
      </c>
      <c r="L199" s="71">
        <f>IF(E199=0,0,VLOOKUP(E199,'Prix Matiere'!$A$4:$J$65,10))</f>
        <v>0</v>
      </c>
      <c r="M199" s="71">
        <f t="shared" si="80"/>
        <v>0</v>
      </c>
      <c r="N199" s="3">
        <f t="shared" si="81"/>
        <v>0</v>
      </c>
      <c r="O199" s="71">
        <f t="shared" si="82"/>
        <v>0</v>
      </c>
      <c r="P199" s="2"/>
      <c r="Q199" s="254">
        <f>IF(J199=0,0,J199*VLOOKUP(E199,'Prix Matiere'!$A$4:$L$60,12))</f>
        <v>0</v>
      </c>
      <c r="R199" s="254">
        <f>IF(Q199=0,0,J199*VLOOKUP(E199,'Prix Matiere'!$A$4:$L$60,11))</f>
        <v>0</v>
      </c>
      <c r="S199" s="2"/>
      <c r="T199" s="2"/>
      <c r="U199" s="2"/>
      <c r="V199" s="2"/>
      <c r="W199" s="2"/>
      <c r="X199" s="2"/>
      <c r="Y199" s="2"/>
      <c r="Z199" s="2"/>
    </row>
    <row r="200" spans="1:26" ht="18" hidden="1" customHeight="1" x14ac:dyDescent="0.35">
      <c r="A200" s="2"/>
      <c r="B200" s="45">
        <f>IF(H45="Aucun",0,"Remplissage 1")</f>
        <v>0</v>
      </c>
      <c r="C200" s="85">
        <f t="shared" ref="C200:C201" si="85">IF(H51=0,0,H51)</f>
        <v>0</v>
      </c>
      <c r="D200" s="85">
        <f t="shared" ref="D200:D201" si="86">IF(H51=0,0,I51)</f>
        <v>0</v>
      </c>
      <c r="E200" s="85">
        <f>IF(C200=0,0,CONCATENATE("PU ",$J$51*10," mm"))</f>
        <v>0</v>
      </c>
      <c r="F200" s="45">
        <f t="shared" ref="F200:F201" si="87">IF(H51=0,0,1)</f>
        <v>0</v>
      </c>
      <c r="G200" s="2"/>
      <c r="H200" s="2"/>
      <c r="I200" s="2"/>
      <c r="J200" s="2">
        <f t="shared" si="78"/>
        <v>0</v>
      </c>
      <c r="K200" s="2">
        <f t="shared" si="79"/>
        <v>0</v>
      </c>
      <c r="L200" s="71">
        <f>IF(E200=0,0,VLOOKUP(E200,'Prix Matiere'!$A$4:$J$65,10))</f>
        <v>0</v>
      </c>
      <c r="M200" s="71">
        <f t="shared" si="80"/>
        <v>0</v>
      </c>
      <c r="N200" s="3">
        <f t="shared" ref="N200:N201" si="88">IF(J200=0,0,4+(6*J200))</f>
        <v>0</v>
      </c>
      <c r="O200" s="71">
        <f t="shared" si="82"/>
        <v>0</v>
      </c>
      <c r="P200" s="2"/>
      <c r="Q200" s="254">
        <f>IF(J200=0,0,J200*VLOOKUP(E200,'Prix Matiere'!$A$4:$L$60,12))</f>
        <v>0</v>
      </c>
      <c r="R200" s="254">
        <f>IF(Q200=0,0,J200*VLOOKUP(E200,'Prix Matiere'!$A$4:$L$60,11))</f>
        <v>0</v>
      </c>
      <c r="S200" s="2"/>
      <c r="T200" s="2"/>
      <c r="U200" s="2"/>
      <c r="V200" s="2"/>
      <c r="W200" s="2"/>
      <c r="X200" s="2"/>
      <c r="Y200" s="2"/>
      <c r="Z200" s="2"/>
    </row>
    <row r="201" spans="1:26" ht="18" hidden="1" customHeight="1" x14ac:dyDescent="0.35">
      <c r="A201" s="2"/>
      <c r="B201" s="45">
        <f>IF(H45="Aucun",0,"Remplissage 2")</f>
        <v>0</v>
      </c>
      <c r="C201" s="85">
        <f t="shared" si="85"/>
        <v>0</v>
      </c>
      <c r="D201" s="85">
        <f t="shared" si="86"/>
        <v>0</v>
      </c>
      <c r="E201" s="85">
        <f>IF(C201=0,0,CONCATENATE("PU ",$J$52*10," mm"))</f>
        <v>0</v>
      </c>
      <c r="F201" s="45">
        <f t="shared" si="87"/>
        <v>0</v>
      </c>
      <c r="G201" s="2"/>
      <c r="H201" s="2"/>
      <c r="I201" s="2"/>
      <c r="J201" s="2">
        <f t="shared" si="78"/>
        <v>0</v>
      </c>
      <c r="K201" s="2">
        <f t="shared" si="79"/>
        <v>0</v>
      </c>
      <c r="L201" s="71">
        <f>IF(E201=0,0,VLOOKUP(E201,'Prix Matiere'!$A$4:$J$65,10))</f>
        <v>0</v>
      </c>
      <c r="M201" s="71">
        <f t="shared" si="80"/>
        <v>0</v>
      </c>
      <c r="N201" s="3">
        <f t="shared" si="88"/>
        <v>0</v>
      </c>
      <c r="O201" s="71">
        <f t="shared" si="82"/>
        <v>0</v>
      </c>
      <c r="P201" s="2"/>
      <c r="Q201" s="254">
        <f>IF(J201=0,0,J201*VLOOKUP(E201,'Prix Matiere'!$A$4:$L$60,12))</f>
        <v>0</v>
      </c>
      <c r="R201" s="254">
        <f>IF(Q201=0,0,J201*VLOOKUP(E201,'Prix Matiere'!$A$4:$L$60,11))</f>
        <v>0</v>
      </c>
      <c r="S201" s="2"/>
      <c r="T201" s="2"/>
      <c r="U201" s="2"/>
      <c r="V201" s="2"/>
      <c r="W201" s="2"/>
      <c r="X201" s="2"/>
      <c r="Y201" s="2"/>
      <c r="Z201" s="2"/>
    </row>
    <row r="202" spans="1:26" ht="18" hidden="1" customHeight="1" x14ac:dyDescent="0.35">
      <c r="A202" s="2"/>
      <c r="B202" s="45">
        <f>IF(H45="Aucun",0,"Carton")</f>
        <v>0</v>
      </c>
      <c r="C202" s="85">
        <f>IF(F202=0,0,H44+VLOOKUP(H45,$A$292:$L$297,10))</f>
        <v>0</v>
      </c>
      <c r="D202" s="85">
        <f>IF(E202=0,0,J44+VLOOKUP(H45,$A$292:$L$297,10))</f>
        <v>0</v>
      </c>
      <c r="E202" s="85">
        <f>IF(C202=0,0,"Carton")</f>
        <v>0</v>
      </c>
      <c r="F202" s="45">
        <f>VLOOKUP(H45,$A$292:$L$297,12)</f>
        <v>0</v>
      </c>
      <c r="G202" s="2"/>
      <c r="H202" s="2"/>
      <c r="I202" s="2"/>
      <c r="J202" s="2">
        <f t="shared" si="78"/>
        <v>0</v>
      </c>
      <c r="K202" s="2">
        <f t="shared" si="79"/>
        <v>0</v>
      </c>
      <c r="L202" s="71">
        <f>IF(E202=0,0,Carton)</f>
        <v>0</v>
      </c>
      <c r="M202" s="71">
        <f t="shared" si="80"/>
        <v>0</v>
      </c>
      <c r="N202" s="3">
        <f>IF(J202=0,0,1+(3*J202))</f>
        <v>0</v>
      </c>
      <c r="O202" s="71">
        <f t="shared" si="82"/>
        <v>0</v>
      </c>
      <c r="P202" s="2"/>
      <c r="Q202" s="254">
        <f>IF(J202=0,0,J202*Poids_Carton)</f>
        <v>0</v>
      </c>
      <c r="R202" s="254">
        <f>IF(Q202=0,0,J202*VLOOKUP(E202,'Prix Matiere'!$A$4:$L$60,11))</f>
        <v>0</v>
      </c>
      <c r="S202" s="2"/>
      <c r="T202" s="2"/>
      <c r="U202" s="2"/>
      <c r="V202" s="2"/>
      <c r="W202" s="2"/>
      <c r="X202" s="2"/>
      <c r="Y202" s="2"/>
      <c r="Z202" s="2"/>
    </row>
    <row r="203" spans="1:26" ht="18" hidden="1" customHeight="1" x14ac:dyDescent="0.35">
      <c r="A203" s="2"/>
      <c r="B203" s="2"/>
      <c r="C203" s="256"/>
      <c r="D203" s="256"/>
      <c r="E203" s="256"/>
      <c r="F203" s="2"/>
      <c r="G203" s="2"/>
      <c r="H203" s="2"/>
      <c r="I203" s="2"/>
      <c r="J203" s="2"/>
      <c r="K203" s="2"/>
      <c r="L203" s="71"/>
      <c r="M203" s="71"/>
      <c r="N203" s="3"/>
      <c r="O203" s="71"/>
      <c r="P203" s="2"/>
      <c r="Q203" s="254"/>
      <c r="R203" s="254"/>
      <c r="S203" s="2"/>
      <c r="T203" s="2"/>
      <c r="U203" s="2"/>
      <c r="V203" s="2"/>
      <c r="W203" s="2"/>
      <c r="X203" s="2"/>
      <c r="Y203" s="2"/>
      <c r="Z203" s="2"/>
    </row>
    <row r="204" spans="1:26" ht="18" hidden="1" customHeight="1" x14ac:dyDescent="0.35">
      <c r="A204" s="257" t="s">
        <v>183</v>
      </c>
      <c r="B204" s="258">
        <f>IF(B72=0,0,"Dessus/Dessous")</f>
        <v>0</v>
      </c>
      <c r="C204" s="259">
        <f>IF(B72=0,0,H72)</f>
        <v>0</v>
      </c>
      <c r="D204" s="259">
        <f>IF(B72=0,0,I71)</f>
        <v>0</v>
      </c>
      <c r="E204" s="259">
        <f>IF(B72=0,0,"Peuplier 15 mm")</f>
        <v>0</v>
      </c>
      <c r="F204" s="260">
        <f>IF(B72=0,0,2)</f>
        <v>0</v>
      </c>
      <c r="G204" s="2"/>
      <c r="H204" s="2"/>
      <c r="I204" s="2"/>
      <c r="J204" s="89">
        <f t="shared" ref="J204:J206" si="89">IF(C204=0,0,(C204/100)*(D204/100)*F204)</f>
        <v>0</v>
      </c>
      <c r="K204" s="89">
        <f t="shared" ref="K204:K206" si="90">J204/0.8</f>
        <v>0</v>
      </c>
      <c r="L204" s="71">
        <f>IF(E204=0,0,VLOOKUP(E204,'Prix Matiere'!$A$4:$J$65,10))</f>
        <v>0</v>
      </c>
      <c r="M204" s="71">
        <f t="shared" ref="M204:M206" si="91">L204*K204</f>
        <v>0</v>
      </c>
      <c r="N204" s="3">
        <f t="shared" ref="N204:N206" si="92">IF(J204=0,0,5+(6*J204))</f>
        <v>0</v>
      </c>
      <c r="O204" s="71">
        <f>N204*MinuteMO</f>
        <v>0</v>
      </c>
      <c r="P204" s="2"/>
      <c r="Q204" s="254">
        <f>IF(J204=0,0,J204*VLOOKUP(E204,'Prix Matiere'!$A$4:$L$60,12))</f>
        <v>0</v>
      </c>
      <c r="R204" s="254">
        <f>IF(Q204=0,0,J204*VLOOKUP(E204,'Prix Matiere'!$A$4:$L$60,11))</f>
        <v>0</v>
      </c>
      <c r="S204" s="2"/>
      <c r="T204" s="2"/>
      <c r="U204" s="2"/>
      <c r="V204" s="2"/>
      <c r="W204" s="2"/>
      <c r="X204" s="2"/>
      <c r="Y204" s="2"/>
      <c r="Z204" s="2"/>
    </row>
    <row r="205" spans="1:26" ht="18" hidden="1" customHeight="1" x14ac:dyDescent="0.35">
      <c r="A205" s="178"/>
      <c r="B205" s="45">
        <f>IF(B72=0,0,"Bouts")</f>
        <v>0</v>
      </c>
      <c r="C205" s="85">
        <f>IF(B72=0,0,J71)</f>
        <v>0</v>
      </c>
      <c r="D205" s="85">
        <f>D204</f>
        <v>0</v>
      </c>
      <c r="E205" s="85">
        <f>IF(B72=0,0,"Peuplier 15 mm")</f>
        <v>0</v>
      </c>
      <c r="F205" s="175">
        <f>IF(B72=0,0,2)</f>
        <v>0</v>
      </c>
      <c r="G205" s="2"/>
      <c r="H205" s="2"/>
      <c r="I205" s="2"/>
      <c r="J205" s="89">
        <f t="shared" si="89"/>
        <v>0</v>
      </c>
      <c r="K205" s="89">
        <f t="shared" si="90"/>
        <v>0</v>
      </c>
      <c r="L205" s="71">
        <f>IF(E205=0,0,VLOOKUP(E205,'Prix Matiere'!$A$4:$J$65,10))</f>
        <v>0</v>
      </c>
      <c r="M205" s="71">
        <f t="shared" si="91"/>
        <v>0</v>
      </c>
      <c r="N205" s="3">
        <f t="shared" si="92"/>
        <v>0</v>
      </c>
      <c r="O205" s="71">
        <f>N205*MinuteMO</f>
        <v>0</v>
      </c>
      <c r="P205" s="2"/>
      <c r="Q205" s="254">
        <f>IF(J205=0,0,J205*VLOOKUP(E205,'Prix Matiere'!$A$4:$L$60,12))</f>
        <v>0</v>
      </c>
      <c r="R205" s="254">
        <f>IF(Q205=0,0,J205*VLOOKUP(E205,'Prix Matiere'!$A$4:$L$60,11))</f>
        <v>0</v>
      </c>
      <c r="S205" s="2"/>
      <c r="T205" s="2"/>
      <c r="U205" s="2"/>
      <c r="V205" s="2"/>
      <c r="W205" s="2"/>
      <c r="X205" s="2"/>
      <c r="Y205" s="2"/>
      <c r="Z205" s="2"/>
    </row>
    <row r="206" spans="1:26" ht="18" hidden="1" customHeight="1" x14ac:dyDescent="0.35">
      <c r="A206" s="261"/>
      <c r="B206" s="262">
        <f>IF(B72=0,0,"GC")</f>
        <v>0</v>
      </c>
      <c r="C206" s="263">
        <f>IF(B72=0,0,C204)</f>
        <v>0</v>
      </c>
      <c r="D206" s="263">
        <f>IF(B72=0,0,C205+3)</f>
        <v>0</v>
      </c>
      <c r="E206" s="263">
        <f>IF(B72=0,0,"Peuplier 15 mm")</f>
        <v>0</v>
      </c>
      <c r="F206" s="184">
        <f>IF(B72=0,0,2)</f>
        <v>0</v>
      </c>
      <c r="G206" s="2"/>
      <c r="H206" s="2"/>
      <c r="I206" s="2"/>
      <c r="J206" s="89">
        <f t="shared" si="89"/>
        <v>0</v>
      </c>
      <c r="K206" s="89">
        <f t="shared" si="90"/>
        <v>0</v>
      </c>
      <c r="L206" s="71">
        <f>IF(E206=0,0,VLOOKUP(E206,'Prix Matiere'!$A$4:$J$65,10))</f>
        <v>0</v>
      </c>
      <c r="M206" s="71">
        <f t="shared" si="91"/>
        <v>0</v>
      </c>
      <c r="N206" s="3">
        <f t="shared" si="92"/>
        <v>0</v>
      </c>
      <c r="O206" s="71">
        <f>N206*MinuteMO</f>
        <v>0</v>
      </c>
      <c r="P206" s="2"/>
      <c r="Q206" s="254">
        <f>IF(J206=0,0,J206*VLOOKUP(E206,'Prix Matiere'!$A$4:$L$60,12))</f>
        <v>0</v>
      </c>
      <c r="R206" s="254">
        <f>IF(Q206=0,0,J206*VLOOKUP(E206,'Prix Matiere'!$A$4:$L$60,11))</f>
        <v>0</v>
      </c>
      <c r="S206" s="2"/>
      <c r="T206" s="2"/>
      <c r="U206" s="2"/>
      <c r="V206" s="2"/>
      <c r="W206" s="2"/>
      <c r="X206" s="2"/>
      <c r="Y206" s="2"/>
      <c r="Z206" s="2"/>
    </row>
    <row r="207" spans="1:26" ht="18" hidden="1" customHeight="1" x14ac:dyDescent="0.3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71"/>
      <c r="M207" s="2"/>
      <c r="N207" s="3"/>
      <c r="O207" s="71"/>
      <c r="P207" s="2"/>
      <c r="Q207" s="254"/>
      <c r="R207" s="254"/>
      <c r="S207" s="2"/>
      <c r="T207" s="2"/>
      <c r="U207" s="2"/>
      <c r="V207" s="2"/>
      <c r="W207" s="2"/>
      <c r="X207" s="2"/>
      <c r="Y207" s="2"/>
      <c r="Z207" s="2"/>
    </row>
    <row r="208" spans="1:26" ht="18" hidden="1" customHeight="1" x14ac:dyDescent="0.35">
      <c r="A208" s="2"/>
      <c r="B208" s="38" t="s">
        <v>164</v>
      </c>
      <c r="C208" s="2"/>
      <c r="D208" s="2"/>
      <c r="E208" s="2"/>
      <c r="F208" s="2"/>
      <c r="G208" s="2"/>
      <c r="H208" s="2"/>
      <c r="I208" s="2"/>
      <c r="J208" s="2">
        <f t="shared" ref="J208:J222" si="93">IF(C208=0,0,(C208/100)*(D208/100)*F208)</f>
        <v>0</v>
      </c>
      <c r="K208" s="2">
        <f t="shared" ref="K208:K222" si="94">J208/0.8</f>
        <v>0</v>
      </c>
      <c r="L208" s="71"/>
      <c r="M208" s="71"/>
      <c r="N208" s="3"/>
      <c r="O208" s="71"/>
      <c r="P208" s="2"/>
      <c r="Q208" s="254"/>
      <c r="R208" s="254"/>
      <c r="S208" s="2"/>
      <c r="T208" s="2"/>
      <c r="U208" s="2"/>
      <c r="V208" s="2"/>
      <c r="W208" s="2"/>
      <c r="X208" s="2"/>
      <c r="Y208" s="2"/>
      <c r="Z208" s="2"/>
    </row>
    <row r="209" spans="1:26" ht="18" hidden="1" customHeight="1" x14ac:dyDescent="0.35">
      <c r="A209" s="2"/>
      <c r="B209" s="41">
        <f>IF(B61="Aucun",0,"Dessus")</f>
        <v>0</v>
      </c>
      <c r="C209" s="85">
        <f>IF(B61="Aucun",0,VLOOKUP(B61,$A$292:$L$297,2)+B60)</f>
        <v>0</v>
      </c>
      <c r="D209" s="85">
        <f>IF(B61="Aucun",0,C60+VLOOKUP(B61,$A$292:$L$297,5))</f>
        <v>0</v>
      </c>
      <c r="E209" s="85">
        <f>VLOOKUP(B61,$A$292:$L$297,9)</f>
        <v>0</v>
      </c>
      <c r="F209" s="45">
        <f>IF(B61="Aucun",0,1)</f>
        <v>0</v>
      </c>
      <c r="G209" s="2"/>
      <c r="H209" s="2"/>
      <c r="I209" s="2"/>
      <c r="J209" s="2">
        <f t="shared" si="93"/>
        <v>0</v>
      </c>
      <c r="K209" s="2">
        <f t="shared" si="94"/>
        <v>0</v>
      </c>
      <c r="L209" s="71">
        <f>IF(E209=0,0,VLOOKUP(E209,'Prix Matiere'!$A$4:$J$65,10))</f>
        <v>0</v>
      </c>
      <c r="M209" s="71">
        <f t="shared" ref="M209:M222" si="95">L209*K209</f>
        <v>0</v>
      </c>
      <c r="N209" s="3">
        <f t="shared" ref="N209:N219" si="96">IF(J209=0,0,1+(6*J209))</f>
        <v>0</v>
      </c>
      <c r="O209" s="71">
        <f t="shared" ref="O209:O222" si="97">N209*MinuteMO</f>
        <v>0</v>
      </c>
      <c r="P209" s="2"/>
      <c r="Q209" s="254">
        <f>IF(J209=0,0,J209*VLOOKUP(E209,'Prix Matiere'!$A$4:$L$60,12))</f>
        <v>0</v>
      </c>
      <c r="R209" s="254">
        <f>IF(Q209=0,0,J209*VLOOKUP(E209,'Prix Matiere'!$A$4:$L$60,11))</f>
        <v>0</v>
      </c>
      <c r="S209" s="2"/>
      <c r="T209" s="2"/>
      <c r="U209" s="2"/>
      <c r="V209" s="2"/>
      <c r="W209" s="2"/>
      <c r="X209" s="2"/>
      <c r="Y209" s="2"/>
      <c r="Z209" s="2"/>
    </row>
    <row r="210" spans="1:26" ht="18" hidden="1" customHeight="1" x14ac:dyDescent="0.35">
      <c r="A210" s="2"/>
      <c r="B210" s="45">
        <f>IF(B61="Aucun",0,"Extrémité")</f>
        <v>0</v>
      </c>
      <c r="C210" s="85">
        <f>IF(B61="Aucun",0,IF(B60&lt;60,10,IF(B60&lt;80,15,20)))</f>
        <v>0</v>
      </c>
      <c r="D210" s="85">
        <f t="shared" ref="D210:D213" si="98">D209</f>
        <v>0</v>
      </c>
      <c r="E210" s="85">
        <f>VLOOKUP(B61,$A$292:$L$297,9)</f>
        <v>0</v>
      </c>
      <c r="F210" s="45">
        <f>IF(B61="Aucun",0,2)</f>
        <v>0</v>
      </c>
      <c r="G210" s="2"/>
      <c r="H210" s="2"/>
      <c r="I210" s="2"/>
      <c r="J210" s="2">
        <f t="shared" si="93"/>
        <v>0</v>
      </c>
      <c r="K210" s="2">
        <f t="shared" si="94"/>
        <v>0</v>
      </c>
      <c r="L210" s="71">
        <f>IF(E210=0,0,VLOOKUP(E210,'Prix Matiere'!$A$4:$J$65,10))</f>
        <v>0</v>
      </c>
      <c r="M210" s="71">
        <f t="shared" si="95"/>
        <v>0</v>
      </c>
      <c r="N210" s="3">
        <f t="shared" si="96"/>
        <v>0</v>
      </c>
      <c r="O210" s="71">
        <f t="shared" si="97"/>
        <v>0</v>
      </c>
      <c r="P210" s="2"/>
      <c r="Q210" s="254">
        <f>IF(J210=0,0,J210*VLOOKUP(E210,'Prix Matiere'!$A$4:$L$60,12))</f>
        <v>0</v>
      </c>
      <c r="R210" s="254">
        <f>IF(Q210=0,0,J210*VLOOKUP(E210,'Prix Matiere'!$A$4:$L$60,11))</f>
        <v>0</v>
      </c>
      <c r="S210" s="2"/>
      <c r="T210" s="2"/>
      <c r="U210" s="2"/>
      <c r="V210" s="2"/>
      <c r="W210" s="2"/>
      <c r="X210" s="2"/>
      <c r="Y210" s="2"/>
      <c r="Z210" s="2"/>
    </row>
    <row r="211" spans="1:26" ht="18" hidden="1" customHeight="1" x14ac:dyDescent="0.35">
      <c r="A211" s="2"/>
      <c r="B211" s="45">
        <f>IF(B61="Aucun",0,A65)</f>
        <v>0</v>
      </c>
      <c r="C211" s="85">
        <f>B65</f>
        <v>0</v>
      </c>
      <c r="D211" s="85">
        <f t="shared" si="98"/>
        <v>0</v>
      </c>
      <c r="E211" s="85">
        <f>IF(B61="Aucun",0,IF(B211="Ethafoam 50 mm","Ethafoam 50 mm","Agglocelle 50 mm"))</f>
        <v>0</v>
      </c>
      <c r="F211" s="45">
        <f>E65</f>
        <v>2</v>
      </c>
      <c r="G211" s="2"/>
      <c r="H211" s="2"/>
      <c r="I211" s="2"/>
      <c r="J211" s="2">
        <f t="shared" si="93"/>
        <v>0</v>
      </c>
      <c r="K211" s="2">
        <f t="shared" si="94"/>
        <v>0</v>
      </c>
      <c r="L211" s="71">
        <f>IF(E211=0,0,VLOOKUP(E211,'Prix Matiere'!$A$4:$J$65,10))</f>
        <v>0</v>
      </c>
      <c r="M211" s="71">
        <f t="shared" si="95"/>
        <v>0</v>
      </c>
      <c r="N211" s="3">
        <f t="shared" si="96"/>
        <v>0</v>
      </c>
      <c r="O211" s="71">
        <f t="shared" si="97"/>
        <v>0</v>
      </c>
      <c r="P211" s="2"/>
      <c r="Q211" s="254">
        <f>IF(J211=0,0,J211*VLOOKUP(E211,'Prix Matiere'!$A$4:$L$60,12))</f>
        <v>0</v>
      </c>
      <c r="R211" s="254">
        <f>IF(Q211=0,0,J211*VLOOKUP(E211,'Prix Matiere'!$A$4:$L$60,11))</f>
        <v>0</v>
      </c>
      <c r="S211" s="2"/>
      <c r="T211" s="2"/>
      <c r="U211" s="2"/>
      <c r="V211" s="2"/>
      <c r="W211" s="2"/>
      <c r="X211" s="2"/>
      <c r="Y211" s="2"/>
      <c r="Z211" s="2"/>
    </row>
    <row r="212" spans="1:26" ht="18" hidden="1" customHeight="1" x14ac:dyDescent="0.35">
      <c r="A212" s="2"/>
      <c r="B212" s="45">
        <f>IF(B61="Aucun",0,"Milieu")</f>
        <v>0</v>
      </c>
      <c r="C212" s="85">
        <f>(C209-((C210*F210)+(C211*F211)))/(F211-1)</f>
        <v>0</v>
      </c>
      <c r="D212" s="85">
        <f t="shared" si="98"/>
        <v>0</v>
      </c>
      <c r="E212" s="85">
        <f>VLOOKUP(B61,$A$292:$L$297,9)</f>
        <v>0</v>
      </c>
      <c r="F212" s="45">
        <f>IF(B61="Aucun",0,F211-1)</f>
        <v>0</v>
      </c>
      <c r="G212" s="2"/>
      <c r="H212" s="2"/>
      <c r="I212" s="2"/>
      <c r="J212" s="2">
        <f t="shared" si="93"/>
        <v>0</v>
      </c>
      <c r="K212" s="2">
        <f t="shared" si="94"/>
        <v>0</v>
      </c>
      <c r="L212" s="71">
        <f>IF(E212=0,0,VLOOKUP(E212,'Prix Matiere'!$A$4:$J$65,10))</f>
        <v>0</v>
      </c>
      <c r="M212" s="71">
        <f t="shared" si="95"/>
        <v>0</v>
      </c>
      <c r="N212" s="3">
        <f t="shared" si="96"/>
        <v>0</v>
      </c>
      <c r="O212" s="71">
        <f t="shared" si="97"/>
        <v>0</v>
      </c>
      <c r="P212" s="2"/>
      <c r="Q212" s="254">
        <f>IF(J212=0,0,J212*VLOOKUP(E212,'Prix Matiere'!$A$4:$L$60,12))</f>
        <v>0</v>
      </c>
      <c r="R212" s="254">
        <f>IF(Q212=0,0,J212*VLOOKUP(E212,'Prix Matiere'!$A$4:$L$60,11))</f>
        <v>0</v>
      </c>
      <c r="S212" s="2"/>
      <c r="T212" s="2"/>
      <c r="U212" s="2"/>
      <c r="V212" s="2"/>
      <c r="W212" s="2"/>
      <c r="X212" s="2"/>
      <c r="Y212" s="2"/>
      <c r="Z212" s="2"/>
    </row>
    <row r="213" spans="1:26" ht="18" hidden="1" customHeight="1" x14ac:dyDescent="0.35">
      <c r="A213" s="2"/>
      <c r="B213" s="45">
        <f>IF(B61="Aucun",0,"Bouts avec passage de main")</f>
        <v>0</v>
      </c>
      <c r="C213" s="85">
        <f>IF(B61="Aucun",0,(D60-IF(D60&gt;120,30,15))/(F213/2))</f>
        <v>0</v>
      </c>
      <c r="D213" s="85">
        <f t="shared" si="98"/>
        <v>0</v>
      </c>
      <c r="E213" s="85">
        <f>VLOOKUP(B61,$A$292:$L$297,9)</f>
        <v>0</v>
      </c>
      <c r="F213" s="45">
        <f>IF(B61="Aucun",0,IF(D60&gt;120,6,4))</f>
        <v>0</v>
      </c>
      <c r="G213" s="2"/>
      <c r="H213" s="2"/>
      <c r="I213" s="2"/>
      <c r="J213" s="2">
        <f t="shared" si="93"/>
        <v>0</v>
      </c>
      <c r="K213" s="2">
        <f t="shared" si="94"/>
        <v>0</v>
      </c>
      <c r="L213" s="71">
        <f>IF(E213=0,0,VLOOKUP(E213,'Prix Matiere'!$A$4:$J$65,10))</f>
        <v>0</v>
      </c>
      <c r="M213" s="71">
        <f t="shared" si="95"/>
        <v>0</v>
      </c>
      <c r="N213" s="3">
        <f t="shared" si="96"/>
        <v>0</v>
      </c>
      <c r="O213" s="71">
        <f t="shared" si="97"/>
        <v>0</v>
      </c>
      <c r="P213" s="2"/>
      <c r="Q213" s="254">
        <f>IF(J213=0,0,J213*VLOOKUP(E213,'Prix Matiere'!$A$4:$L$60,12))</f>
        <v>0</v>
      </c>
      <c r="R213" s="254">
        <f>IF(Q213=0,0,J213*VLOOKUP(E213,'Prix Matiere'!$A$4:$L$60,11))</f>
        <v>0</v>
      </c>
      <c r="S213" s="2"/>
      <c r="T213" s="2"/>
      <c r="U213" s="2"/>
      <c r="V213" s="2"/>
      <c r="W213" s="2"/>
      <c r="X213" s="2"/>
      <c r="Y213" s="2"/>
      <c r="Z213" s="2"/>
    </row>
    <row r="214" spans="1:26" ht="18" hidden="1" customHeight="1" x14ac:dyDescent="0.35">
      <c r="A214" s="2"/>
      <c r="B214" s="45">
        <f>IF(B61="Aucun",0,"Fond")</f>
        <v>0</v>
      </c>
      <c r="C214" s="85">
        <f>IF(B61="Aucun",0,B60+VLOOKUP(B61,$A$292:$L$297,6))</f>
        <v>0</v>
      </c>
      <c r="D214" s="85">
        <f>IF(B61="Sous verre 2 faces",D60+VLOOKUP(B61,$A$292:$L$297,6),B64)</f>
        <v>0</v>
      </c>
      <c r="E214" s="85">
        <f>VLOOKUP(B61,$A$292:$L$297,8)</f>
        <v>0</v>
      </c>
      <c r="F214" s="45">
        <f>VLOOKUP(B61,$A$292:$L$297,7)</f>
        <v>0</v>
      </c>
      <c r="G214" s="2"/>
      <c r="H214" s="2"/>
      <c r="I214" s="2"/>
      <c r="J214" s="2">
        <f t="shared" si="93"/>
        <v>0</v>
      </c>
      <c r="K214" s="2">
        <f t="shared" si="94"/>
        <v>0</v>
      </c>
      <c r="L214" s="71">
        <f>IF(E214=0,0,VLOOKUP(E214,'Prix Matiere'!$A$4:$J$65,10))</f>
        <v>0</v>
      </c>
      <c r="M214" s="71">
        <f t="shared" si="95"/>
        <v>0</v>
      </c>
      <c r="N214" s="3">
        <f t="shared" si="96"/>
        <v>0</v>
      </c>
      <c r="O214" s="71">
        <f t="shared" si="97"/>
        <v>0</v>
      </c>
      <c r="P214" s="2"/>
      <c r="Q214" s="254">
        <f>IF(J214=0,0,J214*VLOOKUP(E214,'Prix Matiere'!$A$4:$L$60,12))</f>
        <v>0</v>
      </c>
      <c r="R214" s="254">
        <f>IF(Q214=0,0,J214*VLOOKUP(E214,'Prix Matiere'!$A$4:$L$60,11))</f>
        <v>0</v>
      </c>
      <c r="S214" s="2"/>
      <c r="T214" s="2"/>
      <c r="U214" s="2"/>
      <c r="V214" s="2"/>
      <c r="W214" s="2"/>
      <c r="X214" s="2"/>
      <c r="Y214" s="2"/>
      <c r="Z214" s="2"/>
    </row>
    <row r="215" spans="1:26" ht="18" hidden="1" customHeight="1" x14ac:dyDescent="0.35">
      <c r="A215" s="2"/>
      <c r="B215" s="45">
        <f>IF(B61="Aucun",0,"Remplis de fond")</f>
        <v>0</v>
      </c>
      <c r="C215" s="85">
        <f>IF(B61="Aucun",0,IF(B61="Sous verre 2 faces",0,D60-D214*2+VLOOKUP(B61,$A$292:$L$297,6)))</f>
        <v>0</v>
      </c>
      <c r="D215" s="85">
        <f>IF(B61="Sous verre 2 faces",0,B64)</f>
        <v>0</v>
      </c>
      <c r="E215" s="85">
        <f>IF(C215=0,0,VLOOKUP(B61,$A$292:$L$297,8))</f>
        <v>0</v>
      </c>
      <c r="F215" s="45">
        <f>IF(B61="Aucun",0,IF(B61="Sous verre 2 faces",0,2))</f>
        <v>0</v>
      </c>
      <c r="G215" s="2"/>
      <c r="H215" s="2"/>
      <c r="I215" s="2"/>
      <c r="J215" s="2">
        <f t="shared" si="93"/>
        <v>0</v>
      </c>
      <c r="K215" s="2">
        <f t="shared" si="94"/>
        <v>0</v>
      </c>
      <c r="L215" s="71">
        <f>IF(E215=0,0,VLOOKUP(E215,'Prix Matiere'!$A$4:$J$65,10))</f>
        <v>0</v>
      </c>
      <c r="M215" s="71">
        <f t="shared" si="95"/>
        <v>0</v>
      </c>
      <c r="N215" s="3">
        <f t="shared" si="96"/>
        <v>0</v>
      </c>
      <c r="O215" s="71">
        <f t="shared" si="97"/>
        <v>0</v>
      </c>
      <c r="P215" s="2"/>
      <c r="Q215" s="254">
        <f>IF(J215=0,0,J215*VLOOKUP(E215,'Prix Matiere'!$A$4:$L$60,12))</f>
        <v>0</v>
      </c>
      <c r="R215" s="254">
        <f>IF(Q215=0,0,J215*VLOOKUP(E215,'Prix Matiere'!$A$4:$L$60,11))</f>
        <v>0</v>
      </c>
      <c r="S215" s="2"/>
      <c r="T215" s="2"/>
      <c r="U215" s="2"/>
      <c r="V215" s="2"/>
      <c r="W215" s="2"/>
      <c r="X215" s="2"/>
      <c r="Y215" s="2"/>
      <c r="Z215" s="2"/>
    </row>
    <row r="216" spans="1:26" ht="18" hidden="1" customHeight="1" x14ac:dyDescent="0.35">
      <c r="A216" s="2"/>
      <c r="B216" s="45">
        <f>IF(B61="Aucun",0,"Dessus")</f>
        <v>0</v>
      </c>
      <c r="C216" s="85">
        <f>IF(B61="Aucun",0,B60+VLOOKUP(B61,$A$292:$L$297,10))</f>
        <v>0</v>
      </c>
      <c r="D216" s="85">
        <f>IF(B61="Sous verre 2 faces",D60+VLOOKUP(B61,$A$292:$L$297,10),IF(B61="Sous verre / bandes de mousse",D60+VLOOKUP(B61,$A$292:$L$297,10),B63))</f>
        <v>0</v>
      </c>
      <c r="E216" s="85">
        <f>VLOOKUP(B61,$A$292:$L$297,9)</f>
        <v>0</v>
      </c>
      <c r="F216" s="45">
        <f>VLOOKUP(B61,$A$292:$L$297,11)</f>
        <v>0</v>
      </c>
      <c r="G216" s="2"/>
      <c r="H216" s="2"/>
      <c r="I216" s="2"/>
      <c r="J216" s="2">
        <f t="shared" si="93"/>
        <v>0</v>
      </c>
      <c r="K216" s="2">
        <f t="shared" si="94"/>
        <v>0</v>
      </c>
      <c r="L216" s="71">
        <f>IF(E216=0,0,VLOOKUP(E216,'Prix Matiere'!$A$4:$J$65,10))</f>
        <v>0</v>
      </c>
      <c r="M216" s="71">
        <f t="shared" si="95"/>
        <v>0</v>
      </c>
      <c r="N216" s="3">
        <f t="shared" si="96"/>
        <v>0</v>
      </c>
      <c r="O216" s="71">
        <f t="shared" si="97"/>
        <v>0</v>
      </c>
      <c r="P216" s="2"/>
      <c r="Q216" s="254">
        <f>IF(J216=0,0,J216*VLOOKUP(E216,'Prix Matiere'!$A$4:$L$60,12))</f>
        <v>0</v>
      </c>
      <c r="R216" s="254">
        <f>IF(Q216=0,0,J216*VLOOKUP(E216,'Prix Matiere'!$A$4:$L$60,11))</f>
        <v>0</v>
      </c>
      <c r="S216" s="2"/>
      <c r="T216" s="2"/>
      <c r="U216" s="2"/>
      <c r="V216" s="2"/>
      <c r="W216" s="2"/>
      <c r="X216" s="2"/>
      <c r="Y216" s="2"/>
      <c r="Z216" s="2"/>
    </row>
    <row r="217" spans="1:26" ht="18" hidden="1" customHeight="1" x14ac:dyDescent="0.35">
      <c r="A217" s="2"/>
      <c r="B217" s="45">
        <f>IF(B61="Aucun",0,"Remplis de dessus")</f>
        <v>0</v>
      </c>
      <c r="C217" s="85">
        <f>IF(B61="Aucun",0,IF(B61="Sous verre 2 faces",0,IF(B61="Sous verre / bandes de mousse",0,D60-2*D216+VLOOKUP(B61,$A$292:$L$297,10))))</f>
        <v>0</v>
      </c>
      <c r="D217" s="85">
        <f>IF(B61="Sous verre / bandes de mousse",0,IF(B61="Sous verre 2 faces",0,B63))</f>
        <v>0</v>
      </c>
      <c r="E217" s="85">
        <f>IF(C217=0,0,VLOOKUP(B61,$A$292:$L$297,9))</f>
        <v>0</v>
      </c>
      <c r="F217" s="45">
        <f>IF(B61="Aucun",0,IF(B61="Sous verre 2 faces",0,IF(B61="Sous verre / bandes de mousse",0,2)))</f>
        <v>0</v>
      </c>
      <c r="G217" s="2"/>
      <c r="H217" s="2"/>
      <c r="I217" s="2"/>
      <c r="J217" s="2">
        <f t="shared" si="93"/>
        <v>0</v>
      </c>
      <c r="K217" s="2">
        <f t="shared" si="94"/>
        <v>0</v>
      </c>
      <c r="L217" s="71">
        <f>IF(E217=0,0,VLOOKUP(E217,'Prix Matiere'!$A$4:$J$65,10))</f>
        <v>0</v>
      </c>
      <c r="M217" s="71">
        <f t="shared" si="95"/>
        <v>0</v>
      </c>
      <c r="N217" s="3">
        <f t="shared" si="96"/>
        <v>0</v>
      </c>
      <c r="O217" s="71">
        <f t="shared" si="97"/>
        <v>0</v>
      </c>
      <c r="P217" s="2"/>
      <c r="Q217" s="254">
        <f>IF(J217=0,0,J217*VLOOKUP(E217,'Prix Matiere'!$A$4:$L$60,12))</f>
        <v>0</v>
      </c>
      <c r="R217" s="254">
        <f>IF(Q217=0,0,J217*VLOOKUP(E217,'Prix Matiere'!$A$4:$L$60,11))</f>
        <v>0</v>
      </c>
      <c r="S217" s="2"/>
      <c r="T217" s="2"/>
      <c r="U217" s="2"/>
      <c r="V217" s="2"/>
      <c r="W217" s="2"/>
      <c r="X217" s="2"/>
      <c r="Y217" s="2"/>
      <c r="Z217" s="2"/>
    </row>
    <row r="218" spans="1:26" ht="18" hidden="1" customHeight="1" x14ac:dyDescent="0.35">
      <c r="A218" s="2"/>
      <c r="B218" s="45">
        <f>IF(B61="Aucun",0,"Rattrapage 1")</f>
        <v>0</v>
      </c>
      <c r="C218" s="85">
        <f>IF(B66=0,0,B60+0.2)</f>
        <v>0</v>
      </c>
      <c r="D218" s="85">
        <f>IF(B66=0,0,B66)</f>
        <v>0</v>
      </c>
      <c r="E218" s="85">
        <f t="shared" ref="E218:E219" si="99">IF(C218=0,0,CONCATENATE("PU ",$D$66*10," mm"))</f>
        <v>0</v>
      </c>
      <c r="F218" s="45">
        <f>IF(B66=0,0,2)</f>
        <v>0</v>
      </c>
      <c r="G218" s="2"/>
      <c r="H218" s="2"/>
      <c r="I218" s="2"/>
      <c r="J218" s="2">
        <f t="shared" si="93"/>
        <v>0</v>
      </c>
      <c r="K218" s="2">
        <f t="shared" si="94"/>
        <v>0</v>
      </c>
      <c r="L218" s="71">
        <f>IF(E218=0,0,VLOOKUP(E218,'Prix Matiere'!$A$4:$J$65,10))</f>
        <v>0</v>
      </c>
      <c r="M218" s="71">
        <f t="shared" si="95"/>
        <v>0</v>
      </c>
      <c r="N218" s="3">
        <f t="shared" si="96"/>
        <v>0</v>
      </c>
      <c r="O218" s="71">
        <f t="shared" si="97"/>
        <v>0</v>
      </c>
      <c r="P218" s="2"/>
      <c r="Q218" s="254">
        <f>IF(J218=0,0,J218*VLOOKUP(E218,'Prix Matiere'!$A$4:$L$60,12))</f>
        <v>0</v>
      </c>
      <c r="R218" s="254">
        <f>IF(Q218=0,0,J218*VLOOKUP(E218,'Prix Matiere'!$A$4:$L$60,11))</f>
        <v>0</v>
      </c>
      <c r="S218" s="2"/>
      <c r="T218" s="2"/>
      <c r="U218" s="2"/>
      <c r="V218" s="2"/>
      <c r="W218" s="2"/>
      <c r="X218" s="2"/>
      <c r="Y218" s="2"/>
      <c r="Z218" s="2"/>
    </row>
    <row r="219" spans="1:26" ht="18" hidden="1" customHeight="1" x14ac:dyDescent="0.35">
      <c r="A219" s="2"/>
      <c r="B219" s="45">
        <f>IF(B61="Aucun",0,"Rattrapage 2")</f>
        <v>0</v>
      </c>
      <c r="C219" s="85">
        <f>IF(B66=0,0,D60+0.2-2*D218)</f>
        <v>0</v>
      </c>
      <c r="D219" s="85">
        <f>IF(B66=0,0,D218)</f>
        <v>0</v>
      </c>
      <c r="E219" s="85">
        <f t="shared" si="99"/>
        <v>0</v>
      </c>
      <c r="F219" s="45">
        <f>IF(B66=0,0,2)</f>
        <v>0</v>
      </c>
      <c r="G219" s="2"/>
      <c r="H219" s="2"/>
      <c r="I219" s="2"/>
      <c r="J219" s="2">
        <f t="shared" si="93"/>
        <v>0</v>
      </c>
      <c r="K219" s="2">
        <f t="shared" si="94"/>
        <v>0</v>
      </c>
      <c r="L219" s="71">
        <f>IF(E219=0,0,VLOOKUP(E219,'Prix Matiere'!$A$4:$J$65,10))</f>
        <v>0</v>
      </c>
      <c r="M219" s="71">
        <f t="shared" si="95"/>
        <v>0</v>
      </c>
      <c r="N219" s="3">
        <f t="shared" si="96"/>
        <v>0</v>
      </c>
      <c r="O219" s="71">
        <f t="shared" si="97"/>
        <v>0</v>
      </c>
      <c r="P219" s="2"/>
      <c r="Q219" s="254">
        <f>IF(J219=0,0,J219*VLOOKUP(E219,'Prix Matiere'!$A$4:$L$60,12))</f>
        <v>0</v>
      </c>
      <c r="R219" s="254">
        <f>IF(Q219=0,0,J219*VLOOKUP(E219,'Prix Matiere'!$A$4:$L$60,11))</f>
        <v>0</v>
      </c>
      <c r="S219" s="2"/>
      <c r="T219" s="2"/>
      <c r="U219" s="2"/>
      <c r="V219" s="2"/>
      <c r="W219" s="2"/>
      <c r="X219" s="2"/>
      <c r="Y219" s="2"/>
      <c r="Z219" s="2"/>
    </row>
    <row r="220" spans="1:26" ht="18" hidden="1" customHeight="1" x14ac:dyDescent="0.35">
      <c r="A220" s="2"/>
      <c r="B220" s="45">
        <f>IF(B61="Aucun",0,"Remplissage 1")</f>
        <v>0</v>
      </c>
      <c r="C220" s="85">
        <f t="shared" ref="C220:D220" si="100">IF(B67=0,0,B67)</f>
        <v>0</v>
      </c>
      <c r="D220" s="85">
        <f t="shared" si="100"/>
        <v>0</v>
      </c>
      <c r="E220" s="85">
        <f>IF(C220=0,0,CONCATENATE("PU ",$D$67*10," mm"))</f>
        <v>0</v>
      </c>
      <c r="F220" s="45">
        <f t="shared" ref="F220:F221" si="101">IF(B67=0,0,1)</f>
        <v>0</v>
      </c>
      <c r="G220" s="2"/>
      <c r="H220" s="2"/>
      <c r="I220" s="2"/>
      <c r="J220" s="2">
        <f t="shared" si="93"/>
        <v>0</v>
      </c>
      <c r="K220" s="2">
        <f t="shared" si="94"/>
        <v>0</v>
      </c>
      <c r="L220" s="71">
        <f>IF(E220=0,0,VLOOKUP(E220,'Prix Matiere'!$A$4:$J$65,10))</f>
        <v>0</v>
      </c>
      <c r="M220" s="71">
        <f t="shared" si="95"/>
        <v>0</v>
      </c>
      <c r="N220" s="3">
        <f t="shared" ref="N220:N221" si="102">IF(J220=0,0,4+(6*J220))</f>
        <v>0</v>
      </c>
      <c r="O220" s="71">
        <f t="shared" si="97"/>
        <v>0</v>
      </c>
      <c r="P220" s="2"/>
      <c r="Q220" s="254">
        <f>IF(J220=0,0,J220*VLOOKUP(E220,'Prix Matiere'!$A$4:$L$60,12))</f>
        <v>0</v>
      </c>
      <c r="R220" s="254">
        <f>IF(Q220=0,0,J220*VLOOKUP(E220,'Prix Matiere'!$A$4:$L$60,11))</f>
        <v>0</v>
      </c>
      <c r="S220" s="2"/>
      <c r="T220" s="2"/>
      <c r="U220" s="2"/>
      <c r="V220" s="2"/>
      <c r="W220" s="2"/>
      <c r="X220" s="2"/>
      <c r="Y220" s="2"/>
      <c r="Z220" s="2"/>
    </row>
    <row r="221" spans="1:26" ht="18" hidden="1" customHeight="1" x14ac:dyDescent="0.35">
      <c r="A221" s="2"/>
      <c r="B221" s="45">
        <f>IF(B61="Aucun",0,"Remplissage 2")</f>
        <v>0</v>
      </c>
      <c r="C221" s="85">
        <f t="shared" ref="C221:D221" si="103">IF(B68=0,0,B68)</f>
        <v>0</v>
      </c>
      <c r="D221" s="85">
        <f t="shared" si="103"/>
        <v>0</v>
      </c>
      <c r="E221" s="85">
        <f>IF(C221=0,0,CONCATENATE("PU ",$D$68*10," mm"))</f>
        <v>0</v>
      </c>
      <c r="F221" s="45">
        <f t="shared" si="101"/>
        <v>0</v>
      </c>
      <c r="G221" s="2"/>
      <c r="H221" s="2"/>
      <c r="I221" s="2"/>
      <c r="J221" s="2">
        <f t="shared" si="93"/>
        <v>0</v>
      </c>
      <c r="K221" s="2">
        <f t="shared" si="94"/>
        <v>0</v>
      </c>
      <c r="L221" s="71">
        <f>IF(E221=0,0,VLOOKUP(E221,'Prix Matiere'!$A$4:$J$65,10))</f>
        <v>0</v>
      </c>
      <c r="M221" s="71">
        <f t="shared" si="95"/>
        <v>0</v>
      </c>
      <c r="N221" s="3">
        <f t="shared" si="102"/>
        <v>0</v>
      </c>
      <c r="O221" s="71">
        <f t="shared" si="97"/>
        <v>0</v>
      </c>
      <c r="P221" s="2"/>
      <c r="Q221" s="254">
        <f>IF(J221=0,0,J221*VLOOKUP(E221,'Prix Matiere'!$A$4:$L$60,12))</f>
        <v>0</v>
      </c>
      <c r="R221" s="254">
        <f>IF(Q221=0,0,J221*VLOOKUP(E221,'Prix Matiere'!$A$4:$L$60,11))</f>
        <v>0</v>
      </c>
      <c r="S221" s="2"/>
      <c r="T221" s="2"/>
      <c r="U221" s="2"/>
      <c r="V221" s="2"/>
      <c r="W221" s="2"/>
      <c r="X221" s="2"/>
      <c r="Y221" s="2"/>
      <c r="Z221" s="2"/>
    </row>
    <row r="222" spans="1:26" ht="18" hidden="1" customHeight="1" x14ac:dyDescent="0.35">
      <c r="A222" s="2"/>
      <c r="B222" s="45">
        <f>IF(B61="Aucun",0,"Carton")</f>
        <v>0</v>
      </c>
      <c r="C222" s="85">
        <f>IF(F222=0,0,B60+VLOOKUP(B61,$A$292:$L$297,10))</f>
        <v>0</v>
      </c>
      <c r="D222" s="85">
        <f>IF(E222=0,0,D60+VLOOKUP(B61,$A$292:$L$297,10))</f>
        <v>0</v>
      </c>
      <c r="E222" s="85">
        <f>IF(C222=0,0,"Carton")</f>
        <v>0</v>
      </c>
      <c r="F222" s="45">
        <f>VLOOKUP(B61,$A$292:$L$297,12)</f>
        <v>0</v>
      </c>
      <c r="G222" s="2"/>
      <c r="H222" s="2"/>
      <c r="I222" s="2"/>
      <c r="J222" s="2">
        <f t="shared" si="93"/>
        <v>0</v>
      </c>
      <c r="K222" s="2">
        <f t="shared" si="94"/>
        <v>0</v>
      </c>
      <c r="L222" s="71">
        <f>IF(E222=0,0,Carton)</f>
        <v>0</v>
      </c>
      <c r="M222" s="71">
        <f t="shared" si="95"/>
        <v>0</v>
      </c>
      <c r="N222" s="3">
        <f>IF(J222=0,0,1+(3*J222))</f>
        <v>0</v>
      </c>
      <c r="O222" s="71">
        <f t="shared" si="97"/>
        <v>0</v>
      </c>
      <c r="P222" s="2"/>
      <c r="Q222" s="254">
        <f>IF(J222=0,0,J222*Poids_Carton)</f>
        <v>0</v>
      </c>
      <c r="R222" s="254">
        <f>IF(Q222=0,0,J222*VLOOKUP(E222,'Prix Matiere'!$A$4:$L$60,11))</f>
        <v>0</v>
      </c>
      <c r="S222" s="2"/>
      <c r="T222" s="2"/>
      <c r="U222" s="2"/>
      <c r="V222" s="2"/>
      <c r="W222" s="2"/>
      <c r="X222" s="2"/>
      <c r="Y222" s="2"/>
      <c r="Z222" s="2"/>
    </row>
    <row r="223" spans="1:26" ht="18" hidden="1" customHeight="1" x14ac:dyDescent="0.3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71"/>
      <c r="M223" s="2"/>
      <c r="N223" s="3"/>
      <c r="O223" s="71"/>
      <c r="P223" s="2"/>
      <c r="Q223" s="254"/>
      <c r="R223" s="254"/>
      <c r="S223" s="2"/>
      <c r="T223" s="2"/>
      <c r="U223" s="2"/>
      <c r="V223" s="2"/>
      <c r="W223" s="2"/>
      <c r="X223" s="2"/>
      <c r="Y223" s="2"/>
      <c r="Z223" s="2"/>
    </row>
    <row r="224" spans="1:26" ht="18" hidden="1" customHeight="1" x14ac:dyDescent="0.35">
      <c r="A224" s="2"/>
      <c r="B224" s="38" t="s">
        <v>165</v>
      </c>
      <c r="C224" s="2"/>
      <c r="D224" s="2"/>
      <c r="E224" s="2"/>
      <c r="F224" s="2"/>
      <c r="G224" s="2"/>
      <c r="H224" s="2"/>
      <c r="I224" s="2"/>
      <c r="J224" s="2"/>
      <c r="K224" s="2"/>
      <c r="L224" s="71"/>
      <c r="M224" s="71"/>
      <c r="N224" s="3"/>
      <c r="O224" s="71"/>
      <c r="P224" s="2"/>
      <c r="Q224" s="254"/>
      <c r="R224" s="254"/>
      <c r="S224" s="2"/>
      <c r="T224" s="2"/>
      <c r="U224" s="2"/>
      <c r="V224" s="2"/>
      <c r="W224" s="2"/>
      <c r="X224" s="2"/>
      <c r="Y224" s="2"/>
      <c r="Z224" s="2"/>
    </row>
    <row r="225" spans="1:26" ht="18" hidden="1" customHeight="1" x14ac:dyDescent="0.35">
      <c r="A225" s="2"/>
      <c r="B225" s="41">
        <f>IF(H61="Aucun",0,"Dessus")</f>
        <v>0</v>
      </c>
      <c r="C225" s="85">
        <f>IF(H61="Aucun",0,VLOOKUP(H61,$A$292:$L$297,2)+H60)</f>
        <v>0</v>
      </c>
      <c r="D225" s="85">
        <f>IF(H61="Aucun",0,I60+VLOOKUP(H61,$A$292:$L$297,5))</f>
        <v>0</v>
      </c>
      <c r="E225" s="85">
        <f>VLOOKUP(H61,$A$292:$L$297,9)</f>
        <v>0</v>
      </c>
      <c r="F225" s="45">
        <f>IF(H61="Aucun",0,1)</f>
        <v>0</v>
      </c>
      <c r="G225" s="2"/>
      <c r="H225" s="2"/>
      <c r="I225" s="2"/>
      <c r="J225" s="2">
        <f t="shared" ref="J225:J238" si="104">IF(C225=0,0,(C225/100)*(D225/100)*F225)</f>
        <v>0</v>
      </c>
      <c r="K225" s="2">
        <f t="shared" ref="K225:K238" si="105">J225/0.8</f>
        <v>0</v>
      </c>
      <c r="L225" s="71">
        <f>IF(E225=0,0,VLOOKUP(E225,'Prix Matiere'!$A$4:$J$65,10))</f>
        <v>0</v>
      </c>
      <c r="M225" s="71">
        <f t="shared" ref="M225:M238" si="106">L225*K225</f>
        <v>0</v>
      </c>
      <c r="N225" s="3">
        <f t="shared" ref="N225:N235" si="107">IF(J225=0,0,1+(6*J225))</f>
        <v>0</v>
      </c>
      <c r="O225" s="71">
        <f t="shared" ref="O225:O243" si="108">N225*MinuteMO</f>
        <v>0</v>
      </c>
      <c r="P225" s="2"/>
      <c r="Q225" s="254">
        <f>IF(J225=0,0,J225*VLOOKUP(E225,'Prix Matiere'!$A$4:$L$60,12))</f>
        <v>0</v>
      </c>
      <c r="R225" s="254">
        <f>IF(Q225=0,0,J225*VLOOKUP(E225,'Prix Matiere'!$A$4:$L$60,11))</f>
        <v>0</v>
      </c>
      <c r="S225" s="2"/>
      <c r="T225" s="2"/>
      <c r="U225" s="2"/>
      <c r="V225" s="2"/>
      <c r="W225" s="2"/>
      <c r="X225" s="2"/>
      <c r="Y225" s="2"/>
      <c r="Z225" s="2"/>
    </row>
    <row r="226" spans="1:26" ht="18" hidden="1" customHeight="1" x14ac:dyDescent="0.35">
      <c r="A226" s="2"/>
      <c r="B226" s="45">
        <f>IF(H61="Aucun",0,"Extrémité")</f>
        <v>0</v>
      </c>
      <c r="C226" s="85">
        <f>IF(H61="Aucun",0,IF(H60&lt;60,10,IF(H60&lt;80,15,20)))</f>
        <v>0</v>
      </c>
      <c r="D226" s="85">
        <f t="shared" ref="D226:D229" si="109">D225</f>
        <v>0</v>
      </c>
      <c r="E226" s="85">
        <f>VLOOKUP(H61,$A$292:$L$297,9)</f>
        <v>0</v>
      </c>
      <c r="F226" s="45">
        <f>IF(H61="Aucun",0,2)</f>
        <v>0</v>
      </c>
      <c r="G226" s="2"/>
      <c r="H226" s="2"/>
      <c r="I226" s="2"/>
      <c r="J226" s="2">
        <f t="shared" si="104"/>
        <v>0</v>
      </c>
      <c r="K226" s="2">
        <f t="shared" si="105"/>
        <v>0</v>
      </c>
      <c r="L226" s="71">
        <f>IF(E226=0,0,VLOOKUP(E226,'Prix Matiere'!$A$4:$J$65,10))</f>
        <v>0</v>
      </c>
      <c r="M226" s="71">
        <f t="shared" si="106"/>
        <v>0</v>
      </c>
      <c r="N226" s="3">
        <f t="shared" si="107"/>
        <v>0</v>
      </c>
      <c r="O226" s="71">
        <f t="shared" si="108"/>
        <v>0</v>
      </c>
      <c r="P226" s="2"/>
      <c r="Q226" s="254">
        <f>IF(J226=0,0,J226*VLOOKUP(E226,'Prix Matiere'!$A$4:$L$60,12))</f>
        <v>0</v>
      </c>
      <c r="R226" s="254">
        <f>IF(Q226=0,0,J226*VLOOKUP(E226,'Prix Matiere'!$A$4:$L$60,11))</f>
        <v>0</v>
      </c>
      <c r="S226" s="2"/>
      <c r="T226" s="2"/>
      <c r="U226" s="2"/>
      <c r="V226" s="2"/>
      <c r="W226" s="2"/>
      <c r="X226" s="2"/>
      <c r="Y226" s="2"/>
      <c r="Z226" s="2"/>
    </row>
    <row r="227" spans="1:26" ht="18" hidden="1" customHeight="1" x14ac:dyDescent="0.35">
      <c r="A227" s="2"/>
      <c r="B227" s="45">
        <f>IF(H61="Aucun",0,G65)</f>
        <v>0</v>
      </c>
      <c r="C227" s="85">
        <f>H65</f>
        <v>0</v>
      </c>
      <c r="D227" s="85">
        <f t="shared" si="109"/>
        <v>0</v>
      </c>
      <c r="E227" s="85">
        <f>IF(H61="Aucun",0,IF(B227="Ethafoam 50 mm","Ethafoam 50 mm","Agglocelle 50 mm"))</f>
        <v>0</v>
      </c>
      <c r="F227" s="45">
        <f>K65</f>
        <v>2</v>
      </c>
      <c r="G227" s="2"/>
      <c r="H227" s="2"/>
      <c r="I227" s="2"/>
      <c r="J227" s="2">
        <f t="shared" si="104"/>
        <v>0</v>
      </c>
      <c r="K227" s="2">
        <f t="shared" si="105"/>
        <v>0</v>
      </c>
      <c r="L227" s="71">
        <f>IF(E227=0,0,VLOOKUP(E227,'Prix Matiere'!$A$4:$J$65,10))</f>
        <v>0</v>
      </c>
      <c r="M227" s="71">
        <f t="shared" si="106"/>
        <v>0</v>
      </c>
      <c r="N227" s="3">
        <f t="shared" si="107"/>
        <v>0</v>
      </c>
      <c r="O227" s="71">
        <f t="shared" si="108"/>
        <v>0</v>
      </c>
      <c r="P227" s="2"/>
      <c r="Q227" s="254">
        <f>IF(J227=0,0,J227*VLOOKUP(E227,'Prix Matiere'!$A$4:$L$60,12))</f>
        <v>0</v>
      </c>
      <c r="R227" s="254">
        <f>IF(Q227=0,0,J227*VLOOKUP(E227,'Prix Matiere'!$A$4:$L$60,11))</f>
        <v>0</v>
      </c>
      <c r="S227" s="2"/>
      <c r="T227" s="2"/>
      <c r="U227" s="2"/>
      <c r="V227" s="2"/>
      <c r="W227" s="2"/>
      <c r="X227" s="2"/>
      <c r="Y227" s="2"/>
      <c r="Z227" s="2"/>
    </row>
    <row r="228" spans="1:26" ht="18" hidden="1" customHeight="1" x14ac:dyDescent="0.35">
      <c r="A228" s="2"/>
      <c r="B228" s="45">
        <f>IF(H61="Aucun",0,"Milieu")</f>
        <v>0</v>
      </c>
      <c r="C228" s="85">
        <f>(C225-((C226*F226)+(C227*F227)))/(F227-1)</f>
        <v>0</v>
      </c>
      <c r="D228" s="85">
        <f t="shared" si="109"/>
        <v>0</v>
      </c>
      <c r="E228" s="85">
        <f>VLOOKUP(H61,$A$292:$L$297,9)</f>
        <v>0</v>
      </c>
      <c r="F228" s="45">
        <f>IF(H61="Aucun",0,F227-1)</f>
        <v>0</v>
      </c>
      <c r="G228" s="2"/>
      <c r="H228" s="2"/>
      <c r="I228" s="2"/>
      <c r="J228" s="2">
        <f t="shared" si="104"/>
        <v>0</v>
      </c>
      <c r="K228" s="2">
        <f t="shared" si="105"/>
        <v>0</v>
      </c>
      <c r="L228" s="71">
        <f>IF(E228=0,0,VLOOKUP(E228,'Prix Matiere'!$A$4:$J$65,10))</f>
        <v>0</v>
      </c>
      <c r="M228" s="71">
        <f t="shared" si="106"/>
        <v>0</v>
      </c>
      <c r="N228" s="3">
        <f t="shared" si="107"/>
        <v>0</v>
      </c>
      <c r="O228" s="71">
        <f t="shared" si="108"/>
        <v>0</v>
      </c>
      <c r="P228" s="2"/>
      <c r="Q228" s="254">
        <f>IF(J228=0,0,J228*VLOOKUP(E228,'Prix Matiere'!$A$4:$L$60,12))</f>
        <v>0</v>
      </c>
      <c r="R228" s="254">
        <f>IF(Q228=0,0,J228*VLOOKUP(E228,'Prix Matiere'!$A$4:$L$60,11))</f>
        <v>0</v>
      </c>
      <c r="S228" s="2"/>
      <c r="T228" s="2"/>
      <c r="U228" s="2"/>
      <c r="V228" s="2"/>
      <c r="W228" s="2"/>
      <c r="X228" s="2"/>
      <c r="Y228" s="2"/>
      <c r="Z228" s="2"/>
    </row>
    <row r="229" spans="1:26" ht="18" hidden="1" customHeight="1" x14ac:dyDescent="0.35">
      <c r="A229" s="2"/>
      <c r="B229" s="45">
        <f>IF(H61="Aucun",0,"Bouts avec passage de main")</f>
        <v>0</v>
      </c>
      <c r="C229" s="85">
        <f>IF(H61="Aucun",0,(J60-IF(J60&gt;120,30,15))/(F229/2))</f>
        <v>0</v>
      </c>
      <c r="D229" s="85">
        <f t="shared" si="109"/>
        <v>0</v>
      </c>
      <c r="E229" s="85">
        <f>VLOOKUP(H61,$A$292:$L$297,9)</f>
        <v>0</v>
      </c>
      <c r="F229" s="45">
        <f>IF(H61="Aucun",0,IF(J60&gt;120,6,4))</f>
        <v>0</v>
      </c>
      <c r="G229" s="2"/>
      <c r="H229" s="2"/>
      <c r="I229" s="2"/>
      <c r="J229" s="2">
        <f t="shared" si="104"/>
        <v>0</v>
      </c>
      <c r="K229" s="2">
        <f t="shared" si="105"/>
        <v>0</v>
      </c>
      <c r="L229" s="71">
        <f>IF(E229=0,0,VLOOKUP(E229,'Prix Matiere'!$A$4:$J$65,10))</f>
        <v>0</v>
      </c>
      <c r="M229" s="71">
        <f t="shared" si="106"/>
        <v>0</v>
      </c>
      <c r="N229" s="3">
        <f t="shared" si="107"/>
        <v>0</v>
      </c>
      <c r="O229" s="71">
        <f t="shared" si="108"/>
        <v>0</v>
      </c>
      <c r="P229" s="2"/>
      <c r="Q229" s="254">
        <f>IF(J229=0,0,J229*VLOOKUP(E229,'Prix Matiere'!$A$4:$L$60,12))</f>
        <v>0</v>
      </c>
      <c r="R229" s="254">
        <f>IF(Q229=0,0,J229*VLOOKUP(E229,'Prix Matiere'!$A$4:$L$60,11))</f>
        <v>0</v>
      </c>
      <c r="S229" s="2"/>
      <c r="T229" s="2"/>
      <c r="U229" s="2"/>
      <c r="V229" s="2"/>
      <c r="W229" s="2"/>
      <c r="X229" s="2"/>
      <c r="Y229" s="2"/>
      <c r="Z229" s="2"/>
    </row>
    <row r="230" spans="1:26" ht="18" hidden="1" customHeight="1" x14ac:dyDescent="0.35">
      <c r="A230" s="2"/>
      <c r="B230" s="45">
        <f>IF(H61="Aucun",0,"Fond")</f>
        <v>0</v>
      </c>
      <c r="C230" s="85">
        <f>IF(H61="Aucun",0,H60+VLOOKUP(H61,$A$292:$L$297,6))</f>
        <v>0</v>
      </c>
      <c r="D230" s="85">
        <f>IF(H61="Sous verre 2 faces",J60+VLOOKUP(H60,$A$292:$L$297,6),H64)</f>
        <v>0</v>
      </c>
      <c r="E230" s="85">
        <f>VLOOKUP(H61,$A$292:$L$297,8)</f>
        <v>0</v>
      </c>
      <c r="F230" s="45">
        <f>VLOOKUP(H61,$A$292:$L$297,7)</f>
        <v>0</v>
      </c>
      <c r="G230" s="2"/>
      <c r="H230" s="2"/>
      <c r="I230" s="2"/>
      <c r="J230" s="2">
        <f t="shared" si="104"/>
        <v>0</v>
      </c>
      <c r="K230" s="2">
        <f t="shared" si="105"/>
        <v>0</v>
      </c>
      <c r="L230" s="71">
        <f>IF(E230=0,0,VLOOKUP(E230,'Prix Matiere'!$A$4:$J$65,10))</f>
        <v>0</v>
      </c>
      <c r="M230" s="71">
        <f t="shared" si="106"/>
        <v>0</v>
      </c>
      <c r="N230" s="3">
        <f t="shared" si="107"/>
        <v>0</v>
      </c>
      <c r="O230" s="71">
        <f t="shared" si="108"/>
        <v>0</v>
      </c>
      <c r="P230" s="2"/>
      <c r="Q230" s="254">
        <f>IF(J230=0,0,J230*VLOOKUP(E230,'Prix Matiere'!$A$4:$L$60,12))</f>
        <v>0</v>
      </c>
      <c r="R230" s="254">
        <f>IF(Q230=0,0,J230*VLOOKUP(E230,'Prix Matiere'!$A$4:$L$60,11))</f>
        <v>0</v>
      </c>
      <c r="S230" s="2"/>
      <c r="T230" s="2"/>
      <c r="U230" s="2"/>
      <c r="V230" s="2"/>
      <c r="W230" s="2"/>
      <c r="X230" s="2"/>
      <c r="Y230" s="2"/>
      <c r="Z230" s="2"/>
    </row>
    <row r="231" spans="1:26" ht="18" hidden="1" customHeight="1" x14ac:dyDescent="0.35">
      <c r="A231" s="2"/>
      <c r="B231" s="45">
        <f>IF(H61="Aucun",0,"Remplis de fond")</f>
        <v>0</v>
      </c>
      <c r="C231" s="85">
        <f>IF(H61="Aucun",0,IF(H61="Sous verre 2 faces",0,J60-D230*2+VLOOKUP(H61,$A$292:$L$297,6)))</f>
        <v>0</v>
      </c>
      <c r="D231" s="85">
        <f>IF(H61="Sous verre 2 faces",0,H64)</f>
        <v>0</v>
      </c>
      <c r="E231" s="85">
        <f>IF(C231=0,0,VLOOKUP(H61,$A$292:$L$297,8))</f>
        <v>0</v>
      </c>
      <c r="F231" s="45">
        <f>IF(H61="Aucun",0,IF(H61="Sous verre 2 faces",0,2))</f>
        <v>0</v>
      </c>
      <c r="G231" s="2"/>
      <c r="H231" s="2"/>
      <c r="I231" s="2"/>
      <c r="J231" s="2">
        <f t="shared" si="104"/>
        <v>0</v>
      </c>
      <c r="K231" s="2">
        <f t="shared" si="105"/>
        <v>0</v>
      </c>
      <c r="L231" s="71">
        <f>IF(E231=0,0,VLOOKUP(E231,'Prix Matiere'!$A$4:$J$65,10))</f>
        <v>0</v>
      </c>
      <c r="M231" s="71">
        <f t="shared" si="106"/>
        <v>0</v>
      </c>
      <c r="N231" s="3">
        <f t="shared" si="107"/>
        <v>0</v>
      </c>
      <c r="O231" s="71">
        <f t="shared" si="108"/>
        <v>0</v>
      </c>
      <c r="P231" s="2"/>
      <c r="Q231" s="254">
        <f>IF(J231=0,0,J231*VLOOKUP(E231,'Prix Matiere'!$A$4:$L$60,12))</f>
        <v>0</v>
      </c>
      <c r="R231" s="254">
        <f>IF(Q231=0,0,J231*VLOOKUP(E231,'Prix Matiere'!$A$4:$L$60,11))</f>
        <v>0</v>
      </c>
      <c r="S231" s="2"/>
      <c r="T231" s="2"/>
      <c r="U231" s="2"/>
      <c r="V231" s="2"/>
      <c r="W231" s="2"/>
      <c r="X231" s="2"/>
      <c r="Y231" s="2"/>
      <c r="Z231" s="2"/>
    </row>
    <row r="232" spans="1:26" ht="18" hidden="1" customHeight="1" x14ac:dyDescent="0.35">
      <c r="A232" s="2"/>
      <c r="B232" s="45">
        <f>IF(H61="Aucun",0,"Dessus")</f>
        <v>0</v>
      </c>
      <c r="C232" s="85">
        <f>IF(H61="Aucun",0,H60+VLOOKUP(H61,$A$292:$L$297,10))</f>
        <v>0</v>
      </c>
      <c r="D232" s="85">
        <f>IF(H61="Sous verre 2 faces",H60+VLOOKUP(H61,$A$292:$L$297,10),IF(H61="Sous verre / bandes de mousse",H60+VLOOKUP(H61,$A$292:$L$297,10),H63))</f>
        <v>0</v>
      </c>
      <c r="E232" s="85">
        <f>VLOOKUP(H61,$A$292:$L$297,9)</f>
        <v>0</v>
      </c>
      <c r="F232" s="45">
        <f>VLOOKUP(H61,$A$292:$L$297,11)</f>
        <v>0</v>
      </c>
      <c r="G232" s="2"/>
      <c r="H232" s="2"/>
      <c r="I232" s="2"/>
      <c r="J232" s="2">
        <f t="shared" si="104"/>
        <v>0</v>
      </c>
      <c r="K232" s="2">
        <f t="shared" si="105"/>
        <v>0</v>
      </c>
      <c r="L232" s="71">
        <f>IF(E232=0,0,VLOOKUP(E232,'Prix Matiere'!$A$4:$J$65,10))</f>
        <v>0</v>
      </c>
      <c r="M232" s="71">
        <f t="shared" si="106"/>
        <v>0</v>
      </c>
      <c r="N232" s="3">
        <f t="shared" si="107"/>
        <v>0</v>
      </c>
      <c r="O232" s="71">
        <f t="shared" si="108"/>
        <v>0</v>
      </c>
      <c r="P232" s="2"/>
      <c r="Q232" s="254">
        <f>IF(J232=0,0,J232*VLOOKUP(E232,'Prix Matiere'!$A$4:$L$60,12))</f>
        <v>0</v>
      </c>
      <c r="R232" s="254">
        <f>IF(Q232=0,0,J232*VLOOKUP(E232,'Prix Matiere'!$A$4:$L$60,11))</f>
        <v>0</v>
      </c>
      <c r="S232" s="2"/>
      <c r="T232" s="2"/>
      <c r="U232" s="2"/>
      <c r="V232" s="2"/>
      <c r="W232" s="2"/>
      <c r="X232" s="2"/>
      <c r="Y232" s="2"/>
      <c r="Z232" s="2"/>
    </row>
    <row r="233" spans="1:26" ht="18" hidden="1" customHeight="1" x14ac:dyDescent="0.35">
      <c r="A233" s="2"/>
      <c r="B233" s="45">
        <f>IF(H61="Aucun",0,"Remplis de dessus")</f>
        <v>0</v>
      </c>
      <c r="C233" s="85">
        <f>IF(H61="Aucun",0,IF(H61="Sous verre 2 faces",0,IF(H61="Sous verre / bandes de mousse",0,J60-2*D232+VLOOKUP(H61,$A$292:$L$297,10))))</f>
        <v>0</v>
      </c>
      <c r="D233" s="85">
        <f>IF(H61="Sous verre / bandes de mousse",0,IF(H61="Sous verre 2 faces",0,H63))</f>
        <v>0</v>
      </c>
      <c r="E233" s="85">
        <f>IF(C233=0,0,VLOOKUP(H61,$A$292:$L$297,9))</f>
        <v>0</v>
      </c>
      <c r="F233" s="45">
        <f>IF(H61="Aucun",0,IF(H61="Sous verre 2 faces",0,IF(H61="Sous verre / bandes de mousse",0,2)))</f>
        <v>0</v>
      </c>
      <c r="G233" s="2"/>
      <c r="H233" s="2"/>
      <c r="I233" s="2"/>
      <c r="J233" s="2">
        <f t="shared" si="104"/>
        <v>0</v>
      </c>
      <c r="K233" s="2">
        <f t="shared" si="105"/>
        <v>0</v>
      </c>
      <c r="L233" s="71">
        <f>IF(E233=0,0,VLOOKUP(E233,'Prix Matiere'!$A$4:$J$65,10))</f>
        <v>0</v>
      </c>
      <c r="M233" s="71">
        <f t="shared" si="106"/>
        <v>0</v>
      </c>
      <c r="N233" s="3">
        <f t="shared" si="107"/>
        <v>0</v>
      </c>
      <c r="O233" s="71">
        <f t="shared" si="108"/>
        <v>0</v>
      </c>
      <c r="P233" s="2"/>
      <c r="Q233" s="254">
        <f>IF(J233=0,0,J233*VLOOKUP(E233,'Prix Matiere'!$A$4:$L$60,12))</f>
        <v>0</v>
      </c>
      <c r="R233" s="254">
        <f>IF(Q233=0,0,J233*VLOOKUP(E233,'Prix Matiere'!$A$4:$L$60,11))</f>
        <v>0</v>
      </c>
      <c r="S233" s="2"/>
      <c r="T233" s="2"/>
      <c r="U233" s="2"/>
      <c r="V233" s="2"/>
      <c r="W233" s="2"/>
      <c r="X233" s="2"/>
      <c r="Y233" s="2"/>
      <c r="Z233" s="2"/>
    </row>
    <row r="234" spans="1:26" ht="18" hidden="1" customHeight="1" x14ac:dyDescent="0.35">
      <c r="A234" s="2"/>
      <c r="B234" s="45">
        <f>IF(H61="Aucun",0,"Rattrapage 1")</f>
        <v>0</v>
      </c>
      <c r="C234" s="85">
        <f>IF(H66=0,0,H60+0.2)</f>
        <v>0</v>
      </c>
      <c r="D234" s="85">
        <f>IF(H66=0,0,H66)</f>
        <v>0</v>
      </c>
      <c r="E234" s="85">
        <f t="shared" ref="E234:E235" si="110">IF(C234=0,0,CONCATENATE("PU ",$J$66*10," mm"))</f>
        <v>0</v>
      </c>
      <c r="F234" s="45">
        <f>IF(H66=0,0,2)</f>
        <v>0</v>
      </c>
      <c r="G234" s="2"/>
      <c r="H234" s="2"/>
      <c r="I234" s="2"/>
      <c r="J234" s="2">
        <f t="shared" si="104"/>
        <v>0</v>
      </c>
      <c r="K234" s="2">
        <f t="shared" si="105"/>
        <v>0</v>
      </c>
      <c r="L234" s="71">
        <f>IF(E234=0,0,VLOOKUP(E234,'Prix Matiere'!$A$4:$J$65,10))</f>
        <v>0</v>
      </c>
      <c r="M234" s="71">
        <f t="shared" si="106"/>
        <v>0</v>
      </c>
      <c r="N234" s="3">
        <f t="shared" si="107"/>
        <v>0</v>
      </c>
      <c r="O234" s="71">
        <f t="shared" si="108"/>
        <v>0</v>
      </c>
      <c r="P234" s="2"/>
      <c r="Q234" s="254">
        <f>IF(J234=0,0,J234*VLOOKUP(E234,'Prix Matiere'!$A$4:$L$60,12))</f>
        <v>0</v>
      </c>
      <c r="R234" s="254">
        <f>IF(Q234=0,0,J234*VLOOKUP(E234,'Prix Matiere'!$A$4:$L$60,11))</f>
        <v>0</v>
      </c>
      <c r="S234" s="2"/>
      <c r="T234" s="2"/>
      <c r="U234" s="2"/>
      <c r="V234" s="2"/>
      <c r="W234" s="2"/>
      <c r="X234" s="2"/>
      <c r="Y234" s="2"/>
      <c r="Z234" s="2"/>
    </row>
    <row r="235" spans="1:26" ht="18" hidden="1" customHeight="1" x14ac:dyDescent="0.35">
      <c r="A235" s="2"/>
      <c r="B235" s="45">
        <f>IF(H61="Aucun",0,"Rattrapage 2")</f>
        <v>0</v>
      </c>
      <c r="C235" s="85">
        <f>IF(H66=0,0,J60+0.2-2*D234)</f>
        <v>0</v>
      </c>
      <c r="D235" s="85">
        <f>IF(H66=0,0,D234)</f>
        <v>0</v>
      </c>
      <c r="E235" s="85">
        <f t="shared" si="110"/>
        <v>0</v>
      </c>
      <c r="F235" s="45">
        <f>IF(H66=0,0,2)</f>
        <v>0</v>
      </c>
      <c r="G235" s="2"/>
      <c r="H235" s="2"/>
      <c r="I235" s="2"/>
      <c r="J235" s="2">
        <f t="shared" si="104"/>
        <v>0</v>
      </c>
      <c r="K235" s="2">
        <f t="shared" si="105"/>
        <v>0</v>
      </c>
      <c r="L235" s="71">
        <f>IF(E235=0,0,VLOOKUP(E235,'Prix Matiere'!$A$4:$J$65,10))</f>
        <v>0</v>
      </c>
      <c r="M235" s="71">
        <f t="shared" si="106"/>
        <v>0</v>
      </c>
      <c r="N235" s="3">
        <f t="shared" si="107"/>
        <v>0</v>
      </c>
      <c r="O235" s="71">
        <f t="shared" si="108"/>
        <v>0</v>
      </c>
      <c r="P235" s="2"/>
      <c r="Q235" s="254">
        <f>IF(J235=0,0,J235*VLOOKUP(E235,'Prix Matiere'!$A$4:$L$60,12))</f>
        <v>0</v>
      </c>
      <c r="R235" s="254">
        <f>IF(Q235=0,0,J235*VLOOKUP(E235,'Prix Matiere'!$A$4:$L$60,11))</f>
        <v>0</v>
      </c>
      <c r="S235" s="2"/>
      <c r="T235" s="2"/>
      <c r="U235" s="2"/>
      <c r="V235" s="2"/>
      <c r="W235" s="2"/>
      <c r="X235" s="2"/>
      <c r="Y235" s="2"/>
      <c r="Z235" s="2"/>
    </row>
    <row r="236" spans="1:26" ht="18" hidden="1" customHeight="1" x14ac:dyDescent="0.35">
      <c r="A236" s="2"/>
      <c r="B236" s="45">
        <f>IF(H61="Aucun",0,"Remplissage 1")</f>
        <v>0</v>
      </c>
      <c r="C236" s="85">
        <f t="shared" ref="C236:C237" si="111">IF(H67=0,0,H67)</f>
        <v>0</v>
      </c>
      <c r="D236" s="85">
        <f t="shared" ref="D236:D237" si="112">IF(H67=0,0,I67)</f>
        <v>0</v>
      </c>
      <c r="E236" s="85">
        <f>IF(C236=0,0,CONCATENATE("PU ",$J$67*10," mm"))</f>
        <v>0</v>
      </c>
      <c r="F236" s="45">
        <f t="shared" ref="F236:F237" si="113">IF(H67=0,0,1)</f>
        <v>0</v>
      </c>
      <c r="G236" s="2"/>
      <c r="H236" s="2"/>
      <c r="I236" s="2"/>
      <c r="J236" s="2">
        <f t="shared" si="104"/>
        <v>0</v>
      </c>
      <c r="K236" s="2">
        <f t="shared" si="105"/>
        <v>0</v>
      </c>
      <c r="L236" s="71">
        <f>IF(E236=0,0,VLOOKUP(E236,'Prix Matiere'!$A$4:$J$65,10))</f>
        <v>0</v>
      </c>
      <c r="M236" s="71">
        <f t="shared" si="106"/>
        <v>0</v>
      </c>
      <c r="N236" s="3">
        <f t="shared" ref="N236:N237" si="114">IF(J236=0,0,4+(6*J236))</f>
        <v>0</v>
      </c>
      <c r="O236" s="71">
        <f t="shared" si="108"/>
        <v>0</v>
      </c>
      <c r="P236" s="2"/>
      <c r="Q236" s="254">
        <f>IF(J236=0,0,J236*VLOOKUP(E236,'Prix Matiere'!$A$4:$L$60,12))</f>
        <v>0</v>
      </c>
      <c r="R236" s="254">
        <f>IF(Q236=0,0,J236*VLOOKUP(E236,'Prix Matiere'!$A$4:$L$60,11))</f>
        <v>0</v>
      </c>
      <c r="S236" s="2"/>
      <c r="T236" s="2"/>
      <c r="U236" s="2"/>
      <c r="V236" s="2"/>
      <c r="W236" s="2"/>
      <c r="X236" s="2"/>
      <c r="Y236" s="2"/>
      <c r="Z236" s="2"/>
    </row>
    <row r="237" spans="1:26" ht="18" hidden="1" customHeight="1" x14ac:dyDescent="0.35">
      <c r="A237" s="2"/>
      <c r="B237" s="45">
        <f>IF(H61="Aucun",0,"Remplissage 2")</f>
        <v>0</v>
      </c>
      <c r="C237" s="85">
        <f t="shared" si="111"/>
        <v>0</v>
      </c>
      <c r="D237" s="85">
        <f t="shared" si="112"/>
        <v>0</v>
      </c>
      <c r="E237" s="85">
        <f>IF(C237=0,0,CONCATENATE("PU ",$J$68*10," mm"))</f>
        <v>0</v>
      </c>
      <c r="F237" s="45">
        <f t="shared" si="113"/>
        <v>0</v>
      </c>
      <c r="G237" s="2"/>
      <c r="H237" s="2"/>
      <c r="I237" s="2"/>
      <c r="J237" s="2">
        <f t="shared" si="104"/>
        <v>0</v>
      </c>
      <c r="K237" s="2">
        <f t="shared" si="105"/>
        <v>0</v>
      </c>
      <c r="L237" s="71">
        <f>IF(E237=0,0,VLOOKUP(E237,'Prix Matiere'!$A$4:$J$65,10))</f>
        <v>0</v>
      </c>
      <c r="M237" s="71">
        <f t="shared" si="106"/>
        <v>0</v>
      </c>
      <c r="N237" s="3">
        <f t="shared" si="114"/>
        <v>0</v>
      </c>
      <c r="O237" s="71">
        <f t="shared" si="108"/>
        <v>0</v>
      </c>
      <c r="P237" s="2"/>
      <c r="Q237" s="254">
        <f>IF(J237=0,0,J237*VLOOKUP(E237,'Prix Matiere'!$A$4:$L$60,12))</f>
        <v>0</v>
      </c>
      <c r="R237" s="254">
        <f>IF(Q237=0,0,J237*VLOOKUP(E237,'Prix Matiere'!$A$4:$L$60,11))</f>
        <v>0</v>
      </c>
      <c r="S237" s="2"/>
      <c r="T237" s="2"/>
      <c r="U237" s="2"/>
      <c r="V237" s="2"/>
      <c r="W237" s="2"/>
      <c r="X237" s="2"/>
      <c r="Y237" s="2"/>
      <c r="Z237" s="2"/>
    </row>
    <row r="238" spans="1:26" ht="18" hidden="1" customHeight="1" x14ac:dyDescent="0.35">
      <c r="A238" s="2"/>
      <c r="B238" s="45">
        <f>IF(H61="Aucun",0,"Carton")</f>
        <v>0</v>
      </c>
      <c r="C238" s="85">
        <f>IF(F238=0,0,H60+VLOOKUP(H61,$A$292:$L$297,10))</f>
        <v>0</v>
      </c>
      <c r="D238" s="85">
        <f>IF(E238=0,0,J60+VLOOKUP(H61,$A$292:$L$297,10))</f>
        <v>0</v>
      </c>
      <c r="E238" s="85">
        <f>IF(C238=0,0,"Carton")</f>
        <v>0</v>
      </c>
      <c r="F238" s="45">
        <f>VLOOKUP(H61,$A$292:$L$297,12)</f>
        <v>0</v>
      </c>
      <c r="G238" s="2"/>
      <c r="H238" s="2"/>
      <c r="I238" s="2"/>
      <c r="J238" s="2">
        <f t="shared" si="104"/>
        <v>0</v>
      </c>
      <c r="K238" s="2">
        <f t="shared" si="105"/>
        <v>0</v>
      </c>
      <c r="L238" s="71">
        <f>IF(E238=0,0,Carton)</f>
        <v>0</v>
      </c>
      <c r="M238" s="71">
        <f t="shared" si="106"/>
        <v>0</v>
      </c>
      <c r="N238" s="3">
        <f>IF(J238=0,0,1+(3*J238))</f>
        <v>0</v>
      </c>
      <c r="O238" s="71">
        <f t="shared" si="108"/>
        <v>0</v>
      </c>
      <c r="P238" s="2"/>
      <c r="Q238" s="254">
        <f>IF(J238=0,0,J238*Poids_Carton)</f>
        <v>0</v>
      </c>
      <c r="R238" s="254">
        <f>IF(Q238=0,0,J238*VLOOKUP(E238,'Prix Matiere'!$A$4:$L$60,11))</f>
        <v>0</v>
      </c>
      <c r="S238" s="2"/>
      <c r="T238" s="2"/>
      <c r="U238" s="2"/>
      <c r="V238" s="2"/>
      <c r="W238" s="2"/>
      <c r="X238" s="2"/>
      <c r="Y238" s="2"/>
      <c r="Z238" s="2"/>
    </row>
    <row r="239" spans="1:26" ht="18" hidden="1" customHeight="1" x14ac:dyDescent="0.85">
      <c r="A239" s="2" t="s">
        <v>71</v>
      </c>
      <c r="B239" s="33" t="str">
        <f>IF(F23="Aucun"," ",F23)</f>
        <v xml:space="preserve"> </v>
      </c>
      <c r="C239" s="2"/>
      <c r="D239" s="2"/>
      <c r="E239" s="2"/>
      <c r="F239" s="2"/>
      <c r="G239" s="2"/>
      <c r="H239" s="2"/>
      <c r="I239" s="2"/>
      <c r="J239" s="2"/>
      <c r="K239" s="2"/>
      <c r="L239" s="71"/>
      <c r="M239" s="71">
        <f>VLOOKUP($F$23,$A$281:$D$284,3)</f>
        <v>0</v>
      </c>
      <c r="N239" s="3">
        <f>IF(M239=0,0,12.5)</f>
        <v>0</v>
      </c>
      <c r="O239" s="71">
        <f t="shared" si="108"/>
        <v>0</v>
      </c>
      <c r="P239" s="2"/>
      <c r="Q239" s="2"/>
      <c r="R239" s="254"/>
      <c r="S239" s="2"/>
      <c r="T239" s="2"/>
      <c r="U239" s="2"/>
      <c r="V239" s="2"/>
      <c r="W239" s="2"/>
      <c r="X239" s="2"/>
      <c r="Y239" s="2"/>
      <c r="Z239" s="2"/>
    </row>
    <row r="240" spans="1:26" ht="19.5" hidden="1" customHeight="1" x14ac:dyDescent="0.35">
      <c r="A240" s="2" t="s">
        <v>23</v>
      </c>
      <c r="B240" s="2">
        <f>IF($F$21="Oui","Tyvek",0)</f>
        <v>0</v>
      </c>
      <c r="C240" s="2"/>
      <c r="D240" s="2"/>
      <c r="E240" s="2"/>
      <c r="F240" s="2"/>
      <c r="G240" s="2"/>
      <c r="H240" s="2"/>
      <c r="I240" s="2"/>
      <c r="J240" s="2"/>
      <c r="K240" s="89">
        <f>IF(B240="Tyvek",SUM(K225:K237)+SUM(K137:K149)+SUM(K153:K165)+SUM(K173:K185)+SUM(K189:K201)+SUM(K209:K221)/0.7,0)</f>
        <v>0</v>
      </c>
      <c r="L240" s="71">
        <f>IF(B240=0,0,2.75)</f>
        <v>0</v>
      </c>
      <c r="M240" s="71">
        <f t="shared" ref="M240:M241" si="115">K240*L240</f>
        <v>0</v>
      </c>
      <c r="N240" s="3">
        <f>IF(K240=0,0,7*K240+2)</f>
        <v>0</v>
      </c>
      <c r="O240" s="71">
        <f t="shared" si="108"/>
        <v>0</v>
      </c>
      <c r="P240" s="2"/>
      <c r="Q240" s="254">
        <f>IF(K240=0,0,K240*VLOOKUP(B240,'Prix Matiere'!$A$4:$L$60,12))</f>
        <v>0</v>
      </c>
      <c r="R240" s="254">
        <f>IF(K240=0,0,Q240*VLOOKUP(B240,'Prix Matiere'!$A$4:$L$60,11))</f>
        <v>0</v>
      </c>
      <c r="S240" s="2"/>
      <c r="T240" s="2"/>
      <c r="U240" s="2"/>
      <c r="V240" s="2"/>
      <c r="W240" s="2"/>
      <c r="X240" s="2"/>
      <c r="Y240" s="2"/>
      <c r="Z240" s="2"/>
    </row>
    <row r="241" spans="1:26" ht="18" hidden="1" customHeight="1" x14ac:dyDescent="0.35">
      <c r="A241" s="2" t="s">
        <v>19</v>
      </c>
      <c r="B241" s="2">
        <f>IF(F19="Non",0,"Peinture")</f>
        <v>0</v>
      </c>
      <c r="C241" s="2"/>
      <c r="D241" s="2"/>
      <c r="E241" s="2"/>
      <c r="F241" s="2"/>
      <c r="G241" s="2"/>
      <c r="H241" s="2"/>
      <c r="I241" s="2"/>
      <c r="J241" s="2">
        <f>IF(B241=0,0,(((C80/100)*(D80/100))+((C80/100)*(E80/100))+((D80/100)*(E80/100)))*2)</f>
        <v>0</v>
      </c>
      <c r="K241" s="2">
        <f>J241*0.5</f>
        <v>0</v>
      </c>
      <c r="L241" s="71">
        <f>IF(B241=0,0,VLOOKUP(B241,'Prix Matiere'!$A$4:$J$60,10))</f>
        <v>0</v>
      </c>
      <c r="M241" s="71">
        <f t="shared" si="115"/>
        <v>0</v>
      </c>
      <c r="N241" s="3">
        <f>IF(J241=0,0,IF(B241="Peinture",30+J241*15))</f>
        <v>0</v>
      </c>
      <c r="O241" s="71">
        <f t="shared" si="108"/>
        <v>0</v>
      </c>
      <c r="P241" s="2"/>
      <c r="Q241" s="254">
        <f>IF(J241=0,0,J241*VLOOKUP(B241,'Prix Matiere'!$A$4:$L$60,12))</f>
        <v>0</v>
      </c>
      <c r="R241" s="254">
        <f>IF(K241=0,0,Q241*VLOOKUP(B241,'Prix Matiere'!$A$4:$L$60,11))</f>
        <v>0</v>
      </c>
      <c r="S241" s="2"/>
      <c r="T241" s="2"/>
      <c r="U241" s="2"/>
      <c r="V241" s="2"/>
      <c r="W241" s="2"/>
      <c r="X241" s="2"/>
      <c r="Y241" s="2"/>
      <c r="Z241" s="2"/>
    </row>
    <row r="242" spans="1:26" ht="18" hidden="1" customHeight="1" x14ac:dyDescent="0.35">
      <c r="A242" s="2" t="s">
        <v>72</v>
      </c>
      <c r="B242" s="2" t="str">
        <f>C19</f>
        <v>Vis bois</v>
      </c>
      <c r="C242" s="2"/>
      <c r="D242" s="2"/>
      <c r="E242" s="2"/>
      <c r="F242" s="2"/>
      <c r="G242" s="2"/>
      <c r="H242" s="2"/>
      <c r="I242" s="2"/>
      <c r="J242" s="2"/>
      <c r="K242" s="2"/>
      <c r="L242" s="71"/>
      <c r="M242" s="71">
        <f>IF(B242="Vis bois",0,(F4*2+F6*2)*1.5)</f>
        <v>0</v>
      </c>
      <c r="N242" s="3">
        <f>IF(B242="Vis bois",0,45)</f>
        <v>0</v>
      </c>
      <c r="O242" s="71">
        <f t="shared" si="108"/>
        <v>0</v>
      </c>
      <c r="P242" s="2"/>
      <c r="Q242" s="2"/>
      <c r="R242" s="254">
        <f>IF(Q242=0,0,J242*VLOOKUP(E242,'Prix Matiere'!$A$4:$L$60,11))</f>
        <v>0</v>
      </c>
      <c r="S242" s="2"/>
      <c r="T242" s="2"/>
      <c r="U242" s="2"/>
      <c r="V242" s="2"/>
      <c r="W242" s="2"/>
      <c r="X242" s="2"/>
      <c r="Y242" s="2"/>
      <c r="Z242" s="2"/>
    </row>
    <row r="243" spans="1:26" ht="18" hidden="1" customHeight="1" x14ac:dyDescent="0.35">
      <c r="A243" s="2" t="s">
        <v>21</v>
      </c>
      <c r="B243" s="2" t="str">
        <f>C21</f>
        <v>Bois</v>
      </c>
      <c r="C243" s="2"/>
      <c r="D243" s="2"/>
      <c r="E243" s="2"/>
      <c r="F243" s="2"/>
      <c r="G243" s="2"/>
      <c r="H243" s="2"/>
      <c r="I243" s="2"/>
      <c r="J243" s="2"/>
      <c r="K243" s="2"/>
      <c r="L243" s="71"/>
      <c r="M243" s="71">
        <f>IF(B243="Métal x 4 sur GC",4*2,IF(B243="Métal x 2 sur bouts",2*2,0))</f>
        <v>0</v>
      </c>
      <c r="N243" s="3">
        <f>IF(B243="Métal x 4 sur GC",4*3,IF(B243="Métal x 2 sur bouts",2*3,0))</f>
        <v>0</v>
      </c>
      <c r="O243" s="71">
        <f t="shared" si="108"/>
        <v>0</v>
      </c>
      <c r="P243" s="2"/>
      <c r="Q243" s="2"/>
      <c r="R243" s="254">
        <f>IF(Q243=0,0,J243*VLOOKUP(E243,'Prix Matiere'!$A$4:$L$60,11))</f>
        <v>0</v>
      </c>
      <c r="S243" s="2"/>
      <c r="T243" s="2"/>
      <c r="U243" s="2"/>
      <c r="V243" s="2"/>
      <c r="W243" s="2"/>
      <c r="X243" s="2"/>
      <c r="Y243" s="2"/>
      <c r="Z243" s="2"/>
    </row>
    <row r="244" spans="1:26" ht="18" hidden="1" customHeight="1" x14ac:dyDescent="0.3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71"/>
      <c r="M244" s="2"/>
      <c r="N244" s="3"/>
      <c r="O244" s="71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8" hidden="1" customHeight="1" x14ac:dyDescent="0.3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71">
        <f>IF(E245=0,0,VLOOKUP(E245,'Prix Matiere'!$A$4:$J$65,10))</f>
        <v>0</v>
      </c>
      <c r="M245" s="96">
        <f t="shared" ref="M245:N245" si="116">SUM(M91:M244)</f>
        <v>-11.091351041237116</v>
      </c>
      <c r="N245" s="97">
        <f t="shared" si="116"/>
        <v>34.217307267200006</v>
      </c>
      <c r="O245" s="71">
        <f>N245*MinuteMO</f>
        <v>29.084711177120003</v>
      </c>
      <c r="P245" s="2"/>
      <c r="Q245" s="254">
        <f t="shared" ref="Q245:R245" si="117">SUM(Q91:Q244)</f>
        <v>-4.9159952000000011</v>
      </c>
      <c r="R245" s="254">
        <f t="shared" si="117"/>
        <v>-2.3588790896000003</v>
      </c>
      <c r="S245" s="2"/>
      <c r="T245" s="2"/>
      <c r="U245" s="2"/>
      <c r="V245" s="2"/>
      <c r="W245" s="2"/>
      <c r="X245" s="2"/>
      <c r="Y245" s="2"/>
      <c r="Z245" s="2"/>
    </row>
    <row r="246" spans="1:26" ht="18" hidden="1" customHeight="1" x14ac:dyDescent="0.35">
      <c r="A246" s="2"/>
      <c r="B246" s="98" t="s">
        <v>73</v>
      </c>
      <c r="C246" s="99">
        <f>IF($F$9=0,0,M245)</f>
        <v>-11.091351041237116</v>
      </c>
      <c r="D246" s="100"/>
      <c r="E246" s="302" t="s">
        <v>74</v>
      </c>
      <c r="F246" s="102" t="str">
        <f>CONCATENATE(ROUNDUP(SUM(K91:K94)+SUM(K121:K122)+SUM(K132:K134)+SUM(K168:K170)+SUM(K204:K206),2)," m²")</f>
        <v>0,02 m²</v>
      </c>
      <c r="G246" s="303">
        <f>(SUM(M91:M94)+SUM(M121:M122)+SUM(M132:M134)+SUM(M168:M170)+SUM(M204:M206))</f>
        <v>0.22657370103092789</v>
      </c>
      <c r="H246" s="2"/>
      <c r="I246" s="2"/>
      <c r="J246" s="2"/>
      <c r="K246" s="2"/>
      <c r="L246" s="2"/>
      <c r="M246" s="2"/>
      <c r="N246" s="3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8" hidden="1" customHeight="1" x14ac:dyDescent="0.35">
      <c r="A247" s="2"/>
      <c r="B247" s="105" t="s">
        <v>75</v>
      </c>
      <c r="C247" s="71">
        <f>IF($F$9=0,0,O245)</f>
        <v>29.084711177120003</v>
      </c>
      <c r="D247" s="106">
        <f>IF($F$9=0,0,N245)</f>
        <v>34.217307267200006</v>
      </c>
      <c r="E247" s="304" t="s">
        <v>76</v>
      </c>
      <c r="F247" s="107" t="str">
        <f>CONCATENATE(ROUNDUP(SUM(K97:K106),2)," m²")</f>
        <v>-0,22 m²</v>
      </c>
      <c r="G247" s="305">
        <f>(SUM(M97:M106))</f>
        <v>-11.317924742268044</v>
      </c>
      <c r="H247" s="2"/>
      <c r="I247" s="2"/>
      <c r="J247" s="2"/>
      <c r="K247" s="2"/>
      <c r="L247" s="2"/>
      <c r="M247" s="2"/>
      <c r="N247" s="3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8" hidden="1" customHeight="1" x14ac:dyDescent="0.35">
      <c r="A248" s="2"/>
      <c r="B248" s="105" t="s">
        <v>77</v>
      </c>
      <c r="C248" s="71">
        <f>IF($F$9=0,0,((C246+C247)/Frais_Généraux)-(C246+C247))</f>
        <v>9.6887323808600172</v>
      </c>
      <c r="D248" s="109"/>
      <c r="E248" s="304" t="s">
        <v>78</v>
      </c>
      <c r="F248" s="107" t="str">
        <f>CONCATENATE(ROUNDUP(SUM(K115:K117)+SUM(K126:K128),2)," m²")</f>
        <v>0 m²</v>
      </c>
      <c r="G248" s="305">
        <f>(SUM(M115:M117)+SUM(M126:M128))</f>
        <v>0</v>
      </c>
      <c r="H248" s="2"/>
      <c r="I248" s="2"/>
      <c r="J248" s="2"/>
      <c r="K248" s="2"/>
      <c r="L248" s="2"/>
      <c r="M248" s="2"/>
      <c r="N248" s="3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8" hidden="1" customHeight="1" x14ac:dyDescent="0.35">
      <c r="A249" s="2"/>
      <c r="B249" s="105" t="s">
        <v>79</v>
      </c>
      <c r="C249" s="71">
        <f>IF($F$9=0,0,SUM(C246:C248))</f>
        <v>27.682092516742905</v>
      </c>
      <c r="D249" s="109"/>
      <c r="E249" s="304" t="s">
        <v>80</v>
      </c>
      <c r="F249" s="107" t="str">
        <f>CONCATENATE(ROUNDUP(SUM(K109:K111)+SUM(K137:K149)+SUM(K153:K165)+SUM(K173:K185)+SUM(K189:K201)+SUM(K209:K221)+SUM(K225:K237),2)," m²")</f>
        <v>0 m²</v>
      </c>
      <c r="G249" s="305">
        <f>(SUM(M109:M111)+SUM(M137:M149)+SUM(M153:M165)+SUM(M173:M185)+SUM(M189:M201)+SUM(M209:M221)+SUM(M225:M237))</f>
        <v>0</v>
      </c>
      <c r="H249" s="2"/>
      <c r="I249" s="2"/>
      <c r="J249" s="2"/>
      <c r="K249" s="2"/>
      <c r="L249" s="2"/>
      <c r="M249" s="2"/>
      <c r="N249" s="3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8" hidden="1" customHeight="1" x14ac:dyDescent="0.35">
      <c r="A250" s="2"/>
      <c r="B250" s="105" t="s">
        <v>81</v>
      </c>
      <c r="C250" s="71">
        <f>IF($F$9=0,0,(C249/(1-Marge)-C249))</f>
        <v>2.0835983614752749</v>
      </c>
      <c r="D250" s="110">
        <f>C249+C250</f>
        <v>29.76569087821818</v>
      </c>
      <c r="E250" s="304" t="s">
        <v>82</v>
      </c>
      <c r="F250" s="107" t="str">
        <f>CONCATENATE(ROUNDUP(K238+K222+K202+K186+K166+K150,2)," m²")</f>
        <v>0 m²</v>
      </c>
      <c r="G250" s="305">
        <f>(M238+M222+M202+M186+M166+M150)</f>
        <v>0</v>
      </c>
      <c r="H250" s="2"/>
      <c r="I250" s="2"/>
      <c r="J250" s="2"/>
      <c r="K250" s="2"/>
      <c r="L250" s="2"/>
      <c r="M250" s="2"/>
      <c r="N250" s="3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8" hidden="1" customHeight="1" x14ac:dyDescent="0.35">
      <c r="A251" s="2"/>
      <c r="B251" s="111" t="s">
        <v>83</v>
      </c>
      <c r="C251" s="71">
        <f>IF($F$10="BOVIS",((C249+C250)*(1+C252))-(C249+C250),((C249+C250)*(1+D251))-(C249+C250))</f>
        <v>0</v>
      </c>
      <c r="D251" s="112">
        <v>0</v>
      </c>
      <c r="E251" s="304"/>
      <c r="F251" s="107"/>
      <c r="G251" s="306"/>
      <c r="H251" s="2"/>
      <c r="I251" s="2"/>
      <c r="J251" s="2"/>
      <c r="K251" s="2"/>
      <c r="L251" s="2"/>
      <c r="M251" s="2"/>
      <c r="N251" s="3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8" hidden="1" customHeight="1" x14ac:dyDescent="0.35">
      <c r="A252" s="2"/>
      <c r="B252" s="111"/>
      <c r="C252" s="104">
        <f>IF($F$10="BOVIS",0.03,0)</f>
        <v>0</v>
      </c>
      <c r="D252" s="113"/>
      <c r="E252" s="5"/>
      <c r="F252" s="107"/>
      <c r="G252" s="108"/>
      <c r="H252" s="2"/>
      <c r="I252" s="2"/>
      <c r="J252" s="2"/>
      <c r="K252" s="2"/>
      <c r="L252" s="2"/>
      <c r="M252" s="2"/>
      <c r="N252" s="3"/>
      <c r="O252" s="2"/>
      <c r="P252" s="2"/>
      <c r="Q252" s="4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8" hidden="1" customHeight="1" x14ac:dyDescent="0.35">
      <c r="A253" s="2"/>
      <c r="B253" s="114" t="s">
        <v>84</v>
      </c>
      <c r="C253" s="115">
        <f>SUM(C249:C252)</f>
        <v>29.76569087821818</v>
      </c>
      <c r="D253" s="116"/>
      <c r="E253" s="307" t="s">
        <v>85</v>
      </c>
      <c r="F253" s="15"/>
      <c r="G253" s="118">
        <f>C246-SUM(G246:G250)</f>
        <v>0</v>
      </c>
      <c r="H253" s="2"/>
      <c r="I253" s="2"/>
      <c r="J253" s="2"/>
      <c r="K253" s="2"/>
      <c r="L253" s="2"/>
      <c r="M253" s="2"/>
      <c r="N253" s="3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8" hidden="1" customHeight="1" x14ac:dyDescent="0.35">
      <c r="A254" s="76"/>
      <c r="B254" s="76"/>
      <c r="C254" s="76"/>
      <c r="D254" s="76"/>
      <c r="E254" s="76"/>
      <c r="F254" s="6"/>
      <c r="G254" s="76"/>
      <c r="H254" s="76"/>
      <c r="I254" s="76"/>
      <c r="J254" s="76"/>
      <c r="K254" s="76"/>
      <c r="L254" s="76"/>
      <c r="M254" s="76"/>
      <c r="N254" s="77"/>
      <c r="O254" s="76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8" hidden="1" customHeight="1" x14ac:dyDescent="0.3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3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8" hidden="1" customHeight="1" x14ac:dyDescent="0.35">
      <c r="A256" s="119" t="s">
        <v>86</v>
      </c>
      <c r="B256" s="119" t="s">
        <v>86</v>
      </c>
      <c r="C256" s="119" t="s">
        <v>86</v>
      </c>
      <c r="D256" s="121">
        <v>1</v>
      </c>
      <c r="E256" s="308">
        <v>1</v>
      </c>
      <c r="F256" s="308"/>
      <c r="G256" s="308"/>
      <c r="H256" s="308"/>
      <c r="I256" s="308"/>
      <c r="J256" s="308"/>
      <c r="K256" s="308"/>
      <c r="L256" s="308"/>
      <c r="M256" s="308"/>
      <c r="N256" s="122"/>
      <c r="O256" s="308"/>
      <c r="P256" s="308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8" hidden="1" customHeight="1" x14ac:dyDescent="0.35">
      <c r="A257" s="124" t="s">
        <v>10</v>
      </c>
      <c r="B257" s="124" t="s">
        <v>10</v>
      </c>
      <c r="C257" s="124" t="s">
        <v>10</v>
      </c>
      <c r="D257" s="126">
        <v>1.5</v>
      </c>
      <c r="E257" s="308">
        <v>1.5</v>
      </c>
      <c r="F257" s="308"/>
      <c r="G257" s="308"/>
      <c r="H257" s="308"/>
      <c r="I257" s="308"/>
      <c r="J257" s="308"/>
      <c r="K257" s="308"/>
      <c r="L257" s="308"/>
      <c r="M257" s="308"/>
      <c r="N257" s="122"/>
      <c r="O257" s="308"/>
      <c r="P257" s="308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8" hidden="1" customHeight="1" x14ac:dyDescent="0.35">
      <c r="A258" s="124" t="s">
        <v>87</v>
      </c>
      <c r="B258" s="308" t="s">
        <v>86</v>
      </c>
      <c r="C258" s="308" t="s">
        <v>10</v>
      </c>
      <c r="D258" s="126">
        <v>1</v>
      </c>
      <c r="E258" s="308">
        <v>1.5</v>
      </c>
      <c r="F258" s="308"/>
      <c r="G258" s="308"/>
      <c r="H258" s="308"/>
      <c r="I258" s="308"/>
      <c r="J258" s="308"/>
      <c r="K258" s="308"/>
      <c r="L258" s="308"/>
      <c r="M258" s="308"/>
      <c r="N258" s="122"/>
      <c r="O258" s="308"/>
      <c r="P258" s="308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8" hidden="1" customHeight="1" x14ac:dyDescent="0.3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3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8" hidden="1" customHeight="1" x14ac:dyDescent="0.35">
      <c r="A260" s="119" t="s">
        <v>88</v>
      </c>
      <c r="B260" s="120" t="s">
        <v>89</v>
      </c>
      <c r="C260" s="120" t="s">
        <v>89</v>
      </c>
      <c r="D260" s="121">
        <v>1.9</v>
      </c>
      <c r="E260" s="308"/>
      <c r="F260" s="308"/>
      <c r="G260" s="308"/>
      <c r="H260" s="308"/>
      <c r="I260" s="308"/>
      <c r="J260" s="308"/>
      <c r="K260" s="308"/>
      <c r="L260" s="308"/>
      <c r="M260" s="308"/>
      <c r="N260" s="122"/>
      <c r="O260" s="308"/>
      <c r="P260" s="308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8" hidden="1" customHeight="1" x14ac:dyDescent="0.35">
      <c r="A261" s="127" t="s">
        <v>12</v>
      </c>
      <c r="B261" s="128" t="s">
        <v>90</v>
      </c>
      <c r="C261" s="128" t="s">
        <v>90</v>
      </c>
      <c r="D261" s="129">
        <v>2.1</v>
      </c>
      <c r="E261" s="308"/>
      <c r="F261" s="308"/>
      <c r="G261" s="308"/>
      <c r="H261" s="308"/>
      <c r="I261" s="308"/>
      <c r="J261" s="308"/>
      <c r="K261" s="308"/>
      <c r="L261" s="308"/>
      <c r="M261" s="308"/>
      <c r="N261" s="122"/>
      <c r="O261" s="308"/>
      <c r="P261" s="308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8" hidden="1" customHeight="1" x14ac:dyDescent="0.3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3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8" hidden="1" customHeight="1" x14ac:dyDescent="0.35">
      <c r="A263" s="119">
        <v>1</v>
      </c>
      <c r="B263" s="120">
        <v>2</v>
      </c>
      <c r="C263" s="120">
        <v>3</v>
      </c>
      <c r="D263" s="120">
        <v>4</v>
      </c>
      <c r="E263" s="130">
        <v>5</v>
      </c>
      <c r="F263" s="130">
        <v>6</v>
      </c>
      <c r="G263" s="130">
        <v>7</v>
      </c>
      <c r="H263" s="131">
        <v>8</v>
      </c>
      <c r="I263" s="131">
        <v>9</v>
      </c>
      <c r="J263" s="131">
        <v>10</v>
      </c>
      <c r="K263" s="132">
        <v>11</v>
      </c>
      <c r="L263" s="132">
        <v>12</v>
      </c>
      <c r="M263" s="133">
        <v>13</v>
      </c>
      <c r="N263" s="131">
        <v>14</v>
      </c>
      <c r="O263" s="131">
        <v>15</v>
      </c>
      <c r="P263" s="134">
        <v>16</v>
      </c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8" hidden="1" customHeight="1" x14ac:dyDescent="0.35">
      <c r="A264" s="135"/>
      <c r="B264" s="136"/>
      <c r="C264" s="136"/>
      <c r="D264" s="136"/>
      <c r="E264" s="137" t="s">
        <v>80</v>
      </c>
      <c r="F264" s="137" t="s">
        <v>91</v>
      </c>
      <c r="G264" s="137" t="s">
        <v>34</v>
      </c>
      <c r="H264" s="138" t="s">
        <v>65</v>
      </c>
      <c r="I264" s="138" t="s">
        <v>92</v>
      </c>
      <c r="J264" s="138" t="s">
        <v>93</v>
      </c>
      <c r="K264" s="139" t="s">
        <v>67</v>
      </c>
      <c r="L264" s="139" t="s">
        <v>94</v>
      </c>
      <c r="M264" s="140" t="s">
        <v>95</v>
      </c>
      <c r="N264" s="138" t="s">
        <v>69</v>
      </c>
      <c r="O264" s="138" t="s">
        <v>96</v>
      </c>
      <c r="P264" s="141" t="s">
        <v>97</v>
      </c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8" hidden="1" customHeight="1" x14ac:dyDescent="0.35">
      <c r="A265" s="124"/>
      <c r="B265" s="308"/>
      <c r="C265" s="308"/>
      <c r="D265" s="308"/>
      <c r="E265" s="142"/>
      <c r="F265" s="142"/>
      <c r="G265" s="142"/>
      <c r="H265" s="143"/>
      <c r="I265" s="143"/>
      <c r="J265" s="143"/>
      <c r="K265" s="144"/>
      <c r="L265" s="144"/>
      <c r="M265" s="145">
        <v>0</v>
      </c>
      <c r="N265" s="143"/>
      <c r="O265" s="143"/>
      <c r="P265" s="146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8" hidden="1" customHeight="1" x14ac:dyDescent="0.35">
      <c r="A266" s="124" t="s">
        <v>16</v>
      </c>
      <c r="B266" s="308">
        <v>2.5</v>
      </c>
      <c r="C266" s="308">
        <v>0.5</v>
      </c>
      <c r="D266" s="308">
        <v>2.5</v>
      </c>
      <c r="E266" s="142">
        <v>0</v>
      </c>
      <c r="F266" s="142">
        <v>0</v>
      </c>
      <c r="G266" s="142">
        <v>0</v>
      </c>
      <c r="H266" s="143">
        <v>0</v>
      </c>
      <c r="I266" s="143">
        <v>0</v>
      </c>
      <c r="J266" s="143">
        <v>0</v>
      </c>
      <c r="K266" s="144">
        <v>0</v>
      </c>
      <c r="L266" s="144">
        <v>0</v>
      </c>
      <c r="M266" s="145">
        <v>0</v>
      </c>
      <c r="N266" s="143">
        <v>0</v>
      </c>
      <c r="O266" s="143">
        <v>0</v>
      </c>
      <c r="P266" s="146">
        <v>0</v>
      </c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8" hidden="1" customHeight="1" x14ac:dyDescent="0.35">
      <c r="A267" s="124" t="s">
        <v>98</v>
      </c>
      <c r="B267" s="308">
        <f>((3+1.25+3)*2)+2.5</f>
        <v>17</v>
      </c>
      <c r="C267" s="308">
        <f>((3+1.25+3)*2)+0.5</f>
        <v>15</v>
      </c>
      <c r="D267" s="308">
        <f>((3+1.25+3)*2)+2.5</f>
        <v>17</v>
      </c>
      <c r="E267" s="142">
        <v>0</v>
      </c>
      <c r="F267" s="142">
        <v>0</v>
      </c>
      <c r="G267" s="142">
        <v>0</v>
      </c>
      <c r="H267" s="143">
        <v>6</v>
      </c>
      <c r="I267" s="143" t="s">
        <v>99</v>
      </c>
      <c r="J267" s="143">
        <v>2</v>
      </c>
      <c r="K267" s="144">
        <v>2.5</v>
      </c>
      <c r="L267" s="144" t="s">
        <v>86</v>
      </c>
      <c r="M267" s="147">
        <v>4</v>
      </c>
      <c r="N267" s="143">
        <v>6</v>
      </c>
      <c r="O267" s="143" t="s">
        <v>99</v>
      </c>
      <c r="P267" s="148">
        <v>2</v>
      </c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8" hidden="1" customHeight="1" x14ac:dyDescent="0.35">
      <c r="A268" s="124" t="s">
        <v>100</v>
      </c>
      <c r="B268" s="308">
        <f>((5+1.25+5)*2)+2.5</f>
        <v>25</v>
      </c>
      <c r="C268" s="308">
        <f>((5+1.25+5)*2)+0.5</f>
        <v>23</v>
      </c>
      <c r="D268" s="308">
        <f>((5+1.25+5)*2)+2.5</f>
        <v>25</v>
      </c>
      <c r="E268" s="142">
        <v>0</v>
      </c>
      <c r="F268" s="142">
        <v>0</v>
      </c>
      <c r="G268" s="142">
        <v>0</v>
      </c>
      <c r="H268" s="143">
        <v>10</v>
      </c>
      <c r="I268" s="143" t="s">
        <v>101</v>
      </c>
      <c r="J268" s="143">
        <v>2</v>
      </c>
      <c r="K268" s="144">
        <v>2.5</v>
      </c>
      <c r="L268" s="144" t="s">
        <v>86</v>
      </c>
      <c r="M268" s="147">
        <v>4</v>
      </c>
      <c r="N268" s="143">
        <v>10</v>
      </c>
      <c r="O268" s="143" t="s">
        <v>101</v>
      </c>
      <c r="P268" s="148">
        <v>2</v>
      </c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8" hidden="1" customHeight="1" x14ac:dyDescent="0.35">
      <c r="A269" s="124" t="s">
        <v>102</v>
      </c>
      <c r="B269" s="308">
        <f>((3)*2)+2.5</f>
        <v>8.5</v>
      </c>
      <c r="C269" s="308">
        <f>((3)*2)+0.5</f>
        <v>6.5</v>
      </c>
      <c r="D269" s="308">
        <f>((3)*2)+2.5</f>
        <v>8.5</v>
      </c>
      <c r="E269" s="142">
        <v>0</v>
      </c>
      <c r="F269" s="142">
        <v>0</v>
      </c>
      <c r="G269" s="142">
        <v>0</v>
      </c>
      <c r="H269" s="143">
        <v>6</v>
      </c>
      <c r="I269" s="143" t="s">
        <v>99</v>
      </c>
      <c r="J269" s="143">
        <v>2</v>
      </c>
      <c r="K269" s="144">
        <v>0</v>
      </c>
      <c r="L269" s="144">
        <v>0</v>
      </c>
      <c r="M269" s="147">
        <v>0</v>
      </c>
      <c r="N269" s="143">
        <v>0</v>
      </c>
      <c r="O269" s="143"/>
      <c r="P269" s="148">
        <v>0</v>
      </c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8" hidden="1" customHeight="1" x14ac:dyDescent="0.35">
      <c r="A270" s="124" t="s">
        <v>103</v>
      </c>
      <c r="B270" s="308">
        <f>((5)*2)+2.5</f>
        <v>12.5</v>
      </c>
      <c r="C270" s="308">
        <f>((5)*2)+0.5</f>
        <v>10.5</v>
      </c>
      <c r="D270" s="308">
        <f>((5)*2)+2.5</f>
        <v>12.5</v>
      </c>
      <c r="E270" s="142">
        <v>0</v>
      </c>
      <c r="F270" s="142">
        <v>0</v>
      </c>
      <c r="G270" s="142">
        <v>0</v>
      </c>
      <c r="H270" s="143">
        <v>10</v>
      </c>
      <c r="I270" s="143" t="s">
        <v>101</v>
      </c>
      <c r="J270" s="143">
        <v>2</v>
      </c>
      <c r="K270" s="144">
        <v>0</v>
      </c>
      <c r="L270" s="144">
        <v>0</v>
      </c>
      <c r="M270" s="147">
        <v>0</v>
      </c>
      <c r="N270" s="143">
        <v>0</v>
      </c>
      <c r="O270" s="143"/>
      <c r="P270" s="148">
        <v>0</v>
      </c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8" hidden="1" customHeight="1" x14ac:dyDescent="0.35">
      <c r="A271" s="124" t="s">
        <v>104</v>
      </c>
      <c r="B271" s="308">
        <f>((3+3+1.25+3)*2)+2.5</f>
        <v>23</v>
      </c>
      <c r="C271" s="308">
        <f>((3+3+1.25+3)*2)+0.5</f>
        <v>21</v>
      </c>
      <c r="D271" s="308">
        <f>((3+3+1.25+3)*2)+2.5</f>
        <v>23</v>
      </c>
      <c r="E271" s="142">
        <v>6</v>
      </c>
      <c r="F271" s="142" t="s">
        <v>105</v>
      </c>
      <c r="G271" s="142">
        <v>2</v>
      </c>
      <c r="H271" s="143">
        <v>6</v>
      </c>
      <c r="I271" s="143" t="s">
        <v>99</v>
      </c>
      <c r="J271" s="143">
        <v>2</v>
      </c>
      <c r="K271" s="144">
        <v>2.5</v>
      </c>
      <c r="L271" s="144" t="s">
        <v>86</v>
      </c>
      <c r="M271" s="147">
        <v>4</v>
      </c>
      <c r="N271" s="143">
        <v>6</v>
      </c>
      <c r="O271" s="143" t="s">
        <v>99</v>
      </c>
      <c r="P271" s="148">
        <v>2</v>
      </c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8" hidden="1" customHeight="1" x14ac:dyDescent="0.35">
      <c r="A272" s="127" t="s">
        <v>106</v>
      </c>
      <c r="B272" s="128">
        <f>((5+5+1.25+5)*2)+2.5</f>
        <v>35</v>
      </c>
      <c r="C272" s="128">
        <f>((5+5+1.25+5)*2)+0.5</f>
        <v>33</v>
      </c>
      <c r="D272" s="128">
        <f>((5+5+1.25+5)*2)+2.5</f>
        <v>35</v>
      </c>
      <c r="E272" s="149">
        <v>10</v>
      </c>
      <c r="F272" s="149" t="s">
        <v>27</v>
      </c>
      <c r="G272" s="149">
        <v>2</v>
      </c>
      <c r="H272" s="150">
        <v>10</v>
      </c>
      <c r="I272" s="150" t="s">
        <v>101</v>
      </c>
      <c r="J272" s="150">
        <v>2</v>
      </c>
      <c r="K272" s="151">
        <v>2.5</v>
      </c>
      <c r="L272" s="151" t="s">
        <v>86</v>
      </c>
      <c r="M272" s="152">
        <v>4</v>
      </c>
      <c r="N272" s="150">
        <v>10</v>
      </c>
      <c r="O272" s="150" t="s">
        <v>101</v>
      </c>
      <c r="P272" s="153">
        <v>2</v>
      </c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8" hidden="1" customHeight="1" x14ac:dyDescent="0.3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8" hidden="1" customHeight="1" x14ac:dyDescent="0.35">
      <c r="A274" s="119" t="s">
        <v>107</v>
      </c>
      <c r="B274" s="121">
        <v>1</v>
      </c>
      <c r="C274" s="308"/>
      <c r="D274" s="308"/>
      <c r="E274" s="308"/>
      <c r="F274" s="308"/>
      <c r="G274" s="308"/>
      <c r="H274" s="308"/>
      <c r="I274" s="308"/>
      <c r="J274" s="308"/>
      <c r="K274" s="308"/>
      <c r="L274" s="308"/>
      <c r="M274" s="308"/>
      <c r="N274" s="122"/>
      <c r="O274" s="308"/>
      <c r="P274" s="308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8" hidden="1" customHeight="1" x14ac:dyDescent="0.35">
      <c r="A275" s="127" t="s">
        <v>18</v>
      </c>
      <c r="B275" s="129">
        <v>0</v>
      </c>
      <c r="C275" s="308"/>
      <c r="D275" s="308"/>
      <c r="E275" s="308"/>
      <c r="F275" s="308"/>
      <c r="G275" s="308"/>
      <c r="H275" s="308"/>
      <c r="I275" s="308"/>
      <c r="J275" s="308"/>
      <c r="K275" s="308"/>
      <c r="L275" s="308"/>
      <c r="M275" s="308"/>
      <c r="N275" s="122"/>
      <c r="O275" s="308"/>
      <c r="P275" s="308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8" hidden="1" customHeight="1" x14ac:dyDescent="0.35">
      <c r="A276" s="308"/>
      <c r="B276" s="308"/>
      <c r="C276" s="308"/>
      <c r="D276" s="308"/>
      <c r="E276" s="308"/>
      <c r="F276" s="308"/>
      <c r="G276" s="308"/>
      <c r="H276" s="308"/>
      <c r="I276" s="308"/>
      <c r="J276" s="308"/>
      <c r="K276" s="308"/>
      <c r="L276" s="308"/>
      <c r="M276" s="308"/>
      <c r="N276" s="122"/>
      <c r="O276" s="308"/>
      <c r="P276" s="308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8" hidden="1" customHeight="1" x14ac:dyDescent="0.35">
      <c r="A277" s="154" t="s">
        <v>22</v>
      </c>
      <c r="B277" s="121">
        <v>4.2</v>
      </c>
      <c r="C277" s="308"/>
      <c r="D277" s="308"/>
      <c r="E277" s="308"/>
      <c r="F277" s="308"/>
      <c r="G277" s="308"/>
      <c r="H277" s="308"/>
      <c r="I277" s="308"/>
      <c r="J277" s="308"/>
      <c r="K277" s="308"/>
      <c r="L277" s="308"/>
      <c r="M277" s="308"/>
      <c r="N277" s="122"/>
      <c r="O277" s="308"/>
      <c r="P277" s="308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8" hidden="1" customHeight="1" x14ac:dyDescent="0.35">
      <c r="A278" s="155" t="s">
        <v>108</v>
      </c>
      <c r="B278" s="126">
        <v>2</v>
      </c>
      <c r="C278" s="308"/>
      <c r="D278" s="308"/>
      <c r="E278" s="308"/>
      <c r="F278" s="308"/>
      <c r="G278" s="308"/>
      <c r="H278" s="308"/>
      <c r="I278" s="308"/>
      <c r="J278" s="308"/>
      <c r="K278" s="308"/>
      <c r="L278" s="308"/>
      <c r="M278" s="308"/>
      <c r="N278" s="122"/>
      <c r="O278" s="308"/>
      <c r="P278" s="308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8" hidden="1" customHeight="1" x14ac:dyDescent="0.35">
      <c r="A279" s="156" t="s">
        <v>109</v>
      </c>
      <c r="B279" s="129">
        <v>0</v>
      </c>
      <c r="C279" s="308"/>
      <c r="D279" s="308"/>
      <c r="E279" s="308"/>
      <c r="F279" s="308"/>
      <c r="G279" s="308"/>
      <c r="H279" s="308"/>
      <c r="I279" s="308"/>
      <c r="J279" s="308"/>
      <c r="K279" s="308"/>
      <c r="L279" s="308"/>
      <c r="M279" s="308"/>
      <c r="N279" s="122"/>
      <c r="O279" s="308"/>
      <c r="P279" s="308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8" hidden="1" customHeight="1" x14ac:dyDescent="0.35">
      <c r="A280" s="308"/>
      <c r="B280" s="308"/>
      <c r="C280" s="308"/>
      <c r="D280" s="308"/>
      <c r="E280" s="308"/>
      <c r="F280" s="308"/>
      <c r="G280" s="308"/>
      <c r="H280" s="308"/>
      <c r="I280" s="308"/>
      <c r="J280" s="308"/>
      <c r="K280" s="308"/>
      <c r="L280" s="308"/>
      <c r="M280" s="308"/>
      <c r="N280" s="122"/>
      <c r="O280" s="308"/>
      <c r="P280" s="308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8" hidden="1" customHeight="1" x14ac:dyDescent="0.35">
      <c r="A281" s="119" t="s">
        <v>110</v>
      </c>
      <c r="B281" s="120">
        <v>0</v>
      </c>
      <c r="C281" s="120"/>
      <c r="D281" s="121">
        <v>0</v>
      </c>
      <c r="E281" s="308"/>
      <c r="F281" s="308"/>
      <c r="G281" s="308"/>
      <c r="H281" s="308"/>
      <c r="I281" s="308"/>
      <c r="J281" s="308"/>
      <c r="K281" s="308"/>
      <c r="L281" s="308"/>
      <c r="M281" s="308"/>
      <c r="N281" s="122"/>
      <c r="O281" s="308"/>
      <c r="P281" s="308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8" hidden="1" customHeight="1" x14ac:dyDescent="0.35">
      <c r="A282" s="124" t="s">
        <v>111</v>
      </c>
      <c r="B282" s="308">
        <v>10</v>
      </c>
      <c r="C282" s="308">
        <v>40</v>
      </c>
      <c r="D282" s="126">
        <v>12</v>
      </c>
      <c r="E282" s="308"/>
      <c r="F282" s="308"/>
      <c r="G282" s="308"/>
      <c r="H282" s="308"/>
      <c r="I282" s="308"/>
      <c r="J282" s="308"/>
      <c r="K282" s="308"/>
      <c r="L282" s="308"/>
      <c r="M282" s="308"/>
      <c r="N282" s="122"/>
      <c r="O282" s="308"/>
      <c r="P282" s="308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8" hidden="1" customHeight="1" x14ac:dyDescent="0.35">
      <c r="A283" s="124" t="s">
        <v>16</v>
      </c>
      <c r="B283" s="308">
        <v>0</v>
      </c>
      <c r="C283" s="308"/>
      <c r="D283" s="126">
        <v>0</v>
      </c>
      <c r="E283" s="308"/>
      <c r="F283" s="308"/>
      <c r="G283" s="308"/>
      <c r="H283" s="308"/>
      <c r="I283" s="308"/>
      <c r="J283" s="308"/>
      <c r="K283" s="308"/>
      <c r="L283" s="308"/>
      <c r="M283" s="308"/>
      <c r="N283" s="122"/>
      <c r="O283" s="308"/>
      <c r="P283" s="308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8" hidden="1" customHeight="1" x14ac:dyDescent="0.35">
      <c r="A284" s="157" t="s">
        <v>112</v>
      </c>
      <c r="B284" s="128">
        <v>5</v>
      </c>
      <c r="C284" s="128">
        <v>20</v>
      </c>
      <c r="D284" s="129">
        <v>0</v>
      </c>
      <c r="E284" s="308"/>
      <c r="F284" s="308"/>
      <c r="G284" s="308"/>
      <c r="H284" s="308"/>
      <c r="I284" s="308"/>
      <c r="J284" s="308"/>
      <c r="K284" s="308"/>
      <c r="L284" s="308"/>
      <c r="M284" s="308"/>
      <c r="N284" s="122"/>
      <c r="O284" s="308"/>
      <c r="P284" s="308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8" hidden="1" customHeight="1" x14ac:dyDescent="0.35">
      <c r="A285" s="308"/>
      <c r="B285" s="308"/>
      <c r="C285" s="308"/>
      <c r="D285" s="308"/>
      <c r="E285" s="308"/>
      <c r="F285" s="308"/>
      <c r="G285" s="308"/>
      <c r="H285" s="308"/>
      <c r="I285" s="308"/>
      <c r="J285" s="308"/>
      <c r="K285" s="308"/>
      <c r="L285" s="308"/>
      <c r="M285" s="308"/>
      <c r="N285" s="122"/>
      <c r="O285" s="308"/>
      <c r="P285" s="308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8" hidden="1" customHeight="1" x14ac:dyDescent="0.35">
      <c r="A286" s="154" t="s">
        <v>16</v>
      </c>
      <c r="B286" s="308"/>
      <c r="C286" s="308"/>
      <c r="D286" s="308"/>
      <c r="E286" s="308"/>
      <c r="F286" s="308"/>
      <c r="G286" s="308"/>
      <c r="H286" s="308"/>
      <c r="I286" s="308"/>
      <c r="J286" s="308"/>
      <c r="K286" s="308"/>
      <c r="L286" s="308"/>
      <c r="M286" s="308"/>
      <c r="N286" s="122"/>
      <c r="O286" s="308"/>
      <c r="P286" s="308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8" hidden="1" customHeight="1" x14ac:dyDescent="0.35">
      <c r="A287" s="155" t="s">
        <v>113</v>
      </c>
      <c r="B287" s="308"/>
      <c r="C287" s="308"/>
      <c r="D287" s="308"/>
      <c r="E287" s="308"/>
      <c r="F287" s="308"/>
      <c r="G287" s="308"/>
      <c r="H287" s="308"/>
      <c r="I287" s="308"/>
      <c r="J287" s="308"/>
      <c r="K287" s="308"/>
      <c r="L287" s="308"/>
      <c r="M287" s="308"/>
      <c r="N287" s="122"/>
      <c r="O287" s="308"/>
      <c r="P287" s="308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8" hidden="1" customHeight="1" x14ac:dyDescent="0.35">
      <c r="A288" s="156" t="s">
        <v>37</v>
      </c>
      <c r="B288" s="308"/>
      <c r="C288" s="308"/>
      <c r="D288" s="308"/>
      <c r="E288" s="308"/>
      <c r="F288" s="308"/>
      <c r="G288" s="308"/>
      <c r="H288" s="308"/>
      <c r="I288" s="308"/>
      <c r="J288" s="308"/>
      <c r="K288" s="308"/>
      <c r="L288" s="308"/>
      <c r="M288" s="308"/>
      <c r="N288" s="122"/>
      <c r="O288" s="308"/>
      <c r="P288" s="308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8" hidden="1" customHeight="1" x14ac:dyDescent="0.35">
      <c r="A289" s="308"/>
      <c r="B289" s="308"/>
      <c r="C289" s="308"/>
      <c r="D289" s="308"/>
      <c r="E289" s="308"/>
      <c r="F289" s="308"/>
      <c r="G289" s="308"/>
      <c r="H289" s="308"/>
      <c r="I289" s="308"/>
      <c r="J289" s="308"/>
      <c r="K289" s="308"/>
      <c r="L289" s="308"/>
      <c r="M289" s="308"/>
      <c r="N289" s="122"/>
      <c r="O289" s="308"/>
      <c r="P289" s="308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8" hidden="1" customHeight="1" x14ac:dyDescent="0.35">
      <c r="A290" s="98"/>
      <c r="B290" s="120" t="s">
        <v>114</v>
      </c>
      <c r="C290" s="120" t="s">
        <v>115</v>
      </c>
      <c r="D290" s="120" t="s">
        <v>116</v>
      </c>
      <c r="E290" s="120" t="s">
        <v>117</v>
      </c>
      <c r="F290" s="120" t="s">
        <v>118</v>
      </c>
      <c r="G290" s="120" t="s">
        <v>119</v>
      </c>
      <c r="H290" s="120" t="s">
        <v>120</v>
      </c>
      <c r="I290" s="120" t="s">
        <v>121</v>
      </c>
      <c r="J290" s="120" t="s">
        <v>122</v>
      </c>
      <c r="K290" s="120" t="s">
        <v>123</v>
      </c>
      <c r="L290" s="121" t="s">
        <v>82</v>
      </c>
      <c r="M290" s="308"/>
      <c r="N290" s="122"/>
      <c r="O290" s="308"/>
      <c r="P290" s="308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8" hidden="1" customHeight="1" x14ac:dyDescent="0.35">
      <c r="A291" s="124">
        <v>1</v>
      </c>
      <c r="B291" s="308">
        <v>2</v>
      </c>
      <c r="C291" s="308">
        <v>3</v>
      </c>
      <c r="D291" s="308">
        <v>4</v>
      </c>
      <c r="E291" s="308">
        <v>5</v>
      </c>
      <c r="F291" s="308">
        <v>6</v>
      </c>
      <c r="G291" s="308">
        <v>7</v>
      </c>
      <c r="H291" s="308">
        <v>8</v>
      </c>
      <c r="I291" s="308">
        <v>9</v>
      </c>
      <c r="J291" s="308">
        <v>10</v>
      </c>
      <c r="K291" s="308">
        <v>11</v>
      </c>
      <c r="L291" s="126">
        <v>12</v>
      </c>
      <c r="M291" s="308"/>
      <c r="N291" s="122"/>
      <c r="O291" s="308"/>
      <c r="P291" s="308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8" hidden="1" customHeight="1" x14ac:dyDescent="0.35">
      <c r="A292" s="124" t="s">
        <v>16</v>
      </c>
      <c r="B292" s="308">
        <v>0</v>
      </c>
      <c r="C292" s="308">
        <v>0</v>
      </c>
      <c r="D292" s="308">
        <v>0</v>
      </c>
      <c r="E292" s="308">
        <v>0</v>
      </c>
      <c r="F292" s="308">
        <v>0</v>
      </c>
      <c r="G292" s="308">
        <v>0</v>
      </c>
      <c r="H292" s="308">
        <v>0</v>
      </c>
      <c r="I292" s="308">
        <v>0</v>
      </c>
      <c r="J292" s="308">
        <v>0</v>
      </c>
      <c r="K292" s="308">
        <v>0</v>
      </c>
      <c r="L292" s="126">
        <v>0</v>
      </c>
      <c r="M292" s="308"/>
      <c r="N292" s="122"/>
      <c r="O292" s="308"/>
      <c r="P292" s="308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8" hidden="1" customHeight="1" x14ac:dyDescent="0.35">
      <c r="A293" s="124" t="s">
        <v>32</v>
      </c>
      <c r="B293" s="308">
        <f t="shared" ref="B293:B297" si="118">10.2+IF($F$21="Oui",0.1)</f>
        <v>10.199999999999999</v>
      </c>
      <c r="C293" s="308">
        <f t="shared" ref="C293:C297" si="119">11+IF($F$21="Oui",0.1)</f>
        <v>11</v>
      </c>
      <c r="D293" s="308">
        <f t="shared" ref="D293:D297" si="120">10.2+IF($F$21="Oui",0.1)</f>
        <v>10.199999999999999</v>
      </c>
      <c r="E293" s="308">
        <f>11+IF($F$21="Oui",0.2)</f>
        <v>11</v>
      </c>
      <c r="F293" s="308">
        <v>0.2</v>
      </c>
      <c r="G293" s="308">
        <f>2</f>
        <v>2</v>
      </c>
      <c r="H293" s="308" t="s">
        <v>27</v>
      </c>
      <c r="I293" s="308" t="s">
        <v>27</v>
      </c>
      <c r="J293" s="308">
        <v>-0.5</v>
      </c>
      <c r="K293" s="308">
        <v>2</v>
      </c>
      <c r="L293" s="126">
        <v>1</v>
      </c>
      <c r="M293" s="308"/>
      <c r="N293" s="122"/>
      <c r="O293" s="308"/>
      <c r="P293" s="308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8" hidden="1" customHeight="1" x14ac:dyDescent="0.35">
      <c r="A294" s="124" t="s">
        <v>129</v>
      </c>
      <c r="B294" s="308">
        <f t="shared" si="118"/>
        <v>10.199999999999999</v>
      </c>
      <c r="C294" s="308">
        <f t="shared" si="119"/>
        <v>11</v>
      </c>
      <c r="D294" s="308">
        <f t="shared" si="120"/>
        <v>10.199999999999999</v>
      </c>
      <c r="E294" s="308">
        <f>5.2+IF($F$21="Oui",0.1)</f>
        <v>5.2</v>
      </c>
      <c r="F294" s="308">
        <v>0.2</v>
      </c>
      <c r="G294" s="308">
        <v>2</v>
      </c>
      <c r="H294" s="308" t="s">
        <v>27</v>
      </c>
      <c r="I294" s="308" t="s">
        <v>27</v>
      </c>
      <c r="J294" s="308">
        <v>9.5</v>
      </c>
      <c r="K294" s="308">
        <v>2</v>
      </c>
      <c r="L294" s="126">
        <v>1</v>
      </c>
      <c r="M294" s="308"/>
      <c r="N294" s="122"/>
      <c r="O294" s="308"/>
      <c r="P294" s="308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8" hidden="1" customHeight="1" x14ac:dyDescent="0.35">
      <c r="A295" s="124" t="s">
        <v>130</v>
      </c>
      <c r="B295" s="308">
        <f t="shared" si="118"/>
        <v>10.199999999999999</v>
      </c>
      <c r="C295" s="308">
        <f t="shared" si="119"/>
        <v>11</v>
      </c>
      <c r="D295" s="308">
        <f t="shared" si="120"/>
        <v>10.199999999999999</v>
      </c>
      <c r="E295" s="308">
        <f>6+IF($F$21="Oui",0.1)</f>
        <v>6</v>
      </c>
      <c r="F295" s="308">
        <v>10.199999999999999</v>
      </c>
      <c r="G295" s="308">
        <v>2</v>
      </c>
      <c r="H295" s="308" t="s">
        <v>37</v>
      </c>
      <c r="I295" s="308" t="s">
        <v>27</v>
      </c>
      <c r="J295" s="308">
        <v>-0.5</v>
      </c>
      <c r="K295" s="308">
        <v>2</v>
      </c>
      <c r="L295" s="126">
        <v>1</v>
      </c>
      <c r="M295" s="308"/>
      <c r="N295" s="122"/>
      <c r="O295" s="308"/>
      <c r="P295" s="308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8" hidden="1" customHeight="1" x14ac:dyDescent="0.35">
      <c r="A296" s="124" t="s">
        <v>131</v>
      </c>
      <c r="B296" s="308">
        <f t="shared" si="118"/>
        <v>10.199999999999999</v>
      </c>
      <c r="C296" s="308">
        <f t="shared" si="119"/>
        <v>11</v>
      </c>
      <c r="D296" s="308">
        <f t="shared" si="120"/>
        <v>10.199999999999999</v>
      </c>
      <c r="E296" s="308">
        <f t="shared" ref="E296:E297" si="121">11+IF($F$21="Oui",0.2)</f>
        <v>11</v>
      </c>
      <c r="F296" s="308">
        <v>0.2</v>
      </c>
      <c r="G296" s="308">
        <v>2</v>
      </c>
      <c r="H296" s="308" t="s">
        <v>27</v>
      </c>
      <c r="I296" s="308" t="s">
        <v>27</v>
      </c>
      <c r="J296" s="308">
        <v>-0.5</v>
      </c>
      <c r="K296" s="128">
        <v>1</v>
      </c>
      <c r="L296" s="126">
        <v>1</v>
      </c>
      <c r="M296" s="308"/>
      <c r="N296" s="122"/>
      <c r="O296" s="308"/>
      <c r="P296" s="308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8" hidden="1" customHeight="1" x14ac:dyDescent="0.35">
      <c r="A297" s="127" t="s">
        <v>132</v>
      </c>
      <c r="B297" s="128">
        <f t="shared" si="118"/>
        <v>10.199999999999999</v>
      </c>
      <c r="C297" s="128">
        <f t="shared" si="119"/>
        <v>11</v>
      </c>
      <c r="D297" s="128">
        <f t="shared" si="120"/>
        <v>10.199999999999999</v>
      </c>
      <c r="E297" s="128">
        <f t="shared" si="121"/>
        <v>11</v>
      </c>
      <c r="F297" s="128">
        <v>0.2</v>
      </c>
      <c r="G297" s="128">
        <v>1</v>
      </c>
      <c r="H297" s="128" t="s">
        <v>27</v>
      </c>
      <c r="I297" s="128" t="s">
        <v>27</v>
      </c>
      <c r="J297" s="128">
        <v>-0.5</v>
      </c>
      <c r="K297" s="128">
        <v>1</v>
      </c>
      <c r="L297" s="129">
        <v>1</v>
      </c>
      <c r="M297" s="308"/>
      <c r="N297" s="122"/>
      <c r="O297" s="308"/>
      <c r="P297" s="308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8" hidden="1" customHeight="1" x14ac:dyDescent="0.3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3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8" hidden="1" customHeight="1" x14ac:dyDescent="0.35">
      <c r="A299" s="158" t="s">
        <v>20</v>
      </c>
      <c r="B299" s="308"/>
      <c r="C299" s="308"/>
      <c r="D299" s="308"/>
      <c r="E299" s="308"/>
      <c r="F299" s="308"/>
      <c r="G299" s="308"/>
      <c r="H299" s="308"/>
      <c r="I299" s="308"/>
      <c r="J299" s="308"/>
      <c r="K299" s="308"/>
      <c r="L299" s="308"/>
      <c r="M299" s="308"/>
      <c r="N299" s="122"/>
      <c r="O299" s="308"/>
      <c r="P299" s="308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8" hidden="1" customHeight="1" x14ac:dyDescent="0.35">
      <c r="A300" s="159" t="s">
        <v>14</v>
      </c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3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8" hidden="1" customHeight="1" x14ac:dyDescent="0.3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3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8" hidden="1" customHeight="1" x14ac:dyDescent="0.35">
      <c r="A302" s="160" t="s">
        <v>133</v>
      </c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3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8" hidden="1" customHeight="1" x14ac:dyDescent="0.35">
      <c r="A303" s="161" t="s">
        <v>134</v>
      </c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3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8" hidden="1" customHeight="1" x14ac:dyDescent="0.3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3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8" hidden="1" customHeight="1" x14ac:dyDescent="0.35">
      <c r="A305" s="162" t="s">
        <v>135</v>
      </c>
      <c r="B305" s="163">
        <v>10</v>
      </c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3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8" hidden="1" customHeight="1" x14ac:dyDescent="0.35">
      <c r="A306" s="164" t="s">
        <v>136</v>
      </c>
      <c r="B306" s="165">
        <v>10</v>
      </c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3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8" hidden="1" customHeight="1" x14ac:dyDescent="0.35">
      <c r="A307" s="166" t="s">
        <v>24</v>
      </c>
      <c r="B307" s="167">
        <v>3</v>
      </c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3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8" hidden="1" customHeight="1" x14ac:dyDescent="0.3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3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8" hidden="1" customHeight="1" x14ac:dyDescent="0.3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3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8" hidden="1" customHeight="1" x14ac:dyDescent="0.3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3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8" hidden="1" customHeight="1" x14ac:dyDescent="0.3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3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8" customHeight="1" x14ac:dyDescent="0.3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3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8" customHeight="1" x14ac:dyDescent="0.3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3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8" customHeight="1" x14ac:dyDescent="0.3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3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8" customHeight="1" x14ac:dyDescent="0.3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3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8" customHeight="1" x14ac:dyDescent="0.3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3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8" customHeight="1" x14ac:dyDescent="0.3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3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8" customHeight="1" x14ac:dyDescent="0.3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3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8" customHeight="1" x14ac:dyDescent="0.3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3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8" customHeight="1" x14ac:dyDescent="0.3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3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8" customHeight="1" x14ac:dyDescent="0.3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3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8" customHeight="1" x14ac:dyDescent="0.3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3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8" customHeight="1" x14ac:dyDescent="0.3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3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8" customHeight="1" x14ac:dyDescent="0.3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3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8" customHeight="1" x14ac:dyDescent="0.3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3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8" customHeight="1" x14ac:dyDescent="0.3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3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8" customHeight="1" x14ac:dyDescent="0.3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3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8" customHeight="1" x14ac:dyDescent="0.3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3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8" customHeight="1" x14ac:dyDescent="0.3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3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8" customHeight="1" x14ac:dyDescent="0.3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3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8" customHeight="1" x14ac:dyDescent="0.3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3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8" customHeight="1" x14ac:dyDescent="0.3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3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8" customHeight="1" x14ac:dyDescent="0.3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3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8" customHeight="1" x14ac:dyDescent="0.3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3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8" customHeight="1" x14ac:dyDescent="0.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3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8" customHeight="1" x14ac:dyDescent="0.3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3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8" customHeight="1" x14ac:dyDescent="0.3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3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8" customHeight="1" x14ac:dyDescent="0.3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3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8" customHeight="1" x14ac:dyDescent="0.3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3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8" customHeight="1" x14ac:dyDescent="0.3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3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8" customHeight="1" x14ac:dyDescent="0.3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3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8" customHeight="1" x14ac:dyDescent="0.3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3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8" customHeight="1" x14ac:dyDescent="0.3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3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8" customHeight="1" x14ac:dyDescent="0.3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3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8" customHeight="1" x14ac:dyDescent="0.3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3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8" customHeight="1" x14ac:dyDescent="0.3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3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8" customHeight="1" x14ac:dyDescent="0.3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3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8" customHeight="1" x14ac:dyDescent="0.3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3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8" customHeight="1" x14ac:dyDescent="0.3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3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8" customHeight="1" x14ac:dyDescent="0.3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3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8" customHeight="1" x14ac:dyDescent="0.3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3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8" customHeight="1" x14ac:dyDescent="0.3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3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8" customHeight="1" x14ac:dyDescent="0.3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3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8" customHeight="1" x14ac:dyDescent="0.3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3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8" customHeight="1" x14ac:dyDescent="0.3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3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8" customHeight="1" x14ac:dyDescent="0.3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3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8" customHeight="1" x14ac:dyDescent="0.3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3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8" customHeight="1" x14ac:dyDescent="0.3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3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8" customHeight="1" x14ac:dyDescent="0.3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3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8" customHeight="1" x14ac:dyDescent="0.3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3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8" customHeight="1" x14ac:dyDescent="0.3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3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8" customHeight="1" x14ac:dyDescent="0.3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3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8" customHeight="1" x14ac:dyDescent="0.3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3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8" customHeight="1" x14ac:dyDescent="0.3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3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8" customHeight="1" x14ac:dyDescent="0.3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3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8" customHeight="1" x14ac:dyDescent="0.3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3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8" customHeight="1" x14ac:dyDescent="0.3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3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8" customHeight="1" x14ac:dyDescent="0.3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3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8" customHeight="1" x14ac:dyDescent="0.3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3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8" customHeight="1" x14ac:dyDescent="0.3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3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8" customHeight="1" x14ac:dyDescent="0.3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3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8" customHeight="1" x14ac:dyDescent="0.3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3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8" customHeight="1" x14ac:dyDescent="0.3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3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8" customHeight="1" x14ac:dyDescent="0.3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3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8" customHeight="1" x14ac:dyDescent="0.3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3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8" customHeight="1" x14ac:dyDescent="0.3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3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8" customHeight="1" x14ac:dyDescent="0.3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3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8" customHeight="1" x14ac:dyDescent="0.3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3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8" customHeight="1" x14ac:dyDescent="0.3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3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8" customHeight="1" x14ac:dyDescent="0.3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3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8" customHeight="1" x14ac:dyDescent="0.3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3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8" customHeight="1" x14ac:dyDescent="0.3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3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8" customHeight="1" x14ac:dyDescent="0.3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3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8" customHeight="1" x14ac:dyDescent="0.3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3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8" customHeight="1" x14ac:dyDescent="0.3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3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8" customHeight="1" x14ac:dyDescent="0.3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3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8" customHeight="1" x14ac:dyDescent="0.3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3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8" customHeight="1" x14ac:dyDescent="0.3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3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8" customHeight="1" x14ac:dyDescent="0.3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3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8" customHeight="1" x14ac:dyDescent="0.3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3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8" customHeight="1" x14ac:dyDescent="0.3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3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8" customHeight="1" x14ac:dyDescent="0.3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3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8" customHeight="1" x14ac:dyDescent="0.3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3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8" customHeight="1" x14ac:dyDescent="0.3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3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8" customHeight="1" x14ac:dyDescent="0.3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3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8" customHeight="1" x14ac:dyDescent="0.3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3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8" customHeight="1" x14ac:dyDescent="0.3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3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8" customHeight="1" x14ac:dyDescent="0.3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3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8" customHeight="1" x14ac:dyDescent="0.3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3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8" customHeight="1" x14ac:dyDescent="0.3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3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8" customHeight="1" x14ac:dyDescent="0.3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3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8" customHeight="1" x14ac:dyDescent="0.3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3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8" customHeight="1" x14ac:dyDescent="0.3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3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8" customHeight="1" x14ac:dyDescent="0.3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3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8" customHeight="1" x14ac:dyDescent="0.3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3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8" customHeight="1" x14ac:dyDescent="0.3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3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8" customHeight="1" x14ac:dyDescent="0.3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3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8" customHeight="1" x14ac:dyDescent="0.3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3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8" customHeight="1" x14ac:dyDescent="0.3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3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8" customHeight="1" x14ac:dyDescent="0.3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3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8" customHeight="1" x14ac:dyDescent="0.3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3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8" customHeight="1" x14ac:dyDescent="0.3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3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8" customHeight="1" x14ac:dyDescent="0.3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3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8" customHeight="1" x14ac:dyDescent="0.3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3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8" customHeight="1" x14ac:dyDescent="0.3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3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8" customHeight="1" x14ac:dyDescent="0.3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3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8" customHeight="1" x14ac:dyDescent="0.3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3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8" customHeight="1" x14ac:dyDescent="0.3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3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8" customHeight="1" x14ac:dyDescent="0.3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3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8" customHeight="1" x14ac:dyDescent="0.3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3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8" customHeight="1" x14ac:dyDescent="0.3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3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8" customHeight="1" x14ac:dyDescent="0.3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3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8" customHeight="1" x14ac:dyDescent="0.3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3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8" customHeight="1" x14ac:dyDescent="0.3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3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8" customHeight="1" x14ac:dyDescent="0.3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3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8" customHeight="1" x14ac:dyDescent="0.3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3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8" customHeight="1" x14ac:dyDescent="0.3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3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8" customHeight="1" x14ac:dyDescent="0.3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3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8" customHeight="1" x14ac:dyDescent="0.3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3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8" customHeight="1" x14ac:dyDescent="0.3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3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8" customHeight="1" x14ac:dyDescent="0.3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3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8" customHeight="1" x14ac:dyDescent="0.3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3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8" customHeight="1" x14ac:dyDescent="0.3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3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8" customHeight="1" x14ac:dyDescent="0.3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3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8" customHeight="1" x14ac:dyDescent="0.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3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8" customHeight="1" x14ac:dyDescent="0.3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3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8" customHeight="1" x14ac:dyDescent="0.3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3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8" customHeight="1" x14ac:dyDescent="0.3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3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8" customHeight="1" x14ac:dyDescent="0.3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3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8" customHeight="1" x14ac:dyDescent="0.3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3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8" customHeight="1" x14ac:dyDescent="0.3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3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8" customHeight="1" x14ac:dyDescent="0.3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3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8" customHeight="1" x14ac:dyDescent="0.3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3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8" customHeight="1" x14ac:dyDescent="0.3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3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8" customHeight="1" x14ac:dyDescent="0.3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3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8" customHeight="1" x14ac:dyDescent="0.3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3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8" customHeight="1" x14ac:dyDescent="0.3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3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8" customHeight="1" x14ac:dyDescent="0.3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3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8" customHeight="1" x14ac:dyDescent="0.3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3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8" customHeight="1" x14ac:dyDescent="0.3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3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8" customHeight="1" x14ac:dyDescent="0.3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3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8" customHeight="1" x14ac:dyDescent="0.3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3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8" customHeight="1" x14ac:dyDescent="0.3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3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8" customHeight="1" x14ac:dyDescent="0.3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3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8" customHeight="1" x14ac:dyDescent="0.3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3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8" customHeight="1" x14ac:dyDescent="0.3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3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8" customHeight="1" x14ac:dyDescent="0.3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3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8" customHeight="1" x14ac:dyDescent="0.3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3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8" customHeight="1" x14ac:dyDescent="0.3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3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8" customHeight="1" x14ac:dyDescent="0.3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3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8" customHeight="1" x14ac:dyDescent="0.3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3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8" customHeight="1" x14ac:dyDescent="0.3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3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8" customHeight="1" x14ac:dyDescent="0.3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3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8" customHeight="1" x14ac:dyDescent="0.3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3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8" customHeight="1" x14ac:dyDescent="0.3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3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8" customHeight="1" x14ac:dyDescent="0.3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3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8" customHeight="1" x14ac:dyDescent="0.3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3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8" customHeight="1" x14ac:dyDescent="0.3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3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8" customHeight="1" x14ac:dyDescent="0.3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3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8" customHeight="1" x14ac:dyDescent="0.3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3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8" customHeight="1" x14ac:dyDescent="0.3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3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8" customHeight="1" x14ac:dyDescent="0.3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3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8" customHeight="1" x14ac:dyDescent="0.3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3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8" customHeight="1" x14ac:dyDescent="0.3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3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8" customHeight="1" x14ac:dyDescent="0.3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3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8" customHeight="1" x14ac:dyDescent="0.3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3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8" customHeight="1" x14ac:dyDescent="0.3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3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8" customHeight="1" x14ac:dyDescent="0.3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3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8" customHeight="1" x14ac:dyDescent="0.3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3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8" customHeight="1" x14ac:dyDescent="0.3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3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8" customHeight="1" x14ac:dyDescent="0.3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3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8" customHeight="1" x14ac:dyDescent="0.3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3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8" customHeight="1" x14ac:dyDescent="0.3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3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8" customHeight="1" x14ac:dyDescent="0.3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3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8" customHeight="1" x14ac:dyDescent="0.3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3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8" customHeight="1" x14ac:dyDescent="0.3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3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8" customHeight="1" x14ac:dyDescent="0.3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3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8" customHeight="1" x14ac:dyDescent="0.3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3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8" customHeight="1" x14ac:dyDescent="0.3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3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8" customHeight="1" x14ac:dyDescent="0.3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3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8" customHeight="1" x14ac:dyDescent="0.3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3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8" customHeight="1" x14ac:dyDescent="0.3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3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8" customHeight="1" x14ac:dyDescent="0.3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3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8" customHeight="1" x14ac:dyDescent="0.3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3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8" customHeight="1" x14ac:dyDescent="0.3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3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8" customHeight="1" x14ac:dyDescent="0.3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3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8" customHeight="1" x14ac:dyDescent="0.3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3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8" customHeight="1" x14ac:dyDescent="0.3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3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8" customHeight="1" x14ac:dyDescent="0.3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3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8" customHeight="1" x14ac:dyDescent="0.3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3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8" customHeight="1" x14ac:dyDescent="0.3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3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8" customHeight="1" x14ac:dyDescent="0.3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3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8" customHeight="1" x14ac:dyDescent="0.3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3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8" customHeight="1" x14ac:dyDescent="0.3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3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8" customHeight="1" x14ac:dyDescent="0.3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3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8" customHeight="1" x14ac:dyDescent="0.3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3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8" customHeight="1" x14ac:dyDescent="0.3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3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8" customHeight="1" x14ac:dyDescent="0.3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3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8" customHeight="1" x14ac:dyDescent="0.3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3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8" customHeight="1" x14ac:dyDescent="0.3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3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8" customHeight="1" x14ac:dyDescent="0.3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3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8" customHeight="1" x14ac:dyDescent="0.3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3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8" customHeight="1" x14ac:dyDescent="0.3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3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8" customHeight="1" x14ac:dyDescent="0.3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3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8" customHeight="1" x14ac:dyDescent="0.3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3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8" customHeight="1" x14ac:dyDescent="0.3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3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8" customHeight="1" x14ac:dyDescent="0.3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3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8" customHeight="1" x14ac:dyDescent="0.3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3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8" customHeight="1" x14ac:dyDescent="0.3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3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8" customHeight="1" x14ac:dyDescent="0.3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3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8" customHeight="1" x14ac:dyDescent="0.3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3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8" customHeight="1" x14ac:dyDescent="0.3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3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8" customHeight="1" x14ac:dyDescent="0.3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3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8" customHeight="1" x14ac:dyDescent="0.3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3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8" customHeight="1" x14ac:dyDescent="0.3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3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8" customHeight="1" x14ac:dyDescent="0.3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3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8" customHeight="1" x14ac:dyDescent="0.3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3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8" customHeight="1" x14ac:dyDescent="0.3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3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8" customHeight="1" x14ac:dyDescent="0.3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3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8" customHeight="1" x14ac:dyDescent="0.3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3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8" customHeight="1" x14ac:dyDescent="0.3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3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8" customHeight="1" x14ac:dyDescent="0.3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3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8" customHeight="1" x14ac:dyDescent="0.3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3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8" customHeight="1" x14ac:dyDescent="0.3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3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8" customHeight="1" x14ac:dyDescent="0.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3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8" customHeight="1" x14ac:dyDescent="0.3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3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8" customHeight="1" x14ac:dyDescent="0.3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3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8" customHeight="1" x14ac:dyDescent="0.3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3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8" customHeight="1" x14ac:dyDescent="0.3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3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8" customHeight="1" x14ac:dyDescent="0.3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3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8" customHeight="1" x14ac:dyDescent="0.3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3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8" customHeight="1" x14ac:dyDescent="0.3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3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8" customHeight="1" x14ac:dyDescent="0.3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3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8" customHeight="1" x14ac:dyDescent="0.3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3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8" customHeight="1" x14ac:dyDescent="0.3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3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8" customHeight="1" x14ac:dyDescent="0.3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3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8" customHeight="1" x14ac:dyDescent="0.3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3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8" customHeight="1" x14ac:dyDescent="0.3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3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8" customHeight="1" x14ac:dyDescent="0.3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3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8" customHeight="1" x14ac:dyDescent="0.3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3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8" customHeight="1" x14ac:dyDescent="0.3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3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8" customHeight="1" x14ac:dyDescent="0.3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3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8" customHeight="1" x14ac:dyDescent="0.3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3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8" customHeight="1" x14ac:dyDescent="0.3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3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8" customHeight="1" x14ac:dyDescent="0.3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3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8" customHeight="1" x14ac:dyDescent="0.3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3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8" customHeight="1" x14ac:dyDescent="0.3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3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8" customHeight="1" x14ac:dyDescent="0.3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3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8" customHeight="1" x14ac:dyDescent="0.3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3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8" customHeight="1" x14ac:dyDescent="0.3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3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8" customHeight="1" x14ac:dyDescent="0.3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3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8" customHeight="1" x14ac:dyDescent="0.3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3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8" customHeight="1" x14ac:dyDescent="0.3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3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8" customHeight="1" x14ac:dyDescent="0.3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3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8" customHeight="1" x14ac:dyDescent="0.3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3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8" customHeight="1" x14ac:dyDescent="0.3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3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8" customHeight="1" x14ac:dyDescent="0.3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3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8" customHeight="1" x14ac:dyDescent="0.3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3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8" customHeight="1" x14ac:dyDescent="0.3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3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8" customHeight="1" x14ac:dyDescent="0.3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3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8" customHeight="1" x14ac:dyDescent="0.3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3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8" customHeight="1" x14ac:dyDescent="0.3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3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8" customHeight="1" x14ac:dyDescent="0.3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3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8" customHeight="1" x14ac:dyDescent="0.3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3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8" customHeight="1" x14ac:dyDescent="0.3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3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8" customHeight="1" x14ac:dyDescent="0.3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3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8" customHeight="1" x14ac:dyDescent="0.3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3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8" customHeight="1" x14ac:dyDescent="0.3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3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8" customHeight="1" x14ac:dyDescent="0.3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3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8" customHeight="1" x14ac:dyDescent="0.3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3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8" customHeight="1" x14ac:dyDescent="0.3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3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8" customHeight="1" x14ac:dyDescent="0.3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3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8" customHeight="1" x14ac:dyDescent="0.3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3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8" customHeight="1" x14ac:dyDescent="0.3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3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8" customHeight="1" x14ac:dyDescent="0.3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3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8" customHeight="1" x14ac:dyDescent="0.3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3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8" customHeight="1" x14ac:dyDescent="0.3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3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8" customHeight="1" x14ac:dyDescent="0.3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3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8" customHeight="1" x14ac:dyDescent="0.3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3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8" customHeight="1" x14ac:dyDescent="0.3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3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8" customHeight="1" x14ac:dyDescent="0.3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3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8" customHeight="1" x14ac:dyDescent="0.3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3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8" customHeight="1" x14ac:dyDescent="0.3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3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8" customHeight="1" x14ac:dyDescent="0.3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3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8" customHeight="1" x14ac:dyDescent="0.3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3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8" customHeight="1" x14ac:dyDescent="0.3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3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8" customHeight="1" x14ac:dyDescent="0.3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3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8" customHeight="1" x14ac:dyDescent="0.3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3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8" customHeight="1" x14ac:dyDescent="0.3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3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8" customHeight="1" x14ac:dyDescent="0.3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3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8" customHeight="1" x14ac:dyDescent="0.3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3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8" customHeight="1" x14ac:dyDescent="0.3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3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8" customHeight="1" x14ac:dyDescent="0.3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3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8" customHeight="1" x14ac:dyDescent="0.3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3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8" customHeight="1" x14ac:dyDescent="0.3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3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8" customHeight="1" x14ac:dyDescent="0.3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3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8" customHeight="1" x14ac:dyDescent="0.3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3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8" customHeight="1" x14ac:dyDescent="0.3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3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8" customHeight="1" x14ac:dyDescent="0.3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3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8" customHeight="1" x14ac:dyDescent="0.3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3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8" customHeight="1" x14ac:dyDescent="0.3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3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8" customHeight="1" x14ac:dyDescent="0.3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3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8" customHeight="1" x14ac:dyDescent="0.3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3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8" customHeight="1" x14ac:dyDescent="0.3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3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8" customHeight="1" x14ac:dyDescent="0.3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3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8" customHeight="1" x14ac:dyDescent="0.3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3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8" customHeight="1" x14ac:dyDescent="0.3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3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8" customHeight="1" x14ac:dyDescent="0.3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3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8" customHeight="1" x14ac:dyDescent="0.3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3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8" customHeight="1" x14ac:dyDescent="0.3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3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8" customHeight="1" x14ac:dyDescent="0.3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3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8" customHeight="1" x14ac:dyDescent="0.3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3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8" customHeight="1" x14ac:dyDescent="0.3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3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8" customHeight="1" x14ac:dyDescent="0.3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3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8" customHeight="1" x14ac:dyDescent="0.3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3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8" customHeight="1" x14ac:dyDescent="0.3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3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8" customHeight="1" x14ac:dyDescent="0.3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3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8" customHeight="1" x14ac:dyDescent="0.3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3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8" customHeight="1" x14ac:dyDescent="0.3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3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8" customHeight="1" x14ac:dyDescent="0.3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3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8" customHeight="1" x14ac:dyDescent="0.3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3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8" customHeight="1" x14ac:dyDescent="0.3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3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8" customHeight="1" x14ac:dyDescent="0.3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3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8" customHeight="1" x14ac:dyDescent="0.3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3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8" customHeight="1" x14ac:dyDescent="0.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3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8" customHeight="1" x14ac:dyDescent="0.3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3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8" customHeight="1" x14ac:dyDescent="0.3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3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8" customHeight="1" x14ac:dyDescent="0.3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3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8" customHeight="1" x14ac:dyDescent="0.3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3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8" customHeight="1" x14ac:dyDescent="0.3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3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8" customHeight="1" x14ac:dyDescent="0.3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3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8" customHeight="1" x14ac:dyDescent="0.3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3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8" customHeight="1" x14ac:dyDescent="0.3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3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8" customHeight="1" x14ac:dyDescent="0.3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3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8" customHeight="1" x14ac:dyDescent="0.3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3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8" customHeight="1" x14ac:dyDescent="0.3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3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8" customHeight="1" x14ac:dyDescent="0.3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3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8" customHeight="1" x14ac:dyDescent="0.3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3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8" customHeight="1" x14ac:dyDescent="0.3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3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8" customHeight="1" x14ac:dyDescent="0.3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3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8" customHeight="1" x14ac:dyDescent="0.3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3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8" customHeight="1" x14ac:dyDescent="0.3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3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8" customHeight="1" x14ac:dyDescent="0.3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3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8" customHeight="1" x14ac:dyDescent="0.3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3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8" customHeight="1" x14ac:dyDescent="0.3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3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8" customHeight="1" x14ac:dyDescent="0.3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3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8" customHeight="1" x14ac:dyDescent="0.3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3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8" customHeight="1" x14ac:dyDescent="0.3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3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8" customHeight="1" x14ac:dyDescent="0.3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3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8" customHeight="1" x14ac:dyDescent="0.3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3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8" customHeight="1" x14ac:dyDescent="0.3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3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8" customHeight="1" x14ac:dyDescent="0.3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3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8" customHeight="1" x14ac:dyDescent="0.3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3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8" customHeight="1" x14ac:dyDescent="0.3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3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8" customHeight="1" x14ac:dyDescent="0.3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3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8" customHeight="1" x14ac:dyDescent="0.3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3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8" customHeight="1" x14ac:dyDescent="0.3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3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8" customHeight="1" x14ac:dyDescent="0.3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3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8" customHeight="1" x14ac:dyDescent="0.3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3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8" customHeight="1" x14ac:dyDescent="0.3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3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8" customHeight="1" x14ac:dyDescent="0.3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3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8" customHeight="1" x14ac:dyDescent="0.3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3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8" customHeight="1" x14ac:dyDescent="0.3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3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8" customHeight="1" x14ac:dyDescent="0.3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3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8" customHeight="1" x14ac:dyDescent="0.3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3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8" customHeight="1" x14ac:dyDescent="0.3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3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8" customHeight="1" x14ac:dyDescent="0.3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3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8" customHeight="1" x14ac:dyDescent="0.3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3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8" customHeight="1" x14ac:dyDescent="0.3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3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8" customHeight="1" x14ac:dyDescent="0.3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3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8" customHeight="1" x14ac:dyDescent="0.3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3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8" customHeight="1" x14ac:dyDescent="0.3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3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8" customHeight="1" x14ac:dyDescent="0.3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3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8" customHeight="1" x14ac:dyDescent="0.3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3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8" customHeight="1" x14ac:dyDescent="0.3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3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8" customHeight="1" x14ac:dyDescent="0.3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3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8" customHeight="1" x14ac:dyDescent="0.3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3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8" customHeight="1" x14ac:dyDescent="0.3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3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8" customHeight="1" x14ac:dyDescent="0.3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3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8" customHeight="1" x14ac:dyDescent="0.3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3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8" customHeight="1" x14ac:dyDescent="0.3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3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8" customHeight="1" x14ac:dyDescent="0.3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3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8" customHeight="1" x14ac:dyDescent="0.3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3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8" customHeight="1" x14ac:dyDescent="0.3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3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8" customHeight="1" x14ac:dyDescent="0.3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3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8" customHeight="1" x14ac:dyDescent="0.3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3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8" customHeight="1" x14ac:dyDescent="0.3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3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8" customHeight="1" x14ac:dyDescent="0.3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3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8" customHeight="1" x14ac:dyDescent="0.3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3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8" customHeight="1" x14ac:dyDescent="0.3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3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8" customHeight="1" x14ac:dyDescent="0.3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3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8" customHeight="1" x14ac:dyDescent="0.3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3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8" customHeight="1" x14ac:dyDescent="0.3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3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8" customHeight="1" x14ac:dyDescent="0.3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3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8" customHeight="1" x14ac:dyDescent="0.3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3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8" customHeight="1" x14ac:dyDescent="0.3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3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8" customHeight="1" x14ac:dyDescent="0.3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3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8" customHeight="1" x14ac:dyDescent="0.3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3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8" customHeight="1" x14ac:dyDescent="0.3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3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8" customHeight="1" x14ac:dyDescent="0.3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3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8" customHeight="1" x14ac:dyDescent="0.3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3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8" customHeight="1" x14ac:dyDescent="0.3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3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8" customHeight="1" x14ac:dyDescent="0.3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3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8" customHeight="1" x14ac:dyDescent="0.3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3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8" customHeight="1" x14ac:dyDescent="0.3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3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8" customHeight="1" x14ac:dyDescent="0.3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3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8" customHeight="1" x14ac:dyDescent="0.3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3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8" customHeight="1" x14ac:dyDescent="0.3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3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8" customHeight="1" x14ac:dyDescent="0.3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3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8" customHeight="1" x14ac:dyDescent="0.3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3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8" customHeight="1" x14ac:dyDescent="0.3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3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8" customHeight="1" x14ac:dyDescent="0.3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3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8" customHeight="1" x14ac:dyDescent="0.3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3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8" customHeight="1" x14ac:dyDescent="0.3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3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8" customHeight="1" x14ac:dyDescent="0.3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3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8" customHeight="1" x14ac:dyDescent="0.3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3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8" customHeight="1" x14ac:dyDescent="0.3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3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8" customHeight="1" x14ac:dyDescent="0.3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3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8" customHeight="1" x14ac:dyDescent="0.3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3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8" customHeight="1" x14ac:dyDescent="0.3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3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8" customHeight="1" x14ac:dyDescent="0.3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3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8" customHeight="1" x14ac:dyDescent="0.3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3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8" customHeight="1" x14ac:dyDescent="0.3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3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8" customHeight="1" x14ac:dyDescent="0.3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3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8" customHeight="1" x14ac:dyDescent="0.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3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8" customHeight="1" x14ac:dyDescent="0.3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3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8" customHeight="1" x14ac:dyDescent="0.3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3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8" customHeight="1" x14ac:dyDescent="0.3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3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8" customHeight="1" x14ac:dyDescent="0.3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3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8" customHeight="1" x14ac:dyDescent="0.3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3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8" customHeight="1" x14ac:dyDescent="0.3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3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8" customHeight="1" x14ac:dyDescent="0.3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3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8" customHeight="1" x14ac:dyDescent="0.3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3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8" customHeight="1" x14ac:dyDescent="0.3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3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8" customHeight="1" x14ac:dyDescent="0.3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3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8" customHeight="1" x14ac:dyDescent="0.3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3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8" customHeight="1" x14ac:dyDescent="0.3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3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8" customHeight="1" x14ac:dyDescent="0.3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3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8" customHeight="1" x14ac:dyDescent="0.3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3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8" customHeight="1" x14ac:dyDescent="0.3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3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8" customHeight="1" x14ac:dyDescent="0.3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3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8" customHeight="1" x14ac:dyDescent="0.3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3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8" customHeight="1" x14ac:dyDescent="0.3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3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8" customHeight="1" x14ac:dyDescent="0.3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3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8" customHeight="1" x14ac:dyDescent="0.3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3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8" customHeight="1" x14ac:dyDescent="0.3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3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8" customHeight="1" x14ac:dyDescent="0.3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3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8" customHeight="1" x14ac:dyDescent="0.3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3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8" customHeight="1" x14ac:dyDescent="0.3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3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8" customHeight="1" x14ac:dyDescent="0.3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3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8" customHeight="1" x14ac:dyDescent="0.3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3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8" customHeight="1" x14ac:dyDescent="0.3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3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8" customHeight="1" x14ac:dyDescent="0.3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3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8" customHeight="1" x14ac:dyDescent="0.3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3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8" customHeight="1" x14ac:dyDescent="0.3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3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8" customHeight="1" x14ac:dyDescent="0.3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3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8" customHeight="1" x14ac:dyDescent="0.3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3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8" customHeight="1" x14ac:dyDescent="0.3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3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8" customHeight="1" x14ac:dyDescent="0.3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3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8" customHeight="1" x14ac:dyDescent="0.3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3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8" customHeight="1" x14ac:dyDescent="0.3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3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8" customHeight="1" x14ac:dyDescent="0.3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3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8" customHeight="1" x14ac:dyDescent="0.3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3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8" customHeight="1" x14ac:dyDescent="0.3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3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8" customHeight="1" x14ac:dyDescent="0.3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3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8" customHeight="1" x14ac:dyDescent="0.3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3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8" customHeight="1" x14ac:dyDescent="0.3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3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8" customHeight="1" x14ac:dyDescent="0.3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3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8" customHeight="1" x14ac:dyDescent="0.3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3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8" customHeight="1" x14ac:dyDescent="0.3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3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8" customHeight="1" x14ac:dyDescent="0.3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3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8" customHeight="1" x14ac:dyDescent="0.3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3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8" customHeight="1" x14ac:dyDescent="0.3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3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8" customHeight="1" x14ac:dyDescent="0.3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3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8" customHeight="1" x14ac:dyDescent="0.3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3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8" customHeight="1" x14ac:dyDescent="0.3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3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8" customHeight="1" x14ac:dyDescent="0.3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3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8" customHeight="1" x14ac:dyDescent="0.3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3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8" customHeight="1" x14ac:dyDescent="0.3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3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8" customHeight="1" x14ac:dyDescent="0.3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3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8" customHeight="1" x14ac:dyDescent="0.3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3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8" customHeight="1" x14ac:dyDescent="0.3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3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8" customHeight="1" x14ac:dyDescent="0.3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3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8" customHeight="1" x14ac:dyDescent="0.3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3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8" customHeight="1" x14ac:dyDescent="0.3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3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8" customHeight="1" x14ac:dyDescent="0.3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3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8" customHeight="1" x14ac:dyDescent="0.3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3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8" customHeight="1" x14ac:dyDescent="0.3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3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8" customHeight="1" x14ac:dyDescent="0.3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3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8" customHeight="1" x14ac:dyDescent="0.3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3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8" customHeight="1" x14ac:dyDescent="0.3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3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8" customHeight="1" x14ac:dyDescent="0.3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3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8" customHeight="1" x14ac:dyDescent="0.3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3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8" customHeight="1" x14ac:dyDescent="0.3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3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8" customHeight="1" x14ac:dyDescent="0.3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3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8" customHeight="1" x14ac:dyDescent="0.3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3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8" customHeight="1" x14ac:dyDescent="0.3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3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8" customHeight="1" x14ac:dyDescent="0.3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3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8" customHeight="1" x14ac:dyDescent="0.3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3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8" customHeight="1" x14ac:dyDescent="0.3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3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8" customHeight="1" x14ac:dyDescent="0.3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3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8" customHeight="1" x14ac:dyDescent="0.3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3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8" customHeight="1" x14ac:dyDescent="0.3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3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8" customHeight="1" x14ac:dyDescent="0.3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3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8" customHeight="1" x14ac:dyDescent="0.3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3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8" customHeight="1" x14ac:dyDescent="0.3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3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8" customHeight="1" x14ac:dyDescent="0.3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3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8" customHeight="1" x14ac:dyDescent="0.3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3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8" customHeight="1" x14ac:dyDescent="0.3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3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8" customHeight="1" x14ac:dyDescent="0.3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3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8" customHeight="1" x14ac:dyDescent="0.3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3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8" customHeight="1" x14ac:dyDescent="0.3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3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8" customHeight="1" x14ac:dyDescent="0.3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3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8" customHeight="1" x14ac:dyDescent="0.3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3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8" customHeight="1" x14ac:dyDescent="0.3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3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8" customHeight="1" x14ac:dyDescent="0.3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3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8" customHeight="1" x14ac:dyDescent="0.3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3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8" customHeight="1" x14ac:dyDescent="0.3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3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8" customHeight="1" x14ac:dyDescent="0.3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3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8" customHeight="1" x14ac:dyDescent="0.3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3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8" customHeight="1" x14ac:dyDescent="0.3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3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8" customHeight="1" x14ac:dyDescent="0.3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3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8" customHeight="1" x14ac:dyDescent="0.3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3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8" customHeight="1" x14ac:dyDescent="0.3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3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8" customHeight="1" x14ac:dyDescent="0.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3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8" customHeight="1" x14ac:dyDescent="0.3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3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8" customHeight="1" x14ac:dyDescent="0.3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3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8" customHeight="1" x14ac:dyDescent="0.3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3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8" customHeight="1" x14ac:dyDescent="0.3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3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8" customHeight="1" x14ac:dyDescent="0.3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3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8" customHeight="1" x14ac:dyDescent="0.3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3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8" customHeight="1" x14ac:dyDescent="0.3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3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8" customHeight="1" x14ac:dyDescent="0.3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3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8" customHeight="1" x14ac:dyDescent="0.3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3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8" customHeight="1" x14ac:dyDescent="0.3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3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8" customHeight="1" x14ac:dyDescent="0.3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3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8" customHeight="1" x14ac:dyDescent="0.3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3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8" customHeight="1" x14ac:dyDescent="0.3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3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8" customHeight="1" x14ac:dyDescent="0.3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3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8" customHeight="1" x14ac:dyDescent="0.3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3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8" customHeight="1" x14ac:dyDescent="0.3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3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8" customHeight="1" x14ac:dyDescent="0.3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3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8" customHeight="1" x14ac:dyDescent="0.3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3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8" customHeight="1" x14ac:dyDescent="0.3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3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8" customHeight="1" x14ac:dyDescent="0.3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3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8" customHeight="1" x14ac:dyDescent="0.3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3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8" customHeight="1" x14ac:dyDescent="0.3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3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8" customHeight="1" x14ac:dyDescent="0.3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3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8" customHeight="1" x14ac:dyDescent="0.3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3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8" customHeight="1" x14ac:dyDescent="0.3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3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8" customHeight="1" x14ac:dyDescent="0.3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3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8" customHeight="1" x14ac:dyDescent="0.3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3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8" customHeight="1" x14ac:dyDescent="0.3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3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8" customHeight="1" x14ac:dyDescent="0.3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3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8" customHeight="1" x14ac:dyDescent="0.3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3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8" customHeight="1" x14ac:dyDescent="0.3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3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8" customHeight="1" x14ac:dyDescent="0.3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3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8" customHeight="1" x14ac:dyDescent="0.3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3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8" customHeight="1" x14ac:dyDescent="0.3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3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8" customHeight="1" x14ac:dyDescent="0.3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3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8" customHeight="1" x14ac:dyDescent="0.3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3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8" customHeight="1" x14ac:dyDescent="0.3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3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8" customHeight="1" x14ac:dyDescent="0.3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3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8" customHeight="1" x14ac:dyDescent="0.3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3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8" customHeight="1" x14ac:dyDescent="0.3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3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8" customHeight="1" x14ac:dyDescent="0.3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3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8" customHeight="1" x14ac:dyDescent="0.3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3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8" customHeight="1" x14ac:dyDescent="0.3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3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8" customHeight="1" x14ac:dyDescent="0.3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3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8" customHeight="1" x14ac:dyDescent="0.3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3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8" customHeight="1" x14ac:dyDescent="0.3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3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8" customHeight="1" x14ac:dyDescent="0.3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3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8" customHeight="1" x14ac:dyDescent="0.3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3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8" customHeight="1" x14ac:dyDescent="0.3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3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8" customHeight="1" x14ac:dyDescent="0.3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3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8" customHeight="1" x14ac:dyDescent="0.3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3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8" customHeight="1" x14ac:dyDescent="0.3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3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8" customHeight="1" x14ac:dyDescent="0.3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3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8" customHeight="1" x14ac:dyDescent="0.3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3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8" customHeight="1" x14ac:dyDescent="0.3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3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8" customHeight="1" x14ac:dyDescent="0.3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3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8" customHeight="1" x14ac:dyDescent="0.3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3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8" customHeight="1" x14ac:dyDescent="0.3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3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8" customHeight="1" x14ac:dyDescent="0.3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3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8" customHeight="1" x14ac:dyDescent="0.3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3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8" customHeight="1" x14ac:dyDescent="0.3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3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8" customHeight="1" x14ac:dyDescent="0.3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3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8" customHeight="1" x14ac:dyDescent="0.3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3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8" customHeight="1" x14ac:dyDescent="0.3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3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8" customHeight="1" x14ac:dyDescent="0.3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3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8" customHeight="1" x14ac:dyDescent="0.3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3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8" customHeight="1" x14ac:dyDescent="0.3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3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8" customHeight="1" x14ac:dyDescent="0.3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3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8" customHeight="1" x14ac:dyDescent="0.3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3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8" customHeight="1" x14ac:dyDescent="0.3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3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8" customHeight="1" x14ac:dyDescent="0.3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3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8" customHeight="1" x14ac:dyDescent="0.3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3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8" customHeight="1" x14ac:dyDescent="0.3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3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8" customHeight="1" x14ac:dyDescent="0.3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3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8" customHeight="1" x14ac:dyDescent="0.3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3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8" customHeight="1" x14ac:dyDescent="0.3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3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8" customHeight="1" x14ac:dyDescent="0.3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3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8" customHeight="1" x14ac:dyDescent="0.3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3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8" customHeight="1" x14ac:dyDescent="0.3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3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8" customHeight="1" x14ac:dyDescent="0.3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3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8" customHeight="1" x14ac:dyDescent="0.3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3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8" customHeight="1" x14ac:dyDescent="0.3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3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8" customHeight="1" x14ac:dyDescent="0.3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3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8" customHeight="1" x14ac:dyDescent="0.3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3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8" customHeight="1" x14ac:dyDescent="0.3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3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8" customHeight="1" x14ac:dyDescent="0.3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3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8" customHeight="1" x14ac:dyDescent="0.3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3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8" customHeight="1" x14ac:dyDescent="0.3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3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8" customHeight="1" x14ac:dyDescent="0.3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3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8" customHeight="1" x14ac:dyDescent="0.3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3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8" customHeight="1" x14ac:dyDescent="0.3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3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8" customHeight="1" x14ac:dyDescent="0.3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3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8" customHeight="1" x14ac:dyDescent="0.3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3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8" customHeight="1" x14ac:dyDescent="0.3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3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8" customHeight="1" x14ac:dyDescent="0.3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3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8" customHeight="1" x14ac:dyDescent="0.3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3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8" customHeight="1" x14ac:dyDescent="0.3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3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8" customHeight="1" x14ac:dyDescent="0.3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3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8" customHeight="1" x14ac:dyDescent="0.3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3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8" customHeight="1" x14ac:dyDescent="0.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3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8" customHeight="1" x14ac:dyDescent="0.3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3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8" customHeight="1" x14ac:dyDescent="0.3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3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8" customHeight="1" x14ac:dyDescent="0.3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3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8" customHeight="1" x14ac:dyDescent="0.3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3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8" customHeight="1" x14ac:dyDescent="0.3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3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8" customHeight="1" x14ac:dyDescent="0.3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3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8" customHeight="1" x14ac:dyDescent="0.3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3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8" customHeight="1" x14ac:dyDescent="0.3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3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8" customHeight="1" x14ac:dyDescent="0.3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3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8" customHeight="1" x14ac:dyDescent="0.3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3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8" customHeight="1" x14ac:dyDescent="0.3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3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8" customHeight="1" x14ac:dyDescent="0.3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3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8" customHeight="1" x14ac:dyDescent="0.3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3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8" customHeight="1" x14ac:dyDescent="0.3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3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8" customHeight="1" x14ac:dyDescent="0.3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3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8" customHeight="1" x14ac:dyDescent="0.3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3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8" customHeight="1" x14ac:dyDescent="0.3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3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8" customHeight="1" x14ac:dyDescent="0.3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3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8" customHeight="1" x14ac:dyDescent="0.3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3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8" customHeight="1" x14ac:dyDescent="0.3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3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8" customHeight="1" x14ac:dyDescent="0.3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3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8" customHeight="1" x14ac:dyDescent="0.3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3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8" customHeight="1" x14ac:dyDescent="0.3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3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8" customHeight="1" x14ac:dyDescent="0.3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3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8" customHeight="1" x14ac:dyDescent="0.3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3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8" customHeight="1" x14ac:dyDescent="0.3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3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8" customHeight="1" x14ac:dyDescent="0.3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3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8" customHeight="1" x14ac:dyDescent="0.3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3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8" customHeight="1" x14ac:dyDescent="0.3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3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8" customHeight="1" x14ac:dyDescent="0.3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3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8" customHeight="1" x14ac:dyDescent="0.3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3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8" customHeight="1" x14ac:dyDescent="0.3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3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8" customHeight="1" x14ac:dyDescent="0.3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3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8" customHeight="1" x14ac:dyDescent="0.3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3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8" customHeight="1" x14ac:dyDescent="0.3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3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8" customHeight="1" x14ac:dyDescent="0.3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3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8" customHeight="1" x14ac:dyDescent="0.3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3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8" customHeight="1" x14ac:dyDescent="0.3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3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8" customHeight="1" x14ac:dyDescent="0.3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3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8" customHeight="1" x14ac:dyDescent="0.3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3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8" customHeight="1" x14ac:dyDescent="0.3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3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8" customHeight="1" x14ac:dyDescent="0.3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3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8" customHeight="1" x14ac:dyDescent="0.3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3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8" customHeight="1" x14ac:dyDescent="0.3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3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8" customHeight="1" x14ac:dyDescent="0.3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3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8" customHeight="1" x14ac:dyDescent="0.3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3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8" customHeight="1" x14ac:dyDescent="0.3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3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8" customHeight="1" x14ac:dyDescent="0.3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3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8" customHeight="1" x14ac:dyDescent="0.3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3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8" customHeight="1" x14ac:dyDescent="0.3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3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8" customHeight="1" x14ac:dyDescent="0.3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3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8" customHeight="1" x14ac:dyDescent="0.3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3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8" customHeight="1" x14ac:dyDescent="0.3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3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8" customHeight="1" x14ac:dyDescent="0.3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3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8" customHeight="1" x14ac:dyDescent="0.3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3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8" customHeight="1" x14ac:dyDescent="0.3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3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8" customHeight="1" x14ac:dyDescent="0.3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3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8" customHeight="1" x14ac:dyDescent="0.3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3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8" customHeight="1" x14ac:dyDescent="0.3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3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8" customHeight="1" x14ac:dyDescent="0.3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3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8" customHeight="1" x14ac:dyDescent="0.3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3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8" customHeight="1" x14ac:dyDescent="0.3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3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8" customHeight="1" x14ac:dyDescent="0.3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3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8" customHeight="1" x14ac:dyDescent="0.3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3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8" customHeight="1" x14ac:dyDescent="0.3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3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15">
    <mergeCell ref="A119:B119"/>
    <mergeCell ref="A124:B124"/>
    <mergeCell ref="A130:B130"/>
    <mergeCell ref="A1:J2"/>
    <mergeCell ref="B3:C7"/>
    <mergeCell ref="H13:J13"/>
    <mergeCell ref="H14:J20"/>
    <mergeCell ref="B24:C24"/>
    <mergeCell ref="E24:G24"/>
    <mergeCell ref="B25:E25"/>
    <mergeCell ref="A3:A4"/>
    <mergeCell ref="A75:B75"/>
    <mergeCell ref="F78:G78"/>
    <mergeCell ref="F80:G80"/>
    <mergeCell ref="A113:B113"/>
  </mergeCells>
  <conditionalFormatting sqref="C19">
    <cfRule type="containsText" dxfId="57" priority="1" operator="containsText" text="Boulons et Platines">
      <formula>NOT(ISERROR(SEARCH(("Boulons et Platines"),(C19))))</formula>
    </cfRule>
  </conditionalFormatting>
  <conditionalFormatting sqref="E3 H3">
    <cfRule type="beginsWith" dxfId="56" priority="2" operator="beginsWith" text="Boulons">
      <formula>LEFT((E3),LEN("Boulons"))=("Boulons")</formula>
    </cfRule>
  </conditionalFormatting>
  <conditionalFormatting sqref="E3">
    <cfRule type="containsText" dxfId="55" priority="3" operator="containsText" text="Boulons et Platines">
      <formula>NOT(ISERROR(SEARCH(("Boulons et Platines"),(E3))))</formula>
    </cfRule>
  </conditionalFormatting>
  <conditionalFormatting sqref="F19">
    <cfRule type="containsText" dxfId="54" priority="4" operator="containsText" text="Oui">
      <formula>NOT(ISERROR(SEARCH(("Oui"),(F19))))</formula>
    </cfRule>
  </conditionalFormatting>
  <conditionalFormatting sqref="F21">
    <cfRule type="cellIs" dxfId="53" priority="5" operator="equal">
      <formula>"Oui"</formula>
    </cfRule>
  </conditionalFormatting>
  <conditionalFormatting sqref="H3">
    <cfRule type="containsText" dxfId="52" priority="6" operator="containsText" text="Boulons et Platines">
      <formula>NOT(ISERROR(SEARCH(("Boulons et Platines"),(H3))))</formula>
    </cfRule>
  </conditionalFormatting>
  <dataValidations count="10">
    <dataValidation type="list" allowBlank="1" showErrorMessage="1" sqref="C17" xr:uid="{00000000-0002-0000-0200-000000000000}">
      <formula1>$A$266:$A$272</formula1>
    </dataValidation>
    <dataValidation type="list" allowBlank="1" showErrorMessage="1" sqref="C15" xr:uid="{00000000-0002-0000-0200-000001000000}">
      <formula1>$A$260:$A$261</formula1>
    </dataValidation>
    <dataValidation type="list" allowBlank="1" showErrorMessage="1" sqref="A33 G33 A49 G49 A65 G65" xr:uid="{00000000-0002-0000-0200-000002000000}">
      <formula1>$A$286:$A$288</formula1>
    </dataValidation>
    <dataValidation type="list" allowBlank="1" showErrorMessage="1" sqref="B29 H29 B45 H45 B61 H61" xr:uid="{00000000-0002-0000-0200-000004000000}">
      <formula1>$A$292:$A$297</formula1>
    </dataValidation>
    <dataValidation type="list" allowBlank="1" showErrorMessage="1" sqref="C19" xr:uid="{00000000-0002-0000-0200-000005000000}">
      <formula1>$A$274:$A$275</formula1>
    </dataValidation>
    <dataValidation type="list" allowBlank="1" showErrorMessage="1" sqref="C13" xr:uid="{00000000-0002-0000-0200-000006000000}">
      <formula1>$A$256:$A$258</formula1>
    </dataValidation>
    <dataValidation type="list" allowBlank="1" showErrorMessage="1" sqref="F15 F19 F21" xr:uid="{00000000-0002-0000-0200-000007000000}">
      <formula1>$A$299:$A$300</formula1>
    </dataValidation>
    <dataValidation type="list" allowBlank="1" showErrorMessage="1" sqref="C23" xr:uid="{00000000-0002-0000-0200-000008000000}">
      <formula1>$A$305:$A$307</formula1>
    </dataValidation>
    <dataValidation type="list" allowBlank="1" showErrorMessage="1" sqref="F23" xr:uid="{00000000-0002-0000-0200-00000A000000}">
      <formula1>$A$281:$A$284</formula1>
    </dataValidation>
    <dataValidation type="list" allowBlank="1" showErrorMessage="1" sqref="C21" xr:uid="{00000000-0002-0000-0200-00000B000000}">
      <formula1>$A$277:$A$279</formula1>
    </dataValidation>
  </dataValidations>
  <pageMargins left="0.70866141732283472" right="0.70866141732283472" top="0.35433070866141736" bottom="0.74803149606299213" header="0" footer="0"/>
  <pageSetup paperSize="9" orientation="landscape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ErrorMessage="1" xr:uid="{00000000-0002-0000-0200-000003000000}">
          <x14:formula1>
            <xm:f>'Infos Clients'!$B$2:$B$10</xm:f>
          </x14:formula1>
          <xm:sqref>F10</xm:sqref>
        </x14:dataValidation>
        <x14:dataValidation type="list" allowBlank="1" showErrorMessage="1" xr:uid="{00000000-0002-0000-0200-000009000000}">
          <x14:formula1>
            <xm:f>'Infos Clients'!$A$19:$A$20</xm:f>
          </x14:formula1>
          <xm:sqref>F9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B0F0"/>
  </sheetPr>
  <dimension ref="A1:Z1000"/>
  <sheetViews>
    <sheetView zoomScale="70" zoomScaleNormal="70" workbookViewId="0">
      <selection sqref="A1:H2"/>
    </sheetView>
  </sheetViews>
  <sheetFormatPr baseColWidth="10" defaultColWidth="14.44140625" defaultRowHeight="15" customHeight="1" x14ac:dyDescent="0.3"/>
  <cols>
    <col min="1" max="1" width="20.109375" customWidth="1"/>
    <col min="2" max="2" width="40" customWidth="1"/>
    <col min="3" max="3" width="25.44140625" customWidth="1"/>
    <col min="4" max="4" width="18.109375" customWidth="1"/>
    <col min="5" max="5" width="27" customWidth="1"/>
    <col min="6" max="7" width="22.44140625" customWidth="1"/>
    <col min="8" max="8" width="21.33203125" customWidth="1"/>
    <col min="9" max="12" width="18.88671875" customWidth="1"/>
    <col min="13" max="13" width="14.44140625" customWidth="1"/>
    <col min="14" max="14" width="18.33203125" customWidth="1"/>
    <col min="15" max="15" width="14.5546875" customWidth="1"/>
    <col min="16" max="16" width="11.44140625" customWidth="1"/>
    <col min="17" max="17" width="15.88671875" customWidth="1"/>
    <col min="18" max="18" width="15.33203125" customWidth="1"/>
    <col min="19" max="19" width="14.33203125" customWidth="1"/>
    <col min="20" max="26" width="11.44140625" customWidth="1"/>
  </cols>
  <sheetData>
    <row r="1" spans="1:26" ht="18" customHeight="1" x14ac:dyDescent="0.35">
      <c r="A1" s="1106" t="s">
        <v>184</v>
      </c>
      <c r="B1" s="1085"/>
      <c r="C1" s="1085"/>
      <c r="D1" s="1085"/>
      <c r="E1" s="1085"/>
      <c r="F1" s="1085"/>
      <c r="G1" s="1085"/>
      <c r="H1" s="1086"/>
      <c r="I1" s="2"/>
      <c r="J1" s="2"/>
      <c r="K1" s="2"/>
      <c r="L1" s="2"/>
      <c r="M1" s="2"/>
      <c r="N1" s="3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8" customHeight="1" x14ac:dyDescent="0.35">
      <c r="A2" s="1087"/>
      <c r="B2" s="1088"/>
      <c r="C2" s="1088"/>
      <c r="D2" s="1088"/>
      <c r="E2" s="1088"/>
      <c r="F2" s="1088"/>
      <c r="G2" s="1088"/>
      <c r="H2" s="1089"/>
      <c r="I2" s="2"/>
      <c r="J2" s="2"/>
      <c r="K2" s="2"/>
      <c r="L2" s="2"/>
      <c r="M2" s="2"/>
      <c r="N2" s="3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8" hidden="1" customHeight="1" x14ac:dyDescent="0.4">
      <c r="A3" s="309"/>
      <c r="B3" s="2"/>
      <c r="C3" s="2"/>
      <c r="D3" s="2"/>
      <c r="E3" s="38">
        <f>IF(C19="Boulons et platines","Boulons et Platines",0)</f>
        <v>0</v>
      </c>
      <c r="F3" s="38">
        <f>IF(E3="Boulons et Platines","Nbre de Trous",0)</f>
        <v>0</v>
      </c>
      <c r="G3" s="168">
        <f>IF(E3="Boulons et Platines","Dim du Bord",0)</f>
        <v>0</v>
      </c>
      <c r="H3" s="2"/>
      <c r="I3" s="2"/>
      <c r="J3" s="2"/>
      <c r="K3" s="2"/>
      <c r="L3" s="2"/>
      <c r="M3" s="2"/>
      <c r="N3" s="3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8" hidden="1" customHeight="1" x14ac:dyDescent="0.35">
      <c r="A4" s="2"/>
      <c r="B4" s="2"/>
      <c r="C4" s="2"/>
      <c r="D4" s="2"/>
      <c r="E4" s="10">
        <f>IF(C19="Vis bois",0,"Trous dans la Longueur")</f>
        <v>0</v>
      </c>
      <c r="F4" s="6">
        <f>IF(E4=0,0,IF(C52&lt;100,2,IF(C52&lt;150,3,IF(C52&lt;200,4,IF(C52&lt;250,5,IF(C52&lt;300,6,7))))))</f>
        <v>0</v>
      </c>
      <c r="G4" s="11">
        <f>IF(F4=0,0,IF(F4=3,0,(($C$52-32)/(F4-1))+16))</f>
        <v>0</v>
      </c>
      <c r="H4" s="2"/>
      <c r="I4" s="2"/>
      <c r="J4" s="2"/>
      <c r="K4" s="2"/>
      <c r="L4" s="2"/>
      <c r="M4" s="2"/>
      <c r="N4" s="3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8" hidden="1" customHeight="1" x14ac:dyDescent="0.35">
      <c r="A5" s="2"/>
      <c r="B5" s="2"/>
      <c r="C5" s="2"/>
      <c r="D5" s="2"/>
      <c r="E5" s="13">
        <f>IF(F4=6,"2ème Trou",IF(F4=7,"2ème Trou",0))</f>
        <v>0</v>
      </c>
      <c r="F5" s="2"/>
      <c r="G5" s="11">
        <f>IF(E5=0,0,G4+G4-16)</f>
        <v>0</v>
      </c>
      <c r="H5" s="2"/>
      <c r="I5" s="2"/>
      <c r="J5" s="2"/>
      <c r="K5" s="2"/>
      <c r="L5" s="2"/>
      <c r="M5" s="2"/>
      <c r="N5" s="3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8" hidden="1" customHeight="1" x14ac:dyDescent="0.35">
      <c r="A6" s="2"/>
      <c r="B6" s="2"/>
      <c r="C6" s="2"/>
      <c r="D6" s="2"/>
      <c r="E6" s="10">
        <f>IF(C19="Vis bois",0,"Trous dans la Hauteur")</f>
        <v>0</v>
      </c>
      <c r="F6" s="6">
        <f>IF(E6=0,0,IF(D52&lt;100,2,IF(D52&lt;150,3,IF(D52&lt;200,4,IF(D52&lt;250,5,IF(D52&lt;310,6,7))))))</f>
        <v>0</v>
      </c>
      <c r="G6" s="11">
        <f>IF(F6=0,0,IF(F6=3,0,(($D$52-32)/(F6-1))+16))</f>
        <v>0</v>
      </c>
      <c r="H6" s="2"/>
      <c r="I6" s="2"/>
      <c r="J6" s="2"/>
      <c r="K6" s="2"/>
      <c r="L6" s="2"/>
      <c r="M6" s="2"/>
      <c r="N6" s="3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8" hidden="1" customHeight="1" x14ac:dyDescent="0.35">
      <c r="A7" s="2"/>
      <c r="B7" s="2"/>
      <c r="C7" s="2"/>
      <c r="D7" s="2"/>
      <c r="E7" s="14">
        <f>IF(F6=6,"2ème Trou",IF(F6=7,"2ème Trou",0))</f>
        <v>0</v>
      </c>
      <c r="F7" s="15"/>
      <c r="G7" s="16">
        <f>IF(E7=0,0,G6+G6-16)</f>
        <v>0</v>
      </c>
      <c r="H7" s="2"/>
      <c r="I7" s="2"/>
      <c r="J7" s="2"/>
      <c r="K7" s="2"/>
      <c r="L7" s="2"/>
      <c r="M7" s="2"/>
      <c r="N7" s="3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8" customHeight="1" x14ac:dyDescent="0.3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3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8" customHeight="1" x14ac:dyDescent="0.35">
      <c r="A9" s="2"/>
      <c r="B9" s="2" t="s">
        <v>1</v>
      </c>
      <c r="C9" s="20"/>
      <c r="D9" s="2"/>
      <c r="E9" s="6" t="s">
        <v>2</v>
      </c>
      <c r="F9" s="22" t="s">
        <v>3</v>
      </c>
      <c r="G9" s="2"/>
      <c r="H9" s="2"/>
      <c r="I9" s="2"/>
      <c r="J9" s="2"/>
      <c r="K9" s="2"/>
      <c r="L9" s="2"/>
      <c r="M9" s="2"/>
      <c r="N9" s="3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8" customHeight="1" x14ac:dyDescent="0.35">
      <c r="A10" s="2"/>
      <c r="B10" s="2" t="s">
        <v>4</v>
      </c>
      <c r="C10" s="23"/>
      <c r="D10" s="2"/>
      <c r="E10" s="6" t="s">
        <v>5</v>
      </c>
      <c r="F10" s="24" t="s">
        <v>6</v>
      </c>
      <c r="G10" s="2"/>
      <c r="H10" s="2"/>
      <c r="I10" s="2"/>
      <c r="J10" s="2"/>
      <c r="K10" s="2"/>
      <c r="L10" s="2"/>
      <c r="M10" s="2"/>
      <c r="N10" s="3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8" customHeight="1" x14ac:dyDescent="0.35">
      <c r="A11" s="2"/>
      <c r="B11" s="2" t="s">
        <v>138</v>
      </c>
      <c r="C11" s="23"/>
      <c r="D11" s="2"/>
      <c r="E11" s="6" t="s">
        <v>8</v>
      </c>
      <c r="F11" s="25"/>
      <c r="G11" s="2"/>
      <c r="H11" s="2"/>
      <c r="I11" s="2"/>
      <c r="J11" s="2"/>
      <c r="K11" s="2"/>
      <c r="L11" s="2"/>
      <c r="M11" s="2"/>
      <c r="N11" s="3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8" customHeight="1" x14ac:dyDescent="0.35">
      <c r="A12" s="2"/>
      <c r="B12" s="2"/>
      <c r="C12" s="6"/>
      <c r="D12" s="2"/>
      <c r="E12" s="2"/>
      <c r="F12" s="2"/>
      <c r="G12" s="2"/>
      <c r="H12" s="2"/>
      <c r="I12" s="2"/>
      <c r="J12" s="2"/>
      <c r="K12" s="2"/>
      <c r="L12" s="2"/>
      <c r="M12" s="2"/>
      <c r="N12" s="3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8" customHeight="1" x14ac:dyDescent="0.4">
      <c r="A13" s="2"/>
      <c r="B13" s="19" t="s">
        <v>9</v>
      </c>
      <c r="C13" s="23" t="s">
        <v>10</v>
      </c>
      <c r="D13" s="2"/>
      <c r="E13" s="1099"/>
      <c r="F13" s="1100"/>
      <c r="G13" s="1101"/>
      <c r="H13" s="2"/>
      <c r="I13" s="2"/>
      <c r="J13" s="2"/>
      <c r="K13" s="2"/>
      <c r="L13" s="2"/>
      <c r="M13" s="2"/>
      <c r="N13" s="3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8" customHeight="1" x14ac:dyDescent="0.4">
      <c r="A14" s="2"/>
      <c r="B14" s="19"/>
      <c r="C14" s="6"/>
      <c r="D14" s="2"/>
      <c r="E14" s="1099"/>
      <c r="F14" s="1100"/>
      <c r="G14" s="1101"/>
      <c r="H14" s="2"/>
      <c r="I14" s="2"/>
      <c r="J14" s="2"/>
      <c r="K14" s="2"/>
      <c r="L14" s="2"/>
      <c r="M14" s="2"/>
      <c r="N14" s="3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8" customHeight="1" x14ac:dyDescent="0.35">
      <c r="A15" s="2"/>
      <c r="B15" s="19" t="s">
        <v>11</v>
      </c>
      <c r="C15" s="23" t="s">
        <v>12</v>
      </c>
      <c r="D15" s="2"/>
      <c r="E15" s="19" t="s">
        <v>13</v>
      </c>
      <c r="F15" s="23" t="s">
        <v>14</v>
      </c>
      <c r="G15" s="2"/>
      <c r="H15" s="1109" t="str">
        <f>VLOOKUP($F$10,'Infos Clients'!$B$2:$G$10,2)</f>
        <v>#VALUE!</v>
      </c>
      <c r="I15" s="1085"/>
      <c r="J15" s="1086"/>
      <c r="K15" s="2"/>
      <c r="L15" s="2"/>
      <c r="M15" s="2"/>
      <c r="N15" s="3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9.5" customHeight="1" x14ac:dyDescent="0.35">
      <c r="A16" s="2"/>
      <c r="B16" s="2"/>
      <c r="C16" s="6"/>
      <c r="D16" s="2"/>
      <c r="E16" s="1098"/>
      <c r="F16" s="1085"/>
      <c r="G16" s="1086"/>
      <c r="H16" s="1091"/>
      <c r="I16" s="1097"/>
      <c r="J16" s="1092"/>
      <c r="K16" s="2"/>
      <c r="L16" s="2"/>
      <c r="M16" s="2"/>
      <c r="N16" s="3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8" customHeight="1" x14ac:dyDescent="0.35">
      <c r="A17" s="2"/>
      <c r="B17" s="19" t="s">
        <v>15</v>
      </c>
      <c r="C17" s="23" t="s">
        <v>102</v>
      </c>
      <c r="D17" s="2"/>
      <c r="E17" s="1091"/>
      <c r="F17" s="1097"/>
      <c r="G17" s="1092"/>
      <c r="H17" s="1091"/>
      <c r="I17" s="1097"/>
      <c r="J17" s="1092"/>
      <c r="K17" s="2"/>
      <c r="L17" s="2"/>
      <c r="M17" s="2"/>
      <c r="N17" s="3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8" customHeight="1" x14ac:dyDescent="0.35">
      <c r="A18" s="2"/>
      <c r="B18" s="2"/>
      <c r="C18" s="6"/>
      <c r="D18" s="2"/>
      <c r="E18" s="1087"/>
      <c r="F18" s="1088"/>
      <c r="G18" s="1089"/>
      <c r="H18" s="1091"/>
      <c r="I18" s="1097"/>
      <c r="J18" s="1092"/>
      <c r="K18" s="2"/>
      <c r="L18" s="2"/>
      <c r="M18" s="2"/>
      <c r="N18" s="3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8" customHeight="1" x14ac:dyDescent="0.35">
      <c r="A19" s="2"/>
      <c r="B19" s="19" t="s">
        <v>17</v>
      </c>
      <c r="C19" s="23" t="s">
        <v>18</v>
      </c>
      <c r="D19" s="2"/>
      <c r="E19" s="19" t="s">
        <v>19</v>
      </c>
      <c r="F19" s="23" t="s">
        <v>20</v>
      </c>
      <c r="G19" s="2"/>
      <c r="H19" s="1091"/>
      <c r="I19" s="1097"/>
      <c r="J19" s="1092"/>
      <c r="K19" s="2"/>
      <c r="L19" s="2"/>
      <c r="M19" s="2"/>
      <c r="N19" s="3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8" customHeight="1" x14ac:dyDescent="0.35">
      <c r="A20" s="2"/>
      <c r="B20" s="2"/>
      <c r="C20" s="6"/>
      <c r="D20" s="2"/>
      <c r="E20" s="19">
        <f>IF(F19="Oui","Type de Peinture",0)</f>
        <v>0</v>
      </c>
      <c r="F20" s="169">
        <f>IF(F19="Non",0,VLOOKUP(F10,'Infos Clients'!B2:E10,4))</f>
        <v>0</v>
      </c>
      <c r="G20" s="2"/>
      <c r="H20" s="1091"/>
      <c r="I20" s="1097"/>
      <c r="J20" s="1092"/>
      <c r="K20" s="2"/>
      <c r="L20" s="2"/>
      <c r="M20" s="2"/>
      <c r="N20" s="3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8" customHeight="1" x14ac:dyDescent="0.35">
      <c r="A21" s="2"/>
      <c r="B21" s="19" t="s">
        <v>21</v>
      </c>
      <c r="C21" s="23" t="s">
        <v>22</v>
      </c>
      <c r="D21" s="2"/>
      <c r="E21" s="27"/>
      <c r="F21" s="310"/>
      <c r="G21" s="5"/>
      <c r="H21" s="1087"/>
      <c r="I21" s="1088"/>
      <c r="J21" s="1089"/>
      <c r="K21" s="2"/>
      <c r="L21" s="2"/>
      <c r="M21" s="2"/>
      <c r="N21" s="3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8" customHeight="1" x14ac:dyDescent="0.35">
      <c r="A22" s="2"/>
      <c r="B22" s="19"/>
      <c r="C22" s="2"/>
      <c r="D22" s="2"/>
      <c r="E22" s="5"/>
      <c r="F22" s="5"/>
      <c r="G22" s="5"/>
      <c r="H22" s="2"/>
      <c r="I22" s="2"/>
      <c r="J22" s="2"/>
      <c r="K22" s="2"/>
      <c r="L22" s="2"/>
      <c r="M22" s="2"/>
      <c r="N22" s="3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8" customHeight="1" x14ac:dyDescent="0.35">
      <c r="A23" s="2"/>
      <c r="B23" s="19" t="s">
        <v>24</v>
      </c>
      <c r="C23" s="23" t="s">
        <v>24</v>
      </c>
      <c r="D23" s="2"/>
      <c r="E23" s="30" t="s">
        <v>25</v>
      </c>
      <c r="F23" s="23" t="s">
        <v>16</v>
      </c>
      <c r="G23" s="5"/>
      <c r="H23" s="2"/>
      <c r="I23" s="2"/>
      <c r="J23" s="2"/>
      <c r="K23" s="2"/>
      <c r="L23" s="2"/>
      <c r="M23" s="2"/>
      <c r="N23" s="3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37.5" hidden="1" customHeight="1" x14ac:dyDescent="0.85">
      <c r="A24" s="2"/>
      <c r="B24" s="1102" t="str">
        <f>IF(F23="Aucun"," ",F23)</f>
        <v xml:space="preserve"> </v>
      </c>
      <c r="C24" s="1101"/>
      <c r="D24" s="31"/>
      <c r="E24" s="1102"/>
      <c r="F24" s="1100"/>
      <c r="G24" s="1101"/>
      <c r="H24" s="2"/>
      <c r="I24" s="2"/>
      <c r="J24" s="2"/>
      <c r="K24" s="2"/>
      <c r="L24" s="2"/>
      <c r="M24" s="2"/>
      <c r="N24" s="3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8" customHeight="1" x14ac:dyDescent="0.35">
      <c r="A25" s="2"/>
      <c r="B25" s="19"/>
      <c r="C25" s="2"/>
      <c r="D25" s="2"/>
      <c r="E25" s="5"/>
      <c r="F25" s="5"/>
      <c r="G25" s="5"/>
      <c r="H25" s="2"/>
      <c r="I25" s="2"/>
      <c r="J25" s="2"/>
      <c r="K25" s="2"/>
      <c r="L25" s="2"/>
      <c r="M25" s="2"/>
      <c r="N25" s="3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8" customHeight="1" x14ac:dyDescent="0.35">
      <c r="A26" s="2"/>
      <c r="B26" s="98"/>
      <c r="C26" s="171" t="s">
        <v>28</v>
      </c>
      <c r="D26" s="171" t="s">
        <v>29</v>
      </c>
      <c r="E26" s="311" t="s">
        <v>30</v>
      </c>
      <c r="F26" s="312" t="str">
        <f>IF(B27="Dimensions de l'œuvre","Face du MRT",0)</f>
        <v>Face du MRT</v>
      </c>
      <c r="G26" s="313" t="str">
        <f>IF(B27="Dimensions de l'œuvre","Arrière du MRT",0)</f>
        <v>Arrière du MRT</v>
      </c>
      <c r="H26" s="314" t="s">
        <v>185</v>
      </c>
      <c r="I26" s="2"/>
      <c r="J26" s="2"/>
      <c r="K26" s="2"/>
      <c r="L26" s="2"/>
      <c r="M26" s="2"/>
      <c r="N26" s="3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8" customHeight="1" x14ac:dyDescent="0.4">
      <c r="A27" s="2"/>
      <c r="B27" s="315" t="s">
        <v>186</v>
      </c>
      <c r="C27" s="316">
        <v>207.2</v>
      </c>
      <c r="D27" s="316">
        <v>4.2</v>
      </c>
      <c r="E27" s="317">
        <v>166.5</v>
      </c>
      <c r="F27" s="318" t="s">
        <v>187</v>
      </c>
      <c r="G27" s="318" t="s">
        <v>187</v>
      </c>
      <c r="H27" s="319">
        <f>S72</f>
        <v>190.90207194243592</v>
      </c>
      <c r="I27" s="2"/>
      <c r="J27" s="320">
        <f>IF($B$27="Dimensions ext MRT existant",C27,IF($B$27="Aucun",0,C27+24.2))</f>
        <v>231.39999999999998</v>
      </c>
      <c r="K27" s="320">
        <f>IF($B$27="Dimensions ext MRT existant",K28,IF($B$27="Aucun",0,K28+1.5+VLOOKUP($G$27,$A$170:$C$174,3)+VLOOKUP($F$27,A170:C174,3)))</f>
        <v>13.9</v>
      </c>
      <c r="L27" s="320">
        <f>IF($B$27="Dimensions ext MRT existant",E27,IF($B$27="Aucun",0,E27+14.2))</f>
        <v>180.7</v>
      </c>
      <c r="M27" s="2"/>
      <c r="N27" s="3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8" customHeight="1" x14ac:dyDescent="0.35">
      <c r="A28" s="2"/>
      <c r="B28" s="2"/>
      <c r="C28" s="2"/>
      <c r="D28" s="2"/>
      <c r="E28" s="2"/>
      <c r="F28" s="2"/>
      <c r="G28" s="2"/>
      <c r="H28" s="2"/>
      <c r="I28" s="2"/>
      <c r="J28" s="2"/>
      <c r="K28" s="2">
        <f>IF(B27="Dimensions ext MRT existant",D27,IF(B27="Aucun",0,IF(D27&lt;6,9.4,IF(D27&lt;11,14.4,D27+9.4))))</f>
        <v>9.4</v>
      </c>
      <c r="L28" s="2"/>
      <c r="M28" s="2"/>
      <c r="N28" s="3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8" customHeight="1" x14ac:dyDescent="0.35">
      <c r="A29" s="2"/>
      <c r="B29" s="98"/>
      <c r="C29" s="171" t="s">
        <v>28</v>
      </c>
      <c r="D29" s="171" t="s">
        <v>29</v>
      </c>
      <c r="E29" s="311" t="s">
        <v>30</v>
      </c>
      <c r="F29" s="321">
        <f>IF(B30="Dimensions de l'œuvre","Type de MRT",0)</f>
        <v>0</v>
      </c>
      <c r="G29" s="314" t="s">
        <v>185</v>
      </c>
      <c r="H29" s="314" t="s">
        <v>185</v>
      </c>
      <c r="I29" s="2"/>
      <c r="J29" s="2"/>
      <c r="K29" s="2"/>
      <c r="L29" s="2"/>
      <c r="M29" s="2"/>
      <c r="N29" s="3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8" customHeight="1" x14ac:dyDescent="0.4">
      <c r="A30" s="19"/>
      <c r="B30" s="315" t="s">
        <v>16</v>
      </c>
      <c r="C30" s="316"/>
      <c r="D30" s="316"/>
      <c r="E30" s="317"/>
      <c r="F30" s="318" t="s">
        <v>187</v>
      </c>
      <c r="G30" s="318" t="s">
        <v>187</v>
      </c>
      <c r="H30" s="319">
        <f>S80</f>
        <v>0</v>
      </c>
      <c r="I30" s="2"/>
      <c r="J30" s="320">
        <f>IF($B$30="Dimensions ext MRT existant",C30,IF($B$30="Aucun",0,C30+24.2))</f>
        <v>0</v>
      </c>
      <c r="K30" s="320">
        <f>IF($B$30="Dimensions ext MRT existant",D30,IF($B$30="Aucun",0,K31+1.5+VLOOKUP($G$30,$A$170:$C$174,3)+VLOOKUP($F$30,$A$170:$C$174,3)))</f>
        <v>0</v>
      </c>
      <c r="L30" s="320">
        <f>IF($B$30="Dimensions ext MRT existant",E30,IF($B$30="Aucun",0,E30+14.2))</f>
        <v>0</v>
      </c>
      <c r="M30" s="2"/>
      <c r="N30" s="3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8" customHeight="1" x14ac:dyDescent="0.35">
      <c r="A31" s="19"/>
      <c r="B31" s="19"/>
      <c r="C31" s="180"/>
      <c r="D31" s="2"/>
      <c r="E31" s="2"/>
      <c r="F31" s="2"/>
      <c r="G31" s="2"/>
      <c r="H31" s="2"/>
      <c r="I31" s="2"/>
      <c r="J31" s="2"/>
      <c r="K31" s="2">
        <f>IF(B30="Dimensions ext MRT existant",D30,IF(B30="Aucun",0,IF(D30&lt;6,9.4,IF(D30&lt;11,14.4,D30+9.4))))</f>
        <v>0</v>
      </c>
      <c r="L31" s="2"/>
      <c r="M31" s="2"/>
      <c r="N31" s="3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8" customHeight="1" x14ac:dyDescent="0.35">
      <c r="A32" s="19"/>
      <c r="B32" s="98"/>
      <c r="C32" s="171" t="s">
        <v>28</v>
      </c>
      <c r="D32" s="171" t="s">
        <v>29</v>
      </c>
      <c r="E32" s="311" t="s">
        <v>30</v>
      </c>
      <c r="F32" s="321">
        <f>IF(B33="Dimensions de l'œuvre","Type de MRT",0)</f>
        <v>0</v>
      </c>
      <c r="G32" s="314" t="s">
        <v>185</v>
      </c>
      <c r="H32" s="314" t="s">
        <v>185</v>
      </c>
      <c r="I32" s="2"/>
      <c r="J32" s="2"/>
      <c r="K32" s="2"/>
      <c r="L32" s="2"/>
      <c r="M32" s="2"/>
      <c r="N32" s="3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8" customHeight="1" x14ac:dyDescent="0.4">
      <c r="A33" s="19"/>
      <c r="B33" s="315" t="s">
        <v>16</v>
      </c>
      <c r="C33" s="316"/>
      <c r="D33" s="316"/>
      <c r="E33" s="317"/>
      <c r="F33" s="318" t="s">
        <v>187</v>
      </c>
      <c r="G33" s="318" t="s">
        <v>187</v>
      </c>
      <c r="H33" s="319">
        <f>S88</f>
        <v>0</v>
      </c>
      <c r="I33" s="2"/>
      <c r="J33" s="320">
        <f>IF($B$33="Dimensions ext MRT existant",C33,IF($B$33="Aucun",0,C33+24.2))</f>
        <v>0</v>
      </c>
      <c r="K33" s="320">
        <f>IF($B$33="Dimensions ext MRT existant",D33,IF($B$33="Aucun",0,K34+1.5+VLOOKUP($G$33,$A$170:$C$174,3)+VLOOKUP($F$33,$A$170:$C$174,3)))</f>
        <v>0</v>
      </c>
      <c r="L33" s="320">
        <f>IF($B$33="Dimensions ext MRT existant",E33,IF($B$33="Aucun",0,E33+14.2))</f>
        <v>0</v>
      </c>
      <c r="M33" s="2"/>
      <c r="N33" s="3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8" customHeight="1" x14ac:dyDescent="0.35">
      <c r="A34" s="19"/>
      <c r="B34" s="19"/>
      <c r="C34" s="2"/>
      <c r="D34" s="2"/>
      <c r="E34" s="2"/>
      <c r="F34" s="2"/>
      <c r="G34" s="2"/>
      <c r="H34" s="2"/>
      <c r="I34" s="2"/>
      <c r="J34" s="2"/>
      <c r="K34" s="2">
        <f>IF(B33="Dimensions ext MRT existant",D33,IF(B33="Aucun",0,IF(D33&lt;6,9.4,IF(D33&lt;11,14.4,D33+9.4))))</f>
        <v>0</v>
      </c>
      <c r="L34" s="2"/>
      <c r="M34" s="2"/>
      <c r="N34" s="3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8" customHeight="1" x14ac:dyDescent="0.35">
      <c r="A35" s="19"/>
      <c r="B35" s="19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3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8" customHeight="1" x14ac:dyDescent="0.35">
      <c r="A36" s="19"/>
      <c r="B36" s="322" t="s">
        <v>31</v>
      </c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3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8" customHeight="1" x14ac:dyDescent="0.35">
      <c r="A37" s="2"/>
      <c r="B37" s="39" t="s">
        <v>16</v>
      </c>
      <c r="C37" s="76"/>
      <c r="D37" s="76"/>
      <c r="E37" s="76"/>
      <c r="F37" s="2"/>
      <c r="G37" s="2"/>
      <c r="H37" s="2"/>
      <c r="I37" s="2"/>
      <c r="J37" s="2"/>
      <c r="K37" s="2"/>
      <c r="L37" s="2"/>
      <c r="M37" s="2"/>
      <c r="N37" s="3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8" customHeight="1" x14ac:dyDescent="0.3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3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8" customHeight="1" x14ac:dyDescent="0.35">
      <c r="A39" s="2"/>
      <c r="B39" s="244" t="s">
        <v>42</v>
      </c>
      <c r="C39" s="323">
        <f>IF(J27=0,0,MAX(J27:J33)+VLOOKUP(C17,A146:P152,2)+VLOOKUP(B37,A178:D180,2))</f>
        <v>239.89999999999998</v>
      </c>
      <c r="D39" s="323">
        <f>K27+K30+K33+VLOOKUP($B$37,A178:D180,3)+VLOOKUP($C$17,A146:P152,3)</f>
        <v>19.899999999999999</v>
      </c>
      <c r="E39" s="324">
        <f>IF(L27=0,0,MAX(L27:L33)+VLOOKUP($B$37,A178:D180,4)+VLOOKUP($C$17,A146:P152,4))</f>
        <v>189.2</v>
      </c>
      <c r="F39" s="1120" t="s">
        <v>188</v>
      </c>
      <c r="G39" s="1101"/>
      <c r="H39" s="21"/>
      <c r="I39" s="2"/>
      <c r="J39" s="2"/>
      <c r="K39" s="2"/>
      <c r="L39" s="2"/>
      <c r="M39" s="2"/>
      <c r="N39" s="3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8" customHeight="1" x14ac:dyDescent="0.35">
      <c r="A40" s="2"/>
      <c r="B40" s="19"/>
      <c r="C40" s="19"/>
      <c r="D40" s="19"/>
      <c r="E40" s="19"/>
      <c r="F40" s="53"/>
      <c r="G40" s="2"/>
      <c r="H40" s="2"/>
      <c r="I40" s="2"/>
      <c r="J40" s="2"/>
      <c r="K40" s="2"/>
      <c r="L40" s="2"/>
      <c r="M40" s="2"/>
      <c r="N40" s="3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8" customHeight="1" x14ac:dyDescent="0.35">
      <c r="A41" s="2"/>
      <c r="B41" s="244" t="s">
        <v>44</v>
      </c>
      <c r="C41" s="245">
        <f>C39+VLOOKUP(C21,A157:B159,2)+VLOOKUP(C13,A136:E138,5)*2+VLOOKUP(C15,A140:D141,4)*2</f>
        <v>251.29999999999995</v>
      </c>
      <c r="D41" s="323">
        <f>IF(OR($F$23="Aucun",$F$23="Stabilisateur"),$D$39+VLOOKUP($C$13,$A$136:$E$138,4)*2+VLOOKUP($C$15,$A$140:$D$141,4)*2+0.5,$E$39+VLOOKUP($C$13,$A$136:$E$138,5)*2+VLOOKUP($C$15,$A$140:$D$141,4)*2)</f>
        <v>27.599999999999998</v>
      </c>
      <c r="E41" s="324">
        <f>IF(OR($F$23="Aucun",$F$23="Stabilisateur"),$E$39+VLOOKUP($C$13,$A$136:$E$138,5)*2+VLOOKUP($C$15,$A$140:$D$141,4)*2+VLOOKUP($C$23,$A$186:$B$188,2),$D$39+VLOOKUP($C$13,$A$136:$E$138,4)*2+VLOOKUP($C$15,$A$140:$D$141,4)*2+VLOOKUP($C$23,$A$186:$B$188,2)+VLOOKUP($F$23,$A$161:$D$164,4)+0.5)</f>
        <v>199.39999999999998</v>
      </c>
      <c r="F41" s="56">
        <f>ROUNDUP(C133,0)</f>
        <v>1209</v>
      </c>
      <c r="G41" s="2"/>
      <c r="H41" s="96"/>
      <c r="I41" s="2"/>
      <c r="J41" s="2"/>
      <c r="K41" s="2"/>
      <c r="L41" s="2"/>
      <c r="M41" s="2"/>
      <c r="N41" s="3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8" customHeight="1" x14ac:dyDescent="0.35">
      <c r="A42" s="2"/>
      <c r="B42" s="70"/>
      <c r="C42" s="60"/>
      <c r="D42" s="19"/>
      <c r="E42" s="19"/>
      <c r="F42" s="61"/>
      <c r="G42" s="2"/>
      <c r="H42" s="96"/>
      <c r="I42" s="2"/>
      <c r="J42" s="2"/>
      <c r="K42" s="2"/>
      <c r="L42" s="2"/>
      <c r="M42" s="2"/>
      <c r="N42" s="3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8" customHeight="1" x14ac:dyDescent="0.35">
      <c r="A43" s="2"/>
      <c r="B43" s="62" t="s">
        <v>45</v>
      </c>
      <c r="C43" s="63">
        <f>P125</f>
        <v>141.64268668000003</v>
      </c>
      <c r="D43" s="64" t="s">
        <v>46</v>
      </c>
      <c r="E43" s="65" t="s">
        <v>47</v>
      </c>
      <c r="F43" s="61"/>
      <c r="G43" s="2"/>
      <c r="H43" s="96"/>
      <c r="I43" s="2"/>
      <c r="J43" s="2"/>
      <c r="K43" s="2"/>
      <c r="L43" s="2"/>
      <c r="M43" s="2"/>
      <c r="N43" s="3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8" customHeight="1" x14ac:dyDescent="0.35">
      <c r="A44" s="2"/>
      <c r="B44" s="66" t="s">
        <v>48</v>
      </c>
      <c r="C44" s="67">
        <f>D127</f>
        <v>284.60457448879993</v>
      </c>
      <c r="D44" s="68" t="s">
        <v>49</v>
      </c>
      <c r="E44" s="69">
        <f>Q125</f>
        <v>121.06331499759999</v>
      </c>
      <c r="F44" s="61"/>
      <c r="G44" s="2"/>
      <c r="H44" s="96"/>
      <c r="I44" s="2"/>
      <c r="J44" s="2"/>
      <c r="K44" s="2"/>
      <c r="L44" s="2"/>
      <c r="M44" s="2"/>
      <c r="N44" s="3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8" customHeight="1" x14ac:dyDescent="0.35">
      <c r="A45" s="2"/>
      <c r="B45" s="70"/>
      <c r="C45" s="60"/>
      <c r="D45" s="19"/>
      <c r="E45" s="19"/>
      <c r="F45" s="61"/>
      <c r="G45" s="2"/>
      <c r="H45" s="71"/>
      <c r="I45" s="2"/>
      <c r="J45" s="2"/>
      <c r="K45" s="2"/>
      <c r="L45" s="2"/>
      <c r="M45" s="2"/>
      <c r="N45" s="3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8" customHeight="1" x14ac:dyDescent="0.35">
      <c r="A46" s="76"/>
      <c r="B46" s="73" t="s">
        <v>50</v>
      </c>
      <c r="C46" s="295"/>
      <c r="D46" s="295"/>
      <c r="E46" s="295"/>
      <c r="F46" s="296"/>
      <c r="G46" s="76"/>
      <c r="H46" s="76"/>
      <c r="I46" s="76"/>
      <c r="J46" s="76"/>
      <c r="K46" s="76"/>
      <c r="L46" s="76"/>
      <c r="M46" s="76"/>
      <c r="N46" s="77"/>
      <c r="O46" s="76"/>
      <c r="P46" s="76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8" customHeight="1" x14ac:dyDescent="0.35">
      <c r="A47" s="76"/>
      <c r="B47" s="164"/>
      <c r="C47" s="297"/>
      <c r="D47" s="297"/>
      <c r="E47" s="297"/>
      <c r="F47" s="298"/>
      <c r="G47" s="76"/>
      <c r="H47" s="76"/>
      <c r="I47" s="76"/>
      <c r="J47" s="76"/>
      <c r="K47" s="76"/>
      <c r="L47" s="76"/>
      <c r="M47" s="76"/>
      <c r="N47" s="77"/>
      <c r="O47" s="76"/>
      <c r="P47" s="76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8" customHeight="1" x14ac:dyDescent="0.35">
      <c r="A48" s="76"/>
      <c r="B48" s="164"/>
      <c r="C48" s="297"/>
      <c r="D48" s="297"/>
      <c r="E48" s="297"/>
      <c r="F48" s="298"/>
      <c r="G48" s="76"/>
      <c r="H48" s="76"/>
      <c r="I48" s="76"/>
      <c r="J48" s="76"/>
      <c r="K48" s="76"/>
      <c r="L48" s="76"/>
      <c r="M48" s="76"/>
      <c r="N48" s="77"/>
      <c r="O48" s="76"/>
      <c r="P48" s="76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8" customHeight="1" x14ac:dyDescent="0.35">
      <c r="A49" s="76"/>
      <c r="B49" s="166"/>
      <c r="C49" s="300"/>
      <c r="D49" s="300"/>
      <c r="E49" s="300"/>
      <c r="F49" s="301"/>
      <c r="G49" s="76"/>
      <c r="H49" s="76"/>
      <c r="I49" s="76"/>
      <c r="J49" s="76"/>
      <c r="K49" s="76"/>
      <c r="L49" s="76"/>
      <c r="M49" s="76"/>
      <c r="N49" s="77"/>
      <c r="O49" s="76"/>
      <c r="P49" s="76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8" customHeight="1" x14ac:dyDescent="0.35">
      <c r="A50" s="2"/>
      <c r="B50" s="19"/>
      <c r="C50" s="19"/>
      <c r="D50" s="19"/>
      <c r="E50" s="19"/>
      <c r="F50" s="2"/>
      <c r="G50" s="2"/>
      <c r="H50" s="2"/>
      <c r="I50" s="2"/>
      <c r="J50" s="2"/>
      <c r="K50" s="2"/>
      <c r="L50" s="2"/>
      <c r="M50" s="2"/>
      <c r="N50" s="3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8" hidden="1" customHeight="1" x14ac:dyDescent="0.35">
      <c r="A51" s="2"/>
      <c r="B51" s="2"/>
      <c r="C51" s="2"/>
      <c r="D51" s="2"/>
      <c r="E51" s="2"/>
      <c r="F51" s="6" t="s">
        <v>34</v>
      </c>
      <c r="G51" s="2"/>
      <c r="H51" s="2"/>
      <c r="I51" s="2"/>
      <c r="J51" s="2"/>
      <c r="K51" s="2"/>
      <c r="L51" s="2"/>
      <c r="M51" s="2"/>
      <c r="N51" s="3"/>
      <c r="O51" s="2"/>
      <c r="P51" s="2" t="s">
        <v>157</v>
      </c>
      <c r="Q51" s="5" t="s">
        <v>52</v>
      </c>
      <c r="R51" s="2"/>
      <c r="S51" s="2"/>
      <c r="T51" s="2"/>
      <c r="U51" s="2"/>
      <c r="V51" s="2"/>
      <c r="W51" s="2"/>
      <c r="X51" s="2"/>
      <c r="Y51" s="2"/>
      <c r="Z51" s="2"/>
    </row>
    <row r="52" spans="1:26" ht="18" hidden="1" customHeight="1" x14ac:dyDescent="0.35">
      <c r="A52" s="60" t="s">
        <v>53</v>
      </c>
      <c r="B52" s="85" t="str">
        <f>VLOOKUP(C13,A136:D138,2)</f>
        <v>Peuplier 15 mm</v>
      </c>
      <c r="C52" s="87">
        <f>IF(C39=0,0,C39+2*(VLOOKUP(B53,A136:D138,4)+VLOOKUP(C15,A140:D141,4)))</f>
        <v>247.09999999999997</v>
      </c>
      <c r="D52" s="87">
        <f>IF(E39=0,0,E39+2*(VLOOKUP(B54,A136:D138,4)+VLOOKUP(C15,A140:D141,4)))</f>
        <v>196.39999999999998</v>
      </c>
      <c r="E52" s="85" t="str">
        <f t="shared" ref="E52:E54" si="0">B52</f>
        <v>Peuplier 15 mm</v>
      </c>
      <c r="F52" s="88">
        <v>2</v>
      </c>
      <c r="G52" s="2"/>
      <c r="H52" s="2"/>
      <c r="I52" s="2"/>
      <c r="J52" s="89">
        <f t="shared" ref="J52:J63" si="1">IF(C52=0,0,(C52/100)*(D52/100)*F52)</f>
        <v>9.7060879999999976</v>
      </c>
      <c r="K52" s="89">
        <f t="shared" ref="K52:K63" si="2">J52/0.8</f>
        <v>12.132609999999996</v>
      </c>
      <c r="L52" s="71">
        <f>IF(E52=0,0,VLOOKUP(E52,'Prix Matiere'!$A$4:$J$65,10))</f>
        <v>16.895876288659796</v>
      </c>
      <c r="M52" s="71">
        <f t="shared" ref="M52:M54" si="3">L52*K52-IF($F$15="Non",K52*0.75,0)</f>
        <v>204.99107761855666</v>
      </c>
      <c r="N52" s="3">
        <f t="shared" ref="N52:N54" si="4">IF(J52=0,0,IF($F$15="Oui",(7.0924*J52)+15,(6.0924*J52)+10))</f>
        <v>83.83945853119998</v>
      </c>
      <c r="O52" s="71">
        <f>N52*MinuteMO</f>
        <v>71.263539751519986</v>
      </c>
      <c r="P52" s="254">
        <f>IF(J52=0,0,J52*VLOOKUP(E52,'Prix Matiere'!$A$4:$L$60,12))</f>
        <v>64.060180799999983</v>
      </c>
      <c r="Q52" s="90">
        <f>IF(J52=0,0,P52*VLOOKUP(E52,'Prix Matiere'!$A$4:$L$60,11))</f>
        <v>49.518519758399989</v>
      </c>
      <c r="R52" s="2"/>
      <c r="S52" s="2"/>
      <c r="T52" s="2"/>
      <c r="U52" s="2"/>
      <c r="V52" s="2"/>
      <c r="W52" s="2"/>
      <c r="X52" s="2"/>
      <c r="Y52" s="2"/>
      <c r="Z52" s="2"/>
    </row>
    <row r="53" spans="1:26" ht="18" hidden="1" customHeight="1" x14ac:dyDescent="0.35">
      <c r="A53" s="60" t="s">
        <v>54</v>
      </c>
      <c r="B53" s="85" t="str">
        <f>VLOOKUP(C13,A136:D138,3)</f>
        <v>Peuplier 15 mm</v>
      </c>
      <c r="C53" s="87">
        <f>C52</f>
        <v>247.09999999999997</v>
      </c>
      <c r="D53" s="87">
        <f>D39</f>
        <v>19.899999999999999</v>
      </c>
      <c r="E53" s="85" t="str">
        <f t="shared" si="0"/>
        <v>Peuplier 15 mm</v>
      </c>
      <c r="F53" s="88">
        <v>2</v>
      </c>
      <c r="G53" s="2"/>
      <c r="H53" s="2"/>
      <c r="I53" s="2"/>
      <c r="J53" s="89">
        <f t="shared" si="1"/>
        <v>0.98345799999999972</v>
      </c>
      <c r="K53" s="89">
        <f t="shared" si="2"/>
        <v>1.2293224999999997</v>
      </c>
      <c r="L53" s="71">
        <f>IF(E53=0,0,VLOOKUP(E53,'Prix Matiere'!$A$4:$J$65,10))</f>
        <v>16.895876288659796</v>
      </c>
      <c r="M53" s="71">
        <f t="shared" si="3"/>
        <v>20.770480878865975</v>
      </c>
      <c r="N53" s="3">
        <f t="shared" si="4"/>
        <v>21.975077519199999</v>
      </c>
      <c r="O53" s="71">
        <f>N53*MinuteMO</f>
        <v>18.678815891319999</v>
      </c>
      <c r="P53" s="254">
        <f>IF(J53=0,0,J53*VLOOKUP(E53,'Prix Matiere'!$A$4:$L$60,12))</f>
        <v>6.4908227999999983</v>
      </c>
      <c r="Q53" s="90">
        <f>IF(J53=0,0,P53*VLOOKUP(E53,'Prix Matiere'!$A$4:$L$60,11))</f>
        <v>5.0174060243999987</v>
      </c>
      <c r="R53" s="2"/>
      <c r="S53" s="2"/>
      <c r="T53" s="2"/>
      <c r="U53" s="2"/>
      <c r="V53" s="2"/>
      <c r="W53" s="2"/>
      <c r="X53" s="2"/>
      <c r="Y53" s="2"/>
      <c r="Z53" s="2"/>
    </row>
    <row r="54" spans="1:26" ht="18" hidden="1" customHeight="1" x14ac:dyDescent="0.35">
      <c r="A54" s="60" t="s">
        <v>55</v>
      </c>
      <c r="B54" s="85" t="str">
        <f>VLOOKUP(C13,A136:D138,3)</f>
        <v>Peuplier 15 mm</v>
      </c>
      <c r="C54" s="87">
        <f>E39</f>
        <v>189.2</v>
      </c>
      <c r="D54" s="87">
        <f>D39</f>
        <v>19.899999999999999</v>
      </c>
      <c r="E54" s="85" t="str">
        <f t="shared" si="0"/>
        <v>Peuplier 15 mm</v>
      </c>
      <c r="F54" s="88">
        <v>2</v>
      </c>
      <c r="G54" s="2"/>
      <c r="H54" s="2"/>
      <c r="I54" s="2"/>
      <c r="J54" s="89">
        <f t="shared" si="1"/>
        <v>0.75301599999999991</v>
      </c>
      <c r="K54" s="89">
        <f t="shared" si="2"/>
        <v>0.94126999999999983</v>
      </c>
      <c r="L54" s="71">
        <f>IF(E54=0,0,VLOOKUP(E54,'Prix Matiere'!$A$4:$J$65,10))</f>
        <v>16.895876288659796</v>
      </c>
      <c r="M54" s="71">
        <f t="shared" si="3"/>
        <v>15.903581474226803</v>
      </c>
      <c r="N54" s="3">
        <f t="shared" si="4"/>
        <v>20.340690678399998</v>
      </c>
      <c r="O54" s="71">
        <f>N54*MinuteMO</f>
        <v>17.289587076639997</v>
      </c>
      <c r="P54" s="254">
        <f>IF(J54=0,0,J54*VLOOKUP(E54,'Prix Matiere'!$A$4:$L$60,12))</f>
        <v>4.9699055999999997</v>
      </c>
      <c r="Q54" s="90">
        <f>IF(J54=0,0,P54*VLOOKUP(E54,'Prix Matiere'!$A$4:$L$60,11))</f>
        <v>3.8417370287999999</v>
      </c>
      <c r="R54" s="2"/>
      <c r="S54" s="2"/>
      <c r="T54" s="2"/>
      <c r="U54" s="2"/>
      <c r="V54" s="2"/>
      <c r="W54" s="2"/>
      <c r="X54" s="2"/>
      <c r="Y54" s="2"/>
      <c r="Z54" s="2"/>
    </row>
    <row r="55" spans="1:26" ht="18" hidden="1" customHeight="1" x14ac:dyDescent="0.35">
      <c r="A55" s="2"/>
      <c r="B55" s="2"/>
      <c r="C55" s="2"/>
      <c r="D55" s="2"/>
      <c r="E55" s="2"/>
      <c r="F55" s="2"/>
      <c r="G55" s="2"/>
      <c r="H55" s="2"/>
      <c r="I55" s="2"/>
      <c r="J55" s="89">
        <f t="shared" si="1"/>
        <v>0</v>
      </c>
      <c r="K55" s="89">
        <f t="shared" si="2"/>
        <v>0</v>
      </c>
      <c r="L55" s="71"/>
      <c r="M55" s="71"/>
      <c r="N55" s="3"/>
      <c r="O55" s="71"/>
      <c r="P55" s="254">
        <f>IF(J55=0,0,J55*VLOOKUP(E55,'Prix Matiere'!$A$4:$L$60,12))</f>
        <v>0</v>
      </c>
      <c r="Q55" s="90">
        <f>IF(J55=0,0,P55*VLOOKUP(E55,'Prix Matiere'!$A$4:$L$60,11))</f>
        <v>0</v>
      </c>
      <c r="R55" s="2"/>
      <c r="S55" s="2"/>
      <c r="T55" s="2"/>
      <c r="U55" s="2"/>
      <c r="V55" s="2"/>
      <c r="W55" s="2"/>
      <c r="X55" s="2"/>
      <c r="Y55" s="2"/>
      <c r="Z55" s="2"/>
    </row>
    <row r="56" spans="1:26" ht="18" hidden="1" customHeight="1" x14ac:dyDescent="0.35">
      <c r="A56" s="2"/>
      <c r="B56" s="2"/>
      <c r="C56" s="2"/>
      <c r="D56" s="2"/>
      <c r="E56" s="2"/>
      <c r="F56" s="2"/>
      <c r="G56" s="2"/>
      <c r="H56" s="2"/>
      <c r="I56" s="2"/>
      <c r="J56" s="89">
        <f t="shared" si="1"/>
        <v>0</v>
      </c>
      <c r="K56" s="89">
        <f t="shared" si="2"/>
        <v>0</v>
      </c>
      <c r="L56" s="71"/>
      <c r="M56" s="71"/>
      <c r="N56" s="3"/>
      <c r="O56" s="71"/>
      <c r="P56" s="254">
        <f>IF(J56=0,0,J56*VLOOKUP(E56,'Prix Matiere'!$A$4:$L$60,12))</f>
        <v>0</v>
      </c>
      <c r="Q56" s="90">
        <f>IF(J56=0,0,P56*VLOOKUP(E56,'Prix Matiere'!$A$4:$L$60,11))</f>
        <v>0</v>
      </c>
      <c r="R56" s="2"/>
      <c r="S56" s="2"/>
      <c r="T56" s="2"/>
      <c r="U56" s="2"/>
      <c r="V56" s="2"/>
      <c r="W56" s="2"/>
      <c r="X56" s="2"/>
      <c r="Y56" s="2"/>
      <c r="Z56" s="2"/>
    </row>
    <row r="57" spans="1:26" ht="18" hidden="1" customHeight="1" x14ac:dyDescent="0.35">
      <c r="A57" s="19" t="s">
        <v>11</v>
      </c>
      <c r="B57" s="45" t="s">
        <v>56</v>
      </c>
      <c r="C57" s="87">
        <f>C52</f>
        <v>247.09999999999997</v>
      </c>
      <c r="D57" s="45">
        <f>IF(D52&gt;80,9.4,7)</f>
        <v>9.4</v>
      </c>
      <c r="E57" s="34" t="str">
        <f t="shared" ref="E57:E59" si="5">IF($C$15="Pin raboté 4 faces","Barres 21 R4F","Barres 19 mm")</f>
        <v>Barres 21 R4F</v>
      </c>
      <c r="F57" s="45">
        <v>4</v>
      </c>
      <c r="G57" s="2"/>
      <c r="H57" s="2"/>
      <c r="I57" s="2"/>
      <c r="J57" s="89">
        <f t="shared" si="1"/>
        <v>0.92909599999999992</v>
      </c>
      <c r="K57" s="89">
        <f t="shared" si="2"/>
        <v>1.1613699999999998</v>
      </c>
      <c r="L57" s="71">
        <f>IF(E57=0,0,VLOOKUP(E57,'Prix Matiere'!$A$4:$J$65,10))</f>
        <v>18.969072164948454</v>
      </c>
      <c r="M57" s="71">
        <f t="shared" ref="M57:M63" si="6">L57*K57</f>
        <v>22.030111340206183</v>
      </c>
      <c r="N57" s="3">
        <f t="shared" ref="N57:N63" si="7">IF(J57=0,0,1+(11*J57))</f>
        <v>11.220056</v>
      </c>
      <c r="O57" s="71">
        <f t="shared" ref="O57:O63" si="8">N57*MinuteMO</f>
        <v>9.5370475999999993</v>
      </c>
      <c r="P57" s="254">
        <f>IF(J57=0,0,J57*VLOOKUP(E57,'Prix Matiere'!$A$4:$L$60,12))</f>
        <v>9.2909599999999983</v>
      </c>
      <c r="Q57" s="90">
        <f>IF(J57=0,0,P57*VLOOKUP(E57,'Prix Matiere'!$A$4:$L$60,11))</f>
        <v>4.4968246399999989</v>
      </c>
      <c r="R57" s="2"/>
      <c r="S57" s="2"/>
      <c r="T57" s="2"/>
      <c r="U57" s="2"/>
      <c r="V57" s="2"/>
      <c r="W57" s="2"/>
      <c r="X57" s="2"/>
      <c r="Y57" s="2"/>
      <c r="Z57" s="2"/>
    </row>
    <row r="58" spans="1:26" ht="18" hidden="1" customHeight="1" x14ac:dyDescent="0.35">
      <c r="A58" s="2"/>
      <c r="B58" s="45" t="s">
        <v>57</v>
      </c>
      <c r="C58" s="87">
        <f>IF(D52=0,0,D52-2*D57)</f>
        <v>177.59999999999997</v>
      </c>
      <c r="D58" s="45">
        <f>D57</f>
        <v>9.4</v>
      </c>
      <c r="E58" s="34" t="str">
        <f t="shared" si="5"/>
        <v>Barres 21 R4F</v>
      </c>
      <c r="F58" s="45">
        <f>4</f>
        <v>4</v>
      </c>
      <c r="G58" s="2"/>
      <c r="H58" s="2"/>
      <c r="I58" s="2"/>
      <c r="J58" s="89">
        <f t="shared" si="1"/>
        <v>0.66777599999999981</v>
      </c>
      <c r="K58" s="89">
        <f t="shared" si="2"/>
        <v>0.83471999999999968</v>
      </c>
      <c r="L58" s="71">
        <f>IF(E58=0,0,VLOOKUP(E58,'Prix Matiere'!$A$4:$J$65,10))</f>
        <v>18.969072164948454</v>
      </c>
      <c r="M58" s="71">
        <f t="shared" si="6"/>
        <v>15.833863917525766</v>
      </c>
      <c r="N58" s="3">
        <f t="shared" si="7"/>
        <v>8.3455359999999992</v>
      </c>
      <c r="O58" s="71">
        <f t="shared" si="8"/>
        <v>7.0937055999999989</v>
      </c>
      <c r="P58" s="254">
        <f>IF(J58=0,0,J58*VLOOKUP(E58,'Prix Matiere'!$A$4:$L$60,12))</f>
        <v>6.6777599999999984</v>
      </c>
      <c r="Q58" s="90">
        <f>IF(J58=0,0,P58*VLOOKUP(E58,'Prix Matiere'!$A$4:$L$60,11))</f>
        <v>3.2320358399999991</v>
      </c>
      <c r="R58" s="2"/>
      <c r="S58" s="2"/>
      <c r="T58" s="2"/>
      <c r="U58" s="2"/>
      <c r="V58" s="2"/>
      <c r="W58" s="2"/>
      <c r="X58" s="2"/>
      <c r="Y58" s="2"/>
      <c r="Z58" s="2"/>
    </row>
    <row r="59" spans="1:26" ht="18" hidden="1" customHeight="1" x14ac:dyDescent="0.35">
      <c r="A59" s="2"/>
      <c r="B59" s="45" t="s">
        <v>58</v>
      </c>
      <c r="C59" s="87">
        <f>C57</f>
        <v>247.09999999999997</v>
      </c>
      <c r="D59" s="45">
        <f>IF($D$39&lt;14.4,$D$39,7)</f>
        <v>7</v>
      </c>
      <c r="E59" s="34" t="str">
        <f t="shared" si="5"/>
        <v>Barres 21 R4F</v>
      </c>
      <c r="F59" s="92">
        <f>IF(D39&lt;14.4,2,4)</f>
        <v>4</v>
      </c>
      <c r="G59" s="2"/>
      <c r="H59" s="2"/>
      <c r="I59" s="2"/>
      <c r="J59" s="89">
        <f t="shared" si="1"/>
        <v>0.69187999999999994</v>
      </c>
      <c r="K59" s="89">
        <f t="shared" si="2"/>
        <v>0.8648499999999999</v>
      </c>
      <c r="L59" s="71">
        <f>IF(E59=0,0,VLOOKUP(E59,'Prix Matiere'!$A$4:$J$65,10))</f>
        <v>18.969072164948454</v>
      </c>
      <c r="M59" s="71">
        <f t="shared" si="6"/>
        <v>16.405402061855668</v>
      </c>
      <c r="N59" s="3">
        <f t="shared" si="7"/>
        <v>8.6106799999999986</v>
      </c>
      <c r="O59" s="71">
        <f t="shared" si="8"/>
        <v>7.3190779999999984</v>
      </c>
      <c r="P59" s="254">
        <f>IF(J59=0,0,J59*VLOOKUP(E59,'Prix Matiere'!$A$4:$L$60,12))</f>
        <v>6.9187999999999992</v>
      </c>
      <c r="Q59" s="90">
        <f>IF(J59=0,0,P59*VLOOKUP(E59,'Prix Matiere'!$A$4:$L$60,11))</f>
        <v>3.3486991999999995</v>
      </c>
      <c r="R59" s="2"/>
      <c r="S59" s="2"/>
      <c r="T59" s="2"/>
      <c r="U59" s="2"/>
      <c r="V59" s="2"/>
      <c r="W59" s="2"/>
      <c r="X59" s="2"/>
      <c r="Y59" s="2"/>
      <c r="Z59" s="2"/>
    </row>
    <row r="60" spans="1:26" ht="18" hidden="1" customHeight="1" x14ac:dyDescent="0.35">
      <c r="A60" s="2"/>
      <c r="B60" s="45" t="str">
        <f>C23</f>
        <v>Skis</v>
      </c>
      <c r="C60" s="87">
        <f>IF(C52=0,0,IF(B60="Skis",C52-10,IF(B60="10 dessous en semelles",D41,IF(B60="10 dessous en skis",(C57-70)/2))))</f>
        <v>237.09999999999997</v>
      </c>
      <c r="D60" s="45">
        <f>IF($F$10="BOVIS",9.4,7)</f>
        <v>7</v>
      </c>
      <c r="E60" s="34" t="str">
        <f>IF($C$23="Skis","Barres 30 R4F","Semelles R4F")</f>
        <v>Barres 30 R4F</v>
      </c>
      <c r="F60" s="45">
        <f>IF(B60="Skis",2,IF(B60="10 dessous en semelles",2,F59))</f>
        <v>2</v>
      </c>
      <c r="G60" s="2"/>
      <c r="H60" s="2"/>
      <c r="I60" s="2"/>
      <c r="J60" s="89">
        <f t="shared" si="1"/>
        <v>0.33193999999999996</v>
      </c>
      <c r="K60" s="89">
        <f t="shared" si="2"/>
        <v>0.41492499999999993</v>
      </c>
      <c r="L60" s="71">
        <f>IF(E60=0,0,VLOOKUP(E60,'Prix Matiere'!$A$4:$J$65,10))</f>
        <v>45.432989690721641</v>
      </c>
      <c r="M60" s="71">
        <f t="shared" si="6"/>
        <v>18.851283247422675</v>
      </c>
      <c r="N60" s="3">
        <f t="shared" si="7"/>
        <v>4.6513399999999994</v>
      </c>
      <c r="O60" s="71">
        <f t="shared" si="8"/>
        <v>3.9536389999999995</v>
      </c>
      <c r="P60" s="254">
        <f>IF(J60=0,0,J60*VLOOKUP(E60,'Prix Matiere'!$A$4:$L$60,12))</f>
        <v>3.3193999999999995</v>
      </c>
      <c r="Q60" s="90">
        <f>IF(J60=0,0,P60*VLOOKUP(E60,'Prix Matiere'!$A$4:$L$60,11))</f>
        <v>1.6065895999999997</v>
      </c>
      <c r="R60" s="2"/>
      <c r="S60" s="2"/>
      <c r="T60" s="2"/>
      <c r="U60" s="2"/>
      <c r="V60" s="2"/>
      <c r="W60" s="2"/>
      <c r="X60" s="2"/>
      <c r="Y60" s="2"/>
      <c r="Z60" s="2"/>
    </row>
    <row r="61" spans="1:26" ht="18" hidden="1" customHeight="1" x14ac:dyDescent="0.35">
      <c r="A61" s="2"/>
      <c r="B61" s="45" t="s">
        <v>59</v>
      </c>
      <c r="C61" s="87">
        <f>IF(D39&lt;14.4,0,D39)</f>
        <v>19.899999999999999</v>
      </c>
      <c r="D61" s="45">
        <f>IF(D39&lt;14.4,0,D57)</f>
        <v>9.4</v>
      </c>
      <c r="E61" s="34" t="str">
        <f t="shared" ref="E61:E62" si="9">IF($C$15="Pin raboté 4 faces","Barres 21 R4F","Barres 19 mm")</f>
        <v>Barres 21 R4F</v>
      </c>
      <c r="F61" s="45">
        <f>IF(D39&lt;14.4,0,4)</f>
        <v>4</v>
      </c>
      <c r="G61" s="2"/>
      <c r="H61" s="2"/>
      <c r="I61" s="2"/>
      <c r="J61" s="89">
        <f t="shared" si="1"/>
        <v>7.4823999999999988E-2</v>
      </c>
      <c r="K61" s="89">
        <f t="shared" si="2"/>
        <v>9.3529999999999974E-2</v>
      </c>
      <c r="L61" s="71">
        <f>IF(E61=0,0,VLOOKUP(E61,'Prix Matiere'!$A$4:$J$65,10))</f>
        <v>18.969072164948454</v>
      </c>
      <c r="M61" s="71">
        <f t="shared" si="6"/>
        <v>1.7741773195876285</v>
      </c>
      <c r="N61" s="3">
        <f t="shared" si="7"/>
        <v>1.823064</v>
      </c>
      <c r="O61" s="71">
        <f t="shared" si="8"/>
        <v>1.5496044</v>
      </c>
      <c r="P61" s="254">
        <f>IF(J61=0,0,J61*VLOOKUP(E61,'Prix Matiere'!$A$4:$L$60,12))</f>
        <v>0.74823999999999991</v>
      </c>
      <c r="Q61" s="90">
        <f>IF(J61=0,0,P61*VLOOKUP(E61,'Prix Matiere'!$A$4:$L$60,11))</f>
        <v>0.36214815999999994</v>
      </c>
      <c r="R61" s="2"/>
      <c r="S61" s="2"/>
      <c r="T61" s="2"/>
      <c r="U61" s="2"/>
      <c r="V61" s="2"/>
      <c r="W61" s="2"/>
      <c r="X61" s="2"/>
      <c r="Y61" s="2"/>
      <c r="Z61" s="2"/>
    </row>
    <row r="62" spans="1:26" ht="18" hidden="1" customHeight="1" x14ac:dyDescent="0.35">
      <c r="A62" s="2"/>
      <c r="B62" s="45" t="s">
        <v>60</v>
      </c>
      <c r="C62" s="87">
        <f>IF(D39&lt;14.4,E39,C54-2*D61)</f>
        <v>170.39999999999998</v>
      </c>
      <c r="D62" s="45">
        <f>IF($D$39&lt;14.4,$D$39,IF($D$39&lt;20,5,7))</f>
        <v>5</v>
      </c>
      <c r="E62" s="34" t="str">
        <f t="shared" si="9"/>
        <v>Barres 21 R4F</v>
      </c>
      <c r="F62" s="92">
        <f>IF(D39&lt;14.4,2,4)</f>
        <v>4</v>
      </c>
      <c r="G62" s="2"/>
      <c r="H62" s="2"/>
      <c r="I62" s="2"/>
      <c r="J62" s="89">
        <f t="shared" si="1"/>
        <v>0.34079999999999999</v>
      </c>
      <c r="K62" s="89">
        <f t="shared" si="2"/>
        <v>0.42599999999999999</v>
      </c>
      <c r="L62" s="71">
        <f>IF(E62=0,0,VLOOKUP(E62,'Prix Matiere'!$A$4:$J$65,10))</f>
        <v>18.969072164948454</v>
      </c>
      <c r="M62" s="71">
        <f t="shared" si="6"/>
        <v>8.0808247422680406</v>
      </c>
      <c r="N62" s="3">
        <f t="shared" si="7"/>
        <v>4.7488000000000001</v>
      </c>
      <c r="O62" s="71">
        <f t="shared" si="8"/>
        <v>4.0364800000000001</v>
      </c>
      <c r="P62" s="254">
        <f>IF(J62=0,0,J62*VLOOKUP(E62,'Prix Matiere'!$A$4:$L$60,12))</f>
        <v>3.4079999999999999</v>
      </c>
      <c r="Q62" s="90">
        <f>IF(J62=0,0,P62*VLOOKUP(E62,'Prix Matiere'!$A$4:$L$60,11))</f>
        <v>1.6494719999999998</v>
      </c>
      <c r="R62" s="2"/>
      <c r="S62" s="2"/>
      <c r="T62" s="2"/>
      <c r="U62" s="2"/>
      <c r="V62" s="2"/>
      <c r="W62" s="2"/>
      <c r="X62" s="2"/>
      <c r="Y62" s="2"/>
      <c r="Z62" s="2"/>
    </row>
    <row r="63" spans="1:26" ht="18" hidden="1" customHeight="1" x14ac:dyDescent="0.35">
      <c r="A63" s="2"/>
      <c r="B63" s="45" t="str">
        <f>IF(D39&lt;14.4,0,IF(C21="Bois","Poignées",IF(C21="Métal x 2 sur bouts","Supports poignées",0)))</f>
        <v>Poignées</v>
      </c>
      <c r="C63" s="87">
        <f>IF(B63="Poignées",D54+VLOOKUP(C13,A136:D138,4)*2+4.2,IF(B63="Supports poignées",D54-2*D62,0))</f>
        <v>27.099999999999998</v>
      </c>
      <c r="D63" s="45">
        <f>IF(B63="Poignées",7,IF(B63="Supports poignées",9.4,0))</f>
        <v>7</v>
      </c>
      <c r="E63" s="34" t="s">
        <v>61</v>
      </c>
      <c r="F63" s="45">
        <f>IF(B63=0,0,2)</f>
        <v>2</v>
      </c>
      <c r="G63" s="2"/>
      <c r="H63" s="2"/>
      <c r="I63" s="2"/>
      <c r="J63" s="89">
        <f t="shared" si="1"/>
        <v>3.7940000000000002E-2</v>
      </c>
      <c r="K63" s="89">
        <f t="shared" si="2"/>
        <v>4.7425000000000002E-2</v>
      </c>
      <c r="L63" s="71">
        <f>IF(E63=0,0,VLOOKUP(E63,'Prix Matiere'!$A$4:$J$65,10))</f>
        <v>18.969072164948454</v>
      </c>
      <c r="M63" s="71">
        <f t="shared" si="6"/>
        <v>0.89960824742268042</v>
      </c>
      <c r="N63" s="3">
        <f t="shared" si="7"/>
        <v>1.41734</v>
      </c>
      <c r="O63" s="71">
        <f t="shared" si="8"/>
        <v>1.204739</v>
      </c>
      <c r="P63" s="254">
        <f>IF(J63=0,0,J63*VLOOKUP(E63,'Prix Matiere'!$A$4:$L$60,12))</f>
        <v>0.37940000000000002</v>
      </c>
      <c r="Q63" s="90">
        <f>IF(J63=0,0,P63*VLOOKUP(E63,'Prix Matiere'!$A$4:$L$60,11))</f>
        <v>0.1836296</v>
      </c>
      <c r="R63" s="2"/>
      <c r="S63" s="2"/>
      <c r="T63" s="2"/>
      <c r="U63" s="2"/>
      <c r="V63" s="2"/>
      <c r="W63" s="2"/>
      <c r="X63" s="2"/>
      <c r="Y63" s="2"/>
      <c r="Z63" s="2"/>
    </row>
    <row r="64" spans="1:26" ht="18" hidden="1" customHeight="1" x14ac:dyDescent="0.35">
      <c r="A64" s="2"/>
      <c r="B64" s="2"/>
      <c r="C64" s="2"/>
      <c r="D64" s="2"/>
      <c r="E64" s="6"/>
      <c r="F64" s="2"/>
      <c r="G64" s="2"/>
      <c r="H64" s="2"/>
      <c r="I64" s="2"/>
      <c r="J64" s="89"/>
      <c r="K64" s="89"/>
      <c r="L64" s="71"/>
      <c r="M64" s="71"/>
      <c r="N64" s="3"/>
      <c r="O64" s="71"/>
      <c r="P64" s="254">
        <f>IF(J64=0,0,J64*VLOOKUP(E64,'Prix Matiere'!$A$4:$L$60,12))</f>
        <v>0</v>
      </c>
      <c r="Q64" s="90">
        <f>IF(J64=0,0,P64*VLOOKUP(E64,'Prix Matiere'!$A$4:$L$60,11))</f>
        <v>0</v>
      </c>
      <c r="R64" s="2"/>
      <c r="S64" s="2"/>
      <c r="T64" s="2"/>
      <c r="U64" s="2"/>
      <c r="V64" s="2"/>
      <c r="W64" s="2"/>
      <c r="X64" s="2"/>
      <c r="Y64" s="2"/>
      <c r="Z64" s="2"/>
    </row>
    <row r="65" spans="1:26" ht="18" hidden="1" customHeight="1" x14ac:dyDescent="0.35">
      <c r="A65" s="2"/>
      <c r="B65" s="2"/>
      <c r="C65" s="2"/>
      <c r="D65" s="2"/>
      <c r="E65" s="6"/>
      <c r="F65" s="2"/>
      <c r="G65" s="2"/>
      <c r="H65" s="2"/>
      <c r="I65" s="2"/>
      <c r="J65" s="89"/>
      <c r="K65" s="89"/>
      <c r="L65" s="71"/>
      <c r="M65" s="71"/>
      <c r="N65" s="3"/>
      <c r="O65" s="71"/>
      <c r="P65" s="254">
        <f>IF(J65=0,0,J65*VLOOKUP(E65,'Prix Matiere'!$A$4:$L$60,12))</f>
        <v>0</v>
      </c>
      <c r="Q65" s="90">
        <f>IF(J65=0,0,P65*VLOOKUP(E65,'Prix Matiere'!$A$4:$L$60,11))</f>
        <v>0</v>
      </c>
      <c r="R65" s="2"/>
      <c r="S65" s="2"/>
      <c r="T65" s="2"/>
      <c r="U65" s="2"/>
      <c r="V65" s="2"/>
      <c r="W65" s="2"/>
      <c r="X65" s="2"/>
      <c r="Y65" s="2"/>
      <c r="Z65" s="2"/>
    </row>
    <row r="66" spans="1:26" ht="18" hidden="1" customHeight="1" x14ac:dyDescent="0.35">
      <c r="A66" s="2" t="s">
        <v>189</v>
      </c>
      <c r="B66" s="325" t="s">
        <v>190</v>
      </c>
      <c r="C66" s="326">
        <f>IF(B27="Dimensions ext MRT existant",0,J27)</f>
        <v>231.39999999999998</v>
      </c>
      <c r="D66" s="258">
        <f>IF(B27="Dimensions ext MRT existant",0,K28)</f>
        <v>9.4</v>
      </c>
      <c r="E66" s="171" t="s">
        <v>61</v>
      </c>
      <c r="F66" s="260">
        <f>IF(C66=0,0,2)</f>
        <v>2</v>
      </c>
      <c r="G66" s="2"/>
      <c r="H66" s="2"/>
      <c r="I66" s="2"/>
      <c r="J66" s="89">
        <f t="shared" ref="J66:J72" si="10">IF(C66=0,0,(C66/100)*(D66/100)*F66)</f>
        <v>0.43503199999999992</v>
      </c>
      <c r="K66" s="89">
        <f t="shared" ref="K66:K72" si="11">J66/0.8</f>
        <v>0.54378999999999988</v>
      </c>
      <c r="L66" s="71">
        <f>IF(E66=0,0,VLOOKUP(E66,'Prix Matiere'!$A$4:$J$65,10))</f>
        <v>18.969072164948454</v>
      </c>
      <c r="M66" s="71">
        <f t="shared" ref="M66:M72" si="12">L66*K66</f>
        <v>10.315191752577318</v>
      </c>
      <c r="N66" s="3">
        <f t="shared" ref="N66:N67" si="13">IF(C66=0,0,4+(11*J66))</f>
        <v>8.7853519999999996</v>
      </c>
      <c r="O66" s="71">
        <f t="shared" ref="O66:O72" si="14">N66*MinuteMO</f>
        <v>7.4675491999999997</v>
      </c>
      <c r="P66" s="254">
        <f>IF(J66=0,0,J66*VLOOKUP(E66,'Prix Matiere'!$A$4:$L$60,12))</f>
        <v>4.3503199999999991</v>
      </c>
      <c r="Q66" s="90">
        <f>IF(J66=0,0,P66*VLOOKUP(E66,'Prix Matiere'!$A$4:$L$60,11))</f>
        <v>2.1055548799999997</v>
      </c>
      <c r="R66" s="327" t="s">
        <v>73</v>
      </c>
      <c r="S66" s="328">
        <f>SUM($M$66:$M$72)</f>
        <v>73.527643427835045</v>
      </c>
      <c r="T66" s="329"/>
      <c r="U66" s="2"/>
      <c r="V66" s="2"/>
      <c r="W66" s="2"/>
      <c r="X66" s="2"/>
      <c r="Y66" s="2"/>
      <c r="Z66" s="2"/>
    </row>
    <row r="67" spans="1:26" ht="18" hidden="1" customHeight="1" x14ac:dyDescent="0.35">
      <c r="A67" s="2"/>
      <c r="B67" s="330" t="s">
        <v>191</v>
      </c>
      <c r="C67" s="331">
        <f>IF(B27="Dimensions ext MRT existant",0,IF(E27=0,0,L27-4.2))</f>
        <v>176.5</v>
      </c>
      <c r="D67" s="45">
        <f>D66</f>
        <v>9.4</v>
      </c>
      <c r="E67" s="34" t="s">
        <v>61</v>
      </c>
      <c r="F67" s="175">
        <f>F66</f>
        <v>2</v>
      </c>
      <c r="G67" s="2"/>
      <c r="H67" s="2"/>
      <c r="I67" s="2"/>
      <c r="J67" s="89">
        <f t="shared" si="10"/>
        <v>0.33182</v>
      </c>
      <c r="K67" s="89">
        <f t="shared" si="11"/>
        <v>0.414775</v>
      </c>
      <c r="L67" s="71">
        <f>IF(E67=0,0,VLOOKUP(E67,'Prix Matiere'!$A$4:$J$65,10))</f>
        <v>18.969072164948454</v>
      </c>
      <c r="M67" s="71">
        <f t="shared" si="12"/>
        <v>7.8678969072164948</v>
      </c>
      <c r="N67" s="3">
        <f t="shared" si="13"/>
        <v>7.6500199999999996</v>
      </c>
      <c r="O67" s="71">
        <f t="shared" si="14"/>
        <v>6.5025169999999992</v>
      </c>
      <c r="P67" s="254">
        <f>IF(J67=0,0,J67*VLOOKUP(E67,'Prix Matiere'!$A$4:$L$60,12))</f>
        <v>3.3182</v>
      </c>
      <c r="Q67" s="90">
        <f>IF(J67=0,0,P67*VLOOKUP(E67,'Prix Matiere'!$A$4:$L$60,11))</f>
        <v>1.6060087999999999</v>
      </c>
      <c r="R67" s="332" t="s">
        <v>75</v>
      </c>
      <c r="S67" s="333">
        <f>SUM($O$66:$O$72)</f>
        <v>53.040430269999987</v>
      </c>
      <c r="T67" s="334">
        <f>AC65</f>
        <v>0</v>
      </c>
      <c r="U67" s="2"/>
      <c r="V67" s="2"/>
      <c r="W67" s="2"/>
      <c r="X67" s="2"/>
      <c r="Y67" s="2"/>
      <c r="Z67" s="2"/>
    </row>
    <row r="68" spans="1:26" ht="18" hidden="1" customHeight="1" x14ac:dyDescent="0.35">
      <c r="A68" s="2"/>
      <c r="B68" s="335" t="str">
        <f t="shared" ref="B68:B69" si="15">E68</f>
        <v>Peuplier 15 mm</v>
      </c>
      <c r="C68" s="331">
        <f>IF(C66=0,0,C66)</f>
        <v>231.39999999999998</v>
      </c>
      <c r="D68" s="45">
        <f>IF(C68=0,0,25)</f>
        <v>25</v>
      </c>
      <c r="E68" s="85" t="str">
        <f t="shared" ref="E68:E69" si="16">"Peuplier 15 mm"</f>
        <v>Peuplier 15 mm</v>
      </c>
      <c r="F68" s="175">
        <f t="shared" ref="F68:F69" si="17">IF(C68=0,0,2)</f>
        <v>2</v>
      </c>
      <c r="G68" s="2"/>
      <c r="H68" s="2"/>
      <c r="I68" s="2"/>
      <c r="J68" s="89">
        <f t="shared" si="10"/>
        <v>1.1569999999999998</v>
      </c>
      <c r="K68" s="89">
        <f t="shared" si="11"/>
        <v>1.4462499999999996</v>
      </c>
      <c r="L68" s="71">
        <f>IF(E68=0,0,VLOOKUP(E68,'Prix Matiere'!$A$4:$J$65,10))</f>
        <v>16.895876288659796</v>
      </c>
      <c r="M68" s="71">
        <f t="shared" si="12"/>
        <v>24.435661082474223</v>
      </c>
      <c r="N68" s="3">
        <f t="shared" ref="N68:N70" si="18">IF(C68=0,0,(6.0924*J68)+10)</f>
        <v>17.048906799999997</v>
      </c>
      <c r="O68" s="71">
        <f t="shared" si="14"/>
        <v>14.491570779999998</v>
      </c>
      <c r="P68" s="254">
        <f>IF(J68=0,0,J68*VLOOKUP(E68,'Prix Matiere'!$A$4:$L$60,12))</f>
        <v>7.6361999999999997</v>
      </c>
      <c r="Q68" s="90">
        <f>IF(J68=0,0,P68*VLOOKUP(E68,'Prix Matiere'!$A$4:$L$60,11))</f>
        <v>5.9027826000000001</v>
      </c>
      <c r="R68" s="332" t="s">
        <v>77</v>
      </c>
      <c r="S68" s="333">
        <f>((S66+S67)/0.78)-(S66+S67)</f>
        <v>35.698687453235507</v>
      </c>
      <c r="T68" s="336"/>
      <c r="U68" s="2"/>
      <c r="V68" s="2"/>
      <c r="W68" s="2"/>
      <c r="X68" s="2"/>
      <c r="Y68" s="2"/>
      <c r="Z68" s="2"/>
    </row>
    <row r="69" spans="1:26" ht="18" hidden="1" customHeight="1" x14ac:dyDescent="0.35">
      <c r="A69" s="2"/>
      <c r="B69" s="335" t="str">
        <f t="shared" si="15"/>
        <v>Peuplier 15 mm</v>
      </c>
      <c r="C69" s="331">
        <f>IF(C68=0,0,L27-2*D68)</f>
        <v>130.69999999999999</v>
      </c>
      <c r="D69" s="45">
        <f>D68</f>
        <v>25</v>
      </c>
      <c r="E69" s="85" t="str">
        <f t="shared" si="16"/>
        <v>Peuplier 15 mm</v>
      </c>
      <c r="F69" s="175">
        <f t="shared" si="17"/>
        <v>2</v>
      </c>
      <c r="G69" s="2"/>
      <c r="H69" s="2"/>
      <c r="I69" s="2"/>
      <c r="J69" s="89">
        <f t="shared" si="10"/>
        <v>0.65349999999999997</v>
      </c>
      <c r="K69" s="89">
        <f t="shared" si="11"/>
        <v>0.81687499999999991</v>
      </c>
      <c r="L69" s="71">
        <f>IF(E69=0,0,VLOOKUP(E69,'Prix Matiere'!$A$4:$J$65,10))</f>
        <v>16.895876288659796</v>
      </c>
      <c r="M69" s="71">
        <f t="shared" si="12"/>
        <v>13.801818943298969</v>
      </c>
      <c r="N69" s="3">
        <f t="shared" si="18"/>
        <v>13.981383399999999</v>
      </c>
      <c r="O69" s="71">
        <f t="shared" si="14"/>
        <v>11.884175889999998</v>
      </c>
      <c r="P69" s="254">
        <f>IF(J69=0,0,J69*VLOOKUP(E69,'Prix Matiere'!$A$4:$L$60,12))</f>
        <v>4.3131000000000004</v>
      </c>
      <c r="Q69" s="90">
        <f>IF(J69=0,0,P69*VLOOKUP(E69,'Prix Matiere'!$A$4:$L$60,11))</f>
        <v>3.3340263000000006</v>
      </c>
      <c r="R69" s="332" t="s">
        <v>79</v>
      </c>
      <c r="S69" s="333">
        <f>SUM(S66:S68)</f>
        <v>162.26676115107054</v>
      </c>
      <c r="T69" s="336"/>
      <c r="U69" s="2"/>
      <c r="V69" s="2"/>
      <c r="W69" s="2"/>
      <c r="X69" s="2"/>
      <c r="Y69" s="2"/>
      <c r="Z69" s="2"/>
    </row>
    <row r="70" spans="1:26" ht="18" hidden="1" customHeight="1" x14ac:dyDescent="0.35">
      <c r="A70" s="2"/>
      <c r="B70" s="178" t="s">
        <v>192</v>
      </c>
      <c r="C70" s="45">
        <f>IF(C66=0,0,45)</f>
        <v>45</v>
      </c>
      <c r="D70" s="45">
        <f>IF(C70=0,0,45)</f>
        <v>45</v>
      </c>
      <c r="E70" s="85" t="s">
        <v>10</v>
      </c>
      <c r="F70" s="175">
        <f>IF(C70=0,0,4)</f>
        <v>4</v>
      </c>
      <c r="G70" s="2"/>
      <c r="H70" s="2"/>
      <c r="I70" s="2"/>
      <c r="J70" s="89">
        <f t="shared" si="10"/>
        <v>0.81</v>
      </c>
      <c r="K70" s="89">
        <f t="shared" si="11"/>
        <v>1.0125</v>
      </c>
      <c r="L70" s="71">
        <f>IF(E70=0,0,VLOOKUP(E70,'Prix Matiere'!$A$4:$J$65,10))</f>
        <v>16.895876288659796</v>
      </c>
      <c r="M70" s="71">
        <f t="shared" si="12"/>
        <v>17.107074742268043</v>
      </c>
      <c r="N70" s="3">
        <f t="shared" si="18"/>
        <v>14.934844</v>
      </c>
      <c r="O70" s="71">
        <f t="shared" si="14"/>
        <v>12.6946174</v>
      </c>
      <c r="P70" s="254">
        <f>IF(J70=0,0,J70*VLOOKUP(E70,'Prix Matiere'!$A$4:$L$60,12))</f>
        <v>5.346000000000001</v>
      </c>
      <c r="Q70" s="90">
        <f>IF(J70=0,0,P70*VLOOKUP(E70,'Prix Matiere'!$A$4:$L$60,11))</f>
        <v>4.1324580000000006</v>
      </c>
      <c r="R70" s="332" t="s">
        <v>81</v>
      </c>
      <c r="S70" s="333">
        <f>(S69/(1-0.15))-S69</f>
        <v>28.635310791365384</v>
      </c>
      <c r="T70" s="336"/>
      <c r="U70" s="2"/>
      <c r="V70" s="2"/>
      <c r="W70" s="2"/>
      <c r="X70" s="2"/>
      <c r="Y70" s="2"/>
      <c r="Z70" s="2"/>
    </row>
    <row r="71" spans="1:26" ht="18" hidden="1" customHeight="1" x14ac:dyDescent="0.35">
      <c r="A71" s="2"/>
      <c r="B71" s="178" t="str">
        <f>G27</f>
        <v>Mrt Ouvert</v>
      </c>
      <c r="C71" s="45">
        <f>IF(B71=0,0,IF(B71="Mrt Ouvert",0,J27))</f>
        <v>0</v>
      </c>
      <c r="D71" s="45">
        <f>IF(B71=0,0,IF(B71="Mrt Ouvert",0,L27))</f>
        <v>0</v>
      </c>
      <c r="E71" s="85">
        <f>VLOOKUP(G27,$A$170:$C$174,2)</f>
        <v>0</v>
      </c>
      <c r="F71" s="175">
        <f t="shared" ref="F71:F72" si="19">IF(C71=0,0,1)</f>
        <v>0</v>
      </c>
      <c r="G71" s="2"/>
      <c r="H71" s="2"/>
      <c r="I71" s="2"/>
      <c r="J71" s="89">
        <f t="shared" si="10"/>
        <v>0</v>
      </c>
      <c r="K71" s="89">
        <f t="shared" si="11"/>
        <v>0</v>
      </c>
      <c r="L71" s="71">
        <f>IF(E71=0,0,VLOOKUP(E71,'Prix Matiere'!$A$4:$J$65,10))</f>
        <v>0</v>
      </c>
      <c r="M71" s="71">
        <f t="shared" si="12"/>
        <v>0</v>
      </c>
      <c r="N71" s="3">
        <f t="shared" ref="N71:N72" si="20">IF(C71=0,0,1+(11*J71))</f>
        <v>0</v>
      </c>
      <c r="O71" s="71">
        <f t="shared" si="14"/>
        <v>0</v>
      </c>
      <c r="P71" s="254">
        <f>IF(J71=0,0,J71*VLOOKUP(E71,'Prix Matiere'!$A$4:$L$60,12))</f>
        <v>0</v>
      </c>
      <c r="Q71" s="90">
        <f>IF(J71=0,0,P71*VLOOKUP(E71,'Prix Matiere'!$A$4:$L$60,11))</f>
        <v>0</v>
      </c>
      <c r="R71" s="332"/>
      <c r="S71" s="333"/>
      <c r="T71" s="336"/>
      <c r="U71" s="2"/>
      <c r="V71" s="2"/>
      <c r="W71" s="2"/>
      <c r="X71" s="2"/>
      <c r="Y71" s="2"/>
      <c r="Z71" s="2"/>
    </row>
    <row r="72" spans="1:26" ht="18" hidden="1" customHeight="1" x14ac:dyDescent="0.35">
      <c r="A72" s="2"/>
      <c r="B72" s="261" t="str">
        <f>F27</f>
        <v>Mrt Ouvert</v>
      </c>
      <c r="C72" s="262">
        <f>IF(B72=0,0,IF(B72="Mrt Ouvert",0,J27))</f>
        <v>0</v>
      </c>
      <c r="D72" s="262">
        <f>IF(B72=0,0,IF(B72="Mrt Ouvert",0,L27))</f>
        <v>0</v>
      </c>
      <c r="E72" s="263">
        <f>VLOOKUP($F$27,$A$170:$C$174,2)</f>
        <v>0</v>
      </c>
      <c r="F72" s="184">
        <f t="shared" si="19"/>
        <v>0</v>
      </c>
      <c r="G72" s="2"/>
      <c r="H72" s="2"/>
      <c r="I72" s="2"/>
      <c r="J72" s="89">
        <f t="shared" si="10"/>
        <v>0</v>
      </c>
      <c r="K72" s="89">
        <f t="shared" si="11"/>
        <v>0</v>
      </c>
      <c r="L72" s="71">
        <f>IF(E72=0,0,VLOOKUP(E72,'Prix Matiere'!$A$4:$J$65,10))</f>
        <v>0</v>
      </c>
      <c r="M72" s="71">
        <f t="shared" si="12"/>
        <v>0</v>
      </c>
      <c r="N72" s="3">
        <f t="shared" si="20"/>
        <v>0</v>
      </c>
      <c r="O72" s="71">
        <f t="shared" si="14"/>
        <v>0</v>
      </c>
      <c r="P72" s="254">
        <f>IF(J72=0,0,J72*VLOOKUP(E72,'Prix Matiere'!$A$4:$L$60,12))</f>
        <v>0</v>
      </c>
      <c r="Q72" s="90">
        <f>IF(J72=0,0,P72*VLOOKUP(E72,'Prix Matiere'!$A$4:$L$60,11))</f>
        <v>0</v>
      </c>
      <c r="R72" s="337" t="s">
        <v>84</v>
      </c>
      <c r="S72" s="338">
        <f>SUM(S69:S70)</f>
        <v>190.90207194243592</v>
      </c>
      <c r="T72" s="339"/>
      <c r="U72" s="2"/>
      <c r="V72" s="2"/>
      <c r="W72" s="2"/>
      <c r="X72" s="2"/>
      <c r="Y72" s="2"/>
      <c r="Z72" s="2"/>
    </row>
    <row r="73" spans="1:26" ht="18" hidden="1" customHeight="1" x14ac:dyDescent="0.35">
      <c r="A73" s="2"/>
      <c r="B73" s="2"/>
      <c r="C73" s="2"/>
      <c r="D73" s="2"/>
      <c r="E73" s="6"/>
      <c r="F73" s="2"/>
      <c r="G73" s="2"/>
      <c r="H73" s="2"/>
      <c r="I73" s="2"/>
      <c r="J73" s="89"/>
      <c r="K73" s="89"/>
      <c r="L73" s="71"/>
      <c r="M73" s="71"/>
      <c r="N73" s="3"/>
      <c r="O73" s="71"/>
      <c r="P73" s="254">
        <f>IF(J73=0,0,J73*VLOOKUP(E73,'Prix Matiere'!$A$4:$L$60,12))</f>
        <v>0</v>
      </c>
      <c r="Q73" s="90">
        <f>IF(J73=0,0,P73*VLOOKUP(E73,'Prix Matiere'!$A$4:$L$60,11))</f>
        <v>0</v>
      </c>
      <c r="R73" s="2"/>
      <c r="S73" s="2"/>
      <c r="T73" s="2"/>
      <c r="U73" s="2"/>
      <c r="V73" s="2"/>
      <c r="W73" s="2"/>
      <c r="X73" s="2"/>
      <c r="Y73" s="2"/>
      <c r="Z73" s="2"/>
    </row>
    <row r="74" spans="1:26" ht="18" hidden="1" customHeight="1" x14ac:dyDescent="0.35">
      <c r="A74" s="2" t="s">
        <v>193</v>
      </c>
      <c r="B74" s="325" t="s">
        <v>190</v>
      </c>
      <c r="C74" s="326">
        <f>IF(B30="Dimensions ext MRT existant",0,J30)</f>
        <v>0</v>
      </c>
      <c r="D74" s="258">
        <f>IF(B30="Dimensions ext MRT existant",0,K31)</f>
        <v>0</v>
      </c>
      <c r="E74" s="171" t="s">
        <v>61</v>
      </c>
      <c r="F74" s="260">
        <f>IF(C74=0,0,2)</f>
        <v>0</v>
      </c>
      <c r="G74" s="2"/>
      <c r="H74" s="2"/>
      <c r="I74" s="2"/>
      <c r="J74" s="89">
        <f t="shared" ref="J74:J80" si="21">IF(C74=0,0,(C74/100)*(D74/100)*F74)</f>
        <v>0</v>
      </c>
      <c r="K74" s="89">
        <f t="shared" ref="K74:K80" si="22">J74/0.8</f>
        <v>0</v>
      </c>
      <c r="L74" s="71">
        <f>IF(E74=0,0,VLOOKUP(E74,'Prix Matiere'!$A$4:$J$65,10))</f>
        <v>18.969072164948454</v>
      </c>
      <c r="M74" s="71">
        <f t="shared" ref="M74:M80" si="23">L74*K74</f>
        <v>0</v>
      </c>
      <c r="N74" s="3">
        <f>IF(C74=0,0,4+(11*J74))</f>
        <v>0</v>
      </c>
      <c r="O74" s="71">
        <f t="shared" ref="O74:O80" si="24">N74*MinuteMO</f>
        <v>0</v>
      </c>
      <c r="P74" s="254">
        <f>IF(J74=0,0,J74*VLOOKUP(E74,'Prix Matiere'!$A$4:$L$60,12))</f>
        <v>0</v>
      </c>
      <c r="Q74" s="90">
        <f>IF(J74=0,0,P74*VLOOKUP(E74,'Prix Matiere'!$A$4:$L$60,11))</f>
        <v>0</v>
      </c>
      <c r="R74" s="327" t="s">
        <v>73</v>
      </c>
      <c r="S74" s="328">
        <f>SUM($M$74:$M$80)</f>
        <v>0</v>
      </c>
      <c r="T74" s="329"/>
      <c r="U74" s="2"/>
      <c r="V74" s="2"/>
      <c r="W74" s="2"/>
      <c r="X74" s="2"/>
      <c r="Y74" s="2"/>
      <c r="Z74" s="2"/>
    </row>
    <row r="75" spans="1:26" ht="18" hidden="1" customHeight="1" x14ac:dyDescent="0.35">
      <c r="A75" s="2"/>
      <c r="B75" s="330" t="s">
        <v>191</v>
      </c>
      <c r="C75" s="331">
        <f>IF(B30="Dimensions ext MRT existant",0,IF(E30=0,0,L30-4.2))</f>
        <v>0</v>
      </c>
      <c r="D75" s="45">
        <f>D74</f>
        <v>0</v>
      </c>
      <c r="E75" s="34" t="s">
        <v>61</v>
      </c>
      <c r="F75" s="175">
        <f>F74</f>
        <v>0</v>
      </c>
      <c r="G75" s="2"/>
      <c r="H75" s="2"/>
      <c r="I75" s="2"/>
      <c r="J75" s="89">
        <f t="shared" si="21"/>
        <v>0</v>
      </c>
      <c r="K75" s="89">
        <f t="shared" si="22"/>
        <v>0</v>
      </c>
      <c r="L75" s="71">
        <f>IF(E75=0,0,VLOOKUP(E75,'Prix Matiere'!$A$4:$J$65,10))</f>
        <v>18.969072164948454</v>
      </c>
      <c r="M75" s="71">
        <f t="shared" si="23"/>
        <v>0</v>
      </c>
      <c r="N75" s="3">
        <f>IF(J75=0,0,4+(11*J75))</f>
        <v>0</v>
      </c>
      <c r="O75" s="71">
        <f t="shared" si="24"/>
        <v>0</v>
      </c>
      <c r="P75" s="254">
        <f>IF(J75=0,0,J75*VLOOKUP(E75,'Prix Matiere'!$A$4:$L$60,12))</f>
        <v>0</v>
      </c>
      <c r="Q75" s="90">
        <f>IF(J75=0,0,P75*VLOOKUP(E75,'Prix Matiere'!$A$4:$L$60,11))</f>
        <v>0</v>
      </c>
      <c r="R75" s="332" t="s">
        <v>75</v>
      </c>
      <c r="S75" s="333">
        <f>SUM($O$74:$O$80)</f>
        <v>0</v>
      </c>
      <c r="T75" s="334">
        <f>AC73</f>
        <v>0</v>
      </c>
      <c r="U75" s="2"/>
      <c r="V75" s="2"/>
      <c r="W75" s="2"/>
      <c r="X75" s="2"/>
      <c r="Y75" s="2"/>
      <c r="Z75" s="2"/>
    </row>
    <row r="76" spans="1:26" ht="18" hidden="1" customHeight="1" x14ac:dyDescent="0.35">
      <c r="A76" s="2"/>
      <c r="B76" s="335" t="str">
        <f t="shared" ref="B76:B77" si="25">E76</f>
        <v>Peuplier 15 mm</v>
      </c>
      <c r="C76" s="45">
        <f>IF(C74=0,0,C74)</f>
        <v>0</v>
      </c>
      <c r="D76" s="45">
        <f>IF(C76=0,0,25)</f>
        <v>0</v>
      </c>
      <c r="E76" s="85" t="str">
        <f t="shared" ref="E76:E77" si="26">"Peuplier 15 mm"</f>
        <v>Peuplier 15 mm</v>
      </c>
      <c r="F76" s="175">
        <f t="shared" ref="F76:F77" si="27">IF(C76=0,0,2)</f>
        <v>0</v>
      </c>
      <c r="G76" s="2"/>
      <c r="H76" s="2"/>
      <c r="I76" s="2"/>
      <c r="J76" s="89">
        <f t="shared" si="21"/>
        <v>0</v>
      </c>
      <c r="K76" s="89">
        <f t="shared" si="22"/>
        <v>0</v>
      </c>
      <c r="L76" s="71">
        <f>IF(E76=0,0,VLOOKUP(E76,'Prix Matiere'!$A$4:$J$65,10))</f>
        <v>16.895876288659796</v>
      </c>
      <c r="M76" s="71">
        <f t="shared" si="23"/>
        <v>0</v>
      </c>
      <c r="N76" s="3">
        <f t="shared" ref="N76:N78" si="28">IF(C76=0,0,(6.0924*J76)+10)</f>
        <v>0</v>
      </c>
      <c r="O76" s="71">
        <f t="shared" si="24"/>
        <v>0</v>
      </c>
      <c r="P76" s="254">
        <f>IF(J76=0,0,J76*VLOOKUP(E76,'Prix Matiere'!$A$4:$L$60,12))</f>
        <v>0</v>
      </c>
      <c r="Q76" s="90">
        <f>IF(J76=0,0,P76*VLOOKUP(E76,'Prix Matiere'!$A$4:$L$60,11))</f>
        <v>0</v>
      </c>
      <c r="R76" s="332" t="s">
        <v>77</v>
      </c>
      <c r="S76" s="333">
        <f>((S74+S75)/0.78)-(S74+S75)</f>
        <v>0</v>
      </c>
      <c r="T76" s="336"/>
      <c r="U76" s="2"/>
      <c r="V76" s="2"/>
      <c r="W76" s="2"/>
      <c r="X76" s="2"/>
      <c r="Y76" s="2"/>
      <c r="Z76" s="2"/>
    </row>
    <row r="77" spans="1:26" ht="18" hidden="1" customHeight="1" x14ac:dyDescent="0.35">
      <c r="A77" s="2"/>
      <c r="B77" s="335" t="str">
        <f t="shared" si="25"/>
        <v>Peuplier 15 mm</v>
      </c>
      <c r="C77" s="45">
        <f>IF(C76=0,0,L30-2*D76)</f>
        <v>0</v>
      </c>
      <c r="D77" s="45">
        <f>D76</f>
        <v>0</v>
      </c>
      <c r="E77" s="85" t="str">
        <f t="shared" si="26"/>
        <v>Peuplier 15 mm</v>
      </c>
      <c r="F77" s="175">
        <f t="shared" si="27"/>
        <v>0</v>
      </c>
      <c r="G77" s="2"/>
      <c r="H77" s="2"/>
      <c r="I77" s="2"/>
      <c r="J77" s="89">
        <f t="shared" si="21"/>
        <v>0</v>
      </c>
      <c r="K77" s="89">
        <f t="shared" si="22"/>
        <v>0</v>
      </c>
      <c r="L77" s="71">
        <f>IF(E77=0,0,VLOOKUP(E77,'Prix Matiere'!$A$4:$J$65,10))</f>
        <v>16.895876288659796</v>
      </c>
      <c r="M77" s="71">
        <f t="shared" si="23"/>
        <v>0</v>
      </c>
      <c r="N77" s="3">
        <f t="shared" si="28"/>
        <v>0</v>
      </c>
      <c r="O77" s="71">
        <f t="shared" si="24"/>
        <v>0</v>
      </c>
      <c r="P77" s="254">
        <f>IF(J77=0,0,J77*VLOOKUP(E77,'Prix Matiere'!$A$4:$L$60,12))</f>
        <v>0</v>
      </c>
      <c r="Q77" s="90">
        <f>IF(J77=0,0,P77*VLOOKUP(E77,'Prix Matiere'!$A$4:$L$60,11))</f>
        <v>0</v>
      </c>
      <c r="R77" s="332" t="s">
        <v>79</v>
      </c>
      <c r="S77" s="333">
        <f>SUM(S74:S76)</f>
        <v>0</v>
      </c>
      <c r="T77" s="336"/>
      <c r="U77" s="2"/>
      <c r="V77" s="2"/>
      <c r="W77" s="2"/>
      <c r="X77" s="2"/>
      <c r="Y77" s="2"/>
      <c r="Z77" s="2"/>
    </row>
    <row r="78" spans="1:26" ht="18" hidden="1" customHeight="1" x14ac:dyDescent="0.35">
      <c r="A78" s="2"/>
      <c r="B78" s="178" t="s">
        <v>192</v>
      </c>
      <c r="C78" s="45">
        <f>IF(C74=0,0,45)</f>
        <v>0</v>
      </c>
      <c r="D78" s="45">
        <f>IF(C78=0,0,45)</f>
        <v>0</v>
      </c>
      <c r="E78" s="85" t="s">
        <v>10</v>
      </c>
      <c r="F78" s="175">
        <f>IF(C78=0,0,4)</f>
        <v>0</v>
      </c>
      <c r="G78" s="2"/>
      <c r="H78" s="2"/>
      <c r="I78" s="2"/>
      <c r="J78" s="89">
        <f t="shared" si="21"/>
        <v>0</v>
      </c>
      <c r="K78" s="89">
        <f t="shared" si="22"/>
        <v>0</v>
      </c>
      <c r="L78" s="71">
        <f>IF(E78=0,0,VLOOKUP(E78,'Prix Matiere'!$A$4:$J$65,10))</f>
        <v>16.895876288659796</v>
      </c>
      <c r="M78" s="71">
        <f t="shared" si="23"/>
        <v>0</v>
      </c>
      <c r="N78" s="3">
        <f t="shared" si="28"/>
        <v>0</v>
      </c>
      <c r="O78" s="71">
        <f t="shared" si="24"/>
        <v>0</v>
      </c>
      <c r="P78" s="254">
        <f>IF(J78=0,0,J78*VLOOKUP(E78,'Prix Matiere'!$A$4:$L$60,12))</f>
        <v>0</v>
      </c>
      <c r="Q78" s="90">
        <f>IF(J78=0,0,P78*VLOOKUP(E78,'Prix Matiere'!$A$4:$L$60,11))</f>
        <v>0</v>
      </c>
      <c r="R78" s="332" t="s">
        <v>81</v>
      </c>
      <c r="S78" s="333">
        <f>(S77/(1-0.15))-S77</f>
        <v>0</v>
      </c>
      <c r="T78" s="336"/>
      <c r="U78" s="2"/>
      <c r="V78" s="2"/>
      <c r="W78" s="2"/>
      <c r="X78" s="2"/>
      <c r="Y78" s="2"/>
      <c r="Z78" s="2"/>
    </row>
    <row r="79" spans="1:26" ht="18" hidden="1" customHeight="1" x14ac:dyDescent="0.35">
      <c r="A79" s="2"/>
      <c r="B79" s="178" t="str">
        <f>G30</f>
        <v>Mrt Ouvert</v>
      </c>
      <c r="C79" s="45">
        <f>IF(B79=0,0,IF(B79="Mrt Ouvert",0,J30))</f>
        <v>0</v>
      </c>
      <c r="D79" s="45">
        <f>IF(B79=0,0,IF(B79="Mrt Ouvert",0,L30))</f>
        <v>0</v>
      </c>
      <c r="E79" s="85">
        <f>VLOOKUP(G30,$A$170:$C$174,2)</f>
        <v>0</v>
      </c>
      <c r="F79" s="175">
        <f t="shared" ref="F79:F80" si="29">IF(C79=0,0,1)</f>
        <v>0</v>
      </c>
      <c r="G79" s="2"/>
      <c r="H79" s="2"/>
      <c r="I79" s="2"/>
      <c r="J79" s="89">
        <f t="shared" si="21"/>
        <v>0</v>
      </c>
      <c r="K79" s="89">
        <f t="shared" si="22"/>
        <v>0</v>
      </c>
      <c r="L79" s="71">
        <f>IF(E79=0,0,VLOOKUP(E79,'Prix Matiere'!$A$4:$J$65,10))</f>
        <v>0</v>
      </c>
      <c r="M79" s="71">
        <f t="shared" si="23"/>
        <v>0</v>
      </c>
      <c r="N79" s="3">
        <f t="shared" ref="N79:N80" si="30">IF(C79=0,0,1+(11*J79))</f>
        <v>0</v>
      </c>
      <c r="O79" s="71">
        <f t="shared" si="24"/>
        <v>0</v>
      </c>
      <c r="P79" s="254">
        <f>IF(J79=0,0,J79*VLOOKUP(E79,'Prix Matiere'!$A$4:$L$60,12))</f>
        <v>0</v>
      </c>
      <c r="Q79" s="90">
        <f>IF(J79=0,0,P79*VLOOKUP(E79,'Prix Matiere'!$A$4:$L$60,11))</f>
        <v>0</v>
      </c>
      <c r="R79" s="332"/>
      <c r="S79" s="333"/>
      <c r="T79" s="336"/>
      <c r="U79" s="2"/>
      <c r="V79" s="2"/>
      <c r="W79" s="2"/>
      <c r="X79" s="2"/>
      <c r="Y79" s="2"/>
      <c r="Z79" s="2"/>
    </row>
    <row r="80" spans="1:26" ht="18" hidden="1" customHeight="1" x14ac:dyDescent="0.35">
      <c r="A80" s="2"/>
      <c r="B80" s="261" t="str">
        <f>F30</f>
        <v>Mrt Ouvert</v>
      </c>
      <c r="C80" s="262">
        <f>IF(B80=0,0,IF(B80="Mrt Ouvert",0,J30))</f>
        <v>0</v>
      </c>
      <c r="D80" s="262">
        <f>IF(B80=0,0,IF(B80="Mrt Ouvert",0,L30))</f>
        <v>0</v>
      </c>
      <c r="E80" s="263">
        <f>VLOOKUP($F$30,$A$170:$C$174,2)</f>
        <v>0</v>
      </c>
      <c r="F80" s="184">
        <f t="shared" si="29"/>
        <v>0</v>
      </c>
      <c r="G80" s="2"/>
      <c r="H80" s="2"/>
      <c r="I80" s="2"/>
      <c r="J80" s="89">
        <f t="shared" si="21"/>
        <v>0</v>
      </c>
      <c r="K80" s="89">
        <f t="shared" si="22"/>
        <v>0</v>
      </c>
      <c r="L80" s="71">
        <f>IF(E80=0,0,VLOOKUP(E80,'Prix Matiere'!$A$4:$J$65,10))</f>
        <v>0</v>
      </c>
      <c r="M80" s="71">
        <f t="shared" si="23"/>
        <v>0</v>
      </c>
      <c r="N80" s="3">
        <f t="shared" si="30"/>
        <v>0</v>
      </c>
      <c r="O80" s="71">
        <f t="shared" si="24"/>
        <v>0</v>
      </c>
      <c r="P80" s="254">
        <f>IF(J80=0,0,J80*VLOOKUP(E80,'Prix Matiere'!$A$4:$L$60,12))</f>
        <v>0</v>
      </c>
      <c r="Q80" s="90">
        <f>IF(J80=0,0,P80*VLOOKUP(E80,'Prix Matiere'!$A$4:$L$60,11))</f>
        <v>0</v>
      </c>
      <c r="R80" s="337" t="s">
        <v>84</v>
      </c>
      <c r="S80" s="338">
        <f>SUM(S77:S78)</f>
        <v>0</v>
      </c>
      <c r="T80" s="339"/>
      <c r="U80" s="2"/>
      <c r="V80" s="2"/>
      <c r="W80" s="2"/>
      <c r="X80" s="2"/>
      <c r="Y80" s="2"/>
      <c r="Z80" s="2"/>
    </row>
    <row r="81" spans="1:26" ht="18" hidden="1" customHeight="1" x14ac:dyDescent="0.35">
      <c r="A81" s="2"/>
      <c r="B81" s="2"/>
      <c r="C81" s="2"/>
      <c r="D81" s="2"/>
      <c r="E81" s="6"/>
      <c r="F81" s="2"/>
      <c r="G81" s="2"/>
      <c r="H81" s="2"/>
      <c r="I81" s="2"/>
      <c r="J81" s="89"/>
      <c r="K81" s="89"/>
      <c r="L81" s="71"/>
      <c r="M81" s="71"/>
      <c r="N81" s="3"/>
      <c r="O81" s="71"/>
      <c r="P81" s="254">
        <f>IF(J81=0,0,J81*VLOOKUP(E81,'Prix Matiere'!$A$4:$L$60,12))</f>
        <v>0</v>
      </c>
      <c r="Q81" s="90">
        <f>IF(J81=0,0,P81*VLOOKUP(E81,'Prix Matiere'!$A$4:$L$60,11))</f>
        <v>0</v>
      </c>
      <c r="R81" s="2"/>
      <c r="S81" s="2"/>
      <c r="T81" s="2"/>
      <c r="U81" s="2"/>
      <c r="V81" s="2"/>
      <c r="W81" s="2"/>
      <c r="X81" s="2"/>
      <c r="Y81" s="2"/>
      <c r="Z81" s="2"/>
    </row>
    <row r="82" spans="1:26" ht="18" hidden="1" customHeight="1" x14ac:dyDescent="0.35">
      <c r="A82" s="2" t="s">
        <v>194</v>
      </c>
      <c r="B82" s="325" t="s">
        <v>190</v>
      </c>
      <c r="C82" s="326">
        <f>IF(B33="Dimensions ext MRT existant",0,J33)</f>
        <v>0</v>
      </c>
      <c r="D82" s="258">
        <f>IF(B33="Dimensions ext MRT existant",0,K34)</f>
        <v>0</v>
      </c>
      <c r="E82" s="171" t="s">
        <v>61</v>
      </c>
      <c r="F82" s="260">
        <f>IF(C82=0,0,2)</f>
        <v>0</v>
      </c>
      <c r="G82" s="2"/>
      <c r="H82" s="2"/>
      <c r="I82" s="2"/>
      <c r="J82" s="89">
        <f t="shared" ref="J82:J88" si="31">IF(C82=0,0,(C82/100)*(D82/100)*F82)</f>
        <v>0</v>
      </c>
      <c r="K82" s="89">
        <f t="shared" ref="K82:K88" si="32">J82/0.8</f>
        <v>0</v>
      </c>
      <c r="L82" s="71">
        <f>IF(E82=0,0,VLOOKUP(E82,'Prix Matiere'!$A$4:$J$65,10))</f>
        <v>18.969072164948454</v>
      </c>
      <c r="M82" s="71">
        <f t="shared" ref="M82:M88" si="33">L82*K82</f>
        <v>0</v>
      </c>
      <c r="N82" s="3">
        <f>IF(C82=0,0,4+(11*J82))</f>
        <v>0</v>
      </c>
      <c r="O82" s="71">
        <f t="shared" ref="O82:O88" si="34">N82*MinuteMO</f>
        <v>0</v>
      </c>
      <c r="P82" s="254">
        <f>IF(J82=0,0,J82*VLOOKUP(E82,'Prix Matiere'!$A$4:$L$60,12))</f>
        <v>0</v>
      </c>
      <c r="Q82" s="90">
        <f>IF(J82=0,0,P82*VLOOKUP(E82,'Prix Matiere'!$A$4:$L$60,11))</f>
        <v>0</v>
      </c>
      <c r="R82" s="327" t="s">
        <v>73</v>
      </c>
      <c r="S82" s="328">
        <f>SUM($M$82:$M$88)</f>
        <v>0</v>
      </c>
      <c r="T82" s="329"/>
      <c r="U82" s="2"/>
      <c r="V82" s="2"/>
      <c r="W82" s="2"/>
      <c r="X82" s="2"/>
      <c r="Y82" s="2"/>
      <c r="Z82" s="2"/>
    </row>
    <row r="83" spans="1:26" ht="18" hidden="1" customHeight="1" x14ac:dyDescent="0.35">
      <c r="A83" s="2"/>
      <c r="B83" s="330" t="s">
        <v>191</v>
      </c>
      <c r="C83" s="331">
        <f>IF(B33="Dimensions ext MRT existant",0,IF(E33=0,0,L33-4.2))</f>
        <v>0</v>
      </c>
      <c r="D83" s="45">
        <f>D82</f>
        <v>0</v>
      </c>
      <c r="E83" s="34" t="s">
        <v>61</v>
      </c>
      <c r="F83" s="175">
        <f>F82</f>
        <v>0</v>
      </c>
      <c r="G83" s="2"/>
      <c r="H83" s="2"/>
      <c r="I83" s="2"/>
      <c r="J83" s="89">
        <f t="shared" si="31"/>
        <v>0</v>
      </c>
      <c r="K83" s="89">
        <f t="shared" si="32"/>
        <v>0</v>
      </c>
      <c r="L83" s="71">
        <f>IF(E83=0,0,VLOOKUP(E83,'Prix Matiere'!$A$4:$J$65,10))</f>
        <v>18.969072164948454</v>
      </c>
      <c r="M83" s="71">
        <f t="shared" si="33"/>
        <v>0</v>
      </c>
      <c r="N83" s="3">
        <f>IF(J83=0,0,4+(11*J83))</f>
        <v>0</v>
      </c>
      <c r="O83" s="71">
        <f t="shared" si="34"/>
        <v>0</v>
      </c>
      <c r="P83" s="254">
        <f>IF(J83=0,0,J83*VLOOKUP(E83,'Prix Matiere'!$A$4:$L$60,12))</f>
        <v>0</v>
      </c>
      <c r="Q83" s="90">
        <f>IF(J83=0,0,P83*VLOOKUP(E83,'Prix Matiere'!$A$4:$L$60,11))</f>
        <v>0</v>
      </c>
      <c r="R83" s="332" t="s">
        <v>75</v>
      </c>
      <c r="S83" s="333">
        <f>SUM($O$82:$O$88)</f>
        <v>0</v>
      </c>
      <c r="T83" s="334">
        <f>AC81</f>
        <v>0</v>
      </c>
      <c r="U83" s="2"/>
      <c r="V83" s="2"/>
      <c r="W83" s="2"/>
      <c r="X83" s="2"/>
      <c r="Y83" s="2"/>
      <c r="Z83" s="2"/>
    </row>
    <row r="84" spans="1:26" ht="18" hidden="1" customHeight="1" x14ac:dyDescent="0.35">
      <c r="A84" s="2"/>
      <c r="B84" s="335" t="str">
        <f t="shared" ref="B84:B85" si="35">E84</f>
        <v>Peuplier 15 mm</v>
      </c>
      <c r="C84" s="45">
        <f>IF(C82=0,0,C82)</f>
        <v>0</v>
      </c>
      <c r="D84" s="45">
        <f>IF(C84=0,0,25)</f>
        <v>0</v>
      </c>
      <c r="E84" s="85" t="str">
        <f t="shared" ref="E84:E85" si="36">"Peuplier 15 mm"</f>
        <v>Peuplier 15 mm</v>
      </c>
      <c r="F84" s="175">
        <f t="shared" ref="F84:F85" si="37">IF(C84=0,0,2)</f>
        <v>0</v>
      </c>
      <c r="G84" s="2"/>
      <c r="H84" s="2"/>
      <c r="I84" s="2"/>
      <c r="J84" s="89">
        <f t="shared" si="31"/>
        <v>0</v>
      </c>
      <c r="K84" s="89">
        <f t="shared" si="32"/>
        <v>0</v>
      </c>
      <c r="L84" s="71">
        <f>IF(E84=0,0,VLOOKUP(E84,'Prix Matiere'!$A$4:$J$65,10))</f>
        <v>16.895876288659796</v>
      </c>
      <c r="M84" s="71">
        <f t="shared" si="33"/>
        <v>0</v>
      </c>
      <c r="N84" s="3">
        <f t="shared" ref="N84:N86" si="38">IF(C84=0,0,(6.0924*J84)+10)</f>
        <v>0</v>
      </c>
      <c r="O84" s="71">
        <f t="shared" si="34"/>
        <v>0</v>
      </c>
      <c r="P84" s="254">
        <f>IF(J84=0,0,J84*VLOOKUP(E84,'Prix Matiere'!$A$4:$L$60,12))</f>
        <v>0</v>
      </c>
      <c r="Q84" s="90">
        <f>IF(J84=0,0,P84*VLOOKUP(E84,'Prix Matiere'!$A$4:$L$60,11))</f>
        <v>0</v>
      </c>
      <c r="R84" s="332" t="s">
        <v>77</v>
      </c>
      <c r="S84" s="333">
        <f>((S82+S83)/0.78)-(S82+S83)</f>
        <v>0</v>
      </c>
      <c r="T84" s="336"/>
      <c r="U84" s="2"/>
      <c r="V84" s="2"/>
      <c r="W84" s="2"/>
      <c r="X84" s="2"/>
      <c r="Y84" s="2"/>
      <c r="Z84" s="2"/>
    </row>
    <row r="85" spans="1:26" ht="18" hidden="1" customHeight="1" x14ac:dyDescent="0.35">
      <c r="A85" s="2"/>
      <c r="B85" s="335" t="str">
        <f t="shared" si="35"/>
        <v>Peuplier 15 mm</v>
      </c>
      <c r="C85" s="45">
        <f>IF(C84=0,0,L33-2*D84)</f>
        <v>0</v>
      </c>
      <c r="D85" s="45">
        <f>D84</f>
        <v>0</v>
      </c>
      <c r="E85" s="85" t="str">
        <f t="shared" si="36"/>
        <v>Peuplier 15 mm</v>
      </c>
      <c r="F85" s="175">
        <f t="shared" si="37"/>
        <v>0</v>
      </c>
      <c r="G85" s="2"/>
      <c r="H85" s="2"/>
      <c r="I85" s="2"/>
      <c r="J85" s="89">
        <f t="shared" si="31"/>
        <v>0</v>
      </c>
      <c r="K85" s="89">
        <f t="shared" si="32"/>
        <v>0</v>
      </c>
      <c r="L85" s="71">
        <f>IF(E85=0,0,VLOOKUP(E85,'Prix Matiere'!$A$4:$J$65,10))</f>
        <v>16.895876288659796</v>
      </c>
      <c r="M85" s="71">
        <f t="shared" si="33"/>
        <v>0</v>
      </c>
      <c r="N85" s="3">
        <f t="shared" si="38"/>
        <v>0</v>
      </c>
      <c r="O85" s="71">
        <f t="shared" si="34"/>
        <v>0</v>
      </c>
      <c r="P85" s="254">
        <f>IF(J85=0,0,J85*VLOOKUP(E85,'Prix Matiere'!$A$4:$L$60,12))</f>
        <v>0</v>
      </c>
      <c r="Q85" s="90">
        <f>IF(J85=0,0,P85*VLOOKUP(E85,'Prix Matiere'!$A$4:$L$60,11))</f>
        <v>0</v>
      </c>
      <c r="R85" s="332" t="s">
        <v>79</v>
      </c>
      <c r="S85" s="333">
        <f>SUM(S82:S84)</f>
        <v>0</v>
      </c>
      <c r="T85" s="336"/>
      <c r="U85" s="2"/>
      <c r="V85" s="2"/>
      <c r="W85" s="2"/>
      <c r="X85" s="2"/>
      <c r="Y85" s="2"/>
      <c r="Z85" s="2"/>
    </row>
    <row r="86" spans="1:26" ht="18" hidden="1" customHeight="1" x14ac:dyDescent="0.35">
      <c r="A86" s="2"/>
      <c r="B86" s="178" t="s">
        <v>192</v>
      </c>
      <c r="C86" s="45">
        <f>IF(C82=0,0,45)</f>
        <v>0</v>
      </c>
      <c r="D86" s="45">
        <f>IF(C86=0,0,45)</f>
        <v>0</v>
      </c>
      <c r="E86" s="85" t="s">
        <v>10</v>
      </c>
      <c r="F86" s="175">
        <f>IF(C86=0,0,4)</f>
        <v>0</v>
      </c>
      <c r="G86" s="2"/>
      <c r="H86" s="2"/>
      <c r="I86" s="2"/>
      <c r="J86" s="89">
        <f t="shared" si="31"/>
        <v>0</v>
      </c>
      <c r="K86" s="89">
        <f t="shared" si="32"/>
        <v>0</v>
      </c>
      <c r="L86" s="71">
        <f>IF(E86=0,0,VLOOKUP(E86,'Prix Matiere'!$A$4:$J$65,10))</f>
        <v>16.895876288659796</v>
      </c>
      <c r="M86" s="71">
        <f t="shared" si="33"/>
        <v>0</v>
      </c>
      <c r="N86" s="3">
        <f t="shared" si="38"/>
        <v>0</v>
      </c>
      <c r="O86" s="71">
        <f t="shared" si="34"/>
        <v>0</v>
      </c>
      <c r="P86" s="254">
        <f>IF(J86=0,0,J86*VLOOKUP(E86,'Prix Matiere'!$A$4:$L$60,12))</f>
        <v>0</v>
      </c>
      <c r="Q86" s="90">
        <f>IF(J86=0,0,P86*VLOOKUP(E86,'Prix Matiere'!$A$4:$L$60,11))</f>
        <v>0</v>
      </c>
      <c r="R86" s="332" t="s">
        <v>81</v>
      </c>
      <c r="S86" s="333">
        <f>(S85/(1-0.15))-S85</f>
        <v>0</v>
      </c>
      <c r="T86" s="336"/>
      <c r="U86" s="2"/>
      <c r="V86" s="2"/>
      <c r="W86" s="2"/>
      <c r="X86" s="2"/>
      <c r="Y86" s="2"/>
      <c r="Z86" s="2"/>
    </row>
    <row r="87" spans="1:26" ht="18" hidden="1" customHeight="1" x14ac:dyDescent="0.35">
      <c r="A87" s="2"/>
      <c r="B87" s="178" t="str">
        <f>G33</f>
        <v>Mrt Ouvert</v>
      </c>
      <c r="C87" s="45">
        <f>IF(B87=0,0,IF(B87="Mrt Ouvert",0,J33))</f>
        <v>0</v>
      </c>
      <c r="D87" s="45">
        <f>IF(B87=0,0,IF(B87="Mrt Ouvert",0,L33))</f>
        <v>0</v>
      </c>
      <c r="E87" s="85">
        <f>VLOOKUP(G33,$A$170:$C$174,2)</f>
        <v>0</v>
      </c>
      <c r="F87" s="175">
        <f t="shared" ref="F87:F88" si="39">IF(C87=0,0,1)</f>
        <v>0</v>
      </c>
      <c r="G87" s="2"/>
      <c r="H87" s="2"/>
      <c r="I87" s="2"/>
      <c r="J87" s="89">
        <f t="shared" si="31"/>
        <v>0</v>
      </c>
      <c r="K87" s="89">
        <f t="shared" si="32"/>
        <v>0</v>
      </c>
      <c r="L87" s="71">
        <f>IF(E87=0,0,VLOOKUP(E87,'Prix Matiere'!$A$4:$J$65,10))</f>
        <v>0</v>
      </c>
      <c r="M87" s="71">
        <f t="shared" si="33"/>
        <v>0</v>
      </c>
      <c r="N87" s="3">
        <f t="shared" ref="N87:N88" si="40">IF(C87=0,0,1+(11*J87))</f>
        <v>0</v>
      </c>
      <c r="O87" s="71">
        <f t="shared" si="34"/>
        <v>0</v>
      </c>
      <c r="P87" s="254">
        <f>IF(J87=0,0,J87*VLOOKUP(E87,'Prix Matiere'!$A$4:$L$60,12))</f>
        <v>0</v>
      </c>
      <c r="Q87" s="90">
        <f>IF(J87=0,0,P87*VLOOKUP(E87,'Prix Matiere'!$A$4:$L$60,11))</f>
        <v>0</v>
      </c>
      <c r="R87" s="332"/>
      <c r="S87" s="333"/>
      <c r="T87" s="336"/>
      <c r="U87" s="2"/>
      <c r="V87" s="2"/>
      <c r="W87" s="2"/>
      <c r="X87" s="2"/>
      <c r="Y87" s="2"/>
      <c r="Z87" s="2"/>
    </row>
    <row r="88" spans="1:26" ht="18" hidden="1" customHeight="1" x14ac:dyDescent="0.35">
      <c r="A88" s="2"/>
      <c r="B88" s="261" t="str">
        <f>F33</f>
        <v>Mrt Ouvert</v>
      </c>
      <c r="C88" s="262">
        <f>IF(B88=0,0,IF(B88="Mrt Ouvert",0,J33))</f>
        <v>0</v>
      </c>
      <c r="D88" s="262">
        <f>IF(B88=0,0,IF(B88="Mrt Ouvert",0,L33))</f>
        <v>0</v>
      </c>
      <c r="E88" s="263">
        <f>VLOOKUP($F$33,$A$170:$C$174,2)</f>
        <v>0</v>
      </c>
      <c r="F88" s="184">
        <f t="shared" si="39"/>
        <v>0</v>
      </c>
      <c r="G88" s="2"/>
      <c r="H88" s="2"/>
      <c r="I88" s="2"/>
      <c r="J88" s="89">
        <f t="shared" si="31"/>
        <v>0</v>
      </c>
      <c r="K88" s="89">
        <f t="shared" si="32"/>
        <v>0</v>
      </c>
      <c r="L88" s="71">
        <f>IF(E88=0,0,VLOOKUP(E88,'Prix Matiere'!$A$4:$J$65,10))</f>
        <v>0</v>
      </c>
      <c r="M88" s="71">
        <f t="shared" si="33"/>
        <v>0</v>
      </c>
      <c r="N88" s="3">
        <f t="shared" si="40"/>
        <v>0</v>
      </c>
      <c r="O88" s="71">
        <f t="shared" si="34"/>
        <v>0</v>
      </c>
      <c r="P88" s="254">
        <f>IF(J88=0,0,J88*VLOOKUP(E88,'Prix Matiere'!$A$4:$L$60,12))</f>
        <v>0</v>
      </c>
      <c r="Q88" s="90">
        <f>IF(J88=0,0,P88*VLOOKUP(E88,'Prix Matiere'!$A$4:$L$60,11))</f>
        <v>0</v>
      </c>
      <c r="R88" s="337" t="s">
        <v>84</v>
      </c>
      <c r="S88" s="338">
        <f>SUM(S85:S86)</f>
        <v>0</v>
      </c>
      <c r="T88" s="339"/>
      <c r="U88" s="2"/>
      <c r="V88" s="2"/>
      <c r="W88" s="2"/>
      <c r="X88" s="2"/>
      <c r="Y88" s="2"/>
      <c r="Z88" s="2"/>
    </row>
    <row r="89" spans="1:26" ht="18" hidden="1" customHeight="1" x14ac:dyDescent="0.3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71"/>
      <c r="M89" s="71"/>
      <c r="N89" s="3"/>
      <c r="O89" s="71"/>
      <c r="P89" s="254">
        <f>IF(J89=0,0,J89*VLOOKUP(E89,'Prix Matiere'!$A$4:$L$60,12))</f>
        <v>0</v>
      </c>
      <c r="Q89" s="90">
        <f>IF(J89=0,0,P89*VLOOKUP(E89,'Prix Matiere'!$A$4:$L$60,11))</f>
        <v>0</v>
      </c>
      <c r="R89" s="2"/>
      <c r="S89" s="2"/>
      <c r="T89" s="2"/>
      <c r="U89" s="2"/>
      <c r="V89" s="2"/>
      <c r="W89" s="2"/>
      <c r="X89" s="2"/>
      <c r="Y89" s="2"/>
      <c r="Z89" s="2"/>
    </row>
    <row r="90" spans="1:26" ht="18" hidden="1" customHeight="1" x14ac:dyDescent="0.35">
      <c r="A90" s="19" t="s">
        <v>62</v>
      </c>
      <c r="B90" s="45" t="s">
        <v>63</v>
      </c>
      <c r="C90" s="45">
        <f>IF(F90=0,0,C39)</f>
        <v>0</v>
      </c>
      <c r="D90" s="45">
        <f>IF(F90=0,0,E94+VLOOKUP($C$17,A146:P152,5))</f>
        <v>0</v>
      </c>
      <c r="E90" s="34">
        <f>VLOOKUP($C$17,A146:P152,6)</f>
        <v>0</v>
      </c>
      <c r="F90" s="45">
        <f>VLOOKUP($C$17,A146:P152,7)</f>
        <v>0</v>
      </c>
      <c r="G90" s="2"/>
      <c r="H90" s="2"/>
      <c r="I90" s="2"/>
      <c r="J90" s="2">
        <f t="shared" ref="J90:J92" si="41">IF(C90=0,0,(C90/100)*(D90/100)*F90)</f>
        <v>0</v>
      </c>
      <c r="K90" s="2">
        <f t="shared" ref="K90:K92" si="42">J90/0.8</f>
        <v>0</v>
      </c>
      <c r="L90" s="71">
        <f>IF(E90=0,0,VLOOKUP(E90,'Prix Matiere'!$A$4:$J$65,10))</f>
        <v>0</v>
      </c>
      <c r="M90" s="71">
        <f t="shared" ref="M90:M92" si="43">L90*K90</f>
        <v>0</v>
      </c>
      <c r="N90" s="3">
        <f t="shared" ref="N90:N92" si="44">IF(J90=0,0,(4.7283*J90)+3)</f>
        <v>0</v>
      </c>
      <c r="O90" s="71">
        <f>N90*MinuteMO</f>
        <v>0</v>
      </c>
      <c r="P90" s="254">
        <f>IF(J90=0,0,J90*VLOOKUP(E90,'Prix Matiere'!$A$4:$L$60,12))</f>
        <v>0</v>
      </c>
      <c r="Q90" s="90">
        <f>IF(J90=0,0,P90*VLOOKUP(E90,'Prix Matiere'!$A$4:$L$60,11))</f>
        <v>0</v>
      </c>
      <c r="R90" s="2"/>
      <c r="S90" s="2"/>
      <c r="T90" s="2"/>
      <c r="U90" s="2"/>
      <c r="V90" s="2"/>
      <c r="W90" s="2"/>
      <c r="X90" s="2"/>
      <c r="Y90" s="2"/>
      <c r="Z90" s="2"/>
    </row>
    <row r="91" spans="1:26" ht="18" hidden="1" customHeight="1" x14ac:dyDescent="0.35">
      <c r="A91" s="2"/>
      <c r="B91" s="45" t="s">
        <v>54</v>
      </c>
      <c r="C91" s="45">
        <f>IF(F91=0,0,C39)</f>
        <v>0</v>
      </c>
      <c r="D91" s="45">
        <f>IF(F91=0,0,D94)</f>
        <v>0</v>
      </c>
      <c r="E91" s="34">
        <f>IF($C$17="Aucun",0,VLOOKUP($C$17,A146:P152,6))</f>
        <v>0</v>
      </c>
      <c r="F91" s="45">
        <f>VLOOKUP($C$17,A146:P152,7)</f>
        <v>0</v>
      </c>
      <c r="G91" s="2"/>
      <c r="H91" s="2"/>
      <c r="I91" s="2"/>
      <c r="J91" s="2">
        <f t="shared" si="41"/>
        <v>0</v>
      </c>
      <c r="K91" s="2">
        <f t="shared" si="42"/>
        <v>0</v>
      </c>
      <c r="L91" s="71">
        <f>IF(E91=0,0,VLOOKUP(E91,'Prix Matiere'!$A$4:$J$65,10))</f>
        <v>0</v>
      </c>
      <c r="M91" s="71">
        <f t="shared" si="43"/>
        <v>0</v>
      </c>
      <c r="N91" s="3">
        <f t="shared" si="44"/>
        <v>0</v>
      </c>
      <c r="O91" s="71">
        <f>N91*MinuteMO</f>
        <v>0</v>
      </c>
      <c r="P91" s="254">
        <f>IF(J91=0,0,J91*VLOOKUP(E91,'Prix Matiere'!$A$4:$L$60,12))</f>
        <v>0</v>
      </c>
      <c r="Q91" s="90">
        <f>IF(J91=0,0,P91*VLOOKUP(E91,'Prix Matiere'!$A$4:$L$60,11))</f>
        <v>0</v>
      </c>
      <c r="R91" s="2"/>
      <c r="S91" s="2"/>
      <c r="T91" s="2"/>
      <c r="U91" s="2"/>
      <c r="V91" s="2"/>
      <c r="W91" s="2"/>
      <c r="X91" s="2"/>
      <c r="Y91" s="2"/>
      <c r="Z91" s="2"/>
    </row>
    <row r="92" spans="1:26" ht="18" hidden="1" customHeight="1" x14ac:dyDescent="0.35">
      <c r="A92" s="2"/>
      <c r="B92" s="45" t="s">
        <v>55</v>
      </c>
      <c r="C92" s="45">
        <f>IF(F92=0,0,E94)</f>
        <v>0</v>
      </c>
      <c r="D92" s="45">
        <f>IF(F92=0,0,D94)</f>
        <v>0</v>
      </c>
      <c r="E92" s="34">
        <f>IF($C$17="Aucun",0,VLOOKUP($C$17,A146:P152,6))</f>
        <v>0</v>
      </c>
      <c r="F92" s="45">
        <f>VLOOKUP($C$17,A146:P152,7)</f>
        <v>0</v>
      </c>
      <c r="G92" s="2"/>
      <c r="H92" s="2"/>
      <c r="I92" s="2"/>
      <c r="J92" s="2">
        <f t="shared" si="41"/>
        <v>0</v>
      </c>
      <c r="K92" s="2">
        <f t="shared" si="42"/>
        <v>0</v>
      </c>
      <c r="L92" s="71">
        <f>IF(E92=0,0,VLOOKUP(E92,'Prix Matiere'!$A$4:$J$65,10))</f>
        <v>0</v>
      </c>
      <c r="M92" s="71">
        <f t="shared" si="43"/>
        <v>0</v>
      </c>
      <c r="N92" s="3">
        <f t="shared" si="44"/>
        <v>0</v>
      </c>
      <c r="O92" s="71">
        <f>N92*MinuteMO</f>
        <v>0</v>
      </c>
      <c r="P92" s="254">
        <f>IF(J92=0,0,J92*VLOOKUP(E92,'Prix Matiere'!$A$4:$L$60,12))</f>
        <v>0</v>
      </c>
      <c r="Q92" s="90">
        <f>IF(J92=0,0,P92*VLOOKUP(E92,'Prix Matiere'!$A$4:$L$60,11))</f>
        <v>0</v>
      </c>
      <c r="R92" s="2"/>
      <c r="S92" s="2"/>
      <c r="T92" s="2"/>
      <c r="U92" s="2"/>
      <c r="V92" s="2"/>
      <c r="W92" s="2"/>
      <c r="X92" s="2"/>
      <c r="Y92" s="2"/>
      <c r="Z92" s="2"/>
    </row>
    <row r="93" spans="1:26" ht="18" hidden="1" customHeight="1" x14ac:dyDescent="0.3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71"/>
      <c r="M93" s="71"/>
      <c r="N93" s="3"/>
      <c r="O93" s="71"/>
      <c r="P93" s="254">
        <f>IF(J93=0,0,J93*VLOOKUP(E93,'Prix Matiere'!$A$4:$L$60,12))</f>
        <v>0</v>
      </c>
      <c r="Q93" s="90">
        <f>IF(J93=0,0,P93*VLOOKUP(E93,'Prix Matiere'!$A$4:$L$60,11))</f>
        <v>0</v>
      </c>
      <c r="R93" s="2"/>
      <c r="S93" s="2"/>
      <c r="T93" s="2"/>
      <c r="U93" s="2"/>
      <c r="V93" s="2"/>
      <c r="W93" s="2"/>
      <c r="X93" s="2"/>
      <c r="Y93" s="2"/>
      <c r="Z93" s="2"/>
    </row>
    <row r="94" spans="1:26" ht="18" hidden="1" customHeight="1" x14ac:dyDescent="0.35">
      <c r="A94" s="2"/>
      <c r="B94" s="2" t="s">
        <v>64</v>
      </c>
      <c r="C94" s="320">
        <f>C39-VLOOKUP(C17,A146:P152,5)</f>
        <v>239.89999999999998</v>
      </c>
      <c r="D94" s="320">
        <f>D39-VLOOKUP(C17,A146:P152,5)</f>
        <v>19.899999999999999</v>
      </c>
      <c r="E94" s="320">
        <f>E39-VLOOKUP(C17,A146:P152,5)</f>
        <v>189.2</v>
      </c>
      <c r="F94" s="2"/>
      <c r="G94" s="2"/>
      <c r="H94" s="2"/>
      <c r="I94" s="2"/>
      <c r="J94" s="2"/>
      <c r="K94" s="2"/>
      <c r="L94" s="71"/>
      <c r="M94" s="71"/>
      <c r="N94" s="3"/>
      <c r="O94" s="71"/>
      <c r="P94" s="254">
        <f>IF(J94=0,0,J94*VLOOKUP(E94,'Prix Matiere'!$A$4:$L$60,12))</f>
        <v>0</v>
      </c>
      <c r="Q94" s="90">
        <f>IF(J94=0,0,P94*VLOOKUP(E94,'Prix Matiere'!$A$4:$L$60,11))</f>
        <v>0</v>
      </c>
      <c r="R94" s="2"/>
      <c r="S94" s="2"/>
      <c r="T94" s="2"/>
      <c r="U94" s="2"/>
      <c r="V94" s="2"/>
      <c r="W94" s="2"/>
      <c r="X94" s="2"/>
      <c r="Y94" s="2"/>
      <c r="Z94" s="2"/>
    </row>
    <row r="95" spans="1:26" ht="18" hidden="1" customHeight="1" x14ac:dyDescent="0.3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71"/>
      <c r="M95" s="71"/>
      <c r="N95" s="3"/>
      <c r="O95" s="71"/>
      <c r="P95" s="254">
        <f>IF(J95=0,0,J95*VLOOKUP(E95,'Prix Matiere'!$A$4:$L$60,12))</f>
        <v>0</v>
      </c>
      <c r="Q95" s="90">
        <f>IF(J95=0,0,P95*VLOOKUP(E95,'Prix Matiere'!$A$4:$L$60,11))</f>
        <v>0</v>
      </c>
      <c r="R95" s="2"/>
      <c r="S95" s="2"/>
      <c r="T95" s="2"/>
      <c r="U95" s="2"/>
      <c r="V95" s="2"/>
      <c r="W95" s="2"/>
      <c r="X95" s="2"/>
      <c r="Y95" s="2"/>
      <c r="Z95" s="2"/>
    </row>
    <row r="96" spans="1:26" ht="18" hidden="1" customHeight="1" x14ac:dyDescent="0.35">
      <c r="A96" s="19" t="s">
        <v>65</v>
      </c>
      <c r="B96" s="45" t="s">
        <v>63</v>
      </c>
      <c r="C96" s="331">
        <f>IF(F96=0,0,C100+VLOOKUP(C17,A146:P152,8))-0.5</f>
        <v>239.39999999999998</v>
      </c>
      <c r="D96" s="331">
        <f>IF(F96=0,0,E100+VLOOKUP(C17,A146:P152,8))-0.5</f>
        <v>188.7</v>
      </c>
      <c r="E96" s="34" t="str">
        <f>VLOOKUP(C17,A146:P152,9)</f>
        <v>Styro 30 mm</v>
      </c>
      <c r="F96" s="45">
        <f>VLOOKUP($C$17,A146:P152,10)</f>
        <v>2</v>
      </c>
      <c r="G96" s="2"/>
      <c r="H96" s="2"/>
      <c r="I96" s="2"/>
      <c r="J96" s="2">
        <f t="shared" ref="J96:J98" si="45">IF(C96=0,0,(C96/100)*(D96/100)*F96)</f>
        <v>9.0349559999999975</v>
      </c>
      <c r="K96" s="2">
        <f t="shared" ref="K96:K98" si="46">J96/0.8</f>
        <v>11.293694999999996</v>
      </c>
      <c r="L96" s="71">
        <f>IF(E96=0,0,VLOOKUP(E96,'Prix Matiere'!A4:J60,10))</f>
        <v>7.0144329896907225</v>
      </c>
      <c r="M96" s="71">
        <f t="shared" ref="M96:M98" si="47">L96*K96</f>
        <v>79.218866783505135</v>
      </c>
      <c r="N96" s="3">
        <f t="shared" ref="N96:N98" si="48">IF(J96=0,0,(3.94*J96)+5)</f>
        <v>40.597726639999991</v>
      </c>
      <c r="O96" s="71">
        <f>N96*MinuteMO</f>
        <v>34.508067643999993</v>
      </c>
      <c r="P96" s="254">
        <f>IF(J96=0,0,J96*VLOOKUP(E96,'Prix Matiere'!$A$4:$L$60,12))</f>
        <v>9.2156551199999974</v>
      </c>
      <c r="Q96" s="90">
        <f>IF(J96=0,0,P96*VLOOKUP(E96,'Prix Matiere'!$A$4:$L$60,11))</f>
        <v>27.186182603999995</v>
      </c>
      <c r="R96" s="2"/>
      <c r="S96" s="2"/>
      <c r="T96" s="2"/>
      <c r="U96" s="2"/>
      <c r="V96" s="2"/>
      <c r="W96" s="2"/>
      <c r="X96" s="2"/>
      <c r="Y96" s="2"/>
      <c r="Z96" s="2"/>
    </row>
    <row r="97" spans="1:26" ht="18" hidden="1" customHeight="1" x14ac:dyDescent="0.35">
      <c r="A97" s="2"/>
      <c r="B97" s="45" t="s">
        <v>54</v>
      </c>
      <c r="C97" s="331">
        <f>IF(F97=0,0,C100+VLOOKUP(C17,A146:P152,8))</f>
        <v>239.89999999999998</v>
      </c>
      <c r="D97" s="331">
        <f>IF(F97=0,0,D100)</f>
        <v>13.899999999999999</v>
      </c>
      <c r="E97" s="34" t="str">
        <f>VLOOKUP(C17,A146:P152,9)</f>
        <v>Styro 30 mm</v>
      </c>
      <c r="F97" s="45">
        <f>VLOOKUP($C$17,A146:P152,10)</f>
        <v>2</v>
      </c>
      <c r="G97" s="2"/>
      <c r="H97" s="2"/>
      <c r="I97" s="2"/>
      <c r="J97" s="2">
        <f t="shared" si="45"/>
        <v>0.66692199999999979</v>
      </c>
      <c r="K97" s="2">
        <f t="shared" si="46"/>
        <v>0.83365249999999969</v>
      </c>
      <c r="L97" s="71">
        <f>IF(E97=0,0,VLOOKUP(E97,'Prix Matiere'!A5:J61,10))</f>
        <v>7.0144329896907225</v>
      </c>
      <c r="M97" s="71">
        <f t="shared" si="47"/>
        <v>5.8475995979381432</v>
      </c>
      <c r="N97" s="3">
        <f t="shared" si="48"/>
        <v>7.627672679999999</v>
      </c>
      <c r="O97" s="71">
        <f>N97*MinuteMO</f>
        <v>6.4835217779999992</v>
      </c>
      <c r="P97" s="254">
        <f>IF(J97=0,0,J97*VLOOKUP(E97,'Prix Matiere'!$A$4:$L$60,12))</f>
        <v>0.68026043999999986</v>
      </c>
      <c r="Q97" s="90">
        <f>IF(J97=0,0,P97*VLOOKUP(E97,'Prix Matiere'!$A$4:$L$60,11))</f>
        <v>2.0067682979999999</v>
      </c>
      <c r="R97" s="2"/>
      <c r="S97" s="2"/>
      <c r="T97" s="2"/>
      <c r="U97" s="2"/>
      <c r="V97" s="2"/>
      <c r="W97" s="2"/>
      <c r="X97" s="2"/>
      <c r="Y97" s="2"/>
      <c r="Z97" s="2"/>
    </row>
    <row r="98" spans="1:26" ht="18" hidden="1" customHeight="1" x14ac:dyDescent="0.35">
      <c r="A98" s="2"/>
      <c r="B98" s="45" t="s">
        <v>55</v>
      </c>
      <c r="C98" s="331">
        <f>IF(F98=0,0,E100)</f>
        <v>183.2</v>
      </c>
      <c r="D98" s="331">
        <f>IF(F98=0,0,D100)</f>
        <v>13.899999999999999</v>
      </c>
      <c r="E98" s="34" t="str">
        <f>VLOOKUP(C17,A146:P152,9)</f>
        <v>Styro 30 mm</v>
      </c>
      <c r="F98" s="45">
        <f>VLOOKUP($C$17,A146:P152,10)</f>
        <v>2</v>
      </c>
      <c r="G98" s="2"/>
      <c r="H98" s="2"/>
      <c r="I98" s="2"/>
      <c r="J98" s="2">
        <f t="shared" si="45"/>
        <v>0.50929599999999986</v>
      </c>
      <c r="K98" s="2">
        <f t="shared" si="46"/>
        <v>0.63661999999999974</v>
      </c>
      <c r="L98" s="71">
        <f>IF(E98=0,0,VLOOKUP(E98,'Prix Matiere'!A6:J62,10))</f>
        <v>7.0144329896907225</v>
      </c>
      <c r="M98" s="71">
        <f t="shared" si="47"/>
        <v>4.4655283298969062</v>
      </c>
      <c r="N98" s="3">
        <f t="shared" si="48"/>
        <v>7.0066262399999992</v>
      </c>
      <c r="O98" s="71">
        <f>N98*MinuteMO</f>
        <v>5.955632303999999</v>
      </c>
      <c r="P98" s="254">
        <f>IF(J98=0,0,J98*VLOOKUP(E98,'Prix Matiere'!$A$4:$L$60,12))</f>
        <v>0.51948191999999982</v>
      </c>
      <c r="Q98" s="90">
        <f>IF(J98=0,0,P98*VLOOKUP(E98,'Prix Matiere'!$A$4:$L$60,11))</f>
        <v>1.5324716639999996</v>
      </c>
      <c r="R98" s="2"/>
      <c r="S98" s="2"/>
      <c r="T98" s="2"/>
      <c r="U98" s="2"/>
      <c r="V98" s="2"/>
      <c r="W98" s="2"/>
      <c r="X98" s="2"/>
      <c r="Y98" s="2"/>
      <c r="Z98" s="2"/>
    </row>
    <row r="99" spans="1:26" ht="18" hidden="1" customHeight="1" x14ac:dyDescent="0.3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71"/>
      <c r="M99" s="71"/>
      <c r="N99" s="3"/>
      <c r="O99" s="71"/>
      <c r="P99" s="254">
        <f>IF(J99=0,0,J99*VLOOKUP(E99,'Prix Matiere'!$A$4:$L$60,12))</f>
        <v>0</v>
      </c>
      <c r="Q99" s="90">
        <f>IF(J99=0,0,P99*VLOOKUP(E99,'Prix Matiere'!$A$4:$L$60,11))</f>
        <v>0</v>
      </c>
      <c r="R99" s="2"/>
      <c r="S99" s="2"/>
      <c r="T99" s="2"/>
      <c r="U99" s="2"/>
      <c r="V99" s="2"/>
      <c r="W99" s="2"/>
      <c r="X99" s="2"/>
      <c r="Y99" s="2"/>
      <c r="Z99" s="2"/>
    </row>
    <row r="100" spans="1:26" ht="18" hidden="1" customHeight="1" x14ac:dyDescent="0.35">
      <c r="A100" s="2"/>
      <c r="B100" s="2" t="s">
        <v>66</v>
      </c>
      <c r="C100" s="320">
        <f>C94-VLOOKUP(C17,A146:P152,8)</f>
        <v>233.89999999999998</v>
      </c>
      <c r="D100" s="320">
        <f>D94-VLOOKUP(C17,A146:P152,8)</f>
        <v>13.899999999999999</v>
      </c>
      <c r="E100" s="320">
        <f>E94-VLOOKUP(C17,A146:P152,8)</f>
        <v>183.2</v>
      </c>
      <c r="F100" s="2"/>
      <c r="G100" s="2"/>
      <c r="H100" s="2"/>
      <c r="I100" s="2"/>
      <c r="J100" s="2"/>
      <c r="K100" s="2"/>
      <c r="L100" s="71"/>
      <c r="M100" s="71"/>
      <c r="N100" s="3"/>
      <c r="O100" s="71"/>
      <c r="P100" s="254">
        <f>IF(J100=0,0,J100*VLOOKUP(E100,'Prix Matiere'!$A$4:$L$60,12))</f>
        <v>0</v>
      </c>
      <c r="Q100" s="90">
        <f>IF(J100=0,0,P100*VLOOKUP(E100,'Prix Matiere'!$A$4:$L$60,11))</f>
        <v>0</v>
      </c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8" hidden="1" customHeight="1" x14ac:dyDescent="0.35">
      <c r="A101" s="2"/>
      <c r="B101" s="2"/>
      <c r="C101" s="2"/>
      <c r="D101" s="2"/>
      <c r="E101" s="2"/>
      <c r="F101" s="2"/>
      <c r="G101" s="2"/>
      <c r="H101" s="2"/>
      <c r="I101" s="2"/>
      <c r="J101" s="2">
        <f t="shared" ref="J101:J119" si="49">IF(C101=0,0,(C101/100)*(D101/100)*F101)</f>
        <v>0</v>
      </c>
      <c r="K101" s="2">
        <f t="shared" ref="K101:K119" si="50">J101/0.8</f>
        <v>0</v>
      </c>
      <c r="L101" s="71"/>
      <c r="M101" s="71"/>
      <c r="N101" s="3"/>
      <c r="O101" s="71"/>
      <c r="P101" s="254">
        <f>IF(J101=0,0,J101*VLOOKUP(E101,'Prix Matiere'!$A$4:$L$60,12))</f>
        <v>0</v>
      </c>
      <c r="Q101" s="90">
        <f>IF(J101=0,0,P101*VLOOKUP(E101,'Prix Matiere'!$A$4:$L$60,11))</f>
        <v>0</v>
      </c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8" hidden="1" customHeight="1" x14ac:dyDescent="0.35">
      <c r="A102" s="19" t="s">
        <v>67</v>
      </c>
      <c r="B102" s="45" t="s">
        <v>63</v>
      </c>
      <c r="C102" s="45">
        <f>IF(F102=0,0,C105)</f>
        <v>0</v>
      </c>
      <c r="D102" s="45">
        <f>IF(F102=0,0,10)</f>
        <v>0</v>
      </c>
      <c r="E102" s="34">
        <f>VLOOKUP(C17,A146:P152,12)</f>
        <v>0</v>
      </c>
      <c r="F102" s="255">
        <f>VLOOKUP(C17,A146:P152,13)</f>
        <v>0</v>
      </c>
      <c r="G102" s="2"/>
      <c r="H102" s="2"/>
      <c r="I102" s="2"/>
      <c r="J102" s="2">
        <f t="shared" si="49"/>
        <v>0</v>
      </c>
      <c r="K102" s="2">
        <f t="shared" si="50"/>
        <v>0</v>
      </c>
      <c r="L102" s="71">
        <f>IF(E102=0,0,VLOOKUP(E102,'Prix Matiere'!$A$4:$J$65,10))</f>
        <v>0</v>
      </c>
      <c r="M102" s="71">
        <f t="shared" ref="M102:M103" si="51">L102*K102</f>
        <v>0</v>
      </c>
      <c r="N102" s="3">
        <f t="shared" ref="N102:N103" si="52">IF(J102=0,0,1+(6*J102))</f>
        <v>0</v>
      </c>
      <c r="O102" s="71">
        <f>N102*MinuteMO</f>
        <v>0</v>
      </c>
      <c r="P102" s="254">
        <f>IF(J102=0,0,J102*VLOOKUP(E102,'Prix Matiere'!$A$4:$L$60,12))</f>
        <v>0</v>
      </c>
      <c r="Q102" s="90">
        <f>IF(J102=0,0,P102*VLOOKUP(E102,'Prix Matiere'!$A$4:$L$60,11))</f>
        <v>0</v>
      </c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8" hidden="1" customHeight="1" x14ac:dyDescent="0.35">
      <c r="A103" s="2"/>
      <c r="B103" s="45" t="s">
        <v>54</v>
      </c>
      <c r="C103" s="45">
        <f>IF(F103=0,0,D100)</f>
        <v>0</v>
      </c>
      <c r="D103" s="45">
        <f>IF(F102=0,0,D102)</f>
        <v>0</v>
      </c>
      <c r="E103" s="34">
        <f>VLOOKUP(C17,A146:P152,12)</f>
        <v>0</v>
      </c>
      <c r="F103" s="45">
        <f>VLOOKUP(C17,A146:P152,13)*2</f>
        <v>0</v>
      </c>
      <c r="G103" s="2"/>
      <c r="H103" s="2"/>
      <c r="I103" s="2"/>
      <c r="J103" s="2">
        <f t="shared" si="49"/>
        <v>0</v>
      </c>
      <c r="K103" s="2">
        <f t="shared" si="50"/>
        <v>0</v>
      </c>
      <c r="L103" s="71">
        <f>IF(E103=0,0,VLOOKUP(E103,'Prix Matiere'!$A$4:$J$65,10))</f>
        <v>0</v>
      </c>
      <c r="M103" s="71">
        <f t="shared" si="51"/>
        <v>0</v>
      </c>
      <c r="N103" s="3">
        <f t="shared" si="52"/>
        <v>0</v>
      </c>
      <c r="O103" s="71">
        <f>N103*MinuteMO</f>
        <v>0</v>
      </c>
      <c r="P103" s="254">
        <f>IF(J103=0,0,J103*VLOOKUP(E103,'Prix Matiere'!$A$4:$L$60,12))</f>
        <v>0</v>
      </c>
      <c r="Q103" s="90">
        <f>IF(J103=0,0,P103*VLOOKUP(E103,'Prix Matiere'!$A$4:$L$60,11))</f>
        <v>0</v>
      </c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8" hidden="1" customHeight="1" x14ac:dyDescent="0.35">
      <c r="A104" s="2"/>
      <c r="B104" s="2"/>
      <c r="C104" s="2"/>
      <c r="D104" s="2"/>
      <c r="E104" s="2"/>
      <c r="F104" s="2"/>
      <c r="G104" s="2"/>
      <c r="H104" s="2"/>
      <c r="I104" s="2"/>
      <c r="J104" s="2">
        <f t="shared" si="49"/>
        <v>0</v>
      </c>
      <c r="K104" s="2">
        <f t="shared" si="50"/>
        <v>0</v>
      </c>
      <c r="L104" s="71"/>
      <c r="M104" s="71"/>
      <c r="N104" s="3"/>
      <c r="O104" s="71"/>
      <c r="P104" s="254">
        <f>IF(J104=0,0,J104*VLOOKUP(E104,'Prix Matiere'!$A$4:$L$60,12))</f>
        <v>0</v>
      </c>
      <c r="Q104" s="90">
        <f>IF(J104=0,0,P104*VLOOKUP(E104,'Prix Matiere'!$A$4:$L$60,11))</f>
        <v>0</v>
      </c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8" hidden="1" customHeight="1" x14ac:dyDescent="0.35">
      <c r="A105" s="2"/>
      <c r="B105" s="2" t="s">
        <v>68</v>
      </c>
      <c r="C105" s="320">
        <f>C100-VLOOKUP($C$17,A146:P152,11)</f>
        <v>233.89999999999998</v>
      </c>
      <c r="D105" s="320">
        <f>D100-VLOOKUP($C$17,A146:P152,11)</f>
        <v>13.899999999999999</v>
      </c>
      <c r="E105" s="320">
        <f>E100-VLOOKUP($C$17,A146:P152,11)</f>
        <v>183.2</v>
      </c>
      <c r="F105" s="2"/>
      <c r="G105" s="2"/>
      <c r="H105" s="2"/>
      <c r="I105" s="2"/>
      <c r="J105" s="2">
        <f t="shared" si="49"/>
        <v>0</v>
      </c>
      <c r="K105" s="2">
        <f t="shared" si="50"/>
        <v>0</v>
      </c>
      <c r="L105" s="71"/>
      <c r="M105" s="71"/>
      <c r="N105" s="3"/>
      <c r="O105" s="71"/>
      <c r="P105" s="254">
        <f>IF(J105=0,0,J105*VLOOKUP(E105,'Prix Matiere'!$A$4:$L$60,12))</f>
        <v>0</v>
      </c>
      <c r="Q105" s="90">
        <f>IF(J105=0,0,P105*VLOOKUP(E105,'Prix Matiere'!$A$4:$L$60,11))</f>
        <v>0</v>
      </c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8" hidden="1" customHeight="1" x14ac:dyDescent="0.35">
      <c r="A106" s="2"/>
      <c r="B106" s="2"/>
      <c r="C106" s="2"/>
      <c r="D106" s="2"/>
      <c r="E106" s="2"/>
      <c r="F106" s="2"/>
      <c r="G106" s="2"/>
      <c r="H106" s="2"/>
      <c r="I106" s="2"/>
      <c r="J106" s="2">
        <f t="shared" si="49"/>
        <v>0</v>
      </c>
      <c r="K106" s="2">
        <f t="shared" si="50"/>
        <v>0</v>
      </c>
      <c r="L106" s="71"/>
      <c r="M106" s="71"/>
      <c r="N106" s="3"/>
      <c r="O106" s="71"/>
      <c r="P106" s="254">
        <f>IF(J106=0,0,J106*VLOOKUP(E106,'Prix Matiere'!$A$4:$L$60,12))</f>
        <v>0</v>
      </c>
      <c r="Q106" s="90">
        <f>IF(J106=0,0,P106*VLOOKUP(E106,'Prix Matiere'!$A$4:$L$60,11))</f>
        <v>0</v>
      </c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8" hidden="1" customHeight="1" x14ac:dyDescent="0.35">
      <c r="A107" s="19" t="s">
        <v>69</v>
      </c>
      <c r="B107" s="45" t="s">
        <v>63</v>
      </c>
      <c r="C107" s="45">
        <f>IF(F107=0,0,C111+VLOOKUP($C$17,A146:P152,14))</f>
        <v>0</v>
      </c>
      <c r="D107" s="45">
        <f>IF(F107=0,0,E111+VLOOKUP($C$17,A146:P152,14))</f>
        <v>0</v>
      </c>
      <c r="E107" s="34">
        <f>VLOOKUP($C$17,A146:P152,15)</f>
        <v>0</v>
      </c>
      <c r="F107" s="255">
        <f>VLOOKUP($C$17,A146:P152,16)</f>
        <v>0</v>
      </c>
      <c r="G107" s="2"/>
      <c r="H107" s="2"/>
      <c r="I107" s="2"/>
      <c r="J107" s="2">
        <f t="shared" si="49"/>
        <v>0</v>
      </c>
      <c r="K107" s="2">
        <f t="shared" si="50"/>
        <v>0</v>
      </c>
      <c r="L107" s="71">
        <f>IF(E107=0,0,VLOOKUP(E107,'Prix Matiere'!A4:J60,10))</f>
        <v>0</v>
      </c>
      <c r="M107" s="71">
        <f t="shared" ref="M107:M109" si="53">L107*K107</f>
        <v>0</v>
      </c>
      <c r="N107" s="3">
        <f t="shared" ref="N107:N109" si="54">IF(J107=0,0,(3.94*J107)+5)</f>
        <v>0</v>
      </c>
      <c r="O107" s="71">
        <f>N107*MinuteMO</f>
        <v>0</v>
      </c>
      <c r="P107" s="254">
        <f>IF(J107=0,0,J107*VLOOKUP(E107,'Prix Matiere'!$A$4:$L$60,12))</f>
        <v>0</v>
      </c>
      <c r="Q107" s="90">
        <f>IF(J107=0,0,P107*VLOOKUP(E107,'Prix Matiere'!$A$4:$L$60,11))</f>
        <v>0</v>
      </c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8" hidden="1" customHeight="1" x14ac:dyDescent="0.35">
      <c r="A108" s="2"/>
      <c r="B108" s="45" t="s">
        <v>54</v>
      </c>
      <c r="C108" s="45">
        <f>IF(F108=0,0,C111+VLOOKUP($C$17,A146:P152,14))</f>
        <v>0</v>
      </c>
      <c r="D108" s="45">
        <f>IF(F108=0,0,D111)</f>
        <v>0</v>
      </c>
      <c r="E108" s="34">
        <f>VLOOKUP($C$17,A146:P152,15)</f>
        <v>0</v>
      </c>
      <c r="F108" s="255">
        <f>VLOOKUP($C$17,A146:P152,16)</f>
        <v>0</v>
      </c>
      <c r="G108" s="2"/>
      <c r="H108" s="2"/>
      <c r="I108" s="2"/>
      <c r="J108" s="2">
        <f t="shared" si="49"/>
        <v>0</v>
      </c>
      <c r="K108" s="2">
        <f t="shared" si="50"/>
        <v>0</v>
      </c>
      <c r="L108" s="71">
        <f>IF(E108=0,0,VLOOKUP(E108,'Prix Matiere'!A5:J61,10))</f>
        <v>0</v>
      </c>
      <c r="M108" s="71">
        <f t="shared" si="53"/>
        <v>0</v>
      </c>
      <c r="N108" s="3">
        <f t="shared" si="54"/>
        <v>0</v>
      </c>
      <c r="O108" s="71">
        <f>N108*MinuteMO</f>
        <v>0</v>
      </c>
      <c r="P108" s="254">
        <f>IF(J108=0,0,J108*VLOOKUP(E108,'Prix Matiere'!$A$4:$L$60,12))</f>
        <v>0</v>
      </c>
      <c r="Q108" s="90">
        <f>IF(J108=0,0,P108*VLOOKUP(E108,'Prix Matiere'!$A$4:$L$60,11))</f>
        <v>0</v>
      </c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8" hidden="1" customHeight="1" x14ac:dyDescent="0.35">
      <c r="A109" s="2"/>
      <c r="B109" s="45" t="s">
        <v>55</v>
      </c>
      <c r="C109" s="45">
        <f>IF(F109=0,0,E111)</f>
        <v>0</v>
      </c>
      <c r="D109" s="45">
        <f>IF(F109=0,0,D111)</f>
        <v>0</v>
      </c>
      <c r="E109" s="34">
        <f>VLOOKUP($C$17,A146:P152,15)</f>
        <v>0</v>
      </c>
      <c r="F109" s="255">
        <f>VLOOKUP($C$17,A146:P152,16)</f>
        <v>0</v>
      </c>
      <c r="G109" s="2"/>
      <c r="H109" s="2"/>
      <c r="I109" s="2"/>
      <c r="J109" s="2">
        <f t="shared" si="49"/>
        <v>0</v>
      </c>
      <c r="K109" s="2">
        <f t="shared" si="50"/>
        <v>0</v>
      </c>
      <c r="L109" s="71">
        <f>IF(E109=0,0,VLOOKUP(E109,'Prix Matiere'!A6:J62,10))</f>
        <v>0</v>
      </c>
      <c r="M109" s="71">
        <f t="shared" si="53"/>
        <v>0</v>
      </c>
      <c r="N109" s="3">
        <f t="shared" si="54"/>
        <v>0</v>
      </c>
      <c r="O109" s="71">
        <f>N109*MinuteMO</f>
        <v>0</v>
      </c>
      <c r="P109" s="254">
        <f>IF(J109=0,0,J109*VLOOKUP(E109,'Prix Matiere'!$A$4:$L$60,12))</f>
        <v>0</v>
      </c>
      <c r="Q109" s="90">
        <f>IF(J109=0,0,P109*VLOOKUP(E109,'Prix Matiere'!$A$4:$L$60,11))</f>
        <v>0</v>
      </c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8" hidden="1" customHeight="1" x14ac:dyDescent="0.35">
      <c r="A110" s="2"/>
      <c r="B110" s="2"/>
      <c r="C110" s="2"/>
      <c r="D110" s="2"/>
      <c r="E110" s="2"/>
      <c r="F110" s="2"/>
      <c r="G110" s="2"/>
      <c r="H110" s="2"/>
      <c r="I110" s="2"/>
      <c r="J110" s="2">
        <f t="shared" si="49"/>
        <v>0</v>
      </c>
      <c r="K110" s="2">
        <f t="shared" si="50"/>
        <v>0</v>
      </c>
      <c r="L110" s="71"/>
      <c r="M110" s="71"/>
      <c r="N110" s="3"/>
      <c r="O110" s="71"/>
      <c r="P110" s="254">
        <f>IF(J110=0,0,J110*VLOOKUP(E110,'Prix Matiere'!$A$4:$L$60,12))</f>
        <v>0</v>
      </c>
      <c r="Q110" s="90">
        <f>IF(J110=0,0,P110*VLOOKUP(E110,'Prix Matiere'!$A$4:$L$60,11))</f>
        <v>0</v>
      </c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8" hidden="1" customHeight="1" x14ac:dyDescent="0.35">
      <c r="A111" s="2"/>
      <c r="B111" s="2" t="s">
        <v>66</v>
      </c>
      <c r="C111" s="320">
        <f>C105-VLOOKUP($C$17,A146:P152,14)</f>
        <v>233.89999999999998</v>
      </c>
      <c r="D111" s="320">
        <f>D105-VLOOKUP($C$17,A146:P152,14)</f>
        <v>13.899999999999999</v>
      </c>
      <c r="E111" s="320">
        <f>E105-VLOOKUP($C$17,A146:P152,14)</f>
        <v>183.2</v>
      </c>
      <c r="F111" s="2"/>
      <c r="G111" s="2"/>
      <c r="H111" s="2"/>
      <c r="I111" s="2"/>
      <c r="J111" s="2">
        <f t="shared" si="49"/>
        <v>0</v>
      </c>
      <c r="K111" s="2">
        <f t="shared" si="50"/>
        <v>0</v>
      </c>
      <c r="L111" s="71"/>
      <c r="M111" s="71"/>
      <c r="N111" s="3"/>
      <c r="O111" s="71"/>
      <c r="P111" s="254">
        <f>IF(J111=0,0,J111*VLOOKUP(E111,'Prix Matiere'!$A$4:$L$60,12))</f>
        <v>0</v>
      </c>
      <c r="Q111" s="90">
        <f>IF(J111=0,0,P111*VLOOKUP(E111,'Prix Matiere'!$A$4:$L$60,11))</f>
        <v>0</v>
      </c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8" hidden="1" customHeight="1" x14ac:dyDescent="0.35">
      <c r="A112" s="2"/>
      <c r="B112" s="2"/>
      <c r="C112" s="2"/>
      <c r="D112" s="2"/>
      <c r="E112" s="2"/>
      <c r="F112" s="2"/>
      <c r="G112" s="2"/>
      <c r="H112" s="2"/>
      <c r="I112" s="2"/>
      <c r="J112" s="2">
        <f t="shared" si="49"/>
        <v>0</v>
      </c>
      <c r="K112" s="2">
        <f t="shared" si="50"/>
        <v>0</v>
      </c>
      <c r="L112" s="71"/>
      <c r="M112" s="71"/>
      <c r="N112" s="3"/>
      <c r="O112" s="71"/>
      <c r="P112" s="254">
        <f>IF(J112=0,0,J112*VLOOKUP(E112,'Prix Matiere'!$A$4:$L$60,12))</f>
        <v>0</v>
      </c>
      <c r="Q112" s="90">
        <f>IF(J112=0,0,P112*VLOOKUP(E112,'Prix Matiere'!$A$4:$L$60,11))</f>
        <v>0</v>
      </c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8" hidden="1" customHeight="1" x14ac:dyDescent="0.35">
      <c r="A113" s="19" t="s">
        <v>70</v>
      </c>
      <c r="B113" s="2"/>
      <c r="C113" s="2"/>
      <c r="D113" s="2"/>
      <c r="E113" s="2"/>
      <c r="F113" s="2"/>
      <c r="G113" s="2"/>
      <c r="H113" s="2"/>
      <c r="I113" s="2"/>
      <c r="J113" s="2">
        <f t="shared" si="49"/>
        <v>0</v>
      </c>
      <c r="K113" s="2">
        <f t="shared" si="50"/>
        <v>0</v>
      </c>
      <c r="L113" s="71"/>
      <c r="M113" s="71"/>
      <c r="N113" s="3"/>
      <c r="O113" s="71"/>
      <c r="P113" s="254">
        <f>IF(J113=0,0,J113*VLOOKUP(E113,'Prix Matiere'!$A$4:$L$60,12))</f>
        <v>0</v>
      </c>
      <c r="Q113" s="90">
        <f>IF(J113=0,0,P113*VLOOKUP(E113,'Prix Matiere'!$A$4:$L$60,11))</f>
        <v>0</v>
      </c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8" hidden="1" customHeight="1" x14ac:dyDescent="0.35">
      <c r="A114" s="2"/>
      <c r="B114" s="2"/>
      <c r="C114" s="2"/>
      <c r="D114" s="2"/>
      <c r="E114" s="2"/>
      <c r="F114" s="2"/>
      <c r="G114" s="2"/>
      <c r="H114" s="2"/>
      <c r="I114" s="2"/>
      <c r="J114" s="2">
        <f t="shared" si="49"/>
        <v>0</v>
      </c>
      <c r="K114" s="2">
        <f t="shared" si="50"/>
        <v>0</v>
      </c>
      <c r="L114" s="71"/>
      <c r="M114" s="71"/>
      <c r="N114" s="3"/>
      <c r="O114" s="71"/>
      <c r="P114" s="254">
        <f>IF(J114=0,0,J114*VLOOKUP(E114,'Prix Matiere'!$A$4:$L$60,12))</f>
        <v>0</v>
      </c>
      <c r="Q114" s="90">
        <f>IF(J114=0,0,P114*VLOOKUP(E114,'Prix Matiere'!$A$4:$L$60,11))</f>
        <v>0</v>
      </c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8" hidden="1" customHeight="1" x14ac:dyDescent="0.35">
      <c r="A115" s="2"/>
      <c r="B115" s="45">
        <f>IF(B37="Aucun",0,"Plots Dessus/Dessous")</f>
        <v>0</v>
      </c>
      <c r="C115" s="85">
        <f>IF(B37="Aucun",0,46)</f>
        <v>0</v>
      </c>
      <c r="D115" s="85">
        <f>IF(B37="Aucun",0,D111)</f>
        <v>0</v>
      </c>
      <c r="E115" s="85">
        <f>IF(B37="Aucun",0,B37)</f>
        <v>0</v>
      </c>
      <c r="F115" s="45">
        <f>IF(B37="Aucun",0,IF(C111&lt;150,6,IF(C111&lt;300,10,12)))</f>
        <v>0</v>
      </c>
      <c r="G115" s="2"/>
      <c r="H115" s="2"/>
      <c r="I115" s="2"/>
      <c r="J115" s="2">
        <f t="shared" si="49"/>
        <v>0</v>
      </c>
      <c r="K115" s="2">
        <f t="shared" si="50"/>
        <v>0</v>
      </c>
      <c r="L115" s="71">
        <f>IF(E115=0,0,VLOOKUP(E115,'Prix Matiere'!$A$4:$J$65,10))</f>
        <v>0</v>
      </c>
      <c r="M115" s="71">
        <f t="shared" ref="M115:M119" si="55">L115*K115</f>
        <v>0</v>
      </c>
      <c r="N115" s="3">
        <f t="shared" ref="N115:N117" si="56">IF(J115=0,0,4.7283*J115+2)</f>
        <v>0</v>
      </c>
      <c r="O115" s="71">
        <f t="shared" ref="O115:O123" si="57">N115*MinuteMO</f>
        <v>0</v>
      </c>
      <c r="P115" s="254">
        <f>IF(J115=0,0,J115*VLOOKUP(E115,'Prix Matiere'!$A$4:$L$60,12))</f>
        <v>0</v>
      </c>
      <c r="Q115" s="90">
        <f>IF(J115=0,0,P115*VLOOKUP(E115,'Prix Matiere'!$A$4:$L$60,11))</f>
        <v>0</v>
      </c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8" hidden="1" customHeight="1" x14ac:dyDescent="0.35">
      <c r="A116" s="2"/>
      <c r="B116" s="45">
        <f>IF(B37="Aucun",0,"Plots Bouts")</f>
        <v>0</v>
      </c>
      <c r="C116" s="85">
        <f>IF(B37="Aucun",0,45)</f>
        <v>0</v>
      </c>
      <c r="D116" s="85">
        <f>IF(B37="Aucun",0,D111)</f>
        <v>0</v>
      </c>
      <c r="E116" s="85">
        <f>IF(B37="Aucun",0,B37)</f>
        <v>0</v>
      </c>
      <c r="F116" s="45">
        <f>IF(B37="Aucun",0,IF(E11&lt;150,6,IF(E111&lt;300,10,12)))</f>
        <v>0</v>
      </c>
      <c r="G116" s="2"/>
      <c r="H116" s="2"/>
      <c r="I116" s="2"/>
      <c r="J116" s="2">
        <f t="shared" si="49"/>
        <v>0</v>
      </c>
      <c r="K116" s="2">
        <f t="shared" si="50"/>
        <v>0</v>
      </c>
      <c r="L116" s="71">
        <f>IF(E116=0,0,VLOOKUP(E116,'Prix Matiere'!$A$4:$J$65,10))</f>
        <v>0</v>
      </c>
      <c r="M116" s="71">
        <f t="shared" si="55"/>
        <v>0</v>
      </c>
      <c r="N116" s="3">
        <f t="shared" si="56"/>
        <v>0</v>
      </c>
      <c r="O116" s="71">
        <f t="shared" si="57"/>
        <v>0</v>
      </c>
      <c r="P116" s="254">
        <f>IF(J116=0,0,J116*VLOOKUP(E116,'Prix Matiere'!$A$4:$L$60,12))</f>
        <v>0</v>
      </c>
      <c r="Q116" s="90">
        <f>IF(J116=0,0,P116*VLOOKUP(E116,'Prix Matiere'!$A$4:$L$60,11))</f>
        <v>0</v>
      </c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8" hidden="1" customHeight="1" x14ac:dyDescent="0.35">
      <c r="A117" s="2"/>
      <c r="B117" s="45">
        <f>IF(B37="Aucun",0,"Angles")</f>
        <v>0</v>
      </c>
      <c r="C117" s="85">
        <f>IF(B37="Aucun",0,45)</f>
        <v>0</v>
      </c>
      <c r="D117" s="85">
        <f>C117</f>
        <v>0</v>
      </c>
      <c r="E117" s="85">
        <f>IF(B37="Aucun",0,B37)</f>
        <v>0</v>
      </c>
      <c r="F117" s="45">
        <f>IF(B37="Aucun",0,4)</f>
        <v>0</v>
      </c>
      <c r="G117" s="2"/>
      <c r="H117" s="2"/>
      <c r="I117" s="2"/>
      <c r="J117" s="2">
        <f t="shared" si="49"/>
        <v>0</v>
      </c>
      <c r="K117" s="2">
        <f t="shared" si="50"/>
        <v>0</v>
      </c>
      <c r="L117" s="71">
        <f>IF(E117=0,0,VLOOKUP(E117,'Prix Matiere'!$A$4:$J$65,10))</f>
        <v>0</v>
      </c>
      <c r="M117" s="71">
        <f t="shared" si="55"/>
        <v>0</v>
      </c>
      <c r="N117" s="3">
        <f t="shared" si="56"/>
        <v>0</v>
      </c>
      <c r="O117" s="71">
        <f t="shared" si="57"/>
        <v>0</v>
      </c>
      <c r="P117" s="254">
        <f>IF(J117=0,0,J117*VLOOKUP(E117,'Prix Matiere'!$A$4:$L$60,12))</f>
        <v>0</v>
      </c>
      <c r="Q117" s="90">
        <f>IF(J117=0,0,P117*VLOOKUP(E117,'Prix Matiere'!$A$4:$L$60,11))</f>
        <v>0</v>
      </c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8" hidden="1" customHeight="1" x14ac:dyDescent="0.35">
      <c r="A118" s="2"/>
      <c r="B118" s="45">
        <f t="shared" ref="B118:B119" si="58">IF(B37="Aucun",0,"Plaquettes Cp 10mm")</f>
        <v>0</v>
      </c>
      <c r="C118" s="85">
        <f t="shared" ref="C118:D118" si="59">C115</f>
        <v>0</v>
      </c>
      <c r="D118" s="85">
        <f t="shared" si="59"/>
        <v>0</v>
      </c>
      <c r="E118" s="85">
        <f t="shared" ref="E118:E119" si="60">IF(B37="Aucun",0,"Peuplier 10 mm")</f>
        <v>0</v>
      </c>
      <c r="F118" s="45">
        <f t="shared" ref="F118:F119" si="61">F115</f>
        <v>0</v>
      </c>
      <c r="G118" s="2"/>
      <c r="H118" s="2"/>
      <c r="I118" s="2"/>
      <c r="J118" s="2">
        <f t="shared" si="49"/>
        <v>0</v>
      </c>
      <c r="K118" s="2">
        <f t="shared" si="50"/>
        <v>0</v>
      </c>
      <c r="L118" s="71">
        <f>IF(E118=0,0,VLOOKUP(E118,'Prix Matiere'!$A$4:$J$65,10))</f>
        <v>0</v>
      </c>
      <c r="M118" s="71">
        <f t="shared" si="55"/>
        <v>0</v>
      </c>
      <c r="N118" s="3">
        <f t="shared" ref="N118:N119" si="62">IF(J118=0,0,1+(6*J118))</f>
        <v>0</v>
      </c>
      <c r="O118" s="71">
        <f t="shared" si="57"/>
        <v>0</v>
      </c>
      <c r="P118" s="254">
        <f>IF(J118=0,0,J118*VLOOKUP(E118,'Prix Matiere'!$A$4:$L$60,12))</f>
        <v>0</v>
      </c>
      <c r="Q118" s="90">
        <f>IF(J118=0,0,P118*VLOOKUP(E118,'Prix Matiere'!$A$4:$L$60,11))</f>
        <v>0</v>
      </c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8" hidden="1" customHeight="1" x14ac:dyDescent="0.35">
      <c r="A119" s="2"/>
      <c r="B119" s="45" t="str">
        <f t="shared" si="58"/>
        <v>Plaquettes Cp 10mm</v>
      </c>
      <c r="C119" s="85">
        <f t="shared" ref="C119:D119" si="63">C116</f>
        <v>0</v>
      </c>
      <c r="D119" s="85">
        <f t="shared" si="63"/>
        <v>0</v>
      </c>
      <c r="E119" s="85" t="str">
        <f t="shared" si="60"/>
        <v>Peuplier 10 mm</v>
      </c>
      <c r="F119" s="45">
        <f t="shared" si="61"/>
        <v>0</v>
      </c>
      <c r="G119" s="2"/>
      <c r="H119" s="2"/>
      <c r="I119" s="2"/>
      <c r="J119" s="2">
        <f t="shared" si="49"/>
        <v>0</v>
      </c>
      <c r="K119" s="2">
        <f t="shared" si="50"/>
        <v>0</v>
      </c>
      <c r="L119" s="71">
        <f>IF(E119=0,0,VLOOKUP(E119,'Prix Matiere'!$A$4:$J$65,10))</f>
        <v>13.071134020618558</v>
      </c>
      <c r="M119" s="71">
        <f t="shared" si="55"/>
        <v>0</v>
      </c>
      <c r="N119" s="3">
        <f t="shared" si="62"/>
        <v>0</v>
      </c>
      <c r="O119" s="71">
        <f t="shared" si="57"/>
        <v>0</v>
      </c>
      <c r="P119" s="254">
        <f>IF(J119=0,0,J119*VLOOKUP(E119,'Prix Matiere'!$A$4:$L$60,12))</f>
        <v>0</v>
      </c>
      <c r="Q119" s="90">
        <f>IF(J119=0,0,P119*VLOOKUP(E119,'Prix Matiere'!$A$4:$L$60,11))</f>
        <v>0</v>
      </c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8" hidden="1" customHeight="1" x14ac:dyDescent="0.85">
      <c r="A120" s="2" t="s">
        <v>71</v>
      </c>
      <c r="B120" s="33" t="str">
        <f>IF(F23="Aucun"," ",F23)</f>
        <v xml:space="preserve"> </v>
      </c>
      <c r="C120" s="2"/>
      <c r="D120" s="2"/>
      <c r="E120" s="2"/>
      <c r="F120" s="2"/>
      <c r="G120" s="2"/>
      <c r="H120" s="2"/>
      <c r="I120" s="2"/>
      <c r="J120" s="2"/>
      <c r="K120" s="2"/>
      <c r="L120" s="71"/>
      <c r="M120" s="71">
        <f>VLOOKUP($F$23,$A$161:$D$164,3)</f>
        <v>0</v>
      </c>
      <c r="N120" s="3">
        <f>IF(M120=0,0,12.5)</f>
        <v>0</v>
      </c>
      <c r="O120" s="71">
        <f t="shared" si="57"/>
        <v>0</v>
      </c>
      <c r="P120" s="2"/>
      <c r="Q120" s="90">
        <f>IF(J120=0,0,P120*VLOOKUP(E120,'Prix Matiere'!$A$4:$L$60,11))</f>
        <v>0</v>
      </c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8" hidden="1" customHeight="1" x14ac:dyDescent="0.35">
      <c r="A121" s="2" t="s">
        <v>19</v>
      </c>
      <c r="B121" s="2">
        <f>IF(F19="Non",0,"Peinture")</f>
        <v>0</v>
      </c>
      <c r="C121" s="2"/>
      <c r="D121" s="2"/>
      <c r="E121" s="2"/>
      <c r="F121" s="2"/>
      <c r="G121" s="2"/>
      <c r="H121" s="2"/>
      <c r="I121" s="2"/>
      <c r="J121" s="2">
        <f>IF(B121=0,0,(((C41/100)*(D41/100))+((C41/100)*(E41/100))+((D41/100)*(E41/100)))*2)</f>
        <v>0</v>
      </c>
      <c r="K121" s="2">
        <f>J121*0.5</f>
        <v>0</v>
      </c>
      <c r="L121" s="71">
        <f>IF(B121=0,0,VLOOKUP(B121,'Prix Matiere'!$A$4:$J$60,10))</f>
        <v>0</v>
      </c>
      <c r="M121" s="71">
        <f>K121*L121</f>
        <v>0</v>
      </c>
      <c r="N121" s="3">
        <f>IF(J121=0,0,IF(B121="Peinture",30+J121*15))</f>
        <v>0</v>
      </c>
      <c r="O121" s="71">
        <f t="shared" si="57"/>
        <v>0</v>
      </c>
      <c r="P121" s="2"/>
      <c r="Q121" s="90">
        <f>IF(J121=0,0,P121*VLOOKUP(E121,'Prix Matiere'!$A$4:$L$60,11))</f>
        <v>0</v>
      </c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8" hidden="1" customHeight="1" x14ac:dyDescent="0.35">
      <c r="A122" s="2" t="s">
        <v>72</v>
      </c>
      <c r="B122" s="2" t="str">
        <f>C19</f>
        <v>Vis bois</v>
      </c>
      <c r="C122" s="2"/>
      <c r="D122" s="2"/>
      <c r="E122" s="2"/>
      <c r="F122" s="2"/>
      <c r="G122" s="2"/>
      <c r="H122" s="2"/>
      <c r="I122" s="2"/>
      <c r="J122" s="2"/>
      <c r="K122" s="2"/>
      <c r="L122" s="71"/>
      <c r="M122" s="71">
        <f>IF(B122="Vis bois",0,(F4*2+F6*2)*1.5)</f>
        <v>0</v>
      </c>
      <c r="N122" s="3">
        <f>IF(B122="Vis bois",0,45)</f>
        <v>0</v>
      </c>
      <c r="O122" s="71">
        <f t="shared" si="57"/>
        <v>0</v>
      </c>
      <c r="P122" s="2"/>
      <c r="Q122" s="90">
        <f>IF(J122=0,0,P122*VLOOKUP(E122,'Prix Matiere'!$A$4:$L$60,11))</f>
        <v>0</v>
      </c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8" hidden="1" customHeight="1" x14ac:dyDescent="0.35">
      <c r="A123" s="2" t="s">
        <v>21</v>
      </c>
      <c r="B123" s="2" t="str">
        <f>C21</f>
        <v>Bois</v>
      </c>
      <c r="C123" s="2"/>
      <c r="D123" s="2"/>
      <c r="E123" s="2"/>
      <c r="F123" s="2"/>
      <c r="G123" s="2"/>
      <c r="H123" s="2"/>
      <c r="I123" s="2"/>
      <c r="J123" s="2"/>
      <c r="K123" s="2"/>
      <c r="L123" s="71"/>
      <c r="M123" s="71">
        <f>IF(B123="Métal x 4 sur GC",4*2,IF(B123="Métal x 2 sur bouts",2*2,0))</f>
        <v>0</v>
      </c>
      <c r="N123" s="3">
        <f>IF(B123="Métal x 4 sur GC",4*3,IF(B123="Métal x 2 sur bouts",2*3,0))</f>
        <v>0</v>
      </c>
      <c r="O123" s="71">
        <f t="shared" si="57"/>
        <v>0</v>
      </c>
      <c r="P123" s="2"/>
      <c r="Q123" s="90">
        <f>IF(J123=0,0,P123*VLOOKUP(E123,'Prix Matiere'!$A$4:$L$60,11))</f>
        <v>0</v>
      </c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8" hidden="1" customHeight="1" x14ac:dyDescent="0.3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71"/>
      <c r="M124" s="2"/>
      <c r="N124" s="3"/>
      <c r="O124" s="71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8" hidden="1" customHeight="1" x14ac:dyDescent="0.3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71">
        <f>IF(E125=0,0,VLOOKUP(E125,'Prix Matiere'!$A$4:$J$65,10))</f>
        <v>0</v>
      </c>
      <c r="M125" s="96">
        <f t="shared" ref="M125:N125" si="64">SUM(M52:M124)</f>
        <v>488.60004898711333</v>
      </c>
      <c r="N125" s="97">
        <f t="shared" si="64"/>
        <v>284.60457448879993</v>
      </c>
      <c r="O125" s="71">
        <f>N125*MinuteMO</f>
        <v>241.91388831547994</v>
      </c>
      <c r="P125" s="254">
        <f t="shared" ref="P125:Q125" si="65">SUM(P52:P118)</f>
        <v>141.64268668000003</v>
      </c>
      <c r="Q125" s="254">
        <f t="shared" si="65"/>
        <v>121.06331499759999</v>
      </c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8" hidden="1" customHeight="1" x14ac:dyDescent="0.35">
      <c r="A126" s="2"/>
      <c r="B126" s="98" t="s">
        <v>73</v>
      </c>
      <c r="C126" s="99">
        <f>IF($F$9=0,0,M125)</f>
        <v>488.60004898711333</v>
      </c>
      <c r="D126" s="100"/>
      <c r="E126" s="302" t="s">
        <v>74</v>
      </c>
      <c r="F126" s="102" t="str">
        <f>CONCATENATE(ROUNDUP(SUM(K52:K54)+SUM(K68:K70)+SUM(K76:K78)+SUM(K84:K86)+SUM(K102:K103),2)," m²")</f>
        <v>17,58 m²</v>
      </c>
      <c r="G126" s="340">
        <f>(SUM(M52:M54)+SUM(M68:M70)+SUM(M76:M78)+SUM(M84:M86)+SUM(M102:M103))</f>
        <v>297.00969473969064</v>
      </c>
      <c r="H126" s="2"/>
      <c r="I126" s="2"/>
      <c r="J126" s="2"/>
      <c r="K126" s="2"/>
      <c r="L126" s="2"/>
      <c r="M126" s="2"/>
      <c r="N126" s="3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8" hidden="1" customHeight="1" x14ac:dyDescent="0.35">
      <c r="A127" s="2"/>
      <c r="B127" s="105" t="s">
        <v>75</v>
      </c>
      <c r="C127" s="71">
        <f>IF($F$9=0,0,O125)</f>
        <v>241.91388831547994</v>
      </c>
      <c r="D127" s="341">
        <f>IF($F$9=0,0,N125)</f>
        <v>284.60457448879993</v>
      </c>
      <c r="E127" s="304" t="s">
        <v>76</v>
      </c>
      <c r="F127" s="107" t="str">
        <f>CONCATENATE(ROUNDUP(SUM(K57:K63)+SUM(K66:K67)+SUM(K74:K75)+SUM(K82:K83),2)," m²")</f>
        <v>4,81 m²</v>
      </c>
      <c r="G127" s="306">
        <f>(SUM(M57:M63)+SUM(M66:M67)+SUM(M74:M75)+SUM(M82:M83))</f>
        <v>102.05835953608243</v>
      </c>
      <c r="H127" s="2"/>
      <c r="I127" s="2"/>
      <c r="J127" s="2"/>
      <c r="K127" s="2"/>
      <c r="L127" s="2"/>
      <c r="M127" s="2"/>
      <c r="N127" s="3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8" hidden="1" customHeight="1" x14ac:dyDescent="0.35">
      <c r="A128" s="2"/>
      <c r="B128" s="105" t="s">
        <v>77</v>
      </c>
      <c r="C128" s="71">
        <f>IF($F$9=0,0,((C126+C127)/Frais_Généraux)-(C126+C127))</f>
        <v>393.35365854755025</v>
      </c>
      <c r="D128" s="109"/>
      <c r="E128" s="304" t="s">
        <v>78</v>
      </c>
      <c r="F128" s="107" t="str">
        <f>CONCATENATE(ROUNDUP(SUM(K96:K98)+SUM(K107:K109),2)," m²")</f>
        <v>12,77 m²</v>
      </c>
      <c r="G128" s="306">
        <f>(SUM(M96:M98)+SUM(M107:M109))</f>
        <v>89.531994711340189</v>
      </c>
      <c r="H128" s="2"/>
      <c r="I128" s="2"/>
      <c r="J128" s="2"/>
      <c r="K128" s="2"/>
      <c r="L128" s="2"/>
      <c r="M128" s="2"/>
      <c r="N128" s="3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8" hidden="1" customHeight="1" x14ac:dyDescent="0.35">
      <c r="A129" s="2"/>
      <c r="B129" s="105" t="s">
        <v>79</v>
      </c>
      <c r="C129" s="71">
        <f>IF($F$9=0,0,SUM(C126:C128))</f>
        <v>1123.8675958501435</v>
      </c>
      <c r="D129" s="109"/>
      <c r="E129" s="304" t="s">
        <v>80</v>
      </c>
      <c r="F129" s="107" t="str">
        <f>CONCATENATE(ROUNDUP(SUM(K90:K92)+SUM(K115:K118),2)," m²")</f>
        <v>0 m²</v>
      </c>
      <c r="G129" s="306">
        <f>(SUM(M90:M92)+SUM(M115:M118))</f>
        <v>0</v>
      </c>
      <c r="H129" s="2"/>
      <c r="I129" s="2"/>
      <c r="J129" s="2"/>
      <c r="K129" s="2"/>
      <c r="L129" s="2"/>
      <c r="M129" s="2"/>
      <c r="N129" s="3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8" hidden="1" customHeight="1" x14ac:dyDescent="0.35">
      <c r="A130" s="2"/>
      <c r="B130" s="105" t="s">
        <v>81</v>
      </c>
      <c r="C130" s="71">
        <f>IF($F$9=0,0,(C129/(1-Marge)-C129))</f>
        <v>84.592184633881743</v>
      </c>
      <c r="D130" s="110">
        <f>C129+C130</f>
        <v>1208.4597804840253</v>
      </c>
      <c r="E130" s="304"/>
      <c r="F130" s="107"/>
      <c r="G130" s="108"/>
      <c r="H130" s="2"/>
      <c r="I130" s="2"/>
      <c r="J130" s="2"/>
      <c r="K130" s="2"/>
      <c r="L130" s="2"/>
      <c r="M130" s="2"/>
      <c r="N130" s="3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8" hidden="1" customHeight="1" x14ac:dyDescent="0.35">
      <c r="A131" s="2"/>
      <c r="B131" s="111" t="s">
        <v>83</v>
      </c>
      <c r="C131" s="71">
        <f>IF($F$10="BOVIS",((C129+C130)*(1+C132))-(C129+C130),((C129+C130)*(1+D131))-(C129+C130))</f>
        <v>0</v>
      </c>
      <c r="D131" s="112"/>
      <c r="E131" s="304"/>
      <c r="F131" s="107"/>
      <c r="G131" s="108"/>
      <c r="H131" s="2"/>
      <c r="I131" s="2"/>
      <c r="J131" s="2"/>
      <c r="K131" s="2"/>
      <c r="L131" s="2"/>
      <c r="M131" s="2"/>
      <c r="N131" s="3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8" hidden="1" customHeight="1" x14ac:dyDescent="0.35">
      <c r="A132" s="2"/>
      <c r="B132" s="111"/>
      <c r="C132" s="104">
        <f>IF($F$10="BOVIS",0.03,0)</f>
        <v>0</v>
      </c>
      <c r="D132" s="113"/>
      <c r="E132" s="304"/>
      <c r="F132" s="107"/>
      <c r="G132" s="108"/>
      <c r="H132" s="2"/>
      <c r="I132" s="2"/>
      <c r="J132" s="2"/>
      <c r="K132" s="2"/>
      <c r="L132" s="2"/>
      <c r="M132" s="2"/>
      <c r="N132" s="3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8" hidden="1" customHeight="1" x14ac:dyDescent="0.35">
      <c r="A133" s="2"/>
      <c r="B133" s="114" t="s">
        <v>84</v>
      </c>
      <c r="C133" s="115">
        <f>SUM(C129:C132)</f>
        <v>1208.4597804840253</v>
      </c>
      <c r="D133" s="116"/>
      <c r="E133" s="307" t="s">
        <v>85</v>
      </c>
      <c r="F133" s="15"/>
      <c r="G133" s="118">
        <f>C126-SUM(G126:G130)</f>
        <v>0</v>
      </c>
      <c r="H133" s="2"/>
      <c r="I133" s="2"/>
      <c r="J133" s="2"/>
      <c r="K133" s="2"/>
      <c r="L133" s="2"/>
      <c r="M133" s="2"/>
      <c r="N133" s="3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8" hidden="1" customHeight="1" x14ac:dyDescent="0.35">
      <c r="A134" s="76"/>
      <c r="B134" s="76"/>
      <c r="C134" s="76"/>
      <c r="D134" s="76"/>
      <c r="E134" s="76"/>
      <c r="F134" s="6"/>
      <c r="G134" s="76"/>
      <c r="H134" s="76"/>
      <c r="I134" s="76"/>
      <c r="J134" s="76"/>
      <c r="K134" s="76"/>
      <c r="L134" s="76"/>
      <c r="M134" s="76"/>
      <c r="N134" s="77"/>
      <c r="O134" s="76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8" hidden="1" customHeight="1" x14ac:dyDescent="0.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3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8" hidden="1" customHeight="1" x14ac:dyDescent="0.35">
      <c r="A136" s="119" t="s">
        <v>86</v>
      </c>
      <c r="B136" s="119" t="s">
        <v>86</v>
      </c>
      <c r="C136" s="119" t="s">
        <v>86</v>
      </c>
      <c r="D136" s="121">
        <v>1</v>
      </c>
      <c r="E136" s="121">
        <v>1</v>
      </c>
      <c r="N136" s="12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8" hidden="1" customHeight="1" x14ac:dyDescent="0.35">
      <c r="A137" s="124" t="s">
        <v>10</v>
      </c>
      <c r="B137" s="124" t="s">
        <v>10</v>
      </c>
      <c r="C137" s="124" t="s">
        <v>10</v>
      </c>
      <c r="D137" s="126">
        <v>1.5</v>
      </c>
      <c r="E137" s="126">
        <v>1.5</v>
      </c>
      <c r="N137" s="12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8" hidden="1" customHeight="1" x14ac:dyDescent="0.35">
      <c r="A138" s="127" t="s">
        <v>87</v>
      </c>
      <c r="B138" s="128" t="s">
        <v>86</v>
      </c>
      <c r="C138" s="128" t="s">
        <v>10</v>
      </c>
      <c r="D138" s="129">
        <v>1</v>
      </c>
      <c r="E138" s="129">
        <v>1.5</v>
      </c>
      <c r="N138" s="12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8" hidden="1" customHeight="1" x14ac:dyDescent="0.3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3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8" hidden="1" customHeight="1" x14ac:dyDescent="0.35">
      <c r="A140" s="119" t="s">
        <v>88</v>
      </c>
      <c r="B140" s="120" t="s">
        <v>89</v>
      </c>
      <c r="C140" s="120" t="s">
        <v>89</v>
      </c>
      <c r="D140" s="121">
        <v>1.9</v>
      </c>
      <c r="N140" s="12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8" hidden="1" customHeight="1" x14ac:dyDescent="0.35">
      <c r="A141" s="127" t="s">
        <v>12</v>
      </c>
      <c r="B141" s="128" t="s">
        <v>90</v>
      </c>
      <c r="C141" s="128" t="s">
        <v>90</v>
      </c>
      <c r="D141" s="129">
        <v>2.1</v>
      </c>
      <c r="N141" s="12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8" hidden="1" customHeight="1" x14ac:dyDescent="0.3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3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8" hidden="1" customHeight="1" x14ac:dyDescent="0.35">
      <c r="A143" s="119">
        <v>1</v>
      </c>
      <c r="B143" s="120">
        <v>2</v>
      </c>
      <c r="C143" s="120">
        <v>3</v>
      </c>
      <c r="D143" s="120">
        <v>4</v>
      </c>
      <c r="E143" s="130">
        <v>5</v>
      </c>
      <c r="F143" s="130">
        <v>6</v>
      </c>
      <c r="G143" s="130">
        <v>7</v>
      </c>
      <c r="H143" s="131">
        <v>8</v>
      </c>
      <c r="I143" s="131">
        <v>9</v>
      </c>
      <c r="J143" s="131">
        <v>10</v>
      </c>
      <c r="K143" s="132">
        <v>11</v>
      </c>
      <c r="L143" s="132">
        <v>12</v>
      </c>
      <c r="M143" s="133">
        <v>13</v>
      </c>
      <c r="N143" s="131">
        <v>14</v>
      </c>
      <c r="O143" s="131">
        <v>15</v>
      </c>
      <c r="P143" s="134">
        <v>16</v>
      </c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8" hidden="1" customHeight="1" x14ac:dyDescent="0.35">
      <c r="A144" s="135"/>
      <c r="B144" s="136"/>
      <c r="C144" s="136"/>
      <c r="D144" s="136"/>
      <c r="E144" s="137" t="s">
        <v>80</v>
      </c>
      <c r="F144" s="137" t="s">
        <v>91</v>
      </c>
      <c r="G144" s="137" t="s">
        <v>34</v>
      </c>
      <c r="H144" s="138" t="s">
        <v>65</v>
      </c>
      <c r="I144" s="138" t="s">
        <v>92</v>
      </c>
      <c r="J144" s="138" t="s">
        <v>93</v>
      </c>
      <c r="K144" s="139" t="s">
        <v>67</v>
      </c>
      <c r="L144" s="139" t="s">
        <v>94</v>
      </c>
      <c r="M144" s="140" t="s">
        <v>95</v>
      </c>
      <c r="N144" s="138" t="s">
        <v>69</v>
      </c>
      <c r="O144" s="138" t="s">
        <v>96</v>
      </c>
      <c r="P144" s="141" t="s">
        <v>97</v>
      </c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8" hidden="1" customHeight="1" x14ac:dyDescent="0.35">
      <c r="A145" s="124"/>
      <c r="B145" s="308"/>
      <c r="C145" s="308"/>
      <c r="D145" s="308"/>
      <c r="E145" s="142"/>
      <c r="F145" s="142"/>
      <c r="G145" s="142"/>
      <c r="H145" s="143"/>
      <c r="I145" s="143"/>
      <c r="J145" s="143"/>
      <c r="K145" s="144"/>
      <c r="L145" s="144"/>
      <c r="M145" s="145">
        <v>0</v>
      </c>
      <c r="N145" s="143"/>
      <c r="O145" s="143"/>
      <c r="P145" s="146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8" hidden="1" customHeight="1" x14ac:dyDescent="0.35">
      <c r="A146" s="124" t="s">
        <v>16</v>
      </c>
      <c r="B146" s="308">
        <v>0</v>
      </c>
      <c r="C146" s="308">
        <v>0</v>
      </c>
      <c r="D146" s="308">
        <v>0</v>
      </c>
      <c r="E146" s="142">
        <v>0</v>
      </c>
      <c r="F146" s="142">
        <v>0</v>
      </c>
      <c r="G146" s="142">
        <v>0</v>
      </c>
      <c r="H146" s="143">
        <v>0</v>
      </c>
      <c r="I146" s="143">
        <v>0</v>
      </c>
      <c r="J146" s="143">
        <v>0</v>
      </c>
      <c r="K146" s="144">
        <v>0</v>
      </c>
      <c r="L146" s="144">
        <v>0</v>
      </c>
      <c r="M146" s="145">
        <v>0</v>
      </c>
      <c r="N146" s="143">
        <v>0</v>
      </c>
      <c r="O146" s="143">
        <v>0</v>
      </c>
      <c r="P146" s="146">
        <v>0</v>
      </c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8" hidden="1" customHeight="1" x14ac:dyDescent="0.35">
      <c r="A147" s="124" t="s">
        <v>98</v>
      </c>
      <c r="B147" s="308">
        <f t="shared" ref="B147:D147" si="66">(3+1.25+3)*2</f>
        <v>14.5</v>
      </c>
      <c r="C147" s="308">
        <f t="shared" si="66"/>
        <v>14.5</v>
      </c>
      <c r="D147" s="308">
        <f t="shared" si="66"/>
        <v>14.5</v>
      </c>
      <c r="E147" s="142">
        <v>0</v>
      </c>
      <c r="F147" s="142">
        <v>0</v>
      </c>
      <c r="G147" s="142">
        <v>0</v>
      </c>
      <c r="H147" s="143">
        <v>6</v>
      </c>
      <c r="I147" s="143" t="s">
        <v>99</v>
      </c>
      <c r="J147" s="143">
        <v>2</v>
      </c>
      <c r="K147" s="144">
        <v>2.5</v>
      </c>
      <c r="L147" s="144" t="s">
        <v>86</v>
      </c>
      <c r="M147" s="147">
        <v>4</v>
      </c>
      <c r="N147" s="143">
        <v>6</v>
      </c>
      <c r="O147" s="143" t="s">
        <v>99</v>
      </c>
      <c r="P147" s="148">
        <v>2</v>
      </c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8" hidden="1" customHeight="1" x14ac:dyDescent="0.35">
      <c r="A148" s="124" t="s">
        <v>100</v>
      </c>
      <c r="B148" s="308">
        <f t="shared" ref="B148:D148" si="67">(5+1.25+5)*2</f>
        <v>22.5</v>
      </c>
      <c r="C148" s="308">
        <f t="shared" si="67"/>
        <v>22.5</v>
      </c>
      <c r="D148" s="308">
        <f t="shared" si="67"/>
        <v>22.5</v>
      </c>
      <c r="E148" s="142">
        <v>0</v>
      </c>
      <c r="F148" s="142">
        <v>0</v>
      </c>
      <c r="G148" s="142">
        <v>0</v>
      </c>
      <c r="H148" s="143">
        <v>10</v>
      </c>
      <c r="I148" s="143" t="s">
        <v>101</v>
      </c>
      <c r="J148" s="143">
        <v>2</v>
      </c>
      <c r="K148" s="144">
        <v>2.5</v>
      </c>
      <c r="L148" s="144" t="s">
        <v>86</v>
      </c>
      <c r="M148" s="147">
        <v>4</v>
      </c>
      <c r="N148" s="143">
        <v>10</v>
      </c>
      <c r="O148" s="143" t="s">
        <v>101</v>
      </c>
      <c r="P148" s="148">
        <v>2</v>
      </c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8" hidden="1" customHeight="1" x14ac:dyDescent="0.35">
      <c r="A149" s="124" t="s">
        <v>102</v>
      </c>
      <c r="B149" s="308">
        <f t="shared" ref="B149:D149" si="68">(3)*2</f>
        <v>6</v>
      </c>
      <c r="C149" s="308">
        <f t="shared" si="68"/>
        <v>6</v>
      </c>
      <c r="D149" s="308">
        <f t="shared" si="68"/>
        <v>6</v>
      </c>
      <c r="E149" s="142">
        <v>0</v>
      </c>
      <c r="F149" s="142">
        <v>0</v>
      </c>
      <c r="G149" s="142">
        <v>0</v>
      </c>
      <c r="H149" s="143">
        <v>6</v>
      </c>
      <c r="I149" s="143" t="s">
        <v>99</v>
      </c>
      <c r="J149" s="143">
        <v>2</v>
      </c>
      <c r="K149" s="144">
        <v>0</v>
      </c>
      <c r="L149" s="144">
        <v>0</v>
      </c>
      <c r="M149" s="147">
        <v>0</v>
      </c>
      <c r="N149" s="143">
        <v>0</v>
      </c>
      <c r="O149" s="143"/>
      <c r="P149" s="148">
        <v>0</v>
      </c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8" hidden="1" customHeight="1" x14ac:dyDescent="0.35">
      <c r="A150" s="124" t="s">
        <v>103</v>
      </c>
      <c r="B150" s="308">
        <f t="shared" ref="B150:D150" si="69">(5)*2</f>
        <v>10</v>
      </c>
      <c r="C150" s="308">
        <f t="shared" si="69"/>
        <v>10</v>
      </c>
      <c r="D150" s="308">
        <f t="shared" si="69"/>
        <v>10</v>
      </c>
      <c r="E150" s="142">
        <v>0</v>
      </c>
      <c r="F150" s="142">
        <v>0</v>
      </c>
      <c r="G150" s="142">
        <v>0</v>
      </c>
      <c r="H150" s="143">
        <v>10</v>
      </c>
      <c r="I150" s="143" t="s">
        <v>101</v>
      </c>
      <c r="J150" s="143">
        <v>2</v>
      </c>
      <c r="K150" s="144">
        <v>0</v>
      </c>
      <c r="L150" s="144">
        <v>0</v>
      </c>
      <c r="M150" s="147">
        <v>0</v>
      </c>
      <c r="N150" s="143">
        <v>0</v>
      </c>
      <c r="O150" s="143"/>
      <c r="P150" s="148">
        <v>0</v>
      </c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8" hidden="1" customHeight="1" x14ac:dyDescent="0.35">
      <c r="A151" s="124" t="s">
        <v>104</v>
      </c>
      <c r="B151" s="308">
        <f t="shared" ref="B151:D151" si="70">(3+3+1.25+3)*2</f>
        <v>20.5</v>
      </c>
      <c r="C151" s="308">
        <f t="shared" si="70"/>
        <v>20.5</v>
      </c>
      <c r="D151" s="308">
        <f t="shared" si="70"/>
        <v>20.5</v>
      </c>
      <c r="E151" s="142">
        <v>6</v>
      </c>
      <c r="F151" s="142" t="s">
        <v>105</v>
      </c>
      <c r="G151" s="142">
        <v>2</v>
      </c>
      <c r="H151" s="143">
        <v>6</v>
      </c>
      <c r="I151" s="143" t="s">
        <v>99</v>
      </c>
      <c r="J151" s="143">
        <v>2</v>
      </c>
      <c r="K151" s="144">
        <v>2.5</v>
      </c>
      <c r="L151" s="144" t="s">
        <v>86</v>
      </c>
      <c r="M151" s="147">
        <v>4</v>
      </c>
      <c r="N151" s="143">
        <v>6</v>
      </c>
      <c r="O151" s="143" t="s">
        <v>99</v>
      </c>
      <c r="P151" s="148">
        <v>2</v>
      </c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8" hidden="1" customHeight="1" x14ac:dyDescent="0.35">
      <c r="A152" s="127" t="s">
        <v>106</v>
      </c>
      <c r="B152" s="128">
        <f t="shared" ref="B152:D152" si="71">(5+5+1.25+5)*2</f>
        <v>32.5</v>
      </c>
      <c r="C152" s="128">
        <f t="shared" si="71"/>
        <v>32.5</v>
      </c>
      <c r="D152" s="128">
        <f t="shared" si="71"/>
        <v>32.5</v>
      </c>
      <c r="E152" s="149">
        <v>10</v>
      </c>
      <c r="F152" s="149" t="s">
        <v>27</v>
      </c>
      <c r="G152" s="149">
        <v>2</v>
      </c>
      <c r="H152" s="150">
        <v>10</v>
      </c>
      <c r="I152" s="150" t="s">
        <v>101</v>
      </c>
      <c r="J152" s="150">
        <v>2</v>
      </c>
      <c r="K152" s="151">
        <v>2.5</v>
      </c>
      <c r="L152" s="151" t="s">
        <v>86</v>
      </c>
      <c r="M152" s="152">
        <v>4</v>
      </c>
      <c r="N152" s="150">
        <v>10</v>
      </c>
      <c r="O152" s="150" t="s">
        <v>101</v>
      </c>
      <c r="P152" s="153">
        <v>2</v>
      </c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8" hidden="1" customHeight="1" x14ac:dyDescent="0.3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3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8" hidden="1" customHeight="1" x14ac:dyDescent="0.35">
      <c r="A154" s="119" t="s">
        <v>107</v>
      </c>
      <c r="B154" s="121">
        <v>1</v>
      </c>
      <c r="N154" s="12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8" hidden="1" customHeight="1" x14ac:dyDescent="0.35">
      <c r="A155" s="127" t="s">
        <v>18</v>
      </c>
      <c r="B155" s="129">
        <v>0</v>
      </c>
      <c r="N155" s="12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8" hidden="1" customHeight="1" x14ac:dyDescent="0.35">
      <c r="N156" s="12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8" hidden="1" customHeight="1" x14ac:dyDescent="0.35">
      <c r="A157" s="154" t="s">
        <v>22</v>
      </c>
      <c r="B157" s="121">
        <v>4.2</v>
      </c>
      <c r="N157" s="12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8" hidden="1" customHeight="1" x14ac:dyDescent="0.35">
      <c r="A158" s="155" t="s">
        <v>108</v>
      </c>
      <c r="B158" s="126">
        <v>2</v>
      </c>
      <c r="N158" s="12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8" hidden="1" customHeight="1" x14ac:dyDescent="0.35">
      <c r="A159" s="156" t="s">
        <v>109</v>
      </c>
      <c r="B159" s="129">
        <v>0</v>
      </c>
      <c r="N159" s="12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8" hidden="1" customHeight="1" x14ac:dyDescent="0.35">
      <c r="N160" s="12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8" hidden="1" customHeight="1" x14ac:dyDescent="0.35">
      <c r="A161" s="119" t="s">
        <v>110</v>
      </c>
      <c r="B161" s="120">
        <v>0</v>
      </c>
      <c r="C161" s="120"/>
      <c r="D161" s="121">
        <v>0</v>
      </c>
      <c r="N161" s="12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8" hidden="1" customHeight="1" x14ac:dyDescent="0.35">
      <c r="A162" s="124" t="s">
        <v>111</v>
      </c>
      <c r="B162" s="308">
        <v>10</v>
      </c>
      <c r="C162" s="308">
        <v>40</v>
      </c>
      <c r="D162" s="126">
        <v>12</v>
      </c>
      <c r="N162" s="12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8" hidden="1" customHeight="1" x14ac:dyDescent="0.35">
      <c r="A163" s="124" t="s">
        <v>16</v>
      </c>
      <c r="B163" s="308">
        <v>0</v>
      </c>
      <c r="C163" s="308"/>
      <c r="D163" s="126">
        <v>0</v>
      </c>
      <c r="N163" s="12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8" hidden="1" customHeight="1" x14ac:dyDescent="0.35">
      <c r="A164" s="157" t="s">
        <v>112</v>
      </c>
      <c r="B164" s="128">
        <v>5</v>
      </c>
      <c r="C164" s="128">
        <v>20</v>
      </c>
      <c r="D164" s="129">
        <v>0</v>
      </c>
      <c r="N164" s="12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8" hidden="1" customHeight="1" x14ac:dyDescent="0.35">
      <c r="A165" s="342"/>
      <c r="B165" s="308"/>
      <c r="C165" s="308"/>
      <c r="D165" s="308"/>
      <c r="N165" s="12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8" hidden="1" customHeight="1" x14ac:dyDescent="0.35">
      <c r="A166" s="154" t="s">
        <v>16</v>
      </c>
      <c r="B166" s="121"/>
      <c r="C166" s="343"/>
      <c r="D166" s="297"/>
      <c r="E166" s="343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8" hidden="1" customHeight="1" x14ac:dyDescent="0.35">
      <c r="A167" s="155" t="s">
        <v>186</v>
      </c>
      <c r="B167" s="126"/>
      <c r="C167" s="343"/>
      <c r="D167" s="297"/>
      <c r="E167" s="343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8" hidden="1" customHeight="1" x14ac:dyDescent="0.35">
      <c r="A168" s="156" t="s">
        <v>195</v>
      </c>
      <c r="B168" s="129"/>
      <c r="C168" s="343"/>
      <c r="D168" s="297"/>
      <c r="E168" s="343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8" hidden="1" customHeight="1" x14ac:dyDescent="0.35">
      <c r="N169" s="12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8" hidden="1" customHeight="1" x14ac:dyDescent="0.35">
      <c r="A170" s="119" t="s">
        <v>196</v>
      </c>
      <c r="B170" s="344" t="s">
        <v>82</v>
      </c>
      <c r="C170" s="100">
        <f>0.9+1.5</f>
        <v>2.4</v>
      </c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8" hidden="1" customHeight="1" x14ac:dyDescent="0.35">
      <c r="A171" s="124" t="s">
        <v>197</v>
      </c>
      <c r="B171" s="17" t="s">
        <v>198</v>
      </c>
      <c r="C171" s="109">
        <f>1.4+1.5</f>
        <v>2.9</v>
      </c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8" hidden="1" customHeight="1" x14ac:dyDescent="0.35">
      <c r="A172" s="124" t="s">
        <v>199</v>
      </c>
      <c r="B172" s="17" t="s">
        <v>86</v>
      </c>
      <c r="C172" s="109">
        <f>1+1.5</f>
        <v>2.5</v>
      </c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8" hidden="1" customHeight="1" x14ac:dyDescent="0.35">
      <c r="A173" s="124" t="s">
        <v>200</v>
      </c>
      <c r="B173" s="17" t="s">
        <v>201</v>
      </c>
      <c r="C173" s="109">
        <v>1</v>
      </c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8" hidden="1" customHeight="1" x14ac:dyDescent="0.35">
      <c r="A174" s="127" t="s">
        <v>187</v>
      </c>
      <c r="B174" s="15"/>
      <c r="C174" s="271">
        <v>1.5</v>
      </c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8" hidden="1" customHeight="1" x14ac:dyDescent="0.3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8" hidden="1" customHeight="1" x14ac:dyDescent="0.35">
      <c r="N176" s="12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8" hidden="1" customHeight="1" x14ac:dyDescent="0.35">
      <c r="B177" s="125" t="s">
        <v>114</v>
      </c>
      <c r="C177" s="125" t="s">
        <v>115</v>
      </c>
      <c r="D177" s="125" t="s">
        <v>116</v>
      </c>
      <c r="E177" s="125" t="s">
        <v>117</v>
      </c>
      <c r="F177" s="125" t="s">
        <v>118</v>
      </c>
      <c r="G177" s="125" t="s">
        <v>119</v>
      </c>
      <c r="H177" s="125" t="s">
        <v>120</v>
      </c>
      <c r="I177" s="125" t="s">
        <v>121</v>
      </c>
      <c r="J177" s="125" t="s">
        <v>122</v>
      </c>
      <c r="K177" s="125" t="s">
        <v>123</v>
      </c>
      <c r="N177" s="12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8" hidden="1" customHeight="1" x14ac:dyDescent="0.35">
      <c r="A178" s="154" t="s">
        <v>16</v>
      </c>
      <c r="B178" s="120">
        <v>2.5</v>
      </c>
      <c r="C178" s="120">
        <v>0</v>
      </c>
      <c r="D178" s="120">
        <v>2.5</v>
      </c>
      <c r="E178" s="120"/>
      <c r="F178" s="120"/>
      <c r="G178" s="120"/>
      <c r="H178" s="120"/>
      <c r="I178" s="120"/>
      <c r="J178" s="120"/>
      <c r="K178" s="121"/>
      <c r="N178" s="12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8" hidden="1" customHeight="1" x14ac:dyDescent="0.35">
      <c r="A179" s="155" t="s">
        <v>202</v>
      </c>
      <c r="B179" s="125">
        <f>6.5+2.5</f>
        <v>9</v>
      </c>
      <c r="C179" s="125">
        <v>6.5</v>
      </c>
      <c r="D179" s="125">
        <v>9</v>
      </c>
      <c r="K179" s="126"/>
      <c r="N179" s="12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8" hidden="1" customHeight="1" x14ac:dyDescent="0.35">
      <c r="A180" s="156" t="s">
        <v>203</v>
      </c>
      <c r="B180" s="128">
        <v>13</v>
      </c>
      <c r="C180" s="128">
        <v>11</v>
      </c>
      <c r="D180" s="128">
        <v>13</v>
      </c>
      <c r="E180" s="128"/>
      <c r="F180" s="128"/>
      <c r="G180" s="128"/>
      <c r="H180" s="128"/>
      <c r="I180" s="128"/>
      <c r="J180" s="128"/>
      <c r="K180" s="129"/>
      <c r="N180" s="12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8" hidden="1" customHeight="1" x14ac:dyDescent="0.35">
      <c r="N181" s="12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8" hidden="1" customHeight="1" x14ac:dyDescent="0.35">
      <c r="A182" s="158" t="s">
        <v>20</v>
      </c>
      <c r="B182" s="308"/>
      <c r="C182" s="308"/>
      <c r="D182" s="308"/>
      <c r="E182" s="308"/>
      <c r="F182" s="308"/>
      <c r="G182" s="308"/>
      <c r="H182" s="308"/>
      <c r="I182" s="308"/>
      <c r="J182" s="308"/>
      <c r="K182" s="308"/>
      <c r="L182" s="308"/>
      <c r="M182" s="308"/>
      <c r="N182" s="122"/>
      <c r="O182" s="308"/>
      <c r="P182" s="308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8" hidden="1" customHeight="1" x14ac:dyDescent="0.35">
      <c r="A183" s="159" t="s">
        <v>14</v>
      </c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3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8" hidden="1" customHeight="1" x14ac:dyDescent="0.3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3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8" hidden="1" customHeight="1" x14ac:dyDescent="0.3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3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8" hidden="1" customHeight="1" x14ac:dyDescent="0.35">
      <c r="A186" s="345" t="s">
        <v>135</v>
      </c>
      <c r="B186" s="346">
        <v>10</v>
      </c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3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8" hidden="1" customHeight="1" x14ac:dyDescent="0.35">
      <c r="A187" s="347" t="s">
        <v>136</v>
      </c>
      <c r="B187" s="348">
        <v>10</v>
      </c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3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8" hidden="1" customHeight="1" x14ac:dyDescent="0.35">
      <c r="A188" s="349" t="s">
        <v>24</v>
      </c>
      <c r="B188" s="350">
        <v>3</v>
      </c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3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8" hidden="1" customHeight="1" x14ac:dyDescent="0.3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3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8" customHeight="1" x14ac:dyDescent="0.3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3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8" customHeight="1" x14ac:dyDescent="0.3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3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8" customHeight="1" x14ac:dyDescent="0.3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3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8" customHeight="1" x14ac:dyDescent="0.3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3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8" customHeight="1" x14ac:dyDescent="0.3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3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8" customHeight="1" x14ac:dyDescent="0.3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3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8" customHeight="1" x14ac:dyDescent="0.3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3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8" customHeight="1" x14ac:dyDescent="0.3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3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8" customHeight="1" x14ac:dyDescent="0.3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3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8" customHeight="1" x14ac:dyDescent="0.3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3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8" customHeight="1" x14ac:dyDescent="0.3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3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8" customHeight="1" x14ac:dyDescent="0.3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3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8" customHeight="1" x14ac:dyDescent="0.3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3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8" customHeight="1" x14ac:dyDescent="0.3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3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8" customHeight="1" x14ac:dyDescent="0.3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3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8" customHeight="1" x14ac:dyDescent="0.3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3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8" customHeight="1" x14ac:dyDescent="0.3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3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8" customHeight="1" x14ac:dyDescent="0.3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3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8" customHeight="1" x14ac:dyDescent="0.3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3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8" customHeight="1" x14ac:dyDescent="0.3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3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8" customHeight="1" x14ac:dyDescent="0.3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3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8" customHeight="1" x14ac:dyDescent="0.3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3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8" customHeight="1" x14ac:dyDescent="0.3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3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8" customHeight="1" x14ac:dyDescent="0.3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3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8" customHeight="1" x14ac:dyDescent="0.3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3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8" customHeight="1" x14ac:dyDescent="0.3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3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8" customHeight="1" x14ac:dyDescent="0.3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3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8" customHeight="1" x14ac:dyDescent="0.3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3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8" customHeight="1" x14ac:dyDescent="0.3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3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8" customHeight="1" x14ac:dyDescent="0.3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3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8" customHeight="1" x14ac:dyDescent="0.3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3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8" customHeight="1" x14ac:dyDescent="0.3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3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8" customHeight="1" x14ac:dyDescent="0.3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3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8" customHeight="1" x14ac:dyDescent="0.3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3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8" customHeight="1" x14ac:dyDescent="0.3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3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8" customHeight="1" x14ac:dyDescent="0.3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3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8" customHeight="1" x14ac:dyDescent="0.3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3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8" customHeight="1" x14ac:dyDescent="0.3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3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8" customHeight="1" x14ac:dyDescent="0.3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3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8" customHeight="1" x14ac:dyDescent="0.3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3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8" customHeight="1" x14ac:dyDescent="0.3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3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8" customHeight="1" x14ac:dyDescent="0.3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3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8" customHeight="1" x14ac:dyDescent="0.3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3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8" customHeight="1" x14ac:dyDescent="0.3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3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8" customHeight="1" x14ac:dyDescent="0.3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3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8" customHeight="1" x14ac:dyDescent="0.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3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8" customHeight="1" x14ac:dyDescent="0.3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3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8" customHeight="1" x14ac:dyDescent="0.3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3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8" customHeight="1" x14ac:dyDescent="0.3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3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8" customHeight="1" x14ac:dyDescent="0.3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3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8" customHeight="1" x14ac:dyDescent="0.3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3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8" customHeight="1" x14ac:dyDescent="0.3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3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8" customHeight="1" x14ac:dyDescent="0.3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3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8" customHeight="1" x14ac:dyDescent="0.3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3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8" customHeight="1" x14ac:dyDescent="0.3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3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8" customHeight="1" x14ac:dyDescent="0.3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3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8" customHeight="1" x14ac:dyDescent="0.3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3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8" customHeight="1" x14ac:dyDescent="0.3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3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8" customHeight="1" x14ac:dyDescent="0.3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3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8" customHeight="1" x14ac:dyDescent="0.3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3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8" customHeight="1" x14ac:dyDescent="0.3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3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8" customHeight="1" x14ac:dyDescent="0.3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3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8" customHeight="1" x14ac:dyDescent="0.3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3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8" customHeight="1" x14ac:dyDescent="0.3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3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8" customHeight="1" x14ac:dyDescent="0.3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3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8" customHeight="1" x14ac:dyDescent="0.3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3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8" customHeight="1" x14ac:dyDescent="0.3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3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8" customHeight="1" x14ac:dyDescent="0.3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3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8" customHeight="1" x14ac:dyDescent="0.3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3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8" customHeight="1" x14ac:dyDescent="0.3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3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8" customHeight="1" x14ac:dyDescent="0.3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3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8" customHeight="1" x14ac:dyDescent="0.3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3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8" customHeight="1" x14ac:dyDescent="0.3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3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8" customHeight="1" x14ac:dyDescent="0.3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3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8" customHeight="1" x14ac:dyDescent="0.3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3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8" customHeight="1" x14ac:dyDescent="0.3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3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8" customHeight="1" x14ac:dyDescent="0.3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3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8" customHeight="1" x14ac:dyDescent="0.3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3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8" customHeight="1" x14ac:dyDescent="0.3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3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8" customHeight="1" x14ac:dyDescent="0.3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3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8" customHeight="1" x14ac:dyDescent="0.3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3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8" customHeight="1" x14ac:dyDescent="0.3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3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8" customHeight="1" x14ac:dyDescent="0.3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3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8" customHeight="1" x14ac:dyDescent="0.3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3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8" customHeight="1" x14ac:dyDescent="0.3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3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8" customHeight="1" x14ac:dyDescent="0.3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3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8" customHeight="1" x14ac:dyDescent="0.3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3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8" customHeight="1" x14ac:dyDescent="0.3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3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8" customHeight="1" x14ac:dyDescent="0.3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3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8" customHeight="1" x14ac:dyDescent="0.3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3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8" customHeight="1" x14ac:dyDescent="0.3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3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8" customHeight="1" x14ac:dyDescent="0.3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3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8" customHeight="1" x14ac:dyDescent="0.3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3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8" customHeight="1" x14ac:dyDescent="0.3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3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8" customHeight="1" x14ac:dyDescent="0.3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3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8" customHeight="1" x14ac:dyDescent="0.3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3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8" customHeight="1" x14ac:dyDescent="0.3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3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8" customHeight="1" x14ac:dyDescent="0.3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3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8" customHeight="1" x14ac:dyDescent="0.3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3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8" customHeight="1" x14ac:dyDescent="0.3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3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8" customHeight="1" x14ac:dyDescent="0.3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3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8" customHeight="1" x14ac:dyDescent="0.3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3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8" customHeight="1" x14ac:dyDescent="0.3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3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8" customHeight="1" x14ac:dyDescent="0.3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3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8" customHeight="1" x14ac:dyDescent="0.3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3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8" customHeight="1" x14ac:dyDescent="0.3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3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8" customHeight="1" x14ac:dyDescent="0.3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3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8" customHeight="1" x14ac:dyDescent="0.3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3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8" customHeight="1" x14ac:dyDescent="0.3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3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8" customHeight="1" x14ac:dyDescent="0.3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3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8" customHeight="1" x14ac:dyDescent="0.3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3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8" customHeight="1" x14ac:dyDescent="0.3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3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8" customHeight="1" x14ac:dyDescent="0.3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3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8" customHeight="1" x14ac:dyDescent="0.3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3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8" customHeight="1" x14ac:dyDescent="0.3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3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8" customHeight="1" x14ac:dyDescent="0.3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3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8" customHeight="1" x14ac:dyDescent="0.3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3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8" customHeight="1" x14ac:dyDescent="0.3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3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8" customHeight="1" x14ac:dyDescent="0.3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3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8" customHeight="1" x14ac:dyDescent="0.3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3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8" customHeight="1" x14ac:dyDescent="0.3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3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8" customHeight="1" x14ac:dyDescent="0.3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3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8" customHeight="1" x14ac:dyDescent="0.3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3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8" customHeight="1" x14ac:dyDescent="0.3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3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8" customHeight="1" x14ac:dyDescent="0.3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3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8" customHeight="1" x14ac:dyDescent="0.3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3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8" customHeight="1" x14ac:dyDescent="0.3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3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8" customHeight="1" x14ac:dyDescent="0.3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3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8" customHeight="1" x14ac:dyDescent="0.3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3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8" customHeight="1" x14ac:dyDescent="0.3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3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8" customHeight="1" x14ac:dyDescent="0.3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3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8" customHeight="1" x14ac:dyDescent="0.3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3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8" customHeight="1" x14ac:dyDescent="0.3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3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8" customHeight="1" x14ac:dyDescent="0.3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3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8" customHeight="1" x14ac:dyDescent="0.3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3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8" customHeight="1" x14ac:dyDescent="0.3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3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8" customHeight="1" x14ac:dyDescent="0.3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3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8" customHeight="1" x14ac:dyDescent="0.3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3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8" customHeight="1" x14ac:dyDescent="0.3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3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8" customHeight="1" x14ac:dyDescent="0.3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3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8" customHeight="1" x14ac:dyDescent="0.3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3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8" customHeight="1" x14ac:dyDescent="0.3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3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8" customHeight="1" x14ac:dyDescent="0.3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3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8" customHeight="1" x14ac:dyDescent="0.3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3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8" customHeight="1" x14ac:dyDescent="0.3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3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8" customHeight="1" x14ac:dyDescent="0.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3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8" customHeight="1" x14ac:dyDescent="0.3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3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8" customHeight="1" x14ac:dyDescent="0.3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3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8" customHeight="1" x14ac:dyDescent="0.3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3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8" customHeight="1" x14ac:dyDescent="0.3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3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8" customHeight="1" x14ac:dyDescent="0.3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3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8" customHeight="1" x14ac:dyDescent="0.3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3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8" customHeight="1" x14ac:dyDescent="0.3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3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8" customHeight="1" x14ac:dyDescent="0.3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3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8" customHeight="1" x14ac:dyDescent="0.3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3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8" customHeight="1" x14ac:dyDescent="0.3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3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8" customHeight="1" x14ac:dyDescent="0.3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3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8" customHeight="1" x14ac:dyDescent="0.3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3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8" customHeight="1" x14ac:dyDescent="0.3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3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8" customHeight="1" x14ac:dyDescent="0.3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3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8" customHeight="1" x14ac:dyDescent="0.3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3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8" customHeight="1" x14ac:dyDescent="0.3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3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8" customHeight="1" x14ac:dyDescent="0.3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3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8" customHeight="1" x14ac:dyDescent="0.3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3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8" customHeight="1" x14ac:dyDescent="0.3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3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8" customHeight="1" x14ac:dyDescent="0.3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3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8" customHeight="1" x14ac:dyDescent="0.3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3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8" customHeight="1" x14ac:dyDescent="0.3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3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8" customHeight="1" x14ac:dyDescent="0.3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3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8" customHeight="1" x14ac:dyDescent="0.3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3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8" customHeight="1" x14ac:dyDescent="0.3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3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8" customHeight="1" x14ac:dyDescent="0.3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3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8" customHeight="1" x14ac:dyDescent="0.3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3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8" customHeight="1" x14ac:dyDescent="0.3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3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8" customHeight="1" x14ac:dyDescent="0.3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3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8" customHeight="1" x14ac:dyDescent="0.3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3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8" customHeight="1" x14ac:dyDescent="0.3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3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8" customHeight="1" x14ac:dyDescent="0.3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3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8" customHeight="1" x14ac:dyDescent="0.3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3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8" customHeight="1" x14ac:dyDescent="0.3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3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8" customHeight="1" x14ac:dyDescent="0.3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3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8" customHeight="1" x14ac:dyDescent="0.3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3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8" customHeight="1" x14ac:dyDescent="0.3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3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8" customHeight="1" x14ac:dyDescent="0.3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3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8" customHeight="1" x14ac:dyDescent="0.3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3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8" customHeight="1" x14ac:dyDescent="0.3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3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8" customHeight="1" x14ac:dyDescent="0.3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3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8" customHeight="1" x14ac:dyDescent="0.3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3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8" customHeight="1" x14ac:dyDescent="0.3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3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8" customHeight="1" x14ac:dyDescent="0.3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3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8" customHeight="1" x14ac:dyDescent="0.3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3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8" customHeight="1" x14ac:dyDescent="0.3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3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8" customHeight="1" x14ac:dyDescent="0.3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3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8" customHeight="1" x14ac:dyDescent="0.3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3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8" customHeight="1" x14ac:dyDescent="0.3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3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8" customHeight="1" x14ac:dyDescent="0.3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3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8" customHeight="1" x14ac:dyDescent="0.3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3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8" customHeight="1" x14ac:dyDescent="0.3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3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8" customHeight="1" x14ac:dyDescent="0.3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3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8" customHeight="1" x14ac:dyDescent="0.3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3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8" customHeight="1" x14ac:dyDescent="0.3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3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8" customHeight="1" x14ac:dyDescent="0.3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3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8" customHeight="1" x14ac:dyDescent="0.3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3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8" customHeight="1" x14ac:dyDescent="0.3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3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8" customHeight="1" x14ac:dyDescent="0.3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3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8" customHeight="1" x14ac:dyDescent="0.3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3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8" customHeight="1" x14ac:dyDescent="0.3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3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8" customHeight="1" x14ac:dyDescent="0.3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3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8" customHeight="1" x14ac:dyDescent="0.3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3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8" customHeight="1" x14ac:dyDescent="0.3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3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8" customHeight="1" x14ac:dyDescent="0.3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3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8" customHeight="1" x14ac:dyDescent="0.3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3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8" customHeight="1" x14ac:dyDescent="0.3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3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8" customHeight="1" x14ac:dyDescent="0.3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3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8" customHeight="1" x14ac:dyDescent="0.3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3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8" customHeight="1" x14ac:dyDescent="0.3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3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8" customHeight="1" x14ac:dyDescent="0.3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3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8" customHeight="1" x14ac:dyDescent="0.3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3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8" customHeight="1" x14ac:dyDescent="0.3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3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8" customHeight="1" x14ac:dyDescent="0.3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3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8" customHeight="1" x14ac:dyDescent="0.3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3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8" customHeight="1" x14ac:dyDescent="0.3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3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8" customHeight="1" x14ac:dyDescent="0.3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3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8" customHeight="1" x14ac:dyDescent="0.3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3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8" customHeight="1" x14ac:dyDescent="0.3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3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8" customHeight="1" x14ac:dyDescent="0.3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3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8" customHeight="1" x14ac:dyDescent="0.3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3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8" customHeight="1" x14ac:dyDescent="0.3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3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8" customHeight="1" x14ac:dyDescent="0.3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3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8" customHeight="1" x14ac:dyDescent="0.3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3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8" customHeight="1" x14ac:dyDescent="0.3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3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8" customHeight="1" x14ac:dyDescent="0.3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3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8" customHeight="1" x14ac:dyDescent="0.3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3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8" customHeight="1" x14ac:dyDescent="0.3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3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8" customHeight="1" x14ac:dyDescent="0.3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3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8" customHeight="1" x14ac:dyDescent="0.3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3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8" customHeight="1" x14ac:dyDescent="0.3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3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8" customHeight="1" x14ac:dyDescent="0.3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3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8" customHeight="1" x14ac:dyDescent="0.3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3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8" customHeight="1" x14ac:dyDescent="0.3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3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8" customHeight="1" x14ac:dyDescent="0.3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3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8" customHeight="1" x14ac:dyDescent="0.3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3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8" customHeight="1" x14ac:dyDescent="0.3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3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8" customHeight="1" x14ac:dyDescent="0.3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3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8" customHeight="1" x14ac:dyDescent="0.3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3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8" customHeight="1" x14ac:dyDescent="0.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3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8" customHeight="1" x14ac:dyDescent="0.3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3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8" customHeight="1" x14ac:dyDescent="0.3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3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8" customHeight="1" x14ac:dyDescent="0.3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3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8" customHeight="1" x14ac:dyDescent="0.3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3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8" customHeight="1" x14ac:dyDescent="0.3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3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8" customHeight="1" x14ac:dyDescent="0.3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3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8" customHeight="1" x14ac:dyDescent="0.3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3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8" customHeight="1" x14ac:dyDescent="0.3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3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8" customHeight="1" x14ac:dyDescent="0.3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3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8" customHeight="1" x14ac:dyDescent="0.3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3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8" customHeight="1" x14ac:dyDescent="0.3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3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8" customHeight="1" x14ac:dyDescent="0.3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3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8" customHeight="1" x14ac:dyDescent="0.3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3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8" customHeight="1" x14ac:dyDescent="0.3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3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8" customHeight="1" x14ac:dyDescent="0.3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3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8" customHeight="1" x14ac:dyDescent="0.3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3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8" customHeight="1" x14ac:dyDescent="0.3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3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8" customHeight="1" x14ac:dyDescent="0.3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3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8" customHeight="1" x14ac:dyDescent="0.3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3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8" customHeight="1" x14ac:dyDescent="0.3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3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8" customHeight="1" x14ac:dyDescent="0.3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3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8" customHeight="1" x14ac:dyDescent="0.3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3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8" customHeight="1" x14ac:dyDescent="0.3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3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8" customHeight="1" x14ac:dyDescent="0.3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3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8" customHeight="1" x14ac:dyDescent="0.3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3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8" customHeight="1" x14ac:dyDescent="0.3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3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8" customHeight="1" x14ac:dyDescent="0.3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3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8" customHeight="1" x14ac:dyDescent="0.3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3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8" customHeight="1" x14ac:dyDescent="0.3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3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8" customHeight="1" x14ac:dyDescent="0.3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3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8" customHeight="1" x14ac:dyDescent="0.3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3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8" customHeight="1" x14ac:dyDescent="0.3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3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8" customHeight="1" x14ac:dyDescent="0.3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3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8" customHeight="1" x14ac:dyDescent="0.3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3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8" customHeight="1" x14ac:dyDescent="0.3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3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8" customHeight="1" x14ac:dyDescent="0.3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3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8" customHeight="1" x14ac:dyDescent="0.3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3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8" customHeight="1" x14ac:dyDescent="0.3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3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8" customHeight="1" x14ac:dyDescent="0.3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3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8" customHeight="1" x14ac:dyDescent="0.3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3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8" customHeight="1" x14ac:dyDescent="0.3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3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8" customHeight="1" x14ac:dyDescent="0.3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3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8" customHeight="1" x14ac:dyDescent="0.3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3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8" customHeight="1" x14ac:dyDescent="0.3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3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8" customHeight="1" x14ac:dyDescent="0.3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3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8" customHeight="1" x14ac:dyDescent="0.3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3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8" customHeight="1" x14ac:dyDescent="0.3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3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8" customHeight="1" x14ac:dyDescent="0.3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3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8" customHeight="1" x14ac:dyDescent="0.3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3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8" customHeight="1" x14ac:dyDescent="0.3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3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8" customHeight="1" x14ac:dyDescent="0.3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3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8" customHeight="1" x14ac:dyDescent="0.3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3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8" customHeight="1" x14ac:dyDescent="0.3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3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8" customHeight="1" x14ac:dyDescent="0.3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3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8" customHeight="1" x14ac:dyDescent="0.3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3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8" customHeight="1" x14ac:dyDescent="0.3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3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8" customHeight="1" x14ac:dyDescent="0.3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3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8" customHeight="1" x14ac:dyDescent="0.3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3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8" customHeight="1" x14ac:dyDescent="0.3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3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8" customHeight="1" x14ac:dyDescent="0.3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3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8" customHeight="1" x14ac:dyDescent="0.3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3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8" customHeight="1" x14ac:dyDescent="0.3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3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8" customHeight="1" x14ac:dyDescent="0.3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3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8" customHeight="1" x14ac:dyDescent="0.3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3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8" customHeight="1" x14ac:dyDescent="0.3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3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8" customHeight="1" x14ac:dyDescent="0.3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3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8" customHeight="1" x14ac:dyDescent="0.3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3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8" customHeight="1" x14ac:dyDescent="0.3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3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8" customHeight="1" x14ac:dyDescent="0.3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3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8" customHeight="1" x14ac:dyDescent="0.3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3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8" customHeight="1" x14ac:dyDescent="0.3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3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8" customHeight="1" x14ac:dyDescent="0.3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3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8" customHeight="1" x14ac:dyDescent="0.3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3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8" customHeight="1" x14ac:dyDescent="0.3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3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8" customHeight="1" x14ac:dyDescent="0.3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3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8" customHeight="1" x14ac:dyDescent="0.3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3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8" customHeight="1" x14ac:dyDescent="0.3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3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8" customHeight="1" x14ac:dyDescent="0.3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3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8" customHeight="1" x14ac:dyDescent="0.3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3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8" customHeight="1" x14ac:dyDescent="0.3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3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8" customHeight="1" x14ac:dyDescent="0.3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3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8" customHeight="1" x14ac:dyDescent="0.3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3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8" customHeight="1" x14ac:dyDescent="0.3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3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8" customHeight="1" x14ac:dyDescent="0.3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3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8" customHeight="1" x14ac:dyDescent="0.3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3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8" customHeight="1" x14ac:dyDescent="0.3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3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8" customHeight="1" x14ac:dyDescent="0.3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3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8" customHeight="1" x14ac:dyDescent="0.3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3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8" customHeight="1" x14ac:dyDescent="0.3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3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8" customHeight="1" x14ac:dyDescent="0.3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3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8" customHeight="1" x14ac:dyDescent="0.3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3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8" customHeight="1" x14ac:dyDescent="0.3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3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8" customHeight="1" x14ac:dyDescent="0.3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3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8" customHeight="1" x14ac:dyDescent="0.3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3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8" customHeight="1" x14ac:dyDescent="0.3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3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8" customHeight="1" x14ac:dyDescent="0.3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3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8" customHeight="1" x14ac:dyDescent="0.3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3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8" customHeight="1" x14ac:dyDescent="0.3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3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8" customHeight="1" x14ac:dyDescent="0.3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3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8" customHeight="1" x14ac:dyDescent="0.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3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8" customHeight="1" x14ac:dyDescent="0.3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3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8" customHeight="1" x14ac:dyDescent="0.3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3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8" customHeight="1" x14ac:dyDescent="0.3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3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8" customHeight="1" x14ac:dyDescent="0.3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3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8" customHeight="1" x14ac:dyDescent="0.3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3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8" customHeight="1" x14ac:dyDescent="0.3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3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8" customHeight="1" x14ac:dyDescent="0.3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3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8" customHeight="1" x14ac:dyDescent="0.3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3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8" customHeight="1" x14ac:dyDescent="0.3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3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8" customHeight="1" x14ac:dyDescent="0.3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3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8" customHeight="1" x14ac:dyDescent="0.3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3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8" customHeight="1" x14ac:dyDescent="0.3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3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8" customHeight="1" x14ac:dyDescent="0.3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3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8" customHeight="1" x14ac:dyDescent="0.3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3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8" customHeight="1" x14ac:dyDescent="0.3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3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8" customHeight="1" x14ac:dyDescent="0.3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3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8" customHeight="1" x14ac:dyDescent="0.3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3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8" customHeight="1" x14ac:dyDescent="0.3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3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8" customHeight="1" x14ac:dyDescent="0.3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3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8" customHeight="1" x14ac:dyDescent="0.3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3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8" customHeight="1" x14ac:dyDescent="0.3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3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8" customHeight="1" x14ac:dyDescent="0.3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3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8" customHeight="1" x14ac:dyDescent="0.3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3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8" customHeight="1" x14ac:dyDescent="0.3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3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8" customHeight="1" x14ac:dyDescent="0.3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3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8" customHeight="1" x14ac:dyDescent="0.3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3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8" customHeight="1" x14ac:dyDescent="0.3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3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8" customHeight="1" x14ac:dyDescent="0.3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3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8" customHeight="1" x14ac:dyDescent="0.3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3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8" customHeight="1" x14ac:dyDescent="0.3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3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8" customHeight="1" x14ac:dyDescent="0.3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3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8" customHeight="1" x14ac:dyDescent="0.3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3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8" customHeight="1" x14ac:dyDescent="0.3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3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8" customHeight="1" x14ac:dyDescent="0.3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3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8" customHeight="1" x14ac:dyDescent="0.3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3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8" customHeight="1" x14ac:dyDescent="0.3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3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8" customHeight="1" x14ac:dyDescent="0.3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3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8" customHeight="1" x14ac:dyDescent="0.3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3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8" customHeight="1" x14ac:dyDescent="0.3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3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8" customHeight="1" x14ac:dyDescent="0.3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3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8" customHeight="1" x14ac:dyDescent="0.3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3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8" customHeight="1" x14ac:dyDescent="0.3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3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8" customHeight="1" x14ac:dyDescent="0.3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3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8" customHeight="1" x14ac:dyDescent="0.3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3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8" customHeight="1" x14ac:dyDescent="0.3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3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8" customHeight="1" x14ac:dyDescent="0.3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3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8" customHeight="1" x14ac:dyDescent="0.3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3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8" customHeight="1" x14ac:dyDescent="0.3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3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8" customHeight="1" x14ac:dyDescent="0.3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3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8" customHeight="1" x14ac:dyDescent="0.3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3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8" customHeight="1" x14ac:dyDescent="0.3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3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8" customHeight="1" x14ac:dyDescent="0.3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3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8" customHeight="1" x14ac:dyDescent="0.3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3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8" customHeight="1" x14ac:dyDescent="0.3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3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8" customHeight="1" x14ac:dyDescent="0.3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3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8" customHeight="1" x14ac:dyDescent="0.3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3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8" customHeight="1" x14ac:dyDescent="0.3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3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8" customHeight="1" x14ac:dyDescent="0.3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3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8" customHeight="1" x14ac:dyDescent="0.3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3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8" customHeight="1" x14ac:dyDescent="0.3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3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8" customHeight="1" x14ac:dyDescent="0.3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3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8" customHeight="1" x14ac:dyDescent="0.3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3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8" customHeight="1" x14ac:dyDescent="0.3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3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8" customHeight="1" x14ac:dyDescent="0.3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3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8" customHeight="1" x14ac:dyDescent="0.3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3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8" customHeight="1" x14ac:dyDescent="0.3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3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8" customHeight="1" x14ac:dyDescent="0.3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3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8" customHeight="1" x14ac:dyDescent="0.3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3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8" customHeight="1" x14ac:dyDescent="0.3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3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8" customHeight="1" x14ac:dyDescent="0.3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3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8" customHeight="1" x14ac:dyDescent="0.3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3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8" customHeight="1" x14ac:dyDescent="0.3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3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8" customHeight="1" x14ac:dyDescent="0.3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3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8" customHeight="1" x14ac:dyDescent="0.3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3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8" customHeight="1" x14ac:dyDescent="0.3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3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8" customHeight="1" x14ac:dyDescent="0.3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3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8" customHeight="1" x14ac:dyDescent="0.3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3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8" customHeight="1" x14ac:dyDescent="0.3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3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8" customHeight="1" x14ac:dyDescent="0.3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3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8" customHeight="1" x14ac:dyDescent="0.3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3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8" customHeight="1" x14ac:dyDescent="0.3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3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8" customHeight="1" x14ac:dyDescent="0.3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3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8" customHeight="1" x14ac:dyDescent="0.3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3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8" customHeight="1" x14ac:dyDescent="0.3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3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8" customHeight="1" x14ac:dyDescent="0.3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3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8" customHeight="1" x14ac:dyDescent="0.3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3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8" customHeight="1" x14ac:dyDescent="0.3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3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8" customHeight="1" x14ac:dyDescent="0.3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3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8" customHeight="1" x14ac:dyDescent="0.3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3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8" customHeight="1" x14ac:dyDescent="0.3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3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8" customHeight="1" x14ac:dyDescent="0.3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3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8" customHeight="1" x14ac:dyDescent="0.3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3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8" customHeight="1" x14ac:dyDescent="0.3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3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8" customHeight="1" x14ac:dyDescent="0.3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3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8" customHeight="1" x14ac:dyDescent="0.3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3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8" customHeight="1" x14ac:dyDescent="0.3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3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8" customHeight="1" x14ac:dyDescent="0.3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3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8" customHeight="1" x14ac:dyDescent="0.3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3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8" customHeight="1" x14ac:dyDescent="0.3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3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8" customHeight="1" x14ac:dyDescent="0.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3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8" customHeight="1" x14ac:dyDescent="0.3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3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8" customHeight="1" x14ac:dyDescent="0.3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3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8" customHeight="1" x14ac:dyDescent="0.3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3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8" customHeight="1" x14ac:dyDescent="0.3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3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8" customHeight="1" x14ac:dyDescent="0.3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3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8" customHeight="1" x14ac:dyDescent="0.3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3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8" customHeight="1" x14ac:dyDescent="0.3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3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8" customHeight="1" x14ac:dyDescent="0.3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3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8" customHeight="1" x14ac:dyDescent="0.3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3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8" customHeight="1" x14ac:dyDescent="0.3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3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8" customHeight="1" x14ac:dyDescent="0.3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3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8" customHeight="1" x14ac:dyDescent="0.3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3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8" customHeight="1" x14ac:dyDescent="0.3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3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8" customHeight="1" x14ac:dyDescent="0.3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3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8" customHeight="1" x14ac:dyDescent="0.3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3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8" customHeight="1" x14ac:dyDescent="0.3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3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8" customHeight="1" x14ac:dyDescent="0.3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3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8" customHeight="1" x14ac:dyDescent="0.3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3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8" customHeight="1" x14ac:dyDescent="0.3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3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8" customHeight="1" x14ac:dyDescent="0.3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3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8" customHeight="1" x14ac:dyDescent="0.3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3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8" customHeight="1" x14ac:dyDescent="0.3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3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8" customHeight="1" x14ac:dyDescent="0.3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3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8" customHeight="1" x14ac:dyDescent="0.3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3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8" customHeight="1" x14ac:dyDescent="0.3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3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8" customHeight="1" x14ac:dyDescent="0.3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3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8" customHeight="1" x14ac:dyDescent="0.3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3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8" customHeight="1" x14ac:dyDescent="0.3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3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8" customHeight="1" x14ac:dyDescent="0.3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3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8" customHeight="1" x14ac:dyDescent="0.3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3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8" customHeight="1" x14ac:dyDescent="0.3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3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8" customHeight="1" x14ac:dyDescent="0.3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3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8" customHeight="1" x14ac:dyDescent="0.3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3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8" customHeight="1" x14ac:dyDescent="0.3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3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8" customHeight="1" x14ac:dyDescent="0.3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3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8" customHeight="1" x14ac:dyDescent="0.3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3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8" customHeight="1" x14ac:dyDescent="0.3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3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8" customHeight="1" x14ac:dyDescent="0.3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3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8" customHeight="1" x14ac:dyDescent="0.3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3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8" customHeight="1" x14ac:dyDescent="0.3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3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8" customHeight="1" x14ac:dyDescent="0.3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3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8" customHeight="1" x14ac:dyDescent="0.3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3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8" customHeight="1" x14ac:dyDescent="0.3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3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8" customHeight="1" x14ac:dyDescent="0.3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3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8" customHeight="1" x14ac:dyDescent="0.3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3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8" customHeight="1" x14ac:dyDescent="0.3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3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8" customHeight="1" x14ac:dyDescent="0.3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3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8" customHeight="1" x14ac:dyDescent="0.3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3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8" customHeight="1" x14ac:dyDescent="0.3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3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8" customHeight="1" x14ac:dyDescent="0.3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3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8" customHeight="1" x14ac:dyDescent="0.3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3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8" customHeight="1" x14ac:dyDescent="0.3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3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8" customHeight="1" x14ac:dyDescent="0.3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3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8" customHeight="1" x14ac:dyDescent="0.3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3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8" customHeight="1" x14ac:dyDescent="0.3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3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8" customHeight="1" x14ac:dyDescent="0.3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3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8" customHeight="1" x14ac:dyDescent="0.3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3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8" customHeight="1" x14ac:dyDescent="0.3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3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8" customHeight="1" x14ac:dyDescent="0.3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3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8" customHeight="1" x14ac:dyDescent="0.3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3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8" customHeight="1" x14ac:dyDescent="0.3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3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8" customHeight="1" x14ac:dyDescent="0.3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3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8" customHeight="1" x14ac:dyDescent="0.3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3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8" customHeight="1" x14ac:dyDescent="0.3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3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8" customHeight="1" x14ac:dyDescent="0.3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3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8" customHeight="1" x14ac:dyDescent="0.3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3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8" customHeight="1" x14ac:dyDescent="0.3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3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8" customHeight="1" x14ac:dyDescent="0.3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3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8" customHeight="1" x14ac:dyDescent="0.3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3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8" customHeight="1" x14ac:dyDescent="0.3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3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8" customHeight="1" x14ac:dyDescent="0.3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3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8" customHeight="1" x14ac:dyDescent="0.3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3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8" customHeight="1" x14ac:dyDescent="0.3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3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8" customHeight="1" x14ac:dyDescent="0.3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3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8" customHeight="1" x14ac:dyDescent="0.3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3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8" customHeight="1" x14ac:dyDescent="0.3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3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8" customHeight="1" x14ac:dyDescent="0.3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3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8" customHeight="1" x14ac:dyDescent="0.3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3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8" customHeight="1" x14ac:dyDescent="0.3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3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8" customHeight="1" x14ac:dyDescent="0.3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3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8" customHeight="1" x14ac:dyDescent="0.3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3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8" customHeight="1" x14ac:dyDescent="0.3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3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8" customHeight="1" x14ac:dyDescent="0.3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3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8" customHeight="1" x14ac:dyDescent="0.3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3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8" customHeight="1" x14ac:dyDescent="0.3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3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8" customHeight="1" x14ac:dyDescent="0.3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3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8" customHeight="1" x14ac:dyDescent="0.3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3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8" customHeight="1" x14ac:dyDescent="0.3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3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8" customHeight="1" x14ac:dyDescent="0.3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3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8" customHeight="1" x14ac:dyDescent="0.3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3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8" customHeight="1" x14ac:dyDescent="0.3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3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8" customHeight="1" x14ac:dyDescent="0.3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3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8" customHeight="1" x14ac:dyDescent="0.3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3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8" customHeight="1" x14ac:dyDescent="0.3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3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8" customHeight="1" x14ac:dyDescent="0.3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3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8" customHeight="1" x14ac:dyDescent="0.3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3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8" customHeight="1" x14ac:dyDescent="0.3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3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8" customHeight="1" x14ac:dyDescent="0.3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3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8" customHeight="1" x14ac:dyDescent="0.3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3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8" customHeight="1" x14ac:dyDescent="0.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3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8" customHeight="1" x14ac:dyDescent="0.3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3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8" customHeight="1" x14ac:dyDescent="0.3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3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8" customHeight="1" x14ac:dyDescent="0.3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3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8" customHeight="1" x14ac:dyDescent="0.3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3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8" customHeight="1" x14ac:dyDescent="0.3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3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8" customHeight="1" x14ac:dyDescent="0.3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3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8" customHeight="1" x14ac:dyDescent="0.3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3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8" customHeight="1" x14ac:dyDescent="0.3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3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8" customHeight="1" x14ac:dyDescent="0.3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3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8" customHeight="1" x14ac:dyDescent="0.3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3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8" customHeight="1" x14ac:dyDescent="0.3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3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8" customHeight="1" x14ac:dyDescent="0.3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3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8" customHeight="1" x14ac:dyDescent="0.3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3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8" customHeight="1" x14ac:dyDescent="0.3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3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8" customHeight="1" x14ac:dyDescent="0.3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3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8" customHeight="1" x14ac:dyDescent="0.3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3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8" customHeight="1" x14ac:dyDescent="0.3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3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8" customHeight="1" x14ac:dyDescent="0.3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3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8" customHeight="1" x14ac:dyDescent="0.3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3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8" customHeight="1" x14ac:dyDescent="0.3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3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8" customHeight="1" x14ac:dyDescent="0.3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3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8" customHeight="1" x14ac:dyDescent="0.3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3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8" customHeight="1" x14ac:dyDescent="0.3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3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8" customHeight="1" x14ac:dyDescent="0.3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3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8" customHeight="1" x14ac:dyDescent="0.3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3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8" customHeight="1" x14ac:dyDescent="0.3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3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8" customHeight="1" x14ac:dyDescent="0.3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3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8" customHeight="1" x14ac:dyDescent="0.3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3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8" customHeight="1" x14ac:dyDescent="0.3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3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8" customHeight="1" x14ac:dyDescent="0.3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3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8" customHeight="1" x14ac:dyDescent="0.3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3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8" customHeight="1" x14ac:dyDescent="0.3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3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8" customHeight="1" x14ac:dyDescent="0.3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3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8" customHeight="1" x14ac:dyDescent="0.3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3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8" customHeight="1" x14ac:dyDescent="0.3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3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8" customHeight="1" x14ac:dyDescent="0.3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3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8" customHeight="1" x14ac:dyDescent="0.3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3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8" customHeight="1" x14ac:dyDescent="0.3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3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8" customHeight="1" x14ac:dyDescent="0.3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3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8" customHeight="1" x14ac:dyDescent="0.3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3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8" customHeight="1" x14ac:dyDescent="0.3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3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8" customHeight="1" x14ac:dyDescent="0.3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3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8" customHeight="1" x14ac:dyDescent="0.3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3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8" customHeight="1" x14ac:dyDescent="0.3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3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8" customHeight="1" x14ac:dyDescent="0.3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3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8" customHeight="1" x14ac:dyDescent="0.3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3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8" customHeight="1" x14ac:dyDescent="0.3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3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8" customHeight="1" x14ac:dyDescent="0.3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3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8" customHeight="1" x14ac:dyDescent="0.3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3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8" customHeight="1" x14ac:dyDescent="0.3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3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8" customHeight="1" x14ac:dyDescent="0.3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3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8" customHeight="1" x14ac:dyDescent="0.3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3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8" customHeight="1" x14ac:dyDescent="0.3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3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8" customHeight="1" x14ac:dyDescent="0.3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3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8" customHeight="1" x14ac:dyDescent="0.3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3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8" customHeight="1" x14ac:dyDescent="0.3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3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8" customHeight="1" x14ac:dyDescent="0.3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3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8" customHeight="1" x14ac:dyDescent="0.3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3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8" customHeight="1" x14ac:dyDescent="0.3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3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8" customHeight="1" x14ac:dyDescent="0.3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3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8" customHeight="1" x14ac:dyDescent="0.3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3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8" customHeight="1" x14ac:dyDescent="0.3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3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8" customHeight="1" x14ac:dyDescent="0.3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3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8" customHeight="1" x14ac:dyDescent="0.3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3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8" customHeight="1" x14ac:dyDescent="0.3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3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8" customHeight="1" x14ac:dyDescent="0.3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3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8" customHeight="1" x14ac:dyDescent="0.3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3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8" customHeight="1" x14ac:dyDescent="0.3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3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8" customHeight="1" x14ac:dyDescent="0.3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3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8" customHeight="1" x14ac:dyDescent="0.3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3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8" customHeight="1" x14ac:dyDescent="0.3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3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8" customHeight="1" x14ac:dyDescent="0.3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3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8" customHeight="1" x14ac:dyDescent="0.3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3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8" customHeight="1" x14ac:dyDescent="0.3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3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8" customHeight="1" x14ac:dyDescent="0.3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3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8" customHeight="1" x14ac:dyDescent="0.3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3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8" customHeight="1" x14ac:dyDescent="0.3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3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8" customHeight="1" x14ac:dyDescent="0.3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3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8" customHeight="1" x14ac:dyDescent="0.3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3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8" customHeight="1" x14ac:dyDescent="0.3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3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8" customHeight="1" x14ac:dyDescent="0.3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3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8" customHeight="1" x14ac:dyDescent="0.3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3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8" customHeight="1" x14ac:dyDescent="0.3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3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8" customHeight="1" x14ac:dyDescent="0.3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3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8" customHeight="1" x14ac:dyDescent="0.3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3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8" customHeight="1" x14ac:dyDescent="0.3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3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8" customHeight="1" x14ac:dyDescent="0.3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3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8" customHeight="1" x14ac:dyDescent="0.3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3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8" customHeight="1" x14ac:dyDescent="0.3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3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8" customHeight="1" x14ac:dyDescent="0.3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3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8" customHeight="1" x14ac:dyDescent="0.3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3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8" customHeight="1" x14ac:dyDescent="0.3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3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8" customHeight="1" x14ac:dyDescent="0.3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3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8" customHeight="1" x14ac:dyDescent="0.3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3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8" customHeight="1" x14ac:dyDescent="0.3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3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8" customHeight="1" x14ac:dyDescent="0.3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3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8" customHeight="1" x14ac:dyDescent="0.3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3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8" customHeight="1" x14ac:dyDescent="0.3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3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8" customHeight="1" x14ac:dyDescent="0.3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3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8" customHeight="1" x14ac:dyDescent="0.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3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8" customHeight="1" x14ac:dyDescent="0.3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3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8" customHeight="1" x14ac:dyDescent="0.3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3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8" customHeight="1" x14ac:dyDescent="0.3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3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8" customHeight="1" x14ac:dyDescent="0.3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3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8" customHeight="1" x14ac:dyDescent="0.3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3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8" customHeight="1" x14ac:dyDescent="0.3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3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8" customHeight="1" x14ac:dyDescent="0.3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3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8" customHeight="1" x14ac:dyDescent="0.3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3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8" customHeight="1" x14ac:dyDescent="0.3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3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8" customHeight="1" x14ac:dyDescent="0.3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3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8" customHeight="1" x14ac:dyDescent="0.3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3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8" customHeight="1" x14ac:dyDescent="0.3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3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8" customHeight="1" x14ac:dyDescent="0.3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3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8" customHeight="1" x14ac:dyDescent="0.3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3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8" customHeight="1" x14ac:dyDescent="0.3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3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8" customHeight="1" x14ac:dyDescent="0.3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3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8" customHeight="1" x14ac:dyDescent="0.3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3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8" customHeight="1" x14ac:dyDescent="0.3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3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8" customHeight="1" x14ac:dyDescent="0.3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3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8" customHeight="1" x14ac:dyDescent="0.3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3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8" customHeight="1" x14ac:dyDescent="0.3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3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8" customHeight="1" x14ac:dyDescent="0.3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3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8" customHeight="1" x14ac:dyDescent="0.3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3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8" customHeight="1" x14ac:dyDescent="0.3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3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8" customHeight="1" x14ac:dyDescent="0.3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3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8" customHeight="1" x14ac:dyDescent="0.3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3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8" customHeight="1" x14ac:dyDescent="0.3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3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8" customHeight="1" x14ac:dyDescent="0.3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3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8" customHeight="1" x14ac:dyDescent="0.3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3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8" customHeight="1" x14ac:dyDescent="0.3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3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8" customHeight="1" x14ac:dyDescent="0.3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3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8" customHeight="1" x14ac:dyDescent="0.3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3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8" customHeight="1" x14ac:dyDescent="0.3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3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8" customHeight="1" x14ac:dyDescent="0.3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3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8" customHeight="1" x14ac:dyDescent="0.3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3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8" customHeight="1" x14ac:dyDescent="0.3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3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8" customHeight="1" x14ac:dyDescent="0.3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3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8" customHeight="1" x14ac:dyDescent="0.3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3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8" customHeight="1" x14ac:dyDescent="0.3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3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8" customHeight="1" x14ac:dyDescent="0.3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3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8" customHeight="1" x14ac:dyDescent="0.3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3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8" customHeight="1" x14ac:dyDescent="0.3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3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8" customHeight="1" x14ac:dyDescent="0.3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3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8" customHeight="1" x14ac:dyDescent="0.3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3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8" customHeight="1" x14ac:dyDescent="0.3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3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8" customHeight="1" x14ac:dyDescent="0.3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3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8" customHeight="1" x14ac:dyDescent="0.3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3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8" customHeight="1" x14ac:dyDescent="0.3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3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8" customHeight="1" x14ac:dyDescent="0.3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3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8" customHeight="1" x14ac:dyDescent="0.3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3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8" customHeight="1" x14ac:dyDescent="0.3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3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8" customHeight="1" x14ac:dyDescent="0.3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3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8" customHeight="1" x14ac:dyDescent="0.3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3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8" customHeight="1" x14ac:dyDescent="0.3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3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8" customHeight="1" x14ac:dyDescent="0.3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3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8" customHeight="1" x14ac:dyDescent="0.3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3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8" customHeight="1" x14ac:dyDescent="0.3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3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8" customHeight="1" x14ac:dyDescent="0.3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3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8" customHeight="1" x14ac:dyDescent="0.3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3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8" customHeight="1" x14ac:dyDescent="0.3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3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8" customHeight="1" x14ac:dyDescent="0.3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3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8" customHeight="1" x14ac:dyDescent="0.3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3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8" customHeight="1" x14ac:dyDescent="0.3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3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8" customHeight="1" x14ac:dyDescent="0.3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3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8" customHeight="1" x14ac:dyDescent="0.3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3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8" customHeight="1" x14ac:dyDescent="0.3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3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8" customHeight="1" x14ac:dyDescent="0.3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3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8" customHeight="1" x14ac:dyDescent="0.3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3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8" customHeight="1" x14ac:dyDescent="0.3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3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8" customHeight="1" x14ac:dyDescent="0.3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3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8" customHeight="1" x14ac:dyDescent="0.3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3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8" customHeight="1" x14ac:dyDescent="0.3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3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8" customHeight="1" x14ac:dyDescent="0.3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3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8" customHeight="1" x14ac:dyDescent="0.3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3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8" customHeight="1" x14ac:dyDescent="0.3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3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8" customHeight="1" x14ac:dyDescent="0.3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3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8" customHeight="1" x14ac:dyDescent="0.3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3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8" customHeight="1" x14ac:dyDescent="0.3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3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8" customHeight="1" x14ac:dyDescent="0.3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3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8" customHeight="1" x14ac:dyDescent="0.3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3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8" customHeight="1" x14ac:dyDescent="0.3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3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8" customHeight="1" x14ac:dyDescent="0.3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3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8" customHeight="1" x14ac:dyDescent="0.3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3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8" customHeight="1" x14ac:dyDescent="0.3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3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8" customHeight="1" x14ac:dyDescent="0.3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3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8" customHeight="1" x14ac:dyDescent="0.3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3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8" customHeight="1" x14ac:dyDescent="0.3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3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8" customHeight="1" x14ac:dyDescent="0.3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3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8" customHeight="1" x14ac:dyDescent="0.3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3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8" customHeight="1" x14ac:dyDescent="0.3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3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8" customHeight="1" x14ac:dyDescent="0.3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3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8" customHeight="1" x14ac:dyDescent="0.3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3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8" customHeight="1" x14ac:dyDescent="0.3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3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8" customHeight="1" x14ac:dyDescent="0.3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3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8" customHeight="1" x14ac:dyDescent="0.3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3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8" customHeight="1" x14ac:dyDescent="0.3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3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8" customHeight="1" x14ac:dyDescent="0.3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3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8" customHeight="1" x14ac:dyDescent="0.3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3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8" customHeight="1" x14ac:dyDescent="0.3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3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8" customHeight="1" x14ac:dyDescent="0.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3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8" customHeight="1" x14ac:dyDescent="0.3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3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8" customHeight="1" x14ac:dyDescent="0.3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3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8" customHeight="1" x14ac:dyDescent="0.3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3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8" customHeight="1" x14ac:dyDescent="0.3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3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8" customHeight="1" x14ac:dyDescent="0.3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3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8" customHeight="1" x14ac:dyDescent="0.3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3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8" customHeight="1" x14ac:dyDescent="0.3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3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8" customHeight="1" x14ac:dyDescent="0.3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3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8" customHeight="1" x14ac:dyDescent="0.3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3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8" customHeight="1" x14ac:dyDescent="0.3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3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8" customHeight="1" x14ac:dyDescent="0.3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3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8" customHeight="1" x14ac:dyDescent="0.3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3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8" customHeight="1" x14ac:dyDescent="0.3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3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8" customHeight="1" x14ac:dyDescent="0.3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3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8" customHeight="1" x14ac:dyDescent="0.3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3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8" customHeight="1" x14ac:dyDescent="0.3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3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8" customHeight="1" x14ac:dyDescent="0.3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3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8" customHeight="1" x14ac:dyDescent="0.3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3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8" customHeight="1" x14ac:dyDescent="0.3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3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8" customHeight="1" x14ac:dyDescent="0.3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3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8" customHeight="1" x14ac:dyDescent="0.3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3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8" customHeight="1" x14ac:dyDescent="0.3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3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8" customHeight="1" x14ac:dyDescent="0.3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3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8" customHeight="1" x14ac:dyDescent="0.3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3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8" customHeight="1" x14ac:dyDescent="0.3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3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8" customHeight="1" x14ac:dyDescent="0.3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3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8" customHeight="1" x14ac:dyDescent="0.3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3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8" customHeight="1" x14ac:dyDescent="0.3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3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8" customHeight="1" x14ac:dyDescent="0.3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3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8" customHeight="1" x14ac:dyDescent="0.3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3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8" customHeight="1" x14ac:dyDescent="0.3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3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8" customHeight="1" x14ac:dyDescent="0.3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3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8" customHeight="1" x14ac:dyDescent="0.3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3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8" customHeight="1" x14ac:dyDescent="0.3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3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8" customHeight="1" x14ac:dyDescent="0.3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3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8" customHeight="1" x14ac:dyDescent="0.3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3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8" customHeight="1" x14ac:dyDescent="0.3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3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8" customHeight="1" x14ac:dyDescent="0.3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3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8" customHeight="1" x14ac:dyDescent="0.3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3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8" customHeight="1" x14ac:dyDescent="0.3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3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8" customHeight="1" x14ac:dyDescent="0.3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3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8" customHeight="1" x14ac:dyDescent="0.3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3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8" customHeight="1" x14ac:dyDescent="0.3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3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8" customHeight="1" x14ac:dyDescent="0.3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3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8" customHeight="1" x14ac:dyDescent="0.3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3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8" customHeight="1" x14ac:dyDescent="0.3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3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8" customHeight="1" x14ac:dyDescent="0.3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3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8" customHeight="1" x14ac:dyDescent="0.3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3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8" customHeight="1" x14ac:dyDescent="0.3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3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8" customHeight="1" x14ac:dyDescent="0.3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3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8" customHeight="1" x14ac:dyDescent="0.3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3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8" customHeight="1" x14ac:dyDescent="0.3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3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8" customHeight="1" x14ac:dyDescent="0.3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3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8" customHeight="1" x14ac:dyDescent="0.3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3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8" customHeight="1" x14ac:dyDescent="0.3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3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8" customHeight="1" x14ac:dyDescent="0.3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3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8" customHeight="1" x14ac:dyDescent="0.3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3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8" customHeight="1" x14ac:dyDescent="0.3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3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8" customHeight="1" x14ac:dyDescent="0.3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3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8" customHeight="1" x14ac:dyDescent="0.3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3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8" customHeight="1" x14ac:dyDescent="0.3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3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8" customHeight="1" x14ac:dyDescent="0.3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3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8" customHeight="1" x14ac:dyDescent="0.3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3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8" customHeight="1" x14ac:dyDescent="0.3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3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8" customHeight="1" x14ac:dyDescent="0.3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3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8">
    <mergeCell ref="B24:C24"/>
    <mergeCell ref="E24:G24"/>
    <mergeCell ref="F39:G39"/>
    <mergeCell ref="A1:H2"/>
    <mergeCell ref="E13:G13"/>
    <mergeCell ref="E14:G14"/>
    <mergeCell ref="H15:J21"/>
    <mergeCell ref="E16:G18"/>
  </mergeCells>
  <conditionalFormatting sqref="E3 C19">
    <cfRule type="containsText" dxfId="51" priority="1" operator="containsText" text="Classeur!&quot;Boulons et Platines&quot;">
      <formula>NOT(ISERROR(SEARCH(("Classeur!""Boulons et Platines"""),(C19))))</formula>
    </cfRule>
    <cfRule type="containsText" dxfId="50" priority="2" operator="containsText" text="Boulons et Platines">
      <formula>NOT(ISERROR(SEARCH(("Boulons et Platines"),(C19))))</formula>
    </cfRule>
  </conditionalFormatting>
  <conditionalFormatting sqref="F19">
    <cfRule type="containsText" dxfId="49" priority="3" operator="containsText" text="Oui">
      <formula>NOT(ISERROR(SEARCH(("Oui"),(F19))))</formula>
    </cfRule>
  </conditionalFormatting>
  <conditionalFormatting sqref="F21">
    <cfRule type="cellIs" dxfId="48" priority="4" operator="equal">
      <formula>"Oui"</formula>
    </cfRule>
  </conditionalFormatting>
  <dataValidations count="11">
    <dataValidation type="list" allowBlank="1" showErrorMessage="1" sqref="C19" xr:uid="{00000000-0002-0000-0300-000000000000}">
      <formula1>$A$154:$A$155</formula1>
    </dataValidation>
    <dataValidation type="list" allowBlank="1" showErrorMessage="1" sqref="F27:G27 F30:G30 F33:G33" xr:uid="{00000000-0002-0000-0300-000002000000}">
      <formula1>$A$170:$A$174</formula1>
    </dataValidation>
    <dataValidation type="list" allowBlank="1" showErrorMessage="1" sqref="C21" xr:uid="{00000000-0002-0000-0300-000003000000}">
      <formula1>$A$157:$A$159</formula1>
    </dataValidation>
    <dataValidation type="list" allowBlank="1" showErrorMessage="1" sqref="C17" xr:uid="{00000000-0002-0000-0300-000005000000}">
      <formula1>$A$146:$A$152</formula1>
    </dataValidation>
    <dataValidation type="list" allowBlank="1" showErrorMessage="1" sqref="B27 B30 B33" xr:uid="{00000000-0002-0000-0300-000006000000}">
      <formula1>$A$166:$A$168</formula1>
    </dataValidation>
    <dataValidation type="list" allowBlank="1" showErrorMessage="1" sqref="C13" xr:uid="{00000000-0002-0000-0300-000007000000}">
      <formula1>$A$136:$A$138</formula1>
    </dataValidation>
    <dataValidation type="list" allowBlank="1" showErrorMessage="1" sqref="C23" xr:uid="{00000000-0002-0000-0300-000008000000}">
      <formula1>$A$186:$A$188</formula1>
    </dataValidation>
    <dataValidation type="list" allowBlank="1" showErrorMessage="1" sqref="F15 F19" xr:uid="{00000000-0002-0000-0300-000009000000}">
      <formula1>$A$182:$A$183</formula1>
    </dataValidation>
    <dataValidation type="list" allowBlank="1" showErrorMessage="1" sqref="F23" xr:uid="{00000000-0002-0000-0300-00000A000000}">
      <formula1>$A$161:$A$164</formula1>
    </dataValidation>
    <dataValidation type="list" allowBlank="1" showErrorMessage="1" sqref="C15" xr:uid="{00000000-0002-0000-0300-00000B000000}">
      <formula1>$A$140:$A$141</formula1>
    </dataValidation>
    <dataValidation type="list" allowBlank="1" showErrorMessage="1" sqref="B37" xr:uid="{00000000-0002-0000-0300-00000C000000}">
      <formula1>$A$178:$A$180</formula1>
    </dataValidation>
  </dataValidations>
  <pageMargins left="0.31496062992125984" right="0.31496062992125984" top="0.55118110236220474" bottom="0.55118110236220474" header="0" footer="0"/>
  <pageSetup paperSize="9" orientation="landscape"/>
  <rowBreaks count="1" manualBreakCount="1">
    <brk id="64" man="1"/>
  </rowBreak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ErrorMessage="1" xr:uid="{00000000-0002-0000-0300-000001000000}">
          <x14:formula1>
            <xm:f>'Infos Clients'!$B$2:$B$10</xm:f>
          </x14:formula1>
          <xm:sqref>F10</xm:sqref>
        </x14:dataValidation>
        <x14:dataValidation type="list" allowBlank="1" showErrorMessage="1" xr:uid="{00000000-0002-0000-0300-000004000000}">
          <x14:formula1>
            <xm:f>'Infos Clients'!$A$19:$A$20</xm:f>
          </x14:formula1>
          <xm:sqref>F9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B0F0"/>
    <pageSetUpPr fitToPage="1"/>
  </sheetPr>
  <dimension ref="A1:Z1000"/>
  <sheetViews>
    <sheetView zoomScale="80" zoomScaleNormal="80" workbookViewId="0">
      <selection activeCell="F4" sqref="F4"/>
    </sheetView>
  </sheetViews>
  <sheetFormatPr baseColWidth="10" defaultColWidth="14.44140625" defaultRowHeight="15" customHeight="1" x14ac:dyDescent="0.3"/>
  <cols>
    <col min="1" max="1" width="29.109375" customWidth="1"/>
    <col min="2" max="2" width="40" customWidth="1"/>
    <col min="3" max="3" width="25.44140625" customWidth="1"/>
    <col min="4" max="4" width="18.88671875" customWidth="1"/>
    <col min="5" max="5" width="24.33203125" customWidth="1"/>
    <col min="6" max="6" width="30.88671875" customWidth="1"/>
    <col min="7" max="7" width="27.88671875" customWidth="1"/>
    <col min="8" max="8" width="21.33203125" customWidth="1"/>
    <col min="9" max="12" width="18.88671875" customWidth="1"/>
    <col min="13" max="13" width="14.44140625" customWidth="1"/>
    <col min="14" max="14" width="18.33203125" customWidth="1"/>
    <col min="15" max="15" width="14.5546875" customWidth="1"/>
    <col min="16" max="16" width="11.44140625" customWidth="1"/>
    <col min="17" max="17" width="15.88671875" customWidth="1"/>
    <col min="18" max="26" width="11.44140625" customWidth="1"/>
  </cols>
  <sheetData>
    <row r="1" spans="1:26" ht="18" customHeight="1" x14ac:dyDescent="0.35">
      <c r="A1" s="1106" t="s">
        <v>204</v>
      </c>
      <c r="B1" s="1085"/>
      <c r="C1" s="1085"/>
      <c r="D1" s="1085"/>
      <c r="E1" s="1085"/>
      <c r="F1" s="1085"/>
      <c r="G1" s="1086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8" customHeight="1" x14ac:dyDescent="0.35">
      <c r="A2" s="1087"/>
      <c r="B2" s="1088"/>
      <c r="C2" s="1088"/>
      <c r="D2" s="1088"/>
      <c r="E2" s="1088"/>
      <c r="F2" s="1088"/>
      <c r="G2" s="1089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8" customHeight="1" x14ac:dyDescent="0.3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8" customHeight="1" x14ac:dyDescent="0.35">
      <c r="A4" s="2"/>
      <c r="B4" s="2" t="s">
        <v>1</v>
      </c>
      <c r="C4" s="20"/>
      <c r="D4" s="2"/>
      <c r="E4" s="6" t="s">
        <v>2</v>
      </c>
      <c r="F4" s="22" t="s">
        <v>3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8" customHeight="1" x14ac:dyDescent="0.35">
      <c r="A5" s="2"/>
      <c r="B5" s="2" t="s">
        <v>4</v>
      </c>
      <c r="C5" s="23"/>
      <c r="D5" s="2"/>
      <c r="E5" s="6" t="s">
        <v>5</v>
      </c>
      <c r="F5" s="24" t="s">
        <v>6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8" customHeight="1" x14ac:dyDescent="0.35">
      <c r="A6" s="2"/>
      <c r="B6" s="2" t="s">
        <v>138</v>
      </c>
      <c r="C6" s="23"/>
      <c r="D6" s="2"/>
      <c r="E6" s="6" t="s">
        <v>8</v>
      </c>
      <c r="F6" s="25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8" customHeight="1" x14ac:dyDescent="0.35">
      <c r="A7" s="2"/>
      <c r="B7" s="2"/>
      <c r="C7" s="6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8" customHeight="1" x14ac:dyDescent="0.35">
      <c r="A8" s="2"/>
      <c r="B8" s="19" t="s">
        <v>9</v>
      </c>
      <c r="C8" s="24" t="s">
        <v>10</v>
      </c>
      <c r="D8" s="2"/>
      <c r="E8" s="19" t="s">
        <v>205</v>
      </c>
      <c r="F8" s="2" t="s">
        <v>204</v>
      </c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8" customHeight="1" x14ac:dyDescent="0.35">
      <c r="A9" s="2"/>
      <c r="B9" s="19"/>
      <c r="C9" s="6"/>
      <c r="D9" s="2"/>
      <c r="E9" s="19" t="s">
        <v>206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8" customHeight="1" x14ac:dyDescent="0.35">
      <c r="A10" s="2"/>
      <c r="B10" s="19" t="s">
        <v>11</v>
      </c>
      <c r="C10" s="24" t="s">
        <v>12</v>
      </c>
      <c r="D10" s="2"/>
      <c r="E10" s="19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8" customHeight="1" x14ac:dyDescent="0.35">
      <c r="A11" s="2"/>
      <c r="B11" s="2"/>
      <c r="C11" s="6"/>
      <c r="D11" s="2"/>
      <c r="E11" s="1121"/>
      <c r="F11" s="1100"/>
      <c r="G11" s="1101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8" customHeight="1" x14ac:dyDescent="0.35">
      <c r="A12" s="2"/>
      <c r="B12" s="19" t="s">
        <v>17</v>
      </c>
      <c r="C12" s="24" t="s">
        <v>18</v>
      </c>
      <c r="D12" s="2"/>
      <c r="E12" s="1122" t="str">
        <f>VLOOKUP($F$5,'Infos Clients'!$B$2:$G$10,2)</f>
        <v>#VALUE!</v>
      </c>
      <c r="F12" s="1086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8" customHeight="1" x14ac:dyDescent="0.35">
      <c r="A13" s="310"/>
      <c r="B13" s="2"/>
      <c r="C13" s="6"/>
      <c r="D13" s="2"/>
      <c r="E13" s="1091"/>
      <c r="F13" s="109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8" customHeight="1" x14ac:dyDescent="0.35">
      <c r="A14" s="2"/>
      <c r="B14" s="19" t="s">
        <v>21</v>
      </c>
      <c r="C14" s="24" t="s">
        <v>108</v>
      </c>
      <c r="D14" s="2"/>
      <c r="E14" s="1091"/>
      <c r="F14" s="1092"/>
      <c r="G14" s="5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8" customHeight="1" x14ac:dyDescent="0.35">
      <c r="A15" s="2"/>
      <c r="B15" s="19"/>
      <c r="C15" s="2"/>
      <c r="D15" s="2"/>
      <c r="E15" s="1087"/>
      <c r="F15" s="1089"/>
      <c r="G15" s="5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8" customHeight="1" x14ac:dyDescent="0.85">
      <c r="A16" s="2"/>
      <c r="B16" s="19"/>
      <c r="C16" s="33"/>
      <c r="D16" s="2"/>
      <c r="E16" s="5"/>
      <c r="F16" s="5"/>
      <c r="G16" s="5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8" customHeight="1" x14ac:dyDescent="0.35">
      <c r="A17" s="2"/>
      <c r="B17" s="19"/>
      <c r="C17" s="2"/>
      <c r="D17" s="2"/>
      <c r="E17" s="5"/>
      <c r="F17" s="5"/>
      <c r="G17" s="5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8" customHeight="1" x14ac:dyDescent="0.35">
      <c r="A18" s="2"/>
      <c r="B18" s="98"/>
      <c r="C18" s="171" t="s">
        <v>28</v>
      </c>
      <c r="D18" s="171" t="s">
        <v>29</v>
      </c>
      <c r="E18" s="351" t="s">
        <v>30</v>
      </c>
      <c r="F18" s="352" t="str">
        <f>IF(B19="Dimensions de l'œuvre","Face du MRT",0)</f>
        <v>Face du MRT</v>
      </c>
      <c r="G18" s="353" t="str">
        <f>IF(B19="Dimensions de l'œuvre","Arrière du MRT",0)</f>
        <v>Arrière du MRT</v>
      </c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8" customHeight="1" x14ac:dyDescent="0.4">
      <c r="A19" s="2"/>
      <c r="B19" s="315" t="s">
        <v>186</v>
      </c>
      <c r="C19" s="316">
        <v>244</v>
      </c>
      <c r="D19" s="316">
        <v>3.5</v>
      </c>
      <c r="E19" s="354">
        <v>246</v>
      </c>
      <c r="F19" s="355" t="s">
        <v>187</v>
      </c>
      <c r="G19" s="356" t="s">
        <v>187</v>
      </c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8" customHeight="1" x14ac:dyDescent="0.3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8" hidden="1" customHeight="1" x14ac:dyDescent="0.35">
      <c r="A21" s="19"/>
      <c r="B21" s="19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8" hidden="1" customHeight="1" x14ac:dyDescent="0.3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8" customHeight="1" x14ac:dyDescent="0.35">
      <c r="A23" s="2"/>
      <c r="B23" s="357" t="s">
        <v>42</v>
      </c>
      <c r="C23" s="358">
        <f>C25-4.2</f>
        <v>264</v>
      </c>
      <c r="D23" s="358">
        <f>IF(D19&lt;6,9.4,IF(D19&lt;11,14.4,D19+9.4))</f>
        <v>9.4</v>
      </c>
      <c r="E23" s="359">
        <f>E25-4.2</f>
        <v>256</v>
      </c>
      <c r="F23" s="360" t="s">
        <v>207</v>
      </c>
      <c r="G23" s="21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8" customHeight="1" x14ac:dyDescent="0.35">
      <c r="A24" s="2"/>
      <c r="B24" s="19"/>
      <c r="C24" s="19"/>
      <c r="D24" s="19"/>
      <c r="E24" s="19"/>
      <c r="F24" s="21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8" customHeight="1" x14ac:dyDescent="0.35">
      <c r="A25" s="2"/>
      <c r="B25" s="357" t="s">
        <v>44</v>
      </c>
      <c r="C25" s="358">
        <f>IF($B$19="Dimensions ext MRT existant",C19,IF($B$19="Aucun",0,C19+24.2))</f>
        <v>268.2</v>
      </c>
      <c r="D25" s="358">
        <f>IF($B$19="Dimensions ext MRT existant",D19,IF($B$19="Aucun",0,D23+1.5+VLOOKUP($G$19,$A$77:$C$81,3)+VLOOKUP($F$19,A77:C81,3)))</f>
        <v>13.9</v>
      </c>
      <c r="E25" s="359">
        <f>IF($B$19="Dimensions ext MRT existant",E19,IF($B$19="Aucun",0,E19+14.2))</f>
        <v>260.2</v>
      </c>
      <c r="F25" s="361">
        <f>C55</f>
        <v>246.6323382186863</v>
      </c>
      <c r="G25" s="96"/>
      <c r="H25" s="71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8" customHeight="1" x14ac:dyDescent="0.35">
      <c r="A26" s="2"/>
      <c r="B26" s="70"/>
      <c r="C26" s="362"/>
      <c r="D26" s="362"/>
      <c r="E26" s="362"/>
      <c r="F26" s="96"/>
      <c r="G26" s="96"/>
      <c r="H26" s="71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8" customHeight="1" x14ac:dyDescent="0.35">
      <c r="A27" s="2"/>
      <c r="B27" s="62" t="s">
        <v>45</v>
      </c>
      <c r="C27" s="63">
        <f>P47</f>
        <v>30.988159999999997</v>
      </c>
      <c r="D27" s="64" t="s">
        <v>46</v>
      </c>
      <c r="E27" s="65" t="s">
        <v>47</v>
      </c>
      <c r="F27" s="96"/>
      <c r="G27" s="96"/>
      <c r="H27" s="71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8" customHeight="1" x14ac:dyDescent="0.35">
      <c r="A28" s="2"/>
      <c r="B28" s="66" t="s">
        <v>48</v>
      </c>
      <c r="C28" s="67">
        <f>D49</f>
        <v>68.348320799999996</v>
      </c>
      <c r="D28" s="68" t="s">
        <v>49</v>
      </c>
      <c r="E28" s="69">
        <f>Q47</f>
        <v>21.105764239999999</v>
      </c>
      <c r="F28" s="96"/>
      <c r="G28" s="96"/>
      <c r="H28" s="71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8" customHeight="1" x14ac:dyDescent="0.35">
      <c r="A29" s="2"/>
      <c r="B29" s="70"/>
      <c r="C29" s="60"/>
      <c r="D29" s="19"/>
      <c r="E29" s="19"/>
      <c r="F29" s="61"/>
      <c r="G29" s="2"/>
      <c r="H29" s="71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8" customHeight="1" x14ac:dyDescent="0.35">
      <c r="A30" s="76"/>
      <c r="B30" s="73" t="s">
        <v>50</v>
      </c>
      <c r="C30" s="295"/>
      <c r="D30" s="295"/>
      <c r="E30" s="295"/>
      <c r="F30" s="296"/>
      <c r="G30" s="76"/>
      <c r="H30" s="76"/>
      <c r="I30" s="76"/>
      <c r="J30" s="76"/>
      <c r="K30" s="76"/>
      <c r="L30" s="76"/>
      <c r="M30" s="76"/>
      <c r="N30" s="76"/>
      <c r="O30" s="76"/>
      <c r="P30" s="76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8" customHeight="1" x14ac:dyDescent="0.35">
      <c r="A31" s="76"/>
      <c r="B31" s="164"/>
      <c r="C31" s="297"/>
      <c r="D31" s="297"/>
      <c r="E31" s="297"/>
      <c r="F31" s="298"/>
      <c r="G31" s="76"/>
      <c r="H31" s="76"/>
      <c r="I31" s="76"/>
      <c r="J31" s="76"/>
      <c r="K31" s="76"/>
      <c r="L31" s="76"/>
      <c r="M31" s="76"/>
      <c r="N31" s="76"/>
      <c r="O31" s="76"/>
      <c r="P31" s="76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8" customHeight="1" x14ac:dyDescent="0.35">
      <c r="A32" s="76"/>
      <c r="B32" s="166"/>
      <c r="C32" s="300"/>
      <c r="D32" s="300"/>
      <c r="E32" s="300"/>
      <c r="F32" s="301"/>
      <c r="G32" s="76"/>
      <c r="H32" s="76"/>
      <c r="I32" s="76"/>
      <c r="J32" s="76"/>
      <c r="K32" s="76"/>
      <c r="L32" s="76"/>
      <c r="M32" s="76"/>
      <c r="N32" s="76"/>
      <c r="O32" s="76"/>
      <c r="P32" s="76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8" hidden="1" customHeight="1" x14ac:dyDescent="0.35">
      <c r="A33" s="2"/>
      <c r="B33" s="19"/>
      <c r="C33" s="19"/>
      <c r="D33" s="19"/>
      <c r="E33" s="19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8" hidden="1" customHeight="1" x14ac:dyDescent="0.35">
      <c r="A34" s="2" t="s">
        <v>189</v>
      </c>
      <c r="B34" s="2"/>
      <c r="C34" s="2"/>
      <c r="D34" s="2"/>
      <c r="E34" s="6"/>
      <c r="F34" s="2"/>
      <c r="G34" s="2"/>
      <c r="H34" s="2"/>
      <c r="I34" s="2"/>
      <c r="J34" s="89"/>
      <c r="K34" s="89"/>
      <c r="L34" s="71"/>
      <c r="M34" s="71"/>
      <c r="N34" s="363"/>
      <c r="O34" s="71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8" hidden="1" customHeight="1" x14ac:dyDescent="0.35">
      <c r="A35" s="2"/>
      <c r="B35" s="2"/>
      <c r="C35" s="2"/>
      <c r="D35" s="2"/>
      <c r="E35" s="6"/>
      <c r="F35" s="2"/>
      <c r="G35" s="2"/>
      <c r="H35" s="2"/>
      <c r="I35" s="2"/>
      <c r="J35" s="89"/>
      <c r="K35" s="89"/>
      <c r="L35" s="71"/>
      <c r="M35" s="71"/>
      <c r="N35" s="3"/>
      <c r="O35" s="71"/>
      <c r="P35" s="2" t="s">
        <v>157</v>
      </c>
      <c r="Q35" s="5" t="s">
        <v>52</v>
      </c>
      <c r="R35" s="2"/>
      <c r="S35" s="2"/>
      <c r="T35" s="2"/>
      <c r="U35" s="2"/>
      <c r="V35" s="2"/>
      <c r="W35" s="2"/>
      <c r="X35" s="2"/>
      <c r="Y35" s="2"/>
      <c r="Z35" s="2"/>
    </row>
    <row r="36" spans="1:26" ht="18" hidden="1" customHeight="1" x14ac:dyDescent="0.35">
      <c r="A36" s="2"/>
      <c r="B36" s="325" t="s">
        <v>190</v>
      </c>
      <c r="C36" s="326">
        <f>IF(B19="Dimensions ext MRT existant",0,C25)</f>
        <v>268.2</v>
      </c>
      <c r="D36" s="326">
        <f>IF(B19="Dimensions ext MRT existant",0,D23)</f>
        <v>9.4</v>
      </c>
      <c r="E36" s="171" t="s">
        <v>61</v>
      </c>
      <c r="F36" s="260">
        <f>IF(C36=0,0,2)</f>
        <v>2</v>
      </c>
      <c r="G36" s="2"/>
      <c r="H36" s="2"/>
      <c r="I36" s="2"/>
      <c r="J36" s="89">
        <f t="shared" ref="J36:J42" si="0">IF(C36=0,0,(C36/100)*(D36/100)*F36)</f>
        <v>0.504216</v>
      </c>
      <c r="K36" s="89">
        <f t="shared" ref="K36:K42" si="1">J36/0.8</f>
        <v>0.63027</v>
      </c>
      <c r="L36" s="71">
        <f>IF(E36=0,0,VLOOKUP(E36,'Prix Matiere'!$A$4:$J$65,10))</f>
        <v>18.969072164948454</v>
      </c>
      <c r="M36" s="71">
        <f t="shared" ref="M36:M42" si="2">L36*K36</f>
        <v>11.955637113402062</v>
      </c>
      <c r="N36" s="3">
        <f t="shared" ref="N36:N37" si="3">IF(C36=0,0,4+(11*J36))</f>
        <v>9.5463760000000004</v>
      </c>
      <c r="O36" s="71">
        <f t="shared" ref="O36:O42" si="4">N36*MinuteMO</f>
        <v>8.1144195999999997</v>
      </c>
      <c r="P36" s="254">
        <f>IF(J36=0,0,J36*VLOOKUP(E36,'Prix Matiere'!$A$4:$L$60,12))</f>
        <v>5.04216</v>
      </c>
      <c r="Q36" s="90">
        <f>IF(J36=0,0,P36*VLOOKUP(E36,'Prix Matiere'!$A$4:$L$60,11))</f>
        <v>2.4404054399999997</v>
      </c>
      <c r="R36" s="2"/>
      <c r="S36" s="2"/>
      <c r="T36" s="2"/>
      <c r="U36" s="2"/>
      <c r="V36" s="2"/>
      <c r="W36" s="2"/>
      <c r="X36" s="2"/>
      <c r="Y36" s="2"/>
      <c r="Z36" s="2"/>
    </row>
    <row r="37" spans="1:26" ht="18" hidden="1" customHeight="1" x14ac:dyDescent="0.35">
      <c r="A37" s="2"/>
      <c r="B37" s="330" t="s">
        <v>191</v>
      </c>
      <c r="C37" s="331">
        <f>IF(B19="Dimensions ext MRT existant",0,IF(E25=0,0,E25-4.2))</f>
        <v>256</v>
      </c>
      <c r="D37" s="331">
        <f>D36</f>
        <v>9.4</v>
      </c>
      <c r="E37" s="34" t="s">
        <v>61</v>
      </c>
      <c r="F37" s="175">
        <f>F36</f>
        <v>2</v>
      </c>
      <c r="G37" s="2"/>
      <c r="H37" s="2"/>
      <c r="I37" s="2"/>
      <c r="J37" s="89">
        <f t="shared" si="0"/>
        <v>0.48127999999999999</v>
      </c>
      <c r="K37" s="89">
        <f t="shared" si="1"/>
        <v>0.60159999999999991</v>
      </c>
      <c r="L37" s="71">
        <f>IF(E37=0,0,VLOOKUP(E37,'Prix Matiere'!$A$4:$J$65,10))</f>
        <v>18.969072164948454</v>
      </c>
      <c r="M37" s="71">
        <f t="shared" si="2"/>
        <v>11.411793814432988</v>
      </c>
      <c r="N37" s="3">
        <f t="shared" si="3"/>
        <v>9.294080000000001</v>
      </c>
      <c r="O37" s="71">
        <f t="shared" si="4"/>
        <v>7.8999680000000003</v>
      </c>
      <c r="P37" s="254">
        <f>IF(J37=0,0,J37*VLOOKUP(E37,'Prix Matiere'!$A$4:$L$60,12))</f>
        <v>4.8128000000000002</v>
      </c>
      <c r="Q37" s="90">
        <f>IF(J37=0,0,P37*VLOOKUP(E37,'Prix Matiere'!$A$4:$L$60,11))</f>
        <v>2.3293952</v>
      </c>
      <c r="R37" s="2"/>
      <c r="S37" s="2"/>
      <c r="T37" s="2"/>
      <c r="U37" s="2"/>
      <c r="V37" s="2"/>
      <c r="W37" s="2"/>
      <c r="X37" s="2"/>
      <c r="Y37" s="2"/>
      <c r="Z37" s="2"/>
    </row>
    <row r="38" spans="1:26" ht="18" hidden="1" customHeight="1" x14ac:dyDescent="0.35">
      <c r="A38" s="2"/>
      <c r="B38" s="335" t="str">
        <f t="shared" ref="B38:B39" si="5">E38</f>
        <v>Peuplier 15 mm</v>
      </c>
      <c r="C38" s="45">
        <f>IF(C36=0,0,C36)</f>
        <v>268.2</v>
      </c>
      <c r="D38" s="45">
        <f>IF(C38=0,0,25)</f>
        <v>25</v>
      </c>
      <c r="E38" s="85" t="str">
        <f t="shared" ref="E38:E39" si="6">"Peuplier 15 mm"</f>
        <v>Peuplier 15 mm</v>
      </c>
      <c r="F38" s="175">
        <f t="shared" ref="F38:F39" si="7">IF(C38=0,0,2)</f>
        <v>2</v>
      </c>
      <c r="G38" s="2"/>
      <c r="H38" s="2"/>
      <c r="I38" s="2"/>
      <c r="J38" s="89">
        <f t="shared" si="0"/>
        <v>1.341</v>
      </c>
      <c r="K38" s="89">
        <f t="shared" si="1"/>
        <v>1.6762499999999998</v>
      </c>
      <c r="L38" s="71">
        <f>IF(E38=0,0,VLOOKUP(E38,'Prix Matiere'!$A$4:$J$65,10))</f>
        <v>16.895876288659796</v>
      </c>
      <c r="M38" s="71">
        <f t="shared" si="2"/>
        <v>28.321712628865981</v>
      </c>
      <c r="N38" s="3">
        <f t="shared" ref="N38:N40" si="8">IF(C38=0,0,(6.0924*J38)+10)</f>
        <v>18.169908399999997</v>
      </c>
      <c r="O38" s="71">
        <f t="shared" si="4"/>
        <v>15.444422139999997</v>
      </c>
      <c r="P38" s="254">
        <f>IF(J38=0,0,J38*VLOOKUP(E38,'Prix Matiere'!$A$4:$L$60,12))</f>
        <v>8.8506</v>
      </c>
      <c r="Q38" s="90">
        <f>IF(J38=0,0,P38*VLOOKUP(E38,'Prix Matiere'!$A$4:$L$60,11))</f>
        <v>6.8415138000000004</v>
      </c>
      <c r="R38" s="2"/>
      <c r="S38" s="2"/>
      <c r="T38" s="2"/>
      <c r="U38" s="2"/>
      <c r="V38" s="2"/>
      <c r="W38" s="2"/>
      <c r="X38" s="2"/>
      <c r="Y38" s="2"/>
      <c r="Z38" s="2"/>
    </row>
    <row r="39" spans="1:26" ht="18" hidden="1" customHeight="1" x14ac:dyDescent="0.35">
      <c r="A39" s="2"/>
      <c r="B39" s="335" t="str">
        <f t="shared" si="5"/>
        <v>Peuplier 15 mm</v>
      </c>
      <c r="C39" s="45">
        <f>IF(C38=0,0,E25-2*D38)</f>
        <v>210.2</v>
      </c>
      <c r="D39" s="45">
        <f>D38</f>
        <v>25</v>
      </c>
      <c r="E39" s="85" t="str">
        <f t="shared" si="6"/>
        <v>Peuplier 15 mm</v>
      </c>
      <c r="F39" s="175">
        <f t="shared" si="7"/>
        <v>2</v>
      </c>
      <c r="G39" s="2"/>
      <c r="H39" s="2"/>
      <c r="I39" s="2"/>
      <c r="J39" s="89">
        <f t="shared" si="0"/>
        <v>1.0509999999999999</v>
      </c>
      <c r="K39" s="89">
        <f t="shared" si="1"/>
        <v>1.3137499999999998</v>
      </c>
      <c r="L39" s="71">
        <f>IF(E39=0,0,VLOOKUP(E39,'Prix Matiere'!$A$4:$J$65,10))</f>
        <v>16.895876288659796</v>
      </c>
      <c r="M39" s="71">
        <f t="shared" si="2"/>
        <v>22.196957474226803</v>
      </c>
      <c r="N39" s="3">
        <f t="shared" si="8"/>
        <v>16.403112399999998</v>
      </c>
      <c r="O39" s="71">
        <f t="shared" si="4"/>
        <v>13.942645539999997</v>
      </c>
      <c r="P39" s="254">
        <f>IF(J39=0,0,J39*VLOOKUP(E39,'Prix Matiere'!$A$4:$L$60,12))</f>
        <v>6.9366000000000003</v>
      </c>
      <c r="Q39" s="90">
        <f>IF(J39=0,0,P39*VLOOKUP(E39,'Prix Matiere'!$A$4:$L$60,11))</f>
        <v>5.3619918000000002</v>
      </c>
      <c r="R39" s="2"/>
      <c r="S39" s="2"/>
      <c r="T39" s="2"/>
      <c r="U39" s="2"/>
      <c r="V39" s="2"/>
      <c r="W39" s="2"/>
      <c r="X39" s="2"/>
      <c r="Y39" s="2"/>
      <c r="Z39" s="2"/>
    </row>
    <row r="40" spans="1:26" ht="18" hidden="1" customHeight="1" x14ac:dyDescent="0.35">
      <c r="A40" s="2"/>
      <c r="B40" s="178" t="s">
        <v>192</v>
      </c>
      <c r="C40" s="45">
        <f>IF(C36=0,0,45)</f>
        <v>45</v>
      </c>
      <c r="D40" s="45">
        <f>IF(C40=0,0,45)</f>
        <v>45</v>
      </c>
      <c r="E40" s="85" t="s">
        <v>10</v>
      </c>
      <c r="F40" s="175">
        <f>IF(C40=0,0,4)</f>
        <v>4</v>
      </c>
      <c r="G40" s="2"/>
      <c r="H40" s="2"/>
      <c r="I40" s="2"/>
      <c r="J40" s="89">
        <f t="shared" si="0"/>
        <v>0.81</v>
      </c>
      <c r="K40" s="89">
        <f t="shared" si="1"/>
        <v>1.0125</v>
      </c>
      <c r="L40" s="71">
        <f>IF(E40=0,0,VLOOKUP(E40,'Prix Matiere'!$A$4:$J$65,10))</f>
        <v>16.895876288659796</v>
      </c>
      <c r="M40" s="71">
        <f t="shared" si="2"/>
        <v>17.107074742268043</v>
      </c>
      <c r="N40" s="3">
        <f t="shared" si="8"/>
        <v>14.934844</v>
      </c>
      <c r="O40" s="71">
        <f t="shared" si="4"/>
        <v>12.6946174</v>
      </c>
      <c r="P40" s="254">
        <f>IF(J40=0,0,J40*VLOOKUP(E40,'Prix Matiere'!$A$4:$L$60,12))</f>
        <v>5.346000000000001</v>
      </c>
      <c r="Q40" s="90">
        <f>IF(J40=0,0,P40*VLOOKUP(E40,'Prix Matiere'!$A$4:$L$60,11))</f>
        <v>4.1324580000000006</v>
      </c>
      <c r="R40" s="2"/>
      <c r="S40" s="2"/>
      <c r="T40" s="2"/>
      <c r="U40" s="2"/>
      <c r="V40" s="2"/>
      <c r="W40" s="2"/>
      <c r="X40" s="2"/>
      <c r="Y40" s="2"/>
      <c r="Z40" s="2"/>
    </row>
    <row r="41" spans="1:26" ht="18" hidden="1" customHeight="1" x14ac:dyDescent="0.35">
      <c r="A41" s="2"/>
      <c r="B41" s="178" t="str">
        <f>G19</f>
        <v>Mrt Ouvert</v>
      </c>
      <c r="C41" s="45">
        <f>IF(B41=0,0,IF(B41="Mrt Ouvert",0,C25))</f>
        <v>0</v>
      </c>
      <c r="D41" s="45">
        <f>IF(B41=0,0,IF(B41="Mrt Ouvert",0,E25))</f>
        <v>0</v>
      </c>
      <c r="E41" s="85">
        <f>VLOOKUP(G19,$A$77:$C$81,2)</f>
        <v>0</v>
      </c>
      <c r="F41" s="175">
        <f t="shared" ref="F41:F42" si="9">IF(C41=0,0,1)</f>
        <v>0</v>
      </c>
      <c r="G41" s="2"/>
      <c r="H41" s="2"/>
      <c r="I41" s="2"/>
      <c r="J41" s="89">
        <f t="shared" si="0"/>
        <v>0</v>
      </c>
      <c r="K41" s="89">
        <f t="shared" si="1"/>
        <v>0</v>
      </c>
      <c r="L41" s="71">
        <f>IF(E41=0,0,IF(E41="Carton",Carton,VLOOKUP(E41,'Prix Matiere'!$A$4:$J$65,10)))</f>
        <v>0</v>
      </c>
      <c r="M41" s="71">
        <f t="shared" si="2"/>
        <v>0</v>
      </c>
      <c r="N41" s="3">
        <f t="shared" ref="N41:N42" si="10">IF(C41=0,0,1+(11*J41))</f>
        <v>0</v>
      </c>
      <c r="O41" s="71">
        <f t="shared" si="4"/>
        <v>0</v>
      </c>
      <c r="P41" s="254">
        <f>IF(J41=0,0,IF(E41="Carton",Poids_Carton*J41,J41*VLOOKUP(E41,'Prix Matiere'!$A$4:$L$60,12)))</f>
        <v>0</v>
      </c>
      <c r="Q41" s="90">
        <f>IF(J41=0,0,P41*VLOOKUP(E41,'Prix Matiere'!$A$4:$L$60,11))</f>
        <v>0</v>
      </c>
      <c r="R41" s="2"/>
      <c r="S41" s="2"/>
      <c r="T41" s="2"/>
      <c r="U41" s="2"/>
      <c r="V41" s="2"/>
      <c r="W41" s="2"/>
      <c r="X41" s="2"/>
      <c r="Y41" s="2"/>
      <c r="Z41" s="2"/>
    </row>
    <row r="42" spans="1:26" ht="18" hidden="1" customHeight="1" x14ac:dyDescent="0.35">
      <c r="A42" s="2"/>
      <c r="B42" s="261" t="str">
        <f>F19</f>
        <v>Mrt Ouvert</v>
      </c>
      <c r="C42" s="262">
        <f>IF(B42=0,0,IF(B42="Mrt Ouvert",0,C25))</f>
        <v>0</v>
      </c>
      <c r="D42" s="262">
        <f>IF(B42=0,0,IF(B42="Mrt Ouvert",0,E25))</f>
        <v>0</v>
      </c>
      <c r="E42" s="263">
        <f>VLOOKUP($F$19,$A$77:$C$81,2)</f>
        <v>0</v>
      </c>
      <c r="F42" s="184">
        <f t="shared" si="9"/>
        <v>0</v>
      </c>
      <c r="G42" s="2"/>
      <c r="H42" s="2"/>
      <c r="I42" s="2"/>
      <c r="J42" s="89">
        <f t="shared" si="0"/>
        <v>0</v>
      </c>
      <c r="K42" s="89">
        <f t="shared" si="1"/>
        <v>0</v>
      </c>
      <c r="L42" s="71">
        <f>IF(E42=0,0,IF(E42="Carton",Carton,VLOOKUP(E42,'Prix Matiere'!$A$4:$J$65,10)))</f>
        <v>0</v>
      </c>
      <c r="M42" s="71">
        <f t="shared" si="2"/>
        <v>0</v>
      </c>
      <c r="N42" s="3">
        <f t="shared" si="10"/>
        <v>0</v>
      </c>
      <c r="O42" s="71">
        <f t="shared" si="4"/>
        <v>0</v>
      </c>
      <c r="P42" s="254">
        <f>IF(J42=0,0,IF(E42="Carton",Poids_Carton*J42,J42*VLOOKUP(E42,'Prix Matiere'!$A$4:$L$60,12)))</f>
        <v>0</v>
      </c>
      <c r="Q42" s="90">
        <f>IF(J42=0,0,P42*VLOOKUP(E42,'Prix Matiere'!$A$4:$L$60,11))</f>
        <v>0</v>
      </c>
      <c r="R42" s="2"/>
      <c r="S42" s="2"/>
      <c r="T42" s="2"/>
      <c r="U42" s="2"/>
      <c r="V42" s="2"/>
      <c r="W42" s="2"/>
      <c r="X42" s="2"/>
      <c r="Y42" s="2"/>
      <c r="Z42" s="2"/>
    </row>
    <row r="43" spans="1:26" ht="18" hidden="1" customHeight="1" x14ac:dyDescent="0.35">
      <c r="A43" s="2"/>
      <c r="B43" s="2"/>
      <c r="C43" s="2"/>
      <c r="D43" s="2"/>
      <c r="E43" s="6"/>
      <c r="F43" s="2"/>
      <c r="G43" s="2"/>
      <c r="H43" s="2"/>
      <c r="I43" s="2"/>
      <c r="J43" s="89"/>
      <c r="K43" s="89"/>
      <c r="L43" s="71"/>
      <c r="M43" s="71"/>
      <c r="N43" s="3"/>
      <c r="O43" s="71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8" hidden="1" customHeight="1" x14ac:dyDescent="0.3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71"/>
      <c r="M44" s="71"/>
      <c r="N44" s="3"/>
      <c r="O44" s="71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8" hidden="1" customHeight="1" x14ac:dyDescent="0.3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71"/>
      <c r="M45" s="2"/>
      <c r="N45" s="3"/>
      <c r="O45" s="71">
        <f>N45*MinuteMO</f>
        <v>0</v>
      </c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8" hidden="1" customHeight="1" x14ac:dyDescent="0.3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71"/>
      <c r="M46" s="2"/>
      <c r="N46" s="3"/>
      <c r="O46" s="71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8" hidden="1" customHeight="1" x14ac:dyDescent="0.3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71">
        <f>IF(E47=0,0,VLOOKUP(E47,'Prix Matiere'!$A$4:$J$65,10))</f>
        <v>0</v>
      </c>
      <c r="M47" s="96">
        <f t="shared" ref="M47:N47" si="11">SUM(M34:M46)</f>
        <v>90.993175773195873</v>
      </c>
      <c r="N47" s="97">
        <f t="shared" si="11"/>
        <v>68.348320799999996</v>
      </c>
      <c r="O47" s="71">
        <f>N47*MinuteMO</f>
        <v>58.096072679999992</v>
      </c>
      <c r="P47" s="254">
        <f t="shared" ref="P47:Q47" si="12">SUM(P36:P46)</f>
        <v>30.988159999999997</v>
      </c>
      <c r="Q47" s="254">
        <f t="shared" si="12"/>
        <v>21.105764239999999</v>
      </c>
      <c r="R47" s="2"/>
      <c r="S47" s="2"/>
      <c r="T47" s="2"/>
      <c r="U47" s="2"/>
      <c r="V47" s="2"/>
      <c r="W47" s="2"/>
      <c r="X47" s="2"/>
      <c r="Y47" s="2"/>
      <c r="Z47" s="2"/>
    </row>
    <row r="48" spans="1:26" ht="18" hidden="1" customHeight="1" x14ac:dyDescent="0.35">
      <c r="A48" s="2"/>
      <c r="B48" s="327" t="s">
        <v>73</v>
      </c>
      <c r="C48" s="328">
        <f>IF($F$4=0,0,SUM(M36:M42))</f>
        <v>90.993175773195873</v>
      </c>
      <c r="D48" s="329"/>
      <c r="E48" s="302" t="s">
        <v>74</v>
      </c>
      <c r="F48" s="102" t="str">
        <f>CONCATENATE(ROUNDUP(SUM(J38:J40),2)," m²")</f>
        <v>3,21 m²</v>
      </c>
      <c r="G48" s="340">
        <f>(SUM(M38:M40))</f>
        <v>67.625744845360828</v>
      </c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8" hidden="1" customHeight="1" x14ac:dyDescent="0.35">
      <c r="A49" s="2"/>
      <c r="B49" s="332" t="s">
        <v>75</v>
      </c>
      <c r="C49" s="333">
        <f>IF($F$4=0,0,SUM(O36:O42))</f>
        <v>58.096072679999992</v>
      </c>
      <c r="D49" s="364">
        <f>IF($F$4=0,0,SUM(N36:N42))</f>
        <v>68.348320799999996</v>
      </c>
      <c r="E49" s="304" t="s">
        <v>76</v>
      </c>
      <c r="F49" s="107" t="str">
        <f>CONCATENATE(ROUNDUP(SUM(J36:J37),2)," m²")</f>
        <v>0,99 m²</v>
      </c>
      <c r="G49" s="306">
        <f>(SUM(M36:M37))</f>
        <v>23.367430927835052</v>
      </c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8" hidden="1" customHeight="1" x14ac:dyDescent="0.35">
      <c r="A50" s="2"/>
      <c r="B50" s="332" t="s">
        <v>77</v>
      </c>
      <c r="C50" s="71">
        <f>IF($F$4=0,0,((C48+C49)/Frais_Généraux)-(C48+C49))</f>
        <v>80.278826090182378</v>
      </c>
      <c r="D50" s="109"/>
      <c r="E50" s="304"/>
      <c r="F50" s="107"/>
      <c r="G50" s="108"/>
      <c r="H50" s="104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8" hidden="1" customHeight="1" x14ac:dyDescent="0.35">
      <c r="A51" s="2"/>
      <c r="B51" s="332" t="s">
        <v>79</v>
      </c>
      <c r="C51" s="71">
        <f>IF($F$4=0,0,SUM(C48:C50))</f>
        <v>229.36807454337824</v>
      </c>
      <c r="D51" s="109"/>
      <c r="E51" s="304"/>
      <c r="F51" s="107"/>
      <c r="G51" s="108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8" hidden="1" customHeight="1" x14ac:dyDescent="0.35">
      <c r="A52" s="2"/>
      <c r="B52" s="332" t="s">
        <v>81</v>
      </c>
      <c r="C52" s="71">
        <f>IF($F$4=0,0,(C51/(1-Marge)-C51))</f>
        <v>17.264263675308058</v>
      </c>
      <c r="D52" s="110">
        <f>C51+C52</f>
        <v>246.6323382186863</v>
      </c>
      <c r="E52" s="304"/>
      <c r="F52" s="107"/>
      <c r="G52" s="108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8" hidden="1" customHeight="1" x14ac:dyDescent="0.35">
      <c r="A53" s="2"/>
      <c r="B53" s="111" t="s">
        <v>83</v>
      </c>
      <c r="C53" s="71">
        <f>IF($F$5="BOVIS",((C51+C52)*(1+C54))-(C51+C52),((C51+C52)*(1+D53))-(C51+C52))</f>
        <v>0</v>
      </c>
      <c r="D53" s="112"/>
      <c r="E53" s="304"/>
      <c r="F53" s="107"/>
      <c r="G53" s="108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8" hidden="1" customHeight="1" x14ac:dyDescent="0.35">
      <c r="A54" s="2"/>
      <c r="B54" s="111"/>
      <c r="C54" s="104">
        <f>IF($F$5="BOVIS",0.03,0)</f>
        <v>0</v>
      </c>
      <c r="D54" s="113"/>
      <c r="E54" s="304"/>
      <c r="F54" s="107"/>
      <c r="G54" s="108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8" hidden="1" customHeight="1" x14ac:dyDescent="0.35">
      <c r="A55" s="2"/>
      <c r="B55" s="337" t="s">
        <v>84</v>
      </c>
      <c r="C55" s="115">
        <f>SUM(C51:C54)</f>
        <v>246.6323382186863</v>
      </c>
      <c r="D55" s="339"/>
      <c r="E55" s="307" t="s">
        <v>85</v>
      </c>
      <c r="F55" s="365"/>
      <c r="G55" s="118">
        <f>C48-SUM(G48:G52)</f>
        <v>0</v>
      </c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8" hidden="1" customHeight="1" x14ac:dyDescent="0.35">
      <c r="A56" s="76"/>
      <c r="B56" s="76"/>
      <c r="C56" s="76"/>
      <c r="D56" s="76"/>
      <c r="E56" s="76"/>
      <c r="F56" s="6"/>
      <c r="G56" s="76"/>
      <c r="H56" s="76"/>
      <c r="I56" s="76"/>
      <c r="J56" s="76"/>
      <c r="K56" s="76"/>
      <c r="L56" s="76"/>
      <c r="M56" s="76"/>
      <c r="N56" s="76"/>
      <c r="O56" s="76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8" hidden="1" customHeight="1" x14ac:dyDescent="0.3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8" hidden="1" customHeight="1" x14ac:dyDescent="0.35">
      <c r="A58" s="124" t="s">
        <v>10</v>
      </c>
      <c r="B58" s="124" t="s">
        <v>10</v>
      </c>
      <c r="C58" s="124" t="s">
        <v>10</v>
      </c>
      <c r="D58" s="126">
        <v>1.5</v>
      </c>
      <c r="E58" s="308"/>
      <c r="F58" s="308"/>
      <c r="G58" s="308"/>
      <c r="H58" s="308"/>
      <c r="I58" s="308"/>
      <c r="J58" s="308"/>
      <c r="K58" s="308"/>
      <c r="L58" s="308"/>
      <c r="M58" s="308"/>
      <c r="N58" s="308"/>
      <c r="O58" s="308"/>
      <c r="P58" s="308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8" hidden="1" customHeight="1" x14ac:dyDescent="0.3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8" hidden="1" customHeight="1" x14ac:dyDescent="0.35">
      <c r="A60" s="127" t="s">
        <v>12</v>
      </c>
      <c r="B60" s="128" t="s">
        <v>90</v>
      </c>
      <c r="C60" s="128" t="s">
        <v>90</v>
      </c>
      <c r="D60" s="129">
        <v>2.1</v>
      </c>
      <c r="E60" s="308"/>
      <c r="F60" s="308"/>
      <c r="G60" s="308"/>
      <c r="H60" s="308"/>
      <c r="I60" s="308"/>
      <c r="J60" s="308"/>
      <c r="K60" s="308"/>
      <c r="L60" s="308"/>
      <c r="M60" s="308"/>
      <c r="N60" s="308"/>
      <c r="O60" s="308"/>
      <c r="P60" s="308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8" hidden="1" customHeight="1" x14ac:dyDescent="0.3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8" hidden="1" customHeight="1" x14ac:dyDescent="0.35">
      <c r="A62" s="308"/>
      <c r="B62" s="308"/>
      <c r="C62" s="308"/>
      <c r="D62" s="308"/>
      <c r="E62" s="308"/>
      <c r="F62" s="308"/>
      <c r="G62" s="308"/>
      <c r="H62" s="308"/>
      <c r="I62" s="308"/>
      <c r="J62" s="308"/>
      <c r="K62" s="308"/>
      <c r="L62" s="308"/>
      <c r="M62" s="308"/>
      <c r="N62" s="308"/>
      <c r="O62" s="308"/>
      <c r="P62" s="308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8" hidden="1" customHeight="1" x14ac:dyDescent="0.35">
      <c r="A63" s="154" t="s">
        <v>22</v>
      </c>
      <c r="B63" s="121">
        <v>4.2</v>
      </c>
      <c r="C63" s="308"/>
      <c r="D63" s="308"/>
      <c r="E63" s="308"/>
      <c r="F63" s="308"/>
      <c r="G63" s="308"/>
      <c r="H63" s="308"/>
      <c r="I63" s="308"/>
      <c r="J63" s="308"/>
      <c r="K63" s="308"/>
      <c r="L63" s="308"/>
      <c r="M63" s="308"/>
      <c r="N63" s="308"/>
      <c r="O63" s="308"/>
      <c r="P63" s="308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8" hidden="1" customHeight="1" x14ac:dyDescent="0.35">
      <c r="A64" s="155" t="s">
        <v>108</v>
      </c>
      <c r="B64" s="126">
        <v>2</v>
      </c>
      <c r="C64" s="308"/>
      <c r="D64" s="308"/>
      <c r="E64" s="308"/>
      <c r="F64" s="308"/>
      <c r="G64" s="308"/>
      <c r="H64" s="308"/>
      <c r="I64" s="308"/>
      <c r="J64" s="308"/>
      <c r="K64" s="308"/>
      <c r="L64" s="308"/>
      <c r="M64" s="308"/>
      <c r="N64" s="308"/>
      <c r="O64" s="308"/>
      <c r="P64" s="308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8" hidden="1" customHeight="1" x14ac:dyDescent="0.35">
      <c r="A65" s="156" t="s">
        <v>109</v>
      </c>
      <c r="B65" s="129">
        <v>0</v>
      </c>
      <c r="C65" s="308"/>
      <c r="D65" s="308"/>
      <c r="E65" s="308"/>
      <c r="F65" s="308"/>
      <c r="G65" s="308"/>
      <c r="H65" s="308"/>
      <c r="I65" s="308"/>
      <c r="J65" s="308"/>
      <c r="K65" s="308"/>
      <c r="L65" s="308"/>
      <c r="M65" s="308"/>
      <c r="N65" s="308"/>
      <c r="O65" s="308"/>
      <c r="P65" s="308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8" hidden="1" customHeight="1" x14ac:dyDescent="0.35">
      <c r="A66" s="308"/>
      <c r="B66" s="308"/>
      <c r="C66" s="308"/>
      <c r="D66" s="308"/>
      <c r="E66" s="308"/>
      <c r="F66" s="308"/>
      <c r="G66" s="308"/>
      <c r="H66" s="308"/>
      <c r="I66" s="308"/>
      <c r="J66" s="308"/>
      <c r="K66" s="308"/>
      <c r="L66" s="308"/>
      <c r="M66" s="308"/>
      <c r="N66" s="308"/>
      <c r="O66" s="308"/>
      <c r="P66" s="308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8" hidden="1" customHeight="1" x14ac:dyDescent="0.35">
      <c r="A67" s="119" t="s">
        <v>110</v>
      </c>
      <c r="B67" s="119">
        <v>0</v>
      </c>
      <c r="C67" s="121"/>
      <c r="D67" s="308">
        <v>0</v>
      </c>
      <c r="E67" s="308"/>
      <c r="F67" s="308"/>
      <c r="G67" s="308"/>
      <c r="H67" s="308"/>
      <c r="I67" s="308"/>
      <c r="J67" s="308"/>
      <c r="K67" s="308"/>
      <c r="L67" s="308"/>
      <c r="M67" s="308"/>
      <c r="N67" s="308"/>
      <c r="O67" s="308"/>
      <c r="P67" s="308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8" hidden="1" customHeight="1" x14ac:dyDescent="0.35">
      <c r="A68" s="124" t="s">
        <v>111</v>
      </c>
      <c r="B68" s="124">
        <v>10</v>
      </c>
      <c r="C68" s="126">
        <v>30</v>
      </c>
      <c r="D68" s="308">
        <v>10</v>
      </c>
      <c r="E68" s="308"/>
      <c r="F68" s="308"/>
      <c r="G68" s="308"/>
      <c r="H68" s="308"/>
      <c r="I68" s="308"/>
      <c r="J68" s="308"/>
      <c r="K68" s="308"/>
      <c r="L68" s="308"/>
      <c r="M68" s="308"/>
      <c r="N68" s="308"/>
      <c r="O68" s="308"/>
      <c r="P68" s="308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8" hidden="1" customHeight="1" x14ac:dyDescent="0.35">
      <c r="A69" s="124" t="s">
        <v>16</v>
      </c>
      <c r="B69" s="124">
        <v>0</v>
      </c>
      <c r="C69" s="126"/>
      <c r="D69" s="308">
        <v>0</v>
      </c>
      <c r="E69" s="308"/>
      <c r="F69" s="308"/>
      <c r="G69" s="308"/>
      <c r="H69" s="308"/>
      <c r="I69" s="308"/>
      <c r="J69" s="308"/>
      <c r="K69" s="308"/>
      <c r="L69" s="308"/>
      <c r="M69" s="308"/>
      <c r="N69" s="308"/>
      <c r="O69" s="308"/>
      <c r="P69" s="308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8" hidden="1" customHeight="1" x14ac:dyDescent="0.35">
      <c r="A70" s="342" t="s">
        <v>208</v>
      </c>
      <c r="B70" s="124">
        <v>5</v>
      </c>
      <c r="C70" s="126">
        <v>15</v>
      </c>
      <c r="D70" s="308">
        <v>0</v>
      </c>
      <c r="E70" s="308"/>
      <c r="F70" s="308"/>
      <c r="G70" s="308"/>
      <c r="H70" s="308"/>
      <c r="I70" s="308"/>
      <c r="J70" s="308"/>
      <c r="K70" s="308"/>
      <c r="L70" s="308"/>
      <c r="M70" s="308"/>
      <c r="N70" s="308"/>
      <c r="O70" s="308"/>
      <c r="P70" s="308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8" hidden="1" customHeight="1" x14ac:dyDescent="0.35">
      <c r="A71" s="127" t="s">
        <v>23</v>
      </c>
      <c r="B71" s="127">
        <v>10</v>
      </c>
      <c r="C71" s="129">
        <v>30</v>
      </c>
      <c r="D71" s="308">
        <v>0</v>
      </c>
      <c r="E71" s="308"/>
      <c r="F71" s="308"/>
      <c r="G71" s="308"/>
      <c r="H71" s="308"/>
      <c r="I71" s="308"/>
      <c r="J71" s="308"/>
      <c r="K71" s="308"/>
      <c r="L71" s="308"/>
      <c r="M71" s="308"/>
      <c r="N71" s="308"/>
      <c r="O71" s="308"/>
      <c r="P71" s="308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8" hidden="1" customHeight="1" x14ac:dyDescent="0.35">
      <c r="A72" s="308"/>
      <c r="B72" s="308"/>
      <c r="C72" s="297"/>
      <c r="D72" s="297"/>
      <c r="E72" s="297"/>
      <c r="F72" s="308"/>
      <c r="G72" s="308"/>
      <c r="H72" s="308"/>
      <c r="I72" s="308"/>
      <c r="J72" s="308"/>
      <c r="K72" s="308"/>
      <c r="L72" s="308"/>
      <c r="M72" s="308"/>
      <c r="N72" s="308"/>
      <c r="O72" s="308"/>
      <c r="P72" s="308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8" hidden="1" customHeight="1" x14ac:dyDescent="0.35">
      <c r="A73" s="154" t="s">
        <v>16</v>
      </c>
      <c r="B73" s="308"/>
      <c r="C73" s="343"/>
      <c r="D73" s="297"/>
      <c r="E73" s="343"/>
      <c r="F73" s="308"/>
      <c r="G73" s="308"/>
      <c r="H73" s="308"/>
      <c r="I73" s="308"/>
      <c r="J73" s="308"/>
      <c r="K73" s="308"/>
      <c r="L73" s="308"/>
      <c r="M73" s="308"/>
      <c r="N73" s="308"/>
      <c r="O73" s="308"/>
      <c r="P73" s="308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8" hidden="1" customHeight="1" x14ac:dyDescent="0.35">
      <c r="A74" s="155" t="s">
        <v>186</v>
      </c>
      <c r="B74" s="308"/>
      <c r="C74" s="343"/>
      <c r="D74" s="297"/>
      <c r="E74" s="343"/>
      <c r="F74" s="308"/>
      <c r="G74" s="308"/>
      <c r="H74" s="308"/>
      <c r="I74" s="308"/>
      <c r="J74" s="308"/>
      <c r="K74" s="308"/>
      <c r="L74" s="308"/>
      <c r="M74" s="308"/>
      <c r="N74" s="308"/>
      <c r="O74" s="308"/>
      <c r="P74" s="308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8" hidden="1" customHeight="1" x14ac:dyDescent="0.35">
      <c r="A75" s="156" t="s">
        <v>195</v>
      </c>
      <c r="B75" s="308"/>
      <c r="C75" s="343"/>
      <c r="D75" s="297"/>
      <c r="E75" s="343"/>
      <c r="F75" s="308"/>
      <c r="G75" s="308"/>
      <c r="H75" s="308"/>
      <c r="I75" s="308"/>
      <c r="J75" s="308"/>
      <c r="K75" s="308"/>
      <c r="L75" s="308"/>
      <c r="M75" s="308"/>
      <c r="N75" s="308"/>
      <c r="O75" s="308"/>
      <c r="P75" s="308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8" hidden="1" customHeight="1" x14ac:dyDescent="0.35">
      <c r="A76" s="308"/>
      <c r="B76" s="308"/>
      <c r="C76" s="297"/>
      <c r="D76" s="297"/>
      <c r="E76" s="297"/>
      <c r="F76" s="308"/>
      <c r="G76" s="308"/>
      <c r="H76" s="308"/>
      <c r="I76" s="308"/>
      <c r="J76" s="308"/>
      <c r="K76" s="308"/>
      <c r="L76" s="308"/>
      <c r="M76" s="308"/>
      <c r="N76" s="308"/>
      <c r="O76" s="308"/>
      <c r="P76" s="308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8" hidden="1" customHeight="1" x14ac:dyDescent="0.35">
      <c r="A77" s="119" t="s">
        <v>196</v>
      </c>
      <c r="B77" s="344" t="s">
        <v>82</v>
      </c>
      <c r="C77" s="100">
        <f>0.9+1.5</f>
        <v>2.4</v>
      </c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8" hidden="1" customHeight="1" x14ac:dyDescent="0.35">
      <c r="A78" s="124" t="s">
        <v>197</v>
      </c>
      <c r="B78" s="17" t="s">
        <v>198</v>
      </c>
      <c r="C78" s="109">
        <f>1.4+1.5</f>
        <v>2.9</v>
      </c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8" hidden="1" customHeight="1" x14ac:dyDescent="0.35">
      <c r="A79" s="124" t="s">
        <v>199</v>
      </c>
      <c r="B79" s="17" t="s">
        <v>86</v>
      </c>
      <c r="C79" s="109">
        <f>1+1.5</f>
        <v>2.5</v>
      </c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8" hidden="1" customHeight="1" x14ac:dyDescent="0.35">
      <c r="A80" s="124" t="s">
        <v>200</v>
      </c>
      <c r="B80" s="17" t="s">
        <v>201</v>
      </c>
      <c r="C80" s="109">
        <v>1</v>
      </c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8" hidden="1" customHeight="1" x14ac:dyDescent="0.35">
      <c r="A81" s="127" t="s">
        <v>187</v>
      </c>
      <c r="B81" s="15"/>
      <c r="C81" s="271">
        <v>1.5</v>
      </c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8" customHeight="1" x14ac:dyDescent="0.3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8" customHeight="1" x14ac:dyDescent="0.3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8" customHeight="1" x14ac:dyDescent="0.3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8" customHeight="1" x14ac:dyDescent="0.3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8" customHeight="1" x14ac:dyDescent="0.3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8" customHeight="1" x14ac:dyDescent="0.3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8" customHeight="1" x14ac:dyDescent="0.3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8" customHeight="1" x14ac:dyDescent="0.3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8" customHeight="1" x14ac:dyDescent="0.3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8" customHeight="1" x14ac:dyDescent="0.3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8" customHeight="1" x14ac:dyDescent="0.3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8" customHeight="1" x14ac:dyDescent="0.3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8" customHeight="1" x14ac:dyDescent="0.3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8" customHeight="1" x14ac:dyDescent="0.3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8" customHeight="1" x14ac:dyDescent="0.3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8" customHeight="1" x14ac:dyDescent="0.3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8" customHeight="1" x14ac:dyDescent="0.3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8" customHeight="1" x14ac:dyDescent="0.3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8" customHeight="1" x14ac:dyDescent="0.3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8" customHeight="1" x14ac:dyDescent="0.3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8" customHeight="1" x14ac:dyDescent="0.3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8" customHeight="1" x14ac:dyDescent="0.3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8" customHeight="1" x14ac:dyDescent="0.3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8" customHeight="1" x14ac:dyDescent="0.3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8" customHeight="1" x14ac:dyDescent="0.3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8" customHeight="1" x14ac:dyDescent="0.3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8" customHeight="1" x14ac:dyDescent="0.3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8" customHeight="1" x14ac:dyDescent="0.3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8" customHeight="1" x14ac:dyDescent="0.3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8" customHeight="1" x14ac:dyDescent="0.3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8" customHeight="1" x14ac:dyDescent="0.3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8" customHeight="1" x14ac:dyDescent="0.3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8" customHeight="1" x14ac:dyDescent="0.3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8" customHeight="1" x14ac:dyDescent="0.3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8" customHeight="1" x14ac:dyDescent="0.3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8" customHeight="1" x14ac:dyDescent="0.3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8" customHeight="1" x14ac:dyDescent="0.3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8" customHeight="1" x14ac:dyDescent="0.3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8" customHeight="1" x14ac:dyDescent="0.3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8" customHeight="1" x14ac:dyDescent="0.3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8" customHeight="1" x14ac:dyDescent="0.3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8" customHeight="1" x14ac:dyDescent="0.3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8" customHeight="1" x14ac:dyDescent="0.3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8" customHeight="1" x14ac:dyDescent="0.3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8" customHeight="1" x14ac:dyDescent="0.3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8" customHeight="1" x14ac:dyDescent="0.3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8" customHeight="1" x14ac:dyDescent="0.3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8" customHeight="1" x14ac:dyDescent="0.3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8" customHeight="1" x14ac:dyDescent="0.3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8" customHeight="1" x14ac:dyDescent="0.3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8" customHeight="1" x14ac:dyDescent="0.3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8" customHeight="1" x14ac:dyDescent="0.3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8" customHeight="1" x14ac:dyDescent="0.3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8" customHeight="1" x14ac:dyDescent="0.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8" customHeight="1" x14ac:dyDescent="0.3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8" customHeight="1" x14ac:dyDescent="0.3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8" customHeight="1" x14ac:dyDescent="0.3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8" customHeight="1" x14ac:dyDescent="0.3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8" customHeight="1" x14ac:dyDescent="0.3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8" customHeight="1" x14ac:dyDescent="0.3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8" customHeight="1" x14ac:dyDescent="0.3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8" customHeight="1" x14ac:dyDescent="0.3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8" customHeight="1" x14ac:dyDescent="0.3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8" customHeight="1" x14ac:dyDescent="0.3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8" customHeight="1" x14ac:dyDescent="0.3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8" customHeight="1" x14ac:dyDescent="0.3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8" customHeight="1" x14ac:dyDescent="0.3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8" customHeight="1" x14ac:dyDescent="0.3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8" customHeight="1" x14ac:dyDescent="0.3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8" customHeight="1" x14ac:dyDescent="0.3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8" customHeight="1" x14ac:dyDescent="0.3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8" customHeight="1" x14ac:dyDescent="0.3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8" customHeight="1" x14ac:dyDescent="0.3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8" customHeight="1" x14ac:dyDescent="0.3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8" customHeight="1" x14ac:dyDescent="0.3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8" customHeight="1" x14ac:dyDescent="0.3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8" customHeight="1" x14ac:dyDescent="0.3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8" customHeight="1" x14ac:dyDescent="0.3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8" customHeight="1" x14ac:dyDescent="0.3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8" customHeight="1" x14ac:dyDescent="0.3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8" customHeight="1" x14ac:dyDescent="0.3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8" customHeight="1" x14ac:dyDescent="0.3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8" customHeight="1" x14ac:dyDescent="0.3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8" customHeight="1" x14ac:dyDescent="0.3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8" customHeight="1" x14ac:dyDescent="0.3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8" customHeight="1" x14ac:dyDescent="0.3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8" customHeight="1" x14ac:dyDescent="0.3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8" customHeight="1" x14ac:dyDescent="0.3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8" customHeight="1" x14ac:dyDescent="0.3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8" customHeight="1" x14ac:dyDescent="0.3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8" customHeight="1" x14ac:dyDescent="0.3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8" customHeight="1" x14ac:dyDescent="0.3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8" customHeight="1" x14ac:dyDescent="0.3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8" customHeight="1" x14ac:dyDescent="0.3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8" customHeight="1" x14ac:dyDescent="0.3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8" customHeight="1" x14ac:dyDescent="0.3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8" customHeight="1" x14ac:dyDescent="0.3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8" customHeight="1" x14ac:dyDescent="0.3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8" customHeight="1" x14ac:dyDescent="0.3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8" customHeight="1" x14ac:dyDescent="0.3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8" customHeight="1" x14ac:dyDescent="0.3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8" customHeight="1" x14ac:dyDescent="0.3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8" customHeight="1" x14ac:dyDescent="0.3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8" customHeight="1" x14ac:dyDescent="0.3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8" customHeight="1" x14ac:dyDescent="0.3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8" customHeight="1" x14ac:dyDescent="0.3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8" customHeight="1" x14ac:dyDescent="0.3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8" customHeight="1" x14ac:dyDescent="0.3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8" customHeight="1" x14ac:dyDescent="0.3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8" customHeight="1" x14ac:dyDescent="0.3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8" customHeight="1" x14ac:dyDescent="0.3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8" customHeight="1" x14ac:dyDescent="0.3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8" customHeight="1" x14ac:dyDescent="0.3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8" customHeight="1" x14ac:dyDescent="0.3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8" customHeight="1" x14ac:dyDescent="0.3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8" customHeight="1" x14ac:dyDescent="0.3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8" customHeight="1" x14ac:dyDescent="0.3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8" customHeight="1" x14ac:dyDescent="0.3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8" customHeight="1" x14ac:dyDescent="0.3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8" customHeight="1" x14ac:dyDescent="0.3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8" customHeight="1" x14ac:dyDescent="0.3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8" customHeight="1" x14ac:dyDescent="0.3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8" customHeight="1" x14ac:dyDescent="0.3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8" customHeight="1" x14ac:dyDescent="0.3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8" customHeight="1" x14ac:dyDescent="0.3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8" customHeight="1" x14ac:dyDescent="0.3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8" customHeight="1" x14ac:dyDescent="0.3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8" customHeight="1" x14ac:dyDescent="0.3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8" customHeight="1" x14ac:dyDescent="0.3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8" customHeight="1" x14ac:dyDescent="0.3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8" customHeight="1" x14ac:dyDescent="0.3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8" customHeight="1" x14ac:dyDescent="0.3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8" customHeight="1" x14ac:dyDescent="0.3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8" customHeight="1" x14ac:dyDescent="0.3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8" customHeight="1" x14ac:dyDescent="0.3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8" customHeight="1" x14ac:dyDescent="0.3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8" customHeight="1" x14ac:dyDescent="0.3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8" customHeight="1" x14ac:dyDescent="0.3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8" customHeight="1" x14ac:dyDescent="0.3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8" customHeight="1" x14ac:dyDescent="0.3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8" customHeight="1" x14ac:dyDescent="0.3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8" customHeight="1" x14ac:dyDescent="0.3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8" customHeight="1" x14ac:dyDescent="0.3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8" customHeight="1" x14ac:dyDescent="0.3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8" customHeight="1" x14ac:dyDescent="0.3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8" customHeight="1" x14ac:dyDescent="0.3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8" customHeight="1" x14ac:dyDescent="0.3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8" customHeight="1" x14ac:dyDescent="0.3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8" customHeight="1" x14ac:dyDescent="0.3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8" customHeight="1" x14ac:dyDescent="0.3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8" customHeight="1" x14ac:dyDescent="0.3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8" customHeight="1" x14ac:dyDescent="0.3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8" customHeight="1" x14ac:dyDescent="0.3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8" customHeight="1" x14ac:dyDescent="0.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8" customHeight="1" x14ac:dyDescent="0.3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8" customHeight="1" x14ac:dyDescent="0.3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8" customHeight="1" x14ac:dyDescent="0.3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8" customHeight="1" x14ac:dyDescent="0.3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8" customHeight="1" x14ac:dyDescent="0.3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8" customHeight="1" x14ac:dyDescent="0.3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8" customHeight="1" x14ac:dyDescent="0.3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8" customHeight="1" x14ac:dyDescent="0.3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8" customHeight="1" x14ac:dyDescent="0.3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8" customHeight="1" x14ac:dyDescent="0.3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8" customHeight="1" x14ac:dyDescent="0.3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8" customHeight="1" x14ac:dyDescent="0.3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8" customHeight="1" x14ac:dyDescent="0.3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8" customHeight="1" x14ac:dyDescent="0.3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8" customHeight="1" x14ac:dyDescent="0.3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8" customHeight="1" x14ac:dyDescent="0.3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8" customHeight="1" x14ac:dyDescent="0.3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8" customHeight="1" x14ac:dyDescent="0.3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8" customHeight="1" x14ac:dyDescent="0.3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8" customHeight="1" x14ac:dyDescent="0.3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8" customHeight="1" x14ac:dyDescent="0.3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8" customHeight="1" x14ac:dyDescent="0.3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8" customHeight="1" x14ac:dyDescent="0.3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8" customHeight="1" x14ac:dyDescent="0.3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8" customHeight="1" x14ac:dyDescent="0.3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8" customHeight="1" x14ac:dyDescent="0.3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8" customHeight="1" x14ac:dyDescent="0.3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8" customHeight="1" x14ac:dyDescent="0.3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8" customHeight="1" x14ac:dyDescent="0.3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8" customHeight="1" x14ac:dyDescent="0.3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8" customHeight="1" x14ac:dyDescent="0.3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8" customHeight="1" x14ac:dyDescent="0.3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8" customHeight="1" x14ac:dyDescent="0.3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8" customHeight="1" x14ac:dyDescent="0.3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8" customHeight="1" x14ac:dyDescent="0.3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8" customHeight="1" x14ac:dyDescent="0.3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8" customHeight="1" x14ac:dyDescent="0.3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8" customHeight="1" x14ac:dyDescent="0.3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8" customHeight="1" x14ac:dyDescent="0.3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8" customHeight="1" x14ac:dyDescent="0.3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8" customHeight="1" x14ac:dyDescent="0.3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8" customHeight="1" x14ac:dyDescent="0.3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8" customHeight="1" x14ac:dyDescent="0.3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8" customHeight="1" x14ac:dyDescent="0.3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8" customHeight="1" x14ac:dyDescent="0.3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8" customHeight="1" x14ac:dyDescent="0.3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8" customHeight="1" x14ac:dyDescent="0.3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8" customHeight="1" x14ac:dyDescent="0.3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8" customHeight="1" x14ac:dyDescent="0.3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8" customHeight="1" x14ac:dyDescent="0.3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8" customHeight="1" x14ac:dyDescent="0.3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8" customHeight="1" x14ac:dyDescent="0.3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8" customHeight="1" x14ac:dyDescent="0.3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8" customHeight="1" x14ac:dyDescent="0.3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8" customHeight="1" x14ac:dyDescent="0.3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8" customHeight="1" x14ac:dyDescent="0.3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8" customHeight="1" x14ac:dyDescent="0.3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8" customHeight="1" x14ac:dyDescent="0.3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8" customHeight="1" x14ac:dyDescent="0.3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8" customHeight="1" x14ac:dyDescent="0.3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8" customHeight="1" x14ac:dyDescent="0.3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8" customHeight="1" x14ac:dyDescent="0.3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8" customHeight="1" x14ac:dyDescent="0.3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8" customHeight="1" x14ac:dyDescent="0.3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8" customHeight="1" x14ac:dyDescent="0.3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8" customHeight="1" x14ac:dyDescent="0.3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8" customHeight="1" x14ac:dyDescent="0.3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8" customHeight="1" x14ac:dyDescent="0.3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8" customHeight="1" x14ac:dyDescent="0.3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8" customHeight="1" x14ac:dyDescent="0.3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8" customHeight="1" x14ac:dyDescent="0.3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8" customHeight="1" x14ac:dyDescent="0.3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8" customHeight="1" x14ac:dyDescent="0.3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8" customHeight="1" x14ac:dyDescent="0.3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8" customHeight="1" x14ac:dyDescent="0.3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8" customHeight="1" x14ac:dyDescent="0.3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8" customHeight="1" x14ac:dyDescent="0.3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8" customHeight="1" x14ac:dyDescent="0.3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8" customHeight="1" x14ac:dyDescent="0.3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8" customHeight="1" x14ac:dyDescent="0.3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8" customHeight="1" x14ac:dyDescent="0.3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8" customHeight="1" x14ac:dyDescent="0.3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8" customHeight="1" x14ac:dyDescent="0.3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8" customHeight="1" x14ac:dyDescent="0.3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8" customHeight="1" x14ac:dyDescent="0.3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8" customHeight="1" x14ac:dyDescent="0.3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8" customHeight="1" x14ac:dyDescent="0.3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8" customHeight="1" x14ac:dyDescent="0.3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8" customHeight="1" x14ac:dyDescent="0.3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8" customHeight="1" x14ac:dyDescent="0.3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8" customHeight="1" x14ac:dyDescent="0.3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8" customHeight="1" x14ac:dyDescent="0.3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8" customHeight="1" x14ac:dyDescent="0.3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8" customHeight="1" x14ac:dyDescent="0.3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8" customHeight="1" x14ac:dyDescent="0.3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8" customHeight="1" x14ac:dyDescent="0.3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8" customHeight="1" x14ac:dyDescent="0.3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8" customHeight="1" x14ac:dyDescent="0.3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8" customHeight="1" x14ac:dyDescent="0.3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8" customHeight="1" x14ac:dyDescent="0.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8" customHeight="1" x14ac:dyDescent="0.3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8" customHeight="1" x14ac:dyDescent="0.3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8" customHeight="1" x14ac:dyDescent="0.3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8" customHeight="1" x14ac:dyDescent="0.3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8" customHeight="1" x14ac:dyDescent="0.3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8" customHeight="1" x14ac:dyDescent="0.3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8" customHeight="1" x14ac:dyDescent="0.3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8" customHeight="1" x14ac:dyDescent="0.3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8" customHeight="1" x14ac:dyDescent="0.3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8" customHeight="1" x14ac:dyDescent="0.3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8" customHeight="1" x14ac:dyDescent="0.3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8" customHeight="1" x14ac:dyDescent="0.3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8" customHeight="1" x14ac:dyDescent="0.3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8" customHeight="1" x14ac:dyDescent="0.3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8" customHeight="1" x14ac:dyDescent="0.3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8" customHeight="1" x14ac:dyDescent="0.3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8" customHeight="1" x14ac:dyDescent="0.3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8" customHeight="1" x14ac:dyDescent="0.3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8" customHeight="1" x14ac:dyDescent="0.3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8" customHeight="1" x14ac:dyDescent="0.3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8" customHeight="1" x14ac:dyDescent="0.3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8" customHeight="1" x14ac:dyDescent="0.3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8" customHeight="1" x14ac:dyDescent="0.3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8" customHeight="1" x14ac:dyDescent="0.3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8" customHeight="1" x14ac:dyDescent="0.3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8" customHeight="1" x14ac:dyDescent="0.3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8" customHeight="1" x14ac:dyDescent="0.3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8" customHeight="1" x14ac:dyDescent="0.3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8" customHeight="1" x14ac:dyDescent="0.3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8" customHeight="1" x14ac:dyDescent="0.3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8" customHeight="1" x14ac:dyDescent="0.3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8" customHeight="1" x14ac:dyDescent="0.3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8" customHeight="1" x14ac:dyDescent="0.3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8" customHeight="1" x14ac:dyDescent="0.3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8" customHeight="1" x14ac:dyDescent="0.3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8" customHeight="1" x14ac:dyDescent="0.3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8" customHeight="1" x14ac:dyDescent="0.3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8" customHeight="1" x14ac:dyDescent="0.3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8" customHeight="1" x14ac:dyDescent="0.3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8" customHeight="1" x14ac:dyDescent="0.3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8" customHeight="1" x14ac:dyDescent="0.3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8" customHeight="1" x14ac:dyDescent="0.3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8" customHeight="1" x14ac:dyDescent="0.3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8" customHeight="1" x14ac:dyDescent="0.3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8" customHeight="1" x14ac:dyDescent="0.3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8" customHeight="1" x14ac:dyDescent="0.3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8" customHeight="1" x14ac:dyDescent="0.3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8" customHeight="1" x14ac:dyDescent="0.3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8" customHeight="1" x14ac:dyDescent="0.3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8" customHeight="1" x14ac:dyDescent="0.3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8" customHeight="1" x14ac:dyDescent="0.3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8" customHeight="1" x14ac:dyDescent="0.3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8" customHeight="1" x14ac:dyDescent="0.3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8" customHeight="1" x14ac:dyDescent="0.3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8" customHeight="1" x14ac:dyDescent="0.3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8" customHeight="1" x14ac:dyDescent="0.3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8" customHeight="1" x14ac:dyDescent="0.3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8" customHeight="1" x14ac:dyDescent="0.3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8" customHeight="1" x14ac:dyDescent="0.3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8" customHeight="1" x14ac:dyDescent="0.3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8" customHeight="1" x14ac:dyDescent="0.3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8" customHeight="1" x14ac:dyDescent="0.3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8" customHeight="1" x14ac:dyDescent="0.3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8" customHeight="1" x14ac:dyDescent="0.3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8" customHeight="1" x14ac:dyDescent="0.3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8" customHeight="1" x14ac:dyDescent="0.3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8" customHeight="1" x14ac:dyDescent="0.3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8" customHeight="1" x14ac:dyDescent="0.3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8" customHeight="1" x14ac:dyDescent="0.3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8" customHeight="1" x14ac:dyDescent="0.3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8" customHeight="1" x14ac:dyDescent="0.3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8" customHeight="1" x14ac:dyDescent="0.3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8" customHeight="1" x14ac:dyDescent="0.3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8" customHeight="1" x14ac:dyDescent="0.3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8" customHeight="1" x14ac:dyDescent="0.3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8" customHeight="1" x14ac:dyDescent="0.3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8" customHeight="1" x14ac:dyDescent="0.3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8" customHeight="1" x14ac:dyDescent="0.3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8" customHeight="1" x14ac:dyDescent="0.3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8" customHeight="1" x14ac:dyDescent="0.3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8" customHeight="1" x14ac:dyDescent="0.3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8" customHeight="1" x14ac:dyDescent="0.3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8" customHeight="1" x14ac:dyDescent="0.3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8" customHeight="1" x14ac:dyDescent="0.3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8" customHeight="1" x14ac:dyDescent="0.3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8" customHeight="1" x14ac:dyDescent="0.3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8" customHeight="1" x14ac:dyDescent="0.3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8" customHeight="1" x14ac:dyDescent="0.3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8" customHeight="1" x14ac:dyDescent="0.3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8" customHeight="1" x14ac:dyDescent="0.3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8" customHeight="1" x14ac:dyDescent="0.3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8" customHeight="1" x14ac:dyDescent="0.3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8" customHeight="1" x14ac:dyDescent="0.3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8" customHeight="1" x14ac:dyDescent="0.3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8" customHeight="1" x14ac:dyDescent="0.3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8" customHeight="1" x14ac:dyDescent="0.3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8" customHeight="1" x14ac:dyDescent="0.3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8" customHeight="1" x14ac:dyDescent="0.3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8" customHeight="1" x14ac:dyDescent="0.3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8" customHeight="1" x14ac:dyDescent="0.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8" customHeight="1" x14ac:dyDescent="0.3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8" customHeight="1" x14ac:dyDescent="0.3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8" customHeight="1" x14ac:dyDescent="0.3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8" customHeight="1" x14ac:dyDescent="0.3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8" customHeight="1" x14ac:dyDescent="0.3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8" customHeight="1" x14ac:dyDescent="0.3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8" customHeight="1" x14ac:dyDescent="0.3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8" customHeight="1" x14ac:dyDescent="0.3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8" customHeight="1" x14ac:dyDescent="0.3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8" customHeight="1" x14ac:dyDescent="0.3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8" customHeight="1" x14ac:dyDescent="0.3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8" customHeight="1" x14ac:dyDescent="0.3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8" customHeight="1" x14ac:dyDescent="0.3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8" customHeight="1" x14ac:dyDescent="0.3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8" customHeight="1" x14ac:dyDescent="0.3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8" customHeight="1" x14ac:dyDescent="0.3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8" customHeight="1" x14ac:dyDescent="0.3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8" customHeight="1" x14ac:dyDescent="0.3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8" customHeight="1" x14ac:dyDescent="0.3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8" customHeight="1" x14ac:dyDescent="0.3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8" customHeight="1" x14ac:dyDescent="0.3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8" customHeight="1" x14ac:dyDescent="0.3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8" customHeight="1" x14ac:dyDescent="0.3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8" customHeight="1" x14ac:dyDescent="0.3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8" customHeight="1" x14ac:dyDescent="0.3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8" customHeight="1" x14ac:dyDescent="0.3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8" customHeight="1" x14ac:dyDescent="0.3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8" customHeight="1" x14ac:dyDescent="0.3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8" customHeight="1" x14ac:dyDescent="0.3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8" customHeight="1" x14ac:dyDescent="0.3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8" customHeight="1" x14ac:dyDescent="0.3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8" customHeight="1" x14ac:dyDescent="0.3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8" customHeight="1" x14ac:dyDescent="0.3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8" customHeight="1" x14ac:dyDescent="0.3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8" customHeight="1" x14ac:dyDescent="0.3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8" customHeight="1" x14ac:dyDescent="0.3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8" customHeight="1" x14ac:dyDescent="0.3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8" customHeight="1" x14ac:dyDescent="0.3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8" customHeight="1" x14ac:dyDescent="0.3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8" customHeight="1" x14ac:dyDescent="0.3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8" customHeight="1" x14ac:dyDescent="0.3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8" customHeight="1" x14ac:dyDescent="0.3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8" customHeight="1" x14ac:dyDescent="0.3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8" customHeight="1" x14ac:dyDescent="0.3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8" customHeight="1" x14ac:dyDescent="0.3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8" customHeight="1" x14ac:dyDescent="0.3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8" customHeight="1" x14ac:dyDescent="0.3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8" customHeight="1" x14ac:dyDescent="0.3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8" customHeight="1" x14ac:dyDescent="0.3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8" customHeight="1" x14ac:dyDescent="0.3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8" customHeight="1" x14ac:dyDescent="0.3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8" customHeight="1" x14ac:dyDescent="0.3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8" customHeight="1" x14ac:dyDescent="0.3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8" customHeight="1" x14ac:dyDescent="0.3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8" customHeight="1" x14ac:dyDescent="0.3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8" customHeight="1" x14ac:dyDescent="0.3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8" customHeight="1" x14ac:dyDescent="0.3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8" customHeight="1" x14ac:dyDescent="0.3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8" customHeight="1" x14ac:dyDescent="0.3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8" customHeight="1" x14ac:dyDescent="0.3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8" customHeight="1" x14ac:dyDescent="0.3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8" customHeight="1" x14ac:dyDescent="0.3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8" customHeight="1" x14ac:dyDescent="0.3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8" customHeight="1" x14ac:dyDescent="0.3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8" customHeight="1" x14ac:dyDescent="0.3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8" customHeight="1" x14ac:dyDescent="0.3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8" customHeight="1" x14ac:dyDescent="0.3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8" customHeight="1" x14ac:dyDescent="0.3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8" customHeight="1" x14ac:dyDescent="0.3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8" customHeight="1" x14ac:dyDescent="0.3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8" customHeight="1" x14ac:dyDescent="0.3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8" customHeight="1" x14ac:dyDescent="0.3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8" customHeight="1" x14ac:dyDescent="0.3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8" customHeight="1" x14ac:dyDescent="0.3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8" customHeight="1" x14ac:dyDescent="0.3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8" customHeight="1" x14ac:dyDescent="0.3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8" customHeight="1" x14ac:dyDescent="0.3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8" customHeight="1" x14ac:dyDescent="0.3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8" customHeight="1" x14ac:dyDescent="0.3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8" customHeight="1" x14ac:dyDescent="0.3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8" customHeight="1" x14ac:dyDescent="0.3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8" customHeight="1" x14ac:dyDescent="0.3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8" customHeight="1" x14ac:dyDescent="0.3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8" customHeight="1" x14ac:dyDescent="0.3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8" customHeight="1" x14ac:dyDescent="0.3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8" customHeight="1" x14ac:dyDescent="0.3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8" customHeight="1" x14ac:dyDescent="0.3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8" customHeight="1" x14ac:dyDescent="0.3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8" customHeight="1" x14ac:dyDescent="0.3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8" customHeight="1" x14ac:dyDescent="0.3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8" customHeight="1" x14ac:dyDescent="0.3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8" customHeight="1" x14ac:dyDescent="0.3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8" customHeight="1" x14ac:dyDescent="0.3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8" customHeight="1" x14ac:dyDescent="0.3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8" customHeight="1" x14ac:dyDescent="0.3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8" customHeight="1" x14ac:dyDescent="0.3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8" customHeight="1" x14ac:dyDescent="0.3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8" customHeight="1" x14ac:dyDescent="0.3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8" customHeight="1" x14ac:dyDescent="0.3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8" customHeight="1" x14ac:dyDescent="0.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8" customHeight="1" x14ac:dyDescent="0.3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8" customHeight="1" x14ac:dyDescent="0.3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8" customHeight="1" x14ac:dyDescent="0.3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8" customHeight="1" x14ac:dyDescent="0.3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8" customHeight="1" x14ac:dyDescent="0.3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8" customHeight="1" x14ac:dyDescent="0.3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8" customHeight="1" x14ac:dyDescent="0.3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8" customHeight="1" x14ac:dyDescent="0.3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8" customHeight="1" x14ac:dyDescent="0.3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8" customHeight="1" x14ac:dyDescent="0.3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8" customHeight="1" x14ac:dyDescent="0.3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8" customHeight="1" x14ac:dyDescent="0.3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8" customHeight="1" x14ac:dyDescent="0.3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8" customHeight="1" x14ac:dyDescent="0.3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8" customHeight="1" x14ac:dyDescent="0.3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8" customHeight="1" x14ac:dyDescent="0.3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8" customHeight="1" x14ac:dyDescent="0.3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8" customHeight="1" x14ac:dyDescent="0.3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8" customHeight="1" x14ac:dyDescent="0.3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8" customHeight="1" x14ac:dyDescent="0.3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8" customHeight="1" x14ac:dyDescent="0.3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8" customHeight="1" x14ac:dyDescent="0.3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8" customHeight="1" x14ac:dyDescent="0.3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8" customHeight="1" x14ac:dyDescent="0.3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8" customHeight="1" x14ac:dyDescent="0.3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8" customHeight="1" x14ac:dyDescent="0.3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8" customHeight="1" x14ac:dyDescent="0.3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8" customHeight="1" x14ac:dyDescent="0.3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8" customHeight="1" x14ac:dyDescent="0.3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8" customHeight="1" x14ac:dyDescent="0.3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8" customHeight="1" x14ac:dyDescent="0.3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8" customHeight="1" x14ac:dyDescent="0.3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8" customHeight="1" x14ac:dyDescent="0.3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8" customHeight="1" x14ac:dyDescent="0.3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8" customHeight="1" x14ac:dyDescent="0.3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8" customHeight="1" x14ac:dyDescent="0.3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8" customHeight="1" x14ac:dyDescent="0.3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8" customHeight="1" x14ac:dyDescent="0.3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8" customHeight="1" x14ac:dyDescent="0.3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8" customHeight="1" x14ac:dyDescent="0.3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8" customHeight="1" x14ac:dyDescent="0.3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8" customHeight="1" x14ac:dyDescent="0.3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8" customHeight="1" x14ac:dyDescent="0.3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8" customHeight="1" x14ac:dyDescent="0.3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8" customHeight="1" x14ac:dyDescent="0.3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8" customHeight="1" x14ac:dyDescent="0.3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8" customHeight="1" x14ac:dyDescent="0.3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8" customHeight="1" x14ac:dyDescent="0.3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8" customHeight="1" x14ac:dyDescent="0.3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8" customHeight="1" x14ac:dyDescent="0.3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8" customHeight="1" x14ac:dyDescent="0.3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8" customHeight="1" x14ac:dyDescent="0.3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8" customHeight="1" x14ac:dyDescent="0.3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8" customHeight="1" x14ac:dyDescent="0.3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8" customHeight="1" x14ac:dyDescent="0.3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8" customHeight="1" x14ac:dyDescent="0.3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8" customHeight="1" x14ac:dyDescent="0.3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8" customHeight="1" x14ac:dyDescent="0.3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8" customHeight="1" x14ac:dyDescent="0.3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8" customHeight="1" x14ac:dyDescent="0.3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8" customHeight="1" x14ac:dyDescent="0.3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8" customHeight="1" x14ac:dyDescent="0.3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8" customHeight="1" x14ac:dyDescent="0.3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8" customHeight="1" x14ac:dyDescent="0.3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8" customHeight="1" x14ac:dyDescent="0.3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8" customHeight="1" x14ac:dyDescent="0.3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8" customHeight="1" x14ac:dyDescent="0.3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8" customHeight="1" x14ac:dyDescent="0.3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8" customHeight="1" x14ac:dyDescent="0.3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8" customHeight="1" x14ac:dyDescent="0.3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8" customHeight="1" x14ac:dyDescent="0.3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8" customHeight="1" x14ac:dyDescent="0.3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8" customHeight="1" x14ac:dyDescent="0.3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8" customHeight="1" x14ac:dyDescent="0.3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8" customHeight="1" x14ac:dyDescent="0.3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8" customHeight="1" x14ac:dyDescent="0.3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8" customHeight="1" x14ac:dyDescent="0.3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8" customHeight="1" x14ac:dyDescent="0.3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8" customHeight="1" x14ac:dyDescent="0.3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8" customHeight="1" x14ac:dyDescent="0.3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8" customHeight="1" x14ac:dyDescent="0.3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8" customHeight="1" x14ac:dyDescent="0.3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8" customHeight="1" x14ac:dyDescent="0.3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8" customHeight="1" x14ac:dyDescent="0.3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8" customHeight="1" x14ac:dyDescent="0.3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8" customHeight="1" x14ac:dyDescent="0.3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8" customHeight="1" x14ac:dyDescent="0.3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8" customHeight="1" x14ac:dyDescent="0.3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8" customHeight="1" x14ac:dyDescent="0.3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8" customHeight="1" x14ac:dyDescent="0.3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8" customHeight="1" x14ac:dyDescent="0.3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8" customHeight="1" x14ac:dyDescent="0.3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8" customHeight="1" x14ac:dyDescent="0.3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8" customHeight="1" x14ac:dyDescent="0.3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8" customHeight="1" x14ac:dyDescent="0.3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8" customHeight="1" x14ac:dyDescent="0.3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8" customHeight="1" x14ac:dyDescent="0.3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8" customHeight="1" x14ac:dyDescent="0.3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8" customHeight="1" x14ac:dyDescent="0.3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8" customHeight="1" x14ac:dyDescent="0.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8" customHeight="1" x14ac:dyDescent="0.3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8" customHeight="1" x14ac:dyDescent="0.3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8" customHeight="1" x14ac:dyDescent="0.3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8" customHeight="1" x14ac:dyDescent="0.3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8" customHeight="1" x14ac:dyDescent="0.3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8" customHeight="1" x14ac:dyDescent="0.3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8" customHeight="1" x14ac:dyDescent="0.3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8" customHeight="1" x14ac:dyDescent="0.3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8" customHeight="1" x14ac:dyDescent="0.3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8" customHeight="1" x14ac:dyDescent="0.3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8" customHeight="1" x14ac:dyDescent="0.3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8" customHeight="1" x14ac:dyDescent="0.3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8" customHeight="1" x14ac:dyDescent="0.3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8" customHeight="1" x14ac:dyDescent="0.3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8" customHeight="1" x14ac:dyDescent="0.3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8" customHeight="1" x14ac:dyDescent="0.3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8" customHeight="1" x14ac:dyDescent="0.3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8" customHeight="1" x14ac:dyDescent="0.3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8" customHeight="1" x14ac:dyDescent="0.3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8" customHeight="1" x14ac:dyDescent="0.3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8" customHeight="1" x14ac:dyDescent="0.3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8" customHeight="1" x14ac:dyDescent="0.3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8" customHeight="1" x14ac:dyDescent="0.3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8" customHeight="1" x14ac:dyDescent="0.3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8" customHeight="1" x14ac:dyDescent="0.3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8" customHeight="1" x14ac:dyDescent="0.3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8" customHeight="1" x14ac:dyDescent="0.3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8" customHeight="1" x14ac:dyDescent="0.3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8" customHeight="1" x14ac:dyDescent="0.3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8" customHeight="1" x14ac:dyDescent="0.3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8" customHeight="1" x14ac:dyDescent="0.3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8" customHeight="1" x14ac:dyDescent="0.3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8" customHeight="1" x14ac:dyDescent="0.3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8" customHeight="1" x14ac:dyDescent="0.3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8" customHeight="1" x14ac:dyDescent="0.3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8" customHeight="1" x14ac:dyDescent="0.3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8" customHeight="1" x14ac:dyDescent="0.3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8" customHeight="1" x14ac:dyDescent="0.3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8" customHeight="1" x14ac:dyDescent="0.3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8" customHeight="1" x14ac:dyDescent="0.3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8" customHeight="1" x14ac:dyDescent="0.3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8" customHeight="1" x14ac:dyDescent="0.3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8" customHeight="1" x14ac:dyDescent="0.3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8" customHeight="1" x14ac:dyDescent="0.3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8" customHeight="1" x14ac:dyDescent="0.3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8" customHeight="1" x14ac:dyDescent="0.3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8" customHeight="1" x14ac:dyDescent="0.3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8" customHeight="1" x14ac:dyDescent="0.3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8" customHeight="1" x14ac:dyDescent="0.3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8" customHeight="1" x14ac:dyDescent="0.3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8" customHeight="1" x14ac:dyDescent="0.3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8" customHeight="1" x14ac:dyDescent="0.3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8" customHeight="1" x14ac:dyDescent="0.3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8" customHeight="1" x14ac:dyDescent="0.3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8" customHeight="1" x14ac:dyDescent="0.3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8" customHeight="1" x14ac:dyDescent="0.3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8" customHeight="1" x14ac:dyDescent="0.3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8" customHeight="1" x14ac:dyDescent="0.3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8" customHeight="1" x14ac:dyDescent="0.3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8" customHeight="1" x14ac:dyDescent="0.3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8" customHeight="1" x14ac:dyDescent="0.3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8" customHeight="1" x14ac:dyDescent="0.3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8" customHeight="1" x14ac:dyDescent="0.3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8" customHeight="1" x14ac:dyDescent="0.3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8" customHeight="1" x14ac:dyDescent="0.3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8" customHeight="1" x14ac:dyDescent="0.3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8" customHeight="1" x14ac:dyDescent="0.3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8" customHeight="1" x14ac:dyDescent="0.3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8" customHeight="1" x14ac:dyDescent="0.3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8" customHeight="1" x14ac:dyDescent="0.3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8" customHeight="1" x14ac:dyDescent="0.3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8" customHeight="1" x14ac:dyDescent="0.3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8" customHeight="1" x14ac:dyDescent="0.3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8" customHeight="1" x14ac:dyDescent="0.3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8" customHeight="1" x14ac:dyDescent="0.3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8" customHeight="1" x14ac:dyDescent="0.3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8" customHeight="1" x14ac:dyDescent="0.3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8" customHeight="1" x14ac:dyDescent="0.3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8" customHeight="1" x14ac:dyDescent="0.3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8" customHeight="1" x14ac:dyDescent="0.3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8" customHeight="1" x14ac:dyDescent="0.3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8" customHeight="1" x14ac:dyDescent="0.3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8" customHeight="1" x14ac:dyDescent="0.3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8" customHeight="1" x14ac:dyDescent="0.3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8" customHeight="1" x14ac:dyDescent="0.3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8" customHeight="1" x14ac:dyDescent="0.3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8" customHeight="1" x14ac:dyDescent="0.3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8" customHeight="1" x14ac:dyDescent="0.3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8" customHeight="1" x14ac:dyDescent="0.3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8" customHeight="1" x14ac:dyDescent="0.3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8" customHeight="1" x14ac:dyDescent="0.3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8" customHeight="1" x14ac:dyDescent="0.3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8" customHeight="1" x14ac:dyDescent="0.3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8" customHeight="1" x14ac:dyDescent="0.3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8" customHeight="1" x14ac:dyDescent="0.3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8" customHeight="1" x14ac:dyDescent="0.3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8" customHeight="1" x14ac:dyDescent="0.3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8" customHeight="1" x14ac:dyDescent="0.3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8" customHeight="1" x14ac:dyDescent="0.3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8" customHeight="1" x14ac:dyDescent="0.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8" customHeight="1" x14ac:dyDescent="0.3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8" customHeight="1" x14ac:dyDescent="0.3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8" customHeight="1" x14ac:dyDescent="0.3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8" customHeight="1" x14ac:dyDescent="0.3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8" customHeight="1" x14ac:dyDescent="0.3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8" customHeight="1" x14ac:dyDescent="0.3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8" customHeight="1" x14ac:dyDescent="0.3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8" customHeight="1" x14ac:dyDescent="0.3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8" customHeight="1" x14ac:dyDescent="0.3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8" customHeight="1" x14ac:dyDescent="0.3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8" customHeight="1" x14ac:dyDescent="0.3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8" customHeight="1" x14ac:dyDescent="0.3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8" customHeight="1" x14ac:dyDescent="0.3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8" customHeight="1" x14ac:dyDescent="0.3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8" customHeight="1" x14ac:dyDescent="0.3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8" customHeight="1" x14ac:dyDescent="0.3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8" customHeight="1" x14ac:dyDescent="0.3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8" customHeight="1" x14ac:dyDescent="0.3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8" customHeight="1" x14ac:dyDescent="0.3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8" customHeight="1" x14ac:dyDescent="0.3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8" customHeight="1" x14ac:dyDescent="0.3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8" customHeight="1" x14ac:dyDescent="0.3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8" customHeight="1" x14ac:dyDescent="0.3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8" customHeight="1" x14ac:dyDescent="0.3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8" customHeight="1" x14ac:dyDescent="0.3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8" customHeight="1" x14ac:dyDescent="0.3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8" customHeight="1" x14ac:dyDescent="0.3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8" customHeight="1" x14ac:dyDescent="0.3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8" customHeight="1" x14ac:dyDescent="0.3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8" customHeight="1" x14ac:dyDescent="0.3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8" customHeight="1" x14ac:dyDescent="0.3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8" customHeight="1" x14ac:dyDescent="0.3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8" customHeight="1" x14ac:dyDescent="0.3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8" customHeight="1" x14ac:dyDescent="0.3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8" customHeight="1" x14ac:dyDescent="0.3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8" customHeight="1" x14ac:dyDescent="0.3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8" customHeight="1" x14ac:dyDescent="0.3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8" customHeight="1" x14ac:dyDescent="0.3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8" customHeight="1" x14ac:dyDescent="0.3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8" customHeight="1" x14ac:dyDescent="0.3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8" customHeight="1" x14ac:dyDescent="0.3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8" customHeight="1" x14ac:dyDescent="0.3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8" customHeight="1" x14ac:dyDescent="0.3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8" customHeight="1" x14ac:dyDescent="0.3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8" customHeight="1" x14ac:dyDescent="0.3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8" customHeight="1" x14ac:dyDescent="0.3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8" customHeight="1" x14ac:dyDescent="0.3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8" customHeight="1" x14ac:dyDescent="0.3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8" customHeight="1" x14ac:dyDescent="0.3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8" customHeight="1" x14ac:dyDescent="0.3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8" customHeight="1" x14ac:dyDescent="0.3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8" customHeight="1" x14ac:dyDescent="0.3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8" customHeight="1" x14ac:dyDescent="0.3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8" customHeight="1" x14ac:dyDescent="0.3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8" customHeight="1" x14ac:dyDescent="0.3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8" customHeight="1" x14ac:dyDescent="0.3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8" customHeight="1" x14ac:dyDescent="0.3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8" customHeight="1" x14ac:dyDescent="0.3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8" customHeight="1" x14ac:dyDescent="0.3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8" customHeight="1" x14ac:dyDescent="0.3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8" customHeight="1" x14ac:dyDescent="0.3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8" customHeight="1" x14ac:dyDescent="0.3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8" customHeight="1" x14ac:dyDescent="0.3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8" customHeight="1" x14ac:dyDescent="0.3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8" customHeight="1" x14ac:dyDescent="0.3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8" customHeight="1" x14ac:dyDescent="0.3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8" customHeight="1" x14ac:dyDescent="0.3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8" customHeight="1" x14ac:dyDescent="0.3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8" customHeight="1" x14ac:dyDescent="0.3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8" customHeight="1" x14ac:dyDescent="0.3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8" customHeight="1" x14ac:dyDescent="0.3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8" customHeight="1" x14ac:dyDescent="0.3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8" customHeight="1" x14ac:dyDescent="0.3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8" customHeight="1" x14ac:dyDescent="0.3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8" customHeight="1" x14ac:dyDescent="0.3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8" customHeight="1" x14ac:dyDescent="0.3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8" customHeight="1" x14ac:dyDescent="0.3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8" customHeight="1" x14ac:dyDescent="0.3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8" customHeight="1" x14ac:dyDescent="0.3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8" customHeight="1" x14ac:dyDescent="0.3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8" customHeight="1" x14ac:dyDescent="0.3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8" customHeight="1" x14ac:dyDescent="0.3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8" customHeight="1" x14ac:dyDescent="0.3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8" customHeight="1" x14ac:dyDescent="0.3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8" customHeight="1" x14ac:dyDescent="0.3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8" customHeight="1" x14ac:dyDescent="0.3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8" customHeight="1" x14ac:dyDescent="0.3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8" customHeight="1" x14ac:dyDescent="0.3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8" customHeight="1" x14ac:dyDescent="0.3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8" customHeight="1" x14ac:dyDescent="0.3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8" customHeight="1" x14ac:dyDescent="0.3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8" customHeight="1" x14ac:dyDescent="0.3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8" customHeight="1" x14ac:dyDescent="0.3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8" customHeight="1" x14ac:dyDescent="0.3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8" customHeight="1" x14ac:dyDescent="0.3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8" customHeight="1" x14ac:dyDescent="0.3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8" customHeight="1" x14ac:dyDescent="0.3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8" customHeight="1" x14ac:dyDescent="0.3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8" customHeight="1" x14ac:dyDescent="0.3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8" customHeight="1" x14ac:dyDescent="0.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8" customHeight="1" x14ac:dyDescent="0.3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8" customHeight="1" x14ac:dyDescent="0.3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8" customHeight="1" x14ac:dyDescent="0.3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8" customHeight="1" x14ac:dyDescent="0.3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8" customHeight="1" x14ac:dyDescent="0.3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8" customHeight="1" x14ac:dyDescent="0.3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8" customHeight="1" x14ac:dyDescent="0.3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8" customHeight="1" x14ac:dyDescent="0.3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8" customHeight="1" x14ac:dyDescent="0.3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8" customHeight="1" x14ac:dyDescent="0.3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8" customHeight="1" x14ac:dyDescent="0.3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8" customHeight="1" x14ac:dyDescent="0.3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8" customHeight="1" x14ac:dyDescent="0.3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8" customHeight="1" x14ac:dyDescent="0.3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8" customHeight="1" x14ac:dyDescent="0.3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8" customHeight="1" x14ac:dyDescent="0.3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8" customHeight="1" x14ac:dyDescent="0.3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8" customHeight="1" x14ac:dyDescent="0.3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8" customHeight="1" x14ac:dyDescent="0.3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8" customHeight="1" x14ac:dyDescent="0.3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8" customHeight="1" x14ac:dyDescent="0.3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8" customHeight="1" x14ac:dyDescent="0.3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8" customHeight="1" x14ac:dyDescent="0.3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8" customHeight="1" x14ac:dyDescent="0.3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8" customHeight="1" x14ac:dyDescent="0.3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8" customHeight="1" x14ac:dyDescent="0.3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8" customHeight="1" x14ac:dyDescent="0.3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8" customHeight="1" x14ac:dyDescent="0.3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8" customHeight="1" x14ac:dyDescent="0.3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8" customHeight="1" x14ac:dyDescent="0.3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8" customHeight="1" x14ac:dyDescent="0.3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8" customHeight="1" x14ac:dyDescent="0.3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8" customHeight="1" x14ac:dyDescent="0.3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8" customHeight="1" x14ac:dyDescent="0.3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8" customHeight="1" x14ac:dyDescent="0.3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8" customHeight="1" x14ac:dyDescent="0.3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8" customHeight="1" x14ac:dyDescent="0.3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8" customHeight="1" x14ac:dyDescent="0.3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8" customHeight="1" x14ac:dyDescent="0.3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8" customHeight="1" x14ac:dyDescent="0.3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8" customHeight="1" x14ac:dyDescent="0.3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8" customHeight="1" x14ac:dyDescent="0.3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8" customHeight="1" x14ac:dyDescent="0.3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8" customHeight="1" x14ac:dyDescent="0.3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8" customHeight="1" x14ac:dyDescent="0.3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8" customHeight="1" x14ac:dyDescent="0.3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8" customHeight="1" x14ac:dyDescent="0.3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8" customHeight="1" x14ac:dyDescent="0.3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8" customHeight="1" x14ac:dyDescent="0.3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8" customHeight="1" x14ac:dyDescent="0.3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8" customHeight="1" x14ac:dyDescent="0.3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8" customHeight="1" x14ac:dyDescent="0.3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8" customHeight="1" x14ac:dyDescent="0.3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8" customHeight="1" x14ac:dyDescent="0.3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8" customHeight="1" x14ac:dyDescent="0.3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8" customHeight="1" x14ac:dyDescent="0.3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8" customHeight="1" x14ac:dyDescent="0.3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8" customHeight="1" x14ac:dyDescent="0.3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8" customHeight="1" x14ac:dyDescent="0.3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8" customHeight="1" x14ac:dyDescent="0.3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8" customHeight="1" x14ac:dyDescent="0.3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8" customHeight="1" x14ac:dyDescent="0.3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8" customHeight="1" x14ac:dyDescent="0.3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8" customHeight="1" x14ac:dyDescent="0.3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8" customHeight="1" x14ac:dyDescent="0.3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8" customHeight="1" x14ac:dyDescent="0.3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8" customHeight="1" x14ac:dyDescent="0.3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8" customHeight="1" x14ac:dyDescent="0.3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8" customHeight="1" x14ac:dyDescent="0.3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8" customHeight="1" x14ac:dyDescent="0.3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8" customHeight="1" x14ac:dyDescent="0.3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8" customHeight="1" x14ac:dyDescent="0.3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8" customHeight="1" x14ac:dyDescent="0.3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8" customHeight="1" x14ac:dyDescent="0.3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8" customHeight="1" x14ac:dyDescent="0.3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8" customHeight="1" x14ac:dyDescent="0.3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8" customHeight="1" x14ac:dyDescent="0.3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8" customHeight="1" x14ac:dyDescent="0.3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8" customHeight="1" x14ac:dyDescent="0.3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8" customHeight="1" x14ac:dyDescent="0.3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8" customHeight="1" x14ac:dyDescent="0.3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8" customHeight="1" x14ac:dyDescent="0.3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8" customHeight="1" x14ac:dyDescent="0.3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8" customHeight="1" x14ac:dyDescent="0.3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8" customHeight="1" x14ac:dyDescent="0.3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8" customHeight="1" x14ac:dyDescent="0.3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8" customHeight="1" x14ac:dyDescent="0.3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8" customHeight="1" x14ac:dyDescent="0.3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8" customHeight="1" x14ac:dyDescent="0.3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8" customHeight="1" x14ac:dyDescent="0.3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8" customHeight="1" x14ac:dyDescent="0.3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8" customHeight="1" x14ac:dyDescent="0.3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8" customHeight="1" x14ac:dyDescent="0.3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8" customHeight="1" x14ac:dyDescent="0.3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8" customHeight="1" x14ac:dyDescent="0.3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8" customHeight="1" x14ac:dyDescent="0.3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8" customHeight="1" x14ac:dyDescent="0.3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8" customHeight="1" x14ac:dyDescent="0.3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8" customHeight="1" x14ac:dyDescent="0.3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8" customHeight="1" x14ac:dyDescent="0.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8" customHeight="1" x14ac:dyDescent="0.3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8" customHeight="1" x14ac:dyDescent="0.3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8" customHeight="1" x14ac:dyDescent="0.3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8" customHeight="1" x14ac:dyDescent="0.3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8" customHeight="1" x14ac:dyDescent="0.3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8" customHeight="1" x14ac:dyDescent="0.3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8" customHeight="1" x14ac:dyDescent="0.3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8" customHeight="1" x14ac:dyDescent="0.3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8" customHeight="1" x14ac:dyDescent="0.3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8" customHeight="1" x14ac:dyDescent="0.3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8" customHeight="1" x14ac:dyDescent="0.3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8" customHeight="1" x14ac:dyDescent="0.3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8" customHeight="1" x14ac:dyDescent="0.3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8" customHeight="1" x14ac:dyDescent="0.3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8" customHeight="1" x14ac:dyDescent="0.3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8" customHeight="1" x14ac:dyDescent="0.3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8" customHeight="1" x14ac:dyDescent="0.3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8" customHeight="1" x14ac:dyDescent="0.3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8" customHeight="1" x14ac:dyDescent="0.3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8" customHeight="1" x14ac:dyDescent="0.3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8" customHeight="1" x14ac:dyDescent="0.3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8" customHeight="1" x14ac:dyDescent="0.3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8" customHeight="1" x14ac:dyDescent="0.3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8" customHeight="1" x14ac:dyDescent="0.3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8" customHeight="1" x14ac:dyDescent="0.3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8" customHeight="1" x14ac:dyDescent="0.3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8" customHeight="1" x14ac:dyDescent="0.3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8" customHeight="1" x14ac:dyDescent="0.3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8" customHeight="1" x14ac:dyDescent="0.3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8" customHeight="1" x14ac:dyDescent="0.3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8" customHeight="1" x14ac:dyDescent="0.3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8" customHeight="1" x14ac:dyDescent="0.3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8" customHeight="1" x14ac:dyDescent="0.3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8" customHeight="1" x14ac:dyDescent="0.3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8" customHeight="1" x14ac:dyDescent="0.3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8" customHeight="1" x14ac:dyDescent="0.3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8" customHeight="1" x14ac:dyDescent="0.3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8" customHeight="1" x14ac:dyDescent="0.3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8" customHeight="1" x14ac:dyDescent="0.3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8" customHeight="1" x14ac:dyDescent="0.3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8" customHeight="1" x14ac:dyDescent="0.3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8" customHeight="1" x14ac:dyDescent="0.3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8" customHeight="1" x14ac:dyDescent="0.3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8" customHeight="1" x14ac:dyDescent="0.3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8" customHeight="1" x14ac:dyDescent="0.3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8" customHeight="1" x14ac:dyDescent="0.3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8" customHeight="1" x14ac:dyDescent="0.3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8" customHeight="1" x14ac:dyDescent="0.3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8" customHeight="1" x14ac:dyDescent="0.3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8" customHeight="1" x14ac:dyDescent="0.3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8" customHeight="1" x14ac:dyDescent="0.3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8" customHeight="1" x14ac:dyDescent="0.3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8" customHeight="1" x14ac:dyDescent="0.3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8" customHeight="1" x14ac:dyDescent="0.3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8" customHeight="1" x14ac:dyDescent="0.3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8" customHeight="1" x14ac:dyDescent="0.3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8" customHeight="1" x14ac:dyDescent="0.3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8" customHeight="1" x14ac:dyDescent="0.3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8" customHeight="1" x14ac:dyDescent="0.3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8" customHeight="1" x14ac:dyDescent="0.3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8" customHeight="1" x14ac:dyDescent="0.3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8" customHeight="1" x14ac:dyDescent="0.3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8" customHeight="1" x14ac:dyDescent="0.3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8" customHeight="1" x14ac:dyDescent="0.3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8" customHeight="1" x14ac:dyDescent="0.3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3">
    <mergeCell ref="A1:G2"/>
    <mergeCell ref="E11:G11"/>
    <mergeCell ref="E12:F15"/>
  </mergeCells>
  <dataValidations count="2">
    <dataValidation type="list" allowBlank="1" showErrorMessage="1" sqref="B19" xr:uid="{00000000-0002-0000-0400-000000000000}">
      <formula1>$A$73:$A$75</formula1>
    </dataValidation>
    <dataValidation type="list" allowBlank="1" showErrorMessage="1" sqref="F19:G19" xr:uid="{00000000-0002-0000-0400-000003000000}">
      <formula1>$A$77:$A$81</formula1>
    </dataValidation>
  </dataValidations>
  <pageMargins left="0.51181102362204722" right="0.51181102362204722" top="0.55118110236220474" bottom="0.55118110236220474" header="0" footer="0"/>
  <pageSetup paperSize="9" scale="69" orientation="landscape" r:id="rId1"/>
  <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ErrorMessage="1" xr:uid="{00000000-0002-0000-0400-000001000000}">
          <x14:formula1>
            <xm:f>'Infos Clients'!$B$2:$B$10</xm:f>
          </x14:formula1>
          <xm:sqref>F5</xm:sqref>
        </x14:dataValidation>
        <x14:dataValidation type="list" allowBlank="1" showErrorMessage="1" xr:uid="{00000000-0002-0000-0400-000002000000}">
          <x14:formula1>
            <xm:f>'Infos Clients'!$A$19:$A$20</xm:f>
          </x14:formula1>
          <xm:sqref>F4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B0F0"/>
  </sheetPr>
  <dimension ref="A1:Z1000"/>
  <sheetViews>
    <sheetView zoomScale="80" zoomScaleNormal="80" workbookViewId="0">
      <selection sqref="A1:G2"/>
    </sheetView>
  </sheetViews>
  <sheetFormatPr baseColWidth="10" defaultColWidth="14.44140625" defaultRowHeight="15" customHeight="1" x14ac:dyDescent="0.3"/>
  <cols>
    <col min="1" max="1" width="20" customWidth="1"/>
    <col min="2" max="2" width="40" customWidth="1"/>
    <col min="3" max="3" width="25.44140625" customWidth="1"/>
    <col min="4" max="4" width="18.88671875" customWidth="1"/>
    <col min="5" max="5" width="27.88671875" customWidth="1"/>
    <col min="6" max="7" width="22.44140625" customWidth="1"/>
    <col min="8" max="8" width="21.33203125" customWidth="1"/>
    <col min="9" max="12" width="18.88671875" customWidth="1"/>
    <col min="13" max="13" width="14.44140625" customWidth="1"/>
    <col min="14" max="14" width="18.33203125" customWidth="1"/>
    <col min="15" max="15" width="14.5546875" customWidth="1"/>
    <col min="16" max="26" width="11.44140625" customWidth="1"/>
  </cols>
  <sheetData>
    <row r="1" spans="1:26" ht="18" customHeight="1" x14ac:dyDescent="0.35">
      <c r="A1" s="1106" t="s">
        <v>209</v>
      </c>
      <c r="B1" s="1085"/>
      <c r="C1" s="1085"/>
      <c r="D1" s="1085"/>
      <c r="E1" s="1085"/>
      <c r="F1" s="1085"/>
      <c r="G1" s="1086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8" customHeight="1" x14ac:dyDescent="0.35">
      <c r="A2" s="1087"/>
      <c r="B2" s="1088"/>
      <c r="C2" s="1088"/>
      <c r="D2" s="1088"/>
      <c r="E2" s="1088"/>
      <c r="F2" s="1088"/>
      <c r="G2" s="1089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21.75" hidden="1" customHeight="1" x14ac:dyDescent="0.35">
      <c r="A3" s="1107"/>
      <c r="B3" s="2"/>
      <c r="C3" s="2"/>
      <c r="D3" s="2"/>
      <c r="E3" s="38">
        <f>IF(C19="Boulons et platines","Boulons et Platines",0)</f>
        <v>0</v>
      </c>
      <c r="F3" s="38">
        <f>IF(E3="Boulons et Platines","Nbre de Trous",0)</f>
        <v>0</v>
      </c>
      <c r="G3" s="168">
        <f>IF(E3="Boulons et Platines","Dim du Bord",0)</f>
        <v>0</v>
      </c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8" hidden="1" customHeight="1" x14ac:dyDescent="0.35">
      <c r="A4" s="1108"/>
      <c r="B4" s="2"/>
      <c r="C4" s="2"/>
      <c r="D4" s="2"/>
      <c r="E4" s="10">
        <f>IF(C19="Vis bois",0,"Trous dans la Longueur")</f>
        <v>0</v>
      </c>
      <c r="F4" s="6">
        <f>IF(E4=0,0,IF(C54&lt;100,2,IF(C54&lt;150,3,IF(C54&lt;200,4,IF(C54&lt;250,5,IF(C54&lt;300,6,7))))))</f>
        <v>0</v>
      </c>
      <c r="G4" s="11">
        <f>IF(F4=0,0,IF(F4=3,0,(($C$54-32)/(F4-1))+16))</f>
        <v>0</v>
      </c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8" hidden="1" customHeight="1" x14ac:dyDescent="0.35">
      <c r="A5" s="2"/>
      <c r="B5" s="2"/>
      <c r="C5" s="2"/>
      <c r="D5" s="2"/>
      <c r="E5" s="13">
        <f>IF(F4=6,"2ème Trou",IF(F4=7,"2ème Trou",0))</f>
        <v>0</v>
      </c>
      <c r="F5" s="2"/>
      <c r="G5" s="11">
        <f>IF(E5=0,0,G4+G4-16)</f>
        <v>0</v>
      </c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8" hidden="1" customHeight="1" x14ac:dyDescent="0.35">
      <c r="A6" s="2"/>
      <c r="B6" s="2"/>
      <c r="C6" s="2"/>
      <c r="D6" s="2"/>
      <c r="E6" s="10">
        <f>IF(C19="Vis bois",0,"Trous dans la Hauteur")</f>
        <v>0</v>
      </c>
      <c r="F6" s="6">
        <f>IF(E6=0,0,IF(D54&lt;100,2,IF(D54&lt;150,3,IF(D54&lt;200,4,IF(D54&lt;250,5,IF(D54&lt;310,6,7))))))</f>
        <v>0</v>
      </c>
      <c r="G6" s="11">
        <f>IF(F6=0,0,IF(F6=3,0,(($D$54-32)/(F6-1))+16))</f>
        <v>0</v>
      </c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8" hidden="1" customHeight="1" x14ac:dyDescent="0.35">
      <c r="A7" s="2"/>
      <c r="B7" s="2"/>
      <c r="C7" s="2"/>
      <c r="D7" s="2"/>
      <c r="E7" s="14">
        <f>IF(F6=6,"2ème Trou",IF(F6=7,"2ème Trou",0))</f>
        <v>0</v>
      </c>
      <c r="F7" s="15"/>
      <c r="G7" s="16">
        <f>IF(E7=0,0,G6+G6-16)</f>
        <v>0</v>
      </c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8" customHeight="1" x14ac:dyDescent="0.3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8" customHeight="1" x14ac:dyDescent="0.35">
      <c r="A9" s="2"/>
      <c r="B9" s="2" t="s">
        <v>1</v>
      </c>
      <c r="C9" s="20"/>
      <c r="D9" s="2"/>
      <c r="E9" s="6" t="s">
        <v>2</v>
      </c>
      <c r="F9" s="22" t="s">
        <v>3</v>
      </c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8" customHeight="1" x14ac:dyDescent="0.35">
      <c r="A10" s="2"/>
      <c r="B10" s="2" t="s">
        <v>4</v>
      </c>
      <c r="C10" s="23"/>
      <c r="D10" s="2"/>
      <c r="E10" s="6" t="s">
        <v>5</v>
      </c>
      <c r="F10" s="24" t="s">
        <v>6</v>
      </c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8" customHeight="1" x14ac:dyDescent="0.35">
      <c r="A11" s="2"/>
      <c r="B11" s="2" t="s">
        <v>138</v>
      </c>
      <c r="C11" s="23"/>
      <c r="D11" s="2"/>
      <c r="E11" s="6" t="s">
        <v>8</v>
      </c>
      <c r="F11" s="25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8" customHeight="1" x14ac:dyDescent="0.35">
      <c r="A12" s="2"/>
      <c r="B12" s="2"/>
      <c r="C12" s="6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8" customHeight="1" x14ac:dyDescent="0.4">
      <c r="A13" s="2"/>
      <c r="B13" s="19" t="s">
        <v>9</v>
      </c>
      <c r="C13" s="24" t="s">
        <v>10</v>
      </c>
      <c r="D13" s="2"/>
      <c r="E13" s="1099"/>
      <c r="F13" s="1100"/>
      <c r="G13" s="1101"/>
      <c r="H13" s="2"/>
      <c r="I13" s="1109" t="str">
        <f>VLOOKUP($F$10,'Infos Clients'!$B$2:$G$10,2)</f>
        <v>#VALUE!</v>
      </c>
      <c r="J13" s="1085"/>
      <c r="K13" s="1086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8" customHeight="1" x14ac:dyDescent="0.4">
      <c r="A14" s="2"/>
      <c r="B14" s="19"/>
      <c r="C14" s="6"/>
      <c r="D14" s="2"/>
      <c r="E14" s="1099"/>
      <c r="F14" s="1100"/>
      <c r="G14" s="1101"/>
      <c r="H14" s="2"/>
      <c r="I14" s="1091"/>
      <c r="J14" s="1097"/>
      <c r="K14" s="109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8" customHeight="1" x14ac:dyDescent="0.35">
      <c r="A15" s="2"/>
      <c r="B15" s="19" t="s">
        <v>11</v>
      </c>
      <c r="C15" s="24" t="s">
        <v>12</v>
      </c>
      <c r="D15" s="2"/>
      <c r="E15" s="19" t="s">
        <v>210</v>
      </c>
      <c r="F15" s="24" t="s">
        <v>211</v>
      </c>
      <c r="G15" s="2"/>
      <c r="H15" s="2"/>
      <c r="I15" s="1091"/>
      <c r="J15" s="1097"/>
      <c r="K15" s="109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9.5" customHeight="1" x14ac:dyDescent="0.35">
      <c r="A16" s="2"/>
      <c r="B16" s="2"/>
      <c r="C16" s="6"/>
      <c r="D16" s="2"/>
      <c r="E16" s="1098"/>
      <c r="F16" s="1085"/>
      <c r="G16" s="1086"/>
      <c r="H16" s="2"/>
      <c r="I16" s="1091"/>
      <c r="J16" s="1097"/>
      <c r="K16" s="109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8" customHeight="1" x14ac:dyDescent="0.35">
      <c r="A17" s="2"/>
      <c r="B17" s="19" t="s">
        <v>15</v>
      </c>
      <c r="C17" s="23" t="s">
        <v>103</v>
      </c>
      <c r="D17" s="2"/>
      <c r="E17" s="1091"/>
      <c r="F17" s="1097"/>
      <c r="G17" s="1092"/>
      <c r="H17" s="2"/>
      <c r="I17" s="1091"/>
      <c r="J17" s="1097"/>
      <c r="K17" s="109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8" customHeight="1" x14ac:dyDescent="0.35">
      <c r="A18" s="2"/>
      <c r="B18" s="2"/>
      <c r="C18" s="6"/>
      <c r="D18" s="2"/>
      <c r="E18" s="1087"/>
      <c r="F18" s="1088"/>
      <c r="G18" s="1089"/>
      <c r="H18" s="2"/>
      <c r="I18" s="1087"/>
      <c r="J18" s="1088"/>
      <c r="K18" s="1089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9.5" customHeight="1" x14ac:dyDescent="0.35">
      <c r="A19" s="2"/>
      <c r="B19" s="19" t="s">
        <v>17</v>
      </c>
      <c r="C19" s="23" t="s">
        <v>18</v>
      </c>
      <c r="D19" s="2"/>
      <c r="E19" s="19" t="s">
        <v>19</v>
      </c>
      <c r="F19" s="23" t="s">
        <v>20</v>
      </c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 customHeight="1" x14ac:dyDescent="0.35">
      <c r="A20" s="2"/>
      <c r="B20" s="2"/>
      <c r="C20" s="6"/>
      <c r="D20" s="2"/>
      <c r="E20" s="366">
        <f>IF(F19="Oui","Type de Peinture",0)</f>
        <v>0</v>
      </c>
      <c r="F20" s="169">
        <f>IF(F19="Non",0,VLOOKUP(F10,'Infos Clients'!B2:E10,4))</f>
        <v>0</v>
      </c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8" customHeight="1" x14ac:dyDescent="0.35">
      <c r="A21" s="2"/>
      <c r="B21" s="19" t="s">
        <v>21</v>
      </c>
      <c r="C21" s="23" t="s">
        <v>22</v>
      </c>
      <c r="D21" s="2"/>
      <c r="E21" s="27" t="s">
        <v>23</v>
      </c>
      <c r="F21" s="29" t="s">
        <v>20</v>
      </c>
      <c r="G21" s="5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8" customHeight="1" x14ac:dyDescent="0.35">
      <c r="A22" s="2"/>
      <c r="B22" s="19"/>
      <c r="C22" s="6"/>
      <c r="D22" s="2"/>
      <c r="E22" s="27"/>
      <c r="F22" s="310"/>
      <c r="G22" s="5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8" customHeight="1" x14ac:dyDescent="0.35">
      <c r="A23" s="2"/>
      <c r="B23" s="19" t="s">
        <v>24</v>
      </c>
      <c r="C23" s="23" t="s">
        <v>212</v>
      </c>
      <c r="D23" s="2"/>
      <c r="E23" s="30" t="s">
        <v>25</v>
      </c>
      <c r="F23" s="23" t="s">
        <v>16</v>
      </c>
      <c r="G23" s="5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8" customHeight="1" x14ac:dyDescent="0.35">
      <c r="A24" s="2"/>
      <c r="B24" s="2"/>
      <c r="C24" s="2"/>
      <c r="D24" s="2"/>
      <c r="E24" s="30"/>
      <c r="F24" s="6"/>
      <c r="G24" s="5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37.5" hidden="1" customHeight="1" x14ac:dyDescent="0.85">
      <c r="A25" s="2"/>
      <c r="B25" s="1102" t="str">
        <f>IF(F23="Aucun"," ",F23)</f>
        <v xml:space="preserve"> </v>
      </c>
      <c r="C25" s="1101"/>
      <c r="D25" s="31">
        <f>IF(F21="Oui","+",0)</f>
        <v>0</v>
      </c>
      <c r="E25" s="1102">
        <f>IF(F21="Oui","Mousse Garnie Tyvek",0)</f>
        <v>0</v>
      </c>
      <c r="F25" s="1100"/>
      <c r="G25" s="1101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37.5" hidden="1" customHeight="1" x14ac:dyDescent="0.85">
      <c r="A26" s="2"/>
      <c r="B26" s="1110">
        <f>IF(F10="Bovis","Attention retirer 2 mm aux dimensions transmises",0)</f>
        <v>0</v>
      </c>
      <c r="C26" s="1100"/>
      <c r="D26" s="1100"/>
      <c r="E26" s="1101"/>
      <c r="F26" s="32"/>
      <c r="G26" s="32"/>
      <c r="H26" s="2"/>
      <c r="I26" s="2"/>
      <c r="J26" s="2"/>
      <c r="K26" s="2"/>
      <c r="L26" s="2"/>
      <c r="M26" s="2"/>
      <c r="N26" s="3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8" hidden="1" customHeight="1" x14ac:dyDescent="0.35">
      <c r="A27" s="2"/>
      <c r="B27" s="19"/>
      <c r="C27" s="2"/>
      <c r="D27" s="2"/>
      <c r="E27" s="5"/>
      <c r="F27" s="5"/>
      <c r="G27" s="5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8" customHeight="1" x14ac:dyDescent="0.35">
      <c r="A28" s="2"/>
      <c r="B28" s="2"/>
      <c r="C28" s="34" t="s">
        <v>28</v>
      </c>
      <c r="D28" s="34" t="s">
        <v>29</v>
      </c>
      <c r="E28" s="34" t="s">
        <v>30</v>
      </c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8" customHeight="1" x14ac:dyDescent="0.4">
      <c r="A29" s="2"/>
      <c r="B29" s="36" t="str">
        <f>IF(B31="Aucun","Dimensions intérieures utiles","Dimensions de l'œuvre")</f>
        <v>Dimensions de l'œuvre</v>
      </c>
      <c r="C29" s="35">
        <v>21.7</v>
      </c>
      <c r="D29" s="35">
        <v>16.5</v>
      </c>
      <c r="E29" s="35">
        <v>3.5</v>
      </c>
      <c r="F29" s="2"/>
      <c r="G29" s="71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8" customHeight="1" x14ac:dyDescent="0.3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8" customHeight="1" x14ac:dyDescent="0.35">
      <c r="A31" s="49" t="s">
        <v>31</v>
      </c>
      <c r="B31" s="39" t="s">
        <v>32</v>
      </c>
      <c r="C31" s="40"/>
      <c r="D31" s="40"/>
      <c r="E31" s="40"/>
      <c r="F31" s="40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8" customHeight="1" x14ac:dyDescent="0.35">
      <c r="A32" s="19"/>
      <c r="B32" s="41"/>
      <c r="C32" s="42" t="s">
        <v>33</v>
      </c>
      <c r="D32" s="41" t="s">
        <v>28</v>
      </c>
      <c r="E32" s="41" t="s">
        <v>29</v>
      </c>
      <c r="F32" s="41" t="s">
        <v>34</v>
      </c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8" customHeight="1" x14ac:dyDescent="0.35">
      <c r="A33" s="19"/>
      <c r="B33" s="44" t="s">
        <v>35</v>
      </c>
      <c r="C33" s="35">
        <v>10</v>
      </c>
      <c r="D33" s="45"/>
      <c r="E33" s="45"/>
      <c r="F33" s="45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8" customHeight="1" x14ac:dyDescent="0.35">
      <c r="A34" s="19"/>
      <c r="B34" s="44" t="s">
        <v>36</v>
      </c>
      <c r="C34" s="35">
        <v>10</v>
      </c>
      <c r="D34" s="45"/>
      <c r="E34" s="45"/>
      <c r="F34" s="45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8" customHeight="1" x14ac:dyDescent="0.35">
      <c r="A35" s="19"/>
      <c r="B35" s="367" t="s">
        <v>113</v>
      </c>
      <c r="C35" s="47">
        <f>+IF(C29=0,0,IF(C29&gt;70,12,6))</f>
        <v>6</v>
      </c>
      <c r="D35" s="45"/>
      <c r="E35" s="45"/>
      <c r="F35" s="47">
        <f>IF(C29&gt;300,6,IF(C29&gt;250,5,IF(C29&gt;200,4,IF(C29&gt;150,3,IF(C29&gt;120,3,2)))))</f>
        <v>2</v>
      </c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8" customHeight="1" x14ac:dyDescent="0.35">
      <c r="A36" s="19"/>
      <c r="B36" s="44" t="s">
        <v>39</v>
      </c>
      <c r="C36" s="207"/>
      <c r="D36" s="45"/>
      <c r="E36" s="207"/>
      <c r="F36" s="45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8" customHeight="1" x14ac:dyDescent="0.35">
      <c r="A37" s="19"/>
      <c r="B37" s="44"/>
      <c r="C37" s="45"/>
      <c r="D37" s="45"/>
      <c r="E37" s="45"/>
      <c r="F37" s="45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8" customHeight="1" x14ac:dyDescent="0.35">
      <c r="A38" s="19"/>
      <c r="B38" s="44" t="s">
        <v>40</v>
      </c>
      <c r="C38" s="207"/>
      <c r="D38" s="207"/>
      <c r="E38" s="207"/>
      <c r="F38" s="45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8" customHeight="1" x14ac:dyDescent="0.35">
      <c r="A39" s="19"/>
      <c r="B39" s="44" t="s">
        <v>41</v>
      </c>
      <c r="C39" s="207"/>
      <c r="D39" s="207"/>
      <c r="E39" s="207"/>
      <c r="F39" s="45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8" customHeight="1" x14ac:dyDescent="0.3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8" customHeight="1" x14ac:dyDescent="0.35">
      <c r="A41" s="2"/>
      <c r="B41" s="244" t="s">
        <v>42</v>
      </c>
      <c r="C41" s="50">
        <f>C29+VLOOKUP(C17,A132:P138,2)+VLOOKUP(B31,A161:L166,2)</f>
        <v>41.9</v>
      </c>
      <c r="D41" s="50">
        <f>D29+VLOOKUP($B$31,A161:L166,3)+VLOOKUP($C$17,A132:P138,3)</f>
        <v>41.5</v>
      </c>
      <c r="E41" s="51">
        <f>E29+VLOOKUP($B$31,A161:L166,4)+VLOOKUP($C$17,A132:P138,4)</f>
        <v>23.7</v>
      </c>
      <c r="F41" s="52" t="s">
        <v>43</v>
      </c>
      <c r="G41" s="21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8" customHeight="1" x14ac:dyDescent="0.35">
      <c r="A42" s="2"/>
      <c r="B42" s="19"/>
      <c r="C42" s="19"/>
      <c r="D42" s="19"/>
      <c r="E42" s="19"/>
      <c r="F42" s="53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8" customHeight="1" x14ac:dyDescent="0.35">
      <c r="A43" s="2"/>
      <c r="B43" s="244" t="s">
        <v>44</v>
      </c>
      <c r="C43" s="245">
        <f>C41+VLOOKUP(C21,A146:B148,2)+VLOOKUP(C13,A125:D125,4)*2+VLOOKUP(C15,A127:D127,4)*2</f>
        <v>53.300000000000004</v>
      </c>
      <c r="D43" s="50">
        <f>IF(OR($F$23="Aucun",$F$23="Stabilisateur"),$D$41+VLOOKUP($C$13,$A$125:$D$125,4)*2+VLOOKUP($C$15,$A$127:$D$127,4)*2+0.5,$E$41+VLOOKUP($C$13,$A$125:$D$125,5)*2+VLOOKUP($C$15,$A$127:$D$127,4)*2)</f>
        <v>49.2</v>
      </c>
      <c r="E43" s="51">
        <f>IF(OR($F$23="Aucun",$F$23="Stabilisateur"),$E$41+VLOOKUP($C$13,$A$125:$D$125,4)*2+VLOOKUP($C$15,$A$127:$D$127,4)*2+VLOOKUP($C$23,$A$168:$B$170,2),$D$41+VLOOKUP($C$13,$A$125:$D$125,4)*2+VLOOKUP($C$15,$A$127:$D$127,4)*2+VLOOKUP($C$23,$A$168:$B$170,2)+VLOOKUP($F$23,$A$150:$D$153,4)+0.5)</f>
        <v>33.9</v>
      </c>
      <c r="F43" s="56">
        <f>ROUNDUP(C122,0)</f>
        <v>222</v>
      </c>
      <c r="G43" s="96"/>
      <c r="H43" s="71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8" customHeight="1" x14ac:dyDescent="0.35">
      <c r="A44" s="2"/>
      <c r="B44" s="70"/>
      <c r="C44" s="60"/>
      <c r="D44" s="19"/>
      <c r="E44" s="19"/>
      <c r="F44" s="61"/>
      <c r="G44" s="96"/>
      <c r="H44" s="71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8" customHeight="1" x14ac:dyDescent="0.35">
      <c r="A45" s="2"/>
      <c r="B45" s="62" t="s">
        <v>45</v>
      </c>
      <c r="C45" s="63">
        <f>Q114</f>
        <v>13.167891800000003</v>
      </c>
      <c r="D45" s="64" t="s">
        <v>46</v>
      </c>
      <c r="E45" s="65" t="s">
        <v>47</v>
      </c>
      <c r="F45" s="61"/>
      <c r="G45" s="96"/>
      <c r="H45" s="71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8" customHeight="1" x14ac:dyDescent="0.35">
      <c r="A46" s="2"/>
      <c r="B46" s="66" t="s">
        <v>48</v>
      </c>
      <c r="C46" s="67">
        <f>D116</f>
        <v>104.25419277700001</v>
      </c>
      <c r="D46" s="68" t="s">
        <v>49</v>
      </c>
      <c r="E46" s="69">
        <f>R114</f>
        <v>10.759756320399999</v>
      </c>
      <c r="F46" s="61"/>
      <c r="G46" s="96"/>
      <c r="H46" s="71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8" customHeight="1" x14ac:dyDescent="0.35">
      <c r="A47" s="2"/>
      <c r="B47" s="70"/>
      <c r="C47" s="60"/>
      <c r="D47" s="19"/>
      <c r="E47" s="19"/>
      <c r="F47" s="61"/>
      <c r="G47" s="2"/>
      <c r="H47" s="71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8" customHeight="1" x14ac:dyDescent="0.35">
      <c r="A48" s="76"/>
      <c r="B48" s="73" t="s">
        <v>50</v>
      </c>
      <c r="C48" s="295"/>
      <c r="D48" s="295"/>
      <c r="E48" s="295"/>
      <c r="F48" s="296"/>
      <c r="G48" s="76"/>
      <c r="H48" s="76"/>
      <c r="I48" s="76"/>
      <c r="J48" s="76"/>
      <c r="K48" s="76"/>
      <c r="L48" s="76"/>
      <c r="M48" s="76"/>
      <c r="N48" s="76"/>
      <c r="O48" s="76"/>
      <c r="P48" s="76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8" customHeight="1" x14ac:dyDescent="0.35">
      <c r="A49" s="76"/>
      <c r="B49" s="164"/>
      <c r="C49" s="297"/>
      <c r="D49" s="297"/>
      <c r="E49" s="297"/>
      <c r="F49" s="298"/>
      <c r="G49" s="76"/>
      <c r="H49" s="76"/>
      <c r="I49" s="76"/>
      <c r="J49" s="76"/>
      <c r="K49" s="76"/>
      <c r="L49" s="76"/>
      <c r="M49" s="76"/>
      <c r="N49" s="76"/>
      <c r="O49" s="76"/>
      <c r="P49" s="76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8" customHeight="1" x14ac:dyDescent="0.35">
      <c r="A50" s="76"/>
      <c r="B50" s="164"/>
      <c r="C50" s="297"/>
      <c r="D50" s="297"/>
      <c r="E50" s="297"/>
      <c r="F50" s="298"/>
      <c r="G50" s="76"/>
      <c r="H50" s="76"/>
      <c r="I50" s="76"/>
      <c r="J50" s="76"/>
      <c r="K50" s="76"/>
      <c r="L50" s="76"/>
      <c r="M50" s="76"/>
      <c r="N50" s="76"/>
      <c r="O50" s="76"/>
      <c r="P50" s="76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8" customHeight="1" x14ac:dyDescent="0.35">
      <c r="A51" s="76"/>
      <c r="B51" s="166"/>
      <c r="C51" s="300"/>
      <c r="D51" s="300"/>
      <c r="E51" s="300"/>
      <c r="F51" s="301"/>
      <c r="G51" s="76"/>
      <c r="H51" s="76"/>
      <c r="I51" s="76"/>
      <c r="J51" s="76"/>
      <c r="K51" s="76"/>
      <c r="L51" s="76"/>
      <c r="M51" s="76"/>
      <c r="N51" s="76"/>
      <c r="O51" s="76"/>
      <c r="P51" s="76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8" customHeight="1" x14ac:dyDescent="0.35">
      <c r="A52" s="2"/>
      <c r="B52" s="19"/>
      <c r="C52" s="19"/>
      <c r="D52" s="19"/>
      <c r="E52" s="19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8" hidden="1" customHeight="1" x14ac:dyDescent="0.35">
      <c r="A53" s="2"/>
      <c r="B53" s="2"/>
      <c r="C53" s="2"/>
      <c r="D53" s="2"/>
      <c r="E53" s="2"/>
      <c r="F53" s="6" t="s">
        <v>34</v>
      </c>
      <c r="G53" s="2"/>
      <c r="H53" s="2"/>
      <c r="I53" s="2"/>
      <c r="J53" s="2"/>
      <c r="K53" s="2"/>
      <c r="L53" s="2"/>
      <c r="M53" s="2"/>
      <c r="N53" s="2"/>
      <c r="O53" s="2"/>
      <c r="P53" s="2"/>
      <c r="Q53" s="2" t="s">
        <v>157</v>
      </c>
      <c r="R53" s="5" t="s">
        <v>52</v>
      </c>
      <c r="S53" s="2"/>
      <c r="T53" s="2"/>
      <c r="U53" s="2"/>
      <c r="V53" s="2"/>
      <c r="W53" s="2"/>
      <c r="X53" s="2"/>
      <c r="Y53" s="2"/>
      <c r="Z53" s="2"/>
    </row>
    <row r="54" spans="1:26" ht="18" hidden="1" customHeight="1" x14ac:dyDescent="0.35">
      <c r="A54" s="60" t="s">
        <v>53</v>
      </c>
      <c r="B54" s="85" t="str">
        <f>VLOOKUP(C13,A125:D125,2)</f>
        <v>Peuplier 15 mm</v>
      </c>
      <c r="C54" s="87">
        <f>IF(C41=0,0,C41+2*(VLOOKUP(B54,A125:D125,4)+VLOOKUP(C15,A127:D127,4)))</f>
        <v>49.1</v>
      </c>
      <c r="D54" s="87">
        <f>IF(E41=0,0,E41+2*(VLOOKUP(B54,A125:D125,4)+VLOOKUP(C15,A127:D127,4)))</f>
        <v>30.9</v>
      </c>
      <c r="E54" s="85" t="str">
        <f t="shared" ref="E54:E56" si="0">B54</f>
        <v>Peuplier 15 mm</v>
      </c>
      <c r="F54" s="88">
        <v>2</v>
      </c>
      <c r="G54" s="2"/>
      <c r="H54" s="2"/>
      <c r="I54" s="2"/>
      <c r="J54" s="89">
        <f t="shared" ref="J54:J65" si="1">IF(C54=0,0,(C54/100)*(D54/100)*F54)</f>
        <v>0.30343799999999999</v>
      </c>
      <c r="K54" s="89">
        <f t="shared" ref="K54:K65" si="2">J54/0.8</f>
        <v>0.37929749999999995</v>
      </c>
      <c r="L54" s="71">
        <f>IF(E54=0,0,VLOOKUP(E54,'Prix Matiere'!$A$4:$J$65,10))</f>
        <v>16.895876288659796</v>
      </c>
      <c r="M54" s="71">
        <f t="shared" ref="M54:M56" si="3">L54*K54</f>
        <v>6.4085636365979379</v>
      </c>
      <c r="N54" s="3">
        <f t="shared" ref="N54:N56" si="4">IF(J54=0,0,(7.0924*J54)+15)</f>
        <v>17.152103671199999</v>
      </c>
      <c r="O54" s="71">
        <f>N54*MinuteMO</f>
        <v>14.579288120519999</v>
      </c>
      <c r="P54" s="2"/>
      <c r="Q54" s="254">
        <f>IF(J54=0,0,J54*VLOOKUP(E54,'Prix Matiere'!$A$4:$L$60,12))</f>
        <v>2.0026907999999999</v>
      </c>
      <c r="R54" s="90">
        <f>IF(J54=0,0,Q54*VLOOKUP(E54,'Prix Matiere'!$A$4:$L$60,11))</f>
        <v>1.5480799884000001</v>
      </c>
      <c r="S54" s="2"/>
      <c r="T54" s="2"/>
      <c r="U54" s="2"/>
      <c r="V54" s="2"/>
      <c r="W54" s="2"/>
      <c r="X54" s="2"/>
      <c r="Y54" s="2"/>
      <c r="Z54" s="2"/>
    </row>
    <row r="55" spans="1:26" ht="18" hidden="1" customHeight="1" x14ac:dyDescent="0.35">
      <c r="A55" s="60" t="s">
        <v>54</v>
      </c>
      <c r="B55" s="85" t="str">
        <f>VLOOKUP(C13,A125:D125,3)</f>
        <v>Peuplier 15 mm</v>
      </c>
      <c r="C55" s="87">
        <f>C54</f>
        <v>49.1</v>
      </c>
      <c r="D55" s="87">
        <f>D41</f>
        <v>41.5</v>
      </c>
      <c r="E55" s="85" t="str">
        <f t="shared" si="0"/>
        <v>Peuplier 15 mm</v>
      </c>
      <c r="F55" s="88">
        <v>2</v>
      </c>
      <c r="G55" s="2"/>
      <c r="H55" s="2"/>
      <c r="I55" s="2"/>
      <c r="J55" s="89">
        <f t="shared" si="1"/>
        <v>0.40752999999999995</v>
      </c>
      <c r="K55" s="89">
        <f t="shared" si="2"/>
        <v>0.50941249999999993</v>
      </c>
      <c r="L55" s="71">
        <f>IF(E55=0,0,VLOOKUP(E55,'Prix Matiere'!$A$4:$J$65,10))</f>
        <v>16.895876288659796</v>
      </c>
      <c r="M55" s="71">
        <f t="shared" si="3"/>
        <v>8.6069705798969078</v>
      </c>
      <c r="N55" s="3">
        <f t="shared" si="4"/>
        <v>17.890365771999999</v>
      </c>
      <c r="O55" s="71">
        <f>N55*MinuteMO</f>
        <v>15.206810906199999</v>
      </c>
      <c r="P55" s="2"/>
      <c r="Q55" s="254">
        <f>IF(J55=0,0,J55*VLOOKUP(E55,'Prix Matiere'!$A$4:$L$60,12))</f>
        <v>2.6896979999999999</v>
      </c>
      <c r="R55" s="90">
        <f>IF(J55=0,0,Q55*VLOOKUP(E55,'Prix Matiere'!$A$4:$L$60,11))</f>
        <v>2.0791365540000002</v>
      </c>
      <c r="S55" s="2"/>
      <c r="T55" s="2"/>
      <c r="U55" s="2"/>
      <c r="V55" s="2"/>
      <c r="W55" s="2"/>
      <c r="X55" s="2"/>
      <c r="Y55" s="2"/>
      <c r="Z55" s="2"/>
    </row>
    <row r="56" spans="1:26" ht="18" hidden="1" customHeight="1" x14ac:dyDescent="0.35">
      <c r="A56" s="60" t="s">
        <v>55</v>
      </c>
      <c r="B56" s="85" t="str">
        <f>VLOOKUP(C13,A125:D125,3)</f>
        <v>Peuplier 15 mm</v>
      </c>
      <c r="C56" s="87">
        <f>E41</f>
        <v>23.7</v>
      </c>
      <c r="D56" s="87">
        <f>D41</f>
        <v>41.5</v>
      </c>
      <c r="E56" s="85" t="str">
        <f t="shared" si="0"/>
        <v>Peuplier 15 mm</v>
      </c>
      <c r="F56" s="88">
        <v>2</v>
      </c>
      <c r="G56" s="2"/>
      <c r="H56" s="2"/>
      <c r="I56" s="2"/>
      <c r="J56" s="89">
        <f t="shared" si="1"/>
        <v>0.19670999999999997</v>
      </c>
      <c r="K56" s="89">
        <f t="shared" si="2"/>
        <v>0.24588749999999995</v>
      </c>
      <c r="L56" s="71">
        <f>IF(E56=0,0,VLOOKUP(E56,'Prix Matiere'!$A$4:$J$65,10))</f>
        <v>16.895876288659796</v>
      </c>
      <c r="M56" s="71">
        <f t="shared" si="3"/>
        <v>4.1544847809278345</v>
      </c>
      <c r="N56" s="3">
        <f t="shared" si="4"/>
        <v>16.395146004000001</v>
      </c>
      <c r="O56" s="71">
        <f>N56*MinuteMO</f>
        <v>13.9358741034</v>
      </c>
      <c r="P56" s="2"/>
      <c r="Q56" s="254">
        <f>IF(J56=0,0,J56*VLOOKUP(E56,'Prix Matiere'!$A$4:$L$60,12))</f>
        <v>1.2982859999999998</v>
      </c>
      <c r="R56" s="90">
        <f>IF(J56=0,0,Q56*VLOOKUP(E56,'Prix Matiere'!$A$4:$L$60,11))</f>
        <v>1.0035750779999999</v>
      </c>
      <c r="S56" s="2"/>
      <c r="T56" s="2"/>
      <c r="U56" s="2"/>
      <c r="V56" s="2"/>
      <c r="W56" s="2"/>
      <c r="X56" s="2"/>
      <c r="Y56" s="2"/>
      <c r="Z56" s="2"/>
    </row>
    <row r="57" spans="1:26" ht="18" hidden="1" customHeight="1" x14ac:dyDescent="0.35">
      <c r="A57" s="2"/>
      <c r="B57" s="2"/>
      <c r="C57" s="2"/>
      <c r="D57" s="2"/>
      <c r="E57" s="2"/>
      <c r="F57" s="2"/>
      <c r="G57" s="2"/>
      <c r="H57" s="2"/>
      <c r="I57" s="2"/>
      <c r="J57" s="89">
        <f t="shared" si="1"/>
        <v>0</v>
      </c>
      <c r="K57" s="89">
        <f t="shared" si="2"/>
        <v>0</v>
      </c>
      <c r="L57" s="71"/>
      <c r="M57" s="71"/>
      <c r="N57" s="3"/>
      <c r="O57" s="71"/>
      <c r="P57" s="2"/>
      <c r="Q57" s="254">
        <f>IF(J57=0,0,J57*VLOOKUP(E57,'Prix Matiere'!$A$4:$L$60,12))</f>
        <v>0</v>
      </c>
      <c r="R57" s="90"/>
      <c r="S57" s="2"/>
      <c r="T57" s="2"/>
      <c r="U57" s="2"/>
      <c r="V57" s="2"/>
      <c r="W57" s="2"/>
      <c r="X57" s="2"/>
      <c r="Y57" s="2"/>
      <c r="Z57" s="2"/>
    </row>
    <row r="58" spans="1:26" ht="18" hidden="1" customHeight="1" x14ac:dyDescent="0.35">
      <c r="A58" s="2"/>
      <c r="B58" s="2"/>
      <c r="C58" s="2"/>
      <c r="D58" s="2"/>
      <c r="E58" s="2"/>
      <c r="F58" s="2"/>
      <c r="G58" s="2"/>
      <c r="H58" s="2"/>
      <c r="I58" s="2"/>
      <c r="J58" s="89">
        <f t="shared" si="1"/>
        <v>0</v>
      </c>
      <c r="K58" s="89">
        <f t="shared" si="2"/>
        <v>0</v>
      </c>
      <c r="L58" s="71"/>
      <c r="M58" s="71"/>
      <c r="N58" s="3"/>
      <c r="O58" s="71"/>
      <c r="P58" s="2"/>
      <c r="Q58" s="254">
        <f>IF(J58=0,0,J58*VLOOKUP(E58,'Prix Matiere'!$A$4:$L$60,12))</f>
        <v>0</v>
      </c>
      <c r="R58" s="90"/>
      <c r="S58" s="2"/>
      <c r="T58" s="2"/>
      <c r="U58" s="2"/>
      <c r="V58" s="2"/>
      <c r="W58" s="2"/>
      <c r="X58" s="2"/>
      <c r="Y58" s="2"/>
      <c r="Z58" s="2"/>
    </row>
    <row r="59" spans="1:26" ht="18" hidden="1" customHeight="1" x14ac:dyDescent="0.35">
      <c r="A59" s="19" t="s">
        <v>11</v>
      </c>
      <c r="B59" s="45" t="s">
        <v>56</v>
      </c>
      <c r="C59" s="87">
        <f>C54</f>
        <v>49.1</v>
      </c>
      <c r="D59" s="45">
        <f>IF(D54&gt;80,9.4,7)</f>
        <v>7</v>
      </c>
      <c r="E59" s="34" t="str">
        <f t="shared" ref="E59:E61" si="5">IF($C$15="Pin raboté 4 faces","Barres 21 R4F","Barres 19 mm")</f>
        <v>Barres 21 R4F</v>
      </c>
      <c r="F59" s="45">
        <v>4</v>
      </c>
      <c r="G59" s="2"/>
      <c r="H59" s="2"/>
      <c r="I59" s="2"/>
      <c r="J59" s="89">
        <f t="shared" si="1"/>
        <v>0.13748000000000002</v>
      </c>
      <c r="K59" s="89">
        <f t="shared" si="2"/>
        <v>0.17185</v>
      </c>
      <c r="L59" s="71">
        <f>IF(E59=0,0,VLOOKUP(E59,'Prix Matiere'!$A$4:$J$65,10))</f>
        <v>18.969072164948454</v>
      </c>
      <c r="M59" s="71">
        <f t="shared" ref="M59:M65" si="6">L59*K59</f>
        <v>3.2598350515463919</v>
      </c>
      <c r="N59" s="3">
        <f t="shared" ref="N59:N65" si="7">IF(J59=0,0,1+(11*J59))</f>
        <v>2.5122800000000005</v>
      </c>
      <c r="O59" s="71">
        <f t="shared" ref="O59:O65" si="8">N59*MinuteMO</f>
        <v>2.1354380000000002</v>
      </c>
      <c r="P59" s="2"/>
      <c r="Q59" s="254">
        <f>IF(J59=0,0,J59*VLOOKUP(E59,'Prix Matiere'!$A$4:$L$60,12))</f>
        <v>1.3748000000000002</v>
      </c>
      <c r="R59" s="90">
        <f>IF(J59=0,0,Q59*VLOOKUP(E59,'Prix Matiere'!$A$4:$L$60,11))</f>
        <v>0.66540320000000008</v>
      </c>
      <c r="S59" s="2"/>
      <c r="T59" s="2"/>
      <c r="U59" s="2"/>
      <c r="V59" s="2"/>
      <c r="W59" s="2"/>
      <c r="X59" s="2"/>
      <c r="Y59" s="2"/>
      <c r="Z59" s="2"/>
    </row>
    <row r="60" spans="1:26" ht="18" hidden="1" customHeight="1" x14ac:dyDescent="0.35">
      <c r="A60" s="2"/>
      <c r="B60" s="45" t="s">
        <v>57</v>
      </c>
      <c r="C60" s="87">
        <f>IF(D54=0,0,D54-2*D59)</f>
        <v>16.899999999999999</v>
      </c>
      <c r="D60" s="45">
        <f>D59</f>
        <v>7</v>
      </c>
      <c r="E60" s="34" t="str">
        <f t="shared" si="5"/>
        <v>Barres 21 R4F</v>
      </c>
      <c r="F60" s="45">
        <v>4</v>
      </c>
      <c r="G60" s="2"/>
      <c r="H60" s="2"/>
      <c r="I60" s="2"/>
      <c r="J60" s="89">
        <f t="shared" si="1"/>
        <v>4.7320000000000001E-2</v>
      </c>
      <c r="K60" s="89">
        <f t="shared" si="2"/>
        <v>5.9150000000000001E-2</v>
      </c>
      <c r="L60" s="71">
        <f>IF(E60=0,0,VLOOKUP(E60,'Prix Matiere'!$A$4:$J$65,10))</f>
        <v>18.969072164948454</v>
      </c>
      <c r="M60" s="71">
        <f t="shared" si="6"/>
        <v>1.122020618556701</v>
      </c>
      <c r="N60" s="3">
        <f t="shared" si="7"/>
        <v>1.5205199999999999</v>
      </c>
      <c r="O60" s="71">
        <f t="shared" si="8"/>
        <v>1.2924419999999999</v>
      </c>
      <c r="P60" s="2"/>
      <c r="Q60" s="254">
        <f>IF(J60=0,0,J60*VLOOKUP(E60,'Prix Matiere'!$A$4:$L$60,12))</f>
        <v>0.47320000000000001</v>
      </c>
      <c r="R60" s="90">
        <f>IF(J60=0,0,Q60*VLOOKUP(E60,'Prix Matiere'!$A$4:$L$60,11))</f>
        <v>0.2290288</v>
      </c>
      <c r="S60" s="2"/>
      <c r="T60" s="2"/>
      <c r="U60" s="2"/>
      <c r="V60" s="2"/>
      <c r="W60" s="2"/>
      <c r="X60" s="2"/>
      <c r="Y60" s="2"/>
      <c r="Z60" s="2"/>
    </row>
    <row r="61" spans="1:26" ht="18" hidden="1" customHeight="1" x14ac:dyDescent="0.35">
      <c r="A61" s="2"/>
      <c r="B61" s="45" t="s">
        <v>58</v>
      </c>
      <c r="C61" s="87">
        <f>C59</f>
        <v>49.1</v>
      </c>
      <c r="D61" s="45">
        <f>IF($D$41&lt;14.4,$D$41,7)</f>
        <v>7</v>
      </c>
      <c r="E61" s="34" t="str">
        <f t="shared" si="5"/>
        <v>Barres 21 R4F</v>
      </c>
      <c r="F61" s="92">
        <f>IF(D41&lt;14.4,2,4)</f>
        <v>4</v>
      </c>
      <c r="G61" s="2"/>
      <c r="H61" s="2"/>
      <c r="I61" s="2"/>
      <c r="J61" s="89">
        <f t="shared" si="1"/>
        <v>0.13748000000000002</v>
      </c>
      <c r="K61" s="89">
        <f t="shared" si="2"/>
        <v>0.17185</v>
      </c>
      <c r="L61" s="71">
        <f>IF(E61=0,0,VLOOKUP(E61,'Prix Matiere'!$A$4:$J$65,10))</f>
        <v>18.969072164948454</v>
      </c>
      <c r="M61" s="71">
        <f t="shared" si="6"/>
        <v>3.2598350515463919</v>
      </c>
      <c r="N61" s="3">
        <f t="shared" si="7"/>
        <v>2.5122800000000005</v>
      </c>
      <c r="O61" s="71">
        <f t="shared" si="8"/>
        <v>2.1354380000000002</v>
      </c>
      <c r="P61" s="2"/>
      <c r="Q61" s="254">
        <f>IF(J61=0,0,J61*VLOOKUP(E61,'Prix Matiere'!$A$4:$L$60,12))</f>
        <v>1.3748000000000002</v>
      </c>
      <c r="R61" s="90">
        <f>IF(J61=0,0,Q61*VLOOKUP(E61,'Prix Matiere'!$A$4:$L$60,11))</f>
        <v>0.66540320000000008</v>
      </c>
      <c r="S61" s="2"/>
      <c r="T61" s="2"/>
      <c r="U61" s="2"/>
      <c r="V61" s="2"/>
      <c r="W61" s="2"/>
      <c r="X61" s="2"/>
      <c r="Y61" s="2"/>
      <c r="Z61" s="2"/>
    </row>
    <row r="62" spans="1:26" ht="18" hidden="1" customHeight="1" x14ac:dyDescent="0.35">
      <c r="A62" s="2"/>
      <c r="B62" s="368" t="str">
        <f>C23</f>
        <v>Skis en 30 mm</v>
      </c>
      <c r="C62" s="87">
        <f>IF(C54&gt;120,((C54-75)/2),C54)</f>
        <v>49.1</v>
      </c>
      <c r="D62" s="45">
        <f>IF($F$10="BOVIS",9.4,7)</f>
        <v>7</v>
      </c>
      <c r="E62" s="34" t="str">
        <f>IF($B$62="Skis en 30 mm","Barres 30 R4F","Semelles R4F")</f>
        <v>Barres 30 R4F</v>
      </c>
      <c r="F62" s="45">
        <f>IF(C54&gt;120,4,2)</f>
        <v>2</v>
      </c>
      <c r="G62" s="2"/>
      <c r="H62" s="2"/>
      <c r="I62" s="2"/>
      <c r="J62" s="89">
        <f t="shared" si="1"/>
        <v>6.8740000000000009E-2</v>
      </c>
      <c r="K62" s="89">
        <f t="shared" si="2"/>
        <v>8.5925000000000001E-2</v>
      </c>
      <c r="L62" s="71">
        <f>IF(E62=0,0,VLOOKUP(E62,'Prix Matiere'!$A$4:$J$65,10))</f>
        <v>45.432989690721641</v>
      </c>
      <c r="M62" s="71">
        <f t="shared" si="6"/>
        <v>3.9038296391752572</v>
      </c>
      <c r="N62" s="3">
        <f t="shared" si="7"/>
        <v>1.7561400000000003</v>
      </c>
      <c r="O62" s="71">
        <f t="shared" si="8"/>
        <v>1.4927190000000001</v>
      </c>
      <c r="P62" s="2"/>
      <c r="Q62" s="254">
        <f>IF(J62=0,0,J62*VLOOKUP(E62,'Prix Matiere'!$A$4:$L$60,12))</f>
        <v>0.68740000000000012</v>
      </c>
      <c r="R62" s="90">
        <f>IF(J62=0,0,Q62*VLOOKUP(E62,'Prix Matiere'!$A$4:$L$60,11))</f>
        <v>0.33270160000000004</v>
      </c>
      <c r="S62" s="2"/>
      <c r="T62" s="2"/>
      <c r="U62" s="2"/>
      <c r="V62" s="2"/>
      <c r="W62" s="2"/>
      <c r="X62" s="2"/>
      <c r="Y62" s="2"/>
      <c r="Z62" s="2"/>
    </row>
    <row r="63" spans="1:26" ht="18" hidden="1" customHeight="1" x14ac:dyDescent="0.35">
      <c r="A63" s="2"/>
      <c r="B63" s="45" t="s">
        <v>59</v>
      </c>
      <c r="C63" s="87">
        <f>IF(D41&lt;14.4,0,D41)</f>
        <v>41.5</v>
      </c>
      <c r="D63" s="45">
        <f>IF(D41&lt;14.4,0,D59)</f>
        <v>7</v>
      </c>
      <c r="E63" s="34" t="str">
        <f t="shared" ref="E63:E64" si="9">IF($C$15="Pin raboté 4 faces","Barres 21 R4F","Barres 19 mm")</f>
        <v>Barres 21 R4F</v>
      </c>
      <c r="F63" s="45">
        <f>IF(D41&lt;14.4,0,4)</f>
        <v>4</v>
      </c>
      <c r="G63" s="2"/>
      <c r="H63" s="2"/>
      <c r="I63" s="2"/>
      <c r="J63" s="89">
        <f t="shared" si="1"/>
        <v>0.11620000000000001</v>
      </c>
      <c r="K63" s="89">
        <f t="shared" si="2"/>
        <v>0.14525000000000002</v>
      </c>
      <c r="L63" s="71">
        <f>IF(E63=0,0,VLOOKUP(E63,'Prix Matiere'!$A$4:$J$65,10))</f>
        <v>18.969072164948454</v>
      </c>
      <c r="M63" s="71">
        <f t="shared" si="6"/>
        <v>2.7552577319587632</v>
      </c>
      <c r="N63" s="3">
        <f t="shared" si="7"/>
        <v>2.2782</v>
      </c>
      <c r="O63" s="71">
        <f t="shared" si="8"/>
        <v>1.9364699999999999</v>
      </c>
      <c r="P63" s="2"/>
      <c r="Q63" s="254">
        <f>IF(J63=0,0,J63*VLOOKUP(E63,'Prix Matiere'!$A$4:$L$60,12))</f>
        <v>1.1620000000000001</v>
      </c>
      <c r="R63" s="90">
        <f>IF(J63=0,0,Q63*VLOOKUP(E63,'Prix Matiere'!$A$4:$L$60,11))</f>
        <v>0.56240800000000002</v>
      </c>
      <c r="S63" s="2"/>
      <c r="T63" s="2"/>
      <c r="U63" s="2"/>
      <c r="V63" s="2"/>
      <c r="W63" s="2"/>
      <c r="X63" s="2"/>
      <c r="Y63" s="2"/>
      <c r="Z63" s="2"/>
    </row>
    <row r="64" spans="1:26" ht="18" hidden="1" customHeight="1" x14ac:dyDescent="0.35">
      <c r="A64" s="2"/>
      <c r="B64" s="45" t="s">
        <v>60</v>
      </c>
      <c r="C64" s="87">
        <f>IF(D41&lt;14.4,E41,C56-2*D63)</f>
        <v>9.6999999999999993</v>
      </c>
      <c r="D64" s="45">
        <f>IF($D$41&lt;14.4,$D$41,IF($D$41&lt;20,5,7))</f>
        <v>7</v>
      </c>
      <c r="E64" s="34" t="str">
        <f t="shared" si="9"/>
        <v>Barres 21 R4F</v>
      </c>
      <c r="F64" s="92">
        <f>IF(D41&lt;14.4,2,4)</f>
        <v>4</v>
      </c>
      <c r="G64" s="2"/>
      <c r="H64" s="2"/>
      <c r="I64" s="2"/>
      <c r="J64" s="89">
        <f t="shared" si="1"/>
        <v>2.716E-2</v>
      </c>
      <c r="K64" s="89">
        <f t="shared" si="2"/>
        <v>3.3950000000000001E-2</v>
      </c>
      <c r="L64" s="71">
        <f>IF(E64=0,0,VLOOKUP(E64,'Prix Matiere'!$A$4:$J$65,10))</f>
        <v>18.969072164948454</v>
      </c>
      <c r="M64" s="71">
        <f t="shared" si="6"/>
        <v>0.64400000000000002</v>
      </c>
      <c r="N64" s="3">
        <f t="shared" si="7"/>
        <v>1.2987600000000001</v>
      </c>
      <c r="O64" s="71">
        <f t="shared" si="8"/>
        <v>1.1039460000000001</v>
      </c>
      <c r="P64" s="2"/>
      <c r="Q64" s="254">
        <f>IF(J64=0,0,J64*VLOOKUP(E64,'Prix Matiere'!$A$4:$L$60,12))</f>
        <v>0.27160000000000001</v>
      </c>
      <c r="R64" s="90">
        <f>IF(J64=0,0,Q64*VLOOKUP(E64,'Prix Matiere'!$A$4:$L$60,11))</f>
        <v>0.1314544</v>
      </c>
      <c r="S64" s="2"/>
      <c r="T64" s="2"/>
      <c r="U64" s="2"/>
      <c r="V64" s="2"/>
      <c r="W64" s="2"/>
      <c r="X64" s="2"/>
      <c r="Y64" s="2"/>
      <c r="Z64" s="2"/>
    </row>
    <row r="65" spans="1:26" ht="18" hidden="1" customHeight="1" x14ac:dyDescent="0.35">
      <c r="A65" s="2"/>
      <c r="B65" s="45" t="str">
        <f>IF(D41&lt;14.4,0,IF(C21="Bois","Poignées",IF(C21="Métal x 2 sur bouts","Supports poignées",0)))</f>
        <v>Poignées</v>
      </c>
      <c r="C65" s="87">
        <f>IF(B65="Poignées",D56+VLOOKUP(C13,A125:D125,4)*2+4.2,IF(B65="Supports poignées",D56-2*D64,0))</f>
        <v>48.7</v>
      </c>
      <c r="D65" s="45">
        <f>IF(B65="Poignées",7,IF(B65="Supports poignées",9.4,0))</f>
        <v>7</v>
      </c>
      <c r="E65" s="34" t="s">
        <v>61</v>
      </c>
      <c r="F65" s="45">
        <f>IF(B65=0,0,2)</f>
        <v>2</v>
      </c>
      <c r="G65" s="2"/>
      <c r="H65" s="2"/>
      <c r="I65" s="2"/>
      <c r="J65" s="89">
        <f t="shared" si="1"/>
        <v>6.8180000000000018E-2</v>
      </c>
      <c r="K65" s="89">
        <f t="shared" si="2"/>
        <v>8.5225000000000023E-2</v>
      </c>
      <c r="L65" s="71">
        <f>IF(E65=0,0,VLOOKUP(E65,'Prix Matiere'!$A$4:$J$65,10))</f>
        <v>18.969072164948454</v>
      </c>
      <c r="M65" s="71">
        <f t="shared" si="6"/>
        <v>1.6166391752577325</v>
      </c>
      <c r="N65" s="3">
        <f t="shared" si="7"/>
        <v>1.7499800000000003</v>
      </c>
      <c r="O65" s="71">
        <f t="shared" si="8"/>
        <v>1.4874830000000003</v>
      </c>
      <c r="P65" s="2"/>
      <c r="Q65" s="254">
        <f>IF(J65=0,0,J65*VLOOKUP(E65,'Prix Matiere'!$A$4:$L$60,12))</f>
        <v>0.68180000000000018</v>
      </c>
      <c r="R65" s="90">
        <f>IF(J65=0,0,Q65*VLOOKUP(E65,'Prix Matiere'!$A$4:$L$60,11))</f>
        <v>0.3299912000000001</v>
      </c>
      <c r="S65" s="2"/>
      <c r="T65" s="2"/>
      <c r="U65" s="2"/>
      <c r="V65" s="2"/>
      <c r="W65" s="2"/>
      <c r="X65" s="2"/>
      <c r="Y65" s="2"/>
      <c r="Z65" s="2"/>
    </row>
    <row r="66" spans="1:26" ht="18" hidden="1" customHeight="1" x14ac:dyDescent="0.3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71"/>
      <c r="M66" s="71"/>
      <c r="N66" s="3"/>
      <c r="O66" s="71"/>
      <c r="P66" s="2"/>
      <c r="Q66" s="254">
        <f>IF(J66=0,0,J66*VLOOKUP(E66,'Prix Matiere'!$A$4:$L$60,12))</f>
        <v>0</v>
      </c>
      <c r="R66" s="90"/>
      <c r="S66" s="2"/>
      <c r="T66" s="2"/>
      <c r="U66" s="2"/>
      <c r="V66" s="2"/>
      <c r="W66" s="2"/>
      <c r="X66" s="2"/>
      <c r="Y66" s="2"/>
      <c r="Z66" s="2"/>
    </row>
    <row r="67" spans="1:26" ht="18" hidden="1" customHeight="1" x14ac:dyDescent="0.3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71"/>
      <c r="M67" s="71"/>
      <c r="N67" s="3"/>
      <c r="O67" s="71"/>
      <c r="P67" s="2"/>
      <c r="Q67" s="254">
        <f>IF(J67=0,0,J67*VLOOKUP(E67,'Prix Matiere'!$A$4:$L$60,12))</f>
        <v>0</v>
      </c>
      <c r="R67" s="90"/>
      <c r="S67" s="2"/>
      <c r="T67" s="2"/>
      <c r="U67" s="2"/>
      <c r="V67" s="2"/>
      <c r="W67" s="2"/>
      <c r="X67" s="2"/>
      <c r="Y67" s="2"/>
      <c r="Z67" s="2"/>
    </row>
    <row r="68" spans="1:26" ht="18" hidden="1" customHeight="1" x14ac:dyDescent="0.35">
      <c r="A68" s="19" t="s">
        <v>62</v>
      </c>
      <c r="B68" s="45" t="s">
        <v>63</v>
      </c>
      <c r="C68" s="45">
        <f>IF(F68=0,0,C41)</f>
        <v>0</v>
      </c>
      <c r="D68" s="45">
        <f>IF(F68=0,0,E72+VLOOKUP($C$17,A132:P138,5))</f>
        <v>0</v>
      </c>
      <c r="E68" s="34">
        <f>VLOOKUP($C$17,A132:P138,6)</f>
        <v>0</v>
      </c>
      <c r="F68" s="45">
        <f>VLOOKUP($C$17,A132:P138,7)</f>
        <v>0</v>
      </c>
      <c r="G68" s="2"/>
      <c r="H68" s="2"/>
      <c r="I68" s="2"/>
      <c r="J68" s="89">
        <f t="shared" ref="J68:J70" si="10">IF(C68=0,0,(C68/100)*(D68/100)*F68)</f>
        <v>0</v>
      </c>
      <c r="K68" s="89">
        <f t="shared" ref="K68:K70" si="11">J68/0.8</f>
        <v>0</v>
      </c>
      <c r="L68" s="71">
        <f>IF(E68=0,0,VLOOKUP(E68,'Prix Matiere'!$A$4:$J$65,10))</f>
        <v>0</v>
      </c>
      <c r="M68" s="71">
        <f t="shared" ref="M68:M70" si="12">L68*K68</f>
        <v>0</v>
      </c>
      <c r="N68" s="3">
        <f t="shared" ref="N68:N70" si="13">IF(J68=0,0,(4.7283*J68)+3)</f>
        <v>0</v>
      </c>
      <c r="O68" s="71">
        <f>N68*MinuteMO</f>
        <v>0</v>
      </c>
      <c r="P68" s="2"/>
      <c r="Q68" s="254">
        <f>IF(J68=0,0,J68*VLOOKUP(E68,'Prix Matiere'!$A$4:$L$60,12))</f>
        <v>0</v>
      </c>
      <c r="R68" s="90">
        <f>IF(J68=0,0,Q68*VLOOKUP(E68,'Prix Matiere'!$A$4:$L$60,11))</f>
        <v>0</v>
      </c>
      <c r="S68" s="2"/>
      <c r="T68" s="2"/>
      <c r="U68" s="2"/>
      <c r="V68" s="2"/>
      <c r="W68" s="2"/>
      <c r="X68" s="2"/>
      <c r="Y68" s="2"/>
      <c r="Z68" s="2"/>
    </row>
    <row r="69" spans="1:26" ht="18" hidden="1" customHeight="1" x14ac:dyDescent="0.35">
      <c r="A69" s="2"/>
      <c r="B69" s="45" t="s">
        <v>54</v>
      </c>
      <c r="C69" s="45">
        <f>IF(F69=0,0,C41)</f>
        <v>0</v>
      </c>
      <c r="D69" s="45">
        <f>IF(F69=0,0,D72)</f>
        <v>0</v>
      </c>
      <c r="E69" s="34">
        <f>IF($C$17="Aucun",0,VLOOKUP($C$17,A132:P138,6))</f>
        <v>0</v>
      </c>
      <c r="F69" s="45">
        <f>VLOOKUP($C$17,A132:P138,7)</f>
        <v>0</v>
      </c>
      <c r="G69" s="2"/>
      <c r="H69" s="2"/>
      <c r="I69" s="2"/>
      <c r="J69" s="89">
        <f t="shared" si="10"/>
        <v>0</v>
      </c>
      <c r="K69" s="89">
        <f t="shared" si="11"/>
        <v>0</v>
      </c>
      <c r="L69" s="71">
        <f>IF(E69=0,0,VLOOKUP(E69,'Prix Matiere'!$A$4:$J$65,10))</f>
        <v>0</v>
      </c>
      <c r="M69" s="71">
        <f t="shared" si="12"/>
        <v>0</v>
      </c>
      <c r="N69" s="3">
        <f t="shared" si="13"/>
        <v>0</v>
      </c>
      <c r="O69" s="71">
        <f>N69*MinuteMO</f>
        <v>0</v>
      </c>
      <c r="P69" s="2"/>
      <c r="Q69" s="254">
        <f>IF(J69=0,0,J69*VLOOKUP(E69,'Prix Matiere'!$A$4:$L$60,12))</f>
        <v>0</v>
      </c>
      <c r="R69" s="90">
        <f>IF(J69=0,0,Q69*VLOOKUP(E69,'Prix Matiere'!$A$4:$L$60,11))</f>
        <v>0</v>
      </c>
      <c r="S69" s="2"/>
      <c r="T69" s="2"/>
      <c r="U69" s="2"/>
      <c r="V69" s="2"/>
      <c r="W69" s="2"/>
      <c r="X69" s="2"/>
      <c r="Y69" s="2"/>
      <c r="Z69" s="2"/>
    </row>
    <row r="70" spans="1:26" ht="18" hidden="1" customHeight="1" x14ac:dyDescent="0.35">
      <c r="A70" s="2"/>
      <c r="B70" s="45" t="s">
        <v>55</v>
      </c>
      <c r="C70" s="45">
        <f>IF(F70=0,0,E72)</f>
        <v>0</v>
      </c>
      <c r="D70" s="45">
        <f>IF(F70=0,0,D72)</f>
        <v>0</v>
      </c>
      <c r="E70" s="34">
        <f>IF($C$17="Aucun",0,VLOOKUP($C$17,A132:P138,6))</f>
        <v>0</v>
      </c>
      <c r="F70" s="45">
        <f>VLOOKUP($C$17,A132:P138,7)</f>
        <v>0</v>
      </c>
      <c r="G70" s="2"/>
      <c r="H70" s="2"/>
      <c r="I70" s="2"/>
      <c r="J70" s="89">
        <f t="shared" si="10"/>
        <v>0</v>
      </c>
      <c r="K70" s="89">
        <f t="shared" si="11"/>
        <v>0</v>
      </c>
      <c r="L70" s="71">
        <f>IF(E70=0,0,VLOOKUP(E70,'Prix Matiere'!$A$4:$J$65,10))</f>
        <v>0</v>
      </c>
      <c r="M70" s="71">
        <f t="shared" si="12"/>
        <v>0</v>
      </c>
      <c r="N70" s="3">
        <f t="shared" si="13"/>
        <v>0</v>
      </c>
      <c r="O70" s="71">
        <f>N70*MinuteMO</f>
        <v>0</v>
      </c>
      <c r="P70" s="2"/>
      <c r="Q70" s="254">
        <f>IF(J70=0,0,J70*VLOOKUP(E70,'Prix Matiere'!$A$4:$L$60,12))</f>
        <v>0</v>
      </c>
      <c r="R70" s="90">
        <f>IF(J70=0,0,Q70*VLOOKUP(E70,'Prix Matiere'!$A$4:$L$60,11))</f>
        <v>0</v>
      </c>
      <c r="S70" s="2"/>
      <c r="T70" s="2"/>
      <c r="U70" s="2"/>
      <c r="V70" s="2"/>
      <c r="W70" s="2"/>
      <c r="X70" s="2"/>
      <c r="Y70" s="2"/>
      <c r="Z70" s="2"/>
    </row>
    <row r="71" spans="1:26" ht="18" hidden="1" customHeight="1" x14ac:dyDescent="0.35">
      <c r="A71" s="2"/>
      <c r="B71" s="2"/>
      <c r="C71" s="2"/>
      <c r="D71" s="2"/>
      <c r="E71" s="2"/>
      <c r="F71" s="2"/>
      <c r="G71" s="2"/>
      <c r="H71" s="2"/>
      <c r="I71" s="2"/>
      <c r="J71" s="89"/>
      <c r="K71" s="89"/>
      <c r="L71" s="71"/>
      <c r="M71" s="71"/>
      <c r="N71" s="3"/>
      <c r="O71" s="71"/>
      <c r="P71" s="2"/>
      <c r="Q71" s="254">
        <f>IF(J71=0,0,J71*VLOOKUP(E71,'Prix Matiere'!$A$4:$L$60,12))</f>
        <v>0</v>
      </c>
      <c r="R71" s="90"/>
      <c r="S71" s="2"/>
      <c r="T71" s="2"/>
      <c r="U71" s="2"/>
      <c r="V71" s="2"/>
      <c r="W71" s="2"/>
      <c r="X71" s="2"/>
      <c r="Y71" s="2"/>
      <c r="Z71" s="2"/>
    </row>
    <row r="72" spans="1:26" ht="18" hidden="1" customHeight="1" x14ac:dyDescent="0.35">
      <c r="A72" s="2"/>
      <c r="B72" s="2" t="s">
        <v>64</v>
      </c>
      <c r="C72" s="2">
        <f>C41-VLOOKUP(C17,A132:P138,5)</f>
        <v>41.9</v>
      </c>
      <c r="D72" s="2">
        <f>D41-VLOOKUP(C17,A132:P138,5)</f>
        <v>41.5</v>
      </c>
      <c r="E72" s="2">
        <f>E41-VLOOKUP(C17,A132:P138,5)</f>
        <v>23.7</v>
      </c>
      <c r="F72" s="2"/>
      <c r="G72" s="2"/>
      <c r="H72" s="2"/>
      <c r="I72" s="2"/>
      <c r="J72" s="89"/>
      <c r="K72" s="89"/>
      <c r="L72" s="71"/>
      <c r="M72" s="71"/>
      <c r="N72" s="3"/>
      <c r="O72" s="71"/>
      <c r="P72" s="2"/>
      <c r="Q72" s="254">
        <f>IF(J72=0,0,J72*VLOOKUP(E72,'Prix Matiere'!$A$4:$L$60,12))</f>
        <v>0</v>
      </c>
      <c r="R72" s="90"/>
      <c r="S72" s="2"/>
      <c r="T72" s="2"/>
      <c r="U72" s="2"/>
      <c r="V72" s="2"/>
      <c r="W72" s="2"/>
      <c r="X72" s="2"/>
      <c r="Y72" s="2"/>
      <c r="Z72" s="2"/>
    </row>
    <row r="73" spans="1:26" ht="18" hidden="1" customHeight="1" x14ac:dyDescent="0.35">
      <c r="A73" s="2"/>
      <c r="B73" s="2"/>
      <c r="C73" s="2"/>
      <c r="D73" s="2"/>
      <c r="E73" s="2"/>
      <c r="F73" s="2"/>
      <c r="G73" s="2"/>
      <c r="H73" s="2"/>
      <c r="I73" s="2"/>
      <c r="J73" s="89"/>
      <c r="K73" s="89"/>
      <c r="L73" s="71"/>
      <c r="M73" s="71"/>
      <c r="N73" s="3"/>
      <c r="O73" s="71"/>
      <c r="P73" s="2"/>
      <c r="Q73" s="254">
        <f>IF(J73=0,0,J73*VLOOKUP(E73,'Prix Matiere'!$A$4:$L$60,12))</f>
        <v>0</v>
      </c>
      <c r="R73" s="90"/>
      <c r="S73" s="2"/>
      <c r="T73" s="2"/>
      <c r="U73" s="2"/>
      <c r="V73" s="2"/>
      <c r="W73" s="2"/>
      <c r="X73" s="2"/>
      <c r="Y73" s="2"/>
      <c r="Z73" s="2"/>
    </row>
    <row r="74" spans="1:26" ht="18" hidden="1" customHeight="1" x14ac:dyDescent="0.35">
      <c r="A74" s="19" t="s">
        <v>65</v>
      </c>
      <c r="B74" s="45" t="s">
        <v>63</v>
      </c>
      <c r="C74" s="45">
        <f>IF(F74=0,0,C78+VLOOKUP(C17,A132:P138,8))-0.5</f>
        <v>41.4</v>
      </c>
      <c r="D74" s="45">
        <f>IF(F74=0,0,E78+VLOOKUP(C17,A132:P138,8))-0.5</f>
        <v>23.2</v>
      </c>
      <c r="E74" s="34" t="str">
        <f>VLOOKUP(C17,A132:P138,9)</f>
        <v>Styro 50 mm</v>
      </c>
      <c r="F74" s="45">
        <f>VLOOKUP($C$17,A132:P138,10)</f>
        <v>2</v>
      </c>
      <c r="G74" s="2"/>
      <c r="H74" s="2"/>
      <c r="I74" s="2"/>
      <c r="J74" s="89">
        <f t="shared" ref="J74:J76" si="14">IF(C74=0,0,(C74/100)*(D74/100)*F74)</f>
        <v>0.19209599999999999</v>
      </c>
      <c r="K74" s="89">
        <f t="shared" ref="K74:K76" si="15">J74/0.8</f>
        <v>0.24011999999999997</v>
      </c>
      <c r="L74" s="71">
        <f>IF(E74=0,0,VLOOKUP(E74,'Prix Matiere'!A4:J60,10))</f>
        <v>10.313402061855671</v>
      </c>
      <c r="M74" s="71">
        <f t="shared" ref="M74:M76" si="16">L74*K74</f>
        <v>2.4764541030927836</v>
      </c>
      <c r="N74" s="3">
        <f t="shared" ref="N74:N76" si="17">IF(J74=0,0,(3.94*J74)+5)</f>
        <v>5.7568582399999997</v>
      </c>
      <c r="O74" s="71">
        <f>N74*MinuteMO</f>
        <v>4.8933295039999996</v>
      </c>
      <c r="P74" s="2"/>
      <c r="Q74" s="254">
        <f>IF(J74=0,0,J74*VLOOKUP(E74,'Prix Matiere'!$A$4:$L$60,12))</f>
        <v>0.28814399999999996</v>
      </c>
      <c r="R74" s="90">
        <f>IF(J74=0,0,Q74*VLOOKUP(E74,'Prix Matiere'!$A$4:$L$60,11))</f>
        <v>0.85002479999999991</v>
      </c>
      <c r="S74" s="2"/>
      <c r="T74" s="2"/>
      <c r="U74" s="2"/>
      <c r="V74" s="2"/>
      <c r="W74" s="2"/>
      <c r="X74" s="2"/>
      <c r="Y74" s="2"/>
      <c r="Z74" s="2"/>
    </row>
    <row r="75" spans="1:26" ht="18" hidden="1" customHeight="1" x14ac:dyDescent="0.35">
      <c r="A75" s="2"/>
      <c r="B75" s="45" t="s">
        <v>54</v>
      </c>
      <c r="C75" s="45">
        <f>IF(F75=0,0,C78+VLOOKUP(C17,A132:P138,8))</f>
        <v>41.9</v>
      </c>
      <c r="D75" s="45">
        <f>IF(F75=0,0,D78)</f>
        <v>31.5</v>
      </c>
      <c r="E75" s="34" t="str">
        <f>VLOOKUP(C17,A132:P138,9)</f>
        <v>Styro 50 mm</v>
      </c>
      <c r="F75" s="45">
        <f>VLOOKUP($C$17,A132:P138,10)</f>
        <v>2</v>
      </c>
      <c r="G75" s="2"/>
      <c r="H75" s="2"/>
      <c r="I75" s="2"/>
      <c r="J75" s="89">
        <f t="shared" si="14"/>
        <v>0.26396999999999998</v>
      </c>
      <c r="K75" s="89">
        <f t="shared" si="15"/>
        <v>0.32996249999999994</v>
      </c>
      <c r="L75" s="71">
        <f>IF(E75=0,0,VLOOKUP(E75,'Prix Matiere'!A5:J61,10))</f>
        <v>10.313402061855671</v>
      </c>
      <c r="M75" s="71">
        <f t="shared" si="16"/>
        <v>3.403035927835051</v>
      </c>
      <c r="N75" s="3">
        <f t="shared" si="17"/>
        <v>6.0400418</v>
      </c>
      <c r="O75" s="71">
        <f>N75*MinuteMO</f>
        <v>5.1340355300000002</v>
      </c>
      <c r="P75" s="2"/>
      <c r="Q75" s="254">
        <f>IF(J75=0,0,J75*VLOOKUP(E75,'Prix Matiere'!$A$4:$L$60,12))</f>
        <v>0.39595499999999995</v>
      </c>
      <c r="R75" s="90">
        <f>IF(J75=0,0,Q75*VLOOKUP(E75,'Prix Matiere'!$A$4:$L$60,11))</f>
        <v>1.16806725</v>
      </c>
      <c r="S75" s="2"/>
      <c r="T75" s="2"/>
      <c r="U75" s="2"/>
      <c r="V75" s="2"/>
      <c r="W75" s="2"/>
      <c r="X75" s="2"/>
      <c r="Y75" s="2"/>
      <c r="Z75" s="2"/>
    </row>
    <row r="76" spans="1:26" ht="18" hidden="1" customHeight="1" x14ac:dyDescent="0.35">
      <c r="A76" s="2"/>
      <c r="B76" s="45" t="s">
        <v>55</v>
      </c>
      <c r="C76" s="45">
        <f>IF(F76=0,0,E78)</f>
        <v>13.7</v>
      </c>
      <c r="D76" s="45">
        <f>IF(F76=0,0,D78)</f>
        <v>31.5</v>
      </c>
      <c r="E76" s="34" t="str">
        <f>VLOOKUP(C17,A132:P138,9)</f>
        <v>Styro 50 mm</v>
      </c>
      <c r="F76" s="45">
        <f>VLOOKUP($C$17,A132:P138,10)</f>
        <v>2</v>
      </c>
      <c r="G76" s="2"/>
      <c r="H76" s="2"/>
      <c r="I76" s="2"/>
      <c r="J76" s="89">
        <f t="shared" si="14"/>
        <v>8.6309999999999984E-2</v>
      </c>
      <c r="K76" s="89">
        <f t="shared" si="15"/>
        <v>0.10788749999999997</v>
      </c>
      <c r="L76" s="71">
        <f>IF(E76=0,0,VLOOKUP(E76,'Prix Matiere'!A6:J62,10))</f>
        <v>10.313402061855671</v>
      </c>
      <c r="M76" s="71">
        <f t="shared" si="16"/>
        <v>1.1126871649484533</v>
      </c>
      <c r="N76" s="3">
        <f t="shared" si="17"/>
        <v>5.3400613999999997</v>
      </c>
      <c r="O76" s="71">
        <f>N76*MinuteMO</f>
        <v>4.5390521899999996</v>
      </c>
      <c r="P76" s="2"/>
      <c r="Q76" s="254">
        <f>IF(J76=0,0,J76*VLOOKUP(E76,'Prix Matiere'!$A$4:$L$60,12))</f>
        <v>0.12946499999999997</v>
      </c>
      <c r="R76" s="90">
        <f>IF(J76=0,0,Q76*VLOOKUP(E76,'Prix Matiere'!$A$4:$L$60,11))</f>
        <v>0.38192174999999995</v>
      </c>
      <c r="S76" s="2"/>
      <c r="T76" s="2"/>
      <c r="U76" s="2"/>
      <c r="V76" s="2"/>
      <c r="W76" s="2"/>
      <c r="X76" s="2"/>
      <c r="Y76" s="2"/>
      <c r="Z76" s="2"/>
    </row>
    <row r="77" spans="1:26" ht="18" hidden="1" customHeight="1" x14ac:dyDescent="0.35">
      <c r="A77" s="2"/>
      <c r="B77" s="2"/>
      <c r="C77" s="2"/>
      <c r="D77" s="2"/>
      <c r="E77" s="2"/>
      <c r="F77" s="2"/>
      <c r="G77" s="2"/>
      <c r="H77" s="2"/>
      <c r="I77" s="2"/>
      <c r="J77" s="89"/>
      <c r="K77" s="89"/>
      <c r="L77" s="71"/>
      <c r="M77" s="71"/>
      <c r="N77" s="3"/>
      <c r="O77" s="71"/>
      <c r="P77" s="2"/>
      <c r="Q77" s="254">
        <f>IF(J77=0,0,J77*VLOOKUP(E77,'Prix Matiere'!$A$4:$L$60,12))</f>
        <v>0</v>
      </c>
      <c r="R77" s="90"/>
      <c r="S77" s="2"/>
      <c r="T77" s="2"/>
      <c r="U77" s="2"/>
      <c r="V77" s="2"/>
      <c r="W77" s="2"/>
      <c r="X77" s="2"/>
      <c r="Y77" s="2"/>
      <c r="Z77" s="2"/>
    </row>
    <row r="78" spans="1:26" ht="18" hidden="1" customHeight="1" x14ac:dyDescent="0.35">
      <c r="A78" s="2"/>
      <c r="B78" s="2" t="s">
        <v>66</v>
      </c>
      <c r="C78" s="2">
        <f>C72-VLOOKUP(C17,A132:P138,8)</f>
        <v>31.9</v>
      </c>
      <c r="D78" s="2">
        <f>D72-VLOOKUP(C17,A132:P138,8)</f>
        <v>31.5</v>
      </c>
      <c r="E78" s="2">
        <f>E72-VLOOKUP(C17,A132:P138,8)</f>
        <v>13.7</v>
      </c>
      <c r="F78" s="2"/>
      <c r="G78" s="2"/>
      <c r="H78" s="2"/>
      <c r="I78" s="2"/>
      <c r="J78" s="89"/>
      <c r="K78" s="89"/>
      <c r="L78" s="71"/>
      <c r="M78" s="71"/>
      <c r="N78" s="3"/>
      <c r="O78" s="71"/>
      <c r="P78" s="2"/>
      <c r="Q78" s="254">
        <f>IF(J78=0,0,J78*VLOOKUP(E78,'Prix Matiere'!$A$4:$L$60,12))</f>
        <v>0</v>
      </c>
      <c r="R78" s="90"/>
      <c r="S78" s="2"/>
      <c r="T78" s="2"/>
      <c r="U78" s="2"/>
      <c r="V78" s="2"/>
      <c r="W78" s="2"/>
      <c r="X78" s="2"/>
      <c r="Y78" s="2"/>
      <c r="Z78" s="2"/>
    </row>
    <row r="79" spans="1:26" ht="18" hidden="1" customHeight="1" x14ac:dyDescent="0.35">
      <c r="A79" s="2"/>
      <c r="B79" s="2"/>
      <c r="C79" s="2"/>
      <c r="D79" s="2"/>
      <c r="E79" s="2"/>
      <c r="F79" s="2"/>
      <c r="G79" s="2"/>
      <c r="H79" s="2"/>
      <c r="I79" s="2"/>
      <c r="J79" s="89">
        <f t="shared" ref="J79:J106" si="18">IF(C79=0,0,(C79/100)*(D79/100)*F79)</f>
        <v>0</v>
      </c>
      <c r="K79" s="89">
        <f t="shared" ref="K79:K106" si="19">J79/0.8</f>
        <v>0</v>
      </c>
      <c r="L79" s="71"/>
      <c r="M79" s="71"/>
      <c r="N79" s="3"/>
      <c r="O79" s="71"/>
      <c r="P79" s="2"/>
      <c r="Q79" s="254">
        <f>IF(J79=0,0,J79*VLOOKUP(E79,'Prix Matiere'!$A$4:$L$60,12))</f>
        <v>0</v>
      </c>
      <c r="R79" s="90"/>
      <c r="S79" s="2"/>
      <c r="T79" s="2"/>
      <c r="U79" s="2"/>
      <c r="V79" s="2"/>
      <c r="W79" s="2"/>
      <c r="X79" s="2"/>
      <c r="Y79" s="2"/>
      <c r="Z79" s="2"/>
    </row>
    <row r="80" spans="1:26" ht="18" hidden="1" customHeight="1" x14ac:dyDescent="0.35">
      <c r="A80" s="19" t="s">
        <v>67</v>
      </c>
      <c r="B80" s="45" t="s">
        <v>63</v>
      </c>
      <c r="C80" s="45">
        <f>IF(F80=0,0,C83)</f>
        <v>0</v>
      </c>
      <c r="D80" s="45">
        <f>IF(F80=0,0,10)</f>
        <v>0</v>
      </c>
      <c r="E80" s="34">
        <f>VLOOKUP(C17,A132:P138,12)</f>
        <v>0</v>
      </c>
      <c r="F80" s="255">
        <f>VLOOKUP(C17,A132:P138,13)</f>
        <v>0</v>
      </c>
      <c r="G80" s="2"/>
      <c r="H80" s="2"/>
      <c r="I80" s="2"/>
      <c r="J80" s="89">
        <f t="shared" si="18"/>
        <v>0</v>
      </c>
      <c r="K80" s="89">
        <f t="shared" si="19"/>
        <v>0</v>
      </c>
      <c r="L80" s="71">
        <f>IF(E80=0,0,VLOOKUP(E80,'Prix Matiere'!$A$4:$J$65,10))</f>
        <v>0</v>
      </c>
      <c r="M80" s="71">
        <f t="shared" ref="M80:M81" si="20">L80*K80</f>
        <v>0</v>
      </c>
      <c r="N80" s="3">
        <f t="shared" ref="N80:N81" si="21">IF(J80=0,0,1+(6*J80))</f>
        <v>0</v>
      </c>
      <c r="O80" s="71">
        <f>N80*MinuteMO</f>
        <v>0</v>
      </c>
      <c r="P80" s="2"/>
      <c r="Q80" s="254">
        <f>IF(J80=0,0,J80*VLOOKUP(E80,'Prix Matiere'!$A$4:$L$60,12))</f>
        <v>0</v>
      </c>
      <c r="R80" s="90">
        <f>IF(J80=0,0,Q80*VLOOKUP(E80,'Prix Matiere'!$A$4:$L$60,11))</f>
        <v>0</v>
      </c>
      <c r="S80" s="2"/>
      <c r="T80" s="2"/>
      <c r="U80" s="2"/>
      <c r="V80" s="2"/>
      <c r="W80" s="2"/>
      <c r="X80" s="2"/>
      <c r="Y80" s="2"/>
      <c r="Z80" s="2"/>
    </row>
    <row r="81" spans="1:26" ht="18" hidden="1" customHeight="1" x14ac:dyDescent="0.35">
      <c r="A81" s="2"/>
      <c r="B81" s="45" t="s">
        <v>54</v>
      </c>
      <c r="C81" s="45">
        <f>IF(F81=0,0,D78)</f>
        <v>0</v>
      </c>
      <c r="D81" s="45">
        <f>IF(F80=0,0,D80)</f>
        <v>0</v>
      </c>
      <c r="E81" s="34">
        <f>VLOOKUP(C17,A132:P138,12)</f>
        <v>0</v>
      </c>
      <c r="F81" s="45">
        <f>VLOOKUP(C17,A132:P138,13)*2</f>
        <v>0</v>
      </c>
      <c r="G81" s="2"/>
      <c r="H81" s="2"/>
      <c r="I81" s="2"/>
      <c r="J81" s="89">
        <f t="shared" si="18"/>
        <v>0</v>
      </c>
      <c r="K81" s="89">
        <f t="shared" si="19"/>
        <v>0</v>
      </c>
      <c r="L81" s="71">
        <f>IF(E81=0,0,VLOOKUP(E81,'Prix Matiere'!$A$4:$J$65,10))</f>
        <v>0</v>
      </c>
      <c r="M81" s="71">
        <f t="shared" si="20"/>
        <v>0</v>
      </c>
      <c r="N81" s="3">
        <f t="shared" si="21"/>
        <v>0</v>
      </c>
      <c r="O81" s="71">
        <f>N81*MinuteMO</f>
        <v>0</v>
      </c>
      <c r="P81" s="2"/>
      <c r="Q81" s="254">
        <f>IF(J81=0,0,J81*VLOOKUP(E81,'Prix Matiere'!$A$4:$L$60,12))</f>
        <v>0</v>
      </c>
      <c r="R81" s="90">
        <f>IF(J81=0,0,Q81*VLOOKUP(E81,'Prix Matiere'!$A$4:$L$60,11))</f>
        <v>0</v>
      </c>
      <c r="S81" s="2"/>
      <c r="T81" s="2"/>
      <c r="U81" s="2"/>
      <c r="V81" s="2"/>
      <c r="W81" s="2"/>
      <c r="X81" s="2"/>
      <c r="Y81" s="2"/>
      <c r="Z81" s="2"/>
    </row>
    <row r="82" spans="1:26" ht="18" hidden="1" customHeight="1" x14ac:dyDescent="0.35">
      <c r="A82" s="2"/>
      <c r="B82" s="2"/>
      <c r="C82" s="2"/>
      <c r="D82" s="2"/>
      <c r="E82" s="2"/>
      <c r="F82" s="2"/>
      <c r="G82" s="2"/>
      <c r="H82" s="2"/>
      <c r="I82" s="2"/>
      <c r="J82" s="89">
        <f t="shared" si="18"/>
        <v>0</v>
      </c>
      <c r="K82" s="89">
        <f t="shared" si="19"/>
        <v>0</v>
      </c>
      <c r="L82" s="71"/>
      <c r="M82" s="71"/>
      <c r="N82" s="3"/>
      <c r="O82" s="71"/>
      <c r="P82" s="2"/>
      <c r="Q82" s="254">
        <f>IF(J82=0,0,J82*VLOOKUP(E82,'Prix Matiere'!$A$4:$L$60,12))</f>
        <v>0</v>
      </c>
      <c r="R82" s="90"/>
      <c r="S82" s="2"/>
      <c r="T82" s="2"/>
      <c r="U82" s="2"/>
      <c r="V82" s="2"/>
      <c r="W82" s="2"/>
      <c r="X82" s="2"/>
      <c r="Y82" s="2"/>
      <c r="Z82" s="2"/>
    </row>
    <row r="83" spans="1:26" ht="18" hidden="1" customHeight="1" x14ac:dyDescent="0.35">
      <c r="A83" s="2"/>
      <c r="B83" s="2" t="s">
        <v>68</v>
      </c>
      <c r="C83" s="2">
        <f>C78-VLOOKUP($C$17,A132:P138,11)</f>
        <v>31.9</v>
      </c>
      <c r="D83" s="2">
        <f>D78-VLOOKUP($C$17,A132:P138,11)</f>
        <v>31.5</v>
      </c>
      <c r="E83" s="2">
        <f>E78-VLOOKUP($C$17,A132:P138,11)</f>
        <v>13.7</v>
      </c>
      <c r="F83" s="2"/>
      <c r="G83" s="2"/>
      <c r="H83" s="2"/>
      <c r="I83" s="2"/>
      <c r="J83" s="89">
        <f t="shared" si="18"/>
        <v>0</v>
      </c>
      <c r="K83" s="89">
        <f t="shared" si="19"/>
        <v>0</v>
      </c>
      <c r="L83" s="71"/>
      <c r="M83" s="71"/>
      <c r="N83" s="3"/>
      <c r="O83" s="71"/>
      <c r="P83" s="2"/>
      <c r="Q83" s="254">
        <f>IF(J83=0,0,J83*VLOOKUP(E83,'Prix Matiere'!$A$4:$L$60,12))</f>
        <v>0</v>
      </c>
      <c r="R83" s="90"/>
      <c r="S83" s="2"/>
      <c r="T83" s="2"/>
      <c r="U83" s="2"/>
      <c r="V83" s="2"/>
      <c r="W83" s="2"/>
      <c r="X83" s="2"/>
      <c r="Y83" s="2"/>
      <c r="Z83" s="2"/>
    </row>
    <row r="84" spans="1:26" ht="18" hidden="1" customHeight="1" x14ac:dyDescent="0.35">
      <c r="A84" s="2"/>
      <c r="B84" s="2"/>
      <c r="C84" s="2"/>
      <c r="D84" s="2"/>
      <c r="E84" s="2"/>
      <c r="F84" s="2"/>
      <c r="G84" s="2"/>
      <c r="H84" s="2"/>
      <c r="I84" s="2"/>
      <c r="J84" s="89">
        <f t="shared" si="18"/>
        <v>0</v>
      </c>
      <c r="K84" s="89">
        <f t="shared" si="19"/>
        <v>0</v>
      </c>
      <c r="L84" s="71"/>
      <c r="M84" s="71"/>
      <c r="N84" s="3"/>
      <c r="O84" s="71"/>
      <c r="P84" s="2"/>
      <c r="Q84" s="254">
        <f>IF(J84=0,0,J84*VLOOKUP(E84,'Prix Matiere'!$A$4:$L$60,12))</f>
        <v>0</v>
      </c>
      <c r="R84" s="90"/>
      <c r="S84" s="2"/>
      <c r="T84" s="2"/>
      <c r="U84" s="2"/>
      <c r="V84" s="2"/>
      <c r="W84" s="2"/>
      <c r="X84" s="2"/>
      <c r="Y84" s="2"/>
      <c r="Z84" s="2"/>
    </row>
    <row r="85" spans="1:26" ht="18" hidden="1" customHeight="1" x14ac:dyDescent="0.35">
      <c r="A85" s="19" t="s">
        <v>69</v>
      </c>
      <c r="B85" s="45" t="s">
        <v>63</v>
      </c>
      <c r="C85" s="45">
        <f>IF(F85=0,0,C89+VLOOKUP($C$17,A132:P138,14))</f>
        <v>0</v>
      </c>
      <c r="D85" s="45">
        <f>IF(F85=0,0,E89+VLOOKUP($C$17,A132:P138,14))</f>
        <v>0</v>
      </c>
      <c r="E85" s="34">
        <f>VLOOKUP($C$17,A132:P138,15)</f>
        <v>0</v>
      </c>
      <c r="F85" s="255">
        <f>VLOOKUP($C$17,A132:P138,16)</f>
        <v>0</v>
      </c>
      <c r="G85" s="2"/>
      <c r="H85" s="2"/>
      <c r="I85" s="2"/>
      <c r="J85" s="89">
        <f t="shared" si="18"/>
        <v>0</v>
      </c>
      <c r="K85" s="89">
        <f t="shared" si="19"/>
        <v>0</v>
      </c>
      <c r="L85" s="71">
        <f>IF(E85=0,0,VLOOKUP(E85,'Prix Matiere'!A4:J60,10))</f>
        <v>0</v>
      </c>
      <c r="M85" s="71">
        <f t="shared" ref="M85:M87" si="22">L85*K85</f>
        <v>0</v>
      </c>
      <c r="N85" s="3">
        <f t="shared" ref="N85:N87" si="23">IF(J85=0,0,(3.94*J85)+5)</f>
        <v>0</v>
      </c>
      <c r="O85" s="71">
        <f>N85*MinuteMO</f>
        <v>0</v>
      </c>
      <c r="P85" s="2"/>
      <c r="Q85" s="254">
        <f>IF(J85=0,0,J85*VLOOKUP(E85,'Prix Matiere'!$A$4:$L$60,12))</f>
        <v>0</v>
      </c>
      <c r="R85" s="90">
        <f>IF(J85=0,0,Q85*VLOOKUP(E85,'Prix Matiere'!$A$4:$L$60,11))</f>
        <v>0</v>
      </c>
      <c r="S85" s="2"/>
      <c r="T85" s="2"/>
      <c r="U85" s="2"/>
      <c r="V85" s="2"/>
      <c r="W85" s="2"/>
      <c r="X85" s="2"/>
      <c r="Y85" s="2"/>
      <c r="Z85" s="2"/>
    </row>
    <row r="86" spans="1:26" ht="18" hidden="1" customHeight="1" x14ac:dyDescent="0.35">
      <c r="A86" s="2"/>
      <c r="B86" s="45" t="s">
        <v>54</v>
      </c>
      <c r="C86" s="45">
        <f>IF(F86=0,0,C89+VLOOKUP($C$17,A132:P138,14))</f>
        <v>0</v>
      </c>
      <c r="D86" s="45">
        <f>IF(F86=0,0,D89)</f>
        <v>0</v>
      </c>
      <c r="E86" s="34">
        <f>VLOOKUP($C$17,A132:P138,15)</f>
        <v>0</v>
      </c>
      <c r="F86" s="255">
        <f>VLOOKUP($C$17,A132:P138,16)</f>
        <v>0</v>
      </c>
      <c r="G86" s="2"/>
      <c r="H86" s="2"/>
      <c r="I86" s="2"/>
      <c r="J86" s="89">
        <f t="shared" si="18"/>
        <v>0</v>
      </c>
      <c r="K86" s="89">
        <f t="shared" si="19"/>
        <v>0</v>
      </c>
      <c r="L86" s="71">
        <f>IF(E86=0,0,VLOOKUP(E86,'Prix Matiere'!A5:J61,10))</f>
        <v>0</v>
      </c>
      <c r="M86" s="71">
        <f t="shared" si="22"/>
        <v>0</v>
      </c>
      <c r="N86" s="3">
        <f t="shared" si="23"/>
        <v>0</v>
      </c>
      <c r="O86" s="71">
        <f>N86*MinuteMO</f>
        <v>0</v>
      </c>
      <c r="P86" s="2"/>
      <c r="Q86" s="254">
        <f>IF(J86=0,0,J86*VLOOKUP(E86,'Prix Matiere'!$A$4:$L$60,12))</f>
        <v>0</v>
      </c>
      <c r="R86" s="90">
        <f>IF(J86=0,0,Q86*VLOOKUP(E86,'Prix Matiere'!$A$4:$L$60,11))</f>
        <v>0</v>
      </c>
      <c r="S86" s="2"/>
      <c r="T86" s="2"/>
      <c r="U86" s="2"/>
      <c r="V86" s="2"/>
      <c r="W86" s="2"/>
      <c r="X86" s="2"/>
      <c r="Y86" s="2"/>
      <c r="Z86" s="2"/>
    </row>
    <row r="87" spans="1:26" ht="18" hidden="1" customHeight="1" x14ac:dyDescent="0.35">
      <c r="A87" s="2"/>
      <c r="B87" s="45" t="s">
        <v>55</v>
      </c>
      <c r="C87" s="45">
        <f>IF(F87=0,0,E89)</f>
        <v>0</v>
      </c>
      <c r="D87" s="45">
        <f>IF(F87=0,0,D89)</f>
        <v>0</v>
      </c>
      <c r="E87" s="34">
        <f>VLOOKUP($C$17,A132:P138,15)</f>
        <v>0</v>
      </c>
      <c r="F87" s="255">
        <f>VLOOKUP($C$17,A132:P138,16)</f>
        <v>0</v>
      </c>
      <c r="G87" s="2"/>
      <c r="H87" s="2"/>
      <c r="I87" s="2"/>
      <c r="J87" s="89">
        <f t="shared" si="18"/>
        <v>0</v>
      </c>
      <c r="K87" s="89">
        <f t="shared" si="19"/>
        <v>0</v>
      </c>
      <c r="L87" s="71">
        <f>IF(E87=0,0,VLOOKUP(E87,'Prix Matiere'!A6:J62,10))</f>
        <v>0</v>
      </c>
      <c r="M87" s="71">
        <f t="shared" si="22"/>
        <v>0</v>
      </c>
      <c r="N87" s="3">
        <f t="shared" si="23"/>
        <v>0</v>
      </c>
      <c r="O87" s="71">
        <f>N87*MinuteMO</f>
        <v>0</v>
      </c>
      <c r="P87" s="2"/>
      <c r="Q87" s="254">
        <f>IF(J87=0,0,J87*VLOOKUP(E87,'Prix Matiere'!$A$4:$L$60,12))</f>
        <v>0</v>
      </c>
      <c r="R87" s="90">
        <f>IF(J87=0,0,Q87*VLOOKUP(E87,'Prix Matiere'!$A$4:$L$60,11))</f>
        <v>0</v>
      </c>
      <c r="S87" s="2"/>
      <c r="T87" s="2"/>
      <c r="U87" s="2"/>
      <c r="V87" s="2"/>
      <c r="W87" s="2"/>
      <c r="X87" s="2"/>
      <c r="Y87" s="2"/>
      <c r="Z87" s="2"/>
    </row>
    <row r="88" spans="1:26" ht="18" hidden="1" customHeight="1" x14ac:dyDescent="0.35">
      <c r="A88" s="2"/>
      <c r="B88" s="2"/>
      <c r="C88" s="2"/>
      <c r="D88" s="2"/>
      <c r="E88" s="2"/>
      <c r="F88" s="2"/>
      <c r="G88" s="2"/>
      <c r="H88" s="2"/>
      <c r="I88" s="2"/>
      <c r="J88" s="89">
        <f t="shared" si="18"/>
        <v>0</v>
      </c>
      <c r="K88" s="89">
        <f t="shared" si="19"/>
        <v>0</v>
      </c>
      <c r="L88" s="71"/>
      <c r="M88" s="71"/>
      <c r="N88" s="3"/>
      <c r="O88" s="71"/>
      <c r="P88" s="2"/>
      <c r="Q88" s="254">
        <f>IF(J88=0,0,J88*VLOOKUP(E88,'Prix Matiere'!$A$4:$L$60,12))</f>
        <v>0</v>
      </c>
      <c r="R88" s="90"/>
      <c r="S88" s="2"/>
      <c r="T88" s="2"/>
      <c r="U88" s="2"/>
      <c r="V88" s="2"/>
      <c r="W88" s="2"/>
      <c r="X88" s="2"/>
      <c r="Y88" s="2"/>
      <c r="Z88" s="2"/>
    </row>
    <row r="89" spans="1:26" ht="18" hidden="1" customHeight="1" x14ac:dyDescent="0.35">
      <c r="A89" s="2"/>
      <c r="B89" s="2" t="s">
        <v>66</v>
      </c>
      <c r="C89" s="2">
        <f>C83-VLOOKUP($C$17,A132:P138,14)</f>
        <v>31.9</v>
      </c>
      <c r="D89" s="2">
        <f>D83-VLOOKUP($C$17,A132:P138,14)</f>
        <v>31.5</v>
      </c>
      <c r="E89" s="2">
        <f>E83-VLOOKUP($C$17,A132:P138,14)</f>
        <v>13.7</v>
      </c>
      <c r="F89" s="2"/>
      <c r="G89" s="2"/>
      <c r="H89" s="2"/>
      <c r="I89" s="2"/>
      <c r="J89" s="89">
        <f t="shared" si="18"/>
        <v>0</v>
      </c>
      <c r="K89" s="89">
        <f t="shared" si="19"/>
        <v>0</v>
      </c>
      <c r="L89" s="71"/>
      <c r="M89" s="71"/>
      <c r="N89" s="3"/>
      <c r="O89" s="71"/>
      <c r="P89" s="2"/>
      <c r="Q89" s="254">
        <f>IF(J89=0,0,J89*VLOOKUP(E89,'Prix Matiere'!$A$4:$L$60,12))</f>
        <v>0</v>
      </c>
      <c r="R89" s="90"/>
      <c r="S89" s="2"/>
      <c r="T89" s="2"/>
      <c r="U89" s="2"/>
      <c r="V89" s="2"/>
      <c r="W89" s="2"/>
      <c r="X89" s="2"/>
      <c r="Y89" s="2"/>
      <c r="Z89" s="2"/>
    </row>
    <row r="90" spans="1:26" ht="18" hidden="1" customHeight="1" x14ac:dyDescent="0.35">
      <c r="A90" s="2"/>
      <c r="B90" s="2"/>
      <c r="C90" s="2"/>
      <c r="D90" s="2"/>
      <c r="E90" s="2"/>
      <c r="F90" s="2"/>
      <c r="G90" s="2"/>
      <c r="H90" s="2"/>
      <c r="I90" s="2"/>
      <c r="J90" s="89">
        <f t="shared" si="18"/>
        <v>0</v>
      </c>
      <c r="K90" s="89">
        <f t="shared" si="19"/>
        <v>0</v>
      </c>
      <c r="L90" s="71"/>
      <c r="M90" s="71"/>
      <c r="N90" s="3"/>
      <c r="O90" s="71"/>
      <c r="P90" s="2"/>
      <c r="Q90" s="254">
        <f>IF(J90=0,0,J90*VLOOKUP(E90,'Prix Matiere'!$A$4:$L$60,12))</f>
        <v>0</v>
      </c>
      <c r="R90" s="90"/>
      <c r="S90" s="2"/>
      <c r="T90" s="2"/>
      <c r="U90" s="2"/>
      <c r="V90" s="2"/>
      <c r="W90" s="2"/>
      <c r="X90" s="2"/>
      <c r="Y90" s="2"/>
      <c r="Z90" s="2"/>
    </row>
    <row r="91" spans="1:26" ht="18" hidden="1" customHeight="1" x14ac:dyDescent="0.35">
      <c r="A91" s="2"/>
      <c r="B91" s="38" t="s">
        <v>70</v>
      </c>
      <c r="C91" s="2"/>
      <c r="D91" s="2"/>
      <c r="E91" s="2"/>
      <c r="F91" s="2"/>
      <c r="G91" s="2"/>
      <c r="H91" s="2"/>
      <c r="I91" s="2"/>
      <c r="J91" s="89">
        <f t="shared" si="18"/>
        <v>0</v>
      </c>
      <c r="K91" s="89">
        <f t="shared" si="19"/>
        <v>0</v>
      </c>
      <c r="L91" s="71"/>
      <c r="M91" s="71"/>
      <c r="N91" s="3"/>
      <c r="O91" s="71"/>
      <c r="P91" s="2"/>
      <c r="Q91" s="254">
        <f>IF(J91=0,0,J91*VLOOKUP(E91,'Prix Matiere'!$A$4:$L$60,12))</f>
        <v>0</v>
      </c>
      <c r="R91" s="90"/>
      <c r="S91" s="2"/>
      <c r="T91" s="2"/>
      <c r="U91" s="2"/>
      <c r="V91" s="2"/>
      <c r="W91" s="2"/>
      <c r="X91" s="2"/>
      <c r="Y91" s="2"/>
      <c r="Z91" s="2"/>
    </row>
    <row r="92" spans="1:26" ht="18" hidden="1" customHeight="1" x14ac:dyDescent="0.35">
      <c r="A92" s="2"/>
      <c r="B92" s="41" t="str">
        <f>IF(B31="Aucun",0,"Dessus")</f>
        <v>Dessus</v>
      </c>
      <c r="C92" s="85">
        <f>IF(B31="Aucun",0,C89)</f>
        <v>31.9</v>
      </c>
      <c r="D92" s="85">
        <f>IF(B31="Aucun",0,D29+VLOOKUP(B31,A161:L166,5))</f>
        <v>27.5</v>
      </c>
      <c r="E92" s="85" t="str">
        <f>VLOOKUP(B31,A161:L166,9)</f>
        <v>PU 50 mm</v>
      </c>
      <c r="F92" s="45">
        <f>IF(B31="Aucun",0,1)</f>
        <v>1</v>
      </c>
      <c r="G92" s="2"/>
      <c r="H92" s="2"/>
      <c r="I92" s="2"/>
      <c r="J92" s="89">
        <f t="shared" si="18"/>
        <v>8.7725000000000011E-2</v>
      </c>
      <c r="K92" s="89">
        <f t="shared" si="19"/>
        <v>0.10965625000000001</v>
      </c>
      <c r="L92" s="71">
        <f>IF(E92=0,0,VLOOKUP(E92,'Prix Matiere'!$A$4:$J$65,10))</f>
        <v>9.5670103092783503</v>
      </c>
      <c r="M92" s="71">
        <f t="shared" ref="M92:M106" si="24">L92*K92</f>
        <v>1.0490824742268041</v>
      </c>
      <c r="N92" s="3">
        <f t="shared" ref="N92:N105" si="25">IF(J92=0,0,4.7283*J92+2)</f>
        <v>2.4147901174999999</v>
      </c>
      <c r="O92" s="71">
        <f t="shared" ref="O92:O112" si="26">N92*MinuteMO</f>
        <v>2.0525715998749998</v>
      </c>
      <c r="P92" s="2"/>
      <c r="Q92" s="254">
        <f>IF(J92=0,0,J92*VLOOKUP(E92,'Prix Matiere'!$A$4:$L$60,12))</f>
        <v>0.10965625000000001</v>
      </c>
      <c r="R92" s="90">
        <f>IF(J92=0,0,Q92*VLOOKUP(E92,'Prix Matiere'!$A$4:$L$60,11))</f>
        <v>0.29607187500000004</v>
      </c>
      <c r="S92" s="2"/>
      <c r="T92" s="2"/>
      <c r="U92" s="2"/>
      <c r="V92" s="2"/>
      <c r="W92" s="2"/>
      <c r="X92" s="2"/>
      <c r="Y92" s="2"/>
      <c r="Z92" s="2"/>
    </row>
    <row r="93" spans="1:26" ht="18" hidden="1" customHeight="1" x14ac:dyDescent="0.35">
      <c r="A93" s="2"/>
      <c r="B93" s="45" t="str">
        <f>IF(B31="Aucun",0,"Extrémité")</f>
        <v>Extrémité</v>
      </c>
      <c r="C93" s="85">
        <f>IF(B31="Aucun",0,IF(C29&lt;60,10,IF(C29&lt;80,15,20)))</f>
        <v>10</v>
      </c>
      <c r="D93" s="85">
        <f t="shared" ref="D93:D96" si="27">D92</f>
        <v>27.5</v>
      </c>
      <c r="E93" s="85" t="str">
        <f>VLOOKUP(B31,A161:L166,9)</f>
        <v>PU 50 mm</v>
      </c>
      <c r="F93" s="45">
        <f>IF(B31="Aucun",0,2)</f>
        <v>2</v>
      </c>
      <c r="G93" s="2"/>
      <c r="H93" s="2"/>
      <c r="I93" s="2"/>
      <c r="J93" s="89">
        <f t="shared" si="18"/>
        <v>5.5000000000000007E-2</v>
      </c>
      <c r="K93" s="89">
        <f t="shared" si="19"/>
        <v>6.8750000000000006E-2</v>
      </c>
      <c r="L93" s="71">
        <f>IF(E93=0,0,VLOOKUP(E93,'Prix Matiere'!$A$4:$J$65,10))</f>
        <v>9.5670103092783503</v>
      </c>
      <c r="M93" s="71">
        <f t="shared" si="24"/>
        <v>0.65773195876288659</v>
      </c>
      <c r="N93" s="3">
        <f t="shared" si="25"/>
        <v>2.2600565000000001</v>
      </c>
      <c r="O93" s="71">
        <f t="shared" si="26"/>
        <v>1.9210480250000002</v>
      </c>
      <c r="P93" s="2"/>
      <c r="Q93" s="254">
        <f>IF(J93=0,0,J93*VLOOKUP(E93,'Prix Matiere'!$A$4:$L$60,12))</f>
        <v>6.8750000000000006E-2</v>
      </c>
      <c r="R93" s="90">
        <f>IF(J93=0,0,Q93*VLOOKUP(E93,'Prix Matiere'!$A$4:$L$60,11))</f>
        <v>0.18562500000000004</v>
      </c>
      <c r="S93" s="2"/>
      <c r="T93" s="2"/>
      <c r="U93" s="2"/>
      <c r="V93" s="2"/>
      <c r="W93" s="2"/>
      <c r="X93" s="2"/>
      <c r="Y93" s="2"/>
      <c r="Z93" s="2"/>
    </row>
    <row r="94" spans="1:26" ht="18" hidden="1" customHeight="1" x14ac:dyDescent="0.35">
      <c r="A94" s="2"/>
      <c r="B94" s="45" t="str">
        <f>IF(B31="Aucun",0,B35)</f>
        <v>Agglocelle 50 mm</v>
      </c>
      <c r="C94" s="85">
        <f>C35</f>
        <v>6</v>
      </c>
      <c r="D94" s="85">
        <f t="shared" si="27"/>
        <v>27.5</v>
      </c>
      <c r="E94" s="85" t="str">
        <f>IF(B31="Aucun",0,IF(B94="Ethafoam 50 mm","Ethafoam 50 mm","Agglocelle 50 mm"))</f>
        <v>Agglocelle 50 mm</v>
      </c>
      <c r="F94" s="45">
        <f>F35</f>
        <v>2</v>
      </c>
      <c r="G94" s="2"/>
      <c r="H94" s="2"/>
      <c r="I94" s="2"/>
      <c r="J94" s="89">
        <f t="shared" si="18"/>
        <v>3.3000000000000002E-2</v>
      </c>
      <c r="K94" s="89">
        <f t="shared" si="19"/>
        <v>4.1250000000000002E-2</v>
      </c>
      <c r="L94" s="71">
        <f>IF(E94=0,0,VLOOKUP(E94,'Prix Matiere'!$A$4:$J$65,10))</f>
        <v>20.325783352800769</v>
      </c>
      <c r="M94" s="71">
        <f t="shared" si="24"/>
        <v>0.83843856330303179</v>
      </c>
      <c r="N94" s="3">
        <f t="shared" si="25"/>
        <v>2.1560339000000002</v>
      </c>
      <c r="O94" s="71">
        <f t="shared" si="26"/>
        <v>1.8326288150000001</v>
      </c>
      <c r="P94" s="2"/>
      <c r="Q94" s="254">
        <f>IF(J94=0,0,J94*VLOOKUP(E94,'Prix Matiere'!$A$4:$L$60,12))</f>
        <v>0.10725000000000001</v>
      </c>
      <c r="R94" s="90">
        <f>IF(J94=0,0,Q94*VLOOKUP(E94,'Prix Matiere'!$A$4:$L$60,11))</f>
        <v>0.33033000000000007</v>
      </c>
      <c r="S94" s="2"/>
      <c r="T94" s="2"/>
      <c r="U94" s="2"/>
      <c r="V94" s="2"/>
      <c r="W94" s="2"/>
      <c r="X94" s="2"/>
      <c r="Y94" s="2"/>
      <c r="Z94" s="2"/>
    </row>
    <row r="95" spans="1:26" ht="18" hidden="1" customHeight="1" x14ac:dyDescent="0.35">
      <c r="A95" s="2"/>
      <c r="B95" s="45" t="str">
        <f>IF(B31="Aucun",0,"Milieu")</f>
        <v>Milieu</v>
      </c>
      <c r="C95" s="85">
        <f>(C92-((C93*F93)+(C94*F94)))/(F94-1)</f>
        <v>-0.10000000000000142</v>
      </c>
      <c r="D95" s="85">
        <f t="shared" si="27"/>
        <v>27.5</v>
      </c>
      <c r="E95" s="85" t="str">
        <f>VLOOKUP(B31,A161:L166,9)</f>
        <v>PU 50 mm</v>
      </c>
      <c r="F95" s="45">
        <f>IF(B31="Aucun",0,F94-1)</f>
        <v>1</v>
      </c>
      <c r="G95" s="2"/>
      <c r="H95" s="2"/>
      <c r="I95" s="2"/>
      <c r="J95" s="89">
        <f t="shared" si="18"/>
        <v>-2.7500000000000392E-4</v>
      </c>
      <c r="K95" s="89">
        <f t="shared" si="19"/>
        <v>-3.4375000000000486E-4</v>
      </c>
      <c r="L95" s="71">
        <f>IF(E95=0,0,VLOOKUP(E95,'Prix Matiere'!$A$4:$J$65,10))</f>
        <v>9.5670103092783503</v>
      </c>
      <c r="M95" s="71">
        <f t="shared" si="24"/>
        <v>-3.2886597938144792E-3</v>
      </c>
      <c r="N95" s="3">
        <f t="shared" si="25"/>
        <v>1.9986997175000001</v>
      </c>
      <c r="O95" s="71">
        <f t="shared" si="26"/>
        <v>1.6988947598749999</v>
      </c>
      <c r="P95" s="2"/>
      <c r="Q95" s="254">
        <f>IF(J95=0,0,J95*VLOOKUP(E95,'Prix Matiere'!$A$4:$L$60,12))</f>
        <v>-3.4375000000000491E-4</v>
      </c>
      <c r="R95" s="90">
        <f>IF(J95=0,0,Q95*VLOOKUP(E95,'Prix Matiere'!$A$4:$L$60,11))</f>
        <v>-9.2812500000001336E-4</v>
      </c>
      <c r="S95" s="2"/>
      <c r="T95" s="2"/>
      <c r="U95" s="2"/>
      <c r="V95" s="2"/>
      <c r="W95" s="2"/>
      <c r="X95" s="2"/>
      <c r="Y95" s="2"/>
      <c r="Z95" s="2"/>
    </row>
    <row r="96" spans="1:26" ht="18" hidden="1" customHeight="1" x14ac:dyDescent="0.35">
      <c r="A96" s="2"/>
      <c r="B96" s="45" t="str">
        <f>IF(B31="Aucun",0,"Bouts avec passage de main")</f>
        <v>Bouts avec passage de main</v>
      </c>
      <c r="C96" s="85">
        <f>IF(B31="Aucun",0,(E29-IF(E29&gt;120,30,15))/(F96/2))</f>
        <v>-5.75</v>
      </c>
      <c r="D96" s="85">
        <f t="shared" si="27"/>
        <v>27.5</v>
      </c>
      <c r="E96" s="85" t="str">
        <f>VLOOKUP(B31,A161:L166,9)</f>
        <v>PU 50 mm</v>
      </c>
      <c r="F96" s="45">
        <f>IF(B31="Aucun",0,IF(E29&gt;120,6,4))</f>
        <v>4</v>
      </c>
      <c r="G96" s="2"/>
      <c r="H96" s="2"/>
      <c r="I96" s="2"/>
      <c r="J96" s="89">
        <f t="shared" si="18"/>
        <v>-6.3250000000000015E-2</v>
      </c>
      <c r="K96" s="89">
        <f t="shared" si="19"/>
        <v>-7.9062500000000008E-2</v>
      </c>
      <c r="L96" s="71">
        <f>IF(E96=0,0,VLOOKUP(E96,'Prix Matiere'!$A$4:$J$65,10))</f>
        <v>9.5670103092783503</v>
      </c>
      <c r="M96" s="71">
        <f t="shared" si="24"/>
        <v>-0.75639175257731961</v>
      </c>
      <c r="N96" s="3">
        <f t="shared" si="25"/>
        <v>1.7009350249999999</v>
      </c>
      <c r="O96" s="71">
        <f t="shared" si="26"/>
        <v>1.4457947712499999</v>
      </c>
      <c r="P96" s="2"/>
      <c r="Q96" s="254">
        <f>IF(J96=0,0,J96*VLOOKUP(E96,'Prix Matiere'!$A$4:$L$60,12))</f>
        <v>-7.9062500000000022E-2</v>
      </c>
      <c r="R96" s="90">
        <f>IF(J96=0,0,Q96*VLOOKUP(E96,'Prix Matiere'!$A$4:$L$60,11))</f>
        <v>-0.21346875000000007</v>
      </c>
      <c r="S96" s="2"/>
      <c r="T96" s="2"/>
      <c r="U96" s="2"/>
      <c r="V96" s="2"/>
      <c r="W96" s="2"/>
      <c r="X96" s="2"/>
      <c r="Y96" s="2"/>
      <c r="Z96" s="2"/>
    </row>
    <row r="97" spans="1:26" ht="18" hidden="1" customHeight="1" x14ac:dyDescent="0.35">
      <c r="A97" s="2"/>
      <c r="B97" s="45" t="str">
        <f>IF(B31="Aucun",0,"Fond")</f>
        <v>Fond</v>
      </c>
      <c r="C97" s="85">
        <f>IF(B31="Aucun",0,C29+VLOOKUP(B31,A161:L166,6))</f>
        <v>21.9</v>
      </c>
      <c r="D97" s="85">
        <f>IF(B31="Sous verre 2 faces",E29+VLOOKUP(B31,A161:L166,6),C34)</f>
        <v>10</v>
      </c>
      <c r="E97" s="85" t="str">
        <f>VLOOKUP(B31,A161:L166,8)</f>
        <v>PU 50 mm</v>
      </c>
      <c r="F97" s="45">
        <f>VLOOKUP(B31,A161:L166,7)</f>
        <v>2</v>
      </c>
      <c r="G97" s="2"/>
      <c r="H97" s="2"/>
      <c r="I97" s="2"/>
      <c r="J97" s="89">
        <f t="shared" si="18"/>
        <v>4.3799999999999999E-2</v>
      </c>
      <c r="K97" s="89">
        <f t="shared" si="19"/>
        <v>5.4749999999999993E-2</v>
      </c>
      <c r="L97" s="71">
        <f>IF(E97=0,0,VLOOKUP(E97,'Prix Matiere'!$A$4:$J$65,10))</f>
        <v>9.5670103092783503</v>
      </c>
      <c r="M97" s="71">
        <f t="shared" si="24"/>
        <v>0.52379381443298956</v>
      </c>
      <c r="N97" s="3">
        <f t="shared" si="25"/>
        <v>2.2070995400000002</v>
      </c>
      <c r="O97" s="71">
        <f t="shared" si="26"/>
        <v>1.8760346090000002</v>
      </c>
      <c r="P97" s="2"/>
      <c r="Q97" s="254">
        <f>IF(J97=0,0,J97*VLOOKUP(E97,'Prix Matiere'!$A$4:$L$60,12))</f>
        <v>5.475E-2</v>
      </c>
      <c r="R97" s="90">
        <f>IF(J97=0,0,Q97*VLOOKUP(E97,'Prix Matiere'!$A$4:$L$60,11))</f>
        <v>0.14782500000000001</v>
      </c>
      <c r="S97" s="2"/>
      <c r="T97" s="2"/>
      <c r="U97" s="2"/>
      <c r="V97" s="2"/>
      <c r="W97" s="2"/>
      <c r="X97" s="2"/>
      <c r="Y97" s="2"/>
      <c r="Z97" s="2"/>
    </row>
    <row r="98" spans="1:26" ht="18" hidden="1" customHeight="1" x14ac:dyDescent="0.35">
      <c r="A98" s="2"/>
      <c r="B98" s="45" t="str">
        <f>IF(B31="Aucun",0,"Remplis de fond")</f>
        <v>Remplis de fond</v>
      </c>
      <c r="C98" s="85">
        <f>IF(B31="Aucun",0,IF(B31="Sous verre 2 faces",0,E29-D97*2+VLOOKUP(B31,A161:L166,6)))</f>
        <v>-16.3</v>
      </c>
      <c r="D98" s="85">
        <f>IF(B31="Sous verre 2 faces",0,C34)</f>
        <v>10</v>
      </c>
      <c r="E98" s="85" t="str">
        <f>IF(C98=0,0,VLOOKUP(B31,A161:L166,8))</f>
        <v>PU 50 mm</v>
      </c>
      <c r="F98" s="45">
        <f>IF(B31="Aucun",0,IF(B31="Sous verre 2 faces",0,2))</f>
        <v>2</v>
      </c>
      <c r="G98" s="2"/>
      <c r="H98" s="2"/>
      <c r="I98" s="2"/>
      <c r="J98" s="89">
        <f t="shared" si="18"/>
        <v>-3.2600000000000004E-2</v>
      </c>
      <c r="K98" s="89">
        <f t="shared" si="19"/>
        <v>-4.0750000000000001E-2</v>
      </c>
      <c r="L98" s="71">
        <f>IF(E98=0,0,VLOOKUP(E98,'Prix Matiere'!$A$4:$J$65,10))</f>
        <v>9.5670103092783503</v>
      </c>
      <c r="M98" s="71">
        <f t="shared" si="24"/>
        <v>-0.3898556701030928</v>
      </c>
      <c r="N98" s="3">
        <f t="shared" si="25"/>
        <v>1.84585742</v>
      </c>
      <c r="O98" s="71">
        <f t="shared" si="26"/>
        <v>1.5689788069999999</v>
      </c>
      <c r="P98" s="2"/>
      <c r="Q98" s="254">
        <f>IF(J98=0,0,J98*VLOOKUP(E98,'Prix Matiere'!$A$4:$L$60,12))</f>
        <v>-4.0750000000000008E-2</v>
      </c>
      <c r="R98" s="90">
        <f>IF(J98=0,0,Q98*VLOOKUP(E98,'Prix Matiere'!$A$4:$L$60,11))</f>
        <v>-0.11002500000000003</v>
      </c>
      <c r="S98" s="2"/>
      <c r="T98" s="2"/>
      <c r="U98" s="2"/>
      <c r="V98" s="2"/>
      <c r="W98" s="2"/>
      <c r="X98" s="2"/>
      <c r="Y98" s="2"/>
      <c r="Z98" s="2"/>
    </row>
    <row r="99" spans="1:26" ht="18" hidden="1" customHeight="1" x14ac:dyDescent="0.35">
      <c r="A99" s="2"/>
      <c r="B99" s="45" t="str">
        <f>IF(B31="Aucun",0,"Dessus")</f>
        <v>Dessus</v>
      </c>
      <c r="C99" s="85">
        <f>IF(B31="Aucun",0,C29+VLOOKUP(B31,A161:L166,10))</f>
        <v>21.2</v>
      </c>
      <c r="D99" s="85">
        <f>IF(B31="Sous verre 2 faces",E29+VLOOKUP(B31,A161:L166,10),IF(B31="Sous verre / bandes de mousse",E29+VLOOKUP(B31,A161:L166,10),C33))</f>
        <v>10</v>
      </c>
      <c r="E99" s="85" t="str">
        <f>VLOOKUP(B31,A161:L166,9)</f>
        <v>PU 50 mm</v>
      </c>
      <c r="F99" s="45">
        <f>VLOOKUP(B31,A161:L166,11)</f>
        <v>2</v>
      </c>
      <c r="G99" s="2"/>
      <c r="H99" s="2"/>
      <c r="I99" s="2"/>
      <c r="J99" s="89">
        <f t="shared" si="18"/>
        <v>4.24E-2</v>
      </c>
      <c r="K99" s="89">
        <f t="shared" si="19"/>
        <v>5.2999999999999999E-2</v>
      </c>
      <c r="L99" s="71">
        <f>IF(E99=0,0,VLOOKUP(E99,'Prix Matiere'!$A$4:$J$65,10))</f>
        <v>9.5670103092783503</v>
      </c>
      <c r="M99" s="71">
        <f t="shared" si="24"/>
        <v>0.50705154639175254</v>
      </c>
      <c r="N99" s="3">
        <f t="shared" si="25"/>
        <v>2.2004799199999998</v>
      </c>
      <c r="O99" s="71">
        <f t="shared" si="26"/>
        <v>1.8704079319999998</v>
      </c>
      <c r="P99" s="2"/>
      <c r="Q99" s="254">
        <f>IF(J99=0,0,J99*VLOOKUP(E99,'Prix Matiere'!$A$4:$L$60,12))</f>
        <v>5.2999999999999999E-2</v>
      </c>
      <c r="R99" s="90">
        <f>IF(J99=0,0,Q99*VLOOKUP(E99,'Prix Matiere'!$A$4:$L$60,11))</f>
        <v>0.1431</v>
      </c>
      <c r="S99" s="2"/>
      <c r="T99" s="2"/>
      <c r="U99" s="2"/>
      <c r="V99" s="2"/>
      <c r="W99" s="2"/>
      <c r="X99" s="2"/>
      <c r="Y99" s="2"/>
      <c r="Z99" s="2"/>
    </row>
    <row r="100" spans="1:26" ht="18" hidden="1" customHeight="1" x14ac:dyDescent="0.35">
      <c r="A100" s="2"/>
      <c r="B100" s="45" t="str">
        <f>IF(B31="Aucun",0,"Remplis de dessus")</f>
        <v>Remplis de dessus</v>
      </c>
      <c r="C100" s="85">
        <f>IF(B31="Aucun",0,IF(B31="Sous verre 2 faces",0,IF(B31="Sous verre / bandes de mousse",0,E29-2*D99+VLOOKUP(B31,A161:L166,10))))</f>
        <v>-17</v>
      </c>
      <c r="D100" s="85">
        <f>IF(B31="Sous verre / bandes de mousse",0,IF(B31="Sous verre 2 faces",0,C33))</f>
        <v>10</v>
      </c>
      <c r="E100" s="85" t="str">
        <f>IF(C100=0,0,VLOOKUP(B31,A161:L166,9))</f>
        <v>PU 50 mm</v>
      </c>
      <c r="F100" s="45">
        <f>IF(B31="Aucun",0,IF(B31="Sous verre 2 faces",0,IF(B31="Sous verre / bandes de mousse",0,2)))</f>
        <v>2</v>
      </c>
      <c r="G100" s="2"/>
      <c r="H100" s="2"/>
      <c r="I100" s="2"/>
      <c r="J100" s="89">
        <f t="shared" si="18"/>
        <v>-3.4000000000000002E-2</v>
      </c>
      <c r="K100" s="89">
        <f t="shared" si="19"/>
        <v>-4.2500000000000003E-2</v>
      </c>
      <c r="L100" s="71">
        <f>IF(E100=0,0,VLOOKUP(E100,'Prix Matiere'!$A$4:$J$65,10))</f>
        <v>9.5670103092783503</v>
      </c>
      <c r="M100" s="71">
        <f t="shared" si="24"/>
        <v>-0.40659793814432993</v>
      </c>
      <c r="N100" s="3">
        <f t="shared" si="25"/>
        <v>1.8392378</v>
      </c>
      <c r="O100" s="71">
        <f t="shared" si="26"/>
        <v>1.56335213</v>
      </c>
      <c r="P100" s="2"/>
      <c r="Q100" s="254">
        <f>IF(J100=0,0,J100*VLOOKUP(E100,'Prix Matiere'!$A$4:$L$60,12))</f>
        <v>-4.2500000000000003E-2</v>
      </c>
      <c r="R100" s="90">
        <f>IF(J100=0,0,Q100*VLOOKUP(E100,'Prix Matiere'!$A$4:$L$60,11))</f>
        <v>-0.11475000000000002</v>
      </c>
      <c r="S100" s="2"/>
      <c r="T100" s="2"/>
      <c r="U100" s="2"/>
      <c r="V100" s="2"/>
      <c r="W100" s="2"/>
      <c r="X100" s="2"/>
      <c r="Y100" s="2"/>
      <c r="Z100" s="2"/>
    </row>
    <row r="101" spans="1:26" ht="18" hidden="1" customHeight="1" x14ac:dyDescent="0.35">
      <c r="A101" s="2"/>
      <c r="B101" s="45" t="str">
        <f>IF(B31="Sous verre 2 faces",0,IF(B31="Aucun",0,"PU 20 mm"))</f>
        <v>PU 20 mm</v>
      </c>
      <c r="C101" s="85">
        <f>IF(B101=0,0,C89)</f>
        <v>31.9</v>
      </c>
      <c r="D101" s="85">
        <f>IF(B101=0,0,E89)</f>
        <v>13.7</v>
      </c>
      <c r="E101" s="85" t="str">
        <f>B101</f>
        <v>PU 20 mm</v>
      </c>
      <c r="F101" s="45">
        <f>IF(B31="Sous verre 2 faces",0,IF(B31="Aucun",0,IF(B31="Sous verre / bandes de mousse",1,2)))</f>
        <v>2</v>
      </c>
      <c r="G101" s="2"/>
      <c r="H101" s="2"/>
      <c r="I101" s="2"/>
      <c r="J101" s="89">
        <f t="shared" si="18"/>
        <v>8.7405999999999998E-2</v>
      </c>
      <c r="K101" s="89">
        <f t="shared" si="19"/>
        <v>0.10925749999999999</v>
      </c>
      <c r="L101" s="71">
        <f>IF(E101=0,0,VLOOKUP(E101,'Prix Matiere'!$A$4:$J$65,10))</f>
        <v>5.3924872407530717</v>
      </c>
      <c r="M101" s="71">
        <f t="shared" si="24"/>
        <v>0.58916967470657866</v>
      </c>
      <c r="N101" s="3">
        <f t="shared" si="25"/>
        <v>2.4132817898000001</v>
      </c>
      <c r="O101" s="71">
        <f t="shared" si="26"/>
        <v>2.0512895213300002</v>
      </c>
      <c r="P101" s="2"/>
      <c r="Q101" s="254">
        <f>IF(J101=0,0,J101*VLOOKUP(E101,'Prix Matiere'!$A$4:$L$60,12))</f>
        <v>4.3702999999999999E-2</v>
      </c>
      <c r="R101" s="90">
        <f>IF(J101=0,0,Q101*VLOOKUP(E101,'Prix Matiere'!$A$4:$L$60,11))</f>
        <v>0.11799810000000001</v>
      </c>
      <c r="S101" s="2"/>
      <c r="T101" s="2"/>
      <c r="U101" s="2"/>
      <c r="V101" s="2"/>
      <c r="W101" s="2"/>
      <c r="X101" s="2"/>
      <c r="Y101" s="2"/>
      <c r="Z101" s="2"/>
    </row>
    <row r="102" spans="1:26" ht="18" hidden="1" customHeight="1" x14ac:dyDescent="0.35">
      <c r="A102" s="2"/>
      <c r="B102" s="45" t="str">
        <f>IF(B31="Aucun",0,"Rattrapage 1")</f>
        <v>Rattrapage 1</v>
      </c>
      <c r="C102" s="85">
        <f>IF(C36=0,0,C29+0.2)</f>
        <v>0</v>
      </c>
      <c r="D102" s="85">
        <f>IF(C36=0,0,C36)</f>
        <v>0</v>
      </c>
      <c r="E102" s="85">
        <f t="shared" ref="E102:E103" si="28">IF(C102=0,0,CONCATENATE("PU ",$E$36*10," mm"))</f>
        <v>0</v>
      </c>
      <c r="F102" s="45">
        <f>IF(C36=0,0,2)</f>
        <v>0</v>
      </c>
      <c r="G102" s="2"/>
      <c r="H102" s="2"/>
      <c r="I102" s="2"/>
      <c r="J102" s="89">
        <f t="shared" si="18"/>
        <v>0</v>
      </c>
      <c r="K102" s="89">
        <f t="shared" si="19"/>
        <v>0</v>
      </c>
      <c r="L102" s="71">
        <f>IF(E102=0,0,VLOOKUP(E102,'Prix Matiere'!$A$4:$J$65,10))</f>
        <v>0</v>
      </c>
      <c r="M102" s="71">
        <f t="shared" si="24"/>
        <v>0</v>
      </c>
      <c r="N102" s="3">
        <f t="shared" si="25"/>
        <v>0</v>
      </c>
      <c r="O102" s="71">
        <f t="shared" si="26"/>
        <v>0</v>
      </c>
      <c r="P102" s="2"/>
      <c r="Q102" s="254">
        <f>IF(J102=0,0,J102*VLOOKUP(E102,'Prix Matiere'!$A$4:$L$60,12))</f>
        <v>0</v>
      </c>
      <c r="R102" s="90">
        <f>IF(J102=0,0,Q102*VLOOKUP(E102,'Prix Matiere'!$A$4:$L$60,11))</f>
        <v>0</v>
      </c>
      <c r="S102" s="2"/>
      <c r="T102" s="2"/>
      <c r="U102" s="2"/>
      <c r="V102" s="2"/>
      <c r="W102" s="2"/>
      <c r="X102" s="2"/>
      <c r="Y102" s="2"/>
      <c r="Z102" s="2"/>
    </row>
    <row r="103" spans="1:26" ht="18" hidden="1" customHeight="1" x14ac:dyDescent="0.35">
      <c r="A103" s="2"/>
      <c r="B103" s="45" t="str">
        <f>IF(B31="Aucun",0,"Rattrapage 2")</f>
        <v>Rattrapage 2</v>
      </c>
      <c r="C103" s="85">
        <f>IF(C36=0,0,E29+0.2-2*D102)</f>
        <v>0</v>
      </c>
      <c r="D103" s="85">
        <f>IF(C28=0,0,D102)</f>
        <v>0</v>
      </c>
      <c r="E103" s="85">
        <f t="shared" si="28"/>
        <v>0</v>
      </c>
      <c r="F103" s="45">
        <f>IF(C36=0,0,2)</f>
        <v>0</v>
      </c>
      <c r="G103" s="2"/>
      <c r="H103" s="2"/>
      <c r="I103" s="2"/>
      <c r="J103" s="89">
        <f t="shared" si="18"/>
        <v>0</v>
      </c>
      <c r="K103" s="89">
        <f t="shared" si="19"/>
        <v>0</v>
      </c>
      <c r="L103" s="71">
        <f>IF(E103=0,0,VLOOKUP(E103,'Prix Matiere'!$A$4:$J$65,10))</f>
        <v>0</v>
      </c>
      <c r="M103" s="71">
        <f t="shared" si="24"/>
        <v>0</v>
      </c>
      <c r="N103" s="3">
        <f t="shared" si="25"/>
        <v>0</v>
      </c>
      <c r="O103" s="71">
        <f t="shared" si="26"/>
        <v>0</v>
      </c>
      <c r="P103" s="2"/>
      <c r="Q103" s="254">
        <f>IF(J103=0,0,J103*VLOOKUP(E103,'Prix Matiere'!$A$4:$L$60,12))</f>
        <v>0</v>
      </c>
      <c r="R103" s="90">
        <f>IF(J103=0,0,Q103*VLOOKUP(E103,'Prix Matiere'!$A$4:$L$60,11))</f>
        <v>0</v>
      </c>
      <c r="S103" s="2"/>
      <c r="T103" s="2"/>
      <c r="U103" s="2"/>
      <c r="V103" s="2"/>
      <c r="W103" s="2"/>
      <c r="X103" s="2"/>
      <c r="Y103" s="2"/>
      <c r="Z103" s="2"/>
    </row>
    <row r="104" spans="1:26" ht="18" hidden="1" customHeight="1" x14ac:dyDescent="0.35">
      <c r="A104" s="2"/>
      <c r="B104" s="45" t="str">
        <f>IF(B31="Aucun",0,"Remplissage 1")</f>
        <v>Remplissage 1</v>
      </c>
      <c r="C104" s="85">
        <f t="shared" ref="C104:D104" si="29">IF(C38=0,0,C38)</f>
        <v>0</v>
      </c>
      <c r="D104" s="85">
        <f t="shared" si="29"/>
        <v>0</v>
      </c>
      <c r="E104" s="85">
        <f>IF(C104=0,0,CONCATENATE("PU ",$E$38*10," mm"))</f>
        <v>0</v>
      </c>
      <c r="F104" s="45">
        <f t="shared" ref="F104:F105" si="30">IF(C38=0,0,1)</f>
        <v>0</v>
      </c>
      <c r="G104" s="2"/>
      <c r="H104" s="2"/>
      <c r="I104" s="2"/>
      <c r="J104" s="89">
        <f t="shared" si="18"/>
        <v>0</v>
      </c>
      <c r="K104" s="89">
        <f t="shared" si="19"/>
        <v>0</v>
      </c>
      <c r="L104" s="71">
        <f>IF(E104=0,0,VLOOKUP(E104,'Prix Matiere'!$A$4:$J$65,10))</f>
        <v>0</v>
      </c>
      <c r="M104" s="71">
        <f t="shared" si="24"/>
        <v>0</v>
      </c>
      <c r="N104" s="3">
        <f t="shared" si="25"/>
        <v>0</v>
      </c>
      <c r="O104" s="71">
        <f t="shared" si="26"/>
        <v>0</v>
      </c>
      <c r="P104" s="2"/>
      <c r="Q104" s="254">
        <f>IF(J104=0,0,J104*VLOOKUP(E104,'Prix Matiere'!$A$4:$L$60,12))</f>
        <v>0</v>
      </c>
      <c r="R104" s="90">
        <f>IF(J104=0,0,Q104*VLOOKUP(E104,'Prix Matiere'!$A$4:$L$60,11))</f>
        <v>0</v>
      </c>
      <c r="S104" s="2"/>
      <c r="T104" s="2"/>
      <c r="U104" s="2"/>
      <c r="V104" s="2"/>
      <c r="W104" s="2"/>
      <c r="X104" s="2"/>
      <c r="Y104" s="2"/>
      <c r="Z104" s="2"/>
    </row>
    <row r="105" spans="1:26" ht="18" hidden="1" customHeight="1" x14ac:dyDescent="0.35">
      <c r="A105" s="2"/>
      <c r="B105" s="45" t="str">
        <f>IF(B31="Aucun",0,"Remplissage 2")</f>
        <v>Remplissage 2</v>
      </c>
      <c r="C105" s="85">
        <f t="shared" ref="C105:D105" si="31">IF(C39=0,0,C39)</f>
        <v>0</v>
      </c>
      <c r="D105" s="85">
        <f t="shared" si="31"/>
        <v>0</v>
      </c>
      <c r="E105" s="85">
        <f>IF(C105=0,0,CONCATENATE("PU ",$E$39*10," mm"))</f>
        <v>0</v>
      </c>
      <c r="F105" s="45">
        <f t="shared" si="30"/>
        <v>0</v>
      </c>
      <c r="G105" s="2"/>
      <c r="H105" s="2"/>
      <c r="I105" s="2"/>
      <c r="J105" s="89">
        <f t="shared" si="18"/>
        <v>0</v>
      </c>
      <c r="K105" s="89">
        <f t="shared" si="19"/>
        <v>0</v>
      </c>
      <c r="L105" s="71">
        <f>IF(E105=0,0,VLOOKUP(E105,'Prix Matiere'!$A$4:$J$65,10))</f>
        <v>0</v>
      </c>
      <c r="M105" s="71">
        <f t="shared" si="24"/>
        <v>0</v>
      </c>
      <c r="N105" s="3">
        <f t="shared" si="25"/>
        <v>0</v>
      </c>
      <c r="O105" s="71">
        <f t="shared" si="26"/>
        <v>0</v>
      </c>
      <c r="P105" s="2"/>
      <c r="Q105" s="254">
        <f>IF(J105=0,0,J105*VLOOKUP(E105,'Prix Matiere'!$A$4:$L$60,12))</f>
        <v>0</v>
      </c>
      <c r="R105" s="90">
        <f>IF(J105=0,0,Q105*VLOOKUP(E105,'Prix Matiere'!$A$4:$L$60,11))</f>
        <v>0</v>
      </c>
      <c r="S105" s="2"/>
      <c r="T105" s="2"/>
      <c r="U105" s="2"/>
      <c r="V105" s="2"/>
      <c r="W105" s="2"/>
      <c r="X105" s="2"/>
      <c r="Y105" s="2"/>
      <c r="Z105" s="2"/>
    </row>
    <row r="106" spans="1:26" ht="18" hidden="1" customHeight="1" x14ac:dyDescent="0.35">
      <c r="A106" s="2"/>
      <c r="B106" s="45" t="str">
        <f>IF(B31="Aucun",0,"Carton")</f>
        <v>Carton</v>
      </c>
      <c r="C106" s="85">
        <f>IF(F106=0,0,C29+VLOOKUP(B31,A161:L166,10))</f>
        <v>21.2</v>
      </c>
      <c r="D106" s="85">
        <f>IF(F106=0,0,E29+VLOOKUP(B31,A159:L167,10))</f>
        <v>3</v>
      </c>
      <c r="E106" s="85" t="str">
        <f>IF(C106=0,0,"Carton")</f>
        <v>Carton</v>
      </c>
      <c r="F106" s="45">
        <f>VLOOKUP(B31,A161:L166,12)</f>
        <v>1</v>
      </c>
      <c r="G106" s="2"/>
      <c r="H106" s="2"/>
      <c r="I106" s="2"/>
      <c r="J106" s="89">
        <f t="shared" si="18"/>
        <v>6.3599999999999993E-3</v>
      </c>
      <c r="K106" s="89">
        <f t="shared" si="19"/>
        <v>7.9499999999999987E-3</v>
      </c>
      <c r="L106" s="71">
        <f>IF(E106=0,0,Carton)</f>
        <v>2.3247749959090167</v>
      </c>
      <c r="M106" s="71">
        <f t="shared" si="24"/>
        <v>1.8481961217476681E-2</v>
      </c>
      <c r="N106" s="3">
        <f>IF(J106=0,0,2.356*J106+1)</f>
        <v>1.01498416</v>
      </c>
      <c r="O106" s="71">
        <f t="shared" si="26"/>
        <v>0.862736536</v>
      </c>
      <c r="P106" s="2"/>
      <c r="Q106" s="254">
        <f>IF(J106=0,0,J106*VLOOKUP(E106,'Prix Matiere'!$A$4:$L$60,12))</f>
        <v>6.359999999999999E-2</v>
      </c>
      <c r="R106" s="90">
        <f>IF(J106=0,0,Q106*VLOOKUP(E106,'Prix Matiere'!$A$4:$L$60,11))</f>
        <v>3.0782399999999994E-2</v>
      </c>
      <c r="S106" s="2"/>
      <c r="T106" s="2"/>
      <c r="U106" s="2"/>
      <c r="V106" s="2"/>
      <c r="W106" s="2"/>
      <c r="X106" s="2"/>
      <c r="Y106" s="2"/>
      <c r="Z106" s="2"/>
    </row>
    <row r="107" spans="1:26" ht="18" hidden="1" customHeight="1" x14ac:dyDescent="0.3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71"/>
      <c r="M107" s="2"/>
      <c r="N107" s="3"/>
      <c r="O107" s="71">
        <f t="shared" si="26"/>
        <v>0</v>
      </c>
      <c r="P107" s="2"/>
      <c r="Q107" s="2"/>
      <c r="R107" s="90"/>
      <c r="S107" s="2"/>
      <c r="T107" s="2"/>
      <c r="U107" s="2"/>
      <c r="V107" s="2"/>
      <c r="W107" s="2"/>
      <c r="X107" s="2"/>
      <c r="Y107" s="2"/>
      <c r="Z107" s="2"/>
    </row>
    <row r="108" spans="1:26" ht="18" hidden="1" customHeight="1" x14ac:dyDescent="0.85">
      <c r="A108" s="2" t="s">
        <v>71</v>
      </c>
      <c r="B108" s="33" t="str">
        <f>IF(F23="Aucun"," ",F23)</f>
        <v xml:space="preserve"> </v>
      </c>
      <c r="C108" s="2"/>
      <c r="D108" s="2"/>
      <c r="E108" s="2"/>
      <c r="F108" s="2"/>
      <c r="G108" s="2"/>
      <c r="H108" s="2"/>
      <c r="I108" s="2"/>
      <c r="J108" s="2"/>
      <c r="K108" s="2"/>
      <c r="L108" s="71"/>
      <c r="M108" s="71">
        <f>VLOOKUP($F$23,$A$150:$D$153,3)</f>
        <v>0</v>
      </c>
      <c r="N108" s="3">
        <f>IF(M108=0,0,12.5)</f>
        <v>0</v>
      </c>
      <c r="O108" s="71">
        <f t="shared" si="26"/>
        <v>0</v>
      </c>
      <c r="P108" s="2"/>
      <c r="Q108" s="2"/>
      <c r="R108" s="90"/>
      <c r="S108" s="2"/>
      <c r="T108" s="2"/>
      <c r="U108" s="2"/>
      <c r="V108" s="2"/>
      <c r="W108" s="2"/>
      <c r="X108" s="2"/>
      <c r="Y108" s="2"/>
      <c r="Z108" s="2"/>
    </row>
    <row r="109" spans="1:26" ht="19.5" hidden="1" customHeight="1" x14ac:dyDescent="0.35">
      <c r="A109" s="2" t="s">
        <v>23</v>
      </c>
      <c r="B109" s="2">
        <f>IF($F$21="Oui","Tyvek",0)</f>
        <v>0</v>
      </c>
      <c r="C109" s="2"/>
      <c r="D109" s="2"/>
      <c r="E109" s="2"/>
      <c r="F109" s="2"/>
      <c r="G109" s="2"/>
      <c r="H109" s="2"/>
      <c r="I109" s="2"/>
      <c r="J109" s="2"/>
      <c r="K109" s="89">
        <f>IF(B109="Tyvek",SUM(K92:K105)/0.7,0)</f>
        <v>0</v>
      </c>
      <c r="L109" s="71">
        <f>IF(B109=0,0,2.75)</f>
        <v>0</v>
      </c>
      <c r="M109" s="71">
        <f t="shared" ref="M109:M110" si="32">K109*L109</f>
        <v>0</v>
      </c>
      <c r="N109" s="3">
        <f>IF(K109=0,0,7*K109+2)</f>
        <v>0</v>
      </c>
      <c r="O109" s="71">
        <f t="shared" si="26"/>
        <v>0</v>
      </c>
      <c r="P109" s="2"/>
      <c r="Q109" s="254">
        <f>IF(K109=0,0,K109*VLOOKUP(B109,'Prix Matiere'!$A$4:$L$60,12))</f>
        <v>0</v>
      </c>
      <c r="R109" s="90">
        <f>IF(K109=0,0,Q109*VLOOKUP(B109,'Prix Matiere'!$A$4:$L$60,11))</f>
        <v>0</v>
      </c>
      <c r="S109" s="2"/>
      <c r="T109" s="2"/>
      <c r="U109" s="2"/>
      <c r="V109" s="2"/>
      <c r="W109" s="2"/>
      <c r="X109" s="2"/>
      <c r="Y109" s="2"/>
      <c r="Z109" s="2"/>
    </row>
    <row r="110" spans="1:26" ht="18" hidden="1" customHeight="1" x14ac:dyDescent="0.35">
      <c r="A110" s="2" t="s">
        <v>19</v>
      </c>
      <c r="B110" s="2">
        <f>IF(F19="Non",0,"Peinture")</f>
        <v>0</v>
      </c>
      <c r="C110" s="2"/>
      <c r="D110" s="2"/>
      <c r="E110" s="2"/>
      <c r="F110" s="2"/>
      <c r="G110" s="2"/>
      <c r="H110" s="2"/>
      <c r="I110" s="2"/>
      <c r="J110" s="2">
        <f>IF(B110=0,0,(((C43/100)*(D43/100))+((C43/100)*(E43/100))+((D43/100)*(E43/100)))*2)</f>
        <v>0</v>
      </c>
      <c r="K110" s="2">
        <f>J110*0.5</f>
        <v>0</v>
      </c>
      <c r="L110" s="71">
        <f>IF(B110=0,0,VLOOKUP(B110,'Prix Matiere'!$A$4:$J$60,10))</f>
        <v>0</v>
      </c>
      <c r="M110" s="71">
        <f t="shared" si="32"/>
        <v>0</v>
      </c>
      <c r="N110" s="3">
        <f>IF(J110=0,0,IF(B110="Peinture",30+J110*15))</f>
        <v>0</v>
      </c>
      <c r="O110" s="71">
        <f t="shared" si="26"/>
        <v>0</v>
      </c>
      <c r="P110" s="2"/>
      <c r="Q110" s="254">
        <f>IF(J110=0,0,J110*VLOOKUP(B110,'Prix Matiere'!$A$4:$L$60,12))</f>
        <v>0</v>
      </c>
      <c r="R110" s="90">
        <f>IF(J110=0,0,Q110*VLOOKUP(B110,'Prix Matiere'!$A$4:$L$60,11))</f>
        <v>0</v>
      </c>
      <c r="S110" s="2"/>
      <c r="T110" s="2"/>
      <c r="U110" s="2"/>
      <c r="V110" s="2"/>
      <c r="W110" s="2"/>
      <c r="X110" s="2"/>
      <c r="Y110" s="2"/>
      <c r="Z110" s="2"/>
    </row>
    <row r="111" spans="1:26" ht="18" hidden="1" customHeight="1" x14ac:dyDescent="0.35">
      <c r="A111" s="2" t="s">
        <v>72</v>
      </c>
      <c r="B111" s="2" t="str">
        <f>C19</f>
        <v>Vis bois</v>
      </c>
      <c r="C111" s="2"/>
      <c r="D111" s="2"/>
      <c r="E111" s="2"/>
      <c r="F111" s="2"/>
      <c r="G111" s="2"/>
      <c r="H111" s="2"/>
      <c r="I111" s="2"/>
      <c r="J111" s="2"/>
      <c r="K111" s="2"/>
      <c r="L111" s="71"/>
      <c r="M111" s="71">
        <f>IF(B111="Vis bois",0,(F4*2+F6*2)*1.5)</f>
        <v>0</v>
      </c>
      <c r="N111" s="3">
        <f>IF(B111="Vis bois",0,45)</f>
        <v>0</v>
      </c>
      <c r="O111" s="71">
        <f t="shared" si="26"/>
        <v>0</v>
      </c>
      <c r="P111" s="2"/>
      <c r="Q111" s="2"/>
      <c r="R111" s="90">
        <f>IF(J111=0,0,Q111*VLOOKUP(E111,'Prix Matiere'!$A$4:$L$60,11))</f>
        <v>0</v>
      </c>
      <c r="S111" s="2"/>
      <c r="T111" s="2"/>
      <c r="U111" s="2"/>
      <c r="V111" s="2"/>
      <c r="W111" s="2"/>
      <c r="X111" s="2"/>
      <c r="Y111" s="2"/>
      <c r="Z111" s="2"/>
    </row>
    <row r="112" spans="1:26" ht="18" hidden="1" customHeight="1" x14ac:dyDescent="0.35">
      <c r="A112" s="2" t="s">
        <v>21</v>
      </c>
      <c r="B112" s="2" t="str">
        <f>C21</f>
        <v>Bois</v>
      </c>
      <c r="C112" s="2"/>
      <c r="D112" s="2"/>
      <c r="E112" s="2"/>
      <c r="F112" s="2"/>
      <c r="G112" s="2"/>
      <c r="H112" s="2"/>
      <c r="I112" s="2"/>
      <c r="J112" s="2"/>
      <c r="K112" s="2"/>
      <c r="L112" s="71"/>
      <c r="M112" s="71">
        <f>IF(B112="Métal x 4 sur GC",4*2,IF(B112="Métal x 2 sur bouts",2*2,0))</f>
        <v>0</v>
      </c>
      <c r="N112" s="3">
        <f>IF(B112="Métal x 4 sur GC",4*3,IF(B112="Métal x 2 sur bouts",2*3,0))</f>
        <v>0</v>
      </c>
      <c r="O112" s="71">
        <f t="shared" si="26"/>
        <v>0</v>
      </c>
      <c r="P112" s="2"/>
      <c r="Q112" s="2"/>
      <c r="R112" s="90">
        <f>IF(J112=0,0,Q112*VLOOKUP(E112,'Prix Matiere'!$A$4:$L$60,11))</f>
        <v>0</v>
      </c>
      <c r="S112" s="2"/>
      <c r="T112" s="2"/>
      <c r="U112" s="2"/>
      <c r="V112" s="2"/>
      <c r="W112" s="2"/>
      <c r="X112" s="2"/>
      <c r="Y112" s="2"/>
      <c r="Z112" s="2"/>
    </row>
    <row r="113" spans="1:26" ht="18" hidden="1" customHeight="1" x14ac:dyDescent="0.3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71"/>
      <c r="M113" s="2"/>
      <c r="N113" s="3"/>
      <c r="O113" s="71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8" hidden="1" customHeight="1" x14ac:dyDescent="0.3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71">
        <f>IF(E114=0,0,VLOOKUP(E114,'Prix Matiere'!$A$4:$J$65,10))</f>
        <v>0</v>
      </c>
      <c r="M114" s="96">
        <f t="shared" ref="M114:N114" si="33">SUM(M54:M113)</f>
        <v>45.351229433763152</v>
      </c>
      <c r="N114" s="97">
        <f t="shared" si="33"/>
        <v>104.25419277700001</v>
      </c>
      <c r="O114" s="71">
        <f>N114*MinuteMO</f>
        <v>88.616063860450012</v>
      </c>
      <c r="P114" s="2"/>
      <c r="Q114" s="254">
        <f t="shared" ref="Q114:R114" si="34">SUM(Q54:Q106)</f>
        <v>13.167891800000003</v>
      </c>
      <c r="R114" s="254">
        <f t="shared" si="34"/>
        <v>10.759756320399999</v>
      </c>
      <c r="S114" s="2"/>
      <c r="T114" s="2"/>
      <c r="U114" s="2"/>
      <c r="V114" s="2"/>
      <c r="W114" s="2"/>
      <c r="X114" s="2"/>
      <c r="Y114" s="2"/>
      <c r="Z114" s="2"/>
    </row>
    <row r="115" spans="1:26" ht="18" hidden="1" customHeight="1" x14ac:dyDescent="0.35">
      <c r="A115" s="2"/>
      <c r="B115" s="98" t="s">
        <v>73</v>
      </c>
      <c r="C115" s="99">
        <f>IF($F$9=0,0,M114)</f>
        <v>45.351229433763152</v>
      </c>
      <c r="D115" s="100"/>
      <c r="E115" s="302" t="s">
        <v>74</v>
      </c>
      <c r="F115" s="102" t="str">
        <f>CONCATENATE(ROUNDUP(SUM(K54:K56)+SUM(K80:K81),2)," m²")</f>
        <v>1,14 m²</v>
      </c>
      <c r="G115" s="340">
        <f>(SUM(M54:M56)+SUM(M80:M81))</f>
        <v>19.17001899742268</v>
      </c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8" hidden="1" customHeight="1" x14ac:dyDescent="0.35">
      <c r="A116" s="2"/>
      <c r="B116" s="105" t="s">
        <v>75</v>
      </c>
      <c r="C116" s="71">
        <f>IF($F$9=0,0,O114)</f>
        <v>88.616063860450012</v>
      </c>
      <c r="D116" s="106">
        <f>IF($F$9=0,0,N114)</f>
        <v>104.25419277700001</v>
      </c>
      <c r="E116" s="304" t="s">
        <v>76</v>
      </c>
      <c r="F116" s="107" t="str">
        <f>CONCATENATE(ROUNDUP(SUM(K59:K65),2)," m²")</f>
        <v>0,76 m²</v>
      </c>
      <c r="G116" s="306">
        <f>(SUM(M59:M65))</f>
        <v>16.561417268041239</v>
      </c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8" hidden="1" customHeight="1" x14ac:dyDescent="0.35">
      <c r="A117" s="2"/>
      <c r="B117" s="105" t="s">
        <v>77</v>
      </c>
      <c r="C117" s="71">
        <f>IF($F$9=0,0,((C115+C116)/Frais_Généraux)-(C115+C116))</f>
        <v>72.136234850730148</v>
      </c>
      <c r="D117" s="109"/>
      <c r="E117" s="304" t="s">
        <v>78</v>
      </c>
      <c r="F117" s="107" t="str">
        <f>CONCATENATE(ROUNDUP(SUM(K74:K76)+SUM(K85:K87),2)," m²")</f>
        <v>0,68 m²</v>
      </c>
      <c r="G117" s="306">
        <f>(SUM(M74:M76)+SUM(M85:M87))</f>
        <v>6.9921771958762884</v>
      </c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8" hidden="1" customHeight="1" x14ac:dyDescent="0.35">
      <c r="A118" s="2"/>
      <c r="B118" s="105" t="s">
        <v>79</v>
      </c>
      <c r="C118" s="71">
        <f>IF($F$9=0,0,SUM(C115:C117))</f>
        <v>206.10352814494331</v>
      </c>
      <c r="D118" s="109"/>
      <c r="E118" s="304" t="s">
        <v>80</v>
      </c>
      <c r="F118" s="107" t="str">
        <f>CONCATENATE(ROUNDUP(SUM(K68:K70)+SUM(K92:K105),2)," m²")</f>
        <v>0,28 m²</v>
      </c>
      <c r="G118" s="306">
        <f>(SUM(M68:M70)+SUM(M92:M105))</f>
        <v>2.6091340112054864</v>
      </c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8" hidden="1" customHeight="1" x14ac:dyDescent="0.35">
      <c r="A119" s="2"/>
      <c r="B119" s="105" t="s">
        <v>81</v>
      </c>
      <c r="C119" s="71">
        <f>IF($F$9=0,0,(C118/(1-Marge)-C118))</f>
        <v>15.513168785103261</v>
      </c>
      <c r="D119" s="110">
        <f>C118+C119</f>
        <v>221.61669693004657</v>
      </c>
      <c r="E119" s="304" t="s">
        <v>82</v>
      </c>
      <c r="F119" s="107" t="str">
        <f>CONCATENATE(ROUNDUP(K106,2)," m²")</f>
        <v>0,01 m²</v>
      </c>
      <c r="G119" s="306">
        <f>(M106)</f>
        <v>1.8481961217476681E-2</v>
      </c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8" hidden="1" customHeight="1" x14ac:dyDescent="0.35">
      <c r="A120" s="2"/>
      <c r="B120" s="111" t="s">
        <v>83</v>
      </c>
      <c r="C120" s="71">
        <f>IF($F$10="BOVIS",((C118+C119)*(1+C121))-(C118+C119),((C118+C119)*(1+D120))-(C118+C119))</f>
        <v>0</v>
      </c>
      <c r="D120" s="112"/>
      <c r="E120" s="304"/>
      <c r="F120" s="107"/>
      <c r="G120" s="306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8" hidden="1" customHeight="1" x14ac:dyDescent="0.35">
      <c r="A121" s="2"/>
      <c r="B121" s="111"/>
      <c r="C121" s="104">
        <f>IF($F$10="BOVIS",0.03,0)</f>
        <v>0</v>
      </c>
      <c r="D121" s="113"/>
      <c r="E121" s="304"/>
      <c r="F121" s="107"/>
      <c r="G121" s="306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8" hidden="1" customHeight="1" x14ac:dyDescent="0.35">
      <c r="A122" s="2"/>
      <c r="B122" s="114" t="s">
        <v>84</v>
      </c>
      <c r="C122" s="115">
        <f>SUM(C118:C121)</f>
        <v>221.61669693004657</v>
      </c>
      <c r="D122" s="116"/>
      <c r="E122" s="307" t="s">
        <v>85</v>
      </c>
      <c r="F122" s="15"/>
      <c r="G122" s="118">
        <f>C115-SUM(G115:G119)</f>
        <v>0</v>
      </c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8" hidden="1" customHeight="1" x14ac:dyDescent="0.35">
      <c r="A123" s="76"/>
      <c r="B123" s="76"/>
      <c r="C123" s="76"/>
      <c r="D123" s="76"/>
      <c r="E123" s="76"/>
      <c r="F123" s="6"/>
      <c r="G123" s="76"/>
      <c r="H123" s="76"/>
      <c r="I123" s="76"/>
      <c r="J123" s="76"/>
      <c r="K123" s="76"/>
      <c r="L123" s="76"/>
      <c r="M123" s="76"/>
      <c r="N123" s="76"/>
      <c r="O123" s="76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8" hidden="1" customHeight="1" x14ac:dyDescent="0.3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8" hidden="1" customHeight="1" x14ac:dyDescent="0.35">
      <c r="A125" s="369" t="s">
        <v>10</v>
      </c>
      <c r="B125" s="369" t="s">
        <v>10</v>
      </c>
      <c r="C125" s="369" t="s">
        <v>10</v>
      </c>
      <c r="D125" s="370">
        <v>1.5</v>
      </c>
      <c r="E125" s="308"/>
      <c r="F125" s="308"/>
      <c r="G125" s="308"/>
      <c r="H125" s="308"/>
      <c r="I125" s="308"/>
      <c r="J125" s="308"/>
      <c r="K125" s="308"/>
      <c r="L125" s="308"/>
      <c r="M125" s="308"/>
      <c r="N125" s="308"/>
      <c r="O125" s="308"/>
      <c r="P125" s="308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8" hidden="1" customHeight="1" x14ac:dyDescent="0.3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8" hidden="1" customHeight="1" x14ac:dyDescent="0.35">
      <c r="A127" s="369" t="s">
        <v>12</v>
      </c>
      <c r="B127" s="371" t="s">
        <v>90</v>
      </c>
      <c r="C127" s="371" t="s">
        <v>90</v>
      </c>
      <c r="D127" s="370">
        <v>2.1</v>
      </c>
      <c r="E127" s="308"/>
      <c r="F127" s="308"/>
      <c r="G127" s="308"/>
      <c r="H127" s="308"/>
      <c r="I127" s="308"/>
      <c r="J127" s="308"/>
      <c r="K127" s="308"/>
      <c r="L127" s="308"/>
      <c r="M127" s="308"/>
      <c r="N127" s="308"/>
      <c r="O127" s="308"/>
      <c r="P127" s="308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8" hidden="1" customHeight="1" x14ac:dyDescent="0.3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8" hidden="1" customHeight="1" x14ac:dyDescent="0.35">
      <c r="A129" s="119">
        <v>1</v>
      </c>
      <c r="B129" s="120">
        <v>2</v>
      </c>
      <c r="C129" s="120">
        <v>3</v>
      </c>
      <c r="D129" s="120">
        <v>4</v>
      </c>
      <c r="E129" s="130">
        <v>5</v>
      </c>
      <c r="F129" s="130">
        <v>6</v>
      </c>
      <c r="G129" s="130">
        <v>7</v>
      </c>
      <c r="H129" s="131">
        <v>8</v>
      </c>
      <c r="I129" s="131">
        <v>9</v>
      </c>
      <c r="J129" s="131">
        <v>10</v>
      </c>
      <c r="K129" s="132">
        <v>11</v>
      </c>
      <c r="L129" s="132">
        <v>12</v>
      </c>
      <c r="M129" s="133">
        <v>13</v>
      </c>
      <c r="N129" s="131">
        <v>14</v>
      </c>
      <c r="O129" s="131">
        <v>15</v>
      </c>
      <c r="P129" s="134">
        <v>16</v>
      </c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8" hidden="1" customHeight="1" x14ac:dyDescent="0.35">
      <c r="A130" s="135"/>
      <c r="B130" s="136"/>
      <c r="C130" s="136"/>
      <c r="D130" s="136"/>
      <c r="E130" s="137" t="s">
        <v>80</v>
      </c>
      <c r="F130" s="137" t="s">
        <v>91</v>
      </c>
      <c r="G130" s="137" t="s">
        <v>34</v>
      </c>
      <c r="H130" s="138" t="s">
        <v>65</v>
      </c>
      <c r="I130" s="138" t="s">
        <v>92</v>
      </c>
      <c r="J130" s="138" t="s">
        <v>93</v>
      </c>
      <c r="K130" s="139" t="s">
        <v>67</v>
      </c>
      <c r="L130" s="139" t="s">
        <v>94</v>
      </c>
      <c r="M130" s="140" t="s">
        <v>95</v>
      </c>
      <c r="N130" s="138" t="s">
        <v>69</v>
      </c>
      <c r="O130" s="138" t="s">
        <v>96</v>
      </c>
      <c r="P130" s="141" t="s">
        <v>97</v>
      </c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8" hidden="1" customHeight="1" x14ac:dyDescent="0.35">
      <c r="A131" s="124"/>
      <c r="B131" s="308"/>
      <c r="C131" s="308"/>
      <c r="D131" s="308"/>
      <c r="E131" s="142"/>
      <c r="F131" s="142"/>
      <c r="G131" s="142"/>
      <c r="H131" s="143"/>
      <c r="I131" s="143"/>
      <c r="J131" s="143"/>
      <c r="K131" s="144"/>
      <c r="L131" s="144"/>
      <c r="M131" s="145">
        <v>0</v>
      </c>
      <c r="N131" s="143"/>
      <c r="O131" s="143"/>
      <c r="P131" s="146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8" hidden="1" customHeight="1" x14ac:dyDescent="0.35">
      <c r="A132" s="124" t="s">
        <v>16</v>
      </c>
      <c r="B132" s="308">
        <v>0</v>
      </c>
      <c r="C132" s="308">
        <v>0</v>
      </c>
      <c r="D132" s="308">
        <v>0</v>
      </c>
      <c r="E132" s="142">
        <v>0</v>
      </c>
      <c r="F132" s="142">
        <v>0</v>
      </c>
      <c r="G132" s="142">
        <v>0</v>
      </c>
      <c r="H132" s="143">
        <v>0</v>
      </c>
      <c r="I132" s="143">
        <v>0</v>
      </c>
      <c r="J132" s="143">
        <v>0</v>
      </c>
      <c r="K132" s="144">
        <v>0</v>
      </c>
      <c r="L132" s="144">
        <v>0</v>
      </c>
      <c r="M132" s="145">
        <v>0</v>
      </c>
      <c r="N132" s="143">
        <v>0</v>
      </c>
      <c r="O132" s="143">
        <v>0</v>
      </c>
      <c r="P132" s="146">
        <v>0</v>
      </c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8" hidden="1" customHeight="1" x14ac:dyDescent="0.35">
      <c r="A133" s="124" t="s">
        <v>98</v>
      </c>
      <c r="B133" s="308">
        <f t="shared" ref="B133:D133" si="35">(3+1.25+3)*2</f>
        <v>14.5</v>
      </c>
      <c r="C133" s="308">
        <f t="shared" si="35"/>
        <v>14.5</v>
      </c>
      <c r="D133" s="308">
        <f t="shared" si="35"/>
        <v>14.5</v>
      </c>
      <c r="E133" s="142">
        <v>0</v>
      </c>
      <c r="F133" s="142">
        <v>0</v>
      </c>
      <c r="G133" s="142">
        <v>0</v>
      </c>
      <c r="H133" s="143">
        <v>6</v>
      </c>
      <c r="I133" s="143" t="s">
        <v>99</v>
      </c>
      <c r="J133" s="143">
        <v>2</v>
      </c>
      <c r="K133" s="144">
        <v>2.5</v>
      </c>
      <c r="L133" s="144" t="s">
        <v>86</v>
      </c>
      <c r="M133" s="147">
        <v>4</v>
      </c>
      <c r="N133" s="143">
        <v>6</v>
      </c>
      <c r="O133" s="143" t="s">
        <v>99</v>
      </c>
      <c r="P133" s="148">
        <v>2</v>
      </c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8" hidden="1" customHeight="1" x14ac:dyDescent="0.35">
      <c r="A134" s="124" t="s">
        <v>100</v>
      </c>
      <c r="B134" s="308">
        <f t="shared" ref="B134:D134" si="36">(5+1.25+5)*2</f>
        <v>22.5</v>
      </c>
      <c r="C134" s="308">
        <f t="shared" si="36"/>
        <v>22.5</v>
      </c>
      <c r="D134" s="308">
        <f t="shared" si="36"/>
        <v>22.5</v>
      </c>
      <c r="E134" s="142">
        <v>0</v>
      </c>
      <c r="F134" s="142">
        <v>0</v>
      </c>
      <c r="G134" s="142">
        <v>0</v>
      </c>
      <c r="H134" s="143">
        <v>10</v>
      </c>
      <c r="I134" s="143" t="s">
        <v>101</v>
      </c>
      <c r="J134" s="143">
        <v>2</v>
      </c>
      <c r="K134" s="144">
        <v>2.5</v>
      </c>
      <c r="L134" s="144" t="s">
        <v>86</v>
      </c>
      <c r="M134" s="147">
        <v>4</v>
      </c>
      <c r="N134" s="143">
        <v>10</v>
      </c>
      <c r="O134" s="143" t="s">
        <v>101</v>
      </c>
      <c r="P134" s="148">
        <v>2</v>
      </c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8" hidden="1" customHeight="1" x14ac:dyDescent="0.35">
      <c r="A135" s="124" t="s">
        <v>102</v>
      </c>
      <c r="B135" s="308">
        <f t="shared" ref="B135:D135" si="37">(3)*2</f>
        <v>6</v>
      </c>
      <c r="C135" s="308">
        <f t="shared" si="37"/>
        <v>6</v>
      </c>
      <c r="D135" s="308">
        <f t="shared" si="37"/>
        <v>6</v>
      </c>
      <c r="E135" s="142">
        <v>0</v>
      </c>
      <c r="F135" s="142">
        <v>0</v>
      </c>
      <c r="G135" s="142">
        <v>0</v>
      </c>
      <c r="H135" s="143">
        <v>6</v>
      </c>
      <c r="I135" s="143" t="s">
        <v>99</v>
      </c>
      <c r="J135" s="143">
        <v>2</v>
      </c>
      <c r="K135" s="144">
        <v>0</v>
      </c>
      <c r="L135" s="144">
        <v>0</v>
      </c>
      <c r="M135" s="147">
        <v>0</v>
      </c>
      <c r="N135" s="143">
        <v>0</v>
      </c>
      <c r="O135" s="143"/>
      <c r="P135" s="148">
        <v>0</v>
      </c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8" hidden="1" customHeight="1" x14ac:dyDescent="0.35">
      <c r="A136" s="124" t="s">
        <v>103</v>
      </c>
      <c r="B136" s="308">
        <f t="shared" ref="B136:D136" si="38">(5)*2</f>
        <v>10</v>
      </c>
      <c r="C136" s="308">
        <f t="shared" si="38"/>
        <v>10</v>
      </c>
      <c r="D136" s="308">
        <f t="shared" si="38"/>
        <v>10</v>
      </c>
      <c r="E136" s="142">
        <v>0</v>
      </c>
      <c r="F136" s="142">
        <v>0</v>
      </c>
      <c r="G136" s="142">
        <v>0</v>
      </c>
      <c r="H136" s="143">
        <v>10</v>
      </c>
      <c r="I136" s="143" t="s">
        <v>101</v>
      </c>
      <c r="J136" s="143">
        <v>2</v>
      </c>
      <c r="K136" s="144">
        <v>0</v>
      </c>
      <c r="L136" s="144">
        <v>0</v>
      </c>
      <c r="M136" s="147">
        <v>0</v>
      </c>
      <c r="N136" s="143">
        <v>0</v>
      </c>
      <c r="O136" s="143"/>
      <c r="P136" s="148">
        <v>0</v>
      </c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8" hidden="1" customHeight="1" x14ac:dyDescent="0.35">
      <c r="A137" s="124" t="s">
        <v>104</v>
      </c>
      <c r="B137" s="308">
        <f t="shared" ref="B137:D137" si="39">(3+3+1.25+3)*2</f>
        <v>20.5</v>
      </c>
      <c r="C137" s="308">
        <f t="shared" si="39"/>
        <v>20.5</v>
      </c>
      <c r="D137" s="308">
        <f t="shared" si="39"/>
        <v>20.5</v>
      </c>
      <c r="E137" s="142">
        <v>6</v>
      </c>
      <c r="F137" s="142" t="s">
        <v>105</v>
      </c>
      <c r="G137" s="142">
        <v>2</v>
      </c>
      <c r="H137" s="143">
        <v>6</v>
      </c>
      <c r="I137" s="143" t="s">
        <v>99</v>
      </c>
      <c r="J137" s="143">
        <v>2</v>
      </c>
      <c r="K137" s="144">
        <v>2.5</v>
      </c>
      <c r="L137" s="144" t="s">
        <v>86</v>
      </c>
      <c r="M137" s="147">
        <v>4</v>
      </c>
      <c r="N137" s="143">
        <v>6</v>
      </c>
      <c r="O137" s="143" t="s">
        <v>99</v>
      </c>
      <c r="P137" s="148">
        <v>2</v>
      </c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8" hidden="1" customHeight="1" x14ac:dyDescent="0.35">
      <c r="A138" s="127" t="s">
        <v>106</v>
      </c>
      <c r="B138" s="128">
        <f t="shared" ref="B138:D138" si="40">(5+5+1.25+5)*2</f>
        <v>32.5</v>
      </c>
      <c r="C138" s="128">
        <f t="shared" si="40"/>
        <v>32.5</v>
      </c>
      <c r="D138" s="128">
        <f t="shared" si="40"/>
        <v>32.5</v>
      </c>
      <c r="E138" s="149">
        <v>10</v>
      </c>
      <c r="F138" s="149" t="s">
        <v>27</v>
      </c>
      <c r="G138" s="149">
        <v>2</v>
      </c>
      <c r="H138" s="150">
        <v>10</v>
      </c>
      <c r="I138" s="150" t="s">
        <v>101</v>
      </c>
      <c r="J138" s="150">
        <v>2</v>
      </c>
      <c r="K138" s="151">
        <v>2.5</v>
      </c>
      <c r="L138" s="151" t="s">
        <v>86</v>
      </c>
      <c r="M138" s="152">
        <v>4</v>
      </c>
      <c r="N138" s="150">
        <v>10</v>
      </c>
      <c r="O138" s="150" t="s">
        <v>101</v>
      </c>
      <c r="P138" s="153">
        <v>2</v>
      </c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8" hidden="1" customHeight="1" x14ac:dyDescent="0.3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8" hidden="1" customHeight="1" x14ac:dyDescent="0.35">
      <c r="A140" s="119" t="s">
        <v>107</v>
      </c>
      <c r="B140" s="121">
        <v>1</v>
      </c>
      <c r="C140" s="308"/>
      <c r="D140" s="308"/>
      <c r="E140" s="308"/>
      <c r="F140" s="308"/>
      <c r="G140" s="308"/>
      <c r="H140" s="308"/>
      <c r="I140" s="308"/>
      <c r="J140" s="308"/>
      <c r="K140" s="308"/>
      <c r="L140" s="308"/>
      <c r="M140" s="308"/>
      <c r="N140" s="308"/>
      <c r="O140" s="308"/>
      <c r="P140" s="308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8" hidden="1" customHeight="1" x14ac:dyDescent="0.35">
      <c r="A141" s="127" t="s">
        <v>18</v>
      </c>
      <c r="B141" s="129">
        <v>0</v>
      </c>
      <c r="C141" s="308"/>
      <c r="D141" s="308"/>
      <c r="E141" s="308"/>
      <c r="F141" s="308"/>
      <c r="G141" s="308"/>
      <c r="H141" s="308"/>
      <c r="I141" s="308"/>
      <c r="J141" s="308"/>
      <c r="K141" s="308"/>
      <c r="L141" s="308"/>
      <c r="M141" s="308"/>
      <c r="N141" s="308"/>
      <c r="O141" s="308"/>
      <c r="P141" s="308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8" hidden="1" customHeight="1" x14ac:dyDescent="0.35">
      <c r="A142" s="308"/>
      <c r="B142" s="308"/>
      <c r="C142" s="308"/>
      <c r="D142" s="308"/>
      <c r="E142" s="308"/>
      <c r="F142" s="308"/>
      <c r="G142" s="308"/>
      <c r="H142" s="308"/>
      <c r="I142" s="308"/>
      <c r="J142" s="308"/>
      <c r="K142" s="308"/>
      <c r="L142" s="308"/>
      <c r="M142" s="308"/>
      <c r="N142" s="308"/>
      <c r="O142" s="308"/>
      <c r="P142" s="308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8" hidden="1" customHeight="1" x14ac:dyDescent="0.35">
      <c r="A143" s="154" t="s">
        <v>20</v>
      </c>
      <c r="B143" s="308"/>
      <c r="C143" s="308"/>
      <c r="D143" s="308"/>
      <c r="E143" s="308"/>
      <c r="F143" s="308"/>
      <c r="G143" s="308"/>
      <c r="H143" s="308"/>
      <c r="I143" s="308"/>
      <c r="J143" s="308"/>
      <c r="K143" s="308"/>
      <c r="L143" s="308"/>
      <c r="M143" s="308"/>
      <c r="N143" s="308"/>
      <c r="O143" s="308"/>
      <c r="P143" s="308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8" hidden="1" customHeight="1" x14ac:dyDescent="0.35">
      <c r="A144" s="155" t="s">
        <v>14</v>
      </c>
      <c r="B144" s="308"/>
      <c r="C144" s="308"/>
      <c r="D144" s="308"/>
      <c r="E144" s="308"/>
      <c r="F144" s="308"/>
      <c r="G144" s="308"/>
      <c r="H144" s="308"/>
      <c r="I144" s="308"/>
      <c r="J144" s="308"/>
      <c r="K144" s="308"/>
      <c r="L144" s="308"/>
      <c r="M144" s="308"/>
      <c r="N144" s="308"/>
      <c r="O144" s="308"/>
      <c r="P144" s="308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8" hidden="1" customHeight="1" x14ac:dyDescent="0.35">
      <c r="A145" s="308"/>
      <c r="B145" s="308"/>
      <c r="C145" s="308"/>
      <c r="D145" s="308"/>
      <c r="E145" s="308"/>
      <c r="F145" s="308"/>
      <c r="G145" s="308"/>
      <c r="H145" s="308"/>
      <c r="I145" s="308"/>
      <c r="J145" s="308"/>
      <c r="K145" s="308"/>
      <c r="L145" s="308"/>
      <c r="M145" s="308"/>
      <c r="N145" s="308"/>
      <c r="O145" s="308"/>
      <c r="P145" s="308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8" hidden="1" customHeight="1" x14ac:dyDescent="0.35">
      <c r="A146" s="154" t="s">
        <v>22</v>
      </c>
      <c r="B146" s="121">
        <v>4.2</v>
      </c>
      <c r="C146" s="308"/>
      <c r="D146" s="308"/>
      <c r="E146" s="308"/>
      <c r="F146" s="308"/>
      <c r="G146" s="308"/>
      <c r="H146" s="308"/>
      <c r="I146" s="308"/>
      <c r="J146" s="308"/>
      <c r="K146" s="308"/>
      <c r="L146" s="308"/>
      <c r="M146" s="308"/>
      <c r="N146" s="308"/>
      <c r="O146" s="308"/>
      <c r="P146" s="308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8" hidden="1" customHeight="1" x14ac:dyDescent="0.35">
      <c r="A147" s="155" t="s">
        <v>108</v>
      </c>
      <c r="B147" s="126">
        <v>2</v>
      </c>
      <c r="C147" s="308"/>
      <c r="D147" s="308"/>
      <c r="E147" s="308"/>
      <c r="F147" s="308"/>
      <c r="G147" s="308"/>
      <c r="H147" s="308"/>
      <c r="I147" s="308"/>
      <c r="J147" s="308"/>
      <c r="K147" s="308"/>
      <c r="L147" s="308"/>
      <c r="M147" s="308"/>
      <c r="N147" s="308"/>
      <c r="O147" s="308"/>
      <c r="P147" s="308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8" hidden="1" customHeight="1" x14ac:dyDescent="0.35">
      <c r="A148" s="156" t="s">
        <v>109</v>
      </c>
      <c r="B148" s="129">
        <v>0</v>
      </c>
      <c r="C148" s="308"/>
      <c r="D148" s="308"/>
      <c r="E148" s="308"/>
      <c r="F148" s="308"/>
      <c r="G148" s="308"/>
      <c r="H148" s="308"/>
      <c r="I148" s="308"/>
      <c r="J148" s="308"/>
      <c r="K148" s="308"/>
      <c r="L148" s="308"/>
      <c r="M148" s="308"/>
      <c r="N148" s="308"/>
      <c r="O148" s="308"/>
      <c r="P148" s="308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8" hidden="1" customHeight="1" x14ac:dyDescent="0.35">
      <c r="A149" s="308"/>
      <c r="B149" s="308"/>
      <c r="C149" s="308"/>
      <c r="D149" s="308"/>
      <c r="E149" s="308"/>
      <c r="F149" s="308"/>
      <c r="G149" s="308"/>
      <c r="H149" s="308"/>
      <c r="I149" s="308"/>
      <c r="J149" s="308"/>
      <c r="K149" s="308"/>
      <c r="L149" s="308"/>
      <c r="M149" s="308"/>
      <c r="N149" s="308"/>
      <c r="O149" s="308"/>
      <c r="P149" s="308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8" hidden="1" customHeight="1" x14ac:dyDescent="0.35">
      <c r="A150" s="119" t="s">
        <v>110</v>
      </c>
      <c r="B150" s="120">
        <v>0</v>
      </c>
      <c r="C150" s="120"/>
      <c r="D150" s="121">
        <v>0</v>
      </c>
      <c r="E150" s="308"/>
      <c r="F150" s="308"/>
      <c r="G150" s="308"/>
      <c r="H150" s="308"/>
      <c r="I150" s="308"/>
      <c r="J150" s="308"/>
      <c r="K150" s="308"/>
      <c r="L150" s="308"/>
      <c r="M150" s="308"/>
      <c r="N150" s="308"/>
      <c r="O150" s="308"/>
      <c r="P150" s="308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8" hidden="1" customHeight="1" x14ac:dyDescent="0.35">
      <c r="A151" s="124" t="s">
        <v>111</v>
      </c>
      <c r="B151" s="308">
        <v>10</v>
      </c>
      <c r="C151" s="308">
        <v>40</v>
      </c>
      <c r="D151" s="126">
        <v>12</v>
      </c>
      <c r="E151" s="308"/>
      <c r="F151" s="308"/>
      <c r="G151" s="308"/>
      <c r="H151" s="308"/>
      <c r="I151" s="308"/>
      <c r="J151" s="308"/>
      <c r="K151" s="308"/>
      <c r="L151" s="308"/>
      <c r="M151" s="308"/>
      <c r="N151" s="308"/>
      <c r="O151" s="308"/>
      <c r="P151" s="308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8" hidden="1" customHeight="1" x14ac:dyDescent="0.35">
      <c r="A152" s="124" t="s">
        <v>16</v>
      </c>
      <c r="B152" s="308">
        <v>0</v>
      </c>
      <c r="C152" s="308"/>
      <c r="D152" s="126">
        <v>0</v>
      </c>
      <c r="E152" s="308"/>
      <c r="F152" s="308"/>
      <c r="G152" s="308"/>
      <c r="H152" s="308"/>
      <c r="I152" s="308"/>
      <c r="J152" s="308"/>
      <c r="K152" s="308"/>
      <c r="L152" s="308"/>
      <c r="M152" s="308"/>
      <c r="N152" s="308"/>
      <c r="O152" s="308"/>
      <c r="P152" s="308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8" hidden="1" customHeight="1" x14ac:dyDescent="0.35">
      <c r="A153" s="157" t="s">
        <v>112</v>
      </c>
      <c r="B153" s="128">
        <v>5</v>
      </c>
      <c r="C153" s="128">
        <v>20</v>
      </c>
      <c r="D153" s="129">
        <v>0</v>
      </c>
      <c r="E153" s="308"/>
      <c r="F153" s="308"/>
      <c r="G153" s="308"/>
      <c r="H153" s="308"/>
      <c r="I153" s="308"/>
      <c r="J153" s="308"/>
      <c r="K153" s="308"/>
      <c r="L153" s="308"/>
      <c r="M153" s="308"/>
      <c r="N153" s="308"/>
      <c r="O153" s="308"/>
      <c r="P153" s="308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8" hidden="1" customHeight="1" x14ac:dyDescent="0.35">
      <c r="A154" s="308"/>
      <c r="B154" s="308"/>
      <c r="C154" s="308"/>
      <c r="D154" s="308"/>
      <c r="E154" s="308"/>
      <c r="F154" s="308"/>
      <c r="G154" s="308"/>
      <c r="H154" s="308"/>
      <c r="I154" s="308"/>
      <c r="J154" s="308"/>
      <c r="K154" s="308"/>
      <c r="L154" s="308"/>
      <c r="M154" s="308"/>
      <c r="N154" s="308"/>
      <c r="O154" s="308"/>
      <c r="P154" s="308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8" hidden="1" customHeight="1" x14ac:dyDescent="0.35">
      <c r="A155" s="154" t="s">
        <v>16</v>
      </c>
      <c r="B155" s="308"/>
      <c r="C155" s="308"/>
      <c r="D155" s="308"/>
      <c r="E155" s="308"/>
      <c r="F155" s="308"/>
      <c r="G155" s="308"/>
      <c r="H155" s="308"/>
      <c r="I155" s="308"/>
      <c r="J155" s="308"/>
      <c r="K155" s="308"/>
      <c r="L155" s="308"/>
      <c r="M155" s="308"/>
      <c r="N155" s="308"/>
      <c r="O155" s="308"/>
      <c r="P155" s="308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8" hidden="1" customHeight="1" x14ac:dyDescent="0.35">
      <c r="A156" s="155" t="s">
        <v>113</v>
      </c>
      <c r="B156" s="308"/>
      <c r="C156" s="308"/>
      <c r="D156" s="308"/>
      <c r="E156" s="308"/>
      <c r="F156" s="308"/>
      <c r="G156" s="308"/>
      <c r="H156" s="308"/>
      <c r="I156" s="308"/>
      <c r="J156" s="308"/>
      <c r="K156" s="308"/>
      <c r="L156" s="308"/>
      <c r="M156" s="308"/>
      <c r="N156" s="308"/>
      <c r="O156" s="308"/>
      <c r="P156" s="308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8" hidden="1" customHeight="1" x14ac:dyDescent="0.35">
      <c r="A157" s="156" t="s">
        <v>37</v>
      </c>
      <c r="B157" s="308"/>
      <c r="C157" s="308"/>
      <c r="D157" s="308"/>
      <c r="E157" s="308"/>
      <c r="F157" s="308"/>
      <c r="G157" s="308"/>
      <c r="H157" s="308"/>
      <c r="I157" s="308"/>
      <c r="J157" s="308"/>
      <c r="K157" s="308"/>
      <c r="L157" s="308"/>
      <c r="M157" s="308"/>
      <c r="N157" s="308"/>
      <c r="O157" s="308"/>
      <c r="P157" s="308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8" hidden="1" customHeight="1" x14ac:dyDescent="0.35">
      <c r="A158" s="308"/>
      <c r="B158" s="308"/>
      <c r="C158" s="308"/>
      <c r="D158" s="308"/>
      <c r="E158" s="308"/>
      <c r="F158" s="308"/>
      <c r="G158" s="308"/>
      <c r="H158" s="308"/>
      <c r="I158" s="308"/>
      <c r="J158" s="308"/>
      <c r="K158" s="308"/>
      <c r="L158" s="308"/>
      <c r="M158" s="308"/>
      <c r="N158" s="308"/>
      <c r="O158" s="308"/>
      <c r="P158" s="308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8" hidden="1" customHeight="1" x14ac:dyDescent="0.35">
      <c r="A159" s="98"/>
      <c r="B159" s="120" t="s">
        <v>114</v>
      </c>
      <c r="C159" s="120" t="s">
        <v>115</v>
      </c>
      <c r="D159" s="120" t="s">
        <v>116</v>
      </c>
      <c r="E159" s="120" t="s">
        <v>117</v>
      </c>
      <c r="F159" s="120" t="s">
        <v>118</v>
      </c>
      <c r="G159" s="120" t="s">
        <v>119</v>
      </c>
      <c r="H159" s="120" t="s">
        <v>120</v>
      </c>
      <c r="I159" s="120" t="s">
        <v>121</v>
      </c>
      <c r="J159" s="120" t="s">
        <v>122</v>
      </c>
      <c r="K159" s="120" t="s">
        <v>123</v>
      </c>
      <c r="L159" s="121" t="s">
        <v>82</v>
      </c>
      <c r="M159" s="308"/>
      <c r="N159" s="308"/>
      <c r="O159" s="308"/>
      <c r="P159" s="308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8" hidden="1" customHeight="1" x14ac:dyDescent="0.35">
      <c r="A160" s="124">
        <v>1</v>
      </c>
      <c r="B160" s="308">
        <v>2</v>
      </c>
      <c r="C160" s="308">
        <v>3</v>
      </c>
      <c r="D160" s="308">
        <v>4</v>
      </c>
      <c r="E160" s="308">
        <v>5</v>
      </c>
      <c r="F160" s="308">
        <v>6</v>
      </c>
      <c r="G160" s="308">
        <v>7</v>
      </c>
      <c r="H160" s="308">
        <v>8</v>
      </c>
      <c r="I160" s="308">
        <v>9</v>
      </c>
      <c r="J160" s="308">
        <v>10</v>
      </c>
      <c r="K160" s="308">
        <v>11</v>
      </c>
      <c r="L160" s="126">
        <v>12</v>
      </c>
      <c r="M160" s="308"/>
      <c r="N160" s="308"/>
      <c r="O160" s="308"/>
      <c r="P160" s="308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8" hidden="1" customHeight="1" x14ac:dyDescent="0.35">
      <c r="A161" s="124" t="s">
        <v>16</v>
      </c>
      <c r="B161" s="308">
        <v>0</v>
      </c>
      <c r="C161" s="308">
        <v>0</v>
      </c>
      <c r="D161" s="308">
        <v>0</v>
      </c>
      <c r="E161" s="308">
        <v>0</v>
      </c>
      <c r="F161" s="308">
        <v>0</v>
      </c>
      <c r="G161" s="308">
        <v>0</v>
      </c>
      <c r="H161" s="308">
        <v>0</v>
      </c>
      <c r="I161" s="308">
        <v>0</v>
      </c>
      <c r="J161" s="308">
        <v>0</v>
      </c>
      <c r="K161" s="308">
        <v>0</v>
      </c>
      <c r="L161" s="126">
        <v>0</v>
      </c>
      <c r="M161" s="308"/>
      <c r="N161" s="308"/>
      <c r="O161" s="308"/>
      <c r="P161" s="308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8" hidden="1" customHeight="1" x14ac:dyDescent="0.35">
      <c r="A162" s="124" t="s">
        <v>32</v>
      </c>
      <c r="B162" s="308">
        <f t="shared" ref="B162:B166" si="41">10.2+IF($F$21="Oui",0.2)</f>
        <v>10.199999999999999</v>
      </c>
      <c r="C162" s="308">
        <f t="shared" ref="C162:C164" si="42">11+4+IF($F$21="Oui",0.2)</f>
        <v>15</v>
      </c>
      <c r="D162" s="308">
        <f t="shared" ref="D162:D166" si="43">10.2+IF($F$21="Oui",0.2)</f>
        <v>10.199999999999999</v>
      </c>
      <c r="E162" s="308">
        <f>11+IF($F$21="Oui",0.2)</f>
        <v>11</v>
      </c>
      <c r="F162" s="308">
        <v>0.2</v>
      </c>
      <c r="G162" s="308">
        <f>2</f>
        <v>2</v>
      </c>
      <c r="H162" s="308" t="s">
        <v>27</v>
      </c>
      <c r="I162" s="308" t="s">
        <v>27</v>
      </c>
      <c r="J162" s="308">
        <v>-0.5</v>
      </c>
      <c r="K162" s="308">
        <v>2</v>
      </c>
      <c r="L162" s="126">
        <v>1</v>
      </c>
      <c r="M162" s="308"/>
      <c r="N162" s="308"/>
      <c r="O162" s="308"/>
      <c r="P162" s="308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8" hidden="1" customHeight="1" x14ac:dyDescent="0.35">
      <c r="A163" s="124" t="s">
        <v>129</v>
      </c>
      <c r="B163" s="308">
        <f t="shared" si="41"/>
        <v>10.199999999999999</v>
      </c>
      <c r="C163" s="308">
        <f t="shared" si="42"/>
        <v>15</v>
      </c>
      <c r="D163" s="308">
        <f t="shared" si="43"/>
        <v>10.199999999999999</v>
      </c>
      <c r="E163" s="308">
        <f>5.2+IF($F$21="Oui",0.1)</f>
        <v>5.2</v>
      </c>
      <c r="F163" s="308">
        <v>0.2</v>
      </c>
      <c r="G163" s="308">
        <v>2</v>
      </c>
      <c r="H163" s="308" t="s">
        <v>27</v>
      </c>
      <c r="I163" s="308" t="s">
        <v>27</v>
      </c>
      <c r="J163" s="308">
        <v>9.5</v>
      </c>
      <c r="K163" s="308">
        <v>2</v>
      </c>
      <c r="L163" s="126">
        <v>1</v>
      </c>
      <c r="M163" s="308"/>
      <c r="N163" s="308"/>
      <c r="O163" s="308"/>
      <c r="P163" s="308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8" hidden="1" customHeight="1" x14ac:dyDescent="0.35">
      <c r="A164" s="124" t="s">
        <v>130</v>
      </c>
      <c r="B164" s="308">
        <f t="shared" si="41"/>
        <v>10.199999999999999</v>
      </c>
      <c r="C164" s="308">
        <f t="shared" si="42"/>
        <v>15</v>
      </c>
      <c r="D164" s="308">
        <f t="shared" si="43"/>
        <v>10.199999999999999</v>
      </c>
      <c r="E164" s="308">
        <f>6+IF($F$21="Oui",0.1)</f>
        <v>6</v>
      </c>
      <c r="F164" s="308">
        <v>10.199999999999999</v>
      </c>
      <c r="G164" s="308">
        <v>2</v>
      </c>
      <c r="H164" s="308" t="s">
        <v>37</v>
      </c>
      <c r="I164" s="308" t="s">
        <v>27</v>
      </c>
      <c r="J164" s="308">
        <v>-0.5</v>
      </c>
      <c r="K164" s="308">
        <v>2</v>
      </c>
      <c r="L164" s="126">
        <v>1</v>
      </c>
      <c r="M164" s="308"/>
      <c r="N164" s="308"/>
      <c r="O164" s="308"/>
      <c r="P164" s="308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8" hidden="1" customHeight="1" x14ac:dyDescent="0.35">
      <c r="A165" s="124" t="s">
        <v>131</v>
      </c>
      <c r="B165" s="308">
        <f t="shared" si="41"/>
        <v>10.199999999999999</v>
      </c>
      <c r="C165" s="308">
        <f>11+2+IF($F$21="Oui",0.2)</f>
        <v>13</v>
      </c>
      <c r="D165" s="308">
        <f t="shared" si="43"/>
        <v>10.199999999999999</v>
      </c>
      <c r="E165" s="308">
        <f t="shared" ref="E165:E166" si="44">11+IF($F$21="Oui",0.2)</f>
        <v>11</v>
      </c>
      <c r="F165" s="308">
        <v>0.2</v>
      </c>
      <c r="G165" s="308">
        <v>2</v>
      </c>
      <c r="H165" s="308" t="s">
        <v>27</v>
      </c>
      <c r="I165" s="308" t="s">
        <v>27</v>
      </c>
      <c r="J165" s="308">
        <v>-0.5</v>
      </c>
      <c r="K165" s="128">
        <v>1</v>
      </c>
      <c r="L165" s="126">
        <v>1</v>
      </c>
      <c r="M165" s="308"/>
      <c r="N165" s="308"/>
      <c r="O165" s="308"/>
      <c r="P165" s="308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8" hidden="1" customHeight="1" x14ac:dyDescent="0.35">
      <c r="A166" s="127" t="s">
        <v>132</v>
      </c>
      <c r="B166" s="128">
        <f t="shared" si="41"/>
        <v>10.199999999999999</v>
      </c>
      <c r="C166" s="128">
        <f>11+IF($F$21="Oui",0.2)</f>
        <v>11</v>
      </c>
      <c r="D166" s="128">
        <f t="shared" si="43"/>
        <v>10.199999999999999</v>
      </c>
      <c r="E166" s="128">
        <f t="shared" si="44"/>
        <v>11</v>
      </c>
      <c r="F166" s="128">
        <v>0.2</v>
      </c>
      <c r="G166" s="128">
        <v>1</v>
      </c>
      <c r="H166" s="128" t="s">
        <v>27</v>
      </c>
      <c r="I166" s="128" t="s">
        <v>27</v>
      </c>
      <c r="J166" s="128">
        <v>-0.5</v>
      </c>
      <c r="K166" s="128">
        <v>1</v>
      </c>
      <c r="L166" s="129">
        <v>1</v>
      </c>
      <c r="M166" s="308"/>
      <c r="N166" s="308"/>
      <c r="O166" s="308"/>
      <c r="P166" s="308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8" hidden="1" customHeight="1" x14ac:dyDescent="0.3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8" hidden="1" customHeight="1" x14ac:dyDescent="0.35">
      <c r="A168" s="345" t="s">
        <v>135</v>
      </c>
      <c r="B168" s="346">
        <v>10</v>
      </c>
      <c r="C168" s="308"/>
      <c r="D168" s="308"/>
      <c r="E168" s="308"/>
      <c r="F168" s="308"/>
      <c r="G168" s="308"/>
      <c r="H168" s="308"/>
      <c r="I168" s="308"/>
      <c r="J168" s="308"/>
      <c r="K168" s="308"/>
      <c r="L168" s="308"/>
      <c r="M168" s="308"/>
      <c r="N168" s="308"/>
      <c r="O168" s="308"/>
      <c r="P168" s="308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8" hidden="1" customHeight="1" x14ac:dyDescent="0.35">
      <c r="A169" s="347" t="s">
        <v>136</v>
      </c>
      <c r="B169" s="348">
        <v>10</v>
      </c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8" hidden="1" customHeight="1" x14ac:dyDescent="0.35">
      <c r="A170" s="349" t="s">
        <v>212</v>
      </c>
      <c r="B170" s="350">
        <v>3</v>
      </c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8" hidden="1" customHeight="1" x14ac:dyDescent="0.3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8" customHeight="1" x14ac:dyDescent="0.3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8" customHeight="1" x14ac:dyDescent="0.3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8" customHeight="1" x14ac:dyDescent="0.3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8" customHeight="1" x14ac:dyDescent="0.3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8" customHeight="1" x14ac:dyDescent="0.3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8" customHeight="1" x14ac:dyDescent="0.3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8" customHeight="1" x14ac:dyDescent="0.3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8" customHeight="1" x14ac:dyDescent="0.3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8" customHeight="1" x14ac:dyDescent="0.3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8" customHeight="1" x14ac:dyDescent="0.3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8" customHeight="1" x14ac:dyDescent="0.3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8" customHeight="1" x14ac:dyDescent="0.3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8" customHeight="1" x14ac:dyDescent="0.3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8" customHeight="1" x14ac:dyDescent="0.3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8" customHeight="1" x14ac:dyDescent="0.3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8" customHeight="1" x14ac:dyDescent="0.3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8" customHeight="1" x14ac:dyDescent="0.3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8" customHeight="1" x14ac:dyDescent="0.3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8" customHeight="1" x14ac:dyDescent="0.3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8" customHeight="1" x14ac:dyDescent="0.3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8" customHeight="1" x14ac:dyDescent="0.3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8" customHeight="1" x14ac:dyDescent="0.3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8" customHeight="1" x14ac:dyDescent="0.3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8" customHeight="1" x14ac:dyDescent="0.3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8" customHeight="1" x14ac:dyDescent="0.3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8" customHeight="1" x14ac:dyDescent="0.3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8" customHeight="1" x14ac:dyDescent="0.3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8" customHeight="1" x14ac:dyDescent="0.3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8" customHeight="1" x14ac:dyDescent="0.3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8" customHeight="1" x14ac:dyDescent="0.3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8" customHeight="1" x14ac:dyDescent="0.3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8" customHeight="1" x14ac:dyDescent="0.3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8" customHeight="1" x14ac:dyDescent="0.3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8" customHeight="1" x14ac:dyDescent="0.3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8" customHeight="1" x14ac:dyDescent="0.3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8" customHeight="1" x14ac:dyDescent="0.3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8" customHeight="1" x14ac:dyDescent="0.3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8" customHeight="1" x14ac:dyDescent="0.3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8" customHeight="1" x14ac:dyDescent="0.3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8" customHeight="1" x14ac:dyDescent="0.3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8" customHeight="1" x14ac:dyDescent="0.3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8" customHeight="1" x14ac:dyDescent="0.3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8" customHeight="1" x14ac:dyDescent="0.3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8" customHeight="1" x14ac:dyDescent="0.3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8" customHeight="1" x14ac:dyDescent="0.3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8" customHeight="1" x14ac:dyDescent="0.3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8" customHeight="1" x14ac:dyDescent="0.3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8" customHeight="1" x14ac:dyDescent="0.3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8" customHeight="1" x14ac:dyDescent="0.3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8" customHeight="1" x14ac:dyDescent="0.3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8" customHeight="1" x14ac:dyDescent="0.3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8" customHeight="1" x14ac:dyDescent="0.3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8" customHeight="1" x14ac:dyDescent="0.3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8" customHeight="1" x14ac:dyDescent="0.3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8" customHeight="1" x14ac:dyDescent="0.3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8" customHeight="1" x14ac:dyDescent="0.3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8" customHeight="1" x14ac:dyDescent="0.3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8" customHeight="1" x14ac:dyDescent="0.3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8" customHeight="1" x14ac:dyDescent="0.3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8" customHeight="1" x14ac:dyDescent="0.3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8" customHeight="1" x14ac:dyDescent="0.3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8" customHeight="1" x14ac:dyDescent="0.3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8" customHeight="1" x14ac:dyDescent="0.3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8" customHeight="1" x14ac:dyDescent="0.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8" customHeight="1" x14ac:dyDescent="0.3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8" customHeight="1" x14ac:dyDescent="0.3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8" customHeight="1" x14ac:dyDescent="0.3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8" customHeight="1" x14ac:dyDescent="0.3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8" customHeight="1" x14ac:dyDescent="0.3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8" customHeight="1" x14ac:dyDescent="0.3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8" customHeight="1" x14ac:dyDescent="0.3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8" customHeight="1" x14ac:dyDescent="0.3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8" customHeight="1" x14ac:dyDescent="0.3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8" customHeight="1" x14ac:dyDescent="0.3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8" customHeight="1" x14ac:dyDescent="0.3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8" customHeight="1" x14ac:dyDescent="0.3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8" customHeight="1" x14ac:dyDescent="0.3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8" customHeight="1" x14ac:dyDescent="0.3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8" customHeight="1" x14ac:dyDescent="0.3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8" customHeight="1" x14ac:dyDescent="0.3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8" customHeight="1" x14ac:dyDescent="0.3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8" customHeight="1" x14ac:dyDescent="0.3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8" customHeight="1" x14ac:dyDescent="0.3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8" customHeight="1" x14ac:dyDescent="0.3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8" customHeight="1" x14ac:dyDescent="0.3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8" customHeight="1" x14ac:dyDescent="0.3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8" customHeight="1" x14ac:dyDescent="0.3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8" customHeight="1" x14ac:dyDescent="0.3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8" customHeight="1" x14ac:dyDescent="0.3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8" customHeight="1" x14ac:dyDescent="0.3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8" customHeight="1" x14ac:dyDescent="0.3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8" customHeight="1" x14ac:dyDescent="0.3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8" customHeight="1" x14ac:dyDescent="0.3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8" customHeight="1" x14ac:dyDescent="0.3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8" customHeight="1" x14ac:dyDescent="0.3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8" customHeight="1" x14ac:dyDescent="0.3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8" customHeight="1" x14ac:dyDescent="0.3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8" customHeight="1" x14ac:dyDescent="0.3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8" customHeight="1" x14ac:dyDescent="0.3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8" customHeight="1" x14ac:dyDescent="0.3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8" customHeight="1" x14ac:dyDescent="0.3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8" customHeight="1" x14ac:dyDescent="0.3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8" customHeight="1" x14ac:dyDescent="0.3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8" customHeight="1" x14ac:dyDescent="0.3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8" customHeight="1" x14ac:dyDescent="0.3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8" customHeight="1" x14ac:dyDescent="0.3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8" customHeight="1" x14ac:dyDescent="0.3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8" customHeight="1" x14ac:dyDescent="0.3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8" customHeight="1" x14ac:dyDescent="0.3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8" customHeight="1" x14ac:dyDescent="0.3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8" customHeight="1" x14ac:dyDescent="0.3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8" customHeight="1" x14ac:dyDescent="0.3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8" customHeight="1" x14ac:dyDescent="0.3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8" customHeight="1" x14ac:dyDescent="0.3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8" customHeight="1" x14ac:dyDescent="0.3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8" customHeight="1" x14ac:dyDescent="0.3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8" customHeight="1" x14ac:dyDescent="0.3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8" customHeight="1" x14ac:dyDescent="0.3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8" customHeight="1" x14ac:dyDescent="0.3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8" customHeight="1" x14ac:dyDescent="0.3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8" customHeight="1" x14ac:dyDescent="0.3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8" customHeight="1" x14ac:dyDescent="0.3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8" customHeight="1" x14ac:dyDescent="0.3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8" customHeight="1" x14ac:dyDescent="0.3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8" customHeight="1" x14ac:dyDescent="0.3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8" customHeight="1" x14ac:dyDescent="0.3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8" customHeight="1" x14ac:dyDescent="0.3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8" customHeight="1" x14ac:dyDescent="0.3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8" customHeight="1" x14ac:dyDescent="0.3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8" customHeight="1" x14ac:dyDescent="0.3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8" customHeight="1" x14ac:dyDescent="0.3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8" customHeight="1" x14ac:dyDescent="0.3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8" customHeight="1" x14ac:dyDescent="0.3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8" customHeight="1" x14ac:dyDescent="0.3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8" customHeight="1" x14ac:dyDescent="0.3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8" customHeight="1" x14ac:dyDescent="0.3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8" customHeight="1" x14ac:dyDescent="0.3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8" customHeight="1" x14ac:dyDescent="0.3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8" customHeight="1" x14ac:dyDescent="0.3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8" customHeight="1" x14ac:dyDescent="0.3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8" customHeight="1" x14ac:dyDescent="0.3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8" customHeight="1" x14ac:dyDescent="0.3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8" customHeight="1" x14ac:dyDescent="0.3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8" customHeight="1" x14ac:dyDescent="0.3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8" customHeight="1" x14ac:dyDescent="0.3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8" customHeight="1" x14ac:dyDescent="0.3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8" customHeight="1" x14ac:dyDescent="0.3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8" customHeight="1" x14ac:dyDescent="0.3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8" customHeight="1" x14ac:dyDescent="0.3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8" customHeight="1" x14ac:dyDescent="0.3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8" customHeight="1" x14ac:dyDescent="0.3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8" customHeight="1" x14ac:dyDescent="0.3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8" customHeight="1" x14ac:dyDescent="0.3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8" customHeight="1" x14ac:dyDescent="0.3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8" customHeight="1" x14ac:dyDescent="0.3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8" customHeight="1" x14ac:dyDescent="0.3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8" customHeight="1" x14ac:dyDescent="0.3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8" customHeight="1" x14ac:dyDescent="0.3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8" customHeight="1" x14ac:dyDescent="0.3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8" customHeight="1" x14ac:dyDescent="0.3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8" customHeight="1" x14ac:dyDescent="0.3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8" customHeight="1" x14ac:dyDescent="0.3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8" customHeight="1" x14ac:dyDescent="0.3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8" customHeight="1" x14ac:dyDescent="0.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8" customHeight="1" x14ac:dyDescent="0.3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8" customHeight="1" x14ac:dyDescent="0.3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8" customHeight="1" x14ac:dyDescent="0.3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8" customHeight="1" x14ac:dyDescent="0.3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8" customHeight="1" x14ac:dyDescent="0.3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8" customHeight="1" x14ac:dyDescent="0.3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8" customHeight="1" x14ac:dyDescent="0.3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8" customHeight="1" x14ac:dyDescent="0.3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8" customHeight="1" x14ac:dyDescent="0.3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8" customHeight="1" x14ac:dyDescent="0.3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8" customHeight="1" x14ac:dyDescent="0.3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8" customHeight="1" x14ac:dyDescent="0.3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8" customHeight="1" x14ac:dyDescent="0.3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8" customHeight="1" x14ac:dyDescent="0.3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8" customHeight="1" x14ac:dyDescent="0.3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8" customHeight="1" x14ac:dyDescent="0.3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8" customHeight="1" x14ac:dyDescent="0.3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8" customHeight="1" x14ac:dyDescent="0.3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8" customHeight="1" x14ac:dyDescent="0.3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8" customHeight="1" x14ac:dyDescent="0.3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8" customHeight="1" x14ac:dyDescent="0.3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8" customHeight="1" x14ac:dyDescent="0.3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8" customHeight="1" x14ac:dyDescent="0.3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8" customHeight="1" x14ac:dyDescent="0.3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8" customHeight="1" x14ac:dyDescent="0.3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8" customHeight="1" x14ac:dyDescent="0.3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8" customHeight="1" x14ac:dyDescent="0.3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8" customHeight="1" x14ac:dyDescent="0.3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8" customHeight="1" x14ac:dyDescent="0.3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8" customHeight="1" x14ac:dyDescent="0.3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8" customHeight="1" x14ac:dyDescent="0.3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8" customHeight="1" x14ac:dyDescent="0.3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8" customHeight="1" x14ac:dyDescent="0.3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8" customHeight="1" x14ac:dyDescent="0.3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8" customHeight="1" x14ac:dyDescent="0.3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8" customHeight="1" x14ac:dyDescent="0.3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8" customHeight="1" x14ac:dyDescent="0.3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8" customHeight="1" x14ac:dyDescent="0.3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8" customHeight="1" x14ac:dyDescent="0.3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8" customHeight="1" x14ac:dyDescent="0.3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8" customHeight="1" x14ac:dyDescent="0.3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8" customHeight="1" x14ac:dyDescent="0.3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8" customHeight="1" x14ac:dyDescent="0.3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8" customHeight="1" x14ac:dyDescent="0.3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8" customHeight="1" x14ac:dyDescent="0.3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8" customHeight="1" x14ac:dyDescent="0.3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8" customHeight="1" x14ac:dyDescent="0.3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8" customHeight="1" x14ac:dyDescent="0.3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8" customHeight="1" x14ac:dyDescent="0.3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8" customHeight="1" x14ac:dyDescent="0.3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8" customHeight="1" x14ac:dyDescent="0.3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8" customHeight="1" x14ac:dyDescent="0.3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8" customHeight="1" x14ac:dyDescent="0.3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8" customHeight="1" x14ac:dyDescent="0.3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8" customHeight="1" x14ac:dyDescent="0.3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8" customHeight="1" x14ac:dyDescent="0.3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8" customHeight="1" x14ac:dyDescent="0.3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8" customHeight="1" x14ac:dyDescent="0.3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8" customHeight="1" x14ac:dyDescent="0.3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8" customHeight="1" x14ac:dyDescent="0.3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8" customHeight="1" x14ac:dyDescent="0.3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8" customHeight="1" x14ac:dyDescent="0.3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8" customHeight="1" x14ac:dyDescent="0.3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8" customHeight="1" x14ac:dyDescent="0.3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8" customHeight="1" x14ac:dyDescent="0.3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8" customHeight="1" x14ac:dyDescent="0.3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8" customHeight="1" x14ac:dyDescent="0.3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8" customHeight="1" x14ac:dyDescent="0.3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8" customHeight="1" x14ac:dyDescent="0.3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8" customHeight="1" x14ac:dyDescent="0.3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8" customHeight="1" x14ac:dyDescent="0.3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8" customHeight="1" x14ac:dyDescent="0.3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8" customHeight="1" x14ac:dyDescent="0.3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8" customHeight="1" x14ac:dyDescent="0.3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8" customHeight="1" x14ac:dyDescent="0.3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8" customHeight="1" x14ac:dyDescent="0.3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8" customHeight="1" x14ac:dyDescent="0.3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8" customHeight="1" x14ac:dyDescent="0.3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8" customHeight="1" x14ac:dyDescent="0.3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8" customHeight="1" x14ac:dyDescent="0.3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8" customHeight="1" x14ac:dyDescent="0.3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8" customHeight="1" x14ac:dyDescent="0.3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8" customHeight="1" x14ac:dyDescent="0.3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8" customHeight="1" x14ac:dyDescent="0.3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8" customHeight="1" x14ac:dyDescent="0.3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8" customHeight="1" x14ac:dyDescent="0.3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8" customHeight="1" x14ac:dyDescent="0.3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8" customHeight="1" x14ac:dyDescent="0.3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8" customHeight="1" x14ac:dyDescent="0.3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8" customHeight="1" x14ac:dyDescent="0.3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8" customHeight="1" x14ac:dyDescent="0.3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8" customHeight="1" x14ac:dyDescent="0.3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8" customHeight="1" x14ac:dyDescent="0.3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8" customHeight="1" x14ac:dyDescent="0.3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8" customHeight="1" x14ac:dyDescent="0.3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8" customHeight="1" x14ac:dyDescent="0.3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8" customHeight="1" x14ac:dyDescent="0.3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8" customHeight="1" x14ac:dyDescent="0.3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8" customHeight="1" x14ac:dyDescent="0.3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8" customHeight="1" x14ac:dyDescent="0.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8" customHeight="1" x14ac:dyDescent="0.3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8" customHeight="1" x14ac:dyDescent="0.3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8" customHeight="1" x14ac:dyDescent="0.3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8" customHeight="1" x14ac:dyDescent="0.3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8" customHeight="1" x14ac:dyDescent="0.3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8" customHeight="1" x14ac:dyDescent="0.3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8" customHeight="1" x14ac:dyDescent="0.3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8" customHeight="1" x14ac:dyDescent="0.3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8" customHeight="1" x14ac:dyDescent="0.3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8" customHeight="1" x14ac:dyDescent="0.3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8" customHeight="1" x14ac:dyDescent="0.3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8" customHeight="1" x14ac:dyDescent="0.3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8" customHeight="1" x14ac:dyDescent="0.3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8" customHeight="1" x14ac:dyDescent="0.3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8" customHeight="1" x14ac:dyDescent="0.3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8" customHeight="1" x14ac:dyDescent="0.3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8" customHeight="1" x14ac:dyDescent="0.3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8" customHeight="1" x14ac:dyDescent="0.3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8" customHeight="1" x14ac:dyDescent="0.3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8" customHeight="1" x14ac:dyDescent="0.3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8" customHeight="1" x14ac:dyDescent="0.3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8" customHeight="1" x14ac:dyDescent="0.3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8" customHeight="1" x14ac:dyDescent="0.3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8" customHeight="1" x14ac:dyDescent="0.3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8" customHeight="1" x14ac:dyDescent="0.3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8" customHeight="1" x14ac:dyDescent="0.3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8" customHeight="1" x14ac:dyDescent="0.3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8" customHeight="1" x14ac:dyDescent="0.3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8" customHeight="1" x14ac:dyDescent="0.3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8" customHeight="1" x14ac:dyDescent="0.3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8" customHeight="1" x14ac:dyDescent="0.3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8" customHeight="1" x14ac:dyDescent="0.3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8" customHeight="1" x14ac:dyDescent="0.3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8" customHeight="1" x14ac:dyDescent="0.3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8" customHeight="1" x14ac:dyDescent="0.3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8" customHeight="1" x14ac:dyDescent="0.3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8" customHeight="1" x14ac:dyDescent="0.3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8" customHeight="1" x14ac:dyDescent="0.3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8" customHeight="1" x14ac:dyDescent="0.3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8" customHeight="1" x14ac:dyDescent="0.3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8" customHeight="1" x14ac:dyDescent="0.3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8" customHeight="1" x14ac:dyDescent="0.3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8" customHeight="1" x14ac:dyDescent="0.3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8" customHeight="1" x14ac:dyDescent="0.3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8" customHeight="1" x14ac:dyDescent="0.3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8" customHeight="1" x14ac:dyDescent="0.3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8" customHeight="1" x14ac:dyDescent="0.3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8" customHeight="1" x14ac:dyDescent="0.3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8" customHeight="1" x14ac:dyDescent="0.3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8" customHeight="1" x14ac:dyDescent="0.3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8" customHeight="1" x14ac:dyDescent="0.3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8" customHeight="1" x14ac:dyDescent="0.3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8" customHeight="1" x14ac:dyDescent="0.3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8" customHeight="1" x14ac:dyDescent="0.3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8" customHeight="1" x14ac:dyDescent="0.3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8" customHeight="1" x14ac:dyDescent="0.3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8" customHeight="1" x14ac:dyDescent="0.3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8" customHeight="1" x14ac:dyDescent="0.3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8" customHeight="1" x14ac:dyDescent="0.3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8" customHeight="1" x14ac:dyDescent="0.3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8" customHeight="1" x14ac:dyDescent="0.3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8" customHeight="1" x14ac:dyDescent="0.3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8" customHeight="1" x14ac:dyDescent="0.3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8" customHeight="1" x14ac:dyDescent="0.3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8" customHeight="1" x14ac:dyDescent="0.3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8" customHeight="1" x14ac:dyDescent="0.3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8" customHeight="1" x14ac:dyDescent="0.3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8" customHeight="1" x14ac:dyDescent="0.3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8" customHeight="1" x14ac:dyDescent="0.3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8" customHeight="1" x14ac:dyDescent="0.3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8" customHeight="1" x14ac:dyDescent="0.3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8" customHeight="1" x14ac:dyDescent="0.3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8" customHeight="1" x14ac:dyDescent="0.3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8" customHeight="1" x14ac:dyDescent="0.3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8" customHeight="1" x14ac:dyDescent="0.3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8" customHeight="1" x14ac:dyDescent="0.3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8" customHeight="1" x14ac:dyDescent="0.3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8" customHeight="1" x14ac:dyDescent="0.3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8" customHeight="1" x14ac:dyDescent="0.3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8" customHeight="1" x14ac:dyDescent="0.3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8" customHeight="1" x14ac:dyDescent="0.3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8" customHeight="1" x14ac:dyDescent="0.3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8" customHeight="1" x14ac:dyDescent="0.3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8" customHeight="1" x14ac:dyDescent="0.3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8" customHeight="1" x14ac:dyDescent="0.3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8" customHeight="1" x14ac:dyDescent="0.3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8" customHeight="1" x14ac:dyDescent="0.3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8" customHeight="1" x14ac:dyDescent="0.3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8" customHeight="1" x14ac:dyDescent="0.3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8" customHeight="1" x14ac:dyDescent="0.3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8" customHeight="1" x14ac:dyDescent="0.3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8" customHeight="1" x14ac:dyDescent="0.3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8" customHeight="1" x14ac:dyDescent="0.3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8" customHeight="1" x14ac:dyDescent="0.3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8" customHeight="1" x14ac:dyDescent="0.3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8" customHeight="1" x14ac:dyDescent="0.3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8" customHeight="1" x14ac:dyDescent="0.3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8" customHeight="1" x14ac:dyDescent="0.3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8" customHeight="1" x14ac:dyDescent="0.3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8" customHeight="1" x14ac:dyDescent="0.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8" customHeight="1" x14ac:dyDescent="0.3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8" customHeight="1" x14ac:dyDescent="0.3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8" customHeight="1" x14ac:dyDescent="0.3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8" customHeight="1" x14ac:dyDescent="0.3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8" customHeight="1" x14ac:dyDescent="0.3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8" customHeight="1" x14ac:dyDescent="0.3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8" customHeight="1" x14ac:dyDescent="0.3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8" customHeight="1" x14ac:dyDescent="0.3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8" customHeight="1" x14ac:dyDescent="0.3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8" customHeight="1" x14ac:dyDescent="0.3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8" customHeight="1" x14ac:dyDescent="0.3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8" customHeight="1" x14ac:dyDescent="0.3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8" customHeight="1" x14ac:dyDescent="0.3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8" customHeight="1" x14ac:dyDescent="0.3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8" customHeight="1" x14ac:dyDescent="0.3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8" customHeight="1" x14ac:dyDescent="0.3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8" customHeight="1" x14ac:dyDescent="0.3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8" customHeight="1" x14ac:dyDescent="0.3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8" customHeight="1" x14ac:dyDescent="0.3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8" customHeight="1" x14ac:dyDescent="0.3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8" customHeight="1" x14ac:dyDescent="0.3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8" customHeight="1" x14ac:dyDescent="0.3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8" customHeight="1" x14ac:dyDescent="0.3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8" customHeight="1" x14ac:dyDescent="0.3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8" customHeight="1" x14ac:dyDescent="0.3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8" customHeight="1" x14ac:dyDescent="0.3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8" customHeight="1" x14ac:dyDescent="0.3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8" customHeight="1" x14ac:dyDescent="0.3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8" customHeight="1" x14ac:dyDescent="0.3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8" customHeight="1" x14ac:dyDescent="0.3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8" customHeight="1" x14ac:dyDescent="0.3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8" customHeight="1" x14ac:dyDescent="0.3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8" customHeight="1" x14ac:dyDescent="0.3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8" customHeight="1" x14ac:dyDescent="0.3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8" customHeight="1" x14ac:dyDescent="0.3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8" customHeight="1" x14ac:dyDescent="0.3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8" customHeight="1" x14ac:dyDescent="0.3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8" customHeight="1" x14ac:dyDescent="0.3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8" customHeight="1" x14ac:dyDescent="0.3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8" customHeight="1" x14ac:dyDescent="0.3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8" customHeight="1" x14ac:dyDescent="0.3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8" customHeight="1" x14ac:dyDescent="0.3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8" customHeight="1" x14ac:dyDescent="0.3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8" customHeight="1" x14ac:dyDescent="0.3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8" customHeight="1" x14ac:dyDescent="0.3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8" customHeight="1" x14ac:dyDescent="0.3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8" customHeight="1" x14ac:dyDescent="0.3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8" customHeight="1" x14ac:dyDescent="0.3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8" customHeight="1" x14ac:dyDescent="0.3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8" customHeight="1" x14ac:dyDescent="0.3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8" customHeight="1" x14ac:dyDescent="0.3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8" customHeight="1" x14ac:dyDescent="0.3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8" customHeight="1" x14ac:dyDescent="0.3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8" customHeight="1" x14ac:dyDescent="0.3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8" customHeight="1" x14ac:dyDescent="0.3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8" customHeight="1" x14ac:dyDescent="0.3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8" customHeight="1" x14ac:dyDescent="0.3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8" customHeight="1" x14ac:dyDescent="0.3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8" customHeight="1" x14ac:dyDescent="0.3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8" customHeight="1" x14ac:dyDescent="0.3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8" customHeight="1" x14ac:dyDescent="0.3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8" customHeight="1" x14ac:dyDescent="0.3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8" customHeight="1" x14ac:dyDescent="0.3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8" customHeight="1" x14ac:dyDescent="0.3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8" customHeight="1" x14ac:dyDescent="0.3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8" customHeight="1" x14ac:dyDescent="0.3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8" customHeight="1" x14ac:dyDescent="0.3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8" customHeight="1" x14ac:dyDescent="0.3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8" customHeight="1" x14ac:dyDescent="0.3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8" customHeight="1" x14ac:dyDescent="0.3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8" customHeight="1" x14ac:dyDescent="0.3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8" customHeight="1" x14ac:dyDescent="0.3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8" customHeight="1" x14ac:dyDescent="0.3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8" customHeight="1" x14ac:dyDescent="0.3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8" customHeight="1" x14ac:dyDescent="0.3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8" customHeight="1" x14ac:dyDescent="0.3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8" customHeight="1" x14ac:dyDescent="0.3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8" customHeight="1" x14ac:dyDescent="0.3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8" customHeight="1" x14ac:dyDescent="0.3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8" customHeight="1" x14ac:dyDescent="0.3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8" customHeight="1" x14ac:dyDescent="0.3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8" customHeight="1" x14ac:dyDescent="0.3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8" customHeight="1" x14ac:dyDescent="0.3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8" customHeight="1" x14ac:dyDescent="0.3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8" customHeight="1" x14ac:dyDescent="0.3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8" customHeight="1" x14ac:dyDescent="0.3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8" customHeight="1" x14ac:dyDescent="0.3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8" customHeight="1" x14ac:dyDescent="0.3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8" customHeight="1" x14ac:dyDescent="0.3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8" customHeight="1" x14ac:dyDescent="0.3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8" customHeight="1" x14ac:dyDescent="0.3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8" customHeight="1" x14ac:dyDescent="0.3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8" customHeight="1" x14ac:dyDescent="0.3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8" customHeight="1" x14ac:dyDescent="0.3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8" customHeight="1" x14ac:dyDescent="0.3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8" customHeight="1" x14ac:dyDescent="0.3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8" customHeight="1" x14ac:dyDescent="0.3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8" customHeight="1" x14ac:dyDescent="0.3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8" customHeight="1" x14ac:dyDescent="0.3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8" customHeight="1" x14ac:dyDescent="0.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8" customHeight="1" x14ac:dyDescent="0.3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8" customHeight="1" x14ac:dyDescent="0.3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8" customHeight="1" x14ac:dyDescent="0.3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8" customHeight="1" x14ac:dyDescent="0.3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8" customHeight="1" x14ac:dyDescent="0.3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8" customHeight="1" x14ac:dyDescent="0.3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8" customHeight="1" x14ac:dyDescent="0.3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8" customHeight="1" x14ac:dyDescent="0.3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8" customHeight="1" x14ac:dyDescent="0.3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8" customHeight="1" x14ac:dyDescent="0.3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8" customHeight="1" x14ac:dyDescent="0.3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8" customHeight="1" x14ac:dyDescent="0.3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8" customHeight="1" x14ac:dyDescent="0.3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8" customHeight="1" x14ac:dyDescent="0.3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8" customHeight="1" x14ac:dyDescent="0.3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8" customHeight="1" x14ac:dyDescent="0.3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8" customHeight="1" x14ac:dyDescent="0.3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8" customHeight="1" x14ac:dyDescent="0.3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8" customHeight="1" x14ac:dyDescent="0.3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8" customHeight="1" x14ac:dyDescent="0.3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8" customHeight="1" x14ac:dyDescent="0.3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8" customHeight="1" x14ac:dyDescent="0.3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8" customHeight="1" x14ac:dyDescent="0.3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8" customHeight="1" x14ac:dyDescent="0.3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8" customHeight="1" x14ac:dyDescent="0.3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8" customHeight="1" x14ac:dyDescent="0.3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8" customHeight="1" x14ac:dyDescent="0.3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8" customHeight="1" x14ac:dyDescent="0.3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8" customHeight="1" x14ac:dyDescent="0.3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8" customHeight="1" x14ac:dyDescent="0.3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8" customHeight="1" x14ac:dyDescent="0.3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8" customHeight="1" x14ac:dyDescent="0.3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8" customHeight="1" x14ac:dyDescent="0.3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8" customHeight="1" x14ac:dyDescent="0.3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8" customHeight="1" x14ac:dyDescent="0.3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8" customHeight="1" x14ac:dyDescent="0.3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8" customHeight="1" x14ac:dyDescent="0.3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8" customHeight="1" x14ac:dyDescent="0.3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8" customHeight="1" x14ac:dyDescent="0.3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8" customHeight="1" x14ac:dyDescent="0.3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8" customHeight="1" x14ac:dyDescent="0.3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8" customHeight="1" x14ac:dyDescent="0.3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8" customHeight="1" x14ac:dyDescent="0.3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8" customHeight="1" x14ac:dyDescent="0.3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8" customHeight="1" x14ac:dyDescent="0.3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8" customHeight="1" x14ac:dyDescent="0.3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8" customHeight="1" x14ac:dyDescent="0.3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8" customHeight="1" x14ac:dyDescent="0.3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8" customHeight="1" x14ac:dyDescent="0.3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8" customHeight="1" x14ac:dyDescent="0.3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8" customHeight="1" x14ac:dyDescent="0.3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8" customHeight="1" x14ac:dyDescent="0.3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8" customHeight="1" x14ac:dyDescent="0.3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8" customHeight="1" x14ac:dyDescent="0.3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8" customHeight="1" x14ac:dyDescent="0.3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8" customHeight="1" x14ac:dyDescent="0.3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8" customHeight="1" x14ac:dyDescent="0.3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8" customHeight="1" x14ac:dyDescent="0.3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8" customHeight="1" x14ac:dyDescent="0.3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8" customHeight="1" x14ac:dyDescent="0.3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8" customHeight="1" x14ac:dyDescent="0.3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8" customHeight="1" x14ac:dyDescent="0.3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8" customHeight="1" x14ac:dyDescent="0.3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8" customHeight="1" x14ac:dyDescent="0.3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8" customHeight="1" x14ac:dyDescent="0.3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8" customHeight="1" x14ac:dyDescent="0.3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8" customHeight="1" x14ac:dyDescent="0.3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8" customHeight="1" x14ac:dyDescent="0.3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8" customHeight="1" x14ac:dyDescent="0.3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8" customHeight="1" x14ac:dyDescent="0.3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8" customHeight="1" x14ac:dyDescent="0.3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8" customHeight="1" x14ac:dyDescent="0.3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8" customHeight="1" x14ac:dyDescent="0.3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8" customHeight="1" x14ac:dyDescent="0.3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8" customHeight="1" x14ac:dyDescent="0.3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8" customHeight="1" x14ac:dyDescent="0.3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8" customHeight="1" x14ac:dyDescent="0.3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8" customHeight="1" x14ac:dyDescent="0.3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8" customHeight="1" x14ac:dyDescent="0.3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8" customHeight="1" x14ac:dyDescent="0.3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8" customHeight="1" x14ac:dyDescent="0.3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8" customHeight="1" x14ac:dyDescent="0.3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8" customHeight="1" x14ac:dyDescent="0.3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8" customHeight="1" x14ac:dyDescent="0.3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8" customHeight="1" x14ac:dyDescent="0.3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8" customHeight="1" x14ac:dyDescent="0.3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8" customHeight="1" x14ac:dyDescent="0.3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8" customHeight="1" x14ac:dyDescent="0.3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8" customHeight="1" x14ac:dyDescent="0.3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8" customHeight="1" x14ac:dyDescent="0.3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8" customHeight="1" x14ac:dyDescent="0.3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8" customHeight="1" x14ac:dyDescent="0.3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8" customHeight="1" x14ac:dyDescent="0.3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8" customHeight="1" x14ac:dyDescent="0.3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8" customHeight="1" x14ac:dyDescent="0.3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8" customHeight="1" x14ac:dyDescent="0.3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8" customHeight="1" x14ac:dyDescent="0.3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8" customHeight="1" x14ac:dyDescent="0.3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8" customHeight="1" x14ac:dyDescent="0.3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8" customHeight="1" x14ac:dyDescent="0.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8" customHeight="1" x14ac:dyDescent="0.3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8" customHeight="1" x14ac:dyDescent="0.3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8" customHeight="1" x14ac:dyDescent="0.3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8" customHeight="1" x14ac:dyDescent="0.3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8" customHeight="1" x14ac:dyDescent="0.3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8" customHeight="1" x14ac:dyDescent="0.3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8" customHeight="1" x14ac:dyDescent="0.3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8" customHeight="1" x14ac:dyDescent="0.3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8" customHeight="1" x14ac:dyDescent="0.3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8" customHeight="1" x14ac:dyDescent="0.3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8" customHeight="1" x14ac:dyDescent="0.3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8" customHeight="1" x14ac:dyDescent="0.3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8" customHeight="1" x14ac:dyDescent="0.3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8" customHeight="1" x14ac:dyDescent="0.3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8" customHeight="1" x14ac:dyDescent="0.3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8" customHeight="1" x14ac:dyDescent="0.3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8" customHeight="1" x14ac:dyDescent="0.3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8" customHeight="1" x14ac:dyDescent="0.3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8" customHeight="1" x14ac:dyDescent="0.3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8" customHeight="1" x14ac:dyDescent="0.3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8" customHeight="1" x14ac:dyDescent="0.3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8" customHeight="1" x14ac:dyDescent="0.3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8" customHeight="1" x14ac:dyDescent="0.3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8" customHeight="1" x14ac:dyDescent="0.3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8" customHeight="1" x14ac:dyDescent="0.3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8" customHeight="1" x14ac:dyDescent="0.3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8" customHeight="1" x14ac:dyDescent="0.3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8" customHeight="1" x14ac:dyDescent="0.3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8" customHeight="1" x14ac:dyDescent="0.3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8" customHeight="1" x14ac:dyDescent="0.3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8" customHeight="1" x14ac:dyDescent="0.3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8" customHeight="1" x14ac:dyDescent="0.3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8" customHeight="1" x14ac:dyDescent="0.3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8" customHeight="1" x14ac:dyDescent="0.3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8" customHeight="1" x14ac:dyDescent="0.3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8" customHeight="1" x14ac:dyDescent="0.3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8" customHeight="1" x14ac:dyDescent="0.3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8" customHeight="1" x14ac:dyDescent="0.3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8" customHeight="1" x14ac:dyDescent="0.3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8" customHeight="1" x14ac:dyDescent="0.3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8" customHeight="1" x14ac:dyDescent="0.3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8" customHeight="1" x14ac:dyDescent="0.3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8" customHeight="1" x14ac:dyDescent="0.3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8" customHeight="1" x14ac:dyDescent="0.3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8" customHeight="1" x14ac:dyDescent="0.3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8" customHeight="1" x14ac:dyDescent="0.3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8" customHeight="1" x14ac:dyDescent="0.3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8" customHeight="1" x14ac:dyDescent="0.3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8" customHeight="1" x14ac:dyDescent="0.3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8" customHeight="1" x14ac:dyDescent="0.3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8" customHeight="1" x14ac:dyDescent="0.3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8" customHeight="1" x14ac:dyDescent="0.3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8" customHeight="1" x14ac:dyDescent="0.3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8" customHeight="1" x14ac:dyDescent="0.3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8" customHeight="1" x14ac:dyDescent="0.3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8" customHeight="1" x14ac:dyDescent="0.3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8" customHeight="1" x14ac:dyDescent="0.3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8" customHeight="1" x14ac:dyDescent="0.3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8" customHeight="1" x14ac:dyDescent="0.3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8" customHeight="1" x14ac:dyDescent="0.3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8" customHeight="1" x14ac:dyDescent="0.3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8" customHeight="1" x14ac:dyDescent="0.3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8" customHeight="1" x14ac:dyDescent="0.3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8" customHeight="1" x14ac:dyDescent="0.3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8" customHeight="1" x14ac:dyDescent="0.3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8" customHeight="1" x14ac:dyDescent="0.3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8" customHeight="1" x14ac:dyDescent="0.3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8" customHeight="1" x14ac:dyDescent="0.3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8" customHeight="1" x14ac:dyDescent="0.3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8" customHeight="1" x14ac:dyDescent="0.3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8" customHeight="1" x14ac:dyDescent="0.3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8" customHeight="1" x14ac:dyDescent="0.3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8" customHeight="1" x14ac:dyDescent="0.3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8" customHeight="1" x14ac:dyDescent="0.3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8" customHeight="1" x14ac:dyDescent="0.3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8" customHeight="1" x14ac:dyDescent="0.3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8" customHeight="1" x14ac:dyDescent="0.3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8" customHeight="1" x14ac:dyDescent="0.3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8" customHeight="1" x14ac:dyDescent="0.3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8" customHeight="1" x14ac:dyDescent="0.3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8" customHeight="1" x14ac:dyDescent="0.3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8" customHeight="1" x14ac:dyDescent="0.3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8" customHeight="1" x14ac:dyDescent="0.3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8" customHeight="1" x14ac:dyDescent="0.3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8" customHeight="1" x14ac:dyDescent="0.3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8" customHeight="1" x14ac:dyDescent="0.3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8" customHeight="1" x14ac:dyDescent="0.3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8" customHeight="1" x14ac:dyDescent="0.3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8" customHeight="1" x14ac:dyDescent="0.3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8" customHeight="1" x14ac:dyDescent="0.3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8" customHeight="1" x14ac:dyDescent="0.3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8" customHeight="1" x14ac:dyDescent="0.3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8" customHeight="1" x14ac:dyDescent="0.3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8" customHeight="1" x14ac:dyDescent="0.3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8" customHeight="1" x14ac:dyDescent="0.3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8" customHeight="1" x14ac:dyDescent="0.3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8" customHeight="1" x14ac:dyDescent="0.3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8" customHeight="1" x14ac:dyDescent="0.3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8" customHeight="1" x14ac:dyDescent="0.3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8" customHeight="1" x14ac:dyDescent="0.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8" customHeight="1" x14ac:dyDescent="0.3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8" customHeight="1" x14ac:dyDescent="0.3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8" customHeight="1" x14ac:dyDescent="0.3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8" customHeight="1" x14ac:dyDescent="0.3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8" customHeight="1" x14ac:dyDescent="0.3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8" customHeight="1" x14ac:dyDescent="0.3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8" customHeight="1" x14ac:dyDescent="0.3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8" customHeight="1" x14ac:dyDescent="0.3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8" customHeight="1" x14ac:dyDescent="0.3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8" customHeight="1" x14ac:dyDescent="0.3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8" customHeight="1" x14ac:dyDescent="0.3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8" customHeight="1" x14ac:dyDescent="0.3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8" customHeight="1" x14ac:dyDescent="0.3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8" customHeight="1" x14ac:dyDescent="0.3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8" customHeight="1" x14ac:dyDescent="0.3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8" customHeight="1" x14ac:dyDescent="0.3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8" customHeight="1" x14ac:dyDescent="0.3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8" customHeight="1" x14ac:dyDescent="0.3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8" customHeight="1" x14ac:dyDescent="0.3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8" customHeight="1" x14ac:dyDescent="0.3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8" customHeight="1" x14ac:dyDescent="0.3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8" customHeight="1" x14ac:dyDescent="0.3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8" customHeight="1" x14ac:dyDescent="0.3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8" customHeight="1" x14ac:dyDescent="0.3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8" customHeight="1" x14ac:dyDescent="0.3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8" customHeight="1" x14ac:dyDescent="0.3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8" customHeight="1" x14ac:dyDescent="0.3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8" customHeight="1" x14ac:dyDescent="0.3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8" customHeight="1" x14ac:dyDescent="0.3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8" customHeight="1" x14ac:dyDescent="0.3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8" customHeight="1" x14ac:dyDescent="0.3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8" customHeight="1" x14ac:dyDescent="0.3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8" customHeight="1" x14ac:dyDescent="0.3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8" customHeight="1" x14ac:dyDescent="0.3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8" customHeight="1" x14ac:dyDescent="0.3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8" customHeight="1" x14ac:dyDescent="0.3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8" customHeight="1" x14ac:dyDescent="0.3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8" customHeight="1" x14ac:dyDescent="0.3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8" customHeight="1" x14ac:dyDescent="0.3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8" customHeight="1" x14ac:dyDescent="0.3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8" customHeight="1" x14ac:dyDescent="0.3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8" customHeight="1" x14ac:dyDescent="0.3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8" customHeight="1" x14ac:dyDescent="0.3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8" customHeight="1" x14ac:dyDescent="0.3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8" customHeight="1" x14ac:dyDescent="0.3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8" customHeight="1" x14ac:dyDescent="0.3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8" customHeight="1" x14ac:dyDescent="0.3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8" customHeight="1" x14ac:dyDescent="0.3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8" customHeight="1" x14ac:dyDescent="0.3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8" customHeight="1" x14ac:dyDescent="0.3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8" customHeight="1" x14ac:dyDescent="0.3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8" customHeight="1" x14ac:dyDescent="0.3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8" customHeight="1" x14ac:dyDescent="0.3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8" customHeight="1" x14ac:dyDescent="0.3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8" customHeight="1" x14ac:dyDescent="0.3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8" customHeight="1" x14ac:dyDescent="0.3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8" customHeight="1" x14ac:dyDescent="0.3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8" customHeight="1" x14ac:dyDescent="0.3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8" customHeight="1" x14ac:dyDescent="0.3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8" customHeight="1" x14ac:dyDescent="0.3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8" customHeight="1" x14ac:dyDescent="0.3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8" customHeight="1" x14ac:dyDescent="0.3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8" customHeight="1" x14ac:dyDescent="0.3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8" customHeight="1" x14ac:dyDescent="0.3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8" customHeight="1" x14ac:dyDescent="0.3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8" customHeight="1" x14ac:dyDescent="0.3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8" customHeight="1" x14ac:dyDescent="0.3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8" customHeight="1" x14ac:dyDescent="0.3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8" customHeight="1" x14ac:dyDescent="0.3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8" customHeight="1" x14ac:dyDescent="0.3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8" customHeight="1" x14ac:dyDescent="0.3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8" customHeight="1" x14ac:dyDescent="0.3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8" customHeight="1" x14ac:dyDescent="0.3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8" customHeight="1" x14ac:dyDescent="0.3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8" customHeight="1" x14ac:dyDescent="0.3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8" customHeight="1" x14ac:dyDescent="0.3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8" customHeight="1" x14ac:dyDescent="0.3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8" customHeight="1" x14ac:dyDescent="0.3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8" customHeight="1" x14ac:dyDescent="0.3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8" customHeight="1" x14ac:dyDescent="0.3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8" customHeight="1" x14ac:dyDescent="0.3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8" customHeight="1" x14ac:dyDescent="0.3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8" customHeight="1" x14ac:dyDescent="0.3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8" customHeight="1" x14ac:dyDescent="0.3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8" customHeight="1" x14ac:dyDescent="0.3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8" customHeight="1" x14ac:dyDescent="0.3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8" customHeight="1" x14ac:dyDescent="0.3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8" customHeight="1" x14ac:dyDescent="0.3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8" customHeight="1" x14ac:dyDescent="0.3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8" customHeight="1" x14ac:dyDescent="0.3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8" customHeight="1" x14ac:dyDescent="0.3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8" customHeight="1" x14ac:dyDescent="0.3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8" customHeight="1" x14ac:dyDescent="0.3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8" customHeight="1" x14ac:dyDescent="0.3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8" customHeight="1" x14ac:dyDescent="0.3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8" customHeight="1" x14ac:dyDescent="0.3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8" customHeight="1" x14ac:dyDescent="0.3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8" customHeight="1" x14ac:dyDescent="0.3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8" customHeight="1" x14ac:dyDescent="0.3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8" customHeight="1" x14ac:dyDescent="0.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8" customHeight="1" x14ac:dyDescent="0.3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8" customHeight="1" x14ac:dyDescent="0.3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8" customHeight="1" x14ac:dyDescent="0.3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8" customHeight="1" x14ac:dyDescent="0.3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8" customHeight="1" x14ac:dyDescent="0.3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8" customHeight="1" x14ac:dyDescent="0.3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8" customHeight="1" x14ac:dyDescent="0.3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8" customHeight="1" x14ac:dyDescent="0.3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8" customHeight="1" x14ac:dyDescent="0.3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8" customHeight="1" x14ac:dyDescent="0.3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8" customHeight="1" x14ac:dyDescent="0.3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8" customHeight="1" x14ac:dyDescent="0.3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8" customHeight="1" x14ac:dyDescent="0.3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8" customHeight="1" x14ac:dyDescent="0.3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8" customHeight="1" x14ac:dyDescent="0.3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8" customHeight="1" x14ac:dyDescent="0.3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8" customHeight="1" x14ac:dyDescent="0.3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8" customHeight="1" x14ac:dyDescent="0.3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8" customHeight="1" x14ac:dyDescent="0.3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8" customHeight="1" x14ac:dyDescent="0.3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8" customHeight="1" x14ac:dyDescent="0.3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8" customHeight="1" x14ac:dyDescent="0.3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8" customHeight="1" x14ac:dyDescent="0.3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8" customHeight="1" x14ac:dyDescent="0.3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8" customHeight="1" x14ac:dyDescent="0.3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8" customHeight="1" x14ac:dyDescent="0.3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8" customHeight="1" x14ac:dyDescent="0.3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8" customHeight="1" x14ac:dyDescent="0.3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8" customHeight="1" x14ac:dyDescent="0.3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8" customHeight="1" x14ac:dyDescent="0.3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8" customHeight="1" x14ac:dyDescent="0.3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8" customHeight="1" x14ac:dyDescent="0.3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8" customHeight="1" x14ac:dyDescent="0.3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8" customHeight="1" x14ac:dyDescent="0.3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8" customHeight="1" x14ac:dyDescent="0.3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8" customHeight="1" x14ac:dyDescent="0.3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8" customHeight="1" x14ac:dyDescent="0.3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8" customHeight="1" x14ac:dyDescent="0.3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8" customHeight="1" x14ac:dyDescent="0.3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8" customHeight="1" x14ac:dyDescent="0.3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8" customHeight="1" x14ac:dyDescent="0.3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8" customHeight="1" x14ac:dyDescent="0.3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8" customHeight="1" x14ac:dyDescent="0.3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8" customHeight="1" x14ac:dyDescent="0.3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8" customHeight="1" x14ac:dyDescent="0.3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8" customHeight="1" x14ac:dyDescent="0.3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8" customHeight="1" x14ac:dyDescent="0.3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8" customHeight="1" x14ac:dyDescent="0.3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8" customHeight="1" x14ac:dyDescent="0.3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8" customHeight="1" x14ac:dyDescent="0.3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8" customHeight="1" x14ac:dyDescent="0.3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8" customHeight="1" x14ac:dyDescent="0.3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8" customHeight="1" x14ac:dyDescent="0.3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8" customHeight="1" x14ac:dyDescent="0.3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8" customHeight="1" x14ac:dyDescent="0.3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8" customHeight="1" x14ac:dyDescent="0.3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8" customHeight="1" x14ac:dyDescent="0.3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8" customHeight="1" x14ac:dyDescent="0.3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8" customHeight="1" x14ac:dyDescent="0.3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8" customHeight="1" x14ac:dyDescent="0.3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8" customHeight="1" x14ac:dyDescent="0.3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8" customHeight="1" x14ac:dyDescent="0.3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8" customHeight="1" x14ac:dyDescent="0.3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8" customHeight="1" x14ac:dyDescent="0.3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8" customHeight="1" x14ac:dyDescent="0.3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9">
    <mergeCell ref="B26:E26"/>
    <mergeCell ref="A1:G2"/>
    <mergeCell ref="A3:A4"/>
    <mergeCell ref="E13:G13"/>
    <mergeCell ref="I13:K18"/>
    <mergeCell ref="E14:G14"/>
    <mergeCell ref="E16:G18"/>
    <mergeCell ref="E25:G25"/>
    <mergeCell ref="B25:C25"/>
  </mergeCells>
  <conditionalFormatting sqref="E3 C19">
    <cfRule type="containsText" dxfId="47" priority="1" operator="containsText" text="Boulons et Platines">
      <formula>NOT(ISERROR(SEARCH(("Boulons et Platines"),(C19))))</formula>
    </cfRule>
  </conditionalFormatting>
  <conditionalFormatting sqref="F19">
    <cfRule type="containsText" dxfId="46" priority="2" operator="containsText" text="Oui">
      <formula>NOT(ISERROR(SEARCH(("Oui"),(F19))))</formula>
    </cfRule>
  </conditionalFormatting>
  <conditionalFormatting sqref="F21:F22">
    <cfRule type="cellIs" dxfId="45" priority="3" operator="equal">
      <formula>"Oui"</formula>
    </cfRule>
  </conditionalFormatting>
  <dataValidations count="8">
    <dataValidation type="list" allowBlank="1" showErrorMessage="1" sqref="B31" xr:uid="{00000000-0002-0000-0500-000000000000}">
      <formula1>$A$161:$A$166</formula1>
    </dataValidation>
    <dataValidation type="list" allowBlank="1" showErrorMessage="1" sqref="C17" xr:uid="{00000000-0002-0000-0500-000001000000}">
      <formula1>$A$132:$A$138</formula1>
    </dataValidation>
    <dataValidation type="list" allowBlank="1" showErrorMessage="1" sqref="F23" xr:uid="{00000000-0002-0000-0500-000002000000}">
      <formula1>$A$150:$A$153</formula1>
    </dataValidation>
    <dataValidation type="list" allowBlank="1" showErrorMessage="1" sqref="B35" xr:uid="{00000000-0002-0000-0500-000003000000}">
      <formula1>$A$155:$A$157</formula1>
    </dataValidation>
    <dataValidation type="list" allowBlank="1" showErrorMessage="1" sqref="C21" xr:uid="{00000000-0002-0000-0500-000005000000}">
      <formula1>$A$146:$A$148</formula1>
    </dataValidation>
    <dataValidation type="list" allowBlank="1" showErrorMessage="1" sqref="F19 F21" xr:uid="{00000000-0002-0000-0500-000006000000}">
      <formula1>$A$143:$A$144</formula1>
    </dataValidation>
    <dataValidation type="list" allowBlank="1" showErrorMessage="1" sqref="C19" xr:uid="{00000000-0002-0000-0500-000008000000}">
      <formula1>$A$140:$A$141</formula1>
    </dataValidation>
    <dataValidation type="list" allowBlank="1" showErrorMessage="1" sqref="C23" xr:uid="{00000000-0002-0000-0500-000009000000}">
      <formula1>$A$168:$A$170</formula1>
    </dataValidation>
  </dataValidations>
  <pageMargins left="0.51181102362204722" right="0.11811023622047245" top="0.55118110236220474" bottom="0.55118110236220474" header="0" footer="0"/>
  <pageSetup paperSize="9" orientation="landscape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ErrorMessage="1" xr:uid="{00000000-0002-0000-0500-000004000000}">
          <x14:formula1>
            <xm:f>'Infos Clients'!$B$2:$B$10</xm:f>
          </x14:formula1>
          <xm:sqref>F10</xm:sqref>
        </x14:dataValidation>
        <x14:dataValidation type="list" allowBlank="1" showErrorMessage="1" xr:uid="{00000000-0002-0000-0500-000007000000}">
          <x14:formula1>
            <xm:f>'Infos Clients'!$A$19:$A$20</xm:f>
          </x14:formula1>
          <xm:sqref>F9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B0F0"/>
  </sheetPr>
  <dimension ref="A1:XFD299"/>
  <sheetViews>
    <sheetView workbookViewId="0"/>
  </sheetViews>
  <sheetFormatPr baseColWidth="10" defaultColWidth="11.44140625" defaultRowHeight="15" customHeight="1" x14ac:dyDescent="0.3"/>
  <cols>
    <col min="1" max="1" width="22.6640625" customWidth="1"/>
    <col min="2" max="2" width="32.44140625" customWidth="1"/>
    <col min="3" max="3" width="26.109375" customWidth="1"/>
    <col min="4" max="4" width="22.6640625" customWidth="1"/>
    <col min="5" max="5" width="25" customWidth="1"/>
    <col min="6" max="7" width="22.6640625" customWidth="1"/>
    <col min="8" max="8" width="21.33203125" customWidth="1"/>
    <col min="9" max="10" width="18.88671875" customWidth="1"/>
    <col min="11" max="11" width="25.44140625" customWidth="1"/>
    <col min="12" max="12" width="18.88671875" customWidth="1"/>
    <col min="13" max="13" width="14.44140625" customWidth="1"/>
    <col min="14" max="14" width="18.33203125" customWidth="1"/>
    <col min="15" max="15" width="14.5546875" customWidth="1"/>
    <col min="16" max="16" width="11.44140625" customWidth="1"/>
  </cols>
  <sheetData>
    <row r="1" spans="1:11" s="2" customFormat="1" ht="18" customHeight="1" x14ac:dyDescent="0.35">
      <c r="A1" s="1106" t="s">
        <v>213</v>
      </c>
      <c r="B1" s="1085"/>
      <c r="C1" s="1085"/>
      <c r="D1" s="1085"/>
      <c r="E1" s="1085"/>
      <c r="F1" s="1085"/>
      <c r="G1" s="1085"/>
      <c r="H1" s="1085"/>
      <c r="I1" s="1085"/>
      <c r="J1" s="1085"/>
      <c r="K1" s="1086"/>
    </row>
    <row r="2" spans="1:11" s="2" customFormat="1" ht="18" customHeight="1" x14ac:dyDescent="0.35">
      <c r="A2" s="1087"/>
      <c r="B2" s="1088"/>
      <c r="C2" s="1088"/>
      <c r="D2" s="1088"/>
      <c r="E2" s="1088"/>
      <c r="F2" s="1088"/>
      <c r="G2" s="1088"/>
      <c r="H2" s="1088"/>
      <c r="I2" s="1088"/>
      <c r="J2" s="1088"/>
      <c r="K2" s="1089"/>
    </row>
    <row r="3" spans="1:11" s="2" customFormat="1" ht="18" hidden="1" customHeight="1" x14ac:dyDescent="0.35">
      <c r="A3" s="1107"/>
      <c r="E3" s="7">
        <f>IF(C19="Boulons et platines","Boulons et Platines",0)</f>
        <v>0</v>
      </c>
      <c r="F3" s="7">
        <f>IF(E3="Boulons et Platines","Nbre de Trous",0)</f>
        <v>0</v>
      </c>
      <c r="G3" s="8">
        <f>IF(E3="Boulons et Platines","Dim du Bord",0)</f>
        <v>0</v>
      </c>
    </row>
    <row r="4" spans="1:11" s="2" customFormat="1" ht="18" hidden="1" customHeight="1" x14ac:dyDescent="0.35">
      <c r="A4" s="1108"/>
      <c r="E4" s="10">
        <f>IF(C19="Vis bois",0,"Trous dans la Longueur")</f>
        <v>0</v>
      </c>
      <c r="F4" s="6">
        <f>IF(E4=0,0,IF(C91&lt;100,2,IF(C91&lt;150,3,IF(C91&lt;200,4,IF(C91&lt;250,5,IF(C91&lt;300,6,7))))))</f>
        <v>0</v>
      </c>
      <c r="G4" s="11">
        <f>IF(F4=0,0,IF(F4=3,0,(($C$91-32)/(F4-1))+16))</f>
        <v>0</v>
      </c>
    </row>
    <row r="5" spans="1:11" s="2" customFormat="1" ht="18" hidden="1" customHeight="1" x14ac:dyDescent="0.35">
      <c r="E5" s="13">
        <f>IF(F4=6,"2ème Trou",IF(F4=7,"2ème Trou",0))</f>
        <v>0</v>
      </c>
      <c r="G5" s="11">
        <f>IF(E5=0,0,G4+G4-16)</f>
        <v>0</v>
      </c>
    </row>
    <row r="6" spans="1:11" s="2" customFormat="1" ht="18" hidden="1" customHeight="1" x14ac:dyDescent="0.35">
      <c r="E6" s="10">
        <f>IF(C19="Vis bois",0,"Trous dans la Hauteur")</f>
        <v>0</v>
      </c>
      <c r="F6" s="6">
        <f>IF(E6=0,0,IF(D91&lt;100,2,IF(D91&lt;150,3,IF(D91&lt;200,4,IF(D91&lt;250,5,IF(D91&lt;310,6,7))))))</f>
        <v>0</v>
      </c>
      <c r="G6" s="11">
        <f>IF(F6=0,0,IF(F6=3,0,(($D$91-32)/(F6-1))+16))</f>
        <v>0</v>
      </c>
    </row>
    <row r="7" spans="1:11" s="2" customFormat="1" ht="20.25" hidden="1" customHeight="1" x14ac:dyDescent="0.35">
      <c r="E7" s="14">
        <f>IF(F6=6,"2ème Trou",IF(F6=7,"2ème Trou",0))</f>
        <v>0</v>
      </c>
      <c r="F7" s="15"/>
      <c r="G7" s="16">
        <f>IF(E7=0,0,G6+G6-16)</f>
        <v>0</v>
      </c>
    </row>
    <row r="8" spans="1:11" s="2" customFormat="1" ht="20.25" customHeight="1" x14ac:dyDescent="0.35"/>
    <row r="9" spans="1:11" s="2" customFormat="1" ht="18" customHeight="1" x14ac:dyDescent="0.35">
      <c r="B9" s="2" t="s">
        <v>1</v>
      </c>
      <c r="C9" s="20"/>
      <c r="E9" s="6" t="s">
        <v>2</v>
      </c>
      <c r="F9" s="22"/>
    </row>
    <row r="10" spans="1:11" s="2" customFormat="1" ht="18" customHeight="1" x14ac:dyDescent="0.35">
      <c r="B10" s="2" t="s">
        <v>4</v>
      </c>
      <c r="C10" s="23"/>
      <c r="E10" s="6" t="s">
        <v>5</v>
      </c>
      <c r="F10" s="24" t="s">
        <v>6</v>
      </c>
    </row>
    <row r="11" spans="1:11" s="2" customFormat="1" ht="18" customHeight="1" x14ac:dyDescent="0.35">
      <c r="B11" s="2" t="s">
        <v>138</v>
      </c>
      <c r="C11" s="23"/>
      <c r="E11" s="6" t="s">
        <v>8</v>
      </c>
      <c r="F11" s="25"/>
    </row>
    <row r="12" spans="1:11" s="2" customFormat="1" ht="18" customHeight="1" x14ac:dyDescent="0.35">
      <c r="C12" s="6"/>
    </row>
    <row r="13" spans="1:11" s="2" customFormat="1" ht="18" customHeight="1" x14ac:dyDescent="0.4">
      <c r="B13" s="19" t="s">
        <v>9</v>
      </c>
      <c r="C13" s="24" t="s">
        <v>10</v>
      </c>
      <c r="E13" s="1099"/>
      <c r="F13" s="1100"/>
      <c r="G13" s="1101"/>
    </row>
    <row r="14" spans="1:11" s="2" customFormat="1" ht="18" customHeight="1" x14ac:dyDescent="0.4">
      <c r="B14" s="19"/>
      <c r="C14" s="6"/>
      <c r="E14" s="1099"/>
      <c r="F14" s="1100"/>
      <c r="G14" s="1101"/>
    </row>
    <row r="15" spans="1:11" s="2" customFormat="1" ht="18" customHeight="1" x14ac:dyDescent="0.35">
      <c r="B15" s="19" t="s">
        <v>11</v>
      </c>
      <c r="C15" s="24" t="s">
        <v>12</v>
      </c>
      <c r="E15" s="19" t="s">
        <v>210</v>
      </c>
      <c r="F15" s="23" t="s">
        <v>211</v>
      </c>
      <c r="I15" s="1109" t="str">
        <f>VLOOKUP($F$10,'Infos Clients'!$B$2:$G$10,2)</f>
        <v>#VALUE!</v>
      </c>
      <c r="J15" s="1085"/>
      <c r="K15" s="1086"/>
    </row>
    <row r="16" spans="1:11" s="2" customFormat="1" ht="19.5" customHeight="1" x14ac:dyDescent="0.35">
      <c r="C16" s="6"/>
      <c r="E16" s="1098"/>
      <c r="F16" s="1085"/>
      <c r="G16" s="1086"/>
      <c r="I16" s="1091"/>
      <c r="J16" s="1097"/>
      <c r="K16" s="1092"/>
    </row>
    <row r="17" spans="1:16384" s="2" customFormat="1" ht="18" customHeight="1" x14ac:dyDescent="0.35">
      <c r="B17" s="19" t="s">
        <v>15</v>
      </c>
      <c r="C17" s="23" t="s">
        <v>16</v>
      </c>
      <c r="E17" s="1091"/>
      <c r="F17" s="1097"/>
      <c r="G17" s="1092"/>
      <c r="I17" s="1091"/>
      <c r="J17" s="1097"/>
      <c r="K17" s="1092"/>
    </row>
    <row r="18" spans="1:16384" s="2" customFormat="1" ht="18" customHeight="1" x14ac:dyDescent="0.35">
      <c r="C18" s="6"/>
      <c r="E18" s="1087"/>
      <c r="F18" s="1088"/>
      <c r="G18" s="1089"/>
      <c r="I18" s="1091"/>
      <c r="J18" s="1097"/>
      <c r="K18" s="1092"/>
    </row>
    <row r="19" spans="1:16384" s="2" customFormat="1" ht="18" customHeight="1" x14ac:dyDescent="0.35">
      <c r="B19" s="19" t="s">
        <v>17</v>
      </c>
      <c r="C19" s="23" t="s">
        <v>18</v>
      </c>
      <c r="E19" s="19" t="s">
        <v>19</v>
      </c>
      <c r="F19" s="23" t="s">
        <v>20</v>
      </c>
      <c r="I19" s="1091"/>
      <c r="J19" s="1097"/>
      <c r="K19" s="1092"/>
    </row>
    <row r="20" spans="1:16384" s="2" customFormat="1" ht="18" customHeight="1" x14ac:dyDescent="0.35">
      <c r="C20" s="6"/>
      <c r="E20" s="19">
        <f>IF(F19="Oui","Type de Peinture",0)</f>
        <v>0</v>
      </c>
      <c r="F20" s="169">
        <f>IF(F19="Non",0,VLOOKUP(F10,'Infos Clients'!B2:E10,4))</f>
        <v>0</v>
      </c>
      <c r="I20" s="1087"/>
      <c r="J20" s="1088"/>
      <c r="K20" s="1089"/>
    </row>
    <row r="21" spans="1:16384" s="2" customFormat="1" ht="18" customHeight="1" x14ac:dyDescent="0.35">
      <c r="B21" s="19" t="s">
        <v>21</v>
      </c>
      <c r="C21" s="23" t="s">
        <v>22</v>
      </c>
      <c r="E21" s="27" t="s">
        <v>23</v>
      </c>
      <c r="F21" s="29" t="s">
        <v>20</v>
      </c>
      <c r="G21" s="5"/>
    </row>
    <row r="22" spans="1:16384" s="2" customFormat="1" ht="18" customHeight="1" x14ac:dyDescent="0.35">
      <c r="B22" s="19"/>
      <c r="C22" s="6"/>
      <c r="E22" s="27"/>
      <c r="F22" s="310"/>
      <c r="G22" s="5"/>
    </row>
    <row r="23" spans="1:16384" s="2" customFormat="1" ht="18" customHeight="1" x14ac:dyDescent="0.35">
      <c r="B23" s="19" t="s">
        <v>24</v>
      </c>
      <c r="C23" s="23" t="s">
        <v>212</v>
      </c>
      <c r="E23" s="30" t="s">
        <v>25</v>
      </c>
      <c r="F23" s="23" t="s">
        <v>16</v>
      </c>
      <c r="G23" s="5"/>
    </row>
    <row r="24" spans="1:16384" s="2" customFormat="1" ht="18" customHeight="1" x14ac:dyDescent="0.35">
      <c r="E24" s="30"/>
      <c r="F24" s="6"/>
      <c r="G24" s="5"/>
    </row>
    <row r="25" spans="1:16384" s="2" customFormat="1" ht="37.5" hidden="1" customHeight="1" x14ac:dyDescent="0.85">
      <c r="B25" s="1102" t="str">
        <f>IF(F23="Aucun"," ",F23)</f>
        <v xml:space="preserve"> </v>
      </c>
      <c r="C25" s="1101"/>
      <c r="D25" s="31">
        <f>IF(F21="Oui","+",0)</f>
        <v>0</v>
      </c>
      <c r="E25" s="1102">
        <f>IF(F21="Oui","Mousse Garnie Tyvek",0)</f>
        <v>0</v>
      </c>
      <c r="F25" s="1100"/>
      <c r="G25" s="1101"/>
    </row>
    <row r="26" spans="1:16384" ht="37.5" hidden="1" customHeight="1" x14ac:dyDescent="0.5">
      <c r="A26" s="1110">
        <f>IF(F10="Bovis","Attention retirer 2 mm aux dimensions transmises",0)</f>
        <v>0</v>
      </c>
      <c r="B26" s="1100"/>
      <c r="C26" s="1100"/>
      <c r="D26" s="1101"/>
      <c r="E26" s="1110">
        <f>IF(I10="Bovis","Attention retirer 2 mm aux dimensions transmises",0)</f>
        <v>0</v>
      </c>
      <c r="F26" s="1100"/>
      <c r="G26" s="1100"/>
      <c r="H26" s="1101"/>
      <c r="I26" s="1110">
        <f>IF(M10="Bovis","Attention retirer 2 mm aux dimensions transmises",0)</f>
        <v>0</v>
      </c>
      <c r="J26" s="1100"/>
      <c r="K26" s="1100"/>
      <c r="L26" s="1101"/>
      <c r="M26" s="1110">
        <f>IF(Q10="Bovis","Attention retirer 2 mm aux dimensions transmises",0)</f>
        <v>0</v>
      </c>
      <c r="N26" s="1100"/>
      <c r="O26" s="1100"/>
      <c r="P26" s="1101"/>
      <c r="Q26" s="1110">
        <f>IF(U10="Bovis","Attention retirer 2 mm aux dimensions transmises",0)</f>
        <v>0</v>
      </c>
      <c r="R26" s="1100"/>
      <c r="S26" s="1100"/>
      <c r="T26" s="1101"/>
      <c r="U26" s="1110">
        <f>IF(Y10="Bovis","Attention retirer 2 mm aux dimensions transmises",0)</f>
        <v>0</v>
      </c>
      <c r="V26" s="1100"/>
      <c r="W26" s="1100"/>
      <c r="X26" s="1101"/>
      <c r="Y26" s="1110">
        <f>IF(AC10="Bovis","Attention retirer 2 mm aux dimensions transmises",0)</f>
        <v>0</v>
      </c>
      <c r="Z26" s="1100"/>
      <c r="AA26" s="1100"/>
      <c r="AB26" s="1101"/>
      <c r="AC26" s="1110">
        <f>IF(AG10="Bovis","Attention retirer 2 mm aux dimensions transmises",0)</f>
        <v>0</v>
      </c>
      <c r="AD26" s="1100"/>
      <c r="AE26" s="1100"/>
      <c r="AF26" s="1101"/>
      <c r="AG26" s="1110">
        <f>IF(AK10="Bovis","Attention retirer 2 mm aux dimensions transmises",0)</f>
        <v>0</v>
      </c>
      <c r="AH26" s="1100"/>
      <c r="AI26" s="1100"/>
      <c r="AJ26" s="1101"/>
      <c r="AK26" s="1110">
        <f>IF(AO10="Bovis","Attention retirer 2 mm aux dimensions transmises",0)</f>
        <v>0</v>
      </c>
      <c r="AL26" s="1100"/>
      <c r="AM26" s="1100"/>
      <c r="AN26" s="1101"/>
      <c r="AO26" s="1110">
        <f>IF(AS10="Bovis","Attention retirer 2 mm aux dimensions transmises",0)</f>
        <v>0</v>
      </c>
      <c r="AP26" s="1100"/>
      <c r="AQ26" s="1100"/>
      <c r="AR26" s="1101"/>
      <c r="AS26" s="1110">
        <f>IF(AW10="Bovis","Attention retirer 2 mm aux dimensions transmises",0)</f>
        <v>0</v>
      </c>
      <c r="AT26" s="1100"/>
      <c r="AU26" s="1100"/>
      <c r="AV26" s="1101"/>
      <c r="AW26" s="1110">
        <f>IF(BA10="Bovis","Attention retirer 2 mm aux dimensions transmises",0)</f>
        <v>0</v>
      </c>
      <c r="AX26" s="1100"/>
      <c r="AY26" s="1100"/>
      <c r="AZ26" s="1101"/>
      <c r="BA26" s="1110">
        <f>IF(BE10="Bovis","Attention retirer 2 mm aux dimensions transmises",0)</f>
        <v>0</v>
      </c>
      <c r="BB26" s="1100"/>
      <c r="BC26" s="1100"/>
      <c r="BD26" s="1101"/>
      <c r="BE26" s="1110">
        <f>IF(BI10="Bovis","Attention retirer 2 mm aux dimensions transmises",0)</f>
        <v>0</v>
      </c>
      <c r="BF26" s="1100"/>
      <c r="BG26" s="1100"/>
      <c r="BH26" s="1101"/>
      <c r="BI26" s="1110">
        <f>IF(BM10="Bovis","Attention retirer 2 mm aux dimensions transmises",0)</f>
        <v>0</v>
      </c>
      <c r="BJ26" s="1100"/>
      <c r="BK26" s="1100"/>
      <c r="BL26" s="1101"/>
      <c r="BM26" s="1110">
        <f>IF(BQ10="Bovis","Attention retirer 2 mm aux dimensions transmises",0)</f>
        <v>0</v>
      </c>
      <c r="BN26" s="1100"/>
      <c r="BO26" s="1100"/>
      <c r="BP26" s="1101"/>
      <c r="BQ26" s="1110">
        <f>IF(BU10="Bovis","Attention retirer 2 mm aux dimensions transmises",0)</f>
        <v>0</v>
      </c>
      <c r="BR26" s="1100"/>
      <c r="BS26" s="1100"/>
      <c r="BT26" s="1101"/>
      <c r="BU26" s="1110">
        <f>IF(BY10="Bovis","Attention retirer 2 mm aux dimensions transmises",0)</f>
        <v>0</v>
      </c>
      <c r="BV26" s="1100"/>
      <c r="BW26" s="1100"/>
      <c r="BX26" s="1101"/>
      <c r="BY26" s="1110">
        <f>IF(CC10="Bovis","Attention retirer 2 mm aux dimensions transmises",0)</f>
        <v>0</v>
      </c>
      <c r="BZ26" s="1100"/>
      <c r="CA26" s="1100"/>
      <c r="CB26" s="1101"/>
      <c r="CC26" s="1110">
        <f>IF(CG10="Bovis","Attention retirer 2 mm aux dimensions transmises",0)</f>
        <v>0</v>
      </c>
      <c r="CD26" s="1100"/>
      <c r="CE26" s="1100"/>
      <c r="CF26" s="1101"/>
      <c r="CG26" s="1110">
        <f>IF(CK10="Bovis","Attention retirer 2 mm aux dimensions transmises",0)</f>
        <v>0</v>
      </c>
      <c r="CH26" s="1100"/>
      <c r="CI26" s="1100"/>
      <c r="CJ26" s="1101"/>
      <c r="CK26" s="1110">
        <f>IF(CO10="Bovis","Attention retirer 2 mm aux dimensions transmises",0)</f>
        <v>0</v>
      </c>
      <c r="CL26" s="1100"/>
      <c r="CM26" s="1100"/>
      <c r="CN26" s="1101"/>
      <c r="CO26" s="1110">
        <f>IF(CS10="Bovis","Attention retirer 2 mm aux dimensions transmises",0)</f>
        <v>0</v>
      </c>
      <c r="CP26" s="1100"/>
      <c r="CQ26" s="1100"/>
      <c r="CR26" s="1101"/>
      <c r="CS26" s="1110">
        <f>IF(CW10="Bovis","Attention retirer 2 mm aux dimensions transmises",0)</f>
        <v>0</v>
      </c>
      <c r="CT26" s="1100"/>
      <c r="CU26" s="1100"/>
      <c r="CV26" s="1101"/>
      <c r="CW26" s="1110">
        <f>IF(DA10="Bovis","Attention retirer 2 mm aux dimensions transmises",0)</f>
        <v>0</v>
      </c>
      <c r="CX26" s="1100"/>
      <c r="CY26" s="1100"/>
      <c r="CZ26" s="1101"/>
      <c r="DA26" s="1110">
        <f>IF(DE10="Bovis","Attention retirer 2 mm aux dimensions transmises",0)</f>
        <v>0</v>
      </c>
      <c r="DB26" s="1100"/>
      <c r="DC26" s="1100"/>
      <c r="DD26" s="1101"/>
      <c r="DE26" s="1110">
        <f>IF(DI10="Bovis","Attention retirer 2 mm aux dimensions transmises",0)</f>
        <v>0</v>
      </c>
      <c r="DF26" s="1100"/>
      <c r="DG26" s="1100"/>
      <c r="DH26" s="1101"/>
      <c r="DI26" s="1110">
        <f>IF(DM10="Bovis","Attention retirer 2 mm aux dimensions transmises",0)</f>
        <v>0</v>
      </c>
      <c r="DJ26" s="1100"/>
      <c r="DK26" s="1100"/>
      <c r="DL26" s="1101"/>
      <c r="DM26" s="1110">
        <f>IF(DQ10="Bovis","Attention retirer 2 mm aux dimensions transmises",0)</f>
        <v>0</v>
      </c>
      <c r="DN26" s="1100"/>
      <c r="DO26" s="1100"/>
      <c r="DP26" s="1101"/>
      <c r="DQ26" s="1110">
        <f>IF(DU10="Bovis","Attention retirer 2 mm aux dimensions transmises",0)</f>
        <v>0</v>
      </c>
      <c r="DR26" s="1100"/>
      <c r="DS26" s="1100"/>
      <c r="DT26" s="1101"/>
      <c r="DU26" s="1110">
        <f>IF(DY10="Bovis","Attention retirer 2 mm aux dimensions transmises",0)</f>
        <v>0</v>
      </c>
      <c r="DV26" s="1100"/>
      <c r="DW26" s="1100"/>
      <c r="DX26" s="1101"/>
      <c r="DY26" s="1110">
        <f>IF(EC10="Bovis","Attention retirer 2 mm aux dimensions transmises",0)</f>
        <v>0</v>
      </c>
      <c r="DZ26" s="1100"/>
      <c r="EA26" s="1100"/>
      <c r="EB26" s="1101"/>
      <c r="EC26" s="1110">
        <f>IF(EG10="Bovis","Attention retirer 2 mm aux dimensions transmises",0)</f>
        <v>0</v>
      </c>
      <c r="ED26" s="1100"/>
      <c r="EE26" s="1100"/>
      <c r="EF26" s="1101"/>
      <c r="EG26" s="1110">
        <f>IF(EK10="Bovis","Attention retirer 2 mm aux dimensions transmises",0)</f>
        <v>0</v>
      </c>
      <c r="EH26" s="1100"/>
      <c r="EI26" s="1100"/>
      <c r="EJ26" s="1101"/>
      <c r="EK26" s="1110">
        <f>IF(EO10="Bovis","Attention retirer 2 mm aux dimensions transmises",0)</f>
        <v>0</v>
      </c>
      <c r="EL26" s="1100"/>
      <c r="EM26" s="1100"/>
      <c r="EN26" s="1101"/>
      <c r="EO26" s="1110">
        <f>IF(ES10="Bovis","Attention retirer 2 mm aux dimensions transmises",0)</f>
        <v>0</v>
      </c>
      <c r="EP26" s="1100"/>
      <c r="EQ26" s="1100"/>
      <c r="ER26" s="1101"/>
      <c r="ES26" s="1110">
        <f>IF(EW10="Bovis","Attention retirer 2 mm aux dimensions transmises",0)</f>
        <v>0</v>
      </c>
      <c r="ET26" s="1100"/>
      <c r="EU26" s="1100"/>
      <c r="EV26" s="1101"/>
      <c r="EW26" s="1110">
        <f>IF(FA10="Bovis","Attention retirer 2 mm aux dimensions transmises",0)</f>
        <v>0</v>
      </c>
      <c r="EX26" s="1100"/>
      <c r="EY26" s="1100"/>
      <c r="EZ26" s="1101"/>
      <c r="FA26" s="1110">
        <f>IF(FE10="Bovis","Attention retirer 2 mm aux dimensions transmises",0)</f>
        <v>0</v>
      </c>
      <c r="FB26" s="1100"/>
      <c r="FC26" s="1100"/>
      <c r="FD26" s="1101"/>
      <c r="FE26" s="1110">
        <f>IF(FI10="Bovis","Attention retirer 2 mm aux dimensions transmises",0)</f>
        <v>0</v>
      </c>
      <c r="FF26" s="1100"/>
      <c r="FG26" s="1100"/>
      <c r="FH26" s="1101"/>
      <c r="FI26" s="1110">
        <f>IF(FM10="Bovis","Attention retirer 2 mm aux dimensions transmises",0)</f>
        <v>0</v>
      </c>
      <c r="FJ26" s="1100"/>
      <c r="FK26" s="1100"/>
      <c r="FL26" s="1101"/>
      <c r="FM26" s="1110">
        <f>IF(FQ10="Bovis","Attention retirer 2 mm aux dimensions transmises",0)</f>
        <v>0</v>
      </c>
      <c r="FN26" s="1100"/>
      <c r="FO26" s="1100"/>
      <c r="FP26" s="1101"/>
      <c r="FQ26" s="1110">
        <f>IF(FU10="Bovis","Attention retirer 2 mm aux dimensions transmises",0)</f>
        <v>0</v>
      </c>
      <c r="FR26" s="1100"/>
      <c r="FS26" s="1100"/>
      <c r="FT26" s="1101"/>
      <c r="FU26" s="1110">
        <f>IF(FY10="Bovis","Attention retirer 2 mm aux dimensions transmises",0)</f>
        <v>0</v>
      </c>
      <c r="FV26" s="1100"/>
      <c r="FW26" s="1100"/>
      <c r="FX26" s="1101"/>
      <c r="FY26" s="1110">
        <f>IF(GC10="Bovis","Attention retirer 2 mm aux dimensions transmises",0)</f>
        <v>0</v>
      </c>
      <c r="FZ26" s="1100"/>
      <c r="GA26" s="1100"/>
      <c r="GB26" s="1101"/>
      <c r="GC26" s="1110">
        <f>IF(GG10="Bovis","Attention retirer 2 mm aux dimensions transmises",0)</f>
        <v>0</v>
      </c>
      <c r="GD26" s="1100"/>
      <c r="GE26" s="1100"/>
      <c r="GF26" s="1101"/>
      <c r="GG26" s="1110">
        <f>IF(GK10="Bovis","Attention retirer 2 mm aux dimensions transmises",0)</f>
        <v>0</v>
      </c>
      <c r="GH26" s="1100"/>
      <c r="GI26" s="1100"/>
      <c r="GJ26" s="1101"/>
      <c r="GK26" s="1110">
        <f>IF(GO10="Bovis","Attention retirer 2 mm aux dimensions transmises",0)</f>
        <v>0</v>
      </c>
      <c r="GL26" s="1100"/>
      <c r="GM26" s="1100"/>
      <c r="GN26" s="1101"/>
      <c r="GO26" s="1110">
        <f>IF(GS10="Bovis","Attention retirer 2 mm aux dimensions transmises",0)</f>
        <v>0</v>
      </c>
      <c r="GP26" s="1100"/>
      <c r="GQ26" s="1100"/>
      <c r="GR26" s="1101"/>
      <c r="GS26" s="1110">
        <f>IF(GW10="Bovis","Attention retirer 2 mm aux dimensions transmises",0)</f>
        <v>0</v>
      </c>
      <c r="GT26" s="1100"/>
      <c r="GU26" s="1100"/>
      <c r="GV26" s="1101"/>
      <c r="GW26" s="1110">
        <f>IF(HA10="Bovis","Attention retirer 2 mm aux dimensions transmises",0)</f>
        <v>0</v>
      </c>
      <c r="GX26" s="1100"/>
      <c r="GY26" s="1100"/>
      <c r="GZ26" s="1101"/>
      <c r="HA26" s="1110">
        <f>IF(HE10="Bovis","Attention retirer 2 mm aux dimensions transmises",0)</f>
        <v>0</v>
      </c>
      <c r="HB26" s="1100"/>
      <c r="HC26" s="1100"/>
      <c r="HD26" s="1101"/>
      <c r="HE26" s="1110">
        <f>IF(HI10="Bovis","Attention retirer 2 mm aux dimensions transmises",0)</f>
        <v>0</v>
      </c>
      <c r="HF26" s="1100"/>
      <c r="HG26" s="1100"/>
      <c r="HH26" s="1101"/>
      <c r="HI26" s="1110">
        <f>IF(HM10="Bovis","Attention retirer 2 mm aux dimensions transmises",0)</f>
        <v>0</v>
      </c>
      <c r="HJ26" s="1100"/>
      <c r="HK26" s="1100"/>
      <c r="HL26" s="1101"/>
      <c r="HM26" s="1110">
        <f>IF(HQ10="Bovis","Attention retirer 2 mm aux dimensions transmises",0)</f>
        <v>0</v>
      </c>
      <c r="HN26" s="1100"/>
      <c r="HO26" s="1100"/>
      <c r="HP26" s="1101"/>
      <c r="HQ26" s="1110">
        <f>IF(HU10="Bovis","Attention retirer 2 mm aux dimensions transmises",0)</f>
        <v>0</v>
      </c>
      <c r="HR26" s="1100"/>
      <c r="HS26" s="1100"/>
      <c r="HT26" s="1101"/>
      <c r="HU26" s="1110">
        <f>IF(HY10="Bovis","Attention retirer 2 mm aux dimensions transmises",0)</f>
        <v>0</v>
      </c>
      <c r="HV26" s="1100"/>
      <c r="HW26" s="1100"/>
      <c r="HX26" s="1101"/>
      <c r="HY26" s="1110">
        <f>IF(IC10="Bovis","Attention retirer 2 mm aux dimensions transmises",0)</f>
        <v>0</v>
      </c>
      <c r="HZ26" s="1100"/>
      <c r="IA26" s="1100"/>
      <c r="IB26" s="1101"/>
      <c r="IC26" s="1110">
        <f>IF(IG10="Bovis","Attention retirer 2 mm aux dimensions transmises",0)</f>
        <v>0</v>
      </c>
      <c r="ID26" s="1100"/>
      <c r="IE26" s="1100"/>
      <c r="IF26" s="1101"/>
      <c r="IG26" s="1110">
        <f>IF(IK10="Bovis","Attention retirer 2 mm aux dimensions transmises",0)</f>
        <v>0</v>
      </c>
      <c r="IH26" s="1100"/>
      <c r="II26" s="1100"/>
      <c r="IJ26" s="1101"/>
      <c r="IK26" s="1110">
        <f>IF(IO10="Bovis","Attention retirer 2 mm aux dimensions transmises",0)</f>
        <v>0</v>
      </c>
      <c r="IL26" s="1100"/>
      <c r="IM26" s="1100"/>
      <c r="IN26" s="1101"/>
      <c r="IO26" s="1110">
        <f>IF(IS10="Bovis","Attention retirer 2 mm aux dimensions transmises",0)</f>
        <v>0</v>
      </c>
      <c r="IP26" s="1100"/>
      <c r="IQ26" s="1100"/>
      <c r="IR26" s="1101"/>
      <c r="IS26" s="1110">
        <f>IF(IW10="Bovis","Attention retirer 2 mm aux dimensions transmises",0)</f>
        <v>0</v>
      </c>
      <c r="IT26" s="1100"/>
      <c r="IU26" s="1100"/>
      <c r="IV26" s="1101"/>
      <c r="IW26" s="1110">
        <f>IF(JA10="Bovis","Attention retirer 2 mm aux dimensions transmises",0)</f>
        <v>0</v>
      </c>
      <c r="IX26" s="1100"/>
      <c r="IY26" s="1100"/>
      <c r="IZ26" s="1101"/>
      <c r="JA26" s="1110">
        <f>IF(JE10="Bovis","Attention retirer 2 mm aux dimensions transmises",0)</f>
        <v>0</v>
      </c>
      <c r="JB26" s="1100"/>
      <c r="JC26" s="1100"/>
      <c r="JD26" s="1101"/>
      <c r="JE26" s="1110">
        <f>IF(JI10="Bovis","Attention retirer 2 mm aux dimensions transmises",0)</f>
        <v>0</v>
      </c>
      <c r="JF26" s="1100"/>
      <c r="JG26" s="1100"/>
      <c r="JH26" s="1101"/>
      <c r="JI26" s="1110">
        <f>IF(JM10="Bovis","Attention retirer 2 mm aux dimensions transmises",0)</f>
        <v>0</v>
      </c>
      <c r="JJ26" s="1100"/>
      <c r="JK26" s="1100"/>
      <c r="JL26" s="1101"/>
      <c r="JM26" s="1110">
        <f>IF(JQ10="Bovis","Attention retirer 2 mm aux dimensions transmises",0)</f>
        <v>0</v>
      </c>
      <c r="JN26" s="1100"/>
      <c r="JO26" s="1100"/>
      <c r="JP26" s="1101"/>
      <c r="JQ26" s="1110">
        <f>IF(JU10="Bovis","Attention retirer 2 mm aux dimensions transmises",0)</f>
        <v>0</v>
      </c>
      <c r="JR26" s="1100"/>
      <c r="JS26" s="1100"/>
      <c r="JT26" s="1101"/>
      <c r="JU26" s="1110">
        <f>IF(JY10="Bovis","Attention retirer 2 mm aux dimensions transmises",0)</f>
        <v>0</v>
      </c>
      <c r="JV26" s="1100"/>
      <c r="JW26" s="1100"/>
      <c r="JX26" s="1101"/>
      <c r="JY26" s="1110">
        <f>IF(KC10="Bovis","Attention retirer 2 mm aux dimensions transmises",0)</f>
        <v>0</v>
      </c>
      <c r="JZ26" s="1100"/>
      <c r="KA26" s="1100"/>
      <c r="KB26" s="1101"/>
      <c r="KC26" s="1110">
        <f>IF(KG10="Bovis","Attention retirer 2 mm aux dimensions transmises",0)</f>
        <v>0</v>
      </c>
      <c r="KD26" s="1100"/>
      <c r="KE26" s="1100"/>
      <c r="KF26" s="1101"/>
      <c r="KG26" s="1110">
        <f>IF(KK10="Bovis","Attention retirer 2 mm aux dimensions transmises",0)</f>
        <v>0</v>
      </c>
      <c r="KH26" s="1100"/>
      <c r="KI26" s="1100"/>
      <c r="KJ26" s="1101"/>
      <c r="KK26" s="1110">
        <f>IF(KO10="Bovis","Attention retirer 2 mm aux dimensions transmises",0)</f>
        <v>0</v>
      </c>
      <c r="KL26" s="1100"/>
      <c r="KM26" s="1100"/>
      <c r="KN26" s="1101"/>
      <c r="KO26" s="1110">
        <f>IF(KS10="Bovis","Attention retirer 2 mm aux dimensions transmises",0)</f>
        <v>0</v>
      </c>
      <c r="KP26" s="1100"/>
      <c r="KQ26" s="1100"/>
      <c r="KR26" s="1101"/>
      <c r="KS26" s="1110">
        <f>IF(KW10="Bovis","Attention retirer 2 mm aux dimensions transmises",0)</f>
        <v>0</v>
      </c>
      <c r="KT26" s="1100"/>
      <c r="KU26" s="1100"/>
      <c r="KV26" s="1101"/>
      <c r="KW26" s="1110">
        <f>IF(LA10="Bovis","Attention retirer 2 mm aux dimensions transmises",0)</f>
        <v>0</v>
      </c>
      <c r="KX26" s="1100"/>
      <c r="KY26" s="1100"/>
      <c r="KZ26" s="1101"/>
      <c r="LA26" s="1110">
        <f>IF(LE10="Bovis","Attention retirer 2 mm aux dimensions transmises",0)</f>
        <v>0</v>
      </c>
      <c r="LB26" s="1100"/>
      <c r="LC26" s="1100"/>
      <c r="LD26" s="1101"/>
      <c r="LE26" s="1110">
        <f>IF(LI10="Bovis","Attention retirer 2 mm aux dimensions transmises",0)</f>
        <v>0</v>
      </c>
      <c r="LF26" s="1100"/>
      <c r="LG26" s="1100"/>
      <c r="LH26" s="1101"/>
      <c r="LI26" s="1110">
        <f>IF(LM10="Bovis","Attention retirer 2 mm aux dimensions transmises",0)</f>
        <v>0</v>
      </c>
      <c r="LJ26" s="1100"/>
      <c r="LK26" s="1100"/>
      <c r="LL26" s="1101"/>
      <c r="LM26" s="1110">
        <f>IF(LQ10="Bovis","Attention retirer 2 mm aux dimensions transmises",0)</f>
        <v>0</v>
      </c>
      <c r="LN26" s="1100"/>
      <c r="LO26" s="1100"/>
      <c r="LP26" s="1101"/>
      <c r="LQ26" s="1110">
        <f>IF(LU10="Bovis","Attention retirer 2 mm aux dimensions transmises",0)</f>
        <v>0</v>
      </c>
      <c r="LR26" s="1100"/>
      <c r="LS26" s="1100"/>
      <c r="LT26" s="1101"/>
      <c r="LU26" s="1110">
        <f>IF(LY10="Bovis","Attention retirer 2 mm aux dimensions transmises",0)</f>
        <v>0</v>
      </c>
      <c r="LV26" s="1100"/>
      <c r="LW26" s="1100"/>
      <c r="LX26" s="1101"/>
      <c r="LY26" s="1110">
        <f>IF(MC10="Bovis","Attention retirer 2 mm aux dimensions transmises",0)</f>
        <v>0</v>
      </c>
      <c r="LZ26" s="1100"/>
      <c r="MA26" s="1100"/>
      <c r="MB26" s="1101"/>
      <c r="MC26" s="1110">
        <f>IF(MG10="Bovis","Attention retirer 2 mm aux dimensions transmises",0)</f>
        <v>0</v>
      </c>
      <c r="MD26" s="1100"/>
      <c r="ME26" s="1100"/>
      <c r="MF26" s="1101"/>
      <c r="MG26" s="1110">
        <f>IF(MK10="Bovis","Attention retirer 2 mm aux dimensions transmises",0)</f>
        <v>0</v>
      </c>
      <c r="MH26" s="1100"/>
      <c r="MI26" s="1100"/>
      <c r="MJ26" s="1101"/>
      <c r="MK26" s="1110">
        <f>IF(MO10="Bovis","Attention retirer 2 mm aux dimensions transmises",0)</f>
        <v>0</v>
      </c>
      <c r="ML26" s="1100"/>
      <c r="MM26" s="1100"/>
      <c r="MN26" s="1101"/>
      <c r="MO26" s="1110">
        <f>IF(MS10="Bovis","Attention retirer 2 mm aux dimensions transmises",0)</f>
        <v>0</v>
      </c>
      <c r="MP26" s="1100"/>
      <c r="MQ26" s="1100"/>
      <c r="MR26" s="1101"/>
      <c r="MS26" s="1110">
        <f>IF(MW10="Bovis","Attention retirer 2 mm aux dimensions transmises",0)</f>
        <v>0</v>
      </c>
      <c r="MT26" s="1100"/>
      <c r="MU26" s="1100"/>
      <c r="MV26" s="1101"/>
      <c r="MW26" s="1110">
        <f>IF(NA10="Bovis","Attention retirer 2 mm aux dimensions transmises",0)</f>
        <v>0</v>
      </c>
      <c r="MX26" s="1100"/>
      <c r="MY26" s="1100"/>
      <c r="MZ26" s="1101"/>
      <c r="NA26" s="1110">
        <f>IF(NE10="Bovis","Attention retirer 2 mm aux dimensions transmises",0)</f>
        <v>0</v>
      </c>
      <c r="NB26" s="1100"/>
      <c r="NC26" s="1100"/>
      <c r="ND26" s="1101"/>
      <c r="NE26" s="1110">
        <f>IF(NI10="Bovis","Attention retirer 2 mm aux dimensions transmises",0)</f>
        <v>0</v>
      </c>
      <c r="NF26" s="1100"/>
      <c r="NG26" s="1100"/>
      <c r="NH26" s="1101"/>
      <c r="NI26" s="1110">
        <f>IF(NM10="Bovis","Attention retirer 2 mm aux dimensions transmises",0)</f>
        <v>0</v>
      </c>
      <c r="NJ26" s="1100"/>
      <c r="NK26" s="1100"/>
      <c r="NL26" s="1101"/>
      <c r="NM26" s="1110">
        <f>IF(NQ10="Bovis","Attention retirer 2 mm aux dimensions transmises",0)</f>
        <v>0</v>
      </c>
      <c r="NN26" s="1100"/>
      <c r="NO26" s="1100"/>
      <c r="NP26" s="1101"/>
      <c r="NQ26" s="1110">
        <f>IF(NU10="Bovis","Attention retirer 2 mm aux dimensions transmises",0)</f>
        <v>0</v>
      </c>
      <c r="NR26" s="1100"/>
      <c r="NS26" s="1100"/>
      <c r="NT26" s="1101"/>
      <c r="NU26" s="1110">
        <f>IF(NY10="Bovis","Attention retirer 2 mm aux dimensions transmises",0)</f>
        <v>0</v>
      </c>
      <c r="NV26" s="1100"/>
      <c r="NW26" s="1100"/>
      <c r="NX26" s="1101"/>
      <c r="NY26" s="1110">
        <f>IF(OC10="Bovis","Attention retirer 2 mm aux dimensions transmises",0)</f>
        <v>0</v>
      </c>
      <c r="NZ26" s="1100"/>
      <c r="OA26" s="1100"/>
      <c r="OB26" s="1101"/>
      <c r="OC26" s="1110">
        <f>IF(OG10="Bovis","Attention retirer 2 mm aux dimensions transmises",0)</f>
        <v>0</v>
      </c>
      <c r="OD26" s="1100"/>
      <c r="OE26" s="1100"/>
      <c r="OF26" s="1101"/>
      <c r="OG26" s="1110">
        <f>IF(OK10="Bovis","Attention retirer 2 mm aux dimensions transmises",0)</f>
        <v>0</v>
      </c>
      <c r="OH26" s="1100"/>
      <c r="OI26" s="1100"/>
      <c r="OJ26" s="1101"/>
      <c r="OK26" s="1110">
        <f>IF(OO10="Bovis","Attention retirer 2 mm aux dimensions transmises",0)</f>
        <v>0</v>
      </c>
      <c r="OL26" s="1100"/>
      <c r="OM26" s="1100"/>
      <c r="ON26" s="1101"/>
      <c r="OO26" s="1110">
        <f>IF(OS10="Bovis","Attention retirer 2 mm aux dimensions transmises",0)</f>
        <v>0</v>
      </c>
      <c r="OP26" s="1100"/>
      <c r="OQ26" s="1100"/>
      <c r="OR26" s="1101"/>
      <c r="OS26" s="1110">
        <f>IF(OW10="Bovis","Attention retirer 2 mm aux dimensions transmises",0)</f>
        <v>0</v>
      </c>
      <c r="OT26" s="1100"/>
      <c r="OU26" s="1100"/>
      <c r="OV26" s="1101"/>
      <c r="OW26" s="1110">
        <f>IF(PA10="Bovis","Attention retirer 2 mm aux dimensions transmises",0)</f>
        <v>0</v>
      </c>
      <c r="OX26" s="1100"/>
      <c r="OY26" s="1100"/>
      <c r="OZ26" s="1101"/>
      <c r="PA26" s="1110">
        <f>IF(PE10="Bovis","Attention retirer 2 mm aux dimensions transmises",0)</f>
        <v>0</v>
      </c>
      <c r="PB26" s="1100"/>
      <c r="PC26" s="1100"/>
      <c r="PD26" s="1101"/>
      <c r="PE26" s="1110">
        <f>IF(PI10="Bovis","Attention retirer 2 mm aux dimensions transmises",0)</f>
        <v>0</v>
      </c>
      <c r="PF26" s="1100"/>
      <c r="PG26" s="1100"/>
      <c r="PH26" s="1101"/>
      <c r="PI26" s="1110">
        <f>IF(PM10="Bovis","Attention retirer 2 mm aux dimensions transmises",0)</f>
        <v>0</v>
      </c>
      <c r="PJ26" s="1100"/>
      <c r="PK26" s="1100"/>
      <c r="PL26" s="1101"/>
      <c r="PM26" s="1110">
        <f>IF(PQ10="Bovis","Attention retirer 2 mm aux dimensions transmises",0)</f>
        <v>0</v>
      </c>
      <c r="PN26" s="1100"/>
      <c r="PO26" s="1100"/>
      <c r="PP26" s="1101"/>
      <c r="PQ26" s="1110">
        <f>IF(PU10="Bovis","Attention retirer 2 mm aux dimensions transmises",0)</f>
        <v>0</v>
      </c>
      <c r="PR26" s="1100"/>
      <c r="PS26" s="1100"/>
      <c r="PT26" s="1101"/>
      <c r="PU26" s="1110">
        <f>IF(PY10="Bovis","Attention retirer 2 mm aux dimensions transmises",0)</f>
        <v>0</v>
      </c>
      <c r="PV26" s="1100"/>
      <c r="PW26" s="1100"/>
      <c r="PX26" s="1101"/>
      <c r="PY26" s="1110">
        <f>IF(QC10="Bovis","Attention retirer 2 mm aux dimensions transmises",0)</f>
        <v>0</v>
      </c>
      <c r="PZ26" s="1100"/>
      <c r="QA26" s="1100"/>
      <c r="QB26" s="1101"/>
      <c r="QC26" s="1110">
        <f>IF(QG10="Bovis","Attention retirer 2 mm aux dimensions transmises",0)</f>
        <v>0</v>
      </c>
      <c r="QD26" s="1100"/>
      <c r="QE26" s="1100"/>
      <c r="QF26" s="1101"/>
      <c r="QG26" s="1110">
        <f>IF(QK10="Bovis","Attention retirer 2 mm aux dimensions transmises",0)</f>
        <v>0</v>
      </c>
      <c r="QH26" s="1100"/>
      <c r="QI26" s="1100"/>
      <c r="QJ26" s="1101"/>
      <c r="QK26" s="1110">
        <f>IF(QO10="Bovis","Attention retirer 2 mm aux dimensions transmises",0)</f>
        <v>0</v>
      </c>
      <c r="QL26" s="1100"/>
      <c r="QM26" s="1100"/>
      <c r="QN26" s="1101"/>
      <c r="QO26" s="1110">
        <f>IF(QS10="Bovis","Attention retirer 2 mm aux dimensions transmises",0)</f>
        <v>0</v>
      </c>
      <c r="QP26" s="1100"/>
      <c r="QQ26" s="1100"/>
      <c r="QR26" s="1101"/>
      <c r="QS26" s="1110">
        <f>IF(QW10="Bovis","Attention retirer 2 mm aux dimensions transmises",0)</f>
        <v>0</v>
      </c>
      <c r="QT26" s="1100"/>
      <c r="QU26" s="1100"/>
      <c r="QV26" s="1101"/>
      <c r="QW26" s="1110">
        <f>IF(RA10="Bovis","Attention retirer 2 mm aux dimensions transmises",0)</f>
        <v>0</v>
      </c>
      <c r="QX26" s="1100"/>
      <c r="QY26" s="1100"/>
      <c r="QZ26" s="1101"/>
      <c r="RA26" s="1110">
        <f>IF(RE10="Bovis","Attention retirer 2 mm aux dimensions transmises",0)</f>
        <v>0</v>
      </c>
      <c r="RB26" s="1100"/>
      <c r="RC26" s="1100"/>
      <c r="RD26" s="1101"/>
      <c r="RE26" s="1110">
        <f>IF(RI10="Bovis","Attention retirer 2 mm aux dimensions transmises",0)</f>
        <v>0</v>
      </c>
      <c r="RF26" s="1100"/>
      <c r="RG26" s="1100"/>
      <c r="RH26" s="1101"/>
      <c r="RI26" s="1110">
        <f>IF(RM10="Bovis","Attention retirer 2 mm aux dimensions transmises",0)</f>
        <v>0</v>
      </c>
      <c r="RJ26" s="1100"/>
      <c r="RK26" s="1100"/>
      <c r="RL26" s="1101"/>
      <c r="RM26" s="1110">
        <f>IF(RQ10="Bovis","Attention retirer 2 mm aux dimensions transmises",0)</f>
        <v>0</v>
      </c>
      <c r="RN26" s="1100"/>
      <c r="RO26" s="1100"/>
      <c r="RP26" s="1101"/>
      <c r="RQ26" s="1110">
        <f>IF(RU10="Bovis","Attention retirer 2 mm aux dimensions transmises",0)</f>
        <v>0</v>
      </c>
      <c r="RR26" s="1100"/>
      <c r="RS26" s="1100"/>
      <c r="RT26" s="1101"/>
      <c r="RU26" s="1110">
        <f>IF(RY10="Bovis","Attention retirer 2 mm aux dimensions transmises",0)</f>
        <v>0</v>
      </c>
      <c r="RV26" s="1100"/>
      <c r="RW26" s="1100"/>
      <c r="RX26" s="1101"/>
      <c r="RY26" s="1110">
        <f>IF(SC10="Bovis","Attention retirer 2 mm aux dimensions transmises",0)</f>
        <v>0</v>
      </c>
      <c r="RZ26" s="1100"/>
      <c r="SA26" s="1100"/>
      <c r="SB26" s="1101"/>
      <c r="SC26" s="1110">
        <f>IF(SG10="Bovis","Attention retirer 2 mm aux dimensions transmises",0)</f>
        <v>0</v>
      </c>
      <c r="SD26" s="1100"/>
      <c r="SE26" s="1100"/>
      <c r="SF26" s="1101"/>
      <c r="SG26" s="1110">
        <f>IF(SK10="Bovis","Attention retirer 2 mm aux dimensions transmises",0)</f>
        <v>0</v>
      </c>
      <c r="SH26" s="1100"/>
      <c r="SI26" s="1100"/>
      <c r="SJ26" s="1101"/>
      <c r="SK26" s="1110">
        <f>IF(SO10="Bovis","Attention retirer 2 mm aux dimensions transmises",0)</f>
        <v>0</v>
      </c>
      <c r="SL26" s="1100"/>
      <c r="SM26" s="1100"/>
      <c r="SN26" s="1101"/>
      <c r="SO26" s="1110">
        <f>IF(SS10="Bovis","Attention retirer 2 mm aux dimensions transmises",0)</f>
        <v>0</v>
      </c>
      <c r="SP26" s="1100"/>
      <c r="SQ26" s="1100"/>
      <c r="SR26" s="1101"/>
      <c r="SS26" s="1110">
        <f>IF(SW10="Bovis","Attention retirer 2 mm aux dimensions transmises",0)</f>
        <v>0</v>
      </c>
      <c r="ST26" s="1100"/>
      <c r="SU26" s="1100"/>
      <c r="SV26" s="1101"/>
      <c r="SW26" s="1110">
        <f>IF(TA10="Bovis","Attention retirer 2 mm aux dimensions transmises",0)</f>
        <v>0</v>
      </c>
      <c r="SX26" s="1100"/>
      <c r="SY26" s="1100"/>
      <c r="SZ26" s="1101"/>
      <c r="TA26" s="1110">
        <f>IF(TE10="Bovis","Attention retirer 2 mm aux dimensions transmises",0)</f>
        <v>0</v>
      </c>
      <c r="TB26" s="1100"/>
      <c r="TC26" s="1100"/>
      <c r="TD26" s="1101"/>
      <c r="TE26" s="1110">
        <f>IF(TI10="Bovis","Attention retirer 2 mm aux dimensions transmises",0)</f>
        <v>0</v>
      </c>
      <c r="TF26" s="1100"/>
      <c r="TG26" s="1100"/>
      <c r="TH26" s="1101"/>
      <c r="TI26" s="1110">
        <f>IF(TM10="Bovis","Attention retirer 2 mm aux dimensions transmises",0)</f>
        <v>0</v>
      </c>
      <c r="TJ26" s="1100"/>
      <c r="TK26" s="1100"/>
      <c r="TL26" s="1101"/>
      <c r="TM26" s="1110">
        <f>IF(TQ10="Bovis","Attention retirer 2 mm aux dimensions transmises",0)</f>
        <v>0</v>
      </c>
      <c r="TN26" s="1100"/>
      <c r="TO26" s="1100"/>
      <c r="TP26" s="1101"/>
      <c r="TQ26" s="1110">
        <f>IF(TU10="Bovis","Attention retirer 2 mm aux dimensions transmises",0)</f>
        <v>0</v>
      </c>
      <c r="TR26" s="1100"/>
      <c r="TS26" s="1100"/>
      <c r="TT26" s="1101"/>
      <c r="TU26" s="1110">
        <f>IF(TY10="Bovis","Attention retirer 2 mm aux dimensions transmises",0)</f>
        <v>0</v>
      </c>
      <c r="TV26" s="1100"/>
      <c r="TW26" s="1100"/>
      <c r="TX26" s="1101"/>
      <c r="TY26" s="1110">
        <f>IF(UC10="Bovis","Attention retirer 2 mm aux dimensions transmises",0)</f>
        <v>0</v>
      </c>
      <c r="TZ26" s="1100"/>
      <c r="UA26" s="1100"/>
      <c r="UB26" s="1101"/>
      <c r="UC26" s="1110">
        <f>IF(UG10="Bovis","Attention retirer 2 mm aux dimensions transmises",0)</f>
        <v>0</v>
      </c>
      <c r="UD26" s="1100"/>
      <c r="UE26" s="1100"/>
      <c r="UF26" s="1101"/>
      <c r="UG26" s="1110">
        <f>IF(UK10="Bovis","Attention retirer 2 mm aux dimensions transmises",0)</f>
        <v>0</v>
      </c>
      <c r="UH26" s="1100"/>
      <c r="UI26" s="1100"/>
      <c r="UJ26" s="1101"/>
      <c r="UK26" s="1110">
        <f>IF(UO10="Bovis","Attention retirer 2 mm aux dimensions transmises",0)</f>
        <v>0</v>
      </c>
      <c r="UL26" s="1100"/>
      <c r="UM26" s="1100"/>
      <c r="UN26" s="1101"/>
      <c r="UO26" s="1110">
        <f>IF(US10="Bovis","Attention retirer 2 mm aux dimensions transmises",0)</f>
        <v>0</v>
      </c>
      <c r="UP26" s="1100"/>
      <c r="UQ26" s="1100"/>
      <c r="UR26" s="1101"/>
      <c r="US26" s="1110">
        <f>IF(UW10="Bovis","Attention retirer 2 mm aux dimensions transmises",0)</f>
        <v>0</v>
      </c>
      <c r="UT26" s="1100"/>
      <c r="UU26" s="1100"/>
      <c r="UV26" s="1101"/>
      <c r="UW26" s="1110">
        <f>IF(VA10="Bovis","Attention retirer 2 mm aux dimensions transmises",0)</f>
        <v>0</v>
      </c>
      <c r="UX26" s="1100"/>
      <c r="UY26" s="1100"/>
      <c r="UZ26" s="1101"/>
      <c r="VA26" s="1110">
        <f>IF(VE10="Bovis","Attention retirer 2 mm aux dimensions transmises",0)</f>
        <v>0</v>
      </c>
      <c r="VB26" s="1100"/>
      <c r="VC26" s="1100"/>
      <c r="VD26" s="1101"/>
      <c r="VE26" s="1110">
        <f>IF(VI10="Bovis","Attention retirer 2 mm aux dimensions transmises",0)</f>
        <v>0</v>
      </c>
      <c r="VF26" s="1100"/>
      <c r="VG26" s="1100"/>
      <c r="VH26" s="1101"/>
      <c r="VI26" s="1110">
        <f>IF(VM10="Bovis","Attention retirer 2 mm aux dimensions transmises",0)</f>
        <v>0</v>
      </c>
      <c r="VJ26" s="1100"/>
      <c r="VK26" s="1100"/>
      <c r="VL26" s="1101"/>
      <c r="VM26" s="1110">
        <f>IF(VQ10="Bovis","Attention retirer 2 mm aux dimensions transmises",0)</f>
        <v>0</v>
      </c>
      <c r="VN26" s="1100"/>
      <c r="VO26" s="1100"/>
      <c r="VP26" s="1101"/>
      <c r="VQ26" s="1110">
        <f>IF(VU10="Bovis","Attention retirer 2 mm aux dimensions transmises",0)</f>
        <v>0</v>
      </c>
      <c r="VR26" s="1100"/>
      <c r="VS26" s="1100"/>
      <c r="VT26" s="1101"/>
      <c r="VU26" s="1110">
        <f>IF(VY10="Bovis","Attention retirer 2 mm aux dimensions transmises",0)</f>
        <v>0</v>
      </c>
      <c r="VV26" s="1100"/>
      <c r="VW26" s="1100"/>
      <c r="VX26" s="1101"/>
      <c r="VY26" s="1110">
        <f>IF(WC10="Bovis","Attention retirer 2 mm aux dimensions transmises",0)</f>
        <v>0</v>
      </c>
      <c r="VZ26" s="1100"/>
      <c r="WA26" s="1100"/>
      <c r="WB26" s="1101"/>
      <c r="WC26" s="1110">
        <f>IF(WG10="Bovis","Attention retirer 2 mm aux dimensions transmises",0)</f>
        <v>0</v>
      </c>
      <c r="WD26" s="1100"/>
      <c r="WE26" s="1100"/>
      <c r="WF26" s="1101"/>
      <c r="WG26" s="1110">
        <f>IF(WK10="Bovis","Attention retirer 2 mm aux dimensions transmises",0)</f>
        <v>0</v>
      </c>
      <c r="WH26" s="1100"/>
      <c r="WI26" s="1100"/>
      <c r="WJ26" s="1101"/>
      <c r="WK26" s="1110">
        <f>IF(WO10="Bovis","Attention retirer 2 mm aux dimensions transmises",0)</f>
        <v>0</v>
      </c>
      <c r="WL26" s="1100"/>
      <c r="WM26" s="1100"/>
      <c r="WN26" s="1101"/>
      <c r="WO26" s="1110">
        <f>IF(WS10="Bovis","Attention retirer 2 mm aux dimensions transmises",0)</f>
        <v>0</v>
      </c>
      <c r="WP26" s="1100"/>
      <c r="WQ26" s="1100"/>
      <c r="WR26" s="1101"/>
      <c r="WS26" s="1110">
        <f>IF(WW10="Bovis","Attention retirer 2 mm aux dimensions transmises",0)</f>
        <v>0</v>
      </c>
      <c r="WT26" s="1100"/>
      <c r="WU26" s="1100"/>
      <c r="WV26" s="1101"/>
      <c r="WW26" s="1110">
        <f>IF(XA10="Bovis","Attention retirer 2 mm aux dimensions transmises",0)</f>
        <v>0</v>
      </c>
      <c r="WX26" s="1100"/>
      <c r="WY26" s="1100"/>
      <c r="WZ26" s="1101"/>
      <c r="XA26" s="1110">
        <f>IF(XE10="Bovis","Attention retirer 2 mm aux dimensions transmises",0)</f>
        <v>0</v>
      </c>
      <c r="XB26" s="1100"/>
      <c r="XC26" s="1100"/>
      <c r="XD26" s="1101"/>
      <c r="XE26" s="1110">
        <f>IF(XI10="Bovis","Attention retirer 2 mm aux dimensions transmises",0)</f>
        <v>0</v>
      </c>
      <c r="XF26" s="1100"/>
      <c r="XG26" s="1100"/>
      <c r="XH26" s="1101"/>
      <c r="XI26" s="1110">
        <f>IF(XM10="Bovis","Attention retirer 2 mm aux dimensions transmises",0)</f>
        <v>0</v>
      </c>
      <c r="XJ26" s="1100"/>
      <c r="XK26" s="1100"/>
      <c r="XL26" s="1101"/>
      <c r="XM26" s="1110">
        <f>IF(XQ10="Bovis","Attention retirer 2 mm aux dimensions transmises",0)</f>
        <v>0</v>
      </c>
      <c r="XN26" s="1100"/>
      <c r="XO26" s="1100"/>
      <c r="XP26" s="1101"/>
      <c r="XQ26" s="1110">
        <f>IF(XU10="Bovis","Attention retirer 2 mm aux dimensions transmises",0)</f>
        <v>0</v>
      </c>
      <c r="XR26" s="1100"/>
      <c r="XS26" s="1100"/>
      <c r="XT26" s="1101"/>
      <c r="XU26" s="1110">
        <f>IF(XY10="Bovis","Attention retirer 2 mm aux dimensions transmises",0)</f>
        <v>0</v>
      </c>
      <c r="XV26" s="1100"/>
      <c r="XW26" s="1100"/>
      <c r="XX26" s="1101"/>
      <c r="XY26" s="1110">
        <f>IF(YC10="Bovis","Attention retirer 2 mm aux dimensions transmises",0)</f>
        <v>0</v>
      </c>
      <c r="XZ26" s="1100"/>
      <c r="YA26" s="1100"/>
      <c r="YB26" s="1101"/>
      <c r="YC26" s="1110">
        <f>IF(YG10="Bovis","Attention retirer 2 mm aux dimensions transmises",0)</f>
        <v>0</v>
      </c>
      <c r="YD26" s="1100"/>
      <c r="YE26" s="1100"/>
      <c r="YF26" s="1101"/>
      <c r="YG26" s="1110">
        <f>IF(YK10="Bovis","Attention retirer 2 mm aux dimensions transmises",0)</f>
        <v>0</v>
      </c>
      <c r="YH26" s="1100"/>
      <c r="YI26" s="1100"/>
      <c r="YJ26" s="1101"/>
      <c r="YK26" s="1110">
        <f>IF(YO10="Bovis","Attention retirer 2 mm aux dimensions transmises",0)</f>
        <v>0</v>
      </c>
      <c r="YL26" s="1100"/>
      <c r="YM26" s="1100"/>
      <c r="YN26" s="1101"/>
      <c r="YO26" s="1110">
        <f>IF(YS10="Bovis","Attention retirer 2 mm aux dimensions transmises",0)</f>
        <v>0</v>
      </c>
      <c r="YP26" s="1100"/>
      <c r="YQ26" s="1100"/>
      <c r="YR26" s="1101"/>
      <c r="YS26" s="1110">
        <f>IF(YW10="Bovis","Attention retirer 2 mm aux dimensions transmises",0)</f>
        <v>0</v>
      </c>
      <c r="YT26" s="1100"/>
      <c r="YU26" s="1100"/>
      <c r="YV26" s="1101"/>
      <c r="YW26" s="1110">
        <f>IF(ZA10="Bovis","Attention retirer 2 mm aux dimensions transmises",0)</f>
        <v>0</v>
      </c>
      <c r="YX26" s="1100"/>
      <c r="YY26" s="1100"/>
      <c r="YZ26" s="1101"/>
      <c r="ZA26" s="1110">
        <f>IF(ZE10="Bovis","Attention retirer 2 mm aux dimensions transmises",0)</f>
        <v>0</v>
      </c>
      <c r="ZB26" s="1100"/>
      <c r="ZC26" s="1100"/>
      <c r="ZD26" s="1101"/>
      <c r="ZE26" s="1110">
        <f>IF(ZI10="Bovis","Attention retirer 2 mm aux dimensions transmises",0)</f>
        <v>0</v>
      </c>
      <c r="ZF26" s="1100"/>
      <c r="ZG26" s="1100"/>
      <c r="ZH26" s="1101"/>
      <c r="ZI26" s="1110">
        <f>IF(ZM10="Bovis","Attention retirer 2 mm aux dimensions transmises",0)</f>
        <v>0</v>
      </c>
      <c r="ZJ26" s="1100"/>
      <c r="ZK26" s="1100"/>
      <c r="ZL26" s="1101"/>
      <c r="ZM26" s="1110">
        <f>IF(ZQ10="Bovis","Attention retirer 2 mm aux dimensions transmises",0)</f>
        <v>0</v>
      </c>
      <c r="ZN26" s="1100"/>
      <c r="ZO26" s="1100"/>
      <c r="ZP26" s="1101"/>
      <c r="ZQ26" s="1110">
        <f>IF(ZU10="Bovis","Attention retirer 2 mm aux dimensions transmises",0)</f>
        <v>0</v>
      </c>
      <c r="ZR26" s="1100"/>
      <c r="ZS26" s="1100"/>
      <c r="ZT26" s="1101"/>
      <c r="ZU26" s="1110">
        <f>IF(ZY10="Bovis","Attention retirer 2 mm aux dimensions transmises",0)</f>
        <v>0</v>
      </c>
      <c r="ZV26" s="1100"/>
      <c r="ZW26" s="1100"/>
      <c r="ZX26" s="1101"/>
      <c r="ZY26" s="1110">
        <f>IF(AAC10="Bovis","Attention retirer 2 mm aux dimensions transmises",0)</f>
        <v>0</v>
      </c>
      <c r="ZZ26" s="1100"/>
      <c r="AAA26" s="1100"/>
      <c r="AAB26" s="1101"/>
      <c r="AAC26" s="1110">
        <f>IF(AAG10="Bovis","Attention retirer 2 mm aux dimensions transmises",0)</f>
        <v>0</v>
      </c>
      <c r="AAD26" s="1100"/>
      <c r="AAE26" s="1100"/>
      <c r="AAF26" s="1101"/>
      <c r="AAG26" s="1110">
        <f>IF(AAK10="Bovis","Attention retirer 2 mm aux dimensions transmises",0)</f>
        <v>0</v>
      </c>
      <c r="AAH26" s="1100"/>
      <c r="AAI26" s="1100"/>
      <c r="AAJ26" s="1101"/>
      <c r="AAK26" s="1110">
        <f>IF(AAO10="Bovis","Attention retirer 2 mm aux dimensions transmises",0)</f>
        <v>0</v>
      </c>
      <c r="AAL26" s="1100"/>
      <c r="AAM26" s="1100"/>
      <c r="AAN26" s="1101"/>
      <c r="AAO26" s="1110">
        <f>IF(AAS10="Bovis","Attention retirer 2 mm aux dimensions transmises",0)</f>
        <v>0</v>
      </c>
      <c r="AAP26" s="1100"/>
      <c r="AAQ26" s="1100"/>
      <c r="AAR26" s="1101"/>
      <c r="AAS26" s="1110">
        <f>IF(AAW10="Bovis","Attention retirer 2 mm aux dimensions transmises",0)</f>
        <v>0</v>
      </c>
      <c r="AAT26" s="1100"/>
      <c r="AAU26" s="1100"/>
      <c r="AAV26" s="1101"/>
      <c r="AAW26" s="1110">
        <f>IF(ABA10="Bovis","Attention retirer 2 mm aux dimensions transmises",0)</f>
        <v>0</v>
      </c>
      <c r="AAX26" s="1100"/>
      <c r="AAY26" s="1100"/>
      <c r="AAZ26" s="1101"/>
      <c r="ABA26" s="1110">
        <f>IF(ABE10="Bovis","Attention retirer 2 mm aux dimensions transmises",0)</f>
        <v>0</v>
      </c>
      <c r="ABB26" s="1100"/>
      <c r="ABC26" s="1100"/>
      <c r="ABD26" s="1101"/>
      <c r="ABE26" s="1110">
        <f>IF(ABI10="Bovis","Attention retirer 2 mm aux dimensions transmises",0)</f>
        <v>0</v>
      </c>
      <c r="ABF26" s="1100"/>
      <c r="ABG26" s="1100"/>
      <c r="ABH26" s="1101"/>
      <c r="ABI26" s="1110">
        <f>IF(ABM10="Bovis","Attention retirer 2 mm aux dimensions transmises",0)</f>
        <v>0</v>
      </c>
      <c r="ABJ26" s="1100"/>
      <c r="ABK26" s="1100"/>
      <c r="ABL26" s="1101"/>
      <c r="ABM26" s="1110">
        <f>IF(ABQ10="Bovis","Attention retirer 2 mm aux dimensions transmises",0)</f>
        <v>0</v>
      </c>
      <c r="ABN26" s="1100"/>
      <c r="ABO26" s="1100"/>
      <c r="ABP26" s="1101"/>
      <c r="ABQ26" s="1110">
        <f>IF(ABU10="Bovis","Attention retirer 2 mm aux dimensions transmises",0)</f>
        <v>0</v>
      </c>
      <c r="ABR26" s="1100"/>
      <c r="ABS26" s="1100"/>
      <c r="ABT26" s="1101"/>
      <c r="ABU26" s="1110">
        <f>IF(ABY10="Bovis","Attention retirer 2 mm aux dimensions transmises",0)</f>
        <v>0</v>
      </c>
      <c r="ABV26" s="1100"/>
      <c r="ABW26" s="1100"/>
      <c r="ABX26" s="1101"/>
      <c r="ABY26" s="1110">
        <f>IF(ACC10="Bovis","Attention retirer 2 mm aux dimensions transmises",0)</f>
        <v>0</v>
      </c>
      <c r="ABZ26" s="1100"/>
      <c r="ACA26" s="1100"/>
      <c r="ACB26" s="1101"/>
      <c r="ACC26" s="1110">
        <f>IF(ACG10="Bovis","Attention retirer 2 mm aux dimensions transmises",0)</f>
        <v>0</v>
      </c>
      <c r="ACD26" s="1100"/>
      <c r="ACE26" s="1100"/>
      <c r="ACF26" s="1101"/>
      <c r="ACG26" s="1110">
        <f>IF(ACK10="Bovis","Attention retirer 2 mm aux dimensions transmises",0)</f>
        <v>0</v>
      </c>
      <c r="ACH26" s="1100"/>
      <c r="ACI26" s="1100"/>
      <c r="ACJ26" s="1101"/>
      <c r="ACK26" s="1110">
        <f>IF(ACO10="Bovis","Attention retirer 2 mm aux dimensions transmises",0)</f>
        <v>0</v>
      </c>
      <c r="ACL26" s="1100"/>
      <c r="ACM26" s="1100"/>
      <c r="ACN26" s="1101"/>
      <c r="ACO26" s="1110">
        <f>IF(ACS10="Bovis","Attention retirer 2 mm aux dimensions transmises",0)</f>
        <v>0</v>
      </c>
      <c r="ACP26" s="1100"/>
      <c r="ACQ26" s="1100"/>
      <c r="ACR26" s="1101"/>
      <c r="ACS26" s="1110">
        <f>IF(ACW10="Bovis","Attention retirer 2 mm aux dimensions transmises",0)</f>
        <v>0</v>
      </c>
      <c r="ACT26" s="1100"/>
      <c r="ACU26" s="1100"/>
      <c r="ACV26" s="1101"/>
      <c r="ACW26" s="1110">
        <f>IF(ADA10="Bovis","Attention retirer 2 mm aux dimensions transmises",0)</f>
        <v>0</v>
      </c>
      <c r="ACX26" s="1100"/>
      <c r="ACY26" s="1100"/>
      <c r="ACZ26" s="1101"/>
      <c r="ADA26" s="1110">
        <f>IF(ADE10="Bovis","Attention retirer 2 mm aux dimensions transmises",0)</f>
        <v>0</v>
      </c>
      <c r="ADB26" s="1100"/>
      <c r="ADC26" s="1100"/>
      <c r="ADD26" s="1101"/>
      <c r="ADE26" s="1110">
        <f>IF(ADI10="Bovis","Attention retirer 2 mm aux dimensions transmises",0)</f>
        <v>0</v>
      </c>
      <c r="ADF26" s="1100"/>
      <c r="ADG26" s="1100"/>
      <c r="ADH26" s="1101"/>
      <c r="ADI26" s="1110">
        <f>IF(ADM10="Bovis","Attention retirer 2 mm aux dimensions transmises",0)</f>
        <v>0</v>
      </c>
      <c r="ADJ26" s="1100"/>
      <c r="ADK26" s="1100"/>
      <c r="ADL26" s="1101"/>
      <c r="ADM26" s="1110">
        <f>IF(ADQ10="Bovis","Attention retirer 2 mm aux dimensions transmises",0)</f>
        <v>0</v>
      </c>
      <c r="ADN26" s="1100"/>
      <c r="ADO26" s="1100"/>
      <c r="ADP26" s="1101"/>
      <c r="ADQ26" s="1110">
        <f>IF(ADU10="Bovis","Attention retirer 2 mm aux dimensions transmises",0)</f>
        <v>0</v>
      </c>
      <c r="ADR26" s="1100"/>
      <c r="ADS26" s="1100"/>
      <c r="ADT26" s="1101"/>
      <c r="ADU26" s="1110">
        <f>IF(ADY10="Bovis","Attention retirer 2 mm aux dimensions transmises",0)</f>
        <v>0</v>
      </c>
      <c r="ADV26" s="1100"/>
      <c r="ADW26" s="1100"/>
      <c r="ADX26" s="1101"/>
      <c r="ADY26" s="1110">
        <f>IF(AEC10="Bovis","Attention retirer 2 mm aux dimensions transmises",0)</f>
        <v>0</v>
      </c>
      <c r="ADZ26" s="1100"/>
      <c r="AEA26" s="1100"/>
      <c r="AEB26" s="1101"/>
      <c r="AEC26" s="1110">
        <f>IF(AEG10="Bovis","Attention retirer 2 mm aux dimensions transmises",0)</f>
        <v>0</v>
      </c>
      <c r="AED26" s="1100"/>
      <c r="AEE26" s="1100"/>
      <c r="AEF26" s="1101"/>
      <c r="AEG26" s="1110">
        <f>IF(AEK10="Bovis","Attention retirer 2 mm aux dimensions transmises",0)</f>
        <v>0</v>
      </c>
      <c r="AEH26" s="1100"/>
      <c r="AEI26" s="1100"/>
      <c r="AEJ26" s="1101"/>
      <c r="AEK26" s="1110">
        <f>IF(AEO10="Bovis","Attention retirer 2 mm aux dimensions transmises",0)</f>
        <v>0</v>
      </c>
      <c r="AEL26" s="1100"/>
      <c r="AEM26" s="1100"/>
      <c r="AEN26" s="1101"/>
      <c r="AEO26" s="1110">
        <f>IF(AES10="Bovis","Attention retirer 2 mm aux dimensions transmises",0)</f>
        <v>0</v>
      </c>
      <c r="AEP26" s="1100"/>
      <c r="AEQ26" s="1100"/>
      <c r="AER26" s="1101"/>
      <c r="AES26" s="1110">
        <f>IF(AEW10="Bovis","Attention retirer 2 mm aux dimensions transmises",0)</f>
        <v>0</v>
      </c>
      <c r="AET26" s="1100"/>
      <c r="AEU26" s="1100"/>
      <c r="AEV26" s="1101"/>
      <c r="AEW26" s="1110">
        <f>IF(AFA10="Bovis","Attention retirer 2 mm aux dimensions transmises",0)</f>
        <v>0</v>
      </c>
      <c r="AEX26" s="1100"/>
      <c r="AEY26" s="1100"/>
      <c r="AEZ26" s="1101"/>
      <c r="AFA26" s="1110">
        <f>IF(AFE10="Bovis","Attention retirer 2 mm aux dimensions transmises",0)</f>
        <v>0</v>
      </c>
      <c r="AFB26" s="1100"/>
      <c r="AFC26" s="1100"/>
      <c r="AFD26" s="1101"/>
      <c r="AFE26" s="1110">
        <f>IF(AFI10="Bovis","Attention retirer 2 mm aux dimensions transmises",0)</f>
        <v>0</v>
      </c>
      <c r="AFF26" s="1100"/>
      <c r="AFG26" s="1100"/>
      <c r="AFH26" s="1101"/>
      <c r="AFI26" s="1110">
        <f>IF(AFM10="Bovis","Attention retirer 2 mm aux dimensions transmises",0)</f>
        <v>0</v>
      </c>
      <c r="AFJ26" s="1100"/>
      <c r="AFK26" s="1100"/>
      <c r="AFL26" s="1101"/>
      <c r="AFM26" s="1110">
        <f>IF(AFQ10="Bovis","Attention retirer 2 mm aux dimensions transmises",0)</f>
        <v>0</v>
      </c>
      <c r="AFN26" s="1100"/>
      <c r="AFO26" s="1100"/>
      <c r="AFP26" s="1101"/>
      <c r="AFQ26" s="1110">
        <f>IF(AFU10="Bovis","Attention retirer 2 mm aux dimensions transmises",0)</f>
        <v>0</v>
      </c>
      <c r="AFR26" s="1100"/>
      <c r="AFS26" s="1100"/>
      <c r="AFT26" s="1101"/>
      <c r="AFU26" s="1110">
        <f>IF(AFY10="Bovis","Attention retirer 2 mm aux dimensions transmises",0)</f>
        <v>0</v>
      </c>
      <c r="AFV26" s="1100"/>
      <c r="AFW26" s="1100"/>
      <c r="AFX26" s="1101"/>
      <c r="AFY26" s="1110">
        <f>IF(AGC10="Bovis","Attention retirer 2 mm aux dimensions transmises",0)</f>
        <v>0</v>
      </c>
      <c r="AFZ26" s="1100"/>
      <c r="AGA26" s="1100"/>
      <c r="AGB26" s="1101"/>
      <c r="AGC26" s="1110">
        <f>IF(AGG10="Bovis","Attention retirer 2 mm aux dimensions transmises",0)</f>
        <v>0</v>
      </c>
      <c r="AGD26" s="1100"/>
      <c r="AGE26" s="1100"/>
      <c r="AGF26" s="1101"/>
      <c r="AGG26" s="1110">
        <f>IF(AGK10="Bovis","Attention retirer 2 mm aux dimensions transmises",0)</f>
        <v>0</v>
      </c>
      <c r="AGH26" s="1100"/>
      <c r="AGI26" s="1100"/>
      <c r="AGJ26" s="1101"/>
      <c r="AGK26" s="1110">
        <f>IF(AGO10="Bovis","Attention retirer 2 mm aux dimensions transmises",0)</f>
        <v>0</v>
      </c>
      <c r="AGL26" s="1100"/>
      <c r="AGM26" s="1100"/>
      <c r="AGN26" s="1101"/>
      <c r="AGO26" s="1110">
        <f>IF(AGS10="Bovis","Attention retirer 2 mm aux dimensions transmises",0)</f>
        <v>0</v>
      </c>
      <c r="AGP26" s="1100"/>
      <c r="AGQ26" s="1100"/>
      <c r="AGR26" s="1101"/>
      <c r="AGS26" s="1110">
        <f>IF(AGW10="Bovis","Attention retirer 2 mm aux dimensions transmises",0)</f>
        <v>0</v>
      </c>
      <c r="AGT26" s="1100"/>
      <c r="AGU26" s="1100"/>
      <c r="AGV26" s="1101"/>
      <c r="AGW26" s="1110">
        <f>IF(AHA10="Bovis","Attention retirer 2 mm aux dimensions transmises",0)</f>
        <v>0</v>
      </c>
      <c r="AGX26" s="1100"/>
      <c r="AGY26" s="1100"/>
      <c r="AGZ26" s="1101"/>
      <c r="AHA26" s="1110">
        <f>IF(AHE10="Bovis","Attention retirer 2 mm aux dimensions transmises",0)</f>
        <v>0</v>
      </c>
      <c r="AHB26" s="1100"/>
      <c r="AHC26" s="1100"/>
      <c r="AHD26" s="1101"/>
      <c r="AHE26" s="1110">
        <f>IF(AHI10="Bovis","Attention retirer 2 mm aux dimensions transmises",0)</f>
        <v>0</v>
      </c>
      <c r="AHF26" s="1100"/>
      <c r="AHG26" s="1100"/>
      <c r="AHH26" s="1101"/>
      <c r="AHI26" s="1110">
        <f>IF(AHM10="Bovis","Attention retirer 2 mm aux dimensions transmises",0)</f>
        <v>0</v>
      </c>
      <c r="AHJ26" s="1100"/>
      <c r="AHK26" s="1100"/>
      <c r="AHL26" s="1101"/>
      <c r="AHM26" s="1110">
        <f>IF(AHQ10="Bovis","Attention retirer 2 mm aux dimensions transmises",0)</f>
        <v>0</v>
      </c>
      <c r="AHN26" s="1100"/>
      <c r="AHO26" s="1100"/>
      <c r="AHP26" s="1101"/>
      <c r="AHQ26" s="1110">
        <f>IF(AHU10="Bovis","Attention retirer 2 mm aux dimensions transmises",0)</f>
        <v>0</v>
      </c>
      <c r="AHR26" s="1100"/>
      <c r="AHS26" s="1100"/>
      <c r="AHT26" s="1101"/>
      <c r="AHU26" s="1110">
        <f>IF(AHY10="Bovis","Attention retirer 2 mm aux dimensions transmises",0)</f>
        <v>0</v>
      </c>
      <c r="AHV26" s="1100"/>
      <c r="AHW26" s="1100"/>
      <c r="AHX26" s="1101"/>
      <c r="AHY26" s="1110">
        <f>IF(AIC10="Bovis","Attention retirer 2 mm aux dimensions transmises",0)</f>
        <v>0</v>
      </c>
      <c r="AHZ26" s="1100"/>
      <c r="AIA26" s="1100"/>
      <c r="AIB26" s="1101"/>
      <c r="AIC26" s="1110">
        <f>IF(AIG10="Bovis","Attention retirer 2 mm aux dimensions transmises",0)</f>
        <v>0</v>
      </c>
      <c r="AID26" s="1100"/>
      <c r="AIE26" s="1100"/>
      <c r="AIF26" s="1101"/>
      <c r="AIG26" s="1110">
        <f>IF(AIK10="Bovis","Attention retirer 2 mm aux dimensions transmises",0)</f>
        <v>0</v>
      </c>
      <c r="AIH26" s="1100"/>
      <c r="AII26" s="1100"/>
      <c r="AIJ26" s="1101"/>
      <c r="AIK26" s="1110">
        <f>IF(AIO10="Bovis","Attention retirer 2 mm aux dimensions transmises",0)</f>
        <v>0</v>
      </c>
      <c r="AIL26" s="1100"/>
      <c r="AIM26" s="1100"/>
      <c r="AIN26" s="1101"/>
      <c r="AIO26" s="1110">
        <f>IF(AIS10="Bovis","Attention retirer 2 mm aux dimensions transmises",0)</f>
        <v>0</v>
      </c>
      <c r="AIP26" s="1100"/>
      <c r="AIQ26" s="1100"/>
      <c r="AIR26" s="1101"/>
      <c r="AIS26" s="1110">
        <f>IF(AIW10="Bovis","Attention retirer 2 mm aux dimensions transmises",0)</f>
        <v>0</v>
      </c>
      <c r="AIT26" s="1100"/>
      <c r="AIU26" s="1100"/>
      <c r="AIV26" s="1101"/>
      <c r="AIW26" s="1110">
        <f>IF(AJA10="Bovis","Attention retirer 2 mm aux dimensions transmises",0)</f>
        <v>0</v>
      </c>
      <c r="AIX26" s="1100"/>
      <c r="AIY26" s="1100"/>
      <c r="AIZ26" s="1101"/>
      <c r="AJA26" s="1110">
        <f>IF(AJE10="Bovis","Attention retirer 2 mm aux dimensions transmises",0)</f>
        <v>0</v>
      </c>
      <c r="AJB26" s="1100"/>
      <c r="AJC26" s="1100"/>
      <c r="AJD26" s="1101"/>
      <c r="AJE26" s="1110">
        <f>IF(AJI10="Bovis","Attention retirer 2 mm aux dimensions transmises",0)</f>
        <v>0</v>
      </c>
      <c r="AJF26" s="1100"/>
      <c r="AJG26" s="1100"/>
      <c r="AJH26" s="1101"/>
      <c r="AJI26" s="1110">
        <f>IF(AJM10="Bovis","Attention retirer 2 mm aux dimensions transmises",0)</f>
        <v>0</v>
      </c>
      <c r="AJJ26" s="1100"/>
      <c r="AJK26" s="1100"/>
      <c r="AJL26" s="1101"/>
      <c r="AJM26" s="1110">
        <f>IF(AJQ10="Bovis","Attention retirer 2 mm aux dimensions transmises",0)</f>
        <v>0</v>
      </c>
      <c r="AJN26" s="1100"/>
      <c r="AJO26" s="1100"/>
      <c r="AJP26" s="1101"/>
      <c r="AJQ26" s="1110">
        <f>IF(AJU10="Bovis","Attention retirer 2 mm aux dimensions transmises",0)</f>
        <v>0</v>
      </c>
      <c r="AJR26" s="1100"/>
      <c r="AJS26" s="1100"/>
      <c r="AJT26" s="1101"/>
      <c r="AJU26" s="1110">
        <f>IF(AJY10="Bovis","Attention retirer 2 mm aux dimensions transmises",0)</f>
        <v>0</v>
      </c>
      <c r="AJV26" s="1100"/>
      <c r="AJW26" s="1100"/>
      <c r="AJX26" s="1101"/>
      <c r="AJY26" s="1110">
        <f>IF(AKC10="Bovis","Attention retirer 2 mm aux dimensions transmises",0)</f>
        <v>0</v>
      </c>
      <c r="AJZ26" s="1100"/>
      <c r="AKA26" s="1100"/>
      <c r="AKB26" s="1101"/>
      <c r="AKC26" s="1110">
        <f>IF(AKG10="Bovis","Attention retirer 2 mm aux dimensions transmises",0)</f>
        <v>0</v>
      </c>
      <c r="AKD26" s="1100"/>
      <c r="AKE26" s="1100"/>
      <c r="AKF26" s="1101"/>
      <c r="AKG26" s="1110">
        <f>IF(AKK10="Bovis","Attention retirer 2 mm aux dimensions transmises",0)</f>
        <v>0</v>
      </c>
      <c r="AKH26" s="1100"/>
      <c r="AKI26" s="1100"/>
      <c r="AKJ26" s="1101"/>
      <c r="AKK26" s="1110">
        <f>IF(AKO10="Bovis","Attention retirer 2 mm aux dimensions transmises",0)</f>
        <v>0</v>
      </c>
      <c r="AKL26" s="1100"/>
      <c r="AKM26" s="1100"/>
      <c r="AKN26" s="1101"/>
      <c r="AKO26" s="1110">
        <f>IF(AKS10="Bovis","Attention retirer 2 mm aux dimensions transmises",0)</f>
        <v>0</v>
      </c>
      <c r="AKP26" s="1100"/>
      <c r="AKQ26" s="1100"/>
      <c r="AKR26" s="1101"/>
      <c r="AKS26" s="1110">
        <f>IF(AKW10="Bovis","Attention retirer 2 mm aux dimensions transmises",0)</f>
        <v>0</v>
      </c>
      <c r="AKT26" s="1100"/>
      <c r="AKU26" s="1100"/>
      <c r="AKV26" s="1101"/>
      <c r="AKW26" s="1110">
        <f>IF(ALA10="Bovis","Attention retirer 2 mm aux dimensions transmises",0)</f>
        <v>0</v>
      </c>
      <c r="AKX26" s="1100"/>
      <c r="AKY26" s="1100"/>
      <c r="AKZ26" s="1101"/>
      <c r="ALA26" s="1110">
        <f>IF(ALE10="Bovis","Attention retirer 2 mm aux dimensions transmises",0)</f>
        <v>0</v>
      </c>
      <c r="ALB26" s="1100"/>
      <c r="ALC26" s="1100"/>
      <c r="ALD26" s="1101"/>
      <c r="ALE26" s="1110">
        <f>IF(ALI10="Bovis","Attention retirer 2 mm aux dimensions transmises",0)</f>
        <v>0</v>
      </c>
      <c r="ALF26" s="1100"/>
      <c r="ALG26" s="1100"/>
      <c r="ALH26" s="1101"/>
      <c r="ALI26" s="1110">
        <f>IF(ALM10="Bovis","Attention retirer 2 mm aux dimensions transmises",0)</f>
        <v>0</v>
      </c>
      <c r="ALJ26" s="1100"/>
      <c r="ALK26" s="1100"/>
      <c r="ALL26" s="1101"/>
      <c r="ALM26" s="1110">
        <f>IF(ALQ10="Bovis","Attention retirer 2 mm aux dimensions transmises",0)</f>
        <v>0</v>
      </c>
      <c r="ALN26" s="1100"/>
      <c r="ALO26" s="1100"/>
      <c r="ALP26" s="1101"/>
      <c r="ALQ26" s="1110">
        <f>IF(ALU10="Bovis","Attention retirer 2 mm aux dimensions transmises",0)</f>
        <v>0</v>
      </c>
      <c r="ALR26" s="1100"/>
      <c r="ALS26" s="1100"/>
      <c r="ALT26" s="1101"/>
      <c r="ALU26" s="1110">
        <f>IF(ALY10="Bovis","Attention retirer 2 mm aux dimensions transmises",0)</f>
        <v>0</v>
      </c>
      <c r="ALV26" s="1100"/>
      <c r="ALW26" s="1100"/>
      <c r="ALX26" s="1101"/>
      <c r="ALY26" s="1110">
        <f>IF(AMC10="Bovis","Attention retirer 2 mm aux dimensions transmises",0)</f>
        <v>0</v>
      </c>
      <c r="ALZ26" s="1100"/>
      <c r="AMA26" s="1100"/>
      <c r="AMB26" s="1101"/>
      <c r="AMC26" s="1110">
        <f>IF(AMG10="Bovis","Attention retirer 2 mm aux dimensions transmises",0)</f>
        <v>0</v>
      </c>
      <c r="AMD26" s="1100"/>
      <c r="AME26" s="1100"/>
      <c r="AMF26" s="1101"/>
      <c r="AMG26" s="1110">
        <f>IF(AMK10="Bovis","Attention retirer 2 mm aux dimensions transmises",0)</f>
        <v>0</v>
      </c>
      <c r="AMH26" s="1100"/>
      <c r="AMI26" s="1100"/>
      <c r="AMJ26" s="1101"/>
      <c r="AMK26" s="1110">
        <f>IF(AMO10="Bovis","Attention retirer 2 mm aux dimensions transmises",0)</f>
        <v>0</v>
      </c>
      <c r="AML26" s="1100"/>
      <c r="AMM26" s="1100"/>
      <c r="AMN26" s="1101"/>
      <c r="AMO26" s="1110">
        <f>IF(AMS10="Bovis","Attention retirer 2 mm aux dimensions transmises",0)</f>
        <v>0</v>
      </c>
      <c r="AMP26" s="1100"/>
      <c r="AMQ26" s="1100"/>
      <c r="AMR26" s="1101"/>
      <c r="AMS26" s="1110">
        <f>IF(AMW10="Bovis","Attention retirer 2 mm aux dimensions transmises",0)</f>
        <v>0</v>
      </c>
      <c r="AMT26" s="1100"/>
      <c r="AMU26" s="1100"/>
      <c r="AMV26" s="1101"/>
      <c r="AMW26" s="1110">
        <f>IF(ANA10="Bovis","Attention retirer 2 mm aux dimensions transmises",0)</f>
        <v>0</v>
      </c>
      <c r="AMX26" s="1100"/>
      <c r="AMY26" s="1100"/>
      <c r="AMZ26" s="1101"/>
      <c r="ANA26" s="1110">
        <f>IF(ANE10="Bovis","Attention retirer 2 mm aux dimensions transmises",0)</f>
        <v>0</v>
      </c>
      <c r="ANB26" s="1100"/>
      <c r="ANC26" s="1100"/>
      <c r="AND26" s="1101"/>
      <c r="ANE26" s="1110">
        <f>IF(ANI10="Bovis","Attention retirer 2 mm aux dimensions transmises",0)</f>
        <v>0</v>
      </c>
      <c r="ANF26" s="1100"/>
      <c r="ANG26" s="1100"/>
      <c r="ANH26" s="1101"/>
      <c r="ANI26" s="1110">
        <f>IF(ANM10="Bovis","Attention retirer 2 mm aux dimensions transmises",0)</f>
        <v>0</v>
      </c>
      <c r="ANJ26" s="1100"/>
      <c r="ANK26" s="1100"/>
      <c r="ANL26" s="1101"/>
      <c r="ANM26" s="1110">
        <f>IF(ANQ10="Bovis","Attention retirer 2 mm aux dimensions transmises",0)</f>
        <v>0</v>
      </c>
      <c r="ANN26" s="1100"/>
      <c r="ANO26" s="1100"/>
      <c r="ANP26" s="1101"/>
      <c r="ANQ26" s="1110">
        <f>IF(ANU10="Bovis","Attention retirer 2 mm aux dimensions transmises",0)</f>
        <v>0</v>
      </c>
      <c r="ANR26" s="1100"/>
      <c r="ANS26" s="1100"/>
      <c r="ANT26" s="1101"/>
      <c r="ANU26" s="1110">
        <f>IF(ANY10="Bovis","Attention retirer 2 mm aux dimensions transmises",0)</f>
        <v>0</v>
      </c>
      <c r="ANV26" s="1100"/>
      <c r="ANW26" s="1100"/>
      <c r="ANX26" s="1101"/>
      <c r="ANY26" s="1110">
        <f>IF(AOC10="Bovis","Attention retirer 2 mm aux dimensions transmises",0)</f>
        <v>0</v>
      </c>
      <c r="ANZ26" s="1100"/>
      <c r="AOA26" s="1100"/>
      <c r="AOB26" s="1101"/>
      <c r="AOC26" s="1110">
        <f>IF(AOG10="Bovis","Attention retirer 2 mm aux dimensions transmises",0)</f>
        <v>0</v>
      </c>
      <c r="AOD26" s="1100"/>
      <c r="AOE26" s="1100"/>
      <c r="AOF26" s="1101"/>
      <c r="AOG26" s="1110">
        <f>IF(AOK10="Bovis","Attention retirer 2 mm aux dimensions transmises",0)</f>
        <v>0</v>
      </c>
      <c r="AOH26" s="1100"/>
      <c r="AOI26" s="1100"/>
      <c r="AOJ26" s="1101"/>
      <c r="AOK26" s="1110">
        <f>IF(AOO10="Bovis","Attention retirer 2 mm aux dimensions transmises",0)</f>
        <v>0</v>
      </c>
      <c r="AOL26" s="1100"/>
      <c r="AOM26" s="1100"/>
      <c r="AON26" s="1101"/>
      <c r="AOO26" s="1110">
        <f>IF(AOS10="Bovis","Attention retirer 2 mm aux dimensions transmises",0)</f>
        <v>0</v>
      </c>
      <c r="AOP26" s="1100"/>
      <c r="AOQ26" s="1100"/>
      <c r="AOR26" s="1101"/>
      <c r="AOS26" s="1110">
        <f>IF(AOW10="Bovis","Attention retirer 2 mm aux dimensions transmises",0)</f>
        <v>0</v>
      </c>
      <c r="AOT26" s="1100"/>
      <c r="AOU26" s="1100"/>
      <c r="AOV26" s="1101"/>
      <c r="AOW26" s="1110">
        <f>IF(APA10="Bovis","Attention retirer 2 mm aux dimensions transmises",0)</f>
        <v>0</v>
      </c>
      <c r="AOX26" s="1100"/>
      <c r="AOY26" s="1100"/>
      <c r="AOZ26" s="1101"/>
      <c r="APA26" s="1110">
        <f>IF(APE10="Bovis","Attention retirer 2 mm aux dimensions transmises",0)</f>
        <v>0</v>
      </c>
      <c r="APB26" s="1100"/>
      <c r="APC26" s="1100"/>
      <c r="APD26" s="1101"/>
      <c r="APE26" s="1110">
        <f>IF(API10="Bovis","Attention retirer 2 mm aux dimensions transmises",0)</f>
        <v>0</v>
      </c>
      <c r="APF26" s="1100"/>
      <c r="APG26" s="1100"/>
      <c r="APH26" s="1101"/>
      <c r="API26" s="1110">
        <f>IF(APM10="Bovis","Attention retirer 2 mm aux dimensions transmises",0)</f>
        <v>0</v>
      </c>
      <c r="APJ26" s="1100"/>
      <c r="APK26" s="1100"/>
      <c r="APL26" s="1101"/>
      <c r="APM26" s="1110">
        <f>IF(APQ10="Bovis","Attention retirer 2 mm aux dimensions transmises",0)</f>
        <v>0</v>
      </c>
      <c r="APN26" s="1100"/>
      <c r="APO26" s="1100"/>
      <c r="APP26" s="1101"/>
      <c r="APQ26" s="1110">
        <f>IF(APU10="Bovis","Attention retirer 2 mm aux dimensions transmises",0)</f>
        <v>0</v>
      </c>
      <c r="APR26" s="1100"/>
      <c r="APS26" s="1100"/>
      <c r="APT26" s="1101"/>
      <c r="APU26" s="1110">
        <f>IF(APY10="Bovis","Attention retirer 2 mm aux dimensions transmises",0)</f>
        <v>0</v>
      </c>
      <c r="APV26" s="1100"/>
      <c r="APW26" s="1100"/>
      <c r="APX26" s="1101"/>
      <c r="APY26" s="1110">
        <f>IF(AQC10="Bovis","Attention retirer 2 mm aux dimensions transmises",0)</f>
        <v>0</v>
      </c>
      <c r="APZ26" s="1100"/>
      <c r="AQA26" s="1100"/>
      <c r="AQB26" s="1101"/>
      <c r="AQC26" s="1110">
        <f>IF(AQG10="Bovis","Attention retirer 2 mm aux dimensions transmises",0)</f>
        <v>0</v>
      </c>
      <c r="AQD26" s="1100"/>
      <c r="AQE26" s="1100"/>
      <c r="AQF26" s="1101"/>
      <c r="AQG26" s="1110">
        <f>IF(AQK10="Bovis","Attention retirer 2 mm aux dimensions transmises",0)</f>
        <v>0</v>
      </c>
      <c r="AQH26" s="1100"/>
      <c r="AQI26" s="1100"/>
      <c r="AQJ26" s="1101"/>
      <c r="AQK26" s="1110">
        <f>IF(AQO10="Bovis","Attention retirer 2 mm aux dimensions transmises",0)</f>
        <v>0</v>
      </c>
      <c r="AQL26" s="1100"/>
      <c r="AQM26" s="1100"/>
      <c r="AQN26" s="1101"/>
      <c r="AQO26" s="1110">
        <f>IF(AQS10="Bovis","Attention retirer 2 mm aux dimensions transmises",0)</f>
        <v>0</v>
      </c>
      <c r="AQP26" s="1100"/>
      <c r="AQQ26" s="1100"/>
      <c r="AQR26" s="1101"/>
      <c r="AQS26" s="1110">
        <f>IF(AQW10="Bovis","Attention retirer 2 mm aux dimensions transmises",0)</f>
        <v>0</v>
      </c>
      <c r="AQT26" s="1100"/>
      <c r="AQU26" s="1100"/>
      <c r="AQV26" s="1101"/>
      <c r="AQW26" s="1110">
        <f>IF(ARA10="Bovis","Attention retirer 2 mm aux dimensions transmises",0)</f>
        <v>0</v>
      </c>
      <c r="AQX26" s="1100"/>
      <c r="AQY26" s="1100"/>
      <c r="AQZ26" s="1101"/>
      <c r="ARA26" s="1110">
        <f>IF(ARE10="Bovis","Attention retirer 2 mm aux dimensions transmises",0)</f>
        <v>0</v>
      </c>
      <c r="ARB26" s="1100"/>
      <c r="ARC26" s="1100"/>
      <c r="ARD26" s="1101"/>
      <c r="ARE26" s="1110">
        <f>IF(ARI10="Bovis","Attention retirer 2 mm aux dimensions transmises",0)</f>
        <v>0</v>
      </c>
      <c r="ARF26" s="1100"/>
      <c r="ARG26" s="1100"/>
      <c r="ARH26" s="1101"/>
      <c r="ARI26" s="1110">
        <f>IF(ARM10="Bovis","Attention retirer 2 mm aux dimensions transmises",0)</f>
        <v>0</v>
      </c>
      <c r="ARJ26" s="1100"/>
      <c r="ARK26" s="1100"/>
      <c r="ARL26" s="1101"/>
      <c r="ARM26" s="1110">
        <f>IF(ARQ10="Bovis","Attention retirer 2 mm aux dimensions transmises",0)</f>
        <v>0</v>
      </c>
      <c r="ARN26" s="1100"/>
      <c r="ARO26" s="1100"/>
      <c r="ARP26" s="1101"/>
      <c r="ARQ26" s="1110">
        <f>IF(ARU10="Bovis","Attention retirer 2 mm aux dimensions transmises",0)</f>
        <v>0</v>
      </c>
      <c r="ARR26" s="1100"/>
      <c r="ARS26" s="1100"/>
      <c r="ART26" s="1101"/>
      <c r="ARU26" s="1110">
        <f>IF(ARY10="Bovis","Attention retirer 2 mm aux dimensions transmises",0)</f>
        <v>0</v>
      </c>
      <c r="ARV26" s="1100"/>
      <c r="ARW26" s="1100"/>
      <c r="ARX26" s="1101"/>
      <c r="ARY26" s="1110">
        <f>IF(ASC10="Bovis","Attention retirer 2 mm aux dimensions transmises",0)</f>
        <v>0</v>
      </c>
      <c r="ARZ26" s="1100"/>
      <c r="ASA26" s="1100"/>
      <c r="ASB26" s="1101"/>
      <c r="ASC26" s="1110">
        <f>IF(ASG10="Bovis","Attention retirer 2 mm aux dimensions transmises",0)</f>
        <v>0</v>
      </c>
      <c r="ASD26" s="1100"/>
      <c r="ASE26" s="1100"/>
      <c r="ASF26" s="1101"/>
      <c r="ASG26" s="1110">
        <f>IF(ASK10="Bovis","Attention retirer 2 mm aux dimensions transmises",0)</f>
        <v>0</v>
      </c>
      <c r="ASH26" s="1100"/>
      <c r="ASI26" s="1100"/>
      <c r="ASJ26" s="1101"/>
      <c r="ASK26" s="1110">
        <f>IF(ASO10="Bovis","Attention retirer 2 mm aux dimensions transmises",0)</f>
        <v>0</v>
      </c>
      <c r="ASL26" s="1100"/>
      <c r="ASM26" s="1100"/>
      <c r="ASN26" s="1101"/>
      <c r="ASO26" s="1110">
        <f>IF(ASS10="Bovis","Attention retirer 2 mm aux dimensions transmises",0)</f>
        <v>0</v>
      </c>
      <c r="ASP26" s="1100"/>
      <c r="ASQ26" s="1100"/>
      <c r="ASR26" s="1101"/>
      <c r="ASS26" s="1110">
        <f>IF(ASW10="Bovis","Attention retirer 2 mm aux dimensions transmises",0)</f>
        <v>0</v>
      </c>
      <c r="AST26" s="1100"/>
      <c r="ASU26" s="1100"/>
      <c r="ASV26" s="1101"/>
      <c r="ASW26" s="1110">
        <f>IF(ATA10="Bovis","Attention retirer 2 mm aux dimensions transmises",0)</f>
        <v>0</v>
      </c>
      <c r="ASX26" s="1100"/>
      <c r="ASY26" s="1100"/>
      <c r="ASZ26" s="1101"/>
      <c r="ATA26" s="1110">
        <f>IF(ATE10="Bovis","Attention retirer 2 mm aux dimensions transmises",0)</f>
        <v>0</v>
      </c>
      <c r="ATB26" s="1100"/>
      <c r="ATC26" s="1100"/>
      <c r="ATD26" s="1101"/>
      <c r="ATE26" s="1110">
        <f>IF(ATI10="Bovis","Attention retirer 2 mm aux dimensions transmises",0)</f>
        <v>0</v>
      </c>
      <c r="ATF26" s="1100"/>
      <c r="ATG26" s="1100"/>
      <c r="ATH26" s="1101"/>
      <c r="ATI26" s="1110">
        <f>IF(ATM10="Bovis","Attention retirer 2 mm aux dimensions transmises",0)</f>
        <v>0</v>
      </c>
      <c r="ATJ26" s="1100"/>
      <c r="ATK26" s="1100"/>
      <c r="ATL26" s="1101"/>
      <c r="ATM26" s="1110">
        <f>IF(ATQ10="Bovis","Attention retirer 2 mm aux dimensions transmises",0)</f>
        <v>0</v>
      </c>
      <c r="ATN26" s="1100"/>
      <c r="ATO26" s="1100"/>
      <c r="ATP26" s="1101"/>
      <c r="ATQ26" s="1110">
        <f>IF(ATU10="Bovis","Attention retirer 2 mm aux dimensions transmises",0)</f>
        <v>0</v>
      </c>
      <c r="ATR26" s="1100"/>
      <c r="ATS26" s="1100"/>
      <c r="ATT26" s="1101"/>
      <c r="ATU26" s="1110">
        <f>IF(ATY10="Bovis","Attention retirer 2 mm aux dimensions transmises",0)</f>
        <v>0</v>
      </c>
      <c r="ATV26" s="1100"/>
      <c r="ATW26" s="1100"/>
      <c r="ATX26" s="1101"/>
      <c r="ATY26" s="1110">
        <f>IF(AUC10="Bovis","Attention retirer 2 mm aux dimensions transmises",0)</f>
        <v>0</v>
      </c>
      <c r="ATZ26" s="1100"/>
      <c r="AUA26" s="1100"/>
      <c r="AUB26" s="1101"/>
      <c r="AUC26" s="1110">
        <f>IF(AUG10="Bovis","Attention retirer 2 mm aux dimensions transmises",0)</f>
        <v>0</v>
      </c>
      <c r="AUD26" s="1100"/>
      <c r="AUE26" s="1100"/>
      <c r="AUF26" s="1101"/>
      <c r="AUG26" s="1110">
        <f>IF(AUK10="Bovis","Attention retirer 2 mm aux dimensions transmises",0)</f>
        <v>0</v>
      </c>
      <c r="AUH26" s="1100"/>
      <c r="AUI26" s="1100"/>
      <c r="AUJ26" s="1101"/>
      <c r="AUK26" s="1110">
        <f>IF(AUO10="Bovis","Attention retirer 2 mm aux dimensions transmises",0)</f>
        <v>0</v>
      </c>
      <c r="AUL26" s="1100"/>
      <c r="AUM26" s="1100"/>
      <c r="AUN26" s="1101"/>
      <c r="AUO26" s="1110">
        <f>IF(AUS10="Bovis","Attention retirer 2 mm aux dimensions transmises",0)</f>
        <v>0</v>
      </c>
      <c r="AUP26" s="1100"/>
      <c r="AUQ26" s="1100"/>
      <c r="AUR26" s="1101"/>
      <c r="AUS26" s="1110">
        <f>IF(AUW10="Bovis","Attention retirer 2 mm aux dimensions transmises",0)</f>
        <v>0</v>
      </c>
      <c r="AUT26" s="1100"/>
      <c r="AUU26" s="1100"/>
      <c r="AUV26" s="1101"/>
      <c r="AUW26" s="1110">
        <f>IF(AVA10="Bovis","Attention retirer 2 mm aux dimensions transmises",0)</f>
        <v>0</v>
      </c>
      <c r="AUX26" s="1100"/>
      <c r="AUY26" s="1100"/>
      <c r="AUZ26" s="1101"/>
      <c r="AVA26" s="1110">
        <f>IF(AVE10="Bovis","Attention retirer 2 mm aux dimensions transmises",0)</f>
        <v>0</v>
      </c>
      <c r="AVB26" s="1100"/>
      <c r="AVC26" s="1100"/>
      <c r="AVD26" s="1101"/>
      <c r="AVE26" s="1110">
        <f>IF(AVI10="Bovis","Attention retirer 2 mm aux dimensions transmises",0)</f>
        <v>0</v>
      </c>
      <c r="AVF26" s="1100"/>
      <c r="AVG26" s="1100"/>
      <c r="AVH26" s="1101"/>
      <c r="AVI26" s="1110">
        <f>IF(AVM10="Bovis","Attention retirer 2 mm aux dimensions transmises",0)</f>
        <v>0</v>
      </c>
      <c r="AVJ26" s="1100"/>
      <c r="AVK26" s="1100"/>
      <c r="AVL26" s="1101"/>
      <c r="AVM26" s="1110">
        <f>IF(AVQ10="Bovis","Attention retirer 2 mm aux dimensions transmises",0)</f>
        <v>0</v>
      </c>
      <c r="AVN26" s="1100"/>
      <c r="AVO26" s="1100"/>
      <c r="AVP26" s="1101"/>
      <c r="AVQ26" s="1110">
        <f>IF(AVU10="Bovis","Attention retirer 2 mm aux dimensions transmises",0)</f>
        <v>0</v>
      </c>
      <c r="AVR26" s="1100"/>
      <c r="AVS26" s="1100"/>
      <c r="AVT26" s="1101"/>
      <c r="AVU26" s="1110">
        <f>IF(AVY10="Bovis","Attention retirer 2 mm aux dimensions transmises",0)</f>
        <v>0</v>
      </c>
      <c r="AVV26" s="1100"/>
      <c r="AVW26" s="1100"/>
      <c r="AVX26" s="1101"/>
      <c r="AVY26" s="1110">
        <f>IF(AWC10="Bovis","Attention retirer 2 mm aux dimensions transmises",0)</f>
        <v>0</v>
      </c>
      <c r="AVZ26" s="1100"/>
      <c r="AWA26" s="1100"/>
      <c r="AWB26" s="1101"/>
      <c r="AWC26" s="1110">
        <f>IF(AWG10="Bovis","Attention retirer 2 mm aux dimensions transmises",0)</f>
        <v>0</v>
      </c>
      <c r="AWD26" s="1100"/>
      <c r="AWE26" s="1100"/>
      <c r="AWF26" s="1101"/>
      <c r="AWG26" s="1110">
        <f>IF(AWK10="Bovis","Attention retirer 2 mm aux dimensions transmises",0)</f>
        <v>0</v>
      </c>
      <c r="AWH26" s="1100"/>
      <c r="AWI26" s="1100"/>
      <c r="AWJ26" s="1101"/>
      <c r="AWK26" s="1110">
        <f>IF(AWO10="Bovis","Attention retirer 2 mm aux dimensions transmises",0)</f>
        <v>0</v>
      </c>
      <c r="AWL26" s="1100"/>
      <c r="AWM26" s="1100"/>
      <c r="AWN26" s="1101"/>
      <c r="AWO26" s="1110">
        <f>IF(AWS10="Bovis","Attention retirer 2 mm aux dimensions transmises",0)</f>
        <v>0</v>
      </c>
      <c r="AWP26" s="1100"/>
      <c r="AWQ26" s="1100"/>
      <c r="AWR26" s="1101"/>
      <c r="AWS26" s="1110">
        <f>IF(AWW10="Bovis","Attention retirer 2 mm aux dimensions transmises",0)</f>
        <v>0</v>
      </c>
      <c r="AWT26" s="1100"/>
      <c r="AWU26" s="1100"/>
      <c r="AWV26" s="1101"/>
      <c r="AWW26" s="1110">
        <f>IF(AXA10="Bovis","Attention retirer 2 mm aux dimensions transmises",0)</f>
        <v>0</v>
      </c>
      <c r="AWX26" s="1100"/>
      <c r="AWY26" s="1100"/>
      <c r="AWZ26" s="1101"/>
      <c r="AXA26" s="1110">
        <f>IF(AXE10="Bovis","Attention retirer 2 mm aux dimensions transmises",0)</f>
        <v>0</v>
      </c>
      <c r="AXB26" s="1100"/>
      <c r="AXC26" s="1100"/>
      <c r="AXD26" s="1101"/>
      <c r="AXE26" s="1110">
        <f>IF(AXI10="Bovis","Attention retirer 2 mm aux dimensions transmises",0)</f>
        <v>0</v>
      </c>
      <c r="AXF26" s="1100"/>
      <c r="AXG26" s="1100"/>
      <c r="AXH26" s="1101"/>
      <c r="AXI26" s="1110">
        <f>IF(AXM10="Bovis","Attention retirer 2 mm aux dimensions transmises",0)</f>
        <v>0</v>
      </c>
      <c r="AXJ26" s="1100"/>
      <c r="AXK26" s="1100"/>
      <c r="AXL26" s="1101"/>
      <c r="AXM26" s="1110">
        <f>IF(AXQ10="Bovis","Attention retirer 2 mm aux dimensions transmises",0)</f>
        <v>0</v>
      </c>
      <c r="AXN26" s="1100"/>
      <c r="AXO26" s="1100"/>
      <c r="AXP26" s="1101"/>
      <c r="AXQ26" s="1110">
        <f>IF(AXU10="Bovis","Attention retirer 2 mm aux dimensions transmises",0)</f>
        <v>0</v>
      </c>
      <c r="AXR26" s="1100"/>
      <c r="AXS26" s="1100"/>
      <c r="AXT26" s="1101"/>
      <c r="AXU26" s="1110">
        <f>IF(AXY10="Bovis","Attention retirer 2 mm aux dimensions transmises",0)</f>
        <v>0</v>
      </c>
      <c r="AXV26" s="1100"/>
      <c r="AXW26" s="1100"/>
      <c r="AXX26" s="1101"/>
      <c r="AXY26" s="1110">
        <f>IF(AYC10="Bovis","Attention retirer 2 mm aux dimensions transmises",0)</f>
        <v>0</v>
      </c>
      <c r="AXZ26" s="1100"/>
      <c r="AYA26" s="1100"/>
      <c r="AYB26" s="1101"/>
      <c r="AYC26" s="1110">
        <f>IF(AYG10="Bovis","Attention retirer 2 mm aux dimensions transmises",0)</f>
        <v>0</v>
      </c>
      <c r="AYD26" s="1100"/>
      <c r="AYE26" s="1100"/>
      <c r="AYF26" s="1101"/>
      <c r="AYG26" s="1110">
        <f>IF(AYK10="Bovis","Attention retirer 2 mm aux dimensions transmises",0)</f>
        <v>0</v>
      </c>
      <c r="AYH26" s="1100"/>
      <c r="AYI26" s="1100"/>
      <c r="AYJ26" s="1101"/>
      <c r="AYK26" s="1110">
        <f>IF(AYO10="Bovis","Attention retirer 2 mm aux dimensions transmises",0)</f>
        <v>0</v>
      </c>
      <c r="AYL26" s="1100"/>
      <c r="AYM26" s="1100"/>
      <c r="AYN26" s="1101"/>
      <c r="AYO26" s="1110">
        <f>IF(AYS10="Bovis","Attention retirer 2 mm aux dimensions transmises",0)</f>
        <v>0</v>
      </c>
      <c r="AYP26" s="1100"/>
      <c r="AYQ26" s="1100"/>
      <c r="AYR26" s="1101"/>
      <c r="AYS26" s="1110">
        <f>IF(AYW10="Bovis","Attention retirer 2 mm aux dimensions transmises",0)</f>
        <v>0</v>
      </c>
      <c r="AYT26" s="1100"/>
      <c r="AYU26" s="1100"/>
      <c r="AYV26" s="1101"/>
      <c r="AYW26" s="1110">
        <f>IF(AZA10="Bovis","Attention retirer 2 mm aux dimensions transmises",0)</f>
        <v>0</v>
      </c>
      <c r="AYX26" s="1100"/>
      <c r="AYY26" s="1100"/>
      <c r="AYZ26" s="1101"/>
      <c r="AZA26" s="1110">
        <f>IF(AZE10="Bovis","Attention retirer 2 mm aux dimensions transmises",0)</f>
        <v>0</v>
      </c>
      <c r="AZB26" s="1100"/>
      <c r="AZC26" s="1100"/>
      <c r="AZD26" s="1101"/>
      <c r="AZE26" s="1110">
        <f>IF(AZI10="Bovis","Attention retirer 2 mm aux dimensions transmises",0)</f>
        <v>0</v>
      </c>
      <c r="AZF26" s="1100"/>
      <c r="AZG26" s="1100"/>
      <c r="AZH26" s="1101"/>
      <c r="AZI26" s="1110">
        <f>IF(AZM10="Bovis","Attention retirer 2 mm aux dimensions transmises",0)</f>
        <v>0</v>
      </c>
      <c r="AZJ26" s="1100"/>
      <c r="AZK26" s="1100"/>
      <c r="AZL26" s="1101"/>
      <c r="AZM26" s="1110">
        <f>IF(AZQ10="Bovis","Attention retirer 2 mm aux dimensions transmises",0)</f>
        <v>0</v>
      </c>
      <c r="AZN26" s="1100"/>
      <c r="AZO26" s="1100"/>
      <c r="AZP26" s="1101"/>
      <c r="AZQ26" s="1110">
        <f>IF(AZU10="Bovis","Attention retirer 2 mm aux dimensions transmises",0)</f>
        <v>0</v>
      </c>
      <c r="AZR26" s="1100"/>
      <c r="AZS26" s="1100"/>
      <c r="AZT26" s="1101"/>
      <c r="AZU26" s="1110">
        <f>IF(AZY10="Bovis","Attention retirer 2 mm aux dimensions transmises",0)</f>
        <v>0</v>
      </c>
      <c r="AZV26" s="1100"/>
      <c r="AZW26" s="1100"/>
      <c r="AZX26" s="1101"/>
      <c r="AZY26" s="1110">
        <f>IF(BAC10="Bovis","Attention retirer 2 mm aux dimensions transmises",0)</f>
        <v>0</v>
      </c>
      <c r="AZZ26" s="1100"/>
      <c r="BAA26" s="1100"/>
      <c r="BAB26" s="1101"/>
      <c r="BAC26" s="1110">
        <f>IF(BAG10="Bovis","Attention retirer 2 mm aux dimensions transmises",0)</f>
        <v>0</v>
      </c>
      <c r="BAD26" s="1100"/>
      <c r="BAE26" s="1100"/>
      <c r="BAF26" s="1101"/>
      <c r="BAG26" s="1110">
        <f>IF(BAK10="Bovis","Attention retirer 2 mm aux dimensions transmises",0)</f>
        <v>0</v>
      </c>
      <c r="BAH26" s="1100"/>
      <c r="BAI26" s="1100"/>
      <c r="BAJ26" s="1101"/>
      <c r="BAK26" s="1110">
        <f>IF(BAO10="Bovis","Attention retirer 2 mm aux dimensions transmises",0)</f>
        <v>0</v>
      </c>
      <c r="BAL26" s="1100"/>
      <c r="BAM26" s="1100"/>
      <c r="BAN26" s="1101"/>
      <c r="BAO26" s="1110">
        <f>IF(BAS10="Bovis","Attention retirer 2 mm aux dimensions transmises",0)</f>
        <v>0</v>
      </c>
      <c r="BAP26" s="1100"/>
      <c r="BAQ26" s="1100"/>
      <c r="BAR26" s="1101"/>
      <c r="BAS26" s="1110">
        <f>IF(BAW10="Bovis","Attention retirer 2 mm aux dimensions transmises",0)</f>
        <v>0</v>
      </c>
      <c r="BAT26" s="1100"/>
      <c r="BAU26" s="1100"/>
      <c r="BAV26" s="1101"/>
      <c r="BAW26" s="1110">
        <f>IF(BBA10="Bovis","Attention retirer 2 mm aux dimensions transmises",0)</f>
        <v>0</v>
      </c>
      <c r="BAX26" s="1100"/>
      <c r="BAY26" s="1100"/>
      <c r="BAZ26" s="1101"/>
      <c r="BBA26" s="1110">
        <f>IF(BBE10="Bovis","Attention retirer 2 mm aux dimensions transmises",0)</f>
        <v>0</v>
      </c>
      <c r="BBB26" s="1100"/>
      <c r="BBC26" s="1100"/>
      <c r="BBD26" s="1101"/>
      <c r="BBE26" s="1110">
        <f>IF(BBI10="Bovis","Attention retirer 2 mm aux dimensions transmises",0)</f>
        <v>0</v>
      </c>
      <c r="BBF26" s="1100"/>
      <c r="BBG26" s="1100"/>
      <c r="BBH26" s="1101"/>
      <c r="BBI26" s="1110">
        <f>IF(BBM10="Bovis","Attention retirer 2 mm aux dimensions transmises",0)</f>
        <v>0</v>
      </c>
      <c r="BBJ26" s="1100"/>
      <c r="BBK26" s="1100"/>
      <c r="BBL26" s="1101"/>
      <c r="BBM26" s="1110">
        <f>IF(BBQ10="Bovis","Attention retirer 2 mm aux dimensions transmises",0)</f>
        <v>0</v>
      </c>
      <c r="BBN26" s="1100"/>
      <c r="BBO26" s="1100"/>
      <c r="BBP26" s="1101"/>
      <c r="BBQ26" s="1110">
        <f>IF(BBU10="Bovis","Attention retirer 2 mm aux dimensions transmises",0)</f>
        <v>0</v>
      </c>
      <c r="BBR26" s="1100"/>
      <c r="BBS26" s="1100"/>
      <c r="BBT26" s="1101"/>
      <c r="BBU26" s="1110">
        <f>IF(BBY10="Bovis","Attention retirer 2 mm aux dimensions transmises",0)</f>
        <v>0</v>
      </c>
      <c r="BBV26" s="1100"/>
      <c r="BBW26" s="1100"/>
      <c r="BBX26" s="1101"/>
      <c r="BBY26" s="1110">
        <f>IF(BCC10="Bovis","Attention retirer 2 mm aux dimensions transmises",0)</f>
        <v>0</v>
      </c>
      <c r="BBZ26" s="1100"/>
      <c r="BCA26" s="1100"/>
      <c r="BCB26" s="1101"/>
      <c r="BCC26" s="1110">
        <f>IF(BCG10="Bovis","Attention retirer 2 mm aux dimensions transmises",0)</f>
        <v>0</v>
      </c>
      <c r="BCD26" s="1100"/>
      <c r="BCE26" s="1100"/>
      <c r="BCF26" s="1101"/>
      <c r="BCG26" s="1110">
        <f>IF(BCK10="Bovis","Attention retirer 2 mm aux dimensions transmises",0)</f>
        <v>0</v>
      </c>
      <c r="BCH26" s="1100"/>
      <c r="BCI26" s="1100"/>
      <c r="BCJ26" s="1101"/>
      <c r="BCK26" s="1110">
        <f>IF(BCO10="Bovis","Attention retirer 2 mm aux dimensions transmises",0)</f>
        <v>0</v>
      </c>
      <c r="BCL26" s="1100"/>
      <c r="BCM26" s="1100"/>
      <c r="BCN26" s="1101"/>
      <c r="BCO26" s="1110">
        <f>IF(BCS10="Bovis","Attention retirer 2 mm aux dimensions transmises",0)</f>
        <v>0</v>
      </c>
      <c r="BCP26" s="1100"/>
      <c r="BCQ26" s="1100"/>
      <c r="BCR26" s="1101"/>
      <c r="BCS26" s="1110">
        <f>IF(BCW10="Bovis","Attention retirer 2 mm aux dimensions transmises",0)</f>
        <v>0</v>
      </c>
      <c r="BCT26" s="1100"/>
      <c r="BCU26" s="1100"/>
      <c r="BCV26" s="1101"/>
      <c r="BCW26" s="1110">
        <f>IF(BDA10="Bovis","Attention retirer 2 mm aux dimensions transmises",0)</f>
        <v>0</v>
      </c>
      <c r="BCX26" s="1100"/>
      <c r="BCY26" s="1100"/>
      <c r="BCZ26" s="1101"/>
      <c r="BDA26" s="1110">
        <f>IF(BDE10="Bovis","Attention retirer 2 mm aux dimensions transmises",0)</f>
        <v>0</v>
      </c>
      <c r="BDB26" s="1100"/>
      <c r="BDC26" s="1100"/>
      <c r="BDD26" s="1101"/>
      <c r="BDE26" s="1110">
        <f>IF(BDI10="Bovis","Attention retirer 2 mm aux dimensions transmises",0)</f>
        <v>0</v>
      </c>
      <c r="BDF26" s="1100"/>
      <c r="BDG26" s="1100"/>
      <c r="BDH26" s="1101"/>
      <c r="BDI26" s="1110">
        <f>IF(BDM10="Bovis","Attention retirer 2 mm aux dimensions transmises",0)</f>
        <v>0</v>
      </c>
      <c r="BDJ26" s="1100"/>
      <c r="BDK26" s="1100"/>
      <c r="BDL26" s="1101"/>
      <c r="BDM26" s="1110">
        <f>IF(BDQ10="Bovis","Attention retirer 2 mm aux dimensions transmises",0)</f>
        <v>0</v>
      </c>
      <c r="BDN26" s="1100"/>
      <c r="BDO26" s="1100"/>
      <c r="BDP26" s="1101"/>
      <c r="BDQ26" s="1110">
        <f>IF(BDU10="Bovis","Attention retirer 2 mm aux dimensions transmises",0)</f>
        <v>0</v>
      </c>
      <c r="BDR26" s="1100"/>
      <c r="BDS26" s="1100"/>
      <c r="BDT26" s="1101"/>
      <c r="BDU26" s="1110">
        <f>IF(BDY10="Bovis","Attention retirer 2 mm aux dimensions transmises",0)</f>
        <v>0</v>
      </c>
      <c r="BDV26" s="1100"/>
      <c r="BDW26" s="1100"/>
      <c r="BDX26" s="1101"/>
      <c r="BDY26" s="1110">
        <f>IF(BEC10="Bovis","Attention retirer 2 mm aux dimensions transmises",0)</f>
        <v>0</v>
      </c>
      <c r="BDZ26" s="1100"/>
      <c r="BEA26" s="1100"/>
      <c r="BEB26" s="1101"/>
      <c r="BEC26" s="1110">
        <f>IF(BEG10="Bovis","Attention retirer 2 mm aux dimensions transmises",0)</f>
        <v>0</v>
      </c>
      <c r="BED26" s="1100"/>
      <c r="BEE26" s="1100"/>
      <c r="BEF26" s="1101"/>
      <c r="BEG26" s="1110">
        <f>IF(BEK10="Bovis","Attention retirer 2 mm aux dimensions transmises",0)</f>
        <v>0</v>
      </c>
      <c r="BEH26" s="1100"/>
      <c r="BEI26" s="1100"/>
      <c r="BEJ26" s="1101"/>
      <c r="BEK26" s="1110">
        <f>IF(BEO10="Bovis","Attention retirer 2 mm aux dimensions transmises",0)</f>
        <v>0</v>
      </c>
      <c r="BEL26" s="1100"/>
      <c r="BEM26" s="1100"/>
      <c r="BEN26" s="1101"/>
      <c r="BEO26" s="1110">
        <f>IF(BES10="Bovis","Attention retirer 2 mm aux dimensions transmises",0)</f>
        <v>0</v>
      </c>
      <c r="BEP26" s="1100"/>
      <c r="BEQ26" s="1100"/>
      <c r="BER26" s="1101"/>
      <c r="BES26" s="1110">
        <f>IF(BEW10="Bovis","Attention retirer 2 mm aux dimensions transmises",0)</f>
        <v>0</v>
      </c>
      <c r="BET26" s="1100"/>
      <c r="BEU26" s="1100"/>
      <c r="BEV26" s="1101"/>
      <c r="BEW26" s="1110">
        <f>IF(BFA10="Bovis","Attention retirer 2 mm aux dimensions transmises",0)</f>
        <v>0</v>
      </c>
      <c r="BEX26" s="1100"/>
      <c r="BEY26" s="1100"/>
      <c r="BEZ26" s="1101"/>
      <c r="BFA26" s="1110">
        <f>IF(BFE10="Bovis","Attention retirer 2 mm aux dimensions transmises",0)</f>
        <v>0</v>
      </c>
      <c r="BFB26" s="1100"/>
      <c r="BFC26" s="1100"/>
      <c r="BFD26" s="1101"/>
      <c r="BFE26" s="1110">
        <f>IF(BFI10="Bovis","Attention retirer 2 mm aux dimensions transmises",0)</f>
        <v>0</v>
      </c>
      <c r="BFF26" s="1100"/>
      <c r="BFG26" s="1100"/>
      <c r="BFH26" s="1101"/>
      <c r="BFI26" s="1110">
        <f>IF(BFM10="Bovis","Attention retirer 2 mm aux dimensions transmises",0)</f>
        <v>0</v>
      </c>
      <c r="BFJ26" s="1100"/>
      <c r="BFK26" s="1100"/>
      <c r="BFL26" s="1101"/>
      <c r="BFM26" s="1110">
        <f>IF(BFQ10="Bovis","Attention retirer 2 mm aux dimensions transmises",0)</f>
        <v>0</v>
      </c>
      <c r="BFN26" s="1100"/>
      <c r="BFO26" s="1100"/>
      <c r="BFP26" s="1101"/>
      <c r="BFQ26" s="1110">
        <f>IF(BFU10="Bovis","Attention retirer 2 mm aux dimensions transmises",0)</f>
        <v>0</v>
      </c>
      <c r="BFR26" s="1100"/>
      <c r="BFS26" s="1100"/>
      <c r="BFT26" s="1101"/>
      <c r="BFU26" s="1110">
        <f>IF(BFY10="Bovis","Attention retirer 2 mm aux dimensions transmises",0)</f>
        <v>0</v>
      </c>
      <c r="BFV26" s="1100"/>
      <c r="BFW26" s="1100"/>
      <c r="BFX26" s="1101"/>
      <c r="BFY26" s="1110">
        <f>IF(BGC10="Bovis","Attention retirer 2 mm aux dimensions transmises",0)</f>
        <v>0</v>
      </c>
      <c r="BFZ26" s="1100"/>
      <c r="BGA26" s="1100"/>
      <c r="BGB26" s="1101"/>
      <c r="BGC26" s="1110">
        <f>IF(BGG10="Bovis","Attention retirer 2 mm aux dimensions transmises",0)</f>
        <v>0</v>
      </c>
      <c r="BGD26" s="1100"/>
      <c r="BGE26" s="1100"/>
      <c r="BGF26" s="1101"/>
      <c r="BGG26" s="1110">
        <f>IF(BGK10="Bovis","Attention retirer 2 mm aux dimensions transmises",0)</f>
        <v>0</v>
      </c>
      <c r="BGH26" s="1100"/>
      <c r="BGI26" s="1100"/>
      <c r="BGJ26" s="1101"/>
      <c r="BGK26" s="1110">
        <f>IF(BGO10="Bovis","Attention retirer 2 mm aux dimensions transmises",0)</f>
        <v>0</v>
      </c>
      <c r="BGL26" s="1100"/>
      <c r="BGM26" s="1100"/>
      <c r="BGN26" s="1101"/>
      <c r="BGO26" s="1110">
        <f>IF(BGS10="Bovis","Attention retirer 2 mm aux dimensions transmises",0)</f>
        <v>0</v>
      </c>
      <c r="BGP26" s="1100"/>
      <c r="BGQ26" s="1100"/>
      <c r="BGR26" s="1101"/>
      <c r="BGS26" s="1110">
        <f>IF(BGW10="Bovis","Attention retirer 2 mm aux dimensions transmises",0)</f>
        <v>0</v>
      </c>
      <c r="BGT26" s="1100"/>
      <c r="BGU26" s="1100"/>
      <c r="BGV26" s="1101"/>
      <c r="BGW26" s="1110">
        <f>IF(BHA10="Bovis","Attention retirer 2 mm aux dimensions transmises",0)</f>
        <v>0</v>
      </c>
      <c r="BGX26" s="1100"/>
      <c r="BGY26" s="1100"/>
      <c r="BGZ26" s="1101"/>
      <c r="BHA26" s="1110">
        <f>IF(BHE10="Bovis","Attention retirer 2 mm aux dimensions transmises",0)</f>
        <v>0</v>
      </c>
      <c r="BHB26" s="1100"/>
      <c r="BHC26" s="1100"/>
      <c r="BHD26" s="1101"/>
      <c r="BHE26" s="1110">
        <f>IF(BHI10="Bovis","Attention retirer 2 mm aux dimensions transmises",0)</f>
        <v>0</v>
      </c>
      <c r="BHF26" s="1100"/>
      <c r="BHG26" s="1100"/>
      <c r="BHH26" s="1101"/>
      <c r="BHI26" s="1110">
        <f>IF(BHM10="Bovis","Attention retirer 2 mm aux dimensions transmises",0)</f>
        <v>0</v>
      </c>
      <c r="BHJ26" s="1100"/>
      <c r="BHK26" s="1100"/>
      <c r="BHL26" s="1101"/>
      <c r="BHM26" s="1110">
        <f>IF(BHQ10="Bovis","Attention retirer 2 mm aux dimensions transmises",0)</f>
        <v>0</v>
      </c>
      <c r="BHN26" s="1100"/>
      <c r="BHO26" s="1100"/>
      <c r="BHP26" s="1101"/>
      <c r="BHQ26" s="1110">
        <f>IF(BHU10="Bovis","Attention retirer 2 mm aux dimensions transmises",0)</f>
        <v>0</v>
      </c>
      <c r="BHR26" s="1100"/>
      <c r="BHS26" s="1100"/>
      <c r="BHT26" s="1101"/>
      <c r="BHU26" s="1110">
        <f>IF(BHY10="Bovis","Attention retirer 2 mm aux dimensions transmises",0)</f>
        <v>0</v>
      </c>
      <c r="BHV26" s="1100"/>
      <c r="BHW26" s="1100"/>
      <c r="BHX26" s="1101"/>
      <c r="BHY26" s="1110">
        <f>IF(BIC10="Bovis","Attention retirer 2 mm aux dimensions transmises",0)</f>
        <v>0</v>
      </c>
      <c r="BHZ26" s="1100"/>
      <c r="BIA26" s="1100"/>
      <c r="BIB26" s="1101"/>
      <c r="BIC26" s="1110">
        <f>IF(BIG10="Bovis","Attention retirer 2 mm aux dimensions transmises",0)</f>
        <v>0</v>
      </c>
      <c r="BID26" s="1100"/>
      <c r="BIE26" s="1100"/>
      <c r="BIF26" s="1101"/>
      <c r="BIG26" s="1110">
        <f>IF(BIK10="Bovis","Attention retirer 2 mm aux dimensions transmises",0)</f>
        <v>0</v>
      </c>
      <c r="BIH26" s="1100"/>
      <c r="BII26" s="1100"/>
      <c r="BIJ26" s="1101"/>
      <c r="BIK26" s="1110">
        <f>IF(BIO10="Bovis","Attention retirer 2 mm aux dimensions transmises",0)</f>
        <v>0</v>
      </c>
      <c r="BIL26" s="1100"/>
      <c r="BIM26" s="1100"/>
      <c r="BIN26" s="1101"/>
      <c r="BIO26" s="1110">
        <f>IF(BIS10="Bovis","Attention retirer 2 mm aux dimensions transmises",0)</f>
        <v>0</v>
      </c>
      <c r="BIP26" s="1100"/>
      <c r="BIQ26" s="1100"/>
      <c r="BIR26" s="1101"/>
      <c r="BIS26" s="1110">
        <f>IF(BIW10="Bovis","Attention retirer 2 mm aux dimensions transmises",0)</f>
        <v>0</v>
      </c>
      <c r="BIT26" s="1100"/>
      <c r="BIU26" s="1100"/>
      <c r="BIV26" s="1101"/>
      <c r="BIW26" s="1110">
        <f>IF(BJA10="Bovis","Attention retirer 2 mm aux dimensions transmises",0)</f>
        <v>0</v>
      </c>
      <c r="BIX26" s="1100"/>
      <c r="BIY26" s="1100"/>
      <c r="BIZ26" s="1101"/>
      <c r="BJA26" s="1110">
        <f>IF(BJE10="Bovis","Attention retirer 2 mm aux dimensions transmises",0)</f>
        <v>0</v>
      </c>
      <c r="BJB26" s="1100"/>
      <c r="BJC26" s="1100"/>
      <c r="BJD26" s="1101"/>
      <c r="BJE26" s="1110">
        <f>IF(BJI10="Bovis","Attention retirer 2 mm aux dimensions transmises",0)</f>
        <v>0</v>
      </c>
      <c r="BJF26" s="1100"/>
      <c r="BJG26" s="1100"/>
      <c r="BJH26" s="1101"/>
      <c r="BJI26" s="1110">
        <f>IF(BJM10="Bovis","Attention retirer 2 mm aux dimensions transmises",0)</f>
        <v>0</v>
      </c>
      <c r="BJJ26" s="1100"/>
      <c r="BJK26" s="1100"/>
      <c r="BJL26" s="1101"/>
      <c r="BJM26" s="1110">
        <f>IF(BJQ10="Bovis","Attention retirer 2 mm aux dimensions transmises",0)</f>
        <v>0</v>
      </c>
      <c r="BJN26" s="1100"/>
      <c r="BJO26" s="1100"/>
      <c r="BJP26" s="1101"/>
      <c r="BJQ26" s="1110">
        <f>IF(BJU10="Bovis","Attention retirer 2 mm aux dimensions transmises",0)</f>
        <v>0</v>
      </c>
      <c r="BJR26" s="1100"/>
      <c r="BJS26" s="1100"/>
      <c r="BJT26" s="1101"/>
      <c r="BJU26" s="1110">
        <f>IF(BJY10="Bovis","Attention retirer 2 mm aux dimensions transmises",0)</f>
        <v>0</v>
      </c>
      <c r="BJV26" s="1100"/>
      <c r="BJW26" s="1100"/>
      <c r="BJX26" s="1101"/>
      <c r="BJY26" s="1110">
        <f>IF(BKC10="Bovis","Attention retirer 2 mm aux dimensions transmises",0)</f>
        <v>0</v>
      </c>
      <c r="BJZ26" s="1100"/>
      <c r="BKA26" s="1100"/>
      <c r="BKB26" s="1101"/>
      <c r="BKC26" s="1110">
        <f>IF(BKG10="Bovis","Attention retirer 2 mm aux dimensions transmises",0)</f>
        <v>0</v>
      </c>
      <c r="BKD26" s="1100"/>
      <c r="BKE26" s="1100"/>
      <c r="BKF26" s="1101"/>
      <c r="BKG26" s="1110">
        <f>IF(BKK10="Bovis","Attention retirer 2 mm aux dimensions transmises",0)</f>
        <v>0</v>
      </c>
      <c r="BKH26" s="1100"/>
      <c r="BKI26" s="1100"/>
      <c r="BKJ26" s="1101"/>
      <c r="BKK26" s="1110">
        <f>IF(BKO10="Bovis","Attention retirer 2 mm aux dimensions transmises",0)</f>
        <v>0</v>
      </c>
      <c r="BKL26" s="1100"/>
      <c r="BKM26" s="1100"/>
      <c r="BKN26" s="1101"/>
      <c r="BKO26" s="1110">
        <f>IF(BKS10="Bovis","Attention retirer 2 mm aux dimensions transmises",0)</f>
        <v>0</v>
      </c>
      <c r="BKP26" s="1100"/>
      <c r="BKQ26" s="1100"/>
      <c r="BKR26" s="1101"/>
      <c r="BKS26" s="1110">
        <f>IF(BKW10="Bovis","Attention retirer 2 mm aux dimensions transmises",0)</f>
        <v>0</v>
      </c>
      <c r="BKT26" s="1100"/>
      <c r="BKU26" s="1100"/>
      <c r="BKV26" s="1101"/>
      <c r="BKW26" s="1110">
        <f>IF(BLA10="Bovis","Attention retirer 2 mm aux dimensions transmises",0)</f>
        <v>0</v>
      </c>
      <c r="BKX26" s="1100"/>
      <c r="BKY26" s="1100"/>
      <c r="BKZ26" s="1101"/>
      <c r="BLA26" s="1110">
        <f>IF(BLE10="Bovis","Attention retirer 2 mm aux dimensions transmises",0)</f>
        <v>0</v>
      </c>
      <c r="BLB26" s="1100"/>
      <c r="BLC26" s="1100"/>
      <c r="BLD26" s="1101"/>
      <c r="BLE26" s="1110">
        <f>IF(BLI10="Bovis","Attention retirer 2 mm aux dimensions transmises",0)</f>
        <v>0</v>
      </c>
      <c r="BLF26" s="1100"/>
      <c r="BLG26" s="1100"/>
      <c r="BLH26" s="1101"/>
      <c r="BLI26" s="1110">
        <f>IF(BLM10="Bovis","Attention retirer 2 mm aux dimensions transmises",0)</f>
        <v>0</v>
      </c>
      <c r="BLJ26" s="1100"/>
      <c r="BLK26" s="1100"/>
      <c r="BLL26" s="1101"/>
      <c r="BLM26" s="1110">
        <f>IF(BLQ10="Bovis","Attention retirer 2 mm aux dimensions transmises",0)</f>
        <v>0</v>
      </c>
      <c r="BLN26" s="1100"/>
      <c r="BLO26" s="1100"/>
      <c r="BLP26" s="1101"/>
      <c r="BLQ26" s="1110">
        <f>IF(BLU10="Bovis","Attention retirer 2 mm aux dimensions transmises",0)</f>
        <v>0</v>
      </c>
      <c r="BLR26" s="1100"/>
      <c r="BLS26" s="1100"/>
      <c r="BLT26" s="1101"/>
      <c r="BLU26" s="1110">
        <f>IF(BLY10="Bovis","Attention retirer 2 mm aux dimensions transmises",0)</f>
        <v>0</v>
      </c>
      <c r="BLV26" s="1100"/>
      <c r="BLW26" s="1100"/>
      <c r="BLX26" s="1101"/>
      <c r="BLY26" s="1110">
        <f>IF(BMC10="Bovis","Attention retirer 2 mm aux dimensions transmises",0)</f>
        <v>0</v>
      </c>
      <c r="BLZ26" s="1100"/>
      <c r="BMA26" s="1100"/>
      <c r="BMB26" s="1101"/>
      <c r="BMC26" s="1110">
        <f>IF(BMG10="Bovis","Attention retirer 2 mm aux dimensions transmises",0)</f>
        <v>0</v>
      </c>
      <c r="BMD26" s="1100"/>
      <c r="BME26" s="1100"/>
      <c r="BMF26" s="1101"/>
      <c r="BMG26" s="1110">
        <f>IF(BMK10="Bovis","Attention retirer 2 mm aux dimensions transmises",0)</f>
        <v>0</v>
      </c>
      <c r="BMH26" s="1100"/>
      <c r="BMI26" s="1100"/>
      <c r="BMJ26" s="1101"/>
      <c r="BMK26" s="1110">
        <f>IF(BMO10="Bovis","Attention retirer 2 mm aux dimensions transmises",0)</f>
        <v>0</v>
      </c>
      <c r="BML26" s="1100"/>
      <c r="BMM26" s="1100"/>
      <c r="BMN26" s="1101"/>
      <c r="BMO26" s="1110">
        <f>IF(BMS10="Bovis","Attention retirer 2 mm aux dimensions transmises",0)</f>
        <v>0</v>
      </c>
      <c r="BMP26" s="1100"/>
      <c r="BMQ26" s="1100"/>
      <c r="BMR26" s="1101"/>
      <c r="BMS26" s="1110">
        <f>IF(BMW10="Bovis","Attention retirer 2 mm aux dimensions transmises",0)</f>
        <v>0</v>
      </c>
      <c r="BMT26" s="1100"/>
      <c r="BMU26" s="1100"/>
      <c r="BMV26" s="1101"/>
      <c r="BMW26" s="1110">
        <f>IF(BNA10="Bovis","Attention retirer 2 mm aux dimensions transmises",0)</f>
        <v>0</v>
      </c>
      <c r="BMX26" s="1100"/>
      <c r="BMY26" s="1100"/>
      <c r="BMZ26" s="1101"/>
      <c r="BNA26" s="1110">
        <f>IF(BNE10="Bovis","Attention retirer 2 mm aux dimensions transmises",0)</f>
        <v>0</v>
      </c>
      <c r="BNB26" s="1100"/>
      <c r="BNC26" s="1100"/>
      <c r="BND26" s="1101"/>
      <c r="BNE26" s="1110">
        <f>IF(BNI10="Bovis","Attention retirer 2 mm aux dimensions transmises",0)</f>
        <v>0</v>
      </c>
      <c r="BNF26" s="1100"/>
      <c r="BNG26" s="1100"/>
      <c r="BNH26" s="1101"/>
      <c r="BNI26" s="1110">
        <f>IF(BNM10="Bovis","Attention retirer 2 mm aux dimensions transmises",0)</f>
        <v>0</v>
      </c>
      <c r="BNJ26" s="1100"/>
      <c r="BNK26" s="1100"/>
      <c r="BNL26" s="1101"/>
      <c r="BNM26" s="1110">
        <f>IF(BNQ10="Bovis","Attention retirer 2 mm aux dimensions transmises",0)</f>
        <v>0</v>
      </c>
      <c r="BNN26" s="1100"/>
      <c r="BNO26" s="1100"/>
      <c r="BNP26" s="1101"/>
      <c r="BNQ26" s="1110">
        <f>IF(BNU10="Bovis","Attention retirer 2 mm aux dimensions transmises",0)</f>
        <v>0</v>
      </c>
      <c r="BNR26" s="1100"/>
      <c r="BNS26" s="1100"/>
      <c r="BNT26" s="1101"/>
      <c r="BNU26" s="1110">
        <f>IF(BNY10="Bovis","Attention retirer 2 mm aux dimensions transmises",0)</f>
        <v>0</v>
      </c>
      <c r="BNV26" s="1100"/>
      <c r="BNW26" s="1100"/>
      <c r="BNX26" s="1101"/>
      <c r="BNY26" s="1110">
        <f>IF(BOC10="Bovis","Attention retirer 2 mm aux dimensions transmises",0)</f>
        <v>0</v>
      </c>
      <c r="BNZ26" s="1100"/>
      <c r="BOA26" s="1100"/>
      <c r="BOB26" s="1101"/>
      <c r="BOC26" s="1110">
        <f>IF(BOG10="Bovis","Attention retirer 2 mm aux dimensions transmises",0)</f>
        <v>0</v>
      </c>
      <c r="BOD26" s="1100"/>
      <c r="BOE26" s="1100"/>
      <c r="BOF26" s="1101"/>
      <c r="BOG26" s="1110">
        <f>IF(BOK10="Bovis","Attention retirer 2 mm aux dimensions transmises",0)</f>
        <v>0</v>
      </c>
      <c r="BOH26" s="1100"/>
      <c r="BOI26" s="1100"/>
      <c r="BOJ26" s="1101"/>
      <c r="BOK26" s="1110">
        <f>IF(BOO10="Bovis","Attention retirer 2 mm aux dimensions transmises",0)</f>
        <v>0</v>
      </c>
      <c r="BOL26" s="1100"/>
      <c r="BOM26" s="1100"/>
      <c r="BON26" s="1101"/>
      <c r="BOO26" s="1110">
        <f>IF(BOS10="Bovis","Attention retirer 2 mm aux dimensions transmises",0)</f>
        <v>0</v>
      </c>
      <c r="BOP26" s="1100"/>
      <c r="BOQ26" s="1100"/>
      <c r="BOR26" s="1101"/>
      <c r="BOS26" s="1110">
        <f>IF(BOW10="Bovis","Attention retirer 2 mm aux dimensions transmises",0)</f>
        <v>0</v>
      </c>
      <c r="BOT26" s="1100"/>
      <c r="BOU26" s="1100"/>
      <c r="BOV26" s="1101"/>
      <c r="BOW26" s="1110">
        <f>IF(BPA10="Bovis","Attention retirer 2 mm aux dimensions transmises",0)</f>
        <v>0</v>
      </c>
      <c r="BOX26" s="1100"/>
      <c r="BOY26" s="1100"/>
      <c r="BOZ26" s="1101"/>
      <c r="BPA26" s="1110">
        <f>IF(BPE10="Bovis","Attention retirer 2 mm aux dimensions transmises",0)</f>
        <v>0</v>
      </c>
      <c r="BPB26" s="1100"/>
      <c r="BPC26" s="1100"/>
      <c r="BPD26" s="1101"/>
      <c r="BPE26" s="1110">
        <f>IF(BPI10="Bovis","Attention retirer 2 mm aux dimensions transmises",0)</f>
        <v>0</v>
      </c>
      <c r="BPF26" s="1100"/>
      <c r="BPG26" s="1100"/>
      <c r="BPH26" s="1101"/>
      <c r="BPI26" s="1110">
        <f>IF(BPM10="Bovis","Attention retirer 2 mm aux dimensions transmises",0)</f>
        <v>0</v>
      </c>
      <c r="BPJ26" s="1100"/>
      <c r="BPK26" s="1100"/>
      <c r="BPL26" s="1101"/>
      <c r="BPM26" s="1110">
        <f>IF(BPQ10="Bovis","Attention retirer 2 mm aux dimensions transmises",0)</f>
        <v>0</v>
      </c>
      <c r="BPN26" s="1100"/>
      <c r="BPO26" s="1100"/>
      <c r="BPP26" s="1101"/>
      <c r="BPQ26" s="1110">
        <f>IF(BPU10="Bovis","Attention retirer 2 mm aux dimensions transmises",0)</f>
        <v>0</v>
      </c>
      <c r="BPR26" s="1100"/>
      <c r="BPS26" s="1100"/>
      <c r="BPT26" s="1101"/>
      <c r="BPU26" s="1110">
        <f>IF(BPY10="Bovis","Attention retirer 2 mm aux dimensions transmises",0)</f>
        <v>0</v>
      </c>
      <c r="BPV26" s="1100"/>
      <c r="BPW26" s="1100"/>
      <c r="BPX26" s="1101"/>
      <c r="BPY26" s="1110">
        <f>IF(BQC10="Bovis","Attention retirer 2 mm aux dimensions transmises",0)</f>
        <v>0</v>
      </c>
      <c r="BPZ26" s="1100"/>
      <c r="BQA26" s="1100"/>
      <c r="BQB26" s="1101"/>
      <c r="BQC26" s="1110">
        <f>IF(BQG10="Bovis","Attention retirer 2 mm aux dimensions transmises",0)</f>
        <v>0</v>
      </c>
      <c r="BQD26" s="1100"/>
      <c r="BQE26" s="1100"/>
      <c r="BQF26" s="1101"/>
      <c r="BQG26" s="1110">
        <f>IF(BQK10="Bovis","Attention retirer 2 mm aux dimensions transmises",0)</f>
        <v>0</v>
      </c>
      <c r="BQH26" s="1100"/>
      <c r="BQI26" s="1100"/>
      <c r="BQJ26" s="1101"/>
      <c r="BQK26" s="1110">
        <f>IF(BQO10="Bovis","Attention retirer 2 mm aux dimensions transmises",0)</f>
        <v>0</v>
      </c>
      <c r="BQL26" s="1100"/>
      <c r="BQM26" s="1100"/>
      <c r="BQN26" s="1101"/>
      <c r="BQO26" s="1110">
        <f>IF(BQS10="Bovis","Attention retirer 2 mm aux dimensions transmises",0)</f>
        <v>0</v>
      </c>
      <c r="BQP26" s="1100"/>
      <c r="BQQ26" s="1100"/>
      <c r="BQR26" s="1101"/>
      <c r="BQS26" s="1110">
        <f>IF(BQW10="Bovis","Attention retirer 2 mm aux dimensions transmises",0)</f>
        <v>0</v>
      </c>
      <c r="BQT26" s="1100"/>
      <c r="BQU26" s="1100"/>
      <c r="BQV26" s="1101"/>
      <c r="BQW26" s="1110">
        <f>IF(BRA10="Bovis","Attention retirer 2 mm aux dimensions transmises",0)</f>
        <v>0</v>
      </c>
      <c r="BQX26" s="1100"/>
      <c r="BQY26" s="1100"/>
      <c r="BQZ26" s="1101"/>
      <c r="BRA26" s="1110">
        <f>IF(BRE10="Bovis","Attention retirer 2 mm aux dimensions transmises",0)</f>
        <v>0</v>
      </c>
      <c r="BRB26" s="1100"/>
      <c r="BRC26" s="1100"/>
      <c r="BRD26" s="1101"/>
      <c r="BRE26" s="1110">
        <f>IF(BRI10="Bovis","Attention retirer 2 mm aux dimensions transmises",0)</f>
        <v>0</v>
      </c>
      <c r="BRF26" s="1100"/>
      <c r="BRG26" s="1100"/>
      <c r="BRH26" s="1101"/>
      <c r="BRI26" s="1110">
        <f>IF(BRM10="Bovis","Attention retirer 2 mm aux dimensions transmises",0)</f>
        <v>0</v>
      </c>
      <c r="BRJ26" s="1100"/>
      <c r="BRK26" s="1100"/>
      <c r="BRL26" s="1101"/>
      <c r="BRM26" s="1110">
        <f>IF(BRQ10="Bovis","Attention retirer 2 mm aux dimensions transmises",0)</f>
        <v>0</v>
      </c>
      <c r="BRN26" s="1100"/>
      <c r="BRO26" s="1100"/>
      <c r="BRP26" s="1101"/>
      <c r="BRQ26" s="1110">
        <f>IF(BRU10="Bovis","Attention retirer 2 mm aux dimensions transmises",0)</f>
        <v>0</v>
      </c>
      <c r="BRR26" s="1100"/>
      <c r="BRS26" s="1100"/>
      <c r="BRT26" s="1101"/>
      <c r="BRU26" s="1110">
        <f>IF(BRY10="Bovis","Attention retirer 2 mm aux dimensions transmises",0)</f>
        <v>0</v>
      </c>
      <c r="BRV26" s="1100"/>
      <c r="BRW26" s="1100"/>
      <c r="BRX26" s="1101"/>
      <c r="BRY26" s="1110">
        <f>IF(BSC10="Bovis","Attention retirer 2 mm aux dimensions transmises",0)</f>
        <v>0</v>
      </c>
      <c r="BRZ26" s="1100"/>
      <c r="BSA26" s="1100"/>
      <c r="BSB26" s="1101"/>
      <c r="BSC26" s="1110">
        <f>IF(BSG10="Bovis","Attention retirer 2 mm aux dimensions transmises",0)</f>
        <v>0</v>
      </c>
      <c r="BSD26" s="1100"/>
      <c r="BSE26" s="1100"/>
      <c r="BSF26" s="1101"/>
      <c r="BSG26" s="1110">
        <f>IF(BSK10="Bovis","Attention retirer 2 mm aux dimensions transmises",0)</f>
        <v>0</v>
      </c>
      <c r="BSH26" s="1100"/>
      <c r="BSI26" s="1100"/>
      <c r="BSJ26" s="1101"/>
      <c r="BSK26" s="1110">
        <f>IF(BSO10="Bovis","Attention retirer 2 mm aux dimensions transmises",0)</f>
        <v>0</v>
      </c>
      <c r="BSL26" s="1100"/>
      <c r="BSM26" s="1100"/>
      <c r="BSN26" s="1101"/>
      <c r="BSO26" s="1110">
        <f>IF(BSS10="Bovis","Attention retirer 2 mm aux dimensions transmises",0)</f>
        <v>0</v>
      </c>
      <c r="BSP26" s="1100"/>
      <c r="BSQ26" s="1100"/>
      <c r="BSR26" s="1101"/>
      <c r="BSS26" s="1110">
        <f>IF(BSW10="Bovis","Attention retirer 2 mm aux dimensions transmises",0)</f>
        <v>0</v>
      </c>
      <c r="BST26" s="1100"/>
      <c r="BSU26" s="1100"/>
      <c r="BSV26" s="1101"/>
      <c r="BSW26" s="1110">
        <f>IF(BTA10="Bovis","Attention retirer 2 mm aux dimensions transmises",0)</f>
        <v>0</v>
      </c>
      <c r="BSX26" s="1100"/>
      <c r="BSY26" s="1100"/>
      <c r="BSZ26" s="1101"/>
      <c r="BTA26" s="1110">
        <f>IF(BTE10="Bovis","Attention retirer 2 mm aux dimensions transmises",0)</f>
        <v>0</v>
      </c>
      <c r="BTB26" s="1100"/>
      <c r="BTC26" s="1100"/>
      <c r="BTD26" s="1101"/>
      <c r="BTE26" s="1110">
        <f>IF(BTI10="Bovis","Attention retirer 2 mm aux dimensions transmises",0)</f>
        <v>0</v>
      </c>
      <c r="BTF26" s="1100"/>
      <c r="BTG26" s="1100"/>
      <c r="BTH26" s="1101"/>
      <c r="BTI26" s="1110">
        <f>IF(BTM10="Bovis","Attention retirer 2 mm aux dimensions transmises",0)</f>
        <v>0</v>
      </c>
      <c r="BTJ26" s="1100"/>
      <c r="BTK26" s="1100"/>
      <c r="BTL26" s="1101"/>
      <c r="BTM26" s="1110">
        <f>IF(BTQ10="Bovis","Attention retirer 2 mm aux dimensions transmises",0)</f>
        <v>0</v>
      </c>
      <c r="BTN26" s="1100"/>
      <c r="BTO26" s="1100"/>
      <c r="BTP26" s="1101"/>
      <c r="BTQ26" s="1110">
        <f>IF(BTU10="Bovis","Attention retirer 2 mm aux dimensions transmises",0)</f>
        <v>0</v>
      </c>
      <c r="BTR26" s="1100"/>
      <c r="BTS26" s="1100"/>
      <c r="BTT26" s="1101"/>
      <c r="BTU26" s="1110">
        <f>IF(BTY10="Bovis","Attention retirer 2 mm aux dimensions transmises",0)</f>
        <v>0</v>
      </c>
      <c r="BTV26" s="1100"/>
      <c r="BTW26" s="1100"/>
      <c r="BTX26" s="1101"/>
      <c r="BTY26" s="1110">
        <f>IF(BUC10="Bovis","Attention retirer 2 mm aux dimensions transmises",0)</f>
        <v>0</v>
      </c>
      <c r="BTZ26" s="1100"/>
      <c r="BUA26" s="1100"/>
      <c r="BUB26" s="1101"/>
      <c r="BUC26" s="1110">
        <f>IF(BUG10="Bovis","Attention retirer 2 mm aux dimensions transmises",0)</f>
        <v>0</v>
      </c>
      <c r="BUD26" s="1100"/>
      <c r="BUE26" s="1100"/>
      <c r="BUF26" s="1101"/>
      <c r="BUG26" s="1110">
        <f>IF(BUK10="Bovis","Attention retirer 2 mm aux dimensions transmises",0)</f>
        <v>0</v>
      </c>
      <c r="BUH26" s="1100"/>
      <c r="BUI26" s="1100"/>
      <c r="BUJ26" s="1101"/>
      <c r="BUK26" s="1110">
        <f>IF(BUO10="Bovis","Attention retirer 2 mm aux dimensions transmises",0)</f>
        <v>0</v>
      </c>
      <c r="BUL26" s="1100"/>
      <c r="BUM26" s="1100"/>
      <c r="BUN26" s="1101"/>
      <c r="BUO26" s="1110">
        <f>IF(BUS10="Bovis","Attention retirer 2 mm aux dimensions transmises",0)</f>
        <v>0</v>
      </c>
      <c r="BUP26" s="1100"/>
      <c r="BUQ26" s="1100"/>
      <c r="BUR26" s="1101"/>
      <c r="BUS26" s="1110">
        <f>IF(BUW10="Bovis","Attention retirer 2 mm aux dimensions transmises",0)</f>
        <v>0</v>
      </c>
      <c r="BUT26" s="1100"/>
      <c r="BUU26" s="1100"/>
      <c r="BUV26" s="1101"/>
      <c r="BUW26" s="1110">
        <f>IF(BVA10="Bovis","Attention retirer 2 mm aux dimensions transmises",0)</f>
        <v>0</v>
      </c>
      <c r="BUX26" s="1100"/>
      <c r="BUY26" s="1100"/>
      <c r="BUZ26" s="1101"/>
      <c r="BVA26" s="1110">
        <f>IF(BVE10="Bovis","Attention retirer 2 mm aux dimensions transmises",0)</f>
        <v>0</v>
      </c>
      <c r="BVB26" s="1100"/>
      <c r="BVC26" s="1100"/>
      <c r="BVD26" s="1101"/>
      <c r="BVE26" s="1110">
        <f>IF(BVI10="Bovis","Attention retirer 2 mm aux dimensions transmises",0)</f>
        <v>0</v>
      </c>
      <c r="BVF26" s="1100"/>
      <c r="BVG26" s="1100"/>
      <c r="BVH26" s="1101"/>
      <c r="BVI26" s="1110">
        <f>IF(BVM10="Bovis","Attention retirer 2 mm aux dimensions transmises",0)</f>
        <v>0</v>
      </c>
      <c r="BVJ26" s="1100"/>
      <c r="BVK26" s="1100"/>
      <c r="BVL26" s="1101"/>
      <c r="BVM26" s="1110">
        <f>IF(BVQ10="Bovis","Attention retirer 2 mm aux dimensions transmises",0)</f>
        <v>0</v>
      </c>
      <c r="BVN26" s="1100"/>
      <c r="BVO26" s="1100"/>
      <c r="BVP26" s="1101"/>
      <c r="BVQ26" s="1110">
        <f>IF(BVU10="Bovis","Attention retirer 2 mm aux dimensions transmises",0)</f>
        <v>0</v>
      </c>
      <c r="BVR26" s="1100"/>
      <c r="BVS26" s="1100"/>
      <c r="BVT26" s="1101"/>
      <c r="BVU26" s="1110">
        <f>IF(BVY10="Bovis","Attention retirer 2 mm aux dimensions transmises",0)</f>
        <v>0</v>
      </c>
      <c r="BVV26" s="1100"/>
      <c r="BVW26" s="1100"/>
      <c r="BVX26" s="1101"/>
      <c r="BVY26" s="1110">
        <f>IF(BWC10="Bovis","Attention retirer 2 mm aux dimensions transmises",0)</f>
        <v>0</v>
      </c>
      <c r="BVZ26" s="1100"/>
      <c r="BWA26" s="1100"/>
      <c r="BWB26" s="1101"/>
      <c r="BWC26" s="1110">
        <f>IF(BWG10="Bovis","Attention retirer 2 mm aux dimensions transmises",0)</f>
        <v>0</v>
      </c>
      <c r="BWD26" s="1100"/>
      <c r="BWE26" s="1100"/>
      <c r="BWF26" s="1101"/>
      <c r="BWG26" s="1110">
        <f>IF(BWK10="Bovis","Attention retirer 2 mm aux dimensions transmises",0)</f>
        <v>0</v>
      </c>
      <c r="BWH26" s="1100"/>
      <c r="BWI26" s="1100"/>
      <c r="BWJ26" s="1101"/>
      <c r="BWK26" s="1110">
        <f>IF(BWO10="Bovis","Attention retirer 2 mm aux dimensions transmises",0)</f>
        <v>0</v>
      </c>
      <c r="BWL26" s="1100"/>
      <c r="BWM26" s="1100"/>
      <c r="BWN26" s="1101"/>
      <c r="BWO26" s="1110">
        <f>IF(BWS10="Bovis","Attention retirer 2 mm aux dimensions transmises",0)</f>
        <v>0</v>
      </c>
      <c r="BWP26" s="1100"/>
      <c r="BWQ26" s="1100"/>
      <c r="BWR26" s="1101"/>
      <c r="BWS26" s="1110">
        <f>IF(BWW10="Bovis","Attention retirer 2 mm aux dimensions transmises",0)</f>
        <v>0</v>
      </c>
      <c r="BWT26" s="1100"/>
      <c r="BWU26" s="1100"/>
      <c r="BWV26" s="1101"/>
      <c r="BWW26" s="1110">
        <f>IF(BXA10="Bovis","Attention retirer 2 mm aux dimensions transmises",0)</f>
        <v>0</v>
      </c>
      <c r="BWX26" s="1100"/>
      <c r="BWY26" s="1100"/>
      <c r="BWZ26" s="1101"/>
      <c r="BXA26" s="1110">
        <f>IF(BXE10="Bovis","Attention retirer 2 mm aux dimensions transmises",0)</f>
        <v>0</v>
      </c>
      <c r="BXB26" s="1100"/>
      <c r="BXC26" s="1100"/>
      <c r="BXD26" s="1101"/>
      <c r="BXE26" s="1110">
        <f>IF(BXI10="Bovis","Attention retirer 2 mm aux dimensions transmises",0)</f>
        <v>0</v>
      </c>
      <c r="BXF26" s="1100"/>
      <c r="BXG26" s="1100"/>
      <c r="BXH26" s="1101"/>
      <c r="BXI26" s="1110">
        <f>IF(BXM10="Bovis","Attention retirer 2 mm aux dimensions transmises",0)</f>
        <v>0</v>
      </c>
      <c r="BXJ26" s="1100"/>
      <c r="BXK26" s="1100"/>
      <c r="BXL26" s="1101"/>
      <c r="BXM26" s="1110">
        <f>IF(BXQ10="Bovis","Attention retirer 2 mm aux dimensions transmises",0)</f>
        <v>0</v>
      </c>
      <c r="BXN26" s="1100"/>
      <c r="BXO26" s="1100"/>
      <c r="BXP26" s="1101"/>
      <c r="BXQ26" s="1110">
        <f>IF(BXU10="Bovis","Attention retirer 2 mm aux dimensions transmises",0)</f>
        <v>0</v>
      </c>
      <c r="BXR26" s="1100"/>
      <c r="BXS26" s="1100"/>
      <c r="BXT26" s="1101"/>
      <c r="BXU26" s="1110">
        <f>IF(BXY10="Bovis","Attention retirer 2 mm aux dimensions transmises",0)</f>
        <v>0</v>
      </c>
      <c r="BXV26" s="1100"/>
      <c r="BXW26" s="1100"/>
      <c r="BXX26" s="1101"/>
      <c r="BXY26" s="1110">
        <f>IF(BYC10="Bovis","Attention retirer 2 mm aux dimensions transmises",0)</f>
        <v>0</v>
      </c>
      <c r="BXZ26" s="1100"/>
      <c r="BYA26" s="1100"/>
      <c r="BYB26" s="1101"/>
      <c r="BYC26" s="1110">
        <f>IF(BYG10="Bovis","Attention retirer 2 mm aux dimensions transmises",0)</f>
        <v>0</v>
      </c>
      <c r="BYD26" s="1100"/>
      <c r="BYE26" s="1100"/>
      <c r="BYF26" s="1101"/>
      <c r="BYG26" s="1110">
        <f>IF(BYK10="Bovis","Attention retirer 2 mm aux dimensions transmises",0)</f>
        <v>0</v>
      </c>
      <c r="BYH26" s="1100"/>
      <c r="BYI26" s="1100"/>
      <c r="BYJ26" s="1101"/>
      <c r="BYK26" s="1110">
        <f>IF(BYO10="Bovis","Attention retirer 2 mm aux dimensions transmises",0)</f>
        <v>0</v>
      </c>
      <c r="BYL26" s="1100"/>
      <c r="BYM26" s="1100"/>
      <c r="BYN26" s="1101"/>
      <c r="BYO26" s="1110">
        <f>IF(BYS10="Bovis","Attention retirer 2 mm aux dimensions transmises",0)</f>
        <v>0</v>
      </c>
      <c r="BYP26" s="1100"/>
      <c r="BYQ26" s="1100"/>
      <c r="BYR26" s="1101"/>
      <c r="BYS26" s="1110">
        <f>IF(BYW10="Bovis","Attention retirer 2 mm aux dimensions transmises",0)</f>
        <v>0</v>
      </c>
      <c r="BYT26" s="1100"/>
      <c r="BYU26" s="1100"/>
      <c r="BYV26" s="1101"/>
      <c r="BYW26" s="1110">
        <f>IF(BZA10="Bovis","Attention retirer 2 mm aux dimensions transmises",0)</f>
        <v>0</v>
      </c>
      <c r="BYX26" s="1100"/>
      <c r="BYY26" s="1100"/>
      <c r="BYZ26" s="1101"/>
      <c r="BZA26" s="1110">
        <f>IF(BZE10="Bovis","Attention retirer 2 mm aux dimensions transmises",0)</f>
        <v>0</v>
      </c>
      <c r="BZB26" s="1100"/>
      <c r="BZC26" s="1100"/>
      <c r="BZD26" s="1101"/>
      <c r="BZE26" s="1110">
        <f>IF(BZI10="Bovis","Attention retirer 2 mm aux dimensions transmises",0)</f>
        <v>0</v>
      </c>
      <c r="BZF26" s="1100"/>
      <c r="BZG26" s="1100"/>
      <c r="BZH26" s="1101"/>
      <c r="BZI26" s="1110">
        <f>IF(BZM10="Bovis","Attention retirer 2 mm aux dimensions transmises",0)</f>
        <v>0</v>
      </c>
      <c r="BZJ26" s="1100"/>
      <c r="BZK26" s="1100"/>
      <c r="BZL26" s="1101"/>
      <c r="BZM26" s="1110">
        <f>IF(BZQ10="Bovis","Attention retirer 2 mm aux dimensions transmises",0)</f>
        <v>0</v>
      </c>
      <c r="BZN26" s="1100"/>
      <c r="BZO26" s="1100"/>
      <c r="BZP26" s="1101"/>
      <c r="BZQ26" s="1110">
        <f>IF(BZU10="Bovis","Attention retirer 2 mm aux dimensions transmises",0)</f>
        <v>0</v>
      </c>
      <c r="BZR26" s="1100"/>
      <c r="BZS26" s="1100"/>
      <c r="BZT26" s="1101"/>
      <c r="BZU26" s="1110">
        <f>IF(BZY10="Bovis","Attention retirer 2 mm aux dimensions transmises",0)</f>
        <v>0</v>
      </c>
      <c r="BZV26" s="1100"/>
      <c r="BZW26" s="1100"/>
      <c r="BZX26" s="1101"/>
      <c r="BZY26" s="1110">
        <f>IF(CAC10="Bovis","Attention retirer 2 mm aux dimensions transmises",0)</f>
        <v>0</v>
      </c>
      <c r="BZZ26" s="1100"/>
      <c r="CAA26" s="1100"/>
      <c r="CAB26" s="1101"/>
      <c r="CAC26" s="1110">
        <f>IF(CAG10="Bovis","Attention retirer 2 mm aux dimensions transmises",0)</f>
        <v>0</v>
      </c>
      <c r="CAD26" s="1100"/>
      <c r="CAE26" s="1100"/>
      <c r="CAF26" s="1101"/>
      <c r="CAG26" s="1110">
        <f>IF(CAK10="Bovis","Attention retirer 2 mm aux dimensions transmises",0)</f>
        <v>0</v>
      </c>
      <c r="CAH26" s="1100"/>
      <c r="CAI26" s="1100"/>
      <c r="CAJ26" s="1101"/>
      <c r="CAK26" s="1110">
        <f>IF(CAO10="Bovis","Attention retirer 2 mm aux dimensions transmises",0)</f>
        <v>0</v>
      </c>
      <c r="CAL26" s="1100"/>
      <c r="CAM26" s="1100"/>
      <c r="CAN26" s="1101"/>
      <c r="CAO26" s="1110">
        <f>IF(CAS10="Bovis","Attention retirer 2 mm aux dimensions transmises",0)</f>
        <v>0</v>
      </c>
      <c r="CAP26" s="1100"/>
      <c r="CAQ26" s="1100"/>
      <c r="CAR26" s="1101"/>
      <c r="CAS26" s="1110">
        <f>IF(CAW10="Bovis","Attention retirer 2 mm aux dimensions transmises",0)</f>
        <v>0</v>
      </c>
      <c r="CAT26" s="1100"/>
      <c r="CAU26" s="1100"/>
      <c r="CAV26" s="1101"/>
      <c r="CAW26" s="1110">
        <f>IF(CBA10="Bovis","Attention retirer 2 mm aux dimensions transmises",0)</f>
        <v>0</v>
      </c>
      <c r="CAX26" s="1100"/>
      <c r="CAY26" s="1100"/>
      <c r="CAZ26" s="1101"/>
      <c r="CBA26" s="1110">
        <f>IF(CBE10="Bovis","Attention retirer 2 mm aux dimensions transmises",0)</f>
        <v>0</v>
      </c>
      <c r="CBB26" s="1100"/>
      <c r="CBC26" s="1100"/>
      <c r="CBD26" s="1101"/>
      <c r="CBE26" s="1110">
        <f>IF(CBI10="Bovis","Attention retirer 2 mm aux dimensions transmises",0)</f>
        <v>0</v>
      </c>
      <c r="CBF26" s="1100"/>
      <c r="CBG26" s="1100"/>
      <c r="CBH26" s="1101"/>
      <c r="CBI26" s="1110">
        <f>IF(CBM10="Bovis","Attention retirer 2 mm aux dimensions transmises",0)</f>
        <v>0</v>
      </c>
      <c r="CBJ26" s="1100"/>
      <c r="CBK26" s="1100"/>
      <c r="CBL26" s="1101"/>
      <c r="CBM26" s="1110">
        <f>IF(CBQ10="Bovis","Attention retirer 2 mm aux dimensions transmises",0)</f>
        <v>0</v>
      </c>
      <c r="CBN26" s="1100"/>
      <c r="CBO26" s="1100"/>
      <c r="CBP26" s="1101"/>
      <c r="CBQ26" s="1110">
        <f>IF(CBU10="Bovis","Attention retirer 2 mm aux dimensions transmises",0)</f>
        <v>0</v>
      </c>
      <c r="CBR26" s="1100"/>
      <c r="CBS26" s="1100"/>
      <c r="CBT26" s="1101"/>
      <c r="CBU26" s="1110">
        <f>IF(CBY10="Bovis","Attention retirer 2 mm aux dimensions transmises",0)</f>
        <v>0</v>
      </c>
      <c r="CBV26" s="1100"/>
      <c r="CBW26" s="1100"/>
      <c r="CBX26" s="1101"/>
      <c r="CBY26" s="1110">
        <f>IF(CCC10="Bovis","Attention retirer 2 mm aux dimensions transmises",0)</f>
        <v>0</v>
      </c>
      <c r="CBZ26" s="1100"/>
      <c r="CCA26" s="1100"/>
      <c r="CCB26" s="1101"/>
      <c r="CCC26" s="1110">
        <f>IF(CCG10="Bovis","Attention retirer 2 mm aux dimensions transmises",0)</f>
        <v>0</v>
      </c>
      <c r="CCD26" s="1100"/>
      <c r="CCE26" s="1100"/>
      <c r="CCF26" s="1101"/>
      <c r="CCG26" s="1110">
        <f>IF(CCK10="Bovis","Attention retirer 2 mm aux dimensions transmises",0)</f>
        <v>0</v>
      </c>
      <c r="CCH26" s="1100"/>
      <c r="CCI26" s="1100"/>
      <c r="CCJ26" s="1101"/>
      <c r="CCK26" s="1110">
        <f>IF(CCO10="Bovis","Attention retirer 2 mm aux dimensions transmises",0)</f>
        <v>0</v>
      </c>
      <c r="CCL26" s="1100"/>
      <c r="CCM26" s="1100"/>
      <c r="CCN26" s="1101"/>
      <c r="CCO26" s="1110">
        <f>IF(CCS10="Bovis","Attention retirer 2 mm aux dimensions transmises",0)</f>
        <v>0</v>
      </c>
      <c r="CCP26" s="1100"/>
      <c r="CCQ26" s="1100"/>
      <c r="CCR26" s="1101"/>
      <c r="CCS26" s="1110">
        <f>IF(CCW10="Bovis","Attention retirer 2 mm aux dimensions transmises",0)</f>
        <v>0</v>
      </c>
      <c r="CCT26" s="1100"/>
      <c r="CCU26" s="1100"/>
      <c r="CCV26" s="1101"/>
      <c r="CCW26" s="1110">
        <f>IF(CDA10="Bovis","Attention retirer 2 mm aux dimensions transmises",0)</f>
        <v>0</v>
      </c>
      <c r="CCX26" s="1100"/>
      <c r="CCY26" s="1100"/>
      <c r="CCZ26" s="1101"/>
      <c r="CDA26" s="1110">
        <f>IF(CDE10="Bovis","Attention retirer 2 mm aux dimensions transmises",0)</f>
        <v>0</v>
      </c>
      <c r="CDB26" s="1100"/>
      <c r="CDC26" s="1100"/>
      <c r="CDD26" s="1101"/>
      <c r="CDE26" s="1110">
        <f>IF(CDI10="Bovis","Attention retirer 2 mm aux dimensions transmises",0)</f>
        <v>0</v>
      </c>
      <c r="CDF26" s="1100"/>
      <c r="CDG26" s="1100"/>
      <c r="CDH26" s="1101"/>
      <c r="CDI26" s="1110">
        <f>IF(CDM10="Bovis","Attention retirer 2 mm aux dimensions transmises",0)</f>
        <v>0</v>
      </c>
      <c r="CDJ26" s="1100"/>
      <c r="CDK26" s="1100"/>
      <c r="CDL26" s="1101"/>
      <c r="CDM26" s="1110">
        <f>IF(CDQ10="Bovis","Attention retirer 2 mm aux dimensions transmises",0)</f>
        <v>0</v>
      </c>
      <c r="CDN26" s="1100"/>
      <c r="CDO26" s="1100"/>
      <c r="CDP26" s="1101"/>
      <c r="CDQ26" s="1110">
        <f>IF(CDU10="Bovis","Attention retirer 2 mm aux dimensions transmises",0)</f>
        <v>0</v>
      </c>
      <c r="CDR26" s="1100"/>
      <c r="CDS26" s="1100"/>
      <c r="CDT26" s="1101"/>
      <c r="CDU26" s="1110">
        <f>IF(CDY10="Bovis","Attention retirer 2 mm aux dimensions transmises",0)</f>
        <v>0</v>
      </c>
      <c r="CDV26" s="1100"/>
      <c r="CDW26" s="1100"/>
      <c r="CDX26" s="1101"/>
      <c r="CDY26" s="1110">
        <f>IF(CEC10="Bovis","Attention retirer 2 mm aux dimensions transmises",0)</f>
        <v>0</v>
      </c>
      <c r="CDZ26" s="1100"/>
      <c r="CEA26" s="1100"/>
      <c r="CEB26" s="1101"/>
      <c r="CEC26" s="1110">
        <f>IF(CEG10="Bovis","Attention retirer 2 mm aux dimensions transmises",0)</f>
        <v>0</v>
      </c>
      <c r="CED26" s="1100"/>
      <c r="CEE26" s="1100"/>
      <c r="CEF26" s="1101"/>
      <c r="CEG26" s="1110">
        <f>IF(CEK10="Bovis","Attention retirer 2 mm aux dimensions transmises",0)</f>
        <v>0</v>
      </c>
      <c r="CEH26" s="1100"/>
      <c r="CEI26" s="1100"/>
      <c r="CEJ26" s="1101"/>
      <c r="CEK26" s="1110">
        <f>IF(CEO10="Bovis","Attention retirer 2 mm aux dimensions transmises",0)</f>
        <v>0</v>
      </c>
      <c r="CEL26" s="1100"/>
      <c r="CEM26" s="1100"/>
      <c r="CEN26" s="1101"/>
      <c r="CEO26" s="1110">
        <f>IF(CES10="Bovis","Attention retirer 2 mm aux dimensions transmises",0)</f>
        <v>0</v>
      </c>
      <c r="CEP26" s="1100"/>
      <c r="CEQ26" s="1100"/>
      <c r="CER26" s="1101"/>
      <c r="CES26" s="1110">
        <f>IF(CEW10="Bovis","Attention retirer 2 mm aux dimensions transmises",0)</f>
        <v>0</v>
      </c>
      <c r="CET26" s="1100"/>
      <c r="CEU26" s="1100"/>
      <c r="CEV26" s="1101"/>
      <c r="CEW26" s="1110">
        <f>IF(CFA10="Bovis","Attention retirer 2 mm aux dimensions transmises",0)</f>
        <v>0</v>
      </c>
      <c r="CEX26" s="1100"/>
      <c r="CEY26" s="1100"/>
      <c r="CEZ26" s="1101"/>
      <c r="CFA26" s="1110">
        <f>IF(CFE10="Bovis","Attention retirer 2 mm aux dimensions transmises",0)</f>
        <v>0</v>
      </c>
      <c r="CFB26" s="1100"/>
      <c r="CFC26" s="1100"/>
      <c r="CFD26" s="1101"/>
      <c r="CFE26" s="1110">
        <f>IF(CFI10="Bovis","Attention retirer 2 mm aux dimensions transmises",0)</f>
        <v>0</v>
      </c>
      <c r="CFF26" s="1100"/>
      <c r="CFG26" s="1100"/>
      <c r="CFH26" s="1101"/>
      <c r="CFI26" s="1110">
        <f>IF(CFM10="Bovis","Attention retirer 2 mm aux dimensions transmises",0)</f>
        <v>0</v>
      </c>
      <c r="CFJ26" s="1100"/>
      <c r="CFK26" s="1100"/>
      <c r="CFL26" s="1101"/>
      <c r="CFM26" s="1110">
        <f>IF(CFQ10="Bovis","Attention retirer 2 mm aux dimensions transmises",0)</f>
        <v>0</v>
      </c>
      <c r="CFN26" s="1100"/>
      <c r="CFO26" s="1100"/>
      <c r="CFP26" s="1101"/>
      <c r="CFQ26" s="1110">
        <f>IF(CFU10="Bovis","Attention retirer 2 mm aux dimensions transmises",0)</f>
        <v>0</v>
      </c>
      <c r="CFR26" s="1100"/>
      <c r="CFS26" s="1100"/>
      <c r="CFT26" s="1101"/>
      <c r="CFU26" s="1110">
        <f>IF(CFY10="Bovis","Attention retirer 2 mm aux dimensions transmises",0)</f>
        <v>0</v>
      </c>
      <c r="CFV26" s="1100"/>
      <c r="CFW26" s="1100"/>
      <c r="CFX26" s="1101"/>
      <c r="CFY26" s="1110">
        <f>IF(CGC10="Bovis","Attention retirer 2 mm aux dimensions transmises",0)</f>
        <v>0</v>
      </c>
      <c r="CFZ26" s="1100"/>
      <c r="CGA26" s="1100"/>
      <c r="CGB26" s="1101"/>
      <c r="CGC26" s="1110">
        <f>IF(CGG10="Bovis","Attention retirer 2 mm aux dimensions transmises",0)</f>
        <v>0</v>
      </c>
      <c r="CGD26" s="1100"/>
      <c r="CGE26" s="1100"/>
      <c r="CGF26" s="1101"/>
      <c r="CGG26" s="1110">
        <f>IF(CGK10="Bovis","Attention retirer 2 mm aux dimensions transmises",0)</f>
        <v>0</v>
      </c>
      <c r="CGH26" s="1100"/>
      <c r="CGI26" s="1100"/>
      <c r="CGJ26" s="1101"/>
      <c r="CGK26" s="1110">
        <f>IF(CGO10="Bovis","Attention retirer 2 mm aux dimensions transmises",0)</f>
        <v>0</v>
      </c>
      <c r="CGL26" s="1100"/>
      <c r="CGM26" s="1100"/>
      <c r="CGN26" s="1101"/>
      <c r="CGO26" s="1110">
        <f>IF(CGS10="Bovis","Attention retirer 2 mm aux dimensions transmises",0)</f>
        <v>0</v>
      </c>
      <c r="CGP26" s="1100"/>
      <c r="CGQ26" s="1100"/>
      <c r="CGR26" s="1101"/>
      <c r="CGS26" s="1110">
        <f>IF(CGW10="Bovis","Attention retirer 2 mm aux dimensions transmises",0)</f>
        <v>0</v>
      </c>
      <c r="CGT26" s="1100"/>
      <c r="CGU26" s="1100"/>
      <c r="CGV26" s="1101"/>
      <c r="CGW26" s="1110">
        <f>IF(CHA10="Bovis","Attention retirer 2 mm aux dimensions transmises",0)</f>
        <v>0</v>
      </c>
      <c r="CGX26" s="1100"/>
      <c r="CGY26" s="1100"/>
      <c r="CGZ26" s="1101"/>
      <c r="CHA26" s="1110">
        <f>IF(CHE10="Bovis","Attention retirer 2 mm aux dimensions transmises",0)</f>
        <v>0</v>
      </c>
      <c r="CHB26" s="1100"/>
      <c r="CHC26" s="1100"/>
      <c r="CHD26" s="1101"/>
      <c r="CHE26" s="1110">
        <f>IF(CHI10="Bovis","Attention retirer 2 mm aux dimensions transmises",0)</f>
        <v>0</v>
      </c>
      <c r="CHF26" s="1100"/>
      <c r="CHG26" s="1100"/>
      <c r="CHH26" s="1101"/>
      <c r="CHI26" s="1110">
        <f>IF(CHM10="Bovis","Attention retirer 2 mm aux dimensions transmises",0)</f>
        <v>0</v>
      </c>
      <c r="CHJ26" s="1100"/>
      <c r="CHK26" s="1100"/>
      <c r="CHL26" s="1101"/>
      <c r="CHM26" s="1110">
        <f>IF(CHQ10="Bovis","Attention retirer 2 mm aux dimensions transmises",0)</f>
        <v>0</v>
      </c>
      <c r="CHN26" s="1100"/>
      <c r="CHO26" s="1100"/>
      <c r="CHP26" s="1101"/>
      <c r="CHQ26" s="1110">
        <f>IF(CHU10="Bovis","Attention retirer 2 mm aux dimensions transmises",0)</f>
        <v>0</v>
      </c>
      <c r="CHR26" s="1100"/>
      <c r="CHS26" s="1100"/>
      <c r="CHT26" s="1101"/>
      <c r="CHU26" s="1110">
        <f>IF(CHY10="Bovis","Attention retirer 2 mm aux dimensions transmises",0)</f>
        <v>0</v>
      </c>
      <c r="CHV26" s="1100"/>
      <c r="CHW26" s="1100"/>
      <c r="CHX26" s="1101"/>
      <c r="CHY26" s="1110">
        <f>IF(CIC10="Bovis","Attention retirer 2 mm aux dimensions transmises",0)</f>
        <v>0</v>
      </c>
      <c r="CHZ26" s="1100"/>
      <c r="CIA26" s="1100"/>
      <c r="CIB26" s="1101"/>
      <c r="CIC26" s="1110">
        <f>IF(CIG10="Bovis","Attention retirer 2 mm aux dimensions transmises",0)</f>
        <v>0</v>
      </c>
      <c r="CID26" s="1100"/>
      <c r="CIE26" s="1100"/>
      <c r="CIF26" s="1101"/>
      <c r="CIG26" s="1110">
        <f>IF(CIK10="Bovis","Attention retirer 2 mm aux dimensions transmises",0)</f>
        <v>0</v>
      </c>
      <c r="CIH26" s="1100"/>
      <c r="CII26" s="1100"/>
      <c r="CIJ26" s="1101"/>
      <c r="CIK26" s="1110">
        <f>IF(CIO10="Bovis","Attention retirer 2 mm aux dimensions transmises",0)</f>
        <v>0</v>
      </c>
      <c r="CIL26" s="1100"/>
      <c r="CIM26" s="1100"/>
      <c r="CIN26" s="1101"/>
      <c r="CIO26" s="1110">
        <f>IF(CIS10="Bovis","Attention retirer 2 mm aux dimensions transmises",0)</f>
        <v>0</v>
      </c>
      <c r="CIP26" s="1100"/>
      <c r="CIQ26" s="1100"/>
      <c r="CIR26" s="1101"/>
      <c r="CIS26" s="1110">
        <f>IF(CIW10="Bovis","Attention retirer 2 mm aux dimensions transmises",0)</f>
        <v>0</v>
      </c>
      <c r="CIT26" s="1100"/>
      <c r="CIU26" s="1100"/>
      <c r="CIV26" s="1101"/>
      <c r="CIW26" s="1110">
        <f>IF(CJA10="Bovis","Attention retirer 2 mm aux dimensions transmises",0)</f>
        <v>0</v>
      </c>
      <c r="CIX26" s="1100"/>
      <c r="CIY26" s="1100"/>
      <c r="CIZ26" s="1101"/>
      <c r="CJA26" s="1110">
        <f>IF(CJE10="Bovis","Attention retirer 2 mm aux dimensions transmises",0)</f>
        <v>0</v>
      </c>
      <c r="CJB26" s="1100"/>
      <c r="CJC26" s="1100"/>
      <c r="CJD26" s="1101"/>
      <c r="CJE26" s="1110">
        <f>IF(CJI10="Bovis","Attention retirer 2 mm aux dimensions transmises",0)</f>
        <v>0</v>
      </c>
      <c r="CJF26" s="1100"/>
      <c r="CJG26" s="1100"/>
      <c r="CJH26" s="1101"/>
      <c r="CJI26" s="1110">
        <f>IF(CJM10="Bovis","Attention retirer 2 mm aux dimensions transmises",0)</f>
        <v>0</v>
      </c>
      <c r="CJJ26" s="1100"/>
      <c r="CJK26" s="1100"/>
      <c r="CJL26" s="1101"/>
      <c r="CJM26" s="1110">
        <f>IF(CJQ10="Bovis","Attention retirer 2 mm aux dimensions transmises",0)</f>
        <v>0</v>
      </c>
      <c r="CJN26" s="1100"/>
      <c r="CJO26" s="1100"/>
      <c r="CJP26" s="1101"/>
      <c r="CJQ26" s="1110">
        <f>IF(CJU10="Bovis","Attention retirer 2 mm aux dimensions transmises",0)</f>
        <v>0</v>
      </c>
      <c r="CJR26" s="1100"/>
      <c r="CJS26" s="1100"/>
      <c r="CJT26" s="1101"/>
      <c r="CJU26" s="1110">
        <f>IF(CJY10="Bovis","Attention retirer 2 mm aux dimensions transmises",0)</f>
        <v>0</v>
      </c>
      <c r="CJV26" s="1100"/>
      <c r="CJW26" s="1100"/>
      <c r="CJX26" s="1101"/>
      <c r="CJY26" s="1110">
        <f>IF(CKC10="Bovis","Attention retirer 2 mm aux dimensions transmises",0)</f>
        <v>0</v>
      </c>
      <c r="CJZ26" s="1100"/>
      <c r="CKA26" s="1100"/>
      <c r="CKB26" s="1101"/>
      <c r="CKC26" s="1110">
        <f>IF(CKG10="Bovis","Attention retirer 2 mm aux dimensions transmises",0)</f>
        <v>0</v>
      </c>
      <c r="CKD26" s="1100"/>
      <c r="CKE26" s="1100"/>
      <c r="CKF26" s="1101"/>
      <c r="CKG26" s="1110">
        <f>IF(CKK10="Bovis","Attention retirer 2 mm aux dimensions transmises",0)</f>
        <v>0</v>
      </c>
      <c r="CKH26" s="1100"/>
      <c r="CKI26" s="1100"/>
      <c r="CKJ26" s="1101"/>
      <c r="CKK26" s="1110">
        <f>IF(CKO10="Bovis","Attention retirer 2 mm aux dimensions transmises",0)</f>
        <v>0</v>
      </c>
      <c r="CKL26" s="1100"/>
      <c r="CKM26" s="1100"/>
      <c r="CKN26" s="1101"/>
      <c r="CKO26" s="1110">
        <f>IF(CKS10="Bovis","Attention retirer 2 mm aux dimensions transmises",0)</f>
        <v>0</v>
      </c>
      <c r="CKP26" s="1100"/>
      <c r="CKQ26" s="1100"/>
      <c r="CKR26" s="1101"/>
      <c r="CKS26" s="1110">
        <f>IF(CKW10="Bovis","Attention retirer 2 mm aux dimensions transmises",0)</f>
        <v>0</v>
      </c>
      <c r="CKT26" s="1100"/>
      <c r="CKU26" s="1100"/>
      <c r="CKV26" s="1101"/>
      <c r="CKW26" s="1110">
        <f>IF(CLA10="Bovis","Attention retirer 2 mm aux dimensions transmises",0)</f>
        <v>0</v>
      </c>
      <c r="CKX26" s="1100"/>
      <c r="CKY26" s="1100"/>
      <c r="CKZ26" s="1101"/>
      <c r="CLA26" s="1110">
        <f>IF(CLE10="Bovis","Attention retirer 2 mm aux dimensions transmises",0)</f>
        <v>0</v>
      </c>
      <c r="CLB26" s="1100"/>
      <c r="CLC26" s="1100"/>
      <c r="CLD26" s="1101"/>
      <c r="CLE26" s="1110">
        <f>IF(CLI10="Bovis","Attention retirer 2 mm aux dimensions transmises",0)</f>
        <v>0</v>
      </c>
      <c r="CLF26" s="1100"/>
      <c r="CLG26" s="1100"/>
      <c r="CLH26" s="1101"/>
      <c r="CLI26" s="1110">
        <f>IF(CLM10="Bovis","Attention retirer 2 mm aux dimensions transmises",0)</f>
        <v>0</v>
      </c>
      <c r="CLJ26" s="1100"/>
      <c r="CLK26" s="1100"/>
      <c r="CLL26" s="1101"/>
      <c r="CLM26" s="1110">
        <f>IF(CLQ10="Bovis","Attention retirer 2 mm aux dimensions transmises",0)</f>
        <v>0</v>
      </c>
      <c r="CLN26" s="1100"/>
      <c r="CLO26" s="1100"/>
      <c r="CLP26" s="1101"/>
      <c r="CLQ26" s="1110">
        <f>IF(CLU10="Bovis","Attention retirer 2 mm aux dimensions transmises",0)</f>
        <v>0</v>
      </c>
      <c r="CLR26" s="1100"/>
      <c r="CLS26" s="1100"/>
      <c r="CLT26" s="1101"/>
      <c r="CLU26" s="1110">
        <f>IF(CLY10="Bovis","Attention retirer 2 mm aux dimensions transmises",0)</f>
        <v>0</v>
      </c>
      <c r="CLV26" s="1100"/>
      <c r="CLW26" s="1100"/>
      <c r="CLX26" s="1101"/>
      <c r="CLY26" s="1110">
        <f>IF(CMC10="Bovis","Attention retirer 2 mm aux dimensions transmises",0)</f>
        <v>0</v>
      </c>
      <c r="CLZ26" s="1100"/>
      <c r="CMA26" s="1100"/>
      <c r="CMB26" s="1101"/>
      <c r="CMC26" s="1110">
        <f>IF(CMG10="Bovis","Attention retirer 2 mm aux dimensions transmises",0)</f>
        <v>0</v>
      </c>
      <c r="CMD26" s="1100"/>
      <c r="CME26" s="1100"/>
      <c r="CMF26" s="1101"/>
      <c r="CMG26" s="1110">
        <f>IF(CMK10="Bovis","Attention retirer 2 mm aux dimensions transmises",0)</f>
        <v>0</v>
      </c>
      <c r="CMH26" s="1100"/>
      <c r="CMI26" s="1100"/>
      <c r="CMJ26" s="1101"/>
      <c r="CMK26" s="1110">
        <f>IF(CMO10="Bovis","Attention retirer 2 mm aux dimensions transmises",0)</f>
        <v>0</v>
      </c>
      <c r="CML26" s="1100"/>
      <c r="CMM26" s="1100"/>
      <c r="CMN26" s="1101"/>
      <c r="CMO26" s="1110">
        <f>IF(CMS10="Bovis","Attention retirer 2 mm aux dimensions transmises",0)</f>
        <v>0</v>
      </c>
      <c r="CMP26" s="1100"/>
      <c r="CMQ26" s="1100"/>
      <c r="CMR26" s="1101"/>
      <c r="CMS26" s="1110">
        <f>IF(CMW10="Bovis","Attention retirer 2 mm aux dimensions transmises",0)</f>
        <v>0</v>
      </c>
      <c r="CMT26" s="1100"/>
      <c r="CMU26" s="1100"/>
      <c r="CMV26" s="1101"/>
      <c r="CMW26" s="1110">
        <f>IF(CNA10="Bovis","Attention retirer 2 mm aux dimensions transmises",0)</f>
        <v>0</v>
      </c>
      <c r="CMX26" s="1100"/>
      <c r="CMY26" s="1100"/>
      <c r="CMZ26" s="1101"/>
      <c r="CNA26" s="1110">
        <f>IF(CNE10="Bovis","Attention retirer 2 mm aux dimensions transmises",0)</f>
        <v>0</v>
      </c>
      <c r="CNB26" s="1100"/>
      <c r="CNC26" s="1100"/>
      <c r="CND26" s="1101"/>
      <c r="CNE26" s="1110">
        <f>IF(CNI10="Bovis","Attention retirer 2 mm aux dimensions transmises",0)</f>
        <v>0</v>
      </c>
      <c r="CNF26" s="1100"/>
      <c r="CNG26" s="1100"/>
      <c r="CNH26" s="1101"/>
      <c r="CNI26" s="1110">
        <f>IF(CNM10="Bovis","Attention retirer 2 mm aux dimensions transmises",0)</f>
        <v>0</v>
      </c>
      <c r="CNJ26" s="1100"/>
      <c r="CNK26" s="1100"/>
      <c r="CNL26" s="1101"/>
      <c r="CNM26" s="1110">
        <f>IF(CNQ10="Bovis","Attention retirer 2 mm aux dimensions transmises",0)</f>
        <v>0</v>
      </c>
      <c r="CNN26" s="1100"/>
      <c r="CNO26" s="1100"/>
      <c r="CNP26" s="1101"/>
      <c r="CNQ26" s="1110">
        <f>IF(CNU10="Bovis","Attention retirer 2 mm aux dimensions transmises",0)</f>
        <v>0</v>
      </c>
      <c r="CNR26" s="1100"/>
      <c r="CNS26" s="1100"/>
      <c r="CNT26" s="1101"/>
      <c r="CNU26" s="1110">
        <f>IF(CNY10="Bovis","Attention retirer 2 mm aux dimensions transmises",0)</f>
        <v>0</v>
      </c>
      <c r="CNV26" s="1100"/>
      <c r="CNW26" s="1100"/>
      <c r="CNX26" s="1101"/>
      <c r="CNY26" s="1110">
        <f>IF(COC10="Bovis","Attention retirer 2 mm aux dimensions transmises",0)</f>
        <v>0</v>
      </c>
      <c r="CNZ26" s="1100"/>
      <c r="COA26" s="1100"/>
      <c r="COB26" s="1101"/>
      <c r="COC26" s="1110">
        <f>IF(COG10="Bovis","Attention retirer 2 mm aux dimensions transmises",0)</f>
        <v>0</v>
      </c>
      <c r="COD26" s="1100"/>
      <c r="COE26" s="1100"/>
      <c r="COF26" s="1101"/>
      <c r="COG26" s="1110">
        <f>IF(COK10="Bovis","Attention retirer 2 mm aux dimensions transmises",0)</f>
        <v>0</v>
      </c>
      <c r="COH26" s="1100"/>
      <c r="COI26" s="1100"/>
      <c r="COJ26" s="1101"/>
      <c r="COK26" s="1110">
        <f>IF(COO10="Bovis","Attention retirer 2 mm aux dimensions transmises",0)</f>
        <v>0</v>
      </c>
      <c r="COL26" s="1100"/>
      <c r="COM26" s="1100"/>
      <c r="CON26" s="1101"/>
      <c r="COO26" s="1110">
        <f>IF(COS10="Bovis","Attention retirer 2 mm aux dimensions transmises",0)</f>
        <v>0</v>
      </c>
      <c r="COP26" s="1100"/>
      <c r="COQ26" s="1100"/>
      <c r="COR26" s="1101"/>
      <c r="COS26" s="1110">
        <f>IF(COW10="Bovis","Attention retirer 2 mm aux dimensions transmises",0)</f>
        <v>0</v>
      </c>
      <c r="COT26" s="1100"/>
      <c r="COU26" s="1100"/>
      <c r="COV26" s="1101"/>
      <c r="COW26" s="1110">
        <f>IF(CPA10="Bovis","Attention retirer 2 mm aux dimensions transmises",0)</f>
        <v>0</v>
      </c>
      <c r="COX26" s="1100"/>
      <c r="COY26" s="1100"/>
      <c r="COZ26" s="1101"/>
      <c r="CPA26" s="1110">
        <f>IF(CPE10="Bovis","Attention retirer 2 mm aux dimensions transmises",0)</f>
        <v>0</v>
      </c>
      <c r="CPB26" s="1100"/>
      <c r="CPC26" s="1100"/>
      <c r="CPD26" s="1101"/>
      <c r="CPE26" s="1110">
        <f>IF(CPI10="Bovis","Attention retirer 2 mm aux dimensions transmises",0)</f>
        <v>0</v>
      </c>
      <c r="CPF26" s="1100"/>
      <c r="CPG26" s="1100"/>
      <c r="CPH26" s="1101"/>
      <c r="CPI26" s="1110">
        <f>IF(CPM10="Bovis","Attention retirer 2 mm aux dimensions transmises",0)</f>
        <v>0</v>
      </c>
      <c r="CPJ26" s="1100"/>
      <c r="CPK26" s="1100"/>
      <c r="CPL26" s="1101"/>
      <c r="CPM26" s="1110">
        <f>IF(CPQ10="Bovis","Attention retirer 2 mm aux dimensions transmises",0)</f>
        <v>0</v>
      </c>
      <c r="CPN26" s="1100"/>
      <c r="CPO26" s="1100"/>
      <c r="CPP26" s="1101"/>
      <c r="CPQ26" s="1110">
        <f>IF(CPU10="Bovis","Attention retirer 2 mm aux dimensions transmises",0)</f>
        <v>0</v>
      </c>
      <c r="CPR26" s="1100"/>
      <c r="CPS26" s="1100"/>
      <c r="CPT26" s="1101"/>
      <c r="CPU26" s="1110">
        <f>IF(CPY10="Bovis","Attention retirer 2 mm aux dimensions transmises",0)</f>
        <v>0</v>
      </c>
      <c r="CPV26" s="1100"/>
      <c r="CPW26" s="1100"/>
      <c r="CPX26" s="1101"/>
      <c r="CPY26" s="1110">
        <f>IF(CQC10="Bovis","Attention retirer 2 mm aux dimensions transmises",0)</f>
        <v>0</v>
      </c>
      <c r="CPZ26" s="1100"/>
      <c r="CQA26" s="1100"/>
      <c r="CQB26" s="1101"/>
      <c r="CQC26" s="1110">
        <f>IF(CQG10="Bovis","Attention retirer 2 mm aux dimensions transmises",0)</f>
        <v>0</v>
      </c>
      <c r="CQD26" s="1100"/>
      <c r="CQE26" s="1100"/>
      <c r="CQF26" s="1101"/>
      <c r="CQG26" s="1110">
        <f>IF(CQK10="Bovis","Attention retirer 2 mm aux dimensions transmises",0)</f>
        <v>0</v>
      </c>
      <c r="CQH26" s="1100"/>
      <c r="CQI26" s="1100"/>
      <c r="CQJ26" s="1101"/>
      <c r="CQK26" s="1110">
        <f>IF(CQO10="Bovis","Attention retirer 2 mm aux dimensions transmises",0)</f>
        <v>0</v>
      </c>
      <c r="CQL26" s="1100"/>
      <c r="CQM26" s="1100"/>
      <c r="CQN26" s="1101"/>
      <c r="CQO26" s="1110">
        <f>IF(CQS10="Bovis","Attention retirer 2 mm aux dimensions transmises",0)</f>
        <v>0</v>
      </c>
      <c r="CQP26" s="1100"/>
      <c r="CQQ26" s="1100"/>
      <c r="CQR26" s="1101"/>
      <c r="CQS26" s="1110">
        <f>IF(CQW10="Bovis","Attention retirer 2 mm aux dimensions transmises",0)</f>
        <v>0</v>
      </c>
      <c r="CQT26" s="1100"/>
      <c r="CQU26" s="1100"/>
      <c r="CQV26" s="1101"/>
      <c r="CQW26" s="1110">
        <f>IF(CRA10="Bovis","Attention retirer 2 mm aux dimensions transmises",0)</f>
        <v>0</v>
      </c>
      <c r="CQX26" s="1100"/>
      <c r="CQY26" s="1100"/>
      <c r="CQZ26" s="1101"/>
      <c r="CRA26" s="1110">
        <f>IF(CRE10="Bovis","Attention retirer 2 mm aux dimensions transmises",0)</f>
        <v>0</v>
      </c>
      <c r="CRB26" s="1100"/>
      <c r="CRC26" s="1100"/>
      <c r="CRD26" s="1101"/>
      <c r="CRE26" s="1110">
        <f>IF(CRI10="Bovis","Attention retirer 2 mm aux dimensions transmises",0)</f>
        <v>0</v>
      </c>
      <c r="CRF26" s="1100"/>
      <c r="CRG26" s="1100"/>
      <c r="CRH26" s="1101"/>
      <c r="CRI26" s="1110">
        <f>IF(CRM10="Bovis","Attention retirer 2 mm aux dimensions transmises",0)</f>
        <v>0</v>
      </c>
      <c r="CRJ26" s="1100"/>
      <c r="CRK26" s="1100"/>
      <c r="CRL26" s="1101"/>
      <c r="CRM26" s="1110">
        <f>IF(CRQ10="Bovis","Attention retirer 2 mm aux dimensions transmises",0)</f>
        <v>0</v>
      </c>
      <c r="CRN26" s="1100"/>
      <c r="CRO26" s="1100"/>
      <c r="CRP26" s="1101"/>
      <c r="CRQ26" s="1110">
        <f>IF(CRU10="Bovis","Attention retirer 2 mm aux dimensions transmises",0)</f>
        <v>0</v>
      </c>
      <c r="CRR26" s="1100"/>
      <c r="CRS26" s="1100"/>
      <c r="CRT26" s="1101"/>
      <c r="CRU26" s="1110">
        <f>IF(CRY10="Bovis","Attention retirer 2 mm aux dimensions transmises",0)</f>
        <v>0</v>
      </c>
      <c r="CRV26" s="1100"/>
      <c r="CRW26" s="1100"/>
      <c r="CRX26" s="1101"/>
      <c r="CRY26" s="1110">
        <f>IF(CSC10="Bovis","Attention retirer 2 mm aux dimensions transmises",0)</f>
        <v>0</v>
      </c>
      <c r="CRZ26" s="1100"/>
      <c r="CSA26" s="1100"/>
      <c r="CSB26" s="1101"/>
      <c r="CSC26" s="1110">
        <f>IF(CSG10="Bovis","Attention retirer 2 mm aux dimensions transmises",0)</f>
        <v>0</v>
      </c>
      <c r="CSD26" s="1100"/>
      <c r="CSE26" s="1100"/>
      <c r="CSF26" s="1101"/>
      <c r="CSG26" s="1110">
        <f>IF(CSK10="Bovis","Attention retirer 2 mm aux dimensions transmises",0)</f>
        <v>0</v>
      </c>
      <c r="CSH26" s="1100"/>
      <c r="CSI26" s="1100"/>
      <c r="CSJ26" s="1101"/>
      <c r="CSK26" s="1110">
        <f>IF(CSO10="Bovis","Attention retirer 2 mm aux dimensions transmises",0)</f>
        <v>0</v>
      </c>
      <c r="CSL26" s="1100"/>
      <c r="CSM26" s="1100"/>
      <c r="CSN26" s="1101"/>
      <c r="CSO26" s="1110">
        <f>IF(CSS10="Bovis","Attention retirer 2 mm aux dimensions transmises",0)</f>
        <v>0</v>
      </c>
      <c r="CSP26" s="1100"/>
      <c r="CSQ26" s="1100"/>
      <c r="CSR26" s="1101"/>
      <c r="CSS26" s="1110">
        <f>IF(CSW10="Bovis","Attention retirer 2 mm aux dimensions transmises",0)</f>
        <v>0</v>
      </c>
      <c r="CST26" s="1100"/>
      <c r="CSU26" s="1100"/>
      <c r="CSV26" s="1101"/>
      <c r="CSW26" s="1110">
        <f>IF(CTA10="Bovis","Attention retirer 2 mm aux dimensions transmises",0)</f>
        <v>0</v>
      </c>
      <c r="CSX26" s="1100"/>
      <c r="CSY26" s="1100"/>
      <c r="CSZ26" s="1101"/>
      <c r="CTA26" s="1110">
        <f>IF(CTE10="Bovis","Attention retirer 2 mm aux dimensions transmises",0)</f>
        <v>0</v>
      </c>
      <c r="CTB26" s="1100"/>
      <c r="CTC26" s="1100"/>
      <c r="CTD26" s="1101"/>
      <c r="CTE26" s="1110">
        <f>IF(CTI10="Bovis","Attention retirer 2 mm aux dimensions transmises",0)</f>
        <v>0</v>
      </c>
      <c r="CTF26" s="1100"/>
      <c r="CTG26" s="1100"/>
      <c r="CTH26" s="1101"/>
      <c r="CTI26" s="1110">
        <f>IF(CTM10="Bovis","Attention retirer 2 mm aux dimensions transmises",0)</f>
        <v>0</v>
      </c>
      <c r="CTJ26" s="1100"/>
      <c r="CTK26" s="1100"/>
      <c r="CTL26" s="1101"/>
      <c r="CTM26" s="1110">
        <f>IF(CTQ10="Bovis","Attention retirer 2 mm aux dimensions transmises",0)</f>
        <v>0</v>
      </c>
      <c r="CTN26" s="1100"/>
      <c r="CTO26" s="1100"/>
      <c r="CTP26" s="1101"/>
      <c r="CTQ26" s="1110">
        <f>IF(CTU10="Bovis","Attention retirer 2 mm aux dimensions transmises",0)</f>
        <v>0</v>
      </c>
      <c r="CTR26" s="1100"/>
      <c r="CTS26" s="1100"/>
      <c r="CTT26" s="1101"/>
      <c r="CTU26" s="1110">
        <f>IF(CTY10="Bovis","Attention retirer 2 mm aux dimensions transmises",0)</f>
        <v>0</v>
      </c>
      <c r="CTV26" s="1100"/>
      <c r="CTW26" s="1100"/>
      <c r="CTX26" s="1101"/>
      <c r="CTY26" s="1110">
        <f>IF(CUC10="Bovis","Attention retirer 2 mm aux dimensions transmises",0)</f>
        <v>0</v>
      </c>
      <c r="CTZ26" s="1100"/>
      <c r="CUA26" s="1100"/>
      <c r="CUB26" s="1101"/>
      <c r="CUC26" s="1110">
        <f>IF(CUG10="Bovis","Attention retirer 2 mm aux dimensions transmises",0)</f>
        <v>0</v>
      </c>
      <c r="CUD26" s="1100"/>
      <c r="CUE26" s="1100"/>
      <c r="CUF26" s="1101"/>
      <c r="CUG26" s="1110">
        <f>IF(CUK10="Bovis","Attention retirer 2 mm aux dimensions transmises",0)</f>
        <v>0</v>
      </c>
      <c r="CUH26" s="1100"/>
      <c r="CUI26" s="1100"/>
      <c r="CUJ26" s="1101"/>
      <c r="CUK26" s="1110">
        <f>IF(CUO10="Bovis","Attention retirer 2 mm aux dimensions transmises",0)</f>
        <v>0</v>
      </c>
      <c r="CUL26" s="1100"/>
      <c r="CUM26" s="1100"/>
      <c r="CUN26" s="1101"/>
      <c r="CUO26" s="1110">
        <f>IF(CUS10="Bovis","Attention retirer 2 mm aux dimensions transmises",0)</f>
        <v>0</v>
      </c>
      <c r="CUP26" s="1100"/>
      <c r="CUQ26" s="1100"/>
      <c r="CUR26" s="1101"/>
      <c r="CUS26" s="1110">
        <f>IF(CUW10="Bovis","Attention retirer 2 mm aux dimensions transmises",0)</f>
        <v>0</v>
      </c>
      <c r="CUT26" s="1100"/>
      <c r="CUU26" s="1100"/>
      <c r="CUV26" s="1101"/>
      <c r="CUW26" s="1110">
        <f>IF(CVA10="Bovis","Attention retirer 2 mm aux dimensions transmises",0)</f>
        <v>0</v>
      </c>
      <c r="CUX26" s="1100"/>
      <c r="CUY26" s="1100"/>
      <c r="CUZ26" s="1101"/>
      <c r="CVA26" s="1110">
        <f>IF(CVE10="Bovis","Attention retirer 2 mm aux dimensions transmises",0)</f>
        <v>0</v>
      </c>
      <c r="CVB26" s="1100"/>
      <c r="CVC26" s="1100"/>
      <c r="CVD26" s="1101"/>
      <c r="CVE26" s="1110">
        <f>IF(CVI10="Bovis","Attention retirer 2 mm aux dimensions transmises",0)</f>
        <v>0</v>
      </c>
      <c r="CVF26" s="1100"/>
      <c r="CVG26" s="1100"/>
      <c r="CVH26" s="1101"/>
      <c r="CVI26" s="1110">
        <f>IF(CVM10="Bovis","Attention retirer 2 mm aux dimensions transmises",0)</f>
        <v>0</v>
      </c>
      <c r="CVJ26" s="1100"/>
      <c r="CVK26" s="1100"/>
      <c r="CVL26" s="1101"/>
      <c r="CVM26" s="1110">
        <f>IF(CVQ10="Bovis","Attention retirer 2 mm aux dimensions transmises",0)</f>
        <v>0</v>
      </c>
      <c r="CVN26" s="1100"/>
      <c r="CVO26" s="1100"/>
      <c r="CVP26" s="1101"/>
      <c r="CVQ26" s="1110">
        <f>IF(CVU10="Bovis","Attention retirer 2 mm aux dimensions transmises",0)</f>
        <v>0</v>
      </c>
      <c r="CVR26" s="1100"/>
      <c r="CVS26" s="1100"/>
      <c r="CVT26" s="1101"/>
      <c r="CVU26" s="1110">
        <f>IF(CVY10="Bovis","Attention retirer 2 mm aux dimensions transmises",0)</f>
        <v>0</v>
      </c>
      <c r="CVV26" s="1100"/>
      <c r="CVW26" s="1100"/>
      <c r="CVX26" s="1101"/>
      <c r="CVY26" s="1110">
        <f>IF(CWC10="Bovis","Attention retirer 2 mm aux dimensions transmises",0)</f>
        <v>0</v>
      </c>
      <c r="CVZ26" s="1100"/>
      <c r="CWA26" s="1100"/>
      <c r="CWB26" s="1101"/>
      <c r="CWC26" s="1110">
        <f>IF(CWG10="Bovis","Attention retirer 2 mm aux dimensions transmises",0)</f>
        <v>0</v>
      </c>
      <c r="CWD26" s="1100"/>
      <c r="CWE26" s="1100"/>
      <c r="CWF26" s="1101"/>
      <c r="CWG26" s="1110">
        <f>IF(CWK10="Bovis","Attention retirer 2 mm aux dimensions transmises",0)</f>
        <v>0</v>
      </c>
      <c r="CWH26" s="1100"/>
      <c r="CWI26" s="1100"/>
      <c r="CWJ26" s="1101"/>
      <c r="CWK26" s="1110">
        <f>IF(CWO10="Bovis","Attention retirer 2 mm aux dimensions transmises",0)</f>
        <v>0</v>
      </c>
      <c r="CWL26" s="1100"/>
      <c r="CWM26" s="1100"/>
      <c r="CWN26" s="1101"/>
      <c r="CWO26" s="1110">
        <f>IF(CWS10="Bovis","Attention retirer 2 mm aux dimensions transmises",0)</f>
        <v>0</v>
      </c>
      <c r="CWP26" s="1100"/>
      <c r="CWQ26" s="1100"/>
      <c r="CWR26" s="1101"/>
      <c r="CWS26" s="1110">
        <f>IF(CWW10="Bovis","Attention retirer 2 mm aux dimensions transmises",0)</f>
        <v>0</v>
      </c>
      <c r="CWT26" s="1100"/>
      <c r="CWU26" s="1100"/>
      <c r="CWV26" s="1101"/>
      <c r="CWW26" s="1110">
        <f>IF(CXA10="Bovis","Attention retirer 2 mm aux dimensions transmises",0)</f>
        <v>0</v>
      </c>
      <c r="CWX26" s="1100"/>
      <c r="CWY26" s="1100"/>
      <c r="CWZ26" s="1101"/>
      <c r="CXA26" s="1110">
        <f>IF(CXE10="Bovis","Attention retirer 2 mm aux dimensions transmises",0)</f>
        <v>0</v>
      </c>
      <c r="CXB26" s="1100"/>
      <c r="CXC26" s="1100"/>
      <c r="CXD26" s="1101"/>
      <c r="CXE26" s="1110">
        <f>IF(CXI10="Bovis","Attention retirer 2 mm aux dimensions transmises",0)</f>
        <v>0</v>
      </c>
      <c r="CXF26" s="1100"/>
      <c r="CXG26" s="1100"/>
      <c r="CXH26" s="1101"/>
      <c r="CXI26" s="1110">
        <f>IF(CXM10="Bovis","Attention retirer 2 mm aux dimensions transmises",0)</f>
        <v>0</v>
      </c>
      <c r="CXJ26" s="1100"/>
      <c r="CXK26" s="1100"/>
      <c r="CXL26" s="1101"/>
      <c r="CXM26" s="1110">
        <f>IF(CXQ10="Bovis","Attention retirer 2 mm aux dimensions transmises",0)</f>
        <v>0</v>
      </c>
      <c r="CXN26" s="1100"/>
      <c r="CXO26" s="1100"/>
      <c r="CXP26" s="1101"/>
      <c r="CXQ26" s="1110">
        <f>IF(CXU10="Bovis","Attention retirer 2 mm aux dimensions transmises",0)</f>
        <v>0</v>
      </c>
      <c r="CXR26" s="1100"/>
      <c r="CXS26" s="1100"/>
      <c r="CXT26" s="1101"/>
      <c r="CXU26" s="1110">
        <f>IF(CXY10="Bovis","Attention retirer 2 mm aux dimensions transmises",0)</f>
        <v>0</v>
      </c>
      <c r="CXV26" s="1100"/>
      <c r="CXW26" s="1100"/>
      <c r="CXX26" s="1101"/>
      <c r="CXY26" s="1110">
        <f>IF(CYC10="Bovis","Attention retirer 2 mm aux dimensions transmises",0)</f>
        <v>0</v>
      </c>
      <c r="CXZ26" s="1100"/>
      <c r="CYA26" s="1100"/>
      <c r="CYB26" s="1101"/>
      <c r="CYC26" s="1110">
        <f>IF(CYG10="Bovis","Attention retirer 2 mm aux dimensions transmises",0)</f>
        <v>0</v>
      </c>
      <c r="CYD26" s="1100"/>
      <c r="CYE26" s="1100"/>
      <c r="CYF26" s="1101"/>
      <c r="CYG26" s="1110">
        <f>IF(CYK10="Bovis","Attention retirer 2 mm aux dimensions transmises",0)</f>
        <v>0</v>
      </c>
      <c r="CYH26" s="1100"/>
      <c r="CYI26" s="1100"/>
      <c r="CYJ26" s="1101"/>
      <c r="CYK26" s="1110">
        <f>IF(CYO10="Bovis","Attention retirer 2 mm aux dimensions transmises",0)</f>
        <v>0</v>
      </c>
      <c r="CYL26" s="1100"/>
      <c r="CYM26" s="1100"/>
      <c r="CYN26" s="1101"/>
      <c r="CYO26" s="1110">
        <f>IF(CYS10="Bovis","Attention retirer 2 mm aux dimensions transmises",0)</f>
        <v>0</v>
      </c>
      <c r="CYP26" s="1100"/>
      <c r="CYQ26" s="1100"/>
      <c r="CYR26" s="1101"/>
      <c r="CYS26" s="1110">
        <f>IF(CYW10="Bovis","Attention retirer 2 mm aux dimensions transmises",0)</f>
        <v>0</v>
      </c>
      <c r="CYT26" s="1100"/>
      <c r="CYU26" s="1100"/>
      <c r="CYV26" s="1101"/>
      <c r="CYW26" s="1110">
        <f>IF(CZA10="Bovis","Attention retirer 2 mm aux dimensions transmises",0)</f>
        <v>0</v>
      </c>
      <c r="CYX26" s="1100"/>
      <c r="CYY26" s="1100"/>
      <c r="CYZ26" s="1101"/>
      <c r="CZA26" s="1110">
        <f>IF(CZE10="Bovis","Attention retirer 2 mm aux dimensions transmises",0)</f>
        <v>0</v>
      </c>
      <c r="CZB26" s="1100"/>
      <c r="CZC26" s="1100"/>
      <c r="CZD26" s="1101"/>
      <c r="CZE26" s="1110">
        <f>IF(CZI10="Bovis","Attention retirer 2 mm aux dimensions transmises",0)</f>
        <v>0</v>
      </c>
      <c r="CZF26" s="1100"/>
      <c r="CZG26" s="1100"/>
      <c r="CZH26" s="1101"/>
      <c r="CZI26" s="1110">
        <f>IF(CZM10="Bovis","Attention retirer 2 mm aux dimensions transmises",0)</f>
        <v>0</v>
      </c>
      <c r="CZJ26" s="1100"/>
      <c r="CZK26" s="1100"/>
      <c r="CZL26" s="1101"/>
      <c r="CZM26" s="1110">
        <f>IF(CZQ10="Bovis","Attention retirer 2 mm aux dimensions transmises",0)</f>
        <v>0</v>
      </c>
      <c r="CZN26" s="1100"/>
      <c r="CZO26" s="1100"/>
      <c r="CZP26" s="1101"/>
      <c r="CZQ26" s="1110">
        <f>IF(CZU10="Bovis","Attention retirer 2 mm aux dimensions transmises",0)</f>
        <v>0</v>
      </c>
      <c r="CZR26" s="1100"/>
      <c r="CZS26" s="1100"/>
      <c r="CZT26" s="1101"/>
      <c r="CZU26" s="1110">
        <f>IF(CZY10="Bovis","Attention retirer 2 mm aux dimensions transmises",0)</f>
        <v>0</v>
      </c>
      <c r="CZV26" s="1100"/>
      <c r="CZW26" s="1100"/>
      <c r="CZX26" s="1101"/>
      <c r="CZY26" s="1110">
        <f>IF(DAC10="Bovis","Attention retirer 2 mm aux dimensions transmises",0)</f>
        <v>0</v>
      </c>
      <c r="CZZ26" s="1100"/>
      <c r="DAA26" s="1100"/>
      <c r="DAB26" s="1101"/>
      <c r="DAC26" s="1110">
        <f>IF(DAG10="Bovis","Attention retirer 2 mm aux dimensions transmises",0)</f>
        <v>0</v>
      </c>
      <c r="DAD26" s="1100"/>
      <c r="DAE26" s="1100"/>
      <c r="DAF26" s="1101"/>
      <c r="DAG26" s="1110">
        <f>IF(DAK10="Bovis","Attention retirer 2 mm aux dimensions transmises",0)</f>
        <v>0</v>
      </c>
      <c r="DAH26" s="1100"/>
      <c r="DAI26" s="1100"/>
      <c r="DAJ26" s="1101"/>
      <c r="DAK26" s="1110">
        <f>IF(DAO10="Bovis","Attention retirer 2 mm aux dimensions transmises",0)</f>
        <v>0</v>
      </c>
      <c r="DAL26" s="1100"/>
      <c r="DAM26" s="1100"/>
      <c r="DAN26" s="1101"/>
      <c r="DAO26" s="1110">
        <f>IF(DAS10="Bovis","Attention retirer 2 mm aux dimensions transmises",0)</f>
        <v>0</v>
      </c>
      <c r="DAP26" s="1100"/>
      <c r="DAQ26" s="1100"/>
      <c r="DAR26" s="1101"/>
      <c r="DAS26" s="1110">
        <f>IF(DAW10="Bovis","Attention retirer 2 mm aux dimensions transmises",0)</f>
        <v>0</v>
      </c>
      <c r="DAT26" s="1100"/>
      <c r="DAU26" s="1100"/>
      <c r="DAV26" s="1101"/>
      <c r="DAW26" s="1110">
        <f>IF(DBA10="Bovis","Attention retirer 2 mm aux dimensions transmises",0)</f>
        <v>0</v>
      </c>
      <c r="DAX26" s="1100"/>
      <c r="DAY26" s="1100"/>
      <c r="DAZ26" s="1101"/>
      <c r="DBA26" s="1110">
        <f>IF(DBE10="Bovis","Attention retirer 2 mm aux dimensions transmises",0)</f>
        <v>0</v>
      </c>
      <c r="DBB26" s="1100"/>
      <c r="DBC26" s="1100"/>
      <c r="DBD26" s="1101"/>
      <c r="DBE26" s="1110">
        <f>IF(DBI10="Bovis","Attention retirer 2 mm aux dimensions transmises",0)</f>
        <v>0</v>
      </c>
      <c r="DBF26" s="1100"/>
      <c r="DBG26" s="1100"/>
      <c r="DBH26" s="1101"/>
      <c r="DBI26" s="1110">
        <f>IF(DBM10="Bovis","Attention retirer 2 mm aux dimensions transmises",0)</f>
        <v>0</v>
      </c>
      <c r="DBJ26" s="1100"/>
      <c r="DBK26" s="1100"/>
      <c r="DBL26" s="1101"/>
      <c r="DBM26" s="1110">
        <f>IF(DBQ10="Bovis","Attention retirer 2 mm aux dimensions transmises",0)</f>
        <v>0</v>
      </c>
      <c r="DBN26" s="1100"/>
      <c r="DBO26" s="1100"/>
      <c r="DBP26" s="1101"/>
      <c r="DBQ26" s="1110">
        <f>IF(DBU10="Bovis","Attention retirer 2 mm aux dimensions transmises",0)</f>
        <v>0</v>
      </c>
      <c r="DBR26" s="1100"/>
      <c r="DBS26" s="1100"/>
      <c r="DBT26" s="1101"/>
      <c r="DBU26" s="1110">
        <f>IF(DBY10="Bovis","Attention retirer 2 mm aux dimensions transmises",0)</f>
        <v>0</v>
      </c>
      <c r="DBV26" s="1100"/>
      <c r="DBW26" s="1100"/>
      <c r="DBX26" s="1101"/>
      <c r="DBY26" s="1110">
        <f>IF(DCC10="Bovis","Attention retirer 2 mm aux dimensions transmises",0)</f>
        <v>0</v>
      </c>
      <c r="DBZ26" s="1100"/>
      <c r="DCA26" s="1100"/>
      <c r="DCB26" s="1101"/>
      <c r="DCC26" s="1110">
        <f>IF(DCG10="Bovis","Attention retirer 2 mm aux dimensions transmises",0)</f>
        <v>0</v>
      </c>
      <c r="DCD26" s="1100"/>
      <c r="DCE26" s="1100"/>
      <c r="DCF26" s="1101"/>
      <c r="DCG26" s="1110">
        <f>IF(DCK10="Bovis","Attention retirer 2 mm aux dimensions transmises",0)</f>
        <v>0</v>
      </c>
      <c r="DCH26" s="1100"/>
      <c r="DCI26" s="1100"/>
      <c r="DCJ26" s="1101"/>
      <c r="DCK26" s="1110">
        <f>IF(DCO10="Bovis","Attention retirer 2 mm aux dimensions transmises",0)</f>
        <v>0</v>
      </c>
      <c r="DCL26" s="1100"/>
      <c r="DCM26" s="1100"/>
      <c r="DCN26" s="1101"/>
      <c r="DCO26" s="1110">
        <f>IF(DCS10="Bovis","Attention retirer 2 mm aux dimensions transmises",0)</f>
        <v>0</v>
      </c>
      <c r="DCP26" s="1100"/>
      <c r="DCQ26" s="1100"/>
      <c r="DCR26" s="1101"/>
      <c r="DCS26" s="1110">
        <f>IF(DCW10="Bovis","Attention retirer 2 mm aux dimensions transmises",0)</f>
        <v>0</v>
      </c>
      <c r="DCT26" s="1100"/>
      <c r="DCU26" s="1100"/>
      <c r="DCV26" s="1101"/>
      <c r="DCW26" s="1110">
        <f>IF(DDA10="Bovis","Attention retirer 2 mm aux dimensions transmises",0)</f>
        <v>0</v>
      </c>
      <c r="DCX26" s="1100"/>
      <c r="DCY26" s="1100"/>
      <c r="DCZ26" s="1101"/>
      <c r="DDA26" s="1110">
        <f>IF(DDE10="Bovis","Attention retirer 2 mm aux dimensions transmises",0)</f>
        <v>0</v>
      </c>
      <c r="DDB26" s="1100"/>
      <c r="DDC26" s="1100"/>
      <c r="DDD26" s="1101"/>
      <c r="DDE26" s="1110">
        <f>IF(DDI10="Bovis","Attention retirer 2 mm aux dimensions transmises",0)</f>
        <v>0</v>
      </c>
      <c r="DDF26" s="1100"/>
      <c r="DDG26" s="1100"/>
      <c r="DDH26" s="1101"/>
      <c r="DDI26" s="1110">
        <f>IF(DDM10="Bovis","Attention retirer 2 mm aux dimensions transmises",0)</f>
        <v>0</v>
      </c>
      <c r="DDJ26" s="1100"/>
      <c r="DDK26" s="1100"/>
      <c r="DDL26" s="1101"/>
      <c r="DDM26" s="1110">
        <f>IF(DDQ10="Bovis","Attention retirer 2 mm aux dimensions transmises",0)</f>
        <v>0</v>
      </c>
      <c r="DDN26" s="1100"/>
      <c r="DDO26" s="1100"/>
      <c r="DDP26" s="1101"/>
      <c r="DDQ26" s="1110">
        <f>IF(DDU10="Bovis","Attention retirer 2 mm aux dimensions transmises",0)</f>
        <v>0</v>
      </c>
      <c r="DDR26" s="1100"/>
      <c r="DDS26" s="1100"/>
      <c r="DDT26" s="1101"/>
      <c r="DDU26" s="1110">
        <f>IF(DDY10="Bovis","Attention retirer 2 mm aux dimensions transmises",0)</f>
        <v>0</v>
      </c>
      <c r="DDV26" s="1100"/>
      <c r="DDW26" s="1100"/>
      <c r="DDX26" s="1101"/>
      <c r="DDY26" s="1110">
        <f>IF(DEC10="Bovis","Attention retirer 2 mm aux dimensions transmises",0)</f>
        <v>0</v>
      </c>
      <c r="DDZ26" s="1100"/>
      <c r="DEA26" s="1100"/>
      <c r="DEB26" s="1101"/>
      <c r="DEC26" s="1110">
        <f>IF(DEG10="Bovis","Attention retirer 2 mm aux dimensions transmises",0)</f>
        <v>0</v>
      </c>
      <c r="DED26" s="1100"/>
      <c r="DEE26" s="1100"/>
      <c r="DEF26" s="1101"/>
      <c r="DEG26" s="1110">
        <f>IF(DEK10="Bovis","Attention retirer 2 mm aux dimensions transmises",0)</f>
        <v>0</v>
      </c>
      <c r="DEH26" s="1100"/>
      <c r="DEI26" s="1100"/>
      <c r="DEJ26" s="1101"/>
      <c r="DEK26" s="1110">
        <f>IF(DEO10="Bovis","Attention retirer 2 mm aux dimensions transmises",0)</f>
        <v>0</v>
      </c>
      <c r="DEL26" s="1100"/>
      <c r="DEM26" s="1100"/>
      <c r="DEN26" s="1101"/>
      <c r="DEO26" s="1110">
        <f>IF(DES10="Bovis","Attention retirer 2 mm aux dimensions transmises",0)</f>
        <v>0</v>
      </c>
      <c r="DEP26" s="1100"/>
      <c r="DEQ26" s="1100"/>
      <c r="DER26" s="1101"/>
      <c r="DES26" s="1110">
        <f>IF(DEW10="Bovis","Attention retirer 2 mm aux dimensions transmises",0)</f>
        <v>0</v>
      </c>
      <c r="DET26" s="1100"/>
      <c r="DEU26" s="1100"/>
      <c r="DEV26" s="1101"/>
      <c r="DEW26" s="1110">
        <f>IF(DFA10="Bovis","Attention retirer 2 mm aux dimensions transmises",0)</f>
        <v>0</v>
      </c>
      <c r="DEX26" s="1100"/>
      <c r="DEY26" s="1100"/>
      <c r="DEZ26" s="1101"/>
      <c r="DFA26" s="1110">
        <f>IF(DFE10="Bovis","Attention retirer 2 mm aux dimensions transmises",0)</f>
        <v>0</v>
      </c>
      <c r="DFB26" s="1100"/>
      <c r="DFC26" s="1100"/>
      <c r="DFD26" s="1101"/>
      <c r="DFE26" s="1110">
        <f>IF(DFI10="Bovis","Attention retirer 2 mm aux dimensions transmises",0)</f>
        <v>0</v>
      </c>
      <c r="DFF26" s="1100"/>
      <c r="DFG26" s="1100"/>
      <c r="DFH26" s="1101"/>
      <c r="DFI26" s="1110">
        <f>IF(DFM10="Bovis","Attention retirer 2 mm aux dimensions transmises",0)</f>
        <v>0</v>
      </c>
      <c r="DFJ26" s="1100"/>
      <c r="DFK26" s="1100"/>
      <c r="DFL26" s="1101"/>
      <c r="DFM26" s="1110">
        <f>IF(DFQ10="Bovis","Attention retirer 2 mm aux dimensions transmises",0)</f>
        <v>0</v>
      </c>
      <c r="DFN26" s="1100"/>
      <c r="DFO26" s="1100"/>
      <c r="DFP26" s="1101"/>
      <c r="DFQ26" s="1110">
        <f>IF(DFU10="Bovis","Attention retirer 2 mm aux dimensions transmises",0)</f>
        <v>0</v>
      </c>
      <c r="DFR26" s="1100"/>
      <c r="DFS26" s="1100"/>
      <c r="DFT26" s="1101"/>
      <c r="DFU26" s="1110">
        <f>IF(DFY10="Bovis","Attention retirer 2 mm aux dimensions transmises",0)</f>
        <v>0</v>
      </c>
      <c r="DFV26" s="1100"/>
      <c r="DFW26" s="1100"/>
      <c r="DFX26" s="1101"/>
      <c r="DFY26" s="1110">
        <f>IF(DGC10="Bovis","Attention retirer 2 mm aux dimensions transmises",0)</f>
        <v>0</v>
      </c>
      <c r="DFZ26" s="1100"/>
      <c r="DGA26" s="1100"/>
      <c r="DGB26" s="1101"/>
      <c r="DGC26" s="1110">
        <f>IF(DGG10="Bovis","Attention retirer 2 mm aux dimensions transmises",0)</f>
        <v>0</v>
      </c>
      <c r="DGD26" s="1100"/>
      <c r="DGE26" s="1100"/>
      <c r="DGF26" s="1101"/>
      <c r="DGG26" s="1110">
        <f>IF(DGK10="Bovis","Attention retirer 2 mm aux dimensions transmises",0)</f>
        <v>0</v>
      </c>
      <c r="DGH26" s="1100"/>
      <c r="DGI26" s="1100"/>
      <c r="DGJ26" s="1101"/>
      <c r="DGK26" s="1110">
        <f>IF(DGO10="Bovis","Attention retirer 2 mm aux dimensions transmises",0)</f>
        <v>0</v>
      </c>
      <c r="DGL26" s="1100"/>
      <c r="DGM26" s="1100"/>
      <c r="DGN26" s="1101"/>
      <c r="DGO26" s="1110">
        <f>IF(DGS10="Bovis","Attention retirer 2 mm aux dimensions transmises",0)</f>
        <v>0</v>
      </c>
      <c r="DGP26" s="1100"/>
      <c r="DGQ26" s="1100"/>
      <c r="DGR26" s="1101"/>
      <c r="DGS26" s="1110">
        <f>IF(DGW10="Bovis","Attention retirer 2 mm aux dimensions transmises",0)</f>
        <v>0</v>
      </c>
      <c r="DGT26" s="1100"/>
      <c r="DGU26" s="1100"/>
      <c r="DGV26" s="1101"/>
      <c r="DGW26" s="1110">
        <f>IF(DHA10="Bovis","Attention retirer 2 mm aux dimensions transmises",0)</f>
        <v>0</v>
      </c>
      <c r="DGX26" s="1100"/>
      <c r="DGY26" s="1100"/>
      <c r="DGZ26" s="1101"/>
      <c r="DHA26" s="1110">
        <f>IF(DHE10="Bovis","Attention retirer 2 mm aux dimensions transmises",0)</f>
        <v>0</v>
      </c>
      <c r="DHB26" s="1100"/>
      <c r="DHC26" s="1100"/>
      <c r="DHD26" s="1101"/>
      <c r="DHE26" s="1110">
        <f>IF(DHI10="Bovis","Attention retirer 2 mm aux dimensions transmises",0)</f>
        <v>0</v>
      </c>
      <c r="DHF26" s="1100"/>
      <c r="DHG26" s="1100"/>
      <c r="DHH26" s="1101"/>
      <c r="DHI26" s="1110">
        <f>IF(DHM10="Bovis","Attention retirer 2 mm aux dimensions transmises",0)</f>
        <v>0</v>
      </c>
      <c r="DHJ26" s="1100"/>
      <c r="DHK26" s="1100"/>
      <c r="DHL26" s="1101"/>
      <c r="DHM26" s="1110">
        <f>IF(DHQ10="Bovis","Attention retirer 2 mm aux dimensions transmises",0)</f>
        <v>0</v>
      </c>
      <c r="DHN26" s="1100"/>
      <c r="DHO26" s="1100"/>
      <c r="DHP26" s="1101"/>
      <c r="DHQ26" s="1110">
        <f>IF(DHU10="Bovis","Attention retirer 2 mm aux dimensions transmises",0)</f>
        <v>0</v>
      </c>
      <c r="DHR26" s="1100"/>
      <c r="DHS26" s="1100"/>
      <c r="DHT26" s="1101"/>
      <c r="DHU26" s="1110">
        <f>IF(DHY10="Bovis","Attention retirer 2 mm aux dimensions transmises",0)</f>
        <v>0</v>
      </c>
      <c r="DHV26" s="1100"/>
      <c r="DHW26" s="1100"/>
      <c r="DHX26" s="1101"/>
      <c r="DHY26" s="1110">
        <f>IF(DIC10="Bovis","Attention retirer 2 mm aux dimensions transmises",0)</f>
        <v>0</v>
      </c>
      <c r="DHZ26" s="1100"/>
      <c r="DIA26" s="1100"/>
      <c r="DIB26" s="1101"/>
      <c r="DIC26" s="1110">
        <f>IF(DIG10="Bovis","Attention retirer 2 mm aux dimensions transmises",0)</f>
        <v>0</v>
      </c>
      <c r="DID26" s="1100"/>
      <c r="DIE26" s="1100"/>
      <c r="DIF26" s="1101"/>
      <c r="DIG26" s="1110">
        <f>IF(DIK10="Bovis","Attention retirer 2 mm aux dimensions transmises",0)</f>
        <v>0</v>
      </c>
      <c r="DIH26" s="1100"/>
      <c r="DII26" s="1100"/>
      <c r="DIJ26" s="1101"/>
      <c r="DIK26" s="1110">
        <f>IF(DIO10="Bovis","Attention retirer 2 mm aux dimensions transmises",0)</f>
        <v>0</v>
      </c>
      <c r="DIL26" s="1100"/>
      <c r="DIM26" s="1100"/>
      <c r="DIN26" s="1101"/>
      <c r="DIO26" s="1110">
        <f>IF(DIS10="Bovis","Attention retirer 2 mm aux dimensions transmises",0)</f>
        <v>0</v>
      </c>
      <c r="DIP26" s="1100"/>
      <c r="DIQ26" s="1100"/>
      <c r="DIR26" s="1101"/>
      <c r="DIS26" s="1110">
        <f>IF(DIW10="Bovis","Attention retirer 2 mm aux dimensions transmises",0)</f>
        <v>0</v>
      </c>
      <c r="DIT26" s="1100"/>
      <c r="DIU26" s="1100"/>
      <c r="DIV26" s="1101"/>
      <c r="DIW26" s="1110">
        <f>IF(DJA10="Bovis","Attention retirer 2 mm aux dimensions transmises",0)</f>
        <v>0</v>
      </c>
      <c r="DIX26" s="1100"/>
      <c r="DIY26" s="1100"/>
      <c r="DIZ26" s="1101"/>
      <c r="DJA26" s="1110">
        <f>IF(DJE10="Bovis","Attention retirer 2 mm aux dimensions transmises",0)</f>
        <v>0</v>
      </c>
      <c r="DJB26" s="1100"/>
      <c r="DJC26" s="1100"/>
      <c r="DJD26" s="1101"/>
      <c r="DJE26" s="1110">
        <f>IF(DJI10="Bovis","Attention retirer 2 mm aux dimensions transmises",0)</f>
        <v>0</v>
      </c>
      <c r="DJF26" s="1100"/>
      <c r="DJG26" s="1100"/>
      <c r="DJH26" s="1101"/>
      <c r="DJI26" s="1110">
        <f>IF(DJM10="Bovis","Attention retirer 2 mm aux dimensions transmises",0)</f>
        <v>0</v>
      </c>
      <c r="DJJ26" s="1100"/>
      <c r="DJK26" s="1100"/>
      <c r="DJL26" s="1101"/>
      <c r="DJM26" s="1110">
        <f>IF(DJQ10="Bovis","Attention retirer 2 mm aux dimensions transmises",0)</f>
        <v>0</v>
      </c>
      <c r="DJN26" s="1100"/>
      <c r="DJO26" s="1100"/>
      <c r="DJP26" s="1101"/>
      <c r="DJQ26" s="1110">
        <f>IF(DJU10="Bovis","Attention retirer 2 mm aux dimensions transmises",0)</f>
        <v>0</v>
      </c>
      <c r="DJR26" s="1100"/>
      <c r="DJS26" s="1100"/>
      <c r="DJT26" s="1101"/>
      <c r="DJU26" s="1110">
        <f>IF(DJY10="Bovis","Attention retirer 2 mm aux dimensions transmises",0)</f>
        <v>0</v>
      </c>
      <c r="DJV26" s="1100"/>
      <c r="DJW26" s="1100"/>
      <c r="DJX26" s="1101"/>
      <c r="DJY26" s="1110">
        <f>IF(DKC10="Bovis","Attention retirer 2 mm aux dimensions transmises",0)</f>
        <v>0</v>
      </c>
      <c r="DJZ26" s="1100"/>
      <c r="DKA26" s="1100"/>
      <c r="DKB26" s="1101"/>
      <c r="DKC26" s="1110">
        <f>IF(DKG10="Bovis","Attention retirer 2 mm aux dimensions transmises",0)</f>
        <v>0</v>
      </c>
      <c r="DKD26" s="1100"/>
      <c r="DKE26" s="1100"/>
      <c r="DKF26" s="1101"/>
      <c r="DKG26" s="1110">
        <f>IF(DKK10="Bovis","Attention retirer 2 mm aux dimensions transmises",0)</f>
        <v>0</v>
      </c>
      <c r="DKH26" s="1100"/>
      <c r="DKI26" s="1100"/>
      <c r="DKJ26" s="1101"/>
      <c r="DKK26" s="1110">
        <f>IF(DKO10="Bovis","Attention retirer 2 mm aux dimensions transmises",0)</f>
        <v>0</v>
      </c>
      <c r="DKL26" s="1100"/>
      <c r="DKM26" s="1100"/>
      <c r="DKN26" s="1101"/>
      <c r="DKO26" s="1110">
        <f>IF(DKS10="Bovis","Attention retirer 2 mm aux dimensions transmises",0)</f>
        <v>0</v>
      </c>
      <c r="DKP26" s="1100"/>
      <c r="DKQ26" s="1100"/>
      <c r="DKR26" s="1101"/>
      <c r="DKS26" s="1110">
        <f>IF(DKW10="Bovis","Attention retirer 2 mm aux dimensions transmises",0)</f>
        <v>0</v>
      </c>
      <c r="DKT26" s="1100"/>
      <c r="DKU26" s="1100"/>
      <c r="DKV26" s="1101"/>
      <c r="DKW26" s="1110">
        <f>IF(DLA10="Bovis","Attention retirer 2 mm aux dimensions transmises",0)</f>
        <v>0</v>
      </c>
      <c r="DKX26" s="1100"/>
      <c r="DKY26" s="1100"/>
      <c r="DKZ26" s="1101"/>
      <c r="DLA26" s="1110">
        <f>IF(DLE10="Bovis","Attention retirer 2 mm aux dimensions transmises",0)</f>
        <v>0</v>
      </c>
      <c r="DLB26" s="1100"/>
      <c r="DLC26" s="1100"/>
      <c r="DLD26" s="1101"/>
      <c r="DLE26" s="1110">
        <f>IF(DLI10="Bovis","Attention retirer 2 mm aux dimensions transmises",0)</f>
        <v>0</v>
      </c>
      <c r="DLF26" s="1100"/>
      <c r="DLG26" s="1100"/>
      <c r="DLH26" s="1101"/>
      <c r="DLI26" s="1110">
        <f>IF(DLM10="Bovis","Attention retirer 2 mm aux dimensions transmises",0)</f>
        <v>0</v>
      </c>
      <c r="DLJ26" s="1100"/>
      <c r="DLK26" s="1100"/>
      <c r="DLL26" s="1101"/>
      <c r="DLM26" s="1110">
        <f>IF(DLQ10="Bovis","Attention retirer 2 mm aux dimensions transmises",0)</f>
        <v>0</v>
      </c>
      <c r="DLN26" s="1100"/>
      <c r="DLO26" s="1100"/>
      <c r="DLP26" s="1101"/>
      <c r="DLQ26" s="1110">
        <f>IF(DLU10="Bovis","Attention retirer 2 mm aux dimensions transmises",0)</f>
        <v>0</v>
      </c>
      <c r="DLR26" s="1100"/>
      <c r="DLS26" s="1100"/>
      <c r="DLT26" s="1101"/>
      <c r="DLU26" s="1110">
        <f>IF(DLY10="Bovis","Attention retirer 2 mm aux dimensions transmises",0)</f>
        <v>0</v>
      </c>
      <c r="DLV26" s="1100"/>
      <c r="DLW26" s="1100"/>
      <c r="DLX26" s="1101"/>
      <c r="DLY26" s="1110">
        <f>IF(DMC10="Bovis","Attention retirer 2 mm aux dimensions transmises",0)</f>
        <v>0</v>
      </c>
      <c r="DLZ26" s="1100"/>
      <c r="DMA26" s="1100"/>
      <c r="DMB26" s="1101"/>
      <c r="DMC26" s="1110">
        <f>IF(DMG10="Bovis","Attention retirer 2 mm aux dimensions transmises",0)</f>
        <v>0</v>
      </c>
      <c r="DMD26" s="1100"/>
      <c r="DME26" s="1100"/>
      <c r="DMF26" s="1101"/>
      <c r="DMG26" s="1110">
        <f>IF(DMK10="Bovis","Attention retirer 2 mm aux dimensions transmises",0)</f>
        <v>0</v>
      </c>
      <c r="DMH26" s="1100"/>
      <c r="DMI26" s="1100"/>
      <c r="DMJ26" s="1101"/>
      <c r="DMK26" s="1110">
        <f>IF(DMO10="Bovis","Attention retirer 2 mm aux dimensions transmises",0)</f>
        <v>0</v>
      </c>
      <c r="DML26" s="1100"/>
      <c r="DMM26" s="1100"/>
      <c r="DMN26" s="1101"/>
      <c r="DMO26" s="1110">
        <f>IF(DMS10="Bovis","Attention retirer 2 mm aux dimensions transmises",0)</f>
        <v>0</v>
      </c>
      <c r="DMP26" s="1100"/>
      <c r="DMQ26" s="1100"/>
      <c r="DMR26" s="1101"/>
      <c r="DMS26" s="1110">
        <f>IF(DMW10="Bovis","Attention retirer 2 mm aux dimensions transmises",0)</f>
        <v>0</v>
      </c>
      <c r="DMT26" s="1100"/>
      <c r="DMU26" s="1100"/>
      <c r="DMV26" s="1101"/>
      <c r="DMW26" s="1110">
        <f>IF(DNA10="Bovis","Attention retirer 2 mm aux dimensions transmises",0)</f>
        <v>0</v>
      </c>
      <c r="DMX26" s="1100"/>
      <c r="DMY26" s="1100"/>
      <c r="DMZ26" s="1101"/>
      <c r="DNA26" s="1110">
        <f>IF(DNE10="Bovis","Attention retirer 2 mm aux dimensions transmises",0)</f>
        <v>0</v>
      </c>
      <c r="DNB26" s="1100"/>
      <c r="DNC26" s="1100"/>
      <c r="DND26" s="1101"/>
      <c r="DNE26" s="1110">
        <f>IF(DNI10="Bovis","Attention retirer 2 mm aux dimensions transmises",0)</f>
        <v>0</v>
      </c>
      <c r="DNF26" s="1100"/>
      <c r="DNG26" s="1100"/>
      <c r="DNH26" s="1101"/>
      <c r="DNI26" s="1110">
        <f>IF(DNM10="Bovis","Attention retirer 2 mm aux dimensions transmises",0)</f>
        <v>0</v>
      </c>
      <c r="DNJ26" s="1100"/>
      <c r="DNK26" s="1100"/>
      <c r="DNL26" s="1101"/>
      <c r="DNM26" s="1110">
        <f>IF(DNQ10="Bovis","Attention retirer 2 mm aux dimensions transmises",0)</f>
        <v>0</v>
      </c>
      <c r="DNN26" s="1100"/>
      <c r="DNO26" s="1100"/>
      <c r="DNP26" s="1101"/>
      <c r="DNQ26" s="1110">
        <f>IF(DNU10="Bovis","Attention retirer 2 mm aux dimensions transmises",0)</f>
        <v>0</v>
      </c>
      <c r="DNR26" s="1100"/>
      <c r="DNS26" s="1100"/>
      <c r="DNT26" s="1101"/>
      <c r="DNU26" s="1110">
        <f>IF(DNY10="Bovis","Attention retirer 2 mm aux dimensions transmises",0)</f>
        <v>0</v>
      </c>
      <c r="DNV26" s="1100"/>
      <c r="DNW26" s="1100"/>
      <c r="DNX26" s="1101"/>
      <c r="DNY26" s="1110">
        <f>IF(DOC10="Bovis","Attention retirer 2 mm aux dimensions transmises",0)</f>
        <v>0</v>
      </c>
      <c r="DNZ26" s="1100"/>
      <c r="DOA26" s="1100"/>
      <c r="DOB26" s="1101"/>
      <c r="DOC26" s="1110">
        <f>IF(DOG10="Bovis","Attention retirer 2 mm aux dimensions transmises",0)</f>
        <v>0</v>
      </c>
      <c r="DOD26" s="1100"/>
      <c r="DOE26" s="1100"/>
      <c r="DOF26" s="1101"/>
      <c r="DOG26" s="1110">
        <f>IF(DOK10="Bovis","Attention retirer 2 mm aux dimensions transmises",0)</f>
        <v>0</v>
      </c>
      <c r="DOH26" s="1100"/>
      <c r="DOI26" s="1100"/>
      <c r="DOJ26" s="1101"/>
      <c r="DOK26" s="1110">
        <f>IF(DOO10="Bovis","Attention retirer 2 mm aux dimensions transmises",0)</f>
        <v>0</v>
      </c>
      <c r="DOL26" s="1100"/>
      <c r="DOM26" s="1100"/>
      <c r="DON26" s="1101"/>
      <c r="DOO26" s="1110">
        <f>IF(DOS10="Bovis","Attention retirer 2 mm aux dimensions transmises",0)</f>
        <v>0</v>
      </c>
      <c r="DOP26" s="1100"/>
      <c r="DOQ26" s="1100"/>
      <c r="DOR26" s="1101"/>
      <c r="DOS26" s="1110">
        <f>IF(DOW10="Bovis","Attention retirer 2 mm aux dimensions transmises",0)</f>
        <v>0</v>
      </c>
      <c r="DOT26" s="1100"/>
      <c r="DOU26" s="1100"/>
      <c r="DOV26" s="1101"/>
      <c r="DOW26" s="1110">
        <f>IF(DPA10="Bovis","Attention retirer 2 mm aux dimensions transmises",0)</f>
        <v>0</v>
      </c>
      <c r="DOX26" s="1100"/>
      <c r="DOY26" s="1100"/>
      <c r="DOZ26" s="1101"/>
      <c r="DPA26" s="1110">
        <f>IF(DPE10="Bovis","Attention retirer 2 mm aux dimensions transmises",0)</f>
        <v>0</v>
      </c>
      <c r="DPB26" s="1100"/>
      <c r="DPC26" s="1100"/>
      <c r="DPD26" s="1101"/>
      <c r="DPE26" s="1110">
        <f>IF(DPI10="Bovis","Attention retirer 2 mm aux dimensions transmises",0)</f>
        <v>0</v>
      </c>
      <c r="DPF26" s="1100"/>
      <c r="DPG26" s="1100"/>
      <c r="DPH26" s="1101"/>
      <c r="DPI26" s="1110">
        <f>IF(DPM10="Bovis","Attention retirer 2 mm aux dimensions transmises",0)</f>
        <v>0</v>
      </c>
      <c r="DPJ26" s="1100"/>
      <c r="DPK26" s="1100"/>
      <c r="DPL26" s="1101"/>
      <c r="DPM26" s="1110">
        <f>IF(DPQ10="Bovis","Attention retirer 2 mm aux dimensions transmises",0)</f>
        <v>0</v>
      </c>
      <c r="DPN26" s="1100"/>
      <c r="DPO26" s="1100"/>
      <c r="DPP26" s="1101"/>
      <c r="DPQ26" s="1110">
        <f>IF(DPU10="Bovis","Attention retirer 2 mm aux dimensions transmises",0)</f>
        <v>0</v>
      </c>
      <c r="DPR26" s="1100"/>
      <c r="DPS26" s="1100"/>
      <c r="DPT26" s="1101"/>
      <c r="DPU26" s="1110">
        <f>IF(DPY10="Bovis","Attention retirer 2 mm aux dimensions transmises",0)</f>
        <v>0</v>
      </c>
      <c r="DPV26" s="1100"/>
      <c r="DPW26" s="1100"/>
      <c r="DPX26" s="1101"/>
      <c r="DPY26" s="1110">
        <f>IF(DQC10="Bovis","Attention retirer 2 mm aux dimensions transmises",0)</f>
        <v>0</v>
      </c>
      <c r="DPZ26" s="1100"/>
      <c r="DQA26" s="1100"/>
      <c r="DQB26" s="1101"/>
      <c r="DQC26" s="1110">
        <f>IF(DQG10="Bovis","Attention retirer 2 mm aux dimensions transmises",0)</f>
        <v>0</v>
      </c>
      <c r="DQD26" s="1100"/>
      <c r="DQE26" s="1100"/>
      <c r="DQF26" s="1101"/>
      <c r="DQG26" s="1110">
        <f>IF(DQK10="Bovis","Attention retirer 2 mm aux dimensions transmises",0)</f>
        <v>0</v>
      </c>
      <c r="DQH26" s="1100"/>
      <c r="DQI26" s="1100"/>
      <c r="DQJ26" s="1101"/>
      <c r="DQK26" s="1110">
        <f>IF(DQO10="Bovis","Attention retirer 2 mm aux dimensions transmises",0)</f>
        <v>0</v>
      </c>
      <c r="DQL26" s="1100"/>
      <c r="DQM26" s="1100"/>
      <c r="DQN26" s="1101"/>
      <c r="DQO26" s="1110">
        <f>IF(DQS10="Bovis","Attention retirer 2 mm aux dimensions transmises",0)</f>
        <v>0</v>
      </c>
      <c r="DQP26" s="1100"/>
      <c r="DQQ26" s="1100"/>
      <c r="DQR26" s="1101"/>
      <c r="DQS26" s="1110">
        <f>IF(DQW10="Bovis","Attention retirer 2 mm aux dimensions transmises",0)</f>
        <v>0</v>
      </c>
      <c r="DQT26" s="1100"/>
      <c r="DQU26" s="1100"/>
      <c r="DQV26" s="1101"/>
      <c r="DQW26" s="1110">
        <f>IF(DRA10="Bovis","Attention retirer 2 mm aux dimensions transmises",0)</f>
        <v>0</v>
      </c>
      <c r="DQX26" s="1100"/>
      <c r="DQY26" s="1100"/>
      <c r="DQZ26" s="1101"/>
      <c r="DRA26" s="1110">
        <f>IF(DRE10="Bovis","Attention retirer 2 mm aux dimensions transmises",0)</f>
        <v>0</v>
      </c>
      <c r="DRB26" s="1100"/>
      <c r="DRC26" s="1100"/>
      <c r="DRD26" s="1101"/>
      <c r="DRE26" s="1110">
        <f>IF(DRI10="Bovis","Attention retirer 2 mm aux dimensions transmises",0)</f>
        <v>0</v>
      </c>
      <c r="DRF26" s="1100"/>
      <c r="DRG26" s="1100"/>
      <c r="DRH26" s="1101"/>
      <c r="DRI26" s="1110">
        <f>IF(DRM10="Bovis","Attention retirer 2 mm aux dimensions transmises",0)</f>
        <v>0</v>
      </c>
      <c r="DRJ26" s="1100"/>
      <c r="DRK26" s="1100"/>
      <c r="DRL26" s="1101"/>
      <c r="DRM26" s="1110">
        <f>IF(DRQ10="Bovis","Attention retirer 2 mm aux dimensions transmises",0)</f>
        <v>0</v>
      </c>
      <c r="DRN26" s="1100"/>
      <c r="DRO26" s="1100"/>
      <c r="DRP26" s="1101"/>
      <c r="DRQ26" s="1110">
        <f>IF(DRU10="Bovis","Attention retirer 2 mm aux dimensions transmises",0)</f>
        <v>0</v>
      </c>
      <c r="DRR26" s="1100"/>
      <c r="DRS26" s="1100"/>
      <c r="DRT26" s="1101"/>
      <c r="DRU26" s="1110">
        <f>IF(DRY10="Bovis","Attention retirer 2 mm aux dimensions transmises",0)</f>
        <v>0</v>
      </c>
      <c r="DRV26" s="1100"/>
      <c r="DRW26" s="1100"/>
      <c r="DRX26" s="1101"/>
      <c r="DRY26" s="1110">
        <f>IF(DSC10="Bovis","Attention retirer 2 mm aux dimensions transmises",0)</f>
        <v>0</v>
      </c>
      <c r="DRZ26" s="1100"/>
      <c r="DSA26" s="1100"/>
      <c r="DSB26" s="1101"/>
      <c r="DSC26" s="1110">
        <f>IF(DSG10="Bovis","Attention retirer 2 mm aux dimensions transmises",0)</f>
        <v>0</v>
      </c>
      <c r="DSD26" s="1100"/>
      <c r="DSE26" s="1100"/>
      <c r="DSF26" s="1101"/>
      <c r="DSG26" s="1110">
        <f>IF(DSK10="Bovis","Attention retirer 2 mm aux dimensions transmises",0)</f>
        <v>0</v>
      </c>
      <c r="DSH26" s="1100"/>
      <c r="DSI26" s="1100"/>
      <c r="DSJ26" s="1101"/>
      <c r="DSK26" s="1110">
        <f>IF(DSO10="Bovis","Attention retirer 2 mm aux dimensions transmises",0)</f>
        <v>0</v>
      </c>
      <c r="DSL26" s="1100"/>
      <c r="DSM26" s="1100"/>
      <c r="DSN26" s="1101"/>
      <c r="DSO26" s="1110">
        <f>IF(DSS10="Bovis","Attention retirer 2 mm aux dimensions transmises",0)</f>
        <v>0</v>
      </c>
      <c r="DSP26" s="1100"/>
      <c r="DSQ26" s="1100"/>
      <c r="DSR26" s="1101"/>
      <c r="DSS26" s="1110">
        <f>IF(DSW10="Bovis","Attention retirer 2 mm aux dimensions transmises",0)</f>
        <v>0</v>
      </c>
      <c r="DST26" s="1100"/>
      <c r="DSU26" s="1100"/>
      <c r="DSV26" s="1101"/>
      <c r="DSW26" s="1110">
        <f>IF(DTA10="Bovis","Attention retirer 2 mm aux dimensions transmises",0)</f>
        <v>0</v>
      </c>
      <c r="DSX26" s="1100"/>
      <c r="DSY26" s="1100"/>
      <c r="DSZ26" s="1101"/>
      <c r="DTA26" s="1110">
        <f>IF(DTE10="Bovis","Attention retirer 2 mm aux dimensions transmises",0)</f>
        <v>0</v>
      </c>
      <c r="DTB26" s="1100"/>
      <c r="DTC26" s="1100"/>
      <c r="DTD26" s="1101"/>
      <c r="DTE26" s="1110">
        <f>IF(DTI10="Bovis","Attention retirer 2 mm aux dimensions transmises",0)</f>
        <v>0</v>
      </c>
      <c r="DTF26" s="1100"/>
      <c r="DTG26" s="1100"/>
      <c r="DTH26" s="1101"/>
      <c r="DTI26" s="1110">
        <f>IF(DTM10="Bovis","Attention retirer 2 mm aux dimensions transmises",0)</f>
        <v>0</v>
      </c>
      <c r="DTJ26" s="1100"/>
      <c r="DTK26" s="1100"/>
      <c r="DTL26" s="1101"/>
      <c r="DTM26" s="1110">
        <f>IF(DTQ10="Bovis","Attention retirer 2 mm aux dimensions transmises",0)</f>
        <v>0</v>
      </c>
      <c r="DTN26" s="1100"/>
      <c r="DTO26" s="1100"/>
      <c r="DTP26" s="1101"/>
      <c r="DTQ26" s="1110">
        <f>IF(DTU10="Bovis","Attention retirer 2 mm aux dimensions transmises",0)</f>
        <v>0</v>
      </c>
      <c r="DTR26" s="1100"/>
      <c r="DTS26" s="1100"/>
      <c r="DTT26" s="1101"/>
      <c r="DTU26" s="1110">
        <f>IF(DTY10="Bovis","Attention retirer 2 mm aux dimensions transmises",0)</f>
        <v>0</v>
      </c>
      <c r="DTV26" s="1100"/>
      <c r="DTW26" s="1100"/>
      <c r="DTX26" s="1101"/>
      <c r="DTY26" s="1110">
        <f>IF(DUC10="Bovis","Attention retirer 2 mm aux dimensions transmises",0)</f>
        <v>0</v>
      </c>
      <c r="DTZ26" s="1100"/>
      <c r="DUA26" s="1100"/>
      <c r="DUB26" s="1101"/>
      <c r="DUC26" s="1110">
        <f>IF(DUG10="Bovis","Attention retirer 2 mm aux dimensions transmises",0)</f>
        <v>0</v>
      </c>
      <c r="DUD26" s="1100"/>
      <c r="DUE26" s="1100"/>
      <c r="DUF26" s="1101"/>
      <c r="DUG26" s="1110">
        <f>IF(DUK10="Bovis","Attention retirer 2 mm aux dimensions transmises",0)</f>
        <v>0</v>
      </c>
      <c r="DUH26" s="1100"/>
      <c r="DUI26" s="1100"/>
      <c r="DUJ26" s="1101"/>
      <c r="DUK26" s="1110">
        <f>IF(DUO10="Bovis","Attention retirer 2 mm aux dimensions transmises",0)</f>
        <v>0</v>
      </c>
      <c r="DUL26" s="1100"/>
      <c r="DUM26" s="1100"/>
      <c r="DUN26" s="1101"/>
      <c r="DUO26" s="1110">
        <f>IF(DUS10="Bovis","Attention retirer 2 mm aux dimensions transmises",0)</f>
        <v>0</v>
      </c>
      <c r="DUP26" s="1100"/>
      <c r="DUQ26" s="1100"/>
      <c r="DUR26" s="1101"/>
      <c r="DUS26" s="1110">
        <f>IF(DUW10="Bovis","Attention retirer 2 mm aux dimensions transmises",0)</f>
        <v>0</v>
      </c>
      <c r="DUT26" s="1100"/>
      <c r="DUU26" s="1100"/>
      <c r="DUV26" s="1101"/>
      <c r="DUW26" s="1110">
        <f>IF(DVA10="Bovis","Attention retirer 2 mm aux dimensions transmises",0)</f>
        <v>0</v>
      </c>
      <c r="DUX26" s="1100"/>
      <c r="DUY26" s="1100"/>
      <c r="DUZ26" s="1101"/>
      <c r="DVA26" s="1110">
        <f>IF(DVE10="Bovis","Attention retirer 2 mm aux dimensions transmises",0)</f>
        <v>0</v>
      </c>
      <c r="DVB26" s="1100"/>
      <c r="DVC26" s="1100"/>
      <c r="DVD26" s="1101"/>
      <c r="DVE26" s="1110">
        <f>IF(DVI10="Bovis","Attention retirer 2 mm aux dimensions transmises",0)</f>
        <v>0</v>
      </c>
      <c r="DVF26" s="1100"/>
      <c r="DVG26" s="1100"/>
      <c r="DVH26" s="1101"/>
      <c r="DVI26" s="1110">
        <f>IF(DVM10="Bovis","Attention retirer 2 mm aux dimensions transmises",0)</f>
        <v>0</v>
      </c>
      <c r="DVJ26" s="1100"/>
      <c r="DVK26" s="1100"/>
      <c r="DVL26" s="1101"/>
      <c r="DVM26" s="1110">
        <f>IF(DVQ10="Bovis","Attention retirer 2 mm aux dimensions transmises",0)</f>
        <v>0</v>
      </c>
      <c r="DVN26" s="1100"/>
      <c r="DVO26" s="1100"/>
      <c r="DVP26" s="1101"/>
      <c r="DVQ26" s="1110">
        <f>IF(DVU10="Bovis","Attention retirer 2 mm aux dimensions transmises",0)</f>
        <v>0</v>
      </c>
      <c r="DVR26" s="1100"/>
      <c r="DVS26" s="1100"/>
      <c r="DVT26" s="1101"/>
      <c r="DVU26" s="1110">
        <f>IF(DVY10="Bovis","Attention retirer 2 mm aux dimensions transmises",0)</f>
        <v>0</v>
      </c>
      <c r="DVV26" s="1100"/>
      <c r="DVW26" s="1100"/>
      <c r="DVX26" s="1101"/>
      <c r="DVY26" s="1110">
        <f>IF(DWC10="Bovis","Attention retirer 2 mm aux dimensions transmises",0)</f>
        <v>0</v>
      </c>
      <c r="DVZ26" s="1100"/>
      <c r="DWA26" s="1100"/>
      <c r="DWB26" s="1101"/>
      <c r="DWC26" s="1110">
        <f>IF(DWG10="Bovis","Attention retirer 2 mm aux dimensions transmises",0)</f>
        <v>0</v>
      </c>
      <c r="DWD26" s="1100"/>
      <c r="DWE26" s="1100"/>
      <c r="DWF26" s="1101"/>
      <c r="DWG26" s="1110">
        <f>IF(DWK10="Bovis","Attention retirer 2 mm aux dimensions transmises",0)</f>
        <v>0</v>
      </c>
      <c r="DWH26" s="1100"/>
      <c r="DWI26" s="1100"/>
      <c r="DWJ26" s="1101"/>
      <c r="DWK26" s="1110">
        <f>IF(DWO10="Bovis","Attention retirer 2 mm aux dimensions transmises",0)</f>
        <v>0</v>
      </c>
      <c r="DWL26" s="1100"/>
      <c r="DWM26" s="1100"/>
      <c r="DWN26" s="1101"/>
      <c r="DWO26" s="1110">
        <f>IF(DWS10="Bovis","Attention retirer 2 mm aux dimensions transmises",0)</f>
        <v>0</v>
      </c>
      <c r="DWP26" s="1100"/>
      <c r="DWQ26" s="1100"/>
      <c r="DWR26" s="1101"/>
      <c r="DWS26" s="1110">
        <f>IF(DWW10="Bovis","Attention retirer 2 mm aux dimensions transmises",0)</f>
        <v>0</v>
      </c>
      <c r="DWT26" s="1100"/>
      <c r="DWU26" s="1100"/>
      <c r="DWV26" s="1101"/>
      <c r="DWW26" s="1110">
        <f>IF(DXA10="Bovis","Attention retirer 2 mm aux dimensions transmises",0)</f>
        <v>0</v>
      </c>
      <c r="DWX26" s="1100"/>
      <c r="DWY26" s="1100"/>
      <c r="DWZ26" s="1101"/>
      <c r="DXA26" s="1110">
        <f>IF(DXE10="Bovis","Attention retirer 2 mm aux dimensions transmises",0)</f>
        <v>0</v>
      </c>
      <c r="DXB26" s="1100"/>
      <c r="DXC26" s="1100"/>
      <c r="DXD26" s="1101"/>
      <c r="DXE26" s="1110">
        <f>IF(DXI10="Bovis","Attention retirer 2 mm aux dimensions transmises",0)</f>
        <v>0</v>
      </c>
      <c r="DXF26" s="1100"/>
      <c r="DXG26" s="1100"/>
      <c r="DXH26" s="1101"/>
      <c r="DXI26" s="1110">
        <f>IF(DXM10="Bovis","Attention retirer 2 mm aux dimensions transmises",0)</f>
        <v>0</v>
      </c>
      <c r="DXJ26" s="1100"/>
      <c r="DXK26" s="1100"/>
      <c r="DXL26" s="1101"/>
      <c r="DXM26" s="1110">
        <f>IF(DXQ10="Bovis","Attention retirer 2 mm aux dimensions transmises",0)</f>
        <v>0</v>
      </c>
      <c r="DXN26" s="1100"/>
      <c r="DXO26" s="1100"/>
      <c r="DXP26" s="1101"/>
      <c r="DXQ26" s="1110">
        <f>IF(DXU10="Bovis","Attention retirer 2 mm aux dimensions transmises",0)</f>
        <v>0</v>
      </c>
      <c r="DXR26" s="1100"/>
      <c r="DXS26" s="1100"/>
      <c r="DXT26" s="1101"/>
      <c r="DXU26" s="1110">
        <f>IF(DXY10="Bovis","Attention retirer 2 mm aux dimensions transmises",0)</f>
        <v>0</v>
      </c>
      <c r="DXV26" s="1100"/>
      <c r="DXW26" s="1100"/>
      <c r="DXX26" s="1101"/>
      <c r="DXY26" s="1110">
        <f>IF(DYC10="Bovis","Attention retirer 2 mm aux dimensions transmises",0)</f>
        <v>0</v>
      </c>
      <c r="DXZ26" s="1100"/>
      <c r="DYA26" s="1100"/>
      <c r="DYB26" s="1101"/>
      <c r="DYC26" s="1110">
        <f>IF(DYG10="Bovis","Attention retirer 2 mm aux dimensions transmises",0)</f>
        <v>0</v>
      </c>
      <c r="DYD26" s="1100"/>
      <c r="DYE26" s="1100"/>
      <c r="DYF26" s="1101"/>
      <c r="DYG26" s="1110">
        <f>IF(DYK10="Bovis","Attention retirer 2 mm aux dimensions transmises",0)</f>
        <v>0</v>
      </c>
      <c r="DYH26" s="1100"/>
      <c r="DYI26" s="1100"/>
      <c r="DYJ26" s="1101"/>
      <c r="DYK26" s="1110">
        <f>IF(DYO10="Bovis","Attention retirer 2 mm aux dimensions transmises",0)</f>
        <v>0</v>
      </c>
      <c r="DYL26" s="1100"/>
      <c r="DYM26" s="1100"/>
      <c r="DYN26" s="1101"/>
      <c r="DYO26" s="1110">
        <f>IF(DYS10="Bovis","Attention retirer 2 mm aux dimensions transmises",0)</f>
        <v>0</v>
      </c>
      <c r="DYP26" s="1100"/>
      <c r="DYQ26" s="1100"/>
      <c r="DYR26" s="1101"/>
      <c r="DYS26" s="1110">
        <f>IF(DYW10="Bovis","Attention retirer 2 mm aux dimensions transmises",0)</f>
        <v>0</v>
      </c>
      <c r="DYT26" s="1100"/>
      <c r="DYU26" s="1100"/>
      <c r="DYV26" s="1101"/>
      <c r="DYW26" s="1110">
        <f>IF(DZA10="Bovis","Attention retirer 2 mm aux dimensions transmises",0)</f>
        <v>0</v>
      </c>
      <c r="DYX26" s="1100"/>
      <c r="DYY26" s="1100"/>
      <c r="DYZ26" s="1101"/>
      <c r="DZA26" s="1110">
        <f>IF(DZE10="Bovis","Attention retirer 2 mm aux dimensions transmises",0)</f>
        <v>0</v>
      </c>
      <c r="DZB26" s="1100"/>
      <c r="DZC26" s="1100"/>
      <c r="DZD26" s="1101"/>
      <c r="DZE26" s="1110">
        <f>IF(DZI10="Bovis","Attention retirer 2 mm aux dimensions transmises",0)</f>
        <v>0</v>
      </c>
      <c r="DZF26" s="1100"/>
      <c r="DZG26" s="1100"/>
      <c r="DZH26" s="1101"/>
      <c r="DZI26" s="1110">
        <f>IF(DZM10="Bovis","Attention retirer 2 mm aux dimensions transmises",0)</f>
        <v>0</v>
      </c>
      <c r="DZJ26" s="1100"/>
      <c r="DZK26" s="1100"/>
      <c r="DZL26" s="1101"/>
      <c r="DZM26" s="1110">
        <f>IF(DZQ10="Bovis","Attention retirer 2 mm aux dimensions transmises",0)</f>
        <v>0</v>
      </c>
      <c r="DZN26" s="1100"/>
      <c r="DZO26" s="1100"/>
      <c r="DZP26" s="1101"/>
      <c r="DZQ26" s="1110">
        <f>IF(DZU10="Bovis","Attention retirer 2 mm aux dimensions transmises",0)</f>
        <v>0</v>
      </c>
      <c r="DZR26" s="1100"/>
      <c r="DZS26" s="1100"/>
      <c r="DZT26" s="1101"/>
      <c r="DZU26" s="1110">
        <f>IF(DZY10="Bovis","Attention retirer 2 mm aux dimensions transmises",0)</f>
        <v>0</v>
      </c>
      <c r="DZV26" s="1100"/>
      <c r="DZW26" s="1100"/>
      <c r="DZX26" s="1101"/>
      <c r="DZY26" s="1110">
        <f>IF(EAC10="Bovis","Attention retirer 2 mm aux dimensions transmises",0)</f>
        <v>0</v>
      </c>
      <c r="DZZ26" s="1100"/>
      <c r="EAA26" s="1100"/>
      <c r="EAB26" s="1101"/>
      <c r="EAC26" s="1110">
        <f>IF(EAG10="Bovis","Attention retirer 2 mm aux dimensions transmises",0)</f>
        <v>0</v>
      </c>
      <c r="EAD26" s="1100"/>
      <c r="EAE26" s="1100"/>
      <c r="EAF26" s="1101"/>
      <c r="EAG26" s="1110">
        <f>IF(EAK10="Bovis","Attention retirer 2 mm aux dimensions transmises",0)</f>
        <v>0</v>
      </c>
      <c r="EAH26" s="1100"/>
      <c r="EAI26" s="1100"/>
      <c r="EAJ26" s="1101"/>
      <c r="EAK26" s="1110">
        <f>IF(EAO10="Bovis","Attention retirer 2 mm aux dimensions transmises",0)</f>
        <v>0</v>
      </c>
      <c r="EAL26" s="1100"/>
      <c r="EAM26" s="1100"/>
      <c r="EAN26" s="1101"/>
      <c r="EAO26" s="1110">
        <f>IF(EAS10="Bovis","Attention retirer 2 mm aux dimensions transmises",0)</f>
        <v>0</v>
      </c>
      <c r="EAP26" s="1100"/>
      <c r="EAQ26" s="1100"/>
      <c r="EAR26" s="1101"/>
      <c r="EAS26" s="1110">
        <f>IF(EAW10="Bovis","Attention retirer 2 mm aux dimensions transmises",0)</f>
        <v>0</v>
      </c>
      <c r="EAT26" s="1100"/>
      <c r="EAU26" s="1100"/>
      <c r="EAV26" s="1101"/>
      <c r="EAW26" s="1110">
        <f>IF(EBA10="Bovis","Attention retirer 2 mm aux dimensions transmises",0)</f>
        <v>0</v>
      </c>
      <c r="EAX26" s="1100"/>
      <c r="EAY26" s="1100"/>
      <c r="EAZ26" s="1101"/>
      <c r="EBA26" s="1110">
        <f>IF(EBE10="Bovis","Attention retirer 2 mm aux dimensions transmises",0)</f>
        <v>0</v>
      </c>
      <c r="EBB26" s="1100"/>
      <c r="EBC26" s="1100"/>
      <c r="EBD26" s="1101"/>
      <c r="EBE26" s="1110">
        <f>IF(EBI10="Bovis","Attention retirer 2 mm aux dimensions transmises",0)</f>
        <v>0</v>
      </c>
      <c r="EBF26" s="1100"/>
      <c r="EBG26" s="1100"/>
      <c r="EBH26" s="1101"/>
      <c r="EBI26" s="1110">
        <f>IF(EBM10="Bovis","Attention retirer 2 mm aux dimensions transmises",0)</f>
        <v>0</v>
      </c>
      <c r="EBJ26" s="1100"/>
      <c r="EBK26" s="1100"/>
      <c r="EBL26" s="1101"/>
      <c r="EBM26" s="1110">
        <f>IF(EBQ10="Bovis","Attention retirer 2 mm aux dimensions transmises",0)</f>
        <v>0</v>
      </c>
      <c r="EBN26" s="1100"/>
      <c r="EBO26" s="1100"/>
      <c r="EBP26" s="1101"/>
      <c r="EBQ26" s="1110">
        <f>IF(EBU10="Bovis","Attention retirer 2 mm aux dimensions transmises",0)</f>
        <v>0</v>
      </c>
      <c r="EBR26" s="1100"/>
      <c r="EBS26" s="1100"/>
      <c r="EBT26" s="1101"/>
      <c r="EBU26" s="1110">
        <f>IF(EBY10="Bovis","Attention retirer 2 mm aux dimensions transmises",0)</f>
        <v>0</v>
      </c>
      <c r="EBV26" s="1100"/>
      <c r="EBW26" s="1100"/>
      <c r="EBX26" s="1101"/>
      <c r="EBY26" s="1110">
        <f>IF(ECC10="Bovis","Attention retirer 2 mm aux dimensions transmises",0)</f>
        <v>0</v>
      </c>
      <c r="EBZ26" s="1100"/>
      <c r="ECA26" s="1100"/>
      <c r="ECB26" s="1101"/>
      <c r="ECC26" s="1110">
        <f>IF(ECG10="Bovis","Attention retirer 2 mm aux dimensions transmises",0)</f>
        <v>0</v>
      </c>
      <c r="ECD26" s="1100"/>
      <c r="ECE26" s="1100"/>
      <c r="ECF26" s="1101"/>
      <c r="ECG26" s="1110">
        <f>IF(ECK10="Bovis","Attention retirer 2 mm aux dimensions transmises",0)</f>
        <v>0</v>
      </c>
      <c r="ECH26" s="1100"/>
      <c r="ECI26" s="1100"/>
      <c r="ECJ26" s="1101"/>
      <c r="ECK26" s="1110">
        <f>IF(ECO10="Bovis","Attention retirer 2 mm aux dimensions transmises",0)</f>
        <v>0</v>
      </c>
      <c r="ECL26" s="1100"/>
      <c r="ECM26" s="1100"/>
      <c r="ECN26" s="1101"/>
      <c r="ECO26" s="1110">
        <f>IF(ECS10="Bovis","Attention retirer 2 mm aux dimensions transmises",0)</f>
        <v>0</v>
      </c>
      <c r="ECP26" s="1100"/>
      <c r="ECQ26" s="1100"/>
      <c r="ECR26" s="1101"/>
      <c r="ECS26" s="1110">
        <f>IF(ECW10="Bovis","Attention retirer 2 mm aux dimensions transmises",0)</f>
        <v>0</v>
      </c>
      <c r="ECT26" s="1100"/>
      <c r="ECU26" s="1100"/>
      <c r="ECV26" s="1101"/>
      <c r="ECW26" s="1110">
        <f>IF(EDA10="Bovis","Attention retirer 2 mm aux dimensions transmises",0)</f>
        <v>0</v>
      </c>
      <c r="ECX26" s="1100"/>
      <c r="ECY26" s="1100"/>
      <c r="ECZ26" s="1101"/>
      <c r="EDA26" s="1110">
        <f>IF(EDE10="Bovis","Attention retirer 2 mm aux dimensions transmises",0)</f>
        <v>0</v>
      </c>
      <c r="EDB26" s="1100"/>
      <c r="EDC26" s="1100"/>
      <c r="EDD26" s="1101"/>
      <c r="EDE26" s="1110">
        <f>IF(EDI10="Bovis","Attention retirer 2 mm aux dimensions transmises",0)</f>
        <v>0</v>
      </c>
      <c r="EDF26" s="1100"/>
      <c r="EDG26" s="1100"/>
      <c r="EDH26" s="1101"/>
      <c r="EDI26" s="1110">
        <f>IF(EDM10="Bovis","Attention retirer 2 mm aux dimensions transmises",0)</f>
        <v>0</v>
      </c>
      <c r="EDJ26" s="1100"/>
      <c r="EDK26" s="1100"/>
      <c r="EDL26" s="1101"/>
      <c r="EDM26" s="1110">
        <f>IF(EDQ10="Bovis","Attention retirer 2 mm aux dimensions transmises",0)</f>
        <v>0</v>
      </c>
      <c r="EDN26" s="1100"/>
      <c r="EDO26" s="1100"/>
      <c r="EDP26" s="1101"/>
      <c r="EDQ26" s="1110">
        <f>IF(EDU10="Bovis","Attention retirer 2 mm aux dimensions transmises",0)</f>
        <v>0</v>
      </c>
      <c r="EDR26" s="1100"/>
      <c r="EDS26" s="1100"/>
      <c r="EDT26" s="1101"/>
      <c r="EDU26" s="1110">
        <f>IF(EDY10="Bovis","Attention retirer 2 mm aux dimensions transmises",0)</f>
        <v>0</v>
      </c>
      <c r="EDV26" s="1100"/>
      <c r="EDW26" s="1100"/>
      <c r="EDX26" s="1101"/>
      <c r="EDY26" s="1110">
        <f>IF(EEC10="Bovis","Attention retirer 2 mm aux dimensions transmises",0)</f>
        <v>0</v>
      </c>
      <c r="EDZ26" s="1100"/>
      <c r="EEA26" s="1100"/>
      <c r="EEB26" s="1101"/>
      <c r="EEC26" s="1110">
        <f>IF(EEG10="Bovis","Attention retirer 2 mm aux dimensions transmises",0)</f>
        <v>0</v>
      </c>
      <c r="EED26" s="1100"/>
      <c r="EEE26" s="1100"/>
      <c r="EEF26" s="1101"/>
      <c r="EEG26" s="1110">
        <f>IF(EEK10="Bovis","Attention retirer 2 mm aux dimensions transmises",0)</f>
        <v>0</v>
      </c>
      <c r="EEH26" s="1100"/>
      <c r="EEI26" s="1100"/>
      <c r="EEJ26" s="1101"/>
      <c r="EEK26" s="1110">
        <f>IF(EEO10="Bovis","Attention retirer 2 mm aux dimensions transmises",0)</f>
        <v>0</v>
      </c>
      <c r="EEL26" s="1100"/>
      <c r="EEM26" s="1100"/>
      <c r="EEN26" s="1101"/>
      <c r="EEO26" s="1110">
        <f>IF(EES10="Bovis","Attention retirer 2 mm aux dimensions transmises",0)</f>
        <v>0</v>
      </c>
      <c r="EEP26" s="1100"/>
      <c r="EEQ26" s="1100"/>
      <c r="EER26" s="1101"/>
      <c r="EES26" s="1110">
        <f>IF(EEW10="Bovis","Attention retirer 2 mm aux dimensions transmises",0)</f>
        <v>0</v>
      </c>
      <c r="EET26" s="1100"/>
      <c r="EEU26" s="1100"/>
      <c r="EEV26" s="1101"/>
      <c r="EEW26" s="1110">
        <f>IF(EFA10="Bovis","Attention retirer 2 mm aux dimensions transmises",0)</f>
        <v>0</v>
      </c>
      <c r="EEX26" s="1100"/>
      <c r="EEY26" s="1100"/>
      <c r="EEZ26" s="1101"/>
      <c r="EFA26" s="1110">
        <f>IF(EFE10="Bovis","Attention retirer 2 mm aux dimensions transmises",0)</f>
        <v>0</v>
      </c>
      <c r="EFB26" s="1100"/>
      <c r="EFC26" s="1100"/>
      <c r="EFD26" s="1101"/>
      <c r="EFE26" s="1110">
        <f>IF(EFI10="Bovis","Attention retirer 2 mm aux dimensions transmises",0)</f>
        <v>0</v>
      </c>
      <c r="EFF26" s="1100"/>
      <c r="EFG26" s="1100"/>
      <c r="EFH26" s="1101"/>
      <c r="EFI26" s="1110">
        <f>IF(EFM10="Bovis","Attention retirer 2 mm aux dimensions transmises",0)</f>
        <v>0</v>
      </c>
      <c r="EFJ26" s="1100"/>
      <c r="EFK26" s="1100"/>
      <c r="EFL26" s="1101"/>
      <c r="EFM26" s="1110">
        <f>IF(EFQ10="Bovis","Attention retirer 2 mm aux dimensions transmises",0)</f>
        <v>0</v>
      </c>
      <c r="EFN26" s="1100"/>
      <c r="EFO26" s="1100"/>
      <c r="EFP26" s="1101"/>
      <c r="EFQ26" s="1110">
        <f>IF(EFU10="Bovis","Attention retirer 2 mm aux dimensions transmises",0)</f>
        <v>0</v>
      </c>
      <c r="EFR26" s="1100"/>
      <c r="EFS26" s="1100"/>
      <c r="EFT26" s="1101"/>
      <c r="EFU26" s="1110">
        <f>IF(EFY10="Bovis","Attention retirer 2 mm aux dimensions transmises",0)</f>
        <v>0</v>
      </c>
      <c r="EFV26" s="1100"/>
      <c r="EFW26" s="1100"/>
      <c r="EFX26" s="1101"/>
      <c r="EFY26" s="1110">
        <f>IF(EGC10="Bovis","Attention retirer 2 mm aux dimensions transmises",0)</f>
        <v>0</v>
      </c>
      <c r="EFZ26" s="1100"/>
      <c r="EGA26" s="1100"/>
      <c r="EGB26" s="1101"/>
      <c r="EGC26" s="1110">
        <f>IF(EGG10="Bovis","Attention retirer 2 mm aux dimensions transmises",0)</f>
        <v>0</v>
      </c>
      <c r="EGD26" s="1100"/>
      <c r="EGE26" s="1100"/>
      <c r="EGF26" s="1101"/>
      <c r="EGG26" s="1110">
        <f>IF(EGK10="Bovis","Attention retirer 2 mm aux dimensions transmises",0)</f>
        <v>0</v>
      </c>
      <c r="EGH26" s="1100"/>
      <c r="EGI26" s="1100"/>
      <c r="EGJ26" s="1101"/>
      <c r="EGK26" s="1110">
        <f>IF(EGO10="Bovis","Attention retirer 2 mm aux dimensions transmises",0)</f>
        <v>0</v>
      </c>
      <c r="EGL26" s="1100"/>
      <c r="EGM26" s="1100"/>
      <c r="EGN26" s="1101"/>
      <c r="EGO26" s="1110">
        <f>IF(EGS10="Bovis","Attention retirer 2 mm aux dimensions transmises",0)</f>
        <v>0</v>
      </c>
      <c r="EGP26" s="1100"/>
      <c r="EGQ26" s="1100"/>
      <c r="EGR26" s="1101"/>
      <c r="EGS26" s="1110">
        <f>IF(EGW10="Bovis","Attention retirer 2 mm aux dimensions transmises",0)</f>
        <v>0</v>
      </c>
      <c r="EGT26" s="1100"/>
      <c r="EGU26" s="1100"/>
      <c r="EGV26" s="1101"/>
      <c r="EGW26" s="1110">
        <f>IF(EHA10="Bovis","Attention retirer 2 mm aux dimensions transmises",0)</f>
        <v>0</v>
      </c>
      <c r="EGX26" s="1100"/>
      <c r="EGY26" s="1100"/>
      <c r="EGZ26" s="1101"/>
      <c r="EHA26" s="1110">
        <f>IF(EHE10="Bovis","Attention retirer 2 mm aux dimensions transmises",0)</f>
        <v>0</v>
      </c>
      <c r="EHB26" s="1100"/>
      <c r="EHC26" s="1100"/>
      <c r="EHD26" s="1101"/>
      <c r="EHE26" s="1110">
        <f>IF(EHI10="Bovis","Attention retirer 2 mm aux dimensions transmises",0)</f>
        <v>0</v>
      </c>
      <c r="EHF26" s="1100"/>
      <c r="EHG26" s="1100"/>
      <c r="EHH26" s="1101"/>
      <c r="EHI26" s="1110">
        <f>IF(EHM10="Bovis","Attention retirer 2 mm aux dimensions transmises",0)</f>
        <v>0</v>
      </c>
      <c r="EHJ26" s="1100"/>
      <c r="EHK26" s="1100"/>
      <c r="EHL26" s="1101"/>
      <c r="EHM26" s="1110">
        <f>IF(EHQ10="Bovis","Attention retirer 2 mm aux dimensions transmises",0)</f>
        <v>0</v>
      </c>
      <c r="EHN26" s="1100"/>
      <c r="EHO26" s="1100"/>
      <c r="EHP26" s="1101"/>
      <c r="EHQ26" s="1110">
        <f>IF(EHU10="Bovis","Attention retirer 2 mm aux dimensions transmises",0)</f>
        <v>0</v>
      </c>
      <c r="EHR26" s="1100"/>
      <c r="EHS26" s="1100"/>
      <c r="EHT26" s="1101"/>
      <c r="EHU26" s="1110">
        <f>IF(EHY10="Bovis","Attention retirer 2 mm aux dimensions transmises",0)</f>
        <v>0</v>
      </c>
      <c r="EHV26" s="1100"/>
      <c r="EHW26" s="1100"/>
      <c r="EHX26" s="1101"/>
      <c r="EHY26" s="1110">
        <f>IF(EIC10="Bovis","Attention retirer 2 mm aux dimensions transmises",0)</f>
        <v>0</v>
      </c>
      <c r="EHZ26" s="1100"/>
      <c r="EIA26" s="1100"/>
      <c r="EIB26" s="1101"/>
      <c r="EIC26" s="1110">
        <f>IF(EIG10="Bovis","Attention retirer 2 mm aux dimensions transmises",0)</f>
        <v>0</v>
      </c>
      <c r="EID26" s="1100"/>
      <c r="EIE26" s="1100"/>
      <c r="EIF26" s="1101"/>
      <c r="EIG26" s="1110">
        <f>IF(EIK10="Bovis","Attention retirer 2 mm aux dimensions transmises",0)</f>
        <v>0</v>
      </c>
      <c r="EIH26" s="1100"/>
      <c r="EII26" s="1100"/>
      <c r="EIJ26" s="1101"/>
      <c r="EIK26" s="1110">
        <f>IF(EIO10="Bovis","Attention retirer 2 mm aux dimensions transmises",0)</f>
        <v>0</v>
      </c>
      <c r="EIL26" s="1100"/>
      <c r="EIM26" s="1100"/>
      <c r="EIN26" s="1101"/>
      <c r="EIO26" s="1110">
        <f>IF(EIS10="Bovis","Attention retirer 2 mm aux dimensions transmises",0)</f>
        <v>0</v>
      </c>
      <c r="EIP26" s="1100"/>
      <c r="EIQ26" s="1100"/>
      <c r="EIR26" s="1101"/>
      <c r="EIS26" s="1110">
        <f>IF(EIW10="Bovis","Attention retirer 2 mm aux dimensions transmises",0)</f>
        <v>0</v>
      </c>
      <c r="EIT26" s="1100"/>
      <c r="EIU26" s="1100"/>
      <c r="EIV26" s="1101"/>
      <c r="EIW26" s="1110">
        <f>IF(EJA10="Bovis","Attention retirer 2 mm aux dimensions transmises",0)</f>
        <v>0</v>
      </c>
      <c r="EIX26" s="1100"/>
      <c r="EIY26" s="1100"/>
      <c r="EIZ26" s="1101"/>
      <c r="EJA26" s="1110">
        <f>IF(EJE10="Bovis","Attention retirer 2 mm aux dimensions transmises",0)</f>
        <v>0</v>
      </c>
      <c r="EJB26" s="1100"/>
      <c r="EJC26" s="1100"/>
      <c r="EJD26" s="1101"/>
      <c r="EJE26" s="1110">
        <f>IF(EJI10="Bovis","Attention retirer 2 mm aux dimensions transmises",0)</f>
        <v>0</v>
      </c>
      <c r="EJF26" s="1100"/>
      <c r="EJG26" s="1100"/>
      <c r="EJH26" s="1101"/>
      <c r="EJI26" s="1110">
        <f>IF(EJM10="Bovis","Attention retirer 2 mm aux dimensions transmises",0)</f>
        <v>0</v>
      </c>
      <c r="EJJ26" s="1100"/>
      <c r="EJK26" s="1100"/>
      <c r="EJL26" s="1101"/>
      <c r="EJM26" s="1110">
        <f>IF(EJQ10="Bovis","Attention retirer 2 mm aux dimensions transmises",0)</f>
        <v>0</v>
      </c>
      <c r="EJN26" s="1100"/>
      <c r="EJO26" s="1100"/>
      <c r="EJP26" s="1101"/>
      <c r="EJQ26" s="1110">
        <f>IF(EJU10="Bovis","Attention retirer 2 mm aux dimensions transmises",0)</f>
        <v>0</v>
      </c>
      <c r="EJR26" s="1100"/>
      <c r="EJS26" s="1100"/>
      <c r="EJT26" s="1101"/>
      <c r="EJU26" s="1110">
        <f>IF(EJY10="Bovis","Attention retirer 2 mm aux dimensions transmises",0)</f>
        <v>0</v>
      </c>
      <c r="EJV26" s="1100"/>
      <c r="EJW26" s="1100"/>
      <c r="EJX26" s="1101"/>
      <c r="EJY26" s="1110">
        <f>IF(EKC10="Bovis","Attention retirer 2 mm aux dimensions transmises",0)</f>
        <v>0</v>
      </c>
      <c r="EJZ26" s="1100"/>
      <c r="EKA26" s="1100"/>
      <c r="EKB26" s="1101"/>
      <c r="EKC26" s="1110">
        <f>IF(EKG10="Bovis","Attention retirer 2 mm aux dimensions transmises",0)</f>
        <v>0</v>
      </c>
      <c r="EKD26" s="1100"/>
      <c r="EKE26" s="1100"/>
      <c r="EKF26" s="1101"/>
      <c r="EKG26" s="1110">
        <f>IF(EKK10="Bovis","Attention retirer 2 mm aux dimensions transmises",0)</f>
        <v>0</v>
      </c>
      <c r="EKH26" s="1100"/>
      <c r="EKI26" s="1100"/>
      <c r="EKJ26" s="1101"/>
      <c r="EKK26" s="1110">
        <f>IF(EKO10="Bovis","Attention retirer 2 mm aux dimensions transmises",0)</f>
        <v>0</v>
      </c>
      <c r="EKL26" s="1100"/>
      <c r="EKM26" s="1100"/>
      <c r="EKN26" s="1101"/>
      <c r="EKO26" s="1110">
        <f>IF(EKS10="Bovis","Attention retirer 2 mm aux dimensions transmises",0)</f>
        <v>0</v>
      </c>
      <c r="EKP26" s="1100"/>
      <c r="EKQ26" s="1100"/>
      <c r="EKR26" s="1101"/>
      <c r="EKS26" s="1110">
        <f>IF(EKW10="Bovis","Attention retirer 2 mm aux dimensions transmises",0)</f>
        <v>0</v>
      </c>
      <c r="EKT26" s="1100"/>
      <c r="EKU26" s="1100"/>
      <c r="EKV26" s="1101"/>
      <c r="EKW26" s="1110">
        <f>IF(ELA10="Bovis","Attention retirer 2 mm aux dimensions transmises",0)</f>
        <v>0</v>
      </c>
      <c r="EKX26" s="1100"/>
      <c r="EKY26" s="1100"/>
      <c r="EKZ26" s="1101"/>
      <c r="ELA26" s="1110">
        <f>IF(ELE10="Bovis","Attention retirer 2 mm aux dimensions transmises",0)</f>
        <v>0</v>
      </c>
      <c r="ELB26" s="1100"/>
      <c r="ELC26" s="1100"/>
      <c r="ELD26" s="1101"/>
      <c r="ELE26" s="1110">
        <f>IF(ELI10="Bovis","Attention retirer 2 mm aux dimensions transmises",0)</f>
        <v>0</v>
      </c>
      <c r="ELF26" s="1100"/>
      <c r="ELG26" s="1100"/>
      <c r="ELH26" s="1101"/>
      <c r="ELI26" s="1110">
        <f>IF(ELM10="Bovis","Attention retirer 2 mm aux dimensions transmises",0)</f>
        <v>0</v>
      </c>
      <c r="ELJ26" s="1100"/>
      <c r="ELK26" s="1100"/>
      <c r="ELL26" s="1101"/>
      <c r="ELM26" s="1110">
        <f>IF(ELQ10="Bovis","Attention retirer 2 mm aux dimensions transmises",0)</f>
        <v>0</v>
      </c>
      <c r="ELN26" s="1100"/>
      <c r="ELO26" s="1100"/>
      <c r="ELP26" s="1101"/>
      <c r="ELQ26" s="1110">
        <f>IF(ELU10="Bovis","Attention retirer 2 mm aux dimensions transmises",0)</f>
        <v>0</v>
      </c>
      <c r="ELR26" s="1100"/>
      <c r="ELS26" s="1100"/>
      <c r="ELT26" s="1101"/>
      <c r="ELU26" s="1110">
        <f>IF(ELY10="Bovis","Attention retirer 2 mm aux dimensions transmises",0)</f>
        <v>0</v>
      </c>
      <c r="ELV26" s="1100"/>
      <c r="ELW26" s="1100"/>
      <c r="ELX26" s="1101"/>
      <c r="ELY26" s="1110">
        <f>IF(EMC10="Bovis","Attention retirer 2 mm aux dimensions transmises",0)</f>
        <v>0</v>
      </c>
      <c r="ELZ26" s="1100"/>
      <c r="EMA26" s="1100"/>
      <c r="EMB26" s="1101"/>
      <c r="EMC26" s="1110">
        <f>IF(EMG10="Bovis","Attention retirer 2 mm aux dimensions transmises",0)</f>
        <v>0</v>
      </c>
      <c r="EMD26" s="1100"/>
      <c r="EME26" s="1100"/>
      <c r="EMF26" s="1101"/>
      <c r="EMG26" s="1110">
        <f>IF(EMK10="Bovis","Attention retirer 2 mm aux dimensions transmises",0)</f>
        <v>0</v>
      </c>
      <c r="EMH26" s="1100"/>
      <c r="EMI26" s="1100"/>
      <c r="EMJ26" s="1101"/>
      <c r="EMK26" s="1110">
        <f>IF(EMO10="Bovis","Attention retirer 2 mm aux dimensions transmises",0)</f>
        <v>0</v>
      </c>
      <c r="EML26" s="1100"/>
      <c r="EMM26" s="1100"/>
      <c r="EMN26" s="1101"/>
      <c r="EMO26" s="1110">
        <f>IF(EMS10="Bovis","Attention retirer 2 mm aux dimensions transmises",0)</f>
        <v>0</v>
      </c>
      <c r="EMP26" s="1100"/>
      <c r="EMQ26" s="1100"/>
      <c r="EMR26" s="1101"/>
      <c r="EMS26" s="1110">
        <f>IF(EMW10="Bovis","Attention retirer 2 mm aux dimensions transmises",0)</f>
        <v>0</v>
      </c>
      <c r="EMT26" s="1100"/>
      <c r="EMU26" s="1100"/>
      <c r="EMV26" s="1101"/>
      <c r="EMW26" s="1110">
        <f>IF(ENA10="Bovis","Attention retirer 2 mm aux dimensions transmises",0)</f>
        <v>0</v>
      </c>
      <c r="EMX26" s="1100"/>
      <c r="EMY26" s="1100"/>
      <c r="EMZ26" s="1101"/>
      <c r="ENA26" s="1110">
        <f>IF(ENE10="Bovis","Attention retirer 2 mm aux dimensions transmises",0)</f>
        <v>0</v>
      </c>
      <c r="ENB26" s="1100"/>
      <c r="ENC26" s="1100"/>
      <c r="END26" s="1101"/>
      <c r="ENE26" s="1110">
        <f>IF(ENI10="Bovis","Attention retirer 2 mm aux dimensions transmises",0)</f>
        <v>0</v>
      </c>
      <c r="ENF26" s="1100"/>
      <c r="ENG26" s="1100"/>
      <c r="ENH26" s="1101"/>
      <c r="ENI26" s="1110">
        <f>IF(ENM10="Bovis","Attention retirer 2 mm aux dimensions transmises",0)</f>
        <v>0</v>
      </c>
      <c r="ENJ26" s="1100"/>
      <c r="ENK26" s="1100"/>
      <c r="ENL26" s="1101"/>
      <c r="ENM26" s="1110">
        <f>IF(ENQ10="Bovis","Attention retirer 2 mm aux dimensions transmises",0)</f>
        <v>0</v>
      </c>
      <c r="ENN26" s="1100"/>
      <c r="ENO26" s="1100"/>
      <c r="ENP26" s="1101"/>
      <c r="ENQ26" s="1110">
        <f>IF(ENU10="Bovis","Attention retirer 2 mm aux dimensions transmises",0)</f>
        <v>0</v>
      </c>
      <c r="ENR26" s="1100"/>
      <c r="ENS26" s="1100"/>
      <c r="ENT26" s="1101"/>
      <c r="ENU26" s="1110">
        <f>IF(ENY10="Bovis","Attention retirer 2 mm aux dimensions transmises",0)</f>
        <v>0</v>
      </c>
      <c r="ENV26" s="1100"/>
      <c r="ENW26" s="1100"/>
      <c r="ENX26" s="1101"/>
      <c r="ENY26" s="1110">
        <f>IF(EOC10="Bovis","Attention retirer 2 mm aux dimensions transmises",0)</f>
        <v>0</v>
      </c>
      <c r="ENZ26" s="1100"/>
      <c r="EOA26" s="1100"/>
      <c r="EOB26" s="1101"/>
      <c r="EOC26" s="1110">
        <f>IF(EOG10="Bovis","Attention retirer 2 mm aux dimensions transmises",0)</f>
        <v>0</v>
      </c>
      <c r="EOD26" s="1100"/>
      <c r="EOE26" s="1100"/>
      <c r="EOF26" s="1101"/>
      <c r="EOG26" s="1110">
        <f>IF(EOK10="Bovis","Attention retirer 2 mm aux dimensions transmises",0)</f>
        <v>0</v>
      </c>
      <c r="EOH26" s="1100"/>
      <c r="EOI26" s="1100"/>
      <c r="EOJ26" s="1101"/>
      <c r="EOK26" s="1110">
        <f>IF(EOO10="Bovis","Attention retirer 2 mm aux dimensions transmises",0)</f>
        <v>0</v>
      </c>
      <c r="EOL26" s="1100"/>
      <c r="EOM26" s="1100"/>
      <c r="EON26" s="1101"/>
      <c r="EOO26" s="1110">
        <f>IF(EOS10="Bovis","Attention retirer 2 mm aux dimensions transmises",0)</f>
        <v>0</v>
      </c>
      <c r="EOP26" s="1100"/>
      <c r="EOQ26" s="1100"/>
      <c r="EOR26" s="1101"/>
      <c r="EOS26" s="1110">
        <f>IF(EOW10="Bovis","Attention retirer 2 mm aux dimensions transmises",0)</f>
        <v>0</v>
      </c>
      <c r="EOT26" s="1100"/>
      <c r="EOU26" s="1100"/>
      <c r="EOV26" s="1101"/>
      <c r="EOW26" s="1110">
        <f>IF(EPA10="Bovis","Attention retirer 2 mm aux dimensions transmises",0)</f>
        <v>0</v>
      </c>
      <c r="EOX26" s="1100"/>
      <c r="EOY26" s="1100"/>
      <c r="EOZ26" s="1101"/>
      <c r="EPA26" s="1110">
        <f>IF(EPE10="Bovis","Attention retirer 2 mm aux dimensions transmises",0)</f>
        <v>0</v>
      </c>
      <c r="EPB26" s="1100"/>
      <c r="EPC26" s="1100"/>
      <c r="EPD26" s="1101"/>
      <c r="EPE26" s="1110">
        <f>IF(EPI10="Bovis","Attention retirer 2 mm aux dimensions transmises",0)</f>
        <v>0</v>
      </c>
      <c r="EPF26" s="1100"/>
      <c r="EPG26" s="1100"/>
      <c r="EPH26" s="1101"/>
      <c r="EPI26" s="1110">
        <f>IF(EPM10="Bovis","Attention retirer 2 mm aux dimensions transmises",0)</f>
        <v>0</v>
      </c>
      <c r="EPJ26" s="1100"/>
      <c r="EPK26" s="1100"/>
      <c r="EPL26" s="1101"/>
      <c r="EPM26" s="1110">
        <f>IF(EPQ10="Bovis","Attention retirer 2 mm aux dimensions transmises",0)</f>
        <v>0</v>
      </c>
      <c r="EPN26" s="1100"/>
      <c r="EPO26" s="1100"/>
      <c r="EPP26" s="1101"/>
      <c r="EPQ26" s="1110">
        <f>IF(EPU10="Bovis","Attention retirer 2 mm aux dimensions transmises",0)</f>
        <v>0</v>
      </c>
      <c r="EPR26" s="1100"/>
      <c r="EPS26" s="1100"/>
      <c r="EPT26" s="1101"/>
      <c r="EPU26" s="1110">
        <f>IF(EPY10="Bovis","Attention retirer 2 mm aux dimensions transmises",0)</f>
        <v>0</v>
      </c>
      <c r="EPV26" s="1100"/>
      <c r="EPW26" s="1100"/>
      <c r="EPX26" s="1101"/>
      <c r="EPY26" s="1110">
        <f>IF(EQC10="Bovis","Attention retirer 2 mm aux dimensions transmises",0)</f>
        <v>0</v>
      </c>
      <c r="EPZ26" s="1100"/>
      <c r="EQA26" s="1100"/>
      <c r="EQB26" s="1101"/>
      <c r="EQC26" s="1110">
        <f>IF(EQG10="Bovis","Attention retirer 2 mm aux dimensions transmises",0)</f>
        <v>0</v>
      </c>
      <c r="EQD26" s="1100"/>
      <c r="EQE26" s="1100"/>
      <c r="EQF26" s="1101"/>
      <c r="EQG26" s="1110">
        <f>IF(EQK10="Bovis","Attention retirer 2 mm aux dimensions transmises",0)</f>
        <v>0</v>
      </c>
      <c r="EQH26" s="1100"/>
      <c r="EQI26" s="1100"/>
      <c r="EQJ26" s="1101"/>
      <c r="EQK26" s="1110">
        <f>IF(EQO10="Bovis","Attention retirer 2 mm aux dimensions transmises",0)</f>
        <v>0</v>
      </c>
      <c r="EQL26" s="1100"/>
      <c r="EQM26" s="1100"/>
      <c r="EQN26" s="1101"/>
      <c r="EQO26" s="1110">
        <f>IF(EQS10="Bovis","Attention retirer 2 mm aux dimensions transmises",0)</f>
        <v>0</v>
      </c>
      <c r="EQP26" s="1100"/>
      <c r="EQQ26" s="1100"/>
      <c r="EQR26" s="1101"/>
      <c r="EQS26" s="1110">
        <f>IF(EQW10="Bovis","Attention retirer 2 mm aux dimensions transmises",0)</f>
        <v>0</v>
      </c>
      <c r="EQT26" s="1100"/>
      <c r="EQU26" s="1100"/>
      <c r="EQV26" s="1101"/>
      <c r="EQW26" s="1110">
        <f>IF(ERA10="Bovis","Attention retirer 2 mm aux dimensions transmises",0)</f>
        <v>0</v>
      </c>
      <c r="EQX26" s="1100"/>
      <c r="EQY26" s="1100"/>
      <c r="EQZ26" s="1101"/>
      <c r="ERA26" s="1110">
        <f>IF(ERE10="Bovis","Attention retirer 2 mm aux dimensions transmises",0)</f>
        <v>0</v>
      </c>
      <c r="ERB26" s="1100"/>
      <c r="ERC26" s="1100"/>
      <c r="ERD26" s="1101"/>
      <c r="ERE26" s="1110">
        <f>IF(ERI10="Bovis","Attention retirer 2 mm aux dimensions transmises",0)</f>
        <v>0</v>
      </c>
      <c r="ERF26" s="1100"/>
      <c r="ERG26" s="1100"/>
      <c r="ERH26" s="1101"/>
      <c r="ERI26" s="1110">
        <f>IF(ERM10="Bovis","Attention retirer 2 mm aux dimensions transmises",0)</f>
        <v>0</v>
      </c>
      <c r="ERJ26" s="1100"/>
      <c r="ERK26" s="1100"/>
      <c r="ERL26" s="1101"/>
      <c r="ERM26" s="1110">
        <f>IF(ERQ10="Bovis","Attention retirer 2 mm aux dimensions transmises",0)</f>
        <v>0</v>
      </c>
      <c r="ERN26" s="1100"/>
      <c r="ERO26" s="1100"/>
      <c r="ERP26" s="1101"/>
      <c r="ERQ26" s="1110">
        <f>IF(ERU10="Bovis","Attention retirer 2 mm aux dimensions transmises",0)</f>
        <v>0</v>
      </c>
      <c r="ERR26" s="1100"/>
      <c r="ERS26" s="1100"/>
      <c r="ERT26" s="1101"/>
      <c r="ERU26" s="1110">
        <f>IF(ERY10="Bovis","Attention retirer 2 mm aux dimensions transmises",0)</f>
        <v>0</v>
      </c>
      <c r="ERV26" s="1100"/>
      <c r="ERW26" s="1100"/>
      <c r="ERX26" s="1101"/>
      <c r="ERY26" s="1110">
        <f>IF(ESC10="Bovis","Attention retirer 2 mm aux dimensions transmises",0)</f>
        <v>0</v>
      </c>
      <c r="ERZ26" s="1100"/>
      <c r="ESA26" s="1100"/>
      <c r="ESB26" s="1101"/>
      <c r="ESC26" s="1110">
        <f>IF(ESG10="Bovis","Attention retirer 2 mm aux dimensions transmises",0)</f>
        <v>0</v>
      </c>
      <c r="ESD26" s="1100"/>
      <c r="ESE26" s="1100"/>
      <c r="ESF26" s="1101"/>
      <c r="ESG26" s="1110">
        <f>IF(ESK10="Bovis","Attention retirer 2 mm aux dimensions transmises",0)</f>
        <v>0</v>
      </c>
      <c r="ESH26" s="1100"/>
      <c r="ESI26" s="1100"/>
      <c r="ESJ26" s="1101"/>
      <c r="ESK26" s="1110">
        <f>IF(ESO10="Bovis","Attention retirer 2 mm aux dimensions transmises",0)</f>
        <v>0</v>
      </c>
      <c r="ESL26" s="1100"/>
      <c r="ESM26" s="1100"/>
      <c r="ESN26" s="1101"/>
      <c r="ESO26" s="1110">
        <f>IF(ESS10="Bovis","Attention retirer 2 mm aux dimensions transmises",0)</f>
        <v>0</v>
      </c>
      <c r="ESP26" s="1100"/>
      <c r="ESQ26" s="1100"/>
      <c r="ESR26" s="1101"/>
      <c r="ESS26" s="1110">
        <f>IF(ESW10="Bovis","Attention retirer 2 mm aux dimensions transmises",0)</f>
        <v>0</v>
      </c>
      <c r="EST26" s="1100"/>
      <c r="ESU26" s="1100"/>
      <c r="ESV26" s="1101"/>
      <c r="ESW26" s="1110">
        <f>IF(ETA10="Bovis","Attention retirer 2 mm aux dimensions transmises",0)</f>
        <v>0</v>
      </c>
      <c r="ESX26" s="1100"/>
      <c r="ESY26" s="1100"/>
      <c r="ESZ26" s="1101"/>
      <c r="ETA26" s="1110">
        <f>IF(ETE10="Bovis","Attention retirer 2 mm aux dimensions transmises",0)</f>
        <v>0</v>
      </c>
      <c r="ETB26" s="1100"/>
      <c r="ETC26" s="1100"/>
      <c r="ETD26" s="1101"/>
      <c r="ETE26" s="1110">
        <f>IF(ETI10="Bovis","Attention retirer 2 mm aux dimensions transmises",0)</f>
        <v>0</v>
      </c>
      <c r="ETF26" s="1100"/>
      <c r="ETG26" s="1100"/>
      <c r="ETH26" s="1101"/>
      <c r="ETI26" s="1110">
        <f>IF(ETM10="Bovis","Attention retirer 2 mm aux dimensions transmises",0)</f>
        <v>0</v>
      </c>
      <c r="ETJ26" s="1100"/>
      <c r="ETK26" s="1100"/>
      <c r="ETL26" s="1101"/>
      <c r="ETM26" s="1110">
        <f>IF(ETQ10="Bovis","Attention retirer 2 mm aux dimensions transmises",0)</f>
        <v>0</v>
      </c>
      <c r="ETN26" s="1100"/>
      <c r="ETO26" s="1100"/>
      <c r="ETP26" s="1101"/>
      <c r="ETQ26" s="1110">
        <f>IF(ETU10="Bovis","Attention retirer 2 mm aux dimensions transmises",0)</f>
        <v>0</v>
      </c>
      <c r="ETR26" s="1100"/>
      <c r="ETS26" s="1100"/>
      <c r="ETT26" s="1101"/>
      <c r="ETU26" s="1110">
        <f>IF(ETY10="Bovis","Attention retirer 2 mm aux dimensions transmises",0)</f>
        <v>0</v>
      </c>
      <c r="ETV26" s="1100"/>
      <c r="ETW26" s="1100"/>
      <c r="ETX26" s="1101"/>
      <c r="ETY26" s="1110">
        <f>IF(EUC10="Bovis","Attention retirer 2 mm aux dimensions transmises",0)</f>
        <v>0</v>
      </c>
      <c r="ETZ26" s="1100"/>
      <c r="EUA26" s="1100"/>
      <c r="EUB26" s="1101"/>
      <c r="EUC26" s="1110">
        <f>IF(EUG10="Bovis","Attention retirer 2 mm aux dimensions transmises",0)</f>
        <v>0</v>
      </c>
      <c r="EUD26" s="1100"/>
      <c r="EUE26" s="1100"/>
      <c r="EUF26" s="1101"/>
      <c r="EUG26" s="1110">
        <f>IF(EUK10="Bovis","Attention retirer 2 mm aux dimensions transmises",0)</f>
        <v>0</v>
      </c>
      <c r="EUH26" s="1100"/>
      <c r="EUI26" s="1100"/>
      <c r="EUJ26" s="1101"/>
      <c r="EUK26" s="1110">
        <f>IF(EUO10="Bovis","Attention retirer 2 mm aux dimensions transmises",0)</f>
        <v>0</v>
      </c>
      <c r="EUL26" s="1100"/>
      <c r="EUM26" s="1100"/>
      <c r="EUN26" s="1101"/>
      <c r="EUO26" s="1110">
        <f>IF(EUS10="Bovis","Attention retirer 2 mm aux dimensions transmises",0)</f>
        <v>0</v>
      </c>
      <c r="EUP26" s="1100"/>
      <c r="EUQ26" s="1100"/>
      <c r="EUR26" s="1101"/>
      <c r="EUS26" s="1110">
        <f>IF(EUW10="Bovis","Attention retirer 2 mm aux dimensions transmises",0)</f>
        <v>0</v>
      </c>
      <c r="EUT26" s="1100"/>
      <c r="EUU26" s="1100"/>
      <c r="EUV26" s="1101"/>
      <c r="EUW26" s="1110">
        <f>IF(EVA10="Bovis","Attention retirer 2 mm aux dimensions transmises",0)</f>
        <v>0</v>
      </c>
      <c r="EUX26" s="1100"/>
      <c r="EUY26" s="1100"/>
      <c r="EUZ26" s="1101"/>
      <c r="EVA26" s="1110">
        <f>IF(EVE10="Bovis","Attention retirer 2 mm aux dimensions transmises",0)</f>
        <v>0</v>
      </c>
      <c r="EVB26" s="1100"/>
      <c r="EVC26" s="1100"/>
      <c r="EVD26" s="1101"/>
      <c r="EVE26" s="1110">
        <f>IF(EVI10="Bovis","Attention retirer 2 mm aux dimensions transmises",0)</f>
        <v>0</v>
      </c>
      <c r="EVF26" s="1100"/>
      <c r="EVG26" s="1100"/>
      <c r="EVH26" s="1101"/>
      <c r="EVI26" s="1110">
        <f>IF(EVM10="Bovis","Attention retirer 2 mm aux dimensions transmises",0)</f>
        <v>0</v>
      </c>
      <c r="EVJ26" s="1100"/>
      <c r="EVK26" s="1100"/>
      <c r="EVL26" s="1101"/>
      <c r="EVM26" s="1110">
        <f>IF(EVQ10="Bovis","Attention retirer 2 mm aux dimensions transmises",0)</f>
        <v>0</v>
      </c>
      <c r="EVN26" s="1100"/>
      <c r="EVO26" s="1100"/>
      <c r="EVP26" s="1101"/>
      <c r="EVQ26" s="1110">
        <f>IF(EVU10="Bovis","Attention retirer 2 mm aux dimensions transmises",0)</f>
        <v>0</v>
      </c>
      <c r="EVR26" s="1100"/>
      <c r="EVS26" s="1100"/>
      <c r="EVT26" s="1101"/>
      <c r="EVU26" s="1110">
        <f>IF(EVY10="Bovis","Attention retirer 2 mm aux dimensions transmises",0)</f>
        <v>0</v>
      </c>
      <c r="EVV26" s="1100"/>
      <c r="EVW26" s="1100"/>
      <c r="EVX26" s="1101"/>
      <c r="EVY26" s="1110">
        <f>IF(EWC10="Bovis","Attention retirer 2 mm aux dimensions transmises",0)</f>
        <v>0</v>
      </c>
      <c r="EVZ26" s="1100"/>
      <c r="EWA26" s="1100"/>
      <c r="EWB26" s="1101"/>
      <c r="EWC26" s="1110">
        <f>IF(EWG10="Bovis","Attention retirer 2 mm aux dimensions transmises",0)</f>
        <v>0</v>
      </c>
      <c r="EWD26" s="1100"/>
      <c r="EWE26" s="1100"/>
      <c r="EWF26" s="1101"/>
      <c r="EWG26" s="1110">
        <f>IF(EWK10="Bovis","Attention retirer 2 mm aux dimensions transmises",0)</f>
        <v>0</v>
      </c>
      <c r="EWH26" s="1100"/>
      <c r="EWI26" s="1100"/>
      <c r="EWJ26" s="1101"/>
      <c r="EWK26" s="1110">
        <f>IF(EWO10="Bovis","Attention retirer 2 mm aux dimensions transmises",0)</f>
        <v>0</v>
      </c>
      <c r="EWL26" s="1100"/>
      <c r="EWM26" s="1100"/>
      <c r="EWN26" s="1101"/>
      <c r="EWO26" s="1110">
        <f>IF(EWS10="Bovis","Attention retirer 2 mm aux dimensions transmises",0)</f>
        <v>0</v>
      </c>
      <c r="EWP26" s="1100"/>
      <c r="EWQ26" s="1100"/>
      <c r="EWR26" s="1101"/>
      <c r="EWS26" s="1110">
        <f>IF(EWW10="Bovis","Attention retirer 2 mm aux dimensions transmises",0)</f>
        <v>0</v>
      </c>
      <c r="EWT26" s="1100"/>
      <c r="EWU26" s="1100"/>
      <c r="EWV26" s="1101"/>
      <c r="EWW26" s="1110">
        <f>IF(EXA10="Bovis","Attention retirer 2 mm aux dimensions transmises",0)</f>
        <v>0</v>
      </c>
      <c r="EWX26" s="1100"/>
      <c r="EWY26" s="1100"/>
      <c r="EWZ26" s="1101"/>
      <c r="EXA26" s="1110">
        <f>IF(EXE10="Bovis","Attention retirer 2 mm aux dimensions transmises",0)</f>
        <v>0</v>
      </c>
      <c r="EXB26" s="1100"/>
      <c r="EXC26" s="1100"/>
      <c r="EXD26" s="1101"/>
      <c r="EXE26" s="1110">
        <f>IF(EXI10="Bovis","Attention retirer 2 mm aux dimensions transmises",0)</f>
        <v>0</v>
      </c>
      <c r="EXF26" s="1100"/>
      <c r="EXG26" s="1100"/>
      <c r="EXH26" s="1101"/>
      <c r="EXI26" s="1110">
        <f>IF(EXM10="Bovis","Attention retirer 2 mm aux dimensions transmises",0)</f>
        <v>0</v>
      </c>
      <c r="EXJ26" s="1100"/>
      <c r="EXK26" s="1100"/>
      <c r="EXL26" s="1101"/>
      <c r="EXM26" s="1110">
        <f>IF(EXQ10="Bovis","Attention retirer 2 mm aux dimensions transmises",0)</f>
        <v>0</v>
      </c>
      <c r="EXN26" s="1100"/>
      <c r="EXO26" s="1100"/>
      <c r="EXP26" s="1101"/>
      <c r="EXQ26" s="1110">
        <f>IF(EXU10="Bovis","Attention retirer 2 mm aux dimensions transmises",0)</f>
        <v>0</v>
      </c>
      <c r="EXR26" s="1100"/>
      <c r="EXS26" s="1100"/>
      <c r="EXT26" s="1101"/>
      <c r="EXU26" s="1110">
        <f>IF(EXY10="Bovis","Attention retirer 2 mm aux dimensions transmises",0)</f>
        <v>0</v>
      </c>
      <c r="EXV26" s="1100"/>
      <c r="EXW26" s="1100"/>
      <c r="EXX26" s="1101"/>
      <c r="EXY26" s="1110">
        <f>IF(EYC10="Bovis","Attention retirer 2 mm aux dimensions transmises",0)</f>
        <v>0</v>
      </c>
      <c r="EXZ26" s="1100"/>
      <c r="EYA26" s="1100"/>
      <c r="EYB26" s="1101"/>
      <c r="EYC26" s="1110">
        <f>IF(EYG10="Bovis","Attention retirer 2 mm aux dimensions transmises",0)</f>
        <v>0</v>
      </c>
      <c r="EYD26" s="1100"/>
      <c r="EYE26" s="1100"/>
      <c r="EYF26" s="1101"/>
      <c r="EYG26" s="1110">
        <f>IF(EYK10="Bovis","Attention retirer 2 mm aux dimensions transmises",0)</f>
        <v>0</v>
      </c>
      <c r="EYH26" s="1100"/>
      <c r="EYI26" s="1100"/>
      <c r="EYJ26" s="1101"/>
      <c r="EYK26" s="1110">
        <f>IF(EYO10="Bovis","Attention retirer 2 mm aux dimensions transmises",0)</f>
        <v>0</v>
      </c>
      <c r="EYL26" s="1100"/>
      <c r="EYM26" s="1100"/>
      <c r="EYN26" s="1101"/>
      <c r="EYO26" s="1110">
        <f>IF(EYS10="Bovis","Attention retirer 2 mm aux dimensions transmises",0)</f>
        <v>0</v>
      </c>
      <c r="EYP26" s="1100"/>
      <c r="EYQ26" s="1100"/>
      <c r="EYR26" s="1101"/>
      <c r="EYS26" s="1110">
        <f>IF(EYW10="Bovis","Attention retirer 2 mm aux dimensions transmises",0)</f>
        <v>0</v>
      </c>
      <c r="EYT26" s="1100"/>
      <c r="EYU26" s="1100"/>
      <c r="EYV26" s="1101"/>
      <c r="EYW26" s="1110">
        <f>IF(EZA10="Bovis","Attention retirer 2 mm aux dimensions transmises",0)</f>
        <v>0</v>
      </c>
      <c r="EYX26" s="1100"/>
      <c r="EYY26" s="1100"/>
      <c r="EYZ26" s="1101"/>
      <c r="EZA26" s="1110">
        <f>IF(EZE10="Bovis","Attention retirer 2 mm aux dimensions transmises",0)</f>
        <v>0</v>
      </c>
      <c r="EZB26" s="1100"/>
      <c r="EZC26" s="1100"/>
      <c r="EZD26" s="1101"/>
      <c r="EZE26" s="1110">
        <f>IF(EZI10="Bovis","Attention retirer 2 mm aux dimensions transmises",0)</f>
        <v>0</v>
      </c>
      <c r="EZF26" s="1100"/>
      <c r="EZG26" s="1100"/>
      <c r="EZH26" s="1101"/>
      <c r="EZI26" s="1110">
        <f>IF(EZM10="Bovis","Attention retirer 2 mm aux dimensions transmises",0)</f>
        <v>0</v>
      </c>
      <c r="EZJ26" s="1100"/>
      <c r="EZK26" s="1100"/>
      <c r="EZL26" s="1101"/>
      <c r="EZM26" s="1110">
        <f>IF(EZQ10="Bovis","Attention retirer 2 mm aux dimensions transmises",0)</f>
        <v>0</v>
      </c>
      <c r="EZN26" s="1100"/>
      <c r="EZO26" s="1100"/>
      <c r="EZP26" s="1101"/>
      <c r="EZQ26" s="1110">
        <f>IF(EZU10="Bovis","Attention retirer 2 mm aux dimensions transmises",0)</f>
        <v>0</v>
      </c>
      <c r="EZR26" s="1100"/>
      <c r="EZS26" s="1100"/>
      <c r="EZT26" s="1101"/>
      <c r="EZU26" s="1110">
        <f>IF(EZY10="Bovis","Attention retirer 2 mm aux dimensions transmises",0)</f>
        <v>0</v>
      </c>
      <c r="EZV26" s="1100"/>
      <c r="EZW26" s="1100"/>
      <c r="EZX26" s="1101"/>
      <c r="EZY26" s="1110">
        <f>IF(FAC10="Bovis","Attention retirer 2 mm aux dimensions transmises",0)</f>
        <v>0</v>
      </c>
      <c r="EZZ26" s="1100"/>
      <c r="FAA26" s="1100"/>
      <c r="FAB26" s="1101"/>
      <c r="FAC26" s="1110">
        <f>IF(FAG10="Bovis","Attention retirer 2 mm aux dimensions transmises",0)</f>
        <v>0</v>
      </c>
      <c r="FAD26" s="1100"/>
      <c r="FAE26" s="1100"/>
      <c r="FAF26" s="1101"/>
      <c r="FAG26" s="1110">
        <f>IF(FAK10="Bovis","Attention retirer 2 mm aux dimensions transmises",0)</f>
        <v>0</v>
      </c>
      <c r="FAH26" s="1100"/>
      <c r="FAI26" s="1100"/>
      <c r="FAJ26" s="1101"/>
      <c r="FAK26" s="1110">
        <f>IF(FAO10="Bovis","Attention retirer 2 mm aux dimensions transmises",0)</f>
        <v>0</v>
      </c>
      <c r="FAL26" s="1100"/>
      <c r="FAM26" s="1100"/>
      <c r="FAN26" s="1101"/>
      <c r="FAO26" s="1110">
        <f>IF(FAS10="Bovis","Attention retirer 2 mm aux dimensions transmises",0)</f>
        <v>0</v>
      </c>
      <c r="FAP26" s="1100"/>
      <c r="FAQ26" s="1100"/>
      <c r="FAR26" s="1101"/>
      <c r="FAS26" s="1110">
        <f>IF(FAW10="Bovis","Attention retirer 2 mm aux dimensions transmises",0)</f>
        <v>0</v>
      </c>
      <c r="FAT26" s="1100"/>
      <c r="FAU26" s="1100"/>
      <c r="FAV26" s="1101"/>
      <c r="FAW26" s="1110">
        <f>IF(FBA10="Bovis","Attention retirer 2 mm aux dimensions transmises",0)</f>
        <v>0</v>
      </c>
      <c r="FAX26" s="1100"/>
      <c r="FAY26" s="1100"/>
      <c r="FAZ26" s="1101"/>
      <c r="FBA26" s="1110">
        <f>IF(FBE10="Bovis","Attention retirer 2 mm aux dimensions transmises",0)</f>
        <v>0</v>
      </c>
      <c r="FBB26" s="1100"/>
      <c r="FBC26" s="1100"/>
      <c r="FBD26" s="1101"/>
      <c r="FBE26" s="1110">
        <f>IF(FBI10="Bovis","Attention retirer 2 mm aux dimensions transmises",0)</f>
        <v>0</v>
      </c>
      <c r="FBF26" s="1100"/>
      <c r="FBG26" s="1100"/>
      <c r="FBH26" s="1101"/>
      <c r="FBI26" s="1110">
        <f>IF(FBM10="Bovis","Attention retirer 2 mm aux dimensions transmises",0)</f>
        <v>0</v>
      </c>
      <c r="FBJ26" s="1100"/>
      <c r="FBK26" s="1100"/>
      <c r="FBL26" s="1101"/>
      <c r="FBM26" s="1110">
        <f>IF(FBQ10="Bovis","Attention retirer 2 mm aux dimensions transmises",0)</f>
        <v>0</v>
      </c>
      <c r="FBN26" s="1100"/>
      <c r="FBO26" s="1100"/>
      <c r="FBP26" s="1101"/>
      <c r="FBQ26" s="1110">
        <f>IF(FBU10="Bovis","Attention retirer 2 mm aux dimensions transmises",0)</f>
        <v>0</v>
      </c>
      <c r="FBR26" s="1100"/>
      <c r="FBS26" s="1100"/>
      <c r="FBT26" s="1101"/>
      <c r="FBU26" s="1110">
        <f>IF(FBY10="Bovis","Attention retirer 2 mm aux dimensions transmises",0)</f>
        <v>0</v>
      </c>
      <c r="FBV26" s="1100"/>
      <c r="FBW26" s="1100"/>
      <c r="FBX26" s="1101"/>
      <c r="FBY26" s="1110">
        <f>IF(FCC10="Bovis","Attention retirer 2 mm aux dimensions transmises",0)</f>
        <v>0</v>
      </c>
      <c r="FBZ26" s="1100"/>
      <c r="FCA26" s="1100"/>
      <c r="FCB26" s="1101"/>
      <c r="FCC26" s="1110">
        <f>IF(FCG10="Bovis","Attention retirer 2 mm aux dimensions transmises",0)</f>
        <v>0</v>
      </c>
      <c r="FCD26" s="1100"/>
      <c r="FCE26" s="1100"/>
      <c r="FCF26" s="1101"/>
      <c r="FCG26" s="1110">
        <f>IF(FCK10="Bovis","Attention retirer 2 mm aux dimensions transmises",0)</f>
        <v>0</v>
      </c>
      <c r="FCH26" s="1100"/>
      <c r="FCI26" s="1100"/>
      <c r="FCJ26" s="1101"/>
      <c r="FCK26" s="1110">
        <f>IF(FCO10="Bovis","Attention retirer 2 mm aux dimensions transmises",0)</f>
        <v>0</v>
      </c>
      <c r="FCL26" s="1100"/>
      <c r="FCM26" s="1100"/>
      <c r="FCN26" s="1101"/>
      <c r="FCO26" s="1110">
        <f>IF(FCS10="Bovis","Attention retirer 2 mm aux dimensions transmises",0)</f>
        <v>0</v>
      </c>
      <c r="FCP26" s="1100"/>
      <c r="FCQ26" s="1100"/>
      <c r="FCR26" s="1101"/>
      <c r="FCS26" s="1110">
        <f>IF(FCW10="Bovis","Attention retirer 2 mm aux dimensions transmises",0)</f>
        <v>0</v>
      </c>
      <c r="FCT26" s="1100"/>
      <c r="FCU26" s="1100"/>
      <c r="FCV26" s="1101"/>
      <c r="FCW26" s="1110">
        <f>IF(FDA10="Bovis","Attention retirer 2 mm aux dimensions transmises",0)</f>
        <v>0</v>
      </c>
      <c r="FCX26" s="1100"/>
      <c r="FCY26" s="1100"/>
      <c r="FCZ26" s="1101"/>
      <c r="FDA26" s="1110">
        <f>IF(FDE10="Bovis","Attention retirer 2 mm aux dimensions transmises",0)</f>
        <v>0</v>
      </c>
      <c r="FDB26" s="1100"/>
      <c r="FDC26" s="1100"/>
      <c r="FDD26" s="1101"/>
      <c r="FDE26" s="1110">
        <f>IF(FDI10="Bovis","Attention retirer 2 mm aux dimensions transmises",0)</f>
        <v>0</v>
      </c>
      <c r="FDF26" s="1100"/>
      <c r="FDG26" s="1100"/>
      <c r="FDH26" s="1101"/>
      <c r="FDI26" s="1110">
        <f>IF(FDM10="Bovis","Attention retirer 2 mm aux dimensions transmises",0)</f>
        <v>0</v>
      </c>
      <c r="FDJ26" s="1100"/>
      <c r="FDK26" s="1100"/>
      <c r="FDL26" s="1101"/>
      <c r="FDM26" s="1110">
        <f>IF(FDQ10="Bovis","Attention retirer 2 mm aux dimensions transmises",0)</f>
        <v>0</v>
      </c>
      <c r="FDN26" s="1100"/>
      <c r="FDO26" s="1100"/>
      <c r="FDP26" s="1101"/>
      <c r="FDQ26" s="1110">
        <f>IF(FDU10="Bovis","Attention retirer 2 mm aux dimensions transmises",0)</f>
        <v>0</v>
      </c>
      <c r="FDR26" s="1100"/>
      <c r="FDS26" s="1100"/>
      <c r="FDT26" s="1101"/>
      <c r="FDU26" s="1110">
        <f>IF(FDY10="Bovis","Attention retirer 2 mm aux dimensions transmises",0)</f>
        <v>0</v>
      </c>
      <c r="FDV26" s="1100"/>
      <c r="FDW26" s="1100"/>
      <c r="FDX26" s="1101"/>
      <c r="FDY26" s="1110">
        <f>IF(FEC10="Bovis","Attention retirer 2 mm aux dimensions transmises",0)</f>
        <v>0</v>
      </c>
      <c r="FDZ26" s="1100"/>
      <c r="FEA26" s="1100"/>
      <c r="FEB26" s="1101"/>
      <c r="FEC26" s="1110">
        <f>IF(FEG10="Bovis","Attention retirer 2 mm aux dimensions transmises",0)</f>
        <v>0</v>
      </c>
      <c r="FED26" s="1100"/>
      <c r="FEE26" s="1100"/>
      <c r="FEF26" s="1101"/>
      <c r="FEG26" s="1110">
        <f>IF(FEK10="Bovis","Attention retirer 2 mm aux dimensions transmises",0)</f>
        <v>0</v>
      </c>
      <c r="FEH26" s="1100"/>
      <c r="FEI26" s="1100"/>
      <c r="FEJ26" s="1101"/>
      <c r="FEK26" s="1110">
        <f>IF(FEO10="Bovis","Attention retirer 2 mm aux dimensions transmises",0)</f>
        <v>0</v>
      </c>
      <c r="FEL26" s="1100"/>
      <c r="FEM26" s="1100"/>
      <c r="FEN26" s="1101"/>
      <c r="FEO26" s="1110">
        <f>IF(FES10="Bovis","Attention retirer 2 mm aux dimensions transmises",0)</f>
        <v>0</v>
      </c>
      <c r="FEP26" s="1100"/>
      <c r="FEQ26" s="1100"/>
      <c r="FER26" s="1101"/>
      <c r="FES26" s="1110">
        <f>IF(FEW10="Bovis","Attention retirer 2 mm aux dimensions transmises",0)</f>
        <v>0</v>
      </c>
      <c r="FET26" s="1100"/>
      <c r="FEU26" s="1100"/>
      <c r="FEV26" s="1101"/>
      <c r="FEW26" s="1110">
        <f>IF(FFA10="Bovis","Attention retirer 2 mm aux dimensions transmises",0)</f>
        <v>0</v>
      </c>
      <c r="FEX26" s="1100"/>
      <c r="FEY26" s="1100"/>
      <c r="FEZ26" s="1101"/>
      <c r="FFA26" s="1110">
        <f>IF(FFE10="Bovis","Attention retirer 2 mm aux dimensions transmises",0)</f>
        <v>0</v>
      </c>
      <c r="FFB26" s="1100"/>
      <c r="FFC26" s="1100"/>
      <c r="FFD26" s="1101"/>
      <c r="FFE26" s="1110">
        <f>IF(FFI10="Bovis","Attention retirer 2 mm aux dimensions transmises",0)</f>
        <v>0</v>
      </c>
      <c r="FFF26" s="1100"/>
      <c r="FFG26" s="1100"/>
      <c r="FFH26" s="1101"/>
      <c r="FFI26" s="1110">
        <f>IF(FFM10="Bovis","Attention retirer 2 mm aux dimensions transmises",0)</f>
        <v>0</v>
      </c>
      <c r="FFJ26" s="1100"/>
      <c r="FFK26" s="1100"/>
      <c r="FFL26" s="1101"/>
      <c r="FFM26" s="1110">
        <f>IF(FFQ10="Bovis","Attention retirer 2 mm aux dimensions transmises",0)</f>
        <v>0</v>
      </c>
      <c r="FFN26" s="1100"/>
      <c r="FFO26" s="1100"/>
      <c r="FFP26" s="1101"/>
      <c r="FFQ26" s="1110">
        <f>IF(FFU10="Bovis","Attention retirer 2 mm aux dimensions transmises",0)</f>
        <v>0</v>
      </c>
      <c r="FFR26" s="1100"/>
      <c r="FFS26" s="1100"/>
      <c r="FFT26" s="1101"/>
      <c r="FFU26" s="1110">
        <f>IF(FFY10="Bovis","Attention retirer 2 mm aux dimensions transmises",0)</f>
        <v>0</v>
      </c>
      <c r="FFV26" s="1100"/>
      <c r="FFW26" s="1100"/>
      <c r="FFX26" s="1101"/>
      <c r="FFY26" s="1110">
        <f>IF(FGC10="Bovis","Attention retirer 2 mm aux dimensions transmises",0)</f>
        <v>0</v>
      </c>
      <c r="FFZ26" s="1100"/>
      <c r="FGA26" s="1100"/>
      <c r="FGB26" s="1101"/>
      <c r="FGC26" s="1110">
        <f>IF(FGG10="Bovis","Attention retirer 2 mm aux dimensions transmises",0)</f>
        <v>0</v>
      </c>
      <c r="FGD26" s="1100"/>
      <c r="FGE26" s="1100"/>
      <c r="FGF26" s="1101"/>
      <c r="FGG26" s="1110">
        <f>IF(FGK10="Bovis","Attention retirer 2 mm aux dimensions transmises",0)</f>
        <v>0</v>
      </c>
      <c r="FGH26" s="1100"/>
      <c r="FGI26" s="1100"/>
      <c r="FGJ26" s="1101"/>
      <c r="FGK26" s="1110">
        <f>IF(FGO10="Bovis","Attention retirer 2 mm aux dimensions transmises",0)</f>
        <v>0</v>
      </c>
      <c r="FGL26" s="1100"/>
      <c r="FGM26" s="1100"/>
      <c r="FGN26" s="1101"/>
      <c r="FGO26" s="1110">
        <f>IF(FGS10="Bovis","Attention retirer 2 mm aux dimensions transmises",0)</f>
        <v>0</v>
      </c>
      <c r="FGP26" s="1100"/>
      <c r="FGQ26" s="1100"/>
      <c r="FGR26" s="1101"/>
      <c r="FGS26" s="1110">
        <f>IF(FGW10="Bovis","Attention retirer 2 mm aux dimensions transmises",0)</f>
        <v>0</v>
      </c>
      <c r="FGT26" s="1100"/>
      <c r="FGU26" s="1100"/>
      <c r="FGV26" s="1101"/>
      <c r="FGW26" s="1110">
        <f>IF(FHA10="Bovis","Attention retirer 2 mm aux dimensions transmises",0)</f>
        <v>0</v>
      </c>
      <c r="FGX26" s="1100"/>
      <c r="FGY26" s="1100"/>
      <c r="FGZ26" s="1101"/>
      <c r="FHA26" s="1110">
        <f>IF(FHE10="Bovis","Attention retirer 2 mm aux dimensions transmises",0)</f>
        <v>0</v>
      </c>
      <c r="FHB26" s="1100"/>
      <c r="FHC26" s="1100"/>
      <c r="FHD26" s="1101"/>
      <c r="FHE26" s="1110">
        <f>IF(FHI10="Bovis","Attention retirer 2 mm aux dimensions transmises",0)</f>
        <v>0</v>
      </c>
      <c r="FHF26" s="1100"/>
      <c r="FHG26" s="1100"/>
      <c r="FHH26" s="1101"/>
      <c r="FHI26" s="1110">
        <f>IF(FHM10="Bovis","Attention retirer 2 mm aux dimensions transmises",0)</f>
        <v>0</v>
      </c>
      <c r="FHJ26" s="1100"/>
      <c r="FHK26" s="1100"/>
      <c r="FHL26" s="1101"/>
      <c r="FHM26" s="1110">
        <f>IF(FHQ10="Bovis","Attention retirer 2 mm aux dimensions transmises",0)</f>
        <v>0</v>
      </c>
      <c r="FHN26" s="1100"/>
      <c r="FHO26" s="1100"/>
      <c r="FHP26" s="1101"/>
      <c r="FHQ26" s="1110">
        <f>IF(FHU10="Bovis","Attention retirer 2 mm aux dimensions transmises",0)</f>
        <v>0</v>
      </c>
      <c r="FHR26" s="1100"/>
      <c r="FHS26" s="1100"/>
      <c r="FHT26" s="1101"/>
      <c r="FHU26" s="1110">
        <f>IF(FHY10="Bovis","Attention retirer 2 mm aux dimensions transmises",0)</f>
        <v>0</v>
      </c>
      <c r="FHV26" s="1100"/>
      <c r="FHW26" s="1100"/>
      <c r="FHX26" s="1101"/>
      <c r="FHY26" s="1110">
        <f>IF(FIC10="Bovis","Attention retirer 2 mm aux dimensions transmises",0)</f>
        <v>0</v>
      </c>
      <c r="FHZ26" s="1100"/>
      <c r="FIA26" s="1100"/>
      <c r="FIB26" s="1101"/>
      <c r="FIC26" s="1110">
        <f>IF(FIG10="Bovis","Attention retirer 2 mm aux dimensions transmises",0)</f>
        <v>0</v>
      </c>
      <c r="FID26" s="1100"/>
      <c r="FIE26" s="1100"/>
      <c r="FIF26" s="1101"/>
      <c r="FIG26" s="1110">
        <f>IF(FIK10="Bovis","Attention retirer 2 mm aux dimensions transmises",0)</f>
        <v>0</v>
      </c>
      <c r="FIH26" s="1100"/>
      <c r="FII26" s="1100"/>
      <c r="FIJ26" s="1101"/>
      <c r="FIK26" s="1110">
        <f>IF(FIO10="Bovis","Attention retirer 2 mm aux dimensions transmises",0)</f>
        <v>0</v>
      </c>
      <c r="FIL26" s="1100"/>
      <c r="FIM26" s="1100"/>
      <c r="FIN26" s="1101"/>
      <c r="FIO26" s="1110">
        <f>IF(FIS10="Bovis","Attention retirer 2 mm aux dimensions transmises",0)</f>
        <v>0</v>
      </c>
      <c r="FIP26" s="1100"/>
      <c r="FIQ26" s="1100"/>
      <c r="FIR26" s="1101"/>
      <c r="FIS26" s="1110">
        <f>IF(FIW10="Bovis","Attention retirer 2 mm aux dimensions transmises",0)</f>
        <v>0</v>
      </c>
      <c r="FIT26" s="1100"/>
      <c r="FIU26" s="1100"/>
      <c r="FIV26" s="1101"/>
      <c r="FIW26" s="1110">
        <f>IF(FJA10="Bovis","Attention retirer 2 mm aux dimensions transmises",0)</f>
        <v>0</v>
      </c>
      <c r="FIX26" s="1100"/>
      <c r="FIY26" s="1100"/>
      <c r="FIZ26" s="1101"/>
      <c r="FJA26" s="1110">
        <f>IF(FJE10="Bovis","Attention retirer 2 mm aux dimensions transmises",0)</f>
        <v>0</v>
      </c>
      <c r="FJB26" s="1100"/>
      <c r="FJC26" s="1100"/>
      <c r="FJD26" s="1101"/>
      <c r="FJE26" s="1110">
        <f>IF(FJI10="Bovis","Attention retirer 2 mm aux dimensions transmises",0)</f>
        <v>0</v>
      </c>
      <c r="FJF26" s="1100"/>
      <c r="FJG26" s="1100"/>
      <c r="FJH26" s="1101"/>
      <c r="FJI26" s="1110">
        <f>IF(FJM10="Bovis","Attention retirer 2 mm aux dimensions transmises",0)</f>
        <v>0</v>
      </c>
      <c r="FJJ26" s="1100"/>
      <c r="FJK26" s="1100"/>
      <c r="FJL26" s="1101"/>
      <c r="FJM26" s="1110">
        <f>IF(FJQ10="Bovis","Attention retirer 2 mm aux dimensions transmises",0)</f>
        <v>0</v>
      </c>
      <c r="FJN26" s="1100"/>
      <c r="FJO26" s="1100"/>
      <c r="FJP26" s="1101"/>
      <c r="FJQ26" s="1110">
        <f>IF(FJU10="Bovis","Attention retirer 2 mm aux dimensions transmises",0)</f>
        <v>0</v>
      </c>
      <c r="FJR26" s="1100"/>
      <c r="FJS26" s="1100"/>
      <c r="FJT26" s="1101"/>
      <c r="FJU26" s="1110">
        <f>IF(FJY10="Bovis","Attention retirer 2 mm aux dimensions transmises",0)</f>
        <v>0</v>
      </c>
      <c r="FJV26" s="1100"/>
      <c r="FJW26" s="1100"/>
      <c r="FJX26" s="1101"/>
      <c r="FJY26" s="1110">
        <f>IF(FKC10="Bovis","Attention retirer 2 mm aux dimensions transmises",0)</f>
        <v>0</v>
      </c>
      <c r="FJZ26" s="1100"/>
      <c r="FKA26" s="1100"/>
      <c r="FKB26" s="1101"/>
      <c r="FKC26" s="1110">
        <f>IF(FKG10="Bovis","Attention retirer 2 mm aux dimensions transmises",0)</f>
        <v>0</v>
      </c>
      <c r="FKD26" s="1100"/>
      <c r="FKE26" s="1100"/>
      <c r="FKF26" s="1101"/>
      <c r="FKG26" s="1110">
        <f>IF(FKK10="Bovis","Attention retirer 2 mm aux dimensions transmises",0)</f>
        <v>0</v>
      </c>
      <c r="FKH26" s="1100"/>
      <c r="FKI26" s="1100"/>
      <c r="FKJ26" s="1101"/>
      <c r="FKK26" s="1110">
        <f>IF(FKO10="Bovis","Attention retirer 2 mm aux dimensions transmises",0)</f>
        <v>0</v>
      </c>
      <c r="FKL26" s="1100"/>
      <c r="FKM26" s="1100"/>
      <c r="FKN26" s="1101"/>
      <c r="FKO26" s="1110">
        <f>IF(FKS10="Bovis","Attention retirer 2 mm aux dimensions transmises",0)</f>
        <v>0</v>
      </c>
      <c r="FKP26" s="1100"/>
      <c r="FKQ26" s="1100"/>
      <c r="FKR26" s="1101"/>
      <c r="FKS26" s="1110">
        <f>IF(FKW10="Bovis","Attention retirer 2 mm aux dimensions transmises",0)</f>
        <v>0</v>
      </c>
      <c r="FKT26" s="1100"/>
      <c r="FKU26" s="1100"/>
      <c r="FKV26" s="1101"/>
      <c r="FKW26" s="1110">
        <f>IF(FLA10="Bovis","Attention retirer 2 mm aux dimensions transmises",0)</f>
        <v>0</v>
      </c>
      <c r="FKX26" s="1100"/>
      <c r="FKY26" s="1100"/>
      <c r="FKZ26" s="1101"/>
      <c r="FLA26" s="1110">
        <f>IF(FLE10="Bovis","Attention retirer 2 mm aux dimensions transmises",0)</f>
        <v>0</v>
      </c>
      <c r="FLB26" s="1100"/>
      <c r="FLC26" s="1100"/>
      <c r="FLD26" s="1101"/>
      <c r="FLE26" s="1110">
        <f>IF(FLI10="Bovis","Attention retirer 2 mm aux dimensions transmises",0)</f>
        <v>0</v>
      </c>
      <c r="FLF26" s="1100"/>
      <c r="FLG26" s="1100"/>
      <c r="FLH26" s="1101"/>
      <c r="FLI26" s="1110">
        <f>IF(FLM10="Bovis","Attention retirer 2 mm aux dimensions transmises",0)</f>
        <v>0</v>
      </c>
      <c r="FLJ26" s="1100"/>
      <c r="FLK26" s="1100"/>
      <c r="FLL26" s="1101"/>
      <c r="FLM26" s="1110">
        <f>IF(FLQ10="Bovis","Attention retirer 2 mm aux dimensions transmises",0)</f>
        <v>0</v>
      </c>
      <c r="FLN26" s="1100"/>
      <c r="FLO26" s="1100"/>
      <c r="FLP26" s="1101"/>
      <c r="FLQ26" s="1110">
        <f>IF(FLU10="Bovis","Attention retirer 2 mm aux dimensions transmises",0)</f>
        <v>0</v>
      </c>
      <c r="FLR26" s="1100"/>
      <c r="FLS26" s="1100"/>
      <c r="FLT26" s="1101"/>
      <c r="FLU26" s="1110">
        <f>IF(FLY10="Bovis","Attention retirer 2 mm aux dimensions transmises",0)</f>
        <v>0</v>
      </c>
      <c r="FLV26" s="1100"/>
      <c r="FLW26" s="1100"/>
      <c r="FLX26" s="1101"/>
      <c r="FLY26" s="1110">
        <f>IF(FMC10="Bovis","Attention retirer 2 mm aux dimensions transmises",0)</f>
        <v>0</v>
      </c>
      <c r="FLZ26" s="1100"/>
      <c r="FMA26" s="1100"/>
      <c r="FMB26" s="1101"/>
      <c r="FMC26" s="1110">
        <f>IF(FMG10="Bovis","Attention retirer 2 mm aux dimensions transmises",0)</f>
        <v>0</v>
      </c>
      <c r="FMD26" s="1100"/>
      <c r="FME26" s="1100"/>
      <c r="FMF26" s="1101"/>
      <c r="FMG26" s="1110">
        <f>IF(FMK10="Bovis","Attention retirer 2 mm aux dimensions transmises",0)</f>
        <v>0</v>
      </c>
      <c r="FMH26" s="1100"/>
      <c r="FMI26" s="1100"/>
      <c r="FMJ26" s="1101"/>
      <c r="FMK26" s="1110">
        <f>IF(FMO10="Bovis","Attention retirer 2 mm aux dimensions transmises",0)</f>
        <v>0</v>
      </c>
      <c r="FML26" s="1100"/>
      <c r="FMM26" s="1100"/>
      <c r="FMN26" s="1101"/>
      <c r="FMO26" s="1110">
        <f>IF(FMS10="Bovis","Attention retirer 2 mm aux dimensions transmises",0)</f>
        <v>0</v>
      </c>
      <c r="FMP26" s="1100"/>
      <c r="FMQ26" s="1100"/>
      <c r="FMR26" s="1101"/>
      <c r="FMS26" s="1110">
        <f>IF(FMW10="Bovis","Attention retirer 2 mm aux dimensions transmises",0)</f>
        <v>0</v>
      </c>
      <c r="FMT26" s="1100"/>
      <c r="FMU26" s="1100"/>
      <c r="FMV26" s="1101"/>
      <c r="FMW26" s="1110">
        <f>IF(FNA10="Bovis","Attention retirer 2 mm aux dimensions transmises",0)</f>
        <v>0</v>
      </c>
      <c r="FMX26" s="1100"/>
      <c r="FMY26" s="1100"/>
      <c r="FMZ26" s="1101"/>
      <c r="FNA26" s="1110">
        <f>IF(FNE10="Bovis","Attention retirer 2 mm aux dimensions transmises",0)</f>
        <v>0</v>
      </c>
      <c r="FNB26" s="1100"/>
      <c r="FNC26" s="1100"/>
      <c r="FND26" s="1101"/>
      <c r="FNE26" s="1110">
        <f>IF(FNI10="Bovis","Attention retirer 2 mm aux dimensions transmises",0)</f>
        <v>0</v>
      </c>
      <c r="FNF26" s="1100"/>
      <c r="FNG26" s="1100"/>
      <c r="FNH26" s="1101"/>
      <c r="FNI26" s="1110">
        <f>IF(FNM10="Bovis","Attention retirer 2 mm aux dimensions transmises",0)</f>
        <v>0</v>
      </c>
      <c r="FNJ26" s="1100"/>
      <c r="FNK26" s="1100"/>
      <c r="FNL26" s="1101"/>
      <c r="FNM26" s="1110">
        <f>IF(FNQ10="Bovis","Attention retirer 2 mm aux dimensions transmises",0)</f>
        <v>0</v>
      </c>
      <c r="FNN26" s="1100"/>
      <c r="FNO26" s="1100"/>
      <c r="FNP26" s="1101"/>
      <c r="FNQ26" s="1110">
        <f>IF(FNU10="Bovis","Attention retirer 2 mm aux dimensions transmises",0)</f>
        <v>0</v>
      </c>
      <c r="FNR26" s="1100"/>
      <c r="FNS26" s="1100"/>
      <c r="FNT26" s="1101"/>
      <c r="FNU26" s="1110">
        <f>IF(FNY10="Bovis","Attention retirer 2 mm aux dimensions transmises",0)</f>
        <v>0</v>
      </c>
      <c r="FNV26" s="1100"/>
      <c r="FNW26" s="1100"/>
      <c r="FNX26" s="1101"/>
      <c r="FNY26" s="1110">
        <f>IF(FOC10="Bovis","Attention retirer 2 mm aux dimensions transmises",0)</f>
        <v>0</v>
      </c>
      <c r="FNZ26" s="1100"/>
      <c r="FOA26" s="1100"/>
      <c r="FOB26" s="1101"/>
      <c r="FOC26" s="1110">
        <f>IF(FOG10="Bovis","Attention retirer 2 mm aux dimensions transmises",0)</f>
        <v>0</v>
      </c>
      <c r="FOD26" s="1100"/>
      <c r="FOE26" s="1100"/>
      <c r="FOF26" s="1101"/>
      <c r="FOG26" s="1110">
        <f>IF(FOK10="Bovis","Attention retirer 2 mm aux dimensions transmises",0)</f>
        <v>0</v>
      </c>
      <c r="FOH26" s="1100"/>
      <c r="FOI26" s="1100"/>
      <c r="FOJ26" s="1101"/>
      <c r="FOK26" s="1110">
        <f>IF(FOO10="Bovis","Attention retirer 2 mm aux dimensions transmises",0)</f>
        <v>0</v>
      </c>
      <c r="FOL26" s="1100"/>
      <c r="FOM26" s="1100"/>
      <c r="FON26" s="1101"/>
      <c r="FOO26" s="1110">
        <f>IF(FOS10="Bovis","Attention retirer 2 mm aux dimensions transmises",0)</f>
        <v>0</v>
      </c>
      <c r="FOP26" s="1100"/>
      <c r="FOQ26" s="1100"/>
      <c r="FOR26" s="1101"/>
      <c r="FOS26" s="1110">
        <f>IF(FOW10="Bovis","Attention retirer 2 mm aux dimensions transmises",0)</f>
        <v>0</v>
      </c>
      <c r="FOT26" s="1100"/>
      <c r="FOU26" s="1100"/>
      <c r="FOV26" s="1101"/>
      <c r="FOW26" s="1110">
        <f>IF(FPA10="Bovis","Attention retirer 2 mm aux dimensions transmises",0)</f>
        <v>0</v>
      </c>
      <c r="FOX26" s="1100"/>
      <c r="FOY26" s="1100"/>
      <c r="FOZ26" s="1101"/>
      <c r="FPA26" s="1110">
        <f>IF(FPE10="Bovis","Attention retirer 2 mm aux dimensions transmises",0)</f>
        <v>0</v>
      </c>
      <c r="FPB26" s="1100"/>
      <c r="FPC26" s="1100"/>
      <c r="FPD26" s="1101"/>
      <c r="FPE26" s="1110">
        <f>IF(FPI10="Bovis","Attention retirer 2 mm aux dimensions transmises",0)</f>
        <v>0</v>
      </c>
      <c r="FPF26" s="1100"/>
      <c r="FPG26" s="1100"/>
      <c r="FPH26" s="1101"/>
      <c r="FPI26" s="1110">
        <f>IF(FPM10="Bovis","Attention retirer 2 mm aux dimensions transmises",0)</f>
        <v>0</v>
      </c>
      <c r="FPJ26" s="1100"/>
      <c r="FPK26" s="1100"/>
      <c r="FPL26" s="1101"/>
      <c r="FPM26" s="1110">
        <f>IF(FPQ10="Bovis","Attention retirer 2 mm aux dimensions transmises",0)</f>
        <v>0</v>
      </c>
      <c r="FPN26" s="1100"/>
      <c r="FPO26" s="1100"/>
      <c r="FPP26" s="1101"/>
      <c r="FPQ26" s="1110">
        <f>IF(FPU10="Bovis","Attention retirer 2 mm aux dimensions transmises",0)</f>
        <v>0</v>
      </c>
      <c r="FPR26" s="1100"/>
      <c r="FPS26" s="1100"/>
      <c r="FPT26" s="1101"/>
      <c r="FPU26" s="1110">
        <f>IF(FPY10="Bovis","Attention retirer 2 mm aux dimensions transmises",0)</f>
        <v>0</v>
      </c>
      <c r="FPV26" s="1100"/>
      <c r="FPW26" s="1100"/>
      <c r="FPX26" s="1101"/>
      <c r="FPY26" s="1110">
        <f>IF(FQC10="Bovis","Attention retirer 2 mm aux dimensions transmises",0)</f>
        <v>0</v>
      </c>
      <c r="FPZ26" s="1100"/>
      <c r="FQA26" s="1100"/>
      <c r="FQB26" s="1101"/>
      <c r="FQC26" s="1110">
        <f>IF(FQG10="Bovis","Attention retirer 2 mm aux dimensions transmises",0)</f>
        <v>0</v>
      </c>
      <c r="FQD26" s="1100"/>
      <c r="FQE26" s="1100"/>
      <c r="FQF26" s="1101"/>
      <c r="FQG26" s="1110">
        <f>IF(FQK10="Bovis","Attention retirer 2 mm aux dimensions transmises",0)</f>
        <v>0</v>
      </c>
      <c r="FQH26" s="1100"/>
      <c r="FQI26" s="1100"/>
      <c r="FQJ26" s="1101"/>
      <c r="FQK26" s="1110">
        <f>IF(FQO10="Bovis","Attention retirer 2 mm aux dimensions transmises",0)</f>
        <v>0</v>
      </c>
      <c r="FQL26" s="1100"/>
      <c r="FQM26" s="1100"/>
      <c r="FQN26" s="1101"/>
      <c r="FQO26" s="1110">
        <f>IF(FQS10="Bovis","Attention retirer 2 mm aux dimensions transmises",0)</f>
        <v>0</v>
      </c>
      <c r="FQP26" s="1100"/>
      <c r="FQQ26" s="1100"/>
      <c r="FQR26" s="1101"/>
      <c r="FQS26" s="1110">
        <f>IF(FQW10="Bovis","Attention retirer 2 mm aux dimensions transmises",0)</f>
        <v>0</v>
      </c>
      <c r="FQT26" s="1100"/>
      <c r="FQU26" s="1100"/>
      <c r="FQV26" s="1101"/>
      <c r="FQW26" s="1110">
        <f>IF(FRA10="Bovis","Attention retirer 2 mm aux dimensions transmises",0)</f>
        <v>0</v>
      </c>
      <c r="FQX26" s="1100"/>
      <c r="FQY26" s="1100"/>
      <c r="FQZ26" s="1101"/>
      <c r="FRA26" s="1110">
        <f>IF(FRE10="Bovis","Attention retirer 2 mm aux dimensions transmises",0)</f>
        <v>0</v>
      </c>
      <c r="FRB26" s="1100"/>
      <c r="FRC26" s="1100"/>
      <c r="FRD26" s="1101"/>
      <c r="FRE26" s="1110">
        <f>IF(FRI10="Bovis","Attention retirer 2 mm aux dimensions transmises",0)</f>
        <v>0</v>
      </c>
      <c r="FRF26" s="1100"/>
      <c r="FRG26" s="1100"/>
      <c r="FRH26" s="1101"/>
      <c r="FRI26" s="1110">
        <f>IF(FRM10="Bovis","Attention retirer 2 mm aux dimensions transmises",0)</f>
        <v>0</v>
      </c>
      <c r="FRJ26" s="1100"/>
      <c r="FRK26" s="1100"/>
      <c r="FRL26" s="1101"/>
      <c r="FRM26" s="1110">
        <f>IF(FRQ10="Bovis","Attention retirer 2 mm aux dimensions transmises",0)</f>
        <v>0</v>
      </c>
      <c r="FRN26" s="1100"/>
      <c r="FRO26" s="1100"/>
      <c r="FRP26" s="1101"/>
      <c r="FRQ26" s="1110">
        <f>IF(FRU10="Bovis","Attention retirer 2 mm aux dimensions transmises",0)</f>
        <v>0</v>
      </c>
      <c r="FRR26" s="1100"/>
      <c r="FRS26" s="1100"/>
      <c r="FRT26" s="1101"/>
      <c r="FRU26" s="1110">
        <f>IF(FRY10="Bovis","Attention retirer 2 mm aux dimensions transmises",0)</f>
        <v>0</v>
      </c>
      <c r="FRV26" s="1100"/>
      <c r="FRW26" s="1100"/>
      <c r="FRX26" s="1101"/>
      <c r="FRY26" s="1110">
        <f>IF(FSC10="Bovis","Attention retirer 2 mm aux dimensions transmises",0)</f>
        <v>0</v>
      </c>
      <c r="FRZ26" s="1100"/>
      <c r="FSA26" s="1100"/>
      <c r="FSB26" s="1101"/>
      <c r="FSC26" s="1110">
        <f>IF(FSG10="Bovis","Attention retirer 2 mm aux dimensions transmises",0)</f>
        <v>0</v>
      </c>
      <c r="FSD26" s="1100"/>
      <c r="FSE26" s="1100"/>
      <c r="FSF26" s="1101"/>
      <c r="FSG26" s="1110">
        <f>IF(FSK10="Bovis","Attention retirer 2 mm aux dimensions transmises",0)</f>
        <v>0</v>
      </c>
      <c r="FSH26" s="1100"/>
      <c r="FSI26" s="1100"/>
      <c r="FSJ26" s="1101"/>
      <c r="FSK26" s="1110">
        <f>IF(FSO10="Bovis","Attention retirer 2 mm aux dimensions transmises",0)</f>
        <v>0</v>
      </c>
      <c r="FSL26" s="1100"/>
      <c r="FSM26" s="1100"/>
      <c r="FSN26" s="1101"/>
      <c r="FSO26" s="1110">
        <f>IF(FSS10="Bovis","Attention retirer 2 mm aux dimensions transmises",0)</f>
        <v>0</v>
      </c>
      <c r="FSP26" s="1100"/>
      <c r="FSQ26" s="1100"/>
      <c r="FSR26" s="1101"/>
      <c r="FSS26" s="1110">
        <f>IF(FSW10="Bovis","Attention retirer 2 mm aux dimensions transmises",0)</f>
        <v>0</v>
      </c>
      <c r="FST26" s="1100"/>
      <c r="FSU26" s="1100"/>
      <c r="FSV26" s="1101"/>
      <c r="FSW26" s="1110">
        <f>IF(FTA10="Bovis","Attention retirer 2 mm aux dimensions transmises",0)</f>
        <v>0</v>
      </c>
      <c r="FSX26" s="1100"/>
      <c r="FSY26" s="1100"/>
      <c r="FSZ26" s="1101"/>
      <c r="FTA26" s="1110">
        <f>IF(FTE10="Bovis","Attention retirer 2 mm aux dimensions transmises",0)</f>
        <v>0</v>
      </c>
      <c r="FTB26" s="1100"/>
      <c r="FTC26" s="1100"/>
      <c r="FTD26" s="1101"/>
      <c r="FTE26" s="1110">
        <f>IF(FTI10="Bovis","Attention retirer 2 mm aux dimensions transmises",0)</f>
        <v>0</v>
      </c>
      <c r="FTF26" s="1100"/>
      <c r="FTG26" s="1100"/>
      <c r="FTH26" s="1101"/>
      <c r="FTI26" s="1110">
        <f>IF(FTM10="Bovis","Attention retirer 2 mm aux dimensions transmises",0)</f>
        <v>0</v>
      </c>
      <c r="FTJ26" s="1100"/>
      <c r="FTK26" s="1100"/>
      <c r="FTL26" s="1101"/>
      <c r="FTM26" s="1110">
        <f>IF(FTQ10="Bovis","Attention retirer 2 mm aux dimensions transmises",0)</f>
        <v>0</v>
      </c>
      <c r="FTN26" s="1100"/>
      <c r="FTO26" s="1100"/>
      <c r="FTP26" s="1101"/>
      <c r="FTQ26" s="1110">
        <f>IF(FTU10="Bovis","Attention retirer 2 mm aux dimensions transmises",0)</f>
        <v>0</v>
      </c>
      <c r="FTR26" s="1100"/>
      <c r="FTS26" s="1100"/>
      <c r="FTT26" s="1101"/>
      <c r="FTU26" s="1110">
        <f>IF(FTY10="Bovis","Attention retirer 2 mm aux dimensions transmises",0)</f>
        <v>0</v>
      </c>
      <c r="FTV26" s="1100"/>
      <c r="FTW26" s="1100"/>
      <c r="FTX26" s="1101"/>
      <c r="FTY26" s="1110">
        <f>IF(FUC10="Bovis","Attention retirer 2 mm aux dimensions transmises",0)</f>
        <v>0</v>
      </c>
      <c r="FTZ26" s="1100"/>
      <c r="FUA26" s="1100"/>
      <c r="FUB26" s="1101"/>
      <c r="FUC26" s="1110">
        <f>IF(FUG10="Bovis","Attention retirer 2 mm aux dimensions transmises",0)</f>
        <v>0</v>
      </c>
      <c r="FUD26" s="1100"/>
      <c r="FUE26" s="1100"/>
      <c r="FUF26" s="1101"/>
      <c r="FUG26" s="1110">
        <f>IF(FUK10="Bovis","Attention retirer 2 mm aux dimensions transmises",0)</f>
        <v>0</v>
      </c>
      <c r="FUH26" s="1100"/>
      <c r="FUI26" s="1100"/>
      <c r="FUJ26" s="1101"/>
      <c r="FUK26" s="1110">
        <f>IF(FUO10="Bovis","Attention retirer 2 mm aux dimensions transmises",0)</f>
        <v>0</v>
      </c>
      <c r="FUL26" s="1100"/>
      <c r="FUM26" s="1100"/>
      <c r="FUN26" s="1101"/>
      <c r="FUO26" s="1110">
        <f>IF(FUS10="Bovis","Attention retirer 2 mm aux dimensions transmises",0)</f>
        <v>0</v>
      </c>
      <c r="FUP26" s="1100"/>
      <c r="FUQ26" s="1100"/>
      <c r="FUR26" s="1101"/>
      <c r="FUS26" s="1110">
        <f>IF(FUW10="Bovis","Attention retirer 2 mm aux dimensions transmises",0)</f>
        <v>0</v>
      </c>
      <c r="FUT26" s="1100"/>
      <c r="FUU26" s="1100"/>
      <c r="FUV26" s="1101"/>
      <c r="FUW26" s="1110">
        <f>IF(FVA10="Bovis","Attention retirer 2 mm aux dimensions transmises",0)</f>
        <v>0</v>
      </c>
      <c r="FUX26" s="1100"/>
      <c r="FUY26" s="1100"/>
      <c r="FUZ26" s="1101"/>
      <c r="FVA26" s="1110">
        <f>IF(FVE10="Bovis","Attention retirer 2 mm aux dimensions transmises",0)</f>
        <v>0</v>
      </c>
      <c r="FVB26" s="1100"/>
      <c r="FVC26" s="1100"/>
      <c r="FVD26" s="1101"/>
      <c r="FVE26" s="1110">
        <f>IF(FVI10="Bovis","Attention retirer 2 mm aux dimensions transmises",0)</f>
        <v>0</v>
      </c>
      <c r="FVF26" s="1100"/>
      <c r="FVG26" s="1100"/>
      <c r="FVH26" s="1101"/>
      <c r="FVI26" s="1110">
        <f>IF(FVM10="Bovis","Attention retirer 2 mm aux dimensions transmises",0)</f>
        <v>0</v>
      </c>
      <c r="FVJ26" s="1100"/>
      <c r="FVK26" s="1100"/>
      <c r="FVL26" s="1101"/>
      <c r="FVM26" s="1110">
        <f>IF(FVQ10="Bovis","Attention retirer 2 mm aux dimensions transmises",0)</f>
        <v>0</v>
      </c>
      <c r="FVN26" s="1100"/>
      <c r="FVO26" s="1100"/>
      <c r="FVP26" s="1101"/>
      <c r="FVQ26" s="1110">
        <f>IF(FVU10="Bovis","Attention retirer 2 mm aux dimensions transmises",0)</f>
        <v>0</v>
      </c>
      <c r="FVR26" s="1100"/>
      <c r="FVS26" s="1100"/>
      <c r="FVT26" s="1101"/>
      <c r="FVU26" s="1110">
        <f>IF(FVY10="Bovis","Attention retirer 2 mm aux dimensions transmises",0)</f>
        <v>0</v>
      </c>
      <c r="FVV26" s="1100"/>
      <c r="FVW26" s="1100"/>
      <c r="FVX26" s="1101"/>
      <c r="FVY26" s="1110">
        <f>IF(FWC10="Bovis","Attention retirer 2 mm aux dimensions transmises",0)</f>
        <v>0</v>
      </c>
      <c r="FVZ26" s="1100"/>
      <c r="FWA26" s="1100"/>
      <c r="FWB26" s="1101"/>
      <c r="FWC26" s="1110">
        <f>IF(FWG10="Bovis","Attention retirer 2 mm aux dimensions transmises",0)</f>
        <v>0</v>
      </c>
      <c r="FWD26" s="1100"/>
      <c r="FWE26" s="1100"/>
      <c r="FWF26" s="1101"/>
      <c r="FWG26" s="1110">
        <f>IF(FWK10="Bovis","Attention retirer 2 mm aux dimensions transmises",0)</f>
        <v>0</v>
      </c>
      <c r="FWH26" s="1100"/>
      <c r="FWI26" s="1100"/>
      <c r="FWJ26" s="1101"/>
      <c r="FWK26" s="1110">
        <f>IF(FWO10="Bovis","Attention retirer 2 mm aux dimensions transmises",0)</f>
        <v>0</v>
      </c>
      <c r="FWL26" s="1100"/>
      <c r="FWM26" s="1100"/>
      <c r="FWN26" s="1101"/>
      <c r="FWO26" s="1110">
        <f>IF(FWS10="Bovis","Attention retirer 2 mm aux dimensions transmises",0)</f>
        <v>0</v>
      </c>
      <c r="FWP26" s="1100"/>
      <c r="FWQ26" s="1100"/>
      <c r="FWR26" s="1101"/>
      <c r="FWS26" s="1110">
        <f>IF(FWW10="Bovis","Attention retirer 2 mm aux dimensions transmises",0)</f>
        <v>0</v>
      </c>
      <c r="FWT26" s="1100"/>
      <c r="FWU26" s="1100"/>
      <c r="FWV26" s="1101"/>
      <c r="FWW26" s="1110">
        <f>IF(FXA10="Bovis","Attention retirer 2 mm aux dimensions transmises",0)</f>
        <v>0</v>
      </c>
      <c r="FWX26" s="1100"/>
      <c r="FWY26" s="1100"/>
      <c r="FWZ26" s="1101"/>
      <c r="FXA26" s="1110">
        <f>IF(FXE10="Bovis","Attention retirer 2 mm aux dimensions transmises",0)</f>
        <v>0</v>
      </c>
      <c r="FXB26" s="1100"/>
      <c r="FXC26" s="1100"/>
      <c r="FXD26" s="1101"/>
      <c r="FXE26" s="1110">
        <f>IF(FXI10="Bovis","Attention retirer 2 mm aux dimensions transmises",0)</f>
        <v>0</v>
      </c>
      <c r="FXF26" s="1100"/>
      <c r="FXG26" s="1100"/>
      <c r="FXH26" s="1101"/>
      <c r="FXI26" s="1110">
        <f>IF(FXM10="Bovis","Attention retirer 2 mm aux dimensions transmises",0)</f>
        <v>0</v>
      </c>
      <c r="FXJ26" s="1100"/>
      <c r="FXK26" s="1100"/>
      <c r="FXL26" s="1101"/>
      <c r="FXM26" s="1110">
        <f>IF(FXQ10="Bovis","Attention retirer 2 mm aux dimensions transmises",0)</f>
        <v>0</v>
      </c>
      <c r="FXN26" s="1100"/>
      <c r="FXO26" s="1100"/>
      <c r="FXP26" s="1101"/>
      <c r="FXQ26" s="1110">
        <f>IF(FXU10="Bovis","Attention retirer 2 mm aux dimensions transmises",0)</f>
        <v>0</v>
      </c>
      <c r="FXR26" s="1100"/>
      <c r="FXS26" s="1100"/>
      <c r="FXT26" s="1101"/>
      <c r="FXU26" s="1110">
        <f>IF(FXY10="Bovis","Attention retirer 2 mm aux dimensions transmises",0)</f>
        <v>0</v>
      </c>
      <c r="FXV26" s="1100"/>
      <c r="FXW26" s="1100"/>
      <c r="FXX26" s="1101"/>
      <c r="FXY26" s="1110">
        <f>IF(FYC10="Bovis","Attention retirer 2 mm aux dimensions transmises",0)</f>
        <v>0</v>
      </c>
      <c r="FXZ26" s="1100"/>
      <c r="FYA26" s="1100"/>
      <c r="FYB26" s="1101"/>
      <c r="FYC26" s="1110">
        <f>IF(FYG10="Bovis","Attention retirer 2 mm aux dimensions transmises",0)</f>
        <v>0</v>
      </c>
      <c r="FYD26" s="1100"/>
      <c r="FYE26" s="1100"/>
      <c r="FYF26" s="1101"/>
      <c r="FYG26" s="1110">
        <f>IF(FYK10="Bovis","Attention retirer 2 mm aux dimensions transmises",0)</f>
        <v>0</v>
      </c>
      <c r="FYH26" s="1100"/>
      <c r="FYI26" s="1100"/>
      <c r="FYJ26" s="1101"/>
      <c r="FYK26" s="1110">
        <f>IF(FYO10="Bovis","Attention retirer 2 mm aux dimensions transmises",0)</f>
        <v>0</v>
      </c>
      <c r="FYL26" s="1100"/>
      <c r="FYM26" s="1100"/>
      <c r="FYN26" s="1101"/>
      <c r="FYO26" s="1110">
        <f>IF(FYS10="Bovis","Attention retirer 2 mm aux dimensions transmises",0)</f>
        <v>0</v>
      </c>
      <c r="FYP26" s="1100"/>
      <c r="FYQ26" s="1100"/>
      <c r="FYR26" s="1101"/>
      <c r="FYS26" s="1110">
        <f>IF(FYW10="Bovis","Attention retirer 2 mm aux dimensions transmises",0)</f>
        <v>0</v>
      </c>
      <c r="FYT26" s="1100"/>
      <c r="FYU26" s="1100"/>
      <c r="FYV26" s="1101"/>
      <c r="FYW26" s="1110">
        <f>IF(FZA10="Bovis","Attention retirer 2 mm aux dimensions transmises",0)</f>
        <v>0</v>
      </c>
      <c r="FYX26" s="1100"/>
      <c r="FYY26" s="1100"/>
      <c r="FYZ26" s="1101"/>
      <c r="FZA26" s="1110">
        <f>IF(FZE10="Bovis","Attention retirer 2 mm aux dimensions transmises",0)</f>
        <v>0</v>
      </c>
      <c r="FZB26" s="1100"/>
      <c r="FZC26" s="1100"/>
      <c r="FZD26" s="1101"/>
      <c r="FZE26" s="1110">
        <f>IF(FZI10="Bovis","Attention retirer 2 mm aux dimensions transmises",0)</f>
        <v>0</v>
      </c>
      <c r="FZF26" s="1100"/>
      <c r="FZG26" s="1100"/>
      <c r="FZH26" s="1101"/>
      <c r="FZI26" s="1110">
        <f>IF(FZM10="Bovis","Attention retirer 2 mm aux dimensions transmises",0)</f>
        <v>0</v>
      </c>
      <c r="FZJ26" s="1100"/>
      <c r="FZK26" s="1100"/>
      <c r="FZL26" s="1101"/>
      <c r="FZM26" s="1110">
        <f>IF(FZQ10="Bovis","Attention retirer 2 mm aux dimensions transmises",0)</f>
        <v>0</v>
      </c>
      <c r="FZN26" s="1100"/>
      <c r="FZO26" s="1100"/>
      <c r="FZP26" s="1101"/>
      <c r="FZQ26" s="1110">
        <f>IF(FZU10="Bovis","Attention retirer 2 mm aux dimensions transmises",0)</f>
        <v>0</v>
      </c>
      <c r="FZR26" s="1100"/>
      <c r="FZS26" s="1100"/>
      <c r="FZT26" s="1101"/>
      <c r="FZU26" s="1110">
        <f>IF(FZY10="Bovis","Attention retirer 2 mm aux dimensions transmises",0)</f>
        <v>0</v>
      </c>
      <c r="FZV26" s="1100"/>
      <c r="FZW26" s="1100"/>
      <c r="FZX26" s="1101"/>
      <c r="FZY26" s="1110">
        <f>IF(GAC10="Bovis","Attention retirer 2 mm aux dimensions transmises",0)</f>
        <v>0</v>
      </c>
      <c r="FZZ26" s="1100"/>
      <c r="GAA26" s="1100"/>
      <c r="GAB26" s="1101"/>
      <c r="GAC26" s="1110">
        <f>IF(GAG10="Bovis","Attention retirer 2 mm aux dimensions transmises",0)</f>
        <v>0</v>
      </c>
      <c r="GAD26" s="1100"/>
      <c r="GAE26" s="1100"/>
      <c r="GAF26" s="1101"/>
      <c r="GAG26" s="1110">
        <f>IF(GAK10="Bovis","Attention retirer 2 mm aux dimensions transmises",0)</f>
        <v>0</v>
      </c>
      <c r="GAH26" s="1100"/>
      <c r="GAI26" s="1100"/>
      <c r="GAJ26" s="1101"/>
      <c r="GAK26" s="1110">
        <f>IF(GAO10="Bovis","Attention retirer 2 mm aux dimensions transmises",0)</f>
        <v>0</v>
      </c>
      <c r="GAL26" s="1100"/>
      <c r="GAM26" s="1100"/>
      <c r="GAN26" s="1101"/>
      <c r="GAO26" s="1110">
        <f>IF(GAS10="Bovis","Attention retirer 2 mm aux dimensions transmises",0)</f>
        <v>0</v>
      </c>
      <c r="GAP26" s="1100"/>
      <c r="GAQ26" s="1100"/>
      <c r="GAR26" s="1101"/>
      <c r="GAS26" s="1110">
        <f>IF(GAW10="Bovis","Attention retirer 2 mm aux dimensions transmises",0)</f>
        <v>0</v>
      </c>
      <c r="GAT26" s="1100"/>
      <c r="GAU26" s="1100"/>
      <c r="GAV26" s="1101"/>
      <c r="GAW26" s="1110">
        <f>IF(GBA10="Bovis","Attention retirer 2 mm aux dimensions transmises",0)</f>
        <v>0</v>
      </c>
      <c r="GAX26" s="1100"/>
      <c r="GAY26" s="1100"/>
      <c r="GAZ26" s="1101"/>
      <c r="GBA26" s="1110">
        <f>IF(GBE10="Bovis","Attention retirer 2 mm aux dimensions transmises",0)</f>
        <v>0</v>
      </c>
      <c r="GBB26" s="1100"/>
      <c r="GBC26" s="1100"/>
      <c r="GBD26" s="1101"/>
      <c r="GBE26" s="1110">
        <f>IF(GBI10="Bovis","Attention retirer 2 mm aux dimensions transmises",0)</f>
        <v>0</v>
      </c>
      <c r="GBF26" s="1100"/>
      <c r="GBG26" s="1100"/>
      <c r="GBH26" s="1101"/>
      <c r="GBI26" s="1110">
        <f>IF(GBM10="Bovis","Attention retirer 2 mm aux dimensions transmises",0)</f>
        <v>0</v>
      </c>
      <c r="GBJ26" s="1100"/>
      <c r="GBK26" s="1100"/>
      <c r="GBL26" s="1101"/>
      <c r="GBM26" s="1110">
        <f>IF(GBQ10="Bovis","Attention retirer 2 mm aux dimensions transmises",0)</f>
        <v>0</v>
      </c>
      <c r="GBN26" s="1100"/>
      <c r="GBO26" s="1100"/>
      <c r="GBP26" s="1101"/>
      <c r="GBQ26" s="1110">
        <f>IF(GBU10="Bovis","Attention retirer 2 mm aux dimensions transmises",0)</f>
        <v>0</v>
      </c>
      <c r="GBR26" s="1100"/>
      <c r="GBS26" s="1100"/>
      <c r="GBT26" s="1101"/>
      <c r="GBU26" s="1110">
        <f>IF(GBY10="Bovis","Attention retirer 2 mm aux dimensions transmises",0)</f>
        <v>0</v>
      </c>
      <c r="GBV26" s="1100"/>
      <c r="GBW26" s="1100"/>
      <c r="GBX26" s="1101"/>
      <c r="GBY26" s="1110">
        <f>IF(GCC10="Bovis","Attention retirer 2 mm aux dimensions transmises",0)</f>
        <v>0</v>
      </c>
      <c r="GBZ26" s="1100"/>
      <c r="GCA26" s="1100"/>
      <c r="GCB26" s="1101"/>
      <c r="GCC26" s="1110">
        <f>IF(GCG10="Bovis","Attention retirer 2 mm aux dimensions transmises",0)</f>
        <v>0</v>
      </c>
      <c r="GCD26" s="1100"/>
      <c r="GCE26" s="1100"/>
      <c r="GCF26" s="1101"/>
      <c r="GCG26" s="1110">
        <f>IF(GCK10="Bovis","Attention retirer 2 mm aux dimensions transmises",0)</f>
        <v>0</v>
      </c>
      <c r="GCH26" s="1100"/>
      <c r="GCI26" s="1100"/>
      <c r="GCJ26" s="1101"/>
      <c r="GCK26" s="1110">
        <f>IF(GCO10="Bovis","Attention retirer 2 mm aux dimensions transmises",0)</f>
        <v>0</v>
      </c>
      <c r="GCL26" s="1100"/>
      <c r="GCM26" s="1100"/>
      <c r="GCN26" s="1101"/>
      <c r="GCO26" s="1110">
        <f>IF(GCS10="Bovis","Attention retirer 2 mm aux dimensions transmises",0)</f>
        <v>0</v>
      </c>
      <c r="GCP26" s="1100"/>
      <c r="GCQ26" s="1100"/>
      <c r="GCR26" s="1101"/>
      <c r="GCS26" s="1110">
        <f>IF(GCW10="Bovis","Attention retirer 2 mm aux dimensions transmises",0)</f>
        <v>0</v>
      </c>
      <c r="GCT26" s="1100"/>
      <c r="GCU26" s="1100"/>
      <c r="GCV26" s="1101"/>
      <c r="GCW26" s="1110">
        <f>IF(GDA10="Bovis","Attention retirer 2 mm aux dimensions transmises",0)</f>
        <v>0</v>
      </c>
      <c r="GCX26" s="1100"/>
      <c r="GCY26" s="1100"/>
      <c r="GCZ26" s="1101"/>
      <c r="GDA26" s="1110">
        <f>IF(GDE10="Bovis","Attention retirer 2 mm aux dimensions transmises",0)</f>
        <v>0</v>
      </c>
      <c r="GDB26" s="1100"/>
      <c r="GDC26" s="1100"/>
      <c r="GDD26" s="1101"/>
      <c r="GDE26" s="1110">
        <f>IF(GDI10="Bovis","Attention retirer 2 mm aux dimensions transmises",0)</f>
        <v>0</v>
      </c>
      <c r="GDF26" s="1100"/>
      <c r="GDG26" s="1100"/>
      <c r="GDH26" s="1101"/>
      <c r="GDI26" s="1110">
        <f>IF(GDM10="Bovis","Attention retirer 2 mm aux dimensions transmises",0)</f>
        <v>0</v>
      </c>
      <c r="GDJ26" s="1100"/>
      <c r="GDK26" s="1100"/>
      <c r="GDL26" s="1101"/>
      <c r="GDM26" s="1110">
        <f>IF(GDQ10="Bovis","Attention retirer 2 mm aux dimensions transmises",0)</f>
        <v>0</v>
      </c>
      <c r="GDN26" s="1100"/>
      <c r="GDO26" s="1100"/>
      <c r="GDP26" s="1101"/>
      <c r="GDQ26" s="1110">
        <f>IF(GDU10="Bovis","Attention retirer 2 mm aux dimensions transmises",0)</f>
        <v>0</v>
      </c>
      <c r="GDR26" s="1100"/>
      <c r="GDS26" s="1100"/>
      <c r="GDT26" s="1101"/>
      <c r="GDU26" s="1110">
        <f>IF(GDY10="Bovis","Attention retirer 2 mm aux dimensions transmises",0)</f>
        <v>0</v>
      </c>
      <c r="GDV26" s="1100"/>
      <c r="GDW26" s="1100"/>
      <c r="GDX26" s="1101"/>
      <c r="GDY26" s="1110">
        <f>IF(GEC10="Bovis","Attention retirer 2 mm aux dimensions transmises",0)</f>
        <v>0</v>
      </c>
      <c r="GDZ26" s="1100"/>
      <c r="GEA26" s="1100"/>
      <c r="GEB26" s="1101"/>
      <c r="GEC26" s="1110">
        <f>IF(GEG10="Bovis","Attention retirer 2 mm aux dimensions transmises",0)</f>
        <v>0</v>
      </c>
      <c r="GED26" s="1100"/>
      <c r="GEE26" s="1100"/>
      <c r="GEF26" s="1101"/>
      <c r="GEG26" s="1110">
        <f>IF(GEK10="Bovis","Attention retirer 2 mm aux dimensions transmises",0)</f>
        <v>0</v>
      </c>
      <c r="GEH26" s="1100"/>
      <c r="GEI26" s="1100"/>
      <c r="GEJ26" s="1101"/>
      <c r="GEK26" s="1110">
        <f>IF(GEO10="Bovis","Attention retirer 2 mm aux dimensions transmises",0)</f>
        <v>0</v>
      </c>
      <c r="GEL26" s="1100"/>
      <c r="GEM26" s="1100"/>
      <c r="GEN26" s="1101"/>
      <c r="GEO26" s="1110">
        <f>IF(GES10="Bovis","Attention retirer 2 mm aux dimensions transmises",0)</f>
        <v>0</v>
      </c>
      <c r="GEP26" s="1100"/>
      <c r="GEQ26" s="1100"/>
      <c r="GER26" s="1101"/>
      <c r="GES26" s="1110">
        <f>IF(GEW10="Bovis","Attention retirer 2 mm aux dimensions transmises",0)</f>
        <v>0</v>
      </c>
      <c r="GET26" s="1100"/>
      <c r="GEU26" s="1100"/>
      <c r="GEV26" s="1101"/>
      <c r="GEW26" s="1110">
        <f>IF(GFA10="Bovis","Attention retirer 2 mm aux dimensions transmises",0)</f>
        <v>0</v>
      </c>
      <c r="GEX26" s="1100"/>
      <c r="GEY26" s="1100"/>
      <c r="GEZ26" s="1101"/>
      <c r="GFA26" s="1110">
        <f>IF(GFE10="Bovis","Attention retirer 2 mm aux dimensions transmises",0)</f>
        <v>0</v>
      </c>
      <c r="GFB26" s="1100"/>
      <c r="GFC26" s="1100"/>
      <c r="GFD26" s="1101"/>
      <c r="GFE26" s="1110">
        <f>IF(GFI10="Bovis","Attention retirer 2 mm aux dimensions transmises",0)</f>
        <v>0</v>
      </c>
      <c r="GFF26" s="1100"/>
      <c r="GFG26" s="1100"/>
      <c r="GFH26" s="1101"/>
      <c r="GFI26" s="1110">
        <f>IF(GFM10="Bovis","Attention retirer 2 mm aux dimensions transmises",0)</f>
        <v>0</v>
      </c>
      <c r="GFJ26" s="1100"/>
      <c r="GFK26" s="1100"/>
      <c r="GFL26" s="1101"/>
      <c r="GFM26" s="1110">
        <f>IF(GFQ10="Bovis","Attention retirer 2 mm aux dimensions transmises",0)</f>
        <v>0</v>
      </c>
      <c r="GFN26" s="1100"/>
      <c r="GFO26" s="1100"/>
      <c r="GFP26" s="1101"/>
      <c r="GFQ26" s="1110">
        <f>IF(GFU10="Bovis","Attention retirer 2 mm aux dimensions transmises",0)</f>
        <v>0</v>
      </c>
      <c r="GFR26" s="1100"/>
      <c r="GFS26" s="1100"/>
      <c r="GFT26" s="1101"/>
      <c r="GFU26" s="1110">
        <f>IF(GFY10="Bovis","Attention retirer 2 mm aux dimensions transmises",0)</f>
        <v>0</v>
      </c>
      <c r="GFV26" s="1100"/>
      <c r="GFW26" s="1100"/>
      <c r="GFX26" s="1101"/>
      <c r="GFY26" s="1110">
        <f>IF(GGC10="Bovis","Attention retirer 2 mm aux dimensions transmises",0)</f>
        <v>0</v>
      </c>
      <c r="GFZ26" s="1100"/>
      <c r="GGA26" s="1100"/>
      <c r="GGB26" s="1101"/>
      <c r="GGC26" s="1110">
        <f>IF(GGG10="Bovis","Attention retirer 2 mm aux dimensions transmises",0)</f>
        <v>0</v>
      </c>
      <c r="GGD26" s="1100"/>
      <c r="GGE26" s="1100"/>
      <c r="GGF26" s="1101"/>
      <c r="GGG26" s="1110">
        <f>IF(GGK10="Bovis","Attention retirer 2 mm aux dimensions transmises",0)</f>
        <v>0</v>
      </c>
      <c r="GGH26" s="1100"/>
      <c r="GGI26" s="1100"/>
      <c r="GGJ26" s="1101"/>
      <c r="GGK26" s="1110">
        <f>IF(GGO10="Bovis","Attention retirer 2 mm aux dimensions transmises",0)</f>
        <v>0</v>
      </c>
      <c r="GGL26" s="1100"/>
      <c r="GGM26" s="1100"/>
      <c r="GGN26" s="1101"/>
      <c r="GGO26" s="1110">
        <f>IF(GGS10="Bovis","Attention retirer 2 mm aux dimensions transmises",0)</f>
        <v>0</v>
      </c>
      <c r="GGP26" s="1100"/>
      <c r="GGQ26" s="1100"/>
      <c r="GGR26" s="1101"/>
      <c r="GGS26" s="1110">
        <f>IF(GGW10="Bovis","Attention retirer 2 mm aux dimensions transmises",0)</f>
        <v>0</v>
      </c>
      <c r="GGT26" s="1100"/>
      <c r="GGU26" s="1100"/>
      <c r="GGV26" s="1101"/>
      <c r="GGW26" s="1110">
        <f>IF(GHA10="Bovis","Attention retirer 2 mm aux dimensions transmises",0)</f>
        <v>0</v>
      </c>
      <c r="GGX26" s="1100"/>
      <c r="GGY26" s="1100"/>
      <c r="GGZ26" s="1101"/>
      <c r="GHA26" s="1110">
        <f>IF(GHE10="Bovis","Attention retirer 2 mm aux dimensions transmises",0)</f>
        <v>0</v>
      </c>
      <c r="GHB26" s="1100"/>
      <c r="GHC26" s="1100"/>
      <c r="GHD26" s="1101"/>
      <c r="GHE26" s="1110">
        <f>IF(GHI10="Bovis","Attention retirer 2 mm aux dimensions transmises",0)</f>
        <v>0</v>
      </c>
      <c r="GHF26" s="1100"/>
      <c r="GHG26" s="1100"/>
      <c r="GHH26" s="1101"/>
      <c r="GHI26" s="1110">
        <f>IF(GHM10="Bovis","Attention retirer 2 mm aux dimensions transmises",0)</f>
        <v>0</v>
      </c>
      <c r="GHJ26" s="1100"/>
      <c r="GHK26" s="1100"/>
      <c r="GHL26" s="1101"/>
      <c r="GHM26" s="1110">
        <f>IF(GHQ10="Bovis","Attention retirer 2 mm aux dimensions transmises",0)</f>
        <v>0</v>
      </c>
      <c r="GHN26" s="1100"/>
      <c r="GHO26" s="1100"/>
      <c r="GHP26" s="1101"/>
      <c r="GHQ26" s="1110">
        <f>IF(GHU10="Bovis","Attention retirer 2 mm aux dimensions transmises",0)</f>
        <v>0</v>
      </c>
      <c r="GHR26" s="1100"/>
      <c r="GHS26" s="1100"/>
      <c r="GHT26" s="1101"/>
      <c r="GHU26" s="1110">
        <f>IF(GHY10="Bovis","Attention retirer 2 mm aux dimensions transmises",0)</f>
        <v>0</v>
      </c>
      <c r="GHV26" s="1100"/>
      <c r="GHW26" s="1100"/>
      <c r="GHX26" s="1101"/>
      <c r="GHY26" s="1110">
        <f>IF(GIC10="Bovis","Attention retirer 2 mm aux dimensions transmises",0)</f>
        <v>0</v>
      </c>
      <c r="GHZ26" s="1100"/>
      <c r="GIA26" s="1100"/>
      <c r="GIB26" s="1101"/>
      <c r="GIC26" s="1110">
        <f>IF(GIG10="Bovis","Attention retirer 2 mm aux dimensions transmises",0)</f>
        <v>0</v>
      </c>
      <c r="GID26" s="1100"/>
      <c r="GIE26" s="1100"/>
      <c r="GIF26" s="1101"/>
      <c r="GIG26" s="1110">
        <f>IF(GIK10="Bovis","Attention retirer 2 mm aux dimensions transmises",0)</f>
        <v>0</v>
      </c>
      <c r="GIH26" s="1100"/>
      <c r="GII26" s="1100"/>
      <c r="GIJ26" s="1101"/>
      <c r="GIK26" s="1110">
        <f>IF(GIO10="Bovis","Attention retirer 2 mm aux dimensions transmises",0)</f>
        <v>0</v>
      </c>
      <c r="GIL26" s="1100"/>
      <c r="GIM26" s="1100"/>
      <c r="GIN26" s="1101"/>
      <c r="GIO26" s="1110">
        <f>IF(GIS10="Bovis","Attention retirer 2 mm aux dimensions transmises",0)</f>
        <v>0</v>
      </c>
      <c r="GIP26" s="1100"/>
      <c r="GIQ26" s="1100"/>
      <c r="GIR26" s="1101"/>
      <c r="GIS26" s="1110">
        <f>IF(GIW10="Bovis","Attention retirer 2 mm aux dimensions transmises",0)</f>
        <v>0</v>
      </c>
      <c r="GIT26" s="1100"/>
      <c r="GIU26" s="1100"/>
      <c r="GIV26" s="1101"/>
      <c r="GIW26" s="1110">
        <f>IF(GJA10="Bovis","Attention retirer 2 mm aux dimensions transmises",0)</f>
        <v>0</v>
      </c>
      <c r="GIX26" s="1100"/>
      <c r="GIY26" s="1100"/>
      <c r="GIZ26" s="1101"/>
      <c r="GJA26" s="1110">
        <f>IF(GJE10="Bovis","Attention retirer 2 mm aux dimensions transmises",0)</f>
        <v>0</v>
      </c>
      <c r="GJB26" s="1100"/>
      <c r="GJC26" s="1100"/>
      <c r="GJD26" s="1101"/>
      <c r="GJE26" s="1110">
        <f>IF(GJI10="Bovis","Attention retirer 2 mm aux dimensions transmises",0)</f>
        <v>0</v>
      </c>
      <c r="GJF26" s="1100"/>
      <c r="GJG26" s="1100"/>
      <c r="GJH26" s="1101"/>
      <c r="GJI26" s="1110">
        <f>IF(GJM10="Bovis","Attention retirer 2 mm aux dimensions transmises",0)</f>
        <v>0</v>
      </c>
      <c r="GJJ26" s="1100"/>
      <c r="GJK26" s="1100"/>
      <c r="GJL26" s="1101"/>
      <c r="GJM26" s="1110">
        <f>IF(GJQ10="Bovis","Attention retirer 2 mm aux dimensions transmises",0)</f>
        <v>0</v>
      </c>
      <c r="GJN26" s="1100"/>
      <c r="GJO26" s="1100"/>
      <c r="GJP26" s="1101"/>
      <c r="GJQ26" s="1110">
        <f>IF(GJU10="Bovis","Attention retirer 2 mm aux dimensions transmises",0)</f>
        <v>0</v>
      </c>
      <c r="GJR26" s="1100"/>
      <c r="GJS26" s="1100"/>
      <c r="GJT26" s="1101"/>
      <c r="GJU26" s="1110">
        <f>IF(GJY10="Bovis","Attention retirer 2 mm aux dimensions transmises",0)</f>
        <v>0</v>
      </c>
      <c r="GJV26" s="1100"/>
      <c r="GJW26" s="1100"/>
      <c r="GJX26" s="1101"/>
      <c r="GJY26" s="1110">
        <f>IF(GKC10="Bovis","Attention retirer 2 mm aux dimensions transmises",0)</f>
        <v>0</v>
      </c>
      <c r="GJZ26" s="1100"/>
      <c r="GKA26" s="1100"/>
      <c r="GKB26" s="1101"/>
      <c r="GKC26" s="1110">
        <f>IF(GKG10="Bovis","Attention retirer 2 mm aux dimensions transmises",0)</f>
        <v>0</v>
      </c>
      <c r="GKD26" s="1100"/>
      <c r="GKE26" s="1100"/>
      <c r="GKF26" s="1101"/>
      <c r="GKG26" s="1110">
        <f>IF(GKK10="Bovis","Attention retirer 2 mm aux dimensions transmises",0)</f>
        <v>0</v>
      </c>
      <c r="GKH26" s="1100"/>
      <c r="GKI26" s="1100"/>
      <c r="GKJ26" s="1101"/>
      <c r="GKK26" s="1110">
        <f>IF(GKO10="Bovis","Attention retirer 2 mm aux dimensions transmises",0)</f>
        <v>0</v>
      </c>
      <c r="GKL26" s="1100"/>
      <c r="GKM26" s="1100"/>
      <c r="GKN26" s="1101"/>
      <c r="GKO26" s="1110">
        <f>IF(GKS10="Bovis","Attention retirer 2 mm aux dimensions transmises",0)</f>
        <v>0</v>
      </c>
      <c r="GKP26" s="1100"/>
      <c r="GKQ26" s="1100"/>
      <c r="GKR26" s="1101"/>
      <c r="GKS26" s="1110">
        <f>IF(GKW10="Bovis","Attention retirer 2 mm aux dimensions transmises",0)</f>
        <v>0</v>
      </c>
      <c r="GKT26" s="1100"/>
      <c r="GKU26" s="1100"/>
      <c r="GKV26" s="1101"/>
      <c r="GKW26" s="1110">
        <f>IF(GLA10="Bovis","Attention retirer 2 mm aux dimensions transmises",0)</f>
        <v>0</v>
      </c>
      <c r="GKX26" s="1100"/>
      <c r="GKY26" s="1100"/>
      <c r="GKZ26" s="1101"/>
      <c r="GLA26" s="1110">
        <f>IF(GLE10="Bovis","Attention retirer 2 mm aux dimensions transmises",0)</f>
        <v>0</v>
      </c>
      <c r="GLB26" s="1100"/>
      <c r="GLC26" s="1100"/>
      <c r="GLD26" s="1101"/>
      <c r="GLE26" s="1110">
        <f>IF(GLI10="Bovis","Attention retirer 2 mm aux dimensions transmises",0)</f>
        <v>0</v>
      </c>
      <c r="GLF26" s="1100"/>
      <c r="GLG26" s="1100"/>
      <c r="GLH26" s="1101"/>
      <c r="GLI26" s="1110">
        <f>IF(GLM10="Bovis","Attention retirer 2 mm aux dimensions transmises",0)</f>
        <v>0</v>
      </c>
      <c r="GLJ26" s="1100"/>
      <c r="GLK26" s="1100"/>
      <c r="GLL26" s="1101"/>
      <c r="GLM26" s="1110">
        <f>IF(GLQ10="Bovis","Attention retirer 2 mm aux dimensions transmises",0)</f>
        <v>0</v>
      </c>
      <c r="GLN26" s="1100"/>
      <c r="GLO26" s="1100"/>
      <c r="GLP26" s="1101"/>
      <c r="GLQ26" s="1110">
        <f>IF(GLU10="Bovis","Attention retirer 2 mm aux dimensions transmises",0)</f>
        <v>0</v>
      </c>
      <c r="GLR26" s="1100"/>
      <c r="GLS26" s="1100"/>
      <c r="GLT26" s="1101"/>
      <c r="GLU26" s="1110">
        <f>IF(GLY10="Bovis","Attention retirer 2 mm aux dimensions transmises",0)</f>
        <v>0</v>
      </c>
      <c r="GLV26" s="1100"/>
      <c r="GLW26" s="1100"/>
      <c r="GLX26" s="1101"/>
      <c r="GLY26" s="1110">
        <f>IF(GMC10="Bovis","Attention retirer 2 mm aux dimensions transmises",0)</f>
        <v>0</v>
      </c>
      <c r="GLZ26" s="1100"/>
      <c r="GMA26" s="1100"/>
      <c r="GMB26" s="1101"/>
      <c r="GMC26" s="1110">
        <f>IF(GMG10="Bovis","Attention retirer 2 mm aux dimensions transmises",0)</f>
        <v>0</v>
      </c>
      <c r="GMD26" s="1100"/>
      <c r="GME26" s="1100"/>
      <c r="GMF26" s="1101"/>
      <c r="GMG26" s="1110">
        <f>IF(GMK10="Bovis","Attention retirer 2 mm aux dimensions transmises",0)</f>
        <v>0</v>
      </c>
      <c r="GMH26" s="1100"/>
      <c r="GMI26" s="1100"/>
      <c r="GMJ26" s="1101"/>
      <c r="GMK26" s="1110">
        <f>IF(GMO10="Bovis","Attention retirer 2 mm aux dimensions transmises",0)</f>
        <v>0</v>
      </c>
      <c r="GML26" s="1100"/>
      <c r="GMM26" s="1100"/>
      <c r="GMN26" s="1101"/>
      <c r="GMO26" s="1110">
        <f>IF(GMS10="Bovis","Attention retirer 2 mm aux dimensions transmises",0)</f>
        <v>0</v>
      </c>
      <c r="GMP26" s="1100"/>
      <c r="GMQ26" s="1100"/>
      <c r="GMR26" s="1101"/>
      <c r="GMS26" s="1110">
        <f>IF(GMW10="Bovis","Attention retirer 2 mm aux dimensions transmises",0)</f>
        <v>0</v>
      </c>
      <c r="GMT26" s="1100"/>
      <c r="GMU26" s="1100"/>
      <c r="GMV26" s="1101"/>
      <c r="GMW26" s="1110">
        <f>IF(GNA10="Bovis","Attention retirer 2 mm aux dimensions transmises",0)</f>
        <v>0</v>
      </c>
      <c r="GMX26" s="1100"/>
      <c r="GMY26" s="1100"/>
      <c r="GMZ26" s="1101"/>
      <c r="GNA26" s="1110">
        <f>IF(GNE10="Bovis","Attention retirer 2 mm aux dimensions transmises",0)</f>
        <v>0</v>
      </c>
      <c r="GNB26" s="1100"/>
      <c r="GNC26" s="1100"/>
      <c r="GND26" s="1101"/>
      <c r="GNE26" s="1110">
        <f>IF(GNI10="Bovis","Attention retirer 2 mm aux dimensions transmises",0)</f>
        <v>0</v>
      </c>
      <c r="GNF26" s="1100"/>
      <c r="GNG26" s="1100"/>
      <c r="GNH26" s="1101"/>
      <c r="GNI26" s="1110">
        <f>IF(GNM10="Bovis","Attention retirer 2 mm aux dimensions transmises",0)</f>
        <v>0</v>
      </c>
      <c r="GNJ26" s="1100"/>
      <c r="GNK26" s="1100"/>
      <c r="GNL26" s="1101"/>
      <c r="GNM26" s="1110">
        <f>IF(GNQ10="Bovis","Attention retirer 2 mm aux dimensions transmises",0)</f>
        <v>0</v>
      </c>
      <c r="GNN26" s="1100"/>
      <c r="GNO26" s="1100"/>
      <c r="GNP26" s="1101"/>
      <c r="GNQ26" s="1110">
        <f>IF(GNU10="Bovis","Attention retirer 2 mm aux dimensions transmises",0)</f>
        <v>0</v>
      </c>
      <c r="GNR26" s="1100"/>
      <c r="GNS26" s="1100"/>
      <c r="GNT26" s="1101"/>
      <c r="GNU26" s="1110">
        <f>IF(GNY10="Bovis","Attention retirer 2 mm aux dimensions transmises",0)</f>
        <v>0</v>
      </c>
      <c r="GNV26" s="1100"/>
      <c r="GNW26" s="1100"/>
      <c r="GNX26" s="1101"/>
      <c r="GNY26" s="1110">
        <f>IF(GOC10="Bovis","Attention retirer 2 mm aux dimensions transmises",0)</f>
        <v>0</v>
      </c>
      <c r="GNZ26" s="1100"/>
      <c r="GOA26" s="1100"/>
      <c r="GOB26" s="1101"/>
      <c r="GOC26" s="1110">
        <f>IF(GOG10="Bovis","Attention retirer 2 mm aux dimensions transmises",0)</f>
        <v>0</v>
      </c>
      <c r="GOD26" s="1100"/>
      <c r="GOE26" s="1100"/>
      <c r="GOF26" s="1101"/>
      <c r="GOG26" s="1110">
        <f>IF(GOK10="Bovis","Attention retirer 2 mm aux dimensions transmises",0)</f>
        <v>0</v>
      </c>
      <c r="GOH26" s="1100"/>
      <c r="GOI26" s="1100"/>
      <c r="GOJ26" s="1101"/>
      <c r="GOK26" s="1110">
        <f>IF(GOO10="Bovis","Attention retirer 2 mm aux dimensions transmises",0)</f>
        <v>0</v>
      </c>
      <c r="GOL26" s="1100"/>
      <c r="GOM26" s="1100"/>
      <c r="GON26" s="1101"/>
      <c r="GOO26" s="1110">
        <f>IF(GOS10="Bovis","Attention retirer 2 mm aux dimensions transmises",0)</f>
        <v>0</v>
      </c>
      <c r="GOP26" s="1100"/>
      <c r="GOQ26" s="1100"/>
      <c r="GOR26" s="1101"/>
      <c r="GOS26" s="1110">
        <f>IF(GOW10="Bovis","Attention retirer 2 mm aux dimensions transmises",0)</f>
        <v>0</v>
      </c>
      <c r="GOT26" s="1100"/>
      <c r="GOU26" s="1100"/>
      <c r="GOV26" s="1101"/>
      <c r="GOW26" s="1110">
        <f>IF(GPA10="Bovis","Attention retirer 2 mm aux dimensions transmises",0)</f>
        <v>0</v>
      </c>
      <c r="GOX26" s="1100"/>
      <c r="GOY26" s="1100"/>
      <c r="GOZ26" s="1101"/>
      <c r="GPA26" s="1110">
        <f>IF(GPE10="Bovis","Attention retirer 2 mm aux dimensions transmises",0)</f>
        <v>0</v>
      </c>
      <c r="GPB26" s="1100"/>
      <c r="GPC26" s="1100"/>
      <c r="GPD26" s="1101"/>
      <c r="GPE26" s="1110">
        <f>IF(GPI10="Bovis","Attention retirer 2 mm aux dimensions transmises",0)</f>
        <v>0</v>
      </c>
      <c r="GPF26" s="1100"/>
      <c r="GPG26" s="1100"/>
      <c r="GPH26" s="1101"/>
      <c r="GPI26" s="1110">
        <f>IF(GPM10="Bovis","Attention retirer 2 mm aux dimensions transmises",0)</f>
        <v>0</v>
      </c>
      <c r="GPJ26" s="1100"/>
      <c r="GPK26" s="1100"/>
      <c r="GPL26" s="1101"/>
      <c r="GPM26" s="1110">
        <f>IF(GPQ10="Bovis","Attention retirer 2 mm aux dimensions transmises",0)</f>
        <v>0</v>
      </c>
      <c r="GPN26" s="1100"/>
      <c r="GPO26" s="1100"/>
      <c r="GPP26" s="1101"/>
      <c r="GPQ26" s="1110">
        <f>IF(GPU10="Bovis","Attention retirer 2 mm aux dimensions transmises",0)</f>
        <v>0</v>
      </c>
      <c r="GPR26" s="1100"/>
      <c r="GPS26" s="1100"/>
      <c r="GPT26" s="1101"/>
      <c r="GPU26" s="1110">
        <f>IF(GPY10="Bovis","Attention retirer 2 mm aux dimensions transmises",0)</f>
        <v>0</v>
      </c>
      <c r="GPV26" s="1100"/>
      <c r="GPW26" s="1100"/>
      <c r="GPX26" s="1101"/>
      <c r="GPY26" s="1110">
        <f>IF(GQC10="Bovis","Attention retirer 2 mm aux dimensions transmises",0)</f>
        <v>0</v>
      </c>
      <c r="GPZ26" s="1100"/>
      <c r="GQA26" s="1100"/>
      <c r="GQB26" s="1101"/>
      <c r="GQC26" s="1110">
        <f>IF(GQG10="Bovis","Attention retirer 2 mm aux dimensions transmises",0)</f>
        <v>0</v>
      </c>
      <c r="GQD26" s="1100"/>
      <c r="GQE26" s="1100"/>
      <c r="GQF26" s="1101"/>
      <c r="GQG26" s="1110">
        <f>IF(GQK10="Bovis","Attention retirer 2 mm aux dimensions transmises",0)</f>
        <v>0</v>
      </c>
      <c r="GQH26" s="1100"/>
      <c r="GQI26" s="1100"/>
      <c r="GQJ26" s="1101"/>
      <c r="GQK26" s="1110">
        <f>IF(GQO10="Bovis","Attention retirer 2 mm aux dimensions transmises",0)</f>
        <v>0</v>
      </c>
      <c r="GQL26" s="1100"/>
      <c r="GQM26" s="1100"/>
      <c r="GQN26" s="1101"/>
      <c r="GQO26" s="1110">
        <f>IF(GQS10="Bovis","Attention retirer 2 mm aux dimensions transmises",0)</f>
        <v>0</v>
      </c>
      <c r="GQP26" s="1100"/>
      <c r="GQQ26" s="1100"/>
      <c r="GQR26" s="1101"/>
      <c r="GQS26" s="1110">
        <f>IF(GQW10="Bovis","Attention retirer 2 mm aux dimensions transmises",0)</f>
        <v>0</v>
      </c>
      <c r="GQT26" s="1100"/>
      <c r="GQU26" s="1100"/>
      <c r="GQV26" s="1101"/>
      <c r="GQW26" s="1110">
        <f>IF(GRA10="Bovis","Attention retirer 2 mm aux dimensions transmises",0)</f>
        <v>0</v>
      </c>
      <c r="GQX26" s="1100"/>
      <c r="GQY26" s="1100"/>
      <c r="GQZ26" s="1101"/>
      <c r="GRA26" s="1110">
        <f>IF(GRE10="Bovis","Attention retirer 2 mm aux dimensions transmises",0)</f>
        <v>0</v>
      </c>
      <c r="GRB26" s="1100"/>
      <c r="GRC26" s="1100"/>
      <c r="GRD26" s="1101"/>
      <c r="GRE26" s="1110">
        <f>IF(GRI10="Bovis","Attention retirer 2 mm aux dimensions transmises",0)</f>
        <v>0</v>
      </c>
      <c r="GRF26" s="1100"/>
      <c r="GRG26" s="1100"/>
      <c r="GRH26" s="1101"/>
      <c r="GRI26" s="1110">
        <f>IF(GRM10="Bovis","Attention retirer 2 mm aux dimensions transmises",0)</f>
        <v>0</v>
      </c>
      <c r="GRJ26" s="1100"/>
      <c r="GRK26" s="1100"/>
      <c r="GRL26" s="1101"/>
      <c r="GRM26" s="1110">
        <f>IF(GRQ10="Bovis","Attention retirer 2 mm aux dimensions transmises",0)</f>
        <v>0</v>
      </c>
      <c r="GRN26" s="1100"/>
      <c r="GRO26" s="1100"/>
      <c r="GRP26" s="1101"/>
      <c r="GRQ26" s="1110">
        <f>IF(GRU10="Bovis","Attention retirer 2 mm aux dimensions transmises",0)</f>
        <v>0</v>
      </c>
      <c r="GRR26" s="1100"/>
      <c r="GRS26" s="1100"/>
      <c r="GRT26" s="1101"/>
      <c r="GRU26" s="1110">
        <f>IF(GRY10="Bovis","Attention retirer 2 mm aux dimensions transmises",0)</f>
        <v>0</v>
      </c>
      <c r="GRV26" s="1100"/>
      <c r="GRW26" s="1100"/>
      <c r="GRX26" s="1101"/>
      <c r="GRY26" s="1110">
        <f>IF(GSC10="Bovis","Attention retirer 2 mm aux dimensions transmises",0)</f>
        <v>0</v>
      </c>
      <c r="GRZ26" s="1100"/>
      <c r="GSA26" s="1100"/>
      <c r="GSB26" s="1101"/>
      <c r="GSC26" s="1110">
        <f>IF(GSG10="Bovis","Attention retirer 2 mm aux dimensions transmises",0)</f>
        <v>0</v>
      </c>
      <c r="GSD26" s="1100"/>
      <c r="GSE26" s="1100"/>
      <c r="GSF26" s="1101"/>
      <c r="GSG26" s="1110">
        <f>IF(GSK10="Bovis","Attention retirer 2 mm aux dimensions transmises",0)</f>
        <v>0</v>
      </c>
      <c r="GSH26" s="1100"/>
      <c r="GSI26" s="1100"/>
      <c r="GSJ26" s="1101"/>
      <c r="GSK26" s="1110">
        <f>IF(GSO10="Bovis","Attention retirer 2 mm aux dimensions transmises",0)</f>
        <v>0</v>
      </c>
      <c r="GSL26" s="1100"/>
      <c r="GSM26" s="1100"/>
      <c r="GSN26" s="1101"/>
      <c r="GSO26" s="1110">
        <f>IF(GSS10="Bovis","Attention retirer 2 mm aux dimensions transmises",0)</f>
        <v>0</v>
      </c>
      <c r="GSP26" s="1100"/>
      <c r="GSQ26" s="1100"/>
      <c r="GSR26" s="1101"/>
      <c r="GSS26" s="1110">
        <f>IF(GSW10="Bovis","Attention retirer 2 mm aux dimensions transmises",0)</f>
        <v>0</v>
      </c>
      <c r="GST26" s="1100"/>
      <c r="GSU26" s="1100"/>
      <c r="GSV26" s="1101"/>
      <c r="GSW26" s="1110">
        <f>IF(GTA10="Bovis","Attention retirer 2 mm aux dimensions transmises",0)</f>
        <v>0</v>
      </c>
      <c r="GSX26" s="1100"/>
      <c r="GSY26" s="1100"/>
      <c r="GSZ26" s="1101"/>
      <c r="GTA26" s="1110">
        <f>IF(GTE10="Bovis","Attention retirer 2 mm aux dimensions transmises",0)</f>
        <v>0</v>
      </c>
      <c r="GTB26" s="1100"/>
      <c r="GTC26" s="1100"/>
      <c r="GTD26" s="1101"/>
      <c r="GTE26" s="1110">
        <f>IF(GTI10="Bovis","Attention retirer 2 mm aux dimensions transmises",0)</f>
        <v>0</v>
      </c>
      <c r="GTF26" s="1100"/>
      <c r="GTG26" s="1100"/>
      <c r="GTH26" s="1101"/>
      <c r="GTI26" s="1110">
        <f>IF(GTM10="Bovis","Attention retirer 2 mm aux dimensions transmises",0)</f>
        <v>0</v>
      </c>
      <c r="GTJ26" s="1100"/>
      <c r="GTK26" s="1100"/>
      <c r="GTL26" s="1101"/>
      <c r="GTM26" s="1110">
        <f>IF(GTQ10="Bovis","Attention retirer 2 mm aux dimensions transmises",0)</f>
        <v>0</v>
      </c>
      <c r="GTN26" s="1100"/>
      <c r="GTO26" s="1100"/>
      <c r="GTP26" s="1101"/>
      <c r="GTQ26" s="1110">
        <f>IF(GTU10="Bovis","Attention retirer 2 mm aux dimensions transmises",0)</f>
        <v>0</v>
      </c>
      <c r="GTR26" s="1100"/>
      <c r="GTS26" s="1100"/>
      <c r="GTT26" s="1101"/>
      <c r="GTU26" s="1110">
        <f>IF(GTY10="Bovis","Attention retirer 2 mm aux dimensions transmises",0)</f>
        <v>0</v>
      </c>
      <c r="GTV26" s="1100"/>
      <c r="GTW26" s="1100"/>
      <c r="GTX26" s="1101"/>
      <c r="GTY26" s="1110">
        <f>IF(GUC10="Bovis","Attention retirer 2 mm aux dimensions transmises",0)</f>
        <v>0</v>
      </c>
      <c r="GTZ26" s="1100"/>
      <c r="GUA26" s="1100"/>
      <c r="GUB26" s="1101"/>
      <c r="GUC26" s="1110">
        <f>IF(GUG10="Bovis","Attention retirer 2 mm aux dimensions transmises",0)</f>
        <v>0</v>
      </c>
      <c r="GUD26" s="1100"/>
      <c r="GUE26" s="1100"/>
      <c r="GUF26" s="1101"/>
      <c r="GUG26" s="1110">
        <f>IF(GUK10="Bovis","Attention retirer 2 mm aux dimensions transmises",0)</f>
        <v>0</v>
      </c>
      <c r="GUH26" s="1100"/>
      <c r="GUI26" s="1100"/>
      <c r="GUJ26" s="1101"/>
      <c r="GUK26" s="1110">
        <f>IF(GUO10="Bovis","Attention retirer 2 mm aux dimensions transmises",0)</f>
        <v>0</v>
      </c>
      <c r="GUL26" s="1100"/>
      <c r="GUM26" s="1100"/>
      <c r="GUN26" s="1101"/>
      <c r="GUO26" s="1110">
        <f>IF(GUS10="Bovis","Attention retirer 2 mm aux dimensions transmises",0)</f>
        <v>0</v>
      </c>
      <c r="GUP26" s="1100"/>
      <c r="GUQ26" s="1100"/>
      <c r="GUR26" s="1101"/>
      <c r="GUS26" s="1110">
        <f>IF(GUW10="Bovis","Attention retirer 2 mm aux dimensions transmises",0)</f>
        <v>0</v>
      </c>
      <c r="GUT26" s="1100"/>
      <c r="GUU26" s="1100"/>
      <c r="GUV26" s="1101"/>
      <c r="GUW26" s="1110">
        <f>IF(GVA10="Bovis","Attention retirer 2 mm aux dimensions transmises",0)</f>
        <v>0</v>
      </c>
      <c r="GUX26" s="1100"/>
      <c r="GUY26" s="1100"/>
      <c r="GUZ26" s="1101"/>
      <c r="GVA26" s="1110">
        <f>IF(GVE10="Bovis","Attention retirer 2 mm aux dimensions transmises",0)</f>
        <v>0</v>
      </c>
      <c r="GVB26" s="1100"/>
      <c r="GVC26" s="1100"/>
      <c r="GVD26" s="1101"/>
      <c r="GVE26" s="1110">
        <f>IF(GVI10="Bovis","Attention retirer 2 mm aux dimensions transmises",0)</f>
        <v>0</v>
      </c>
      <c r="GVF26" s="1100"/>
      <c r="GVG26" s="1100"/>
      <c r="GVH26" s="1101"/>
      <c r="GVI26" s="1110">
        <f>IF(GVM10="Bovis","Attention retirer 2 mm aux dimensions transmises",0)</f>
        <v>0</v>
      </c>
      <c r="GVJ26" s="1100"/>
      <c r="GVK26" s="1100"/>
      <c r="GVL26" s="1101"/>
      <c r="GVM26" s="1110">
        <f>IF(GVQ10="Bovis","Attention retirer 2 mm aux dimensions transmises",0)</f>
        <v>0</v>
      </c>
      <c r="GVN26" s="1100"/>
      <c r="GVO26" s="1100"/>
      <c r="GVP26" s="1101"/>
      <c r="GVQ26" s="1110">
        <f>IF(GVU10="Bovis","Attention retirer 2 mm aux dimensions transmises",0)</f>
        <v>0</v>
      </c>
      <c r="GVR26" s="1100"/>
      <c r="GVS26" s="1100"/>
      <c r="GVT26" s="1101"/>
      <c r="GVU26" s="1110">
        <f>IF(GVY10="Bovis","Attention retirer 2 mm aux dimensions transmises",0)</f>
        <v>0</v>
      </c>
      <c r="GVV26" s="1100"/>
      <c r="GVW26" s="1100"/>
      <c r="GVX26" s="1101"/>
      <c r="GVY26" s="1110">
        <f>IF(GWC10="Bovis","Attention retirer 2 mm aux dimensions transmises",0)</f>
        <v>0</v>
      </c>
      <c r="GVZ26" s="1100"/>
      <c r="GWA26" s="1100"/>
      <c r="GWB26" s="1101"/>
      <c r="GWC26" s="1110">
        <f>IF(GWG10="Bovis","Attention retirer 2 mm aux dimensions transmises",0)</f>
        <v>0</v>
      </c>
      <c r="GWD26" s="1100"/>
      <c r="GWE26" s="1100"/>
      <c r="GWF26" s="1101"/>
      <c r="GWG26" s="1110">
        <f>IF(GWK10="Bovis","Attention retirer 2 mm aux dimensions transmises",0)</f>
        <v>0</v>
      </c>
      <c r="GWH26" s="1100"/>
      <c r="GWI26" s="1100"/>
      <c r="GWJ26" s="1101"/>
      <c r="GWK26" s="1110">
        <f>IF(GWO10="Bovis","Attention retirer 2 mm aux dimensions transmises",0)</f>
        <v>0</v>
      </c>
      <c r="GWL26" s="1100"/>
      <c r="GWM26" s="1100"/>
      <c r="GWN26" s="1101"/>
      <c r="GWO26" s="1110">
        <f>IF(GWS10="Bovis","Attention retirer 2 mm aux dimensions transmises",0)</f>
        <v>0</v>
      </c>
      <c r="GWP26" s="1100"/>
      <c r="GWQ26" s="1100"/>
      <c r="GWR26" s="1101"/>
      <c r="GWS26" s="1110">
        <f>IF(GWW10="Bovis","Attention retirer 2 mm aux dimensions transmises",0)</f>
        <v>0</v>
      </c>
      <c r="GWT26" s="1100"/>
      <c r="GWU26" s="1100"/>
      <c r="GWV26" s="1101"/>
      <c r="GWW26" s="1110">
        <f>IF(GXA10="Bovis","Attention retirer 2 mm aux dimensions transmises",0)</f>
        <v>0</v>
      </c>
      <c r="GWX26" s="1100"/>
      <c r="GWY26" s="1100"/>
      <c r="GWZ26" s="1101"/>
      <c r="GXA26" s="1110">
        <f>IF(GXE10="Bovis","Attention retirer 2 mm aux dimensions transmises",0)</f>
        <v>0</v>
      </c>
      <c r="GXB26" s="1100"/>
      <c r="GXC26" s="1100"/>
      <c r="GXD26" s="1101"/>
      <c r="GXE26" s="1110">
        <f>IF(GXI10="Bovis","Attention retirer 2 mm aux dimensions transmises",0)</f>
        <v>0</v>
      </c>
      <c r="GXF26" s="1100"/>
      <c r="GXG26" s="1100"/>
      <c r="GXH26" s="1101"/>
      <c r="GXI26" s="1110">
        <f>IF(GXM10="Bovis","Attention retirer 2 mm aux dimensions transmises",0)</f>
        <v>0</v>
      </c>
      <c r="GXJ26" s="1100"/>
      <c r="GXK26" s="1100"/>
      <c r="GXL26" s="1101"/>
      <c r="GXM26" s="1110">
        <f>IF(GXQ10="Bovis","Attention retirer 2 mm aux dimensions transmises",0)</f>
        <v>0</v>
      </c>
      <c r="GXN26" s="1100"/>
      <c r="GXO26" s="1100"/>
      <c r="GXP26" s="1101"/>
      <c r="GXQ26" s="1110">
        <f>IF(GXU10="Bovis","Attention retirer 2 mm aux dimensions transmises",0)</f>
        <v>0</v>
      </c>
      <c r="GXR26" s="1100"/>
      <c r="GXS26" s="1100"/>
      <c r="GXT26" s="1101"/>
      <c r="GXU26" s="1110">
        <f>IF(GXY10="Bovis","Attention retirer 2 mm aux dimensions transmises",0)</f>
        <v>0</v>
      </c>
      <c r="GXV26" s="1100"/>
      <c r="GXW26" s="1100"/>
      <c r="GXX26" s="1101"/>
      <c r="GXY26" s="1110">
        <f>IF(GYC10="Bovis","Attention retirer 2 mm aux dimensions transmises",0)</f>
        <v>0</v>
      </c>
      <c r="GXZ26" s="1100"/>
      <c r="GYA26" s="1100"/>
      <c r="GYB26" s="1101"/>
      <c r="GYC26" s="1110">
        <f>IF(GYG10="Bovis","Attention retirer 2 mm aux dimensions transmises",0)</f>
        <v>0</v>
      </c>
      <c r="GYD26" s="1100"/>
      <c r="GYE26" s="1100"/>
      <c r="GYF26" s="1101"/>
      <c r="GYG26" s="1110">
        <f>IF(GYK10="Bovis","Attention retirer 2 mm aux dimensions transmises",0)</f>
        <v>0</v>
      </c>
      <c r="GYH26" s="1100"/>
      <c r="GYI26" s="1100"/>
      <c r="GYJ26" s="1101"/>
      <c r="GYK26" s="1110">
        <f>IF(GYO10="Bovis","Attention retirer 2 mm aux dimensions transmises",0)</f>
        <v>0</v>
      </c>
      <c r="GYL26" s="1100"/>
      <c r="GYM26" s="1100"/>
      <c r="GYN26" s="1101"/>
      <c r="GYO26" s="1110">
        <f>IF(GYS10="Bovis","Attention retirer 2 mm aux dimensions transmises",0)</f>
        <v>0</v>
      </c>
      <c r="GYP26" s="1100"/>
      <c r="GYQ26" s="1100"/>
      <c r="GYR26" s="1101"/>
      <c r="GYS26" s="1110">
        <f>IF(GYW10="Bovis","Attention retirer 2 mm aux dimensions transmises",0)</f>
        <v>0</v>
      </c>
      <c r="GYT26" s="1100"/>
      <c r="GYU26" s="1100"/>
      <c r="GYV26" s="1101"/>
      <c r="GYW26" s="1110">
        <f>IF(GZA10="Bovis","Attention retirer 2 mm aux dimensions transmises",0)</f>
        <v>0</v>
      </c>
      <c r="GYX26" s="1100"/>
      <c r="GYY26" s="1100"/>
      <c r="GYZ26" s="1101"/>
      <c r="GZA26" s="1110">
        <f>IF(GZE10="Bovis","Attention retirer 2 mm aux dimensions transmises",0)</f>
        <v>0</v>
      </c>
      <c r="GZB26" s="1100"/>
      <c r="GZC26" s="1100"/>
      <c r="GZD26" s="1101"/>
      <c r="GZE26" s="1110">
        <f>IF(GZI10="Bovis","Attention retirer 2 mm aux dimensions transmises",0)</f>
        <v>0</v>
      </c>
      <c r="GZF26" s="1100"/>
      <c r="GZG26" s="1100"/>
      <c r="GZH26" s="1101"/>
      <c r="GZI26" s="1110">
        <f>IF(GZM10="Bovis","Attention retirer 2 mm aux dimensions transmises",0)</f>
        <v>0</v>
      </c>
      <c r="GZJ26" s="1100"/>
      <c r="GZK26" s="1100"/>
      <c r="GZL26" s="1101"/>
      <c r="GZM26" s="1110">
        <f>IF(GZQ10="Bovis","Attention retirer 2 mm aux dimensions transmises",0)</f>
        <v>0</v>
      </c>
      <c r="GZN26" s="1100"/>
      <c r="GZO26" s="1100"/>
      <c r="GZP26" s="1101"/>
      <c r="GZQ26" s="1110">
        <f>IF(GZU10="Bovis","Attention retirer 2 mm aux dimensions transmises",0)</f>
        <v>0</v>
      </c>
      <c r="GZR26" s="1100"/>
      <c r="GZS26" s="1100"/>
      <c r="GZT26" s="1101"/>
      <c r="GZU26" s="1110">
        <f>IF(GZY10="Bovis","Attention retirer 2 mm aux dimensions transmises",0)</f>
        <v>0</v>
      </c>
      <c r="GZV26" s="1100"/>
      <c r="GZW26" s="1100"/>
      <c r="GZX26" s="1101"/>
      <c r="GZY26" s="1110">
        <f>IF(HAC10="Bovis","Attention retirer 2 mm aux dimensions transmises",0)</f>
        <v>0</v>
      </c>
      <c r="GZZ26" s="1100"/>
      <c r="HAA26" s="1100"/>
      <c r="HAB26" s="1101"/>
      <c r="HAC26" s="1110">
        <f>IF(HAG10="Bovis","Attention retirer 2 mm aux dimensions transmises",0)</f>
        <v>0</v>
      </c>
      <c r="HAD26" s="1100"/>
      <c r="HAE26" s="1100"/>
      <c r="HAF26" s="1101"/>
      <c r="HAG26" s="1110">
        <f>IF(HAK10="Bovis","Attention retirer 2 mm aux dimensions transmises",0)</f>
        <v>0</v>
      </c>
      <c r="HAH26" s="1100"/>
      <c r="HAI26" s="1100"/>
      <c r="HAJ26" s="1101"/>
      <c r="HAK26" s="1110">
        <f>IF(HAO10="Bovis","Attention retirer 2 mm aux dimensions transmises",0)</f>
        <v>0</v>
      </c>
      <c r="HAL26" s="1100"/>
      <c r="HAM26" s="1100"/>
      <c r="HAN26" s="1101"/>
      <c r="HAO26" s="1110">
        <f>IF(HAS10="Bovis","Attention retirer 2 mm aux dimensions transmises",0)</f>
        <v>0</v>
      </c>
      <c r="HAP26" s="1100"/>
      <c r="HAQ26" s="1100"/>
      <c r="HAR26" s="1101"/>
      <c r="HAS26" s="1110">
        <f>IF(HAW10="Bovis","Attention retirer 2 mm aux dimensions transmises",0)</f>
        <v>0</v>
      </c>
      <c r="HAT26" s="1100"/>
      <c r="HAU26" s="1100"/>
      <c r="HAV26" s="1101"/>
      <c r="HAW26" s="1110">
        <f>IF(HBA10="Bovis","Attention retirer 2 mm aux dimensions transmises",0)</f>
        <v>0</v>
      </c>
      <c r="HAX26" s="1100"/>
      <c r="HAY26" s="1100"/>
      <c r="HAZ26" s="1101"/>
      <c r="HBA26" s="1110">
        <f>IF(HBE10="Bovis","Attention retirer 2 mm aux dimensions transmises",0)</f>
        <v>0</v>
      </c>
      <c r="HBB26" s="1100"/>
      <c r="HBC26" s="1100"/>
      <c r="HBD26" s="1101"/>
      <c r="HBE26" s="1110">
        <f>IF(HBI10="Bovis","Attention retirer 2 mm aux dimensions transmises",0)</f>
        <v>0</v>
      </c>
      <c r="HBF26" s="1100"/>
      <c r="HBG26" s="1100"/>
      <c r="HBH26" s="1101"/>
      <c r="HBI26" s="1110">
        <f>IF(HBM10="Bovis","Attention retirer 2 mm aux dimensions transmises",0)</f>
        <v>0</v>
      </c>
      <c r="HBJ26" s="1100"/>
      <c r="HBK26" s="1100"/>
      <c r="HBL26" s="1101"/>
      <c r="HBM26" s="1110">
        <f>IF(HBQ10="Bovis","Attention retirer 2 mm aux dimensions transmises",0)</f>
        <v>0</v>
      </c>
      <c r="HBN26" s="1100"/>
      <c r="HBO26" s="1100"/>
      <c r="HBP26" s="1101"/>
      <c r="HBQ26" s="1110">
        <f>IF(HBU10="Bovis","Attention retirer 2 mm aux dimensions transmises",0)</f>
        <v>0</v>
      </c>
      <c r="HBR26" s="1100"/>
      <c r="HBS26" s="1100"/>
      <c r="HBT26" s="1101"/>
      <c r="HBU26" s="1110">
        <f>IF(HBY10="Bovis","Attention retirer 2 mm aux dimensions transmises",0)</f>
        <v>0</v>
      </c>
      <c r="HBV26" s="1100"/>
      <c r="HBW26" s="1100"/>
      <c r="HBX26" s="1101"/>
      <c r="HBY26" s="1110">
        <f>IF(HCC10="Bovis","Attention retirer 2 mm aux dimensions transmises",0)</f>
        <v>0</v>
      </c>
      <c r="HBZ26" s="1100"/>
      <c r="HCA26" s="1100"/>
      <c r="HCB26" s="1101"/>
      <c r="HCC26" s="1110">
        <f>IF(HCG10="Bovis","Attention retirer 2 mm aux dimensions transmises",0)</f>
        <v>0</v>
      </c>
      <c r="HCD26" s="1100"/>
      <c r="HCE26" s="1100"/>
      <c r="HCF26" s="1101"/>
      <c r="HCG26" s="1110">
        <f>IF(HCK10="Bovis","Attention retirer 2 mm aux dimensions transmises",0)</f>
        <v>0</v>
      </c>
      <c r="HCH26" s="1100"/>
      <c r="HCI26" s="1100"/>
      <c r="HCJ26" s="1101"/>
      <c r="HCK26" s="1110">
        <f>IF(HCO10="Bovis","Attention retirer 2 mm aux dimensions transmises",0)</f>
        <v>0</v>
      </c>
      <c r="HCL26" s="1100"/>
      <c r="HCM26" s="1100"/>
      <c r="HCN26" s="1101"/>
      <c r="HCO26" s="1110">
        <f>IF(HCS10="Bovis","Attention retirer 2 mm aux dimensions transmises",0)</f>
        <v>0</v>
      </c>
      <c r="HCP26" s="1100"/>
      <c r="HCQ26" s="1100"/>
      <c r="HCR26" s="1101"/>
      <c r="HCS26" s="1110">
        <f>IF(HCW10="Bovis","Attention retirer 2 mm aux dimensions transmises",0)</f>
        <v>0</v>
      </c>
      <c r="HCT26" s="1100"/>
      <c r="HCU26" s="1100"/>
      <c r="HCV26" s="1101"/>
      <c r="HCW26" s="1110">
        <f>IF(HDA10="Bovis","Attention retirer 2 mm aux dimensions transmises",0)</f>
        <v>0</v>
      </c>
      <c r="HCX26" s="1100"/>
      <c r="HCY26" s="1100"/>
      <c r="HCZ26" s="1101"/>
      <c r="HDA26" s="1110">
        <f>IF(HDE10="Bovis","Attention retirer 2 mm aux dimensions transmises",0)</f>
        <v>0</v>
      </c>
      <c r="HDB26" s="1100"/>
      <c r="HDC26" s="1100"/>
      <c r="HDD26" s="1101"/>
      <c r="HDE26" s="1110">
        <f>IF(HDI10="Bovis","Attention retirer 2 mm aux dimensions transmises",0)</f>
        <v>0</v>
      </c>
      <c r="HDF26" s="1100"/>
      <c r="HDG26" s="1100"/>
      <c r="HDH26" s="1101"/>
      <c r="HDI26" s="1110">
        <f>IF(HDM10="Bovis","Attention retirer 2 mm aux dimensions transmises",0)</f>
        <v>0</v>
      </c>
      <c r="HDJ26" s="1100"/>
      <c r="HDK26" s="1100"/>
      <c r="HDL26" s="1101"/>
      <c r="HDM26" s="1110">
        <f>IF(HDQ10="Bovis","Attention retirer 2 mm aux dimensions transmises",0)</f>
        <v>0</v>
      </c>
      <c r="HDN26" s="1100"/>
      <c r="HDO26" s="1100"/>
      <c r="HDP26" s="1101"/>
      <c r="HDQ26" s="1110">
        <f>IF(HDU10="Bovis","Attention retirer 2 mm aux dimensions transmises",0)</f>
        <v>0</v>
      </c>
      <c r="HDR26" s="1100"/>
      <c r="HDS26" s="1100"/>
      <c r="HDT26" s="1101"/>
      <c r="HDU26" s="1110">
        <f>IF(HDY10="Bovis","Attention retirer 2 mm aux dimensions transmises",0)</f>
        <v>0</v>
      </c>
      <c r="HDV26" s="1100"/>
      <c r="HDW26" s="1100"/>
      <c r="HDX26" s="1101"/>
      <c r="HDY26" s="1110">
        <f>IF(HEC10="Bovis","Attention retirer 2 mm aux dimensions transmises",0)</f>
        <v>0</v>
      </c>
      <c r="HDZ26" s="1100"/>
      <c r="HEA26" s="1100"/>
      <c r="HEB26" s="1101"/>
      <c r="HEC26" s="1110">
        <f>IF(HEG10="Bovis","Attention retirer 2 mm aux dimensions transmises",0)</f>
        <v>0</v>
      </c>
      <c r="HED26" s="1100"/>
      <c r="HEE26" s="1100"/>
      <c r="HEF26" s="1101"/>
      <c r="HEG26" s="1110">
        <f>IF(HEK10="Bovis","Attention retirer 2 mm aux dimensions transmises",0)</f>
        <v>0</v>
      </c>
      <c r="HEH26" s="1100"/>
      <c r="HEI26" s="1100"/>
      <c r="HEJ26" s="1101"/>
      <c r="HEK26" s="1110">
        <f>IF(HEO10="Bovis","Attention retirer 2 mm aux dimensions transmises",0)</f>
        <v>0</v>
      </c>
      <c r="HEL26" s="1100"/>
      <c r="HEM26" s="1100"/>
      <c r="HEN26" s="1101"/>
      <c r="HEO26" s="1110">
        <f>IF(HES10="Bovis","Attention retirer 2 mm aux dimensions transmises",0)</f>
        <v>0</v>
      </c>
      <c r="HEP26" s="1100"/>
      <c r="HEQ26" s="1100"/>
      <c r="HER26" s="1101"/>
      <c r="HES26" s="1110">
        <f>IF(HEW10="Bovis","Attention retirer 2 mm aux dimensions transmises",0)</f>
        <v>0</v>
      </c>
      <c r="HET26" s="1100"/>
      <c r="HEU26" s="1100"/>
      <c r="HEV26" s="1101"/>
      <c r="HEW26" s="1110">
        <f>IF(HFA10="Bovis","Attention retirer 2 mm aux dimensions transmises",0)</f>
        <v>0</v>
      </c>
      <c r="HEX26" s="1100"/>
      <c r="HEY26" s="1100"/>
      <c r="HEZ26" s="1101"/>
      <c r="HFA26" s="1110">
        <f>IF(HFE10="Bovis","Attention retirer 2 mm aux dimensions transmises",0)</f>
        <v>0</v>
      </c>
      <c r="HFB26" s="1100"/>
      <c r="HFC26" s="1100"/>
      <c r="HFD26" s="1101"/>
      <c r="HFE26" s="1110">
        <f>IF(HFI10="Bovis","Attention retirer 2 mm aux dimensions transmises",0)</f>
        <v>0</v>
      </c>
      <c r="HFF26" s="1100"/>
      <c r="HFG26" s="1100"/>
      <c r="HFH26" s="1101"/>
      <c r="HFI26" s="1110">
        <f>IF(HFM10="Bovis","Attention retirer 2 mm aux dimensions transmises",0)</f>
        <v>0</v>
      </c>
      <c r="HFJ26" s="1100"/>
      <c r="HFK26" s="1100"/>
      <c r="HFL26" s="1101"/>
      <c r="HFM26" s="1110">
        <f>IF(HFQ10="Bovis","Attention retirer 2 mm aux dimensions transmises",0)</f>
        <v>0</v>
      </c>
      <c r="HFN26" s="1100"/>
      <c r="HFO26" s="1100"/>
      <c r="HFP26" s="1101"/>
      <c r="HFQ26" s="1110">
        <f>IF(HFU10="Bovis","Attention retirer 2 mm aux dimensions transmises",0)</f>
        <v>0</v>
      </c>
      <c r="HFR26" s="1100"/>
      <c r="HFS26" s="1100"/>
      <c r="HFT26" s="1101"/>
      <c r="HFU26" s="1110">
        <f>IF(HFY10="Bovis","Attention retirer 2 mm aux dimensions transmises",0)</f>
        <v>0</v>
      </c>
      <c r="HFV26" s="1100"/>
      <c r="HFW26" s="1100"/>
      <c r="HFX26" s="1101"/>
      <c r="HFY26" s="1110">
        <f>IF(HGC10="Bovis","Attention retirer 2 mm aux dimensions transmises",0)</f>
        <v>0</v>
      </c>
      <c r="HFZ26" s="1100"/>
      <c r="HGA26" s="1100"/>
      <c r="HGB26" s="1101"/>
      <c r="HGC26" s="1110">
        <f>IF(HGG10="Bovis","Attention retirer 2 mm aux dimensions transmises",0)</f>
        <v>0</v>
      </c>
      <c r="HGD26" s="1100"/>
      <c r="HGE26" s="1100"/>
      <c r="HGF26" s="1101"/>
      <c r="HGG26" s="1110">
        <f>IF(HGK10="Bovis","Attention retirer 2 mm aux dimensions transmises",0)</f>
        <v>0</v>
      </c>
      <c r="HGH26" s="1100"/>
      <c r="HGI26" s="1100"/>
      <c r="HGJ26" s="1101"/>
      <c r="HGK26" s="1110">
        <f>IF(HGO10="Bovis","Attention retirer 2 mm aux dimensions transmises",0)</f>
        <v>0</v>
      </c>
      <c r="HGL26" s="1100"/>
      <c r="HGM26" s="1100"/>
      <c r="HGN26" s="1101"/>
      <c r="HGO26" s="1110">
        <f>IF(HGS10="Bovis","Attention retirer 2 mm aux dimensions transmises",0)</f>
        <v>0</v>
      </c>
      <c r="HGP26" s="1100"/>
      <c r="HGQ26" s="1100"/>
      <c r="HGR26" s="1101"/>
      <c r="HGS26" s="1110">
        <f>IF(HGW10="Bovis","Attention retirer 2 mm aux dimensions transmises",0)</f>
        <v>0</v>
      </c>
      <c r="HGT26" s="1100"/>
      <c r="HGU26" s="1100"/>
      <c r="HGV26" s="1101"/>
      <c r="HGW26" s="1110">
        <f>IF(HHA10="Bovis","Attention retirer 2 mm aux dimensions transmises",0)</f>
        <v>0</v>
      </c>
      <c r="HGX26" s="1100"/>
      <c r="HGY26" s="1100"/>
      <c r="HGZ26" s="1101"/>
      <c r="HHA26" s="1110">
        <f>IF(HHE10="Bovis","Attention retirer 2 mm aux dimensions transmises",0)</f>
        <v>0</v>
      </c>
      <c r="HHB26" s="1100"/>
      <c r="HHC26" s="1100"/>
      <c r="HHD26" s="1101"/>
      <c r="HHE26" s="1110">
        <f>IF(HHI10="Bovis","Attention retirer 2 mm aux dimensions transmises",0)</f>
        <v>0</v>
      </c>
      <c r="HHF26" s="1100"/>
      <c r="HHG26" s="1100"/>
      <c r="HHH26" s="1101"/>
      <c r="HHI26" s="1110">
        <f>IF(HHM10="Bovis","Attention retirer 2 mm aux dimensions transmises",0)</f>
        <v>0</v>
      </c>
      <c r="HHJ26" s="1100"/>
      <c r="HHK26" s="1100"/>
      <c r="HHL26" s="1101"/>
      <c r="HHM26" s="1110">
        <f>IF(HHQ10="Bovis","Attention retirer 2 mm aux dimensions transmises",0)</f>
        <v>0</v>
      </c>
      <c r="HHN26" s="1100"/>
      <c r="HHO26" s="1100"/>
      <c r="HHP26" s="1101"/>
      <c r="HHQ26" s="1110">
        <f>IF(HHU10="Bovis","Attention retirer 2 mm aux dimensions transmises",0)</f>
        <v>0</v>
      </c>
      <c r="HHR26" s="1100"/>
      <c r="HHS26" s="1100"/>
      <c r="HHT26" s="1101"/>
      <c r="HHU26" s="1110">
        <f>IF(HHY10="Bovis","Attention retirer 2 mm aux dimensions transmises",0)</f>
        <v>0</v>
      </c>
      <c r="HHV26" s="1100"/>
      <c r="HHW26" s="1100"/>
      <c r="HHX26" s="1101"/>
      <c r="HHY26" s="1110">
        <f>IF(HIC10="Bovis","Attention retirer 2 mm aux dimensions transmises",0)</f>
        <v>0</v>
      </c>
      <c r="HHZ26" s="1100"/>
      <c r="HIA26" s="1100"/>
      <c r="HIB26" s="1101"/>
      <c r="HIC26" s="1110">
        <f>IF(HIG10="Bovis","Attention retirer 2 mm aux dimensions transmises",0)</f>
        <v>0</v>
      </c>
      <c r="HID26" s="1100"/>
      <c r="HIE26" s="1100"/>
      <c r="HIF26" s="1101"/>
      <c r="HIG26" s="1110">
        <f>IF(HIK10="Bovis","Attention retirer 2 mm aux dimensions transmises",0)</f>
        <v>0</v>
      </c>
      <c r="HIH26" s="1100"/>
      <c r="HII26" s="1100"/>
      <c r="HIJ26" s="1101"/>
      <c r="HIK26" s="1110">
        <f>IF(HIO10="Bovis","Attention retirer 2 mm aux dimensions transmises",0)</f>
        <v>0</v>
      </c>
      <c r="HIL26" s="1100"/>
      <c r="HIM26" s="1100"/>
      <c r="HIN26" s="1101"/>
      <c r="HIO26" s="1110">
        <f>IF(HIS10="Bovis","Attention retirer 2 mm aux dimensions transmises",0)</f>
        <v>0</v>
      </c>
      <c r="HIP26" s="1100"/>
      <c r="HIQ26" s="1100"/>
      <c r="HIR26" s="1101"/>
      <c r="HIS26" s="1110">
        <f>IF(HIW10="Bovis","Attention retirer 2 mm aux dimensions transmises",0)</f>
        <v>0</v>
      </c>
      <c r="HIT26" s="1100"/>
      <c r="HIU26" s="1100"/>
      <c r="HIV26" s="1101"/>
      <c r="HIW26" s="1110">
        <f>IF(HJA10="Bovis","Attention retirer 2 mm aux dimensions transmises",0)</f>
        <v>0</v>
      </c>
      <c r="HIX26" s="1100"/>
      <c r="HIY26" s="1100"/>
      <c r="HIZ26" s="1101"/>
      <c r="HJA26" s="1110">
        <f>IF(HJE10="Bovis","Attention retirer 2 mm aux dimensions transmises",0)</f>
        <v>0</v>
      </c>
      <c r="HJB26" s="1100"/>
      <c r="HJC26" s="1100"/>
      <c r="HJD26" s="1101"/>
      <c r="HJE26" s="1110">
        <f>IF(HJI10="Bovis","Attention retirer 2 mm aux dimensions transmises",0)</f>
        <v>0</v>
      </c>
      <c r="HJF26" s="1100"/>
      <c r="HJG26" s="1100"/>
      <c r="HJH26" s="1101"/>
      <c r="HJI26" s="1110">
        <f>IF(HJM10="Bovis","Attention retirer 2 mm aux dimensions transmises",0)</f>
        <v>0</v>
      </c>
      <c r="HJJ26" s="1100"/>
      <c r="HJK26" s="1100"/>
      <c r="HJL26" s="1101"/>
      <c r="HJM26" s="1110">
        <f>IF(HJQ10="Bovis","Attention retirer 2 mm aux dimensions transmises",0)</f>
        <v>0</v>
      </c>
      <c r="HJN26" s="1100"/>
      <c r="HJO26" s="1100"/>
      <c r="HJP26" s="1101"/>
      <c r="HJQ26" s="1110">
        <f>IF(HJU10="Bovis","Attention retirer 2 mm aux dimensions transmises",0)</f>
        <v>0</v>
      </c>
      <c r="HJR26" s="1100"/>
      <c r="HJS26" s="1100"/>
      <c r="HJT26" s="1101"/>
      <c r="HJU26" s="1110">
        <f>IF(HJY10="Bovis","Attention retirer 2 mm aux dimensions transmises",0)</f>
        <v>0</v>
      </c>
      <c r="HJV26" s="1100"/>
      <c r="HJW26" s="1100"/>
      <c r="HJX26" s="1101"/>
      <c r="HJY26" s="1110">
        <f>IF(HKC10="Bovis","Attention retirer 2 mm aux dimensions transmises",0)</f>
        <v>0</v>
      </c>
      <c r="HJZ26" s="1100"/>
      <c r="HKA26" s="1100"/>
      <c r="HKB26" s="1101"/>
      <c r="HKC26" s="1110">
        <f>IF(HKG10="Bovis","Attention retirer 2 mm aux dimensions transmises",0)</f>
        <v>0</v>
      </c>
      <c r="HKD26" s="1100"/>
      <c r="HKE26" s="1100"/>
      <c r="HKF26" s="1101"/>
      <c r="HKG26" s="1110">
        <f>IF(HKK10="Bovis","Attention retirer 2 mm aux dimensions transmises",0)</f>
        <v>0</v>
      </c>
      <c r="HKH26" s="1100"/>
      <c r="HKI26" s="1100"/>
      <c r="HKJ26" s="1101"/>
      <c r="HKK26" s="1110">
        <f>IF(HKO10="Bovis","Attention retirer 2 mm aux dimensions transmises",0)</f>
        <v>0</v>
      </c>
      <c r="HKL26" s="1100"/>
      <c r="HKM26" s="1100"/>
      <c r="HKN26" s="1101"/>
      <c r="HKO26" s="1110">
        <f>IF(HKS10="Bovis","Attention retirer 2 mm aux dimensions transmises",0)</f>
        <v>0</v>
      </c>
      <c r="HKP26" s="1100"/>
      <c r="HKQ26" s="1100"/>
      <c r="HKR26" s="1101"/>
      <c r="HKS26" s="1110">
        <f>IF(HKW10="Bovis","Attention retirer 2 mm aux dimensions transmises",0)</f>
        <v>0</v>
      </c>
      <c r="HKT26" s="1100"/>
      <c r="HKU26" s="1100"/>
      <c r="HKV26" s="1101"/>
      <c r="HKW26" s="1110">
        <f>IF(HLA10="Bovis","Attention retirer 2 mm aux dimensions transmises",0)</f>
        <v>0</v>
      </c>
      <c r="HKX26" s="1100"/>
      <c r="HKY26" s="1100"/>
      <c r="HKZ26" s="1101"/>
      <c r="HLA26" s="1110">
        <f>IF(HLE10="Bovis","Attention retirer 2 mm aux dimensions transmises",0)</f>
        <v>0</v>
      </c>
      <c r="HLB26" s="1100"/>
      <c r="HLC26" s="1100"/>
      <c r="HLD26" s="1101"/>
      <c r="HLE26" s="1110">
        <f>IF(HLI10="Bovis","Attention retirer 2 mm aux dimensions transmises",0)</f>
        <v>0</v>
      </c>
      <c r="HLF26" s="1100"/>
      <c r="HLG26" s="1100"/>
      <c r="HLH26" s="1101"/>
      <c r="HLI26" s="1110">
        <f>IF(HLM10="Bovis","Attention retirer 2 mm aux dimensions transmises",0)</f>
        <v>0</v>
      </c>
      <c r="HLJ26" s="1100"/>
      <c r="HLK26" s="1100"/>
      <c r="HLL26" s="1101"/>
      <c r="HLM26" s="1110">
        <f>IF(HLQ10="Bovis","Attention retirer 2 mm aux dimensions transmises",0)</f>
        <v>0</v>
      </c>
      <c r="HLN26" s="1100"/>
      <c r="HLO26" s="1100"/>
      <c r="HLP26" s="1101"/>
      <c r="HLQ26" s="1110">
        <f>IF(HLU10="Bovis","Attention retirer 2 mm aux dimensions transmises",0)</f>
        <v>0</v>
      </c>
      <c r="HLR26" s="1100"/>
      <c r="HLS26" s="1100"/>
      <c r="HLT26" s="1101"/>
      <c r="HLU26" s="1110">
        <f>IF(HLY10="Bovis","Attention retirer 2 mm aux dimensions transmises",0)</f>
        <v>0</v>
      </c>
      <c r="HLV26" s="1100"/>
      <c r="HLW26" s="1100"/>
      <c r="HLX26" s="1101"/>
      <c r="HLY26" s="1110">
        <f>IF(HMC10="Bovis","Attention retirer 2 mm aux dimensions transmises",0)</f>
        <v>0</v>
      </c>
      <c r="HLZ26" s="1100"/>
      <c r="HMA26" s="1100"/>
      <c r="HMB26" s="1101"/>
      <c r="HMC26" s="1110">
        <f>IF(HMG10="Bovis","Attention retirer 2 mm aux dimensions transmises",0)</f>
        <v>0</v>
      </c>
      <c r="HMD26" s="1100"/>
      <c r="HME26" s="1100"/>
      <c r="HMF26" s="1101"/>
      <c r="HMG26" s="1110">
        <f>IF(HMK10="Bovis","Attention retirer 2 mm aux dimensions transmises",0)</f>
        <v>0</v>
      </c>
      <c r="HMH26" s="1100"/>
      <c r="HMI26" s="1100"/>
      <c r="HMJ26" s="1101"/>
      <c r="HMK26" s="1110">
        <f>IF(HMO10="Bovis","Attention retirer 2 mm aux dimensions transmises",0)</f>
        <v>0</v>
      </c>
      <c r="HML26" s="1100"/>
      <c r="HMM26" s="1100"/>
      <c r="HMN26" s="1101"/>
      <c r="HMO26" s="1110">
        <f>IF(HMS10="Bovis","Attention retirer 2 mm aux dimensions transmises",0)</f>
        <v>0</v>
      </c>
      <c r="HMP26" s="1100"/>
      <c r="HMQ26" s="1100"/>
      <c r="HMR26" s="1101"/>
      <c r="HMS26" s="1110">
        <f>IF(HMW10="Bovis","Attention retirer 2 mm aux dimensions transmises",0)</f>
        <v>0</v>
      </c>
      <c r="HMT26" s="1100"/>
      <c r="HMU26" s="1100"/>
      <c r="HMV26" s="1101"/>
      <c r="HMW26" s="1110">
        <f>IF(HNA10="Bovis","Attention retirer 2 mm aux dimensions transmises",0)</f>
        <v>0</v>
      </c>
      <c r="HMX26" s="1100"/>
      <c r="HMY26" s="1100"/>
      <c r="HMZ26" s="1101"/>
      <c r="HNA26" s="1110">
        <f>IF(HNE10="Bovis","Attention retirer 2 mm aux dimensions transmises",0)</f>
        <v>0</v>
      </c>
      <c r="HNB26" s="1100"/>
      <c r="HNC26" s="1100"/>
      <c r="HND26" s="1101"/>
      <c r="HNE26" s="1110">
        <f>IF(HNI10="Bovis","Attention retirer 2 mm aux dimensions transmises",0)</f>
        <v>0</v>
      </c>
      <c r="HNF26" s="1100"/>
      <c r="HNG26" s="1100"/>
      <c r="HNH26" s="1101"/>
      <c r="HNI26" s="1110">
        <f>IF(HNM10="Bovis","Attention retirer 2 mm aux dimensions transmises",0)</f>
        <v>0</v>
      </c>
      <c r="HNJ26" s="1100"/>
      <c r="HNK26" s="1100"/>
      <c r="HNL26" s="1101"/>
      <c r="HNM26" s="1110">
        <f>IF(HNQ10="Bovis","Attention retirer 2 mm aux dimensions transmises",0)</f>
        <v>0</v>
      </c>
      <c r="HNN26" s="1100"/>
      <c r="HNO26" s="1100"/>
      <c r="HNP26" s="1101"/>
      <c r="HNQ26" s="1110">
        <f>IF(HNU10="Bovis","Attention retirer 2 mm aux dimensions transmises",0)</f>
        <v>0</v>
      </c>
      <c r="HNR26" s="1100"/>
      <c r="HNS26" s="1100"/>
      <c r="HNT26" s="1101"/>
      <c r="HNU26" s="1110">
        <f>IF(HNY10="Bovis","Attention retirer 2 mm aux dimensions transmises",0)</f>
        <v>0</v>
      </c>
      <c r="HNV26" s="1100"/>
      <c r="HNW26" s="1100"/>
      <c r="HNX26" s="1101"/>
      <c r="HNY26" s="1110">
        <f>IF(HOC10="Bovis","Attention retirer 2 mm aux dimensions transmises",0)</f>
        <v>0</v>
      </c>
      <c r="HNZ26" s="1100"/>
      <c r="HOA26" s="1100"/>
      <c r="HOB26" s="1101"/>
      <c r="HOC26" s="1110">
        <f>IF(HOG10="Bovis","Attention retirer 2 mm aux dimensions transmises",0)</f>
        <v>0</v>
      </c>
      <c r="HOD26" s="1100"/>
      <c r="HOE26" s="1100"/>
      <c r="HOF26" s="1101"/>
      <c r="HOG26" s="1110">
        <f>IF(HOK10="Bovis","Attention retirer 2 mm aux dimensions transmises",0)</f>
        <v>0</v>
      </c>
      <c r="HOH26" s="1100"/>
      <c r="HOI26" s="1100"/>
      <c r="HOJ26" s="1101"/>
      <c r="HOK26" s="1110">
        <f>IF(HOO10="Bovis","Attention retirer 2 mm aux dimensions transmises",0)</f>
        <v>0</v>
      </c>
      <c r="HOL26" s="1100"/>
      <c r="HOM26" s="1100"/>
      <c r="HON26" s="1101"/>
      <c r="HOO26" s="1110">
        <f>IF(HOS10="Bovis","Attention retirer 2 mm aux dimensions transmises",0)</f>
        <v>0</v>
      </c>
      <c r="HOP26" s="1100"/>
      <c r="HOQ26" s="1100"/>
      <c r="HOR26" s="1101"/>
      <c r="HOS26" s="1110">
        <f>IF(HOW10="Bovis","Attention retirer 2 mm aux dimensions transmises",0)</f>
        <v>0</v>
      </c>
      <c r="HOT26" s="1100"/>
      <c r="HOU26" s="1100"/>
      <c r="HOV26" s="1101"/>
      <c r="HOW26" s="1110">
        <f>IF(HPA10="Bovis","Attention retirer 2 mm aux dimensions transmises",0)</f>
        <v>0</v>
      </c>
      <c r="HOX26" s="1100"/>
      <c r="HOY26" s="1100"/>
      <c r="HOZ26" s="1101"/>
      <c r="HPA26" s="1110">
        <f>IF(HPE10="Bovis","Attention retirer 2 mm aux dimensions transmises",0)</f>
        <v>0</v>
      </c>
      <c r="HPB26" s="1100"/>
      <c r="HPC26" s="1100"/>
      <c r="HPD26" s="1101"/>
      <c r="HPE26" s="1110">
        <f>IF(HPI10="Bovis","Attention retirer 2 mm aux dimensions transmises",0)</f>
        <v>0</v>
      </c>
      <c r="HPF26" s="1100"/>
      <c r="HPG26" s="1100"/>
      <c r="HPH26" s="1101"/>
      <c r="HPI26" s="1110">
        <f>IF(HPM10="Bovis","Attention retirer 2 mm aux dimensions transmises",0)</f>
        <v>0</v>
      </c>
      <c r="HPJ26" s="1100"/>
      <c r="HPK26" s="1100"/>
      <c r="HPL26" s="1101"/>
      <c r="HPM26" s="1110">
        <f>IF(HPQ10="Bovis","Attention retirer 2 mm aux dimensions transmises",0)</f>
        <v>0</v>
      </c>
      <c r="HPN26" s="1100"/>
      <c r="HPO26" s="1100"/>
      <c r="HPP26" s="1101"/>
      <c r="HPQ26" s="1110">
        <f>IF(HPU10="Bovis","Attention retirer 2 mm aux dimensions transmises",0)</f>
        <v>0</v>
      </c>
      <c r="HPR26" s="1100"/>
      <c r="HPS26" s="1100"/>
      <c r="HPT26" s="1101"/>
      <c r="HPU26" s="1110">
        <f>IF(HPY10="Bovis","Attention retirer 2 mm aux dimensions transmises",0)</f>
        <v>0</v>
      </c>
      <c r="HPV26" s="1100"/>
      <c r="HPW26" s="1100"/>
      <c r="HPX26" s="1101"/>
      <c r="HPY26" s="1110">
        <f>IF(HQC10="Bovis","Attention retirer 2 mm aux dimensions transmises",0)</f>
        <v>0</v>
      </c>
      <c r="HPZ26" s="1100"/>
      <c r="HQA26" s="1100"/>
      <c r="HQB26" s="1101"/>
      <c r="HQC26" s="1110">
        <f>IF(HQG10="Bovis","Attention retirer 2 mm aux dimensions transmises",0)</f>
        <v>0</v>
      </c>
      <c r="HQD26" s="1100"/>
      <c r="HQE26" s="1100"/>
      <c r="HQF26" s="1101"/>
      <c r="HQG26" s="1110">
        <f>IF(HQK10="Bovis","Attention retirer 2 mm aux dimensions transmises",0)</f>
        <v>0</v>
      </c>
      <c r="HQH26" s="1100"/>
      <c r="HQI26" s="1100"/>
      <c r="HQJ26" s="1101"/>
      <c r="HQK26" s="1110">
        <f>IF(HQO10="Bovis","Attention retirer 2 mm aux dimensions transmises",0)</f>
        <v>0</v>
      </c>
      <c r="HQL26" s="1100"/>
      <c r="HQM26" s="1100"/>
      <c r="HQN26" s="1101"/>
      <c r="HQO26" s="1110">
        <f>IF(HQS10="Bovis","Attention retirer 2 mm aux dimensions transmises",0)</f>
        <v>0</v>
      </c>
      <c r="HQP26" s="1100"/>
      <c r="HQQ26" s="1100"/>
      <c r="HQR26" s="1101"/>
      <c r="HQS26" s="1110">
        <f>IF(HQW10="Bovis","Attention retirer 2 mm aux dimensions transmises",0)</f>
        <v>0</v>
      </c>
      <c r="HQT26" s="1100"/>
      <c r="HQU26" s="1100"/>
      <c r="HQV26" s="1101"/>
      <c r="HQW26" s="1110">
        <f>IF(HRA10="Bovis","Attention retirer 2 mm aux dimensions transmises",0)</f>
        <v>0</v>
      </c>
      <c r="HQX26" s="1100"/>
      <c r="HQY26" s="1100"/>
      <c r="HQZ26" s="1101"/>
      <c r="HRA26" s="1110">
        <f>IF(HRE10="Bovis","Attention retirer 2 mm aux dimensions transmises",0)</f>
        <v>0</v>
      </c>
      <c r="HRB26" s="1100"/>
      <c r="HRC26" s="1100"/>
      <c r="HRD26" s="1101"/>
      <c r="HRE26" s="1110">
        <f>IF(HRI10="Bovis","Attention retirer 2 mm aux dimensions transmises",0)</f>
        <v>0</v>
      </c>
      <c r="HRF26" s="1100"/>
      <c r="HRG26" s="1100"/>
      <c r="HRH26" s="1101"/>
      <c r="HRI26" s="1110">
        <f>IF(HRM10="Bovis","Attention retirer 2 mm aux dimensions transmises",0)</f>
        <v>0</v>
      </c>
      <c r="HRJ26" s="1100"/>
      <c r="HRK26" s="1100"/>
      <c r="HRL26" s="1101"/>
      <c r="HRM26" s="1110">
        <f>IF(HRQ10="Bovis","Attention retirer 2 mm aux dimensions transmises",0)</f>
        <v>0</v>
      </c>
      <c r="HRN26" s="1100"/>
      <c r="HRO26" s="1100"/>
      <c r="HRP26" s="1101"/>
      <c r="HRQ26" s="1110">
        <f>IF(HRU10="Bovis","Attention retirer 2 mm aux dimensions transmises",0)</f>
        <v>0</v>
      </c>
      <c r="HRR26" s="1100"/>
      <c r="HRS26" s="1100"/>
      <c r="HRT26" s="1101"/>
      <c r="HRU26" s="1110">
        <f>IF(HRY10="Bovis","Attention retirer 2 mm aux dimensions transmises",0)</f>
        <v>0</v>
      </c>
      <c r="HRV26" s="1100"/>
      <c r="HRW26" s="1100"/>
      <c r="HRX26" s="1101"/>
      <c r="HRY26" s="1110">
        <f>IF(HSC10="Bovis","Attention retirer 2 mm aux dimensions transmises",0)</f>
        <v>0</v>
      </c>
      <c r="HRZ26" s="1100"/>
      <c r="HSA26" s="1100"/>
      <c r="HSB26" s="1101"/>
      <c r="HSC26" s="1110">
        <f>IF(HSG10="Bovis","Attention retirer 2 mm aux dimensions transmises",0)</f>
        <v>0</v>
      </c>
      <c r="HSD26" s="1100"/>
      <c r="HSE26" s="1100"/>
      <c r="HSF26" s="1101"/>
      <c r="HSG26" s="1110">
        <f>IF(HSK10="Bovis","Attention retirer 2 mm aux dimensions transmises",0)</f>
        <v>0</v>
      </c>
      <c r="HSH26" s="1100"/>
      <c r="HSI26" s="1100"/>
      <c r="HSJ26" s="1101"/>
      <c r="HSK26" s="1110">
        <f>IF(HSO10="Bovis","Attention retirer 2 mm aux dimensions transmises",0)</f>
        <v>0</v>
      </c>
      <c r="HSL26" s="1100"/>
      <c r="HSM26" s="1100"/>
      <c r="HSN26" s="1101"/>
      <c r="HSO26" s="1110">
        <f>IF(HSS10="Bovis","Attention retirer 2 mm aux dimensions transmises",0)</f>
        <v>0</v>
      </c>
      <c r="HSP26" s="1100"/>
      <c r="HSQ26" s="1100"/>
      <c r="HSR26" s="1101"/>
      <c r="HSS26" s="1110">
        <f>IF(HSW10="Bovis","Attention retirer 2 mm aux dimensions transmises",0)</f>
        <v>0</v>
      </c>
      <c r="HST26" s="1100"/>
      <c r="HSU26" s="1100"/>
      <c r="HSV26" s="1101"/>
      <c r="HSW26" s="1110">
        <f>IF(HTA10="Bovis","Attention retirer 2 mm aux dimensions transmises",0)</f>
        <v>0</v>
      </c>
      <c r="HSX26" s="1100"/>
      <c r="HSY26" s="1100"/>
      <c r="HSZ26" s="1101"/>
      <c r="HTA26" s="1110">
        <f>IF(HTE10="Bovis","Attention retirer 2 mm aux dimensions transmises",0)</f>
        <v>0</v>
      </c>
      <c r="HTB26" s="1100"/>
      <c r="HTC26" s="1100"/>
      <c r="HTD26" s="1101"/>
      <c r="HTE26" s="1110">
        <f>IF(HTI10="Bovis","Attention retirer 2 mm aux dimensions transmises",0)</f>
        <v>0</v>
      </c>
      <c r="HTF26" s="1100"/>
      <c r="HTG26" s="1100"/>
      <c r="HTH26" s="1101"/>
      <c r="HTI26" s="1110">
        <f>IF(HTM10="Bovis","Attention retirer 2 mm aux dimensions transmises",0)</f>
        <v>0</v>
      </c>
      <c r="HTJ26" s="1100"/>
      <c r="HTK26" s="1100"/>
      <c r="HTL26" s="1101"/>
      <c r="HTM26" s="1110">
        <f>IF(HTQ10="Bovis","Attention retirer 2 mm aux dimensions transmises",0)</f>
        <v>0</v>
      </c>
      <c r="HTN26" s="1100"/>
      <c r="HTO26" s="1100"/>
      <c r="HTP26" s="1101"/>
      <c r="HTQ26" s="1110">
        <f>IF(HTU10="Bovis","Attention retirer 2 mm aux dimensions transmises",0)</f>
        <v>0</v>
      </c>
      <c r="HTR26" s="1100"/>
      <c r="HTS26" s="1100"/>
      <c r="HTT26" s="1101"/>
      <c r="HTU26" s="1110">
        <f>IF(HTY10="Bovis","Attention retirer 2 mm aux dimensions transmises",0)</f>
        <v>0</v>
      </c>
      <c r="HTV26" s="1100"/>
      <c r="HTW26" s="1100"/>
      <c r="HTX26" s="1101"/>
      <c r="HTY26" s="1110">
        <f>IF(HUC10="Bovis","Attention retirer 2 mm aux dimensions transmises",0)</f>
        <v>0</v>
      </c>
      <c r="HTZ26" s="1100"/>
      <c r="HUA26" s="1100"/>
      <c r="HUB26" s="1101"/>
      <c r="HUC26" s="1110">
        <f>IF(HUG10="Bovis","Attention retirer 2 mm aux dimensions transmises",0)</f>
        <v>0</v>
      </c>
      <c r="HUD26" s="1100"/>
      <c r="HUE26" s="1100"/>
      <c r="HUF26" s="1101"/>
      <c r="HUG26" s="1110">
        <f>IF(HUK10="Bovis","Attention retirer 2 mm aux dimensions transmises",0)</f>
        <v>0</v>
      </c>
      <c r="HUH26" s="1100"/>
      <c r="HUI26" s="1100"/>
      <c r="HUJ26" s="1101"/>
      <c r="HUK26" s="1110">
        <f>IF(HUO10="Bovis","Attention retirer 2 mm aux dimensions transmises",0)</f>
        <v>0</v>
      </c>
      <c r="HUL26" s="1100"/>
      <c r="HUM26" s="1100"/>
      <c r="HUN26" s="1101"/>
      <c r="HUO26" s="1110">
        <f>IF(HUS10="Bovis","Attention retirer 2 mm aux dimensions transmises",0)</f>
        <v>0</v>
      </c>
      <c r="HUP26" s="1100"/>
      <c r="HUQ26" s="1100"/>
      <c r="HUR26" s="1101"/>
      <c r="HUS26" s="1110">
        <f>IF(HUW10="Bovis","Attention retirer 2 mm aux dimensions transmises",0)</f>
        <v>0</v>
      </c>
      <c r="HUT26" s="1100"/>
      <c r="HUU26" s="1100"/>
      <c r="HUV26" s="1101"/>
      <c r="HUW26" s="1110">
        <f>IF(HVA10="Bovis","Attention retirer 2 mm aux dimensions transmises",0)</f>
        <v>0</v>
      </c>
      <c r="HUX26" s="1100"/>
      <c r="HUY26" s="1100"/>
      <c r="HUZ26" s="1101"/>
      <c r="HVA26" s="1110">
        <f>IF(HVE10="Bovis","Attention retirer 2 mm aux dimensions transmises",0)</f>
        <v>0</v>
      </c>
      <c r="HVB26" s="1100"/>
      <c r="HVC26" s="1100"/>
      <c r="HVD26" s="1101"/>
      <c r="HVE26" s="1110">
        <f>IF(HVI10="Bovis","Attention retirer 2 mm aux dimensions transmises",0)</f>
        <v>0</v>
      </c>
      <c r="HVF26" s="1100"/>
      <c r="HVG26" s="1100"/>
      <c r="HVH26" s="1101"/>
      <c r="HVI26" s="1110">
        <f>IF(HVM10="Bovis","Attention retirer 2 mm aux dimensions transmises",0)</f>
        <v>0</v>
      </c>
      <c r="HVJ26" s="1100"/>
      <c r="HVK26" s="1100"/>
      <c r="HVL26" s="1101"/>
      <c r="HVM26" s="1110">
        <f>IF(HVQ10="Bovis","Attention retirer 2 mm aux dimensions transmises",0)</f>
        <v>0</v>
      </c>
      <c r="HVN26" s="1100"/>
      <c r="HVO26" s="1100"/>
      <c r="HVP26" s="1101"/>
      <c r="HVQ26" s="1110">
        <f>IF(HVU10="Bovis","Attention retirer 2 mm aux dimensions transmises",0)</f>
        <v>0</v>
      </c>
      <c r="HVR26" s="1100"/>
      <c r="HVS26" s="1100"/>
      <c r="HVT26" s="1101"/>
      <c r="HVU26" s="1110">
        <f>IF(HVY10="Bovis","Attention retirer 2 mm aux dimensions transmises",0)</f>
        <v>0</v>
      </c>
      <c r="HVV26" s="1100"/>
      <c r="HVW26" s="1100"/>
      <c r="HVX26" s="1101"/>
      <c r="HVY26" s="1110">
        <f>IF(HWC10="Bovis","Attention retirer 2 mm aux dimensions transmises",0)</f>
        <v>0</v>
      </c>
      <c r="HVZ26" s="1100"/>
      <c r="HWA26" s="1100"/>
      <c r="HWB26" s="1101"/>
      <c r="HWC26" s="1110">
        <f>IF(HWG10="Bovis","Attention retirer 2 mm aux dimensions transmises",0)</f>
        <v>0</v>
      </c>
      <c r="HWD26" s="1100"/>
      <c r="HWE26" s="1100"/>
      <c r="HWF26" s="1101"/>
      <c r="HWG26" s="1110">
        <f>IF(HWK10="Bovis","Attention retirer 2 mm aux dimensions transmises",0)</f>
        <v>0</v>
      </c>
      <c r="HWH26" s="1100"/>
      <c r="HWI26" s="1100"/>
      <c r="HWJ26" s="1101"/>
      <c r="HWK26" s="1110">
        <f>IF(HWO10="Bovis","Attention retirer 2 mm aux dimensions transmises",0)</f>
        <v>0</v>
      </c>
      <c r="HWL26" s="1100"/>
      <c r="HWM26" s="1100"/>
      <c r="HWN26" s="1101"/>
      <c r="HWO26" s="1110">
        <f>IF(HWS10="Bovis","Attention retirer 2 mm aux dimensions transmises",0)</f>
        <v>0</v>
      </c>
      <c r="HWP26" s="1100"/>
      <c r="HWQ26" s="1100"/>
      <c r="HWR26" s="1101"/>
      <c r="HWS26" s="1110">
        <f>IF(HWW10="Bovis","Attention retirer 2 mm aux dimensions transmises",0)</f>
        <v>0</v>
      </c>
      <c r="HWT26" s="1100"/>
      <c r="HWU26" s="1100"/>
      <c r="HWV26" s="1101"/>
      <c r="HWW26" s="1110">
        <f>IF(HXA10="Bovis","Attention retirer 2 mm aux dimensions transmises",0)</f>
        <v>0</v>
      </c>
      <c r="HWX26" s="1100"/>
      <c r="HWY26" s="1100"/>
      <c r="HWZ26" s="1101"/>
      <c r="HXA26" s="1110">
        <f>IF(HXE10="Bovis","Attention retirer 2 mm aux dimensions transmises",0)</f>
        <v>0</v>
      </c>
      <c r="HXB26" s="1100"/>
      <c r="HXC26" s="1100"/>
      <c r="HXD26" s="1101"/>
      <c r="HXE26" s="1110">
        <f>IF(HXI10="Bovis","Attention retirer 2 mm aux dimensions transmises",0)</f>
        <v>0</v>
      </c>
      <c r="HXF26" s="1100"/>
      <c r="HXG26" s="1100"/>
      <c r="HXH26" s="1101"/>
      <c r="HXI26" s="1110">
        <f>IF(HXM10="Bovis","Attention retirer 2 mm aux dimensions transmises",0)</f>
        <v>0</v>
      </c>
      <c r="HXJ26" s="1100"/>
      <c r="HXK26" s="1100"/>
      <c r="HXL26" s="1101"/>
      <c r="HXM26" s="1110">
        <f>IF(HXQ10="Bovis","Attention retirer 2 mm aux dimensions transmises",0)</f>
        <v>0</v>
      </c>
      <c r="HXN26" s="1100"/>
      <c r="HXO26" s="1100"/>
      <c r="HXP26" s="1101"/>
      <c r="HXQ26" s="1110">
        <f>IF(HXU10="Bovis","Attention retirer 2 mm aux dimensions transmises",0)</f>
        <v>0</v>
      </c>
      <c r="HXR26" s="1100"/>
      <c r="HXS26" s="1100"/>
      <c r="HXT26" s="1101"/>
      <c r="HXU26" s="1110">
        <f>IF(HXY10="Bovis","Attention retirer 2 mm aux dimensions transmises",0)</f>
        <v>0</v>
      </c>
      <c r="HXV26" s="1100"/>
      <c r="HXW26" s="1100"/>
      <c r="HXX26" s="1101"/>
      <c r="HXY26" s="1110">
        <f>IF(HYC10="Bovis","Attention retirer 2 mm aux dimensions transmises",0)</f>
        <v>0</v>
      </c>
      <c r="HXZ26" s="1100"/>
      <c r="HYA26" s="1100"/>
      <c r="HYB26" s="1101"/>
      <c r="HYC26" s="1110">
        <f>IF(HYG10="Bovis","Attention retirer 2 mm aux dimensions transmises",0)</f>
        <v>0</v>
      </c>
      <c r="HYD26" s="1100"/>
      <c r="HYE26" s="1100"/>
      <c r="HYF26" s="1101"/>
      <c r="HYG26" s="1110">
        <f>IF(HYK10="Bovis","Attention retirer 2 mm aux dimensions transmises",0)</f>
        <v>0</v>
      </c>
      <c r="HYH26" s="1100"/>
      <c r="HYI26" s="1100"/>
      <c r="HYJ26" s="1101"/>
      <c r="HYK26" s="1110">
        <f>IF(HYO10="Bovis","Attention retirer 2 mm aux dimensions transmises",0)</f>
        <v>0</v>
      </c>
      <c r="HYL26" s="1100"/>
      <c r="HYM26" s="1100"/>
      <c r="HYN26" s="1101"/>
      <c r="HYO26" s="1110">
        <f>IF(HYS10="Bovis","Attention retirer 2 mm aux dimensions transmises",0)</f>
        <v>0</v>
      </c>
      <c r="HYP26" s="1100"/>
      <c r="HYQ26" s="1100"/>
      <c r="HYR26" s="1101"/>
      <c r="HYS26" s="1110">
        <f>IF(HYW10="Bovis","Attention retirer 2 mm aux dimensions transmises",0)</f>
        <v>0</v>
      </c>
      <c r="HYT26" s="1100"/>
      <c r="HYU26" s="1100"/>
      <c r="HYV26" s="1101"/>
      <c r="HYW26" s="1110">
        <f>IF(HZA10="Bovis","Attention retirer 2 mm aux dimensions transmises",0)</f>
        <v>0</v>
      </c>
      <c r="HYX26" s="1100"/>
      <c r="HYY26" s="1100"/>
      <c r="HYZ26" s="1101"/>
      <c r="HZA26" s="1110">
        <f>IF(HZE10="Bovis","Attention retirer 2 mm aux dimensions transmises",0)</f>
        <v>0</v>
      </c>
      <c r="HZB26" s="1100"/>
      <c r="HZC26" s="1100"/>
      <c r="HZD26" s="1101"/>
      <c r="HZE26" s="1110">
        <f>IF(HZI10="Bovis","Attention retirer 2 mm aux dimensions transmises",0)</f>
        <v>0</v>
      </c>
      <c r="HZF26" s="1100"/>
      <c r="HZG26" s="1100"/>
      <c r="HZH26" s="1101"/>
      <c r="HZI26" s="1110">
        <f>IF(HZM10="Bovis","Attention retirer 2 mm aux dimensions transmises",0)</f>
        <v>0</v>
      </c>
      <c r="HZJ26" s="1100"/>
      <c r="HZK26" s="1100"/>
      <c r="HZL26" s="1101"/>
      <c r="HZM26" s="1110">
        <f>IF(HZQ10="Bovis","Attention retirer 2 mm aux dimensions transmises",0)</f>
        <v>0</v>
      </c>
      <c r="HZN26" s="1100"/>
      <c r="HZO26" s="1100"/>
      <c r="HZP26" s="1101"/>
      <c r="HZQ26" s="1110">
        <f>IF(HZU10="Bovis","Attention retirer 2 mm aux dimensions transmises",0)</f>
        <v>0</v>
      </c>
      <c r="HZR26" s="1100"/>
      <c r="HZS26" s="1100"/>
      <c r="HZT26" s="1101"/>
      <c r="HZU26" s="1110">
        <f>IF(HZY10="Bovis","Attention retirer 2 mm aux dimensions transmises",0)</f>
        <v>0</v>
      </c>
      <c r="HZV26" s="1100"/>
      <c r="HZW26" s="1100"/>
      <c r="HZX26" s="1101"/>
      <c r="HZY26" s="1110">
        <f>IF(IAC10="Bovis","Attention retirer 2 mm aux dimensions transmises",0)</f>
        <v>0</v>
      </c>
      <c r="HZZ26" s="1100"/>
      <c r="IAA26" s="1100"/>
      <c r="IAB26" s="1101"/>
      <c r="IAC26" s="1110">
        <f>IF(IAG10="Bovis","Attention retirer 2 mm aux dimensions transmises",0)</f>
        <v>0</v>
      </c>
      <c r="IAD26" s="1100"/>
      <c r="IAE26" s="1100"/>
      <c r="IAF26" s="1101"/>
      <c r="IAG26" s="1110">
        <f>IF(IAK10="Bovis","Attention retirer 2 mm aux dimensions transmises",0)</f>
        <v>0</v>
      </c>
      <c r="IAH26" s="1100"/>
      <c r="IAI26" s="1100"/>
      <c r="IAJ26" s="1101"/>
      <c r="IAK26" s="1110">
        <f>IF(IAO10="Bovis","Attention retirer 2 mm aux dimensions transmises",0)</f>
        <v>0</v>
      </c>
      <c r="IAL26" s="1100"/>
      <c r="IAM26" s="1100"/>
      <c r="IAN26" s="1101"/>
      <c r="IAO26" s="1110">
        <f>IF(IAS10="Bovis","Attention retirer 2 mm aux dimensions transmises",0)</f>
        <v>0</v>
      </c>
      <c r="IAP26" s="1100"/>
      <c r="IAQ26" s="1100"/>
      <c r="IAR26" s="1101"/>
      <c r="IAS26" s="1110">
        <f>IF(IAW10="Bovis","Attention retirer 2 mm aux dimensions transmises",0)</f>
        <v>0</v>
      </c>
      <c r="IAT26" s="1100"/>
      <c r="IAU26" s="1100"/>
      <c r="IAV26" s="1101"/>
      <c r="IAW26" s="1110">
        <f>IF(IBA10="Bovis","Attention retirer 2 mm aux dimensions transmises",0)</f>
        <v>0</v>
      </c>
      <c r="IAX26" s="1100"/>
      <c r="IAY26" s="1100"/>
      <c r="IAZ26" s="1101"/>
      <c r="IBA26" s="1110">
        <f>IF(IBE10="Bovis","Attention retirer 2 mm aux dimensions transmises",0)</f>
        <v>0</v>
      </c>
      <c r="IBB26" s="1100"/>
      <c r="IBC26" s="1100"/>
      <c r="IBD26" s="1101"/>
      <c r="IBE26" s="1110">
        <f>IF(IBI10="Bovis","Attention retirer 2 mm aux dimensions transmises",0)</f>
        <v>0</v>
      </c>
      <c r="IBF26" s="1100"/>
      <c r="IBG26" s="1100"/>
      <c r="IBH26" s="1101"/>
      <c r="IBI26" s="1110">
        <f>IF(IBM10="Bovis","Attention retirer 2 mm aux dimensions transmises",0)</f>
        <v>0</v>
      </c>
      <c r="IBJ26" s="1100"/>
      <c r="IBK26" s="1100"/>
      <c r="IBL26" s="1101"/>
      <c r="IBM26" s="1110">
        <f>IF(IBQ10="Bovis","Attention retirer 2 mm aux dimensions transmises",0)</f>
        <v>0</v>
      </c>
      <c r="IBN26" s="1100"/>
      <c r="IBO26" s="1100"/>
      <c r="IBP26" s="1101"/>
      <c r="IBQ26" s="1110">
        <f>IF(IBU10="Bovis","Attention retirer 2 mm aux dimensions transmises",0)</f>
        <v>0</v>
      </c>
      <c r="IBR26" s="1100"/>
      <c r="IBS26" s="1100"/>
      <c r="IBT26" s="1101"/>
      <c r="IBU26" s="1110">
        <f>IF(IBY10="Bovis","Attention retirer 2 mm aux dimensions transmises",0)</f>
        <v>0</v>
      </c>
      <c r="IBV26" s="1100"/>
      <c r="IBW26" s="1100"/>
      <c r="IBX26" s="1101"/>
      <c r="IBY26" s="1110">
        <f>IF(ICC10="Bovis","Attention retirer 2 mm aux dimensions transmises",0)</f>
        <v>0</v>
      </c>
      <c r="IBZ26" s="1100"/>
      <c r="ICA26" s="1100"/>
      <c r="ICB26" s="1101"/>
      <c r="ICC26" s="1110">
        <f>IF(ICG10="Bovis","Attention retirer 2 mm aux dimensions transmises",0)</f>
        <v>0</v>
      </c>
      <c r="ICD26" s="1100"/>
      <c r="ICE26" s="1100"/>
      <c r="ICF26" s="1101"/>
      <c r="ICG26" s="1110">
        <f>IF(ICK10="Bovis","Attention retirer 2 mm aux dimensions transmises",0)</f>
        <v>0</v>
      </c>
      <c r="ICH26" s="1100"/>
      <c r="ICI26" s="1100"/>
      <c r="ICJ26" s="1101"/>
      <c r="ICK26" s="1110">
        <f>IF(ICO10="Bovis","Attention retirer 2 mm aux dimensions transmises",0)</f>
        <v>0</v>
      </c>
      <c r="ICL26" s="1100"/>
      <c r="ICM26" s="1100"/>
      <c r="ICN26" s="1101"/>
      <c r="ICO26" s="1110">
        <f>IF(ICS10="Bovis","Attention retirer 2 mm aux dimensions transmises",0)</f>
        <v>0</v>
      </c>
      <c r="ICP26" s="1100"/>
      <c r="ICQ26" s="1100"/>
      <c r="ICR26" s="1101"/>
      <c r="ICS26" s="1110">
        <f>IF(ICW10="Bovis","Attention retirer 2 mm aux dimensions transmises",0)</f>
        <v>0</v>
      </c>
      <c r="ICT26" s="1100"/>
      <c r="ICU26" s="1100"/>
      <c r="ICV26" s="1101"/>
      <c r="ICW26" s="1110">
        <f>IF(IDA10="Bovis","Attention retirer 2 mm aux dimensions transmises",0)</f>
        <v>0</v>
      </c>
      <c r="ICX26" s="1100"/>
      <c r="ICY26" s="1100"/>
      <c r="ICZ26" s="1101"/>
      <c r="IDA26" s="1110">
        <f>IF(IDE10="Bovis","Attention retirer 2 mm aux dimensions transmises",0)</f>
        <v>0</v>
      </c>
      <c r="IDB26" s="1100"/>
      <c r="IDC26" s="1100"/>
      <c r="IDD26" s="1101"/>
      <c r="IDE26" s="1110">
        <f>IF(IDI10="Bovis","Attention retirer 2 mm aux dimensions transmises",0)</f>
        <v>0</v>
      </c>
      <c r="IDF26" s="1100"/>
      <c r="IDG26" s="1100"/>
      <c r="IDH26" s="1101"/>
      <c r="IDI26" s="1110">
        <f>IF(IDM10="Bovis","Attention retirer 2 mm aux dimensions transmises",0)</f>
        <v>0</v>
      </c>
      <c r="IDJ26" s="1100"/>
      <c r="IDK26" s="1100"/>
      <c r="IDL26" s="1101"/>
      <c r="IDM26" s="1110">
        <f>IF(IDQ10="Bovis","Attention retirer 2 mm aux dimensions transmises",0)</f>
        <v>0</v>
      </c>
      <c r="IDN26" s="1100"/>
      <c r="IDO26" s="1100"/>
      <c r="IDP26" s="1101"/>
      <c r="IDQ26" s="1110">
        <f>IF(IDU10="Bovis","Attention retirer 2 mm aux dimensions transmises",0)</f>
        <v>0</v>
      </c>
      <c r="IDR26" s="1100"/>
      <c r="IDS26" s="1100"/>
      <c r="IDT26" s="1101"/>
      <c r="IDU26" s="1110">
        <f>IF(IDY10="Bovis","Attention retirer 2 mm aux dimensions transmises",0)</f>
        <v>0</v>
      </c>
      <c r="IDV26" s="1100"/>
      <c r="IDW26" s="1100"/>
      <c r="IDX26" s="1101"/>
      <c r="IDY26" s="1110">
        <f>IF(IEC10="Bovis","Attention retirer 2 mm aux dimensions transmises",0)</f>
        <v>0</v>
      </c>
      <c r="IDZ26" s="1100"/>
      <c r="IEA26" s="1100"/>
      <c r="IEB26" s="1101"/>
      <c r="IEC26" s="1110">
        <f>IF(IEG10="Bovis","Attention retirer 2 mm aux dimensions transmises",0)</f>
        <v>0</v>
      </c>
      <c r="IED26" s="1100"/>
      <c r="IEE26" s="1100"/>
      <c r="IEF26" s="1101"/>
      <c r="IEG26" s="1110">
        <f>IF(IEK10="Bovis","Attention retirer 2 mm aux dimensions transmises",0)</f>
        <v>0</v>
      </c>
      <c r="IEH26" s="1100"/>
      <c r="IEI26" s="1100"/>
      <c r="IEJ26" s="1101"/>
      <c r="IEK26" s="1110">
        <f>IF(IEO10="Bovis","Attention retirer 2 mm aux dimensions transmises",0)</f>
        <v>0</v>
      </c>
      <c r="IEL26" s="1100"/>
      <c r="IEM26" s="1100"/>
      <c r="IEN26" s="1101"/>
      <c r="IEO26" s="1110">
        <f>IF(IES10="Bovis","Attention retirer 2 mm aux dimensions transmises",0)</f>
        <v>0</v>
      </c>
      <c r="IEP26" s="1100"/>
      <c r="IEQ26" s="1100"/>
      <c r="IER26" s="1101"/>
      <c r="IES26" s="1110">
        <f>IF(IEW10="Bovis","Attention retirer 2 mm aux dimensions transmises",0)</f>
        <v>0</v>
      </c>
      <c r="IET26" s="1100"/>
      <c r="IEU26" s="1100"/>
      <c r="IEV26" s="1101"/>
      <c r="IEW26" s="1110">
        <f>IF(IFA10="Bovis","Attention retirer 2 mm aux dimensions transmises",0)</f>
        <v>0</v>
      </c>
      <c r="IEX26" s="1100"/>
      <c r="IEY26" s="1100"/>
      <c r="IEZ26" s="1101"/>
      <c r="IFA26" s="1110">
        <f>IF(IFE10="Bovis","Attention retirer 2 mm aux dimensions transmises",0)</f>
        <v>0</v>
      </c>
      <c r="IFB26" s="1100"/>
      <c r="IFC26" s="1100"/>
      <c r="IFD26" s="1101"/>
      <c r="IFE26" s="1110">
        <f>IF(IFI10="Bovis","Attention retirer 2 mm aux dimensions transmises",0)</f>
        <v>0</v>
      </c>
      <c r="IFF26" s="1100"/>
      <c r="IFG26" s="1100"/>
      <c r="IFH26" s="1101"/>
      <c r="IFI26" s="1110">
        <f>IF(IFM10="Bovis","Attention retirer 2 mm aux dimensions transmises",0)</f>
        <v>0</v>
      </c>
      <c r="IFJ26" s="1100"/>
      <c r="IFK26" s="1100"/>
      <c r="IFL26" s="1101"/>
      <c r="IFM26" s="1110">
        <f>IF(IFQ10="Bovis","Attention retirer 2 mm aux dimensions transmises",0)</f>
        <v>0</v>
      </c>
      <c r="IFN26" s="1100"/>
      <c r="IFO26" s="1100"/>
      <c r="IFP26" s="1101"/>
      <c r="IFQ26" s="1110">
        <f>IF(IFU10="Bovis","Attention retirer 2 mm aux dimensions transmises",0)</f>
        <v>0</v>
      </c>
      <c r="IFR26" s="1100"/>
      <c r="IFS26" s="1100"/>
      <c r="IFT26" s="1101"/>
      <c r="IFU26" s="1110">
        <f>IF(IFY10="Bovis","Attention retirer 2 mm aux dimensions transmises",0)</f>
        <v>0</v>
      </c>
      <c r="IFV26" s="1100"/>
      <c r="IFW26" s="1100"/>
      <c r="IFX26" s="1101"/>
      <c r="IFY26" s="1110">
        <f>IF(IGC10="Bovis","Attention retirer 2 mm aux dimensions transmises",0)</f>
        <v>0</v>
      </c>
      <c r="IFZ26" s="1100"/>
      <c r="IGA26" s="1100"/>
      <c r="IGB26" s="1101"/>
      <c r="IGC26" s="1110">
        <f>IF(IGG10="Bovis","Attention retirer 2 mm aux dimensions transmises",0)</f>
        <v>0</v>
      </c>
      <c r="IGD26" s="1100"/>
      <c r="IGE26" s="1100"/>
      <c r="IGF26" s="1101"/>
      <c r="IGG26" s="1110">
        <f>IF(IGK10="Bovis","Attention retirer 2 mm aux dimensions transmises",0)</f>
        <v>0</v>
      </c>
      <c r="IGH26" s="1100"/>
      <c r="IGI26" s="1100"/>
      <c r="IGJ26" s="1101"/>
      <c r="IGK26" s="1110">
        <f>IF(IGO10="Bovis","Attention retirer 2 mm aux dimensions transmises",0)</f>
        <v>0</v>
      </c>
      <c r="IGL26" s="1100"/>
      <c r="IGM26" s="1100"/>
      <c r="IGN26" s="1101"/>
      <c r="IGO26" s="1110">
        <f>IF(IGS10="Bovis","Attention retirer 2 mm aux dimensions transmises",0)</f>
        <v>0</v>
      </c>
      <c r="IGP26" s="1100"/>
      <c r="IGQ26" s="1100"/>
      <c r="IGR26" s="1101"/>
      <c r="IGS26" s="1110">
        <f>IF(IGW10="Bovis","Attention retirer 2 mm aux dimensions transmises",0)</f>
        <v>0</v>
      </c>
      <c r="IGT26" s="1100"/>
      <c r="IGU26" s="1100"/>
      <c r="IGV26" s="1101"/>
      <c r="IGW26" s="1110">
        <f>IF(IHA10="Bovis","Attention retirer 2 mm aux dimensions transmises",0)</f>
        <v>0</v>
      </c>
      <c r="IGX26" s="1100"/>
      <c r="IGY26" s="1100"/>
      <c r="IGZ26" s="1101"/>
      <c r="IHA26" s="1110">
        <f>IF(IHE10="Bovis","Attention retirer 2 mm aux dimensions transmises",0)</f>
        <v>0</v>
      </c>
      <c r="IHB26" s="1100"/>
      <c r="IHC26" s="1100"/>
      <c r="IHD26" s="1101"/>
      <c r="IHE26" s="1110">
        <f>IF(IHI10="Bovis","Attention retirer 2 mm aux dimensions transmises",0)</f>
        <v>0</v>
      </c>
      <c r="IHF26" s="1100"/>
      <c r="IHG26" s="1100"/>
      <c r="IHH26" s="1101"/>
      <c r="IHI26" s="1110">
        <f>IF(IHM10="Bovis","Attention retirer 2 mm aux dimensions transmises",0)</f>
        <v>0</v>
      </c>
      <c r="IHJ26" s="1100"/>
      <c r="IHK26" s="1100"/>
      <c r="IHL26" s="1101"/>
      <c r="IHM26" s="1110">
        <f>IF(IHQ10="Bovis","Attention retirer 2 mm aux dimensions transmises",0)</f>
        <v>0</v>
      </c>
      <c r="IHN26" s="1100"/>
      <c r="IHO26" s="1100"/>
      <c r="IHP26" s="1101"/>
      <c r="IHQ26" s="1110">
        <f>IF(IHU10="Bovis","Attention retirer 2 mm aux dimensions transmises",0)</f>
        <v>0</v>
      </c>
      <c r="IHR26" s="1100"/>
      <c r="IHS26" s="1100"/>
      <c r="IHT26" s="1101"/>
      <c r="IHU26" s="1110">
        <f>IF(IHY10="Bovis","Attention retirer 2 mm aux dimensions transmises",0)</f>
        <v>0</v>
      </c>
      <c r="IHV26" s="1100"/>
      <c r="IHW26" s="1100"/>
      <c r="IHX26" s="1101"/>
      <c r="IHY26" s="1110">
        <f>IF(IIC10="Bovis","Attention retirer 2 mm aux dimensions transmises",0)</f>
        <v>0</v>
      </c>
      <c r="IHZ26" s="1100"/>
      <c r="IIA26" s="1100"/>
      <c r="IIB26" s="1101"/>
      <c r="IIC26" s="1110">
        <f>IF(IIG10="Bovis","Attention retirer 2 mm aux dimensions transmises",0)</f>
        <v>0</v>
      </c>
      <c r="IID26" s="1100"/>
      <c r="IIE26" s="1100"/>
      <c r="IIF26" s="1101"/>
      <c r="IIG26" s="1110">
        <f>IF(IIK10="Bovis","Attention retirer 2 mm aux dimensions transmises",0)</f>
        <v>0</v>
      </c>
      <c r="IIH26" s="1100"/>
      <c r="III26" s="1100"/>
      <c r="IIJ26" s="1101"/>
      <c r="IIK26" s="1110">
        <f>IF(IIO10="Bovis","Attention retirer 2 mm aux dimensions transmises",0)</f>
        <v>0</v>
      </c>
      <c r="IIL26" s="1100"/>
      <c r="IIM26" s="1100"/>
      <c r="IIN26" s="1101"/>
      <c r="IIO26" s="1110">
        <f>IF(IIS10="Bovis","Attention retirer 2 mm aux dimensions transmises",0)</f>
        <v>0</v>
      </c>
      <c r="IIP26" s="1100"/>
      <c r="IIQ26" s="1100"/>
      <c r="IIR26" s="1101"/>
      <c r="IIS26" s="1110">
        <f>IF(IIW10="Bovis","Attention retirer 2 mm aux dimensions transmises",0)</f>
        <v>0</v>
      </c>
      <c r="IIT26" s="1100"/>
      <c r="IIU26" s="1100"/>
      <c r="IIV26" s="1101"/>
      <c r="IIW26" s="1110">
        <f>IF(IJA10="Bovis","Attention retirer 2 mm aux dimensions transmises",0)</f>
        <v>0</v>
      </c>
      <c r="IIX26" s="1100"/>
      <c r="IIY26" s="1100"/>
      <c r="IIZ26" s="1101"/>
      <c r="IJA26" s="1110">
        <f>IF(IJE10="Bovis","Attention retirer 2 mm aux dimensions transmises",0)</f>
        <v>0</v>
      </c>
      <c r="IJB26" s="1100"/>
      <c r="IJC26" s="1100"/>
      <c r="IJD26" s="1101"/>
      <c r="IJE26" s="1110">
        <f>IF(IJI10="Bovis","Attention retirer 2 mm aux dimensions transmises",0)</f>
        <v>0</v>
      </c>
      <c r="IJF26" s="1100"/>
      <c r="IJG26" s="1100"/>
      <c r="IJH26" s="1101"/>
      <c r="IJI26" s="1110">
        <f>IF(IJM10="Bovis","Attention retirer 2 mm aux dimensions transmises",0)</f>
        <v>0</v>
      </c>
      <c r="IJJ26" s="1100"/>
      <c r="IJK26" s="1100"/>
      <c r="IJL26" s="1101"/>
      <c r="IJM26" s="1110">
        <f>IF(IJQ10="Bovis","Attention retirer 2 mm aux dimensions transmises",0)</f>
        <v>0</v>
      </c>
      <c r="IJN26" s="1100"/>
      <c r="IJO26" s="1100"/>
      <c r="IJP26" s="1101"/>
      <c r="IJQ26" s="1110">
        <f>IF(IJU10="Bovis","Attention retirer 2 mm aux dimensions transmises",0)</f>
        <v>0</v>
      </c>
      <c r="IJR26" s="1100"/>
      <c r="IJS26" s="1100"/>
      <c r="IJT26" s="1101"/>
      <c r="IJU26" s="1110">
        <f>IF(IJY10="Bovis","Attention retirer 2 mm aux dimensions transmises",0)</f>
        <v>0</v>
      </c>
      <c r="IJV26" s="1100"/>
      <c r="IJW26" s="1100"/>
      <c r="IJX26" s="1101"/>
      <c r="IJY26" s="1110">
        <f>IF(IKC10="Bovis","Attention retirer 2 mm aux dimensions transmises",0)</f>
        <v>0</v>
      </c>
      <c r="IJZ26" s="1100"/>
      <c r="IKA26" s="1100"/>
      <c r="IKB26" s="1101"/>
      <c r="IKC26" s="1110">
        <f>IF(IKG10="Bovis","Attention retirer 2 mm aux dimensions transmises",0)</f>
        <v>0</v>
      </c>
      <c r="IKD26" s="1100"/>
      <c r="IKE26" s="1100"/>
      <c r="IKF26" s="1101"/>
      <c r="IKG26" s="1110">
        <f>IF(IKK10="Bovis","Attention retirer 2 mm aux dimensions transmises",0)</f>
        <v>0</v>
      </c>
      <c r="IKH26" s="1100"/>
      <c r="IKI26" s="1100"/>
      <c r="IKJ26" s="1101"/>
      <c r="IKK26" s="1110">
        <f>IF(IKO10="Bovis","Attention retirer 2 mm aux dimensions transmises",0)</f>
        <v>0</v>
      </c>
      <c r="IKL26" s="1100"/>
      <c r="IKM26" s="1100"/>
      <c r="IKN26" s="1101"/>
      <c r="IKO26" s="1110">
        <f>IF(IKS10="Bovis","Attention retirer 2 mm aux dimensions transmises",0)</f>
        <v>0</v>
      </c>
      <c r="IKP26" s="1100"/>
      <c r="IKQ26" s="1100"/>
      <c r="IKR26" s="1101"/>
      <c r="IKS26" s="1110">
        <f>IF(IKW10="Bovis","Attention retirer 2 mm aux dimensions transmises",0)</f>
        <v>0</v>
      </c>
      <c r="IKT26" s="1100"/>
      <c r="IKU26" s="1100"/>
      <c r="IKV26" s="1101"/>
      <c r="IKW26" s="1110">
        <f>IF(ILA10="Bovis","Attention retirer 2 mm aux dimensions transmises",0)</f>
        <v>0</v>
      </c>
      <c r="IKX26" s="1100"/>
      <c r="IKY26" s="1100"/>
      <c r="IKZ26" s="1101"/>
      <c r="ILA26" s="1110">
        <f>IF(ILE10="Bovis","Attention retirer 2 mm aux dimensions transmises",0)</f>
        <v>0</v>
      </c>
      <c r="ILB26" s="1100"/>
      <c r="ILC26" s="1100"/>
      <c r="ILD26" s="1101"/>
      <c r="ILE26" s="1110">
        <f>IF(ILI10="Bovis","Attention retirer 2 mm aux dimensions transmises",0)</f>
        <v>0</v>
      </c>
      <c r="ILF26" s="1100"/>
      <c r="ILG26" s="1100"/>
      <c r="ILH26" s="1101"/>
      <c r="ILI26" s="1110">
        <f>IF(ILM10="Bovis","Attention retirer 2 mm aux dimensions transmises",0)</f>
        <v>0</v>
      </c>
      <c r="ILJ26" s="1100"/>
      <c r="ILK26" s="1100"/>
      <c r="ILL26" s="1101"/>
      <c r="ILM26" s="1110">
        <f>IF(ILQ10="Bovis","Attention retirer 2 mm aux dimensions transmises",0)</f>
        <v>0</v>
      </c>
      <c r="ILN26" s="1100"/>
      <c r="ILO26" s="1100"/>
      <c r="ILP26" s="1101"/>
      <c r="ILQ26" s="1110">
        <f>IF(ILU10="Bovis","Attention retirer 2 mm aux dimensions transmises",0)</f>
        <v>0</v>
      </c>
      <c r="ILR26" s="1100"/>
      <c r="ILS26" s="1100"/>
      <c r="ILT26" s="1101"/>
      <c r="ILU26" s="1110">
        <f>IF(ILY10="Bovis","Attention retirer 2 mm aux dimensions transmises",0)</f>
        <v>0</v>
      </c>
      <c r="ILV26" s="1100"/>
      <c r="ILW26" s="1100"/>
      <c r="ILX26" s="1101"/>
      <c r="ILY26" s="1110">
        <f>IF(IMC10="Bovis","Attention retirer 2 mm aux dimensions transmises",0)</f>
        <v>0</v>
      </c>
      <c r="ILZ26" s="1100"/>
      <c r="IMA26" s="1100"/>
      <c r="IMB26" s="1101"/>
      <c r="IMC26" s="1110">
        <f>IF(IMG10="Bovis","Attention retirer 2 mm aux dimensions transmises",0)</f>
        <v>0</v>
      </c>
      <c r="IMD26" s="1100"/>
      <c r="IME26" s="1100"/>
      <c r="IMF26" s="1101"/>
      <c r="IMG26" s="1110">
        <f>IF(IMK10="Bovis","Attention retirer 2 mm aux dimensions transmises",0)</f>
        <v>0</v>
      </c>
      <c r="IMH26" s="1100"/>
      <c r="IMI26" s="1100"/>
      <c r="IMJ26" s="1101"/>
      <c r="IMK26" s="1110">
        <f>IF(IMO10="Bovis","Attention retirer 2 mm aux dimensions transmises",0)</f>
        <v>0</v>
      </c>
      <c r="IML26" s="1100"/>
      <c r="IMM26" s="1100"/>
      <c r="IMN26" s="1101"/>
      <c r="IMO26" s="1110">
        <f>IF(IMS10="Bovis","Attention retirer 2 mm aux dimensions transmises",0)</f>
        <v>0</v>
      </c>
      <c r="IMP26" s="1100"/>
      <c r="IMQ26" s="1100"/>
      <c r="IMR26" s="1101"/>
      <c r="IMS26" s="1110">
        <f>IF(IMW10="Bovis","Attention retirer 2 mm aux dimensions transmises",0)</f>
        <v>0</v>
      </c>
      <c r="IMT26" s="1100"/>
      <c r="IMU26" s="1100"/>
      <c r="IMV26" s="1101"/>
      <c r="IMW26" s="1110">
        <f>IF(INA10="Bovis","Attention retirer 2 mm aux dimensions transmises",0)</f>
        <v>0</v>
      </c>
      <c r="IMX26" s="1100"/>
      <c r="IMY26" s="1100"/>
      <c r="IMZ26" s="1101"/>
      <c r="INA26" s="1110">
        <f>IF(INE10="Bovis","Attention retirer 2 mm aux dimensions transmises",0)</f>
        <v>0</v>
      </c>
      <c r="INB26" s="1100"/>
      <c r="INC26" s="1100"/>
      <c r="IND26" s="1101"/>
      <c r="INE26" s="1110">
        <f>IF(INI10="Bovis","Attention retirer 2 mm aux dimensions transmises",0)</f>
        <v>0</v>
      </c>
      <c r="INF26" s="1100"/>
      <c r="ING26" s="1100"/>
      <c r="INH26" s="1101"/>
      <c r="INI26" s="1110">
        <f>IF(INM10="Bovis","Attention retirer 2 mm aux dimensions transmises",0)</f>
        <v>0</v>
      </c>
      <c r="INJ26" s="1100"/>
      <c r="INK26" s="1100"/>
      <c r="INL26" s="1101"/>
      <c r="INM26" s="1110">
        <f>IF(INQ10="Bovis","Attention retirer 2 mm aux dimensions transmises",0)</f>
        <v>0</v>
      </c>
      <c r="INN26" s="1100"/>
      <c r="INO26" s="1100"/>
      <c r="INP26" s="1101"/>
      <c r="INQ26" s="1110">
        <f>IF(INU10="Bovis","Attention retirer 2 mm aux dimensions transmises",0)</f>
        <v>0</v>
      </c>
      <c r="INR26" s="1100"/>
      <c r="INS26" s="1100"/>
      <c r="INT26" s="1101"/>
      <c r="INU26" s="1110">
        <f>IF(INY10="Bovis","Attention retirer 2 mm aux dimensions transmises",0)</f>
        <v>0</v>
      </c>
      <c r="INV26" s="1100"/>
      <c r="INW26" s="1100"/>
      <c r="INX26" s="1101"/>
      <c r="INY26" s="1110">
        <f>IF(IOC10="Bovis","Attention retirer 2 mm aux dimensions transmises",0)</f>
        <v>0</v>
      </c>
      <c r="INZ26" s="1100"/>
      <c r="IOA26" s="1100"/>
      <c r="IOB26" s="1101"/>
      <c r="IOC26" s="1110">
        <f>IF(IOG10="Bovis","Attention retirer 2 mm aux dimensions transmises",0)</f>
        <v>0</v>
      </c>
      <c r="IOD26" s="1100"/>
      <c r="IOE26" s="1100"/>
      <c r="IOF26" s="1101"/>
      <c r="IOG26" s="1110">
        <f>IF(IOK10="Bovis","Attention retirer 2 mm aux dimensions transmises",0)</f>
        <v>0</v>
      </c>
      <c r="IOH26" s="1100"/>
      <c r="IOI26" s="1100"/>
      <c r="IOJ26" s="1101"/>
      <c r="IOK26" s="1110">
        <f>IF(IOO10="Bovis","Attention retirer 2 mm aux dimensions transmises",0)</f>
        <v>0</v>
      </c>
      <c r="IOL26" s="1100"/>
      <c r="IOM26" s="1100"/>
      <c r="ION26" s="1101"/>
      <c r="IOO26" s="1110">
        <f>IF(IOS10="Bovis","Attention retirer 2 mm aux dimensions transmises",0)</f>
        <v>0</v>
      </c>
      <c r="IOP26" s="1100"/>
      <c r="IOQ26" s="1100"/>
      <c r="IOR26" s="1101"/>
      <c r="IOS26" s="1110">
        <f>IF(IOW10="Bovis","Attention retirer 2 mm aux dimensions transmises",0)</f>
        <v>0</v>
      </c>
      <c r="IOT26" s="1100"/>
      <c r="IOU26" s="1100"/>
      <c r="IOV26" s="1101"/>
      <c r="IOW26" s="1110">
        <f>IF(IPA10="Bovis","Attention retirer 2 mm aux dimensions transmises",0)</f>
        <v>0</v>
      </c>
      <c r="IOX26" s="1100"/>
      <c r="IOY26" s="1100"/>
      <c r="IOZ26" s="1101"/>
      <c r="IPA26" s="1110">
        <f>IF(IPE10="Bovis","Attention retirer 2 mm aux dimensions transmises",0)</f>
        <v>0</v>
      </c>
      <c r="IPB26" s="1100"/>
      <c r="IPC26" s="1100"/>
      <c r="IPD26" s="1101"/>
      <c r="IPE26" s="1110">
        <f>IF(IPI10="Bovis","Attention retirer 2 mm aux dimensions transmises",0)</f>
        <v>0</v>
      </c>
      <c r="IPF26" s="1100"/>
      <c r="IPG26" s="1100"/>
      <c r="IPH26" s="1101"/>
      <c r="IPI26" s="1110">
        <f>IF(IPM10="Bovis","Attention retirer 2 mm aux dimensions transmises",0)</f>
        <v>0</v>
      </c>
      <c r="IPJ26" s="1100"/>
      <c r="IPK26" s="1100"/>
      <c r="IPL26" s="1101"/>
      <c r="IPM26" s="1110">
        <f>IF(IPQ10="Bovis","Attention retirer 2 mm aux dimensions transmises",0)</f>
        <v>0</v>
      </c>
      <c r="IPN26" s="1100"/>
      <c r="IPO26" s="1100"/>
      <c r="IPP26" s="1101"/>
      <c r="IPQ26" s="1110">
        <f>IF(IPU10="Bovis","Attention retirer 2 mm aux dimensions transmises",0)</f>
        <v>0</v>
      </c>
      <c r="IPR26" s="1100"/>
      <c r="IPS26" s="1100"/>
      <c r="IPT26" s="1101"/>
      <c r="IPU26" s="1110">
        <f>IF(IPY10="Bovis","Attention retirer 2 mm aux dimensions transmises",0)</f>
        <v>0</v>
      </c>
      <c r="IPV26" s="1100"/>
      <c r="IPW26" s="1100"/>
      <c r="IPX26" s="1101"/>
      <c r="IPY26" s="1110">
        <f>IF(IQC10="Bovis","Attention retirer 2 mm aux dimensions transmises",0)</f>
        <v>0</v>
      </c>
      <c r="IPZ26" s="1100"/>
      <c r="IQA26" s="1100"/>
      <c r="IQB26" s="1101"/>
      <c r="IQC26" s="1110">
        <f>IF(IQG10="Bovis","Attention retirer 2 mm aux dimensions transmises",0)</f>
        <v>0</v>
      </c>
      <c r="IQD26" s="1100"/>
      <c r="IQE26" s="1100"/>
      <c r="IQF26" s="1101"/>
      <c r="IQG26" s="1110">
        <f>IF(IQK10="Bovis","Attention retirer 2 mm aux dimensions transmises",0)</f>
        <v>0</v>
      </c>
      <c r="IQH26" s="1100"/>
      <c r="IQI26" s="1100"/>
      <c r="IQJ26" s="1101"/>
      <c r="IQK26" s="1110">
        <f>IF(IQO10="Bovis","Attention retirer 2 mm aux dimensions transmises",0)</f>
        <v>0</v>
      </c>
      <c r="IQL26" s="1100"/>
      <c r="IQM26" s="1100"/>
      <c r="IQN26" s="1101"/>
      <c r="IQO26" s="1110">
        <f>IF(IQS10="Bovis","Attention retirer 2 mm aux dimensions transmises",0)</f>
        <v>0</v>
      </c>
      <c r="IQP26" s="1100"/>
      <c r="IQQ26" s="1100"/>
      <c r="IQR26" s="1101"/>
      <c r="IQS26" s="1110">
        <f>IF(IQW10="Bovis","Attention retirer 2 mm aux dimensions transmises",0)</f>
        <v>0</v>
      </c>
      <c r="IQT26" s="1100"/>
      <c r="IQU26" s="1100"/>
      <c r="IQV26" s="1101"/>
      <c r="IQW26" s="1110">
        <f>IF(IRA10="Bovis","Attention retirer 2 mm aux dimensions transmises",0)</f>
        <v>0</v>
      </c>
      <c r="IQX26" s="1100"/>
      <c r="IQY26" s="1100"/>
      <c r="IQZ26" s="1101"/>
      <c r="IRA26" s="1110">
        <f>IF(IRE10="Bovis","Attention retirer 2 mm aux dimensions transmises",0)</f>
        <v>0</v>
      </c>
      <c r="IRB26" s="1100"/>
      <c r="IRC26" s="1100"/>
      <c r="IRD26" s="1101"/>
      <c r="IRE26" s="1110">
        <f>IF(IRI10="Bovis","Attention retirer 2 mm aux dimensions transmises",0)</f>
        <v>0</v>
      </c>
      <c r="IRF26" s="1100"/>
      <c r="IRG26" s="1100"/>
      <c r="IRH26" s="1101"/>
      <c r="IRI26" s="1110">
        <f>IF(IRM10="Bovis","Attention retirer 2 mm aux dimensions transmises",0)</f>
        <v>0</v>
      </c>
      <c r="IRJ26" s="1100"/>
      <c r="IRK26" s="1100"/>
      <c r="IRL26" s="1101"/>
      <c r="IRM26" s="1110">
        <f>IF(IRQ10="Bovis","Attention retirer 2 mm aux dimensions transmises",0)</f>
        <v>0</v>
      </c>
      <c r="IRN26" s="1100"/>
      <c r="IRO26" s="1100"/>
      <c r="IRP26" s="1101"/>
      <c r="IRQ26" s="1110">
        <f>IF(IRU10="Bovis","Attention retirer 2 mm aux dimensions transmises",0)</f>
        <v>0</v>
      </c>
      <c r="IRR26" s="1100"/>
      <c r="IRS26" s="1100"/>
      <c r="IRT26" s="1101"/>
      <c r="IRU26" s="1110">
        <f>IF(IRY10="Bovis","Attention retirer 2 mm aux dimensions transmises",0)</f>
        <v>0</v>
      </c>
      <c r="IRV26" s="1100"/>
      <c r="IRW26" s="1100"/>
      <c r="IRX26" s="1101"/>
      <c r="IRY26" s="1110">
        <f>IF(ISC10="Bovis","Attention retirer 2 mm aux dimensions transmises",0)</f>
        <v>0</v>
      </c>
      <c r="IRZ26" s="1100"/>
      <c r="ISA26" s="1100"/>
      <c r="ISB26" s="1101"/>
      <c r="ISC26" s="1110">
        <f>IF(ISG10="Bovis","Attention retirer 2 mm aux dimensions transmises",0)</f>
        <v>0</v>
      </c>
      <c r="ISD26" s="1100"/>
      <c r="ISE26" s="1100"/>
      <c r="ISF26" s="1101"/>
      <c r="ISG26" s="1110">
        <f>IF(ISK10="Bovis","Attention retirer 2 mm aux dimensions transmises",0)</f>
        <v>0</v>
      </c>
      <c r="ISH26" s="1100"/>
      <c r="ISI26" s="1100"/>
      <c r="ISJ26" s="1101"/>
      <c r="ISK26" s="1110">
        <f>IF(ISO10="Bovis","Attention retirer 2 mm aux dimensions transmises",0)</f>
        <v>0</v>
      </c>
      <c r="ISL26" s="1100"/>
      <c r="ISM26" s="1100"/>
      <c r="ISN26" s="1101"/>
      <c r="ISO26" s="1110">
        <f>IF(ISS10="Bovis","Attention retirer 2 mm aux dimensions transmises",0)</f>
        <v>0</v>
      </c>
      <c r="ISP26" s="1100"/>
      <c r="ISQ26" s="1100"/>
      <c r="ISR26" s="1101"/>
      <c r="ISS26" s="1110">
        <f>IF(ISW10="Bovis","Attention retirer 2 mm aux dimensions transmises",0)</f>
        <v>0</v>
      </c>
      <c r="IST26" s="1100"/>
      <c r="ISU26" s="1100"/>
      <c r="ISV26" s="1101"/>
      <c r="ISW26" s="1110">
        <f>IF(ITA10="Bovis","Attention retirer 2 mm aux dimensions transmises",0)</f>
        <v>0</v>
      </c>
      <c r="ISX26" s="1100"/>
      <c r="ISY26" s="1100"/>
      <c r="ISZ26" s="1101"/>
      <c r="ITA26" s="1110">
        <f>IF(ITE10="Bovis","Attention retirer 2 mm aux dimensions transmises",0)</f>
        <v>0</v>
      </c>
      <c r="ITB26" s="1100"/>
      <c r="ITC26" s="1100"/>
      <c r="ITD26" s="1101"/>
      <c r="ITE26" s="1110">
        <f>IF(ITI10="Bovis","Attention retirer 2 mm aux dimensions transmises",0)</f>
        <v>0</v>
      </c>
      <c r="ITF26" s="1100"/>
      <c r="ITG26" s="1100"/>
      <c r="ITH26" s="1101"/>
      <c r="ITI26" s="1110">
        <f>IF(ITM10="Bovis","Attention retirer 2 mm aux dimensions transmises",0)</f>
        <v>0</v>
      </c>
      <c r="ITJ26" s="1100"/>
      <c r="ITK26" s="1100"/>
      <c r="ITL26" s="1101"/>
      <c r="ITM26" s="1110">
        <f>IF(ITQ10="Bovis","Attention retirer 2 mm aux dimensions transmises",0)</f>
        <v>0</v>
      </c>
      <c r="ITN26" s="1100"/>
      <c r="ITO26" s="1100"/>
      <c r="ITP26" s="1101"/>
      <c r="ITQ26" s="1110">
        <f>IF(ITU10="Bovis","Attention retirer 2 mm aux dimensions transmises",0)</f>
        <v>0</v>
      </c>
      <c r="ITR26" s="1100"/>
      <c r="ITS26" s="1100"/>
      <c r="ITT26" s="1101"/>
      <c r="ITU26" s="1110">
        <f>IF(ITY10="Bovis","Attention retirer 2 mm aux dimensions transmises",0)</f>
        <v>0</v>
      </c>
      <c r="ITV26" s="1100"/>
      <c r="ITW26" s="1100"/>
      <c r="ITX26" s="1101"/>
      <c r="ITY26" s="1110">
        <f>IF(IUC10="Bovis","Attention retirer 2 mm aux dimensions transmises",0)</f>
        <v>0</v>
      </c>
      <c r="ITZ26" s="1100"/>
      <c r="IUA26" s="1100"/>
      <c r="IUB26" s="1101"/>
      <c r="IUC26" s="1110">
        <f>IF(IUG10="Bovis","Attention retirer 2 mm aux dimensions transmises",0)</f>
        <v>0</v>
      </c>
      <c r="IUD26" s="1100"/>
      <c r="IUE26" s="1100"/>
      <c r="IUF26" s="1101"/>
      <c r="IUG26" s="1110">
        <f>IF(IUK10="Bovis","Attention retirer 2 mm aux dimensions transmises",0)</f>
        <v>0</v>
      </c>
      <c r="IUH26" s="1100"/>
      <c r="IUI26" s="1100"/>
      <c r="IUJ26" s="1101"/>
      <c r="IUK26" s="1110">
        <f>IF(IUO10="Bovis","Attention retirer 2 mm aux dimensions transmises",0)</f>
        <v>0</v>
      </c>
      <c r="IUL26" s="1100"/>
      <c r="IUM26" s="1100"/>
      <c r="IUN26" s="1101"/>
      <c r="IUO26" s="1110">
        <f>IF(IUS10="Bovis","Attention retirer 2 mm aux dimensions transmises",0)</f>
        <v>0</v>
      </c>
      <c r="IUP26" s="1100"/>
      <c r="IUQ26" s="1100"/>
      <c r="IUR26" s="1101"/>
      <c r="IUS26" s="1110">
        <f>IF(IUW10="Bovis","Attention retirer 2 mm aux dimensions transmises",0)</f>
        <v>0</v>
      </c>
      <c r="IUT26" s="1100"/>
      <c r="IUU26" s="1100"/>
      <c r="IUV26" s="1101"/>
      <c r="IUW26" s="1110">
        <f>IF(IVA10="Bovis","Attention retirer 2 mm aux dimensions transmises",0)</f>
        <v>0</v>
      </c>
      <c r="IUX26" s="1100"/>
      <c r="IUY26" s="1100"/>
      <c r="IUZ26" s="1101"/>
      <c r="IVA26" s="1110">
        <f>IF(IVE10="Bovis","Attention retirer 2 mm aux dimensions transmises",0)</f>
        <v>0</v>
      </c>
      <c r="IVB26" s="1100"/>
      <c r="IVC26" s="1100"/>
      <c r="IVD26" s="1101"/>
      <c r="IVE26" s="1110">
        <f>IF(IVI10="Bovis","Attention retirer 2 mm aux dimensions transmises",0)</f>
        <v>0</v>
      </c>
      <c r="IVF26" s="1100"/>
      <c r="IVG26" s="1100"/>
      <c r="IVH26" s="1101"/>
      <c r="IVI26" s="1110">
        <f>IF(IVM10="Bovis","Attention retirer 2 mm aux dimensions transmises",0)</f>
        <v>0</v>
      </c>
      <c r="IVJ26" s="1100"/>
      <c r="IVK26" s="1100"/>
      <c r="IVL26" s="1101"/>
      <c r="IVM26" s="1110">
        <f>IF(IVQ10="Bovis","Attention retirer 2 mm aux dimensions transmises",0)</f>
        <v>0</v>
      </c>
      <c r="IVN26" s="1100"/>
      <c r="IVO26" s="1100"/>
      <c r="IVP26" s="1101"/>
      <c r="IVQ26" s="1110">
        <f>IF(IVU10="Bovis","Attention retirer 2 mm aux dimensions transmises",0)</f>
        <v>0</v>
      </c>
      <c r="IVR26" s="1100"/>
      <c r="IVS26" s="1100"/>
      <c r="IVT26" s="1101"/>
      <c r="IVU26" s="1110">
        <f>IF(IVY10="Bovis","Attention retirer 2 mm aux dimensions transmises",0)</f>
        <v>0</v>
      </c>
      <c r="IVV26" s="1100"/>
      <c r="IVW26" s="1100"/>
      <c r="IVX26" s="1101"/>
      <c r="IVY26" s="1110">
        <f>IF(IWC10="Bovis","Attention retirer 2 mm aux dimensions transmises",0)</f>
        <v>0</v>
      </c>
      <c r="IVZ26" s="1100"/>
      <c r="IWA26" s="1100"/>
      <c r="IWB26" s="1101"/>
      <c r="IWC26" s="1110">
        <f>IF(IWG10="Bovis","Attention retirer 2 mm aux dimensions transmises",0)</f>
        <v>0</v>
      </c>
      <c r="IWD26" s="1100"/>
      <c r="IWE26" s="1100"/>
      <c r="IWF26" s="1101"/>
      <c r="IWG26" s="1110">
        <f>IF(IWK10="Bovis","Attention retirer 2 mm aux dimensions transmises",0)</f>
        <v>0</v>
      </c>
      <c r="IWH26" s="1100"/>
      <c r="IWI26" s="1100"/>
      <c r="IWJ26" s="1101"/>
      <c r="IWK26" s="1110">
        <f>IF(IWO10="Bovis","Attention retirer 2 mm aux dimensions transmises",0)</f>
        <v>0</v>
      </c>
      <c r="IWL26" s="1100"/>
      <c r="IWM26" s="1100"/>
      <c r="IWN26" s="1101"/>
      <c r="IWO26" s="1110">
        <f>IF(IWS10="Bovis","Attention retirer 2 mm aux dimensions transmises",0)</f>
        <v>0</v>
      </c>
      <c r="IWP26" s="1100"/>
      <c r="IWQ26" s="1100"/>
      <c r="IWR26" s="1101"/>
      <c r="IWS26" s="1110">
        <f>IF(IWW10="Bovis","Attention retirer 2 mm aux dimensions transmises",0)</f>
        <v>0</v>
      </c>
      <c r="IWT26" s="1100"/>
      <c r="IWU26" s="1100"/>
      <c r="IWV26" s="1101"/>
      <c r="IWW26" s="1110">
        <f>IF(IXA10="Bovis","Attention retirer 2 mm aux dimensions transmises",0)</f>
        <v>0</v>
      </c>
      <c r="IWX26" s="1100"/>
      <c r="IWY26" s="1100"/>
      <c r="IWZ26" s="1101"/>
      <c r="IXA26" s="1110">
        <f>IF(IXE10="Bovis","Attention retirer 2 mm aux dimensions transmises",0)</f>
        <v>0</v>
      </c>
      <c r="IXB26" s="1100"/>
      <c r="IXC26" s="1100"/>
      <c r="IXD26" s="1101"/>
      <c r="IXE26" s="1110">
        <f>IF(IXI10="Bovis","Attention retirer 2 mm aux dimensions transmises",0)</f>
        <v>0</v>
      </c>
      <c r="IXF26" s="1100"/>
      <c r="IXG26" s="1100"/>
      <c r="IXH26" s="1101"/>
      <c r="IXI26" s="1110">
        <f>IF(IXM10="Bovis","Attention retirer 2 mm aux dimensions transmises",0)</f>
        <v>0</v>
      </c>
      <c r="IXJ26" s="1100"/>
      <c r="IXK26" s="1100"/>
      <c r="IXL26" s="1101"/>
      <c r="IXM26" s="1110">
        <f>IF(IXQ10="Bovis","Attention retirer 2 mm aux dimensions transmises",0)</f>
        <v>0</v>
      </c>
      <c r="IXN26" s="1100"/>
      <c r="IXO26" s="1100"/>
      <c r="IXP26" s="1101"/>
      <c r="IXQ26" s="1110">
        <f>IF(IXU10="Bovis","Attention retirer 2 mm aux dimensions transmises",0)</f>
        <v>0</v>
      </c>
      <c r="IXR26" s="1100"/>
      <c r="IXS26" s="1100"/>
      <c r="IXT26" s="1101"/>
      <c r="IXU26" s="1110">
        <f>IF(IXY10="Bovis","Attention retirer 2 mm aux dimensions transmises",0)</f>
        <v>0</v>
      </c>
      <c r="IXV26" s="1100"/>
      <c r="IXW26" s="1100"/>
      <c r="IXX26" s="1101"/>
      <c r="IXY26" s="1110">
        <f>IF(IYC10="Bovis","Attention retirer 2 mm aux dimensions transmises",0)</f>
        <v>0</v>
      </c>
      <c r="IXZ26" s="1100"/>
      <c r="IYA26" s="1100"/>
      <c r="IYB26" s="1101"/>
      <c r="IYC26" s="1110">
        <f>IF(IYG10="Bovis","Attention retirer 2 mm aux dimensions transmises",0)</f>
        <v>0</v>
      </c>
      <c r="IYD26" s="1100"/>
      <c r="IYE26" s="1100"/>
      <c r="IYF26" s="1101"/>
      <c r="IYG26" s="1110">
        <f>IF(IYK10="Bovis","Attention retirer 2 mm aux dimensions transmises",0)</f>
        <v>0</v>
      </c>
      <c r="IYH26" s="1100"/>
      <c r="IYI26" s="1100"/>
      <c r="IYJ26" s="1101"/>
      <c r="IYK26" s="1110">
        <f>IF(IYO10="Bovis","Attention retirer 2 mm aux dimensions transmises",0)</f>
        <v>0</v>
      </c>
      <c r="IYL26" s="1100"/>
      <c r="IYM26" s="1100"/>
      <c r="IYN26" s="1101"/>
      <c r="IYO26" s="1110">
        <f>IF(IYS10="Bovis","Attention retirer 2 mm aux dimensions transmises",0)</f>
        <v>0</v>
      </c>
      <c r="IYP26" s="1100"/>
      <c r="IYQ26" s="1100"/>
      <c r="IYR26" s="1101"/>
      <c r="IYS26" s="1110">
        <f>IF(IYW10="Bovis","Attention retirer 2 mm aux dimensions transmises",0)</f>
        <v>0</v>
      </c>
      <c r="IYT26" s="1100"/>
      <c r="IYU26" s="1100"/>
      <c r="IYV26" s="1101"/>
      <c r="IYW26" s="1110">
        <f>IF(IZA10="Bovis","Attention retirer 2 mm aux dimensions transmises",0)</f>
        <v>0</v>
      </c>
      <c r="IYX26" s="1100"/>
      <c r="IYY26" s="1100"/>
      <c r="IYZ26" s="1101"/>
      <c r="IZA26" s="1110">
        <f>IF(IZE10="Bovis","Attention retirer 2 mm aux dimensions transmises",0)</f>
        <v>0</v>
      </c>
      <c r="IZB26" s="1100"/>
      <c r="IZC26" s="1100"/>
      <c r="IZD26" s="1101"/>
      <c r="IZE26" s="1110">
        <f>IF(IZI10="Bovis","Attention retirer 2 mm aux dimensions transmises",0)</f>
        <v>0</v>
      </c>
      <c r="IZF26" s="1100"/>
      <c r="IZG26" s="1100"/>
      <c r="IZH26" s="1101"/>
      <c r="IZI26" s="1110">
        <f>IF(IZM10="Bovis","Attention retirer 2 mm aux dimensions transmises",0)</f>
        <v>0</v>
      </c>
      <c r="IZJ26" s="1100"/>
      <c r="IZK26" s="1100"/>
      <c r="IZL26" s="1101"/>
      <c r="IZM26" s="1110">
        <f>IF(IZQ10="Bovis","Attention retirer 2 mm aux dimensions transmises",0)</f>
        <v>0</v>
      </c>
      <c r="IZN26" s="1100"/>
      <c r="IZO26" s="1100"/>
      <c r="IZP26" s="1101"/>
      <c r="IZQ26" s="1110">
        <f>IF(IZU10="Bovis","Attention retirer 2 mm aux dimensions transmises",0)</f>
        <v>0</v>
      </c>
      <c r="IZR26" s="1100"/>
      <c r="IZS26" s="1100"/>
      <c r="IZT26" s="1101"/>
      <c r="IZU26" s="1110">
        <f>IF(IZY10="Bovis","Attention retirer 2 mm aux dimensions transmises",0)</f>
        <v>0</v>
      </c>
      <c r="IZV26" s="1100"/>
      <c r="IZW26" s="1100"/>
      <c r="IZX26" s="1101"/>
      <c r="IZY26" s="1110">
        <f>IF(JAC10="Bovis","Attention retirer 2 mm aux dimensions transmises",0)</f>
        <v>0</v>
      </c>
      <c r="IZZ26" s="1100"/>
      <c r="JAA26" s="1100"/>
      <c r="JAB26" s="1101"/>
      <c r="JAC26" s="1110">
        <f>IF(JAG10="Bovis","Attention retirer 2 mm aux dimensions transmises",0)</f>
        <v>0</v>
      </c>
      <c r="JAD26" s="1100"/>
      <c r="JAE26" s="1100"/>
      <c r="JAF26" s="1101"/>
      <c r="JAG26" s="1110">
        <f>IF(JAK10="Bovis","Attention retirer 2 mm aux dimensions transmises",0)</f>
        <v>0</v>
      </c>
      <c r="JAH26" s="1100"/>
      <c r="JAI26" s="1100"/>
      <c r="JAJ26" s="1101"/>
      <c r="JAK26" s="1110">
        <f>IF(JAO10="Bovis","Attention retirer 2 mm aux dimensions transmises",0)</f>
        <v>0</v>
      </c>
      <c r="JAL26" s="1100"/>
      <c r="JAM26" s="1100"/>
      <c r="JAN26" s="1101"/>
      <c r="JAO26" s="1110">
        <f>IF(JAS10="Bovis","Attention retirer 2 mm aux dimensions transmises",0)</f>
        <v>0</v>
      </c>
      <c r="JAP26" s="1100"/>
      <c r="JAQ26" s="1100"/>
      <c r="JAR26" s="1101"/>
      <c r="JAS26" s="1110">
        <f>IF(JAW10="Bovis","Attention retirer 2 mm aux dimensions transmises",0)</f>
        <v>0</v>
      </c>
      <c r="JAT26" s="1100"/>
      <c r="JAU26" s="1100"/>
      <c r="JAV26" s="1101"/>
      <c r="JAW26" s="1110">
        <f>IF(JBA10="Bovis","Attention retirer 2 mm aux dimensions transmises",0)</f>
        <v>0</v>
      </c>
      <c r="JAX26" s="1100"/>
      <c r="JAY26" s="1100"/>
      <c r="JAZ26" s="1101"/>
      <c r="JBA26" s="1110">
        <f>IF(JBE10="Bovis","Attention retirer 2 mm aux dimensions transmises",0)</f>
        <v>0</v>
      </c>
      <c r="JBB26" s="1100"/>
      <c r="JBC26" s="1100"/>
      <c r="JBD26" s="1101"/>
      <c r="JBE26" s="1110">
        <f>IF(JBI10="Bovis","Attention retirer 2 mm aux dimensions transmises",0)</f>
        <v>0</v>
      </c>
      <c r="JBF26" s="1100"/>
      <c r="JBG26" s="1100"/>
      <c r="JBH26" s="1101"/>
      <c r="JBI26" s="1110">
        <f>IF(JBM10="Bovis","Attention retirer 2 mm aux dimensions transmises",0)</f>
        <v>0</v>
      </c>
      <c r="JBJ26" s="1100"/>
      <c r="JBK26" s="1100"/>
      <c r="JBL26" s="1101"/>
      <c r="JBM26" s="1110">
        <f>IF(JBQ10="Bovis","Attention retirer 2 mm aux dimensions transmises",0)</f>
        <v>0</v>
      </c>
      <c r="JBN26" s="1100"/>
      <c r="JBO26" s="1100"/>
      <c r="JBP26" s="1101"/>
      <c r="JBQ26" s="1110">
        <f>IF(JBU10="Bovis","Attention retirer 2 mm aux dimensions transmises",0)</f>
        <v>0</v>
      </c>
      <c r="JBR26" s="1100"/>
      <c r="JBS26" s="1100"/>
      <c r="JBT26" s="1101"/>
      <c r="JBU26" s="1110">
        <f>IF(JBY10="Bovis","Attention retirer 2 mm aux dimensions transmises",0)</f>
        <v>0</v>
      </c>
      <c r="JBV26" s="1100"/>
      <c r="JBW26" s="1100"/>
      <c r="JBX26" s="1101"/>
      <c r="JBY26" s="1110">
        <f>IF(JCC10="Bovis","Attention retirer 2 mm aux dimensions transmises",0)</f>
        <v>0</v>
      </c>
      <c r="JBZ26" s="1100"/>
      <c r="JCA26" s="1100"/>
      <c r="JCB26" s="1101"/>
      <c r="JCC26" s="1110">
        <f>IF(JCG10="Bovis","Attention retirer 2 mm aux dimensions transmises",0)</f>
        <v>0</v>
      </c>
      <c r="JCD26" s="1100"/>
      <c r="JCE26" s="1100"/>
      <c r="JCF26" s="1101"/>
      <c r="JCG26" s="1110">
        <f>IF(JCK10="Bovis","Attention retirer 2 mm aux dimensions transmises",0)</f>
        <v>0</v>
      </c>
      <c r="JCH26" s="1100"/>
      <c r="JCI26" s="1100"/>
      <c r="JCJ26" s="1101"/>
      <c r="JCK26" s="1110">
        <f>IF(JCO10="Bovis","Attention retirer 2 mm aux dimensions transmises",0)</f>
        <v>0</v>
      </c>
      <c r="JCL26" s="1100"/>
      <c r="JCM26" s="1100"/>
      <c r="JCN26" s="1101"/>
      <c r="JCO26" s="1110">
        <f>IF(JCS10="Bovis","Attention retirer 2 mm aux dimensions transmises",0)</f>
        <v>0</v>
      </c>
      <c r="JCP26" s="1100"/>
      <c r="JCQ26" s="1100"/>
      <c r="JCR26" s="1101"/>
      <c r="JCS26" s="1110">
        <f>IF(JCW10="Bovis","Attention retirer 2 mm aux dimensions transmises",0)</f>
        <v>0</v>
      </c>
      <c r="JCT26" s="1100"/>
      <c r="JCU26" s="1100"/>
      <c r="JCV26" s="1101"/>
      <c r="JCW26" s="1110">
        <f>IF(JDA10="Bovis","Attention retirer 2 mm aux dimensions transmises",0)</f>
        <v>0</v>
      </c>
      <c r="JCX26" s="1100"/>
      <c r="JCY26" s="1100"/>
      <c r="JCZ26" s="1101"/>
      <c r="JDA26" s="1110">
        <f>IF(JDE10="Bovis","Attention retirer 2 mm aux dimensions transmises",0)</f>
        <v>0</v>
      </c>
      <c r="JDB26" s="1100"/>
      <c r="JDC26" s="1100"/>
      <c r="JDD26" s="1101"/>
      <c r="JDE26" s="1110">
        <f>IF(JDI10="Bovis","Attention retirer 2 mm aux dimensions transmises",0)</f>
        <v>0</v>
      </c>
      <c r="JDF26" s="1100"/>
      <c r="JDG26" s="1100"/>
      <c r="JDH26" s="1101"/>
      <c r="JDI26" s="1110">
        <f>IF(JDM10="Bovis","Attention retirer 2 mm aux dimensions transmises",0)</f>
        <v>0</v>
      </c>
      <c r="JDJ26" s="1100"/>
      <c r="JDK26" s="1100"/>
      <c r="JDL26" s="1101"/>
      <c r="JDM26" s="1110">
        <f>IF(JDQ10="Bovis","Attention retirer 2 mm aux dimensions transmises",0)</f>
        <v>0</v>
      </c>
      <c r="JDN26" s="1100"/>
      <c r="JDO26" s="1100"/>
      <c r="JDP26" s="1101"/>
      <c r="JDQ26" s="1110">
        <f>IF(JDU10="Bovis","Attention retirer 2 mm aux dimensions transmises",0)</f>
        <v>0</v>
      </c>
      <c r="JDR26" s="1100"/>
      <c r="JDS26" s="1100"/>
      <c r="JDT26" s="1101"/>
      <c r="JDU26" s="1110">
        <f>IF(JDY10="Bovis","Attention retirer 2 mm aux dimensions transmises",0)</f>
        <v>0</v>
      </c>
      <c r="JDV26" s="1100"/>
      <c r="JDW26" s="1100"/>
      <c r="JDX26" s="1101"/>
      <c r="JDY26" s="1110">
        <f>IF(JEC10="Bovis","Attention retirer 2 mm aux dimensions transmises",0)</f>
        <v>0</v>
      </c>
      <c r="JDZ26" s="1100"/>
      <c r="JEA26" s="1100"/>
      <c r="JEB26" s="1101"/>
      <c r="JEC26" s="1110">
        <f>IF(JEG10="Bovis","Attention retirer 2 mm aux dimensions transmises",0)</f>
        <v>0</v>
      </c>
      <c r="JED26" s="1100"/>
      <c r="JEE26" s="1100"/>
      <c r="JEF26" s="1101"/>
      <c r="JEG26" s="1110">
        <f>IF(JEK10="Bovis","Attention retirer 2 mm aux dimensions transmises",0)</f>
        <v>0</v>
      </c>
      <c r="JEH26" s="1100"/>
      <c r="JEI26" s="1100"/>
      <c r="JEJ26" s="1101"/>
      <c r="JEK26" s="1110">
        <f>IF(JEO10="Bovis","Attention retirer 2 mm aux dimensions transmises",0)</f>
        <v>0</v>
      </c>
      <c r="JEL26" s="1100"/>
      <c r="JEM26" s="1100"/>
      <c r="JEN26" s="1101"/>
      <c r="JEO26" s="1110">
        <f>IF(JES10="Bovis","Attention retirer 2 mm aux dimensions transmises",0)</f>
        <v>0</v>
      </c>
      <c r="JEP26" s="1100"/>
      <c r="JEQ26" s="1100"/>
      <c r="JER26" s="1101"/>
      <c r="JES26" s="1110">
        <f>IF(JEW10="Bovis","Attention retirer 2 mm aux dimensions transmises",0)</f>
        <v>0</v>
      </c>
      <c r="JET26" s="1100"/>
      <c r="JEU26" s="1100"/>
      <c r="JEV26" s="1101"/>
      <c r="JEW26" s="1110">
        <f>IF(JFA10="Bovis","Attention retirer 2 mm aux dimensions transmises",0)</f>
        <v>0</v>
      </c>
      <c r="JEX26" s="1100"/>
      <c r="JEY26" s="1100"/>
      <c r="JEZ26" s="1101"/>
      <c r="JFA26" s="1110">
        <f>IF(JFE10="Bovis","Attention retirer 2 mm aux dimensions transmises",0)</f>
        <v>0</v>
      </c>
      <c r="JFB26" s="1100"/>
      <c r="JFC26" s="1100"/>
      <c r="JFD26" s="1101"/>
      <c r="JFE26" s="1110">
        <f>IF(JFI10="Bovis","Attention retirer 2 mm aux dimensions transmises",0)</f>
        <v>0</v>
      </c>
      <c r="JFF26" s="1100"/>
      <c r="JFG26" s="1100"/>
      <c r="JFH26" s="1101"/>
      <c r="JFI26" s="1110">
        <f>IF(JFM10="Bovis","Attention retirer 2 mm aux dimensions transmises",0)</f>
        <v>0</v>
      </c>
      <c r="JFJ26" s="1100"/>
      <c r="JFK26" s="1100"/>
      <c r="JFL26" s="1101"/>
      <c r="JFM26" s="1110">
        <f>IF(JFQ10="Bovis","Attention retirer 2 mm aux dimensions transmises",0)</f>
        <v>0</v>
      </c>
      <c r="JFN26" s="1100"/>
      <c r="JFO26" s="1100"/>
      <c r="JFP26" s="1101"/>
      <c r="JFQ26" s="1110">
        <f>IF(JFU10="Bovis","Attention retirer 2 mm aux dimensions transmises",0)</f>
        <v>0</v>
      </c>
      <c r="JFR26" s="1100"/>
      <c r="JFS26" s="1100"/>
      <c r="JFT26" s="1101"/>
      <c r="JFU26" s="1110">
        <f>IF(JFY10="Bovis","Attention retirer 2 mm aux dimensions transmises",0)</f>
        <v>0</v>
      </c>
      <c r="JFV26" s="1100"/>
      <c r="JFW26" s="1100"/>
      <c r="JFX26" s="1101"/>
      <c r="JFY26" s="1110">
        <f>IF(JGC10="Bovis","Attention retirer 2 mm aux dimensions transmises",0)</f>
        <v>0</v>
      </c>
      <c r="JFZ26" s="1100"/>
      <c r="JGA26" s="1100"/>
      <c r="JGB26" s="1101"/>
      <c r="JGC26" s="1110">
        <f>IF(JGG10="Bovis","Attention retirer 2 mm aux dimensions transmises",0)</f>
        <v>0</v>
      </c>
      <c r="JGD26" s="1100"/>
      <c r="JGE26" s="1100"/>
      <c r="JGF26" s="1101"/>
      <c r="JGG26" s="1110">
        <f>IF(JGK10="Bovis","Attention retirer 2 mm aux dimensions transmises",0)</f>
        <v>0</v>
      </c>
      <c r="JGH26" s="1100"/>
      <c r="JGI26" s="1100"/>
      <c r="JGJ26" s="1101"/>
      <c r="JGK26" s="1110">
        <f>IF(JGO10="Bovis","Attention retirer 2 mm aux dimensions transmises",0)</f>
        <v>0</v>
      </c>
      <c r="JGL26" s="1100"/>
      <c r="JGM26" s="1100"/>
      <c r="JGN26" s="1101"/>
      <c r="JGO26" s="1110">
        <f>IF(JGS10="Bovis","Attention retirer 2 mm aux dimensions transmises",0)</f>
        <v>0</v>
      </c>
      <c r="JGP26" s="1100"/>
      <c r="JGQ26" s="1100"/>
      <c r="JGR26" s="1101"/>
      <c r="JGS26" s="1110">
        <f>IF(JGW10="Bovis","Attention retirer 2 mm aux dimensions transmises",0)</f>
        <v>0</v>
      </c>
      <c r="JGT26" s="1100"/>
      <c r="JGU26" s="1100"/>
      <c r="JGV26" s="1101"/>
      <c r="JGW26" s="1110">
        <f>IF(JHA10="Bovis","Attention retirer 2 mm aux dimensions transmises",0)</f>
        <v>0</v>
      </c>
      <c r="JGX26" s="1100"/>
      <c r="JGY26" s="1100"/>
      <c r="JGZ26" s="1101"/>
      <c r="JHA26" s="1110">
        <f>IF(JHE10="Bovis","Attention retirer 2 mm aux dimensions transmises",0)</f>
        <v>0</v>
      </c>
      <c r="JHB26" s="1100"/>
      <c r="JHC26" s="1100"/>
      <c r="JHD26" s="1101"/>
      <c r="JHE26" s="1110">
        <f>IF(JHI10="Bovis","Attention retirer 2 mm aux dimensions transmises",0)</f>
        <v>0</v>
      </c>
      <c r="JHF26" s="1100"/>
      <c r="JHG26" s="1100"/>
      <c r="JHH26" s="1101"/>
      <c r="JHI26" s="1110">
        <f>IF(JHM10="Bovis","Attention retirer 2 mm aux dimensions transmises",0)</f>
        <v>0</v>
      </c>
      <c r="JHJ26" s="1100"/>
      <c r="JHK26" s="1100"/>
      <c r="JHL26" s="1101"/>
      <c r="JHM26" s="1110">
        <f>IF(JHQ10="Bovis","Attention retirer 2 mm aux dimensions transmises",0)</f>
        <v>0</v>
      </c>
      <c r="JHN26" s="1100"/>
      <c r="JHO26" s="1100"/>
      <c r="JHP26" s="1101"/>
      <c r="JHQ26" s="1110">
        <f>IF(JHU10="Bovis","Attention retirer 2 mm aux dimensions transmises",0)</f>
        <v>0</v>
      </c>
      <c r="JHR26" s="1100"/>
      <c r="JHS26" s="1100"/>
      <c r="JHT26" s="1101"/>
      <c r="JHU26" s="1110">
        <f>IF(JHY10="Bovis","Attention retirer 2 mm aux dimensions transmises",0)</f>
        <v>0</v>
      </c>
      <c r="JHV26" s="1100"/>
      <c r="JHW26" s="1100"/>
      <c r="JHX26" s="1101"/>
      <c r="JHY26" s="1110">
        <f>IF(JIC10="Bovis","Attention retirer 2 mm aux dimensions transmises",0)</f>
        <v>0</v>
      </c>
      <c r="JHZ26" s="1100"/>
      <c r="JIA26" s="1100"/>
      <c r="JIB26" s="1101"/>
      <c r="JIC26" s="1110">
        <f>IF(JIG10="Bovis","Attention retirer 2 mm aux dimensions transmises",0)</f>
        <v>0</v>
      </c>
      <c r="JID26" s="1100"/>
      <c r="JIE26" s="1100"/>
      <c r="JIF26" s="1101"/>
      <c r="JIG26" s="1110">
        <f>IF(JIK10="Bovis","Attention retirer 2 mm aux dimensions transmises",0)</f>
        <v>0</v>
      </c>
      <c r="JIH26" s="1100"/>
      <c r="JII26" s="1100"/>
      <c r="JIJ26" s="1101"/>
      <c r="JIK26" s="1110">
        <f>IF(JIO10="Bovis","Attention retirer 2 mm aux dimensions transmises",0)</f>
        <v>0</v>
      </c>
      <c r="JIL26" s="1100"/>
      <c r="JIM26" s="1100"/>
      <c r="JIN26" s="1101"/>
      <c r="JIO26" s="1110">
        <f>IF(JIS10="Bovis","Attention retirer 2 mm aux dimensions transmises",0)</f>
        <v>0</v>
      </c>
      <c r="JIP26" s="1100"/>
      <c r="JIQ26" s="1100"/>
      <c r="JIR26" s="1101"/>
      <c r="JIS26" s="1110">
        <f>IF(JIW10="Bovis","Attention retirer 2 mm aux dimensions transmises",0)</f>
        <v>0</v>
      </c>
      <c r="JIT26" s="1100"/>
      <c r="JIU26" s="1100"/>
      <c r="JIV26" s="1101"/>
      <c r="JIW26" s="1110">
        <f>IF(JJA10="Bovis","Attention retirer 2 mm aux dimensions transmises",0)</f>
        <v>0</v>
      </c>
      <c r="JIX26" s="1100"/>
      <c r="JIY26" s="1100"/>
      <c r="JIZ26" s="1101"/>
      <c r="JJA26" s="1110">
        <f>IF(JJE10="Bovis","Attention retirer 2 mm aux dimensions transmises",0)</f>
        <v>0</v>
      </c>
      <c r="JJB26" s="1100"/>
      <c r="JJC26" s="1100"/>
      <c r="JJD26" s="1101"/>
      <c r="JJE26" s="1110">
        <f>IF(JJI10="Bovis","Attention retirer 2 mm aux dimensions transmises",0)</f>
        <v>0</v>
      </c>
      <c r="JJF26" s="1100"/>
      <c r="JJG26" s="1100"/>
      <c r="JJH26" s="1101"/>
      <c r="JJI26" s="1110">
        <f>IF(JJM10="Bovis","Attention retirer 2 mm aux dimensions transmises",0)</f>
        <v>0</v>
      </c>
      <c r="JJJ26" s="1100"/>
      <c r="JJK26" s="1100"/>
      <c r="JJL26" s="1101"/>
      <c r="JJM26" s="1110">
        <f>IF(JJQ10="Bovis","Attention retirer 2 mm aux dimensions transmises",0)</f>
        <v>0</v>
      </c>
      <c r="JJN26" s="1100"/>
      <c r="JJO26" s="1100"/>
      <c r="JJP26" s="1101"/>
      <c r="JJQ26" s="1110">
        <f>IF(JJU10="Bovis","Attention retirer 2 mm aux dimensions transmises",0)</f>
        <v>0</v>
      </c>
      <c r="JJR26" s="1100"/>
      <c r="JJS26" s="1100"/>
      <c r="JJT26" s="1101"/>
      <c r="JJU26" s="1110">
        <f>IF(JJY10="Bovis","Attention retirer 2 mm aux dimensions transmises",0)</f>
        <v>0</v>
      </c>
      <c r="JJV26" s="1100"/>
      <c r="JJW26" s="1100"/>
      <c r="JJX26" s="1101"/>
      <c r="JJY26" s="1110">
        <f>IF(JKC10="Bovis","Attention retirer 2 mm aux dimensions transmises",0)</f>
        <v>0</v>
      </c>
      <c r="JJZ26" s="1100"/>
      <c r="JKA26" s="1100"/>
      <c r="JKB26" s="1101"/>
      <c r="JKC26" s="1110">
        <f>IF(JKG10="Bovis","Attention retirer 2 mm aux dimensions transmises",0)</f>
        <v>0</v>
      </c>
      <c r="JKD26" s="1100"/>
      <c r="JKE26" s="1100"/>
      <c r="JKF26" s="1101"/>
      <c r="JKG26" s="1110">
        <f>IF(JKK10="Bovis","Attention retirer 2 mm aux dimensions transmises",0)</f>
        <v>0</v>
      </c>
      <c r="JKH26" s="1100"/>
      <c r="JKI26" s="1100"/>
      <c r="JKJ26" s="1101"/>
      <c r="JKK26" s="1110">
        <f>IF(JKO10="Bovis","Attention retirer 2 mm aux dimensions transmises",0)</f>
        <v>0</v>
      </c>
      <c r="JKL26" s="1100"/>
      <c r="JKM26" s="1100"/>
      <c r="JKN26" s="1101"/>
      <c r="JKO26" s="1110">
        <f>IF(JKS10="Bovis","Attention retirer 2 mm aux dimensions transmises",0)</f>
        <v>0</v>
      </c>
      <c r="JKP26" s="1100"/>
      <c r="JKQ26" s="1100"/>
      <c r="JKR26" s="1101"/>
      <c r="JKS26" s="1110">
        <f>IF(JKW10="Bovis","Attention retirer 2 mm aux dimensions transmises",0)</f>
        <v>0</v>
      </c>
      <c r="JKT26" s="1100"/>
      <c r="JKU26" s="1100"/>
      <c r="JKV26" s="1101"/>
      <c r="JKW26" s="1110">
        <f>IF(JLA10="Bovis","Attention retirer 2 mm aux dimensions transmises",0)</f>
        <v>0</v>
      </c>
      <c r="JKX26" s="1100"/>
      <c r="JKY26" s="1100"/>
      <c r="JKZ26" s="1101"/>
      <c r="JLA26" s="1110">
        <f>IF(JLE10="Bovis","Attention retirer 2 mm aux dimensions transmises",0)</f>
        <v>0</v>
      </c>
      <c r="JLB26" s="1100"/>
      <c r="JLC26" s="1100"/>
      <c r="JLD26" s="1101"/>
      <c r="JLE26" s="1110">
        <f>IF(JLI10="Bovis","Attention retirer 2 mm aux dimensions transmises",0)</f>
        <v>0</v>
      </c>
      <c r="JLF26" s="1100"/>
      <c r="JLG26" s="1100"/>
      <c r="JLH26" s="1101"/>
      <c r="JLI26" s="1110">
        <f>IF(JLM10="Bovis","Attention retirer 2 mm aux dimensions transmises",0)</f>
        <v>0</v>
      </c>
      <c r="JLJ26" s="1100"/>
      <c r="JLK26" s="1100"/>
      <c r="JLL26" s="1101"/>
      <c r="JLM26" s="1110">
        <f>IF(JLQ10="Bovis","Attention retirer 2 mm aux dimensions transmises",0)</f>
        <v>0</v>
      </c>
      <c r="JLN26" s="1100"/>
      <c r="JLO26" s="1100"/>
      <c r="JLP26" s="1101"/>
      <c r="JLQ26" s="1110">
        <f>IF(JLU10="Bovis","Attention retirer 2 mm aux dimensions transmises",0)</f>
        <v>0</v>
      </c>
      <c r="JLR26" s="1100"/>
      <c r="JLS26" s="1100"/>
      <c r="JLT26" s="1101"/>
      <c r="JLU26" s="1110">
        <f>IF(JLY10="Bovis","Attention retirer 2 mm aux dimensions transmises",0)</f>
        <v>0</v>
      </c>
      <c r="JLV26" s="1100"/>
      <c r="JLW26" s="1100"/>
      <c r="JLX26" s="1101"/>
      <c r="JLY26" s="1110">
        <f>IF(JMC10="Bovis","Attention retirer 2 mm aux dimensions transmises",0)</f>
        <v>0</v>
      </c>
      <c r="JLZ26" s="1100"/>
      <c r="JMA26" s="1100"/>
      <c r="JMB26" s="1101"/>
      <c r="JMC26" s="1110">
        <f>IF(JMG10="Bovis","Attention retirer 2 mm aux dimensions transmises",0)</f>
        <v>0</v>
      </c>
      <c r="JMD26" s="1100"/>
      <c r="JME26" s="1100"/>
      <c r="JMF26" s="1101"/>
      <c r="JMG26" s="1110">
        <f>IF(JMK10="Bovis","Attention retirer 2 mm aux dimensions transmises",0)</f>
        <v>0</v>
      </c>
      <c r="JMH26" s="1100"/>
      <c r="JMI26" s="1100"/>
      <c r="JMJ26" s="1101"/>
      <c r="JMK26" s="1110">
        <f>IF(JMO10="Bovis","Attention retirer 2 mm aux dimensions transmises",0)</f>
        <v>0</v>
      </c>
      <c r="JML26" s="1100"/>
      <c r="JMM26" s="1100"/>
      <c r="JMN26" s="1101"/>
      <c r="JMO26" s="1110">
        <f>IF(JMS10="Bovis","Attention retirer 2 mm aux dimensions transmises",0)</f>
        <v>0</v>
      </c>
      <c r="JMP26" s="1100"/>
      <c r="JMQ26" s="1100"/>
      <c r="JMR26" s="1101"/>
      <c r="JMS26" s="1110">
        <f>IF(JMW10="Bovis","Attention retirer 2 mm aux dimensions transmises",0)</f>
        <v>0</v>
      </c>
      <c r="JMT26" s="1100"/>
      <c r="JMU26" s="1100"/>
      <c r="JMV26" s="1101"/>
      <c r="JMW26" s="1110">
        <f>IF(JNA10="Bovis","Attention retirer 2 mm aux dimensions transmises",0)</f>
        <v>0</v>
      </c>
      <c r="JMX26" s="1100"/>
      <c r="JMY26" s="1100"/>
      <c r="JMZ26" s="1101"/>
      <c r="JNA26" s="1110">
        <f>IF(JNE10="Bovis","Attention retirer 2 mm aux dimensions transmises",0)</f>
        <v>0</v>
      </c>
      <c r="JNB26" s="1100"/>
      <c r="JNC26" s="1100"/>
      <c r="JND26" s="1101"/>
      <c r="JNE26" s="1110">
        <f>IF(JNI10="Bovis","Attention retirer 2 mm aux dimensions transmises",0)</f>
        <v>0</v>
      </c>
      <c r="JNF26" s="1100"/>
      <c r="JNG26" s="1100"/>
      <c r="JNH26" s="1101"/>
      <c r="JNI26" s="1110">
        <f>IF(JNM10="Bovis","Attention retirer 2 mm aux dimensions transmises",0)</f>
        <v>0</v>
      </c>
      <c r="JNJ26" s="1100"/>
      <c r="JNK26" s="1100"/>
      <c r="JNL26" s="1101"/>
      <c r="JNM26" s="1110">
        <f>IF(JNQ10="Bovis","Attention retirer 2 mm aux dimensions transmises",0)</f>
        <v>0</v>
      </c>
      <c r="JNN26" s="1100"/>
      <c r="JNO26" s="1100"/>
      <c r="JNP26" s="1101"/>
      <c r="JNQ26" s="1110">
        <f>IF(JNU10="Bovis","Attention retirer 2 mm aux dimensions transmises",0)</f>
        <v>0</v>
      </c>
      <c r="JNR26" s="1100"/>
      <c r="JNS26" s="1100"/>
      <c r="JNT26" s="1101"/>
      <c r="JNU26" s="1110">
        <f>IF(JNY10="Bovis","Attention retirer 2 mm aux dimensions transmises",0)</f>
        <v>0</v>
      </c>
      <c r="JNV26" s="1100"/>
      <c r="JNW26" s="1100"/>
      <c r="JNX26" s="1101"/>
      <c r="JNY26" s="1110">
        <f>IF(JOC10="Bovis","Attention retirer 2 mm aux dimensions transmises",0)</f>
        <v>0</v>
      </c>
      <c r="JNZ26" s="1100"/>
      <c r="JOA26" s="1100"/>
      <c r="JOB26" s="1101"/>
      <c r="JOC26" s="1110">
        <f>IF(JOG10="Bovis","Attention retirer 2 mm aux dimensions transmises",0)</f>
        <v>0</v>
      </c>
      <c r="JOD26" s="1100"/>
      <c r="JOE26" s="1100"/>
      <c r="JOF26" s="1101"/>
      <c r="JOG26" s="1110">
        <f>IF(JOK10="Bovis","Attention retirer 2 mm aux dimensions transmises",0)</f>
        <v>0</v>
      </c>
      <c r="JOH26" s="1100"/>
      <c r="JOI26" s="1100"/>
      <c r="JOJ26" s="1101"/>
      <c r="JOK26" s="1110">
        <f>IF(JOO10="Bovis","Attention retirer 2 mm aux dimensions transmises",0)</f>
        <v>0</v>
      </c>
      <c r="JOL26" s="1100"/>
      <c r="JOM26" s="1100"/>
      <c r="JON26" s="1101"/>
      <c r="JOO26" s="1110">
        <f>IF(JOS10="Bovis","Attention retirer 2 mm aux dimensions transmises",0)</f>
        <v>0</v>
      </c>
      <c r="JOP26" s="1100"/>
      <c r="JOQ26" s="1100"/>
      <c r="JOR26" s="1101"/>
      <c r="JOS26" s="1110">
        <f>IF(JOW10="Bovis","Attention retirer 2 mm aux dimensions transmises",0)</f>
        <v>0</v>
      </c>
      <c r="JOT26" s="1100"/>
      <c r="JOU26" s="1100"/>
      <c r="JOV26" s="1101"/>
      <c r="JOW26" s="1110">
        <f>IF(JPA10="Bovis","Attention retirer 2 mm aux dimensions transmises",0)</f>
        <v>0</v>
      </c>
      <c r="JOX26" s="1100"/>
      <c r="JOY26" s="1100"/>
      <c r="JOZ26" s="1101"/>
      <c r="JPA26" s="1110">
        <f>IF(JPE10="Bovis","Attention retirer 2 mm aux dimensions transmises",0)</f>
        <v>0</v>
      </c>
      <c r="JPB26" s="1100"/>
      <c r="JPC26" s="1100"/>
      <c r="JPD26" s="1101"/>
      <c r="JPE26" s="1110">
        <f>IF(JPI10="Bovis","Attention retirer 2 mm aux dimensions transmises",0)</f>
        <v>0</v>
      </c>
      <c r="JPF26" s="1100"/>
      <c r="JPG26" s="1100"/>
      <c r="JPH26" s="1101"/>
      <c r="JPI26" s="1110">
        <f>IF(JPM10="Bovis","Attention retirer 2 mm aux dimensions transmises",0)</f>
        <v>0</v>
      </c>
      <c r="JPJ26" s="1100"/>
      <c r="JPK26" s="1100"/>
      <c r="JPL26" s="1101"/>
      <c r="JPM26" s="1110">
        <f>IF(JPQ10="Bovis","Attention retirer 2 mm aux dimensions transmises",0)</f>
        <v>0</v>
      </c>
      <c r="JPN26" s="1100"/>
      <c r="JPO26" s="1100"/>
      <c r="JPP26" s="1101"/>
      <c r="JPQ26" s="1110">
        <f>IF(JPU10="Bovis","Attention retirer 2 mm aux dimensions transmises",0)</f>
        <v>0</v>
      </c>
      <c r="JPR26" s="1100"/>
      <c r="JPS26" s="1100"/>
      <c r="JPT26" s="1101"/>
      <c r="JPU26" s="1110">
        <f>IF(JPY10="Bovis","Attention retirer 2 mm aux dimensions transmises",0)</f>
        <v>0</v>
      </c>
      <c r="JPV26" s="1100"/>
      <c r="JPW26" s="1100"/>
      <c r="JPX26" s="1101"/>
      <c r="JPY26" s="1110">
        <f>IF(JQC10="Bovis","Attention retirer 2 mm aux dimensions transmises",0)</f>
        <v>0</v>
      </c>
      <c r="JPZ26" s="1100"/>
      <c r="JQA26" s="1100"/>
      <c r="JQB26" s="1101"/>
      <c r="JQC26" s="1110">
        <f>IF(JQG10="Bovis","Attention retirer 2 mm aux dimensions transmises",0)</f>
        <v>0</v>
      </c>
      <c r="JQD26" s="1100"/>
      <c r="JQE26" s="1100"/>
      <c r="JQF26" s="1101"/>
      <c r="JQG26" s="1110">
        <f>IF(JQK10="Bovis","Attention retirer 2 mm aux dimensions transmises",0)</f>
        <v>0</v>
      </c>
      <c r="JQH26" s="1100"/>
      <c r="JQI26" s="1100"/>
      <c r="JQJ26" s="1101"/>
      <c r="JQK26" s="1110">
        <f>IF(JQO10="Bovis","Attention retirer 2 mm aux dimensions transmises",0)</f>
        <v>0</v>
      </c>
      <c r="JQL26" s="1100"/>
      <c r="JQM26" s="1100"/>
      <c r="JQN26" s="1101"/>
      <c r="JQO26" s="1110">
        <f>IF(JQS10="Bovis","Attention retirer 2 mm aux dimensions transmises",0)</f>
        <v>0</v>
      </c>
      <c r="JQP26" s="1100"/>
      <c r="JQQ26" s="1100"/>
      <c r="JQR26" s="1101"/>
      <c r="JQS26" s="1110">
        <f>IF(JQW10="Bovis","Attention retirer 2 mm aux dimensions transmises",0)</f>
        <v>0</v>
      </c>
      <c r="JQT26" s="1100"/>
      <c r="JQU26" s="1100"/>
      <c r="JQV26" s="1101"/>
      <c r="JQW26" s="1110">
        <f>IF(JRA10="Bovis","Attention retirer 2 mm aux dimensions transmises",0)</f>
        <v>0</v>
      </c>
      <c r="JQX26" s="1100"/>
      <c r="JQY26" s="1100"/>
      <c r="JQZ26" s="1101"/>
      <c r="JRA26" s="1110">
        <f>IF(JRE10="Bovis","Attention retirer 2 mm aux dimensions transmises",0)</f>
        <v>0</v>
      </c>
      <c r="JRB26" s="1100"/>
      <c r="JRC26" s="1100"/>
      <c r="JRD26" s="1101"/>
      <c r="JRE26" s="1110">
        <f>IF(JRI10="Bovis","Attention retirer 2 mm aux dimensions transmises",0)</f>
        <v>0</v>
      </c>
      <c r="JRF26" s="1100"/>
      <c r="JRG26" s="1100"/>
      <c r="JRH26" s="1101"/>
      <c r="JRI26" s="1110">
        <f>IF(JRM10="Bovis","Attention retirer 2 mm aux dimensions transmises",0)</f>
        <v>0</v>
      </c>
      <c r="JRJ26" s="1100"/>
      <c r="JRK26" s="1100"/>
      <c r="JRL26" s="1101"/>
      <c r="JRM26" s="1110">
        <f>IF(JRQ10="Bovis","Attention retirer 2 mm aux dimensions transmises",0)</f>
        <v>0</v>
      </c>
      <c r="JRN26" s="1100"/>
      <c r="JRO26" s="1100"/>
      <c r="JRP26" s="1101"/>
      <c r="JRQ26" s="1110">
        <f>IF(JRU10="Bovis","Attention retirer 2 mm aux dimensions transmises",0)</f>
        <v>0</v>
      </c>
      <c r="JRR26" s="1100"/>
      <c r="JRS26" s="1100"/>
      <c r="JRT26" s="1101"/>
      <c r="JRU26" s="1110">
        <f>IF(JRY10="Bovis","Attention retirer 2 mm aux dimensions transmises",0)</f>
        <v>0</v>
      </c>
      <c r="JRV26" s="1100"/>
      <c r="JRW26" s="1100"/>
      <c r="JRX26" s="1101"/>
      <c r="JRY26" s="1110">
        <f>IF(JSC10="Bovis","Attention retirer 2 mm aux dimensions transmises",0)</f>
        <v>0</v>
      </c>
      <c r="JRZ26" s="1100"/>
      <c r="JSA26" s="1100"/>
      <c r="JSB26" s="1101"/>
      <c r="JSC26" s="1110">
        <f>IF(JSG10="Bovis","Attention retirer 2 mm aux dimensions transmises",0)</f>
        <v>0</v>
      </c>
      <c r="JSD26" s="1100"/>
      <c r="JSE26" s="1100"/>
      <c r="JSF26" s="1101"/>
      <c r="JSG26" s="1110">
        <f>IF(JSK10="Bovis","Attention retirer 2 mm aux dimensions transmises",0)</f>
        <v>0</v>
      </c>
      <c r="JSH26" s="1100"/>
      <c r="JSI26" s="1100"/>
      <c r="JSJ26" s="1101"/>
      <c r="JSK26" s="1110">
        <f>IF(JSO10="Bovis","Attention retirer 2 mm aux dimensions transmises",0)</f>
        <v>0</v>
      </c>
      <c r="JSL26" s="1100"/>
      <c r="JSM26" s="1100"/>
      <c r="JSN26" s="1101"/>
      <c r="JSO26" s="1110">
        <f>IF(JSS10="Bovis","Attention retirer 2 mm aux dimensions transmises",0)</f>
        <v>0</v>
      </c>
      <c r="JSP26" s="1100"/>
      <c r="JSQ26" s="1100"/>
      <c r="JSR26" s="1101"/>
      <c r="JSS26" s="1110">
        <f>IF(JSW10="Bovis","Attention retirer 2 mm aux dimensions transmises",0)</f>
        <v>0</v>
      </c>
      <c r="JST26" s="1100"/>
      <c r="JSU26" s="1100"/>
      <c r="JSV26" s="1101"/>
      <c r="JSW26" s="1110">
        <f>IF(JTA10="Bovis","Attention retirer 2 mm aux dimensions transmises",0)</f>
        <v>0</v>
      </c>
      <c r="JSX26" s="1100"/>
      <c r="JSY26" s="1100"/>
      <c r="JSZ26" s="1101"/>
      <c r="JTA26" s="1110">
        <f>IF(JTE10="Bovis","Attention retirer 2 mm aux dimensions transmises",0)</f>
        <v>0</v>
      </c>
      <c r="JTB26" s="1100"/>
      <c r="JTC26" s="1100"/>
      <c r="JTD26" s="1101"/>
      <c r="JTE26" s="1110">
        <f>IF(JTI10="Bovis","Attention retirer 2 mm aux dimensions transmises",0)</f>
        <v>0</v>
      </c>
      <c r="JTF26" s="1100"/>
      <c r="JTG26" s="1100"/>
      <c r="JTH26" s="1101"/>
      <c r="JTI26" s="1110">
        <f>IF(JTM10="Bovis","Attention retirer 2 mm aux dimensions transmises",0)</f>
        <v>0</v>
      </c>
      <c r="JTJ26" s="1100"/>
      <c r="JTK26" s="1100"/>
      <c r="JTL26" s="1101"/>
      <c r="JTM26" s="1110">
        <f>IF(JTQ10="Bovis","Attention retirer 2 mm aux dimensions transmises",0)</f>
        <v>0</v>
      </c>
      <c r="JTN26" s="1100"/>
      <c r="JTO26" s="1100"/>
      <c r="JTP26" s="1101"/>
      <c r="JTQ26" s="1110">
        <f>IF(JTU10="Bovis","Attention retirer 2 mm aux dimensions transmises",0)</f>
        <v>0</v>
      </c>
      <c r="JTR26" s="1100"/>
      <c r="JTS26" s="1100"/>
      <c r="JTT26" s="1101"/>
      <c r="JTU26" s="1110">
        <f>IF(JTY10="Bovis","Attention retirer 2 mm aux dimensions transmises",0)</f>
        <v>0</v>
      </c>
      <c r="JTV26" s="1100"/>
      <c r="JTW26" s="1100"/>
      <c r="JTX26" s="1101"/>
      <c r="JTY26" s="1110">
        <f>IF(JUC10="Bovis","Attention retirer 2 mm aux dimensions transmises",0)</f>
        <v>0</v>
      </c>
      <c r="JTZ26" s="1100"/>
      <c r="JUA26" s="1100"/>
      <c r="JUB26" s="1101"/>
      <c r="JUC26" s="1110">
        <f>IF(JUG10="Bovis","Attention retirer 2 mm aux dimensions transmises",0)</f>
        <v>0</v>
      </c>
      <c r="JUD26" s="1100"/>
      <c r="JUE26" s="1100"/>
      <c r="JUF26" s="1101"/>
      <c r="JUG26" s="1110">
        <f>IF(JUK10="Bovis","Attention retirer 2 mm aux dimensions transmises",0)</f>
        <v>0</v>
      </c>
      <c r="JUH26" s="1100"/>
      <c r="JUI26" s="1100"/>
      <c r="JUJ26" s="1101"/>
      <c r="JUK26" s="1110">
        <f>IF(JUO10="Bovis","Attention retirer 2 mm aux dimensions transmises",0)</f>
        <v>0</v>
      </c>
      <c r="JUL26" s="1100"/>
      <c r="JUM26" s="1100"/>
      <c r="JUN26" s="1101"/>
      <c r="JUO26" s="1110">
        <f>IF(JUS10="Bovis","Attention retirer 2 mm aux dimensions transmises",0)</f>
        <v>0</v>
      </c>
      <c r="JUP26" s="1100"/>
      <c r="JUQ26" s="1100"/>
      <c r="JUR26" s="1101"/>
      <c r="JUS26" s="1110">
        <f>IF(JUW10="Bovis","Attention retirer 2 mm aux dimensions transmises",0)</f>
        <v>0</v>
      </c>
      <c r="JUT26" s="1100"/>
      <c r="JUU26" s="1100"/>
      <c r="JUV26" s="1101"/>
      <c r="JUW26" s="1110">
        <f>IF(JVA10="Bovis","Attention retirer 2 mm aux dimensions transmises",0)</f>
        <v>0</v>
      </c>
      <c r="JUX26" s="1100"/>
      <c r="JUY26" s="1100"/>
      <c r="JUZ26" s="1101"/>
      <c r="JVA26" s="1110">
        <f>IF(JVE10="Bovis","Attention retirer 2 mm aux dimensions transmises",0)</f>
        <v>0</v>
      </c>
      <c r="JVB26" s="1100"/>
      <c r="JVC26" s="1100"/>
      <c r="JVD26" s="1101"/>
      <c r="JVE26" s="1110">
        <f>IF(JVI10="Bovis","Attention retirer 2 mm aux dimensions transmises",0)</f>
        <v>0</v>
      </c>
      <c r="JVF26" s="1100"/>
      <c r="JVG26" s="1100"/>
      <c r="JVH26" s="1101"/>
      <c r="JVI26" s="1110">
        <f>IF(JVM10="Bovis","Attention retirer 2 mm aux dimensions transmises",0)</f>
        <v>0</v>
      </c>
      <c r="JVJ26" s="1100"/>
      <c r="JVK26" s="1100"/>
      <c r="JVL26" s="1101"/>
      <c r="JVM26" s="1110">
        <f>IF(JVQ10="Bovis","Attention retirer 2 mm aux dimensions transmises",0)</f>
        <v>0</v>
      </c>
      <c r="JVN26" s="1100"/>
      <c r="JVO26" s="1100"/>
      <c r="JVP26" s="1101"/>
      <c r="JVQ26" s="1110">
        <f>IF(JVU10="Bovis","Attention retirer 2 mm aux dimensions transmises",0)</f>
        <v>0</v>
      </c>
      <c r="JVR26" s="1100"/>
      <c r="JVS26" s="1100"/>
      <c r="JVT26" s="1101"/>
      <c r="JVU26" s="1110">
        <f>IF(JVY10="Bovis","Attention retirer 2 mm aux dimensions transmises",0)</f>
        <v>0</v>
      </c>
      <c r="JVV26" s="1100"/>
      <c r="JVW26" s="1100"/>
      <c r="JVX26" s="1101"/>
      <c r="JVY26" s="1110">
        <f>IF(JWC10="Bovis","Attention retirer 2 mm aux dimensions transmises",0)</f>
        <v>0</v>
      </c>
      <c r="JVZ26" s="1100"/>
      <c r="JWA26" s="1100"/>
      <c r="JWB26" s="1101"/>
      <c r="JWC26" s="1110">
        <f>IF(JWG10="Bovis","Attention retirer 2 mm aux dimensions transmises",0)</f>
        <v>0</v>
      </c>
      <c r="JWD26" s="1100"/>
      <c r="JWE26" s="1100"/>
      <c r="JWF26" s="1101"/>
      <c r="JWG26" s="1110">
        <f>IF(JWK10="Bovis","Attention retirer 2 mm aux dimensions transmises",0)</f>
        <v>0</v>
      </c>
      <c r="JWH26" s="1100"/>
      <c r="JWI26" s="1100"/>
      <c r="JWJ26" s="1101"/>
      <c r="JWK26" s="1110">
        <f>IF(JWO10="Bovis","Attention retirer 2 mm aux dimensions transmises",0)</f>
        <v>0</v>
      </c>
      <c r="JWL26" s="1100"/>
      <c r="JWM26" s="1100"/>
      <c r="JWN26" s="1101"/>
      <c r="JWO26" s="1110">
        <f>IF(JWS10="Bovis","Attention retirer 2 mm aux dimensions transmises",0)</f>
        <v>0</v>
      </c>
      <c r="JWP26" s="1100"/>
      <c r="JWQ26" s="1100"/>
      <c r="JWR26" s="1101"/>
      <c r="JWS26" s="1110">
        <f>IF(JWW10="Bovis","Attention retirer 2 mm aux dimensions transmises",0)</f>
        <v>0</v>
      </c>
      <c r="JWT26" s="1100"/>
      <c r="JWU26" s="1100"/>
      <c r="JWV26" s="1101"/>
      <c r="JWW26" s="1110">
        <f>IF(JXA10="Bovis","Attention retirer 2 mm aux dimensions transmises",0)</f>
        <v>0</v>
      </c>
      <c r="JWX26" s="1100"/>
      <c r="JWY26" s="1100"/>
      <c r="JWZ26" s="1101"/>
      <c r="JXA26" s="1110">
        <f>IF(JXE10="Bovis","Attention retirer 2 mm aux dimensions transmises",0)</f>
        <v>0</v>
      </c>
      <c r="JXB26" s="1100"/>
      <c r="JXC26" s="1100"/>
      <c r="JXD26" s="1101"/>
      <c r="JXE26" s="1110">
        <f>IF(JXI10="Bovis","Attention retirer 2 mm aux dimensions transmises",0)</f>
        <v>0</v>
      </c>
      <c r="JXF26" s="1100"/>
      <c r="JXG26" s="1100"/>
      <c r="JXH26" s="1101"/>
      <c r="JXI26" s="1110">
        <f>IF(JXM10="Bovis","Attention retirer 2 mm aux dimensions transmises",0)</f>
        <v>0</v>
      </c>
      <c r="JXJ26" s="1100"/>
      <c r="JXK26" s="1100"/>
      <c r="JXL26" s="1101"/>
      <c r="JXM26" s="1110">
        <f>IF(JXQ10="Bovis","Attention retirer 2 mm aux dimensions transmises",0)</f>
        <v>0</v>
      </c>
      <c r="JXN26" s="1100"/>
      <c r="JXO26" s="1100"/>
      <c r="JXP26" s="1101"/>
      <c r="JXQ26" s="1110">
        <f>IF(JXU10="Bovis","Attention retirer 2 mm aux dimensions transmises",0)</f>
        <v>0</v>
      </c>
      <c r="JXR26" s="1100"/>
      <c r="JXS26" s="1100"/>
      <c r="JXT26" s="1101"/>
      <c r="JXU26" s="1110">
        <f>IF(JXY10="Bovis","Attention retirer 2 mm aux dimensions transmises",0)</f>
        <v>0</v>
      </c>
      <c r="JXV26" s="1100"/>
      <c r="JXW26" s="1100"/>
      <c r="JXX26" s="1101"/>
      <c r="JXY26" s="1110">
        <f>IF(JYC10="Bovis","Attention retirer 2 mm aux dimensions transmises",0)</f>
        <v>0</v>
      </c>
      <c r="JXZ26" s="1100"/>
      <c r="JYA26" s="1100"/>
      <c r="JYB26" s="1101"/>
      <c r="JYC26" s="1110">
        <f>IF(JYG10="Bovis","Attention retirer 2 mm aux dimensions transmises",0)</f>
        <v>0</v>
      </c>
      <c r="JYD26" s="1100"/>
      <c r="JYE26" s="1100"/>
      <c r="JYF26" s="1101"/>
      <c r="JYG26" s="1110">
        <f>IF(JYK10="Bovis","Attention retirer 2 mm aux dimensions transmises",0)</f>
        <v>0</v>
      </c>
      <c r="JYH26" s="1100"/>
      <c r="JYI26" s="1100"/>
      <c r="JYJ26" s="1101"/>
      <c r="JYK26" s="1110">
        <f>IF(JYO10="Bovis","Attention retirer 2 mm aux dimensions transmises",0)</f>
        <v>0</v>
      </c>
      <c r="JYL26" s="1100"/>
      <c r="JYM26" s="1100"/>
      <c r="JYN26" s="1101"/>
      <c r="JYO26" s="1110">
        <f>IF(JYS10="Bovis","Attention retirer 2 mm aux dimensions transmises",0)</f>
        <v>0</v>
      </c>
      <c r="JYP26" s="1100"/>
      <c r="JYQ26" s="1100"/>
      <c r="JYR26" s="1101"/>
      <c r="JYS26" s="1110">
        <f>IF(JYW10="Bovis","Attention retirer 2 mm aux dimensions transmises",0)</f>
        <v>0</v>
      </c>
      <c r="JYT26" s="1100"/>
      <c r="JYU26" s="1100"/>
      <c r="JYV26" s="1101"/>
      <c r="JYW26" s="1110">
        <f>IF(JZA10="Bovis","Attention retirer 2 mm aux dimensions transmises",0)</f>
        <v>0</v>
      </c>
      <c r="JYX26" s="1100"/>
      <c r="JYY26" s="1100"/>
      <c r="JYZ26" s="1101"/>
      <c r="JZA26" s="1110">
        <f>IF(JZE10="Bovis","Attention retirer 2 mm aux dimensions transmises",0)</f>
        <v>0</v>
      </c>
      <c r="JZB26" s="1100"/>
      <c r="JZC26" s="1100"/>
      <c r="JZD26" s="1101"/>
      <c r="JZE26" s="1110">
        <f>IF(JZI10="Bovis","Attention retirer 2 mm aux dimensions transmises",0)</f>
        <v>0</v>
      </c>
      <c r="JZF26" s="1100"/>
      <c r="JZG26" s="1100"/>
      <c r="JZH26" s="1101"/>
      <c r="JZI26" s="1110">
        <f>IF(JZM10="Bovis","Attention retirer 2 mm aux dimensions transmises",0)</f>
        <v>0</v>
      </c>
      <c r="JZJ26" s="1100"/>
      <c r="JZK26" s="1100"/>
      <c r="JZL26" s="1101"/>
      <c r="JZM26" s="1110">
        <f>IF(JZQ10="Bovis","Attention retirer 2 mm aux dimensions transmises",0)</f>
        <v>0</v>
      </c>
      <c r="JZN26" s="1100"/>
      <c r="JZO26" s="1100"/>
      <c r="JZP26" s="1101"/>
      <c r="JZQ26" s="1110">
        <f>IF(JZU10="Bovis","Attention retirer 2 mm aux dimensions transmises",0)</f>
        <v>0</v>
      </c>
      <c r="JZR26" s="1100"/>
      <c r="JZS26" s="1100"/>
      <c r="JZT26" s="1101"/>
      <c r="JZU26" s="1110">
        <f>IF(JZY10="Bovis","Attention retirer 2 mm aux dimensions transmises",0)</f>
        <v>0</v>
      </c>
      <c r="JZV26" s="1100"/>
      <c r="JZW26" s="1100"/>
      <c r="JZX26" s="1101"/>
      <c r="JZY26" s="1110">
        <f>IF(KAC10="Bovis","Attention retirer 2 mm aux dimensions transmises",0)</f>
        <v>0</v>
      </c>
      <c r="JZZ26" s="1100"/>
      <c r="KAA26" s="1100"/>
      <c r="KAB26" s="1101"/>
      <c r="KAC26" s="1110">
        <f>IF(KAG10="Bovis","Attention retirer 2 mm aux dimensions transmises",0)</f>
        <v>0</v>
      </c>
      <c r="KAD26" s="1100"/>
      <c r="KAE26" s="1100"/>
      <c r="KAF26" s="1101"/>
      <c r="KAG26" s="1110">
        <f>IF(KAK10="Bovis","Attention retirer 2 mm aux dimensions transmises",0)</f>
        <v>0</v>
      </c>
      <c r="KAH26" s="1100"/>
      <c r="KAI26" s="1100"/>
      <c r="KAJ26" s="1101"/>
      <c r="KAK26" s="1110">
        <f>IF(KAO10="Bovis","Attention retirer 2 mm aux dimensions transmises",0)</f>
        <v>0</v>
      </c>
      <c r="KAL26" s="1100"/>
      <c r="KAM26" s="1100"/>
      <c r="KAN26" s="1101"/>
      <c r="KAO26" s="1110">
        <f>IF(KAS10="Bovis","Attention retirer 2 mm aux dimensions transmises",0)</f>
        <v>0</v>
      </c>
      <c r="KAP26" s="1100"/>
      <c r="KAQ26" s="1100"/>
      <c r="KAR26" s="1101"/>
      <c r="KAS26" s="1110">
        <f>IF(KAW10="Bovis","Attention retirer 2 mm aux dimensions transmises",0)</f>
        <v>0</v>
      </c>
      <c r="KAT26" s="1100"/>
      <c r="KAU26" s="1100"/>
      <c r="KAV26" s="1101"/>
      <c r="KAW26" s="1110">
        <f>IF(KBA10="Bovis","Attention retirer 2 mm aux dimensions transmises",0)</f>
        <v>0</v>
      </c>
      <c r="KAX26" s="1100"/>
      <c r="KAY26" s="1100"/>
      <c r="KAZ26" s="1101"/>
      <c r="KBA26" s="1110">
        <f>IF(KBE10="Bovis","Attention retirer 2 mm aux dimensions transmises",0)</f>
        <v>0</v>
      </c>
      <c r="KBB26" s="1100"/>
      <c r="KBC26" s="1100"/>
      <c r="KBD26" s="1101"/>
      <c r="KBE26" s="1110">
        <f>IF(KBI10="Bovis","Attention retirer 2 mm aux dimensions transmises",0)</f>
        <v>0</v>
      </c>
      <c r="KBF26" s="1100"/>
      <c r="KBG26" s="1100"/>
      <c r="KBH26" s="1101"/>
      <c r="KBI26" s="1110">
        <f>IF(KBM10="Bovis","Attention retirer 2 mm aux dimensions transmises",0)</f>
        <v>0</v>
      </c>
      <c r="KBJ26" s="1100"/>
      <c r="KBK26" s="1100"/>
      <c r="KBL26" s="1101"/>
      <c r="KBM26" s="1110">
        <f>IF(KBQ10="Bovis","Attention retirer 2 mm aux dimensions transmises",0)</f>
        <v>0</v>
      </c>
      <c r="KBN26" s="1100"/>
      <c r="KBO26" s="1100"/>
      <c r="KBP26" s="1101"/>
      <c r="KBQ26" s="1110">
        <f>IF(KBU10="Bovis","Attention retirer 2 mm aux dimensions transmises",0)</f>
        <v>0</v>
      </c>
      <c r="KBR26" s="1100"/>
      <c r="KBS26" s="1100"/>
      <c r="KBT26" s="1101"/>
      <c r="KBU26" s="1110">
        <f>IF(KBY10="Bovis","Attention retirer 2 mm aux dimensions transmises",0)</f>
        <v>0</v>
      </c>
      <c r="KBV26" s="1100"/>
      <c r="KBW26" s="1100"/>
      <c r="KBX26" s="1101"/>
      <c r="KBY26" s="1110">
        <f>IF(KCC10="Bovis","Attention retirer 2 mm aux dimensions transmises",0)</f>
        <v>0</v>
      </c>
      <c r="KBZ26" s="1100"/>
      <c r="KCA26" s="1100"/>
      <c r="KCB26" s="1101"/>
      <c r="KCC26" s="1110">
        <f>IF(KCG10="Bovis","Attention retirer 2 mm aux dimensions transmises",0)</f>
        <v>0</v>
      </c>
      <c r="KCD26" s="1100"/>
      <c r="KCE26" s="1100"/>
      <c r="KCF26" s="1101"/>
      <c r="KCG26" s="1110">
        <f>IF(KCK10="Bovis","Attention retirer 2 mm aux dimensions transmises",0)</f>
        <v>0</v>
      </c>
      <c r="KCH26" s="1100"/>
      <c r="KCI26" s="1100"/>
      <c r="KCJ26" s="1101"/>
      <c r="KCK26" s="1110">
        <f>IF(KCO10="Bovis","Attention retirer 2 mm aux dimensions transmises",0)</f>
        <v>0</v>
      </c>
      <c r="KCL26" s="1100"/>
      <c r="KCM26" s="1100"/>
      <c r="KCN26" s="1101"/>
      <c r="KCO26" s="1110">
        <f>IF(KCS10="Bovis","Attention retirer 2 mm aux dimensions transmises",0)</f>
        <v>0</v>
      </c>
      <c r="KCP26" s="1100"/>
      <c r="KCQ26" s="1100"/>
      <c r="KCR26" s="1101"/>
      <c r="KCS26" s="1110">
        <f>IF(KCW10="Bovis","Attention retirer 2 mm aux dimensions transmises",0)</f>
        <v>0</v>
      </c>
      <c r="KCT26" s="1100"/>
      <c r="KCU26" s="1100"/>
      <c r="KCV26" s="1101"/>
      <c r="KCW26" s="1110">
        <f>IF(KDA10="Bovis","Attention retirer 2 mm aux dimensions transmises",0)</f>
        <v>0</v>
      </c>
      <c r="KCX26" s="1100"/>
      <c r="KCY26" s="1100"/>
      <c r="KCZ26" s="1101"/>
      <c r="KDA26" s="1110">
        <f>IF(KDE10="Bovis","Attention retirer 2 mm aux dimensions transmises",0)</f>
        <v>0</v>
      </c>
      <c r="KDB26" s="1100"/>
      <c r="KDC26" s="1100"/>
      <c r="KDD26" s="1101"/>
      <c r="KDE26" s="1110">
        <f>IF(KDI10="Bovis","Attention retirer 2 mm aux dimensions transmises",0)</f>
        <v>0</v>
      </c>
      <c r="KDF26" s="1100"/>
      <c r="KDG26" s="1100"/>
      <c r="KDH26" s="1101"/>
      <c r="KDI26" s="1110">
        <f>IF(KDM10="Bovis","Attention retirer 2 mm aux dimensions transmises",0)</f>
        <v>0</v>
      </c>
      <c r="KDJ26" s="1100"/>
      <c r="KDK26" s="1100"/>
      <c r="KDL26" s="1101"/>
      <c r="KDM26" s="1110">
        <f>IF(KDQ10="Bovis","Attention retirer 2 mm aux dimensions transmises",0)</f>
        <v>0</v>
      </c>
      <c r="KDN26" s="1100"/>
      <c r="KDO26" s="1100"/>
      <c r="KDP26" s="1101"/>
      <c r="KDQ26" s="1110">
        <f>IF(KDU10="Bovis","Attention retirer 2 mm aux dimensions transmises",0)</f>
        <v>0</v>
      </c>
      <c r="KDR26" s="1100"/>
      <c r="KDS26" s="1100"/>
      <c r="KDT26" s="1101"/>
      <c r="KDU26" s="1110">
        <f>IF(KDY10="Bovis","Attention retirer 2 mm aux dimensions transmises",0)</f>
        <v>0</v>
      </c>
      <c r="KDV26" s="1100"/>
      <c r="KDW26" s="1100"/>
      <c r="KDX26" s="1101"/>
      <c r="KDY26" s="1110">
        <f>IF(KEC10="Bovis","Attention retirer 2 mm aux dimensions transmises",0)</f>
        <v>0</v>
      </c>
      <c r="KDZ26" s="1100"/>
      <c r="KEA26" s="1100"/>
      <c r="KEB26" s="1101"/>
      <c r="KEC26" s="1110">
        <f>IF(KEG10="Bovis","Attention retirer 2 mm aux dimensions transmises",0)</f>
        <v>0</v>
      </c>
      <c r="KED26" s="1100"/>
      <c r="KEE26" s="1100"/>
      <c r="KEF26" s="1101"/>
      <c r="KEG26" s="1110">
        <f>IF(KEK10="Bovis","Attention retirer 2 mm aux dimensions transmises",0)</f>
        <v>0</v>
      </c>
      <c r="KEH26" s="1100"/>
      <c r="KEI26" s="1100"/>
      <c r="KEJ26" s="1101"/>
      <c r="KEK26" s="1110">
        <f>IF(KEO10="Bovis","Attention retirer 2 mm aux dimensions transmises",0)</f>
        <v>0</v>
      </c>
      <c r="KEL26" s="1100"/>
      <c r="KEM26" s="1100"/>
      <c r="KEN26" s="1101"/>
      <c r="KEO26" s="1110">
        <f>IF(KES10="Bovis","Attention retirer 2 mm aux dimensions transmises",0)</f>
        <v>0</v>
      </c>
      <c r="KEP26" s="1100"/>
      <c r="KEQ26" s="1100"/>
      <c r="KER26" s="1101"/>
      <c r="KES26" s="1110">
        <f>IF(KEW10="Bovis","Attention retirer 2 mm aux dimensions transmises",0)</f>
        <v>0</v>
      </c>
      <c r="KET26" s="1100"/>
      <c r="KEU26" s="1100"/>
      <c r="KEV26" s="1101"/>
      <c r="KEW26" s="1110">
        <f>IF(KFA10="Bovis","Attention retirer 2 mm aux dimensions transmises",0)</f>
        <v>0</v>
      </c>
      <c r="KEX26" s="1100"/>
      <c r="KEY26" s="1100"/>
      <c r="KEZ26" s="1101"/>
      <c r="KFA26" s="1110">
        <f>IF(KFE10="Bovis","Attention retirer 2 mm aux dimensions transmises",0)</f>
        <v>0</v>
      </c>
      <c r="KFB26" s="1100"/>
      <c r="KFC26" s="1100"/>
      <c r="KFD26" s="1101"/>
      <c r="KFE26" s="1110">
        <f>IF(KFI10="Bovis","Attention retirer 2 mm aux dimensions transmises",0)</f>
        <v>0</v>
      </c>
      <c r="KFF26" s="1100"/>
      <c r="KFG26" s="1100"/>
      <c r="KFH26" s="1101"/>
      <c r="KFI26" s="1110">
        <f>IF(KFM10="Bovis","Attention retirer 2 mm aux dimensions transmises",0)</f>
        <v>0</v>
      </c>
      <c r="KFJ26" s="1100"/>
      <c r="KFK26" s="1100"/>
      <c r="KFL26" s="1101"/>
      <c r="KFM26" s="1110">
        <f>IF(KFQ10="Bovis","Attention retirer 2 mm aux dimensions transmises",0)</f>
        <v>0</v>
      </c>
      <c r="KFN26" s="1100"/>
      <c r="KFO26" s="1100"/>
      <c r="KFP26" s="1101"/>
      <c r="KFQ26" s="1110">
        <f>IF(KFU10="Bovis","Attention retirer 2 mm aux dimensions transmises",0)</f>
        <v>0</v>
      </c>
      <c r="KFR26" s="1100"/>
      <c r="KFS26" s="1100"/>
      <c r="KFT26" s="1101"/>
      <c r="KFU26" s="1110">
        <f>IF(KFY10="Bovis","Attention retirer 2 mm aux dimensions transmises",0)</f>
        <v>0</v>
      </c>
      <c r="KFV26" s="1100"/>
      <c r="KFW26" s="1100"/>
      <c r="KFX26" s="1101"/>
      <c r="KFY26" s="1110">
        <f>IF(KGC10="Bovis","Attention retirer 2 mm aux dimensions transmises",0)</f>
        <v>0</v>
      </c>
      <c r="KFZ26" s="1100"/>
      <c r="KGA26" s="1100"/>
      <c r="KGB26" s="1101"/>
      <c r="KGC26" s="1110">
        <f>IF(KGG10="Bovis","Attention retirer 2 mm aux dimensions transmises",0)</f>
        <v>0</v>
      </c>
      <c r="KGD26" s="1100"/>
      <c r="KGE26" s="1100"/>
      <c r="KGF26" s="1101"/>
      <c r="KGG26" s="1110">
        <f>IF(KGK10="Bovis","Attention retirer 2 mm aux dimensions transmises",0)</f>
        <v>0</v>
      </c>
      <c r="KGH26" s="1100"/>
      <c r="KGI26" s="1100"/>
      <c r="KGJ26" s="1101"/>
      <c r="KGK26" s="1110">
        <f>IF(KGO10="Bovis","Attention retirer 2 mm aux dimensions transmises",0)</f>
        <v>0</v>
      </c>
      <c r="KGL26" s="1100"/>
      <c r="KGM26" s="1100"/>
      <c r="KGN26" s="1101"/>
      <c r="KGO26" s="1110">
        <f>IF(KGS10="Bovis","Attention retirer 2 mm aux dimensions transmises",0)</f>
        <v>0</v>
      </c>
      <c r="KGP26" s="1100"/>
      <c r="KGQ26" s="1100"/>
      <c r="KGR26" s="1101"/>
      <c r="KGS26" s="1110">
        <f>IF(KGW10="Bovis","Attention retirer 2 mm aux dimensions transmises",0)</f>
        <v>0</v>
      </c>
      <c r="KGT26" s="1100"/>
      <c r="KGU26" s="1100"/>
      <c r="KGV26" s="1101"/>
      <c r="KGW26" s="1110">
        <f>IF(KHA10="Bovis","Attention retirer 2 mm aux dimensions transmises",0)</f>
        <v>0</v>
      </c>
      <c r="KGX26" s="1100"/>
      <c r="KGY26" s="1100"/>
      <c r="KGZ26" s="1101"/>
      <c r="KHA26" s="1110">
        <f>IF(KHE10="Bovis","Attention retirer 2 mm aux dimensions transmises",0)</f>
        <v>0</v>
      </c>
      <c r="KHB26" s="1100"/>
      <c r="KHC26" s="1100"/>
      <c r="KHD26" s="1101"/>
      <c r="KHE26" s="1110">
        <f>IF(KHI10="Bovis","Attention retirer 2 mm aux dimensions transmises",0)</f>
        <v>0</v>
      </c>
      <c r="KHF26" s="1100"/>
      <c r="KHG26" s="1100"/>
      <c r="KHH26" s="1101"/>
      <c r="KHI26" s="1110">
        <f>IF(KHM10="Bovis","Attention retirer 2 mm aux dimensions transmises",0)</f>
        <v>0</v>
      </c>
      <c r="KHJ26" s="1100"/>
      <c r="KHK26" s="1100"/>
      <c r="KHL26" s="1101"/>
      <c r="KHM26" s="1110">
        <f>IF(KHQ10="Bovis","Attention retirer 2 mm aux dimensions transmises",0)</f>
        <v>0</v>
      </c>
      <c r="KHN26" s="1100"/>
      <c r="KHO26" s="1100"/>
      <c r="KHP26" s="1101"/>
      <c r="KHQ26" s="1110">
        <f>IF(KHU10="Bovis","Attention retirer 2 mm aux dimensions transmises",0)</f>
        <v>0</v>
      </c>
      <c r="KHR26" s="1100"/>
      <c r="KHS26" s="1100"/>
      <c r="KHT26" s="1101"/>
      <c r="KHU26" s="1110">
        <f>IF(KHY10="Bovis","Attention retirer 2 mm aux dimensions transmises",0)</f>
        <v>0</v>
      </c>
      <c r="KHV26" s="1100"/>
      <c r="KHW26" s="1100"/>
      <c r="KHX26" s="1101"/>
      <c r="KHY26" s="1110">
        <f>IF(KIC10="Bovis","Attention retirer 2 mm aux dimensions transmises",0)</f>
        <v>0</v>
      </c>
      <c r="KHZ26" s="1100"/>
      <c r="KIA26" s="1100"/>
      <c r="KIB26" s="1101"/>
      <c r="KIC26" s="1110">
        <f>IF(KIG10="Bovis","Attention retirer 2 mm aux dimensions transmises",0)</f>
        <v>0</v>
      </c>
      <c r="KID26" s="1100"/>
      <c r="KIE26" s="1100"/>
      <c r="KIF26" s="1101"/>
      <c r="KIG26" s="1110">
        <f>IF(KIK10="Bovis","Attention retirer 2 mm aux dimensions transmises",0)</f>
        <v>0</v>
      </c>
      <c r="KIH26" s="1100"/>
      <c r="KII26" s="1100"/>
      <c r="KIJ26" s="1101"/>
      <c r="KIK26" s="1110">
        <f>IF(KIO10="Bovis","Attention retirer 2 mm aux dimensions transmises",0)</f>
        <v>0</v>
      </c>
      <c r="KIL26" s="1100"/>
      <c r="KIM26" s="1100"/>
      <c r="KIN26" s="1101"/>
      <c r="KIO26" s="1110">
        <f>IF(KIS10="Bovis","Attention retirer 2 mm aux dimensions transmises",0)</f>
        <v>0</v>
      </c>
      <c r="KIP26" s="1100"/>
      <c r="KIQ26" s="1100"/>
      <c r="KIR26" s="1101"/>
      <c r="KIS26" s="1110">
        <f>IF(KIW10="Bovis","Attention retirer 2 mm aux dimensions transmises",0)</f>
        <v>0</v>
      </c>
      <c r="KIT26" s="1100"/>
      <c r="KIU26" s="1100"/>
      <c r="KIV26" s="1101"/>
      <c r="KIW26" s="1110">
        <f>IF(KJA10="Bovis","Attention retirer 2 mm aux dimensions transmises",0)</f>
        <v>0</v>
      </c>
      <c r="KIX26" s="1100"/>
      <c r="KIY26" s="1100"/>
      <c r="KIZ26" s="1101"/>
      <c r="KJA26" s="1110">
        <f>IF(KJE10="Bovis","Attention retirer 2 mm aux dimensions transmises",0)</f>
        <v>0</v>
      </c>
      <c r="KJB26" s="1100"/>
      <c r="KJC26" s="1100"/>
      <c r="KJD26" s="1101"/>
      <c r="KJE26" s="1110">
        <f>IF(KJI10="Bovis","Attention retirer 2 mm aux dimensions transmises",0)</f>
        <v>0</v>
      </c>
      <c r="KJF26" s="1100"/>
      <c r="KJG26" s="1100"/>
      <c r="KJH26" s="1101"/>
      <c r="KJI26" s="1110">
        <f>IF(KJM10="Bovis","Attention retirer 2 mm aux dimensions transmises",0)</f>
        <v>0</v>
      </c>
      <c r="KJJ26" s="1100"/>
      <c r="KJK26" s="1100"/>
      <c r="KJL26" s="1101"/>
      <c r="KJM26" s="1110">
        <f>IF(KJQ10="Bovis","Attention retirer 2 mm aux dimensions transmises",0)</f>
        <v>0</v>
      </c>
      <c r="KJN26" s="1100"/>
      <c r="KJO26" s="1100"/>
      <c r="KJP26" s="1101"/>
      <c r="KJQ26" s="1110">
        <f>IF(KJU10="Bovis","Attention retirer 2 mm aux dimensions transmises",0)</f>
        <v>0</v>
      </c>
      <c r="KJR26" s="1100"/>
      <c r="KJS26" s="1100"/>
      <c r="KJT26" s="1101"/>
      <c r="KJU26" s="1110">
        <f>IF(KJY10="Bovis","Attention retirer 2 mm aux dimensions transmises",0)</f>
        <v>0</v>
      </c>
      <c r="KJV26" s="1100"/>
      <c r="KJW26" s="1100"/>
      <c r="KJX26" s="1101"/>
      <c r="KJY26" s="1110">
        <f>IF(KKC10="Bovis","Attention retirer 2 mm aux dimensions transmises",0)</f>
        <v>0</v>
      </c>
      <c r="KJZ26" s="1100"/>
      <c r="KKA26" s="1100"/>
      <c r="KKB26" s="1101"/>
      <c r="KKC26" s="1110">
        <f>IF(KKG10="Bovis","Attention retirer 2 mm aux dimensions transmises",0)</f>
        <v>0</v>
      </c>
      <c r="KKD26" s="1100"/>
      <c r="KKE26" s="1100"/>
      <c r="KKF26" s="1101"/>
      <c r="KKG26" s="1110">
        <f>IF(KKK10="Bovis","Attention retirer 2 mm aux dimensions transmises",0)</f>
        <v>0</v>
      </c>
      <c r="KKH26" s="1100"/>
      <c r="KKI26" s="1100"/>
      <c r="KKJ26" s="1101"/>
      <c r="KKK26" s="1110">
        <f>IF(KKO10="Bovis","Attention retirer 2 mm aux dimensions transmises",0)</f>
        <v>0</v>
      </c>
      <c r="KKL26" s="1100"/>
      <c r="KKM26" s="1100"/>
      <c r="KKN26" s="1101"/>
      <c r="KKO26" s="1110">
        <f>IF(KKS10="Bovis","Attention retirer 2 mm aux dimensions transmises",0)</f>
        <v>0</v>
      </c>
      <c r="KKP26" s="1100"/>
      <c r="KKQ26" s="1100"/>
      <c r="KKR26" s="1101"/>
      <c r="KKS26" s="1110">
        <f>IF(KKW10="Bovis","Attention retirer 2 mm aux dimensions transmises",0)</f>
        <v>0</v>
      </c>
      <c r="KKT26" s="1100"/>
      <c r="KKU26" s="1100"/>
      <c r="KKV26" s="1101"/>
      <c r="KKW26" s="1110">
        <f>IF(KLA10="Bovis","Attention retirer 2 mm aux dimensions transmises",0)</f>
        <v>0</v>
      </c>
      <c r="KKX26" s="1100"/>
      <c r="KKY26" s="1100"/>
      <c r="KKZ26" s="1101"/>
      <c r="KLA26" s="1110">
        <f>IF(KLE10="Bovis","Attention retirer 2 mm aux dimensions transmises",0)</f>
        <v>0</v>
      </c>
      <c r="KLB26" s="1100"/>
      <c r="KLC26" s="1100"/>
      <c r="KLD26" s="1101"/>
      <c r="KLE26" s="1110">
        <f>IF(KLI10="Bovis","Attention retirer 2 mm aux dimensions transmises",0)</f>
        <v>0</v>
      </c>
      <c r="KLF26" s="1100"/>
      <c r="KLG26" s="1100"/>
      <c r="KLH26" s="1101"/>
      <c r="KLI26" s="1110">
        <f>IF(KLM10="Bovis","Attention retirer 2 mm aux dimensions transmises",0)</f>
        <v>0</v>
      </c>
      <c r="KLJ26" s="1100"/>
      <c r="KLK26" s="1100"/>
      <c r="KLL26" s="1101"/>
      <c r="KLM26" s="1110">
        <f>IF(KLQ10="Bovis","Attention retirer 2 mm aux dimensions transmises",0)</f>
        <v>0</v>
      </c>
      <c r="KLN26" s="1100"/>
      <c r="KLO26" s="1100"/>
      <c r="KLP26" s="1101"/>
      <c r="KLQ26" s="1110">
        <f>IF(KLU10="Bovis","Attention retirer 2 mm aux dimensions transmises",0)</f>
        <v>0</v>
      </c>
      <c r="KLR26" s="1100"/>
      <c r="KLS26" s="1100"/>
      <c r="KLT26" s="1101"/>
      <c r="KLU26" s="1110">
        <f>IF(KLY10="Bovis","Attention retirer 2 mm aux dimensions transmises",0)</f>
        <v>0</v>
      </c>
      <c r="KLV26" s="1100"/>
      <c r="KLW26" s="1100"/>
      <c r="KLX26" s="1101"/>
      <c r="KLY26" s="1110">
        <f>IF(KMC10="Bovis","Attention retirer 2 mm aux dimensions transmises",0)</f>
        <v>0</v>
      </c>
      <c r="KLZ26" s="1100"/>
      <c r="KMA26" s="1100"/>
      <c r="KMB26" s="1101"/>
      <c r="KMC26" s="1110">
        <f>IF(KMG10="Bovis","Attention retirer 2 mm aux dimensions transmises",0)</f>
        <v>0</v>
      </c>
      <c r="KMD26" s="1100"/>
      <c r="KME26" s="1100"/>
      <c r="KMF26" s="1101"/>
      <c r="KMG26" s="1110">
        <f>IF(KMK10="Bovis","Attention retirer 2 mm aux dimensions transmises",0)</f>
        <v>0</v>
      </c>
      <c r="KMH26" s="1100"/>
      <c r="KMI26" s="1100"/>
      <c r="KMJ26" s="1101"/>
      <c r="KMK26" s="1110">
        <f>IF(KMO10="Bovis","Attention retirer 2 mm aux dimensions transmises",0)</f>
        <v>0</v>
      </c>
      <c r="KML26" s="1100"/>
      <c r="KMM26" s="1100"/>
      <c r="KMN26" s="1101"/>
      <c r="KMO26" s="1110">
        <f>IF(KMS10="Bovis","Attention retirer 2 mm aux dimensions transmises",0)</f>
        <v>0</v>
      </c>
      <c r="KMP26" s="1100"/>
      <c r="KMQ26" s="1100"/>
      <c r="KMR26" s="1101"/>
      <c r="KMS26" s="1110">
        <f>IF(KMW10="Bovis","Attention retirer 2 mm aux dimensions transmises",0)</f>
        <v>0</v>
      </c>
      <c r="KMT26" s="1100"/>
      <c r="KMU26" s="1100"/>
      <c r="KMV26" s="1101"/>
      <c r="KMW26" s="1110">
        <f>IF(KNA10="Bovis","Attention retirer 2 mm aux dimensions transmises",0)</f>
        <v>0</v>
      </c>
      <c r="KMX26" s="1100"/>
      <c r="KMY26" s="1100"/>
      <c r="KMZ26" s="1101"/>
      <c r="KNA26" s="1110">
        <f>IF(KNE10="Bovis","Attention retirer 2 mm aux dimensions transmises",0)</f>
        <v>0</v>
      </c>
      <c r="KNB26" s="1100"/>
      <c r="KNC26" s="1100"/>
      <c r="KND26" s="1101"/>
      <c r="KNE26" s="1110">
        <f>IF(KNI10="Bovis","Attention retirer 2 mm aux dimensions transmises",0)</f>
        <v>0</v>
      </c>
      <c r="KNF26" s="1100"/>
      <c r="KNG26" s="1100"/>
      <c r="KNH26" s="1101"/>
      <c r="KNI26" s="1110">
        <f>IF(KNM10="Bovis","Attention retirer 2 mm aux dimensions transmises",0)</f>
        <v>0</v>
      </c>
      <c r="KNJ26" s="1100"/>
      <c r="KNK26" s="1100"/>
      <c r="KNL26" s="1101"/>
      <c r="KNM26" s="1110">
        <f>IF(KNQ10="Bovis","Attention retirer 2 mm aux dimensions transmises",0)</f>
        <v>0</v>
      </c>
      <c r="KNN26" s="1100"/>
      <c r="KNO26" s="1100"/>
      <c r="KNP26" s="1101"/>
      <c r="KNQ26" s="1110">
        <f>IF(KNU10="Bovis","Attention retirer 2 mm aux dimensions transmises",0)</f>
        <v>0</v>
      </c>
      <c r="KNR26" s="1100"/>
      <c r="KNS26" s="1100"/>
      <c r="KNT26" s="1101"/>
      <c r="KNU26" s="1110">
        <f>IF(KNY10="Bovis","Attention retirer 2 mm aux dimensions transmises",0)</f>
        <v>0</v>
      </c>
      <c r="KNV26" s="1100"/>
      <c r="KNW26" s="1100"/>
      <c r="KNX26" s="1101"/>
      <c r="KNY26" s="1110">
        <f>IF(KOC10="Bovis","Attention retirer 2 mm aux dimensions transmises",0)</f>
        <v>0</v>
      </c>
      <c r="KNZ26" s="1100"/>
      <c r="KOA26" s="1100"/>
      <c r="KOB26" s="1101"/>
      <c r="KOC26" s="1110">
        <f>IF(KOG10="Bovis","Attention retirer 2 mm aux dimensions transmises",0)</f>
        <v>0</v>
      </c>
      <c r="KOD26" s="1100"/>
      <c r="KOE26" s="1100"/>
      <c r="KOF26" s="1101"/>
      <c r="KOG26" s="1110">
        <f>IF(KOK10="Bovis","Attention retirer 2 mm aux dimensions transmises",0)</f>
        <v>0</v>
      </c>
      <c r="KOH26" s="1100"/>
      <c r="KOI26" s="1100"/>
      <c r="KOJ26" s="1101"/>
      <c r="KOK26" s="1110">
        <f>IF(KOO10="Bovis","Attention retirer 2 mm aux dimensions transmises",0)</f>
        <v>0</v>
      </c>
      <c r="KOL26" s="1100"/>
      <c r="KOM26" s="1100"/>
      <c r="KON26" s="1101"/>
      <c r="KOO26" s="1110">
        <f>IF(KOS10="Bovis","Attention retirer 2 mm aux dimensions transmises",0)</f>
        <v>0</v>
      </c>
      <c r="KOP26" s="1100"/>
      <c r="KOQ26" s="1100"/>
      <c r="KOR26" s="1101"/>
      <c r="KOS26" s="1110">
        <f>IF(KOW10="Bovis","Attention retirer 2 mm aux dimensions transmises",0)</f>
        <v>0</v>
      </c>
      <c r="KOT26" s="1100"/>
      <c r="KOU26" s="1100"/>
      <c r="KOV26" s="1101"/>
      <c r="KOW26" s="1110">
        <f>IF(KPA10="Bovis","Attention retirer 2 mm aux dimensions transmises",0)</f>
        <v>0</v>
      </c>
      <c r="KOX26" s="1100"/>
      <c r="KOY26" s="1100"/>
      <c r="KOZ26" s="1101"/>
      <c r="KPA26" s="1110">
        <f>IF(KPE10="Bovis","Attention retirer 2 mm aux dimensions transmises",0)</f>
        <v>0</v>
      </c>
      <c r="KPB26" s="1100"/>
      <c r="KPC26" s="1100"/>
      <c r="KPD26" s="1101"/>
      <c r="KPE26" s="1110">
        <f>IF(KPI10="Bovis","Attention retirer 2 mm aux dimensions transmises",0)</f>
        <v>0</v>
      </c>
      <c r="KPF26" s="1100"/>
      <c r="KPG26" s="1100"/>
      <c r="KPH26" s="1101"/>
      <c r="KPI26" s="1110">
        <f>IF(KPM10="Bovis","Attention retirer 2 mm aux dimensions transmises",0)</f>
        <v>0</v>
      </c>
      <c r="KPJ26" s="1100"/>
      <c r="KPK26" s="1100"/>
      <c r="KPL26" s="1101"/>
      <c r="KPM26" s="1110">
        <f>IF(KPQ10="Bovis","Attention retirer 2 mm aux dimensions transmises",0)</f>
        <v>0</v>
      </c>
      <c r="KPN26" s="1100"/>
      <c r="KPO26" s="1100"/>
      <c r="KPP26" s="1101"/>
      <c r="KPQ26" s="1110">
        <f>IF(KPU10="Bovis","Attention retirer 2 mm aux dimensions transmises",0)</f>
        <v>0</v>
      </c>
      <c r="KPR26" s="1100"/>
      <c r="KPS26" s="1100"/>
      <c r="KPT26" s="1101"/>
      <c r="KPU26" s="1110">
        <f>IF(KPY10="Bovis","Attention retirer 2 mm aux dimensions transmises",0)</f>
        <v>0</v>
      </c>
      <c r="KPV26" s="1100"/>
      <c r="KPW26" s="1100"/>
      <c r="KPX26" s="1101"/>
      <c r="KPY26" s="1110">
        <f>IF(KQC10="Bovis","Attention retirer 2 mm aux dimensions transmises",0)</f>
        <v>0</v>
      </c>
      <c r="KPZ26" s="1100"/>
      <c r="KQA26" s="1100"/>
      <c r="KQB26" s="1101"/>
      <c r="KQC26" s="1110">
        <f>IF(KQG10="Bovis","Attention retirer 2 mm aux dimensions transmises",0)</f>
        <v>0</v>
      </c>
      <c r="KQD26" s="1100"/>
      <c r="KQE26" s="1100"/>
      <c r="KQF26" s="1101"/>
      <c r="KQG26" s="1110">
        <f>IF(KQK10="Bovis","Attention retirer 2 mm aux dimensions transmises",0)</f>
        <v>0</v>
      </c>
      <c r="KQH26" s="1100"/>
      <c r="KQI26" s="1100"/>
      <c r="KQJ26" s="1101"/>
      <c r="KQK26" s="1110">
        <f>IF(KQO10="Bovis","Attention retirer 2 mm aux dimensions transmises",0)</f>
        <v>0</v>
      </c>
      <c r="KQL26" s="1100"/>
      <c r="KQM26" s="1100"/>
      <c r="KQN26" s="1101"/>
      <c r="KQO26" s="1110">
        <f>IF(KQS10="Bovis","Attention retirer 2 mm aux dimensions transmises",0)</f>
        <v>0</v>
      </c>
      <c r="KQP26" s="1100"/>
      <c r="KQQ26" s="1100"/>
      <c r="KQR26" s="1101"/>
      <c r="KQS26" s="1110">
        <f>IF(KQW10="Bovis","Attention retirer 2 mm aux dimensions transmises",0)</f>
        <v>0</v>
      </c>
      <c r="KQT26" s="1100"/>
      <c r="KQU26" s="1100"/>
      <c r="KQV26" s="1101"/>
      <c r="KQW26" s="1110">
        <f>IF(KRA10="Bovis","Attention retirer 2 mm aux dimensions transmises",0)</f>
        <v>0</v>
      </c>
      <c r="KQX26" s="1100"/>
      <c r="KQY26" s="1100"/>
      <c r="KQZ26" s="1101"/>
      <c r="KRA26" s="1110">
        <f>IF(KRE10="Bovis","Attention retirer 2 mm aux dimensions transmises",0)</f>
        <v>0</v>
      </c>
      <c r="KRB26" s="1100"/>
      <c r="KRC26" s="1100"/>
      <c r="KRD26" s="1101"/>
      <c r="KRE26" s="1110">
        <f>IF(KRI10="Bovis","Attention retirer 2 mm aux dimensions transmises",0)</f>
        <v>0</v>
      </c>
      <c r="KRF26" s="1100"/>
      <c r="KRG26" s="1100"/>
      <c r="KRH26" s="1101"/>
      <c r="KRI26" s="1110">
        <f>IF(KRM10="Bovis","Attention retirer 2 mm aux dimensions transmises",0)</f>
        <v>0</v>
      </c>
      <c r="KRJ26" s="1100"/>
      <c r="KRK26" s="1100"/>
      <c r="KRL26" s="1101"/>
      <c r="KRM26" s="1110">
        <f>IF(KRQ10="Bovis","Attention retirer 2 mm aux dimensions transmises",0)</f>
        <v>0</v>
      </c>
      <c r="KRN26" s="1100"/>
      <c r="KRO26" s="1100"/>
      <c r="KRP26" s="1101"/>
      <c r="KRQ26" s="1110">
        <f>IF(KRU10="Bovis","Attention retirer 2 mm aux dimensions transmises",0)</f>
        <v>0</v>
      </c>
      <c r="KRR26" s="1100"/>
      <c r="KRS26" s="1100"/>
      <c r="KRT26" s="1101"/>
      <c r="KRU26" s="1110">
        <f>IF(KRY10="Bovis","Attention retirer 2 mm aux dimensions transmises",0)</f>
        <v>0</v>
      </c>
      <c r="KRV26" s="1100"/>
      <c r="KRW26" s="1100"/>
      <c r="KRX26" s="1101"/>
      <c r="KRY26" s="1110">
        <f>IF(KSC10="Bovis","Attention retirer 2 mm aux dimensions transmises",0)</f>
        <v>0</v>
      </c>
      <c r="KRZ26" s="1100"/>
      <c r="KSA26" s="1100"/>
      <c r="KSB26" s="1101"/>
      <c r="KSC26" s="1110">
        <f>IF(KSG10="Bovis","Attention retirer 2 mm aux dimensions transmises",0)</f>
        <v>0</v>
      </c>
      <c r="KSD26" s="1100"/>
      <c r="KSE26" s="1100"/>
      <c r="KSF26" s="1101"/>
      <c r="KSG26" s="1110">
        <f>IF(KSK10="Bovis","Attention retirer 2 mm aux dimensions transmises",0)</f>
        <v>0</v>
      </c>
      <c r="KSH26" s="1100"/>
      <c r="KSI26" s="1100"/>
      <c r="KSJ26" s="1101"/>
      <c r="KSK26" s="1110">
        <f>IF(KSO10="Bovis","Attention retirer 2 mm aux dimensions transmises",0)</f>
        <v>0</v>
      </c>
      <c r="KSL26" s="1100"/>
      <c r="KSM26" s="1100"/>
      <c r="KSN26" s="1101"/>
      <c r="KSO26" s="1110">
        <f>IF(KSS10="Bovis","Attention retirer 2 mm aux dimensions transmises",0)</f>
        <v>0</v>
      </c>
      <c r="KSP26" s="1100"/>
      <c r="KSQ26" s="1100"/>
      <c r="KSR26" s="1101"/>
      <c r="KSS26" s="1110">
        <f>IF(KSW10="Bovis","Attention retirer 2 mm aux dimensions transmises",0)</f>
        <v>0</v>
      </c>
      <c r="KST26" s="1100"/>
      <c r="KSU26" s="1100"/>
      <c r="KSV26" s="1101"/>
      <c r="KSW26" s="1110">
        <f>IF(KTA10="Bovis","Attention retirer 2 mm aux dimensions transmises",0)</f>
        <v>0</v>
      </c>
      <c r="KSX26" s="1100"/>
      <c r="KSY26" s="1100"/>
      <c r="KSZ26" s="1101"/>
      <c r="KTA26" s="1110">
        <f>IF(KTE10="Bovis","Attention retirer 2 mm aux dimensions transmises",0)</f>
        <v>0</v>
      </c>
      <c r="KTB26" s="1100"/>
      <c r="KTC26" s="1100"/>
      <c r="KTD26" s="1101"/>
      <c r="KTE26" s="1110">
        <f>IF(KTI10="Bovis","Attention retirer 2 mm aux dimensions transmises",0)</f>
        <v>0</v>
      </c>
      <c r="KTF26" s="1100"/>
      <c r="KTG26" s="1100"/>
      <c r="KTH26" s="1101"/>
      <c r="KTI26" s="1110">
        <f>IF(KTM10="Bovis","Attention retirer 2 mm aux dimensions transmises",0)</f>
        <v>0</v>
      </c>
      <c r="KTJ26" s="1100"/>
      <c r="KTK26" s="1100"/>
      <c r="KTL26" s="1101"/>
      <c r="KTM26" s="1110">
        <f>IF(KTQ10="Bovis","Attention retirer 2 mm aux dimensions transmises",0)</f>
        <v>0</v>
      </c>
      <c r="KTN26" s="1100"/>
      <c r="KTO26" s="1100"/>
      <c r="KTP26" s="1101"/>
      <c r="KTQ26" s="1110">
        <f>IF(KTU10="Bovis","Attention retirer 2 mm aux dimensions transmises",0)</f>
        <v>0</v>
      </c>
      <c r="KTR26" s="1100"/>
      <c r="KTS26" s="1100"/>
      <c r="KTT26" s="1101"/>
      <c r="KTU26" s="1110">
        <f>IF(KTY10="Bovis","Attention retirer 2 mm aux dimensions transmises",0)</f>
        <v>0</v>
      </c>
      <c r="KTV26" s="1100"/>
      <c r="KTW26" s="1100"/>
      <c r="KTX26" s="1101"/>
      <c r="KTY26" s="1110">
        <f>IF(KUC10="Bovis","Attention retirer 2 mm aux dimensions transmises",0)</f>
        <v>0</v>
      </c>
      <c r="KTZ26" s="1100"/>
      <c r="KUA26" s="1100"/>
      <c r="KUB26" s="1101"/>
      <c r="KUC26" s="1110">
        <f>IF(KUG10="Bovis","Attention retirer 2 mm aux dimensions transmises",0)</f>
        <v>0</v>
      </c>
      <c r="KUD26" s="1100"/>
      <c r="KUE26" s="1100"/>
      <c r="KUF26" s="1101"/>
      <c r="KUG26" s="1110">
        <f>IF(KUK10="Bovis","Attention retirer 2 mm aux dimensions transmises",0)</f>
        <v>0</v>
      </c>
      <c r="KUH26" s="1100"/>
      <c r="KUI26" s="1100"/>
      <c r="KUJ26" s="1101"/>
      <c r="KUK26" s="1110">
        <f>IF(KUO10="Bovis","Attention retirer 2 mm aux dimensions transmises",0)</f>
        <v>0</v>
      </c>
      <c r="KUL26" s="1100"/>
      <c r="KUM26" s="1100"/>
      <c r="KUN26" s="1101"/>
      <c r="KUO26" s="1110">
        <f>IF(KUS10="Bovis","Attention retirer 2 mm aux dimensions transmises",0)</f>
        <v>0</v>
      </c>
      <c r="KUP26" s="1100"/>
      <c r="KUQ26" s="1100"/>
      <c r="KUR26" s="1101"/>
      <c r="KUS26" s="1110">
        <f>IF(KUW10="Bovis","Attention retirer 2 mm aux dimensions transmises",0)</f>
        <v>0</v>
      </c>
      <c r="KUT26" s="1100"/>
      <c r="KUU26" s="1100"/>
      <c r="KUV26" s="1101"/>
      <c r="KUW26" s="1110">
        <f>IF(KVA10="Bovis","Attention retirer 2 mm aux dimensions transmises",0)</f>
        <v>0</v>
      </c>
      <c r="KUX26" s="1100"/>
      <c r="KUY26" s="1100"/>
      <c r="KUZ26" s="1101"/>
      <c r="KVA26" s="1110">
        <f>IF(KVE10="Bovis","Attention retirer 2 mm aux dimensions transmises",0)</f>
        <v>0</v>
      </c>
      <c r="KVB26" s="1100"/>
      <c r="KVC26" s="1100"/>
      <c r="KVD26" s="1101"/>
      <c r="KVE26" s="1110">
        <f>IF(KVI10="Bovis","Attention retirer 2 mm aux dimensions transmises",0)</f>
        <v>0</v>
      </c>
      <c r="KVF26" s="1100"/>
      <c r="KVG26" s="1100"/>
      <c r="KVH26" s="1101"/>
      <c r="KVI26" s="1110">
        <f>IF(KVM10="Bovis","Attention retirer 2 mm aux dimensions transmises",0)</f>
        <v>0</v>
      </c>
      <c r="KVJ26" s="1100"/>
      <c r="KVK26" s="1100"/>
      <c r="KVL26" s="1101"/>
      <c r="KVM26" s="1110">
        <f>IF(KVQ10="Bovis","Attention retirer 2 mm aux dimensions transmises",0)</f>
        <v>0</v>
      </c>
      <c r="KVN26" s="1100"/>
      <c r="KVO26" s="1100"/>
      <c r="KVP26" s="1101"/>
      <c r="KVQ26" s="1110">
        <f>IF(KVU10="Bovis","Attention retirer 2 mm aux dimensions transmises",0)</f>
        <v>0</v>
      </c>
      <c r="KVR26" s="1100"/>
      <c r="KVS26" s="1100"/>
      <c r="KVT26" s="1101"/>
      <c r="KVU26" s="1110">
        <f>IF(KVY10="Bovis","Attention retirer 2 mm aux dimensions transmises",0)</f>
        <v>0</v>
      </c>
      <c r="KVV26" s="1100"/>
      <c r="KVW26" s="1100"/>
      <c r="KVX26" s="1101"/>
      <c r="KVY26" s="1110">
        <f>IF(KWC10="Bovis","Attention retirer 2 mm aux dimensions transmises",0)</f>
        <v>0</v>
      </c>
      <c r="KVZ26" s="1100"/>
      <c r="KWA26" s="1100"/>
      <c r="KWB26" s="1101"/>
      <c r="KWC26" s="1110">
        <f>IF(KWG10="Bovis","Attention retirer 2 mm aux dimensions transmises",0)</f>
        <v>0</v>
      </c>
      <c r="KWD26" s="1100"/>
      <c r="KWE26" s="1100"/>
      <c r="KWF26" s="1101"/>
      <c r="KWG26" s="1110">
        <f>IF(KWK10="Bovis","Attention retirer 2 mm aux dimensions transmises",0)</f>
        <v>0</v>
      </c>
      <c r="KWH26" s="1100"/>
      <c r="KWI26" s="1100"/>
      <c r="KWJ26" s="1101"/>
      <c r="KWK26" s="1110">
        <f>IF(KWO10="Bovis","Attention retirer 2 mm aux dimensions transmises",0)</f>
        <v>0</v>
      </c>
      <c r="KWL26" s="1100"/>
      <c r="KWM26" s="1100"/>
      <c r="KWN26" s="1101"/>
      <c r="KWO26" s="1110">
        <f>IF(KWS10="Bovis","Attention retirer 2 mm aux dimensions transmises",0)</f>
        <v>0</v>
      </c>
      <c r="KWP26" s="1100"/>
      <c r="KWQ26" s="1100"/>
      <c r="KWR26" s="1101"/>
      <c r="KWS26" s="1110">
        <f>IF(KWW10="Bovis","Attention retirer 2 mm aux dimensions transmises",0)</f>
        <v>0</v>
      </c>
      <c r="KWT26" s="1100"/>
      <c r="KWU26" s="1100"/>
      <c r="KWV26" s="1101"/>
      <c r="KWW26" s="1110">
        <f>IF(KXA10="Bovis","Attention retirer 2 mm aux dimensions transmises",0)</f>
        <v>0</v>
      </c>
      <c r="KWX26" s="1100"/>
      <c r="KWY26" s="1100"/>
      <c r="KWZ26" s="1101"/>
      <c r="KXA26" s="1110">
        <f>IF(KXE10="Bovis","Attention retirer 2 mm aux dimensions transmises",0)</f>
        <v>0</v>
      </c>
      <c r="KXB26" s="1100"/>
      <c r="KXC26" s="1100"/>
      <c r="KXD26" s="1101"/>
      <c r="KXE26" s="1110">
        <f>IF(KXI10="Bovis","Attention retirer 2 mm aux dimensions transmises",0)</f>
        <v>0</v>
      </c>
      <c r="KXF26" s="1100"/>
      <c r="KXG26" s="1100"/>
      <c r="KXH26" s="1101"/>
      <c r="KXI26" s="1110">
        <f>IF(KXM10="Bovis","Attention retirer 2 mm aux dimensions transmises",0)</f>
        <v>0</v>
      </c>
      <c r="KXJ26" s="1100"/>
      <c r="KXK26" s="1100"/>
      <c r="KXL26" s="1101"/>
      <c r="KXM26" s="1110">
        <f>IF(KXQ10="Bovis","Attention retirer 2 mm aux dimensions transmises",0)</f>
        <v>0</v>
      </c>
      <c r="KXN26" s="1100"/>
      <c r="KXO26" s="1100"/>
      <c r="KXP26" s="1101"/>
      <c r="KXQ26" s="1110">
        <f>IF(KXU10="Bovis","Attention retirer 2 mm aux dimensions transmises",0)</f>
        <v>0</v>
      </c>
      <c r="KXR26" s="1100"/>
      <c r="KXS26" s="1100"/>
      <c r="KXT26" s="1101"/>
      <c r="KXU26" s="1110">
        <f>IF(KXY10="Bovis","Attention retirer 2 mm aux dimensions transmises",0)</f>
        <v>0</v>
      </c>
      <c r="KXV26" s="1100"/>
      <c r="KXW26" s="1100"/>
      <c r="KXX26" s="1101"/>
      <c r="KXY26" s="1110">
        <f>IF(KYC10="Bovis","Attention retirer 2 mm aux dimensions transmises",0)</f>
        <v>0</v>
      </c>
      <c r="KXZ26" s="1100"/>
      <c r="KYA26" s="1100"/>
      <c r="KYB26" s="1101"/>
      <c r="KYC26" s="1110">
        <f>IF(KYG10="Bovis","Attention retirer 2 mm aux dimensions transmises",0)</f>
        <v>0</v>
      </c>
      <c r="KYD26" s="1100"/>
      <c r="KYE26" s="1100"/>
      <c r="KYF26" s="1101"/>
      <c r="KYG26" s="1110">
        <f>IF(KYK10="Bovis","Attention retirer 2 mm aux dimensions transmises",0)</f>
        <v>0</v>
      </c>
      <c r="KYH26" s="1100"/>
      <c r="KYI26" s="1100"/>
      <c r="KYJ26" s="1101"/>
      <c r="KYK26" s="1110">
        <f>IF(KYO10="Bovis","Attention retirer 2 mm aux dimensions transmises",0)</f>
        <v>0</v>
      </c>
      <c r="KYL26" s="1100"/>
      <c r="KYM26" s="1100"/>
      <c r="KYN26" s="1101"/>
      <c r="KYO26" s="1110">
        <f>IF(KYS10="Bovis","Attention retirer 2 mm aux dimensions transmises",0)</f>
        <v>0</v>
      </c>
      <c r="KYP26" s="1100"/>
      <c r="KYQ26" s="1100"/>
      <c r="KYR26" s="1101"/>
      <c r="KYS26" s="1110">
        <f>IF(KYW10="Bovis","Attention retirer 2 mm aux dimensions transmises",0)</f>
        <v>0</v>
      </c>
      <c r="KYT26" s="1100"/>
      <c r="KYU26" s="1100"/>
      <c r="KYV26" s="1101"/>
      <c r="KYW26" s="1110">
        <f>IF(KZA10="Bovis","Attention retirer 2 mm aux dimensions transmises",0)</f>
        <v>0</v>
      </c>
      <c r="KYX26" s="1100"/>
      <c r="KYY26" s="1100"/>
      <c r="KYZ26" s="1101"/>
      <c r="KZA26" s="1110">
        <f>IF(KZE10="Bovis","Attention retirer 2 mm aux dimensions transmises",0)</f>
        <v>0</v>
      </c>
      <c r="KZB26" s="1100"/>
      <c r="KZC26" s="1100"/>
      <c r="KZD26" s="1101"/>
      <c r="KZE26" s="1110">
        <f>IF(KZI10="Bovis","Attention retirer 2 mm aux dimensions transmises",0)</f>
        <v>0</v>
      </c>
      <c r="KZF26" s="1100"/>
      <c r="KZG26" s="1100"/>
      <c r="KZH26" s="1101"/>
      <c r="KZI26" s="1110">
        <f>IF(KZM10="Bovis","Attention retirer 2 mm aux dimensions transmises",0)</f>
        <v>0</v>
      </c>
      <c r="KZJ26" s="1100"/>
      <c r="KZK26" s="1100"/>
      <c r="KZL26" s="1101"/>
      <c r="KZM26" s="1110">
        <f>IF(KZQ10="Bovis","Attention retirer 2 mm aux dimensions transmises",0)</f>
        <v>0</v>
      </c>
      <c r="KZN26" s="1100"/>
      <c r="KZO26" s="1100"/>
      <c r="KZP26" s="1101"/>
      <c r="KZQ26" s="1110">
        <f>IF(KZU10="Bovis","Attention retirer 2 mm aux dimensions transmises",0)</f>
        <v>0</v>
      </c>
      <c r="KZR26" s="1100"/>
      <c r="KZS26" s="1100"/>
      <c r="KZT26" s="1101"/>
      <c r="KZU26" s="1110">
        <f>IF(KZY10="Bovis","Attention retirer 2 mm aux dimensions transmises",0)</f>
        <v>0</v>
      </c>
      <c r="KZV26" s="1100"/>
      <c r="KZW26" s="1100"/>
      <c r="KZX26" s="1101"/>
      <c r="KZY26" s="1110">
        <f>IF(LAC10="Bovis","Attention retirer 2 mm aux dimensions transmises",0)</f>
        <v>0</v>
      </c>
      <c r="KZZ26" s="1100"/>
      <c r="LAA26" s="1100"/>
      <c r="LAB26" s="1101"/>
      <c r="LAC26" s="1110">
        <f>IF(LAG10="Bovis","Attention retirer 2 mm aux dimensions transmises",0)</f>
        <v>0</v>
      </c>
      <c r="LAD26" s="1100"/>
      <c r="LAE26" s="1100"/>
      <c r="LAF26" s="1101"/>
      <c r="LAG26" s="1110">
        <f>IF(LAK10="Bovis","Attention retirer 2 mm aux dimensions transmises",0)</f>
        <v>0</v>
      </c>
      <c r="LAH26" s="1100"/>
      <c r="LAI26" s="1100"/>
      <c r="LAJ26" s="1101"/>
      <c r="LAK26" s="1110">
        <f>IF(LAO10="Bovis","Attention retirer 2 mm aux dimensions transmises",0)</f>
        <v>0</v>
      </c>
      <c r="LAL26" s="1100"/>
      <c r="LAM26" s="1100"/>
      <c r="LAN26" s="1101"/>
      <c r="LAO26" s="1110">
        <f>IF(LAS10="Bovis","Attention retirer 2 mm aux dimensions transmises",0)</f>
        <v>0</v>
      </c>
      <c r="LAP26" s="1100"/>
      <c r="LAQ26" s="1100"/>
      <c r="LAR26" s="1101"/>
      <c r="LAS26" s="1110">
        <f>IF(LAW10="Bovis","Attention retirer 2 mm aux dimensions transmises",0)</f>
        <v>0</v>
      </c>
      <c r="LAT26" s="1100"/>
      <c r="LAU26" s="1100"/>
      <c r="LAV26" s="1101"/>
      <c r="LAW26" s="1110">
        <f>IF(LBA10="Bovis","Attention retirer 2 mm aux dimensions transmises",0)</f>
        <v>0</v>
      </c>
      <c r="LAX26" s="1100"/>
      <c r="LAY26" s="1100"/>
      <c r="LAZ26" s="1101"/>
      <c r="LBA26" s="1110">
        <f>IF(LBE10="Bovis","Attention retirer 2 mm aux dimensions transmises",0)</f>
        <v>0</v>
      </c>
      <c r="LBB26" s="1100"/>
      <c r="LBC26" s="1100"/>
      <c r="LBD26" s="1101"/>
      <c r="LBE26" s="1110">
        <f>IF(LBI10="Bovis","Attention retirer 2 mm aux dimensions transmises",0)</f>
        <v>0</v>
      </c>
      <c r="LBF26" s="1100"/>
      <c r="LBG26" s="1100"/>
      <c r="LBH26" s="1101"/>
      <c r="LBI26" s="1110">
        <f>IF(LBM10="Bovis","Attention retirer 2 mm aux dimensions transmises",0)</f>
        <v>0</v>
      </c>
      <c r="LBJ26" s="1100"/>
      <c r="LBK26" s="1100"/>
      <c r="LBL26" s="1101"/>
      <c r="LBM26" s="1110">
        <f>IF(LBQ10="Bovis","Attention retirer 2 mm aux dimensions transmises",0)</f>
        <v>0</v>
      </c>
      <c r="LBN26" s="1100"/>
      <c r="LBO26" s="1100"/>
      <c r="LBP26" s="1101"/>
      <c r="LBQ26" s="1110">
        <f>IF(LBU10="Bovis","Attention retirer 2 mm aux dimensions transmises",0)</f>
        <v>0</v>
      </c>
      <c r="LBR26" s="1100"/>
      <c r="LBS26" s="1100"/>
      <c r="LBT26" s="1101"/>
      <c r="LBU26" s="1110">
        <f>IF(LBY10="Bovis","Attention retirer 2 mm aux dimensions transmises",0)</f>
        <v>0</v>
      </c>
      <c r="LBV26" s="1100"/>
      <c r="LBW26" s="1100"/>
      <c r="LBX26" s="1101"/>
      <c r="LBY26" s="1110">
        <f>IF(LCC10="Bovis","Attention retirer 2 mm aux dimensions transmises",0)</f>
        <v>0</v>
      </c>
      <c r="LBZ26" s="1100"/>
      <c r="LCA26" s="1100"/>
      <c r="LCB26" s="1101"/>
      <c r="LCC26" s="1110">
        <f>IF(LCG10="Bovis","Attention retirer 2 mm aux dimensions transmises",0)</f>
        <v>0</v>
      </c>
      <c r="LCD26" s="1100"/>
      <c r="LCE26" s="1100"/>
      <c r="LCF26" s="1101"/>
      <c r="LCG26" s="1110">
        <f>IF(LCK10="Bovis","Attention retirer 2 mm aux dimensions transmises",0)</f>
        <v>0</v>
      </c>
      <c r="LCH26" s="1100"/>
      <c r="LCI26" s="1100"/>
      <c r="LCJ26" s="1101"/>
      <c r="LCK26" s="1110">
        <f>IF(LCO10="Bovis","Attention retirer 2 mm aux dimensions transmises",0)</f>
        <v>0</v>
      </c>
      <c r="LCL26" s="1100"/>
      <c r="LCM26" s="1100"/>
      <c r="LCN26" s="1101"/>
      <c r="LCO26" s="1110">
        <f>IF(LCS10="Bovis","Attention retirer 2 mm aux dimensions transmises",0)</f>
        <v>0</v>
      </c>
      <c r="LCP26" s="1100"/>
      <c r="LCQ26" s="1100"/>
      <c r="LCR26" s="1101"/>
      <c r="LCS26" s="1110">
        <f>IF(LCW10="Bovis","Attention retirer 2 mm aux dimensions transmises",0)</f>
        <v>0</v>
      </c>
      <c r="LCT26" s="1100"/>
      <c r="LCU26" s="1100"/>
      <c r="LCV26" s="1101"/>
      <c r="LCW26" s="1110">
        <f>IF(LDA10="Bovis","Attention retirer 2 mm aux dimensions transmises",0)</f>
        <v>0</v>
      </c>
      <c r="LCX26" s="1100"/>
      <c r="LCY26" s="1100"/>
      <c r="LCZ26" s="1101"/>
      <c r="LDA26" s="1110">
        <f>IF(LDE10="Bovis","Attention retirer 2 mm aux dimensions transmises",0)</f>
        <v>0</v>
      </c>
      <c r="LDB26" s="1100"/>
      <c r="LDC26" s="1100"/>
      <c r="LDD26" s="1101"/>
      <c r="LDE26" s="1110">
        <f>IF(LDI10="Bovis","Attention retirer 2 mm aux dimensions transmises",0)</f>
        <v>0</v>
      </c>
      <c r="LDF26" s="1100"/>
      <c r="LDG26" s="1100"/>
      <c r="LDH26" s="1101"/>
      <c r="LDI26" s="1110">
        <f>IF(LDM10="Bovis","Attention retirer 2 mm aux dimensions transmises",0)</f>
        <v>0</v>
      </c>
      <c r="LDJ26" s="1100"/>
      <c r="LDK26" s="1100"/>
      <c r="LDL26" s="1101"/>
      <c r="LDM26" s="1110">
        <f>IF(LDQ10="Bovis","Attention retirer 2 mm aux dimensions transmises",0)</f>
        <v>0</v>
      </c>
      <c r="LDN26" s="1100"/>
      <c r="LDO26" s="1100"/>
      <c r="LDP26" s="1101"/>
      <c r="LDQ26" s="1110">
        <f>IF(LDU10="Bovis","Attention retirer 2 mm aux dimensions transmises",0)</f>
        <v>0</v>
      </c>
      <c r="LDR26" s="1100"/>
      <c r="LDS26" s="1100"/>
      <c r="LDT26" s="1101"/>
      <c r="LDU26" s="1110">
        <f>IF(LDY10="Bovis","Attention retirer 2 mm aux dimensions transmises",0)</f>
        <v>0</v>
      </c>
      <c r="LDV26" s="1100"/>
      <c r="LDW26" s="1100"/>
      <c r="LDX26" s="1101"/>
      <c r="LDY26" s="1110">
        <f>IF(LEC10="Bovis","Attention retirer 2 mm aux dimensions transmises",0)</f>
        <v>0</v>
      </c>
      <c r="LDZ26" s="1100"/>
      <c r="LEA26" s="1100"/>
      <c r="LEB26" s="1101"/>
      <c r="LEC26" s="1110">
        <f>IF(LEG10="Bovis","Attention retirer 2 mm aux dimensions transmises",0)</f>
        <v>0</v>
      </c>
      <c r="LED26" s="1100"/>
      <c r="LEE26" s="1100"/>
      <c r="LEF26" s="1101"/>
      <c r="LEG26" s="1110">
        <f>IF(LEK10="Bovis","Attention retirer 2 mm aux dimensions transmises",0)</f>
        <v>0</v>
      </c>
      <c r="LEH26" s="1100"/>
      <c r="LEI26" s="1100"/>
      <c r="LEJ26" s="1101"/>
      <c r="LEK26" s="1110">
        <f>IF(LEO10="Bovis","Attention retirer 2 mm aux dimensions transmises",0)</f>
        <v>0</v>
      </c>
      <c r="LEL26" s="1100"/>
      <c r="LEM26" s="1100"/>
      <c r="LEN26" s="1101"/>
      <c r="LEO26" s="1110">
        <f>IF(LES10="Bovis","Attention retirer 2 mm aux dimensions transmises",0)</f>
        <v>0</v>
      </c>
      <c r="LEP26" s="1100"/>
      <c r="LEQ26" s="1100"/>
      <c r="LER26" s="1101"/>
      <c r="LES26" s="1110">
        <f>IF(LEW10="Bovis","Attention retirer 2 mm aux dimensions transmises",0)</f>
        <v>0</v>
      </c>
      <c r="LET26" s="1100"/>
      <c r="LEU26" s="1100"/>
      <c r="LEV26" s="1101"/>
      <c r="LEW26" s="1110">
        <f>IF(LFA10="Bovis","Attention retirer 2 mm aux dimensions transmises",0)</f>
        <v>0</v>
      </c>
      <c r="LEX26" s="1100"/>
      <c r="LEY26" s="1100"/>
      <c r="LEZ26" s="1101"/>
      <c r="LFA26" s="1110">
        <f>IF(LFE10="Bovis","Attention retirer 2 mm aux dimensions transmises",0)</f>
        <v>0</v>
      </c>
      <c r="LFB26" s="1100"/>
      <c r="LFC26" s="1100"/>
      <c r="LFD26" s="1101"/>
      <c r="LFE26" s="1110">
        <f>IF(LFI10="Bovis","Attention retirer 2 mm aux dimensions transmises",0)</f>
        <v>0</v>
      </c>
      <c r="LFF26" s="1100"/>
      <c r="LFG26" s="1100"/>
      <c r="LFH26" s="1101"/>
      <c r="LFI26" s="1110">
        <f>IF(LFM10="Bovis","Attention retirer 2 mm aux dimensions transmises",0)</f>
        <v>0</v>
      </c>
      <c r="LFJ26" s="1100"/>
      <c r="LFK26" s="1100"/>
      <c r="LFL26" s="1101"/>
      <c r="LFM26" s="1110">
        <f>IF(LFQ10="Bovis","Attention retirer 2 mm aux dimensions transmises",0)</f>
        <v>0</v>
      </c>
      <c r="LFN26" s="1100"/>
      <c r="LFO26" s="1100"/>
      <c r="LFP26" s="1101"/>
      <c r="LFQ26" s="1110">
        <f>IF(LFU10="Bovis","Attention retirer 2 mm aux dimensions transmises",0)</f>
        <v>0</v>
      </c>
      <c r="LFR26" s="1100"/>
      <c r="LFS26" s="1100"/>
      <c r="LFT26" s="1101"/>
      <c r="LFU26" s="1110">
        <f>IF(LFY10="Bovis","Attention retirer 2 mm aux dimensions transmises",0)</f>
        <v>0</v>
      </c>
      <c r="LFV26" s="1100"/>
      <c r="LFW26" s="1100"/>
      <c r="LFX26" s="1101"/>
      <c r="LFY26" s="1110">
        <f>IF(LGC10="Bovis","Attention retirer 2 mm aux dimensions transmises",0)</f>
        <v>0</v>
      </c>
      <c r="LFZ26" s="1100"/>
      <c r="LGA26" s="1100"/>
      <c r="LGB26" s="1101"/>
      <c r="LGC26" s="1110">
        <f>IF(LGG10="Bovis","Attention retirer 2 mm aux dimensions transmises",0)</f>
        <v>0</v>
      </c>
      <c r="LGD26" s="1100"/>
      <c r="LGE26" s="1100"/>
      <c r="LGF26" s="1101"/>
      <c r="LGG26" s="1110">
        <f>IF(LGK10="Bovis","Attention retirer 2 mm aux dimensions transmises",0)</f>
        <v>0</v>
      </c>
      <c r="LGH26" s="1100"/>
      <c r="LGI26" s="1100"/>
      <c r="LGJ26" s="1101"/>
      <c r="LGK26" s="1110">
        <f>IF(LGO10="Bovis","Attention retirer 2 mm aux dimensions transmises",0)</f>
        <v>0</v>
      </c>
      <c r="LGL26" s="1100"/>
      <c r="LGM26" s="1100"/>
      <c r="LGN26" s="1101"/>
      <c r="LGO26" s="1110">
        <f>IF(LGS10="Bovis","Attention retirer 2 mm aux dimensions transmises",0)</f>
        <v>0</v>
      </c>
      <c r="LGP26" s="1100"/>
      <c r="LGQ26" s="1100"/>
      <c r="LGR26" s="1101"/>
      <c r="LGS26" s="1110">
        <f>IF(LGW10="Bovis","Attention retirer 2 mm aux dimensions transmises",0)</f>
        <v>0</v>
      </c>
      <c r="LGT26" s="1100"/>
      <c r="LGU26" s="1100"/>
      <c r="LGV26" s="1101"/>
      <c r="LGW26" s="1110">
        <f>IF(LHA10="Bovis","Attention retirer 2 mm aux dimensions transmises",0)</f>
        <v>0</v>
      </c>
      <c r="LGX26" s="1100"/>
      <c r="LGY26" s="1100"/>
      <c r="LGZ26" s="1101"/>
      <c r="LHA26" s="1110">
        <f>IF(LHE10="Bovis","Attention retirer 2 mm aux dimensions transmises",0)</f>
        <v>0</v>
      </c>
      <c r="LHB26" s="1100"/>
      <c r="LHC26" s="1100"/>
      <c r="LHD26" s="1101"/>
      <c r="LHE26" s="1110">
        <f>IF(LHI10="Bovis","Attention retirer 2 mm aux dimensions transmises",0)</f>
        <v>0</v>
      </c>
      <c r="LHF26" s="1100"/>
      <c r="LHG26" s="1100"/>
      <c r="LHH26" s="1101"/>
      <c r="LHI26" s="1110">
        <f>IF(LHM10="Bovis","Attention retirer 2 mm aux dimensions transmises",0)</f>
        <v>0</v>
      </c>
      <c r="LHJ26" s="1100"/>
      <c r="LHK26" s="1100"/>
      <c r="LHL26" s="1101"/>
      <c r="LHM26" s="1110">
        <f>IF(LHQ10="Bovis","Attention retirer 2 mm aux dimensions transmises",0)</f>
        <v>0</v>
      </c>
      <c r="LHN26" s="1100"/>
      <c r="LHO26" s="1100"/>
      <c r="LHP26" s="1101"/>
      <c r="LHQ26" s="1110">
        <f>IF(LHU10="Bovis","Attention retirer 2 mm aux dimensions transmises",0)</f>
        <v>0</v>
      </c>
      <c r="LHR26" s="1100"/>
      <c r="LHS26" s="1100"/>
      <c r="LHT26" s="1101"/>
      <c r="LHU26" s="1110">
        <f>IF(LHY10="Bovis","Attention retirer 2 mm aux dimensions transmises",0)</f>
        <v>0</v>
      </c>
      <c r="LHV26" s="1100"/>
      <c r="LHW26" s="1100"/>
      <c r="LHX26" s="1101"/>
      <c r="LHY26" s="1110">
        <f>IF(LIC10="Bovis","Attention retirer 2 mm aux dimensions transmises",0)</f>
        <v>0</v>
      </c>
      <c r="LHZ26" s="1100"/>
      <c r="LIA26" s="1100"/>
      <c r="LIB26" s="1101"/>
      <c r="LIC26" s="1110">
        <f>IF(LIG10="Bovis","Attention retirer 2 mm aux dimensions transmises",0)</f>
        <v>0</v>
      </c>
      <c r="LID26" s="1100"/>
      <c r="LIE26" s="1100"/>
      <c r="LIF26" s="1101"/>
      <c r="LIG26" s="1110">
        <f>IF(LIK10="Bovis","Attention retirer 2 mm aux dimensions transmises",0)</f>
        <v>0</v>
      </c>
      <c r="LIH26" s="1100"/>
      <c r="LII26" s="1100"/>
      <c r="LIJ26" s="1101"/>
      <c r="LIK26" s="1110">
        <f>IF(LIO10="Bovis","Attention retirer 2 mm aux dimensions transmises",0)</f>
        <v>0</v>
      </c>
      <c r="LIL26" s="1100"/>
      <c r="LIM26" s="1100"/>
      <c r="LIN26" s="1101"/>
      <c r="LIO26" s="1110">
        <f>IF(LIS10="Bovis","Attention retirer 2 mm aux dimensions transmises",0)</f>
        <v>0</v>
      </c>
      <c r="LIP26" s="1100"/>
      <c r="LIQ26" s="1100"/>
      <c r="LIR26" s="1101"/>
      <c r="LIS26" s="1110">
        <f>IF(LIW10="Bovis","Attention retirer 2 mm aux dimensions transmises",0)</f>
        <v>0</v>
      </c>
      <c r="LIT26" s="1100"/>
      <c r="LIU26" s="1100"/>
      <c r="LIV26" s="1101"/>
      <c r="LIW26" s="1110">
        <f>IF(LJA10="Bovis","Attention retirer 2 mm aux dimensions transmises",0)</f>
        <v>0</v>
      </c>
      <c r="LIX26" s="1100"/>
      <c r="LIY26" s="1100"/>
      <c r="LIZ26" s="1101"/>
      <c r="LJA26" s="1110">
        <f>IF(LJE10="Bovis","Attention retirer 2 mm aux dimensions transmises",0)</f>
        <v>0</v>
      </c>
      <c r="LJB26" s="1100"/>
      <c r="LJC26" s="1100"/>
      <c r="LJD26" s="1101"/>
      <c r="LJE26" s="1110">
        <f>IF(LJI10="Bovis","Attention retirer 2 mm aux dimensions transmises",0)</f>
        <v>0</v>
      </c>
      <c r="LJF26" s="1100"/>
      <c r="LJG26" s="1100"/>
      <c r="LJH26" s="1101"/>
      <c r="LJI26" s="1110">
        <f>IF(LJM10="Bovis","Attention retirer 2 mm aux dimensions transmises",0)</f>
        <v>0</v>
      </c>
      <c r="LJJ26" s="1100"/>
      <c r="LJK26" s="1100"/>
      <c r="LJL26" s="1101"/>
      <c r="LJM26" s="1110">
        <f>IF(LJQ10="Bovis","Attention retirer 2 mm aux dimensions transmises",0)</f>
        <v>0</v>
      </c>
      <c r="LJN26" s="1100"/>
      <c r="LJO26" s="1100"/>
      <c r="LJP26" s="1101"/>
      <c r="LJQ26" s="1110">
        <f>IF(LJU10="Bovis","Attention retirer 2 mm aux dimensions transmises",0)</f>
        <v>0</v>
      </c>
      <c r="LJR26" s="1100"/>
      <c r="LJS26" s="1100"/>
      <c r="LJT26" s="1101"/>
      <c r="LJU26" s="1110">
        <f>IF(LJY10="Bovis","Attention retirer 2 mm aux dimensions transmises",0)</f>
        <v>0</v>
      </c>
      <c r="LJV26" s="1100"/>
      <c r="LJW26" s="1100"/>
      <c r="LJX26" s="1101"/>
      <c r="LJY26" s="1110">
        <f>IF(LKC10="Bovis","Attention retirer 2 mm aux dimensions transmises",0)</f>
        <v>0</v>
      </c>
      <c r="LJZ26" s="1100"/>
      <c r="LKA26" s="1100"/>
      <c r="LKB26" s="1101"/>
      <c r="LKC26" s="1110">
        <f>IF(LKG10="Bovis","Attention retirer 2 mm aux dimensions transmises",0)</f>
        <v>0</v>
      </c>
      <c r="LKD26" s="1100"/>
      <c r="LKE26" s="1100"/>
      <c r="LKF26" s="1101"/>
      <c r="LKG26" s="1110">
        <f>IF(LKK10="Bovis","Attention retirer 2 mm aux dimensions transmises",0)</f>
        <v>0</v>
      </c>
      <c r="LKH26" s="1100"/>
      <c r="LKI26" s="1100"/>
      <c r="LKJ26" s="1101"/>
      <c r="LKK26" s="1110">
        <f>IF(LKO10="Bovis","Attention retirer 2 mm aux dimensions transmises",0)</f>
        <v>0</v>
      </c>
      <c r="LKL26" s="1100"/>
      <c r="LKM26" s="1100"/>
      <c r="LKN26" s="1101"/>
      <c r="LKO26" s="1110">
        <f>IF(LKS10="Bovis","Attention retirer 2 mm aux dimensions transmises",0)</f>
        <v>0</v>
      </c>
      <c r="LKP26" s="1100"/>
      <c r="LKQ26" s="1100"/>
      <c r="LKR26" s="1101"/>
      <c r="LKS26" s="1110">
        <f>IF(LKW10="Bovis","Attention retirer 2 mm aux dimensions transmises",0)</f>
        <v>0</v>
      </c>
      <c r="LKT26" s="1100"/>
      <c r="LKU26" s="1100"/>
      <c r="LKV26" s="1101"/>
      <c r="LKW26" s="1110">
        <f>IF(LLA10="Bovis","Attention retirer 2 mm aux dimensions transmises",0)</f>
        <v>0</v>
      </c>
      <c r="LKX26" s="1100"/>
      <c r="LKY26" s="1100"/>
      <c r="LKZ26" s="1101"/>
      <c r="LLA26" s="1110">
        <f>IF(LLE10="Bovis","Attention retirer 2 mm aux dimensions transmises",0)</f>
        <v>0</v>
      </c>
      <c r="LLB26" s="1100"/>
      <c r="LLC26" s="1100"/>
      <c r="LLD26" s="1101"/>
      <c r="LLE26" s="1110">
        <f>IF(LLI10="Bovis","Attention retirer 2 mm aux dimensions transmises",0)</f>
        <v>0</v>
      </c>
      <c r="LLF26" s="1100"/>
      <c r="LLG26" s="1100"/>
      <c r="LLH26" s="1101"/>
      <c r="LLI26" s="1110">
        <f>IF(LLM10="Bovis","Attention retirer 2 mm aux dimensions transmises",0)</f>
        <v>0</v>
      </c>
      <c r="LLJ26" s="1100"/>
      <c r="LLK26" s="1100"/>
      <c r="LLL26" s="1101"/>
      <c r="LLM26" s="1110">
        <f>IF(LLQ10="Bovis","Attention retirer 2 mm aux dimensions transmises",0)</f>
        <v>0</v>
      </c>
      <c r="LLN26" s="1100"/>
      <c r="LLO26" s="1100"/>
      <c r="LLP26" s="1101"/>
      <c r="LLQ26" s="1110">
        <f>IF(LLU10="Bovis","Attention retirer 2 mm aux dimensions transmises",0)</f>
        <v>0</v>
      </c>
      <c r="LLR26" s="1100"/>
      <c r="LLS26" s="1100"/>
      <c r="LLT26" s="1101"/>
      <c r="LLU26" s="1110">
        <f>IF(LLY10="Bovis","Attention retirer 2 mm aux dimensions transmises",0)</f>
        <v>0</v>
      </c>
      <c r="LLV26" s="1100"/>
      <c r="LLW26" s="1100"/>
      <c r="LLX26" s="1101"/>
      <c r="LLY26" s="1110">
        <f>IF(LMC10="Bovis","Attention retirer 2 mm aux dimensions transmises",0)</f>
        <v>0</v>
      </c>
      <c r="LLZ26" s="1100"/>
      <c r="LMA26" s="1100"/>
      <c r="LMB26" s="1101"/>
      <c r="LMC26" s="1110">
        <f>IF(LMG10="Bovis","Attention retirer 2 mm aux dimensions transmises",0)</f>
        <v>0</v>
      </c>
      <c r="LMD26" s="1100"/>
      <c r="LME26" s="1100"/>
      <c r="LMF26" s="1101"/>
      <c r="LMG26" s="1110">
        <f>IF(LMK10="Bovis","Attention retirer 2 mm aux dimensions transmises",0)</f>
        <v>0</v>
      </c>
      <c r="LMH26" s="1100"/>
      <c r="LMI26" s="1100"/>
      <c r="LMJ26" s="1101"/>
      <c r="LMK26" s="1110">
        <f>IF(LMO10="Bovis","Attention retirer 2 mm aux dimensions transmises",0)</f>
        <v>0</v>
      </c>
      <c r="LML26" s="1100"/>
      <c r="LMM26" s="1100"/>
      <c r="LMN26" s="1101"/>
      <c r="LMO26" s="1110">
        <f>IF(LMS10="Bovis","Attention retirer 2 mm aux dimensions transmises",0)</f>
        <v>0</v>
      </c>
      <c r="LMP26" s="1100"/>
      <c r="LMQ26" s="1100"/>
      <c r="LMR26" s="1101"/>
      <c r="LMS26" s="1110">
        <f>IF(LMW10="Bovis","Attention retirer 2 mm aux dimensions transmises",0)</f>
        <v>0</v>
      </c>
      <c r="LMT26" s="1100"/>
      <c r="LMU26" s="1100"/>
      <c r="LMV26" s="1101"/>
      <c r="LMW26" s="1110">
        <f>IF(LNA10="Bovis","Attention retirer 2 mm aux dimensions transmises",0)</f>
        <v>0</v>
      </c>
      <c r="LMX26" s="1100"/>
      <c r="LMY26" s="1100"/>
      <c r="LMZ26" s="1101"/>
      <c r="LNA26" s="1110">
        <f>IF(LNE10="Bovis","Attention retirer 2 mm aux dimensions transmises",0)</f>
        <v>0</v>
      </c>
      <c r="LNB26" s="1100"/>
      <c r="LNC26" s="1100"/>
      <c r="LND26" s="1101"/>
      <c r="LNE26" s="1110">
        <f>IF(LNI10="Bovis","Attention retirer 2 mm aux dimensions transmises",0)</f>
        <v>0</v>
      </c>
      <c r="LNF26" s="1100"/>
      <c r="LNG26" s="1100"/>
      <c r="LNH26" s="1101"/>
      <c r="LNI26" s="1110">
        <f>IF(LNM10="Bovis","Attention retirer 2 mm aux dimensions transmises",0)</f>
        <v>0</v>
      </c>
      <c r="LNJ26" s="1100"/>
      <c r="LNK26" s="1100"/>
      <c r="LNL26" s="1101"/>
      <c r="LNM26" s="1110">
        <f>IF(LNQ10="Bovis","Attention retirer 2 mm aux dimensions transmises",0)</f>
        <v>0</v>
      </c>
      <c r="LNN26" s="1100"/>
      <c r="LNO26" s="1100"/>
      <c r="LNP26" s="1101"/>
      <c r="LNQ26" s="1110">
        <f>IF(LNU10="Bovis","Attention retirer 2 mm aux dimensions transmises",0)</f>
        <v>0</v>
      </c>
      <c r="LNR26" s="1100"/>
      <c r="LNS26" s="1100"/>
      <c r="LNT26" s="1101"/>
      <c r="LNU26" s="1110">
        <f>IF(LNY10="Bovis","Attention retirer 2 mm aux dimensions transmises",0)</f>
        <v>0</v>
      </c>
      <c r="LNV26" s="1100"/>
      <c r="LNW26" s="1100"/>
      <c r="LNX26" s="1101"/>
      <c r="LNY26" s="1110">
        <f>IF(LOC10="Bovis","Attention retirer 2 mm aux dimensions transmises",0)</f>
        <v>0</v>
      </c>
      <c r="LNZ26" s="1100"/>
      <c r="LOA26" s="1100"/>
      <c r="LOB26" s="1101"/>
      <c r="LOC26" s="1110">
        <f>IF(LOG10="Bovis","Attention retirer 2 mm aux dimensions transmises",0)</f>
        <v>0</v>
      </c>
      <c r="LOD26" s="1100"/>
      <c r="LOE26" s="1100"/>
      <c r="LOF26" s="1101"/>
      <c r="LOG26" s="1110">
        <f>IF(LOK10="Bovis","Attention retirer 2 mm aux dimensions transmises",0)</f>
        <v>0</v>
      </c>
      <c r="LOH26" s="1100"/>
      <c r="LOI26" s="1100"/>
      <c r="LOJ26" s="1101"/>
      <c r="LOK26" s="1110">
        <f>IF(LOO10="Bovis","Attention retirer 2 mm aux dimensions transmises",0)</f>
        <v>0</v>
      </c>
      <c r="LOL26" s="1100"/>
      <c r="LOM26" s="1100"/>
      <c r="LON26" s="1101"/>
      <c r="LOO26" s="1110">
        <f>IF(LOS10="Bovis","Attention retirer 2 mm aux dimensions transmises",0)</f>
        <v>0</v>
      </c>
      <c r="LOP26" s="1100"/>
      <c r="LOQ26" s="1100"/>
      <c r="LOR26" s="1101"/>
      <c r="LOS26" s="1110">
        <f>IF(LOW10="Bovis","Attention retirer 2 mm aux dimensions transmises",0)</f>
        <v>0</v>
      </c>
      <c r="LOT26" s="1100"/>
      <c r="LOU26" s="1100"/>
      <c r="LOV26" s="1101"/>
      <c r="LOW26" s="1110">
        <f>IF(LPA10="Bovis","Attention retirer 2 mm aux dimensions transmises",0)</f>
        <v>0</v>
      </c>
      <c r="LOX26" s="1100"/>
      <c r="LOY26" s="1100"/>
      <c r="LOZ26" s="1101"/>
      <c r="LPA26" s="1110">
        <f>IF(LPE10="Bovis","Attention retirer 2 mm aux dimensions transmises",0)</f>
        <v>0</v>
      </c>
      <c r="LPB26" s="1100"/>
      <c r="LPC26" s="1100"/>
      <c r="LPD26" s="1101"/>
      <c r="LPE26" s="1110">
        <f>IF(LPI10="Bovis","Attention retirer 2 mm aux dimensions transmises",0)</f>
        <v>0</v>
      </c>
      <c r="LPF26" s="1100"/>
      <c r="LPG26" s="1100"/>
      <c r="LPH26" s="1101"/>
      <c r="LPI26" s="1110">
        <f>IF(LPM10="Bovis","Attention retirer 2 mm aux dimensions transmises",0)</f>
        <v>0</v>
      </c>
      <c r="LPJ26" s="1100"/>
      <c r="LPK26" s="1100"/>
      <c r="LPL26" s="1101"/>
      <c r="LPM26" s="1110">
        <f>IF(LPQ10="Bovis","Attention retirer 2 mm aux dimensions transmises",0)</f>
        <v>0</v>
      </c>
      <c r="LPN26" s="1100"/>
      <c r="LPO26" s="1100"/>
      <c r="LPP26" s="1101"/>
      <c r="LPQ26" s="1110">
        <f>IF(LPU10="Bovis","Attention retirer 2 mm aux dimensions transmises",0)</f>
        <v>0</v>
      </c>
      <c r="LPR26" s="1100"/>
      <c r="LPS26" s="1100"/>
      <c r="LPT26" s="1101"/>
      <c r="LPU26" s="1110">
        <f>IF(LPY10="Bovis","Attention retirer 2 mm aux dimensions transmises",0)</f>
        <v>0</v>
      </c>
      <c r="LPV26" s="1100"/>
      <c r="LPW26" s="1100"/>
      <c r="LPX26" s="1101"/>
      <c r="LPY26" s="1110">
        <f>IF(LQC10="Bovis","Attention retirer 2 mm aux dimensions transmises",0)</f>
        <v>0</v>
      </c>
      <c r="LPZ26" s="1100"/>
      <c r="LQA26" s="1100"/>
      <c r="LQB26" s="1101"/>
      <c r="LQC26" s="1110">
        <f>IF(LQG10="Bovis","Attention retirer 2 mm aux dimensions transmises",0)</f>
        <v>0</v>
      </c>
      <c r="LQD26" s="1100"/>
      <c r="LQE26" s="1100"/>
      <c r="LQF26" s="1101"/>
      <c r="LQG26" s="1110">
        <f>IF(LQK10="Bovis","Attention retirer 2 mm aux dimensions transmises",0)</f>
        <v>0</v>
      </c>
      <c r="LQH26" s="1100"/>
      <c r="LQI26" s="1100"/>
      <c r="LQJ26" s="1101"/>
      <c r="LQK26" s="1110">
        <f>IF(LQO10="Bovis","Attention retirer 2 mm aux dimensions transmises",0)</f>
        <v>0</v>
      </c>
      <c r="LQL26" s="1100"/>
      <c r="LQM26" s="1100"/>
      <c r="LQN26" s="1101"/>
      <c r="LQO26" s="1110">
        <f>IF(LQS10="Bovis","Attention retirer 2 mm aux dimensions transmises",0)</f>
        <v>0</v>
      </c>
      <c r="LQP26" s="1100"/>
      <c r="LQQ26" s="1100"/>
      <c r="LQR26" s="1101"/>
      <c r="LQS26" s="1110">
        <f>IF(LQW10="Bovis","Attention retirer 2 mm aux dimensions transmises",0)</f>
        <v>0</v>
      </c>
      <c r="LQT26" s="1100"/>
      <c r="LQU26" s="1100"/>
      <c r="LQV26" s="1101"/>
      <c r="LQW26" s="1110">
        <f>IF(LRA10="Bovis","Attention retirer 2 mm aux dimensions transmises",0)</f>
        <v>0</v>
      </c>
      <c r="LQX26" s="1100"/>
      <c r="LQY26" s="1100"/>
      <c r="LQZ26" s="1101"/>
      <c r="LRA26" s="1110">
        <f>IF(LRE10="Bovis","Attention retirer 2 mm aux dimensions transmises",0)</f>
        <v>0</v>
      </c>
      <c r="LRB26" s="1100"/>
      <c r="LRC26" s="1100"/>
      <c r="LRD26" s="1101"/>
      <c r="LRE26" s="1110">
        <f>IF(LRI10="Bovis","Attention retirer 2 mm aux dimensions transmises",0)</f>
        <v>0</v>
      </c>
      <c r="LRF26" s="1100"/>
      <c r="LRG26" s="1100"/>
      <c r="LRH26" s="1101"/>
      <c r="LRI26" s="1110">
        <f>IF(LRM10="Bovis","Attention retirer 2 mm aux dimensions transmises",0)</f>
        <v>0</v>
      </c>
      <c r="LRJ26" s="1100"/>
      <c r="LRK26" s="1100"/>
      <c r="LRL26" s="1101"/>
      <c r="LRM26" s="1110">
        <f>IF(LRQ10="Bovis","Attention retirer 2 mm aux dimensions transmises",0)</f>
        <v>0</v>
      </c>
      <c r="LRN26" s="1100"/>
      <c r="LRO26" s="1100"/>
      <c r="LRP26" s="1101"/>
      <c r="LRQ26" s="1110">
        <f>IF(LRU10="Bovis","Attention retirer 2 mm aux dimensions transmises",0)</f>
        <v>0</v>
      </c>
      <c r="LRR26" s="1100"/>
      <c r="LRS26" s="1100"/>
      <c r="LRT26" s="1101"/>
      <c r="LRU26" s="1110">
        <f>IF(LRY10="Bovis","Attention retirer 2 mm aux dimensions transmises",0)</f>
        <v>0</v>
      </c>
      <c r="LRV26" s="1100"/>
      <c r="LRW26" s="1100"/>
      <c r="LRX26" s="1101"/>
      <c r="LRY26" s="1110">
        <f>IF(LSC10="Bovis","Attention retirer 2 mm aux dimensions transmises",0)</f>
        <v>0</v>
      </c>
      <c r="LRZ26" s="1100"/>
      <c r="LSA26" s="1100"/>
      <c r="LSB26" s="1101"/>
      <c r="LSC26" s="1110">
        <f>IF(LSG10="Bovis","Attention retirer 2 mm aux dimensions transmises",0)</f>
        <v>0</v>
      </c>
      <c r="LSD26" s="1100"/>
      <c r="LSE26" s="1100"/>
      <c r="LSF26" s="1101"/>
      <c r="LSG26" s="1110">
        <f>IF(LSK10="Bovis","Attention retirer 2 mm aux dimensions transmises",0)</f>
        <v>0</v>
      </c>
      <c r="LSH26" s="1100"/>
      <c r="LSI26" s="1100"/>
      <c r="LSJ26" s="1101"/>
      <c r="LSK26" s="1110">
        <f>IF(LSO10="Bovis","Attention retirer 2 mm aux dimensions transmises",0)</f>
        <v>0</v>
      </c>
      <c r="LSL26" s="1100"/>
      <c r="LSM26" s="1100"/>
      <c r="LSN26" s="1101"/>
      <c r="LSO26" s="1110">
        <f>IF(LSS10="Bovis","Attention retirer 2 mm aux dimensions transmises",0)</f>
        <v>0</v>
      </c>
      <c r="LSP26" s="1100"/>
      <c r="LSQ26" s="1100"/>
      <c r="LSR26" s="1101"/>
      <c r="LSS26" s="1110">
        <f>IF(LSW10="Bovis","Attention retirer 2 mm aux dimensions transmises",0)</f>
        <v>0</v>
      </c>
      <c r="LST26" s="1100"/>
      <c r="LSU26" s="1100"/>
      <c r="LSV26" s="1101"/>
      <c r="LSW26" s="1110">
        <f>IF(LTA10="Bovis","Attention retirer 2 mm aux dimensions transmises",0)</f>
        <v>0</v>
      </c>
      <c r="LSX26" s="1100"/>
      <c r="LSY26" s="1100"/>
      <c r="LSZ26" s="1101"/>
      <c r="LTA26" s="1110">
        <f>IF(LTE10="Bovis","Attention retirer 2 mm aux dimensions transmises",0)</f>
        <v>0</v>
      </c>
      <c r="LTB26" s="1100"/>
      <c r="LTC26" s="1100"/>
      <c r="LTD26" s="1101"/>
      <c r="LTE26" s="1110">
        <f>IF(LTI10="Bovis","Attention retirer 2 mm aux dimensions transmises",0)</f>
        <v>0</v>
      </c>
      <c r="LTF26" s="1100"/>
      <c r="LTG26" s="1100"/>
      <c r="LTH26" s="1101"/>
      <c r="LTI26" s="1110">
        <f>IF(LTM10="Bovis","Attention retirer 2 mm aux dimensions transmises",0)</f>
        <v>0</v>
      </c>
      <c r="LTJ26" s="1100"/>
      <c r="LTK26" s="1100"/>
      <c r="LTL26" s="1101"/>
      <c r="LTM26" s="1110">
        <f>IF(LTQ10="Bovis","Attention retirer 2 mm aux dimensions transmises",0)</f>
        <v>0</v>
      </c>
      <c r="LTN26" s="1100"/>
      <c r="LTO26" s="1100"/>
      <c r="LTP26" s="1101"/>
      <c r="LTQ26" s="1110">
        <f>IF(LTU10="Bovis","Attention retirer 2 mm aux dimensions transmises",0)</f>
        <v>0</v>
      </c>
      <c r="LTR26" s="1100"/>
      <c r="LTS26" s="1100"/>
      <c r="LTT26" s="1101"/>
      <c r="LTU26" s="1110">
        <f>IF(LTY10="Bovis","Attention retirer 2 mm aux dimensions transmises",0)</f>
        <v>0</v>
      </c>
      <c r="LTV26" s="1100"/>
      <c r="LTW26" s="1100"/>
      <c r="LTX26" s="1101"/>
      <c r="LTY26" s="1110">
        <f>IF(LUC10="Bovis","Attention retirer 2 mm aux dimensions transmises",0)</f>
        <v>0</v>
      </c>
      <c r="LTZ26" s="1100"/>
      <c r="LUA26" s="1100"/>
      <c r="LUB26" s="1101"/>
      <c r="LUC26" s="1110">
        <f>IF(LUG10="Bovis","Attention retirer 2 mm aux dimensions transmises",0)</f>
        <v>0</v>
      </c>
      <c r="LUD26" s="1100"/>
      <c r="LUE26" s="1100"/>
      <c r="LUF26" s="1101"/>
      <c r="LUG26" s="1110">
        <f>IF(LUK10="Bovis","Attention retirer 2 mm aux dimensions transmises",0)</f>
        <v>0</v>
      </c>
      <c r="LUH26" s="1100"/>
      <c r="LUI26" s="1100"/>
      <c r="LUJ26" s="1101"/>
      <c r="LUK26" s="1110">
        <f>IF(LUO10="Bovis","Attention retirer 2 mm aux dimensions transmises",0)</f>
        <v>0</v>
      </c>
      <c r="LUL26" s="1100"/>
      <c r="LUM26" s="1100"/>
      <c r="LUN26" s="1101"/>
      <c r="LUO26" s="1110">
        <f>IF(LUS10="Bovis","Attention retirer 2 mm aux dimensions transmises",0)</f>
        <v>0</v>
      </c>
      <c r="LUP26" s="1100"/>
      <c r="LUQ26" s="1100"/>
      <c r="LUR26" s="1101"/>
      <c r="LUS26" s="1110">
        <f>IF(LUW10="Bovis","Attention retirer 2 mm aux dimensions transmises",0)</f>
        <v>0</v>
      </c>
      <c r="LUT26" s="1100"/>
      <c r="LUU26" s="1100"/>
      <c r="LUV26" s="1101"/>
      <c r="LUW26" s="1110">
        <f>IF(LVA10="Bovis","Attention retirer 2 mm aux dimensions transmises",0)</f>
        <v>0</v>
      </c>
      <c r="LUX26" s="1100"/>
      <c r="LUY26" s="1100"/>
      <c r="LUZ26" s="1101"/>
      <c r="LVA26" s="1110">
        <f>IF(LVE10="Bovis","Attention retirer 2 mm aux dimensions transmises",0)</f>
        <v>0</v>
      </c>
      <c r="LVB26" s="1100"/>
      <c r="LVC26" s="1100"/>
      <c r="LVD26" s="1101"/>
      <c r="LVE26" s="1110">
        <f>IF(LVI10="Bovis","Attention retirer 2 mm aux dimensions transmises",0)</f>
        <v>0</v>
      </c>
      <c r="LVF26" s="1100"/>
      <c r="LVG26" s="1100"/>
      <c r="LVH26" s="1101"/>
      <c r="LVI26" s="1110">
        <f>IF(LVM10="Bovis","Attention retirer 2 mm aux dimensions transmises",0)</f>
        <v>0</v>
      </c>
      <c r="LVJ26" s="1100"/>
      <c r="LVK26" s="1100"/>
      <c r="LVL26" s="1101"/>
      <c r="LVM26" s="1110">
        <f>IF(LVQ10="Bovis","Attention retirer 2 mm aux dimensions transmises",0)</f>
        <v>0</v>
      </c>
      <c r="LVN26" s="1100"/>
      <c r="LVO26" s="1100"/>
      <c r="LVP26" s="1101"/>
      <c r="LVQ26" s="1110">
        <f>IF(LVU10="Bovis","Attention retirer 2 mm aux dimensions transmises",0)</f>
        <v>0</v>
      </c>
      <c r="LVR26" s="1100"/>
      <c r="LVS26" s="1100"/>
      <c r="LVT26" s="1101"/>
      <c r="LVU26" s="1110">
        <f>IF(LVY10="Bovis","Attention retirer 2 mm aux dimensions transmises",0)</f>
        <v>0</v>
      </c>
      <c r="LVV26" s="1100"/>
      <c r="LVW26" s="1100"/>
      <c r="LVX26" s="1101"/>
      <c r="LVY26" s="1110">
        <f>IF(LWC10="Bovis","Attention retirer 2 mm aux dimensions transmises",0)</f>
        <v>0</v>
      </c>
      <c r="LVZ26" s="1100"/>
      <c r="LWA26" s="1100"/>
      <c r="LWB26" s="1101"/>
      <c r="LWC26" s="1110">
        <f>IF(LWG10="Bovis","Attention retirer 2 mm aux dimensions transmises",0)</f>
        <v>0</v>
      </c>
      <c r="LWD26" s="1100"/>
      <c r="LWE26" s="1100"/>
      <c r="LWF26" s="1101"/>
      <c r="LWG26" s="1110">
        <f>IF(LWK10="Bovis","Attention retirer 2 mm aux dimensions transmises",0)</f>
        <v>0</v>
      </c>
      <c r="LWH26" s="1100"/>
      <c r="LWI26" s="1100"/>
      <c r="LWJ26" s="1101"/>
      <c r="LWK26" s="1110">
        <f>IF(LWO10="Bovis","Attention retirer 2 mm aux dimensions transmises",0)</f>
        <v>0</v>
      </c>
      <c r="LWL26" s="1100"/>
      <c r="LWM26" s="1100"/>
      <c r="LWN26" s="1101"/>
      <c r="LWO26" s="1110">
        <f>IF(LWS10="Bovis","Attention retirer 2 mm aux dimensions transmises",0)</f>
        <v>0</v>
      </c>
      <c r="LWP26" s="1100"/>
      <c r="LWQ26" s="1100"/>
      <c r="LWR26" s="1101"/>
      <c r="LWS26" s="1110">
        <f>IF(LWW10="Bovis","Attention retirer 2 mm aux dimensions transmises",0)</f>
        <v>0</v>
      </c>
      <c r="LWT26" s="1100"/>
      <c r="LWU26" s="1100"/>
      <c r="LWV26" s="1101"/>
      <c r="LWW26" s="1110">
        <f>IF(LXA10="Bovis","Attention retirer 2 mm aux dimensions transmises",0)</f>
        <v>0</v>
      </c>
      <c r="LWX26" s="1100"/>
      <c r="LWY26" s="1100"/>
      <c r="LWZ26" s="1101"/>
      <c r="LXA26" s="1110">
        <f>IF(LXE10="Bovis","Attention retirer 2 mm aux dimensions transmises",0)</f>
        <v>0</v>
      </c>
      <c r="LXB26" s="1100"/>
      <c r="LXC26" s="1100"/>
      <c r="LXD26" s="1101"/>
      <c r="LXE26" s="1110">
        <f>IF(LXI10="Bovis","Attention retirer 2 mm aux dimensions transmises",0)</f>
        <v>0</v>
      </c>
      <c r="LXF26" s="1100"/>
      <c r="LXG26" s="1100"/>
      <c r="LXH26" s="1101"/>
      <c r="LXI26" s="1110">
        <f>IF(LXM10="Bovis","Attention retirer 2 mm aux dimensions transmises",0)</f>
        <v>0</v>
      </c>
      <c r="LXJ26" s="1100"/>
      <c r="LXK26" s="1100"/>
      <c r="LXL26" s="1101"/>
      <c r="LXM26" s="1110">
        <f>IF(LXQ10="Bovis","Attention retirer 2 mm aux dimensions transmises",0)</f>
        <v>0</v>
      </c>
      <c r="LXN26" s="1100"/>
      <c r="LXO26" s="1100"/>
      <c r="LXP26" s="1101"/>
      <c r="LXQ26" s="1110">
        <f>IF(LXU10="Bovis","Attention retirer 2 mm aux dimensions transmises",0)</f>
        <v>0</v>
      </c>
      <c r="LXR26" s="1100"/>
      <c r="LXS26" s="1100"/>
      <c r="LXT26" s="1101"/>
      <c r="LXU26" s="1110">
        <f>IF(LXY10="Bovis","Attention retirer 2 mm aux dimensions transmises",0)</f>
        <v>0</v>
      </c>
      <c r="LXV26" s="1100"/>
      <c r="LXW26" s="1100"/>
      <c r="LXX26" s="1101"/>
      <c r="LXY26" s="1110">
        <f>IF(LYC10="Bovis","Attention retirer 2 mm aux dimensions transmises",0)</f>
        <v>0</v>
      </c>
      <c r="LXZ26" s="1100"/>
      <c r="LYA26" s="1100"/>
      <c r="LYB26" s="1101"/>
      <c r="LYC26" s="1110">
        <f>IF(LYG10="Bovis","Attention retirer 2 mm aux dimensions transmises",0)</f>
        <v>0</v>
      </c>
      <c r="LYD26" s="1100"/>
      <c r="LYE26" s="1100"/>
      <c r="LYF26" s="1101"/>
      <c r="LYG26" s="1110">
        <f>IF(LYK10="Bovis","Attention retirer 2 mm aux dimensions transmises",0)</f>
        <v>0</v>
      </c>
      <c r="LYH26" s="1100"/>
      <c r="LYI26" s="1100"/>
      <c r="LYJ26" s="1101"/>
      <c r="LYK26" s="1110">
        <f>IF(LYO10="Bovis","Attention retirer 2 mm aux dimensions transmises",0)</f>
        <v>0</v>
      </c>
      <c r="LYL26" s="1100"/>
      <c r="LYM26" s="1100"/>
      <c r="LYN26" s="1101"/>
      <c r="LYO26" s="1110">
        <f>IF(LYS10="Bovis","Attention retirer 2 mm aux dimensions transmises",0)</f>
        <v>0</v>
      </c>
      <c r="LYP26" s="1100"/>
      <c r="LYQ26" s="1100"/>
      <c r="LYR26" s="1101"/>
      <c r="LYS26" s="1110">
        <f>IF(LYW10="Bovis","Attention retirer 2 mm aux dimensions transmises",0)</f>
        <v>0</v>
      </c>
      <c r="LYT26" s="1100"/>
      <c r="LYU26" s="1100"/>
      <c r="LYV26" s="1101"/>
      <c r="LYW26" s="1110">
        <f>IF(LZA10="Bovis","Attention retirer 2 mm aux dimensions transmises",0)</f>
        <v>0</v>
      </c>
      <c r="LYX26" s="1100"/>
      <c r="LYY26" s="1100"/>
      <c r="LYZ26" s="1101"/>
      <c r="LZA26" s="1110">
        <f>IF(LZE10="Bovis","Attention retirer 2 mm aux dimensions transmises",0)</f>
        <v>0</v>
      </c>
      <c r="LZB26" s="1100"/>
      <c r="LZC26" s="1100"/>
      <c r="LZD26" s="1101"/>
      <c r="LZE26" s="1110">
        <f>IF(LZI10="Bovis","Attention retirer 2 mm aux dimensions transmises",0)</f>
        <v>0</v>
      </c>
      <c r="LZF26" s="1100"/>
      <c r="LZG26" s="1100"/>
      <c r="LZH26" s="1101"/>
      <c r="LZI26" s="1110">
        <f>IF(LZM10="Bovis","Attention retirer 2 mm aux dimensions transmises",0)</f>
        <v>0</v>
      </c>
      <c r="LZJ26" s="1100"/>
      <c r="LZK26" s="1100"/>
      <c r="LZL26" s="1101"/>
      <c r="LZM26" s="1110">
        <f>IF(LZQ10="Bovis","Attention retirer 2 mm aux dimensions transmises",0)</f>
        <v>0</v>
      </c>
      <c r="LZN26" s="1100"/>
      <c r="LZO26" s="1100"/>
      <c r="LZP26" s="1101"/>
      <c r="LZQ26" s="1110">
        <f>IF(LZU10="Bovis","Attention retirer 2 mm aux dimensions transmises",0)</f>
        <v>0</v>
      </c>
      <c r="LZR26" s="1100"/>
      <c r="LZS26" s="1100"/>
      <c r="LZT26" s="1101"/>
      <c r="LZU26" s="1110">
        <f>IF(LZY10="Bovis","Attention retirer 2 mm aux dimensions transmises",0)</f>
        <v>0</v>
      </c>
      <c r="LZV26" s="1100"/>
      <c r="LZW26" s="1100"/>
      <c r="LZX26" s="1101"/>
      <c r="LZY26" s="1110">
        <f>IF(MAC10="Bovis","Attention retirer 2 mm aux dimensions transmises",0)</f>
        <v>0</v>
      </c>
      <c r="LZZ26" s="1100"/>
      <c r="MAA26" s="1100"/>
      <c r="MAB26" s="1101"/>
      <c r="MAC26" s="1110">
        <f>IF(MAG10="Bovis","Attention retirer 2 mm aux dimensions transmises",0)</f>
        <v>0</v>
      </c>
      <c r="MAD26" s="1100"/>
      <c r="MAE26" s="1100"/>
      <c r="MAF26" s="1101"/>
      <c r="MAG26" s="1110">
        <f>IF(MAK10="Bovis","Attention retirer 2 mm aux dimensions transmises",0)</f>
        <v>0</v>
      </c>
      <c r="MAH26" s="1100"/>
      <c r="MAI26" s="1100"/>
      <c r="MAJ26" s="1101"/>
      <c r="MAK26" s="1110">
        <f>IF(MAO10="Bovis","Attention retirer 2 mm aux dimensions transmises",0)</f>
        <v>0</v>
      </c>
      <c r="MAL26" s="1100"/>
      <c r="MAM26" s="1100"/>
      <c r="MAN26" s="1101"/>
      <c r="MAO26" s="1110">
        <f>IF(MAS10="Bovis","Attention retirer 2 mm aux dimensions transmises",0)</f>
        <v>0</v>
      </c>
      <c r="MAP26" s="1100"/>
      <c r="MAQ26" s="1100"/>
      <c r="MAR26" s="1101"/>
      <c r="MAS26" s="1110">
        <f>IF(MAW10="Bovis","Attention retirer 2 mm aux dimensions transmises",0)</f>
        <v>0</v>
      </c>
      <c r="MAT26" s="1100"/>
      <c r="MAU26" s="1100"/>
      <c r="MAV26" s="1101"/>
      <c r="MAW26" s="1110">
        <f>IF(MBA10="Bovis","Attention retirer 2 mm aux dimensions transmises",0)</f>
        <v>0</v>
      </c>
      <c r="MAX26" s="1100"/>
      <c r="MAY26" s="1100"/>
      <c r="MAZ26" s="1101"/>
      <c r="MBA26" s="1110">
        <f>IF(MBE10="Bovis","Attention retirer 2 mm aux dimensions transmises",0)</f>
        <v>0</v>
      </c>
      <c r="MBB26" s="1100"/>
      <c r="MBC26" s="1100"/>
      <c r="MBD26" s="1101"/>
      <c r="MBE26" s="1110">
        <f>IF(MBI10="Bovis","Attention retirer 2 mm aux dimensions transmises",0)</f>
        <v>0</v>
      </c>
      <c r="MBF26" s="1100"/>
      <c r="MBG26" s="1100"/>
      <c r="MBH26" s="1101"/>
      <c r="MBI26" s="1110">
        <f>IF(MBM10="Bovis","Attention retirer 2 mm aux dimensions transmises",0)</f>
        <v>0</v>
      </c>
      <c r="MBJ26" s="1100"/>
      <c r="MBK26" s="1100"/>
      <c r="MBL26" s="1101"/>
      <c r="MBM26" s="1110">
        <f>IF(MBQ10="Bovis","Attention retirer 2 mm aux dimensions transmises",0)</f>
        <v>0</v>
      </c>
      <c r="MBN26" s="1100"/>
      <c r="MBO26" s="1100"/>
      <c r="MBP26" s="1101"/>
      <c r="MBQ26" s="1110">
        <f>IF(MBU10="Bovis","Attention retirer 2 mm aux dimensions transmises",0)</f>
        <v>0</v>
      </c>
      <c r="MBR26" s="1100"/>
      <c r="MBS26" s="1100"/>
      <c r="MBT26" s="1101"/>
      <c r="MBU26" s="1110">
        <f>IF(MBY10="Bovis","Attention retirer 2 mm aux dimensions transmises",0)</f>
        <v>0</v>
      </c>
      <c r="MBV26" s="1100"/>
      <c r="MBW26" s="1100"/>
      <c r="MBX26" s="1101"/>
      <c r="MBY26" s="1110">
        <f>IF(MCC10="Bovis","Attention retirer 2 mm aux dimensions transmises",0)</f>
        <v>0</v>
      </c>
      <c r="MBZ26" s="1100"/>
      <c r="MCA26" s="1100"/>
      <c r="MCB26" s="1101"/>
      <c r="MCC26" s="1110">
        <f>IF(MCG10="Bovis","Attention retirer 2 mm aux dimensions transmises",0)</f>
        <v>0</v>
      </c>
      <c r="MCD26" s="1100"/>
      <c r="MCE26" s="1100"/>
      <c r="MCF26" s="1101"/>
      <c r="MCG26" s="1110">
        <f>IF(MCK10="Bovis","Attention retirer 2 mm aux dimensions transmises",0)</f>
        <v>0</v>
      </c>
      <c r="MCH26" s="1100"/>
      <c r="MCI26" s="1100"/>
      <c r="MCJ26" s="1101"/>
      <c r="MCK26" s="1110">
        <f>IF(MCO10="Bovis","Attention retirer 2 mm aux dimensions transmises",0)</f>
        <v>0</v>
      </c>
      <c r="MCL26" s="1100"/>
      <c r="MCM26" s="1100"/>
      <c r="MCN26" s="1101"/>
      <c r="MCO26" s="1110">
        <f>IF(MCS10="Bovis","Attention retirer 2 mm aux dimensions transmises",0)</f>
        <v>0</v>
      </c>
      <c r="MCP26" s="1100"/>
      <c r="MCQ26" s="1100"/>
      <c r="MCR26" s="1101"/>
      <c r="MCS26" s="1110">
        <f>IF(MCW10="Bovis","Attention retirer 2 mm aux dimensions transmises",0)</f>
        <v>0</v>
      </c>
      <c r="MCT26" s="1100"/>
      <c r="MCU26" s="1100"/>
      <c r="MCV26" s="1101"/>
      <c r="MCW26" s="1110">
        <f>IF(MDA10="Bovis","Attention retirer 2 mm aux dimensions transmises",0)</f>
        <v>0</v>
      </c>
      <c r="MCX26" s="1100"/>
      <c r="MCY26" s="1100"/>
      <c r="MCZ26" s="1101"/>
      <c r="MDA26" s="1110">
        <f>IF(MDE10="Bovis","Attention retirer 2 mm aux dimensions transmises",0)</f>
        <v>0</v>
      </c>
      <c r="MDB26" s="1100"/>
      <c r="MDC26" s="1100"/>
      <c r="MDD26" s="1101"/>
      <c r="MDE26" s="1110">
        <f>IF(MDI10="Bovis","Attention retirer 2 mm aux dimensions transmises",0)</f>
        <v>0</v>
      </c>
      <c r="MDF26" s="1100"/>
      <c r="MDG26" s="1100"/>
      <c r="MDH26" s="1101"/>
      <c r="MDI26" s="1110">
        <f>IF(MDM10="Bovis","Attention retirer 2 mm aux dimensions transmises",0)</f>
        <v>0</v>
      </c>
      <c r="MDJ26" s="1100"/>
      <c r="MDK26" s="1100"/>
      <c r="MDL26" s="1101"/>
      <c r="MDM26" s="1110">
        <f>IF(MDQ10="Bovis","Attention retirer 2 mm aux dimensions transmises",0)</f>
        <v>0</v>
      </c>
      <c r="MDN26" s="1100"/>
      <c r="MDO26" s="1100"/>
      <c r="MDP26" s="1101"/>
      <c r="MDQ26" s="1110">
        <f>IF(MDU10="Bovis","Attention retirer 2 mm aux dimensions transmises",0)</f>
        <v>0</v>
      </c>
      <c r="MDR26" s="1100"/>
      <c r="MDS26" s="1100"/>
      <c r="MDT26" s="1101"/>
      <c r="MDU26" s="1110">
        <f>IF(MDY10="Bovis","Attention retirer 2 mm aux dimensions transmises",0)</f>
        <v>0</v>
      </c>
      <c r="MDV26" s="1100"/>
      <c r="MDW26" s="1100"/>
      <c r="MDX26" s="1101"/>
      <c r="MDY26" s="1110">
        <f>IF(MEC10="Bovis","Attention retirer 2 mm aux dimensions transmises",0)</f>
        <v>0</v>
      </c>
      <c r="MDZ26" s="1100"/>
      <c r="MEA26" s="1100"/>
      <c r="MEB26" s="1101"/>
      <c r="MEC26" s="1110">
        <f>IF(MEG10="Bovis","Attention retirer 2 mm aux dimensions transmises",0)</f>
        <v>0</v>
      </c>
      <c r="MED26" s="1100"/>
      <c r="MEE26" s="1100"/>
      <c r="MEF26" s="1101"/>
      <c r="MEG26" s="1110">
        <f>IF(MEK10="Bovis","Attention retirer 2 mm aux dimensions transmises",0)</f>
        <v>0</v>
      </c>
      <c r="MEH26" s="1100"/>
      <c r="MEI26" s="1100"/>
      <c r="MEJ26" s="1101"/>
      <c r="MEK26" s="1110">
        <f>IF(MEO10="Bovis","Attention retirer 2 mm aux dimensions transmises",0)</f>
        <v>0</v>
      </c>
      <c r="MEL26" s="1100"/>
      <c r="MEM26" s="1100"/>
      <c r="MEN26" s="1101"/>
      <c r="MEO26" s="1110">
        <f>IF(MES10="Bovis","Attention retirer 2 mm aux dimensions transmises",0)</f>
        <v>0</v>
      </c>
      <c r="MEP26" s="1100"/>
      <c r="MEQ26" s="1100"/>
      <c r="MER26" s="1101"/>
      <c r="MES26" s="1110">
        <f>IF(MEW10="Bovis","Attention retirer 2 mm aux dimensions transmises",0)</f>
        <v>0</v>
      </c>
      <c r="MET26" s="1100"/>
      <c r="MEU26" s="1100"/>
      <c r="MEV26" s="1101"/>
      <c r="MEW26" s="1110">
        <f>IF(MFA10="Bovis","Attention retirer 2 mm aux dimensions transmises",0)</f>
        <v>0</v>
      </c>
      <c r="MEX26" s="1100"/>
      <c r="MEY26" s="1100"/>
      <c r="MEZ26" s="1101"/>
      <c r="MFA26" s="1110">
        <f>IF(MFE10="Bovis","Attention retirer 2 mm aux dimensions transmises",0)</f>
        <v>0</v>
      </c>
      <c r="MFB26" s="1100"/>
      <c r="MFC26" s="1100"/>
      <c r="MFD26" s="1101"/>
      <c r="MFE26" s="1110">
        <f>IF(MFI10="Bovis","Attention retirer 2 mm aux dimensions transmises",0)</f>
        <v>0</v>
      </c>
      <c r="MFF26" s="1100"/>
      <c r="MFG26" s="1100"/>
      <c r="MFH26" s="1101"/>
      <c r="MFI26" s="1110">
        <f>IF(MFM10="Bovis","Attention retirer 2 mm aux dimensions transmises",0)</f>
        <v>0</v>
      </c>
      <c r="MFJ26" s="1100"/>
      <c r="MFK26" s="1100"/>
      <c r="MFL26" s="1101"/>
      <c r="MFM26" s="1110">
        <f>IF(MFQ10="Bovis","Attention retirer 2 mm aux dimensions transmises",0)</f>
        <v>0</v>
      </c>
      <c r="MFN26" s="1100"/>
      <c r="MFO26" s="1100"/>
      <c r="MFP26" s="1101"/>
      <c r="MFQ26" s="1110">
        <f>IF(MFU10="Bovis","Attention retirer 2 mm aux dimensions transmises",0)</f>
        <v>0</v>
      </c>
      <c r="MFR26" s="1100"/>
      <c r="MFS26" s="1100"/>
      <c r="MFT26" s="1101"/>
      <c r="MFU26" s="1110">
        <f>IF(MFY10="Bovis","Attention retirer 2 mm aux dimensions transmises",0)</f>
        <v>0</v>
      </c>
      <c r="MFV26" s="1100"/>
      <c r="MFW26" s="1100"/>
      <c r="MFX26" s="1101"/>
      <c r="MFY26" s="1110">
        <f>IF(MGC10="Bovis","Attention retirer 2 mm aux dimensions transmises",0)</f>
        <v>0</v>
      </c>
      <c r="MFZ26" s="1100"/>
      <c r="MGA26" s="1100"/>
      <c r="MGB26" s="1101"/>
      <c r="MGC26" s="1110">
        <f>IF(MGG10="Bovis","Attention retirer 2 mm aux dimensions transmises",0)</f>
        <v>0</v>
      </c>
      <c r="MGD26" s="1100"/>
      <c r="MGE26" s="1100"/>
      <c r="MGF26" s="1101"/>
      <c r="MGG26" s="1110">
        <f>IF(MGK10="Bovis","Attention retirer 2 mm aux dimensions transmises",0)</f>
        <v>0</v>
      </c>
      <c r="MGH26" s="1100"/>
      <c r="MGI26" s="1100"/>
      <c r="MGJ26" s="1101"/>
      <c r="MGK26" s="1110">
        <f>IF(MGO10="Bovis","Attention retirer 2 mm aux dimensions transmises",0)</f>
        <v>0</v>
      </c>
      <c r="MGL26" s="1100"/>
      <c r="MGM26" s="1100"/>
      <c r="MGN26" s="1101"/>
      <c r="MGO26" s="1110">
        <f>IF(MGS10="Bovis","Attention retirer 2 mm aux dimensions transmises",0)</f>
        <v>0</v>
      </c>
      <c r="MGP26" s="1100"/>
      <c r="MGQ26" s="1100"/>
      <c r="MGR26" s="1101"/>
      <c r="MGS26" s="1110">
        <f>IF(MGW10="Bovis","Attention retirer 2 mm aux dimensions transmises",0)</f>
        <v>0</v>
      </c>
      <c r="MGT26" s="1100"/>
      <c r="MGU26" s="1100"/>
      <c r="MGV26" s="1101"/>
      <c r="MGW26" s="1110">
        <f>IF(MHA10="Bovis","Attention retirer 2 mm aux dimensions transmises",0)</f>
        <v>0</v>
      </c>
      <c r="MGX26" s="1100"/>
      <c r="MGY26" s="1100"/>
      <c r="MGZ26" s="1101"/>
      <c r="MHA26" s="1110">
        <f>IF(MHE10="Bovis","Attention retirer 2 mm aux dimensions transmises",0)</f>
        <v>0</v>
      </c>
      <c r="MHB26" s="1100"/>
      <c r="MHC26" s="1100"/>
      <c r="MHD26" s="1101"/>
      <c r="MHE26" s="1110">
        <f>IF(MHI10="Bovis","Attention retirer 2 mm aux dimensions transmises",0)</f>
        <v>0</v>
      </c>
      <c r="MHF26" s="1100"/>
      <c r="MHG26" s="1100"/>
      <c r="MHH26" s="1101"/>
      <c r="MHI26" s="1110">
        <f>IF(MHM10="Bovis","Attention retirer 2 mm aux dimensions transmises",0)</f>
        <v>0</v>
      </c>
      <c r="MHJ26" s="1100"/>
      <c r="MHK26" s="1100"/>
      <c r="MHL26" s="1101"/>
      <c r="MHM26" s="1110">
        <f>IF(MHQ10="Bovis","Attention retirer 2 mm aux dimensions transmises",0)</f>
        <v>0</v>
      </c>
      <c r="MHN26" s="1100"/>
      <c r="MHO26" s="1100"/>
      <c r="MHP26" s="1101"/>
      <c r="MHQ26" s="1110">
        <f>IF(MHU10="Bovis","Attention retirer 2 mm aux dimensions transmises",0)</f>
        <v>0</v>
      </c>
      <c r="MHR26" s="1100"/>
      <c r="MHS26" s="1100"/>
      <c r="MHT26" s="1101"/>
      <c r="MHU26" s="1110">
        <f>IF(MHY10="Bovis","Attention retirer 2 mm aux dimensions transmises",0)</f>
        <v>0</v>
      </c>
      <c r="MHV26" s="1100"/>
      <c r="MHW26" s="1100"/>
      <c r="MHX26" s="1101"/>
      <c r="MHY26" s="1110">
        <f>IF(MIC10="Bovis","Attention retirer 2 mm aux dimensions transmises",0)</f>
        <v>0</v>
      </c>
      <c r="MHZ26" s="1100"/>
      <c r="MIA26" s="1100"/>
      <c r="MIB26" s="1101"/>
      <c r="MIC26" s="1110">
        <f>IF(MIG10="Bovis","Attention retirer 2 mm aux dimensions transmises",0)</f>
        <v>0</v>
      </c>
      <c r="MID26" s="1100"/>
      <c r="MIE26" s="1100"/>
      <c r="MIF26" s="1101"/>
      <c r="MIG26" s="1110">
        <f>IF(MIK10="Bovis","Attention retirer 2 mm aux dimensions transmises",0)</f>
        <v>0</v>
      </c>
      <c r="MIH26" s="1100"/>
      <c r="MII26" s="1100"/>
      <c r="MIJ26" s="1101"/>
      <c r="MIK26" s="1110">
        <f>IF(MIO10="Bovis","Attention retirer 2 mm aux dimensions transmises",0)</f>
        <v>0</v>
      </c>
      <c r="MIL26" s="1100"/>
      <c r="MIM26" s="1100"/>
      <c r="MIN26" s="1101"/>
      <c r="MIO26" s="1110">
        <f>IF(MIS10="Bovis","Attention retirer 2 mm aux dimensions transmises",0)</f>
        <v>0</v>
      </c>
      <c r="MIP26" s="1100"/>
      <c r="MIQ26" s="1100"/>
      <c r="MIR26" s="1101"/>
      <c r="MIS26" s="1110">
        <f>IF(MIW10="Bovis","Attention retirer 2 mm aux dimensions transmises",0)</f>
        <v>0</v>
      </c>
      <c r="MIT26" s="1100"/>
      <c r="MIU26" s="1100"/>
      <c r="MIV26" s="1101"/>
      <c r="MIW26" s="1110">
        <f>IF(MJA10="Bovis","Attention retirer 2 mm aux dimensions transmises",0)</f>
        <v>0</v>
      </c>
      <c r="MIX26" s="1100"/>
      <c r="MIY26" s="1100"/>
      <c r="MIZ26" s="1101"/>
      <c r="MJA26" s="1110">
        <f>IF(MJE10="Bovis","Attention retirer 2 mm aux dimensions transmises",0)</f>
        <v>0</v>
      </c>
      <c r="MJB26" s="1100"/>
      <c r="MJC26" s="1100"/>
      <c r="MJD26" s="1101"/>
      <c r="MJE26" s="1110">
        <f>IF(MJI10="Bovis","Attention retirer 2 mm aux dimensions transmises",0)</f>
        <v>0</v>
      </c>
      <c r="MJF26" s="1100"/>
      <c r="MJG26" s="1100"/>
      <c r="MJH26" s="1101"/>
      <c r="MJI26" s="1110">
        <f>IF(MJM10="Bovis","Attention retirer 2 mm aux dimensions transmises",0)</f>
        <v>0</v>
      </c>
      <c r="MJJ26" s="1100"/>
      <c r="MJK26" s="1100"/>
      <c r="MJL26" s="1101"/>
      <c r="MJM26" s="1110">
        <f>IF(MJQ10="Bovis","Attention retirer 2 mm aux dimensions transmises",0)</f>
        <v>0</v>
      </c>
      <c r="MJN26" s="1100"/>
      <c r="MJO26" s="1100"/>
      <c r="MJP26" s="1101"/>
      <c r="MJQ26" s="1110">
        <f>IF(MJU10="Bovis","Attention retirer 2 mm aux dimensions transmises",0)</f>
        <v>0</v>
      </c>
      <c r="MJR26" s="1100"/>
      <c r="MJS26" s="1100"/>
      <c r="MJT26" s="1101"/>
      <c r="MJU26" s="1110">
        <f>IF(MJY10="Bovis","Attention retirer 2 mm aux dimensions transmises",0)</f>
        <v>0</v>
      </c>
      <c r="MJV26" s="1100"/>
      <c r="MJW26" s="1100"/>
      <c r="MJX26" s="1101"/>
      <c r="MJY26" s="1110">
        <f>IF(MKC10="Bovis","Attention retirer 2 mm aux dimensions transmises",0)</f>
        <v>0</v>
      </c>
      <c r="MJZ26" s="1100"/>
      <c r="MKA26" s="1100"/>
      <c r="MKB26" s="1101"/>
      <c r="MKC26" s="1110">
        <f>IF(MKG10="Bovis","Attention retirer 2 mm aux dimensions transmises",0)</f>
        <v>0</v>
      </c>
      <c r="MKD26" s="1100"/>
      <c r="MKE26" s="1100"/>
      <c r="MKF26" s="1101"/>
      <c r="MKG26" s="1110">
        <f>IF(MKK10="Bovis","Attention retirer 2 mm aux dimensions transmises",0)</f>
        <v>0</v>
      </c>
      <c r="MKH26" s="1100"/>
      <c r="MKI26" s="1100"/>
      <c r="MKJ26" s="1101"/>
      <c r="MKK26" s="1110">
        <f>IF(MKO10="Bovis","Attention retirer 2 mm aux dimensions transmises",0)</f>
        <v>0</v>
      </c>
      <c r="MKL26" s="1100"/>
      <c r="MKM26" s="1100"/>
      <c r="MKN26" s="1101"/>
      <c r="MKO26" s="1110">
        <f>IF(MKS10="Bovis","Attention retirer 2 mm aux dimensions transmises",0)</f>
        <v>0</v>
      </c>
      <c r="MKP26" s="1100"/>
      <c r="MKQ26" s="1100"/>
      <c r="MKR26" s="1101"/>
      <c r="MKS26" s="1110">
        <f>IF(MKW10="Bovis","Attention retirer 2 mm aux dimensions transmises",0)</f>
        <v>0</v>
      </c>
      <c r="MKT26" s="1100"/>
      <c r="MKU26" s="1100"/>
      <c r="MKV26" s="1101"/>
      <c r="MKW26" s="1110">
        <f>IF(MLA10="Bovis","Attention retirer 2 mm aux dimensions transmises",0)</f>
        <v>0</v>
      </c>
      <c r="MKX26" s="1100"/>
      <c r="MKY26" s="1100"/>
      <c r="MKZ26" s="1101"/>
      <c r="MLA26" s="1110">
        <f>IF(MLE10="Bovis","Attention retirer 2 mm aux dimensions transmises",0)</f>
        <v>0</v>
      </c>
      <c r="MLB26" s="1100"/>
      <c r="MLC26" s="1100"/>
      <c r="MLD26" s="1101"/>
      <c r="MLE26" s="1110">
        <f>IF(MLI10="Bovis","Attention retirer 2 mm aux dimensions transmises",0)</f>
        <v>0</v>
      </c>
      <c r="MLF26" s="1100"/>
      <c r="MLG26" s="1100"/>
      <c r="MLH26" s="1101"/>
      <c r="MLI26" s="1110">
        <f>IF(MLM10="Bovis","Attention retirer 2 mm aux dimensions transmises",0)</f>
        <v>0</v>
      </c>
      <c r="MLJ26" s="1100"/>
      <c r="MLK26" s="1100"/>
      <c r="MLL26" s="1101"/>
      <c r="MLM26" s="1110">
        <f>IF(MLQ10="Bovis","Attention retirer 2 mm aux dimensions transmises",0)</f>
        <v>0</v>
      </c>
      <c r="MLN26" s="1100"/>
      <c r="MLO26" s="1100"/>
      <c r="MLP26" s="1101"/>
      <c r="MLQ26" s="1110">
        <f>IF(MLU10="Bovis","Attention retirer 2 mm aux dimensions transmises",0)</f>
        <v>0</v>
      </c>
      <c r="MLR26" s="1100"/>
      <c r="MLS26" s="1100"/>
      <c r="MLT26" s="1101"/>
      <c r="MLU26" s="1110">
        <f>IF(MLY10="Bovis","Attention retirer 2 mm aux dimensions transmises",0)</f>
        <v>0</v>
      </c>
      <c r="MLV26" s="1100"/>
      <c r="MLW26" s="1100"/>
      <c r="MLX26" s="1101"/>
      <c r="MLY26" s="1110">
        <f>IF(MMC10="Bovis","Attention retirer 2 mm aux dimensions transmises",0)</f>
        <v>0</v>
      </c>
      <c r="MLZ26" s="1100"/>
      <c r="MMA26" s="1100"/>
      <c r="MMB26" s="1101"/>
      <c r="MMC26" s="1110">
        <f>IF(MMG10="Bovis","Attention retirer 2 mm aux dimensions transmises",0)</f>
        <v>0</v>
      </c>
      <c r="MMD26" s="1100"/>
      <c r="MME26" s="1100"/>
      <c r="MMF26" s="1101"/>
      <c r="MMG26" s="1110">
        <f>IF(MMK10="Bovis","Attention retirer 2 mm aux dimensions transmises",0)</f>
        <v>0</v>
      </c>
      <c r="MMH26" s="1100"/>
      <c r="MMI26" s="1100"/>
      <c r="MMJ26" s="1101"/>
      <c r="MMK26" s="1110">
        <f>IF(MMO10="Bovis","Attention retirer 2 mm aux dimensions transmises",0)</f>
        <v>0</v>
      </c>
      <c r="MML26" s="1100"/>
      <c r="MMM26" s="1100"/>
      <c r="MMN26" s="1101"/>
      <c r="MMO26" s="1110">
        <f>IF(MMS10="Bovis","Attention retirer 2 mm aux dimensions transmises",0)</f>
        <v>0</v>
      </c>
      <c r="MMP26" s="1100"/>
      <c r="MMQ26" s="1100"/>
      <c r="MMR26" s="1101"/>
      <c r="MMS26" s="1110">
        <f>IF(MMW10="Bovis","Attention retirer 2 mm aux dimensions transmises",0)</f>
        <v>0</v>
      </c>
      <c r="MMT26" s="1100"/>
      <c r="MMU26" s="1100"/>
      <c r="MMV26" s="1101"/>
      <c r="MMW26" s="1110">
        <f>IF(MNA10="Bovis","Attention retirer 2 mm aux dimensions transmises",0)</f>
        <v>0</v>
      </c>
      <c r="MMX26" s="1100"/>
      <c r="MMY26" s="1100"/>
      <c r="MMZ26" s="1101"/>
      <c r="MNA26" s="1110">
        <f>IF(MNE10="Bovis","Attention retirer 2 mm aux dimensions transmises",0)</f>
        <v>0</v>
      </c>
      <c r="MNB26" s="1100"/>
      <c r="MNC26" s="1100"/>
      <c r="MND26" s="1101"/>
      <c r="MNE26" s="1110">
        <f>IF(MNI10="Bovis","Attention retirer 2 mm aux dimensions transmises",0)</f>
        <v>0</v>
      </c>
      <c r="MNF26" s="1100"/>
      <c r="MNG26" s="1100"/>
      <c r="MNH26" s="1101"/>
      <c r="MNI26" s="1110">
        <f>IF(MNM10="Bovis","Attention retirer 2 mm aux dimensions transmises",0)</f>
        <v>0</v>
      </c>
      <c r="MNJ26" s="1100"/>
      <c r="MNK26" s="1100"/>
      <c r="MNL26" s="1101"/>
      <c r="MNM26" s="1110">
        <f>IF(MNQ10="Bovis","Attention retirer 2 mm aux dimensions transmises",0)</f>
        <v>0</v>
      </c>
      <c r="MNN26" s="1100"/>
      <c r="MNO26" s="1100"/>
      <c r="MNP26" s="1101"/>
      <c r="MNQ26" s="1110">
        <f>IF(MNU10="Bovis","Attention retirer 2 mm aux dimensions transmises",0)</f>
        <v>0</v>
      </c>
      <c r="MNR26" s="1100"/>
      <c r="MNS26" s="1100"/>
      <c r="MNT26" s="1101"/>
      <c r="MNU26" s="1110">
        <f>IF(MNY10="Bovis","Attention retirer 2 mm aux dimensions transmises",0)</f>
        <v>0</v>
      </c>
      <c r="MNV26" s="1100"/>
      <c r="MNW26" s="1100"/>
      <c r="MNX26" s="1101"/>
      <c r="MNY26" s="1110">
        <f>IF(MOC10="Bovis","Attention retirer 2 mm aux dimensions transmises",0)</f>
        <v>0</v>
      </c>
      <c r="MNZ26" s="1100"/>
      <c r="MOA26" s="1100"/>
      <c r="MOB26" s="1101"/>
      <c r="MOC26" s="1110">
        <f>IF(MOG10="Bovis","Attention retirer 2 mm aux dimensions transmises",0)</f>
        <v>0</v>
      </c>
      <c r="MOD26" s="1100"/>
      <c r="MOE26" s="1100"/>
      <c r="MOF26" s="1101"/>
      <c r="MOG26" s="1110">
        <f>IF(MOK10="Bovis","Attention retirer 2 mm aux dimensions transmises",0)</f>
        <v>0</v>
      </c>
      <c r="MOH26" s="1100"/>
      <c r="MOI26" s="1100"/>
      <c r="MOJ26" s="1101"/>
      <c r="MOK26" s="1110">
        <f>IF(MOO10="Bovis","Attention retirer 2 mm aux dimensions transmises",0)</f>
        <v>0</v>
      </c>
      <c r="MOL26" s="1100"/>
      <c r="MOM26" s="1100"/>
      <c r="MON26" s="1101"/>
      <c r="MOO26" s="1110">
        <f>IF(MOS10="Bovis","Attention retirer 2 mm aux dimensions transmises",0)</f>
        <v>0</v>
      </c>
      <c r="MOP26" s="1100"/>
      <c r="MOQ26" s="1100"/>
      <c r="MOR26" s="1101"/>
      <c r="MOS26" s="1110">
        <f>IF(MOW10="Bovis","Attention retirer 2 mm aux dimensions transmises",0)</f>
        <v>0</v>
      </c>
      <c r="MOT26" s="1100"/>
      <c r="MOU26" s="1100"/>
      <c r="MOV26" s="1101"/>
      <c r="MOW26" s="1110">
        <f>IF(MPA10="Bovis","Attention retirer 2 mm aux dimensions transmises",0)</f>
        <v>0</v>
      </c>
      <c r="MOX26" s="1100"/>
      <c r="MOY26" s="1100"/>
      <c r="MOZ26" s="1101"/>
      <c r="MPA26" s="1110">
        <f>IF(MPE10="Bovis","Attention retirer 2 mm aux dimensions transmises",0)</f>
        <v>0</v>
      </c>
      <c r="MPB26" s="1100"/>
      <c r="MPC26" s="1100"/>
      <c r="MPD26" s="1101"/>
      <c r="MPE26" s="1110">
        <f>IF(MPI10="Bovis","Attention retirer 2 mm aux dimensions transmises",0)</f>
        <v>0</v>
      </c>
      <c r="MPF26" s="1100"/>
      <c r="MPG26" s="1100"/>
      <c r="MPH26" s="1101"/>
      <c r="MPI26" s="1110">
        <f>IF(MPM10="Bovis","Attention retirer 2 mm aux dimensions transmises",0)</f>
        <v>0</v>
      </c>
      <c r="MPJ26" s="1100"/>
      <c r="MPK26" s="1100"/>
      <c r="MPL26" s="1101"/>
      <c r="MPM26" s="1110">
        <f>IF(MPQ10="Bovis","Attention retirer 2 mm aux dimensions transmises",0)</f>
        <v>0</v>
      </c>
      <c r="MPN26" s="1100"/>
      <c r="MPO26" s="1100"/>
      <c r="MPP26" s="1101"/>
      <c r="MPQ26" s="1110">
        <f>IF(MPU10="Bovis","Attention retirer 2 mm aux dimensions transmises",0)</f>
        <v>0</v>
      </c>
      <c r="MPR26" s="1100"/>
      <c r="MPS26" s="1100"/>
      <c r="MPT26" s="1101"/>
      <c r="MPU26" s="1110">
        <f>IF(MPY10="Bovis","Attention retirer 2 mm aux dimensions transmises",0)</f>
        <v>0</v>
      </c>
      <c r="MPV26" s="1100"/>
      <c r="MPW26" s="1100"/>
      <c r="MPX26" s="1101"/>
      <c r="MPY26" s="1110">
        <f>IF(MQC10="Bovis","Attention retirer 2 mm aux dimensions transmises",0)</f>
        <v>0</v>
      </c>
      <c r="MPZ26" s="1100"/>
      <c r="MQA26" s="1100"/>
      <c r="MQB26" s="1101"/>
      <c r="MQC26" s="1110">
        <f>IF(MQG10="Bovis","Attention retirer 2 mm aux dimensions transmises",0)</f>
        <v>0</v>
      </c>
      <c r="MQD26" s="1100"/>
      <c r="MQE26" s="1100"/>
      <c r="MQF26" s="1101"/>
      <c r="MQG26" s="1110">
        <f>IF(MQK10="Bovis","Attention retirer 2 mm aux dimensions transmises",0)</f>
        <v>0</v>
      </c>
      <c r="MQH26" s="1100"/>
      <c r="MQI26" s="1100"/>
      <c r="MQJ26" s="1101"/>
      <c r="MQK26" s="1110">
        <f>IF(MQO10="Bovis","Attention retirer 2 mm aux dimensions transmises",0)</f>
        <v>0</v>
      </c>
      <c r="MQL26" s="1100"/>
      <c r="MQM26" s="1100"/>
      <c r="MQN26" s="1101"/>
      <c r="MQO26" s="1110">
        <f>IF(MQS10="Bovis","Attention retirer 2 mm aux dimensions transmises",0)</f>
        <v>0</v>
      </c>
      <c r="MQP26" s="1100"/>
      <c r="MQQ26" s="1100"/>
      <c r="MQR26" s="1101"/>
      <c r="MQS26" s="1110">
        <f>IF(MQW10="Bovis","Attention retirer 2 mm aux dimensions transmises",0)</f>
        <v>0</v>
      </c>
      <c r="MQT26" s="1100"/>
      <c r="MQU26" s="1100"/>
      <c r="MQV26" s="1101"/>
      <c r="MQW26" s="1110">
        <f>IF(MRA10="Bovis","Attention retirer 2 mm aux dimensions transmises",0)</f>
        <v>0</v>
      </c>
      <c r="MQX26" s="1100"/>
      <c r="MQY26" s="1100"/>
      <c r="MQZ26" s="1101"/>
      <c r="MRA26" s="1110">
        <f>IF(MRE10="Bovis","Attention retirer 2 mm aux dimensions transmises",0)</f>
        <v>0</v>
      </c>
      <c r="MRB26" s="1100"/>
      <c r="MRC26" s="1100"/>
      <c r="MRD26" s="1101"/>
      <c r="MRE26" s="1110">
        <f>IF(MRI10="Bovis","Attention retirer 2 mm aux dimensions transmises",0)</f>
        <v>0</v>
      </c>
      <c r="MRF26" s="1100"/>
      <c r="MRG26" s="1100"/>
      <c r="MRH26" s="1101"/>
      <c r="MRI26" s="1110">
        <f>IF(MRM10="Bovis","Attention retirer 2 mm aux dimensions transmises",0)</f>
        <v>0</v>
      </c>
      <c r="MRJ26" s="1100"/>
      <c r="MRK26" s="1100"/>
      <c r="MRL26" s="1101"/>
      <c r="MRM26" s="1110">
        <f>IF(MRQ10="Bovis","Attention retirer 2 mm aux dimensions transmises",0)</f>
        <v>0</v>
      </c>
      <c r="MRN26" s="1100"/>
      <c r="MRO26" s="1100"/>
      <c r="MRP26" s="1101"/>
      <c r="MRQ26" s="1110">
        <f>IF(MRU10="Bovis","Attention retirer 2 mm aux dimensions transmises",0)</f>
        <v>0</v>
      </c>
      <c r="MRR26" s="1100"/>
      <c r="MRS26" s="1100"/>
      <c r="MRT26" s="1101"/>
      <c r="MRU26" s="1110">
        <f>IF(MRY10="Bovis","Attention retirer 2 mm aux dimensions transmises",0)</f>
        <v>0</v>
      </c>
      <c r="MRV26" s="1100"/>
      <c r="MRW26" s="1100"/>
      <c r="MRX26" s="1101"/>
      <c r="MRY26" s="1110">
        <f>IF(MSC10="Bovis","Attention retirer 2 mm aux dimensions transmises",0)</f>
        <v>0</v>
      </c>
      <c r="MRZ26" s="1100"/>
      <c r="MSA26" s="1100"/>
      <c r="MSB26" s="1101"/>
      <c r="MSC26" s="1110">
        <f>IF(MSG10="Bovis","Attention retirer 2 mm aux dimensions transmises",0)</f>
        <v>0</v>
      </c>
      <c r="MSD26" s="1100"/>
      <c r="MSE26" s="1100"/>
      <c r="MSF26" s="1101"/>
      <c r="MSG26" s="1110">
        <f>IF(MSK10="Bovis","Attention retirer 2 mm aux dimensions transmises",0)</f>
        <v>0</v>
      </c>
      <c r="MSH26" s="1100"/>
      <c r="MSI26" s="1100"/>
      <c r="MSJ26" s="1101"/>
      <c r="MSK26" s="1110">
        <f>IF(MSO10="Bovis","Attention retirer 2 mm aux dimensions transmises",0)</f>
        <v>0</v>
      </c>
      <c r="MSL26" s="1100"/>
      <c r="MSM26" s="1100"/>
      <c r="MSN26" s="1101"/>
      <c r="MSO26" s="1110">
        <f>IF(MSS10="Bovis","Attention retirer 2 mm aux dimensions transmises",0)</f>
        <v>0</v>
      </c>
      <c r="MSP26" s="1100"/>
      <c r="MSQ26" s="1100"/>
      <c r="MSR26" s="1101"/>
      <c r="MSS26" s="1110">
        <f>IF(MSW10="Bovis","Attention retirer 2 mm aux dimensions transmises",0)</f>
        <v>0</v>
      </c>
      <c r="MST26" s="1100"/>
      <c r="MSU26" s="1100"/>
      <c r="MSV26" s="1101"/>
      <c r="MSW26" s="1110">
        <f>IF(MTA10="Bovis","Attention retirer 2 mm aux dimensions transmises",0)</f>
        <v>0</v>
      </c>
      <c r="MSX26" s="1100"/>
      <c r="MSY26" s="1100"/>
      <c r="MSZ26" s="1101"/>
      <c r="MTA26" s="1110">
        <f>IF(MTE10="Bovis","Attention retirer 2 mm aux dimensions transmises",0)</f>
        <v>0</v>
      </c>
      <c r="MTB26" s="1100"/>
      <c r="MTC26" s="1100"/>
      <c r="MTD26" s="1101"/>
      <c r="MTE26" s="1110">
        <f>IF(MTI10="Bovis","Attention retirer 2 mm aux dimensions transmises",0)</f>
        <v>0</v>
      </c>
      <c r="MTF26" s="1100"/>
      <c r="MTG26" s="1100"/>
      <c r="MTH26" s="1101"/>
      <c r="MTI26" s="1110">
        <f>IF(MTM10="Bovis","Attention retirer 2 mm aux dimensions transmises",0)</f>
        <v>0</v>
      </c>
      <c r="MTJ26" s="1100"/>
      <c r="MTK26" s="1100"/>
      <c r="MTL26" s="1101"/>
      <c r="MTM26" s="1110">
        <f>IF(MTQ10="Bovis","Attention retirer 2 mm aux dimensions transmises",0)</f>
        <v>0</v>
      </c>
      <c r="MTN26" s="1100"/>
      <c r="MTO26" s="1100"/>
      <c r="MTP26" s="1101"/>
      <c r="MTQ26" s="1110">
        <f>IF(MTU10="Bovis","Attention retirer 2 mm aux dimensions transmises",0)</f>
        <v>0</v>
      </c>
      <c r="MTR26" s="1100"/>
      <c r="MTS26" s="1100"/>
      <c r="MTT26" s="1101"/>
      <c r="MTU26" s="1110">
        <f>IF(MTY10="Bovis","Attention retirer 2 mm aux dimensions transmises",0)</f>
        <v>0</v>
      </c>
      <c r="MTV26" s="1100"/>
      <c r="MTW26" s="1100"/>
      <c r="MTX26" s="1101"/>
      <c r="MTY26" s="1110">
        <f>IF(MUC10="Bovis","Attention retirer 2 mm aux dimensions transmises",0)</f>
        <v>0</v>
      </c>
      <c r="MTZ26" s="1100"/>
      <c r="MUA26" s="1100"/>
      <c r="MUB26" s="1101"/>
      <c r="MUC26" s="1110">
        <f>IF(MUG10="Bovis","Attention retirer 2 mm aux dimensions transmises",0)</f>
        <v>0</v>
      </c>
      <c r="MUD26" s="1100"/>
      <c r="MUE26" s="1100"/>
      <c r="MUF26" s="1101"/>
      <c r="MUG26" s="1110">
        <f>IF(MUK10="Bovis","Attention retirer 2 mm aux dimensions transmises",0)</f>
        <v>0</v>
      </c>
      <c r="MUH26" s="1100"/>
      <c r="MUI26" s="1100"/>
      <c r="MUJ26" s="1101"/>
      <c r="MUK26" s="1110">
        <f>IF(MUO10="Bovis","Attention retirer 2 mm aux dimensions transmises",0)</f>
        <v>0</v>
      </c>
      <c r="MUL26" s="1100"/>
      <c r="MUM26" s="1100"/>
      <c r="MUN26" s="1101"/>
      <c r="MUO26" s="1110">
        <f>IF(MUS10="Bovis","Attention retirer 2 mm aux dimensions transmises",0)</f>
        <v>0</v>
      </c>
      <c r="MUP26" s="1100"/>
      <c r="MUQ26" s="1100"/>
      <c r="MUR26" s="1101"/>
      <c r="MUS26" s="1110">
        <f>IF(MUW10="Bovis","Attention retirer 2 mm aux dimensions transmises",0)</f>
        <v>0</v>
      </c>
      <c r="MUT26" s="1100"/>
      <c r="MUU26" s="1100"/>
      <c r="MUV26" s="1101"/>
      <c r="MUW26" s="1110">
        <f>IF(MVA10="Bovis","Attention retirer 2 mm aux dimensions transmises",0)</f>
        <v>0</v>
      </c>
      <c r="MUX26" s="1100"/>
      <c r="MUY26" s="1100"/>
      <c r="MUZ26" s="1101"/>
      <c r="MVA26" s="1110">
        <f>IF(MVE10="Bovis","Attention retirer 2 mm aux dimensions transmises",0)</f>
        <v>0</v>
      </c>
      <c r="MVB26" s="1100"/>
      <c r="MVC26" s="1100"/>
      <c r="MVD26" s="1101"/>
      <c r="MVE26" s="1110">
        <f>IF(MVI10="Bovis","Attention retirer 2 mm aux dimensions transmises",0)</f>
        <v>0</v>
      </c>
      <c r="MVF26" s="1100"/>
      <c r="MVG26" s="1100"/>
      <c r="MVH26" s="1101"/>
      <c r="MVI26" s="1110">
        <f>IF(MVM10="Bovis","Attention retirer 2 mm aux dimensions transmises",0)</f>
        <v>0</v>
      </c>
      <c r="MVJ26" s="1100"/>
      <c r="MVK26" s="1100"/>
      <c r="MVL26" s="1101"/>
      <c r="MVM26" s="1110">
        <f>IF(MVQ10="Bovis","Attention retirer 2 mm aux dimensions transmises",0)</f>
        <v>0</v>
      </c>
      <c r="MVN26" s="1100"/>
      <c r="MVO26" s="1100"/>
      <c r="MVP26" s="1101"/>
      <c r="MVQ26" s="1110">
        <f>IF(MVU10="Bovis","Attention retirer 2 mm aux dimensions transmises",0)</f>
        <v>0</v>
      </c>
      <c r="MVR26" s="1100"/>
      <c r="MVS26" s="1100"/>
      <c r="MVT26" s="1101"/>
      <c r="MVU26" s="1110">
        <f>IF(MVY10="Bovis","Attention retirer 2 mm aux dimensions transmises",0)</f>
        <v>0</v>
      </c>
      <c r="MVV26" s="1100"/>
      <c r="MVW26" s="1100"/>
      <c r="MVX26" s="1101"/>
      <c r="MVY26" s="1110">
        <f>IF(MWC10="Bovis","Attention retirer 2 mm aux dimensions transmises",0)</f>
        <v>0</v>
      </c>
      <c r="MVZ26" s="1100"/>
      <c r="MWA26" s="1100"/>
      <c r="MWB26" s="1101"/>
      <c r="MWC26" s="1110">
        <f>IF(MWG10="Bovis","Attention retirer 2 mm aux dimensions transmises",0)</f>
        <v>0</v>
      </c>
      <c r="MWD26" s="1100"/>
      <c r="MWE26" s="1100"/>
      <c r="MWF26" s="1101"/>
      <c r="MWG26" s="1110">
        <f>IF(MWK10="Bovis","Attention retirer 2 mm aux dimensions transmises",0)</f>
        <v>0</v>
      </c>
      <c r="MWH26" s="1100"/>
      <c r="MWI26" s="1100"/>
      <c r="MWJ26" s="1101"/>
      <c r="MWK26" s="1110">
        <f>IF(MWO10="Bovis","Attention retirer 2 mm aux dimensions transmises",0)</f>
        <v>0</v>
      </c>
      <c r="MWL26" s="1100"/>
      <c r="MWM26" s="1100"/>
      <c r="MWN26" s="1101"/>
      <c r="MWO26" s="1110">
        <f>IF(MWS10="Bovis","Attention retirer 2 mm aux dimensions transmises",0)</f>
        <v>0</v>
      </c>
      <c r="MWP26" s="1100"/>
      <c r="MWQ26" s="1100"/>
      <c r="MWR26" s="1101"/>
      <c r="MWS26" s="1110">
        <f>IF(MWW10="Bovis","Attention retirer 2 mm aux dimensions transmises",0)</f>
        <v>0</v>
      </c>
      <c r="MWT26" s="1100"/>
      <c r="MWU26" s="1100"/>
      <c r="MWV26" s="1101"/>
      <c r="MWW26" s="1110">
        <f>IF(MXA10="Bovis","Attention retirer 2 mm aux dimensions transmises",0)</f>
        <v>0</v>
      </c>
      <c r="MWX26" s="1100"/>
      <c r="MWY26" s="1100"/>
      <c r="MWZ26" s="1101"/>
      <c r="MXA26" s="1110">
        <f>IF(MXE10="Bovis","Attention retirer 2 mm aux dimensions transmises",0)</f>
        <v>0</v>
      </c>
      <c r="MXB26" s="1100"/>
      <c r="MXC26" s="1100"/>
      <c r="MXD26" s="1101"/>
      <c r="MXE26" s="1110">
        <f>IF(MXI10="Bovis","Attention retirer 2 mm aux dimensions transmises",0)</f>
        <v>0</v>
      </c>
      <c r="MXF26" s="1100"/>
      <c r="MXG26" s="1100"/>
      <c r="MXH26" s="1101"/>
      <c r="MXI26" s="1110">
        <f>IF(MXM10="Bovis","Attention retirer 2 mm aux dimensions transmises",0)</f>
        <v>0</v>
      </c>
      <c r="MXJ26" s="1100"/>
      <c r="MXK26" s="1100"/>
      <c r="MXL26" s="1101"/>
      <c r="MXM26" s="1110">
        <f>IF(MXQ10="Bovis","Attention retirer 2 mm aux dimensions transmises",0)</f>
        <v>0</v>
      </c>
      <c r="MXN26" s="1100"/>
      <c r="MXO26" s="1100"/>
      <c r="MXP26" s="1101"/>
      <c r="MXQ26" s="1110">
        <f>IF(MXU10="Bovis","Attention retirer 2 mm aux dimensions transmises",0)</f>
        <v>0</v>
      </c>
      <c r="MXR26" s="1100"/>
      <c r="MXS26" s="1100"/>
      <c r="MXT26" s="1101"/>
      <c r="MXU26" s="1110">
        <f>IF(MXY10="Bovis","Attention retirer 2 mm aux dimensions transmises",0)</f>
        <v>0</v>
      </c>
      <c r="MXV26" s="1100"/>
      <c r="MXW26" s="1100"/>
      <c r="MXX26" s="1101"/>
      <c r="MXY26" s="1110">
        <f>IF(MYC10="Bovis","Attention retirer 2 mm aux dimensions transmises",0)</f>
        <v>0</v>
      </c>
      <c r="MXZ26" s="1100"/>
      <c r="MYA26" s="1100"/>
      <c r="MYB26" s="1101"/>
      <c r="MYC26" s="1110">
        <f>IF(MYG10="Bovis","Attention retirer 2 mm aux dimensions transmises",0)</f>
        <v>0</v>
      </c>
      <c r="MYD26" s="1100"/>
      <c r="MYE26" s="1100"/>
      <c r="MYF26" s="1101"/>
      <c r="MYG26" s="1110">
        <f>IF(MYK10="Bovis","Attention retirer 2 mm aux dimensions transmises",0)</f>
        <v>0</v>
      </c>
      <c r="MYH26" s="1100"/>
      <c r="MYI26" s="1100"/>
      <c r="MYJ26" s="1101"/>
      <c r="MYK26" s="1110">
        <f>IF(MYO10="Bovis","Attention retirer 2 mm aux dimensions transmises",0)</f>
        <v>0</v>
      </c>
      <c r="MYL26" s="1100"/>
      <c r="MYM26" s="1100"/>
      <c r="MYN26" s="1101"/>
      <c r="MYO26" s="1110">
        <f>IF(MYS10="Bovis","Attention retirer 2 mm aux dimensions transmises",0)</f>
        <v>0</v>
      </c>
      <c r="MYP26" s="1100"/>
      <c r="MYQ26" s="1100"/>
      <c r="MYR26" s="1101"/>
      <c r="MYS26" s="1110">
        <f>IF(MYW10="Bovis","Attention retirer 2 mm aux dimensions transmises",0)</f>
        <v>0</v>
      </c>
      <c r="MYT26" s="1100"/>
      <c r="MYU26" s="1100"/>
      <c r="MYV26" s="1101"/>
      <c r="MYW26" s="1110">
        <f>IF(MZA10="Bovis","Attention retirer 2 mm aux dimensions transmises",0)</f>
        <v>0</v>
      </c>
      <c r="MYX26" s="1100"/>
      <c r="MYY26" s="1100"/>
      <c r="MYZ26" s="1101"/>
      <c r="MZA26" s="1110">
        <f>IF(MZE10="Bovis","Attention retirer 2 mm aux dimensions transmises",0)</f>
        <v>0</v>
      </c>
      <c r="MZB26" s="1100"/>
      <c r="MZC26" s="1100"/>
      <c r="MZD26" s="1101"/>
      <c r="MZE26" s="1110">
        <f>IF(MZI10="Bovis","Attention retirer 2 mm aux dimensions transmises",0)</f>
        <v>0</v>
      </c>
      <c r="MZF26" s="1100"/>
      <c r="MZG26" s="1100"/>
      <c r="MZH26" s="1101"/>
      <c r="MZI26" s="1110">
        <f>IF(MZM10="Bovis","Attention retirer 2 mm aux dimensions transmises",0)</f>
        <v>0</v>
      </c>
      <c r="MZJ26" s="1100"/>
      <c r="MZK26" s="1100"/>
      <c r="MZL26" s="1101"/>
      <c r="MZM26" s="1110">
        <f>IF(MZQ10="Bovis","Attention retirer 2 mm aux dimensions transmises",0)</f>
        <v>0</v>
      </c>
      <c r="MZN26" s="1100"/>
      <c r="MZO26" s="1100"/>
      <c r="MZP26" s="1101"/>
      <c r="MZQ26" s="1110">
        <f>IF(MZU10="Bovis","Attention retirer 2 mm aux dimensions transmises",0)</f>
        <v>0</v>
      </c>
      <c r="MZR26" s="1100"/>
      <c r="MZS26" s="1100"/>
      <c r="MZT26" s="1101"/>
      <c r="MZU26" s="1110">
        <f>IF(MZY10="Bovis","Attention retirer 2 mm aux dimensions transmises",0)</f>
        <v>0</v>
      </c>
      <c r="MZV26" s="1100"/>
      <c r="MZW26" s="1100"/>
      <c r="MZX26" s="1101"/>
      <c r="MZY26" s="1110">
        <f>IF(NAC10="Bovis","Attention retirer 2 mm aux dimensions transmises",0)</f>
        <v>0</v>
      </c>
      <c r="MZZ26" s="1100"/>
      <c r="NAA26" s="1100"/>
      <c r="NAB26" s="1101"/>
      <c r="NAC26" s="1110">
        <f>IF(NAG10="Bovis","Attention retirer 2 mm aux dimensions transmises",0)</f>
        <v>0</v>
      </c>
      <c r="NAD26" s="1100"/>
      <c r="NAE26" s="1100"/>
      <c r="NAF26" s="1101"/>
      <c r="NAG26" s="1110">
        <f>IF(NAK10="Bovis","Attention retirer 2 mm aux dimensions transmises",0)</f>
        <v>0</v>
      </c>
      <c r="NAH26" s="1100"/>
      <c r="NAI26" s="1100"/>
      <c r="NAJ26" s="1101"/>
      <c r="NAK26" s="1110">
        <f>IF(NAO10="Bovis","Attention retirer 2 mm aux dimensions transmises",0)</f>
        <v>0</v>
      </c>
      <c r="NAL26" s="1100"/>
      <c r="NAM26" s="1100"/>
      <c r="NAN26" s="1101"/>
      <c r="NAO26" s="1110">
        <f>IF(NAS10="Bovis","Attention retirer 2 mm aux dimensions transmises",0)</f>
        <v>0</v>
      </c>
      <c r="NAP26" s="1100"/>
      <c r="NAQ26" s="1100"/>
      <c r="NAR26" s="1101"/>
      <c r="NAS26" s="1110">
        <f>IF(NAW10="Bovis","Attention retirer 2 mm aux dimensions transmises",0)</f>
        <v>0</v>
      </c>
      <c r="NAT26" s="1100"/>
      <c r="NAU26" s="1100"/>
      <c r="NAV26" s="1101"/>
      <c r="NAW26" s="1110">
        <f>IF(NBA10="Bovis","Attention retirer 2 mm aux dimensions transmises",0)</f>
        <v>0</v>
      </c>
      <c r="NAX26" s="1100"/>
      <c r="NAY26" s="1100"/>
      <c r="NAZ26" s="1101"/>
      <c r="NBA26" s="1110">
        <f>IF(NBE10="Bovis","Attention retirer 2 mm aux dimensions transmises",0)</f>
        <v>0</v>
      </c>
      <c r="NBB26" s="1100"/>
      <c r="NBC26" s="1100"/>
      <c r="NBD26" s="1101"/>
      <c r="NBE26" s="1110">
        <f>IF(NBI10="Bovis","Attention retirer 2 mm aux dimensions transmises",0)</f>
        <v>0</v>
      </c>
      <c r="NBF26" s="1100"/>
      <c r="NBG26" s="1100"/>
      <c r="NBH26" s="1101"/>
      <c r="NBI26" s="1110">
        <f>IF(NBM10="Bovis","Attention retirer 2 mm aux dimensions transmises",0)</f>
        <v>0</v>
      </c>
      <c r="NBJ26" s="1100"/>
      <c r="NBK26" s="1100"/>
      <c r="NBL26" s="1101"/>
      <c r="NBM26" s="1110">
        <f>IF(NBQ10="Bovis","Attention retirer 2 mm aux dimensions transmises",0)</f>
        <v>0</v>
      </c>
      <c r="NBN26" s="1100"/>
      <c r="NBO26" s="1100"/>
      <c r="NBP26" s="1101"/>
      <c r="NBQ26" s="1110">
        <f>IF(NBU10="Bovis","Attention retirer 2 mm aux dimensions transmises",0)</f>
        <v>0</v>
      </c>
      <c r="NBR26" s="1100"/>
      <c r="NBS26" s="1100"/>
      <c r="NBT26" s="1101"/>
      <c r="NBU26" s="1110">
        <f>IF(NBY10="Bovis","Attention retirer 2 mm aux dimensions transmises",0)</f>
        <v>0</v>
      </c>
      <c r="NBV26" s="1100"/>
      <c r="NBW26" s="1100"/>
      <c r="NBX26" s="1101"/>
      <c r="NBY26" s="1110">
        <f>IF(NCC10="Bovis","Attention retirer 2 mm aux dimensions transmises",0)</f>
        <v>0</v>
      </c>
      <c r="NBZ26" s="1100"/>
      <c r="NCA26" s="1100"/>
      <c r="NCB26" s="1101"/>
      <c r="NCC26" s="1110">
        <f>IF(NCG10="Bovis","Attention retirer 2 mm aux dimensions transmises",0)</f>
        <v>0</v>
      </c>
      <c r="NCD26" s="1100"/>
      <c r="NCE26" s="1100"/>
      <c r="NCF26" s="1101"/>
      <c r="NCG26" s="1110">
        <f>IF(NCK10="Bovis","Attention retirer 2 mm aux dimensions transmises",0)</f>
        <v>0</v>
      </c>
      <c r="NCH26" s="1100"/>
      <c r="NCI26" s="1100"/>
      <c r="NCJ26" s="1101"/>
      <c r="NCK26" s="1110">
        <f>IF(NCO10="Bovis","Attention retirer 2 mm aux dimensions transmises",0)</f>
        <v>0</v>
      </c>
      <c r="NCL26" s="1100"/>
      <c r="NCM26" s="1100"/>
      <c r="NCN26" s="1101"/>
      <c r="NCO26" s="1110">
        <f>IF(NCS10="Bovis","Attention retirer 2 mm aux dimensions transmises",0)</f>
        <v>0</v>
      </c>
      <c r="NCP26" s="1100"/>
      <c r="NCQ26" s="1100"/>
      <c r="NCR26" s="1101"/>
      <c r="NCS26" s="1110">
        <f>IF(NCW10="Bovis","Attention retirer 2 mm aux dimensions transmises",0)</f>
        <v>0</v>
      </c>
      <c r="NCT26" s="1100"/>
      <c r="NCU26" s="1100"/>
      <c r="NCV26" s="1101"/>
      <c r="NCW26" s="1110">
        <f>IF(NDA10="Bovis","Attention retirer 2 mm aux dimensions transmises",0)</f>
        <v>0</v>
      </c>
      <c r="NCX26" s="1100"/>
      <c r="NCY26" s="1100"/>
      <c r="NCZ26" s="1101"/>
      <c r="NDA26" s="1110">
        <f>IF(NDE10="Bovis","Attention retirer 2 mm aux dimensions transmises",0)</f>
        <v>0</v>
      </c>
      <c r="NDB26" s="1100"/>
      <c r="NDC26" s="1100"/>
      <c r="NDD26" s="1101"/>
      <c r="NDE26" s="1110">
        <f>IF(NDI10="Bovis","Attention retirer 2 mm aux dimensions transmises",0)</f>
        <v>0</v>
      </c>
      <c r="NDF26" s="1100"/>
      <c r="NDG26" s="1100"/>
      <c r="NDH26" s="1101"/>
      <c r="NDI26" s="1110">
        <f>IF(NDM10="Bovis","Attention retirer 2 mm aux dimensions transmises",0)</f>
        <v>0</v>
      </c>
      <c r="NDJ26" s="1100"/>
      <c r="NDK26" s="1100"/>
      <c r="NDL26" s="1101"/>
      <c r="NDM26" s="1110">
        <f>IF(NDQ10="Bovis","Attention retirer 2 mm aux dimensions transmises",0)</f>
        <v>0</v>
      </c>
      <c r="NDN26" s="1100"/>
      <c r="NDO26" s="1100"/>
      <c r="NDP26" s="1101"/>
      <c r="NDQ26" s="1110">
        <f>IF(NDU10="Bovis","Attention retirer 2 mm aux dimensions transmises",0)</f>
        <v>0</v>
      </c>
      <c r="NDR26" s="1100"/>
      <c r="NDS26" s="1100"/>
      <c r="NDT26" s="1101"/>
      <c r="NDU26" s="1110">
        <f>IF(NDY10="Bovis","Attention retirer 2 mm aux dimensions transmises",0)</f>
        <v>0</v>
      </c>
      <c r="NDV26" s="1100"/>
      <c r="NDW26" s="1100"/>
      <c r="NDX26" s="1101"/>
      <c r="NDY26" s="1110">
        <f>IF(NEC10="Bovis","Attention retirer 2 mm aux dimensions transmises",0)</f>
        <v>0</v>
      </c>
      <c r="NDZ26" s="1100"/>
      <c r="NEA26" s="1100"/>
      <c r="NEB26" s="1101"/>
      <c r="NEC26" s="1110">
        <f>IF(NEG10="Bovis","Attention retirer 2 mm aux dimensions transmises",0)</f>
        <v>0</v>
      </c>
      <c r="NED26" s="1100"/>
      <c r="NEE26" s="1100"/>
      <c r="NEF26" s="1101"/>
      <c r="NEG26" s="1110">
        <f>IF(NEK10="Bovis","Attention retirer 2 mm aux dimensions transmises",0)</f>
        <v>0</v>
      </c>
      <c r="NEH26" s="1100"/>
      <c r="NEI26" s="1100"/>
      <c r="NEJ26" s="1101"/>
      <c r="NEK26" s="1110">
        <f>IF(NEO10="Bovis","Attention retirer 2 mm aux dimensions transmises",0)</f>
        <v>0</v>
      </c>
      <c r="NEL26" s="1100"/>
      <c r="NEM26" s="1100"/>
      <c r="NEN26" s="1101"/>
      <c r="NEO26" s="1110">
        <f>IF(NES10="Bovis","Attention retirer 2 mm aux dimensions transmises",0)</f>
        <v>0</v>
      </c>
      <c r="NEP26" s="1100"/>
      <c r="NEQ26" s="1100"/>
      <c r="NER26" s="1101"/>
      <c r="NES26" s="1110">
        <f>IF(NEW10="Bovis","Attention retirer 2 mm aux dimensions transmises",0)</f>
        <v>0</v>
      </c>
      <c r="NET26" s="1100"/>
      <c r="NEU26" s="1100"/>
      <c r="NEV26" s="1101"/>
      <c r="NEW26" s="1110">
        <f>IF(NFA10="Bovis","Attention retirer 2 mm aux dimensions transmises",0)</f>
        <v>0</v>
      </c>
      <c r="NEX26" s="1100"/>
      <c r="NEY26" s="1100"/>
      <c r="NEZ26" s="1101"/>
      <c r="NFA26" s="1110">
        <f>IF(NFE10="Bovis","Attention retirer 2 mm aux dimensions transmises",0)</f>
        <v>0</v>
      </c>
      <c r="NFB26" s="1100"/>
      <c r="NFC26" s="1100"/>
      <c r="NFD26" s="1101"/>
      <c r="NFE26" s="1110">
        <f>IF(NFI10="Bovis","Attention retirer 2 mm aux dimensions transmises",0)</f>
        <v>0</v>
      </c>
      <c r="NFF26" s="1100"/>
      <c r="NFG26" s="1100"/>
      <c r="NFH26" s="1101"/>
      <c r="NFI26" s="1110">
        <f>IF(NFM10="Bovis","Attention retirer 2 mm aux dimensions transmises",0)</f>
        <v>0</v>
      </c>
      <c r="NFJ26" s="1100"/>
      <c r="NFK26" s="1100"/>
      <c r="NFL26" s="1101"/>
      <c r="NFM26" s="1110">
        <f>IF(NFQ10="Bovis","Attention retirer 2 mm aux dimensions transmises",0)</f>
        <v>0</v>
      </c>
      <c r="NFN26" s="1100"/>
      <c r="NFO26" s="1100"/>
      <c r="NFP26" s="1101"/>
      <c r="NFQ26" s="1110">
        <f>IF(NFU10="Bovis","Attention retirer 2 mm aux dimensions transmises",0)</f>
        <v>0</v>
      </c>
      <c r="NFR26" s="1100"/>
      <c r="NFS26" s="1100"/>
      <c r="NFT26" s="1101"/>
      <c r="NFU26" s="1110">
        <f>IF(NFY10="Bovis","Attention retirer 2 mm aux dimensions transmises",0)</f>
        <v>0</v>
      </c>
      <c r="NFV26" s="1100"/>
      <c r="NFW26" s="1100"/>
      <c r="NFX26" s="1101"/>
      <c r="NFY26" s="1110">
        <f>IF(NGC10="Bovis","Attention retirer 2 mm aux dimensions transmises",0)</f>
        <v>0</v>
      </c>
      <c r="NFZ26" s="1100"/>
      <c r="NGA26" s="1100"/>
      <c r="NGB26" s="1101"/>
      <c r="NGC26" s="1110">
        <f>IF(NGG10="Bovis","Attention retirer 2 mm aux dimensions transmises",0)</f>
        <v>0</v>
      </c>
      <c r="NGD26" s="1100"/>
      <c r="NGE26" s="1100"/>
      <c r="NGF26" s="1101"/>
      <c r="NGG26" s="1110">
        <f>IF(NGK10="Bovis","Attention retirer 2 mm aux dimensions transmises",0)</f>
        <v>0</v>
      </c>
      <c r="NGH26" s="1100"/>
      <c r="NGI26" s="1100"/>
      <c r="NGJ26" s="1101"/>
      <c r="NGK26" s="1110">
        <f>IF(NGO10="Bovis","Attention retirer 2 mm aux dimensions transmises",0)</f>
        <v>0</v>
      </c>
      <c r="NGL26" s="1100"/>
      <c r="NGM26" s="1100"/>
      <c r="NGN26" s="1101"/>
      <c r="NGO26" s="1110">
        <f>IF(NGS10="Bovis","Attention retirer 2 mm aux dimensions transmises",0)</f>
        <v>0</v>
      </c>
      <c r="NGP26" s="1100"/>
      <c r="NGQ26" s="1100"/>
      <c r="NGR26" s="1101"/>
      <c r="NGS26" s="1110">
        <f>IF(NGW10="Bovis","Attention retirer 2 mm aux dimensions transmises",0)</f>
        <v>0</v>
      </c>
      <c r="NGT26" s="1100"/>
      <c r="NGU26" s="1100"/>
      <c r="NGV26" s="1101"/>
      <c r="NGW26" s="1110">
        <f>IF(NHA10="Bovis","Attention retirer 2 mm aux dimensions transmises",0)</f>
        <v>0</v>
      </c>
      <c r="NGX26" s="1100"/>
      <c r="NGY26" s="1100"/>
      <c r="NGZ26" s="1101"/>
      <c r="NHA26" s="1110">
        <f>IF(NHE10="Bovis","Attention retirer 2 mm aux dimensions transmises",0)</f>
        <v>0</v>
      </c>
      <c r="NHB26" s="1100"/>
      <c r="NHC26" s="1100"/>
      <c r="NHD26" s="1101"/>
      <c r="NHE26" s="1110">
        <f>IF(NHI10="Bovis","Attention retirer 2 mm aux dimensions transmises",0)</f>
        <v>0</v>
      </c>
      <c r="NHF26" s="1100"/>
      <c r="NHG26" s="1100"/>
      <c r="NHH26" s="1101"/>
      <c r="NHI26" s="1110">
        <f>IF(NHM10="Bovis","Attention retirer 2 mm aux dimensions transmises",0)</f>
        <v>0</v>
      </c>
      <c r="NHJ26" s="1100"/>
      <c r="NHK26" s="1100"/>
      <c r="NHL26" s="1101"/>
      <c r="NHM26" s="1110">
        <f>IF(NHQ10="Bovis","Attention retirer 2 mm aux dimensions transmises",0)</f>
        <v>0</v>
      </c>
      <c r="NHN26" s="1100"/>
      <c r="NHO26" s="1100"/>
      <c r="NHP26" s="1101"/>
      <c r="NHQ26" s="1110">
        <f>IF(NHU10="Bovis","Attention retirer 2 mm aux dimensions transmises",0)</f>
        <v>0</v>
      </c>
      <c r="NHR26" s="1100"/>
      <c r="NHS26" s="1100"/>
      <c r="NHT26" s="1101"/>
      <c r="NHU26" s="1110">
        <f>IF(NHY10="Bovis","Attention retirer 2 mm aux dimensions transmises",0)</f>
        <v>0</v>
      </c>
      <c r="NHV26" s="1100"/>
      <c r="NHW26" s="1100"/>
      <c r="NHX26" s="1101"/>
      <c r="NHY26" s="1110">
        <f>IF(NIC10="Bovis","Attention retirer 2 mm aux dimensions transmises",0)</f>
        <v>0</v>
      </c>
      <c r="NHZ26" s="1100"/>
      <c r="NIA26" s="1100"/>
      <c r="NIB26" s="1101"/>
      <c r="NIC26" s="1110">
        <f>IF(NIG10="Bovis","Attention retirer 2 mm aux dimensions transmises",0)</f>
        <v>0</v>
      </c>
      <c r="NID26" s="1100"/>
      <c r="NIE26" s="1100"/>
      <c r="NIF26" s="1101"/>
      <c r="NIG26" s="1110">
        <f>IF(NIK10="Bovis","Attention retirer 2 mm aux dimensions transmises",0)</f>
        <v>0</v>
      </c>
      <c r="NIH26" s="1100"/>
      <c r="NII26" s="1100"/>
      <c r="NIJ26" s="1101"/>
      <c r="NIK26" s="1110">
        <f>IF(NIO10="Bovis","Attention retirer 2 mm aux dimensions transmises",0)</f>
        <v>0</v>
      </c>
      <c r="NIL26" s="1100"/>
      <c r="NIM26" s="1100"/>
      <c r="NIN26" s="1101"/>
      <c r="NIO26" s="1110">
        <f>IF(NIS10="Bovis","Attention retirer 2 mm aux dimensions transmises",0)</f>
        <v>0</v>
      </c>
      <c r="NIP26" s="1100"/>
      <c r="NIQ26" s="1100"/>
      <c r="NIR26" s="1101"/>
      <c r="NIS26" s="1110">
        <f>IF(NIW10="Bovis","Attention retirer 2 mm aux dimensions transmises",0)</f>
        <v>0</v>
      </c>
      <c r="NIT26" s="1100"/>
      <c r="NIU26" s="1100"/>
      <c r="NIV26" s="1101"/>
      <c r="NIW26" s="1110">
        <f>IF(NJA10="Bovis","Attention retirer 2 mm aux dimensions transmises",0)</f>
        <v>0</v>
      </c>
      <c r="NIX26" s="1100"/>
      <c r="NIY26" s="1100"/>
      <c r="NIZ26" s="1101"/>
      <c r="NJA26" s="1110">
        <f>IF(NJE10="Bovis","Attention retirer 2 mm aux dimensions transmises",0)</f>
        <v>0</v>
      </c>
      <c r="NJB26" s="1100"/>
      <c r="NJC26" s="1100"/>
      <c r="NJD26" s="1101"/>
      <c r="NJE26" s="1110">
        <f>IF(NJI10="Bovis","Attention retirer 2 mm aux dimensions transmises",0)</f>
        <v>0</v>
      </c>
      <c r="NJF26" s="1100"/>
      <c r="NJG26" s="1100"/>
      <c r="NJH26" s="1101"/>
      <c r="NJI26" s="1110">
        <f>IF(NJM10="Bovis","Attention retirer 2 mm aux dimensions transmises",0)</f>
        <v>0</v>
      </c>
      <c r="NJJ26" s="1100"/>
      <c r="NJK26" s="1100"/>
      <c r="NJL26" s="1101"/>
      <c r="NJM26" s="1110">
        <f>IF(NJQ10="Bovis","Attention retirer 2 mm aux dimensions transmises",0)</f>
        <v>0</v>
      </c>
      <c r="NJN26" s="1100"/>
      <c r="NJO26" s="1100"/>
      <c r="NJP26" s="1101"/>
      <c r="NJQ26" s="1110">
        <f>IF(NJU10="Bovis","Attention retirer 2 mm aux dimensions transmises",0)</f>
        <v>0</v>
      </c>
      <c r="NJR26" s="1100"/>
      <c r="NJS26" s="1100"/>
      <c r="NJT26" s="1101"/>
      <c r="NJU26" s="1110">
        <f>IF(NJY10="Bovis","Attention retirer 2 mm aux dimensions transmises",0)</f>
        <v>0</v>
      </c>
      <c r="NJV26" s="1100"/>
      <c r="NJW26" s="1100"/>
      <c r="NJX26" s="1101"/>
      <c r="NJY26" s="1110">
        <f>IF(NKC10="Bovis","Attention retirer 2 mm aux dimensions transmises",0)</f>
        <v>0</v>
      </c>
      <c r="NJZ26" s="1100"/>
      <c r="NKA26" s="1100"/>
      <c r="NKB26" s="1101"/>
      <c r="NKC26" s="1110">
        <f>IF(NKG10="Bovis","Attention retirer 2 mm aux dimensions transmises",0)</f>
        <v>0</v>
      </c>
      <c r="NKD26" s="1100"/>
      <c r="NKE26" s="1100"/>
      <c r="NKF26" s="1101"/>
      <c r="NKG26" s="1110">
        <f>IF(NKK10="Bovis","Attention retirer 2 mm aux dimensions transmises",0)</f>
        <v>0</v>
      </c>
      <c r="NKH26" s="1100"/>
      <c r="NKI26" s="1100"/>
      <c r="NKJ26" s="1101"/>
      <c r="NKK26" s="1110">
        <f>IF(NKO10="Bovis","Attention retirer 2 mm aux dimensions transmises",0)</f>
        <v>0</v>
      </c>
      <c r="NKL26" s="1100"/>
      <c r="NKM26" s="1100"/>
      <c r="NKN26" s="1101"/>
      <c r="NKO26" s="1110">
        <f>IF(NKS10="Bovis","Attention retirer 2 mm aux dimensions transmises",0)</f>
        <v>0</v>
      </c>
      <c r="NKP26" s="1100"/>
      <c r="NKQ26" s="1100"/>
      <c r="NKR26" s="1101"/>
      <c r="NKS26" s="1110">
        <f>IF(NKW10="Bovis","Attention retirer 2 mm aux dimensions transmises",0)</f>
        <v>0</v>
      </c>
      <c r="NKT26" s="1100"/>
      <c r="NKU26" s="1100"/>
      <c r="NKV26" s="1101"/>
      <c r="NKW26" s="1110">
        <f>IF(NLA10="Bovis","Attention retirer 2 mm aux dimensions transmises",0)</f>
        <v>0</v>
      </c>
      <c r="NKX26" s="1100"/>
      <c r="NKY26" s="1100"/>
      <c r="NKZ26" s="1101"/>
      <c r="NLA26" s="1110">
        <f>IF(NLE10="Bovis","Attention retirer 2 mm aux dimensions transmises",0)</f>
        <v>0</v>
      </c>
      <c r="NLB26" s="1100"/>
      <c r="NLC26" s="1100"/>
      <c r="NLD26" s="1101"/>
      <c r="NLE26" s="1110">
        <f>IF(NLI10="Bovis","Attention retirer 2 mm aux dimensions transmises",0)</f>
        <v>0</v>
      </c>
      <c r="NLF26" s="1100"/>
      <c r="NLG26" s="1100"/>
      <c r="NLH26" s="1101"/>
      <c r="NLI26" s="1110">
        <f>IF(NLM10="Bovis","Attention retirer 2 mm aux dimensions transmises",0)</f>
        <v>0</v>
      </c>
      <c r="NLJ26" s="1100"/>
      <c r="NLK26" s="1100"/>
      <c r="NLL26" s="1101"/>
      <c r="NLM26" s="1110">
        <f>IF(NLQ10="Bovis","Attention retirer 2 mm aux dimensions transmises",0)</f>
        <v>0</v>
      </c>
      <c r="NLN26" s="1100"/>
      <c r="NLO26" s="1100"/>
      <c r="NLP26" s="1101"/>
      <c r="NLQ26" s="1110">
        <f>IF(NLU10="Bovis","Attention retirer 2 mm aux dimensions transmises",0)</f>
        <v>0</v>
      </c>
      <c r="NLR26" s="1100"/>
      <c r="NLS26" s="1100"/>
      <c r="NLT26" s="1101"/>
      <c r="NLU26" s="1110">
        <f>IF(NLY10="Bovis","Attention retirer 2 mm aux dimensions transmises",0)</f>
        <v>0</v>
      </c>
      <c r="NLV26" s="1100"/>
      <c r="NLW26" s="1100"/>
      <c r="NLX26" s="1101"/>
      <c r="NLY26" s="1110">
        <f>IF(NMC10="Bovis","Attention retirer 2 mm aux dimensions transmises",0)</f>
        <v>0</v>
      </c>
      <c r="NLZ26" s="1100"/>
      <c r="NMA26" s="1100"/>
      <c r="NMB26" s="1101"/>
      <c r="NMC26" s="1110">
        <f>IF(NMG10="Bovis","Attention retirer 2 mm aux dimensions transmises",0)</f>
        <v>0</v>
      </c>
      <c r="NMD26" s="1100"/>
      <c r="NME26" s="1100"/>
      <c r="NMF26" s="1101"/>
      <c r="NMG26" s="1110">
        <f>IF(NMK10="Bovis","Attention retirer 2 mm aux dimensions transmises",0)</f>
        <v>0</v>
      </c>
      <c r="NMH26" s="1100"/>
      <c r="NMI26" s="1100"/>
      <c r="NMJ26" s="1101"/>
      <c r="NMK26" s="1110">
        <f>IF(NMO10="Bovis","Attention retirer 2 mm aux dimensions transmises",0)</f>
        <v>0</v>
      </c>
      <c r="NML26" s="1100"/>
      <c r="NMM26" s="1100"/>
      <c r="NMN26" s="1101"/>
      <c r="NMO26" s="1110">
        <f>IF(NMS10="Bovis","Attention retirer 2 mm aux dimensions transmises",0)</f>
        <v>0</v>
      </c>
      <c r="NMP26" s="1100"/>
      <c r="NMQ26" s="1100"/>
      <c r="NMR26" s="1101"/>
      <c r="NMS26" s="1110">
        <f>IF(NMW10="Bovis","Attention retirer 2 mm aux dimensions transmises",0)</f>
        <v>0</v>
      </c>
      <c r="NMT26" s="1100"/>
      <c r="NMU26" s="1100"/>
      <c r="NMV26" s="1101"/>
      <c r="NMW26" s="1110">
        <f>IF(NNA10="Bovis","Attention retirer 2 mm aux dimensions transmises",0)</f>
        <v>0</v>
      </c>
      <c r="NMX26" s="1100"/>
      <c r="NMY26" s="1100"/>
      <c r="NMZ26" s="1101"/>
      <c r="NNA26" s="1110">
        <f>IF(NNE10="Bovis","Attention retirer 2 mm aux dimensions transmises",0)</f>
        <v>0</v>
      </c>
      <c r="NNB26" s="1100"/>
      <c r="NNC26" s="1100"/>
      <c r="NND26" s="1101"/>
      <c r="NNE26" s="1110">
        <f>IF(NNI10="Bovis","Attention retirer 2 mm aux dimensions transmises",0)</f>
        <v>0</v>
      </c>
      <c r="NNF26" s="1100"/>
      <c r="NNG26" s="1100"/>
      <c r="NNH26" s="1101"/>
      <c r="NNI26" s="1110">
        <f>IF(NNM10="Bovis","Attention retirer 2 mm aux dimensions transmises",0)</f>
        <v>0</v>
      </c>
      <c r="NNJ26" s="1100"/>
      <c r="NNK26" s="1100"/>
      <c r="NNL26" s="1101"/>
      <c r="NNM26" s="1110">
        <f>IF(NNQ10="Bovis","Attention retirer 2 mm aux dimensions transmises",0)</f>
        <v>0</v>
      </c>
      <c r="NNN26" s="1100"/>
      <c r="NNO26" s="1100"/>
      <c r="NNP26" s="1101"/>
      <c r="NNQ26" s="1110">
        <f>IF(NNU10="Bovis","Attention retirer 2 mm aux dimensions transmises",0)</f>
        <v>0</v>
      </c>
      <c r="NNR26" s="1100"/>
      <c r="NNS26" s="1100"/>
      <c r="NNT26" s="1101"/>
      <c r="NNU26" s="1110">
        <f>IF(NNY10="Bovis","Attention retirer 2 mm aux dimensions transmises",0)</f>
        <v>0</v>
      </c>
      <c r="NNV26" s="1100"/>
      <c r="NNW26" s="1100"/>
      <c r="NNX26" s="1101"/>
      <c r="NNY26" s="1110">
        <f>IF(NOC10="Bovis","Attention retirer 2 mm aux dimensions transmises",0)</f>
        <v>0</v>
      </c>
      <c r="NNZ26" s="1100"/>
      <c r="NOA26" s="1100"/>
      <c r="NOB26" s="1101"/>
      <c r="NOC26" s="1110">
        <f>IF(NOG10="Bovis","Attention retirer 2 mm aux dimensions transmises",0)</f>
        <v>0</v>
      </c>
      <c r="NOD26" s="1100"/>
      <c r="NOE26" s="1100"/>
      <c r="NOF26" s="1101"/>
      <c r="NOG26" s="1110">
        <f>IF(NOK10="Bovis","Attention retirer 2 mm aux dimensions transmises",0)</f>
        <v>0</v>
      </c>
      <c r="NOH26" s="1100"/>
      <c r="NOI26" s="1100"/>
      <c r="NOJ26" s="1101"/>
      <c r="NOK26" s="1110">
        <f>IF(NOO10="Bovis","Attention retirer 2 mm aux dimensions transmises",0)</f>
        <v>0</v>
      </c>
      <c r="NOL26" s="1100"/>
      <c r="NOM26" s="1100"/>
      <c r="NON26" s="1101"/>
      <c r="NOO26" s="1110">
        <f>IF(NOS10="Bovis","Attention retirer 2 mm aux dimensions transmises",0)</f>
        <v>0</v>
      </c>
      <c r="NOP26" s="1100"/>
      <c r="NOQ26" s="1100"/>
      <c r="NOR26" s="1101"/>
      <c r="NOS26" s="1110">
        <f>IF(NOW10="Bovis","Attention retirer 2 mm aux dimensions transmises",0)</f>
        <v>0</v>
      </c>
      <c r="NOT26" s="1100"/>
      <c r="NOU26" s="1100"/>
      <c r="NOV26" s="1101"/>
      <c r="NOW26" s="1110">
        <f>IF(NPA10="Bovis","Attention retirer 2 mm aux dimensions transmises",0)</f>
        <v>0</v>
      </c>
      <c r="NOX26" s="1100"/>
      <c r="NOY26" s="1100"/>
      <c r="NOZ26" s="1101"/>
      <c r="NPA26" s="1110">
        <f>IF(NPE10="Bovis","Attention retirer 2 mm aux dimensions transmises",0)</f>
        <v>0</v>
      </c>
      <c r="NPB26" s="1100"/>
      <c r="NPC26" s="1100"/>
      <c r="NPD26" s="1101"/>
      <c r="NPE26" s="1110">
        <f>IF(NPI10="Bovis","Attention retirer 2 mm aux dimensions transmises",0)</f>
        <v>0</v>
      </c>
      <c r="NPF26" s="1100"/>
      <c r="NPG26" s="1100"/>
      <c r="NPH26" s="1101"/>
      <c r="NPI26" s="1110">
        <f>IF(NPM10="Bovis","Attention retirer 2 mm aux dimensions transmises",0)</f>
        <v>0</v>
      </c>
      <c r="NPJ26" s="1100"/>
      <c r="NPK26" s="1100"/>
      <c r="NPL26" s="1101"/>
      <c r="NPM26" s="1110">
        <f>IF(NPQ10="Bovis","Attention retirer 2 mm aux dimensions transmises",0)</f>
        <v>0</v>
      </c>
      <c r="NPN26" s="1100"/>
      <c r="NPO26" s="1100"/>
      <c r="NPP26" s="1101"/>
      <c r="NPQ26" s="1110">
        <f>IF(NPU10="Bovis","Attention retirer 2 mm aux dimensions transmises",0)</f>
        <v>0</v>
      </c>
      <c r="NPR26" s="1100"/>
      <c r="NPS26" s="1100"/>
      <c r="NPT26" s="1101"/>
      <c r="NPU26" s="1110">
        <f>IF(NPY10="Bovis","Attention retirer 2 mm aux dimensions transmises",0)</f>
        <v>0</v>
      </c>
      <c r="NPV26" s="1100"/>
      <c r="NPW26" s="1100"/>
      <c r="NPX26" s="1101"/>
      <c r="NPY26" s="1110">
        <f>IF(NQC10="Bovis","Attention retirer 2 mm aux dimensions transmises",0)</f>
        <v>0</v>
      </c>
      <c r="NPZ26" s="1100"/>
      <c r="NQA26" s="1100"/>
      <c r="NQB26" s="1101"/>
      <c r="NQC26" s="1110">
        <f>IF(NQG10="Bovis","Attention retirer 2 mm aux dimensions transmises",0)</f>
        <v>0</v>
      </c>
      <c r="NQD26" s="1100"/>
      <c r="NQE26" s="1100"/>
      <c r="NQF26" s="1101"/>
      <c r="NQG26" s="1110">
        <f>IF(NQK10="Bovis","Attention retirer 2 mm aux dimensions transmises",0)</f>
        <v>0</v>
      </c>
      <c r="NQH26" s="1100"/>
      <c r="NQI26" s="1100"/>
      <c r="NQJ26" s="1101"/>
      <c r="NQK26" s="1110">
        <f>IF(NQO10="Bovis","Attention retirer 2 mm aux dimensions transmises",0)</f>
        <v>0</v>
      </c>
      <c r="NQL26" s="1100"/>
      <c r="NQM26" s="1100"/>
      <c r="NQN26" s="1101"/>
      <c r="NQO26" s="1110">
        <f>IF(NQS10="Bovis","Attention retirer 2 mm aux dimensions transmises",0)</f>
        <v>0</v>
      </c>
      <c r="NQP26" s="1100"/>
      <c r="NQQ26" s="1100"/>
      <c r="NQR26" s="1101"/>
      <c r="NQS26" s="1110">
        <f>IF(NQW10="Bovis","Attention retirer 2 mm aux dimensions transmises",0)</f>
        <v>0</v>
      </c>
      <c r="NQT26" s="1100"/>
      <c r="NQU26" s="1100"/>
      <c r="NQV26" s="1101"/>
      <c r="NQW26" s="1110">
        <f>IF(NRA10="Bovis","Attention retirer 2 mm aux dimensions transmises",0)</f>
        <v>0</v>
      </c>
      <c r="NQX26" s="1100"/>
      <c r="NQY26" s="1100"/>
      <c r="NQZ26" s="1101"/>
      <c r="NRA26" s="1110">
        <f>IF(NRE10="Bovis","Attention retirer 2 mm aux dimensions transmises",0)</f>
        <v>0</v>
      </c>
      <c r="NRB26" s="1100"/>
      <c r="NRC26" s="1100"/>
      <c r="NRD26" s="1101"/>
      <c r="NRE26" s="1110">
        <f>IF(NRI10="Bovis","Attention retirer 2 mm aux dimensions transmises",0)</f>
        <v>0</v>
      </c>
      <c r="NRF26" s="1100"/>
      <c r="NRG26" s="1100"/>
      <c r="NRH26" s="1101"/>
      <c r="NRI26" s="1110">
        <f>IF(NRM10="Bovis","Attention retirer 2 mm aux dimensions transmises",0)</f>
        <v>0</v>
      </c>
      <c r="NRJ26" s="1100"/>
      <c r="NRK26" s="1100"/>
      <c r="NRL26" s="1101"/>
      <c r="NRM26" s="1110">
        <f>IF(NRQ10="Bovis","Attention retirer 2 mm aux dimensions transmises",0)</f>
        <v>0</v>
      </c>
      <c r="NRN26" s="1100"/>
      <c r="NRO26" s="1100"/>
      <c r="NRP26" s="1101"/>
      <c r="NRQ26" s="1110">
        <f>IF(NRU10="Bovis","Attention retirer 2 mm aux dimensions transmises",0)</f>
        <v>0</v>
      </c>
      <c r="NRR26" s="1100"/>
      <c r="NRS26" s="1100"/>
      <c r="NRT26" s="1101"/>
      <c r="NRU26" s="1110">
        <f>IF(NRY10="Bovis","Attention retirer 2 mm aux dimensions transmises",0)</f>
        <v>0</v>
      </c>
      <c r="NRV26" s="1100"/>
      <c r="NRW26" s="1100"/>
      <c r="NRX26" s="1101"/>
      <c r="NRY26" s="1110">
        <f>IF(NSC10="Bovis","Attention retirer 2 mm aux dimensions transmises",0)</f>
        <v>0</v>
      </c>
      <c r="NRZ26" s="1100"/>
      <c r="NSA26" s="1100"/>
      <c r="NSB26" s="1101"/>
      <c r="NSC26" s="1110">
        <f>IF(NSG10="Bovis","Attention retirer 2 mm aux dimensions transmises",0)</f>
        <v>0</v>
      </c>
      <c r="NSD26" s="1100"/>
      <c r="NSE26" s="1100"/>
      <c r="NSF26" s="1101"/>
      <c r="NSG26" s="1110">
        <f>IF(NSK10="Bovis","Attention retirer 2 mm aux dimensions transmises",0)</f>
        <v>0</v>
      </c>
      <c r="NSH26" s="1100"/>
      <c r="NSI26" s="1100"/>
      <c r="NSJ26" s="1101"/>
      <c r="NSK26" s="1110">
        <f>IF(NSO10="Bovis","Attention retirer 2 mm aux dimensions transmises",0)</f>
        <v>0</v>
      </c>
      <c r="NSL26" s="1100"/>
      <c r="NSM26" s="1100"/>
      <c r="NSN26" s="1101"/>
      <c r="NSO26" s="1110">
        <f>IF(NSS10="Bovis","Attention retirer 2 mm aux dimensions transmises",0)</f>
        <v>0</v>
      </c>
      <c r="NSP26" s="1100"/>
      <c r="NSQ26" s="1100"/>
      <c r="NSR26" s="1101"/>
      <c r="NSS26" s="1110">
        <f>IF(NSW10="Bovis","Attention retirer 2 mm aux dimensions transmises",0)</f>
        <v>0</v>
      </c>
      <c r="NST26" s="1100"/>
      <c r="NSU26" s="1100"/>
      <c r="NSV26" s="1101"/>
      <c r="NSW26" s="1110">
        <f>IF(NTA10="Bovis","Attention retirer 2 mm aux dimensions transmises",0)</f>
        <v>0</v>
      </c>
      <c r="NSX26" s="1100"/>
      <c r="NSY26" s="1100"/>
      <c r="NSZ26" s="1101"/>
      <c r="NTA26" s="1110">
        <f>IF(NTE10="Bovis","Attention retirer 2 mm aux dimensions transmises",0)</f>
        <v>0</v>
      </c>
      <c r="NTB26" s="1100"/>
      <c r="NTC26" s="1100"/>
      <c r="NTD26" s="1101"/>
      <c r="NTE26" s="1110">
        <f>IF(NTI10="Bovis","Attention retirer 2 mm aux dimensions transmises",0)</f>
        <v>0</v>
      </c>
      <c r="NTF26" s="1100"/>
      <c r="NTG26" s="1100"/>
      <c r="NTH26" s="1101"/>
      <c r="NTI26" s="1110">
        <f>IF(NTM10="Bovis","Attention retirer 2 mm aux dimensions transmises",0)</f>
        <v>0</v>
      </c>
      <c r="NTJ26" s="1100"/>
      <c r="NTK26" s="1100"/>
      <c r="NTL26" s="1101"/>
      <c r="NTM26" s="1110">
        <f>IF(NTQ10="Bovis","Attention retirer 2 mm aux dimensions transmises",0)</f>
        <v>0</v>
      </c>
      <c r="NTN26" s="1100"/>
      <c r="NTO26" s="1100"/>
      <c r="NTP26" s="1101"/>
      <c r="NTQ26" s="1110">
        <f>IF(NTU10="Bovis","Attention retirer 2 mm aux dimensions transmises",0)</f>
        <v>0</v>
      </c>
      <c r="NTR26" s="1100"/>
      <c r="NTS26" s="1100"/>
      <c r="NTT26" s="1101"/>
      <c r="NTU26" s="1110">
        <f>IF(NTY10="Bovis","Attention retirer 2 mm aux dimensions transmises",0)</f>
        <v>0</v>
      </c>
      <c r="NTV26" s="1100"/>
      <c r="NTW26" s="1100"/>
      <c r="NTX26" s="1101"/>
      <c r="NTY26" s="1110">
        <f>IF(NUC10="Bovis","Attention retirer 2 mm aux dimensions transmises",0)</f>
        <v>0</v>
      </c>
      <c r="NTZ26" s="1100"/>
      <c r="NUA26" s="1100"/>
      <c r="NUB26" s="1101"/>
      <c r="NUC26" s="1110">
        <f>IF(NUG10="Bovis","Attention retirer 2 mm aux dimensions transmises",0)</f>
        <v>0</v>
      </c>
      <c r="NUD26" s="1100"/>
      <c r="NUE26" s="1100"/>
      <c r="NUF26" s="1101"/>
      <c r="NUG26" s="1110">
        <f>IF(NUK10="Bovis","Attention retirer 2 mm aux dimensions transmises",0)</f>
        <v>0</v>
      </c>
      <c r="NUH26" s="1100"/>
      <c r="NUI26" s="1100"/>
      <c r="NUJ26" s="1101"/>
      <c r="NUK26" s="1110">
        <f>IF(NUO10="Bovis","Attention retirer 2 mm aux dimensions transmises",0)</f>
        <v>0</v>
      </c>
      <c r="NUL26" s="1100"/>
      <c r="NUM26" s="1100"/>
      <c r="NUN26" s="1101"/>
      <c r="NUO26" s="1110">
        <f>IF(NUS10="Bovis","Attention retirer 2 mm aux dimensions transmises",0)</f>
        <v>0</v>
      </c>
      <c r="NUP26" s="1100"/>
      <c r="NUQ26" s="1100"/>
      <c r="NUR26" s="1101"/>
      <c r="NUS26" s="1110">
        <f>IF(NUW10="Bovis","Attention retirer 2 mm aux dimensions transmises",0)</f>
        <v>0</v>
      </c>
      <c r="NUT26" s="1100"/>
      <c r="NUU26" s="1100"/>
      <c r="NUV26" s="1101"/>
      <c r="NUW26" s="1110">
        <f>IF(NVA10="Bovis","Attention retirer 2 mm aux dimensions transmises",0)</f>
        <v>0</v>
      </c>
      <c r="NUX26" s="1100"/>
      <c r="NUY26" s="1100"/>
      <c r="NUZ26" s="1101"/>
      <c r="NVA26" s="1110">
        <f>IF(NVE10="Bovis","Attention retirer 2 mm aux dimensions transmises",0)</f>
        <v>0</v>
      </c>
      <c r="NVB26" s="1100"/>
      <c r="NVC26" s="1100"/>
      <c r="NVD26" s="1101"/>
      <c r="NVE26" s="1110">
        <f>IF(NVI10="Bovis","Attention retirer 2 mm aux dimensions transmises",0)</f>
        <v>0</v>
      </c>
      <c r="NVF26" s="1100"/>
      <c r="NVG26" s="1100"/>
      <c r="NVH26" s="1101"/>
      <c r="NVI26" s="1110">
        <f>IF(NVM10="Bovis","Attention retirer 2 mm aux dimensions transmises",0)</f>
        <v>0</v>
      </c>
      <c r="NVJ26" s="1100"/>
      <c r="NVK26" s="1100"/>
      <c r="NVL26" s="1101"/>
      <c r="NVM26" s="1110">
        <f>IF(NVQ10="Bovis","Attention retirer 2 mm aux dimensions transmises",0)</f>
        <v>0</v>
      </c>
      <c r="NVN26" s="1100"/>
      <c r="NVO26" s="1100"/>
      <c r="NVP26" s="1101"/>
      <c r="NVQ26" s="1110">
        <f>IF(NVU10="Bovis","Attention retirer 2 mm aux dimensions transmises",0)</f>
        <v>0</v>
      </c>
      <c r="NVR26" s="1100"/>
      <c r="NVS26" s="1100"/>
      <c r="NVT26" s="1101"/>
      <c r="NVU26" s="1110">
        <f>IF(NVY10="Bovis","Attention retirer 2 mm aux dimensions transmises",0)</f>
        <v>0</v>
      </c>
      <c r="NVV26" s="1100"/>
      <c r="NVW26" s="1100"/>
      <c r="NVX26" s="1101"/>
      <c r="NVY26" s="1110">
        <f>IF(NWC10="Bovis","Attention retirer 2 mm aux dimensions transmises",0)</f>
        <v>0</v>
      </c>
      <c r="NVZ26" s="1100"/>
      <c r="NWA26" s="1100"/>
      <c r="NWB26" s="1101"/>
      <c r="NWC26" s="1110">
        <f>IF(NWG10="Bovis","Attention retirer 2 mm aux dimensions transmises",0)</f>
        <v>0</v>
      </c>
      <c r="NWD26" s="1100"/>
      <c r="NWE26" s="1100"/>
      <c r="NWF26" s="1101"/>
      <c r="NWG26" s="1110">
        <f>IF(NWK10="Bovis","Attention retirer 2 mm aux dimensions transmises",0)</f>
        <v>0</v>
      </c>
      <c r="NWH26" s="1100"/>
      <c r="NWI26" s="1100"/>
      <c r="NWJ26" s="1101"/>
      <c r="NWK26" s="1110">
        <f>IF(NWO10="Bovis","Attention retirer 2 mm aux dimensions transmises",0)</f>
        <v>0</v>
      </c>
      <c r="NWL26" s="1100"/>
      <c r="NWM26" s="1100"/>
      <c r="NWN26" s="1101"/>
      <c r="NWO26" s="1110">
        <f>IF(NWS10="Bovis","Attention retirer 2 mm aux dimensions transmises",0)</f>
        <v>0</v>
      </c>
      <c r="NWP26" s="1100"/>
      <c r="NWQ26" s="1100"/>
      <c r="NWR26" s="1101"/>
      <c r="NWS26" s="1110">
        <f>IF(NWW10="Bovis","Attention retirer 2 mm aux dimensions transmises",0)</f>
        <v>0</v>
      </c>
      <c r="NWT26" s="1100"/>
      <c r="NWU26" s="1100"/>
      <c r="NWV26" s="1101"/>
      <c r="NWW26" s="1110">
        <f>IF(NXA10="Bovis","Attention retirer 2 mm aux dimensions transmises",0)</f>
        <v>0</v>
      </c>
      <c r="NWX26" s="1100"/>
      <c r="NWY26" s="1100"/>
      <c r="NWZ26" s="1101"/>
      <c r="NXA26" s="1110">
        <f>IF(NXE10="Bovis","Attention retirer 2 mm aux dimensions transmises",0)</f>
        <v>0</v>
      </c>
      <c r="NXB26" s="1100"/>
      <c r="NXC26" s="1100"/>
      <c r="NXD26" s="1101"/>
      <c r="NXE26" s="1110">
        <f>IF(NXI10="Bovis","Attention retirer 2 mm aux dimensions transmises",0)</f>
        <v>0</v>
      </c>
      <c r="NXF26" s="1100"/>
      <c r="NXG26" s="1100"/>
      <c r="NXH26" s="1101"/>
      <c r="NXI26" s="1110">
        <f>IF(NXM10="Bovis","Attention retirer 2 mm aux dimensions transmises",0)</f>
        <v>0</v>
      </c>
      <c r="NXJ26" s="1100"/>
      <c r="NXK26" s="1100"/>
      <c r="NXL26" s="1101"/>
      <c r="NXM26" s="1110">
        <f>IF(NXQ10="Bovis","Attention retirer 2 mm aux dimensions transmises",0)</f>
        <v>0</v>
      </c>
      <c r="NXN26" s="1100"/>
      <c r="NXO26" s="1100"/>
      <c r="NXP26" s="1101"/>
      <c r="NXQ26" s="1110">
        <f>IF(NXU10="Bovis","Attention retirer 2 mm aux dimensions transmises",0)</f>
        <v>0</v>
      </c>
      <c r="NXR26" s="1100"/>
      <c r="NXS26" s="1100"/>
      <c r="NXT26" s="1101"/>
      <c r="NXU26" s="1110">
        <f>IF(NXY10="Bovis","Attention retirer 2 mm aux dimensions transmises",0)</f>
        <v>0</v>
      </c>
      <c r="NXV26" s="1100"/>
      <c r="NXW26" s="1100"/>
      <c r="NXX26" s="1101"/>
      <c r="NXY26" s="1110">
        <f>IF(NYC10="Bovis","Attention retirer 2 mm aux dimensions transmises",0)</f>
        <v>0</v>
      </c>
      <c r="NXZ26" s="1100"/>
      <c r="NYA26" s="1100"/>
      <c r="NYB26" s="1101"/>
      <c r="NYC26" s="1110">
        <f>IF(NYG10="Bovis","Attention retirer 2 mm aux dimensions transmises",0)</f>
        <v>0</v>
      </c>
      <c r="NYD26" s="1100"/>
      <c r="NYE26" s="1100"/>
      <c r="NYF26" s="1101"/>
      <c r="NYG26" s="1110">
        <f>IF(NYK10="Bovis","Attention retirer 2 mm aux dimensions transmises",0)</f>
        <v>0</v>
      </c>
      <c r="NYH26" s="1100"/>
      <c r="NYI26" s="1100"/>
      <c r="NYJ26" s="1101"/>
      <c r="NYK26" s="1110">
        <f>IF(NYO10="Bovis","Attention retirer 2 mm aux dimensions transmises",0)</f>
        <v>0</v>
      </c>
      <c r="NYL26" s="1100"/>
      <c r="NYM26" s="1100"/>
      <c r="NYN26" s="1101"/>
      <c r="NYO26" s="1110">
        <f>IF(NYS10="Bovis","Attention retirer 2 mm aux dimensions transmises",0)</f>
        <v>0</v>
      </c>
      <c r="NYP26" s="1100"/>
      <c r="NYQ26" s="1100"/>
      <c r="NYR26" s="1101"/>
      <c r="NYS26" s="1110">
        <f>IF(NYW10="Bovis","Attention retirer 2 mm aux dimensions transmises",0)</f>
        <v>0</v>
      </c>
      <c r="NYT26" s="1100"/>
      <c r="NYU26" s="1100"/>
      <c r="NYV26" s="1101"/>
      <c r="NYW26" s="1110">
        <f>IF(NZA10="Bovis","Attention retirer 2 mm aux dimensions transmises",0)</f>
        <v>0</v>
      </c>
      <c r="NYX26" s="1100"/>
      <c r="NYY26" s="1100"/>
      <c r="NYZ26" s="1101"/>
      <c r="NZA26" s="1110">
        <f>IF(NZE10="Bovis","Attention retirer 2 mm aux dimensions transmises",0)</f>
        <v>0</v>
      </c>
      <c r="NZB26" s="1100"/>
      <c r="NZC26" s="1100"/>
      <c r="NZD26" s="1101"/>
      <c r="NZE26" s="1110">
        <f>IF(NZI10="Bovis","Attention retirer 2 mm aux dimensions transmises",0)</f>
        <v>0</v>
      </c>
      <c r="NZF26" s="1100"/>
      <c r="NZG26" s="1100"/>
      <c r="NZH26" s="1101"/>
      <c r="NZI26" s="1110">
        <f>IF(NZM10="Bovis","Attention retirer 2 mm aux dimensions transmises",0)</f>
        <v>0</v>
      </c>
      <c r="NZJ26" s="1100"/>
      <c r="NZK26" s="1100"/>
      <c r="NZL26" s="1101"/>
      <c r="NZM26" s="1110">
        <f>IF(NZQ10="Bovis","Attention retirer 2 mm aux dimensions transmises",0)</f>
        <v>0</v>
      </c>
      <c r="NZN26" s="1100"/>
      <c r="NZO26" s="1100"/>
      <c r="NZP26" s="1101"/>
      <c r="NZQ26" s="1110">
        <f>IF(NZU10="Bovis","Attention retirer 2 mm aux dimensions transmises",0)</f>
        <v>0</v>
      </c>
      <c r="NZR26" s="1100"/>
      <c r="NZS26" s="1100"/>
      <c r="NZT26" s="1101"/>
      <c r="NZU26" s="1110">
        <f>IF(NZY10="Bovis","Attention retirer 2 mm aux dimensions transmises",0)</f>
        <v>0</v>
      </c>
      <c r="NZV26" s="1100"/>
      <c r="NZW26" s="1100"/>
      <c r="NZX26" s="1101"/>
      <c r="NZY26" s="1110">
        <f>IF(OAC10="Bovis","Attention retirer 2 mm aux dimensions transmises",0)</f>
        <v>0</v>
      </c>
      <c r="NZZ26" s="1100"/>
      <c r="OAA26" s="1100"/>
      <c r="OAB26" s="1101"/>
      <c r="OAC26" s="1110">
        <f>IF(OAG10="Bovis","Attention retirer 2 mm aux dimensions transmises",0)</f>
        <v>0</v>
      </c>
      <c r="OAD26" s="1100"/>
      <c r="OAE26" s="1100"/>
      <c r="OAF26" s="1101"/>
      <c r="OAG26" s="1110">
        <f>IF(OAK10="Bovis","Attention retirer 2 mm aux dimensions transmises",0)</f>
        <v>0</v>
      </c>
      <c r="OAH26" s="1100"/>
      <c r="OAI26" s="1100"/>
      <c r="OAJ26" s="1101"/>
      <c r="OAK26" s="1110">
        <f>IF(OAO10="Bovis","Attention retirer 2 mm aux dimensions transmises",0)</f>
        <v>0</v>
      </c>
      <c r="OAL26" s="1100"/>
      <c r="OAM26" s="1100"/>
      <c r="OAN26" s="1101"/>
      <c r="OAO26" s="1110">
        <f>IF(OAS10="Bovis","Attention retirer 2 mm aux dimensions transmises",0)</f>
        <v>0</v>
      </c>
      <c r="OAP26" s="1100"/>
      <c r="OAQ26" s="1100"/>
      <c r="OAR26" s="1101"/>
      <c r="OAS26" s="1110">
        <f>IF(OAW10="Bovis","Attention retirer 2 mm aux dimensions transmises",0)</f>
        <v>0</v>
      </c>
      <c r="OAT26" s="1100"/>
      <c r="OAU26" s="1100"/>
      <c r="OAV26" s="1101"/>
      <c r="OAW26" s="1110">
        <f>IF(OBA10="Bovis","Attention retirer 2 mm aux dimensions transmises",0)</f>
        <v>0</v>
      </c>
      <c r="OAX26" s="1100"/>
      <c r="OAY26" s="1100"/>
      <c r="OAZ26" s="1101"/>
      <c r="OBA26" s="1110">
        <f>IF(OBE10="Bovis","Attention retirer 2 mm aux dimensions transmises",0)</f>
        <v>0</v>
      </c>
      <c r="OBB26" s="1100"/>
      <c r="OBC26" s="1100"/>
      <c r="OBD26" s="1101"/>
      <c r="OBE26" s="1110">
        <f>IF(OBI10="Bovis","Attention retirer 2 mm aux dimensions transmises",0)</f>
        <v>0</v>
      </c>
      <c r="OBF26" s="1100"/>
      <c r="OBG26" s="1100"/>
      <c r="OBH26" s="1101"/>
      <c r="OBI26" s="1110">
        <f>IF(OBM10="Bovis","Attention retirer 2 mm aux dimensions transmises",0)</f>
        <v>0</v>
      </c>
      <c r="OBJ26" s="1100"/>
      <c r="OBK26" s="1100"/>
      <c r="OBL26" s="1101"/>
      <c r="OBM26" s="1110">
        <f>IF(OBQ10="Bovis","Attention retirer 2 mm aux dimensions transmises",0)</f>
        <v>0</v>
      </c>
      <c r="OBN26" s="1100"/>
      <c r="OBO26" s="1100"/>
      <c r="OBP26" s="1101"/>
      <c r="OBQ26" s="1110">
        <f>IF(OBU10="Bovis","Attention retirer 2 mm aux dimensions transmises",0)</f>
        <v>0</v>
      </c>
      <c r="OBR26" s="1100"/>
      <c r="OBS26" s="1100"/>
      <c r="OBT26" s="1101"/>
      <c r="OBU26" s="1110">
        <f>IF(OBY10="Bovis","Attention retirer 2 mm aux dimensions transmises",0)</f>
        <v>0</v>
      </c>
      <c r="OBV26" s="1100"/>
      <c r="OBW26" s="1100"/>
      <c r="OBX26" s="1101"/>
      <c r="OBY26" s="1110">
        <f>IF(OCC10="Bovis","Attention retirer 2 mm aux dimensions transmises",0)</f>
        <v>0</v>
      </c>
      <c r="OBZ26" s="1100"/>
      <c r="OCA26" s="1100"/>
      <c r="OCB26" s="1101"/>
      <c r="OCC26" s="1110">
        <f>IF(OCG10="Bovis","Attention retirer 2 mm aux dimensions transmises",0)</f>
        <v>0</v>
      </c>
      <c r="OCD26" s="1100"/>
      <c r="OCE26" s="1100"/>
      <c r="OCF26" s="1101"/>
      <c r="OCG26" s="1110">
        <f>IF(OCK10="Bovis","Attention retirer 2 mm aux dimensions transmises",0)</f>
        <v>0</v>
      </c>
      <c r="OCH26" s="1100"/>
      <c r="OCI26" s="1100"/>
      <c r="OCJ26" s="1101"/>
      <c r="OCK26" s="1110">
        <f>IF(OCO10="Bovis","Attention retirer 2 mm aux dimensions transmises",0)</f>
        <v>0</v>
      </c>
      <c r="OCL26" s="1100"/>
      <c r="OCM26" s="1100"/>
      <c r="OCN26" s="1101"/>
      <c r="OCO26" s="1110">
        <f>IF(OCS10="Bovis","Attention retirer 2 mm aux dimensions transmises",0)</f>
        <v>0</v>
      </c>
      <c r="OCP26" s="1100"/>
      <c r="OCQ26" s="1100"/>
      <c r="OCR26" s="1101"/>
      <c r="OCS26" s="1110">
        <f>IF(OCW10="Bovis","Attention retirer 2 mm aux dimensions transmises",0)</f>
        <v>0</v>
      </c>
      <c r="OCT26" s="1100"/>
      <c r="OCU26" s="1100"/>
      <c r="OCV26" s="1101"/>
      <c r="OCW26" s="1110">
        <f>IF(ODA10="Bovis","Attention retirer 2 mm aux dimensions transmises",0)</f>
        <v>0</v>
      </c>
      <c r="OCX26" s="1100"/>
      <c r="OCY26" s="1100"/>
      <c r="OCZ26" s="1101"/>
      <c r="ODA26" s="1110">
        <f>IF(ODE10="Bovis","Attention retirer 2 mm aux dimensions transmises",0)</f>
        <v>0</v>
      </c>
      <c r="ODB26" s="1100"/>
      <c r="ODC26" s="1100"/>
      <c r="ODD26" s="1101"/>
      <c r="ODE26" s="1110">
        <f>IF(ODI10="Bovis","Attention retirer 2 mm aux dimensions transmises",0)</f>
        <v>0</v>
      </c>
      <c r="ODF26" s="1100"/>
      <c r="ODG26" s="1100"/>
      <c r="ODH26" s="1101"/>
      <c r="ODI26" s="1110">
        <f>IF(ODM10="Bovis","Attention retirer 2 mm aux dimensions transmises",0)</f>
        <v>0</v>
      </c>
      <c r="ODJ26" s="1100"/>
      <c r="ODK26" s="1100"/>
      <c r="ODL26" s="1101"/>
      <c r="ODM26" s="1110">
        <f>IF(ODQ10="Bovis","Attention retirer 2 mm aux dimensions transmises",0)</f>
        <v>0</v>
      </c>
      <c r="ODN26" s="1100"/>
      <c r="ODO26" s="1100"/>
      <c r="ODP26" s="1101"/>
      <c r="ODQ26" s="1110">
        <f>IF(ODU10="Bovis","Attention retirer 2 mm aux dimensions transmises",0)</f>
        <v>0</v>
      </c>
      <c r="ODR26" s="1100"/>
      <c r="ODS26" s="1100"/>
      <c r="ODT26" s="1101"/>
      <c r="ODU26" s="1110">
        <f>IF(ODY10="Bovis","Attention retirer 2 mm aux dimensions transmises",0)</f>
        <v>0</v>
      </c>
      <c r="ODV26" s="1100"/>
      <c r="ODW26" s="1100"/>
      <c r="ODX26" s="1101"/>
      <c r="ODY26" s="1110">
        <f>IF(OEC10="Bovis","Attention retirer 2 mm aux dimensions transmises",0)</f>
        <v>0</v>
      </c>
      <c r="ODZ26" s="1100"/>
      <c r="OEA26" s="1100"/>
      <c r="OEB26" s="1101"/>
      <c r="OEC26" s="1110">
        <f>IF(OEG10="Bovis","Attention retirer 2 mm aux dimensions transmises",0)</f>
        <v>0</v>
      </c>
      <c r="OED26" s="1100"/>
      <c r="OEE26" s="1100"/>
      <c r="OEF26" s="1101"/>
      <c r="OEG26" s="1110">
        <f>IF(OEK10="Bovis","Attention retirer 2 mm aux dimensions transmises",0)</f>
        <v>0</v>
      </c>
      <c r="OEH26" s="1100"/>
      <c r="OEI26" s="1100"/>
      <c r="OEJ26" s="1101"/>
      <c r="OEK26" s="1110">
        <f>IF(OEO10="Bovis","Attention retirer 2 mm aux dimensions transmises",0)</f>
        <v>0</v>
      </c>
      <c r="OEL26" s="1100"/>
      <c r="OEM26" s="1100"/>
      <c r="OEN26" s="1101"/>
      <c r="OEO26" s="1110">
        <f>IF(OES10="Bovis","Attention retirer 2 mm aux dimensions transmises",0)</f>
        <v>0</v>
      </c>
      <c r="OEP26" s="1100"/>
      <c r="OEQ26" s="1100"/>
      <c r="OER26" s="1101"/>
      <c r="OES26" s="1110">
        <f>IF(OEW10="Bovis","Attention retirer 2 mm aux dimensions transmises",0)</f>
        <v>0</v>
      </c>
      <c r="OET26" s="1100"/>
      <c r="OEU26" s="1100"/>
      <c r="OEV26" s="1101"/>
      <c r="OEW26" s="1110">
        <f>IF(OFA10="Bovis","Attention retirer 2 mm aux dimensions transmises",0)</f>
        <v>0</v>
      </c>
      <c r="OEX26" s="1100"/>
      <c r="OEY26" s="1100"/>
      <c r="OEZ26" s="1101"/>
      <c r="OFA26" s="1110">
        <f>IF(OFE10="Bovis","Attention retirer 2 mm aux dimensions transmises",0)</f>
        <v>0</v>
      </c>
      <c r="OFB26" s="1100"/>
      <c r="OFC26" s="1100"/>
      <c r="OFD26" s="1101"/>
      <c r="OFE26" s="1110">
        <f>IF(OFI10="Bovis","Attention retirer 2 mm aux dimensions transmises",0)</f>
        <v>0</v>
      </c>
      <c r="OFF26" s="1100"/>
      <c r="OFG26" s="1100"/>
      <c r="OFH26" s="1101"/>
      <c r="OFI26" s="1110">
        <f>IF(OFM10="Bovis","Attention retirer 2 mm aux dimensions transmises",0)</f>
        <v>0</v>
      </c>
      <c r="OFJ26" s="1100"/>
      <c r="OFK26" s="1100"/>
      <c r="OFL26" s="1101"/>
      <c r="OFM26" s="1110">
        <f>IF(OFQ10="Bovis","Attention retirer 2 mm aux dimensions transmises",0)</f>
        <v>0</v>
      </c>
      <c r="OFN26" s="1100"/>
      <c r="OFO26" s="1100"/>
      <c r="OFP26" s="1101"/>
      <c r="OFQ26" s="1110">
        <f>IF(OFU10="Bovis","Attention retirer 2 mm aux dimensions transmises",0)</f>
        <v>0</v>
      </c>
      <c r="OFR26" s="1100"/>
      <c r="OFS26" s="1100"/>
      <c r="OFT26" s="1101"/>
      <c r="OFU26" s="1110">
        <f>IF(OFY10="Bovis","Attention retirer 2 mm aux dimensions transmises",0)</f>
        <v>0</v>
      </c>
      <c r="OFV26" s="1100"/>
      <c r="OFW26" s="1100"/>
      <c r="OFX26" s="1101"/>
      <c r="OFY26" s="1110">
        <f>IF(OGC10="Bovis","Attention retirer 2 mm aux dimensions transmises",0)</f>
        <v>0</v>
      </c>
      <c r="OFZ26" s="1100"/>
      <c r="OGA26" s="1100"/>
      <c r="OGB26" s="1101"/>
      <c r="OGC26" s="1110">
        <f>IF(OGG10="Bovis","Attention retirer 2 mm aux dimensions transmises",0)</f>
        <v>0</v>
      </c>
      <c r="OGD26" s="1100"/>
      <c r="OGE26" s="1100"/>
      <c r="OGF26" s="1101"/>
      <c r="OGG26" s="1110">
        <f>IF(OGK10="Bovis","Attention retirer 2 mm aux dimensions transmises",0)</f>
        <v>0</v>
      </c>
      <c r="OGH26" s="1100"/>
      <c r="OGI26" s="1100"/>
      <c r="OGJ26" s="1101"/>
      <c r="OGK26" s="1110">
        <f>IF(OGO10="Bovis","Attention retirer 2 mm aux dimensions transmises",0)</f>
        <v>0</v>
      </c>
      <c r="OGL26" s="1100"/>
      <c r="OGM26" s="1100"/>
      <c r="OGN26" s="1101"/>
      <c r="OGO26" s="1110">
        <f>IF(OGS10="Bovis","Attention retirer 2 mm aux dimensions transmises",0)</f>
        <v>0</v>
      </c>
      <c r="OGP26" s="1100"/>
      <c r="OGQ26" s="1100"/>
      <c r="OGR26" s="1101"/>
      <c r="OGS26" s="1110">
        <f>IF(OGW10="Bovis","Attention retirer 2 mm aux dimensions transmises",0)</f>
        <v>0</v>
      </c>
      <c r="OGT26" s="1100"/>
      <c r="OGU26" s="1100"/>
      <c r="OGV26" s="1101"/>
      <c r="OGW26" s="1110">
        <f>IF(OHA10="Bovis","Attention retirer 2 mm aux dimensions transmises",0)</f>
        <v>0</v>
      </c>
      <c r="OGX26" s="1100"/>
      <c r="OGY26" s="1100"/>
      <c r="OGZ26" s="1101"/>
      <c r="OHA26" s="1110">
        <f>IF(OHE10="Bovis","Attention retirer 2 mm aux dimensions transmises",0)</f>
        <v>0</v>
      </c>
      <c r="OHB26" s="1100"/>
      <c r="OHC26" s="1100"/>
      <c r="OHD26" s="1101"/>
      <c r="OHE26" s="1110">
        <f>IF(OHI10="Bovis","Attention retirer 2 mm aux dimensions transmises",0)</f>
        <v>0</v>
      </c>
      <c r="OHF26" s="1100"/>
      <c r="OHG26" s="1100"/>
      <c r="OHH26" s="1101"/>
      <c r="OHI26" s="1110">
        <f>IF(OHM10="Bovis","Attention retirer 2 mm aux dimensions transmises",0)</f>
        <v>0</v>
      </c>
      <c r="OHJ26" s="1100"/>
      <c r="OHK26" s="1100"/>
      <c r="OHL26" s="1101"/>
      <c r="OHM26" s="1110">
        <f>IF(OHQ10="Bovis","Attention retirer 2 mm aux dimensions transmises",0)</f>
        <v>0</v>
      </c>
      <c r="OHN26" s="1100"/>
      <c r="OHO26" s="1100"/>
      <c r="OHP26" s="1101"/>
      <c r="OHQ26" s="1110">
        <f>IF(OHU10="Bovis","Attention retirer 2 mm aux dimensions transmises",0)</f>
        <v>0</v>
      </c>
      <c r="OHR26" s="1100"/>
      <c r="OHS26" s="1100"/>
      <c r="OHT26" s="1101"/>
      <c r="OHU26" s="1110">
        <f>IF(OHY10="Bovis","Attention retirer 2 mm aux dimensions transmises",0)</f>
        <v>0</v>
      </c>
      <c r="OHV26" s="1100"/>
      <c r="OHW26" s="1100"/>
      <c r="OHX26" s="1101"/>
      <c r="OHY26" s="1110">
        <f>IF(OIC10="Bovis","Attention retirer 2 mm aux dimensions transmises",0)</f>
        <v>0</v>
      </c>
      <c r="OHZ26" s="1100"/>
      <c r="OIA26" s="1100"/>
      <c r="OIB26" s="1101"/>
      <c r="OIC26" s="1110">
        <f>IF(OIG10="Bovis","Attention retirer 2 mm aux dimensions transmises",0)</f>
        <v>0</v>
      </c>
      <c r="OID26" s="1100"/>
      <c r="OIE26" s="1100"/>
      <c r="OIF26" s="1101"/>
      <c r="OIG26" s="1110">
        <f>IF(OIK10="Bovis","Attention retirer 2 mm aux dimensions transmises",0)</f>
        <v>0</v>
      </c>
      <c r="OIH26" s="1100"/>
      <c r="OII26" s="1100"/>
      <c r="OIJ26" s="1101"/>
      <c r="OIK26" s="1110">
        <f>IF(OIO10="Bovis","Attention retirer 2 mm aux dimensions transmises",0)</f>
        <v>0</v>
      </c>
      <c r="OIL26" s="1100"/>
      <c r="OIM26" s="1100"/>
      <c r="OIN26" s="1101"/>
      <c r="OIO26" s="1110">
        <f>IF(OIS10="Bovis","Attention retirer 2 mm aux dimensions transmises",0)</f>
        <v>0</v>
      </c>
      <c r="OIP26" s="1100"/>
      <c r="OIQ26" s="1100"/>
      <c r="OIR26" s="1101"/>
      <c r="OIS26" s="1110">
        <f>IF(OIW10="Bovis","Attention retirer 2 mm aux dimensions transmises",0)</f>
        <v>0</v>
      </c>
      <c r="OIT26" s="1100"/>
      <c r="OIU26" s="1100"/>
      <c r="OIV26" s="1101"/>
      <c r="OIW26" s="1110">
        <f>IF(OJA10="Bovis","Attention retirer 2 mm aux dimensions transmises",0)</f>
        <v>0</v>
      </c>
      <c r="OIX26" s="1100"/>
      <c r="OIY26" s="1100"/>
      <c r="OIZ26" s="1101"/>
      <c r="OJA26" s="1110">
        <f>IF(OJE10="Bovis","Attention retirer 2 mm aux dimensions transmises",0)</f>
        <v>0</v>
      </c>
      <c r="OJB26" s="1100"/>
      <c r="OJC26" s="1100"/>
      <c r="OJD26" s="1101"/>
      <c r="OJE26" s="1110">
        <f>IF(OJI10="Bovis","Attention retirer 2 mm aux dimensions transmises",0)</f>
        <v>0</v>
      </c>
      <c r="OJF26" s="1100"/>
      <c r="OJG26" s="1100"/>
      <c r="OJH26" s="1101"/>
      <c r="OJI26" s="1110">
        <f>IF(OJM10="Bovis","Attention retirer 2 mm aux dimensions transmises",0)</f>
        <v>0</v>
      </c>
      <c r="OJJ26" s="1100"/>
      <c r="OJK26" s="1100"/>
      <c r="OJL26" s="1101"/>
      <c r="OJM26" s="1110">
        <f>IF(OJQ10="Bovis","Attention retirer 2 mm aux dimensions transmises",0)</f>
        <v>0</v>
      </c>
      <c r="OJN26" s="1100"/>
      <c r="OJO26" s="1100"/>
      <c r="OJP26" s="1101"/>
      <c r="OJQ26" s="1110">
        <f>IF(OJU10="Bovis","Attention retirer 2 mm aux dimensions transmises",0)</f>
        <v>0</v>
      </c>
      <c r="OJR26" s="1100"/>
      <c r="OJS26" s="1100"/>
      <c r="OJT26" s="1101"/>
      <c r="OJU26" s="1110">
        <f>IF(OJY10="Bovis","Attention retirer 2 mm aux dimensions transmises",0)</f>
        <v>0</v>
      </c>
      <c r="OJV26" s="1100"/>
      <c r="OJW26" s="1100"/>
      <c r="OJX26" s="1101"/>
      <c r="OJY26" s="1110">
        <f>IF(OKC10="Bovis","Attention retirer 2 mm aux dimensions transmises",0)</f>
        <v>0</v>
      </c>
      <c r="OJZ26" s="1100"/>
      <c r="OKA26" s="1100"/>
      <c r="OKB26" s="1101"/>
      <c r="OKC26" s="1110">
        <f>IF(OKG10="Bovis","Attention retirer 2 mm aux dimensions transmises",0)</f>
        <v>0</v>
      </c>
      <c r="OKD26" s="1100"/>
      <c r="OKE26" s="1100"/>
      <c r="OKF26" s="1101"/>
      <c r="OKG26" s="1110">
        <f>IF(OKK10="Bovis","Attention retirer 2 mm aux dimensions transmises",0)</f>
        <v>0</v>
      </c>
      <c r="OKH26" s="1100"/>
      <c r="OKI26" s="1100"/>
      <c r="OKJ26" s="1101"/>
      <c r="OKK26" s="1110">
        <f>IF(OKO10="Bovis","Attention retirer 2 mm aux dimensions transmises",0)</f>
        <v>0</v>
      </c>
      <c r="OKL26" s="1100"/>
      <c r="OKM26" s="1100"/>
      <c r="OKN26" s="1101"/>
      <c r="OKO26" s="1110">
        <f>IF(OKS10="Bovis","Attention retirer 2 mm aux dimensions transmises",0)</f>
        <v>0</v>
      </c>
      <c r="OKP26" s="1100"/>
      <c r="OKQ26" s="1100"/>
      <c r="OKR26" s="1101"/>
      <c r="OKS26" s="1110">
        <f>IF(OKW10="Bovis","Attention retirer 2 mm aux dimensions transmises",0)</f>
        <v>0</v>
      </c>
      <c r="OKT26" s="1100"/>
      <c r="OKU26" s="1100"/>
      <c r="OKV26" s="1101"/>
      <c r="OKW26" s="1110">
        <f>IF(OLA10="Bovis","Attention retirer 2 mm aux dimensions transmises",0)</f>
        <v>0</v>
      </c>
      <c r="OKX26" s="1100"/>
      <c r="OKY26" s="1100"/>
      <c r="OKZ26" s="1101"/>
      <c r="OLA26" s="1110">
        <f>IF(OLE10="Bovis","Attention retirer 2 mm aux dimensions transmises",0)</f>
        <v>0</v>
      </c>
      <c r="OLB26" s="1100"/>
      <c r="OLC26" s="1100"/>
      <c r="OLD26" s="1101"/>
      <c r="OLE26" s="1110">
        <f>IF(OLI10="Bovis","Attention retirer 2 mm aux dimensions transmises",0)</f>
        <v>0</v>
      </c>
      <c r="OLF26" s="1100"/>
      <c r="OLG26" s="1100"/>
      <c r="OLH26" s="1101"/>
      <c r="OLI26" s="1110">
        <f>IF(OLM10="Bovis","Attention retirer 2 mm aux dimensions transmises",0)</f>
        <v>0</v>
      </c>
      <c r="OLJ26" s="1100"/>
      <c r="OLK26" s="1100"/>
      <c r="OLL26" s="1101"/>
      <c r="OLM26" s="1110">
        <f>IF(OLQ10="Bovis","Attention retirer 2 mm aux dimensions transmises",0)</f>
        <v>0</v>
      </c>
      <c r="OLN26" s="1100"/>
      <c r="OLO26" s="1100"/>
      <c r="OLP26" s="1101"/>
      <c r="OLQ26" s="1110">
        <f>IF(OLU10="Bovis","Attention retirer 2 mm aux dimensions transmises",0)</f>
        <v>0</v>
      </c>
      <c r="OLR26" s="1100"/>
      <c r="OLS26" s="1100"/>
      <c r="OLT26" s="1101"/>
      <c r="OLU26" s="1110">
        <f>IF(OLY10="Bovis","Attention retirer 2 mm aux dimensions transmises",0)</f>
        <v>0</v>
      </c>
      <c r="OLV26" s="1100"/>
      <c r="OLW26" s="1100"/>
      <c r="OLX26" s="1101"/>
      <c r="OLY26" s="1110">
        <f>IF(OMC10="Bovis","Attention retirer 2 mm aux dimensions transmises",0)</f>
        <v>0</v>
      </c>
      <c r="OLZ26" s="1100"/>
      <c r="OMA26" s="1100"/>
      <c r="OMB26" s="1101"/>
      <c r="OMC26" s="1110">
        <f>IF(OMG10="Bovis","Attention retirer 2 mm aux dimensions transmises",0)</f>
        <v>0</v>
      </c>
      <c r="OMD26" s="1100"/>
      <c r="OME26" s="1100"/>
      <c r="OMF26" s="1101"/>
      <c r="OMG26" s="1110">
        <f>IF(OMK10="Bovis","Attention retirer 2 mm aux dimensions transmises",0)</f>
        <v>0</v>
      </c>
      <c r="OMH26" s="1100"/>
      <c r="OMI26" s="1100"/>
      <c r="OMJ26" s="1101"/>
      <c r="OMK26" s="1110">
        <f>IF(OMO10="Bovis","Attention retirer 2 mm aux dimensions transmises",0)</f>
        <v>0</v>
      </c>
      <c r="OML26" s="1100"/>
      <c r="OMM26" s="1100"/>
      <c r="OMN26" s="1101"/>
      <c r="OMO26" s="1110">
        <f>IF(OMS10="Bovis","Attention retirer 2 mm aux dimensions transmises",0)</f>
        <v>0</v>
      </c>
      <c r="OMP26" s="1100"/>
      <c r="OMQ26" s="1100"/>
      <c r="OMR26" s="1101"/>
      <c r="OMS26" s="1110">
        <f>IF(OMW10="Bovis","Attention retirer 2 mm aux dimensions transmises",0)</f>
        <v>0</v>
      </c>
      <c r="OMT26" s="1100"/>
      <c r="OMU26" s="1100"/>
      <c r="OMV26" s="1101"/>
      <c r="OMW26" s="1110">
        <f>IF(ONA10="Bovis","Attention retirer 2 mm aux dimensions transmises",0)</f>
        <v>0</v>
      </c>
      <c r="OMX26" s="1100"/>
      <c r="OMY26" s="1100"/>
      <c r="OMZ26" s="1101"/>
      <c r="ONA26" s="1110">
        <f>IF(ONE10="Bovis","Attention retirer 2 mm aux dimensions transmises",0)</f>
        <v>0</v>
      </c>
      <c r="ONB26" s="1100"/>
      <c r="ONC26" s="1100"/>
      <c r="OND26" s="1101"/>
      <c r="ONE26" s="1110">
        <f>IF(ONI10="Bovis","Attention retirer 2 mm aux dimensions transmises",0)</f>
        <v>0</v>
      </c>
      <c r="ONF26" s="1100"/>
      <c r="ONG26" s="1100"/>
      <c r="ONH26" s="1101"/>
      <c r="ONI26" s="1110">
        <f>IF(ONM10="Bovis","Attention retirer 2 mm aux dimensions transmises",0)</f>
        <v>0</v>
      </c>
      <c r="ONJ26" s="1100"/>
      <c r="ONK26" s="1100"/>
      <c r="ONL26" s="1101"/>
      <c r="ONM26" s="1110">
        <f>IF(ONQ10="Bovis","Attention retirer 2 mm aux dimensions transmises",0)</f>
        <v>0</v>
      </c>
      <c r="ONN26" s="1100"/>
      <c r="ONO26" s="1100"/>
      <c r="ONP26" s="1101"/>
      <c r="ONQ26" s="1110">
        <f>IF(ONU10="Bovis","Attention retirer 2 mm aux dimensions transmises",0)</f>
        <v>0</v>
      </c>
      <c r="ONR26" s="1100"/>
      <c r="ONS26" s="1100"/>
      <c r="ONT26" s="1101"/>
      <c r="ONU26" s="1110">
        <f>IF(ONY10="Bovis","Attention retirer 2 mm aux dimensions transmises",0)</f>
        <v>0</v>
      </c>
      <c r="ONV26" s="1100"/>
      <c r="ONW26" s="1100"/>
      <c r="ONX26" s="1101"/>
      <c r="ONY26" s="1110">
        <f>IF(OOC10="Bovis","Attention retirer 2 mm aux dimensions transmises",0)</f>
        <v>0</v>
      </c>
      <c r="ONZ26" s="1100"/>
      <c r="OOA26" s="1100"/>
      <c r="OOB26" s="1101"/>
      <c r="OOC26" s="1110">
        <f>IF(OOG10="Bovis","Attention retirer 2 mm aux dimensions transmises",0)</f>
        <v>0</v>
      </c>
      <c r="OOD26" s="1100"/>
      <c r="OOE26" s="1100"/>
      <c r="OOF26" s="1101"/>
      <c r="OOG26" s="1110">
        <f>IF(OOK10="Bovis","Attention retirer 2 mm aux dimensions transmises",0)</f>
        <v>0</v>
      </c>
      <c r="OOH26" s="1100"/>
      <c r="OOI26" s="1100"/>
      <c r="OOJ26" s="1101"/>
      <c r="OOK26" s="1110">
        <f>IF(OOO10="Bovis","Attention retirer 2 mm aux dimensions transmises",0)</f>
        <v>0</v>
      </c>
      <c r="OOL26" s="1100"/>
      <c r="OOM26" s="1100"/>
      <c r="OON26" s="1101"/>
      <c r="OOO26" s="1110">
        <f>IF(OOS10="Bovis","Attention retirer 2 mm aux dimensions transmises",0)</f>
        <v>0</v>
      </c>
      <c r="OOP26" s="1100"/>
      <c r="OOQ26" s="1100"/>
      <c r="OOR26" s="1101"/>
      <c r="OOS26" s="1110">
        <f>IF(OOW10="Bovis","Attention retirer 2 mm aux dimensions transmises",0)</f>
        <v>0</v>
      </c>
      <c r="OOT26" s="1100"/>
      <c r="OOU26" s="1100"/>
      <c r="OOV26" s="1101"/>
      <c r="OOW26" s="1110">
        <f>IF(OPA10="Bovis","Attention retirer 2 mm aux dimensions transmises",0)</f>
        <v>0</v>
      </c>
      <c r="OOX26" s="1100"/>
      <c r="OOY26" s="1100"/>
      <c r="OOZ26" s="1101"/>
      <c r="OPA26" s="1110">
        <f>IF(OPE10="Bovis","Attention retirer 2 mm aux dimensions transmises",0)</f>
        <v>0</v>
      </c>
      <c r="OPB26" s="1100"/>
      <c r="OPC26" s="1100"/>
      <c r="OPD26" s="1101"/>
      <c r="OPE26" s="1110">
        <f>IF(OPI10="Bovis","Attention retirer 2 mm aux dimensions transmises",0)</f>
        <v>0</v>
      </c>
      <c r="OPF26" s="1100"/>
      <c r="OPG26" s="1100"/>
      <c r="OPH26" s="1101"/>
      <c r="OPI26" s="1110">
        <f>IF(OPM10="Bovis","Attention retirer 2 mm aux dimensions transmises",0)</f>
        <v>0</v>
      </c>
      <c r="OPJ26" s="1100"/>
      <c r="OPK26" s="1100"/>
      <c r="OPL26" s="1101"/>
      <c r="OPM26" s="1110">
        <f>IF(OPQ10="Bovis","Attention retirer 2 mm aux dimensions transmises",0)</f>
        <v>0</v>
      </c>
      <c r="OPN26" s="1100"/>
      <c r="OPO26" s="1100"/>
      <c r="OPP26" s="1101"/>
      <c r="OPQ26" s="1110">
        <f>IF(OPU10="Bovis","Attention retirer 2 mm aux dimensions transmises",0)</f>
        <v>0</v>
      </c>
      <c r="OPR26" s="1100"/>
      <c r="OPS26" s="1100"/>
      <c r="OPT26" s="1101"/>
      <c r="OPU26" s="1110">
        <f>IF(OPY10="Bovis","Attention retirer 2 mm aux dimensions transmises",0)</f>
        <v>0</v>
      </c>
      <c r="OPV26" s="1100"/>
      <c r="OPW26" s="1100"/>
      <c r="OPX26" s="1101"/>
      <c r="OPY26" s="1110">
        <f>IF(OQC10="Bovis","Attention retirer 2 mm aux dimensions transmises",0)</f>
        <v>0</v>
      </c>
      <c r="OPZ26" s="1100"/>
      <c r="OQA26" s="1100"/>
      <c r="OQB26" s="1101"/>
      <c r="OQC26" s="1110">
        <f>IF(OQG10="Bovis","Attention retirer 2 mm aux dimensions transmises",0)</f>
        <v>0</v>
      </c>
      <c r="OQD26" s="1100"/>
      <c r="OQE26" s="1100"/>
      <c r="OQF26" s="1101"/>
      <c r="OQG26" s="1110">
        <f>IF(OQK10="Bovis","Attention retirer 2 mm aux dimensions transmises",0)</f>
        <v>0</v>
      </c>
      <c r="OQH26" s="1100"/>
      <c r="OQI26" s="1100"/>
      <c r="OQJ26" s="1101"/>
      <c r="OQK26" s="1110">
        <f>IF(OQO10="Bovis","Attention retirer 2 mm aux dimensions transmises",0)</f>
        <v>0</v>
      </c>
      <c r="OQL26" s="1100"/>
      <c r="OQM26" s="1100"/>
      <c r="OQN26" s="1101"/>
      <c r="OQO26" s="1110">
        <f>IF(OQS10="Bovis","Attention retirer 2 mm aux dimensions transmises",0)</f>
        <v>0</v>
      </c>
      <c r="OQP26" s="1100"/>
      <c r="OQQ26" s="1100"/>
      <c r="OQR26" s="1101"/>
      <c r="OQS26" s="1110">
        <f>IF(OQW10="Bovis","Attention retirer 2 mm aux dimensions transmises",0)</f>
        <v>0</v>
      </c>
      <c r="OQT26" s="1100"/>
      <c r="OQU26" s="1100"/>
      <c r="OQV26" s="1101"/>
      <c r="OQW26" s="1110">
        <f>IF(ORA10="Bovis","Attention retirer 2 mm aux dimensions transmises",0)</f>
        <v>0</v>
      </c>
      <c r="OQX26" s="1100"/>
      <c r="OQY26" s="1100"/>
      <c r="OQZ26" s="1101"/>
      <c r="ORA26" s="1110">
        <f>IF(ORE10="Bovis","Attention retirer 2 mm aux dimensions transmises",0)</f>
        <v>0</v>
      </c>
      <c r="ORB26" s="1100"/>
      <c r="ORC26" s="1100"/>
      <c r="ORD26" s="1101"/>
      <c r="ORE26" s="1110">
        <f>IF(ORI10="Bovis","Attention retirer 2 mm aux dimensions transmises",0)</f>
        <v>0</v>
      </c>
      <c r="ORF26" s="1100"/>
      <c r="ORG26" s="1100"/>
      <c r="ORH26" s="1101"/>
      <c r="ORI26" s="1110">
        <f>IF(ORM10="Bovis","Attention retirer 2 mm aux dimensions transmises",0)</f>
        <v>0</v>
      </c>
      <c r="ORJ26" s="1100"/>
      <c r="ORK26" s="1100"/>
      <c r="ORL26" s="1101"/>
      <c r="ORM26" s="1110">
        <f>IF(ORQ10="Bovis","Attention retirer 2 mm aux dimensions transmises",0)</f>
        <v>0</v>
      </c>
      <c r="ORN26" s="1100"/>
      <c r="ORO26" s="1100"/>
      <c r="ORP26" s="1101"/>
      <c r="ORQ26" s="1110">
        <f>IF(ORU10="Bovis","Attention retirer 2 mm aux dimensions transmises",0)</f>
        <v>0</v>
      </c>
      <c r="ORR26" s="1100"/>
      <c r="ORS26" s="1100"/>
      <c r="ORT26" s="1101"/>
      <c r="ORU26" s="1110">
        <f>IF(ORY10="Bovis","Attention retirer 2 mm aux dimensions transmises",0)</f>
        <v>0</v>
      </c>
      <c r="ORV26" s="1100"/>
      <c r="ORW26" s="1100"/>
      <c r="ORX26" s="1101"/>
      <c r="ORY26" s="1110">
        <f>IF(OSC10="Bovis","Attention retirer 2 mm aux dimensions transmises",0)</f>
        <v>0</v>
      </c>
      <c r="ORZ26" s="1100"/>
      <c r="OSA26" s="1100"/>
      <c r="OSB26" s="1101"/>
      <c r="OSC26" s="1110">
        <f>IF(OSG10="Bovis","Attention retirer 2 mm aux dimensions transmises",0)</f>
        <v>0</v>
      </c>
      <c r="OSD26" s="1100"/>
      <c r="OSE26" s="1100"/>
      <c r="OSF26" s="1101"/>
      <c r="OSG26" s="1110">
        <f>IF(OSK10="Bovis","Attention retirer 2 mm aux dimensions transmises",0)</f>
        <v>0</v>
      </c>
      <c r="OSH26" s="1100"/>
      <c r="OSI26" s="1100"/>
      <c r="OSJ26" s="1101"/>
      <c r="OSK26" s="1110">
        <f>IF(OSO10="Bovis","Attention retirer 2 mm aux dimensions transmises",0)</f>
        <v>0</v>
      </c>
      <c r="OSL26" s="1100"/>
      <c r="OSM26" s="1100"/>
      <c r="OSN26" s="1101"/>
      <c r="OSO26" s="1110">
        <f>IF(OSS10="Bovis","Attention retirer 2 mm aux dimensions transmises",0)</f>
        <v>0</v>
      </c>
      <c r="OSP26" s="1100"/>
      <c r="OSQ26" s="1100"/>
      <c r="OSR26" s="1101"/>
      <c r="OSS26" s="1110">
        <f>IF(OSW10="Bovis","Attention retirer 2 mm aux dimensions transmises",0)</f>
        <v>0</v>
      </c>
      <c r="OST26" s="1100"/>
      <c r="OSU26" s="1100"/>
      <c r="OSV26" s="1101"/>
      <c r="OSW26" s="1110">
        <f>IF(OTA10="Bovis","Attention retirer 2 mm aux dimensions transmises",0)</f>
        <v>0</v>
      </c>
      <c r="OSX26" s="1100"/>
      <c r="OSY26" s="1100"/>
      <c r="OSZ26" s="1101"/>
      <c r="OTA26" s="1110">
        <f>IF(OTE10="Bovis","Attention retirer 2 mm aux dimensions transmises",0)</f>
        <v>0</v>
      </c>
      <c r="OTB26" s="1100"/>
      <c r="OTC26" s="1100"/>
      <c r="OTD26" s="1101"/>
      <c r="OTE26" s="1110">
        <f>IF(OTI10="Bovis","Attention retirer 2 mm aux dimensions transmises",0)</f>
        <v>0</v>
      </c>
      <c r="OTF26" s="1100"/>
      <c r="OTG26" s="1100"/>
      <c r="OTH26" s="1101"/>
      <c r="OTI26" s="1110">
        <f>IF(OTM10="Bovis","Attention retirer 2 mm aux dimensions transmises",0)</f>
        <v>0</v>
      </c>
      <c r="OTJ26" s="1100"/>
      <c r="OTK26" s="1100"/>
      <c r="OTL26" s="1101"/>
      <c r="OTM26" s="1110">
        <f>IF(OTQ10="Bovis","Attention retirer 2 mm aux dimensions transmises",0)</f>
        <v>0</v>
      </c>
      <c r="OTN26" s="1100"/>
      <c r="OTO26" s="1100"/>
      <c r="OTP26" s="1101"/>
      <c r="OTQ26" s="1110">
        <f>IF(OTU10="Bovis","Attention retirer 2 mm aux dimensions transmises",0)</f>
        <v>0</v>
      </c>
      <c r="OTR26" s="1100"/>
      <c r="OTS26" s="1100"/>
      <c r="OTT26" s="1101"/>
      <c r="OTU26" s="1110">
        <f>IF(OTY10="Bovis","Attention retirer 2 mm aux dimensions transmises",0)</f>
        <v>0</v>
      </c>
      <c r="OTV26" s="1100"/>
      <c r="OTW26" s="1100"/>
      <c r="OTX26" s="1101"/>
      <c r="OTY26" s="1110">
        <f>IF(OUC10="Bovis","Attention retirer 2 mm aux dimensions transmises",0)</f>
        <v>0</v>
      </c>
      <c r="OTZ26" s="1100"/>
      <c r="OUA26" s="1100"/>
      <c r="OUB26" s="1101"/>
      <c r="OUC26" s="1110">
        <f>IF(OUG10="Bovis","Attention retirer 2 mm aux dimensions transmises",0)</f>
        <v>0</v>
      </c>
      <c r="OUD26" s="1100"/>
      <c r="OUE26" s="1100"/>
      <c r="OUF26" s="1101"/>
      <c r="OUG26" s="1110">
        <f>IF(OUK10="Bovis","Attention retirer 2 mm aux dimensions transmises",0)</f>
        <v>0</v>
      </c>
      <c r="OUH26" s="1100"/>
      <c r="OUI26" s="1100"/>
      <c r="OUJ26" s="1101"/>
      <c r="OUK26" s="1110">
        <f>IF(OUO10="Bovis","Attention retirer 2 mm aux dimensions transmises",0)</f>
        <v>0</v>
      </c>
      <c r="OUL26" s="1100"/>
      <c r="OUM26" s="1100"/>
      <c r="OUN26" s="1101"/>
      <c r="OUO26" s="1110">
        <f>IF(OUS10="Bovis","Attention retirer 2 mm aux dimensions transmises",0)</f>
        <v>0</v>
      </c>
      <c r="OUP26" s="1100"/>
      <c r="OUQ26" s="1100"/>
      <c r="OUR26" s="1101"/>
      <c r="OUS26" s="1110">
        <f>IF(OUW10="Bovis","Attention retirer 2 mm aux dimensions transmises",0)</f>
        <v>0</v>
      </c>
      <c r="OUT26" s="1100"/>
      <c r="OUU26" s="1100"/>
      <c r="OUV26" s="1101"/>
      <c r="OUW26" s="1110">
        <f>IF(OVA10="Bovis","Attention retirer 2 mm aux dimensions transmises",0)</f>
        <v>0</v>
      </c>
      <c r="OUX26" s="1100"/>
      <c r="OUY26" s="1100"/>
      <c r="OUZ26" s="1101"/>
      <c r="OVA26" s="1110">
        <f>IF(OVE10="Bovis","Attention retirer 2 mm aux dimensions transmises",0)</f>
        <v>0</v>
      </c>
      <c r="OVB26" s="1100"/>
      <c r="OVC26" s="1100"/>
      <c r="OVD26" s="1101"/>
      <c r="OVE26" s="1110">
        <f>IF(OVI10="Bovis","Attention retirer 2 mm aux dimensions transmises",0)</f>
        <v>0</v>
      </c>
      <c r="OVF26" s="1100"/>
      <c r="OVG26" s="1100"/>
      <c r="OVH26" s="1101"/>
      <c r="OVI26" s="1110">
        <f>IF(OVM10="Bovis","Attention retirer 2 mm aux dimensions transmises",0)</f>
        <v>0</v>
      </c>
      <c r="OVJ26" s="1100"/>
      <c r="OVK26" s="1100"/>
      <c r="OVL26" s="1101"/>
      <c r="OVM26" s="1110">
        <f>IF(OVQ10="Bovis","Attention retirer 2 mm aux dimensions transmises",0)</f>
        <v>0</v>
      </c>
      <c r="OVN26" s="1100"/>
      <c r="OVO26" s="1100"/>
      <c r="OVP26" s="1101"/>
      <c r="OVQ26" s="1110">
        <f>IF(OVU10="Bovis","Attention retirer 2 mm aux dimensions transmises",0)</f>
        <v>0</v>
      </c>
      <c r="OVR26" s="1100"/>
      <c r="OVS26" s="1100"/>
      <c r="OVT26" s="1101"/>
      <c r="OVU26" s="1110">
        <f>IF(OVY10="Bovis","Attention retirer 2 mm aux dimensions transmises",0)</f>
        <v>0</v>
      </c>
      <c r="OVV26" s="1100"/>
      <c r="OVW26" s="1100"/>
      <c r="OVX26" s="1101"/>
      <c r="OVY26" s="1110">
        <f>IF(OWC10="Bovis","Attention retirer 2 mm aux dimensions transmises",0)</f>
        <v>0</v>
      </c>
      <c r="OVZ26" s="1100"/>
      <c r="OWA26" s="1100"/>
      <c r="OWB26" s="1101"/>
      <c r="OWC26" s="1110">
        <f>IF(OWG10="Bovis","Attention retirer 2 mm aux dimensions transmises",0)</f>
        <v>0</v>
      </c>
      <c r="OWD26" s="1100"/>
      <c r="OWE26" s="1100"/>
      <c r="OWF26" s="1101"/>
      <c r="OWG26" s="1110">
        <f>IF(OWK10="Bovis","Attention retirer 2 mm aux dimensions transmises",0)</f>
        <v>0</v>
      </c>
      <c r="OWH26" s="1100"/>
      <c r="OWI26" s="1100"/>
      <c r="OWJ26" s="1101"/>
      <c r="OWK26" s="1110">
        <f>IF(OWO10="Bovis","Attention retirer 2 mm aux dimensions transmises",0)</f>
        <v>0</v>
      </c>
      <c r="OWL26" s="1100"/>
      <c r="OWM26" s="1100"/>
      <c r="OWN26" s="1101"/>
      <c r="OWO26" s="1110">
        <f>IF(OWS10="Bovis","Attention retirer 2 mm aux dimensions transmises",0)</f>
        <v>0</v>
      </c>
      <c r="OWP26" s="1100"/>
      <c r="OWQ26" s="1100"/>
      <c r="OWR26" s="1101"/>
      <c r="OWS26" s="1110">
        <f>IF(OWW10="Bovis","Attention retirer 2 mm aux dimensions transmises",0)</f>
        <v>0</v>
      </c>
      <c r="OWT26" s="1100"/>
      <c r="OWU26" s="1100"/>
      <c r="OWV26" s="1101"/>
      <c r="OWW26" s="1110">
        <f>IF(OXA10="Bovis","Attention retirer 2 mm aux dimensions transmises",0)</f>
        <v>0</v>
      </c>
      <c r="OWX26" s="1100"/>
      <c r="OWY26" s="1100"/>
      <c r="OWZ26" s="1101"/>
      <c r="OXA26" s="1110">
        <f>IF(OXE10="Bovis","Attention retirer 2 mm aux dimensions transmises",0)</f>
        <v>0</v>
      </c>
      <c r="OXB26" s="1100"/>
      <c r="OXC26" s="1100"/>
      <c r="OXD26" s="1101"/>
      <c r="OXE26" s="1110">
        <f>IF(OXI10="Bovis","Attention retirer 2 mm aux dimensions transmises",0)</f>
        <v>0</v>
      </c>
      <c r="OXF26" s="1100"/>
      <c r="OXG26" s="1100"/>
      <c r="OXH26" s="1101"/>
      <c r="OXI26" s="1110">
        <f>IF(OXM10="Bovis","Attention retirer 2 mm aux dimensions transmises",0)</f>
        <v>0</v>
      </c>
      <c r="OXJ26" s="1100"/>
      <c r="OXK26" s="1100"/>
      <c r="OXL26" s="1101"/>
      <c r="OXM26" s="1110">
        <f>IF(OXQ10="Bovis","Attention retirer 2 mm aux dimensions transmises",0)</f>
        <v>0</v>
      </c>
      <c r="OXN26" s="1100"/>
      <c r="OXO26" s="1100"/>
      <c r="OXP26" s="1101"/>
      <c r="OXQ26" s="1110">
        <f>IF(OXU10="Bovis","Attention retirer 2 mm aux dimensions transmises",0)</f>
        <v>0</v>
      </c>
      <c r="OXR26" s="1100"/>
      <c r="OXS26" s="1100"/>
      <c r="OXT26" s="1101"/>
      <c r="OXU26" s="1110">
        <f>IF(OXY10="Bovis","Attention retirer 2 mm aux dimensions transmises",0)</f>
        <v>0</v>
      </c>
      <c r="OXV26" s="1100"/>
      <c r="OXW26" s="1100"/>
      <c r="OXX26" s="1101"/>
      <c r="OXY26" s="1110">
        <f>IF(OYC10="Bovis","Attention retirer 2 mm aux dimensions transmises",0)</f>
        <v>0</v>
      </c>
      <c r="OXZ26" s="1100"/>
      <c r="OYA26" s="1100"/>
      <c r="OYB26" s="1101"/>
      <c r="OYC26" s="1110">
        <f>IF(OYG10="Bovis","Attention retirer 2 mm aux dimensions transmises",0)</f>
        <v>0</v>
      </c>
      <c r="OYD26" s="1100"/>
      <c r="OYE26" s="1100"/>
      <c r="OYF26" s="1101"/>
      <c r="OYG26" s="1110">
        <f>IF(OYK10="Bovis","Attention retirer 2 mm aux dimensions transmises",0)</f>
        <v>0</v>
      </c>
      <c r="OYH26" s="1100"/>
      <c r="OYI26" s="1100"/>
      <c r="OYJ26" s="1101"/>
      <c r="OYK26" s="1110">
        <f>IF(OYO10="Bovis","Attention retirer 2 mm aux dimensions transmises",0)</f>
        <v>0</v>
      </c>
      <c r="OYL26" s="1100"/>
      <c r="OYM26" s="1100"/>
      <c r="OYN26" s="1101"/>
      <c r="OYO26" s="1110">
        <f>IF(OYS10="Bovis","Attention retirer 2 mm aux dimensions transmises",0)</f>
        <v>0</v>
      </c>
      <c r="OYP26" s="1100"/>
      <c r="OYQ26" s="1100"/>
      <c r="OYR26" s="1101"/>
      <c r="OYS26" s="1110">
        <f>IF(OYW10="Bovis","Attention retirer 2 mm aux dimensions transmises",0)</f>
        <v>0</v>
      </c>
      <c r="OYT26" s="1100"/>
      <c r="OYU26" s="1100"/>
      <c r="OYV26" s="1101"/>
      <c r="OYW26" s="1110">
        <f>IF(OZA10="Bovis","Attention retirer 2 mm aux dimensions transmises",0)</f>
        <v>0</v>
      </c>
      <c r="OYX26" s="1100"/>
      <c r="OYY26" s="1100"/>
      <c r="OYZ26" s="1101"/>
      <c r="OZA26" s="1110">
        <f>IF(OZE10="Bovis","Attention retirer 2 mm aux dimensions transmises",0)</f>
        <v>0</v>
      </c>
      <c r="OZB26" s="1100"/>
      <c r="OZC26" s="1100"/>
      <c r="OZD26" s="1101"/>
      <c r="OZE26" s="1110">
        <f>IF(OZI10="Bovis","Attention retirer 2 mm aux dimensions transmises",0)</f>
        <v>0</v>
      </c>
      <c r="OZF26" s="1100"/>
      <c r="OZG26" s="1100"/>
      <c r="OZH26" s="1101"/>
      <c r="OZI26" s="1110">
        <f>IF(OZM10="Bovis","Attention retirer 2 mm aux dimensions transmises",0)</f>
        <v>0</v>
      </c>
      <c r="OZJ26" s="1100"/>
      <c r="OZK26" s="1100"/>
      <c r="OZL26" s="1101"/>
      <c r="OZM26" s="1110">
        <f>IF(OZQ10="Bovis","Attention retirer 2 mm aux dimensions transmises",0)</f>
        <v>0</v>
      </c>
      <c r="OZN26" s="1100"/>
      <c r="OZO26" s="1100"/>
      <c r="OZP26" s="1101"/>
      <c r="OZQ26" s="1110">
        <f>IF(OZU10="Bovis","Attention retirer 2 mm aux dimensions transmises",0)</f>
        <v>0</v>
      </c>
      <c r="OZR26" s="1100"/>
      <c r="OZS26" s="1100"/>
      <c r="OZT26" s="1101"/>
      <c r="OZU26" s="1110">
        <f>IF(OZY10="Bovis","Attention retirer 2 mm aux dimensions transmises",0)</f>
        <v>0</v>
      </c>
      <c r="OZV26" s="1100"/>
      <c r="OZW26" s="1100"/>
      <c r="OZX26" s="1101"/>
      <c r="OZY26" s="1110">
        <f>IF(PAC10="Bovis","Attention retirer 2 mm aux dimensions transmises",0)</f>
        <v>0</v>
      </c>
      <c r="OZZ26" s="1100"/>
      <c r="PAA26" s="1100"/>
      <c r="PAB26" s="1101"/>
      <c r="PAC26" s="1110">
        <f>IF(PAG10="Bovis","Attention retirer 2 mm aux dimensions transmises",0)</f>
        <v>0</v>
      </c>
      <c r="PAD26" s="1100"/>
      <c r="PAE26" s="1100"/>
      <c r="PAF26" s="1101"/>
      <c r="PAG26" s="1110">
        <f>IF(PAK10="Bovis","Attention retirer 2 mm aux dimensions transmises",0)</f>
        <v>0</v>
      </c>
      <c r="PAH26" s="1100"/>
      <c r="PAI26" s="1100"/>
      <c r="PAJ26" s="1101"/>
      <c r="PAK26" s="1110">
        <f>IF(PAO10="Bovis","Attention retirer 2 mm aux dimensions transmises",0)</f>
        <v>0</v>
      </c>
      <c r="PAL26" s="1100"/>
      <c r="PAM26" s="1100"/>
      <c r="PAN26" s="1101"/>
      <c r="PAO26" s="1110">
        <f>IF(PAS10="Bovis","Attention retirer 2 mm aux dimensions transmises",0)</f>
        <v>0</v>
      </c>
      <c r="PAP26" s="1100"/>
      <c r="PAQ26" s="1100"/>
      <c r="PAR26" s="1101"/>
      <c r="PAS26" s="1110">
        <f>IF(PAW10="Bovis","Attention retirer 2 mm aux dimensions transmises",0)</f>
        <v>0</v>
      </c>
      <c r="PAT26" s="1100"/>
      <c r="PAU26" s="1100"/>
      <c r="PAV26" s="1101"/>
      <c r="PAW26" s="1110">
        <f>IF(PBA10="Bovis","Attention retirer 2 mm aux dimensions transmises",0)</f>
        <v>0</v>
      </c>
      <c r="PAX26" s="1100"/>
      <c r="PAY26" s="1100"/>
      <c r="PAZ26" s="1101"/>
      <c r="PBA26" s="1110">
        <f>IF(PBE10="Bovis","Attention retirer 2 mm aux dimensions transmises",0)</f>
        <v>0</v>
      </c>
      <c r="PBB26" s="1100"/>
      <c r="PBC26" s="1100"/>
      <c r="PBD26" s="1101"/>
      <c r="PBE26" s="1110">
        <f>IF(PBI10="Bovis","Attention retirer 2 mm aux dimensions transmises",0)</f>
        <v>0</v>
      </c>
      <c r="PBF26" s="1100"/>
      <c r="PBG26" s="1100"/>
      <c r="PBH26" s="1101"/>
      <c r="PBI26" s="1110">
        <f>IF(PBM10="Bovis","Attention retirer 2 mm aux dimensions transmises",0)</f>
        <v>0</v>
      </c>
      <c r="PBJ26" s="1100"/>
      <c r="PBK26" s="1100"/>
      <c r="PBL26" s="1101"/>
      <c r="PBM26" s="1110">
        <f>IF(PBQ10="Bovis","Attention retirer 2 mm aux dimensions transmises",0)</f>
        <v>0</v>
      </c>
      <c r="PBN26" s="1100"/>
      <c r="PBO26" s="1100"/>
      <c r="PBP26" s="1101"/>
      <c r="PBQ26" s="1110">
        <f>IF(PBU10="Bovis","Attention retirer 2 mm aux dimensions transmises",0)</f>
        <v>0</v>
      </c>
      <c r="PBR26" s="1100"/>
      <c r="PBS26" s="1100"/>
      <c r="PBT26" s="1101"/>
      <c r="PBU26" s="1110">
        <f>IF(PBY10="Bovis","Attention retirer 2 mm aux dimensions transmises",0)</f>
        <v>0</v>
      </c>
      <c r="PBV26" s="1100"/>
      <c r="PBW26" s="1100"/>
      <c r="PBX26" s="1101"/>
      <c r="PBY26" s="1110">
        <f>IF(PCC10="Bovis","Attention retirer 2 mm aux dimensions transmises",0)</f>
        <v>0</v>
      </c>
      <c r="PBZ26" s="1100"/>
      <c r="PCA26" s="1100"/>
      <c r="PCB26" s="1101"/>
      <c r="PCC26" s="1110">
        <f>IF(PCG10="Bovis","Attention retirer 2 mm aux dimensions transmises",0)</f>
        <v>0</v>
      </c>
      <c r="PCD26" s="1100"/>
      <c r="PCE26" s="1100"/>
      <c r="PCF26" s="1101"/>
      <c r="PCG26" s="1110">
        <f>IF(PCK10="Bovis","Attention retirer 2 mm aux dimensions transmises",0)</f>
        <v>0</v>
      </c>
      <c r="PCH26" s="1100"/>
      <c r="PCI26" s="1100"/>
      <c r="PCJ26" s="1101"/>
      <c r="PCK26" s="1110">
        <f>IF(PCO10="Bovis","Attention retirer 2 mm aux dimensions transmises",0)</f>
        <v>0</v>
      </c>
      <c r="PCL26" s="1100"/>
      <c r="PCM26" s="1100"/>
      <c r="PCN26" s="1101"/>
      <c r="PCO26" s="1110">
        <f>IF(PCS10="Bovis","Attention retirer 2 mm aux dimensions transmises",0)</f>
        <v>0</v>
      </c>
      <c r="PCP26" s="1100"/>
      <c r="PCQ26" s="1100"/>
      <c r="PCR26" s="1101"/>
      <c r="PCS26" s="1110">
        <f>IF(PCW10="Bovis","Attention retirer 2 mm aux dimensions transmises",0)</f>
        <v>0</v>
      </c>
      <c r="PCT26" s="1100"/>
      <c r="PCU26" s="1100"/>
      <c r="PCV26" s="1101"/>
      <c r="PCW26" s="1110">
        <f>IF(PDA10="Bovis","Attention retirer 2 mm aux dimensions transmises",0)</f>
        <v>0</v>
      </c>
      <c r="PCX26" s="1100"/>
      <c r="PCY26" s="1100"/>
      <c r="PCZ26" s="1101"/>
      <c r="PDA26" s="1110">
        <f>IF(PDE10="Bovis","Attention retirer 2 mm aux dimensions transmises",0)</f>
        <v>0</v>
      </c>
      <c r="PDB26" s="1100"/>
      <c r="PDC26" s="1100"/>
      <c r="PDD26" s="1101"/>
      <c r="PDE26" s="1110">
        <f>IF(PDI10="Bovis","Attention retirer 2 mm aux dimensions transmises",0)</f>
        <v>0</v>
      </c>
      <c r="PDF26" s="1100"/>
      <c r="PDG26" s="1100"/>
      <c r="PDH26" s="1101"/>
      <c r="PDI26" s="1110">
        <f>IF(PDM10="Bovis","Attention retirer 2 mm aux dimensions transmises",0)</f>
        <v>0</v>
      </c>
      <c r="PDJ26" s="1100"/>
      <c r="PDK26" s="1100"/>
      <c r="PDL26" s="1101"/>
      <c r="PDM26" s="1110">
        <f>IF(PDQ10="Bovis","Attention retirer 2 mm aux dimensions transmises",0)</f>
        <v>0</v>
      </c>
      <c r="PDN26" s="1100"/>
      <c r="PDO26" s="1100"/>
      <c r="PDP26" s="1101"/>
      <c r="PDQ26" s="1110">
        <f>IF(PDU10="Bovis","Attention retirer 2 mm aux dimensions transmises",0)</f>
        <v>0</v>
      </c>
      <c r="PDR26" s="1100"/>
      <c r="PDS26" s="1100"/>
      <c r="PDT26" s="1101"/>
      <c r="PDU26" s="1110">
        <f>IF(PDY10="Bovis","Attention retirer 2 mm aux dimensions transmises",0)</f>
        <v>0</v>
      </c>
      <c r="PDV26" s="1100"/>
      <c r="PDW26" s="1100"/>
      <c r="PDX26" s="1101"/>
      <c r="PDY26" s="1110">
        <f>IF(PEC10="Bovis","Attention retirer 2 mm aux dimensions transmises",0)</f>
        <v>0</v>
      </c>
      <c r="PDZ26" s="1100"/>
      <c r="PEA26" s="1100"/>
      <c r="PEB26" s="1101"/>
      <c r="PEC26" s="1110">
        <f>IF(PEG10="Bovis","Attention retirer 2 mm aux dimensions transmises",0)</f>
        <v>0</v>
      </c>
      <c r="PED26" s="1100"/>
      <c r="PEE26" s="1100"/>
      <c r="PEF26" s="1101"/>
      <c r="PEG26" s="1110">
        <f>IF(PEK10="Bovis","Attention retirer 2 mm aux dimensions transmises",0)</f>
        <v>0</v>
      </c>
      <c r="PEH26" s="1100"/>
      <c r="PEI26" s="1100"/>
      <c r="PEJ26" s="1101"/>
      <c r="PEK26" s="1110">
        <f>IF(PEO10="Bovis","Attention retirer 2 mm aux dimensions transmises",0)</f>
        <v>0</v>
      </c>
      <c r="PEL26" s="1100"/>
      <c r="PEM26" s="1100"/>
      <c r="PEN26" s="1101"/>
      <c r="PEO26" s="1110">
        <f>IF(PES10="Bovis","Attention retirer 2 mm aux dimensions transmises",0)</f>
        <v>0</v>
      </c>
      <c r="PEP26" s="1100"/>
      <c r="PEQ26" s="1100"/>
      <c r="PER26" s="1101"/>
      <c r="PES26" s="1110">
        <f>IF(PEW10="Bovis","Attention retirer 2 mm aux dimensions transmises",0)</f>
        <v>0</v>
      </c>
      <c r="PET26" s="1100"/>
      <c r="PEU26" s="1100"/>
      <c r="PEV26" s="1101"/>
      <c r="PEW26" s="1110">
        <f>IF(PFA10="Bovis","Attention retirer 2 mm aux dimensions transmises",0)</f>
        <v>0</v>
      </c>
      <c r="PEX26" s="1100"/>
      <c r="PEY26" s="1100"/>
      <c r="PEZ26" s="1101"/>
      <c r="PFA26" s="1110">
        <f>IF(PFE10="Bovis","Attention retirer 2 mm aux dimensions transmises",0)</f>
        <v>0</v>
      </c>
      <c r="PFB26" s="1100"/>
      <c r="PFC26" s="1100"/>
      <c r="PFD26" s="1101"/>
      <c r="PFE26" s="1110">
        <f>IF(PFI10="Bovis","Attention retirer 2 mm aux dimensions transmises",0)</f>
        <v>0</v>
      </c>
      <c r="PFF26" s="1100"/>
      <c r="PFG26" s="1100"/>
      <c r="PFH26" s="1101"/>
      <c r="PFI26" s="1110">
        <f>IF(PFM10="Bovis","Attention retirer 2 mm aux dimensions transmises",0)</f>
        <v>0</v>
      </c>
      <c r="PFJ26" s="1100"/>
      <c r="PFK26" s="1100"/>
      <c r="PFL26" s="1101"/>
      <c r="PFM26" s="1110">
        <f>IF(PFQ10="Bovis","Attention retirer 2 mm aux dimensions transmises",0)</f>
        <v>0</v>
      </c>
      <c r="PFN26" s="1100"/>
      <c r="PFO26" s="1100"/>
      <c r="PFP26" s="1101"/>
      <c r="PFQ26" s="1110">
        <f>IF(PFU10="Bovis","Attention retirer 2 mm aux dimensions transmises",0)</f>
        <v>0</v>
      </c>
      <c r="PFR26" s="1100"/>
      <c r="PFS26" s="1100"/>
      <c r="PFT26" s="1101"/>
      <c r="PFU26" s="1110">
        <f>IF(PFY10="Bovis","Attention retirer 2 mm aux dimensions transmises",0)</f>
        <v>0</v>
      </c>
      <c r="PFV26" s="1100"/>
      <c r="PFW26" s="1100"/>
      <c r="PFX26" s="1101"/>
      <c r="PFY26" s="1110">
        <f>IF(PGC10="Bovis","Attention retirer 2 mm aux dimensions transmises",0)</f>
        <v>0</v>
      </c>
      <c r="PFZ26" s="1100"/>
      <c r="PGA26" s="1100"/>
      <c r="PGB26" s="1101"/>
      <c r="PGC26" s="1110">
        <f>IF(PGG10="Bovis","Attention retirer 2 mm aux dimensions transmises",0)</f>
        <v>0</v>
      </c>
      <c r="PGD26" s="1100"/>
      <c r="PGE26" s="1100"/>
      <c r="PGF26" s="1101"/>
      <c r="PGG26" s="1110">
        <f>IF(PGK10="Bovis","Attention retirer 2 mm aux dimensions transmises",0)</f>
        <v>0</v>
      </c>
      <c r="PGH26" s="1100"/>
      <c r="PGI26" s="1100"/>
      <c r="PGJ26" s="1101"/>
      <c r="PGK26" s="1110">
        <f>IF(PGO10="Bovis","Attention retirer 2 mm aux dimensions transmises",0)</f>
        <v>0</v>
      </c>
      <c r="PGL26" s="1100"/>
      <c r="PGM26" s="1100"/>
      <c r="PGN26" s="1101"/>
      <c r="PGO26" s="1110">
        <f>IF(PGS10="Bovis","Attention retirer 2 mm aux dimensions transmises",0)</f>
        <v>0</v>
      </c>
      <c r="PGP26" s="1100"/>
      <c r="PGQ26" s="1100"/>
      <c r="PGR26" s="1101"/>
      <c r="PGS26" s="1110">
        <f>IF(PGW10="Bovis","Attention retirer 2 mm aux dimensions transmises",0)</f>
        <v>0</v>
      </c>
      <c r="PGT26" s="1100"/>
      <c r="PGU26" s="1100"/>
      <c r="PGV26" s="1101"/>
      <c r="PGW26" s="1110">
        <f>IF(PHA10="Bovis","Attention retirer 2 mm aux dimensions transmises",0)</f>
        <v>0</v>
      </c>
      <c r="PGX26" s="1100"/>
      <c r="PGY26" s="1100"/>
      <c r="PGZ26" s="1101"/>
      <c r="PHA26" s="1110">
        <f>IF(PHE10="Bovis","Attention retirer 2 mm aux dimensions transmises",0)</f>
        <v>0</v>
      </c>
      <c r="PHB26" s="1100"/>
      <c r="PHC26" s="1100"/>
      <c r="PHD26" s="1101"/>
      <c r="PHE26" s="1110">
        <f>IF(PHI10="Bovis","Attention retirer 2 mm aux dimensions transmises",0)</f>
        <v>0</v>
      </c>
      <c r="PHF26" s="1100"/>
      <c r="PHG26" s="1100"/>
      <c r="PHH26" s="1101"/>
      <c r="PHI26" s="1110">
        <f>IF(PHM10="Bovis","Attention retirer 2 mm aux dimensions transmises",0)</f>
        <v>0</v>
      </c>
      <c r="PHJ26" s="1100"/>
      <c r="PHK26" s="1100"/>
      <c r="PHL26" s="1101"/>
      <c r="PHM26" s="1110">
        <f>IF(PHQ10="Bovis","Attention retirer 2 mm aux dimensions transmises",0)</f>
        <v>0</v>
      </c>
      <c r="PHN26" s="1100"/>
      <c r="PHO26" s="1100"/>
      <c r="PHP26" s="1101"/>
      <c r="PHQ26" s="1110">
        <f>IF(PHU10="Bovis","Attention retirer 2 mm aux dimensions transmises",0)</f>
        <v>0</v>
      </c>
      <c r="PHR26" s="1100"/>
      <c r="PHS26" s="1100"/>
      <c r="PHT26" s="1101"/>
      <c r="PHU26" s="1110">
        <f>IF(PHY10="Bovis","Attention retirer 2 mm aux dimensions transmises",0)</f>
        <v>0</v>
      </c>
      <c r="PHV26" s="1100"/>
      <c r="PHW26" s="1100"/>
      <c r="PHX26" s="1101"/>
      <c r="PHY26" s="1110">
        <f>IF(PIC10="Bovis","Attention retirer 2 mm aux dimensions transmises",0)</f>
        <v>0</v>
      </c>
      <c r="PHZ26" s="1100"/>
      <c r="PIA26" s="1100"/>
      <c r="PIB26" s="1101"/>
      <c r="PIC26" s="1110">
        <f>IF(PIG10="Bovis","Attention retirer 2 mm aux dimensions transmises",0)</f>
        <v>0</v>
      </c>
      <c r="PID26" s="1100"/>
      <c r="PIE26" s="1100"/>
      <c r="PIF26" s="1101"/>
      <c r="PIG26" s="1110">
        <f>IF(PIK10="Bovis","Attention retirer 2 mm aux dimensions transmises",0)</f>
        <v>0</v>
      </c>
      <c r="PIH26" s="1100"/>
      <c r="PII26" s="1100"/>
      <c r="PIJ26" s="1101"/>
      <c r="PIK26" s="1110">
        <f>IF(PIO10="Bovis","Attention retirer 2 mm aux dimensions transmises",0)</f>
        <v>0</v>
      </c>
      <c r="PIL26" s="1100"/>
      <c r="PIM26" s="1100"/>
      <c r="PIN26" s="1101"/>
      <c r="PIO26" s="1110">
        <f>IF(PIS10="Bovis","Attention retirer 2 mm aux dimensions transmises",0)</f>
        <v>0</v>
      </c>
      <c r="PIP26" s="1100"/>
      <c r="PIQ26" s="1100"/>
      <c r="PIR26" s="1101"/>
      <c r="PIS26" s="1110">
        <f>IF(PIW10="Bovis","Attention retirer 2 mm aux dimensions transmises",0)</f>
        <v>0</v>
      </c>
      <c r="PIT26" s="1100"/>
      <c r="PIU26" s="1100"/>
      <c r="PIV26" s="1101"/>
      <c r="PIW26" s="1110">
        <f>IF(PJA10="Bovis","Attention retirer 2 mm aux dimensions transmises",0)</f>
        <v>0</v>
      </c>
      <c r="PIX26" s="1100"/>
      <c r="PIY26" s="1100"/>
      <c r="PIZ26" s="1101"/>
      <c r="PJA26" s="1110">
        <f>IF(PJE10="Bovis","Attention retirer 2 mm aux dimensions transmises",0)</f>
        <v>0</v>
      </c>
      <c r="PJB26" s="1100"/>
      <c r="PJC26" s="1100"/>
      <c r="PJD26" s="1101"/>
      <c r="PJE26" s="1110">
        <f>IF(PJI10="Bovis","Attention retirer 2 mm aux dimensions transmises",0)</f>
        <v>0</v>
      </c>
      <c r="PJF26" s="1100"/>
      <c r="PJG26" s="1100"/>
      <c r="PJH26" s="1101"/>
      <c r="PJI26" s="1110">
        <f>IF(PJM10="Bovis","Attention retirer 2 mm aux dimensions transmises",0)</f>
        <v>0</v>
      </c>
      <c r="PJJ26" s="1100"/>
      <c r="PJK26" s="1100"/>
      <c r="PJL26" s="1101"/>
      <c r="PJM26" s="1110">
        <f>IF(PJQ10="Bovis","Attention retirer 2 mm aux dimensions transmises",0)</f>
        <v>0</v>
      </c>
      <c r="PJN26" s="1100"/>
      <c r="PJO26" s="1100"/>
      <c r="PJP26" s="1101"/>
      <c r="PJQ26" s="1110">
        <f>IF(PJU10="Bovis","Attention retirer 2 mm aux dimensions transmises",0)</f>
        <v>0</v>
      </c>
      <c r="PJR26" s="1100"/>
      <c r="PJS26" s="1100"/>
      <c r="PJT26" s="1101"/>
      <c r="PJU26" s="1110">
        <f>IF(PJY10="Bovis","Attention retirer 2 mm aux dimensions transmises",0)</f>
        <v>0</v>
      </c>
      <c r="PJV26" s="1100"/>
      <c r="PJW26" s="1100"/>
      <c r="PJX26" s="1101"/>
      <c r="PJY26" s="1110">
        <f>IF(PKC10="Bovis","Attention retirer 2 mm aux dimensions transmises",0)</f>
        <v>0</v>
      </c>
      <c r="PJZ26" s="1100"/>
      <c r="PKA26" s="1100"/>
      <c r="PKB26" s="1101"/>
      <c r="PKC26" s="1110">
        <f>IF(PKG10="Bovis","Attention retirer 2 mm aux dimensions transmises",0)</f>
        <v>0</v>
      </c>
      <c r="PKD26" s="1100"/>
      <c r="PKE26" s="1100"/>
      <c r="PKF26" s="1101"/>
      <c r="PKG26" s="1110">
        <f>IF(PKK10="Bovis","Attention retirer 2 mm aux dimensions transmises",0)</f>
        <v>0</v>
      </c>
      <c r="PKH26" s="1100"/>
      <c r="PKI26" s="1100"/>
      <c r="PKJ26" s="1101"/>
      <c r="PKK26" s="1110">
        <f>IF(PKO10="Bovis","Attention retirer 2 mm aux dimensions transmises",0)</f>
        <v>0</v>
      </c>
      <c r="PKL26" s="1100"/>
      <c r="PKM26" s="1100"/>
      <c r="PKN26" s="1101"/>
      <c r="PKO26" s="1110">
        <f>IF(PKS10="Bovis","Attention retirer 2 mm aux dimensions transmises",0)</f>
        <v>0</v>
      </c>
      <c r="PKP26" s="1100"/>
      <c r="PKQ26" s="1100"/>
      <c r="PKR26" s="1101"/>
      <c r="PKS26" s="1110">
        <f>IF(PKW10="Bovis","Attention retirer 2 mm aux dimensions transmises",0)</f>
        <v>0</v>
      </c>
      <c r="PKT26" s="1100"/>
      <c r="PKU26" s="1100"/>
      <c r="PKV26" s="1101"/>
      <c r="PKW26" s="1110">
        <f>IF(PLA10="Bovis","Attention retirer 2 mm aux dimensions transmises",0)</f>
        <v>0</v>
      </c>
      <c r="PKX26" s="1100"/>
      <c r="PKY26" s="1100"/>
      <c r="PKZ26" s="1101"/>
      <c r="PLA26" s="1110">
        <f>IF(PLE10="Bovis","Attention retirer 2 mm aux dimensions transmises",0)</f>
        <v>0</v>
      </c>
      <c r="PLB26" s="1100"/>
      <c r="PLC26" s="1100"/>
      <c r="PLD26" s="1101"/>
      <c r="PLE26" s="1110">
        <f>IF(PLI10="Bovis","Attention retirer 2 mm aux dimensions transmises",0)</f>
        <v>0</v>
      </c>
      <c r="PLF26" s="1100"/>
      <c r="PLG26" s="1100"/>
      <c r="PLH26" s="1101"/>
      <c r="PLI26" s="1110">
        <f>IF(PLM10="Bovis","Attention retirer 2 mm aux dimensions transmises",0)</f>
        <v>0</v>
      </c>
      <c r="PLJ26" s="1100"/>
      <c r="PLK26" s="1100"/>
      <c r="PLL26" s="1101"/>
      <c r="PLM26" s="1110">
        <f>IF(PLQ10="Bovis","Attention retirer 2 mm aux dimensions transmises",0)</f>
        <v>0</v>
      </c>
      <c r="PLN26" s="1100"/>
      <c r="PLO26" s="1100"/>
      <c r="PLP26" s="1101"/>
      <c r="PLQ26" s="1110">
        <f>IF(PLU10="Bovis","Attention retirer 2 mm aux dimensions transmises",0)</f>
        <v>0</v>
      </c>
      <c r="PLR26" s="1100"/>
      <c r="PLS26" s="1100"/>
      <c r="PLT26" s="1101"/>
      <c r="PLU26" s="1110">
        <f>IF(PLY10="Bovis","Attention retirer 2 mm aux dimensions transmises",0)</f>
        <v>0</v>
      </c>
      <c r="PLV26" s="1100"/>
      <c r="PLW26" s="1100"/>
      <c r="PLX26" s="1101"/>
      <c r="PLY26" s="1110">
        <f>IF(PMC10="Bovis","Attention retirer 2 mm aux dimensions transmises",0)</f>
        <v>0</v>
      </c>
      <c r="PLZ26" s="1100"/>
      <c r="PMA26" s="1100"/>
      <c r="PMB26" s="1101"/>
      <c r="PMC26" s="1110">
        <f>IF(PMG10="Bovis","Attention retirer 2 mm aux dimensions transmises",0)</f>
        <v>0</v>
      </c>
      <c r="PMD26" s="1100"/>
      <c r="PME26" s="1100"/>
      <c r="PMF26" s="1101"/>
      <c r="PMG26" s="1110">
        <f>IF(PMK10="Bovis","Attention retirer 2 mm aux dimensions transmises",0)</f>
        <v>0</v>
      </c>
      <c r="PMH26" s="1100"/>
      <c r="PMI26" s="1100"/>
      <c r="PMJ26" s="1101"/>
      <c r="PMK26" s="1110">
        <f>IF(PMO10="Bovis","Attention retirer 2 mm aux dimensions transmises",0)</f>
        <v>0</v>
      </c>
      <c r="PML26" s="1100"/>
      <c r="PMM26" s="1100"/>
      <c r="PMN26" s="1101"/>
      <c r="PMO26" s="1110">
        <f>IF(PMS10="Bovis","Attention retirer 2 mm aux dimensions transmises",0)</f>
        <v>0</v>
      </c>
      <c r="PMP26" s="1100"/>
      <c r="PMQ26" s="1100"/>
      <c r="PMR26" s="1101"/>
      <c r="PMS26" s="1110">
        <f>IF(PMW10="Bovis","Attention retirer 2 mm aux dimensions transmises",0)</f>
        <v>0</v>
      </c>
      <c r="PMT26" s="1100"/>
      <c r="PMU26" s="1100"/>
      <c r="PMV26" s="1101"/>
      <c r="PMW26" s="1110">
        <f>IF(PNA10="Bovis","Attention retirer 2 mm aux dimensions transmises",0)</f>
        <v>0</v>
      </c>
      <c r="PMX26" s="1100"/>
      <c r="PMY26" s="1100"/>
      <c r="PMZ26" s="1101"/>
      <c r="PNA26" s="1110">
        <f>IF(PNE10="Bovis","Attention retirer 2 mm aux dimensions transmises",0)</f>
        <v>0</v>
      </c>
      <c r="PNB26" s="1100"/>
      <c r="PNC26" s="1100"/>
      <c r="PND26" s="1101"/>
      <c r="PNE26" s="1110">
        <f>IF(PNI10="Bovis","Attention retirer 2 mm aux dimensions transmises",0)</f>
        <v>0</v>
      </c>
      <c r="PNF26" s="1100"/>
      <c r="PNG26" s="1100"/>
      <c r="PNH26" s="1101"/>
      <c r="PNI26" s="1110">
        <f>IF(PNM10="Bovis","Attention retirer 2 mm aux dimensions transmises",0)</f>
        <v>0</v>
      </c>
      <c r="PNJ26" s="1100"/>
      <c r="PNK26" s="1100"/>
      <c r="PNL26" s="1101"/>
      <c r="PNM26" s="1110">
        <f>IF(PNQ10="Bovis","Attention retirer 2 mm aux dimensions transmises",0)</f>
        <v>0</v>
      </c>
      <c r="PNN26" s="1100"/>
      <c r="PNO26" s="1100"/>
      <c r="PNP26" s="1101"/>
      <c r="PNQ26" s="1110">
        <f>IF(PNU10="Bovis","Attention retirer 2 mm aux dimensions transmises",0)</f>
        <v>0</v>
      </c>
      <c r="PNR26" s="1100"/>
      <c r="PNS26" s="1100"/>
      <c r="PNT26" s="1101"/>
      <c r="PNU26" s="1110">
        <f>IF(PNY10="Bovis","Attention retirer 2 mm aux dimensions transmises",0)</f>
        <v>0</v>
      </c>
      <c r="PNV26" s="1100"/>
      <c r="PNW26" s="1100"/>
      <c r="PNX26" s="1101"/>
      <c r="PNY26" s="1110">
        <f>IF(POC10="Bovis","Attention retirer 2 mm aux dimensions transmises",0)</f>
        <v>0</v>
      </c>
      <c r="PNZ26" s="1100"/>
      <c r="POA26" s="1100"/>
      <c r="POB26" s="1101"/>
      <c r="POC26" s="1110">
        <f>IF(POG10="Bovis","Attention retirer 2 mm aux dimensions transmises",0)</f>
        <v>0</v>
      </c>
      <c r="POD26" s="1100"/>
      <c r="POE26" s="1100"/>
      <c r="POF26" s="1101"/>
      <c r="POG26" s="1110">
        <f>IF(POK10="Bovis","Attention retirer 2 mm aux dimensions transmises",0)</f>
        <v>0</v>
      </c>
      <c r="POH26" s="1100"/>
      <c r="POI26" s="1100"/>
      <c r="POJ26" s="1101"/>
      <c r="POK26" s="1110">
        <f>IF(POO10="Bovis","Attention retirer 2 mm aux dimensions transmises",0)</f>
        <v>0</v>
      </c>
      <c r="POL26" s="1100"/>
      <c r="POM26" s="1100"/>
      <c r="PON26" s="1101"/>
      <c r="POO26" s="1110">
        <f>IF(POS10="Bovis","Attention retirer 2 mm aux dimensions transmises",0)</f>
        <v>0</v>
      </c>
      <c r="POP26" s="1100"/>
      <c r="POQ26" s="1100"/>
      <c r="POR26" s="1101"/>
      <c r="POS26" s="1110">
        <f>IF(POW10="Bovis","Attention retirer 2 mm aux dimensions transmises",0)</f>
        <v>0</v>
      </c>
      <c r="POT26" s="1100"/>
      <c r="POU26" s="1100"/>
      <c r="POV26" s="1101"/>
      <c r="POW26" s="1110">
        <f>IF(PPA10="Bovis","Attention retirer 2 mm aux dimensions transmises",0)</f>
        <v>0</v>
      </c>
      <c r="POX26" s="1100"/>
      <c r="POY26" s="1100"/>
      <c r="POZ26" s="1101"/>
      <c r="PPA26" s="1110">
        <f>IF(PPE10="Bovis","Attention retirer 2 mm aux dimensions transmises",0)</f>
        <v>0</v>
      </c>
      <c r="PPB26" s="1100"/>
      <c r="PPC26" s="1100"/>
      <c r="PPD26" s="1101"/>
      <c r="PPE26" s="1110">
        <f>IF(PPI10="Bovis","Attention retirer 2 mm aux dimensions transmises",0)</f>
        <v>0</v>
      </c>
      <c r="PPF26" s="1100"/>
      <c r="PPG26" s="1100"/>
      <c r="PPH26" s="1101"/>
      <c r="PPI26" s="1110">
        <f>IF(PPM10="Bovis","Attention retirer 2 mm aux dimensions transmises",0)</f>
        <v>0</v>
      </c>
      <c r="PPJ26" s="1100"/>
      <c r="PPK26" s="1100"/>
      <c r="PPL26" s="1101"/>
      <c r="PPM26" s="1110">
        <f>IF(PPQ10="Bovis","Attention retirer 2 mm aux dimensions transmises",0)</f>
        <v>0</v>
      </c>
      <c r="PPN26" s="1100"/>
      <c r="PPO26" s="1100"/>
      <c r="PPP26" s="1101"/>
      <c r="PPQ26" s="1110">
        <f>IF(PPU10="Bovis","Attention retirer 2 mm aux dimensions transmises",0)</f>
        <v>0</v>
      </c>
      <c r="PPR26" s="1100"/>
      <c r="PPS26" s="1100"/>
      <c r="PPT26" s="1101"/>
      <c r="PPU26" s="1110">
        <f>IF(PPY10="Bovis","Attention retirer 2 mm aux dimensions transmises",0)</f>
        <v>0</v>
      </c>
      <c r="PPV26" s="1100"/>
      <c r="PPW26" s="1100"/>
      <c r="PPX26" s="1101"/>
      <c r="PPY26" s="1110">
        <f>IF(PQC10="Bovis","Attention retirer 2 mm aux dimensions transmises",0)</f>
        <v>0</v>
      </c>
      <c r="PPZ26" s="1100"/>
      <c r="PQA26" s="1100"/>
      <c r="PQB26" s="1101"/>
      <c r="PQC26" s="1110">
        <f>IF(PQG10="Bovis","Attention retirer 2 mm aux dimensions transmises",0)</f>
        <v>0</v>
      </c>
      <c r="PQD26" s="1100"/>
      <c r="PQE26" s="1100"/>
      <c r="PQF26" s="1101"/>
      <c r="PQG26" s="1110">
        <f>IF(PQK10="Bovis","Attention retirer 2 mm aux dimensions transmises",0)</f>
        <v>0</v>
      </c>
      <c r="PQH26" s="1100"/>
      <c r="PQI26" s="1100"/>
      <c r="PQJ26" s="1101"/>
      <c r="PQK26" s="1110">
        <f>IF(PQO10="Bovis","Attention retirer 2 mm aux dimensions transmises",0)</f>
        <v>0</v>
      </c>
      <c r="PQL26" s="1100"/>
      <c r="PQM26" s="1100"/>
      <c r="PQN26" s="1101"/>
      <c r="PQO26" s="1110">
        <f>IF(PQS10="Bovis","Attention retirer 2 mm aux dimensions transmises",0)</f>
        <v>0</v>
      </c>
      <c r="PQP26" s="1100"/>
      <c r="PQQ26" s="1100"/>
      <c r="PQR26" s="1101"/>
      <c r="PQS26" s="1110">
        <f>IF(PQW10="Bovis","Attention retirer 2 mm aux dimensions transmises",0)</f>
        <v>0</v>
      </c>
      <c r="PQT26" s="1100"/>
      <c r="PQU26" s="1100"/>
      <c r="PQV26" s="1101"/>
      <c r="PQW26" s="1110">
        <f>IF(PRA10="Bovis","Attention retirer 2 mm aux dimensions transmises",0)</f>
        <v>0</v>
      </c>
      <c r="PQX26" s="1100"/>
      <c r="PQY26" s="1100"/>
      <c r="PQZ26" s="1101"/>
      <c r="PRA26" s="1110">
        <f>IF(PRE10="Bovis","Attention retirer 2 mm aux dimensions transmises",0)</f>
        <v>0</v>
      </c>
      <c r="PRB26" s="1100"/>
      <c r="PRC26" s="1100"/>
      <c r="PRD26" s="1101"/>
      <c r="PRE26" s="1110">
        <f>IF(PRI10="Bovis","Attention retirer 2 mm aux dimensions transmises",0)</f>
        <v>0</v>
      </c>
      <c r="PRF26" s="1100"/>
      <c r="PRG26" s="1100"/>
      <c r="PRH26" s="1101"/>
      <c r="PRI26" s="1110">
        <f>IF(PRM10="Bovis","Attention retirer 2 mm aux dimensions transmises",0)</f>
        <v>0</v>
      </c>
      <c r="PRJ26" s="1100"/>
      <c r="PRK26" s="1100"/>
      <c r="PRL26" s="1101"/>
      <c r="PRM26" s="1110">
        <f>IF(PRQ10="Bovis","Attention retirer 2 mm aux dimensions transmises",0)</f>
        <v>0</v>
      </c>
      <c r="PRN26" s="1100"/>
      <c r="PRO26" s="1100"/>
      <c r="PRP26" s="1101"/>
      <c r="PRQ26" s="1110">
        <f>IF(PRU10="Bovis","Attention retirer 2 mm aux dimensions transmises",0)</f>
        <v>0</v>
      </c>
      <c r="PRR26" s="1100"/>
      <c r="PRS26" s="1100"/>
      <c r="PRT26" s="1101"/>
      <c r="PRU26" s="1110">
        <f>IF(PRY10="Bovis","Attention retirer 2 mm aux dimensions transmises",0)</f>
        <v>0</v>
      </c>
      <c r="PRV26" s="1100"/>
      <c r="PRW26" s="1100"/>
      <c r="PRX26" s="1101"/>
      <c r="PRY26" s="1110">
        <f>IF(PSC10="Bovis","Attention retirer 2 mm aux dimensions transmises",0)</f>
        <v>0</v>
      </c>
      <c r="PRZ26" s="1100"/>
      <c r="PSA26" s="1100"/>
      <c r="PSB26" s="1101"/>
      <c r="PSC26" s="1110">
        <f>IF(PSG10="Bovis","Attention retirer 2 mm aux dimensions transmises",0)</f>
        <v>0</v>
      </c>
      <c r="PSD26" s="1100"/>
      <c r="PSE26" s="1100"/>
      <c r="PSF26" s="1101"/>
      <c r="PSG26" s="1110">
        <f>IF(PSK10="Bovis","Attention retirer 2 mm aux dimensions transmises",0)</f>
        <v>0</v>
      </c>
      <c r="PSH26" s="1100"/>
      <c r="PSI26" s="1100"/>
      <c r="PSJ26" s="1101"/>
      <c r="PSK26" s="1110">
        <f>IF(PSO10="Bovis","Attention retirer 2 mm aux dimensions transmises",0)</f>
        <v>0</v>
      </c>
      <c r="PSL26" s="1100"/>
      <c r="PSM26" s="1100"/>
      <c r="PSN26" s="1101"/>
      <c r="PSO26" s="1110">
        <f>IF(PSS10="Bovis","Attention retirer 2 mm aux dimensions transmises",0)</f>
        <v>0</v>
      </c>
      <c r="PSP26" s="1100"/>
      <c r="PSQ26" s="1100"/>
      <c r="PSR26" s="1101"/>
      <c r="PSS26" s="1110">
        <f>IF(PSW10="Bovis","Attention retirer 2 mm aux dimensions transmises",0)</f>
        <v>0</v>
      </c>
      <c r="PST26" s="1100"/>
      <c r="PSU26" s="1100"/>
      <c r="PSV26" s="1101"/>
      <c r="PSW26" s="1110">
        <f>IF(PTA10="Bovis","Attention retirer 2 mm aux dimensions transmises",0)</f>
        <v>0</v>
      </c>
      <c r="PSX26" s="1100"/>
      <c r="PSY26" s="1100"/>
      <c r="PSZ26" s="1101"/>
      <c r="PTA26" s="1110">
        <f>IF(PTE10="Bovis","Attention retirer 2 mm aux dimensions transmises",0)</f>
        <v>0</v>
      </c>
      <c r="PTB26" s="1100"/>
      <c r="PTC26" s="1100"/>
      <c r="PTD26" s="1101"/>
      <c r="PTE26" s="1110">
        <f>IF(PTI10="Bovis","Attention retirer 2 mm aux dimensions transmises",0)</f>
        <v>0</v>
      </c>
      <c r="PTF26" s="1100"/>
      <c r="PTG26" s="1100"/>
      <c r="PTH26" s="1101"/>
      <c r="PTI26" s="1110">
        <f>IF(PTM10="Bovis","Attention retirer 2 mm aux dimensions transmises",0)</f>
        <v>0</v>
      </c>
      <c r="PTJ26" s="1100"/>
      <c r="PTK26" s="1100"/>
      <c r="PTL26" s="1101"/>
      <c r="PTM26" s="1110">
        <f>IF(PTQ10="Bovis","Attention retirer 2 mm aux dimensions transmises",0)</f>
        <v>0</v>
      </c>
      <c r="PTN26" s="1100"/>
      <c r="PTO26" s="1100"/>
      <c r="PTP26" s="1101"/>
      <c r="PTQ26" s="1110">
        <f>IF(PTU10="Bovis","Attention retirer 2 mm aux dimensions transmises",0)</f>
        <v>0</v>
      </c>
      <c r="PTR26" s="1100"/>
      <c r="PTS26" s="1100"/>
      <c r="PTT26" s="1101"/>
      <c r="PTU26" s="1110">
        <f>IF(PTY10="Bovis","Attention retirer 2 mm aux dimensions transmises",0)</f>
        <v>0</v>
      </c>
      <c r="PTV26" s="1100"/>
      <c r="PTW26" s="1100"/>
      <c r="PTX26" s="1101"/>
      <c r="PTY26" s="1110">
        <f>IF(PUC10="Bovis","Attention retirer 2 mm aux dimensions transmises",0)</f>
        <v>0</v>
      </c>
      <c r="PTZ26" s="1100"/>
      <c r="PUA26" s="1100"/>
      <c r="PUB26" s="1101"/>
      <c r="PUC26" s="1110">
        <f>IF(PUG10="Bovis","Attention retirer 2 mm aux dimensions transmises",0)</f>
        <v>0</v>
      </c>
      <c r="PUD26" s="1100"/>
      <c r="PUE26" s="1100"/>
      <c r="PUF26" s="1101"/>
      <c r="PUG26" s="1110">
        <f>IF(PUK10="Bovis","Attention retirer 2 mm aux dimensions transmises",0)</f>
        <v>0</v>
      </c>
      <c r="PUH26" s="1100"/>
      <c r="PUI26" s="1100"/>
      <c r="PUJ26" s="1101"/>
      <c r="PUK26" s="1110">
        <f>IF(PUO10="Bovis","Attention retirer 2 mm aux dimensions transmises",0)</f>
        <v>0</v>
      </c>
      <c r="PUL26" s="1100"/>
      <c r="PUM26" s="1100"/>
      <c r="PUN26" s="1101"/>
      <c r="PUO26" s="1110">
        <f>IF(PUS10="Bovis","Attention retirer 2 mm aux dimensions transmises",0)</f>
        <v>0</v>
      </c>
      <c r="PUP26" s="1100"/>
      <c r="PUQ26" s="1100"/>
      <c r="PUR26" s="1101"/>
      <c r="PUS26" s="1110">
        <f>IF(PUW10="Bovis","Attention retirer 2 mm aux dimensions transmises",0)</f>
        <v>0</v>
      </c>
      <c r="PUT26" s="1100"/>
      <c r="PUU26" s="1100"/>
      <c r="PUV26" s="1101"/>
      <c r="PUW26" s="1110">
        <f>IF(PVA10="Bovis","Attention retirer 2 mm aux dimensions transmises",0)</f>
        <v>0</v>
      </c>
      <c r="PUX26" s="1100"/>
      <c r="PUY26" s="1100"/>
      <c r="PUZ26" s="1101"/>
      <c r="PVA26" s="1110">
        <f>IF(PVE10="Bovis","Attention retirer 2 mm aux dimensions transmises",0)</f>
        <v>0</v>
      </c>
      <c r="PVB26" s="1100"/>
      <c r="PVC26" s="1100"/>
      <c r="PVD26" s="1101"/>
      <c r="PVE26" s="1110">
        <f>IF(PVI10="Bovis","Attention retirer 2 mm aux dimensions transmises",0)</f>
        <v>0</v>
      </c>
      <c r="PVF26" s="1100"/>
      <c r="PVG26" s="1100"/>
      <c r="PVH26" s="1101"/>
      <c r="PVI26" s="1110">
        <f>IF(PVM10="Bovis","Attention retirer 2 mm aux dimensions transmises",0)</f>
        <v>0</v>
      </c>
      <c r="PVJ26" s="1100"/>
      <c r="PVK26" s="1100"/>
      <c r="PVL26" s="1101"/>
      <c r="PVM26" s="1110">
        <f>IF(PVQ10="Bovis","Attention retirer 2 mm aux dimensions transmises",0)</f>
        <v>0</v>
      </c>
      <c r="PVN26" s="1100"/>
      <c r="PVO26" s="1100"/>
      <c r="PVP26" s="1101"/>
      <c r="PVQ26" s="1110">
        <f>IF(PVU10="Bovis","Attention retirer 2 mm aux dimensions transmises",0)</f>
        <v>0</v>
      </c>
      <c r="PVR26" s="1100"/>
      <c r="PVS26" s="1100"/>
      <c r="PVT26" s="1101"/>
      <c r="PVU26" s="1110">
        <f>IF(PVY10="Bovis","Attention retirer 2 mm aux dimensions transmises",0)</f>
        <v>0</v>
      </c>
      <c r="PVV26" s="1100"/>
      <c r="PVW26" s="1100"/>
      <c r="PVX26" s="1101"/>
      <c r="PVY26" s="1110">
        <f>IF(PWC10="Bovis","Attention retirer 2 mm aux dimensions transmises",0)</f>
        <v>0</v>
      </c>
      <c r="PVZ26" s="1100"/>
      <c r="PWA26" s="1100"/>
      <c r="PWB26" s="1101"/>
      <c r="PWC26" s="1110">
        <f>IF(PWG10="Bovis","Attention retirer 2 mm aux dimensions transmises",0)</f>
        <v>0</v>
      </c>
      <c r="PWD26" s="1100"/>
      <c r="PWE26" s="1100"/>
      <c r="PWF26" s="1101"/>
      <c r="PWG26" s="1110">
        <f>IF(PWK10="Bovis","Attention retirer 2 mm aux dimensions transmises",0)</f>
        <v>0</v>
      </c>
      <c r="PWH26" s="1100"/>
      <c r="PWI26" s="1100"/>
      <c r="PWJ26" s="1101"/>
      <c r="PWK26" s="1110">
        <f>IF(PWO10="Bovis","Attention retirer 2 mm aux dimensions transmises",0)</f>
        <v>0</v>
      </c>
      <c r="PWL26" s="1100"/>
      <c r="PWM26" s="1100"/>
      <c r="PWN26" s="1101"/>
      <c r="PWO26" s="1110">
        <f>IF(PWS10="Bovis","Attention retirer 2 mm aux dimensions transmises",0)</f>
        <v>0</v>
      </c>
      <c r="PWP26" s="1100"/>
      <c r="PWQ26" s="1100"/>
      <c r="PWR26" s="1101"/>
      <c r="PWS26" s="1110">
        <f>IF(PWW10="Bovis","Attention retirer 2 mm aux dimensions transmises",0)</f>
        <v>0</v>
      </c>
      <c r="PWT26" s="1100"/>
      <c r="PWU26" s="1100"/>
      <c r="PWV26" s="1101"/>
      <c r="PWW26" s="1110">
        <f>IF(PXA10="Bovis","Attention retirer 2 mm aux dimensions transmises",0)</f>
        <v>0</v>
      </c>
      <c r="PWX26" s="1100"/>
      <c r="PWY26" s="1100"/>
      <c r="PWZ26" s="1101"/>
      <c r="PXA26" s="1110">
        <f>IF(PXE10="Bovis","Attention retirer 2 mm aux dimensions transmises",0)</f>
        <v>0</v>
      </c>
      <c r="PXB26" s="1100"/>
      <c r="PXC26" s="1100"/>
      <c r="PXD26" s="1101"/>
      <c r="PXE26" s="1110">
        <f>IF(PXI10="Bovis","Attention retirer 2 mm aux dimensions transmises",0)</f>
        <v>0</v>
      </c>
      <c r="PXF26" s="1100"/>
      <c r="PXG26" s="1100"/>
      <c r="PXH26" s="1101"/>
      <c r="PXI26" s="1110">
        <f>IF(PXM10="Bovis","Attention retirer 2 mm aux dimensions transmises",0)</f>
        <v>0</v>
      </c>
      <c r="PXJ26" s="1100"/>
      <c r="PXK26" s="1100"/>
      <c r="PXL26" s="1101"/>
      <c r="PXM26" s="1110">
        <f>IF(PXQ10="Bovis","Attention retirer 2 mm aux dimensions transmises",0)</f>
        <v>0</v>
      </c>
      <c r="PXN26" s="1100"/>
      <c r="PXO26" s="1100"/>
      <c r="PXP26" s="1101"/>
      <c r="PXQ26" s="1110">
        <f>IF(PXU10="Bovis","Attention retirer 2 mm aux dimensions transmises",0)</f>
        <v>0</v>
      </c>
      <c r="PXR26" s="1100"/>
      <c r="PXS26" s="1100"/>
      <c r="PXT26" s="1101"/>
      <c r="PXU26" s="1110">
        <f>IF(PXY10="Bovis","Attention retirer 2 mm aux dimensions transmises",0)</f>
        <v>0</v>
      </c>
      <c r="PXV26" s="1100"/>
      <c r="PXW26" s="1100"/>
      <c r="PXX26" s="1101"/>
      <c r="PXY26" s="1110">
        <f>IF(PYC10="Bovis","Attention retirer 2 mm aux dimensions transmises",0)</f>
        <v>0</v>
      </c>
      <c r="PXZ26" s="1100"/>
      <c r="PYA26" s="1100"/>
      <c r="PYB26" s="1101"/>
      <c r="PYC26" s="1110">
        <f>IF(PYG10="Bovis","Attention retirer 2 mm aux dimensions transmises",0)</f>
        <v>0</v>
      </c>
      <c r="PYD26" s="1100"/>
      <c r="PYE26" s="1100"/>
      <c r="PYF26" s="1101"/>
      <c r="PYG26" s="1110">
        <f>IF(PYK10="Bovis","Attention retirer 2 mm aux dimensions transmises",0)</f>
        <v>0</v>
      </c>
      <c r="PYH26" s="1100"/>
      <c r="PYI26" s="1100"/>
      <c r="PYJ26" s="1101"/>
      <c r="PYK26" s="1110">
        <f>IF(PYO10="Bovis","Attention retirer 2 mm aux dimensions transmises",0)</f>
        <v>0</v>
      </c>
      <c r="PYL26" s="1100"/>
      <c r="PYM26" s="1100"/>
      <c r="PYN26" s="1101"/>
      <c r="PYO26" s="1110">
        <f>IF(PYS10="Bovis","Attention retirer 2 mm aux dimensions transmises",0)</f>
        <v>0</v>
      </c>
      <c r="PYP26" s="1100"/>
      <c r="PYQ26" s="1100"/>
      <c r="PYR26" s="1101"/>
      <c r="PYS26" s="1110">
        <f>IF(PYW10="Bovis","Attention retirer 2 mm aux dimensions transmises",0)</f>
        <v>0</v>
      </c>
      <c r="PYT26" s="1100"/>
      <c r="PYU26" s="1100"/>
      <c r="PYV26" s="1101"/>
      <c r="PYW26" s="1110">
        <f>IF(PZA10="Bovis","Attention retirer 2 mm aux dimensions transmises",0)</f>
        <v>0</v>
      </c>
      <c r="PYX26" s="1100"/>
      <c r="PYY26" s="1100"/>
      <c r="PYZ26" s="1101"/>
      <c r="PZA26" s="1110">
        <f>IF(PZE10="Bovis","Attention retirer 2 mm aux dimensions transmises",0)</f>
        <v>0</v>
      </c>
      <c r="PZB26" s="1100"/>
      <c r="PZC26" s="1100"/>
      <c r="PZD26" s="1101"/>
      <c r="PZE26" s="1110">
        <f>IF(PZI10="Bovis","Attention retirer 2 mm aux dimensions transmises",0)</f>
        <v>0</v>
      </c>
      <c r="PZF26" s="1100"/>
      <c r="PZG26" s="1100"/>
      <c r="PZH26" s="1101"/>
      <c r="PZI26" s="1110">
        <f>IF(PZM10="Bovis","Attention retirer 2 mm aux dimensions transmises",0)</f>
        <v>0</v>
      </c>
      <c r="PZJ26" s="1100"/>
      <c r="PZK26" s="1100"/>
      <c r="PZL26" s="1101"/>
      <c r="PZM26" s="1110">
        <f>IF(PZQ10="Bovis","Attention retirer 2 mm aux dimensions transmises",0)</f>
        <v>0</v>
      </c>
      <c r="PZN26" s="1100"/>
      <c r="PZO26" s="1100"/>
      <c r="PZP26" s="1101"/>
      <c r="PZQ26" s="1110">
        <f>IF(PZU10="Bovis","Attention retirer 2 mm aux dimensions transmises",0)</f>
        <v>0</v>
      </c>
      <c r="PZR26" s="1100"/>
      <c r="PZS26" s="1100"/>
      <c r="PZT26" s="1101"/>
      <c r="PZU26" s="1110">
        <f>IF(PZY10="Bovis","Attention retirer 2 mm aux dimensions transmises",0)</f>
        <v>0</v>
      </c>
      <c r="PZV26" s="1100"/>
      <c r="PZW26" s="1100"/>
      <c r="PZX26" s="1101"/>
      <c r="PZY26" s="1110">
        <f>IF(QAC10="Bovis","Attention retirer 2 mm aux dimensions transmises",0)</f>
        <v>0</v>
      </c>
      <c r="PZZ26" s="1100"/>
      <c r="QAA26" s="1100"/>
      <c r="QAB26" s="1101"/>
      <c r="QAC26" s="1110">
        <f>IF(QAG10="Bovis","Attention retirer 2 mm aux dimensions transmises",0)</f>
        <v>0</v>
      </c>
      <c r="QAD26" s="1100"/>
      <c r="QAE26" s="1100"/>
      <c r="QAF26" s="1101"/>
      <c r="QAG26" s="1110">
        <f>IF(QAK10="Bovis","Attention retirer 2 mm aux dimensions transmises",0)</f>
        <v>0</v>
      </c>
      <c r="QAH26" s="1100"/>
      <c r="QAI26" s="1100"/>
      <c r="QAJ26" s="1101"/>
      <c r="QAK26" s="1110">
        <f>IF(QAO10="Bovis","Attention retirer 2 mm aux dimensions transmises",0)</f>
        <v>0</v>
      </c>
      <c r="QAL26" s="1100"/>
      <c r="QAM26" s="1100"/>
      <c r="QAN26" s="1101"/>
      <c r="QAO26" s="1110">
        <f>IF(QAS10="Bovis","Attention retirer 2 mm aux dimensions transmises",0)</f>
        <v>0</v>
      </c>
      <c r="QAP26" s="1100"/>
      <c r="QAQ26" s="1100"/>
      <c r="QAR26" s="1101"/>
      <c r="QAS26" s="1110">
        <f>IF(QAW10="Bovis","Attention retirer 2 mm aux dimensions transmises",0)</f>
        <v>0</v>
      </c>
      <c r="QAT26" s="1100"/>
      <c r="QAU26" s="1100"/>
      <c r="QAV26" s="1101"/>
      <c r="QAW26" s="1110">
        <f>IF(QBA10="Bovis","Attention retirer 2 mm aux dimensions transmises",0)</f>
        <v>0</v>
      </c>
      <c r="QAX26" s="1100"/>
      <c r="QAY26" s="1100"/>
      <c r="QAZ26" s="1101"/>
      <c r="QBA26" s="1110">
        <f>IF(QBE10="Bovis","Attention retirer 2 mm aux dimensions transmises",0)</f>
        <v>0</v>
      </c>
      <c r="QBB26" s="1100"/>
      <c r="QBC26" s="1100"/>
      <c r="QBD26" s="1101"/>
      <c r="QBE26" s="1110">
        <f>IF(QBI10="Bovis","Attention retirer 2 mm aux dimensions transmises",0)</f>
        <v>0</v>
      </c>
      <c r="QBF26" s="1100"/>
      <c r="QBG26" s="1100"/>
      <c r="QBH26" s="1101"/>
      <c r="QBI26" s="1110">
        <f>IF(QBM10="Bovis","Attention retirer 2 mm aux dimensions transmises",0)</f>
        <v>0</v>
      </c>
      <c r="QBJ26" s="1100"/>
      <c r="QBK26" s="1100"/>
      <c r="QBL26" s="1101"/>
      <c r="QBM26" s="1110">
        <f>IF(QBQ10="Bovis","Attention retirer 2 mm aux dimensions transmises",0)</f>
        <v>0</v>
      </c>
      <c r="QBN26" s="1100"/>
      <c r="QBO26" s="1100"/>
      <c r="QBP26" s="1101"/>
      <c r="QBQ26" s="1110">
        <f>IF(QBU10="Bovis","Attention retirer 2 mm aux dimensions transmises",0)</f>
        <v>0</v>
      </c>
      <c r="QBR26" s="1100"/>
      <c r="QBS26" s="1100"/>
      <c r="QBT26" s="1101"/>
      <c r="QBU26" s="1110">
        <f>IF(QBY10="Bovis","Attention retirer 2 mm aux dimensions transmises",0)</f>
        <v>0</v>
      </c>
      <c r="QBV26" s="1100"/>
      <c r="QBW26" s="1100"/>
      <c r="QBX26" s="1101"/>
      <c r="QBY26" s="1110">
        <f>IF(QCC10="Bovis","Attention retirer 2 mm aux dimensions transmises",0)</f>
        <v>0</v>
      </c>
      <c r="QBZ26" s="1100"/>
      <c r="QCA26" s="1100"/>
      <c r="QCB26" s="1101"/>
      <c r="QCC26" s="1110">
        <f>IF(QCG10="Bovis","Attention retirer 2 mm aux dimensions transmises",0)</f>
        <v>0</v>
      </c>
      <c r="QCD26" s="1100"/>
      <c r="QCE26" s="1100"/>
      <c r="QCF26" s="1101"/>
      <c r="QCG26" s="1110">
        <f>IF(QCK10="Bovis","Attention retirer 2 mm aux dimensions transmises",0)</f>
        <v>0</v>
      </c>
      <c r="QCH26" s="1100"/>
      <c r="QCI26" s="1100"/>
      <c r="QCJ26" s="1101"/>
      <c r="QCK26" s="1110">
        <f>IF(QCO10="Bovis","Attention retirer 2 mm aux dimensions transmises",0)</f>
        <v>0</v>
      </c>
      <c r="QCL26" s="1100"/>
      <c r="QCM26" s="1100"/>
      <c r="QCN26" s="1101"/>
      <c r="QCO26" s="1110">
        <f>IF(QCS10="Bovis","Attention retirer 2 mm aux dimensions transmises",0)</f>
        <v>0</v>
      </c>
      <c r="QCP26" s="1100"/>
      <c r="QCQ26" s="1100"/>
      <c r="QCR26" s="1101"/>
      <c r="QCS26" s="1110">
        <f>IF(QCW10="Bovis","Attention retirer 2 mm aux dimensions transmises",0)</f>
        <v>0</v>
      </c>
      <c r="QCT26" s="1100"/>
      <c r="QCU26" s="1100"/>
      <c r="QCV26" s="1101"/>
      <c r="QCW26" s="1110">
        <f>IF(QDA10="Bovis","Attention retirer 2 mm aux dimensions transmises",0)</f>
        <v>0</v>
      </c>
      <c r="QCX26" s="1100"/>
      <c r="QCY26" s="1100"/>
      <c r="QCZ26" s="1101"/>
      <c r="QDA26" s="1110">
        <f>IF(QDE10="Bovis","Attention retirer 2 mm aux dimensions transmises",0)</f>
        <v>0</v>
      </c>
      <c r="QDB26" s="1100"/>
      <c r="QDC26" s="1100"/>
      <c r="QDD26" s="1101"/>
      <c r="QDE26" s="1110">
        <f>IF(QDI10="Bovis","Attention retirer 2 mm aux dimensions transmises",0)</f>
        <v>0</v>
      </c>
      <c r="QDF26" s="1100"/>
      <c r="QDG26" s="1100"/>
      <c r="QDH26" s="1101"/>
      <c r="QDI26" s="1110">
        <f>IF(QDM10="Bovis","Attention retirer 2 mm aux dimensions transmises",0)</f>
        <v>0</v>
      </c>
      <c r="QDJ26" s="1100"/>
      <c r="QDK26" s="1100"/>
      <c r="QDL26" s="1101"/>
      <c r="QDM26" s="1110">
        <f>IF(QDQ10="Bovis","Attention retirer 2 mm aux dimensions transmises",0)</f>
        <v>0</v>
      </c>
      <c r="QDN26" s="1100"/>
      <c r="QDO26" s="1100"/>
      <c r="QDP26" s="1101"/>
      <c r="QDQ26" s="1110">
        <f>IF(QDU10="Bovis","Attention retirer 2 mm aux dimensions transmises",0)</f>
        <v>0</v>
      </c>
      <c r="QDR26" s="1100"/>
      <c r="QDS26" s="1100"/>
      <c r="QDT26" s="1101"/>
      <c r="QDU26" s="1110">
        <f>IF(QDY10="Bovis","Attention retirer 2 mm aux dimensions transmises",0)</f>
        <v>0</v>
      </c>
      <c r="QDV26" s="1100"/>
      <c r="QDW26" s="1100"/>
      <c r="QDX26" s="1101"/>
      <c r="QDY26" s="1110">
        <f>IF(QEC10="Bovis","Attention retirer 2 mm aux dimensions transmises",0)</f>
        <v>0</v>
      </c>
      <c r="QDZ26" s="1100"/>
      <c r="QEA26" s="1100"/>
      <c r="QEB26" s="1101"/>
      <c r="QEC26" s="1110">
        <f>IF(QEG10="Bovis","Attention retirer 2 mm aux dimensions transmises",0)</f>
        <v>0</v>
      </c>
      <c r="QED26" s="1100"/>
      <c r="QEE26" s="1100"/>
      <c r="QEF26" s="1101"/>
      <c r="QEG26" s="1110">
        <f>IF(QEK10="Bovis","Attention retirer 2 mm aux dimensions transmises",0)</f>
        <v>0</v>
      </c>
      <c r="QEH26" s="1100"/>
      <c r="QEI26" s="1100"/>
      <c r="QEJ26" s="1101"/>
      <c r="QEK26" s="1110">
        <f>IF(QEO10="Bovis","Attention retirer 2 mm aux dimensions transmises",0)</f>
        <v>0</v>
      </c>
      <c r="QEL26" s="1100"/>
      <c r="QEM26" s="1100"/>
      <c r="QEN26" s="1101"/>
      <c r="QEO26" s="1110">
        <f>IF(QES10="Bovis","Attention retirer 2 mm aux dimensions transmises",0)</f>
        <v>0</v>
      </c>
      <c r="QEP26" s="1100"/>
      <c r="QEQ26" s="1100"/>
      <c r="QER26" s="1101"/>
      <c r="QES26" s="1110">
        <f>IF(QEW10="Bovis","Attention retirer 2 mm aux dimensions transmises",0)</f>
        <v>0</v>
      </c>
      <c r="QET26" s="1100"/>
      <c r="QEU26" s="1100"/>
      <c r="QEV26" s="1101"/>
      <c r="QEW26" s="1110">
        <f>IF(QFA10="Bovis","Attention retirer 2 mm aux dimensions transmises",0)</f>
        <v>0</v>
      </c>
      <c r="QEX26" s="1100"/>
      <c r="QEY26" s="1100"/>
      <c r="QEZ26" s="1101"/>
      <c r="QFA26" s="1110">
        <f>IF(QFE10="Bovis","Attention retirer 2 mm aux dimensions transmises",0)</f>
        <v>0</v>
      </c>
      <c r="QFB26" s="1100"/>
      <c r="QFC26" s="1100"/>
      <c r="QFD26" s="1101"/>
      <c r="QFE26" s="1110">
        <f>IF(QFI10="Bovis","Attention retirer 2 mm aux dimensions transmises",0)</f>
        <v>0</v>
      </c>
      <c r="QFF26" s="1100"/>
      <c r="QFG26" s="1100"/>
      <c r="QFH26" s="1101"/>
      <c r="QFI26" s="1110">
        <f>IF(QFM10="Bovis","Attention retirer 2 mm aux dimensions transmises",0)</f>
        <v>0</v>
      </c>
      <c r="QFJ26" s="1100"/>
      <c r="QFK26" s="1100"/>
      <c r="QFL26" s="1101"/>
      <c r="QFM26" s="1110">
        <f>IF(QFQ10="Bovis","Attention retirer 2 mm aux dimensions transmises",0)</f>
        <v>0</v>
      </c>
      <c r="QFN26" s="1100"/>
      <c r="QFO26" s="1100"/>
      <c r="QFP26" s="1101"/>
      <c r="QFQ26" s="1110">
        <f>IF(QFU10="Bovis","Attention retirer 2 mm aux dimensions transmises",0)</f>
        <v>0</v>
      </c>
      <c r="QFR26" s="1100"/>
      <c r="QFS26" s="1100"/>
      <c r="QFT26" s="1101"/>
      <c r="QFU26" s="1110">
        <f>IF(QFY10="Bovis","Attention retirer 2 mm aux dimensions transmises",0)</f>
        <v>0</v>
      </c>
      <c r="QFV26" s="1100"/>
      <c r="QFW26" s="1100"/>
      <c r="QFX26" s="1101"/>
      <c r="QFY26" s="1110">
        <f>IF(QGC10="Bovis","Attention retirer 2 mm aux dimensions transmises",0)</f>
        <v>0</v>
      </c>
      <c r="QFZ26" s="1100"/>
      <c r="QGA26" s="1100"/>
      <c r="QGB26" s="1101"/>
      <c r="QGC26" s="1110">
        <f>IF(QGG10="Bovis","Attention retirer 2 mm aux dimensions transmises",0)</f>
        <v>0</v>
      </c>
      <c r="QGD26" s="1100"/>
      <c r="QGE26" s="1100"/>
      <c r="QGF26" s="1101"/>
      <c r="QGG26" s="1110">
        <f>IF(QGK10="Bovis","Attention retirer 2 mm aux dimensions transmises",0)</f>
        <v>0</v>
      </c>
      <c r="QGH26" s="1100"/>
      <c r="QGI26" s="1100"/>
      <c r="QGJ26" s="1101"/>
      <c r="QGK26" s="1110">
        <f>IF(QGO10="Bovis","Attention retirer 2 mm aux dimensions transmises",0)</f>
        <v>0</v>
      </c>
      <c r="QGL26" s="1100"/>
      <c r="QGM26" s="1100"/>
      <c r="QGN26" s="1101"/>
      <c r="QGO26" s="1110">
        <f>IF(QGS10="Bovis","Attention retirer 2 mm aux dimensions transmises",0)</f>
        <v>0</v>
      </c>
      <c r="QGP26" s="1100"/>
      <c r="QGQ26" s="1100"/>
      <c r="QGR26" s="1101"/>
      <c r="QGS26" s="1110">
        <f>IF(QGW10="Bovis","Attention retirer 2 mm aux dimensions transmises",0)</f>
        <v>0</v>
      </c>
      <c r="QGT26" s="1100"/>
      <c r="QGU26" s="1100"/>
      <c r="QGV26" s="1101"/>
      <c r="QGW26" s="1110">
        <f>IF(QHA10="Bovis","Attention retirer 2 mm aux dimensions transmises",0)</f>
        <v>0</v>
      </c>
      <c r="QGX26" s="1100"/>
      <c r="QGY26" s="1100"/>
      <c r="QGZ26" s="1101"/>
      <c r="QHA26" s="1110">
        <f>IF(QHE10="Bovis","Attention retirer 2 mm aux dimensions transmises",0)</f>
        <v>0</v>
      </c>
      <c r="QHB26" s="1100"/>
      <c r="QHC26" s="1100"/>
      <c r="QHD26" s="1101"/>
      <c r="QHE26" s="1110">
        <f>IF(QHI10="Bovis","Attention retirer 2 mm aux dimensions transmises",0)</f>
        <v>0</v>
      </c>
      <c r="QHF26" s="1100"/>
      <c r="QHG26" s="1100"/>
      <c r="QHH26" s="1101"/>
      <c r="QHI26" s="1110">
        <f>IF(QHM10="Bovis","Attention retirer 2 mm aux dimensions transmises",0)</f>
        <v>0</v>
      </c>
      <c r="QHJ26" s="1100"/>
      <c r="QHK26" s="1100"/>
      <c r="QHL26" s="1101"/>
      <c r="QHM26" s="1110">
        <f>IF(QHQ10="Bovis","Attention retirer 2 mm aux dimensions transmises",0)</f>
        <v>0</v>
      </c>
      <c r="QHN26" s="1100"/>
      <c r="QHO26" s="1100"/>
      <c r="QHP26" s="1101"/>
      <c r="QHQ26" s="1110">
        <f>IF(QHU10="Bovis","Attention retirer 2 mm aux dimensions transmises",0)</f>
        <v>0</v>
      </c>
      <c r="QHR26" s="1100"/>
      <c r="QHS26" s="1100"/>
      <c r="QHT26" s="1101"/>
      <c r="QHU26" s="1110">
        <f>IF(QHY10="Bovis","Attention retirer 2 mm aux dimensions transmises",0)</f>
        <v>0</v>
      </c>
      <c r="QHV26" s="1100"/>
      <c r="QHW26" s="1100"/>
      <c r="QHX26" s="1101"/>
      <c r="QHY26" s="1110">
        <f>IF(QIC10="Bovis","Attention retirer 2 mm aux dimensions transmises",0)</f>
        <v>0</v>
      </c>
      <c r="QHZ26" s="1100"/>
      <c r="QIA26" s="1100"/>
      <c r="QIB26" s="1101"/>
      <c r="QIC26" s="1110">
        <f>IF(QIG10="Bovis","Attention retirer 2 mm aux dimensions transmises",0)</f>
        <v>0</v>
      </c>
      <c r="QID26" s="1100"/>
      <c r="QIE26" s="1100"/>
      <c r="QIF26" s="1101"/>
      <c r="QIG26" s="1110">
        <f>IF(QIK10="Bovis","Attention retirer 2 mm aux dimensions transmises",0)</f>
        <v>0</v>
      </c>
      <c r="QIH26" s="1100"/>
      <c r="QII26" s="1100"/>
      <c r="QIJ26" s="1101"/>
      <c r="QIK26" s="1110">
        <f>IF(QIO10="Bovis","Attention retirer 2 mm aux dimensions transmises",0)</f>
        <v>0</v>
      </c>
      <c r="QIL26" s="1100"/>
      <c r="QIM26" s="1100"/>
      <c r="QIN26" s="1101"/>
      <c r="QIO26" s="1110">
        <f>IF(QIS10="Bovis","Attention retirer 2 mm aux dimensions transmises",0)</f>
        <v>0</v>
      </c>
      <c r="QIP26" s="1100"/>
      <c r="QIQ26" s="1100"/>
      <c r="QIR26" s="1101"/>
      <c r="QIS26" s="1110">
        <f>IF(QIW10="Bovis","Attention retirer 2 mm aux dimensions transmises",0)</f>
        <v>0</v>
      </c>
      <c r="QIT26" s="1100"/>
      <c r="QIU26" s="1100"/>
      <c r="QIV26" s="1101"/>
      <c r="QIW26" s="1110">
        <f>IF(QJA10="Bovis","Attention retirer 2 mm aux dimensions transmises",0)</f>
        <v>0</v>
      </c>
      <c r="QIX26" s="1100"/>
      <c r="QIY26" s="1100"/>
      <c r="QIZ26" s="1101"/>
      <c r="QJA26" s="1110">
        <f>IF(QJE10="Bovis","Attention retirer 2 mm aux dimensions transmises",0)</f>
        <v>0</v>
      </c>
      <c r="QJB26" s="1100"/>
      <c r="QJC26" s="1100"/>
      <c r="QJD26" s="1101"/>
      <c r="QJE26" s="1110">
        <f>IF(QJI10="Bovis","Attention retirer 2 mm aux dimensions transmises",0)</f>
        <v>0</v>
      </c>
      <c r="QJF26" s="1100"/>
      <c r="QJG26" s="1100"/>
      <c r="QJH26" s="1101"/>
      <c r="QJI26" s="1110">
        <f>IF(QJM10="Bovis","Attention retirer 2 mm aux dimensions transmises",0)</f>
        <v>0</v>
      </c>
      <c r="QJJ26" s="1100"/>
      <c r="QJK26" s="1100"/>
      <c r="QJL26" s="1101"/>
      <c r="QJM26" s="1110">
        <f>IF(QJQ10="Bovis","Attention retirer 2 mm aux dimensions transmises",0)</f>
        <v>0</v>
      </c>
      <c r="QJN26" s="1100"/>
      <c r="QJO26" s="1100"/>
      <c r="QJP26" s="1101"/>
      <c r="QJQ26" s="1110">
        <f>IF(QJU10="Bovis","Attention retirer 2 mm aux dimensions transmises",0)</f>
        <v>0</v>
      </c>
      <c r="QJR26" s="1100"/>
      <c r="QJS26" s="1100"/>
      <c r="QJT26" s="1101"/>
      <c r="QJU26" s="1110">
        <f>IF(QJY10="Bovis","Attention retirer 2 mm aux dimensions transmises",0)</f>
        <v>0</v>
      </c>
      <c r="QJV26" s="1100"/>
      <c r="QJW26" s="1100"/>
      <c r="QJX26" s="1101"/>
      <c r="QJY26" s="1110">
        <f>IF(QKC10="Bovis","Attention retirer 2 mm aux dimensions transmises",0)</f>
        <v>0</v>
      </c>
      <c r="QJZ26" s="1100"/>
      <c r="QKA26" s="1100"/>
      <c r="QKB26" s="1101"/>
      <c r="QKC26" s="1110">
        <f>IF(QKG10="Bovis","Attention retirer 2 mm aux dimensions transmises",0)</f>
        <v>0</v>
      </c>
      <c r="QKD26" s="1100"/>
      <c r="QKE26" s="1100"/>
      <c r="QKF26" s="1101"/>
      <c r="QKG26" s="1110">
        <f>IF(QKK10="Bovis","Attention retirer 2 mm aux dimensions transmises",0)</f>
        <v>0</v>
      </c>
      <c r="QKH26" s="1100"/>
      <c r="QKI26" s="1100"/>
      <c r="QKJ26" s="1101"/>
      <c r="QKK26" s="1110">
        <f>IF(QKO10="Bovis","Attention retirer 2 mm aux dimensions transmises",0)</f>
        <v>0</v>
      </c>
      <c r="QKL26" s="1100"/>
      <c r="QKM26" s="1100"/>
      <c r="QKN26" s="1101"/>
      <c r="QKO26" s="1110">
        <f>IF(QKS10="Bovis","Attention retirer 2 mm aux dimensions transmises",0)</f>
        <v>0</v>
      </c>
      <c r="QKP26" s="1100"/>
      <c r="QKQ26" s="1100"/>
      <c r="QKR26" s="1101"/>
      <c r="QKS26" s="1110">
        <f>IF(QKW10="Bovis","Attention retirer 2 mm aux dimensions transmises",0)</f>
        <v>0</v>
      </c>
      <c r="QKT26" s="1100"/>
      <c r="QKU26" s="1100"/>
      <c r="QKV26" s="1101"/>
      <c r="QKW26" s="1110">
        <f>IF(QLA10="Bovis","Attention retirer 2 mm aux dimensions transmises",0)</f>
        <v>0</v>
      </c>
      <c r="QKX26" s="1100"/>
      <c r="QKY26" s="1100"/>
      <c r="QKZ26" s="1101"/>
      <c r="QLA26" s="1110">
        <f>IF(QLE10="Bovis","Attention retirer 2 mm aux dimensions transmises",0)</f>
        <v>0</v>
      </c>
      <c r="QLB26" s="1100"/>
      <c r="QLC26" s="1100"/>
      <c r="QLD26" s="1101"/>
      <c r="QLE26" s="1110">
        <f>IF(QLI10="Bovis","Attention retirer 2 mm aux dimensions transmises",0)</f>
        <v>0</v>
      </c>
      <c r="QLF26" s="1100"/>
      <c r="QLG26" s="1100"/>
      <c r="QLH26" s="1101"/>
      <c r="QLI26" s="1110">
        <f>IF(QLM10="Bovis","Attention retirer 2 mm aux dimensions transmises",0)</f>
        <v>0</v>
      </c>
      <c r="QLJ26" s="1100"/>
      <c r="QLK26" s="1100"/>
      <c r="QLL26" s="1101"/>
      <c r="QLM26" s="1110">
        <f>IF(QLQ10="Bovis","Attention retirer 2 mm aux dimensions transmises",0)</f>
        <v>0</v>
      </c>
      <c r="QLN26" s="1100"/>
      <c r="QLO26" s="1100"/>
      <c r="QLP26" s="1101"/>
      <c r="QLQ26" s="1110">
        <f>IF(QLU10="Bovis","Attention retirer 2 mm aux dimensions transmises",0)</f>
        <v>0</v>
      </c>
      <c r="QLR26" s="1100"/>
      <c r="QLS26" s="1100"/>
      <c r="QLT26" s="1101"/>
      <c r="QLU26" s="1110">
        <f>IF(QLY10="Bovis","Attention retirer 2 mm aux dimensions transmises",0)</f>
        <v>0</v>
      </c>
      <c r="QLV26" s="1100"/>
      <c r="QLW26" s="1100"/>
      <c r="QLX26" s="1101"/>
      <c r="QLY26" s="1110">
        <f>IF(QMC10="Bovis","Attention retirer 2 mm aux dimensions transmises",0)</f>
        <v>0</v>
      </c>
      <c r="QLZ26" s="1100"/>
      <c r="QMA26" s="1100"/>
      <c r="QMB26" s="1101"/>
      <c r="QMC26" s="1110">
        <f>IF(QMG10="Bovis","Attention retirer 2 mm aux dimensions transmises",0)</f>
        <v>0</v>
      </c>
      <c r="QMD26" s="1100"/>
      <c r="QME26" s="1100"/>
      <c r="QMF26" s="1101"/>
      <c r="QMG26" s="1110">
        <f>IF(QMK10="Bovis","Attention retirer 2 mm aux dimensions transmises",0)</f>
        <v>0</v>
      </c>
      <c r="QMH26" s="1100"/>
      <c r="QMI26" s="1100"/>
      <c r="QMJ26" s="1101"/>
      <c r="QMK26" s="1110">
        <f>IF(QMO10="Bovis","Attention retirer 2 mm aux dimensions transmises",0)</f>
        <v>0</v>
      </c>
      <c r="QML26" s="1100"/>
      <c r="QMM26" s="1100"/>
      <c r="QMN26" s="1101"/>
      <c r="QMO26" s="1110">
        <f>IF(QMS10="Bovis","Attention retirer 2 mm aux dimensions transmises",0)</f>
        <v>0</v>
      </c>
      <c r="QMP26" s="1100"/>
      <c r="QMQ26" s="1100"/>
      <c r="QMR26" s="1101"/>
      <c r="QMS26" s="1110">
        <f>IF(QMW10="Bovis","Attention retirer 2 mm aux dimensions transmises",0)</f>
        <v>0</v>
      </c>
      <c r="QMT26" s="1100"/>
      <c r="QMU26" s="1100"/>
      <c r="QMV26" s="1101"/>
      <c r="QMW26" s="1110">
        <f>IF(QNA10="Bovis","Attention retirer 2 mm aux dimensions transmises",0)</f>
        <v>0</v>
      </c>
      <c r="QMX26" s="1100"/>
      <c r="QMY26" s="1100"/>
      <c r="QMZ26" s="1101"/>
      <c r="QNA26" s="1110">
        <f>IF(QNE10="Bovis","Attention retirer 2 mm aux dimensions transmises",0)</f>
        <v>0</v>
      </c>
      <c r="QNB26" s="1100"/>
      <c r="QNC26" s="1100"/>
      <c r="QND26" s="1101"/>
      <c r="QNE26" s="1110">
        <f>IF(QNI10="Bovis","Attention retirer 2 mm aux dimensions transmises",0)</f>
        <v>0</v>
      </c>
      <c r="QNF26" s="1100"/>
      <c r="QNG26" s="1100"/>
      <c r="QNH26" s="1101"/>
      <c r="QNI26" s="1110">
        <f>IF(QNM10="Bovis","Attention retirer 2 mm aux dimensions transmises",0)</f>
        <v>0</v>
      </c>
      <c r="QNJ26" s="1100"/>
      <c r="QNK26" s="1100"/>
      <c r="QNL26" s="1101"/>
      <c r="QNM26" s="1110">
        <f>IF(QNQ10="Bovis","Attention retirer 2 mm aux dimensions transmises",0)</f>
        <v>0</v>
      </c>
      <c r="QNN26" s="1100"/>
      <c r="QNO26" s="1100"/>
      <c r="QNP26" s="1101"/>
      <c r="QNQ26" s="1110">
        <f>IF(QNU10="Bovis","Attention retirer 2 mm aux dimensions transmises",0)</f>
        <v>0</v>
      </c>
      <c r="QNR26" s="1100"/>
      <c r="QNS26" s="1100"/>
      <c r="QNT26" s="1101"/>
      <c r="QNU26" s="1110">
        <f>IF(QNY10="Bovis","Attention retirer 2 mm aux dimensions transmises",0)</f>
        <v>0</v>
      </c>
      <c r="QNV26" s="1100"/>
      <c r="QNW26" s="1100"/>
      <c r="QNX26" s="1101"/>
      <c r="QNY26" s="1110">
        <f>IF(QOC10="Bovis","Attention retirer 2 mm aux dimensions transmises",0)</f>
        <v>0</v>
      </c>
      <c r="QNZ26" s="1100"/>
      <c r="QOA26" s="1100"/>
      <c r="QOB26" s="1101"/>
      <c r="QOC26" s="1110">
        <f>IF(QOG10="Bovis","Attention retirer 2 mm aux dimensions transmises",0)</f>
        <v>0</v>
      </c>
      <c r="QOD26" s="1100"/>
      <c r="QOE26" s="1100"/>
      <c r="QOF26" s="1101"/>
      <c r="QOG26" s="1110">
        <f>IF(QOK10="Bovis","Attention retirer 2 mm aux dimensions transmises",0)</f>
        <v>0</v>
      </c>
      <c r="QOH26" s="1100"/>
      <c r="QOI26" s="1100"/>
      <c r="QOJ26" s="1101"/>
      <c r="QOK26" s="1110">
        <f>IF(QOO10="Bovis","Attention retirer 2 mm aux dimensions transmises",0)</f>
        <v>0</v>
      </c>
      <c r="QOL26" s="1100"/>
      <c r="QOM26" s="1100"/>
      <c r="QON26" s="1101"/>
      <c r="QOO26" s="1110">
        <f>IF(QOS10="Bovis","Attention retirer 2 mm aux dimensions transmises",0)</f>
        <v>0</v>
      </c>
      <c r="QOP26" s="1100"/>
      <c r="QOQ26" s="1100"/>
      <c r="QOR26" s="1101"/>
      <c r="QOS26" s="1110">
        <f>IF(QOW10="Bovis","Attention retirer 2 mm aux dimensions transmises",0)</f>
        <v>0</v>
      </c>
      <c r="QOT26" s="1100"/>
      <c r="QOU26" s="1100"/>
      <c r="QOV26" s="1101"/>
      <c r="QOW26" s="1110">
        <f>IF(QPA10="Bovis","Attention retirer 2 mm aux dimensions transmises",0)</f>
        <v>0</v>
      </c>
      <c r="QOX26" s="1100"/>
      <c r="QOY26" s="1100"/>
      <c r="QOZ26" s="1101"/>
      <c r="QPA26" s="1110">
        <f>IF(QPE10="Bovis","Attention retirer 2 mm aux dimensions transmises",0)</f>
        <v>0</v>
      </c>
      <c r="QPB26" s="1100"/>
      <c r="QPC26" s="1100"/>
      <c r="QPD26" s="1101"/>
      <c r="QPE26" s="1110">
        <f>IF(QPI10="Bovis","Attention retirer 2 mm aux dimensions transmises",0)</f>
        <v>0</v>
      </c>
      <c r="QPF26" s="1100"/>
      <c r="QPG26" s="1100"/>
      <c r="QPH26" s="1101"/>
      <c r="QPI26" s="1110">
        <f>IF(QPM10="Bovis","Attention retirer 2 mm aux dimensions transmises",0)</f>
        <v>0</v>
      </c>
      <c r="QPJ26" s="1100"/>
      <c r="QPK26" s="1100"/>
      <c r="QPL26" s="1101"/>
      <c r="QPM26" s="1110">
        <f>IF(QPQ10="Bovis","Attention retirer 2 mm aux dimensions transmises",0)</f>
        <v>0</v>
      </c>
      <c r="QPN26" s="1100"/>
      <c r="QPO26" s="1100"/>
      <c r="QPP26" s="1101"/>
      <c r="QPQ26" s="1110">
        <f>IF(QPU10="Bovis","Attention retirer 2 mm aux dimensions transmises",0)</f>
        <v>0</v>
      </c>
      <c r="QPR26" s="1100"/>
      <c r="QPS26" s="1100"/>
      <c r="QPT26" s="1101"/>
      <c r="QPU26" s="1110">
        <f>IF(QPY10="Bovis","Attention retirer 2 mm aux dimensions transmises",0)</f>
        <v>0</v>
      </c>
      <c r="QPV26" s="1100"/>
      <c r="QPW26" s="1100"/>
      <c r="QPX26" s="1101"/>
      <c r="QPY26" s="1110">
        <f>IF(QQC10="Bovis","Attention retirer 2 mm aux dimensions transmises",0)</f>
        <v>0</v>
      </c>
      <c r="QPZ26" s="1100"/>
      <c r="QQA26" s="1100"/>
      <c r="QQB26" s="1101"/>
      <c r="QQC26" s="1110">
        <f>IF(QQG10="Bovis","Attention retirer 2 mm aux dimensions transmises",0)</f>
        <v>0</v>
      </c>
      <c r="QQD26" s="1100"/>
      <c r="QQE26" s="1100"/>
      <c r="QQF26" s="1101"/>
      <c r="QQG26" s="1110">
        <f>IF(QQK10="Bovis","Attention retirer 2 mm aux dimensions transmises",0)</f>
        <v>0</v>
      </c>
      <c r="QQH26" s="1100"/>
      <c r="QQI26" s="1100"/>
      <c r="QQJ26" s="1101"/>
      <c r="QQK26" s="1110">
        <f>IF(QQO10="Bovis","Attention retirer 2 mm aux dimensions transmises",0)</f>
        <v>0</v>
      </c>
      <c r="QQL26" s="1100"/>
      <c r="QQM26" s="1100"/>
      <c r="QQN26" s="1101"/>
      <c r="QQO26" s="1110">
        <f>IF(QQS10="Bovis","Attention retirer 2 mm aux dimensions transmises",0)</f>
        <v>0</v>
      </c>
      <c r="QQP26" s="1100"/>
      <c r="QQQ26" s="1100"/>
      <c r="QQR26" s="1101"/>
      <c r="QQS26" s="1110">
        <f>IF(QQW10="Bovis","Attention retirer 2 mm aux dimensions transmises",0)</f>
        <v>0</v>
      </c>
      <c r="QQT26" s="1100"/>
      <c r="QQU26" s="1100"/>
      <c r="QQV26" s="1101"/>
      <c r="QQW26" s="1110">
        <f>IF(QRA10="Bovis","Attention retirer 2 mm aux dimensions transmises",0)</f>
        <v>0</v>
      </c>
      <c r="QQX26" s="1100"/>
      <c r="QQY26" s="1100"/>
      <c r="QQZ26" s="1101"/>
      <c r="QRA26" s="1110">
        <f>IF(QRE10="Bovis","Attention retirer 2 mm aux dimensions transmises",0)</f>
        <v>0</v>
      </c>
      <c r="QRB26" s="1100"/>
      <c r="QRC26" s="1100"/>
      <c r="QRD26" s="1101"/>
      <c r="QRE26" s="1110">
        <f>IF(QRI10="Bovis","Attention retirer 2 mm aux dimensions transmises",0)</f>
        <v>0</v>
      </c>
      <c r="QRF26" s="1100"/>
      <c r="QRG26" s="1100"/>
      <c r="QRH26" s="1101"/>
      <c r="QRI26" s="1110">
        <f>IF(QRM10="Bovis","Attention retirer 2 mm aux dimensions transmises",0)</f>
        <v>0</v>
      </c>
      <c r="QRJ26" s="1100"/>
      <c r="QRK26" s="1100"/>
      <c r="QRL26" s="1101"/>
      <c r="QRM26" s="1110">
        <f>IF(QRQ10="Bovis","Attention retirer 2 mm aux dimensions transmises",0)</f>
        <v>0</v>
      </c>
      <c r="QRN26" s="1100"/>
      <c r="QRO26" s="1100"/>
      <c r="QRP26" s="1101"/>
      <c r="QRQ26" s="1110">
        <f>IF(QRU10="Bovis","Attention retirer 2 mm aux dimensions transmises",0)</f>
        <v>0</v>
      </c>
      <c r="QRR26" s="1100"/>
      <c r="QRS26" s="1100"/>
      <c r="QRT26" s="1101"/>
      <c r="QRU26" s="1110">
        <f>IF(QRY10="Bovis","Attention retirer 2 mm aux dimensions transmises",0)</f>
        <v>0</v>
      </c>
      <c r="QRV26" s="1100"/>
      <c r="QRW26" s="1100"/>
      <c r="QRX26" s="1101"/>
      <c r="QRY26" s="1110">
        <f>IF(QSC10="Bovis","Attention retirer 2 mm aux dimensions transmises",0)</f>
        <v>0</v>
      </c>
      <c r="QRZ26" s="1100"/>
      <c r="QSA26" s="1100"/>
      <c r="QSB26" s="1101"/>
      <c r="QSC26" s="1110">
        <f>IF(QSG10="Bovis","Attention retirer 2 mm aux dimensions transmises",0)</f>
        <v>0</v>
      </c>
      <c r="QSD26" s="1100"/>
      <c r="QSE26" s="1100"/>
      <c r="QSF26" s="1101"/>
      <c r="QSG26" s="1110">
        <f>IF(QSK10="Bovis","Attention retirer 2 mm aux dimensions transmises",0)</f>
        <v>0</v>
      </c>
      <c r="QSH26" s="1100"/>
      <c r="QSI26" s="1100"/>
      <c r="QSJ26" s="1101"/>
      <c r="QSK26" s="1110">
        <f>IF(QSO10="Bovis","Attention retirer 2 mm aux dimensions transmises",0)</f>
        <v>0</v>
      </c>
      <c r="QSL26" s="1100"/>
      <c r="QSM26" s="1100"/>
      <c r="QSN26" s="1101"/>
      <c r="QSO26" s="1110">
        <f>IF(QSS10="Bovis","Attention retirer 2 mm aux dimensions transmises",0)</f>
        <v>0</v>
      </c>
      <c r="QSP26" s="1100"/>
      <c r="QSQ26" s="1100"/>
      <c r="QSR26" s="1101"/>
      <c r="QSS26" s="1110">
        <f>IF(QSW10="Bovis","Attention retirer 2 mm aux dimensions transmises",0)</f>
        <v>0</v>
      </c>
      <c r="QST26" s="1100"/>
      <c r="QSU26" s="1100"/>
      <c r="QSV26" s="1101"/>
      <c r="QSW26" s="1110">
        <f>IF(QTA10="Bovis","Attention retirer 2 mm aux dimensions transmises",0)</f>
        <v>0</v>
      </c>
      <c r="QSX26" s="1100"/>
      <c r="QSY26" s="1100"/>
      <c r="QSZ26" s="1101"/>
      <c r="QTA26" s="1110">
        <f>IF(QTE10="Bovis","Attention retirer 2 mm aux dimensions transmises",0)</f>
        <v>0</v>
      </c>
      <c r="QTB26" s="1100"/>
      <c r="QTC26" s="1100"/>
      <c r="QTD26" s="1101"/>
      <c r="QTE26" s="1110">
        <f>IF(QTI10="Bovis","Attention retirer 2 mm aux dimensions transmises",0)</f>
        <v>0</v>
      </c>
      <c r="QTF26" s="1100"/>
      <c r="QTG26" s="1100"/>
      <c r="QTH26" s="1101"/>
      <c r="QTI26" s="1110">
        <f>IF(QTM10="Bovis","Attention retirer 2 mm aux dimensions transmises",0)</f>
        <v>0</v>
      </c>
      <c r="QTJ26" s="1100"/>
      <c r="QTK26" s="1100"/>
      <c r="QTL26" s="1101"/>
      <c r="QTM26" s="1110">
        <f>IF(QTQ10="Bovis","Attention retirer 2 mm aux dimensions transmises",0)</f>
        <v>0</v>
      </c>
      <c r="QTN26" s="1100"/>
      <c r="QTO26" s="1100"/>
      <c r="QTP26" s="1101"/>
      <c r="QTQ26" s="1110">
        <f>IF(QTU10="Bovis","Attention retirer 2 mm aux dimensions transmises",0)</f>
        <v>0</v>
      </c>
      <c r="QTR26" s="1100"/>
      <c r="QTS26" s="1100"/>
      <c r="QTT26" s="1101"/>
      <c r="QTU26" s="1110">
        <f>IF(QTY10="Bovis","Attention retirer 2 mm aux dimensions transmises",0)</f>
        <v>0</v>
      </c>
      <c r="QTV26" s="1100"/>
      <c r="QTW26" s="1100"/>
      <c r="QTX26" s="1101"/>
      <c r="QTY26" s="1110">
        <f>IF(QUC10="Bovis","Attention retirer 2 mm aux dimensions transmises",0)</f>
        <v>0</v>
      </c>
      <c r="QTZ26" s="1100"/>
      <c r="QUA26" s="1100"/>
      <c r="QUB26" s="1101"/>
      <c r="QUC26" s="1110">
        <f>IF(QUG10="Bovis","Attention retirer 2 mm aux dimensions transmises",0)</f>
        <v>0</v>
      </c>
      <c r="QUD26" s="1100"/>
      <c r="QUE26" s="1100"/>
      <c r="QUF26" s="1101"/>
      <c r="QUG26" s="1110">
        <f>IF(QUK10="Bovis","Attention retirer 2 mm aux dimensions transmises",0)</f>
        <v>0</v>
      </c>
      <c r="QUH26" s="1100"/>
      <c r="QUI26" s="1100"/>
      <c r="QUJ26" s="1101"/>
      <c r="QUK26" s="1110">
        <f>IF(QUO10="Bovis","Attention retirer 2 mm aux dimensions transmises",0)</f>
        <v>0</v>
      </c>
      <c r="QUL26" s="1100"/>
      <c r="QUM26" s="1100"/>
      <c r="QUN26" s="1101"/>
      <c r="QUO26" s="1110">
        <f>IF(QUS10="Bovis","Attention retirer 2 mm aux dimensions transmises",0)</f>
        <v>0</v>
      </c>
      <c r="QUP26" s="1100"/>
      <c r="QUQ26" s="1100"/>
      <c r="QUR26" s="1101"/>
      <c r="QUS26" s="1110">
        <f>IF(QUW10="Bovis","Attention retirer 2 mm aux dimensions transmises",0)</f>
        <v>0</v>
      </c>
      <c r="QUT26" s="1100"/>
      <c r="QUU26" s="1100"/>
      <c r="QUV26" s="1101"/>
      <c r="QUW26" s="1110">
        <f>IF(QVA10="Bovis","Attention retirer 2 mm aux dimensions transmises",0)</f>
        <v>0</v>
      </c>
      <c r="QUX26" s="1100"/>
      <c r="QUY26" s="1100"/>
      <c r="QUZ26" s="1101"/>
      <c r="QVA26" s="1110">
        <f>IF(QVE10="Bovis","Attention retirer 2 mm aux dimensions transmises",0)</f>
        <v>0</v>
      </c>
      <c r="QVB26" s="1100"/>
      <c r="QVC26" s="1100"/>
      <c r="QVD26" s="1101"/>
      <c r="QVE26" s="1110">
        <f>IF(QVI10="Bovis","Attention retirer 2 mm aux dimensions transmises",0)</f>
        <v>0</v>
      </c>
      <c r="QVF26" s="1100"/>
      <c r="QVG26" s="1100"/>
      <c r="QVH26" s="1101"/>
      <c r="QVI26" s="1110">
        <f>IF(QVM10="Bovis","Attention retirer 2 mm aux dimensions transmises",0)</f>
        <v>0</v>
      </c>
      <c r="QVJ26" s="1100"/>
      <c r="QVK26" s="1100"/>
      <c r="QVL26" s="1101"/>
      <c r="QVM26" s="1110">
        <f>IF(QVQ10="Bovis","Attention retirer 2 mm aux dimensions transmises",0)</f>
        <v>0</v>
      </c>
      <c r="QVN26" s="1100"/>
      <c r="QVO26" s="1100"/>
      <c r="QVP26" s="1101"/>
      <c r="QVQ26" s="1110">
        <f>IF(QVU10="Bovis","Attention retirer 2 mm aux dimensions transmises",0)</f>
        <v>0</v>
      </c>
      <c r="QVR26" s="1100"/>
      <c r="QVS26" s="1100"/>
      <c r="QVT26" s="1101"/>
      <c r="QVU26" s="1110">
        <f>IF(QVY10="Bovis","Attention retirer 2 mm aux dimensions transmises",0)</f>
        <v>0</v>
      </c>
      <c r="QVV26" s="1100"/>
      <c r="QVW26" s="1100"/>
      <c r="QVX26" s="1101"/>
      <c r="QVY26" s="1110">
        <f>IF(QWC10="Bovis","Attention retirer 2 mm aux dimensions transmises",0)</f>
        <v>0</v>
      </c>
      <c r="QVZ26" s="1100"/>
      <c r="QWA26" s="1100"/>
      <c r="QWB26" s="1101"/>
      <c r="QWC26" s="1110">
        <f>IF(QWG10="Bovis","Attention retirer 2 mm aux dimensions transmises",0)</f>
        <v>0</v>
      </c>
      <c r="QWD26" s="1100"/>
      <c r="QWE26" s="1100"/>
      <c r="QWF26" s="1101"/>
      <c r="QWG26" s="1110">
        <f>IF(QWK10="Bovis","Attention retirer 2 mm aux dimensions transmises",0)</f>
        <v>0</v>
      </c>
      <c r="QWH26" s="1100"/>
      <c r="QWI26" s="1100"/>
      <c r="QWJ26" s="1101"/>
      <c r="QWK26" s="1110">
        <f>IF(QWO10="Bovis","Attention retirer 2 mm aux dimensions transmises",0)</f>
        <v>0</v>
      </c>
      <c r="QWL26" s="1100"/>
      <c r="QWM26" s="1100"/>
      <c r="QWN26" s="1101"/>
      <c r="QWO26" s="1110">
        <f>IF(QWS10="Bovis","Attention retirer 2 mm aux dimensions transmises",0)</f>
        <v>0</v>
      </c>
      <c r="QWP26" s="1100"/>
      <c r="QWQ26" s="1100"/>
      <c r="QWR26" s="1101"/>
      <c r="QWS26" s="1110">
        <f>IF(QWW10="Bovis","Attention retirer 2 mm aux dimensions transmises",0)</f>
        <v>0</v>
      </c>
      <c r="QWT26" s="1100"/>
      <c r="QWU26" s="1100"/>
      <c r="QWV26" s="1101"/>
      <c r="QWW26" s="1110">
        <f>IF(QXA10="Bovis","Attention retirer 2 mm aux dimensions transmises",0)</f>
        <v>0</v>
      </c>
      <c r="QWX26" s="1100"/>
      <c r="QWY26" s="1100"/>
      <c r="QWZ26" s="1101"/>
      <c r="QXA26" s="1110">
        <f>IF(QXE10="Bovis","Attention retirer 2 mm aux dimensions transmises",0)</f>
        <v>0</v>
      </c>
      <c r="QXB26" s="1100"/>
      <c r="QXC26" s="1100"/>
      <c r="QXD26" s="1101"/>
      <c r="QXE26" s="1110">
        <f>IF(QXI10="Bovis","Attention retirer 2 mm aux dimensions transmises",0)</f>
        <v>0</v>
      </c>
      <c r="QXF26" s="1100"/>
      <c r="QXG26" s="1100"/>
      <c r="QXH26" s="1101"/>
      <c r="QXI26" s="1110">
        <f>IF(QXM10="Bovis","Attention retirer 2 mm aux dimensions transmises",0)</f>
        <v>0</v>
      </c>
      <c r="QXJ26" s="1100"/>
      <c r="QXK26" s="1100"/>
      <c r="QXL26" s="1101"/>
      <c r="QXM26" s="1110">
        <f>IF(QXQ10="Bovis","Attention retirer 2 mm aux dimensions transmises",0)</f>
        <v>0</v>
      </c>
      <c r="QXN26" s="1100"/>
      <c r="QXO26" s="1100"/>
      <c r="QXP26" s="1101"/>
      <c r="QXQ26" s="1110">
        <f>IF(QXU10="Bovis","Attention retirer 2 mm aux dimensions transmises",0)</f>
        <v>0</v>
      </c>
      <c r="QXR26" s="1100"/>
      <c r="QXS26" s="1100"/>
      <c r="QXT26" s="1101"/>
      <c r="QXU26" s="1110">
        <f>IF(QXY10="Bovis","Attention retirer 2 mm aux dimensions transmises",0)</f>
        <v>0</v>
      </c>
      <c r="QXV26" s="1100"/>
      <c r="QXW26" s="1100"/>
      <c r="QXX26" s="1101"/>
      <c r="QXY26" s="1110">
        <f>IF(QYC10="Bovis","Attention retirer 2 mm aux dimensions transmises",0)</f>
        <v>0</v>
      </c>
      <c r="QXZ26" s="1100"/>
      <c r="QYA26" s="1100"/>
      <c r="QYB26" s="1101"/>
      <c r="QYC26" s="1110">
        <f>IF(QYG10="Bovis","Attention retirer 2 mm aux dimensions transmises",0)</f>
        <v>0</v>
      </c>
      <c r="QYD26" s="1100"/>
      <c r="QYE26" s="1100"/>
      <c r="QYF26" s="1101"/>
      <c r="QYG26" s="1110">
        <f>IF(QYK10="Bovis","Attention retirer 2 mm aux dimensions transmises",0)</f>
        <v>0</v>
      </c>
      <c r="QYH26" s="1100"/>
      <c r="QYI26" s="1100"/>
      <c r="QYJ26" s="1101"/>
      <c r="QYK26" s="1110">
        <f>IF(QYO10="Bovis","Attention retirer 2 mm aux dimensions transmises",0)</f>
        <v>0</v>
      </c>
      <c r="QYL26" s="1100"/>
      <c r="QYM26" s="1100"/>
      <c r="QYN26" s="1101"/>
      <c r="QYO26" s="1110">
        <f>IF(QYS10="Bovis","Attention retirer 2 mm aux dimensions transmises",0)</f>
        <v>0</v>
      </c>
      <c r="QYP26" s="1100"/>
      <c r="QYQ26" s="1100"/>
      <c r="QYR26" s="1101"/>
      <c r="QYS26" s="1110">
        <f>IF(QYW10="Bovis","Attention retirer 2 mm aux dimensions transmises",0)</f>
        <v>0</v>
      </c>
      <c r="QYT26" s="1100"/>
      <c r="QYU26" s="1100"/>
      <c r="QYV26" s="1101"/>
      <c r="QYW26" s="1110">
        <f>IF(QZA10="Bovis","Attention retirer 2 mm aux dimensions transmises",0)</f>
        <v>0</v>
      </c>
      <c r="QYX26" s="1100"/>
      <c r="QYY26" s="1100"/>
      <c r="QYZ26" s="1101"/>
      <c r="QZA26" s="1110">
        <f>IF(QZE10="Bovis","Attention retirer 2 mm aux dimensions transmises",0)</f>
        <v>0</v>
      </c>
      <c r="QZB26" s="1100"/>
      <c r="QZC26" s="1100"/>
      <c r="QZD26" s="1101"/>
      <c r="QZE26" s="1110">
        <f>IF(QZI10="Bovis","Attention retirer 2 mm aux dimensions transmises",0)</f>
        <v>0</v>
      </c>
      <c r="QZF26" s="1100"/>
      <c r="QZG26" s="1100"/>
      <c r="QZH26" s="1101"/>
      <c r="QZI26" s="1110">
        <f>IF(QZM10="Bovis","Attention retirer 2 mm aux dimensions transmises",0)</f>
        <v>0</v>
      </c>
      <c r="QZJ26" s="1100"/>
      <c r="QZK26" s="1100"/>
      <c r="QZL26" s="1101"/>
      <c r="QZM26" s="1110">
        <f>IF(QZQ10="Bovis","Attention retirer 2 mm aux dimensions transmises",0)</f>
        <v>0</v>
      </c>
      <c r="QZN26" s="1100"/>
      <c r="QZO26" s="1100"/>
      <c r="QZP26" s="1101"/>
      <c r="QZQ26" s="1110">
        <f>IF(QZU10="Bovis","Attention retirer 2 mm aux dimensions transmises",0)</f>
        <v>0</v>
      </c>
      <c r="QZR26" s="1100"/>
      <c r="QZS26" s="1100"/>
      <c r="QZT26" s="1101"/>
      <c r="QZU26" s="1110">
        <f>IF(QZY10="Bovis","Attention retirer 2 mm aux dimensions transmises",0)</f>
        <v>0</v>
      </c>
      <c r="QZV26" s="1100"/>
      <c r="QZW26" s="1100"/>
      <c r="QZX26" s="1101"/>
      <c r="QZY26" s="1110">
        <f>IF(RAC10="Bovis","Attention retirer 2 mm aux dimensions transmises",0)</f>
        <v>0</v>
      </c>
      <c r="QZZ26" s="1100"/>
      <c r="RAA26" s="1100"/>
      <c r="RAB26" s="1101"/>
      <c r="RAC26" s="1110">
        <f>IF(RAG10="Bovis","Attention retirer 2 mm aux dimensions transmises",0)</f>
        <v>0</v>
      </c>
      <c r="RAD26" s="1100"/>
      <c r="RAE26" s="1100"/>
      <c r="RAF26" s="1101"/>
      <c r="RAG26" s="1110">
        <f>IF(RAK10="Bovis","Attention retirer 2 mm aux dimensions transmises",0)</f>
        <v>0</v>
      </c>
      <c r="RAH26" s="1100"/>
      <c r="RAI26" s="1100"/>
      <c r="RAJ26" s="1101"/>
      <c r="RAK26" s="1110">
        <f>IF(RAO10="Bovis","Attention retirer 2 mm aux dimensions transmises",0)</f>
        <v>0</v>
      </c>
      <c r="RAL26" s="1100"/>
      <c r="RAM26" s="1100"/>
      <c r="RAN26" s="1101"/>
      <c r="RAO26" s="1110">
        <f>IF(RAS10="Bovis","Attention retirer 2 mm aux dimensions transmises",0)</f>
        <v>0</v>
      </c>
      <c r="RAP26" s="1100"/>
      <c r="RAQ26" s="1100"/>
      <c r="RAR26" s="1101"/>
      <c r="RAS26" s="1110">
        <f>IF(RAW10="Bovis","Attention retirer 2 mm aux dimensions transmises",0)</f>
        <v>0</v>
      </c>
      <c r="RAT26" s="1100"/>
      <c r="RAU26" s="1100"/>
      <c r="RAV26" s="1101"/>
      <c r="RAW26" s="1110">
        <f>IF(RBA10="Bovis","Attention retirer 2 mm aux dimensions transmises",0)</f>
        <v>0</v>
      </c>
      <c r="RAX26" s="1100"/>
      <c r="RAY26" s="1100"/>
      <c r="RAZ26" s="1101"/>
      <c r="RBA26" s="1110">
        <f>IF(RBE10="Bovis","Attention retirer 2 mm aux dimensions transmises",0)</f>
        <v>0</v>
      </c>
      <c r="RBB26" s="1100"/>
      <c r="RBC26" s="1100"/>
      <c r="RBD26" s="1101"/>
      <c r="RBE26" s="1110">
        <f>IF(RBI10="Bovis","Attention retirer 2 mm aux dimensions transmises",0)</f>
        <v>0</v>
      </c>
      <c r="RBF26" s="1100"/>
      <c r="RBG26" s="1100"/>
      <c r="RBH26" s="1101"/>
      <c r="RBI26" s="1110">
        <f>IF(RBM10="Bovis","Attention retirer 2 mm aux dimensions transmises",0)</f>
        <v>0</v>
      </c>
      <c r="RBJ26" s="1100"/>
      <c r="RBK26" s="1100"/>
      <c r="RBL26" s="1101"/>
      <c r="RBM26" s="1110">
        <f>IF(RBQ10="Bovis","Attention retirer 2 mm aux dimensions transmises",0)</f>
        <v>0</v>
      </c>
      <c r="RBN26" s="1100"/>
      <c r="RBO26" s="1100"/>
      <c r="RBP26" s="1101"/>
      <c r="RBQ26" s="1110">
        <f>IF(RBU10="Bovis","Attention retirer 2 mm aux dimensions transmises",0)</f>
        <v>0</v>
      </c>
      <c r="RBR26" s="1100"/>
      <c r="RBS26" s="1100"/>
      <c r="RBT26" s="1101"/>
      <c r="RBU26" s="1110">
        <f>IF(RBY10="Bovis","Attention retirer 2 mm aux dimensions transmises",0)</f>
        <v>0</v>
      </c>
      <c r="RBV26" s="1100"/>
      <c r="RBW26" s="1100"/>
      <c r="RBX26" s="1101"/>
      <c r="RBY26" s="1110">
        <f>IF(RCC10="Bovis","Attention retirer 2 mm aux dimensions transmises",0)</f>
        <v>0</v>
      </c>
      <c r="RBZ26" s="1100"/>
      <c r="RCA26" s="1100"/>
      <c r="RCB26" s="1101"/>
      <c r="RCC26" s="1110">
        <f>IF(RCG10="Bovis","Attention retirer 2 mm aux dimensions transmises",0)</f>
        <v>0</v>
      </c>
      <c r="RCD26" s="1100"/>
      <c r="RCE26" s="1100"/>
      <c r="RCF26" s="1101"/>
      <c r="RCG26" s="1110">
        <f>IF(RCK10="Bovis","Attention retirer 2 mm aux dimensions transmises",0)</f>
        <v>0</v>
      </c>
      <c r="RCH26" s="1100"/>
      <c r="RCI26" s="1100"/>
      <c r="RCJ26" s="1101"/>
      <c r="RCK26" s="1110">
        <f>IF(RCO10="Bovis","Attention retirer 2 mm aux dimensions transmises",0)</f>
        <v>0</v>
      </c>
      <c r="RCL26" s="1100"/>
      <c r="RCM26" s="1100"/>
      <c r="RCN26" s="1101"/>
      <c r="RCO26" s="1110">
        <f>IF(RCS10="Bovis","Attention retirer 2 mm aux dimensions transmises",0)</f>
        <v>0</v>
      </c>
      <c r="RCP26" s="1100"/>
      <c r="RCQ26" s="1100"/>
      <c r="RCR26" s="1101"/>
      <c r="RCS26" s="1110">
        <f>IF(RCW10="Bovis","Attention retirer 2 mm aux dimensions transmises",0)</f>
        <v>0</v>
      </c>
      <c r="RCT26" s="1100"/>
      <c r="RCU26" s="1100"/>
      <c r="RCV26" s="1101"/>
      <c r="RCW26" s="1110">
        <f>IF(RDA10="Bovis","Attention retirer 2 mm aux dimensions transmises",0)</f>
        <v>0</v>
      </c>
      <c r="RCX26" s="1100"/>
      <c r="RCY26" s="1100"/>
      <c r="RCZ26" s="1101"/>
      <c r="RDA26" s="1110">
        <f>IF(RDE10="Bovis","Attention retirer 2 mm aux dimensions transmises",0)</f>
        <v>0</v>
      </c>
      <c r="RDB26" s="1100"/>
      <c r="RDC26" s="1100"/>
      <c r="RDD26" s="1101"/>
      <c r="RDE26" s="1110">
        <f>IF(RDI10="Bovis","Attention retirer 2 mm aux dimensions transmises",0)</f>
        <v>0</v>
      </c>
      <c r="RDF26" s="1100"/>
      <c r="RDG26" s="1100"/>
      <c r="RDH26" s="1101"/>
      <c r="RDI26" s="1110">
        <f>IF(RDM10="Bovis","Attention retirer 2 mm aux dimensions transmises",0)</f>
        <v>0</v>
      </c>
      <c r="RDJ26" s="1100"/>
      <c r="RDK26" s="1100"/>
      <c r="RDL26" s="1101"/>
      <c r="RDM26" s="1110">
        <f>IF(RDQ10="Bovis","Attention retirer 2 mm aux dimensions transmises",0)</f>
        <v>0</v>
      </c>
      <c r="RDN26" s="1100"/>
      <c r="RDO26" s="1100"/>
      <c r="RDP26" s="1101"/>
      <c r="RDQ26" s="1110">
        <f>IF(RDU10="Bovis","Attention retirer 2 mm aux dimensions transmises",0)</f>
        <v>0</v>
      </c>
      <c r="RDR26" s="1100"/>
      <c r="RDS26" s="1100"/>
      <c r="RDT26" s="1101"/>
      <c r="RDU26" s="1110">
        <f>IF(RDY10="Bovis","Attention retirer 2 mm aux dimensions transmises",0)</f>
        <v>0</v>
      </c>
      <c r="RDV26" s="1100"/>
      <c r="RDW26" s="1100"/>
      <c r="RDX26" s="1101"/>
      <c r="RDY26" s="1110">
        <f>IF(REC10="Bovis","Attention retirer 2 mm aux dimensions transmises",0)</f>
        <v>0</v>
      </c>
      <c r="RDZ26" s="1100"/>
      <c r="REA26" s="1100"/>
      <c r="REB26" s="1101"/>
      <c r="REC26" s="1110">
        <f>IF(REG10="Bovis","Attention retirer 2 mm aux dimensions transmises",0)</f>
        <v>0</v>
      </c>
      <c r="RED26" s="1100"/>
      <c r="REE26" s="1100"/>
      <c r="REF26" s="1101"/>
      <c r="REG26" s="1110">
        <f>IF(REK10="Bovis","Attention retirer 2 mm aux dimensions transmises",0)</f>
        <v>0</v>
      </c>
      <c r="REH26" s="1100"/>
      <c r="REI26" s="1100"/>
      <c r="REJ26" s="1101"/>
      <c r="REK26" s="1110">
        <f>IF(REO10="Bovis","Attention retirer 2 mm aux dimensions transmises",0)</f>
        <v>0</v>
      </c>
      <c r="REL26" s="1100"/>
      <c r="REM26" s="1100"/>
      <c r="REN26" s="1101"/>
      <c r="REO26" s="1110">
        <f>IF(RES10="Bovis","Attention retirer 2 mm aux dimensions transmises",0)</f>
        <v>0</v>
      </c>
      <c r="REP26" s="1100"/>
      <c r="REQ26" s="1100"/>
      <c r="RER26" s="1101"/>
      <c r="RES26" s="1110">
        <f>IF(REW10="Bovis","Attention retirer 2 mm aux dimensions transmises",0)</f>
        <v>0</v>
      </c>
      <c r="RET26" s="1100"/>
      <c r="REU26" s="1100"/>
      <c r="REV26" s="1101"/>
      <c r="REW26" s="1110">
        <f>IF(RFA10="Bovis","Attention retirer 2 mm aux dimensions transmises",0)</f>
        <v>0</v>
      </c>
      <c r="REX26" s="1100"/>
      <c r="REY26" s="1100"/>
      <c r="REZ26" s="1101"/>
      <c r="RFA26" s="1110">
        <f>IF(RFE10="Bovis","Attention retirer 2 mm aux dimensions transmises",0)</f>
        <v>0</v>
      </c>
      <c r="RFB26" s="1100"/>
      <c r="RFC26" s="1100"/>
      <c r="RFD26" s="1101"/>
      <c r="RFE26" s="1110">
        <f>IF(RFI10="Bovis","Attention retirer 2 mm aux dimensions transmises",0)</f>
        <v>0</v>
      </c>
      <c r="RFF26" s="1100"/>
      <c r="RFG26" s="1100"/>
      <c r="RFH26" s="1101"/>
      <c r="RFI26" s="1110">
        <f>IF(RFM10="Bovis","Attention retirer 2 mm aux dimensions transmises",0)</f>
        <v>0</v>
      </c>
      <c r="RFJ26" s="1100"/>
      <c r="RFK26" s="1100"/>
      <c r="RFL26" s="1101"/>
      <c r="RFM26" s="1110">
        <f>IF(RFQ10="Bovis","Attention retirer 2 mm aux dimensions transmises",0)</f>
        <v>0</v>
      </c>
      <c r="RFN26" s="1100"/>
      <c r="RFO26" s="1100"/>
      <c r="RFP26" s="1101"/>
      <c r="RFQ26" s="1110">
        <f>IF(RFU10="Bovis","Attention retirer 2 mm aux dimensions transmises",0)</f>
        <v>0</v>
      </c>
      <c r="RFR26" s="1100"/>
      <c r="RFS26" s="1100"/>
      <c r="RFT26" s="1101"/>
      <c r="RFU26" s="1110">
        <f>IF(RFY10="Bovis","Attention retirer 2 mm aux dimensions transmises",0)</f>
        <v>0</v>
      </c>
      <c r="RFV26" s="1100"/>
      <c r="RFW26" s="1100"/>
      <c r="RFX26" s="1101"/>
      <c r="RFY26" s="1110">
        <f>IF(RGC10="Bovis","Attention retirer 2 mm aux dimensions transmises",0)</f>
        <v>0</v>
      </c>
      <c r="RFZ26" s="1100"/>
      <c r="RGA26" s="1100"/>
      <c r="RGB26" s="1101"/>
      <c r="RGC26" s="1110">
        <f>IF(RGG10="Bovis","Attention retirer 2 mm aux dimensions transmises",0)</f>
        <v>0</v>
      </c>
      <c r="RGD26" s="1100"/>
      <c r="RGE26" s="1100"/>
      <c r="RGF26" s="1101"/>
      <c r="RGG26" s="1110">
        <f>IF(RGK10="Bovis","Attention retirer 2 mm aux dimensions transmises",0)</f>
        <v>0</v>
      </c>
      <c r="RGH26" s="1100"/>
      <c r="RGI26" s="1100"/>
      <c r="RGJ26" s="1101"/>
      <c r="RGK26" s="1110">
        <f>IF(RGO10="Bovis","Attention retirer 2 mm aux dimensions transmises",0)</f>
        <v>0</v>
      </c>
      <c r="RGL26" s="1100"/>
      <c r="RGM26" s="1100"/>
      <c r="RGN26" s="1101"/>
      <c r="RGO26" s="1110">
        <f>IF(RGS10="Bovis","Attention retirer 2 mm aux dimensions transmises",0)</f>
        <v>0</v>
      </c>
      <c r="RGP26" s="1100"/>
      <c r="RGQ26" s="1100"/>
      <c r="RGR26" s="1101"/>
      <c r="RGS26" s="1110">
        <f>IF(RGW10="Bovis","Attention retirer 2 mm aux dimensions transmises",0)</f>
        <v>0</v>
      </c>
      <c r="RGT26" s="1100"/>
      <c r="RGU26" s="1100"/>
      <c r="RGV26" s="1101"/>
      <c r="RGW26" s="1110">
        <f>IF(RHA10="Bovis","Attention retirer 2 mm aux dimensions transmises",0)</f>
        <v>0</v>
      </c>
      <c r="RGX26" s="1100"/>
      <c r="RGY26" s="1100"/>
      <c r="RGZ26" s="1101"/>
      <c r="RHA26" s="1110">
        <f>IF(RHE10="Bovis","Attention retirer 2 mm aux dimensions transmises",0)</f>
        <v>0</v>
      </c>
      <c r="RHB26" s="1100"/>
      <c r="RHC26" s="1100"/>
      <c r="RHD26" s="1101"/>
      <c r="RHE26" s="1110">
        <f>IF(RHI10="Bovis","Attention retirer 2 mm aux dimensions transmises",0)</f>
        <v>0</v>
      </c>
      <c r="RHF26" s="1100"/>
      <c r="RHG26" s="1100"/>
      <c r="RHH26" s="1101"/>
      <c r="RHI26" s="1110">
        <f>IF(RHM10="Bovis","Attention retirer 2 mm aux dimensions transmises",0)</f>
        <v>0</v>
      </c>
      <c r="RHJ26" s="1100"/>
      <c r="RHK26" s="1100"/>
      <c r="RHL26" s="1101"/>
      <c r="RHM26" s="1110">
        <f>IF(RHQ10="Bovis","Attention retirer 2 mm aux dimensions transmises",0)</f>
        <v>0</v>
      </c>
      <c r="RHN26" s="1100"/>
      <c r="RHO26" s="1100"/>
      <c r="RHP26" s="1101"/>
      <c r="RHQ26" s="1110">
        <f>IF(RHU10="Bovis","Attention retirer 2 mm aux dimensions transmises",0)</f>
        <v>0</v>
      </c>
      <c r="RHR26" s="1100"/>
      <c r="RHS26" s="1100"/>
      <c r="RHT26" s="1101"/>
      <c r="RHU26" s="1110">
        <f>IF(RHY10="Bovis","Attention retirer 2 mm aux dimensions transmises",0)</f>
        <v>0</v>
      </c>
      <c r="RHV26" s="1100"/>
      <c r="RHW26" s="1100"/>
      <c r="RHX26" s="1101"/>
      <c r="RHY26" s="1110">
        <f>IF(RIC10="Bovis","Attention retirer 2 mm aux dimensions transmises",0)</f>
        <v>0</v>
      </c>
      <c r="RHZ26" s="1100"/>
      <c r="RIA26" s="1100"/>
      <c r="RIB26" s="1101"/>
      <c r="RIC26" s="1110">
        <f>IF(RIG10="Bovis","Attention retirer 2 mm aux dimensions transmises",0)</f>
        <v>0</v>
      </c>
      <c r="RID26" s="1100"/>
      <c r="RIE26" s="1100"/>
      <c r="RIF26" s="1101"/>
      <c r="RIG26" s="1110">
        <f>IF(RIK10="Bovis","Attention retirer 2 mm aux dimensions transmises",0)</f>
        <v>0</v>
      </c>
      <c r="RIH26" s="1100"/>
      <c r="RII26" s="1100"/>
      <c r="RIJ26" s="1101"/>
      <c r="RIK26" s="1110">
        <f>IF(RIO10="Bovis","Attention retirer 2 mm aux dimensions transmises",0)</f>
        <v>0</v>
      </c>
      <c r="RIL26" s="1100"/>
      <c r="RIM26" s="1100"/>
      <c r="RIN26" s="1101"/>
      <c r="RIO26" s="1110">
        <f>IF(RIS10="Bovis","Attention retirer 2 mm aux dimensions transmises",0)</f>
        <v>0</v>
      </c>
      <c r="RIP26" s="1100"/>
      <c r="RIQ26" s="1100"/>
      <c r="RIR26" s="1101"/>
      <c r="RIS26" s="1110">
        <f>IF(RIW10="Bovis","Attention retirer 2 mm aux dimensions transmises",0)</f>
        <v>0</v>
      </c>
      <c r="RIT26" s="1100"/>
      <c r="RIU26" s="1100"/>
      <c r="RIV26" s="1101"/>
      <c r="RIW26" s="1110">
        <f>IF(RJA10="Bovis","Attention retirer 2 mm aux dimensions transmises",0)</f>
        <v>0</v>
      </c>
      <c r="RIX26" s="1100"/>
      <c r="RIY26" s="1100"/>
      <c r="RIZ26" s="1101"/>
      <c r="RJA26" s="1110">
        <f>IF(RJE10="Bovis","Attention retirer 2 mm aux dimensions transmises",0)</f>
        <v>0</v>
      </c>
      <c r="RJB26" s="1100"/>
      <c r="RJC26" s="1100"/>
      <c r="RJD26" s="1101"/>
      <c r="RJE26" s="1110">
        <f>IF(RJI10="Bovis","Attention retirer 2 mm aux dimensions transmises",0)</f>
        <v>0</v>
      </c>
      <c r="RJF26" s="1100"/>
      <c r="RJG26" s="1100"/>
      <c r="RJH26" s="1101"/>
      <c r="RJI26" s="1110">
        <f>IF(RJM10="Bovis","Attention retirer 2 mm aux dimensions transmises",0)</f>
        <v>0</v>
      </c>
      <c r="RJJ26" s="1100"/>
      <c r="RJK26" s="1100"/>
      <c r="RJL26" s="1101"/>
      <c r="RJM26" s="1110">
        <f>IF(RJQ10="Bovis","Attention retirer 2 mm aux dimensions transmises",0)</f>
        <v>0</v>
      </c>
      <c r="RJN26" s="1100"/>
      <c r="RJO26" s="1100"/>
      <c r="RJP26" s="1101"/>
      <c r="RJQ26" s="1110">
        <f>IF(RJU10="Bovis","Attention retirer 2 mm aux dimensions transmises",0)</f>
        <v>0</v>
      </c>
      <c r="RJR26" s="1100"/>
      <c r="RJS26" s="1100"/>
      <c r="RJT26" s="1101"/>
      <c r="RJU26" s="1110">
        <f>IF(RJY10="Bovis","Attention retirer 2 mm aux dimensions transmises",0)</f>
        <v>0</v>
      </c>
      <c r="RJV26" s="1100"/>
      <c r="RJW26" s="1100"/>
      <c r="RJX26" s="1101"/>
      <c r="RJY26" s="1110">
        <f>IF(RKC10="Bovis","Attention retirer 2 mm aux dimensions transmises",0)</f>
        <v>0</v>
      </c>
      <c r="RJZ26" s="1100"/>
      <c r="RKA26" s="1100"/>
      <c r="RKB26" s="1101"/>
      <c r="RKC26" s="1110">
        <f>IF(RKG10="Bovis","Attention retirer 2 mm aux dimensions transmises",0)</f>
        <v>0</v>
      </c>
      <c r="RKD26" s="1100"/>
      <c r="RKE26" s="1100"/>
      <c r="RKF26" s="1101"/>
      <c r="RKG26" s="1110">
        <f>IF(RKK10="Bovis","Attention retirer 2 mm aux dimensions transmises",0)</f>
        <v>0</v>
      </c>
      <c r="RKH26" s="1100"/>
      <c r="RKI26" s="1100"/>
      <c r="RKJ26" s="1101"/>
      <c r="RKK26" s="1110">
        <f>IF(RKO10="Bovis","Attention retirer 2 mm aux dimensions transmises",0)</f>
        <v>0</v>
      </c>
      <c r="RKL26" s="1100"/>
      <c r="RKM26" s="1100"/>
      <c r="RKN26" s="1101"/>
      <c r="RKO26" s="1110">
        <f>IF(RKS10="Bovis","Attention retirer 2 mm aux dimensions transmises",0)</f>
        <v>0</v>
      </c>
      <c r="RKP26" s="1100"/>
      <c r="RKQ26" s="1100"/>
      <c r="RKR26" s="1101"/>
      <c r="RKS26" s="1110">
        <f>IF(RKW10="Bovis","Attention retirer 2 mm aux dimensions transmises",0)</f>
        <v>0</v>
      </c>
      <c r="RKT26" s="1100"/>
      <c r="RKU26" s="1100"/>
      <c r="RKV26" s="1101"/>
      <c r="RKW26" s="1110">
        <f>IF(RLA10="Bovis","Attention retirer 2 mm aux dimensions transmises",0)</f>
        <v>0</v>
      </c>
      <c r="RKX26" s="1100"/>
      <c r="RKY26" s="1100"/>
      <c r="RKZ26" s="1101"/>
      <c r="RLA26" s="1110">
        <f>IF(RLE10="Bovis","Attention retirer 2 mm aux dimensions transmises",0)</f>
        <v>0</v>
      </c>
      <c r="RLB26" s="1100"/>
      <c r="RLC26" s="1100"/>
      <c r="RLD26" s="1101"/>
      <c r="RLE26" s="1110">
        <f>IF(RLI10="Bovis","Attention retirer 2 mm aux dimensions transmises",0)</f>
        <v>0</v>
      </c>
      <c r="RLF26" s="1100"/>
      <c r="RLG26" s="1100"/>
      <c r="RLH26" s="1101"/>
      <c r="RLI26" s="1110">
        <f>IF(RLM10="Bovis","Attention retirer 2 mm aux dimensions transmises",0)</f>
        <v>0</v>
      </c>
      <c r="RLJ26" s="1100"/>
      <c r="RLK26" s="1100"/>
      <c r="RLL26" s="1101"/>
      <c r="RLM26" s="1110">
        <f>IF(RLQ10="Bovis","Attention retirer 2 mm aux dimensions transmises",0)</f>
        <v>0</v>
      </c>
      <c r="RLN26" s="1100"/>
      <c r="RLO26" s="1100"/>
      <c r="RLP26" s="1101"/>
      <c r="RLQ26" s="1110">
        <f>IF(RLU10="Bovis","Attention retirer 2 mm aux dimensions transmises",0)</f>
        <v>0</v>
      </c>
      <c r="RLR26" s="1100"/>
      <c r="RLS26" s="1100"/>
      <c r="RLT26" s="1101"/>
      <c r="RLU26" s="1110">
        <f>IF(RLY10="Bovis","Attention retirer 2 mm aux dimensions transmises",0)</f>
        <v>0</v>
      </c>
      <c r="RLV26" s="1100"/>
      <c r="RLW26" s="1100"/>
      <c r="RLX26" s="1101"/>
      <c r="RLY26" s="1110">
        <f>IF(RMC10="Bovis","Attention retirer 2 mm aux dimensions transmises",0)</f>
        <v>0</v>
      </c>
      <c r="RLZ26" s="1100"/>
      <c r="RMA26" s="1100"/>
      <c r="RMB26" s="1101"/>
      <c r="RMC26" s="1110">
        <f>IF(RMG10="Bovis","Attention retirer 2 mm aux dimensions transmises",0)</f>
        <v>0</v>
      </c>
      <c r="RMD26" s="1100"/>
      <c r="RME26" s="1100"/>
      <c r="RMF26" s="1101"/>
      <c r="RMG26" s="1110">
        <f>IF(RMK10="Bovis","Attention retirer 2 mm aux dimensions transmises",0)</f>
        <v>0</v>
      </c>
      <c r="RMH26" s="1100"/>
      <c r="RMI26" s="1100"/>
      <c r="RMJ26" s="1101"/>
      <c r="RMK26" s="1110">
        <f>IF(RMO10="Bovis","Attention retirer 2 mm aux dimensions transmises",0)</f>
        <v>0</v>
      </c>
      <c r="RML26" s="1100"/>
      <c r="RMM26" s="1100"/>
      <c r="RMN26" s="1101"/>
      <c r="RMO26" s="1110">
        <f>IF(RMS10="Bovis","Attention retirer 2 mm aux dimensions transmises",0)</f>
        <v>0</v>
      </c>
      <c r="RMP26" s="1100"/>
      <c r="RMQ26" s="1100"/>
      <c r="RMR26" s="1101"/>
      <c r="RMS26" s="1110">
        <f>IF(RMW10="Bovis","Attention retirer 2 mm aux dimensions transmises",0)</f>
        <v>0</v>
      </c>
      <c r="RMT26" s="1100"/>
      <c r="RMU26" s="1100"/>
      <c r="RMV26" s="1101"/>
      <c r="RMW26" s="1110">
        <f>IF(RNA10="Bovis","Attention retirer 2 mm aux dimensions transmises",0)</f>
        <v>0</v>
      </c>
      <c r="RMX26" s="1100"/>
      <c r="RMY26" s="1100"/>
      <c r="RMZ26" s="1101"/>
      <c r="RNA26" s="1110">
        <f>IF(RNE10="Bovis","Attention retirer 2 mm aux dimensions transmises",0)</f>
        <v>0</v>
      </c>
      <c r="RNB26" s="1100"/>
      <c r="RNC26" s="1100"/>
      <c r="RND26" s="1101"/>
      <c r="RNE26" s="1110">
        <f>IF(RNI10="Bovis","Attention retirer 2 mm aux dimensions transmises",0)</f>
        <v>0</v>
      </c>
      <c r="RNF26" s="1100"/>
      <c r="RNG26" s="1100"/>
      <c r="RNH26" s="1101"/>
      <c r="RNI26" s="1110">
        <f>IF(RNM10="Bovis","Attention retirer 2 mm aux dimensions transmises",0)</f>
        <v>0</v>
      </c>
      <c r="RNJ26" s="1100"/>
      <c r="RNK26" s="1100"/>
      <c r="RNL26" s="1101"/>
      <c r="RNM26" s="1110">
        <f>IF(RNQ10="Bovis","Attention retirer 2 mm aux dimensions transmises",0)</f>
        <v>0</v>
      </c>
      <c r="RNN26" s="1100"/>
      <c r="RNO26" s="1100"/>
      <c r="RNP26" s="1101"/>
      <c r="RNQ26" s="1110">
        <f>IF(RNU10="Bovis","Attention retirer 2 mm aux dimensions transmises",0)</f>
        <v>0</v>
      </c>
      <c r="RNR26" s="1100"/>
      <c r="RNS26" s="1100"/>
      <c r="RNT26" s="1101"/>
      <c r="RNU26" s="1110">
        <f>IF(RNY10="Bovis","Attention retirer 2 mm aux dimensions transmises",0)</f>
        <v>0</v>
      </c>
      <c r="RNV26" s="1100"/>
      <c r="RNW26" s="1100"/>
      <c r="RNX26" s="1101"/>
      <c r="RNY26" s="1110">
        <f>IF(ROC10="Bovis","Attention retirer 2 mm aux dimensions transmises",0)</f>
        <v>0</v>
      </c>
      <c r="RNZ26" s="1100"/>
      <c r="ROA26" s="1100"/>
      <c r="ROB26" s="1101"/>
      <c r="ROC26" s="1110">
        <f>IF(ROG10="Bovis","Attention retirer 2 mm aux dimensions transmises",0)</f>
        <v>0</v>
      </c>
      <c r="ROD26" s="1100"/>
      <c r="ROE26" s="1100"/>
      <c r="ROF26" s="1101"/>
      <c r="ROG26" s="1110">
        <f>IF(ROK10="Bovis","Attention retirer 2 mm aux dimensions transmises",0)</f>
        <v>0</v>
      </c>
      <c r="ROH26" s="1100"/>
      <c r="ROI26" s="1100"/>
      <c r="ROJ26" s="1101"/>
      <c r="ROK26" s="1110">
        <f>IF(ROO10="Bovis","Attention retirer 2 mm aux dimensions transmises",0)</f>
        <v>0</v>
      </c>
      <c r="ROL26" s="1100"/>
      <c r="ROM26" s="1100"/>
      <c r="RON26" s="1101"/>
      <c r="ROO26" s="1110">
        <f>IF(ROS10="Bovis","Attention retirer 2 mm aux dimensions transmises",0)</f>
        <v>0</v>
      </c>
      <c r="ROP26" s="1100"/>
      <c r="ROQ26" s="1100"/>
      <c r="ROR26" s="1101"/>
      <c r="ROS26" s="1110">
        <f>IF(ROW10="Bovis","Attention retirer 2 mm aux dimensions transmises",0)</f>
        <v>0</v>
      </c>
      <c r="ROT26" s="1100"/>
      <c r="ROU26" s="1100"/>
      <c r="ROV26" s="1101"/>
      <c r="ROW26" s="1110">
        <f>IF(RPA10="Bovis","Attention retirer 2 mm aux dimensions transmises",0)</f>
        <v>0</v>
      </c>
      <c r="ROX26" s="1100"/>
      <c r="ROY26" s="1100"/>
      <c r="ROZ26" s="1101"/>
      <c r="RPA26" s="1110">
        <f>IF(RPE10="Bovis","Attention retirer 2 mm aux dimensions transmises",0)</f>
        <v>0</v>
      </c>
      <c r="RPB26" s="1100"/>
      <c r="RPC26" s="1100"/>
      <c r="RPD26" s="1101"/>
      <c r="RPE26" s="1110">
        <f>IF(RPI10="Bovis","Attention retirer 2 mm aux dimensions transmises",0)</f>
        <v>0</v>
      </c>
      <c r="RPF26" s="1100"/>
      <c r="RPG26" s="1100"/>
      <c r="RPH26" s="1101"/>
      <c r="RPI26" s="1110">
        <f>IF(RPM10="Bovis","Attention retirer 2 mm aux dimensions transmises",0)</f>
        <v>0</v>
      </c>
      <c r="RPJ26" s="1100"/>
      <c r="RPK26" s="1100"/>
      <c r="RPL26" s="1101"/>
      <c r="RPM26" s="1110">
        <f>IF(RPQ10="Bovis","Attention retirer 2 mm aux dimensions transmises",0)</f>
        <v>0</v>
      </c>
      <c r="RPN26" s="1100"/>
      <c r="RPO26" s="1100"/>
      <c r="RPP26" s="1101"/>
      <c r="RPQ26" s="1110">
        <f>IF(RPU10="Bovis","Attention retirer 2 mm aux dimensions transmises",0)</f>
        <v>0</v>
      </c>
      <c r="RPR26" s="1100"/>
      <c r="RPS26" s="1100"/>
      <c r="RPT26" s="1101"/>
      <c r="RPU26" s="1110">
        <f>IF(RPY10="Bovis","Attention retirer 2 mm aux dimensions transmises",0)</f>
        <v>0</v>
      </c>
      <c r="RPV26" s="1100"/>
      <c r="RPW26" s="1100"/>
      <c r="RPX26" s="1101"/>
      <c r="RPY26" s="1110">
        <f>IF(RQC10="Bovis","Attention retirer 2 mm aux dimensions transmises",0)</f>
        <v>0</v>
      </c>
      <c r="RPZ26" s="1100"/>
      <c r="RQA26" s="1100"/>
      <c r="RQB26" s="1101"/>
      <c r="RQC26" s="1110">
        <f>IF(RQG10="Bovis","Attention retirer 2 mm aux dimensions transmises",0)</f>
        <v>0</v>
      </c>
      <c r="RQD26" s="1100"/>
      <c r="RQE26" s="1100"/>
      <c r="RQF26" s="1101"/>
      <c r="RQG26" s="1110">
        <f>IF(RQK10="Bovis","Attention retirer 2 mm aux dimensions transmises",0)</f>
        <v>0</v>
      </c>
      <c r="RQH26" s="1100"/>
      <c r="RQI26" s="1100"/>
      <c r="RQJ26" s="1101"/>
      <c r="RQK26" s="1110">
        <f>IF(RQO10="Bovis","Attention retirer 2 mm aux dimensions transmises",0)</f>
        <v>0</v>
      </c>
      <c r="RQL26" s="1100"/>
      <c r="RQM26" s="1100"/>
      <c r="RQN26" s="1101"/>
      <c r="RQO26" s="1110">
        <f>IF(RQS10="Bovis","Attention retirer 2 mm aux dimensions transmises",0)</f>
        <v>0</v>
      </c>
      <c r="RQP26" s="1100"/>
      <c r="RQQ26" s="1100"/>
      <c r="RQR26" s="1101"/>
      <c r="RQS26" s="1110">
        <f>IF(RQW10="Bovis","Attention retirer 2 mm aux dimensions transmises",0)</f>
        <v>0</v>
      </c>
      <c r="RQT26" s="1100"/>
      <c r="RQU26" s="1100"/>
      <c r="RQV26" s="1101"/>
      <c r="RQW26" s="1110">
        <f>IF(RRA10="Bovis","Attention retirer 2 mm aux dimensions transmises",0)</f>
        <v>0</v>
      </c>
      <c r="RQX26" s="1100"/>
      <c r="RQY26" s="1100"/>
      <c r="RQZ26" s="1101"/>
      <c r="RRA26" s="1110">
        <f>IF(RRE10="Bovis","Attention retirer 2 mm aux dimensions transmises",0)</f>
        <v>0</v>
      </c>
      <c r="RRB26" s="1100"/>
      <c r="RRC26" s="1100"/>
      <c r="RRD26" s="1101"/>
      <c r="RRE26" s="1110">
        <f>IF(RRI10="Bovis","Attention retirer 2 mm aux dimensions transmises",0)</f>
        <v>0</v>
      </c>
      <c r="RRF26" s="1100"/>
      <c r="RRG26" s="1100"/>
      <c r="RRH26" s="1101"/>
      <c r="RRI26" s="1110">
        <f>IF(RRM10="Bovis","Attention retirer 2 mm aux dimensions transmises",0)</f>
        <v>0</v>
      </c>
      <c r="RRJ26" s="1100"/>
      <c r="RRK26" s="1100"/>
      <c r="RRL26" s="1101"/>
      <c r="RRM26" s="1110">
        <f>IF(RRQ10="Bovis","Attention retirer 2 mm aux dimensions transmises",0)</f>
        <v>0</v>
      </c>
      <c r="RRN26" s="1100"/>
      <c r="RRO26" s="1100"/>
      <c r="RRP26" s="1101"/>
      <c r="RRQ26" s="1110">
        <f>IF(RRU10="Bovis","Attention retirer 2 mm aux dimensions transmises",0)</f>
        <v>0</v>
      </c>
      <c r="RRR26" s="1100"/>
      <c r="RRS26" s="1100"/>
      <c r="RRT26" s="1101"/>
      <c r="RRU26" s="1110">
        <f>IF(RRY10="Bovis","Attention retirer 2 mm aux dimensions transmises",0)</f>
        <v>0</v>
      </c>
      <c r="RRV26" s="1100"/>
      <c r="RRW26" s="1100"/>
      <c r="RRX26" s="1101"/>
      <c r="RRY26" s="1110">
        <f>IF(RSC10="Bovis","Attention retirer 2 mm aux dimensions transmises",0)</f>
        <v>0</v>
      </c>
      <c r="RRZ26" s="1100"/>
      <c r="RSA26" s="1100"/>
      <c r="RSB26" s="1101"/>
      <c r="RSC26" s="1110">
        <f>IF(RSG10="Bovis","Attention retirer 2 mm aux dimensions transmises",0)</f>
        <v>0</v>
      </c>
      <c r="RSD26" s="1100"/>
      <c r="RSE26" s="1100"/>
      <c r="RSF26" s="1101"/>
      <c r="RSG26" s="1110">
        <f>IF(RSK10="Bovis","Attention retirer 2 mm aux dimensions transmises",0)</f>
        <v>0</v>
      </c>
      <c r="RSH26" s="1100"/>
      <c r="RSI26" s="1100"/>
      <c r="RSJ26" s="1101"/>
      <c r="RSK26" s="1110">
        <f>IF(RSO10="Bovis","Attention retirer 2 mm aux dimensions transmises",0)</f>
        <v>0</v>
      </c>
      <c r="RSL26" s="1100"/>
      <c r="RSM26" s="1100"/>
      <c r="RSN26" s="1101"/>
      <c r="RSO26" s="1110">
        <f>IF(RSS10="Bovis","Attention retirer 2 mm aux dimensions transmises",0)</f>
        <v>0</v>
      </c>
      <c r="RSP26" s="1100"/>
      <c r="RSQ26" s="1100"/>
      <c r="RSR26" s="1101"/>
      <c r="RSS26" s="1110">
        <f>IF(RSW10="Bovis","Attention retirer 2 mm aux dimensions transmises",0)</f>
        <v>0</v>
      </c>
      <c r="RST26" s="1100"/>
      <c r="RSU26" s="1100"/>
      <c r="RSV26" s="1101"/>
      <c r="RSW26" s="1110">
        <f>IF(RTA10="Bovis","Attention retirer 2 mm aux dimensions transmises",0)</f>
        <v>0</v>
      </c>
      <c r="RSX26" s="1100"/>
      <c r="RSY26" s="1100"/>
      <c r="RSZ26" s="1101"/>
      <c r="RTA26" s="1110">
        <f>IF(RTE10="Bovis","Attention retirer 2 mm aux dimensions transmises",0)</f>
        <v>0</v>
      </c>
      <c r="RTB26" s="1100"/>
      <c r="RTC26" s="1100"/>
      <c r="RTD26" s="1101"/>
      <c r="RTE26" s="1110">
        <f>IF(RTI10="Bovis","Attention retirer 2 mm aux dimensions transmises",0)</f>
        <v>0</v>
      </c>
      <c r="RTF26" s="1100"/>
      <c r="RTG26" s="1100"/>
      <c r="RTH26" s="1101"/>
      <c r="RTI26" s="1110">
        <f>IF(RTM10="Bovis","Attention retirer 2 mm aux dimensions transmises",0)</f>
        <v>0</v>
      </c>
      <c r="RTJ26" s="1100"/>
      <c r="RTK26" s="1100"/>
      <c r="RTL26" s="1101"/>
      <c r="RTM26" s="1110">
        <f>IF(RTQ10="Bovis","Attention retirer 2 mm aux dimensions transmises",0)</f>
        <v>0</v>
      </c>
      <c r="RTN26" s="1100"/>
      <c r="RTO26" s="1100"/>
      <c r="RTP26" s="1101"/>
      <c r="RTQ26" s="1110">
        <f>IF(RTU10="Bovis","Attention retirer 2 mm aux dimensions transmises",0)</f>
        <v>0</v>
      </c>
      <c r="RTR26" s="1100"/>
      <c r="RTS26" s="1100"/>
      <c r="RTT26" s="1101"/>
      <c r="RTU26" s="1110">
        <f>IF(RTY10="Bovis","Attention retirer 2 mm aux dimensions transmises",0)</f>
        <v>0</v>
      </c>
      <c r="RTV26" s="1100"/>
      <c r="RTW26" s="1100"/>
      <c r="RTX26" s="1101"/>
      <c r="RTY26" s="1110">
        <f>IF(RUC10="Bovis","Attention retirer 2 mm aux dimensions transmises",0)</f>
        <v>0</v>
      </c>
      <c r="RTZ26" s="1100"/>
      <c r="RUA26" s="1100"/>
      <c r="RUB26" s="1101"/>
      <c r="RUC26" s="1110">
        <f>IF(RUG10="Bovis","Attention retirer 2 mm aux dimensions transmises",0)</f>
        <v>0</v>
      </c>
      <c r="RUD26" s="1100"/>
      <c r="RUE26" s="1100"/>
      <c r="RUF26" s="1101"/>
      <c r="RUG26" s="1110">
        <f>IF(RUK10="Bovis","Attention retirer 2 mm aux dimensions transmises",0)</f>
        <v>0</v>
      </c>
      <c r="RUH26" s="1100"/>
      <c r="RUI26" s="1100"/>
      <c r="RUJ26" s="1101"/>
      <c r="RUK26" s="1110">
        <f>IF(RUO10="Bovis","Attention retirer 2 mm aux dimensions transmises",0)</f>
        <v>0</v>
      </c>
      <c r="RUL26" s="1100"/>
      <c r="RUM26" s="1100"/>
      <c r="RUN26" s="1101"/>
      <c r="RUO26" s="1110">
        <f>IF(RUS10="Bovis","Attention retirer 2 mm aux dimensions transmises",0)</f>
        <v>0</v>
      </c>
      <c r="RUP26" s="1100"/>
      <c r="RUQ26" s="1100"/>
      <c r="RUR26" s="1101"/>
      <c r="RUS26" s="1110">
        <f>IF(RUW10="Bovis","Attention retirer 2 mm aux dimensions transmises",0)</f>
        <v>0</v>
      </c>
      <c r="RUT26" s="1100"/>
      <c r="RUU26" s="1100"/>
      <c r="RUV26" s="1101"/>
      <c r="RUW26" s="1110">
        <f>IF(RVA10="Bovis","Attention retirer 2 mm aux dimensions transmises",0)</f>
        <v>0</v>
      </c>
      <c r="RUX26" s="1100"/>
      <c r="RUY26" s="1100"/>
      <c r="RUZ26" s="1101"/>
      <c r="RVA26" s="1110">
        <f>IF(RVE10="Bovis","Attention retirer 2 mm aux dimensions transmises",0)</f>
        <v>0</v>
      </c>
      <c r="RVB26" s="1100"/>
      <c r="RVC26" s="1100"/>
      <c r="RVD26" s="1101"/>
      <c r="RVE26" s="1110">
        <f>IF(RVI10="Bovis","Attention retirer 2 mm aux dimensions transmises",0)</f>
        <v>0</v>
      </c>
      <c r="RVF26" s="1100"/>
      <c r="RVG26" s="1100"/>
      <c r="RVH26" s="1101"/>
      <c r="RVI26" s="1110">
        <f>IF(RVM10="Bovis","Attention retirer 2 mm aux dimensions transmises",0)</f>
        <v>0</v>
      </c>
      <c r="RVJ26" s="1100"/>
      <c r="RVK26" s="1100"/>
      <c r="RVL26" s="1101"/>
      <c r="RVM26" s="1110">
        <f>IF(RVQ10="Bovis","Attention retirer 2 mm aux dimensions transmises",0)</f>
        <v>0</v>
      </c>
      <c r="RVN26" s="1100"/>
      <c r="RVO26" s="1100"/>
      <c r="RVP26" s="1101"/>
      <c r="RVQ26" s="1110">
        <f>IF(RVU10="Bovis","Attention retirer 2 mm aux dimensions transmises",0)</f>
        <v>0</v>
      </c>
      <c r="RVR26" s="1100"/>
      <c r="RVS26" s="1100"/>
      <c r="RVT26" s="1101"/>
      <c r="RVU26" s="1110">
        <f>IF(RVY10="Bovis","Attention retirer 2 mm aux dimensions transmises",0)</f>
        <v>0</v>
      </c>
      <c r="RVV26" s="1100"/>
      <c r="RVW26" s="1100"/>
      <c r="RVX26" s="1101"/>
      <c r="RVY26" s="1110">
        <f>IF(RWC10="Bovis","Attention retirer 2 mm aux dimensions transmises",0)</f>
        <v>0</v>
      </c>
      <c r="RVZ26" s="1100"/>
      <c r="RWA26" s="1100"/>
      <c r="RWB26" s="1101"/>
      <c r="RWC26" s="1110">
        <f>IF(RWG10="Bovis","Attention retirer 2 mm aux dimensions transmises",0)</f>
        <v>0</v>
      </c>
      <c r="RWD26" s="1100"/>
      <c r="RWE26" s="1100"/>
      <c r="RWF26" s="1101"/>
      <c r="RWG26" s="1110">
        <f>IF(RWK10="Bovis","Attention retirer 2 mm aux dimensions transmises",0)</f>
        <v>0</v>
      </c>
      <c r="RWH26" s="1100"/>
      <c r="RWI26" s="1100"/>
      <c r="RWJ26" s="1101"/>
      <c r="RWK26" s="1110">
        <f>IF(RWO10="Bovis","Attention retirer 2 mm aux dimensions transmises",0)</f>
        <v>0</v>
      </c>
      <c r="RWL26" s="1100"/>
      <c r="RWM26" s="1100"/>
      <c r="RWN26" s="1101"/>
      <c r="RWO26" s="1110">
        <f>IF(RWS10="Bovis","Attention retirer 2 mm aux dimensions transmises",0)</f>
        <v>0</v>
      </c>
      <c r="RWP26" s="1100"/>
      <c r="RWQ26" s="1100"/>
      <c r="RWR26" s="1101"/>
      <c r="RWS26" s="1110">
        <f>IF(RWW10="Bovis","Attention retirer 2 mm aux dimensions transmises",0)</f>
        <v>0</v>
      </c>
      <c r="RWT26" s="1100"/>
      <c r="RWU26" s="1100"/>
      <c r="RWV26" s="1101"/>
      <c r="RWW26" s="1110">
        <f>IF(RXA10="Bovis","Attention retirer 2 mm aux dimensions transmises",0)</f>
        <v>0</v>
      </c>
      <c r="RWX26" s="1100"/>
      <c r="RWY26" s="1100"/>
      <c r="RWZ26" s="1101"/>
      <c r="RXA26" s="1110">
        <f>IF(RXE10="Bovis","Attention retirer 2 mm aux dimensions transmises",0)</f>
        <v>0</v>
      </c>
      <c r="RXB26" s="1100"/>
      <c r="RXC26" s="1100"/>
      <c r="RXD26" s="1101"/>
      <c r="RXE26" s="1110">
        <f>IF(RXI10="Bovis","Attention retirer 2 mm aux dimensions transmises",0)</f>
        <v>0</v>
      </c>
      <c r="RXF26" s="1100"/>
      <c r="RXG26" s="1100"/>
      <c r="RXH26" s="1101"/>
      <c r="RXI26" s="1110">
        <f>IF(RXM10="Bovis","Attention retirer 2 mm aux dimensions transmises",0)</f>
        <v>0</v>
      </c>
      <c r="RXJ26" s="1100"/>
      <c r="RXK26" s="1100"/>
      <c r="RXL26" s="1101"/>
      <c r="RXM26" s="1110">
        <f>IF(RXQ10="Bovis","Attention retirer 2 mm aux dimensions transmises",0)</f>
        <v>0</v>
      </c>
      <c r="RXN26" s="1100"/>
      <c r="RXO26" s="1100"/>
      <c r="RXP26" s="1101"/>
      <c r="RXQ26" s="1110">
        <f>IF(RXU10="Bovis","Attention retirer 2 mm aux dimensions transmises",0)</f>
        <v>0</v>
      </c>
      <c r="RXR26" s="1100"/>
      <c r="RXS26" s="1100"/>
      <c r="RXT26" s="1101"/>
      <c r="RXU26" s="1110">
        <f>IF(RXY10="Bovis","Attention retirer 2 mm aux dimensions transmises",0)</f>
        <v>0</v>
      </c>
      <c r="RXV26" s="1100"/>
      <c r="RXW26" s="1100"/>
      <c r="RXX26" s="1101"/>
      <c r="RXY26" s="1110">
        <f>IF(RYC10="Bovis","Attention retirer 2 mm aux dimensions transmises",0)</f>
        <v>0</v>
      </c>
      <c r="RXZ26" s="1100"/>
      <c r="RYA26" s="1100"/>
      <c r="RYB26" s="1101"/>
      <c r="RYC26" s="1110">
        <f>IF(RYG10="Bovis","Attention retirer 2 mm aux dimensions transmises",0)</f>
        <v>0</v>
      </c>
      <c r="RYD26" s="1100"/>
      <c r="RYE26" s="1100"/>
      <c r="RYF26" s="1101"/>
      <c r="RYG26" s="1110">
        <f>IF(RYK10="Bovis","Attention retirer 2 mm aux dimensions transmises",0)</f>
        <v>0</v>
      </c>
      <c r="RYH26" s="1100"/>
      <c r="RYI26" s="1100"/>
      <c r="RYJ26" s="1101"/>
      <c r="RYK26" s="1110">
        <f>IF(RYO10="Bovis","Attention retirer 2 mm aux dimensions transmises",0)</f>
        <v>0</v>
      </c>
      <c r="RYL26" s="1100"/>
      <c r="RYM26" s="1100"/>
      <c r="RYN26" s="1101"/>
      <c r="RYO26" s="1110">
        <f>IF(RYS10="Bovis","Attention retirer 2 mm aux dimensions transmises",0)</f>
        <v>0</v>
      </c>
      <c r="RYP26" s="1100"/>
      <c r="RYQ26" s="1100"/>
      <c r="RYR26" s="1101"/>
      <c r="RYS26" s="1110">
        <f>IF(RYW10="Bovis","Attention retirer 2 mm aux dimensions transmises",0)</f>
        <v>0</v>
      </c>
      <c r="RYT26" s="1100"/>
      <c r="RYU26" s="1100"/>
      <c r="RYV26" s="1101"/>
      <c r="RYW26" s="1110">
        <f>IF(RZA10="Bovis","Attention retirer 2 mm aux dimensions transmises",0)</f>
        <v>0</v>
      </c>
      <c r="RYX26" s="1100"/>
      <c r="RYY26" s="1100"/>
      <c r="RYZ26" s="1101"/>
      <c r="RZA26" s="1110">
        <f>IF(RZE10="Bovis","Attention retirer 2 mm aux dimensions transmises",0)</f>
        <v>0</v>
      </c>
      <c r="RZB26" s="1100"/>
      <c r="RZC26" s="1100"/>
      <c r="RZD26" s="1101"/>
      <c r="RZE26" s="1110">
        <f>IF(RZI10="Bovis","Attention retirer 2 mm aux dimensions transmises",0)</f>
        <v>0</v>
      </c>
      <c r="RZF26" s="1100"/>
      <c r="RZG26" s="1100"/>
      <c r="RZH26" s="1101"/>
      <c r="RZI26" s="1110">
        <f>IF(RZM10="Bovis","Attention retirer 2 mm aux dimensions transmises",0)</f>
        <v>0</v>
      </c>
      <c r="RZJ26" s="1100"/>
      <c r="RZK26" s="1100"/>
      <c r="RZL26" s="1101"/>
      <c r="RZM26" s="1110">
        <f>IF(RZQ10="Bovis","Attention retirer 2 mm aux dimensions transmises",0)</f>
        <v>0</v>
      </c>
      <c r="RZN26" s="1100"/>
      <c r="RZO26" s="1100"/>
      <c r="RZP26" s="1101"/>
      <c r="RZQ26" s="1110">
        <f>IF(RZU10="Bovis","Attention retirer 2 mm aux dimensions transmises",0)</f>
        <v>0</v>
      </c>
      <c r="RZR26" s="1100"/>
      <c r="RZS26" s="1100"/>
      <c r="RZT26" s="1101"/>
      <c r="RZU26" s="1110">
        <f>IF(RZY10="Bovis","Attention retirer 2 mm aux dimensions transmises",0)</f>
        <v>0</v>
      </c>
      <c r="RZV26" s="1100"/>
      <c r="RZW26" s="1100"/>
      <c r="RZX26" s="1101"/>
      <c r="RZY26" s="1110">
        <f>IF(SAC10="Bovis","Attention retirer 2 mm aux dimensions transmises",0)</f>
        <v>0</v>
      </c>
      <c r="RZZ26" s="1100"/>
      <c r="SAA26" s="1100"/>
      <c r="SAB26" s="1101"/>
      <c r="SAC26" s="1110">
        <f>IF(SAG10="Bovis","Attention retirer 2 mm aux dimensions transmises",0)</f>
        <v>0</v>
      </c>
      <c r="SAD26" s="1100"/>
      <c r="SAE26" s="1100"/>
      <c r="SAF26" s="1101"/>
      <c r="SAG26" s="1110">
        <f>IF(SAK10="Bovis","Attention retirer 2 mm aux dimensions transmises",0)</f>
        <v>0</v>
      </c>
      <c r="SAH26" s="1100"/>
      <c r="SAI26" s="1100"/>
      <c r="SAJ26" s="1101"/>
      <c r="SAK26" s="1110">
        <f>IF(SAO10="Bovis","Attention retirer 2 mm aux dimensions transmises",0)</f>
        <v>0</v>
      </c>
      <c r="SAL26" s="1100"/>
      <c r="SAM26" s="1100"/>
      <c r="SAN26" s="1101"/>
      <c r="SAO26" s="1110">
        <f>IF(SAS10="Bovis","Attention retirer 2 mm aux dimensions transmises",0)</f>
        <v>0</v>
      </c>
      <c r="SAP26" s="1100"/>
      <c r="SAQ26" s="1100"/>
      <c r="SAR26" s="1101"/>
      <c r="SAS26" s="1110">
        <f>IF(SAW10="Bovis","Attention retirer 2 mm aux dimensions transmises",0)</f>
        <v>0</v>
      </c>
      <c r="SAT26" s="1100"/>
      <c r="SAU26" s="1100"/>
      <c r="SAV26" s="1101"/>
      <c r="SAW26" s="1110">
        <f>IF(SBA10="Bovis","Attention retirer 2 mm aux dimensions transmises",0)</f>
        <v>0</v>
      </c>
      <c r="SAX26" s="1100"/>
      <c r="SAY26" s="1100"/>
      <c r="SAZ26" s="1101"/>
      <c r="SBA26" s="1110">
        <f>IF(SBE10="Bovis","Attention retirer 2 mm aux dimensions transmises",0)</f>
        <v>0</v>
      </c>
      <c r="SBB26" s="1100"/>
      <c r="SBC26" s="1100"/>
      <c r="SBD26" s="1101"/>
      <c r="SBE26" s="1110">
        <f>IF(SBI10="Bovis","Attention retirer 2 mm aux dimensions transmises",0)</f>
        <v>0</v>
      </c>
      <c r="SBF26" s="1100"/>
      <c r="SBG26" s="1100"/>
      <c r="SBH26" s="1101"/>
      <c r="SBI26" s="1110">
        <f>IF(SBM10="Bovis","Attention retirer 2 mm aux dimensions transmises",0)</f>
        <v>0</v>
      </c>
      <c r="SBJ26" s="1100"/>
      <c r="SBK26" s="1100"/>
      <c r="SBL26" s="1101"/>
      <c r="SBM26" s="1110">
        <f>IF(SBQ10="Bovis","Attention retirer 2 mm aux dimensions transmises",0)</f>
        <v>0</v>
      </c>
      <c r="SBN26" s="1100"/>
      <c r="SBO26" s="1100"/>
      <c r="SBP26" s="1101"/>
      <c r="SBQ26" s="1110">
        <f>IF(SBU10="Bovis","Attention retirer 2 mm aux dimensions transmises",0)</f>
        <v>0</v>
      </c>
      <c r="SBR26" s="1100"/>
      <c r="SBS26" s="1100"/>
      <c r="SBT26" s="1101"/>
      <c r="SBU26" s="1110">
        <f>IF(SBY10="Bovis","Attention retirer 2 mm aux dimensions transmises",0)</f>
        <v>0</v>
      </c>
      <c r="SBV26" s="1100"/>
      <c r="SBW26" s="1100"/>
      <c r="SBX26" s="1101"/>
      <c r="SBY26" s="1110">
        <f>IF(SCC10="Bovis","Attention retirer 2 mm aux dimensions transmises",0)</f>
        <v>0</v>
      </c>
      <c r="SBZ26" s="1100"/>
      <c r="SCA26" s="1100"/>
      <c r="SCB26" s="1101"/>
      <c r="SCC26" s="1110">
        <f>IF(SCG10="Bovis","Attention retirer 2 mm aux dimensions transmises",0)</f>
        <v>0</v>
      </c>
      <c r="SCD26" s="1100"/>
      <c r="SCE26" s="1100"/>
      <c r="SCF26" s="1101"/>
      <c r="SCG26" s="1110">
        <f>IF(SCK10="Bovis","Attention retirer 2 mm aux dimensions transmises",0)</f>
        <v>0</v>
      </c>
      <c r="SCH26" s="1100"/>
      <c r="SCI26" s="1100"/>
      <c r="SCJ26" s="1101"/>
      <c r="SCK26" s="1110">
        <f>IF(SCO10="Bovis","Attention retirer 2 mm aux dimensions transmises",0)</f>
        <v>0</v>
      </c>
      <c r="SCL26" s="1100"/>
      <c r="SCM26" s="1100"/>
      <c r="SCN26" s="1101"/>
      <c r="SCO26" s="1110">
        <f>IF(SCS10="Bovis","Attention retirer 2 mm aux dimensions transmises",0)</f>
        <v>0</v>
      </c>
      <c r="SCP26" s="1100"/>
      <c r="SCQ26" s="1100"/>
      <c r="SCR26" s="1101"/>
      <c r="SCS26" s="1110">
        <f>IF(SCW10="Bovis","Attention retirer 2 mm aux dimensions transmises",0)</f>
        <v>0</v>
      </c>
      <c r="SCT26" s="1100"/>
      <c r="SCU26" s="1100"/>
      <c r="SCV26" s="1101"/>
      <c r="SCW26" s="1110">
        <f>IF(SDA10="Bovis","Attention retirer 2 mm aux dimensions transmises",0)</f>
        <v>0</v>
      </c>
      <c r="SCX26" s="1100"/>
      <c r="SCY26" s="1100"/>
      <c r="SCZ26" s="1101"/>
      <c r="SDA26" s="1110">
        <f>IF(SDE10="Bovis","Attention retirer 2 mm aux dimensions transmises",0)</f>
        <v>0</v>
      </c>
      <c r="SDB26" s="1100"/>
      <c r="SDC26" s="1100"/>
      <c r="SDD26" s="1101"/>
      <c r="SDE26" s="1110">
        <f>IF(SDI10="Bovis","Attention retirer 2 mm aux dimensions transmises",0)</f>
        <v>0</v>
      </c>
      <c r="SDF26" s="1100"/>
      <c r="SDG26" s="1100"/>
      <c r="SDH26" s="1101"/>
      <c r="SDI26" s="1110">
        <f>IF(SDM10="Bovis","Attention retirer 2 mm aux dimensions transmises",0)</f>
        <v>0</v>
      </c>
      <c r="SDJ26" s="1100"/>
      <c r="SDK26" s="1100"/>
      <c r="SDL26" s="1101"/>
      <c r="SDM26" s="1110">
        <f>IF(SDQ10="Bovis","Attention retirer 2 mm aux dimensions transmises",0)</f>
        <v>0</v>
      </c>
      <c r="SDN26" s="1100"/>
      <c r="SDO26" s="1100"/>
      <c r="SDP26" s="1101"/>
      <c r="SDQ26" s="1110">
        <f>IF(SDU10="Bovis","Attention retirer 2 mm aux dimensions transmises",0)</f>
        <v>0</v>
      </c>
      <c r="SDR26" s="1100"/>
      <c r="SDS26" s="1100"/>
      <c r="SDT26" s="1101"/>
      <c r="SDU26" s="1110">
        <f>IF(SDY10="Bovis","Attention retirer 2 mm aux dimensions transmises",0)</f>
        <v>0</v>
      </c>
      <c r="SDV26" s="1100"/>
      <c r="SDW26" s="1100"/>
      <c r="SDX26" s="1101"/>
      <c r="SDY26" s="1110">
        <f>IF(SEC10="Bovis","Attention retirer 2 mm aux dimensions transmises",0)</f>
        <v>0</v>
      </c>
      <c r="SDZ26" s="1100"/>
      <c r="SEA26" s="1100"/>
      <c r="SEB26" s="1101"/>
      <c r="SEC26" s="1110">
        <f>IF(SEG10="Bovis","Attention retirer 2 mm aux dimensions transmises",0)</f>
        <v>0</v>
      </c>
      <c r="SED26" s="1100"/>
      <c r="SEE26" s="1100"/>
      <c r="SEF26" s="1101"/>
      <c r="SEG26" s="1110">
        <f>IF(SEK10="Bovis","Attention retirer 2 mm aux dimensions transmises",0)</f>
        <v>0</v>
      </c>
      <c r="SEH26" s="1100"/>
      <c r="SEI26" s="1100"/>
      <c r="SEJ26" s="1101"/>
      <c r="SEK26" s="1110">
        <f>IF(SEO10="Bovis","Attention retirer 2 mm aux dimensions transmises",0)</f>
        <v>0</v>
      </c>
      <c r="SEL26" s="1100"/>
      <c r="SEM26" s="1100"/>
      <c r="SEN26" s="1101"/>
      <c r="SEO26" s="1110">
        <f>IF(SES10="Bovis","Attention retirer 2 mm aux dimensions transmises",0)</f>
        <v>0</v>
      </c>
      <c r="SEP26" s="1100"/>
      <c r="SEQ26" s="1100"/>
      <c r="SER26" s="1101"/>
      <c r="SES26" s="1110">
        <f>IF(SEW10="Bovis","Attention retirer 2 mm aux dimensions transmises",0)</f>
        <v>0</v>
      </c>
      <c r="SET26" s="1100"/>
      <c r="SEU26" s="1100"/>
      <c r="SEV26" s="1101"/>
      <c r="SEW26" s="1110">
        <f>IF(SFA10="Bovis","Attention retirer 2 mm aux dimensions transmises",0)</f>
        <v>0</v>
      </c>
      <c r="SEX26" s="1100"/>
      <c r="SEY26" s="1100"/>
      <c r="SEZ26" s="1101"/>
      <c r="SFA26" s="1110">
        <f>IF(SFE10="Bovis","Attention retirer 2 mm aux dimensions transmises",0)</f>
        <v>0</v>
      </c>
      <c r="SFB26" s="1100"/>
      <c r="SFC26" s="1100"/>
      <c r="SFD26" s="1101"/>
      <c r="SFE26" s="1110">
        <f>IF(SFI10="Bovis","Attention retirer 2 mm aux dimensions transmises",0)</f>
        <v>0</v>
      </c>
      <c r="SFF26" s="1100"/>
      <c r="SFG26" s="1100"/>
      <c r="SFH26" s="1101"/>
      <c r="SFI26" s="1110">
        <f>IF(SFM10="Bovis","Attention retirer 2 mm aux dimensions transmises",0)</f>
        <v>0</v>
      </c>
      <c r="SFJ26" s="1100"/>
      <c r="SFK26" s="1100"/>
      <c r="SFL26" s="1101"/>
      <c r="SFM26" s="1110">
        <f>IF(SFQ10="Bovis","Attention retirer 2 mm aux dimensions transmises",0)</f>
        <v>0</v>
      </c>
      <c r="SFN26" s="1100"/>
      <c r="SFO26" s="1100"/>
      <c r="SFP26" s="1101"/>
      <c r="SFQ26" s="1110">
        <f>IF(SFU10="Bovis","Attention retirer 2 mm aux dimensions transmises",0)</f>
        <v>0</v>
      </c>
      <c r="SFR26" s="1100"/>
      <c r="SFS26" s="1100"/>
      <c r="SFT26" s="1101"/>
      <c r="SFU26" s="1110">
        <f>IF(SFY10="Bovis","Attention retirer 2 mm aux dimensions transmises",0)</f>
        <v>0</v>
      </c>
      <c r="SFV26" s="1100"/>
      <c r="SFW26" s="1100"/>
      <c r="SFX26" s="1101"/>
      <c r="SFY26" s="1110">
        <f>IF(SGC10="Bovis","Attention retirer 2 mm aux dimensions transmises",0)</f>
        <v>0</v>
      </c>
      <c r="SFZ26" s="1100"/>
      <c r="SGA26" s="1100"/>
      <c r="SGB26" s="1101"/>
      <c r="SGC26" s="1110">
        <f>IF(SGG10="Bovis","Attention retirer 2 mm aux dimensions transmises",0)</f>
        <v>0</v>
      </c>
      <c r="SGD26" s="1100"/>
      <c r="SGE26" s="1100"/>
      <c r="SGF26" s="1101"/>
      <c r="SGG26" s="1110">
        <f>IF(SGK10="Bovis","Attention retirer 2 mm aux dimensions transmises",0)</f>
        <v>0</v>
      </c>
      <c r="SGH26" s="1100"/>
      <c r="SGI26" s="1100"/>
      <c r="SGJ26" s="1101"/>
      <c r="SGK26" s="1110">
        <f>IF(SGO10="Bovis","Attention retirer 2 mm aux dimensions transmises",0)</f>
        <v>0</v>
      </c>
      <c r="SGL26" s="1100"/>
      <c r="SGM26" s="1100"/>
      <c r="SGN26" s="1101"/>
      <c r="SGO26" s="1110">
        <f>IF(SGS10="Bovis","Attention retirer 2 mm aux dimensions transmises",0)</f>
        <v>0</v>
      </c>
      <c r="SGP26" s="1100"/>
      <c r="SGQ26" s="1100"/>
      <c r="SGR26" s="1101"/>
      <c r="SGS26" s="1110">
        <f>IF(SGW10="Bovis","Attention retirer 2 mm aux dimensions transmises",0)</f>
        <v>0</v>
      </c>
      <c r="SGT26" s="1100"/>
      <c r="SGU26" s="1100"/>
      <c r="SGV26" s="1101"/>
      <c r="SGW26" s="1110">
        <f>IF(SHA10="Bovis","Attention retirer 2 mm aux dimensions transmises",0)</f>
        <v>0</v>
      </c>
      <c r="SGX26" s="1100"/>
      <c r="SGY26" s="1100"/>
      <c r="SGZ26" s="1101"/>
      <c r="SHA26" s="1110">
        <f>IF(SHE10="Bovis","Attention retirer 2 mm aux dimensions transmises",0)</f>
        <v>0</v>
      </c>
      <c r="SHB26" s="1100"/>
      <c r="SHC26" s="1100"/>
      <c r="SHD26" s="1101"/>
      <c r="SHE26" s="1110">
        <f>IF(SHI10="Bovis","Attention retirer 2 mm aux dimensions transmises",0)</f>
        <v>0</v>
      </c>
      <c r="SHF26" s="1100"/>
      <c r="SHG26" s="1100"/>
      <c r="SHH26" s="1101"/>
      <c r="SHI26" s="1110">
        <f>IF(SHM10="Bovis","Attention retirer 2 mm aux dimensions transmises",0)</f>
        <v>0</v>
      </c>
      <c r="SHJ26" s="1100"/>
      <c r="SHK26" s="1100"/>
      <c r="SHL26" s="1101"/>
      <c r="SHM26" s="1110">
        <f>IF(SHQ10="Bovis","Attention retirer 2 mm aux dimensions transmises",0)</f>
        <v>0</v>
      </c>
      <c r="SHN26" s="1100"/>
      <c r="SHO26" s="1100"/>
      <c r="SHP26" s="1101"/>
      <c r="SHQ26" s="1110">
        <f>IF(SHU10="Bovis","Attention retirer 2 mm aux dimensions transmises",0)</f>
        <v>0</v>
      </c>
      <c r="SHR26" s="1100"/>
      <c r="SHS26" s="1100"/>
      <c r="SHT26" s="1101"/>
      <c r="SHU26" s="1110">
        <f>IF(SHY10="Bovis","Attention retirer 2 mm aux dimensions transmises",0)</f>
        <v>0</v>
      </c>
      <c r="SHV26" s="1100"/>
      <c r="SHW26" s="1100"/>
      <c r="SHX26" s="1101"/>
      <c r="SHY26" s="1110">
        <f>IF(SIC10="Bovis","Attention retirer 2 mm aux dimensions transmises",0)</f>
        <v>0</v>
      </c>
      <c r="SHZ26" s="1100"/>
      <c r="SIA26" s="1100"/>
      <c r="SIB26" s="1101"/>
      <c r="SIC26" s="1110">
        <f>IF(SIG10="Bovis","Attention retirer 2 mm aux dimensions transmises",0)</f>
        <v>0</v>
      </c>
      <c r="SID26" s="1100"/>
      <c r="SIE26" s="1100"/>
      <c r="SIF26" s="1101"/>
      <c r="SIG26" s="1110">
        <f>IF(SIK10="Bovis","Attention retirer 2 mm aux dimensions transmises",0)</f>
        <v>0</v>
      </c>
      <c r="SIH26" s="1100"/>
      <c r="SII26" s="1100"/>
      <c r="SIJ26" s="1101"/>
      <c r="SIK26" s="1110">
        <f>IF(SIO10="Bovis","Attention retirer 2 mm aux dimensions transmises",0)</f>
        <v>0</v>
      </c>
      <c r="SIL26" s="1100"/>
      <c r="SIM26" s="1100"/>
      <c r="SIN26" s="1101"/>
      <c r="SIO26" s="1110">
        <f>IF(SIS10="Bovis","Attention retirer 2 mm aux dimensions transmises",0)</f>
        <v>0</v>
      </c>
      <c r="SIP26" s="1100"/>
      <c r="SIQ26" s="1100"/>
      <c r="SIR26" s="1101"/>
      <c r="SIS26" s="1110">
        <f>IF(SIW10="Bovis","Attention retirer 2 mm aux dimensions transmises",0)</f>
        <v>0</v>
      </c>
      <c r="SIT26" s="1100"/>
      <c r="SIU26" s="1100"/>
      <c r="SIV26" s="1101"/>
      <c r="SIW26" s="1110">
        <f>IF(SJA10="Bovis","Attention retirer 2 mm aux dimensions transmises",0)</f>
        <v>0</v>
      </c>
      <c r="SIX26" s="1100"/>
      <c r="SIY26" s="1100"/>
      <c r="SIZ26" s="1101"/>
      <c r="SJA26" s="1110">
        <f>IF(SJE10="Bovis","Attention retirer 2 mm aux dimensions transmises",0)</f>
        <v>0</v>
      </c>
      <c r="SJB26" s="1100"/>
      <c r="SJC26" s="1100"/>
      <c r="SJD26" s="1101"/>
      <c r="SJE26" s="1110">
        <f>IF(SJI10="Bovis","Attention retirer 2 mm aux dimensions transmises",0)</f>
        <v>0</v>
      </c>
      <c r="SJF26" s="1100"/>
      <c r="SJG26" s="1100"/>
      <c r="SJH26" s="1101"/>
      <c r="SJI26" s="1110">
        <f>IF(SJM10="Bovis","Attention retirer 2 mm aux dimensions transmises",0)</f>
        <v>0</v>
      </c>
      <c r="SJJ26" s="1100"/>
      <c r="SJK26" s="1100"/>
      <c r="SJL26" s="1101"/>
      <c r="SJM26" s="1110">
        <f>IF(SJQ10="Bovis","Attention retirer 2 mm aux dimensions transmises",0)</f>
        <v>0</v>
      </c>
      <c r="SJN26" s="1100"/>
      <c r="SJO26" s="1100"/>
      <c r="SJP26" s="1101"/>
      <c r="SJQ26" s="1110">
        <f>IF(SJU10="Bovis","Attention retirer 2 mm aux dimensions transmises",0)</f>
        <v>0</v>
      </c>
      <c r="SJR26" s="1100"/>
      <c r="SJS26" s="1100"/>
      <c r="SJT26" s="1101"/>
      <c r="SJU26" s="1110">
        <f>IF(SJY10="Bovis","Attention retirer 2 mm aux dimensions transmises",0)</f>
        <v>0</v>
      </c>
      <c r="SJV26" s="1100"/>
      <c r="SJW26" s="1100"/>
      <c r="SJX26" s="1101"/>
      <c r="SJY26" s="1110">
        <f>IF(SKC10="Bovis","Attention retirer 2 mm aux dimensions transmises",0)</f>
        <v>0</v>
      </c>
      <c r="SJZ26" s="1100"/>
      <c r="SKA26" s="1100"/>
      <c r="SKB26" s="1101"/>
      <c r="SKC26" s="1110">
        <f>IF(SKG10="Bovis","Attention retirer 2 mm aux dimensions transmises",0)</f>
        <v>0</v>
      </c>
      <c r="SKD26" s="1100"/>
      <c r="SKE26" s="1100"/>
      <c r="SKF26" s="1101"/>
      <c r="SKG26" s="1110">
        <f>IF(SKK10="Bovis","Attention retirer 2 mm aux dimensions transmises",0)</f>
        <v>0</v>
      </c>
      <c r="SKH26" s="1100"/>
      <c r="SKI26" s="1100"/>
      <c r="SKJ26" s="1101"/>
      <c r="SKK26" s="1110">
        <f>IF(SKO10="Bovis","Attention retirer 2 mm aux dimensions transmises",0)</f>
        <v>0</v>
      </c>
      <c r="SKL26" s="1100"/>
      <c r="SKM26" s="1100"/>
      <c r="SKN26" s="1101"/>
      <c r="SKO26" s="1110">
        <f>IF(SKS10="Bovis","Attention retirer 2 mm aux dimensions transmises",0)</f>
        <v>0</v>
      </c>
      <c r="SKP26" s="1100"/>
      <c r="SKQ26" s="1100"/>
      <c r="SKR26" s="1101"/>
      <c r="SKS26" s="1110">
        <f>IF(SKW10="Bovis","Attention retirer 2 mm aux dimensions transmises",0)</f>
        <v>0</v>
      </c>
      <c r="SKT26" s="1100"/>
      <c r="SKU26" s="1100"/>
      <c r="SKV26" s="1101"/>
      <c r="SKW26" s="1110">
        <f>IF(SLA10="Bovis","Attention retirer 2 mm aux dimensions transmises",0)</f>
        <v>0</v>
      </c>
      <c r="SKX26" s="1100"/>
      <c r="SKY26" s="1100"/>
      <c r="SKZ26" s="1101"/>
      <c r="SLA26" s="1110">
        <f>IF(SLE10="Bovis","Attention retirer 2 mm aux dimensions transmises",0)</f>
        <v>0</v>
      </c>
      <c r="SLB26" s="1100"/>
      <c r="SLC26" s="1100"/>
      <c r="SLD26" s="1101"/>
      <c r="SLE26" s="1110">
        <f>IF(SLI10="Bovis","Attention retirer 2 mm aux dimensions transmises",0)</f>
        <v>0</v>
      </c>
      <c r="SLF26" s="1100"/>
      <c r="SLG26" s="1100"/>
      <c r="SLH26" s="1101"/>
      <c r="SLI26" s="1110">
        <f>IF(SLM10="Bovis","Attention retirer 2 mm aux dimensions transmises",0)</f>
        <v>0</v>
      </c>
      <c r="SLJ26" s="1100"/>
      <c r="SLK26" s="1100"/>
      <c r="SLL26" s="1101"/>
      <c r="SLM26" s="1110">
        <f>IF(SLQ10="Bovis","Attention retirer 2 mm aux dimensions transmises",0)</f>
        <v>0</v>
      </c>
      <c r="SLN26" s="1100"/>
      <c r="SLO26" s="1100"/>
      <c r="SLP26" s="1101"/>
      <c r="SLQ26" s="1110">
        <f>IF(SLU10="Bovis","Attention retirer 2 mm aux dimensions transmises",0)</f>
        <v>0</v>
      </c>
      <c r="SLR26" s="1100"/>
      <c r="SLS26" s="1100"/>
      <c r="SLT26" s="1101"/>
      <c r="SLU26" s="1110">
        <f>IF(SLY10="Bovis","Attention retirer 2 mm aux dimensions transmises",0)</f>
        <v>0</v>
      </c>
      <c r="SLV26" s="1100"/>
      <c r="SLW26" s="1100"/>
      <c r="SLX26" s="1101"/>
      <c r="SLY26" s="1110">
        <f>IF(SMC10="Bovis","Attention retirer 2 mm aux dimensions transmises",0)</f>
        <v>0</v>
      </c>
      <c r="SLZ26" s="1100"/>
      <c r="SMA26" s="1100"/>
      <c r="SMB26" s="1101"/>
      <c r="SMC26" s="1110">
        <f>IF(SMG10="Bovis","Attention retirer 2 mm aux dimensions transmises",0)</f>
        <v>0</v>
      </c>
      <c r="SMD26" s="1100"/>
      <c r="SME26" s="1100"/>
      <c r="SMF26" s="1101"/>
      <c r="SMG26" s="1110">
        <f>IF(SMK10="Bovis","Attention retirer 2 mm aux dimensions transmises",0)</f>
        <v>0</v>
      </c>
      <c r="SMH26" s="1100"/>
      <c r="SMI26" s="1100"/>
      <c r="SMJ26" s="1101"/>
      <c r="SMK26" s="1110">
        <f>IF(SMO10="Bovis","Attention retirer 2 mm aux dimensions transmises",0)</f>
        <v>0</v>
      </c>
      <c r="SML26" s="1100"/>
      <c r="SMM26" s="1100"/>
      <c r="SMN26" s="1101"/>
      <c r="SMO26" s="1110">
        <f>IF(SMS10="Bovis","Attention retirer 2 mm aux dimensions transmises",0)</f>
        <v>0</v>
      </c>
      <c r="SMP26" s="1100"/>
      <c r="SMQ26" s="1100"/>
      <c r="SMR26" s="1101"/>
      <c r="SMS26" s="1110">
        <f>IF(SMW10="Bovis","Attention retirer 2 mm aux dimensions transmises",0)</f>
        <v>0</v>
      </c>
      <c r="SMT26" s="1100"/>
      <c r="SMU26" s="1100"/>
      <c r="SMV26" s="1101"/>
      <c r="SMW26" s="1110">
        <f>IF(SNA10="Bovis","Attention retirer 2 mm aux dimensions transmises",0)</f>
        <v>0</v>
      </c>
      <c r="SMX26" s="1100"/>
      <c r="SMY26" s="1100"/>
      <c r="SMZ26" s="1101"/>
      <c r="SNA26" s="1110">
        <f>IF(SNE10="Bovis","Attention retirer 2 mm aux dimensions transmises",0)</f>
        <v>0</v>
      </c>
      <c r="SNB26" s="1100"/>
      <c r="SNC26" s="1100"/>
      <c r="SND26" s="1101"/>
      <c r="SNE26" s="1110">
        <f>IF(SNI10="Bovis","Attention retirer 2 mm aux dimensions transmises",0)</f>
        <v>0</v>
      </c>
      <c r="SNF26" s="1100"/>
      <c r="SNG26" s="1100"/>
      <c r="SNH26" s="1101"/>
      <c r="SNI26" s="1110">
        <f>IF(SNM10="Bovis","Attention retirer 2 mm aux dimensions transmises",0)</f>
        <v>0</v>
      </c>
      <c r="SNJ26" s="1100"/>
      <c r="SNK26" s="1100"/>
      <c r="SNL26" s="1101"/>
      <c r="SNM26" s="1110">
        <f>IF(SNQ10="Bovis","Attention retirer 2 mm aux dimensions transmises",0)</f>
        <v>0</v>
      </c>
      <c r="SNN26" s="1100"/>
      <c r="SNO26" s="1100"/>
      <c r="SNP26" s="1101"/>
      <c r="SNQ26" s="1110">
        <f>IF(SNU10="Bovis","Attention retirer 2 mm aux dimensions transmises",0)</f>
        <v>0</v>
      </c>
      <c r="SNR26" s="1100"/>
      <c r="SNS26" s="1100"/>
      <c r="SNT26" s="1101"/>
      <c r="SNU26" s="1110">
        <f>IF(SNY10="Bovis","Attention retirer 2 mm aux dimensions transmises",0)</f>
        <v>0</v>
      </c>
      <c r="SNV26" s="1100"/>
      <c r="SNW26" s="1100"/>
      <c r="SNX26" s="1101"/>
      <c r="SNY26" s="1110">
        <f>IF(SOC10="Bovis","Attention retirer 2 mm aux dimensions transmises",0)</f>
        <v>0</v>
      </c>
      <c r="SNZ26" s="1100"/>
      <c r="SOA26" s="1100"/>
      <c r="SOB26" s="1101"/>
      <c r="SOC26" s="1110">
        <f>IF(SOG10="Bovis","Attention retirer 2 mm aux dimensions transmises",0)</f>
        <v>0</v>
      </c>
      <c r="SOD26" s="1100"/>
      <c r="SOE26" s="1100"/>
      <c r="SOF26" s="1101"/>
      <c r="SOG26" s="1110">
        <f>IF(SOK10="Bovis","Attention retirer 2 mm aux dimensions transmises",0)</f>
        <v>0</v>
      </c>
      <c r="SOH26" s="1100"/>
      <c r="SOI26" s="1100"/>
      <c r="SOJ26" s="1101"/>
      <c r="SOK26" s="1110">
        <f>IF(SOO10="Bovis","Attention retirer 2 mm aux dimensions transmises",0)</f>
        <v>0</v>
      </c>
      <c r="SOL26" s="1100"/>
      <c r="SOM26" s="1100"/>
      <c r="SON26" s="1101"/>
      <c r="SOO26" s="1110">
        <f>IF(SOS10="Bovis","Attention retirer 2 mm aux dimensions transmises",0)</f>
        <v>0</v>
      </c>
      <c r="SOP26" s="1100"/>
      <c r="SOQ26" s="1100"/>
      <c r="SOR26" s="1101"/>
      <c r="SOS26" s="1110">
        <f>IF(SOW10="Bovis","Attention retirer 2 mm aux dimensions transmises",0)</f>
        <v>0</v>
      </c>
      <c r="SOT26" s="1100"/>
      <c r="SOU26" s="1100"/>
      <c r="SOV26" s="1101"/>
      <c r="SOW26" s="1110">
        <f>IF(SPA10="Bovis","Attention retirer 2 mm aux dimensions transmises",0)</f>
        <v>0</v>
      </c>
      <c r="SOX26" s="1100"/>
      <c r="SOY26" s="1100"/>
      <c r="SOZ26" s="1101"/>
      <c r="SPA26" s="1110">
        <f>IF(SPE10="Bovis","Attention retirer 2 mm aux dimensions transmises",0)</f>
        <v>0</v>
      </c>
      <c r="SPB26" s="1100"/>
      <c r="SPC26" s="1100"/>
      <c r="SPD26" s="1101"/>
      <c r="SPE26" s="1110">
        <f>IF(SPI10="Bovis","Attention retirer 2 mm aux dimensions transmises",0)</f>
        <v>0</v>
      </c>
      <c r="SPF26" s="1100"/>
      <c r="SPG26" s="1100"/>
      <c r="SPH26" s="1101"/>
      <c r="SPI26" s="1110">
        <f>IF(SPM10="Bovis","Attention retirer 2 mm aux dimensions transmises",0)</f>
        <v>0</v>
      </c>
      <c r="SPJ26" s="1100"/>
      <c r="SPK26" s="1100"/>
      <c r="SPL26" s="1101"/>
      <c r="SPM26" s="1110">
        <f>IF(SPQ10="Bovis","Attention retirer 2 mm aux dimensions transmises",0)</f>
        <v>0</v>
      </c>
      <c r="SPN26" s="1100"/>
      <c r="SPO26" s="1100"/>
      <c r="SPP26" s="1101"/>
      <c r="SPQ26" s="1110">
        <f>IF(SPU10="Bovis","Attention retirer 2 mm aux dimensions transmises",0)</f>
        <v>0</v>
      </c>
      <c r="SPR26" s="1100"/>
      <c r="SPS26" s="1100"/>
      <c r="SPT26" s="1101"/>
      <c r="SPU26" s="1110">
        <f>IF(SPY10="Bovis","Attention retirer 2 mm aux dimensions transmises",0)</f>
        <v>0</v>
      </c>
      <c r="SPV26" s="1100"/>
      <c r="SPW26" s="1100"/>
      <c r="SPX26" s="1101"/>
      <c r="SPY26" s="1110">
        <f>IF(SQC10="Bovis","Attention retirer 2 mm aux dimensions transmises",0)</f>
        <v>0</v>
      </c>
      <c r="SPZ26" s="1100"/>
      <c r="SQA26" s="1100"/>
      <c r="SQB26" s="1101"/>
      <c r="SQC26" s="1110">
        <f>IF(SQG10="Bovis","Attention retirer 2 mm aux dimensions transmises",0)</f>
        <v>0</v>
      </c>
      <c r="SQD26" s="1100"/>
      <c r="SQE26" s="1100"/>
      <c r="SQF26" s="1101"/>
      <c r="SQG26" s="1110">
        <f>IF(SQK10="Bovis","Attention retirer 2 mm aux dimensions transmises",0)</f>
        <v>0</v>
      </c>
      <c r="SQH26" s="1100"/>
      <c r="SQI26" s="1100"/>
      <c r="SQJ26" s="1101"/>
      <c r="SQK26" s="1110">
        <f>IF(SQO10="Bovis","Attention retirer 2 mm aux dimensions transmises",0)</f>
        <v>0</v>
      </c>
      <c r="SQL26" s="1100"/>
      <c r="SQM26" s="1100"/>
      <c r="SQN26" s="1101"/>
      <c r="SQO26" s="1110">
        <f>IF(SQS10="Bovis","Attention retirer 2 mm aux dimensions transmises",0)</f>
        <v>0</v>
      </c>
      <c r="SQP26" s="1100"/>
      <c r="SQQ26" s="1100"/>
      <c r="SQR26" s="1101"/>
      <c r="SQS26" s="1110">
        <f>IF(SQW10="Bovis","Attention retirer 2 mm aux dimensions transmises",0)</f>
        <v>0</v>
      </c>
      <c r="SQT26" s="1100"/>
      <c r="SQU26" s="1100"/>
      <c r="SQV26" s="1101"/>
      <c r="SQW26" s="1110">
        <f>IF(SRA10="Bovis","Attention retirer 2 mm aux dimensions transmises",0)</f>
        <v>0</v>
      </c>
      <c r="SQX26" s="1100"/>
      <c r="SQY26" s="1100"/>
      <c r="SQZ26" s="1101"/>
      <c r="SRA26" s="1110">
        <f>IF(SRE10="Bovis","Attention retirer 2 mm aux dimensions transmises",0)</f>
        <v>0</v>
      </c>
      <c r="SRB26" s="1100"/>
      <c r="SRC26" s="1100"/>
      <c r="SRD26" s="1101"/>
      <c r="SRE26" s="1110">
        <f>IF(SRI10="Bovis","Attention retirer 2 mm aux dimensions transmises",0)</f>
        <v>0</v>
      </c>
      <c r="SRF26" s="1100"/>
      <c r="SRG26" s="1100"/>
      <c r="SRH26" s="1101"/>
      <c r="SRI26" s="1110">
        <f>IF(SRM10="Bovis","Attention retirer 2 mm aux dimensions transmises",0)</f>
        <v>0</v>
      </c>
      <c r="SRJ26" s="1100"/>
      <c r="SRK26" s="1100"/>
      <c r="SRL26" s="1101"/>
      <c r="SRM26" s="1110">
        <f>IF(SRQ10="Bovis","Attention retirer 2 mm aux dimensions transmises",0)</f>
        <v>0</v>
      </c>
      <c r="SRN26" s="1100"/>
      <c r="SRO26" s="1100"/>
      <c r="SRP26" s="1101"/>
      <c r="SRQ26" s="1110">
        <f>IF(SRU10="Bovis","Attention retirer 2 mm aux dimensions transmises",0)</f>
        <v>0</v>
      </c>
      <c r="SRR26" s="1100"/>
      <c r="SRS26" s="1100"/>
      <c r="SRT26" s="1101"/>
      <c r="SRU26" s="1110">
        <f>IF(SRY10="Bovis","Attention retirer 2 mm aux dimensions transmises",0)</f>
        <v>0</v>
      </c>
      <c r="SRV26" s="1100"/>
      <c r="SRW26" s="1100"/>
      <c r="SRX26" s="1101"/>
      <c r="SRY26" s="1110">
        <f>IF(SSC10="Bovis","Attention retirer 2 mm aux dimensions transmises",0)</f>
        <v>0</v>
      </c>
      <c r="SRZ26" s="1100"/>
      <c r="SSA26" s="1100"/>
      <c r="SSB26" s="1101"/>
      <c r="SSC26" s="1110">
        <f>IF(SSG10="Bovis","Attention retirer 2 mm aux dimensions transmises",0)</f>
        <v>0</v>
      </c>
      <c r="SSD26" s="1100"/>
      <c r="SSE26" s="1100"/>
      <c r="SSF26" s="1101"/>
      <c r="SSG26" s="1110">
        <f>IF(SSK10="Bovis","Attention retirer 2 mm aux dimensions transmises",0)</f>
        <v>0</v>
      </c>
      <c r="SSH26" s="1100"/>
      <c r="SSI26" s="1100"/>
      <c r="SSJ26" s="1101"/>
      <c r="SSK26" s="1110">
        <f>IF(SSO10="Bovis","Attention retirer 2 mm aux dimensions transmises",0)</f>
        <v>0</v>
      </c>
      <c r="SSL26" s="1100"/>
      <c r="SSM26" s="1100"/>
      <c r="SSN26" s="1101"/>
      <c r="SSO26" s="1110">
        <f>IF(SSS10="Bovis","Attention retirer 2 mm aux dimensions transmises",0)</f>
        <v>0</v>
      </c>
      <c r="SSP26" s="1100"/>
      <c r="SSQ26" s="1100"/>
      <c r="SSR26" s="1101"/>
      <c r="SSS26" s="1110">
        <f>IF(SSW10="Bovis","Attention retirer 2 mm aux dimensions transmises",0)</f>
        <v>0</v>
      </c>
      <c r="SST26" s="1100"/>
      <c r="SSU26" s="1100"/>
      <c r="SSV26" s="1101"/>
      <c r="SSW26" s="1110">
        <f>IF(STA10="Bovis","Attention retirer 2 mm aux dimensions transmises",0)</f>
        <v>0</v>
      </c>
      <c r="SSX26" s="1100"/>
      <c r="SSY26" s="1100"/>
      <c r="SSZ26" s="1101"/>
      <c r="STA26" s="1110">
        <f>IF(STE10="Bovis","Attention retirer 2 mm aux dimensions transmises",0)</f>
        <v>0</v>
      </c>
      <c r="STB26" s="1100"/>
      <c r="STC26" s="1100"/>
      <c r="STD26" s="1101"/>
      <c r="STE26" s="1110">
        <f>IF(STI10="Bovis","Attention retirer 2 mm aux dimensions transmises",0)</f>
        <v>0</v>
      </c>
      <c r="STF26" s="1100"/>
      <c r="STG26" s="1100"/>
      <c r="STH26" s="1101"/>
      <c r="STI26" s="1110">
        <f>IF(STM10="Bovis","Attention retirer 2 mm aux dimensions transmises",0)</f>
        <v>0</v>
      </c>
      <c r="STJ26" s="1100"/>
      <c r="STK26" s="1100"/>
      <c r="STL26" s="1101"/>
      <c r="STM26" s="1110">
        <f>IF(STQ10="Bovis","Attention retirer 2 mm aux dimensions transmises",0)</f>
        <v>0</v>
      </c>
      <c r="STN26" s="1100"/>
      <c r="STO26" s="1100"/>
      <c r="STP26" s="1101"/>
      <c r="STQ26" s="1110">
        <f>IF(STU10="Bovis","Attention retirer 2 mm aux dimensions transmises",0)</f>
        <v>0</v>
      </c>
      <c r="STR26" s="1100"/>
      <c r="STS26" s="1100"/>
      <c r="STT26" s="1101"/>
      <c r="STU26" s="1110">
        <f>IF(STY10="Bovis","Attention retirer 2 mm aux dimensions transmises",0)</f>
        <v>0</v>
      </c>
      <c r="STV26" s="1100"/>
      <c r="STW26" s="1100"/>
      <c r="STX26" s="1101"/>
      <c r="STY26" s="1110">
        <f>IF(SUC10="Bovis","Attention retirer 2 mm aux dimensions transmises",0)</f>
        <v>0</v>
      </c>
      <c r="STZ26" s="1100"/>
      <c r="SUA26" s="1100"/>
      <c r="SUB26" s="1101"/>
      <c r="SUC26" s="1110">
        <f>IF(SUG10="Bovis","Attention retirer 2 mm aux dimensions transmises",0)</f>
        <v>0</v>
      </c>
      <c r="SUD26" s="1100"/>
      <c r="SUE26" s="1100"/>
      <c r="SUF26" s="1101"/>
      <c r="SUG26" s="1110">
        <f>IF(SUK10="Bovis","Attention retirer 2 mm aux dimensions transmises",0)</f>
        <v>0</v>
      </c>
      <c r="SUH26" s="1100"/>
      <c r="SUI26" s="1100"/>
      <c r="SUJ26" s="1101"/>
      <c r="SUK26" s="1110">
        <f>IF(SUO10="Bovis","Attention retirer 2 mm aux dimensions transmises",0)</f>
        <v>0</v>
      </c>
      <c r="SUL26" s="1100"/>
      <c r="SUM26" s="1100"/>
      <c r="SUN26" s="1101"/>
      <c r="SUO26" s="1110">
        <f>IF(SUS10="Bovis","Attention retirer 2 mm aux dimensions transmises",0)</f>
        <v>0</v>
      </c>
      <c r="SUP26" s="1100"/>
      <c r="SUQ26" s="1100"/>
      <c r="SUR26" s="1101"/>
      <c r="SUS26" s="1110">
        <f>IF(SUW10="Bovis","Attention retirer 2 mm aux dimensions transmises",0)</f>
        <v>0</v>
      </c>
      <c r="SUT26" s="1100"/>
      <c r="SUU26" s="1100"/>
      <c r="SUV26" s="1101"/>
      <c r="SUW26" s="1110">
        <f>IF(SVA10="Bovis","Attention retirer 2 mm aux dimensions transmises",0)</f>
        <v>0</v>
      </c>
      <c r="SUX26" s="1100"/>
      <c r="SUY26" s="1100"/>
      <c r="SUZ26" s="1101"/>
      <c r="SVA26" s="1110">
        <f>IF(SVE10="Bovis","Attention retirer 2 mm aux dimensions transmises",0)</f>
        <v>0</v>
      </c>
      <c r="SVB26" s="1100"/>
      <c r="SVC26" s="1100"/>
      <c r="SVD26" s="1101"/>
      <c r="SVE26" s="1110">
        <f>IF(SVI10="Bovis","Attention retirer 2 mm aux dimensions transmises",0)</f>
        <v>0</v>
      </c>
      <c r="SVF26" s="1100"/>
      <c r="SVG26" s="1100"/>
      <c r="SVH26" s="1101"/>
      <c r="SVI26" s="1110">
        <f>IF(SVM10="Bovis","Attention retirer 2 mm aux dimensions transmises",0)</f>
        <v>0</v>
      </c>
      <c r="SVJ26" s="1100"/>
      <c r="SVK26" s="1100"/>
      <c r="SVL26" s="1101"/>
      <c r="SVM26" s="1110">
        <f>IF(SVQ10="Bovis","Attention retirer 2 mm aux dimensions transmises",0)</f>
        <v>0</v>
      </c>
      <c r="SVN26" s="1100"/>
      <c r="SVO26" s="1100"/>
      <c r="SVP26" s="1101"/>
      <c r="SVQ26" s="1110">
        <f>IF(SVU10="Bovis","Attention retirer 2 mm aux dimensions transmises",0)</f>
        <v>0</v>
      </c>
      <c r="SVR26" s="1100"/>
      <c r="SVS26" s="1100"/>
      <c r="SVT26" s="1101"/>
      <c r="SVU26" s="1110">
        <f>IF(SVY10="Bovis","Attention retirer 2 mm aux dimensions transmises",0)</f>
        <v>0</v>
      </c>
      <c r="SVV26" s="1100"/>
      <c r="SVW26" s="1100"/>
      <c r="SVX26" s="1101"/>
      <c r="SVY26" s="1110">
        <f>IF(SWC10="Bovis","Attention retirer 2 mm aux dimensions transmises",0)</f>
        <v>0</v>
      </c>
      <c r="SVZ26" s="1100"/>
      <c r="SWA26" s="1100"/>
      <c r="SWB26" s="1101"/>
      <c r="SWC26" s="1110">
        <f>IF(SWG10="Bovis","Attention retirer 2 mm aux dimensions transmises",0)</f>
        <v>0</v>
      </c>
      <c r="SWD26" s="1100"/>
      <c r="SWE26" s="1100"/>
      <c r="SWF26" s="1101"/>
      <c r="SWG26" s="1110">
        <f>IF(SWK10="Bovis","Attention retirer 2 mm aux dimensions transmises",0)</f>
        <v>0</v>
      </c>
      <c r="SWH26" s="1100"/>
      <c r="SWI26" s="1100"/>
      <c r="SWJ26" s="1101"/>
      <c r="SWK26" s="1110">
        <f>IF(SWO10="Bovis","Attention retirer 2 mm aux dimensions transmises",0)</f>
        <v>0</v>
      </c>
      <c r="SWL26" s="1100"/>
      <c r="SWM26" s="1100"/>
      <c r="SWN26" s="1101"/>
      <c r="SWO26" s="1110">
        <f>IF(SWS10="Bovis","Attention retirer 2 mm aux dimensions transmises",0)</f>
        <v>0</v>
      </c>
      <c r="SWP26" s="1100"/>
      <c r="SWQ26" s="1100"/>
      <c r="SWR26" s="1101"/>
      <c r="SWS26" s="1110">
        <f>IF(SWW10="Bovis","Attention retirer 2 mm aux dimensions transmises",0)</f>
        <v>0</v>
      </c>
      <c r="SWT26" s="1100"/>
      <c r="SWU26" s="1100"/>
      <c r="SWV26" s="1101"/>
      <c r="SWW26" s="1110">
        <f>IF(SXA10="Bovis","Attention retirer 2 mm aux dimensions transmises",0)</f>
        <v>0</v>
      </c>
      <c r="SWX26" s="1100"/>
      <c r="SWY26" s="1100"/>
      <c r="SWZ26" s="1101"/>
      <c r="SXA26" s="1110">
        <f>IF(SXE10="Bovis","Attention retirer 2 mm aux dimensions transmises",0)</f>
        <v>0</v>
      </c>
      <c r="SXB26" s="1100"/>
      <c r="SXC26" s="1100"/>
      <c r="SXD26" s="1101"/>
      <c r="SXE26" s="1110">
        <f>IF(SXI10="Bovis","Attention retirer 2 mm aux dimensions transmises",0)</f>
        <v>0</v>
      </c>
      <c r="SXF26" s="1100"/>
      <c r="SXG26" s="1100"/>
      <c r="SXH26" s="1101"/>
      <c r="SXI26" s="1110">
        <f>IF(SXM10="Bovis","Attention retirer 2 mm aux dimensions transmises",0)</f>
        <v>0</v>
      </c>
      <c r="SXJ26" s="1100"/>
      <c r="SXK26" s="1100"/>
      <c r="SXL26" s="1101"/>
      <c r="SXM26" s="1110">
        <f>IF(SXQ10="Bovis","Attention retirer 2 mm aux dimensions transmises",0)</f>
        <v>0</v>
      </c>
      <c r="SXN26" s="1100"/>
      <c r="SXO26" s="1100"/>
      <c r="SXP26" s="1101"/>
      <c r="SXQ26" s="1110">
        <f>IF(SXU10="Bovis","Attention retirer 2 mm aux dimensions transmises",0)</f>
        <v>0</v>
      </c>
      <c r="SXR26" s="1100"/>
      <c r="SXS26" s="1100"/>
      <c r="SXT26" s="1101"/>
      <c r="SXU26" s="1110">
        <f>IF(SXY10="Bovis","Attention retirer 2 mm aux dimensions transmises",0)</f>
        <v>0</v>
      </c>
      <c r="SXV26" s="1100"/>
      <c r="SXW26" s="1100"/>
      <c r="SXX26" s="1101"/>
      <c r="SXY26" s="1110">
        <f>IF(SYC10="Bovis","Attention retirer 2 mm aux dimensions transmises",0)</f>
        <v>0</v>
      </c>
      <c r="SXZ26" s="1100"/>
      <c r="SYA26" s="1100"/>
      <c r="SYB26" s="1101"/>
      <c r="SYC26" s="1110">
        <f>IF(SYG10="Bovis","Attention retirer 2 mm aux dimensions transmises",0)</f>
        <v>0</v>
      </c>
      <c r="SYD26" s="1100"/>
      <c r="SYE26" s="1100"/>
      <c r="SYF26" s="1101"/>
      <c r="SYG26" s="1110">
        <f>IF(SYK10="Bovis","Attention retirer 2 mm aux dimensions transmises",0)</f>
        <v>0</v>
      </c>
      <c r="SYH26" s="1100"/>
      <c r="SYI26" s="1100"/>
      <c r="SYJ26" s="1101"/>
      <c r="SYK26" s="1110">
        <f>IF(SYO10="Bovis","Attention retirer 2 mm aux dimensions transmises",0)</f>
        <v>0</v>
      </c>
      <c r="SYL26" s="1100"/>
      <c r="SYM26" s="1100"/>
      <c r="SYN26" s="1101"/>
      <c r="SYO26" s="1110">
        <f>IF(SYS10="Bovis","Attention retirer 2 mm aux dimensions transmises",0)</f>
        <v>0</v>
      </c>
      <c r="SYP26" s="1100"/>
      <c r="SYQ26" s="1100"/>
      <c r="SYR26" s="1101"/>
      <c r="SYS26" s="1110">
        <f>IF(SYW10="Bovis","Attention retirer 2 mm aux dimensions transmises",0)</f>
        <v>0</v>
      </c>
      <c r="SYT26" s="1100"/>
      <c r="SYU26" s="1100"/>
      <c r="SYV26" s="1101"/>
      <c r="SYW26" s="1110">
        <f>IF(SZA10="Bovis","Attention retirer 2 mm aux dimensions transmises",0)</f>
        <v>0</v>
      </c>
      <c r="SYX26" s="1100"/>
      <c r="SYY26" s="1100"/>
      <c r="SYZ26" s="1101"/>
      <c r="SZA26" s="1110">
        <f>IF(SZE10="Bovis","Attention retirer 2 mm aux dimensions transmises",0)</f>
        <v>0</v>
      </c>
      <c r="SZB26" s="1100"/>
      <c r="SZC26" s="1100"/>
      <c r="SZD26" s="1101"/>
      <c r="SZE26" s="1110">
        <f>IF(SZI10="Bovis","Attention retirer 2 mm aux dimensions transmises",0)</f>
        <v>0</v>
      </c>
      <c r="SZF26" s="1100"/>
      <c r="SZG26" s="1100"/>
      <c r="SZH26" s="1101"/>
      <c r="SZI26" s="1110">
        <f>IF(SZM10="Bovis","Attention retirer 2 mm aux dimensions transmises",0)</f>
        <v>0</v>
      </c>
      <c r="SZJ26" s="1100"/>
      <c r="SZK26" s="1100"/>
      <c r="SZL26" s="1101"/>
      <c r="SZM26" s="1110">
        <f>IF(SZQ10="Bovis","Attention retirer 2 mm aux dimensions transmises",0)</f>
        <v>0</v>
      </c>
      <c r="SZN26" s="1100"/>
      <c r="SZO26" s="1100"/>
      <c r="SZP26" s="1101"/>
      <c r="SZQ26" s="1110">
        <f>IF(SZU10="Bovis","Attention retirer 2 mm aux dimensions transmises",0)</f>
        <v>0</v>
      </c>
      <c r="SZR26" s="1100"/>
      <c r="SZS26" s="1100"/>
      <c r="SZT26" s="1101"/>
      <c r="SZU26" s="1110">
        <f>IF(SZY10="Bovis","Attention retirer 2 mm aux dimensions transmises",0)</f>
        <v>0</v>
      </c>
      <c r="SZV26" s="1100"/>
      <c r="SZW26" s="1100"/>
      <c r="SZX26" s="1101"/>
      <c r="SZY26" s="1110">
        <f>IF(TAC10="Bovis","Attention retirer 2 mm aux dimensions transmises",0)</f>
        <v>0</v>
      </c>
      <c r="SZZ26" s="1100"/>
      <c r="TAA26" s="1100"/>
      <c r="TAB26" s="1101"/>
      <c r="TAC26" s="1110">
        <f>IF(TAG10="Bovis","Attention retirer 2 mm aux dimensions transmises",0)</f>
        <v>0</v>
      </c>
      <c r="TAD26" s="1100"/>
      <c r="TAE26" s="1100"/>
      <c r="TAF26" s="1101"/>
      <c r="TAG26" s="1110">
        <f>IF(TAK10="Bovis","Attention retirer 2 mm aux dimensions transmises",0)</f>
        <v>0</v>
      </c>
      <c r="TAH26" s="1100"/>
      <c r="TAI26" s="1100"/>
      <c r="TAJ26" s="1101"/>
      <c r="TAK26" s="1110">
        <f>IF(TAO10="Bovis","Attention retirer 2 mm aux dimensions transmises",0)</f>
        <v>0</v>
      </c>
      <c r="TAL26" s="1100"/>
      <c r="TAM26" s="1100"/>
      <c r="TAN26" s="1101"/>
      <c r="TAO26" s="1110">
        <f>IF(TAS10="Bovis","Attention retirer 2 mm aux dimensions transmises",0)</f>
        <v>0</v>
      </c>
      <c r="TAP26" s="1100"/>
      <c r="TAQ26" s="1100"/>
      <c r="TAR26" s="1101"/>
      <c r="TAS26" s="1110">
        <f>IF(TAW10="Bovis","Attention retirer 2 mm aux dimensions transmises",0)</f>
        <v>0</v>
      </c>
      <c r="TAT26" s="1100"/>
      <c r="TAU26" s="1100"/>
      <c r="TAV26" s="1101"/>
      <c r="TAW26" s="1110">
        <f>IF(TBA10="Bovis","Attention retirer 2 mm aux dimensions transmises",0)</f>
        <v>0</v>
      </c>
      <c r="TAX26" s="1100"/>
      <c r="TAY26" s="1100"/>
      <c r="TAZ26" s="1101"/>
      <c r="TBA26" s="1110">
        <f>IF(TBE10="Bovis","Attention retirer 2 mm aux dimensions transmises",0)</f>
        <v>0</v>
      </c>
      <c r="TBB26" s="1100"/>
      <c r="TBC26" s="1100"/>
      <c r="TBD26" s="1101"/>
      <c r="TBE26" s="1110">
        <f>IF(TBI10="Bovis","Attention retirer 2 mm aux dimensions transmises",0)</f>
        <v>0</v>
      </c>
      <c r="TBF26" s="1100"/>
      <c r="TBG26" s="1100"/>
      <c r="TBH26" s="1101"/>
      <c r="TBI26" s="1110">
        <f>IF(TBM10="Bovis","Attention retirer 2 mm aux dimensions transmises",0)</f>
        <v>0</v>
      </c>
      <c r="TBJ26" s="1100"/>
      <c r="TBK26" s="1100"/>
      <c r="TBL26" s="1101"/>
      <c r="TBM26" s="1110">
        <f>IF(TBQ10="Bovis","Attention retirer 2 mm aux dimensions transmises",0)</f>
        <v>0</v>
      </c>
      <c r="TBN26" s="1100"/>
      <c r="TBO26" s="1100"/>
      <c r="TBP26" s="1101"/>
      <c r="TBQ26" s="1110">
        <f>IF(TBU10="Bovis","Attention retirer 2 mm aux dimensions transmises",0)</f>
        <v>0</v>
      </c>
      <c r="TBR26" s="1100"/>
      <c r="TBS26" s="1100"/>
      <c r="TBT26" s="1101"/>
      <c r="TBU26" s="1110">
        <f>IF(TBY10="Bovis","Attention retirer 2 mm aux dimensions transmises",0)</f>
        <v>0</v>
      </c>
      <c r="TBV26" s="1100"/>
      <c r="TBW26" s="1100"/>
      <c r="TBX26" s="1101"/>
      <c r="TBY26" s="1110">
        <f>IF(TCC10="Bovis","Attention retirer 2 mm aux dimensions transmises",0)</f>
        <v>0</v>
      </c>
      <c r="TBZ26" s="1100"/>
      <c r="TCA26" s="1100"/>
      <c r="TCB26" s="1101"/>
      <c r="TCC26" s="1110">
        <f>IF(TCG10="Bovis","Attention retirer 2 mm aux dimensions transmises",0)</f>
        <v>0</v>
      </c>
      <c r="TCD26" s="1100"/>
      <c r="TCE26" s="1100"/>
      <c r="TCF26" s="1101"/>
      <c r="TCG26" s="1110">
        <f>IF(TCK10="Bovis","Attention retirer 2 mm aux dimensions transmises",0)</f>
        <v>0</v>
      </c>
      <c r="TCH26" s="1100"/>
      <c r="TCI26" s="1100"/>
      <c r="TCJ26" s="1101"/>
      <c r="TCK26" s="1110">
        <f>IF(TCO10="Bovis","Attention retirer 2 mm aux dimensions transmises",0)</f>
        <v>0</v>
      </c>
      <c r="TCL26" s="1100"/>
      <c r="TCM26" s="1100"/>
      <c r="TCN26" s="1101"/>
      <c r="TCO26" s="1110">
        <f>IF(TCS10="Bovis","Attention retirer 2 mm aux dimensions transmises",0)</f>
        <v>0</v>
      </c>
      <c r="TCP26" s="1100"/>
      <c r="TCQ26" s="1100"/>
      <c r="TCR26" s="1101"/>
      <c r="TCS26" s="1110">
        <f>IF(TCW10="Bovis","Attention retirer 2 mm aux dimensions transmises",0)</f>
        <v>0</v>
      </c>
      <c r="TCT26" s="1100"/>
      <c r="TCU26" s="1100"/>
      <c r="TCV26" s="1101"/>
      <c r="TCW26" s="1110">
        <f>IF(TDA10="Bovis","Attention retirer 2 mm aux dimensions transmises",0)</f>
        <v>0</v>
      </c>
      <c r="TCX26" s="1100"/>
      <c r="TCY26" s="1100"/>
      <c r="TCZ26" s="1101"/>
      <c r="TDA26" s="1110">
        <f>IF(TDE10="Bovis","Attention retirer 2 mm aux dimensions transmises",0)</f>
        <v>0</v>
      </c>
      <c r="TDB26" s="1100"/>
      <c r="TDC26" s="1100"/>
      <c r="TDD26" s="1101"/>
      <c r="TDE26" s="1110">
        <f>IF(TDI10="Bovis","Attention retirer 2 mm aux dimensions transmises",0)</f>
        <v>0</v>
      </c>
      <c r="TDF26" s="1100"/>
      <c r="TDG26" s="1100"/>
      <c r="TDH26" s="1101"/>
      <c r="TDI26" s="1110">
        <f>IF(TDM10="Bovis","Attention retirer 2 mm aux dimensions transmises",0)</f>
        <v>0</v>
      </c>
      <c r="TDJ26" s="1100"/>
      <c r="TDK26" s="1100"/>
      <c r="TDL26" s="1101"/>
      <c r="TDM26" s="1110">
        <f>IF(TDQ10="Bovis","Attention retirer 2 mm aux dimensions transmises",0)</f>
        <v>0</v>
      </c>
      <c r="TDN26" s="1100"/>
      <c r="TDO26" s="1100"/>
      <c r="TDP26" s="1101"/>
      <c r="TDQ26" s="1110">
        <f>IF(TDU10="Bovis","Attention retirer 2 mm aux dimensions transmises",0)</f>
        <v>0</v>
      </c>
      <c r="TDR26" s="1100"/>
      <c r="TDS26" s="1100"/>
      <c r="TDT26" s="1101"/>
      <c r="TDU26" s="1110">
        <f>IF(TDY10="Bovis","Attention retirer 2 mm aux dimensions transmises",0)</f>
        <v>0</v>
      </c>
      <c r="TDV26" s="1100"/>
      <c r="TDW26" s="1100"/>
      <c r="TDX26" s="1101"/>
      <c r="TDY26" s="1110">
        <f>IF(TEC10="Bovis","Attention retirer 2 mm aux dimensions transmises",0)</f>
        <v>0</v>
      </c>
      <c r="TDZ26" s="1100"/>
      <c r="TEA26" s="1100"/>
      <c r="TEB26" s="1101"/>
      <c r="TEC26" s="1110">
        <f>IF(TEG10="Bovis","Attention retirer 2 mm aux dimensions transmises",0)</f>
        <v>0</v>
      </c>
      <c r="TED26" s="1100"/>
      <c r="TEE26" s="1100"/>
      <c r="TEF26" s="1101"/>
      <c r="TEG26" s="1110">
        <f>IF(TEK10="Bovis","Attention retirer 2 mm aux dimensions transmises",0)</f>
        <v>0</v>
      </c>
      <c r="TEH26" s="1100"/>
      <c r="TEI26" s="1100"/>
      <c r="TEJ26" s="1101"/>
      <c r="TEK26" s="1110">
        <f>IF(TEO10="Bovis","Attention retirer 2 mm aux dimensions transmises",0)</f>
        <v>0</v>
      </c>
      <c r="TEL26" s="1100"/>
      <c r="TEM26" s="1100"/>
      <c r="TEN26" s="1101"/>
      <c r="TEO26" s="1110">
        <f>IF(TES10="Bovis","Attention retirer 2 mm aux dimensions transmises",0)</f>
        <v>0</v>
      </c>
      <c r="TEP26" s="1100"/>
      <c r="TEQ26" s="1100"/>
      <c r="TER26" s="1101"/>
      <c r="TES26" s="1110">
        <f>IF(TEW10="Bovis","Attention retirer 2 mm aux dimensions transmises",0)</f>
        <v>0</v>
      </c>
      <c r="TET26" s="1100"/>
      <c r="TEU26" s="1100"/>
      <c r="TEV26" s="1101"/>
      <c r="TEW26" s="1110">
        <f>IF(TFA10="Bovis","Attention retirer 2 mm aux dimensions transmises",0)</f>
        <v>0</v>
      </c>
      <c r="TEX26" s="1100"/>
      <c r="TEY26" s="1100"/>
      <c r="TEZ26" s="1101"/>
      <c r="TFA26" s="1110">
        <f>IF(TFE10="Bovis","Attention retirer 2 mm aux dimensions transmises",0)</f>
        <v>0</v>
      </c>
      <c r="TFB26" s="1100"/>
      <c r="TFC26" s="1100"/>
      <c r="TFD26" s="1101"/>
      <c r="TFE26" s="1110">
        <f>IF(TFI10="Bovis","Attention retirer 2 mm aux dimensions transmises",0)</f>
        <v>0</v>
      </c>
      <c r="TFF26" s="1100"/>
      <c r="TFG26" s="1100"/>
      <c r="TFH26" s="1101"/>
      <c r="TFI26" s="1110">
        <f>IF(TFM10="Bovis","Attention retirer 2 mm aux dimensions transmises",0)</f>
        <v>0</v>
      </c>
      <c r="TFJ26" s="1100"/>
      <c r="TFK26" s="1100"/>
      <c r="TFL26" s="1101"/>
      <c r="TFM26" s="1110">
        <f>IF(TFQ10="Bovis","Attention retirer 2 mm aux dimensions transmises",0)</f>
        <v>0</v>
      </c>
      <c r="TFN26" s="1100"/>
      <c r="TFO26" s="1100"/>
      <c r="TFP26" s="1101"/>
      <c r="TFQ26" s="1110">
        <f>IF(TFU10="Bovis","Attention retirer 2 mm aux dimensions transmises",0)</f>
        <v>0</v>
      </c>
      <c r="TFR26" s="1100"/>
      <c r="TFS26" s="1100"/>
      <c r="TFT26" s="1101"/>
      <c r="TFU26" s="1110">
        <f>IF(TFY10="Bovis","Attention retirer 2 mm aux dimensions transmises",0)</f>
        <v>0</v>
      </c>
      <c r="TFV26" s="1100"/>
      <c r="TFW26" s="1100"/>
      <c r="TFX26" s="1101"/>
      <c r="TFY26" s="1110">
        <f>IF(TGC10="Bovis","Attention retirer 2 mm aux dimensions transmises",0)</f>
        <v>0</v>
      </c>
      <c r="TFZ26" s="1100"/>
      <c r="TGA26" s="1100"/>
      <c r="TGB26" s="1101"/>
      <c r="TGC26" s="1110">
        <f>IF(TGG10="Bovis","Attention retirer 2 mm aux dimensions transmises",0)</f>
        <v>0</v>
      </c>
      <c r="TGD26" s="1100"/>
      <c r="TGE26" s="1100"/>
      <c r="TGF26" s="1101"/>
      <c r="TGG26" s="1110">
        <f>IF(TGK10="Bovis","Attention retirer 2 mm aux dimensions transmises",0)</f>
        <v>0</v>
      </c>
      <c r="TGH26" s="1100"/>
      <c r="TGI26" s="1100"/>
      <c r="TGJ26" s="1101"/>
      <c r="TGK26" s="1110">
        <f>IF(TGO10="Bovis","Attention retirer 2 mm aux dimensions transmises",0)</f>
        <v>0</v>
      </c>
      <c r="TGL26" s="1100"/>
      <c r="TGM26" s="1100"/>
      <c r="TGN26" s="1101"/>
      <c r="TGO26" s="1110">
        <f>IF(TGS10="Bovis","Attention retirer 2 mm aux dimensions transmises",0)</f>
        <v>0</v>
      </c>
      <c r="TGP26" s="1100"/>
      <c r="TGQ26" s="1100"/>
      <c r="TGR26" s="1101"/>
      <c r="TGS26" s="1110">
        <f>IF(TGW10="Bovis","Attention retirer 2 mm aux dimensions transmises",0)</f>
        <v>0</v>
      </c>
      <c r="TGT26" s="1100"/>
      <c r="TGU26" s="1100"/>
      <c r="TGV26" s="1101"/>
      <c r="TGW26" s="1110">
        <f>IF(THA10="Bovis","Attention retirer 2 mm aux dimensions transmises",0)</f>
        <v>0</v>
      </c>
      <c r="TGX26" s="1100"/>
      <c r="TGY26" s="1100"/>
      <c r="TGZ26" s="1101"/>
      <c r="THA26" s="1110">
        <f>IF(THE10="Bovis","Attention retirer 2 mm aux dimensions transmises",0)</f>
        <v>0</v>
      </c>
      <c r="THB26" s="1100"/>
      <c r="THC26" s="1100"/>
      <c r="THD26" s="1101"/>
      <c r="THE26" s="1110">
        <f>IF(THI10="Bovis","Attention retirer 2 mm aux dimensions transmises",0)</f>
        <v>0</v>
      </c>
      <c r="THF26" s="1100"/>
      <c r="THG26" s="1100"/>
      <c r="THH26" s="1101"/>
      <c r="THI26" s="1110">
        <f>IF(THM10="Bovis","Attention retirer 2 mm aux dimensions transmises",0)</f>
        <v>0</v>
      </c>
      <c r="THJ26" s="1100"/>
      <c r="THK26" s="1100"/>
      <c r="THL26" s="1101"/>
      <c r="THM26" s="1110">
        <f>IF(THQ10="Bovis","Attention retirer 2 mm aux dimensions transmises",0)</f>
        <v>0</v>
      </c>
      <c r="THN26" s="1100"/>
      <c r="THO26" s="1100"/>
      <c r="THP26" s="1101"/>
      <c r="THQ26" s="1110">
        <f>IF(THU10="Bovis","Attention retirer 2 mm aux dimensions transmises",0)</f>
        <v>0</v>
      </c>
      <c r="THR26" s="1100"/>
      <c r="THS26" s="1100"/>
      <c r="THT26" s="1101"/>
      <c r="THU26" s="1110">
        <f>IF(THY10="Bovis","Attention retirer 2 mm aux dimensions transmises",0)</f>
        <v>0</v>
      </c>
      <c r="THV26" s="1100"/>
      <c r="THW26" s="1100"/>
      <c r="THX26" s="1101"/>
      <c r="THY26" s="1110">
        <f>IF(TIC10="Bovis","Attention retirer 2 mm aux dimensions transmises",0)</f>
        <v>0</v>
      </c>
      <c r="THZ26" s="1100"/>
      <c r="TIA26" s="1100"/>
      <c r="TIB26" s="1101"/>
      <c r="TIC26" s="1110">
        <f>IF(TIG10="Bovis","Attention retirer 2 mm aux dimensions transmises",0)</f>
        <v>0</v>
      </c>
      <c r="TID26" s="1100"/>
      <c r="TIE26" s="1100"/>
      <c r="TIF26" s="1101"/>
      <c r="TIG26" s="1110">
        <f>IF(TIK10="Bovis","Attention retirer 2 mm aux dimensions transmises",0)</f>
        <v>0</v>
      </c>
      <c r="TIH26" s="1100"/>
      <c r="TII26" s="1100"/>
      <c r="TIJ26" s="1101"/>
      <c r="TIK26" s="1110">
        <f>IF(TIO10="Bovis","Attention retirer 2 mm aux dimensions transmises",0)</f>
        <v>0</v>
      </c>
      <c r="TIL26" s="1100"/>
      <c r="TIM26" s="1100"/>
      <c r="TIN26" s="1101"/>
      <c r="TIO26" s="1110">
        <f>IF(TIS10="Bovis","Attention retirer 2 mm aux dimensions transmises",0)</f>
        <v>0</v>
      </c>
      <c r="TIP26" s="1100"/>
      <c r="TIQ26" s="1100"/>
      <c r="TIR26" s="1101"/>
      <c r="TIS26" s="1110">
        <f>IF(TIW10="Bovis","Attention retirer 2 mm aux dimensions transmises",0)</f>
        <v>0</v>
      </c>
      <c r="TIT26" s="1100"/>
      <c r="TIU26" s="1100"/>
      <c r="TIV26" s="1101"/>
      <c r="TIW26" s="1110">
        <f>IF(TJA10="Bovis","Attention retirer 2 mm aux dimensions transmises",0)</f>
        <v>0</v>
      </c>
      <c r="TIX26" s="1100"/>
      <c r="TIY26" s="1100"/>
      <c r="TIZ26" s="1101"/>
      <c r="TJA26" s="1110">
        <f>IF(TJE10="Bovis","Attention retirer 2 mm aux dimensions transmises",0)</f>
        <v>0</v>
      </c>
      <c r="TJB26" s="1100"/>
      <c r="TJC26" s="1100"/>
      <c r="TJD26" s="1101"/>
      <c r="TJE26" s="1110">
        <f>IF(TJI10="Bovis","Attention retirer 2 mm aux dimensions transmises",0)</f>
        <v>0</v>
      </c>
      <c r="TJF26" s="1100"/>
      <c r="TJG26" s="1100"/>
      <c r="TJH26" s="1101"/>
      <c r="TJI26" s="1110">
        <f>IF(TJM10="Bovis","Attention retirer 2 mm aux dimensions transmises",0)</f>
        <v>0</v>
      </c>
      <c r="TJJ26" s="1100"/>
      <c r="TJK26" s="1100"/>
      <c r="TJL26" s="1101"/>
      <c r="TJM26" s="1110">
        <f>IF(TJQ10="Bovis","Attention retirer 2 mm aux dimensions transmises",0)</f>
        <v>0</v>
      </c>
      <c r="TJN26" s="1100"/>
      <c r="TJO26" s="1100"/>
      <c r="TJP26" s="1101"/>
      <c r="TJQ26" s="1110">
        <f>IF(TJU10="Bovis","Attention retirer 2 mm aux dimensions transmises",0)</f>
        <v>0</v>
      </c>
      <c r="TJR26" s="1100"/>
      <c r="TJS26" s="1100"/>
      <c r="TJT26" s="1101"/>
      <c r="TJU26" s="1110">
        <f>IF(TJY10="Bovis","Attention retirer 2 mm aux dimensions transmises",0)</f>
        <v>0</v>
      </c>
      <c r="TJV26" s="1100"/>
      <c r="TJW26" s="1100"/>
      <c r="TJX26" s="1101"/>
      <c r="TJY26" s="1110">
        <f>IF(TKC10="Bovis","Attention retirer 2 mm aux dimensions transmises",0)</f>
        <v>0</v>
      </c>
      <c r="TJZ26" s="1100"/>
      <c r="TKA26" s="1100"/>
      <c r="TKB26" s="1101"/>
      <c r="TKC26" s="1110">
        <f>IF(TKG10="Bovis","Attention retirer 2 mm aux dimensions transmises",0)</f>
        <v>0</v>
      </c>
      <c r="TKD26" s="1100"/>
      <c r="TKE26" s="1100"/>
      <c r="TKF26" s="1101"/>
      <c r="TKG26" s="1110">
        <f>IF(TKK10="Bovis","Attention retirer 2 mm aux dimensions transmises",0)</f>
        <v>0</v>
      </c>
      <c r="TKH26" s="1100"/>
      <c r="TKI26" s="1100"/>
      <c r="TKJ26" s="1101"/>
      <c r="TKK26" s="1110">
        <f>IF(TKO10="Bovis","Attention retirer 2 mm aux dimensions transmises",0)</f>
        <v>0</v>
      </c>
      <c r="TKL26" s="1100"/>
      <c r="TKM26" s="1100"/>
      <c r="TKN26" s="1101"/>
      <c r="TKO26" s="1110">
        <f>IF(TKS10="Bovis","Attention retirer 2 mm aux dimensions transmises",0)</f>
        <v>0</v>
      </c>
      <c r="TKP26" s="1100"/>
      <c r="TKQ26" s="1100"/>
      <c r="TKR26" s="1101"/>
      <c r="TKS26" s="1110">
        <f>IF(TKW10="Bovis","Attention retirer 2 mm aux dimensions transmises",0)</f>
        <v>0</v>
      </c>
      <c r="TKT26" s="1100"/>
      <c r="TKU26" s="1100"/>
      <c r="TKV26" s="1101"/>
      <c r="TKW26" s="1110">
        <f>IF(TLA10="Bovis","Attention retirer 2 mm aux dimensions transmises",0)</f>
        <v>0</v>
      </c>
      <c r="TKX26" s="1100"/>
      <c r="TKY26" s="1100"/>
      <c r="TKZ26" s="1101"/>
      <c r="TLA26" s="1110">
        <f>IF(TLE10="Bovis","Attention retirer 2 mm aux dimensions transmises",0)</f>
        <v>0</v>
      </c>
      <c r="TLB26" s="1100"/>
      <c r="TLC26" s="1100"/>
      <c r="TLD26" s="1101"/>
      <c r="TLE26" s="1110">
        <f>IF(TLI10="Bovis","Attention retirer 2 mm aux dimensions transmises",0)</f>
        <v>0</v>
      </c>
      <c r="TLF26" s="1100"/>
      <c r="TLG26" s="1100"/>
      <c r="TLH26" s="1101"/>
      <c r="TLI26" s="1110">
        <f>IF(TLM10="Bovis","Attention retirer 2 mm aux dimensions transmises",0)</f>
        <v>0</v>
      </c>
      <c r="TLJ26" s="1100"/>
      <c r="TLK26" s="1100"/>
      <c r="TLL26" s="1101"/>
      <c r="TLM26" s="1110">
        <f>IF(TLQ10="Bovis","Attention retirer 2 mm aux dimensions transmises",0)</f>
        <v>0</v>
      </c>
      <c r="TLN26" s="1100"/>
      <c r="TLO26" s="1100"/>
      <c r="TLP26" s="1101"/>
      <c r="TLQ26" s="1110">
        <f>IF(TLU10="Bovis","Attention retirer 2 mm aux dimensions transmises",0)</f>
        <v>0</v>
      </c>
      <c r="TLR26" s="1100"/>
      <c r="TLS26" s="1100"/>
      <c r="TLT26" s="1101"/>
      <c r="TLU26" s="1110">
        <f>IF(TLY10="Bovis","Attention retirer 2 mm aux dimensions transmises",0)</f>
        <v>0</v>
      </c>
      <c r="TLV26" s="1100"/>
      <c r="TLW26" s="1100"/>
      <c r="TLX26" s="1101"/>
      <c r="TLY26" s="1110">
        <f>IF(TMC10="Bovis","Attention retirer 2 mm aux dimensions transmises",0)</f>
        <v>0</v>
      </c>
      <c r="TLZ26" s="1100"/>
      <c r="TMA26" s="1100"/>
      <c r="TMB26" s="1101"/>
      <c r="TMC26" s="1110">
        <f>IF(TMG10="Bovis","Attention retirer 2 mm aux dimensions transmises",0)</f>
        <v>0</v>
      </c>
      <c r="TMD26" s="1100"/>
      <c r="TME26" s="1100"/>
      <c r="TMF26" s="1101"/>
      <c r="TMG26" s="1110">
        <f>IF(TMK10="Bovis","Attention retirer 2 mm aux dimensions transmises",0)</f>
        <v>0</v>
      </c>
      <c r="TMH26" s="1100"/>
      <c r="TMI26" s="1100"/>
      <c r="TMJ26" s="1101"/>
      <c r="TMK26" s="1110">
        <f>IF(TMO10="Bovis","Attention retirer 2 mm aux dimensions transmises",0)</f>
        <v>0</v>
      </c>
      <c r="TML26" s="1100"/>
      <c r="TMM26" s="1100"/>
      <c r="TMN26" s="1101"/>
      <c r="TMO26" s="1110">
        <f>IF(TMS10="Bovis","Attention retirer 2 mm aux dimensions transmises",0)</f>
        <v>0</v>
      </c>
      <c r="TMP26" s="1100"/>
      <c r="TMQ26" s="1100"/>
      <c r="TMR26" s="1101"/>
      <c r="TMS26" s="1110">
        <f>IF(TMW10="Bovis","Attention retirer 2 mm aux dimensions transmises",0)</f>
        <v>0</v>
      </c>
      <c r="TMT26" s="1100"/>
      <c r="TMU26" s="1100"/>
      <c r="TMV26" s="1101"/>
      <c r="TMW26" s="1110">
        <f>IF(TNA10="Bovis","Attention retirer 2 mm aux dimensions transmises",0)</f>
        <v>0</v>
      </c>
      <c r="TMX26" s="1100"/>
      <c r="TMY26" s="1100"/>
      <c r="TMZ26" s="1101"/>
      <c r="TNA26" s="1110">
        <f>IF(TNE10="Bovis","Attention retirer 2 mm aux dimensions transmises",0)</f>
        <v>0</v>
      </c>
      <c r="TNB26" s="1100"/>
      <c r="TNC26" s="1100"/>
      <c r="TND26" s="1101"/>
      <c r="TNE26" s="1110">
        <f>IF(TNI10="Bovis","Attention retirer 2 mm aux dimensions transmises",0)</f>
        <v>0</v>
      </c>
      <c r="TNF26" s="1100"/>
      <c r="TNG26" s="1100"/>
      <c r="TNH26" s="1101"/>
      <c r="TNI26" s="1110">
        <f>IF(TNM10="Bovis","Attention retirer 2 mm aux dimensions transmises",0)</f>
        <v>0</v>
      </c>
      <c r="TNJ26" s="1100"/>
      <c r="TNK26" s="1100"/>
      <c r="TNL26" s="1101"/>
      <c r="TNM26" s="1110">
        <f>IF(TNQ10="Bovis","Attention retirer 2 mm aux dimensions transmises",0)</f>
        <v>0</v>
      </c>
      <c r="TNN26" s="1100"/>
      <c r="TNO26" s="1100"/>
      <c r="TNP26" s="1101"/>
      <c r="TNQ26" s="1110">
        <f>IF(TNU10="Bovis","Attention retirer 2 mm aux dimensions transmises",0)</f>
        <v>0</v>
      </c>
      <c r="TNR26" s="1100"/>
      <c r="TNS26" s="1100"/>
      <c r="TNT26" s="1101"/>
      <c r="TNU26" s="1110">
        <f>IF(TNY10="Bovis","Attention retirer 2 mm aux dimensions transmises",0)</f>
        <v>0</v>
      </c>
      <c r="TNV26" s="1100"/>
      <c r="TNW26" s="1100"/>
      <c r="TNX26" s="1101"/>
      <c r="TNY26" s="1110">
        <f>IF(TOC10="Bovis","Attention retirer 2 mm aux dimensions transmises",0)</f>
        <v>0</v>
      </c>
      <c r="TNZ26" s="1100"/>
      <c r="TOA26" s="1100"/>
      <c r="TOB26" s="1101"/>
      <c r="TOC26" s="1110">
        <f>IF(TOG10="Bovis","Attention retirer 2 mm aux dimensions transmises",0)</f>
        <v>0</v>
      </c>
      <c r="TOD26" s="1100"/>
      <c r="TOE26" s="1100"/>
      <c r="TOF26" s="1101"/>
      <c r="TOG26" s="1110">
        <f>IF(TOK10="Bovis","Attention retirer 2 mm aux dimensions transmises",0)</f>
        <v>0</v>
      </c>
      <c r="TOH26" s="1100"/>
      <c r="TOI26" s="1100"/>
      <c r="TOJ26" s="1101"/>
      <c r="TOK26" s="1110">
        <f>IF(TOO10="Bovis","Attention retirer 2 mm aux dimensions transmises",0)</f>
        <v>0</v>
      </c>
      <c r="TOL26" s="1100"/>
      <c r="TOM26" s="1100"/>
      <c r="TON26" s="1101"/>
      <c r="TOO26" s="1110">
        <f>IF(TOS10="Bovis","Attention retirer 2 mm aux dimensions transmises",0)</f>
        <v>0</v>
      </c>
      <c r="TOP26" s="1100"/>
      <c r="TOQ26" s="1100"/>
      <c r="TOR26" s="1101"/>
      <c r="TOS26" s="1110">
        <f>IF(TOW10="Bovis","Attention retirer 2 mm aux dimensions transmises",0)</f>
        <v>0</v>
      </c>
      <c r="TOT26" s="1100"/>
      <c r="TOU26" s="1100"/>
      <c r="TOV26" s="1101"/>
      <c r="TOW26" s="1110">
        <f>IF(TPA10="Bovis","Attention retirer 2 mm aux dimensions transmises",0)</f>
        <v>0</v>
      </c>
      <c r="TOX26" s="1100"/>
      <c r="TOY26" s="1100"/>
      <c r="TOZ26" s="1101"/>
      <c r="TPA26" s="1110">
        <f>IF(TPE10="Bovis","Attention retirer 2 mm aux dimensions transmises",0)</f>
        <v>0</v>
      </c>
      <c r="TPB26" s="1100"/>
      <c r="TPC26" s="1100"/>
      <c r="TPD26" s="1101"/>
      <c r="TPE26" s="1110">
        <f>IF(TPI10="Bovis","Attention retirer 2 mm aux dimensions transmises",0)</f>
        <v>0</v>
      </c>
      <c r="TPF26" s="1100"/>
      <c r="TPG26" s="1100"/>
      <c r="TPH26" s="1101"/>
      <c r="TPI26" s="1110">
        <f>IF(TPM10="Bovis","Attention retirer 2 mm aux dimensions transmises",0)</f>
        <v>0</v>
      </c>
      <c r="TPJ26" s="1100"/>
      <c r="TPK26" s="1100"/>
      <c r="TPL26" s="1101"/>
      <c r="TPM26" s="1110">
        <f>IF(TPQ10="Bovis","Attention retirer 2 mm aux dimensions transmises",0)</f>
        <v>0</v>
      </c>
      <c r="TPN26" s="1100"/>
      <c r="TPO26" s="1100"/>
      <c r="TPP26" s="1101"/>
      <c r="TPQ26" s="1110">
        <f>IF(TPU10="Bovis","Attention retirer 2 mm aux dimensions transmises",0)</f>
        <v>0</v>
      </c>
      <c r="TPR26" s="1100"/>
      <c r="TPS26" s="1100"/>
      <c r="TPT26" s="1101"/>
      <c r="TPU26" s="1110">
        <f>IF(TPY10="Bovis","Attention retirer 2 mm aux dimensions transmises",0)</f>
        <v>0</v>
      </c>
      <c r="TPV26" s="1100"/>
      <c r="TPW26" s="1100"/>
      <c r="TPX26" s="1101"/>
      <c r="TPY26" s="1110">
        <f>IF(TQC10="Bovis","Attention retirer 2 mm aux dimensions transmises",0)</f>
        <v>0</v>
      </c>
      <c r="TPZ26" s="1100"/>
      <c r="TQA26" s="1100"/>
      <c r="TQB26" s="1101"/>
      <c r="TQC26" s="1110">
        <f>IF(TQG10="Bovis","Attention retirer 2 mm aux dimensions transmises",0)</f>
        <v>0</v>
      </c>
      <c r="TQD26" s="1100"/>
      <c r="TQE26" s="1100"/>
      <c r="TQF26" s="1101"/>
      <c r="TQG26" s="1110">
        <f>IF(TQK10="Bovis","Attention retirer 2 mm aux dimensions transmises",0)</f>
        <v>0</v>
      </c>
      <c r="TQH26" s="1100"/>
      <c r="TQI26" s="1100"/>
      <c r="TQJ26" s="1101"/>
      <c r="TQK26" s="1110">
        <f>IF(TQO10="Bovis","Attention retirer 2 mm aux dimensions transmises",0)</f>
        <v>0</v>
      </c>
      <c r="TQL26" s="1100"/>
      <c r="TQM26" s="1100"/>
      <c r="TQN26" s="1101"/>
      <c r="TQO26" s="1110">
        <f>IF(TQS10="Bovis","Attention retirer 2 mm aux dimensions transmises",0)</f>
        <v>0</v>
      </c>
      <c r="TQP26" s="1100"/>
      <c r="TQQ26" s="1100"/>
      <c r="TQR26" s="1101"/>
      <c r="TQS26" s="1110">
        <f>IF(TQW10="Bovis","Attention retirer 2 mm aux dimensions transmises",0)</f>
        <v>0</v>
      </c>
      <c r="TQT26" s="1100"/>
      <c r="TQU26" s="1100"/>
      <c r="TQV26" s="1101"/>
      <c r="TQW26" s="1110">
        <f>IF(TRA10="Bovis","Attention retirer 2 mm aux dimensions transmises",0)</f>
        <v>0</v>
      </c>
      <c r="TQX26" s="1100"/>
      <c r="TQY26" s="1100"/>
      <c r="TQZ26" s="1101"/>
      <c r="TRA26" s="1110">
        <f>IF(TRE10="Bovis","Attention retirer 2 mm aux dimensions transmises",0)</f>
        <v>0</v>
      </c>
      <c r="TRB26" s="1100"/>
      <c r="TRC26" s="1100"/>
      <c r="TRD26" s="1101"/>
      <c r="TRE26" s="1110">
        <f>IF(TRI10="Bovis","Attention retirer 2 mm aux dimensions transmises",0)</f>
        <v>0</v>
      </c>
      <c r="TRF26" s="1100"/>
      <c r="TRG26" s="1100"/>
      <c r="TRH26" s="1101"/>
      <c r="TRI26" s="1110">
        <f>IF(TRM10="Bovis","Attention retirer 2 mm aux dimensions transmises",0)</f>
        <v>0</v>
      </c>
      <c r="TRJ26" s="1100"/>
      <c r="TRK26" s="1100"/>
      <c r="TRL26" s="1101"/>
      <c r="TRM26" s="1110">
        <f>IF(TRQ10="Bovis","Attention retirer 2 mm aux dimensions transmises",0)</f>
        <v>0</v>
      </c>
      <c r="TRN26" s="1100"/>
      <c r="TRO26" s="1100"/>
      <c r="TRP26" s="1101"/>
      <c r="TRQ26" s="1110">
        <f>IF(TRU10="Bovis","Attention retirer 2 mm aux dimensions transmises",0)</f>
        <v>0</v>
      </c>
      <c r="TRR26" s="1100"/>
      <c r="TRS26" s="1100"/>
      <c r="TRT26" s="1101"/>
      <c r="TRU26" s="1110">
        <f>IF(TRY10="Bovis","Attention retirer 2 mm aux dimensions transmises",0)</f>
        <v>0</v>
      </c>
      <c r="TRV26" s="1100"/>
      <c r="TRW26" s="1100"/>
      <c r="TRX26" s="1101"/>
      <c r="TRY26" s="1110">
        <f>IF(TSC10="Bovis","Attention retirer 2 mm aux dimensions transmises",0)</f>
        <v>0</v>
      </c>
      <c r="TRZ26" s="1100"/>
      <c r="TSA26" s="1100"/>
      <c r="TSB26" s="1101"/>
      <c r="TSC26" s="1110">
        <f>IF(TSG10="Bovis","Attention retirer 2 mm aux dimensions transmises",0)</f>
        <v>0</v>
      </c>
      <c r="TSD26" s="1100"/>
      <c r="TSE26" s="1100"/>
      <c r="TSF26" s="1101"/>
      <c r="TSG26" s="1110">
        <f>IF(TSK10="Bovis","Attention retirer 2 mm aux dimensions transmises",0)</f>
        <v>0</v>
      </c>
      <c r="TSH26" s="1100"/>
      <c r="TSI26" s="1100"/>
      <c r="TSJ26" s="1101"/>
      <c r="TSK26" s="1110">
        <f>IF(TSO10="Bovis","Attention retirer 2 mm aux dimensions transmises",0)</f>
        <v>0</v>
      </c>
      <c r="TSL26" s="1100"/>
      <c r="TSM26" s="1100"/>
      <c r="TSN26" s="1101"/>
      <c r="TSO26" s="1110">
        <f>IF(TSS10="Bovis","Attention retirer 2 mm aux dimensions transmises",0)</f>
        <v>0</v>
      </c>
      <c r="TSP26" s="1100"/>
      <c r="TSQ26" s="1100"/>
      <c r="TSR26" s="1101"/>
      <c r="TSS26" s="1110">
        <f>IF(TSW10="Bovis","Attention retirer 2 mm aux dimensions transmises",0)</f>
        <v>0</v>
      </c>
      <c r="TST26" s="1100"/>
      <c r="TSU26" s="1100"/>
      <c r="TSV26" s="1101"/>
      <c r="TSW26" s="1110">
        <f>IF(TTA10="Bovis","Attention retirer 2 mm aux dimensions transmises",0)</f>
        <v>0</v>
      </c>
      <c r="TSX26" s="1100"/>
      <c r="TSY26" s="1100"/>
      <c r="TSZ26" s="1101"/>
      <c r="TTA26" s="1110">
        <f>IF(TTE10="Bovis","Attention retirer 2 mm aux dimensions transmises",0)</f>
        <v>0</v>
      </c>
      <c r="TTB26" s="1100"/>
      <c r="TTC26" s="1100"/>
      <c r="TTD26" s="1101"/>
      <c r="TTE26" s="1110">
        <f>IF(TTI10="Bovis","Attention retirer 2 mm aux dimensions transmises",0)</f>
        <v>0</v>
      </c>
      <c r="TTF26" s="1100"/>
      <c r="TTG26" s="1100"/>
      <c r="TTH26" s="1101"/>
      <c r="TTI26" s="1110">
        <f>IF(TTM10="Bovis","Attention retirer 2 mm aux dimensions transmises",0)</f>
        <v>0</v>
      </c>
      <c r="TTJ26" s="1100"/>
      <c r="TTK26" s="1100"/>
      <c r="TTL26" s="1101"/>
      <c r="TTM26" s="1110">
        <f>IF(TTQ10="Bovis","Attention retirer 2 mm aux dimensions transmises",0)</f>
        <v>0</v>
      </c>
      <c r="TTN26" s="1100"/>
      <c r="TTO26" s="1100"/>
      <c r="TTP26" s="1101"/>
      <c r="TTQ26" s="1110">
        <f>IF(TTU10="Bovis","Attention retirer 2 mm aux dimensions transmises",0)</f>
        <v>0</v>
      </c>
      <c r="TTR26" s="1100"/>
      <c r="TTS26" s="1100"/>
      <c r="TTT26" s="1101"/>
      <c r="TTU26" s="1110">
        <f>IF(TTY10="Bovis","Attention retirer 2 mm aux dimensions transmises",0)</f>
        <v>0</v>
      </c>
      <c r="TTV26" s="1100"/>
      <c r="TTW26" s="1100"/>
      <c r="TTX26" s="1101"/>
      <c r="TTY26" s="1110">
        <f>IF(TUC10="Bovis","Attention retirer 2 mm aux dimensions transmises",0)</f>
        <v>0</v>
      </c>
      <c r="TTZ26" s="1100"/>
      <c r="TUA26" s="1100"/>
      <c r="TUB26" s="1101"/>
      <c r="TUC26" s="1110">
        <f>IF(TUG10="Bovis","Attention retirer 2 mm aux dimensions transmises",0)</f>
        <v>0</v>
      </c>
      <c r="TUD26" s="1100"/>
      <c r="TUE26" s="1100"/>
      <c r="TUF26" s="1101"/>
      <c r="TUG26" s="1110">
        <f>IF(TUK10="Bovis","Attention retirer 2 mm aux dimensions transmises",0)</f>
        <v>0</v>
      </c>
      <c r="TUH26" s="1100"/>
      <c r="TUI26" s="1100"/>
      <c r="TUJ26" s="1101"/>
      <c r="TUK26" s="1110">
        <f>IF(TUO10="Bovis","Attention retirer 2 mm aux dimensions transmises",0)</f>
        <v>0</v>
      </c>
      <c r="TUL26" s="1100"/>
      <c r="TUM26" s="1100"/>
      <c r="TUN26" s="1101"/>
      <c r="TUO26" s="1110">
        <f>IF(TUS10="Bovis","Attention retirer 2 mm aux dimensions transmises",0)</f>
        <v>0</v>
      </c>
      <c r="TUP26" s="1100"/>
      <c r="TUQ26" s="1100"/>
      <c r="TUR26" s="1101"/>
      <c r="TUS26" s="1110">
        <f>IF(TUW10="Bovis","Attention retirer 2 mm aux dimensions transmises",0)</f>
        <v>0</v>
      </c>
      <c r="TUT26" s="1100"/>
      <c r="TUU26" s="1100"/>
      <c r="TUV26" s="1101"/>
      <c r="TUW26" s="1110">
        <f>IF(TVA10="Bovis","Attention retirer 2 mm aux dimensions transmises",0)</f>
        <v>0</v>
      </c>
      <c r="TUX26" s="1100"/>
      <c r="TUY26" s="1100"/>
      <c r="TUZ26" s="1101"/>
      <c r="TVA26" s="1110">
        <f>IF(TVE10="Bovis","Attention retirer 2 mm aux dimensions transmises",0)</f>
        <v>0</v>
      </c>
      <c r="TVB26" s="1100"/>
      <c r="TVC26" s="1100"/>
      <c r="TVD26" s="1101"/>
      <c r="TVE26" s="1110">
        <f>IF(TVI10="Bovis","Attention retirer 2 mm aux dimensions transmises",0)</f>
        <v>0</v>
      </c>
      <c r="TVF26" s="1100"/>
      <c r="TVG26" s="1100"/>
      <c r="TVH26" s="1101"/>
      <c r="TVI26" s="1110">
        <f>IF(TVM10="Bovis","Attention retirer 2 mm aux dimensions transmises",0)</f>
        <v>0</v>
      </c>
      <c r="TVJ26" s="1100"/>
      <c r="TVK26" s="1100"/>
      <c r="TVL26" s="1101"/>
      <c r="TVM26" s="1110">
        <f>IF(TVQ10="Bovis","Attention retirer 2 mm aux dimensions transmises",0)</f>
        <v>0</v>
      </c>
      <c r="TVN26" s="1100"/>
      <c r="TVO26" s="1100"/>
      <c r="TVP26" s="1101"/>
      <c r="TVQ26" s="1110">
        <f>IF(TVU10="Bovis","Attention retirer 2 mm aux dimensions transmises",0)</f>
        <v>0</v>
      </c>
      <c r="TVR26" s="1100"/>
      <c r="TVS26" s="1100"/>
      <c r="TVT26" s="1101"/>
      <c r="TVU26" s="1110">
        <f>IF(TVY10="Bovis","Attention retirer 2 mm aux dimensions transmises",0)</f>
        <v>0</v>
      </c>
      <c r="TVV26" s="1100"/>
      <c r="TVW26" s="1100"/>
      <c r="TVX26" s="1101"/>
      <c r="TVY26" s="1110">
        <f>IF(TWC10="Bovis","Attention retirer 2 mm aux dimensions transmises",0)</f>
        <v>0</v>
      </c>
      <c r="TVZ26" s="1100"/>
      <c r="TWA26" s="1100"/>
      <c r="TWB26" s="1101"/>
      <c r="TWC26" s="1110">
        <f>IF(TWG10="Bovis","Attention retirer 2 mm aux dimensions transmises",0)</f>
        <v>0</v>
      </c>
      <c r="TWD26" s="1100"/>
      <c r="TWE26" s="1100"/>
      <c r="TWF26" s="1101"/>
      <c r="TWG26" s="1110">
        <f>IF(TWK10="Bovis","Attention retirer 2 mm aux dimensions transmises",0)</f>
        <v>0</v>
      </c>
      <c r="TWH26" s="1100"/>
      <c r="TWI26" s="1100"/>
      <c r="TWJ26" s="1101"/>
      <c r="TWK26" s="1110">
        <f>IF(TWO10="Bovis","Attention retirer 2 mm aux dimensions transmises",0)</f>
        <v>0</v>
      </c>
      <c r="TWL26" s="1100"/>
      <c r="TWM26" s="1100"/>
      <c r="TWN26" s="1101"/>
      <c r="TWO26" s="1110">
        <f>IF(TWS10="Bovis","Attention retirer 2 mm aux dimensions transmises",0)</f>
        <v>0</v>
      </c>
      <c r="TWP26" s="1100"/>
      <c r="TWQ26" s="1100"/>
      <c r="TWR26" s="1101"/>
      <c r="TWS26" s="1110">
        <f>IF(TWW10="Bovis","Attention retirer 2 mm aux dimensions transmises",0)</f>
        <v>0</v>
      </c>
      <c r="TWT26" s="1100"/>
      <c r="TWU26" s="1100"/>
      <c r="TWV26" s="1101"/>
      <c r="TWW26" s="1110">
        <f>IF(TXA10="Bovis","Attention retirer 2 mm aux dimensions transmises",0)</f>
        <v>0</v>
      </c>
      <c r="TWX26" s="1100"/>
      <c r="TWY26" s="1100"/>
      <c r="TWZ26" s="1101"/>
      <c r="TXA26" s="1110">
        <f>IF(TXE10="Bovis","Attention retirer 2 mm aux dimensions transmises",0)</f>
        <v>0</v>
      </c>
      <c r="TXB26" s="1100"/>
      <c r="TXC26" s="1100"/>
      <c r="TXD26" s="1101"/>
      <c r="TXE26" s="1110">
        <f>IF(TXI10="Bovis","Attention retirer 2 mm aux dimensions transmises",0)</f>
        <v>0</v>
      </c>
      <c r="TXF26" s="1100"/>
      <c r="TXG26" s="1100"/>
      <c r="TXH26" s="1101"/>
      <c r="TXI26" s="1110">
        <f>IF(TXM10="Bovis","Attention retirer 2 mm aux dimensions transmises",0)</f>
        <v>0</v>
      </c>
      <c r="TXJ26" s="1100"/>
      <c r="TXK26" s="1100"/>
      <c r="TXL26" s="1101"/>
      <c r="TXM26" s="1110">
        <f>IF(TXQ10="Bovis","Attention retirer 2 mm aux dimensions transmises",0)</f>
        <v>0</v>
      </c>
      <c r="TXN26" s="1100"/>
      <c r="TXO26" s="1100"/>
      <c r="TXP26" s="1101"/>
      <c r="TXQ26" s="1110">
        <f>IF(TXU10="Bovis","Attention retirer 2 mm aux dimensions transmises",0)</f>
        <v>0</v>
      </c>
      <c r="TXR26" s="1100"/>
      <c r="TXS26" s="1100"/>
      <c r="TXT26" s="1101"/>
      <c r="TXU26" s="1110">
        <f>IF(TXY10="Bovis","Attention retirer 2 mm aux dimensions transmises",0)</f>
        <v>0</v>
      </c>
      <c r="TXV26" s="1100"/>
      <c r="TXW26" s="1100"/>
      <c r="TXX26" s="1101"/>
      <c r="TXY26" s="1110">
        <f>IF(TYC10="Bovis","Attention retirer 2 mm aux dimensions transmises",0)</f>
        <v>0</v>
      </c>
      <c r="TXZ26" s="1100"/>
      <c r="TYA26" s="1100"/>
      <c r="TYB26" s="1101"/>
      <c r="TYC26" s="1110">
        <f>IF(TYG10="Bovis","Attention retirer 2 mm aux dimensions transmises",0)</f>
        <v>0</v>
      </c>
      <c r="TYD26" s="1100"/>
      <c r="TYE26" s="1100"/>
      <c r="TYF26" s="1101"/>
      <c r="TYG26" s="1110">
        <f>IF(TYK10="Bovis","Attention retirer 2 mm aux dimensions transmises",0)</f>
        <v>0</v>
      </c>
      <c r="TYH26" s="1100"/>
      <c r="TYI26" s="1100"/>
      <c r="TYJ26" s="1101"/>
      <c r="TYK26" s="1110">
        <f>IF(TYO10="Bovis","Attention retirer 2 mm aux dimensions transmises",0)</f>
        <v>0</v>
      </c>
      <c r="TYL26" s="1100"/>
      <c r="TYM26" s="1100"/>
      <c r="TYN26" s="1101"/>
      <c r="TYO26" s="1110">
        <f>IF(TYS10="Bovis","Attention retirer 2 mm aux dimensions transmises",0)</f>
        <v>0</v>
      </c>
      <c r="TYP26" s="1100"/>
      <c r="TYQ26" s="1100"/>
      <c r="TYR26" s="1101"/>
      <c r="TYS26" s="1110">
        <f>IF(TYW10="Bovis","Attention retirer 2 mm aux dimensions transmises",0)</f>
        <v>0</v>
      </c>
      <c r="TYT26" s="1100"/>
      <c r="TYU26" s="1100"/>
      <c r="TYV26" s="1101"/>
      <c r="TYW26" s="1110">
        <f>IF(TZA10="Bovis","Attention retirer 2 mm aux dimensions transmises",0)</f>
        <v>0</v>
      </c>
      <c r="TYX26" s="1100"/>
      <c r="TYY26" s="1100"/>
      <c r="TYZ26" s="1101"/>
      <c r="TZA26" s="1110">
        <f>IF(TZE10="Bovis","Attention retirer 2 mm aux dimensions transmises",0)</f>
        <v>0</v>
      </c>
      <c r="TZB26" s="1100"/>
      <c r="TZC26" s="1100"/>
      <c r="TZD26" s="1101"/>
      <c r="TZE26" s="1110">
        <f>IF(TZI10="Bovis","Attention retirer 2 mm aux dimensions transmises",0)</f>
        <v>0</v>
      </c>
      <c r="TZF26" s="1100"/>
      <c r="TZG26" s="1100"/>
      <c r="TZH26" s="1101"/>
      <c r="TZI26" s="1110">
        <f>IF(TZM10="Bovis","Attention retirer 2 mm aux dimensions transmises",0)</f>
        <v>0</v>
      </c>
      <c r="TZJ26" s="1100"/>
      <c r="TZK26" s="1100"/>
      <c r="TZL26" s="1101"/>
      <c r="TZM26" s="1110">
        <f>IF(TZQ10="Bovis","Attention retirer 2 mm aux dimensions transmises",0)</f>
        <v>0</v>
      </c>
      <c r="TZN26" s="1100"/>
      <c r="TZO26" s="1100"/>
      <c r="TZP26" s="1101"/>
      <c r="TZQ26" s="1110">
        <f>IF(TZU10="Bovis","Attention retirer 2 mm aux dimensions transmises",0)</f>
        <v>0</v>
      </c>
      <c r="TZR26" s="1100"/>
      <c r="TZS26" s="1100"/>
      <c r="TZT26" s="1101"/>
      <c r="TZU26" s="1110">
        <f>IF(TZY10="Bovis","Attention retirer 2 mm aux dimensions transmises",0)</f>
        <v>0</v>
      </c>
      <c r="TZV26" s="1100"/>
      <c r="TZW26" s="1100"/>
      <c r="TZX26" s="1101"/>
      <c r="TZY26" s="1110">
        <f>IF(UAC10="Bovis","Attention retirer 2 mm aux dimensions transmises",0)</f>
        <v>0</v>
      </c>
      <c r="TZZ26" s="1100"/>
      <c r="UAA26" s="1100"/>
      <c r="UAB26" s="1101"/>
      <c r="UAC26" s="1110">
        <f>IF(UAG10="Bovis","Attention retirer 2 mm aux dimensions transmises",0)</f>
        <v>0</v>
      </c>
      <c r="UAD26" s="1100"/>
      <c r="UAE26" s="1100"/>
      <c r="UAF26" s="1101"/>
      <c r="UAG26" s="1110">
        <f>IF(UAK10="Bovis","Attention retirer 2 mm aux dimensions transmises",0)</f>
        <v>0</v>
      </c>
      <c r="UAH26" s="1100"/>
      <c r="UAI26" s="1100"/>
      <c r="UAJ26" s="1101"/>
      <c r="UAK26" s="1110">
        <f>IF(UAO10="Bovis","Attention retirer 2 mm aux dimensions transmises",0)</f>
        <v>0</v>
      </c>
      <c r="UAL26" s="1100"/>
      <c r="UAM26" s="1100"/>
      <c r="UAN26" s="1101"/>
      <c r="UAO26" s="1110">
        <f>IF(UAS10="Bovis","Attention retirer 2 mm aux dimensions transmises",0)</f>
        <v>0</v>
      </c>
      <c r="UAP26" s="1100"/>
      <c r="UAQ26" s="1100"/>
      <c r="UAR26" s="1101"/>
      <c r="UAS26" s="1110">
        <f>IF(UAW10="Bovis","Attention retirer 2 mm aux dimensions transmises",0)</f>
        <v>0</v>
      </c>
      <c r="UAT26" s="1100"/>
      <c r="UAU26" s="1100"/>
      <c r="UAV26" s="1101"/>
      <c r="UAW26" s="1110">
        <f>IF(UBA10="Bovis","Attention retirer 2 mm aux dimensions transmises",0)</f>
        <v>0</v>
      </c>
      <c r="UAX26" s="1100"/>
      <c r="UAY26" s="1100"/>
      <c r="UAZ26" s="1101"/>
      <c r="UBA26" s="1110">
        <f>IF(UBE10="Bovis","Attention retirer 2 mm aux dimensions transmises",0)</f>
        <v>0</v>
      </c>
      <c r="UBB26" s="1100"/>
      <c r="UBC26" s="1100"/>
      <c r="UBD26" s="1101"/>
      <c r="UBE26" s="1110">
        <f>IF(UBI10="Bovis","Attention retirer 2 mm aux dimensions transmises",0)</f>
        <v>0</v>
      </c>
      <c r="UBF26" s="1100"/>
      <c r="UBG26" s="1100"/>
      <c r="UBH26" s="1101"/>
      <c r="UBI26" s="1110">
        <f>IF(UBM10="Bovis","Attention retirer 2 mm aux dimensions transmises",0)</f>
        <v>0</v>
      </c>
      <c r="UBJ26" s="1100"/>
      <c r="UBK26" s="1100"/>
      <c r="UBL26" s="1101"/>
      <c r="UBM26" s="1110">
        <f>IF(UBQ10="Bovis","Attention retirer 2 mm aux dimensions transmises",0)</f>
        <v>0</v>
      </c>
      <c r="UBN26" s="1100"/>
      <c r="UBO26" s="1100"/>
      <c r="UBP26" s="1101"/>
      <c r="UBQ26" s="1110">
        <f>IF(UBU10="Bovis","Attention retirer 2 mm aux dimensions transmises",0)</f>
        <v>0</v>
      </c>
      <c r="UBR26" s="1100"/>
      <c r="UBS26" s="1100"/>
      <c r="UBT26" s="1101"/>
      <c r="UBU26" s="1110">
        <f>IF(UBY10="Bovis","Attention retirer 2 mm aux dimensions transmises",0)</f>
        <v>0</v>
      </c>
      <c r="UBV26" s="1100"/>
      <c r="UBW26" s="1100"/>
      <c r="UBX26" s="1101"/>
      <c r="UBY26" s="1110">
        <f>IF(UCC10="Bovis","Attention retirer 2 mm aux dimensions transmises",0)</f>
        <v>0</v>
      </c>
      <c r="UBZ26" s="1100"/>
      <c r="UCA26" s="1100"/>
      <c r="UCB26" s="1101"/>
      <c r="UCC26" s="1110">
        <f>IF(UCG10="Bovis","Attention retirer 2 mm aux dimensions transmises",0)</f>
        <v>0</v>
      </c>
      <c r="UCD26" s="1100"/>
      <c r="UCE26" s="1100"/>
      <c r="UCF26" s="1101"/>
      <c r="UCG26" s="1110">
        <f>IF(UCK10="Bovis","Attention retirer 2 mm aux dimensions transmises",0)</f>
        <v>0</v>
      </c>
      <c r="UCH26" s="1100"/>
      <c r="UCI26" s="1100"/>
      <c r="UCJ26" s="1101"/>
      <c r="UCK26" s="1110">
        <f>IF(UCO10="Bovis","Attention retirer 2 mm aux dimensions transmises",0)</f>
        <v>0</v>
      </c>
      <c r="UCL26" s="1100"/>
      <c r="UCM26" s="1100"/>
      <c r="UCN26" s="1101"/>
      <c r="UCO26" s="1110">
        <f>IF(UCS10="Bovis","Attention retirer 2 mm aux dimensions transmises",0)</f>
        <v>0</v>
      </c>
      <c r="UCP26" s="1100"/>
      <c r="UCQ26" s="1100"/>
      <c r="UCR26" s="1101"/>
      <c r="UCS26" s="1110">
        <f>IF(UCW10="Bovis","Attention retirer 2 mm aux dimensions transmises",0)</f>
        <v>0</v>
      </c>
      <c r="UCT26" s="1100"/>
      <c r="UCU26" s="1100"/>
      <c r="UCV26" s="1101"/>
      <c r="UCW26" s="1110">
        <f>IF(UDA10="Bovis","Attention retirer 2 mm aux dimensions transmises",0)</f>
        <v>0</v>
      </c>
      <c r="UCX26" s="1100"/>
      <c r="UCY26" s="1100"/>
      <c r="UCZ26" s="1101"/>
      <c r="UDA26" s="1110">
        <f>IF(UDE10="Bovis","Attention retirer 2 mm aux dimensions transmises",0)</f>
        <v>0</v>
      </c>
      <c r="UDB26" s="1100"/>
      <c r="UDC26" s="1100"/>
      <c r="UDD26" s="1101"/>
      <c r="UDE26" s="1110">
        <f>IF(UDI10="Bovis","Attention retirer 2 mm aux dimensions transmises",0)</f>
        <v>0</v>
      </c>
      <c r="UDF26" s="1100"/>
      <c r="UDG26" s="1100"/>
      <c r="UDH26" s="1101"/>
      <c r="UDI26" s="1110">
        <f>IF(UDM10="Bovis","Attention retirer 2 mm aux dimensions transmises",0)</f>
        <v>0</v>
      </c>
      <c r="UDJ26" s="1100"/>
      <c r="UDK26" s="1100"/>
      <c r="UDL26" s="1101"/>
      <c r="UDM26" s="1110">
        <f>IF(UDQ10="Bovis","Attention retirer 2 mm aux dimensions transmises",0)</f>
        <v>0</v>
      </c>
      <c r="UDN26" s="1100"/>
      <c r="UDO26" s="1100"/>
      <c r="UDP26" s="1101"/>
      <c r="UDQ26" s="1110">
        <f>IF(UDU10="Bovis","Attention retirer 2 mm aux dimensions transmises",0)</f>
        <v>0</v>
      </c>
      <c r="UDR26" s="1100"/>
      <c r="UDS26" s="1100"/>
      <c r="UDT26" s="1101"/>
      <c r="UDU26" s="1110">
        <f>IF(UDY10="Bovis","Attention retirer 2 mm aux dimensions transmises",0)</f>
        <v>0</v>
      </c>
      <c r="UDV26" s="1100"/>
      <c r="UDW26" s="1100"/>
      <c r="UDX26" s="1101"/>
      <c r="UDY26" s="1110">
        <f>IF(UEC10="Bovis","Attention retirer 2 mm aux dimensions transmises",0)</f>
        <v>0</v>
      </c>
      <c r="UDZ26" s="1100"/>
      <c r="UEA26" s="1100"/>
      <c r="UEB26" s="1101"/>
      <c r="UEC26" s="1110">
        <f>IF(UEG10="Bovis","Attention retirer 2 mm aux dimensions transmises",0)</f>
        <v>0</v>
      </c>
      <c r="UED26" s="1100"/>
      <c r="UEE26" s="1100"/>
      <c r="UEF26" s="1101"/>
      <c r="UEG26" s="1110">
        <f>IF(UEK10="Bovis","Attention retirer 2 mm aux dimensions transmises",0)</f>
        <v>0</v>
      </c>
      <c r="UEH26" s="1100"/>
      <c r="UEI26" s="1100"/>
      <c r="UEJ26" s="1101"/>
      <c r="UEK26" s="1110">
        <f>IF(UEO10="Bovis","Attention retirer 2 mm aux dimensions transmises",0)</f>
        <v>0</v>
      </c>
      <c r="UEL26" s="1100"/>
      <c r="UEM26" s="1100"/>
      <c r="UEN26" s="1101"/>
      <c r="UEO26" s="1110">
        <f>IF(UES10="Bovis","Attention retirer 2 mm aux dimensions transmises",0)</f>
        <v>0</v>
      </c>
      <c r="UEP26" s="1100"/>
      <c r="UEQ26" s="1100"/>
      <c r="UER26" s="1101"/>
      <c r="UES26" s="1110">
        <f>IF(UEW10="Bovis","Attention retirer 2 mm aux dimensions transmises",0)</f>
        <v>0</v>
      </c>
      <c r="UET26" s="1100"/>
      <c r="UEU26" s="1100"/>
      <c r="UEV26" s="1101"/>
      <c r="UEW26" s="1110">
        <f>IF(UFA10="Bovis","Attention retirer 2 mm aux dimensions transmises",0)</f>
        <v>0</v>
      </c>
      <c r="UEX26" s="1100"/>
      <c r="UEY26" s="1100"/>
      <c r="UEZ26" s="1101"/>
      <c r="UFA26" s="1110">
        <f>IF(UFE10="Bovis","Attention retirer 2 mm aux dimensions transmises",0)</f>
        <v>0</v>
      </c>
      <c r="UFB26" s="1100"/>
      <c r="UFC26" s="1100"/>
      <c r="UFD26" s="1101"/>
      <c r="UFE26" s="1110">
        <f>IF(UFI10="Bovis","Attention retirer 2 mm aux dimensions transmises",0)</f>
        <v>0</v>
      </c>
      <c r="UFF26" s="1100"/>
      <c r="UFG26" s="1100"/>
      <c r="UFH26" s="1101"/>
      <c r="UFI26" s="1110">
        <f>IF(UFM10="Bovis","Attention retirer 2 mm aux dimensions transmises",0)</f>
        <v>0</v>
      </c>
      <c r="UFJ26" s="1100"/>
      <c r="UFK26" s="1100"/>
      <c r="UFL26" s="1101"/>
      <c r="UFM26" s="1110">
        <f>IF(UFQ10="Bovis","Attention retirer 2 mm aux dimensions transmises",0)</f>
        <v>0</v>
      </c>
      <c r="UFN26" s="1100"/>
      <c r="UFO26" s="1100"/>
      <c r="UFP26" s="1101"/>
      <c r="UFQ26" s="1110">
        <f>IF(UFU10="Bovis","Attention retirer 2 mm aux dimensions transmises",0)</f>
        <v>0</v>
      </c>
      <c r="UFR26" s="1100"/>
      <c r="UFS26" s="1100"/>
      <c r="UFT26" s="1101"/>
      <c r="UFU26" s="1110">
        <f>IF(UFY10="Bovis","Attention retirer 2 mm aux dimensions transmises",0)</f>
        <v>0</v>
      </c>
      <c r="UFV26" s="1100"/>
      <c r="UFW26" s="1100"/>
      <c r="UFX26" s="1101"/>
      <c r="UFY26" s="1110">
        <f>IF(UGC10="Bovis","Attention retirer 2 mm aux dimensions transmises",0)</f>
        <v>0</v>
      </c>
      <c r="UFZ26" s="1100"/>
      <c r="UGA26" s="1100"/>
      <c r="UGB26" s="1101"/>
      <c r="UGC26" s="1110">
        <f>IF(UGG10="Bovis","Attention retirer 2 mm aux dimensions transmises",0)</f>
        <v>0</v>
      </c>
      <c r="UGD26" s="1100"/>
      <c r="UGE26" s="1100"/>
      <c r="UGF26" s="1101"/>
      <c r="UGG26" s="1110">
        <f>IF(UGK10="Bovis","Attention retirer 2 mm aux dimensions transmises",0)</f>
        <v>0</v>
      </c>
      <c r="UGH26" s="1100"/>
      <c r="UGI26" s="1100"/>
      <c r="UGJ26" s="1101"/>
      <c r="UGK26" s="1110">
        <f>IF(UGO10="Bovis","Attention retirer 2 mm aux dimensions transmises",0)</f>
        <v>0</v>
      </c>
      <c r="UGL26" s="1100"/>
      <c r="UGM26" s="1100"/>
      <c r="UGN26" s="1101"/>
      <c r="UGO26" s="1110">
        <f>IF(UGS10="Bovis","Attention retirer 2 mm aux dimensions transmises",0)</f>
        <v>0</v>
      </c>
      <c r="UGP26" s="1100"/>
      <c r="UGQ26" s="1100"/>
      <c r="UGR26" s="1101"/>
      <c r="UGS26" s="1110">
        <f>IF(UGW10="Bovis","Attention retirer 2 mm aux dimensions transmises",0)</f>
        <v>0</v>
      </c>
      <c r="UGT26" s="1100"/>
      <c r="UGU26" s="1100"/>
      <c r="UGV26" s="1101"/>
      <c r="UGW26" s="1110">
        <f>IF(UHA10="Bovis","Attention retirer 2 mm aux dimensions transmises",0)</f>
        <v>0</v>
      </c>
      <c r="UGX26" s="1100"/>
      <c r="UGY26" s="1100"/>
      <c r="UGZ26" s="1101"/>
      <c r="UHA26" s="1110">
        <f>IF(UHE10="Bovis","Attention retirer 2 mm aux dimensions transmises",0)</f>
        <v>0</v>
      </c>
      <c r="UHB26" s="1100"/>
      <c r="UHC26" s="1100"/>
      <c r="UHD26" s="1101"/>
      <c r="UHE26" s="1110">
        <f>IF(UHI10="Bovis","Attention retirer 2 mm aux dimensions transmises",0)</f>
        <v>0</v>
      </c>
      <c r="UHF26" s="1100"/>
      <c r="UHG26" s="1100"/>
      <c r="UHH26" s="1101"/>
      <c r="UHI26" s="1110">
        <f>IF(UHM10="Bovis","Attention retirer 2 mm aux dimensions transmises",0)</f>
        <v>0</v>
      </c>
      <c r="UHJ26" s="1100"/>
      <c r="UHK26" s="1100"/>
      <c r="UHL26" s="1101"/>
      <c r="UHM26" s="1110">
        <f>IF(UHQ10="Bovis","Attention retirer 2 mm aux dimensions transmises",0)</f>
        <v>0</v>
      </c>
      <c r="UHN26" s="1100"/>
      <c r="UHO26" s="1100"/>
      <c r="UHP26" s="1101"/>
      <c r="UHQ26" s="1110">
        <f>IF(UHU10="Bovis","Attention retirer 2 mm aux dimensions transmises",0)</f>
        <v>0</v>
      </c>
      <c r="UHR26" s="1100"/>
      <c r="UHS26" s="1100"/>
      <c r="UHT26" s="1101"/>
      <c r="UHU26" s="1110">
        <f>IF(UHY10="Bovis","Attention retirer 2 mm aux dimensions transmises",0)</f>
        <v>0</v>
      </c>
      <c r="UHV26" s="1100"/>
      <c r="UHW26" s="1100"/>
      <c r="UHX26" s="1101"/>
      <c r="UHY26" s="1110">
        <f>IF(UIC10="Bovis","Attention retirer 2 mm aux dimensions transmises",0)</f>
        <v>0</v>
      </c>
      <c r="UHZ26" s="1100"/>
      <c r="UIA26" s="1100"/>
      <c r="UIB26" s="1101"/>
      <c r="UIC26" s="1110">
        <f>IF(UIG10="Bovis","Attention retirer 2 mm aux dimensions transmises",0)</f>
        <v>0</v>
      </c>
      <c r="UID26" s="1100"/>
      <c r="UIE26" s="1100"/>
      <c r="UIF26" s="1101"/>
      <c r="UIG26" s="1110">
        <f>IF(UIK10="Bovis","Attention retirer 2 mm aux dimensions transmises",0)</f>
        <v>0</v>
      </c>
      <c r="UIH26" s="1100"/>
      <c r="UII26" s="1100"/>
      <c r="UIJ26" s="1101"/>
      <c r="UIK26" s="1110">
        <f>IF(UIO10="Bovis","Attention retirer 2 mm aux dimensions transmises",0)</f>
        <v>0</v>
      </c>
      <c r="UIL26" s="1100"/>
      <c r="UIM26" s="1100"/>
      <c r="UIN26" s="1101"/>
      <c r="UIO26" s="1110">
        <f>IF(UIS10="Bovis","Attention retirer 2 mm aux dimensions transmises",0)</f>
        <v>0</v>
      </c>
      <c r="UIP26" s="1100"/>
      <c r="UIQ26" s="1100"/>
      <c r="UIR26" s="1101"/>
      <c r="UIS26" s="1110">
        <f>IF(UIW10="Bovis","Attention retirer 2 mm aux dimensions transmises",0)</f>
        <v>0</v>
      </c>
      <c r="UIT26" s="1100"/>
      <c r="UIU26" s="1100"/>
      <c r="UIV26" s="1101"/>
      <c r="UIW26" s="1110">
        <f>IF(UJA10="Bovis","Attention retirer 2 mm aux dimensions transmises",0)</f>
        <v>0</v>
      </c>
      <c r="UIX26" s="1100"/>
      <c r="UIY26" s="1100"/>
      <c r="UIZ26" s="1101"/>
      <c r="UJA26" s="1110">
        <f>IF(UJE10="Bovis","Attention retirer 2 mm aux dimensions transmises",0)</f>
        <v>0</v>
      </c>
      <c r="UJB26" s="1100"/>
      <c r="UJC26" s="1100"/>
      <c r="UJD26" s="1101"/>
      <c r="UJE26" s="1110">
        <f>IF(UJI10="Bovis","Attention retirer 2 mm aux dimensions transmises",0)</f>
        <v>0</v>
      </c>
      <c r="UJF26" s="1100"/>
      <c r="UJG26" s="1100"/>
      <c r="UJH26" s="1101"/>
      <c r="UJI26" s="1110">
        <f>IF(UJM10="Bovis","Attention retirer 2 mm aux dimensions transmises",0)</f>
        <v>0</v>
      </c>
      <c r="UJJ26" s="1100"/>
      <c r="UJK26" s="1100"/>
      <c r="UJL26" s="1101"/>
      <c r="UJM26" s="1110">
        <f>IF(UJQ10="Bovis","Attention retirer 2 mm aux dimensions transmises",0)</f>
        <v>0</v>
      </c>
      <c r="UJN26" s="1100"/>
      <c r="UJO26" s="1100"/>
      <c r="UJP26" s="1101"/>
      <c r="UJQ26" s="1110">
        <f>IF(UJU10="Bovis","Attention retirer 2 mm aux dimensions transmises",0)</f>
        <v>0</v>
      </c>
      <c r="UJR26" s="1100"/>
      <c r="UJS26" s="1100"/>
      <c r="UJT26" s="1101"/>
      <c r="UJU26" s="1110">
        <f>IF(UJY10="Bovis","Attention retirer 2 mm aux dimensions transmises",0)</f>
        <v>0</v>
      </c>
      <c r="UJV26" s="1100"/>
      <c r="UJW26" s="1100"/>
      <c r="UJX26" s="1101"/>
      <c r="UJY26" s="1110">
        <f>IF(UKC10="Bovis","Attention retirer 2 mm aux dimensions transmises",0)</f>
        <v>0</v>
      </c>
      <c r="UJZ26" s="1100"/>
      <c r="UKA26" s="1100"/>
      <c r="UKB26" s="1101"/>
      <c r="UKC26" s="1110">
        <f>IF(UKG10="Bovis","Attention retirer 2 mm aux dimensions transmises",0)</f>
        <v>0</v>
      </c>
      <c r="UKD26" s="1100"/>
      <c r="UKE26" s="1100"/>
      <c r="UKF26" s="1101"/>
      <c r="UKG26" s="1110">
        <f>IF(UKK10="Bovis","Attention retirer 2 mm aux dimensions transmises",0)</f>
        <v>0</v>
      </c>
      <c r="UKH26" s="1100"/>
      <c r="UKI26" s="1100"/>
      <c r="UKJ26" s="1101"/>
      <c r="UKK26" s="1110">
        <f>IF(UKO10="Bovis","Attention retirer 2 mm aux dimensions transmises",0)</f>
        <v>0</v>
      </c>
      <c r="UKL26" s="1100"/>
      <c r="UKM26" s="1100"/>
      <c r="UKN26" s="1101"/>
      <c r="UKO26" s="1110">
        <f>IF(UKS10="Bovis","Attention retirer 2 mm aux dimensions transmises",0)</f>
        <v>0</v>
      </c>
      <c r="UKP26" s="1100"/>
      <c r="UKQ26" s="1100"/>
      <c r="UKR26" s="1101"/>
      <c r="UKS26" s="1110">
        <f>IF(UKW10="Bovis","Attention retirer 2 mm aux dimensions transmises",0)</f>
        <v>0</v>
      </c>
      <c r="UKT26" s="1100"/>
      <c r="UKU26" s="1100"/>
      <c r="UKV26" s="1101"/>
      <c r="UKW26" s="1110">
        <f>IF(ULA10="Bovis","Attention retirer 2 mm aux dimensions transmises",0)</f>
        <v>0</v>
      </c>
      <c r="UKX26" s="1100"/>
      <c r="UKY26" s="1100"/>
      <c r="UKZ26" s="1101"/>
      <c r="ULA26" s="1110">
        <f>IF(ULE10="Bovis","Attention retirer 2 mm aux dimensions transmises",0)</f>
        <v>0</v>
      </c>
      <c r="ULB26" s="1100"/>
      <c r="ULC26" s="1100"/>
      <c r="ULD26" s="1101"/>
      <c r="ULE26" s="1110">
        <f>IF(ULI10="Bovis","Attention retirer 2 mm aux dimensions transmises",0)</f>
        <v>0</v>
      </c>
      <c r="ULF26" s="1100"/>
      <c r="ULG26" s="1100"/>
      <c r="ULH26" s="1101"/>
      <c r="ULI26" s="1110">
        <f>IF(ULM10="Bovis","Attention retirer 2 mm aux dimensions transmises",0)</f>
        <v>0</v>
      </c>
      <c r="ULJ26" s="1100"/>
      <c r="ULK26" s="1100"/>
      <c r="ULL26" s="1101"/>
      <c r="ULM26" s="1110">
        <f>IF(ULQ10="Bovis","Attention retirer 2 mm aux dimensions transmises",0)</f>
        <v>0</v>
      </c>
      <c r="ULN26" s="1100"/>
      <c r="ULO26" s="1100"/>
      <c r="ULP26" s="1101"/>
      <c r="ULQ26" s="1110">
        <f>IF(ULU10="Bovis","Attention retirer 2 mm aux dimensions transmises",0)</f>
        <v>0</v>
      </c>
      <c r="ULR26" s="1100"/>
      <c r="ULS26" s="1100"/>
      <c r="ULT26" s="1101"/>
      <c r="ULU26" s="1110">
        <f>IF(ULY10="Bovis","Attention retirer 2 mm aux dimensions transmises",0)</f>
        <v>0</v>
      </c>
      <c r="ULV26" s="1100"/>
      <c r="ULW26" s="1100"/>
      <c r="ULX26" s="1101"/>
      <c r="ULY26" s="1110">
        <f>IF(UMC10="Bovis","Attention retirer 2 mm aux dimensions transmises",0)</f>
        <v>0</v>
      </c>
      <c r="ULZ26" s="1100"/>
      <c r="UMA26" s="1100"/>
      <c r="UMB26" s="1101"/>
      <c r="UMC26" s="1110">
        <f>IF(UMG10="Bovis","Attention retirer 2 mm aux dimensions transmises",0)</f>
        <v>0</v>
      </c>
      <c r="UMD26" s="1100"/>
      <c r="UME26" s="1100"/>
      <c r="UMF26" s="1101"/>
      <c r="UMG26" s="1110">
        <f>IF(UMK10="Bovis","Attention retirer 2 mm aux dimensions transmises",0)</f>
        <v>0</v>
      </c>
      <c r="UMH26" s="1100"/>
      <c r="UMI26" s="1100"/>
      <c r="UMJ26" s="1101"/>
      <c r="UMK26" s="1110">
        <f>IF(UMO10="Bovis","Attention retirer 2 mm aux dimensions transmises",0)</f>
        <v>0</v>
      </c>
      <c r="UML26" s="1100"/>
      <c r="UMM26" s="1100"/>
      <c r="UMN26" s="1101"/>
      <c r="UMO26" s="1110">
        <f>IF(UMS10="Bovis","Attention retirer 2 mm aux dimensions transmises",0)</f>
        <v>0</v>
      </c>
      <c r="UMP26" s="1100"/>
      <c r="UMQ26" s="1100"/>
      <c r="UMR26" s="1101"/>
      <c r="UMS26" s="1110">
        <f>IF(UMW10="Bovis","Attention retirer 2 mm aux dimensions transmises",0)</f>
        <v>0</v>
      </c>
      <c r="UMT26" s="1100"/>
      <c r="UMU26" s="1100"/>
      <c r="UMV26" s="1101"/>
      <c r="UMW26" s="1110">
        <f>IF(UNA10="Bovis","Attention retirer 2 mm aux dimensions transmises",0)</f>
        <v>0</v>
      </c>
      <c r="UMX26" s="1100"/>
      <c r="UMY26" s="1100"/>
      <c r="UMZ26" s="1101"/>
      <c r="UNA26" s="1110">
        <f>IF(UNE10="Bovis","Attention retirer 2 mm aux dimensions transmises",0)</f>
        <v>0</v>
      </c>
      <c r="UNB26" s="1100"/>
      <c r="UNC26" s="1100"/>
      <c r="UND26" s="1101"/>
      <c r="UNE26" s="1110">
        <f>IF(UNI10="Bovis","Attention retirer 2 mm aux dimensions transmises",0)</f>
        <v>0</v>
      </c>
      <c r="UNF26" s="1100"/>
      <c r="UNG26" s="1100"/>
      <c r="UNH26" s="1101"/>
      <c r="UNI26" s="1110">
        <f>IF(UNM10="Bovis","Attention retirer 2 mm aux dimensions transmises",0)</f>
        <v>0</v>
      </c>
      <c r="UNJ26" s="1100"/>
      <c r="UNK26" s="1100"/>
      <c r="UNL26" s="1101"/>
      <c r="UNM26" s="1110">
        <f>IF(UNQ10="Bovis","Attention retirer 2 mm aux dimensions transmises",0)</f>
        <v>0</v>
      </c>
      <c r="UNN26" s="1100"/>
      <c r="UNO26" s="1100"/>
      <c r="UNP26" s="1101"/>
      <c r="UNQ26" s="1110">
        <f>IF(UNU10="Bovis","Attention retirer 2 mm aux dimensions transmises",0)</f>
        <v>0</v>
      </c>
      <c r="UNR26" s="1100"/>
      <c r="UNS26" s="1100"/>
      <c r="UNT26" s="1101"/>
      <c r="UNU26" s="1110">
        <f>IF(UNY10="Bovis","Attention retirer 2 mm aux dimensions transmises",0)</f>
        <v>0</v>
      </c>
      <c r="UNV26" s="1100"/>
      <c r="UNW26" s="1100"/>
      <c r="UNX26" s="1101"/>
      <c r="UNY26" s="1110">
        <f>IF(UOC10="Bovis","Attention retirer 2 mm aux dimensions transmises",0)</f>
        <v>0</v>
      </c>
      <c r="UNZ26" s="1100"/>
      <c r="UOA26" s="1100"/>
      <c r="UOB26" s="1101"/>
      <c r="UOC26" s="1110">
        <f>IF(UOG10="Bovis","Attention retirer 2 mm aux dimensions transmises",0)</f>
        <v>0</v>
      </c>
      <c r="UOD26" s="1100"/>
      <c r="UOE26" s="1100"/>
      <c r="UOF26" s="1101"/>
      <c r="UOG26" s="1110">
        <f>IF(UOK10="Bovis","Attention retirer 2 mm aux dimensions transmises",0)</f>
        <v>0</v>
      </c>
      <c r="UOH26" s="1100"/>
      <c r="UOI26" s="1100"/>
      <c r="UOJ26" s="1101"/>
      <c r="UOK26" s="1110">
        <f>IF(UOO10="Bovis","Attention retirer 2 mm aux dimensions transmises",0)</f>
        <v>0</v>
      </c>
      <c r="UOL26" s="1100"/>
      <c r="UOM26" s="1100"/>
      <c r="UON26" s="1101"/>
      <c r="UOO26" s="1110">
        <f>IF(UOS10="Bovis","Attention retirer 2 mm aux dimensions transmises",0)</f>
        <v>0</v>
      </c>
      <c r="UOP26" s="1100"/>
      <c r="UOQ26" s="1100"/>
      <c r="UOR26" s="1101"/>
      <c r="UOS26" s="1110">
        <f>IF(UOW10="Bovis","Attention retirer 2 mm aux dimensions transmises",0)</f>
        <v>0</v>
      </c>
      <c r="UOT26" s="1100"/>
      <c r="UOU26" s="1100"/>
      <c r="UOV26" s="1101"/>
      <c r="UOW26" s="1110">
        <f>IF(UPA10="Bovis","Attention retirer 2 mm aux dimensions transmises",0)</f>
        <v>0</v>
      </c>
      <c r="UOX26" s="1100"/>
      <c r="UOY26" s="1100"/>
      <c r="UOZ26" s="1101"/>
      <c r="UPA26" s="1110">
        <f>IF(UPE10="Bovis","Attention retirer 2 mm aux dimensions transmises",0)</f>
        <v>0</v>
      </c>
      <c r="UPB26" s="1100"/>
      <c r="UPC26" s="1100"/>
      <c r="UPD26" s="1101"/>
      <c r="UPE26" s="1110">
        <f>IF(UPI10="Bovis","Attention retirer 2 mm aux dimensions transmises",0)</f>
        <v>0</v>
      </c>
      <c r="UPF26" s="1100"/>
      <c r="UPG26" s="1100"/>
      <c r="UPH26" s="1101"/>
      <c r="UPI26" s="1110">
        <f>IF(UPM10="Bovis","Attention retirer 2 mm aux dimensions transmises",0)</f>
        <v>0</v>
      </c>
      <c r="UPJ26" s="1100"/>
      <c r="UPK26" s="1100"/>
      <c r="UPL26" s="1101"/>
      <c r="UPM26" s="1110">
        <f>IF(UPQ10="Bovis","Attention retirer 2 mm aux dimensions transmises",0)</f>
        <v>0</v>
      </c>
      <c r="UPN26" s="1100"/>
      <c r="UPO26" s="1100"/>
      <c r="UPP26" s="1101"/>
      <c r="UPQ26" s="1110">
        <f>IF(UPU10="Bovis","Attention retirer 2 mm aux dimensions transmises",0)</f>
        <v>0</v>
      </c>
      <c r="UPR26" s="1100"/>
      <c r="UPS26" s="1100"/>
      <c r="UPT26" s="1101"/>
      <c r="UPU26" s="1110">
        <f>IF(UPY10="Bovis","Attention retirer 2 mm aux dimensions transmises",0)</f>
        <v>0</v>
      </c>
      <c r="UPV26" s="1100"/>
      <c r="UPW26" s="1100"/>
      <c r="UPX26" s="1101"/>
      <c r="UPY26" s="1110">
        <f>IF(UQC10="Bovis","Attention retirer 2 mm aux dimensions transmises",0)</f>
        <v>0</v>
      </c>
      <c r="UPZ26" s="1100"/>
      <c r="UQA26" s="1100"/>
      <c r="UQB26" s="1101"/>
      <c r="UQC26" s="1110">
        <f>IF(UQG10="Bovis","Attention retirer 2 mm aux dimensions transmises",0)</f>
        <v>0</v>
      </c>
      <c r="UQD26" s="1100"/>
      <c r="UQE26" s="1100"/>
      <c r="UQF26" s="1101"/>
      <c r="UQG26" s="1110">
        <f>IF(UQK10="Bovis","Attention retirer 2 mm aux dimensions transmises",0)</f>
        <v>0</v>
      </c>
      <c r="UQH26" s="1100"/>
      <c r="UQI26" s="1100"/>
      <c r="UQJ26" s="1101"/>
      <c r="UQK26" s="1110">
        <f>IF(UQO10="Bovis","Attention retirer 2 mm aux dimensions transmises",0)</f>
        <v>0</v>
      </c>
      <c r="UQL26" s="1100"/>
      <c r="UQM26" s="1100"/>
      <c r="UQN26" s="1101"/>
      <c r="UQO26" s="1110">
        <f>IF(UQS10="Bovis","Attention retirer 2 mm aux dimensions transmises",0)</f>
        <v>0</v>
      </c>
      <c r="UQP26" s="1100"/>
      <c r="UQQ26" s="1100"/>
      <c r="UQR26" s="1101"/>
      <c r="UQS26" s="1110">
        <f>IF(UQW10="Bovis","Attention retirer 2 mm aux dimensions transmises",0)</f>
        <v>0</v>
      </c>
      <c r="UQT26" s="1100"/>
      <c r="UQU26" s="1100"/>
      <c r="UQV26" s="1101"/>
      <c r="UQW26" s="1110">
        <f>IF(URA10="Bovis","Attention retirer 2 mm aux dimensions transmises",0)</f>
        <v>0</v>
      </c>
      <c r="UQX26" s="1100"/>
      <c r="UQY26" s="1100"/>
      <c r="UQZ26" s="1101"/>
      <c r="URA26" s="1110">
        <f>IF(URE10="Bovis","Attention retirer 2 mm aux dimensions transmises",0)</f>
        <v>0</v>
      </c>
      <c r="URB26" s="1100"/>
      <c r="URC26" s="1100"/>
      <c r="URD26" s="1101"/>
      <c r="URE26" s="1110">
        <f>IF(URI10="Bovis","Attention retirer 2 mm aux dimensions transmises",0)</f>
        <v>0</v>
      </c>
      <c r="URF26" s="1100"/>
      <c r="URG26" s="1100"/>
      <c r="URH26" s="1101"/>
      <c r="URI26" s="1110">
        <f>IF(URM10="Bovis","Attention retirer 2 mm aux dimensions transmises",0)</f>
        <v>0</v>
      </c>
      <c r="URJ26" s="1100"/>
      <c r="URK26" s="1100"/>
      <c r="URL26" s="1101"/>
      <c r="URM26" s="1110">
        <f>IF(URQ10="Bovis","Attention retirer 2 mm aux dimensions transmises",0)</f>
        <v>0</v>
      </c>
      <c r="URN26" s="1100"/>
      <c r="URO26" s="1100"/>
      <c r="URP26" s="1101"/>
      <c r="URQ26" s="1110">
        <f>IF(URU10="Bovis","Attention retirer 2 mm aux dimensions transmises",0)</f>
        <v>0</v>
      </c>
      <c r="URR26" s="1100"/>
      <c r="URS26" s="1100"/>
      <c r="URT26" s="1101"/>
      <c r="URU26" s="1110">
        <f>IF(URY10="Bovis","Attention retirer 2 mm aux dimensions transmises",0)</f>
        <v>0</v>
      </c>
      <c r="URV26" s="1100"/>
      <c r="URW26" s="1100"/>
      <c r="URX26" s="1101"/>
      <c r="URY26" s="1110">
        <f>IF(USC10="Bovis","Attention retirer 2 mm aux dimensions transmises",0)</f>
        <v>0</v>
      </c>
      <c r="URZ26" s="1100"/>
      <c r="USA26" s="1100"/>
      <c r="USB26" s="1101"/>
      <c r="USC26" s="1110">
        <f>IF(USG10="Bovis","Attention retirer 2 mm aux dimensions transmises",0)</f>
        <v>0</v>
      </c>
      <c r="USD26" s="1100"/>
      <c r="USE26" s="1100"/>
      <c r="USF26" s="1101"/>
      <c r="USG26" s="1110">
        <f>IF(USK10="Bovis","Attention retirer 2 mm aux dimensions transmises",0)</f>
        <v>0</v>
      </c>
      <c r="USH26" s="1100"/>
      <c r="USI26" s="1100"/>
      <c r="USJ26" s="1101"/>
      <c r="USK26" s="1110">
        <f>IF(USO10="Bovis","Attention retirer 2 mm aux dimensions transmises",0)</f>
        <v>0</v>
      </c>
      <c r="USL26" s="1100"/>
      <c r="USM26" s="1100"/>
      <c r="USN26" s="1101"/>
      <c r="USO26" s="1110">
        <f>IF(USS10="Bovis","Attention retirer 2 mm aux dimensions transmises",0)</f>
        <v>0</v>
      </c>
      <c r="USP26" s="1100"/>
      <c r="USQ26" s="1100"/>
      <c r="USR26" s="1101"/>
      <c r="USS26" s="1110">
        <f>IF(USW10="Bovis","Attention retirer 2 mm aux dimensions transmises",0)</f>
        <v>0</v>
      </c>
      <c r="UST26" s="1100"/>
      <c r="USU26" s="1100"/>
      <c r="USV26" s="1101"/>
      <c r="USW26" s="1110">
        <f>IF(UTA10="Bovis","Attention retirer 2 mm aux dimensions transmises",0)</f>
        <v>0</v>
      </c>
      <c r="USX26" s="1100"/>
      <c r="USY26" s="1100"/>
      <c r="USZ26" s="1101"/>
      <c r="UTA26" s="1110">
        <f>IF(UTE10="Bovis","Attention retirer 2 mm aux dimensions transmises",0)</f>
        <v>0</v>
      </c>
      <c r="UTB26" s="1100"/>
      <c r="UTC26" s="1100"/>
      <c r="UTD26" s="1101"/>
      <c r="UTE26" s="1110">
        <f>IF(UTI10="Bovis","Attention retirer 2 mm aux dimensions transmises",0)</f>
        <v>0</v>
      </c>
      <c r="UTF26" s="1100"/>
      <c r="UTG26" s="1100"/>
      <c r="UTH26" s="1101"/>
      <c r="UTI26" s="1110">
        <f>IF(UTM10="Bovis","Attention retirer 2 mm aux dimensions transmises",0)</f>
        <v>0</v>
      </c>
      <c r="UTJ26" s="1100"/>
      <c r="UTK26" s="1100"/>
      <c r="UTL26" s="1101"/>
      <c r="UTM26" s="1110">
        <f>IF(UTQ10="Bovis","Attention retirer 2 mm aux dimensions transmises",0)</f>
        <v>0</v>
      </c>
      <c r="UTN26" s="1100"/>
      <c r="UTO26" s="1100"/>
      <c r="UTP26" s="1101"/>
      <c r="UTQ26" s="1110">
        <f>IF(UTU10="Bovis","Attention retirer 2 mm aux dimensions transmises",0)</f>
        <v>0</v>
      </c>
      <c r="UTR26" s="1100"/>
      <c r="UTS26" s="1100"/>
      <c r="UTT26" s="1101"/>
      <c r="UTU26" s="1110">
        <f>IF(UTY10="Bovis","Attention retirer 2 mm aux dimensions transmises",0)</f>
        <v>0</v>
      </c>
      <c r="UTV26" s="1100"/>
      <c r="UTW26" s="1100"/>
      <c r="UTX26" s="1101"/>
      <c r="UTY26" s="1110">
        <f>IF(UUC10="Bovis","Attention retirer 2 mm aux dimensions transmises",0)</f>
        <v>0</v>
      </c>
      <c r="UTZ26" s="1100"/>
      <c r="UUA26" s="1100"/>
      <c r="UUB26" s="1101"/>
      <c r="UUC26" s="1110">
        <f>IF(UUG10="Bovis","Attention retirer 2 mm aux dimensions transmises",0)</f>
        <v>0</v>
      </c>
      <c r="UUD26" s="1100"/>
      <c r="UUE26" s="1100"/>
      <c r="UUF26" s="1101"/>
      <c r="UUG26" s="1110">
        <f>IF(UUK10="Bovis","Attention retirer 2 mm aux dimensions transmises",0)</f>
        <v>0</v>
      </c>
      <c r="UUH26" s="1100"/>
      <c r="UUI26" s="1100"/>
      <c r="UUJ26" s="1101"/>
      <c r="UUK26" s="1110">
        <f>IF(UUO10="Bovis","Attention retirer 2 mm aux dimensions transmises",0)</f>
        <v>0</v>
      </c>
      <c r="UUL26" s="1100"/>
      <c r="UUM26" s="1100"/>
      <c r="UUN26" s="1101"/>
      <c r="UUO26" s="1110">
        <f>IF(UUS10="Bovis","Attention retirer 2 mm aux dimensions transmises",0)</f>
        <v>0</v>
      </c>
      <c r="UUP26" s="1100"/>
      <c r="UUQ26" s="1100"/>
      <c r="UUR26" s="1101"/>
      <c r="UUS26" s="1110">
        <f>IF(UUW10="Bovis","Attention retirer 2 mm aux dimensions transmises",0)</f>
        <v>0</v>
      </c>
      <c r="UUT26" s="1100"/>
      <c r="UUU26" s="1100"/>
      <c r="UUV26" s="1101"/>
      <c r="UUW26" s="1110">
        <f>IF(UVA10="Bovis","Attention retirer 2 mm aux dimensions transmises",0)</f>
        <v>0</v>
      </c>
      <c r="UUX26" s="1100"/>
      <c r="UUY26" s="1100"/>
      <c r="UUZ26" s="1101"/>
      <c r="UVA26" s="1110">
        <f>IF(UVE10="Bovis","Attention retirer 2 mm aux dimensions transmises",0)</f>
        <v>0</v>
      </c>
      <c r="UVB26" s="1100"/>
      <c r="UVC26" s="1100"/>
      <c r="UVD26" s="1101"/>
      <c r="UVE26" s="1110">
        <f>IF(UVI10="Bovis","Attention retirer 2 mm aux dimensions transmises",0)</f>
        <v>0</v>
      </c>
      <c r="UVF26" s="1100"/>
      <c r="UVG26" s="1100"/>
      <c r="UVH26" s="1101"/>
      <c r="UVI26" s="1110">
        <f>IF(UVM10="Bovis","Attention retirer 2 mm aux dimensions transmises",0)</f>
        <v>0</v>
      </c>
      <c r="UVJ26" s="1100"/>
      <c r="UVK26" s="1100"/>
      <c r="UVL26" s="1101"/>
      <c r="UVM26" s="1110">
        <f>IF(UVQ10="Bovis","Attention retirer 2 mm aux dimensions transmises",0)</f>
        <v>0</v>
      </c>
      <c r="UVN26" s="1100"/>
      <c r="UVO26" s="1100"/>
      <c r="UVP26" s="1101"/>
      <c r="UVQ26" s="1110">
        <f>IF(UVU10="Bovis","Attention retirer 2 mm aux dimensions transmises",0)</f>
        <v>0</v>
      </c>
      <c r="UVR26" s="1100"/>
      <c r="UVS26" s="1100"/>
      <c r="UVT26" s="1101"/>
      <c r="UVU26" s="1110">
        <f>IF(UVY10="Bovis","Attention retirer 2 mm aux dimensions transmises",0)</f>
        <v>0</v>
      </c>
      <c r="UVV26" s="1100"/>
      <c r="UVW26" s="1100"/>
      <c r="UVX26" s="1101"/>
      <c r="UVY26" s="1110">
        <f>IF(UWC10="Bovis","Attention retirer 2 mm aux dimensions transmises",0)</f>
        <v>0</v>
      </c>
      <c r="UVZ26" s="1100"/>
      <c r="UWA26" s="1100"/>
      <c r="UWB26" s="1101"/>
      <c r="UWC26" s="1110">
        <f>IF(UWG10="Bovis","Attention retirer 2 mm aux dimensions transmises",0)</f>
        <v>0</v>
      </c>
      <c r="UWD26" s="1100"/>
      <c r="UWE26" s="1100"/>
      <c r="UWF26" s="1101"/>
      <c r="UWG26" s="1110">
        <f>IF(UWK10="Bovis","Attention retirer 2 mm aux dimensions transmises",0)</f>
        <v>0</v>
      </c>
      <c r="UWH26" s="1100"/>
      <c r="UWI26" s="1100"/>
      <c r="UWJ26" s="1101"/>
      <c r="UWK26" s="1110">
        <f>IF(UWO10="Bovis","Attention retirer 2 mm aux dimensions transmises",0)</f>
        <v>0</v>
      </c>
      <c r="UWL26" s="1100"/>
      <c r="UWM26" s="1100"/>
      <c r="UWN26" s="1101"/>
      <c r="UWO26" s="1110">
        <f>IF(UWS10="Bovis","Attention retirer 2 mm aux dimensions transmises",0)</f>
        <v>0</v>
      </c>
      <c r="UWP26" s="1100"/>
      <c r="UWQ26" s="1100"/>
      <c r="UWR26" s="1101"/>
      <c r="UWS26" s="1110">
        <f>IF(UWW10="Bovis","Attention retirer 2 mm aux dimensions transmises",0)</f>
        <v>0</v>
      </c>
      <c r="UWT26" s="1100"/>
      <c r="UWU26" s="1100"/>
      <c r="UWV26" s="1101"/>
      <c r="UWW26" s="1110">
        <f>IF(UXA10="Bovis","Attention retirer 2 mm aux dimensions transmises",0)</f>
        <v>0</v>
      </c>
      <c r="UWX26" s="1100"/>
      <c r="UWY26" s="1100"/>
      <c r="UWZ26" s="1101"/>
      <c r="UXA26" s="1110">
        <f>IF(UXE10="Bovis","Attention retirer 2 mm aux dimensions transmises",0)</f>
        <v>0</v>
      </c>
      <c r="UXB26" s="1100"/>
      <c r="UXC26" s="1100"/>
      <c r="UXD26" s="1101"/>
      <c r="UXE26" s="1110">
        <f>IF(UXI10="Bovis","Attention retirer 2 mm aux dimensions transmises",0)</f>
        <v>0</v>
      </c>
      <c r="UXF26" s="1100"/>
      <c r="UXG26" s="1100"/>
      <c r="UXH26" s="1101"/>
      <c r="UXI26" s="1110">
        <f>IF(UXM10="Bovis","Attention retirer 2 mm aux dimensions transmises",0)</f>
        <v>0</v>
      </c>
      <c r="UXJ26" s="1100"/>
      <c r="UXK26" s="1100"/>
      <c r="UXL26" s="1101"/>
      <c r="UXM26" s="1110">
        <f>IF(UXQ10="Bovis","Attention retirer 2 mm aux dimensions transmises",0)</f>
        <v>0</v>
      </c>
      <c r="UXN26" s="1100"/>
      <c r="UXO26" s="1100"/>
      <c r="UXP26" s="1101"/>
      <c r="UXQ26" s="1110">
        <f>IF(UXU10="Bovis","Attention retirer 2 mm aux dimensions transmises",0)</f>
        <v>0</v>
      </c>
      <c r="UXR26" s="1100"/>
      <c r="UXS26" s="1100"/>
      <c r="UXT26" s="1101"/>
      <c r="UXU26" s="1110">
        <f>IF(UXY10="Bovis","Attention retirer 2 mm aux dimensions transmises",0)</f>
        <v>0</v>
      </c>
      <c r="UXV26" s="1100"/>
      <c r="UXW26" s="1100"/>
      <c r="UXX26" s="1101"/>
      <c r="UXY26" s="1110">
        <f>IF(UYC10="Bovis","Attention retirer 2 mm aux dimensions transmises",0)</f>
        <v>0</v>
      </c>
      <c r="UXZ26" s="1100"/>
      <c r="UYA26" s="1100"/>
      <c r="UYB26" s="1101"/>
      <c r="UYC26" s="1110">
        <f>IF(UYG10="Bovis","Attention retirer 2 mm aux dimensions transmises",0)</f>
        <v>0</v>
      </c>
      <c r="UYD26" s="1100"/>
      <c r="UYE26" s="1100"/>
      <c r="UYF26" s="1101"/>
      <c r="UYG26" s="1110">
        <f>IF(UYK10="Bovis","Attention retirer 2 mm aux dimensions transmises",0)</f>
        <v>0</v>
      </c>
      <c r="UYH26" s="1100"/>
      <c r="UYI26" s="1100"/>
      <c r="UYJ26" s="1101"/>
      <c r="UYK26" s="1110">
        <f>IF(UYO10="Bovis","Attention retirer 2 mm aux dimensions transmises",0)</f>
        <v>0</v>
      </c>
      <c r="UYL26" s="1100"/>
      <c r="UYM26" s="1100"/>
      <c r="UYN26" s="1101"/>
      <c r="UYO26" s="1110">
        <f>IF(UYS10="Bovis","Attention retirer 2 mm aux dimensions transmises",0)</f>
        <v>0</v>
      </c>
      <c r="UYP26" s="1100"/>
      <c r="UYQ26" s="1100"/>
      <c r="UYR26" s="1101"/>
      <c r="UYS26" s="1110">
        <f>IF(UYW10="Bovis","Attention retirer 2 mm aux dimensions transmises",0)</f>
        <v>0</v>
      </c>
      <c r="UYT26" s="1100"/>
      <c r="UYU26" s="1100"/>
      <c r="UYV26" s="1101"/>
      <c r="UYW26" s="1110">
        <f>IF(UZA10="Bovis","Attention retirer 2 mm aux dimensions transmises",0)</f>
        <v>0</v>
      </c>
      <c r="UYX26" s="1100"/>
      <c r="UYY26" s="1100"/>
      <c r="UYZ26" s="1101"/>
      <c r="UZA26" s="1110">
        <f>IF(UZE10="Bovis","Attention retirer 2 mm aux dimensions transmises",0)</f>
        <v>0</v>
      </c>
      <c r="UZB26" s="1100"/>
      <c r="UZC26" s="1100"/>
      <c r="UZD26" s="1101"/>
      <c r="UZE26" s="1110">
        <f>IF(UZI10="Bovis","Attention retirer 2 mm aux dimensions transmises",0)</f>
        <v>0</v>
      </c>
      <c r="UZF26" s="1100"/>
      <c r="UZG26" s="1100"/>
      <c r="UZH26" s="1101"/>
      <c r="UZI26" s="1110">
        <f>IF(UZM10="Bovis","Attention retirer 2 mm aux dimensions transmises",0)</f>
        <v>0</v>
      </c>
      <c r="UZJ26" s="1100"/>
      <c r="UZK26" s="1100"/>
      <c r="UZL26" s="1101"/>
      <c r="UZM26" s="1110">
        <f>IF(UZQ10="Bovis","Attention retirer 2 mm aux dimensions transmises",0)</f>
        <v>0</v>
      </c>
      <c r="UZN26" s="1100"/>
      <c r="UZO26" s="1100"/>
      <c r="UZP26" s="1101"/>
      <c r="UZQ26" s="1110">
        <f>IF(UZU10="Bovis","Attention retirer 2 mm aux dimensions transmises",0)</f>
        <v>0</v>
      </c>
      <c r="UZR26" s="1100"/>
      <c r="UZS26" s="1100"/>
      <c r="UZT26" s="1101"/>
      <c r="UZU26" s="1110">
        <f>IF(UZY10="Bovis","Attention retirer 2 mm aux dimensions transmises",0)</f>
        <v>0</v>
      </c>
      <c r="UZV26" s="1100"/>
      <c r="UZW26" s="1100"/>
      <c r="UZX26" s="1101"/>
      <c r="UZY26" s="1110">
        <f>IF(VAC10="Bovis","Attention retirer 2 mm aux dimensions transmises",0)</f>
        <v>0</v>
      </c>
      <c r="UZZ26" s="1100"/>
      <c r="VAA26" s="1100"/>
      <c r="VAB26" s="1101"/>
      <c r="VAC26" s="1110">
        <f>IF(VAG10="Bovis","Attention retirer 2 mm aux dimensions transmises",0)</f>
        <v>0</v>
      </c>
      <c r="VAD26" s="1100"/>
      <c r="VAE26" s="1100"/>
      <c r="VAF26" s="1101"/>
      <c r="VAG26" s="1110">
        <f>IF(VAK10="Bovis","Attention retirer 2 mm aux dimensions transmises",0)</f>
        <v>0</v>
      </c>
      <c r="VAH26" s="1100"/>
      <c r="VAI26" s="1100"/>
      <c r="VAJ26" s="1101"/>
      <c r="VAK26" s="1110">
        <f>IF(VAO10="Bovis","Attention retirer 2 mm aux dimensions transmises",0)</f>
        <v>0</v>
      </c>
      <c r="VAL26" s="1100"/>
      <c r="VAM26" s="1100"/>
      <c r="VAN26" s="1101"/>
      <c r="VAO26" s="1110">
        <f>IF(VAS10="Bovis","Attention retirer 2 mm aux dimensions transmises",0)</f>
        <v>0</v>
      </c>
      <c r="VAP26" s="1100"/>
      <c r="VAQ26" s="1100"/>
      <c r="VAR26" s="1101"/>
      <c r="VAS26" s="1110">
        <f>IF(VAW10="Bovis","Attention retirer 2 mm aux dimensions transmises",0)</f>
        <v>0</v>
      </c>
      <c r="VAT26" s="1100"/>
      <c r="VAU26" s="1100"/>
      <c r="VAV26" s="1101"/>
      <c r="VAW26" s="1110">
        <f>IF(VBA10="Bovis","Attention retirer 2 mm aux dimensions transmises",0)</f>
        <v>0</v>
      </c>
      <c r="VAX26" s="1100"/>
      <c r="VAY26" s="1100"/>
      <c r="VAZ26" s="1101"/>
      <c r="VBA26" s="1110">
        <f>IF(VBE10="Bovis","Attention retirer 2 mm aux dimensions transmises",0)</f>
        <v>0</v>
      </c>
      <c r="VBB26" s="1100"/>
      <c r="VBC26" s="1100"/>
      <c r="VBD26" s="1101"/>
      <c r="VBE26" s="1110">
        <f>IF(VBI10="Bovis","Attention retirer 2 mm aux dimensions transmises",0)</f>
        <v>0</v>
      </c>
      <c r="VBF26" s="1100"/>
      <c r="VBG26" s="1100"/>
      <c r="VBH26" s="1101"/>
      <c r="VBI26" s="1110">
        <f>IF(VBM10="Bovis","Attention retirer 2 mm aux dimensions transmises",0)</f>
        <v>0</v>
      </c>
      <c r="VBJ26" s="1100"/>
      <c r="VBK26" s="1100"/>
      <c r="VBL26" s="1101"/>
      <c r="VBM26" s="1110">
        <f>IF(VBQ10="Bovis","Attention retirer 2 mm aux dimensions transmises",0)</f>
        <v>0</v>
      </c>
      <c r="VBN26" s="1100"/>
      <c r="VBO26" s="1100"/>
      <c r="VBP26" s="1101"/>
      <c r="VBQ26" s="1110">
        <f>IF(VBU10="Bovis","Attention retirer 2 mm aux dimensions transmises",0)</f>
        <v>0</v>
      </c>
      <c r="VBR26" s="1100"/>
      <c r="VBS26" s="1100"/>
      <c r="VBT26" s="1101"/>
      <c r="VBU26" s="1110">
        <f>IF(VBY10="Bovis","Attention retirer 2 mm aux dimensions transmises",0)</f>
        <v>0</v>
      </c>
      <c r="VBV26" s="1100"/>
      <c r="VBW26" s="1100"/>
      <c r="VBX26" s="1101"/>
      <c r="VBY26" s="1110">
        <f>IF(VCC10="Bovis","Attention retirer 2 mm aux dimensions transmises",0)</f>
        <v>0</v>
      </c>
      <c r="VBZ26" s="1100"/>
      <c r="VCA26" s="1100"/>
      <c r="VCB26" s="1101"/>
      <c r="VCC26" s="1110">
        <f>IF(VCG10="Bovis","Attention retirer 2 mm aux dimensions transmises",0)</f>
        <v>0</v>
      </c>
      <c r="VCD26" s="1100"/>
      <c r="VCE26" s="1100"/>
      <c r="VCF26" s="1101"/>
      <c r="VCG26" s="1110">
        <f>IF(VCK10="Bovis","Attention retirer 2 mm aux dimensions transmises",0)</f>
        <v>0</v>
      </c>
      <c r="VCH26" s="1100"/>
      <c r="VCI26" s="1100"/>
      <c r="VCJ26" s="1101"/>
      <c r="VCK26" s="1110">
        <f>IF(VCO10="Bovis","Attention retirer 2 mm aux dimensions transmises",0)</f>
        <v>0</v>
      </c>
      <c r="VCL26" s="1100"/>
      <c r="VCM26" s="1100"/>
      <c r="VCN26" s="1101"/>
      <c r="VCO26" s="1110">
        <f>IF(VCS10="Bovis","Attention retirer 2 mm aux dimensions transmises",0)</f>
        <v>0</v>
      </c>
      <c r="VCP26" s="1100"/>
      <c r="VCQ26" s="1100"/>
      <c r="VCR26" s="1101"/>
      <c r="VCS26" s="1110">
        <f>IF(VCW10="Bovis","Attention retirer 2 mm aux dimensions transmises",0)</f>
        <v>0</v>
      </c>
      <c r="VCT26" s="1100"/>
      <c r="VCU26" s="1100"/>
      <c r="VCV26" s="1101"/>
      <c r="VCW26" s="1110">
        <f>IF(VDA10="Bovis","Attention retirer 2 mm aux dimensions transmises",0)</f>
        <v>0</v>
      </c>
      <c r="VCX26" s="1100"/>
      <c r="VCY26" s="1100"/>
      <c r="VCZ26" s="1101"/>
      <c r="VDA26" s="1110">
        <f>IF(VDE10="Bovis","Attention retirer 2 mm aux dimensions transmises",0)</f>
        <v>0</v>
      </c>
      <c r="VDB26" s="1100"/>
      <c r="VDC26" s="1100"/>
      <c r="VDD26" s="1101"/>
      <c r="VDE26" s="1110">
        <f>IF(VDI10="Bovis","Attention retirer 2 mm aux dimensions transmises",0)</f>
        <v>0</v>
      </c>
      <c r="VDF26" s="1100"/>
      <c r="VDG26" s="1100"/>
      <c r="VDH26" s="1101"/>
      <c r="VDI26" s="1110">
        <f>IF(VDM10="Bovis","Attention retirer 2 mm aux dimensions transmises",0)</f>
        <v>0</v>
      </c>
      <c r="VDJ26" s="1100"/>
      <c r="VDK26" s="1100"/>
      <c r="VDL26" s="1101"/>
      <c r="VDM26" s="1110">
        <f>IF(VDQ10="Bovis","Attention retirer 2 mm aux dimensions transmises",0)</f>
        <v>0</v>
      </c>
      <c r="VDN26" s="1100"/>
      <c r="VDO26" s="1100"/>
      <c r="VDP26" s="1101"/>
      <c r="VDQ26" s="1110">
        <f>IF(VDU10="Bovis","Attention retirer 2 mm aux dimensions transmises",0)</f>
        <v>0</v>
      </c>
      <c r="VDR26" s="1100"/>
      <c r="VDS26" s="1100"/>
      <c r="VDT26" s="1101"/>
      <c r="VDU26" s="1110">
        <f>IF(VDY10="Bovis","Attention retirer 2 mm aux dimensions transmises",0)</f>
        <v>0</v>
      </c>
      <c r="VDV26" s="1100"/>
      <c r="VDW26" s="1100"/>
      <c r="VDX26" s="1101"/>
      <c r="VDY26" s="1110">
        <f>IF(VEC10="Bovis","Attention retirer 2 mm aux dimensions transmises",0)</f>
        <v>0</v>
      </c>
      <c r="VDZ26" s="1100"/>
      <c r="VEA26" s="1100"/>
      <c r="VEB26" s="1101"/>
      <c r="VEC26" s="1110">
        <f>IF(VEG10="Bovis","Attention retirer 2 mm aux dimensions transmises",0)</f>
        <v>0</v>
      </c>
      <c r="VED26" s="1100"/>
      <c r="VEE26" s="1100"/>
      <c r="VEF26" s="1101"/>
      <c r="VEG26" s="1110">
        <f>IF(VEK10="Bovis","Attention retirer 2 mm aux dimensions transmises",0)</f>
        <v>0</v>
      </c>
      <c r="VEH26" s="1100"/>
      <c r="VEI26" s="1100"/>
      <c r="VEJ26" s="1101"/>
      <c r="VEK26" s="1110">
        <f>IF(VEO10="Bovis","Attention retirer 2 mm aux dimensions transmises",0)</f>
        <v>0</v>
      </c>
      <c r="VEL26" s="1100"/>
      <c r="VEM26" s="1100"/>
      <c r="VEN26" s="1101"/>
      <c r="VEO26" s="1110">
        <f>IF(VES10="Bovis","Attention retirer 2 mm aux dimensions transmises",0)</f>
        <v>0</v>
      </c>
      <c r="VEP26" s="1100"/>
      <c r="VEQ26" s="1100"/>
      <c r="VER26" s="1101"/>
      <c r="VES26" s="1110">
        <f>IF(VEW10="Bovis","Attention retirer 2 mm aux dimensions transmises",0)</f>
        <v>0</v>
      </c>
      <c r="VET26" s="1100"/>
      <c r="VEU26" s="1100"/>
      <c r="VEV26" s="1101"/>
      <c r="VEW26" s="1110">
        <f>IF(VFA10="Bovis","Attention retirer 2 mm aux dimensions transmises",0)</f>
        <v>0</v>
      </c>
      <c r="VEX26" s="1100"/>
      <c r="VEY26" s="1100"/>
      <c r="VEZ26" s="1101"/>
      <c r="VFA26" s="1110">
        <f>IF(VFE10="Bovis","Attention retirer 2 mm aux dimensions transmises",0)</f>
        <v>0</v>
      </c>
      <c r="VFB26" s="1100"/>
      <c r="VFC26" s="1100"/>
      <c r="VFD26" s="1101"/>
      <c r="VFE26" s="1110">
        <f>IF(VFI10="Bovis","Attention retirer 2 mm aux dimensions transmises",0)</f>
        <v>0</v>
      </c>
      <c r="VFF26" s="1100"/>
      <c r="VFG26" s="1100"/>
      <c r="VFH26" s="1101"/>
      <c r="VFI26" s="1110">
        <f>IF(VFM10="Bovis","Attention retirer 2 mm aux dimensions transmises",0)</f>
        <v>0</v>
      </c>
      <c r="VFJ26" s="1100"/>
      <c r="VFK26" s="1100"/>
      <c r="VFL26" s="1101"/>
      <c r="VFM26" s="1110">
        <f>IF(VFQ10="Bovis","Attention retirer 2 mm aux dimensions transmises",0)</f>
        <v>0</v>
      </c>
      <c r="VFN26" s="1100"/>
      <c r="VFO26" s="1100"/>
      <c r="VFP26" s="1101"/>
      <c r="VFQ26" s="1110">
        <f>IF(VFU10="Bovis","Attention retirer 2 mm aux dimensions transmises",0)</f>
        <v>0</v>
      </c>
      <c r="VFR26" s="1100"/>
      <c r="VFS26" s="1100"/>
      <c r="VFT26" s="1101"/>
      <c r="VFU26" s="1110">
        <f>IF(VFY10="Bovis","Attention retirer 2 mm aux dimensions transmises",0)</f>
        <v>0</v>
      </c>
      <c r="VFV26" s="1100"/>
      <c r="VFW26" s="1100"/>
      <c r="VFX26" s="1101"/>
      <c r="VFY26" s="1110">
        <f>IF(VGC10="Bovis","Attention retirer 2 mm aux dimensions transmises",0)</f>
        <v>0</v>
      </c>
      <c r="VFZ26" s="1100"/>
      <c r="VGA26" s="1100"/>
      <c r="VGB26" s="1101"/>
      <c r="VGC26" s="1110">
        <f>IF(VGG10="Bovis","Attention retirer 2 mm aux dimensions transmises",0)</f>
        <v>0</v>
      </c>
      <c r="VGD26" s="1100"/>
      <c r="VGE26" s="1100"/>
      <c r="VGF26" s="1101"/>
      <c r="VGG26" s="1110">
        <f>IF(VGK10="Bovis","Attention retirer 2 mm aux dimensions transmises",0)</f>
        <v>0</v>
      </c>
      <c r="VGH26" s="1100"/>
      <c r="VGI26" s="1100"/>
      <c r="VGJ26" s="1101"/>
      <c r="VGK26" s="1110">
        <f>IF(VGO10="Bovis","Attention retirer 2 mm aux dimensions transmises",0)</f>
        <v>0</v>
      </c>
      <c r="VGL26" s="1100"/>
      <c r="VGM26" s="1100"/>
      <c r="VGN26" s="1101"/>
      <c r="VGO26" s="1110">
        <f>IF(VGS10="Bovis","Attention retirer 2 mm aux dimensions transmises",0)</f>
        <v>0</v>
      </c>
      <c r="VGP26" s="1100"/>
      <c r="VGQ26" s="1100"/>
      <c r="VGR26" s="1101"/>
      <c r="VGS26" s="1110">
        <f>IF(VGW10="Bovis","Attention retirer 2 mm aux dimensions transmises",0)</f>
        <v>0</v>
      </c>
      <c r="VGT26" s="1100"/>
      <c r="VGU26" s="1100"/>
      <c r="VGV26" s="1101"/>
      <c r="VGW26" s="1110">
        <f>IF(VHA10="Bovis","Attention retirer 2 mm aux dimensions transmises",0)</f>
        <v>0</v>
      </c>
      <c r="VGX26" s="1100"/>
      <c r="VGY26" s="1100"/>
      <c r="VGZ26" s="1101"/>
      <c r="VHA26" s="1110">
        <f>IF(VHE10="Bovis","Attention retirer 2 mm aux dimensions transmises",0)</f>
        <v>0</v>
      </c>
      <c r="VHB26" s="1100"/>
      <c r="VHC26" s="1100"/>
      <c r="VHD26" s="1101"/>
      <c r="VHE26" s="1110">
        <f>IF(VHI10="Bovis","Attention retirer 2 mm aux dimensions transmises",0)</f>
        <v>0</v>
      </c>
      <c r="VHF26" s="1100"/>
      <c r="VHG26" s="1100"/>
      <c r="VHH26" s="1101"/>
      <c r="VHI26" s="1110">
        <f>IF(VHM10="Bovis","Attention retirer 2 mm aux dimensions transmises",0)</f>
        <v>0</v>
      </c>
      <c r="VHJ26" s="1100"/>
      <c r="VHK26" s="1100"/>
      <c r="VHL26" s="1101"/>
      <c r="VHM26" s="1110">
        <f>IF(VHQ10="Bovis","Attention retirer 2 mm aux dimensions transmises",0)</f>
        <v>0</v>
      </c>
      <c r="VHN26" s="1100"/>
      <c r="VHO26" s="1100"/>
      <c r="VHP26" s="1101"/>
      <c r="VHQ26" s="1110">
        <f>IF(VHU10="Bovis","Attention retirer 2 mm aux dimensions transmises",0)</f>
        <v>0</v>
      </c>
      <c r="VHR26" s="1100"/>
      <c r="VHS26" s="1100"/>
      <c r="VHT26" s="1101"/>
      <c r="VHU26" s="1110">
        <f>IF(VHY10="Bovis","Attention retirer 2 mm aux dimensions transmises",0)</f>
        <v>0</v>
      </c>
      <c r="VHV26" s="1100"/>
      <c r="VHW26" s="1100"/>
      <c r="VHX26" s="1101"/>
      <c r="VHY26" s="1110">
        <f>IF(VIC10="Bovis","Attention retirer 2 mm aux dimensions transmises",0)</f>
        <v>0</v>
      </c>
      <c r="VHZ26" s="1100"/>
      <c r="VIA26" s="1100"/>
      <c r="VIB26" s="1101"/>
      <c r="VIC26" s="1110">
        <f>IF(VIG10="Bovis","Attention retirer 2 mm aux dimensions transmises",0)</f>
        <v>0</v>
      </c>
      <c r="VID26" s="1100"/>
      <c r="VIE26" s="1100"/>
      <c r="VIF26" s="1101"/>
      <c r="VIG26" s="1110">
        <f>IF(VIK10="Bovis","Attention retirer 2 mm aux dimensions transmises",0)</f>
        <v>0</v>
      </c>
      <c r="VIH26" s="1100"/>
      <c r="VII26" s="1100"/>
      <c r="VIJ26" s="1101"/>
      <c r="VIK26" s="1110">
        <f>IF(VIO10="Bovis","Attention retirer 2 mm aux dimensions transmises",0)</f>
        <v>0</v>
      </c>
      <c r="VIL26" s="1100"/>
      <c r="VIM26" s="1100"/>
      <c r="VIN26" s="1101"/>
      <c r="VIO26" s="1110">
        <f>IF(VIS10="Bovis","Attention retirer 2 mm aux dimensions transmises",0)</f>
        <v>0</v>
      </c>
      <c r="VIP26" s="1100"/>
      <c r="VIQ26" s="1100"/>
      <c r="VIR26" s="1101"/>
      <c r="VIS26" s="1110">
        <f>IF(VIW10="Bovis","Attention retirer 2 mm aux dimensions transmises",0)</f>
        <v>0</v>
      </c>
      <c r="VIT26" s="1100"/>
      <c r="VIU26" s="1100"/>
      <c r="VIV26" s="1101"/>
      <c r="VIW26" s="1110">
        <f>IF(VJA10="Bovis","Attention retirer 2 mm aux dimensions transmises",0)</f>
        <v>0</v>
      </c>
      <c r="VIX26" s="1100"/>
      <c r="VIY26" s="1100"/>
      <c r="VIZ26" s="1101"/>
      <c r="VJA26" s="1110">
        <f>IF(VJE10="Bovis","Attention retirer 2 mm aux dimensions transmises",0)</f>
        <v>0</v>
      </c>
      <c r="VJB26" s="1100"/>
      <c r="VJC26" s="1100"/>
      <c r="VJD26" s="1101"/>
      <c r="VJE26" s="1110">
        <f>IF(VJI10="Bovis","Attention retirer 2 mm aux dimensions transmises",0)</f>
        <v>0</v>
      </c>
      <c r="VJF26" s="1100"/>
      <c r="VJG26" s="1100"/>
      <c r="VJH26" s="1101"/>
      <c r="VJI26" s="1110">
        <f>IF(VJM10="Bovis","Attention retirer 2 mm aux dimensions transmises",0)</f>
        <v>0</v>
      </c>
      <c r="VJJ26" s="1100"/>
      <c r="VJK26" s="1100"/>
      <c r="VJL26" s="1101"/>
      <c r="VJM26" s="1110">
        <f>IF(VJQ10="Bovis","Attention retirer 2 mm aux dimensions transmises",0)</f>
        <v>0</v>
      </c>
      <c r="VJN26" s="1100"/>
      <c r="VJO26" s="1100"/>
      <c r="VJP26" s="1101"/>
      <c r="VJQ26" s="1110">
        <f>IF(VJU10="Bovis","Attention retirer 2 mm aux dimensions transmises",0)</f>
        <v>0</v>
      </c>
      <c r="VJR26" s="1100"/>
      <c r="VJS26" s="1100"/>
      <c r="VJT26" s="1101"/>
      <c r="VJU26" s="1110">
        <f>IF(VJY10="Bovis","Attention retirer 2 mm aux dimensions transmises",0)</f>
        <v>0</v>
      </c>
      <c r="VJV26" s="1100"/>
      <c r="VJW26" s="1100"/>
      <c r="VJX26" s="1101"/>
      <c r="VJY26" s="1110">
        <f>IF(VKC10="Bovis","Attention retirer 2 mm aux dimensions transmises",0)</f>
        <v>0</v>
      </c>
      <c r="VJZ26" s="1100"/>
      <c r="VKA26" s="1100"/>
      <c r="VKB26" s="1101"/>
      <c r="VKC26" s="1110">
        <f>IF(VKG10="Bovis","Attention retirer 2 mm aux dimensions transmises",0)</f>
        <v>0</v>
      </c>
      <c r="VKD26" s="1100"/>
      <c r="VKE26" s="1100"/>
      <c r="VKF26" s="1101"/>
      <c r="VKG26" s="1110">
        <f>IF(VKK10="Bovis","Attention retirer 2 mm aux dimensions transmises",0)</f>
        <v>0</v>
      </c>
      <c r="VKH26" s="1100"/>
      <c r="VKI26" s="1100"/>
      <c r="VKJ26" s="1101"/>
      <c r="VKK26" s="1110">
        <f>IF(VKO10="Bovis","Attention retirer 2 mm aux dimensions transmises",0)</f>
        <v>0</v>
      </c>
      <c r="VKL26" s="1100"/>
      <c r="VKM26" s="1100"/>
      <c r="VKN26" s="1101"/>
      <c r="VKO26" s="1110">
        <f>IF(VKS10="Bovis","Attention retirer 2 mm aux dimensions transmises",0)</f>
        <v>0</v>
      </c>
      <c r="VKP26" s="1100"/>
      <c r="VKQ26" s="1100"/>
      <c r="VKR26" s="1101"/>
      <c r="VKS26" s="1110">
        <f>IF(VKW10="Bovis","Attention retirer 2 mm aux dimensions transmises",0)</f>
        <v>0</v>
      </c>
      <c r="VKT26" s="1100"/>
      <c r="VKU26" s="1100"/>
      <c r="VKV26" s="1101"/>
      <c r="VKW26" s="1110">
        <f>IF(VLA10="Bovis","Attention retirer 2 mm aux dimensions transmises",0)</f>
        <v>0</v>
      </c>
      <c r="VKX26" s="1100"/>
      <c r="VKY26" s="1100"/>
      <c r="VKZ26" s="1101"/>
      <c r="VLA26" s="1110">
        <f>IF(VLE10="Bovis","Attention retirer 2 mm aux dimensions transmises",0)</f>
        <v>0</v>
      </c>
      <c r="VLB26" s="1100"/>
      <c r="VLC26" s="1100"/>
      <c r="VLD26" s="1101"/>
      <c r="VLE26" s="1110">
        <f>IF(VLI10="Bovis","Attention retirer 2 mm aux dimensions transmises",0)</f>
        <v>0</v>
      </c>
      <c r="VLF26" s="1100"/>
      <c r="VLG26" s="1100"/>
      <c r="VLH26" s="1101"/>
      <c r="VLI26" s="1110">
        <f>IF(VLM10="Bovis","Attention retirer 2 mm aux dimensions transmises",0)</f>
        <v>0</v>
      </c>
      <c r="VLJ26" s="1100"/>
      <c r="VLK26" s="1100"/>
      <c r="VLL26" s="1101"/>
      <c r="VLM26" s="1110">
        <f>IF(VLQ10="Bovis","Attention retirer 2 mm aux dimensions transmises",0)</f>
        <v>0</v>
      </c>
      <c r="VLN26" s="1100"/>
      <c r="VLO26" s="1100"/>
      <c r="VLP26" s="1101"/>
      <c r="VLQ26" s="1110">
        <f>IF(VLU10="Bovis","Attention retirer 2 mm aux dimensions transmises",0)</f>
        <v>0</v>
      </c>
      <c r="VLR26" s="1100"/>
      <c r="VLS26" s="1100"/>
      <c r="VLT26" s="1101"/>
      <c r="VLU26" s="1110">
        <f>IF(VLY10="Bovis","Attention retirer 2 mm aux dimensions transmises",0)</f>
        <v>0</v>
      </c>
      <c r="VLV26" s="1100"/>
      <c r="VLW26" s="1100"/>
      <c r="VLX26" s="1101"/>
      <c r="VLY26" s="1110">
        <f>IF(VMC10="Bovis","Attention retirer 2 mm aux dimensions transmises",0)</f>
        <v>0</v>
      </c>
      <c r="VLZ26" s="1100"/>
      <c r="VMA26" s="1100"/>
      <c r="VMB26" s="1101"/>
      <c r="VMC26" s="1110">
        <f>IF(VMG10="Bovis","Attention retirer 2 mm aux dimensions transmises",0)</f>
        <v>0</v>
      </c>
      <c r="VMD26" s="1100"/>
      <c r="VME26" s="1100"/>
      <c r="VMF26" s="1101"/>
      <c r="VMG26" s="1110">
        <f>IF(VMK10="Bovis","Attention retirer 2 mm aux dimensions transmises",0)</f>
        <v>0</v>
      </c>
      <c r="VMH26" s="1100"/>
      <c r="VMI26" s="1100"/>
      <c r="VMJ26" s="1101"/>
      <c r="VMK26" s="1110">
        <f>IF(VMO10="Bovis","Attention retirer 2 mm aux dimensions transmises",0)</f>
        <v>0</v>
      </c>
      <c r="VML26" s="1100"/>
      <c r="VMM26" s="1100"/>
      <c r="VMN26" s="1101"/>
      <c r="VMO26" s="1110">
        <f>IF(VMS10="Bovis","Attention retirer 2 mm aux dimensions transmises",0)</f>
        <v>0</v>
      </c>
      <c r="VMP26" s="1100"/>
      <c r="VMQ26" s="1100"/>
      <c r="VMR26" s="1101"/>
      <c r="VMS26" s="1110">
        <f>IF(VMW10="Bovis","Attention retirer 2 mm aux dimensions transmises",0)</f>
        <v>0</v>
      </c>
      <c r="VMT26" s="1100"/>
      <c r="VMU26" s="1100"/>
      <c r="VMV26" s="1101"/>
      <c r="VMW26" s="1110">
        <f>IF(VNA10="Bovis","Attention retirer 2 mm aux dimensions transmises",0)</f>
        <v>0</v>
      </c>
      <c r="VMX26" s="1100"/>
      <c r="VMY26" s="1100"/>
      <c r="VMZ26" s="1101"/>
      <c r="VNA26" s="1110">
        <f>IF(VNE10="Bovis","Attention retirer 2 mm aux dimensions transmises",0)</f>
        <v>0</v>
      </c>
      <c r="VNB26" s="1100"/>
      <c r="VNC26" s="1100"/>
      <c r="VND26" s="1101"/>
      <c r="VNE26" s="1110">
        <f>IF(VNI10="Bovis","Attention retirer 2 mm aux dimensions transmises",0)</f>
        <v>0</v>
      </c>
      <c r="VNF26" s="1100"/>
      <c r="VNG26" s="1100"/>
      <c r="VNH26" s="1101"/>
      <c r="VNI26" s="1110">
        <f>IF(VNM10="Bovis","Attention retirer 2 mm aux dimensions transmises",0)</f>
        <v>0</v>
      </c>
      <c r="VNJ26" s="1100"/>
      <c r="VNK26" s="1100"/>
      <c r="VNL26" s="1101"/>
      <c r="VNM26" s="1110">
        <f>IF(VNQ10="Bovis","Attention retirer 2 mm aux dimensions transmises",0)</f>
        <v>0</v>
      </c>
      <c r="VNN26" s="1100"/>
      <c r="VNO26" s="1100"/>
      <c r="VNP26" s="1101"/>
      <c r="VNQ26" s="1110">
        <f>IF(VNU10="Bovis","Attention retirer 2 mm aux dimensions transmises",0)</f>
        <v>0</v>
      </c>
      <c r="VNR26" s="1100"/>
      <c r="VNS26" s="1100"/>
      <c r="VNT26" s="1101"/>
      <c r="VNU26" s="1110">
        <f>IF(VNY10="Bovis","Attention retirer 2 mm aux dimensions transmises",0)</f>
        <v>0</v>
      </c>
      <c r="VNV26" s="1100"/>
      <c r="VNW26" s="1100"/>
      <c r="VNX26" s="1101"/>
      <c r="VNY26" s="1110">
        <f>IF(VOC10="Bovis","Attention retirer 2 mm aux dimensions transmises",0)</f>
        <v>0</v>
      </c>
      <c r="VNZ26" s="1100"/>
      <c r="VOA26" s="1100"/>
      <c r="VOB26" s="1101"/>
      <c r="VOC26" s="1110">
        <f>IF(VOG10="Bovis","Attention retirer 2 mm aux dimensions transmises",0)</f>
        <v>0</v>
      </c>
      <c r="VOD26" s="1100"/>
      <c r="VOE26" s="1100"/>
      <c r="VOF26" s="1101"/>
      <c r="VOG26" s="1110">
        <f>IF(VOK10="Bovis","Attention retirer 2 mm aux dimensions transmises",0)</f>
        <v>0</v>
      </c>
      <c r="VOH26" s="1100"/>
      <c r="VOI26" s="1100"/>
      <c r="VOJ26" s="1101"/>
      <c r="VOK26" s="1110">
        <f>IF(VOO10="Bovis","Attention retirer 2 mm aux dimensions transmises",0)</f>
        <v>0</v>
      </c>
      <c r="VOL26" s="1100"/>
      <c r="VOM26" s="1100"/>
      <c r="VON26" s="1101"/>
      <c r="VOO26" s="1110">
        <f>IF(VOS10="Bovis","Attention retirer 2 mm aux dimensions transmises",0)</f>
        <v>0</v>
      </c>
      <c r="VOP26" s="1100"/>
      <c r="VOQ26" s="1100"/>
      <c r="VOR26" s="1101"/>
      <c r="VOS26" s="1110">
        <f>IF(VOW10="Bovis","Attention retirer 2 mm aux dimensions transmises",0)</f>
        <v>0</v>
      </c>
      <c r="VOT26" s="1100"/>
      <c r="VOU26" s="1100"/>
      <c r="VOV26" s="1101"/>
      <c r="VOW26" s="1110">
        <f>IF(VPA10="Bovis","Attention retirer 2 mm aux dimensions transmises",0)</f>
        <v>0</v>
      </c>
      <c r="VOX26" s="1100"/>
      <c r="VOY26" s="1100"/>
      <c r="VOZ26" s="1101"/>
      <c r="VPA26" s="1110">
        <f>IF(VPE10="Bovis","Attention retirer 2 mm aux dimensions transmises",0)</f>
        <v>0</v>
      </c>
      <c r="VPB26" s="1100"/>
      <c r="VPC26" s="1100"/>
      <c r="VPD26" s="1101"/>
      <c r="VPE26" s="1110">
        <f>IF(VPI10="Bovis","Attention retirer 2 mm aux dimensions transmises",0)</f>
        <v>0</v>
      </c>
      <c r="VPF26" s="1100"/>
      <c r="VPG26" s="1100"/>
      <c r="VPH26" s="1101"/>
      <c r="VPI26" s="1110">
        <f>IF(VPM10="Bovis","Attention retirer 2 mm aux dimensions transmises",0)</f>
        <v>0</v>
      </c>
      <c r="VPJ26" s="1100"/>
      <c r="VPK26" s="1100"/>
      <c r="VPL26" s="1101"/>
      <c r="VPM26" s="1110">
        <f>IF(VPQ10="Bovis","Attention retirer 2 mm aux dimensions transmises",0)</f>
        <v>0</v>
      </c>
      <c r="VPN26" s="1100"/>
      <c r="VPO26" s="1100"/>
      <c r="VPP26" s="1101"/>
      <c r="VPQ26" s="1110">
        <f>IF(VPU10="Bovis","Attention retirer 2 mm aux dimensions transmises",0)</f>
        <v>0</v>
      </c>
      <c r="VPR26" s="1100"/>
      <c r="VPS26" s="1100"/>
      <c r="VPT26" s="1101"/>
      <c r="VPU26" s="1110">
        <f>IF(VPY10="Bovis","Attention retirer 2 mm aux dimensions transmises",0)</f>
        <v>0</v>
      </c>
      <c r="VPV26" s="1100"/>
      <c r="VPW26" s="1100"/>
      <c r="VPX26" s="1101"/>
      <c r="VPY26" s="1110">
        <f>IF(VQC10="Bovis","Attention retirer 2 mm aux dimensions transmises",0)</f>
        <v>0</v>
      </c>
      <c r="VPZ26" s="1100"/>
      <c r="VQA26" s="1100"/>
      <c r="VQB26" s="1101"/>
      <c r="VQC26" s="1110">
        <f>IF(VQG10="Bovis","Attention retirer 2 mm aux dimensions transmises",0)</f>
        <v>0</v>
      </c>
      <c r="VQD26" s="1100"/>
      <c r="VQE26" s="1100"/>
      <c r="VQF26" s="1101"/>
      <c r="VQG26" s="1110">
        <f>IF(VQK10="Bovis","Attention retirer 2 mm aux dimensions transmises",0)</f>
        <v>0</v>
      </c>
      <c r="VQH26" s="1100"/>
      <c r="VQI26" s="1100"/>
      <c r="VQJ26" s="1101"/>
      <c r="VQK26" s="1110">
        <f>IF(VQO10="Bovis","Attention retirer 2 mm aux dimensions transmises",0)</f>
        <v>0</v>
      </c>
      <c r="VQL26" s="1100"/>
      <c r="VQM26" s="1100"/>
      <c r="VQN26" s="1101"/>
      <c r="VQO26" s="1110">
        <f>IF(VQS10="Bovis","Attention retirer 2 mm aux dimensions transmises",0)</f>
        <v>0</v>
      </c>
      <c r="VQP26" s="1100"/>
      <c r="VQQ26" s="1100"/>
      <c r="VQR26" s="1101"/>
      <c r="VQS26" s="1110">
        <f>IF(VQW10="Bovis","Attention retirer 2 mm aux dimensions transmises",0)</f>
        <v>0</v>
      </c>
      <c r="VQT26" s="1100"/>
      <c r="VQU26" s="1100"/>
      <c r="VQV26" s="1101"/>
      <c r="VQW26" s="1110">
        <f>IF(VRA10="Bovis","Attention retirer 2 mm aux dimensions transmises",0)</f>
        <v>0</v>
      </c>
      <c r="VQX26" s="1100"/>
      <c r="VQY26" s="1100"/>
      <c r="VQZ26" s="1101"/>
      <c r="VRA26" s="1110">
        <f>IF(VRE10="Bovis","Attention retirer 2 mm aux dimensions transmises",0)</f>
        <v>0</v>
      </c>
      <c r="VRB26" s="1100"/>
      <c r="VRC26" s="1100"/>
      <c r="VRD26" s="1101"/>
      <c r="VRE26" s="1110">
        <f>IF(VRI10="Bovis","Attention retirer 2 mm aux dimensions transmises",0)</f>
        <v>0</v>
      </c>
      <c r="VRF26" s="1100"/>
      <c r="VRG26" s="1100"/>
      <c r="VRH26" s="1101"/>
      <c r="VRI26" s="1110">
        <f>IF(VRM10="Bovis","Attention retirer 2 mm aux dimensions transmises",0)</f>
        <v>0</v>
      </c>
      <c r="VRJ26" s="1100"/>
      <c r="VRK26" s="1100"/>
      <c r="VRL26" s="1101"/>
      <c r="VRM26" s="1110">
        <f>IF(VRQ10="Bovis","Attention retirer 2 mm aux dimensions transmises",0)</f>
        <v>0</v>
      </c>
      <c r="VRN26" s="1100"/>
      <c r="VRO26" s="1100"/>
      <c r="VRP26" s="1101"/>
      <c r="VRQ26" s="1110">
        <f>IF(VRU10="Bovis","Attention retirer 2 mm aux dimensions transmises",0)</f>
        <v>0</v>
      </c>
      <c r="VRR26" s="1100"/>
      <c r="VRS26" s="1100"/>
      <c r="VRT26" s="1101"/>
      <c r="VRU26" s="1110">
        <f>IF(VRY10="Bovis","Attention retirer 2 mm aux dimensions transmises",0)</f>
        <v>0</v>
      </c>
      <c r="VRV26" s="1100"/>
      <c r="VRW26" s="1100"/>
      <c r="VRX26" s="1101"/>
      <c r="VRY26" s="1110">
        <f>IF(VSC10="Bovis","Attention retirer 2 mm aux dimensions transmises",0)</f>
        <v>0</v>
      </c>
      <c r="VRZ26" s="1100"/>
      <c r="VSA26" s="1100"/>
      <c r="VSB26" s="1101"/>
      <c r="VSC26" s="1110">
        <f>IF(VSG10="Bovis","Attention retirer 2 mm aux dimensions transmises",0)</f>
        <v>0</v>
      </c>
      <c r="VSD26" s="1100"/>
      <c r="VSE26" s="1100"/>
      <c r="VSF26" s="1101"/>
      <c r="VSG26" s="1110">
        <f>IF(VSK10="Bovis","Attention retirer 2 mm aux dimensions transmises",0)</f>
        <v>0</v>
      </c>
      <c r="VSH26" s="1100"/>
      <c r="VSI26" s="1100"/>
      <c r="VSJ26" s="1101"/>
      <c r="VSK26" s="1110">
        <f>IF(VSO10="Bovis","Attention retirer 2 mm aux dimensions transmises",0)</f>
        <v>0</v>
      </c>
      <c r="VSL26" s="1100"/>
      <c r="VSM26" s="1100"/>
      <c r="VSN26" s="1101"/>
      <c r="VSO26" s="1110">
        <f>IF(VSS10="Bovis","Attention retirer 2 mm aux dimensions transmises",0)</f>
        <v>0</v>
      </c>
      <c r="VSP26" s="1100"/>
      <c r="VSQ26" s="1100"/>
      <c r="VSR26" s="1101"/>
      <c r="VSS26" s="1110">
        <f>IF(VSW10="Bovis","Attention retirer 2 mm aux dimensions transmises",0)</f>
        <v>0</v>
      </c>
      <c r="VST26" s="1100"/>
      <c r="VSU26" s="1100"/>
      <c r="VSV26" s="1101"/>
      <c r="VSW26" s="1110">
        <f>IF(VTA10="Bovis","Attention retirer 2 mm aux dimensions transmises",0)</f>
        <v>0</v>
      </c>
      <c r="VSX26" s="1100"/>
      <c r="VSY26" s="1100"/>
      <c r="VSZ26" s="1101"/>
      <c r="VTA26" s="1110">
        <f>IF(VTE10="Bovis","Attention retirer 2 mm aux dimensions transmises",0)</f>
        <v>0</v>
      </c>
      <c r="VTB26" s="1100"/>
      <c r="VTC26" s="1100"/>
      <c r="VTD26" s="1101"/>
      <c r="VTE26" s="1110">
        <f>IF(VTI10="Bovis","Attention retirer 2 mm aux dimensions transmises",0)</f>
        <v>0</v>
      </c>
      <c r="VTF26" s="1100"/>
      <c r="VTG26" s="1100"/>
      <c r="VTH26" s="1101"/>
      <c r="VTI26" s="1110">
        <f>IF(VTM10="Bovis","Attention retirer 2 mm aux dimensions transmises",0)</f>
        <v>0</v>
      </c>
      <c r="VTJ26" s="1100"/>
      <c r="VTK26" s="1100"/>
      <c r="VTL26" s="1101"/>
      <c r="VTM26" s="1110">
        <f>IF(VTQ10="Bovis","Attention retirer 2 mm aux dimensions transmises",0)</f>
        <v>0</v>
      </c>
      <c r="VTN26" s="1100"/>
      <c r="VTO26" s="1100"/>
      <c r="VTP26" s="1101"/>
      <c r="VTQ26" s="1110">
        <f>IF(VTU10="Bovis","Attention retirer 2 mm aux dimensions transmises",0)</f>
        <v>0</v>
      </c>
      <c r="VTR26" s="1100"/>
      <c r="VTS26" s="1100"/>
      <c r="VTT26" s="1101"/>
      <c r="VTU26" s="1110">
        <f>IF(VTY10="Bovis","Attention retirer 2 mm aux dimensions transmises",0)</f>
        <v>0</v>
      </c>
      <c r="VTV26" s="1100"/>
      <c r="VTW26" s="1100"/>
      <c r="VTX26" s="1101"/>
      <c r="VTY26" s="1110">
        <f>IF(VUC10="Bovis","Attention retirer 2 mm aux dimensions transmises",0)</f>
        <v>0</v>
      </c>
      <c r="VTZ26" s="1100"/>
      <c r="VUA26" s="1100"/>
      <c r="VUB26" s="1101"/>
      <c r="VUC26" s="1110">
        <f>IF(VUG10="Bovis","Attention retirer 2 mm aux dimensions transmises",0)</f>
        <v>0</v>
      </c>
      <c r="VUD26" s="1100"/>
      <c r="VUE26" s="1100"/>
      <c r="VUF26" s="1101"/>
      <c r="VUG26" s="1110">
        <f>IF(VUK10="Bovis","Attention retirer 2 mm aux dimensions transmises",0)</f>
        <v>0</v>
      </c>
      <c r="VUH26" s="1100"/>
      <c r="VUI26" s="1100"/>
      <c r="VUJ26" s="1101"/>
      <c r="VUK26" s="1110">
        <f>IF(VUO10="Bovis","Attention retirer 2 mm aux dimensions transmises",0)</f>
        <v>0</v>
      </c>
      <c r="VUL26" s="1100"/>
      <c r="VUM26" s="1100"/>
      <c r="VUN26" s="1101"/>
      <c r="VUO26" s="1110">
        <f>IF(VUS10="Bovis","Attention retirer 2 mm aux dimensions transmises",0)</f>
        <v>0</v>
      </c>
      <c r="VUP26" s="1100"/>
      <c r="VUQ26" s="1100"/>
      <c r="VUR26" s="1101"/>
      <c r="VUS26" s="1110">
        <f>IF(VUW10="Bovis","Attention retirer 2 mm aux dimensions transmises",0)</f>
        <v>0</v>
      </c>
      <c r="VUT26" s="1100"/>
      <c r="VUU26" s="1100"/>
      <c r="VUV26" s="1101"/>
      <c r="VUW26" s="1110">
        <f>IF(VVA10="Bovis","Attention retirer 2 mm aux dimensions transmises",0)</f>
        <v>0</v>
      </c>
      <c r="VUX26" s="1100"/>
      <c r="VUY26" s="1100"/>
      <c r="VUZ26" s="1101"/>
      <c r="VVA26" s="1110">
        <f>IF(VVE10="Bovis","Attention retirer 2 mm aux dimensions transmises",0)</f>
        <v>0</v>
      </c>
      <c r="VVB26" s="1100"/>
      <c r="VVC26" s="1100"/>
      <c r="VVD26" s="1101"/>
      <c r="VVE26" s="1110">
        <f>IF(VVI10="Bovis","Attention retirer 2 mm aux dimensions transmises",0)</f>
        <v>0</v>
      </c>
      <c r="VVF26" s="1100"/>
      <c r="VVG26" s="1100"/>
      <c r="VVH26" s="1101"/>
      <c r="VVI26" s="1110">
        <f>IF(VVM10="Bovis","Attention retirer 2 mm aux dimensions transmises",0)</f>
        <v>0</v>
      </c>
      <c r="VVJ26" s="1100"/>
      <c r="VVK26" s="1100"/>
      <c r="VVL26" s="1101"/>
      <c r="VVM26" s="1110">
        <f>IF(VVQ10="Bovis","Attention retirer 2 mm aux dimensions transmises",0)</f>
        <v>0</v>
      </c>
      <c r="VVN26" s="1100"/>
      <c r="VVO26" s="1100"/>
      <c r="VVP26" s="1101"/>
      <c r="VVQ26" s="1110">
        <f>IF(VVU10="Bovis","Attention retirer 2 mm aux dimensions transmises",0)</f>
        <v>0</v>
      </c>
      <c r="VVR26" s="1100"/>
      <c r="VVS26" s="1100"/>
      <c r="VVT26" s="1101"/>
      <c r="VVU26" s="1110">
        <f>IF(VVY10="Bovis","Attention retirer 2 mm aux dimensions transmises",0)</f>
        <v>0</v>
      </c>
      <c r="VVV26" s="1100"/>
      <c r="VVW26" s="1100"/>
      <c r="VVX26" s="1101"/>
      <c r="VVY26" s="1110">
        <f>IF(VWC10="Bovis","Attention retirer 2 mm aux dimensions transmises",0)</f>
        <v>0</v>
      </c>
      <c r="VVZ26" s="1100"/>
      <c r="VWA26" s="1100"/>
      <c r="VWB26" s="1101"/>
      <c r="VWC26" s="1110">
        <f>IF(VWG10="Bovis","Attention retirer 2 mm aux dimensions transmises",0)</f>
        <v>0</v>
      </c>
      <c r="VWD26" s="1100"/>
      <c r="VWE26" s="1100"/>
      <c r="VWF26" s="1101"/>
      <c r="VWG26" s="1110">
        <f>IF(VWK10="Bovis","Attention retirer 2 mm aux dimensions transmises",0)</f>
        <v>0</v>
      </c>
      <c r="VWH26" s="1100"/>
      <c r="VWI26" s="1100"/>
      <c r="VWJ26" s="1101"/>
      <c r="VWK26" s="1110">
        <f>IF(VWO10="Bovis","Attention retirer 2 mm aux dimensions transmises",0)</f>
        <v>0</v>
      </c>
      <c r="VWL26" s="1100"/>
      <c r="VWM26" s="1100"/>
      <c r="VWN26" s="1101"/>
      <c r="VWO26" s="1110">
        <f>IF(VWS10="Bovis","Attention retirer 2 mm aux dimensions transmises",0)</f>
        <v>0</v>
      </c>
      <c r="VWP26" s="1100"/>
      <c r="VWQ26" s="1100"/>
      <c r="VWR26" s="1101"/>
      <c r="VWS26" s="1110">
        <f>IF(VWW10="Bovis","Attention retirer 2 mm aux dimensions transmises",0)</f>
        <v>0</v>
      </c>
      <c r="VWT26" s="1100"/>
      <c r="VWU26" s="1100"/>
      <c r="VWV26" s="1101"/>
      <c r="VWW26" s="1110">
        <f>IF(VXA10="Bovis","Attention retirer 2 mm aux dimensions transmises",0)</f>
        <v>0</v>
      </c>
      <c r="VWX26" s="1100"/>
      <c r="VWY26" s="1100"/>
      <c r="VWZ26" s="1101"/>
      <c r="VXA26" s="1110">
        <f>IF(VXE10="Bovis","Attention retirer 2 mm aux dimensions transmises",0)</f>
        <v>0</v>
      </c>
      <c r="VXB26" s="1100"/>
      <c r="VXC26" s="1100"/>
      <c r="VXD26" s="1101"/>
      <c r="VXE26" s="1110">
        <f>IF(VXI10="Bovis","Attention retirer 2 mm aux dimensions transmises",0)</f>
        <v>0</v>
      </c>
      <c r="VXF26" s="1100"/>
      <c r="VXG26" s="1100"/>
      <c r="VXH26" s="1101"/>
      <c r="VXI26" s="1110">
        <f>IF(VXM10="Bovis","Attention retirer 2 mm aux dimensions transmises",0)</f>
        <v>0</v>
      </c>
      <c r="VXJ26" s="1100"/>
      <c r="VXK26" s="1100"/>
      <c r="VXL26" s="1101"/>
      <c r="VXM26" s="1110">
        <f>IF(VXQ10="Bovis","Attention retirer 2 mm aux dimensions transmises",0)</f>
        <v>0</v>
      </c>
      <c r="VXN26" s="1100"/>
      <c r="VXO26" s="1100"/>
      <c r="VXP26" s="1101"/>
      <c r="VXQ26" s="1110">
        <f>IF(VXU10="Bovis","Attention retirer 2 mm aux dimensions transmises",0)</f>
        <v>0</v>
      </c>
      <c r="VXR26" s="1100"/>
      <c r="VXS26" s="1100"/>
      <c r="VXT26" s="1101"/>
      <c r="VXU26" s="1110">
        <f>IF(VXY10="Bovis","Attention retirer 2 mm aux dimensions transmises",0)</f>
        <v>0</v>
      </c>
      <c r="VXV26" s="1100"/>
      <c r="VXW26" s="1100"/>
      <c r="VXX26" s="1101"/>
      <c r="VXY26" s="1110">
        <f>IF(VYC10="Bovis","Attention retirer 2 mm aux dimensions transmises",0)</f>
        <v>0</v>
      </c>
      <c r="VXZ26" s="1100"/>
      <c r="VYA26" s="1100"/>
      <c r="VYB26" s="1101"/>
      <c r="VYC26" s="1110">
        <f>IF(VYG10="Bovis","Attention retirer 2 mm aux dimensions transmises",0)</f>
        <v>0</v>
      </c>
      <c r="VYD26" s="1100"/>
      <c r="VYE26" s="1100"/>
      <c r="VYF26" s="1101"/>
      <c r="VYG26" s="1110">
        <f>IF(VYK10="Bovis","Attention retirer 2 mm aux dimensions transmises",0)</f>
        <v>0</v>
      </c>
      <c r="VYH26" s="1100"/>
      <c r="VYI26" s="1100"/>
      <c r="VYJ26" s="1101"/>
      <c r="VYK26" s="1110">
        <f>IF(VYO10="Bovis","Attention retirer 2 mm aux dimensions transmises",0)</f>
        <v>0</v>
      </c>
      <c r="VYL26" s="1100"/>
      <c r="VYM26" s="1100"/>
      <c r="VYN26" s="1101"/>
      <c r="VYO26" s="1110">
        <f>IF(VYS10="Bovis","Attention retirer 2 mm aux dimensions transmises",0)</f>
        <v>0</v>
      </c>
      <c r="VYP26" s="1100"/>
      <c r="VYQ26" s="1100"/>
      <c r="VYR26" s="1101"/>
      <c r="VYS26" s="1110">
        <f>IF(VYW10="Bovis","Attention retirer 2 mm aux dimensions transmises",0)</f>
        <v>0</v>
      </c>
      <c r="VYT26" s="1100"/>
      <c r="VYU26" s="1100"/>
      <c r="VYV26" s="1101"/>
      <c r="VYW26" s="1110">
        <f>IF(VZA10="Bovis","Attention retirer 2 mm aux dimensions transmises",0)</f>
        <v>0</v>
      </c>
      <c r="VYX26" s="1100"/>
      <c r="VYY26" s="1100"/>
      <c r="VYZ26" s="1101"/>
      <c r="VZA26" s="1110">
        <f>IF(VZE10="Bovis","Attention retirer 2 mm aux dimensions transmises",0)</f>
        <v>0</v>
      </c>
      <c r="VZB26" s="1100"/>
      <c r="VZC26" s="1100"/>
      <c r="VZD26" s="1101"/>
      <c r="VZE26" s="1110">
        <f>IF(VZI10="Bovis","Attention retirer 2 mm aux dimensions transmises",0)</f>
        <v>0</v>
      </c>
      <c r="VZF26" s="1100"/>
      <c r="VZG26" s="1100"/>
      <c r="VZH26" s="1101"/>
      <c r="VZI26" s="1110">
        <f>IF(VZM10="Bovis","Attention retirer 2 mm aux dimensions transmises",0)</f>
        <v>0</v>
      </c>
      <c r="VZJ26" s="1100"/>
      <c r="VZK26" s="1100"/>
      <c r="VZL26" s="1101"/>
      <c r="VZM26" s="1110">
        <f>IF(VZQ10="Bovis","Attention retirer 2 mm aux dimensions transmises",0)</f>
        <v>0</v>
      </c>
      <c r="VZN26" s="1100"/>
      <c r="VZO26" s="1100"/>
      <c r="VZP26" s="1101"/>
      <c r="VZQ26" s="1110">
        <f>IF(VZU10="Bovis","Attention retirer 2 mm aux dimensions transmises",0)</f>
        <v>0</v>
      </c>
      <c r="VZR26" s="1100"/>
      <c r="VZS26" s="1100"/>
      <c r="VZT26" s="1101"/>
      <c r="VZU26" s="1110">
        <f>IF(VZY10="Bovis","Attention retirer 2 mm aux dimensions transmises",0)</f>
        <v>0</v>
      </c>
      <c r="VZV26" s="1100"/>
      <c r="VZW26" s="1100"/>
      <c r="VZX26" s="1101"/>
      <c r="VZY26" s="1110">
        <f>IF(WAC10="Bovis","Attention retirer 2 mm aux dimensions transmises",0)</f>
        <v>0</v>
      </c>
      <c r="VZZ26" s="1100"/>
      <c r="WAA26" s="1100"/>
      <c r="WAB26" s="1101"/>
      <c r="WAC26" s="1110">
        <f>IF(WAG10="Bovis","Attention retirer 2 mm aux dimensions transmises",0)</f>
        <v>0</v>
      </c>
      <c r="WAD26" s="1100"/>
      <c r="WAE26" s="1100"/>
      <c r="WAF26" s="1101"/>
      <c r="WAG26" s="1110">
        <f>IF(WAK10="Bovis","Attention retirer 2 mm aux dimensions transmises",0)</f>
        <v>0</v>
      </c>
      <c r="WAH26" s="1100"/>
      <c r="WAI26" s="1100"/>
      <c r="WAJ26" s="1101"/>
      <c r="WAK26" s="1110">
        <f>IF(WAO10="Bovis","Attention retirer 2 mm aux dimensions transmises",0)</f>
        <v>0</v>
      </c>
      <c r="WAL26" s="1100"/>
      <c r="WAM26" s="1100"/>
      <c r="WAN26" s="1101"/>
      <c r="WAO26" s="1110">
        <f>IF(WAS10="Bovis","Attention retirer 2 mm aux dimensions transmises",0)</f>
        <v>0</v>
      </c>
      <c r="WAP26" s="1100"/>
      <c r="WAQ26" s="1100"/>
      <c r="WAR26" s="1101"/>
      <c r="WAS26" s="1110">
        <f>IF(WAW10="Bovis","Attention retirer 2 mm aux dimensions transmises",0)</f>
        <v>0</v>
      </c>
      <c r="WAT26" s="1100"/>
      <c r="WAU26" s="1100"/>
      <c r="WAV26" s="1101"/>
      <c r="WAW26" s="1110">
        <f>IF(WBA10="Bovis","Attention retirer 2 mm aux dimensions transmises",0)</f>
        <v>0</v>
      </c>
      <c r="WAX26" s="1100"/>
      <c r="WAY26" s="1100"/>
      <c r="WAZ26" s="1101"/>
      <c r="WBA26" s="1110">
        <f>IF(WBE10="Bovis","Attention retirer 2 mm aux dimensions transmises",0)</f>
        <v>0</v>
      </c>
      <c r="WBB26" s="1100"/>
      <c r="WBC26" s="1100"/>
      <c r="WBD26" s="1101"/>
      <c r="WBE26" s="1110">
        <f>IF(WBI10="Bovis","Attention retirer 2 mm aux dimensions transmises",0)</f>
        <v>0</v>
      </c>
      <c r="WBF26" s="1100"/>
      <c r="WBG26" s="1100"/>
      <c r="WBH26" s="1101"/>
      <c r="WBI26" s="1110">
        <f>IF(WBM10="Bovis","Attention retirer 2 mm aux dimensions transmises",0)</f>
        <v>0</v>
      </c>
      <c r="WBJ26" s="1100"/>
      <c r="WBK26" s="1100"/>
      <c r="WBL26" s="1101"/>
      <c r="WBM26" s="1110">
        <f>IF(WBQ10="Bovis","Attention retirer 2 mm aux dimensions transmises",0)</f>
        <v>0</v>
      </c>
      <c r="WBN26" s="1100"/>
      <c r="WBO26" s="1100"/>
      <c r="WBP26" s="1101"/>
      <c r="WBQ26" s="1110">
        <f>IF(WBU10="Bovis","Attention retirer 2 mm aux dimensions transmises",0)</f>
        <v>0</v>
      </c>
      <c r="WBR26" s="1100"/>
      <c r="WBS26" s="1100"/>
      <c r="WBT26" s="1101"/>
      <c r="WBU26" s="1110">
        <f>IF(WBY10="Bovis","Attention retirer 2 mm aux dimensions transmises",0)</f>
        <v>0</v>
      </c>
      <c r="WBV26" s="1100"/>
      <c r="WBW26" s="1100"/>
      <c r="WBX26" s="1101"/>
      <c r="WBY26" s="1110">
        <f>IF(WCC10="Bovis","Attention retirer 2 mm aux dimensions transmises",0)</f>
        <v>0</v>
      </c>
      <c r="WBZ26" s="1100"/>
      <c r="WCA26" s="1100"/>
      <c r="WCB26" s="1101"/>
      <c r="WCC26" s="1110">
        <f>IF(WCG10="Bovis","Attention retirer 2 mm aux dimensions transmises",0)</f>
        <v>0</v>
      </c>
      <c r="WCD26" s="1100"/>
      <c r="WCE26" s="1100"/>
      <c r="WCF26" s="1101"/>
      <c r="WCG26" s="1110">
        <f>IF(WCK10="Bovis","Attention retirer 2 mm aux dimensions transmises",0)</f>
        <v>0</v>
      </c>
      <c r="WCH26" s="1100"/>
      <c r="WCI26" s="1100"/>
      <c r="WCJ26" s="1101"/>
      <c r="WCK26" s="1110">
        <f>IF(WCO10="Bovis","Attention retirer 2 mm aux dimensions transmises",0)</f>
        <v>0</v>
      </c>
      <c r="WCL26" s="1100"/>
      <c r="WCM26" s="1100"/>
      <c r="WCN26" s="1101"/>
      <c r="WCO26" s="1110">
        <f>IF(WCS10="Bovis","Attention retirer 2 mm aux dimensions transmises",0)</f>
        <v>0</v>
      </c>
      <c r="WCP26" s="1100"/>
      <c r="WCQ26" s="1100"/>
      <c r="WCR26" s="1101"/>
      <c r="WCS26" s="1110">
        <f>IF(WCW10="Bovis","Attention retirer 2 mm aux dimensions transmises",0)</f>
        <v>0</v>
      </c>
      <c r="WCT26" s="1100"/>
      <c r="WCU26" s="1100"/>
      <c r="WCV26" s="1101"/>
      <c r="WCW26" s="1110">
        <f>IF(WDA10="Bovis","Attention retirer 2 mm aux dimensions transmises",0)</f>
        <v>0</v>
      </c>
      <c r="WCX26" s="1100"/>
      <c r="WCY26" s="1100"/>
      <c r="WCZ26" s="1101"/>
      <c r="WDA26" s="1110">
        <f>IF(WDE10="Bovis","Attention retirer 2 mm aux dimensions transmises",0)</f>
        <v>0</v>
      </c>
      <c r="WDB26" s="1100"/>
      <c r="WDC26" s="1100"/>
      <c r="WDD26" s="1101"/>
      <c r="WDE26" s="1110">
        <f>IF(WDI10="Bovis","Attention retirer 2 mm aux dimensions transmises",0)</f>
        <v>0</v>
      </c>
      <c r="WDF26" s="1100"/>
      <c r="WDG26" s="1100"/>
      <c r="WDH26" s="1101"/>
      <c r="WDI26" s="1110">
        <f>IF(WDM10="Bovis","Attention retirer 2 mm aux dimensions transmises",0)</f>
        <v>0</v>
      </c>
      <c r="WDJ26" s="1100"/>
      <c r="WDK26" s="1100"/>
      <c r="WDL26" s="1101"/>
      <c r="WDM26" s="1110">
        <f>IF(WDQ10="Bovis","Attention retirer 2 mm aux dimensions transmises",0)</f>
        <v>0</v>
      </c>
      <c r="WDN26" s="1100"/>
      <c r="WDO26" s="1100"/>
      <c r="WDP26" s="1101"/>
      <c r="WDQ26" s="1110">
        <f>IF(WDU10="Bovis","Attention retirer 2 mm aux dimensions transmises",0)</f>
        <v>0</v>
      </c>
      <c r="WDR26" s="1100"/>
      <c r="WDS26" s="1100"/>
      <c r="WDT26" s="1101"/>
      <c r="WDU26" s="1110">
        <f>IF(WDY10="Bovis","Attention retirer 2 mm aux dimensions transmises",0)</f>
        <v>0</v>
      </c>
      <c r="WDV26" s="1100"/>
      <c r="WDW26" s="1100"/>
      <c r="WDX26" s="1101"/>
      <c r="WDY26" s="1110">
        <f>IF(WEC10="Bovis","Attention retirer 2 mm aux dimensions transmises",0)</f>
        <v>0</v>
      </c>
      <c r="WDZ26" s="1100"/>
      <c r="WEA26" s="1100"/>
      <c r="WEB26" s="1101"/>
      <c r="WEC26" s="1110">
        <f>IF(WEG10="Bovis","Attention retirer 2 mm aux dimensions transmises",0)</f>
        <v>0</v>
      </c>
      <c r="WED26" s="1100"/>
      <c r="WEE26" s="1100"/>
      <c r="WEF26" s="1101"/>
      <c r="WEG26" s="1110">
        <f>IF(WEK10="Bovis","Attention retirer 2 mm aux dimensions transmises",0)</f>
        <v>0</v>
      </c>
      <c r="WEH26" s="1100"/>
      <c r="WEI26" s="1100"/>
      <c r="WEJ26" s="1101"/>
      <c r="WEK26" s="1110">
        <f>IF(WEO10="Bovis","Attention retirer 2 mm aux dimensions transmises",0)</f>
        <v>0</v>
      </c>
      <c r="WEL26" s="1100"/>
      <c r="WEM26" s="1100"/>
      <c r="WEN26" s="1101"/>
      <c r="WEO26" s="1110">
        <f>IF(WES10="Bovis","Attention retirer 2 mm aux dimensions transmises",0)</f>
        <v>0</v>
      </c>
      <c r="WEP26" s="1100"/>
      <c r="WEQ26" s="1100"/>
      <c r="WER26" s="1101"/>
      <c r="WES26" s="1110">
        <f>IF(WEW10="Bovis","Attention retirer 2 mm aux dimensions transmises",0)</f>
        <v>0</v>
      </c>
      <c r="WET26" s="1100"/>
      <c r="WEU26" s="1100"/>
      <c r="WEV26" s="1101"/>
      <c r="WEW26" s="1110">
        <f>IF(WFA10="Bovis","Attention retirer 2 mm aux dimensions transmises",0)</f>
        <v>0</v>
      </c>
      <c r="WEX26" s="1100"/>
      <c r="WEY26" s="1100"/>
      <c r="WEZ26" s="1101"/>
      <c r="WFA26" s="1110">
        <f>IF(WFE10="Bovis","Attention retirer 2 mm aux dimensions transmises",0)</f>
        <v>0</v>
      </c>
      <c r="WFB26" s="1100"/>
      <c r="WFC26" s="1100"/>
      <c r="WFD26" s="1101"/>
      <c r="WFE26" s="1110">
        <f>IF(WFI10="Bovis","Attention retirer 2 mm aux dimensions transmises",0)</f>
        <v>0</v>
      </c>
      <c r="WFF26" s="1100"/>
      <c r="WFG26" s="1100"/>
      <c r="WFH26" s="1101"/>
      <c r="WFI26" s="1110">
        <f>IF(WFM10="Bovis","Attention retirer 2 mm aux dimensions transmises",0)</f>
        <v>0</v>
      </c>
      <c r="WFJ26" s="1100"/>
      <c r="WFK26" s="1100"/>
      <c r="WFL26" s="1101"/>
      <c r="WFM26" s="1110">
        <f>IF(WFQ10="Bovis","Attention retirer 2 mm aux dimensions transmises",0)</f>
        <v>0</v>
      </c>
      <c r="WFN26" s="1100"/>
      <c r="WFO26" s="1100"/>
      <c r="WFP26" s="1101"/>
      <c r="WFQ26" s="1110">
        <f>IF(WFU10="Bovis","Attention retirer 2 mm aux dimensions transmises",0)</f>
        <v>0</v>
      </c>
      <c r="WFR26" s="1100"/>
      <c r="WFS26" s="1100"/>
      <c r="WFT26" s="1101"/>
      <c r="WFU26" s="1110">
        <f>IF(WFY10="Bovis","Attention retirer 2 mm aux dimensions transmises",0)</f>
        <v>0</v>
      </c>
      <c r="WFV26" s="1100"/>
      <c r="WFW26" s="1100"/>
      <c r="WFX26" s="1101"/>
      <c r="WFY26" s="1110">
        <f>IF(WGC10="Bovis","Attention retirer 2 mm aux dimensions transmises",0)</f>
        <v>0</v>
      </c>
      <c r="WFZ26" s="1100"/>
      <c r="WGA26" s="1100"/>
      <c r="WGB26" s="1101"/>
      <c r="WGC26" s="1110">
        <f>IF(WGG10="Bovis","Attention retirer 2 mm aux dimensions transmises",0)</f>
        <v>0</v>
      </c>
      <c r="WGD26" s="1100"/>
      <c r="WGE26" s="1100"/>
      <c r="WGF26" s="1101"/>
      <c r="WGG26" s="1110">
        <f>IF(WGK10="Bovis","Attention retirer 2 mm aux dimensions transmises",0)</f>
        <v>0</v>
      </c>
      <c r="WGH26" s="1100"/>
      <c r="WGI26" s="1100"/>
      <c r="WGJ26" s="1101"/>
      <c r="WGK26" s="1110">
        <f>IF(WGO10="Bovis","Attention retirer 2 mm aux dimensions transmises",0)</f>
        <v>0</v>
      </c>
      <c r="WGL26" s="1100"/>
      <c r="WGM26" s="1100"/>
      <c r="WGN26" s="1101"/>
      <c r="WGO26" s="1110">
        <f>IF(WGS10="Bovis","Attention retirer 2 mm aux dimensions transmises",0)</f>
        <v>0</v>
      </c>
      <c r="WGP26" s="1100"/>
      <c r="WGQ26" s="1100"/>
      <c r="WGR26" s="1101"/>
      <c r="WGS26" s="1110">
        <f>IF(WGW10="Bovis","Attention retirer 2 mm aux dimensions transmises",0)</f>
        <v>0</v>
      </c>
      <c r="WGT26" s="1100"/>
      <c r="WGU26" s="1100"/>
      <c r="WGV26" s="1101"/>
      <c r="WGW26" s="1110">
        <f>IF(WHA10="Bovis","Attention retirer 2 mm aux dimensions transmises",0)</f>
        <v>0</v>
      </c>
      <c r="WGX26" s="1100"/>
      <c r="WGY26" s="1100"/>
      <c r="WGZ26" s="1101"/>
      <c r="WHA26" s="1110">
        <f>IF(WHE10="Bovis","Attention retirer 2 mm aux dimensions transmises",0)</f>
        <v>0</v>
      </c>
      <c r="WHB26" s="1100"/>
      <c r="WHC26" s="1100"/>
      <c r="WHD26" s="1101"/>
      <c r="WHE26" s="1110">
        <f>IF(WHI10="Bovis","Attention retirer 2 mm aux dimensions transmises",0)</f>
        <v>0</v>
      </c>
      <c r="WHF26" s="1100"/>
      <c r="WHG26" s="1100"/>
      <c r="WHH26" s="1101"/>
      <c r="WHI26" s="1110">
        <f>IF(WHM10="Bovis","Attention retirer 2 mm aux dimensions transmises",0)</f>
        <v>0</v>
      </c>
      <c r="WHJ26" s="1100"/>
      <c r="WHK26" s="1100"/>
      <c r="WHL26" s="1101"/>
      <c r="WHM26" s="1110">
        <f>IF(WHQ10="Bovis","Attention retirer 2 mm aux dimensions transmises",0)</f>
        <v>0</v>
      </c>
      <c r="WHN26" s="1100"/>
      <c r="WHO26" s="1100"/>
      <c r="WHP26" s="1101"/>
      <c r="WHQ26" s="1110">
        <f>IF(WHU10="Bovis","Attention retirer 2 mm aux dimensions transmises",0)</f>
        <v>0</v>
      </c>
      <c r="WHR26" s="1100"/>
      <c r="WHS26" s="1100"/>
      <c r="WHT26" s="1101"/>
      <c r="WHU26" s="1110">
        <f>IF(WHY10="Bovis","Attention retirer 2 mm aux dimensions transmises",0)</f>
        <v>0</v>
      </c>
      <c r="WHV26" s="1100"/>
      <c r="WHW26" s="1100"/>
      <c r="WHX26" s="1101"/>
      <c r="WHY26" s="1110">
        <f>IF(WIC10="Bovis","Attention retirer 2 mm aux dimensions transmises",0)</f>
        <v>0</v>
      </c>
      <c r="WHZ26" s="1100"/>
      <c r="WIA26" s="1100"/>
      <c r="WIB26" s="1101"/>
      <c r="WIC26" s="1110">
        <f>IF(WIG10="Bovis","Attention retirer 2 mm aux dimensions transmises",0)</f>
        <v>0</v>
      </c>
      <c r="WID26" s="1100"/>
      <c r="WIE26" s="1100"/>
      <c r="WIF26" s="1101"/>
      <c r="WIG26" s="1110">
        <f>IF(WIK10="Bovis","Attention retirer 2 mm aux dimensions transmises",0)</f>
        <v>0</v>
      </c>
      <c r="WIH26" s="1100"/>
      <c r="WII26" s="1100"/>
      <c r="WIJ26" s="1101"/>
      <c r="WIK26" s="1110">
        <f>IF(WIO10="Bovis","Attention retirer 2 mm aux dimensions transmises",0)</f>
        <v>0</v>
      </c>
      <c r="WIL26" s="1100"/>
      <c r="WIM26" s="1100"/>
      <c r="WIN26" s="1101"/>
      <c r="WIO26" s="1110">
        <f>IF(WIS10="Bovis","Attention retirer 2 mm aux dimensions transmises",0)</f>
        <v>0</v>
      </c>
      <c r="WIP26" s="1100"/>
      <c r="WIQ26" s="1100"/>
      <c r="WIR26" s="1101"/>
      <c r="WIS26" s="1110">
        <f>IF(WIW10="Bovis","Attention retirer 2 mm aux dimensions transmises",0)</f>
        <v>0</v>
      </c>
      <c r="WIT26" s="1100"/>
      <c r="WIU26" s="1100"/>
      <c r="WIV26" s="1101"/>
      <c r="WIW26" s="1110">
        <f>IF(WJA10="Bovis","Attention retirer 2 mm aux dimensions transmises",0)</f>
        <v>0</v>
      </c>
      <c r="WIX26" s="1100"/>
      <c r="WIY26" s="1100"/>
      <c r="WIZ26" s="1101"/>
      <c r="WJA26" s="1110">
        <f>IF(WJE10="Bovis","Attention retirer 2 mm aux dimensions transmises",0)</f>
        <v>0</v>
      </c>
      <c r="WJB26" s="1100"/>
      <c r="WJC26" s="1100"/>
      <c r="WJD26" s="1101"/>
      <c r="WJE26" s="1110">
        <f>IF(WJI10="Bovis","Attention retirer 2 mm aux dimensions transmises",0)</f>
        <v>0</v>
      </c>
      <c r="WJF26" s="1100"/>
      <c r="WJG26" s="1100"/>
      <c r="WJH26" s="1101"/>
      <c r="WJI26" s="1110">
        <f>IF(WJM10="Bovis","Attention retirer 2 mm aux dimensions transmises",0)</f>
        <v>0</v>
      </c>
      <c r="WJJ26" s="1100"/>
      <c r="WJK26" s="1100"/>
      <c r="WJL26" s="1101"/>
      <c r="WJM26" s="1110">
        <f>IF(WJQ10="Bovis","Attention retirer 2 mm aux dimensions transmises",0)</f>
        <v>0</v>
      </c>
      <c r="WJN26" s="1100"/>
      <c r="WJO26" s="1100"/>
      <c r="WJP26" s="1101"/>
      <c r="WJQ26" s="1110">
        <f>IF(WJU10="Bovis","Attention retirer 2 mm aux dimensions transmises",0)</f>
        <v>0</v>
      </c>
      <c r="WJR26" s="1100"/>
      <c r="WJS26" s="1100"/>
      <c r="WJT26" s="1101"/>
      <c r="WJU26" s="1110">
        <f>IF(WJY10="Bovis","Attention retirer 2 mm aux dimensions transmises",0)</f>
        <v>0</v>
      </c>
      <c r="WJV26" s="1100"/>
      <c r="WJW26" s="1100"/>
      <c r="WJX26" s="1101"/>
      <c r="WJY26" s="1110">
        <f>IF(WKC10="Bovis","Attention retirer 2 mm aux dimensions transmises",0)</f>
        <v>0</v>
      </c>
      <c r="WJZ26" s="1100"/>
      <c r="WKA26" s="1100"/>
      <c r="WKB26" s="1101"/>
      <c r="WKC26" s="1110">
        <f>IF(WKG10="Bovis","Attention retirer 2 mm aux dimensions transmises",0)</f>
        <v>0</v>
      </c>
      <c r="WKD26" s="1100"/>
      <c r="WKE26" s="1100"/>
      <c r="WKF26" s="1101"/>
      <c r="WKG26" s="1110">
        <f>IF(WKK10="Bovis","Attention retirer 2 mm aux dimensions transmises",0)</f>
        <v>0</v>
      </c>
      <c r="WKH26" s="1100"/>
      <c r="WKI26" s="1100"/>
      <c r="WKJ26" s="1101"/>
      <c r="WKK26" s="1110">
        <f>IF(WKO10="Bovis","Attention retirer 2 mm aux dimensions transmises",0)</f>
        <v>0</v>
      </c>
      <c r="WKL26" s="1100"/>
      <c r="WKM26" s="1100"/>
      <c r="WKN26" s="1101"/>
      <c r="WKO26" s="1110">
        <f>IF(WKS10="Bovis","Attention retirer 2 mm aux dimensions transmises",0)</f>
        <v>0</v>
      </c>
      <c r="WKP26" s="1100"/>
      <c r="WKQ26" s="1100"/>
      <c r="WKR26" s="1101"/>
      <c r="WKS26" s="1110">
        <f>IF(WKW10="Bovis","Attention retirer 2 mm aux dimensions transmises",0)</f>
        <v>0</v>
      </c>
      <c r="WKT26" s="1100"/>
      <c r="WKU26" s="1100"/>
      <c r="WKV26" s="1101"/>
      <c r="WKW26" s="1110">
        <f>IF(WLA10="Bovis","Attention retirer 2 mm aux dimensions transmises",0)</f>
        <v>0</v>
      </c>
      <c r="WKX26" s="1100"/>
      <c r="WKY26" s="1100"/>
      <c r="WKZ26" s="1101"/>
      <c r="WLA26" s="1110">
        <f>IF(WLE10="Bovis","Attention retirer 2 mm aux dimensions transmises",0)</f>
        <v>0</v>
      </c>
      <c r="WLB26" s="1100"/>
      <c r="WLC26" s="1100"/>
      <c r="WLD26" s="1101"/>
      <c r="WLE26" s="1110">
        <f>IF(WLI10="Bovis","Attention retirer 2 mm aux dimensions transmises",0)</f>
        <v>0</v>
      </c>
      <c r="WLF26" s="1100"/>
      <c r="WLG26" s="1100"/>
      <c r="WLH26" s="1101"/>
      <c r="WLI26" s="1110">
        <f>IF(WLM10="Bovis","Attention retirer 2 mm aux dimensions transmises",0)</f>
        <v>0</v>
      </c>
      <c r="WLJ26" s="1100"/>
      <c r="WLK26" s="1100"/>
      <c r="WLL26" s="1101"/>
      <c r="WLM26" s="1110">
        <f>IF(WLQ10="Bovis","Attention retirer 2 mm aux dimensions transmises",0)</f>
        <v>0</v>
      </c>
      <c r="WLN26" s="1100"/>
      <c r="WLO26" s="1100"/>
      <c r="WLP26" s="1101"/>
      <c r="WLQ26" s="1110">
        <f>IF(WLU10="Bovis","Attention retirer 2 mm aux dimensions transmises",0)</f>
        <v>0</v>
      </c>
      <c r="WLR26" s="1100"/>
      <c r="WLS26" s="1100"/>
      <c r="WLT26" s="1101"/>
      <c r="WLU26" s="1110">
        <f>IF(WLY10="Bovis","Attention retirer 2 mm aux dimensions transmises",0)</f>
        <v>0</v>
      </c>
      <c r="WLV26" s="1100"/>
      <c r="WLW26" s="1100"/>
      <c r="WLX26" s="1101"/>
      <c r="WLY26" s="1110">
        <f>IF(WMC10="Bovis","Attention retirer 2 mm aux dimensions transmises",0)</f>
        <v>0</v>
      </c>
      <c r="WLZ26" s="1100"/>
      <c r="WMA26" s="1100"/>
      <c r="WMB26" s="1101"/>
      <c r="WMC26" s="1110">
        <f>IF(WMG10="Bovis","Attention retirer 2 mm aux dimensions transmises",0)</f>
        <v>0</v>
      </c>
      <c r="WMD26" s="1100"/>
      <c r="WME26" s="1100"/>
      <c r="WMF26" s="1101"/>
      <c r="WMG26" s="1110">
        <f>IF(WMK10="Bovis","Attention retirer 2 mm aux dimensions transmises",0)</f>
        <v>0</v>
      </c>
      <c r="WMH26" s="1100"/>
      <c r="WMI26" s="1100"/>
      <c r="WMJ26" s="1101"/>
      <c r="WMK26" s="1110">
        <f>IF(WMO10="Bovis","Attention retirer 2 mm aux dimensions transmises",0)</f>
        <v>0</v>
      </c>
      <c r="WML26" s="1100"/>
      <c r="WMM26" s="1100"/>
      <c r="WMN26" s="1101"/>
      <c r="WMO26" s="1110">
        <f>IF(WMS10="Bovis","Attention retirer 2 mm aux dimensions transmises",0)</f>
        <v>0</v>
      </c>
      <c r="WMP26" s="1100"/>
      <c r="WMQ26" s="1100"/>
      <c r="WMR26" s="1101"/>
      <c r="WMS26" s="1110">
        <f>IF(WMW10="Bovis","Attention retirer 2 mm aux dimensions transmises",0)</f>
        <v>0</v>
      </c>
      <c r="WMT26" s="1100"/>
      <c r="WMU26" s="1100"/>
      <c r="WMV26" s="1101"/>
      <c r="WMW26" s="1110">
        <f>IF(WNA10="Bovis","Attention retirer 2 mm aux dimensions transmises",0)</f>
        <v>0</v>
      </c>
      <c r="WMX26" s="1100"/>
      <c r="WMY26" s="1100"/>
      <c r="WMZ26" s="1101"/>
      <c r="WNA26" s="1110">
        <f>IF(WNE10="Bovis","Attention retirer 2 mm aux dimensions transmises",0)</f>
        <v>0</v>
      </c>
      <c r="WNB26" s="1100"/>
      <c r="WNC26" s="1100"/>
      <c r="WND26" s="1101"/>
      <c r="WNE26" s="1110">
        <f>IF(WNI10="Bovis","Attention retirer 2 mm aux dimensions transmises",0)</f>
        <v>0</v>
      </c>
      <c r="WNF26" s="1100"/>
      <c r="WNG26" s="1100"/>
      <c r="WNH26" s="1101"/>
      <c r="WNI26" s="1110">
        <f>IF(WNM10="Bovis","Attention retirer 2 mm aux dimensions transmises",0)</f>
        <v>0</v>
      </c>
      <c r="WNJ26" s="1100"/>
      <c r="WNK26" s="1100"/>
      <c r="WNL26" s="1101"/>
      <c r="WNM26" s="1110">
        <f>IF(WNQ10="Bovis","Attention retirer 2 mm aux dimensions transmises",0)</f>
        <v>0</v>
      </c>
      <c r="WNN26" s="1100"/>
      <c r="WNO26" s="1100"/>
      <c r="WNP26" s="1101"/>
      <c r="WNQ26" s="1110">
        <f>IF(WNU10="Bovis","Attention retirer 2 mm aux dimensions transmises",0)</f>
        <v>0</v>
      </c>
      <c r="WNR26" s="1100"/>
      <c r="WNS26" s="1100"/>
      <c r="WNT26" s="1101"/>
      <c r="WNU26" s="1110">
        <f>IF(WNY10="Bovis","Attention retirer 2 mm aux dimensions transmises",0)</f>
        <v>0</v>
      </c>
      <c r="WNV26" s="1100"/>
      <c r="WNW26" s="1100"/>
      <c r="WNX26" s="1101"/>
      <c r="WNY26" s="1110">
        <f>IF(WOC10="Bovis","Attention retirer 2 mm aux dimensions transmises",0)</f>
        <v>0</v>
      </c>
      <c r="WNZ26" s="1100"/>
      <c r="WOA26" s="1100"/>
      <c r="WOB26" s="1101"/>
      <c r="WOC26" s="1110">
        <f>IF(WOG10="Bovis","Attention retirer 2 mm aux dimensions transmises",0)</f>
        <v>0</v>
      </c>
      <c r="WOD26" s="1100"/>
      <c r="WOE26" s="1100"/>
      <c r="WOF26" s="1101"/>
      <c r="WOG26" s="1110">
        <f>IF(WOK10="Bovis","Attention retirer 2 mm aux dimensions transmises",0)</f>
        <v>0</v>
      </c>
      <c r="WOH26" s="1100"/>
      <c r="WOI26" s="1100"/>
      <c r="WOJ26" s="1101"/>
      <c r="WOK26" s="1110">
        <f>IF(WOO10="Bovis","Attention retirer 2 mm aux dimensions transmises",0)</f>
        <v>0</v>
      </c>
      <c r="WOL26" s="1100"/>
      <c r="WOM26" s="1100"/>
      <c r="WON26" s="1101"/>
      <c r="WOO26" s="1110">
        <f>IF(WOS10="Bovis","Attention retirer 2 mm aux dimensions transmises",0)</f>
        <v>0</v>
      </c>
      <c r="WOP26" s="1100"/>
      <c r="WOQ26" s="1100"/>
      <c r="WOR26" s="1101"/>
      <c r="WOS26" s="1110">
        <f>IF(WOW10="Bovis","Attention retirer 2 mm aux dimensions transmises",0)</f>
        <v>0</v>
      </c>
      <c r="WOT26" s="1100"/>
      <c r="WOU26" s="1100"/>
      <c r="WOV26" s="1101"/>
      <c r="WOW26" s="1110">
        <f>IF(WPA10="Bovis","Attention retirer 2 mm aux dimensions transmises",0)</f>
        <v>0</v>
      </c>
      <c r="WOX26" s="1100"/>
      <c r="WOY26" s="1100"/>
      <c r="WOZ26" s="1101"/>
      <c r="WPA26" s="1110">
        <f>IF(WPE10="Bovis","Attention retirer 2 mm aux dimensions transmises",0)</f>
        <v>0</v>
      </c>
      <c r="WPB26" s="1100"/>
      <c r="WPC26" s="1100"/>
      <c r="WPD26" s="1101"/>
      <c r="WPE26" s="1110">
        <f>IF(WPI10="Bovis","Attention retirer 2 mm aux dimensions transmises",0)</f>
        <v>0</v>
      </c>
      <c r="WPF26" s="1100"/>
      <c r="WPG26" s="1100"/>
      <c r="WPH26" s="1101"/>
      <c r="WPI26" s="1110">
        <f>IF(WPM10="Bovis","Attention retirer 2 mm aux dimensions transmises",0)</f>
        <v>0</v>
      </c>
      <c r="WPJ26" s="1100"/>
      <c r="WPK26" s="1100"/>
      <c r="WPL26" s="1101"/>
      <c r="WPM26" s="1110">
        <f>IF(WPQ10="Bovis","Attention retirer 2 mm aux dimensions transmises",0)</f>
        <v>0</v>
      </c>
      <c r="WPN26" s="1100"/>
      <c r="WPO26" s="1100"/>
      <c r="WPP26" s="1101"/>
      <c r="WPQ26" s="1110">
        <f>IF(WPU10="Bovis","Attention retirer 2 mm aux dimensions transmises",0)</f>
        <v>0</v>
      </c>
      <c r="WPR26" s="1100"/>
      <c r="WPS26" s="1100"/>
      <c r="WPT26" s="1101"/>
      <c r="WPU26" s="1110">
        <f>IF(WPY10="Bovis","Attention retirer 2 mm aux dimensions transmises",0)</f>
        <v>0</v>
      </c>
      <c r="WPV26" s="1100"/>
      <c r="WPW26" s="1100"/>
      <c r="WPX26" s="1101"/>
      <c r="WPY26" s="1110">
        <f>IF(WQC10="Bovis","Attention retirer 2 mm aux dimensions transmises",0)</f>
        <v>0</v>
      </c>
      <c r="WPZ26" s="1100"/>
      <c r="WQA26" s="1100"/>
      <c r="WQB26" s="1101"/>
      <c r="WQC26" s="1110">
        <f>IF(WQG10="Bovis","Attention retirer 2 mm aux dimensions transmises",0)</f>
        <v>0</v>
      </c>
      <c r="WQD26" s="1100"/>
      <c r="WQE26" s="1100"/>
      <c r="WQF26" s="1101"/>
      <c r="WQG26" s="1110">
        <f>IF(WQK10="Bovis","Attention retirer 2 mm aux dimensions transmises",0)</f>
        <v>0</v>
      </c>
      <c r="WQH26" s="1100"/>
      <c r="WQI26" s="1100"/>
      <c r="WQJ26" s="1101"/>
      <c r="WQK26" s="1110">
        <f>IF(WQO10="Bovis","Attention retirer 2 mm aux dimensions transmises",0)</f>
        <v>0</v>
      </c>
      <c r="WQL26" s="1100"/>
      <c r="WQM26" s="1100"/>
      <c r="WQN26" s="1101"/>
      <c r="WQO26" s="1110">
        <f>IF(WQS10="Bovis","Attention retirer 2 mm aux dimensions transmises",0)</f>
        <v>0</v>
      </c>
      <c r="WQP26" s="1100"/>
      <c r="WQQ26" s="1100"/>
      <c r="WQR26" s="1101"/>
      <c r="WQS26" s="1110">
        <f>IF(WQW10="Bovis","Attention retirer 2 mm aux dimensions transmises",0)</f>
        <v>0</v>
      </c>
      <c r="WQT26" s="1100"/>
      <c r="WQU26" s="1100"/>
      <c r="WQV26" s="1101"/>
      <c r="WQW26" s="1110">
        <f>IF(WRA10="Bovis","Attention retirer 2 mm aux dimensions transmises",0)</f>
        <v>0</v>
      </c>
      <c r="WQX26" s="1100"/>
      <c r="WQY26" s="1100"/>
      <c r="WQZ26" s="1101"/>
      <c r="WRA26" s="1110">
        <f>IF(WRE10="Bovis","Attention retirer 2 mm aux dimensions transmises",0)</f>
        <v>0</v>
      </c>
      <c r="WRB26" s="1100"/>
      <c r="WRC26" s="1100"/>
      <c r="WRD26" s="1101"/>
      <c r="WRE26" s="1110">
        <f>IF(WRI10="Bovis","Attention retirer 2 mm aux dimensions transmises",0)</f>
        <v>0</v>
      </c>
      <c r="WRF26" s="1100"/>
      <c r="WRG26" s="1100"/>
      <c r="WRH26" s="1101"/>
      <c r="WRI26" s="1110">
        <f>IF(WRM10="Bovis","Attention retirer 2 mm aux dimensions transmises",0)</f>
        <v>0</v>
      </c>
      <c r="WRJ26" s="1100"/>
      <c r="WRK26" s="1100"/>
      <c r="WRL26" s="1101"/>
      <c r="WRM26" s="1110">
        <f>IF(WRQ10="Bovis","Attention retirer 2 mm aux dimensions transmises",0)</f>
        <v>0</v>
      </c>
      <c r="WRN26" s="1100"/>
      <c r="WRO26" s="1100"/>
      <c r="WRP26" s="1101"/>
      <c r="WRQ26" s="1110">
        <f>IF(WRU10="Bovis","Attention retirer 2 mm aux dimensions transmises",0)</f>
        <v>0</v>
      </c>
      <c r="WRR26" s="1100"/>
      <c r="WRS26" s="1100"/>
      <c r="WRT26" s="1101"/>
      <c r="WRU26" s="1110">
        <f>IF(WRY10="Bovis","Attention retirer 2 mm aux dimensions transmises",0)</f>
        <v>0</v>
      </c>
      <c r="WRV26" s="1100"/>
      <c r="WRW26" s="1100"/>
      <c r="WRX26" s="1101"/>
      <c r="WRY26" s="1110">
        <f>IF(WSC10="Bovis","Attention retirer 2 mm aux dimensions transmises",0)</f>
        <v>0</v>
      </c>
      <c r="WRZ26" s="1100"/>
      <c r="WSA26" s="1100"/>
      <c r="WSB26" s="1101"/>
      <c r="WSC26" s="1110">
        <f>IF(WSG10="Bovis","Attention retirer 2 mm aux dimensions transmises",0)</f>
        <v>0</v>
      </c>
      <c r="WSD26" s="1100"/>
      <c r="WSE26" s="1100"/>
      <c r="WSF26" s="1101"/>
      <c r="WSG26" s="1110">
        <f>IF(WSK10="Bovis","Attention retirer 2 mm aux dimensions transmises",0)</f>
        <v>0</v>
      </c>
      <c r="WSH26" s="1100"/>
      <c r="WSI26" s="1100"/>
      <c r="WSJ26" s="1101"/>
      <c r="WSK26" s="1110">
        <f>IF(WSO10="Bovis","Attention retirer 2 mm aux dimensions transmises",0)</f>
        <v>0</v>
      </c>
      <c r="WSL26" s="1100"/>
      <c r="WSM26" s="1100"/>
      <c r="WSN26" s="1101"/>
      <c r="WSO26" s="1110">
        <f>IF(WSS10="Bovis","Attention retirer 2 mm aux dimensions transmises",0)</f>
        <v>0</v>
      </c>
      <c r="WSP26" s="1100"/>
      <c r="WSQ26" s="1100"/>
      <c r="WSR26" s="1101"/>
      <c r="WSS26" s="1110">
        <f>IF(WSW10="Bovis","Attention retirer 2 mm aux dimensions transmises",0)</f>
        <v>0</v>
      </c>
      <c r="WST26" s="1100"/>
      <c r="WSU26" s="1100"/>
      <c r="WSV26" s="1101"/>
      <c r="WSW26" s="1110">
        <f>IF(WTA10="Bovis","Attention retirer 2 mm aux dimensions transmises",0)</f>
        <v>0</v>
      </c>
      <c r="WSX26" s="1100"/>
      <c r="WSY26" s="1100"/>
      <c r="WSZ26" s="1101"/>
      <c r="WTA26" s="1110">
        <f>IF(WTE10="Bovis","Attention retirer 2 mm aux dimensions transmises",0)</f>
        <v>0</v>
      </c>
      <c r="WTB26" s="1100"/>
      <c r="WTC26" s="1100"/>
      <c r="WTD26" s="1101"/>
      <c r="WTE26" s="1110">
        <f>IF(WTI10="Bovis","Attention retirer 2 mm aux dimensions transmises",0)</f>
        <v>0</v>
      </c>
      <c r="WTF26" s="1100"/>
      <c r="WTG26" s="1100"/>
      <c r="WTH26" s="1101"/>
      <c r="WTI26" s="1110">
        <f>IF(WTM10="Bovis","Attention retirer 2 mm aux dimensions transmises",0)</f>
        <v>0</v>
      </c>
      <c r="WTJ26" s="1100"/>
      <c r="WTK26" s="1100"/>
      <c r="WTL26" s="1101"/>
      <c r="WTM26" s="1110">
        <f>IF(WTQ10="Bovis","Attention retirer 2 mm aux dimensions transmises",0)</f>
        <v>0</v>
      </c>
      <c r="WTN26" s="1100"/>
      <c r="WTO26" s="1100"/>
      <c r="WTP26" s="1101"/>
      <c r="WTQ26" s="1110">
        <f>IF(WTU10="Bovis","Attention retirer 2 mm aux dimensions transmises",0)</f>
        <v>0</v>
      </c>
      <c r="WTR26" s="1100"/>
      <c r="WTS26" s="1100"/>
      <c r="WTT26" s="1101"/>
      <c r="WTU26" s="1110">
        <f>IF(WTY10="Bovis","Attention retirer 2 mm aux dimensions transmises",0)</f>
        <v>0</v>
      </c>
      <c r="WTV26" s="1100"/>
      <c r="WTW26" s="1100"/>
      <c r="WTX26" s="1101"/>
      <c r="WTY26" s="1110">
        <f>IF(WUC10="Bovis","Attention retirer 2 mm aux dimensions transmises",0)</f>
        <v>0</v>
      </c>
      <c r="WTZ26" s="1100"/>
      <c r="WUA26" s="1100"/>
      <c r="WUB26" s="1101"/>
      <c r="WUC26" s="1110">
        <f>IF(WUG10="Bovis","Attention retirer 2 mm aux dimensions transmises",0)</f>
        <v>0</v>
      </c>
      <c r="WUD26" s="1100"/>
      <c r="WUE26" s="1100"/>
      <c r="WUF26" s="1101"/>
      <c r="WUG26" s="1110">
        <f>IF(WUK10="Bovis","Attention retirer 2 mm aux dimensions transmises",0)</f>
        <v>0</v>
      </c>
      <c r="WUH26" s="1100"/>
      <c r="WUI26" s="1100"/>
      <c r="WUJ26" s="1101"/>
      <c r="WUK26" s="1110">
        <f>IF(WUO10="Bovis","Attention retirer 2 mm aux dimensions transmises",0)</f>
        <v>0</v>
      </c>
      <c r="WUL26" s="1100"/>
      <c r="WUM26" s="1100"/>
      <c r="WUN26" s="1101"/>
      <c r="WUO26" s="1110">
        <f>IF(WUS10="Bovis","Attention retirer 2 mm aux dimensions transmises",0)</f>
        <v>0</v>
      </c>
      <c r="WUP26" s="1100"/>
      <c r="WUQ26" s="1100"/>
      <c r="WUR26" s="1101"/>
      <c r="WUS26" s="1110">
        <f>IF(WUW10="Bovis","Attention retirer 2 mm aux dimensions transmises",0)</f>
        <v>0</v>
      </c>
      <c r="WUT26" s="1100"/>
      <c r="WUU26" s="1100"/>
      <c r="WUV26" s="1101"/>
      <c r="WUW26" s="1110">
        <f>IF(WVA10="Bovis","Attention retirer 2 mm aux dimensions transmises",0)</f>
        <v>0</v>
      </c>
      <c r="WUX26" s="1100"/>
      <c r="WUY26" s="1100"/>
      <c r="WUZ26" s="1101"/>
      <c r="WVA26" s="1110">
        <f>IF(WVE10="Bovis","Attention retirer 2 mm aux dimensions transmises",0)</f>
        <v>0</v>
      </c>
      <c r="WVB26" s="1100"/>
      <c r="WVC26" s="1100"/>
      <c r="WVD26" s="1101"/>
      <c r="WVE26" s="1110">
        <f>IF(WVI10="Bovis","Attention retirer 2 mm aux dimensions transmises",0)</f>
        <v>0</v>
      </c>
      <c r="WVF26" s="1100"/>
      <c r="WVG26" s="1100"/>
      <c r="WVH26" s="1101"/>
      <c r="WVI26" s="1110">
        <f>IF(WVM10="Bovis","Attention retirer 2 mm aux dimensions transmises",0)</f>
        <v>0</v>
      </c>
      <c r="WVJ26" s="1100"/>
      <c r="WVK26" s="1100"/>
      <c r="WVL26" s="1101"/>
      <c r="WVM26" s="1110">
        <f>IF(WVQ10="Bovis","Attention retirer 2 mm aux dimensions transmises",0)</f>
        <v>0</v>
      </c>
      <c r="WVN26" s="1100"/>
      <c r="WVO26" s="1100"/>
      <c r="WVP26" s="1101"/>
      <c r="WVQ26" s="1110">
        <f>IF(WVU10="Bovis","Attention retirer 2 mm aux dimensions transmises",0)</f>
        <v>0</v>
      </c>
      <c r="WVR26" s="1100"/>
      <c r="WVS26" s="1100"/>
      <c r="WVT26" s="1101"/>
      <c r="WVU26" s="1110">
        <f>IF(WVY10="Bovis","Attention retirer 2 mm aux dimensions transmises",0)</f>
        <v>0</v>
      </c>
      <c r="WVV26" s="1100"/>
      <c r="WVW26" s="1100"/>
      <c r="WVX26" s="1101"/>
      <c r="WVY26" s="1110">
        <f>IF(WWC10="Bovis","Attention retirer 2 mm aux dimensions transmises",0)</f>
        <v>0</v>
      </c>
      <c r="WVZ26" s="1100"/>
      <c r="WWA26" s="1100"/>
      <c r="WWB26" s="1101"/>
      <c r="WWC26" s="1110">
        <f>IF(WWG10="Bovis","Attention retirer 2 mm aux dimensions transmises",0)</f>
        <v>0</v>
      </c>
      <c r="WWD26" s="1100"/>
      <c r="WWE26" s="1100"/>
      <c r="WWF26" s="1101"/>
      <c r="WWG26" s="1110">
        <f>IF(WWK10="Bovis","Attention retirer 2 mm aux dimensions transmises",0)</f>
        <v>0</v>
      </c>
      <c r="WWH26" s="1100"/>
      <c r="WWI26" s="1100"/>
      <c r="WWJ26" s="1101"/>
      <c r="WWK26" s="1110">
        <f>IF(WWO10="Bovis","Attention retirer 2 mm aux dimensions transmises",0)</f>
        <v>0</v>
      </c>
      <c r="WWL26" s="1100"/>
      <c r="WWM26" s="1100"/>
      <c r="WWN26" s="1101"/>
      <c r="WWO26" s="1110">
        <f>IF(WWS10="Bovis","Attention retirer 2 mm aux dimensions transmises",0)</f>
        <v>0</v>
      </c>
      <c r="WWP26" s="1100"/>
      <c r="WWQ26" s="1100"/>
      <c r="WWR26" s="1101"/>
      <c r="WWS26" s="1110">
        <f>IF(WWW10="Bovis","Attention retirer 2 mm aux dimensions transmises",0)</f>
        <v>0</v>
      </c>
      <c r="WWT26" s="1100"/>
      <c r="WWU26" s="1100"/>
      <c r="WWV26" s="1101"/>
      <c r="WWW26" s="1110">
        <f>IF(WXA10="Bovis","Attention retirer 2 mm aux dimensions transmises",0)</f>
        <v>0</v>
      </c>
      <c r="WWX26" s="1100"/>
      <c r="WWY26" s="1100"/>
      <c r="WWZ26" s="1101"/>
      <c r="WXA26" s="1110">
        <f>IF(WXE10="Bovis","Attention retirer 2 mm aux dimensions transmises",0)</f>
        <v>0</v>
      </c>
      <c r="WXB26" s="1100"/>
      <c r="WXC26" s="1100"/>
      <c r="WXD26" s="1101"/>
      <c r="WXE26" s="1110">
        <f>IF(WXI10="Bovis","Attention retirer 2 mm aux dimensions transmises",0)</f>
        <v>0</v>
      </c>
      <c r="WXF26" s="1100"/>
      <c r="WXG26" s="1100"/>
      <c r="WXH26" s="1101"/>
      <c r="WXI26" s="1110">
        <f>IF(WXM10="Bovis","Attention retirer 2 mm aux dimensions transmises",0)</f>
        <v>0</v>
      </c>
      <c r="WXJ26" s="1100"/>
      <c r="WXK26" s="1100"/>
      <c r="WXL26" s="1101"/>
      <c r="WXM26" s="1110">
        <f>IF(WXQ10="Bovis","Attention retirer 2 mm aux dimensions transmises",0)</f>
        <v>0</v>
      </c>
      <c r="WXN26" s="1100"/>
      <c r="WXO26" s="1100"/>
      <c r="WXP26" s="1101"/>
      <c r="WXQ26" s="1110">
        <f>IF(WXU10="Bovis","Attention retirer 2 mm aux dimensions transmises",0)</f>
        <v>0</v>
      </c>
      <c r="WXR26" s="1100"/>
      <c r="WXS26" s="1100"/>
      <c r="WXT26" s="1101"/>
      <c r="WXU26" s="1110">
        <f>IF(WXY10="Bovis","Attention retirer 2 mm aux dimensions transmises",0)</f>
        <v>0</v>
      </c>
      <c r="WXV26" s="1100"/>
      <c r="WXW26" s="1100"/>
      <c r="WXX26" s="1101"/>
      <c r="WXY26" s="1110">
        <f>IF(WYC10="Bovis","Attention retirer 2 mm aux dimensions transmises",0)</f>
        <v>0</v>
      </c>
      <c r="WXZ26" s="1100"/>
      <c r="WYA26" s="1100"/>
      <c r="WYB26" s="1101"/>
      <c r="WYC26" s="1110">
        <f>IF(WYG10="Bovis","Attention retirer 2 mm aux dimensions transmises",0)</f>
        <v>0</v>
      </c>
      <c r="WYD26" s="1100"/>
      <c r="WYE26" s="1100"/>
      <c r="WYF26" s="1101"/>
      <c r="WYG26" s="1110">
        <f>IF(WYK10="Bovis","Attention retirer 2 mm aux dimensions transmises",0)</f>
        <v>0</v>
      </c>
      <c r="WYH26" s="1100"/>
      <c r="WYI26" s="1100"/>
      <c r="WYJ26" s="1101"/>
      <c r="WYK26" s="1110">
        <f>IF(WYO10="Bovis","Attention retirer 2 mm aux dimensions transmises",0)</f>
        <v>0</v>
      </c>
      <c r="WYL26" s="1100"/>
      <c r="WYM26" s="1100"/>
      <c r="WYN26" s="1101"/>
      <c r="WYO26" s="1110">
        <f>IF(WYS10="Bovis","Attention retirer 2 mm aux dimensions transmises",0)</f>
        <v>0</v>
      </c>
      <c r="WYP26" s="1100"/>
      <c r="WYQ26" s="1100"/>
      <c r="WYR26" s="1101"/>
      <c r="WYS26" s="1110">
        <f>IF(WYW10="Bovis","Attention retirer 2 mm aux dimensions transmises",0)</f>
        <v>0</v>
      </c>
      <c r="WYT26" s="1100"/>
      <c r="WYU26" s="1100"/>
      <c r="WYV26" s="1101"/>
      <c r="WYW26" s="1110">
        <f>IF(WZA10="Bovis","Attention retirer 2 mm aux dimensions transmises",0)</f>
        <v>0</v>
      </c>
      <c r="WYX26" s="1100"/>
      <c r="WYY26" s="1100"/>
      <c r="WYZ26" s="1101"/>
      <c r="WZA26" s="1110">
        <f>IF(WZE10="Bovis","Attention retirer 2 mm aux dimensions transmises",0)</f>
        <v>0</v>
      </c>
      <c r="WZB26" s="1100"/>
      <c r="WZC26" s="1100"/>
      <c r="WZD26" s="1101"/>
      <c r="WZE26" s="1110">
        <f>IF(WZI10="Bovis","Attention retirer 2 mm aux dimensions transmises",0)</f>
        <v>0</v>
      </c>
      <c r="WZF26" s="1100"/>
      <c r="WZG26" s="1100"/>
      <c r="WZH26" s="1101"/>
      <c r="WZI26" s="1110">
        <f>IF(WZM10="Bovis","Attention retirer 2 mm aux dimensions transmises",0)</f>
        <v>0</v>
      </c>
      <c r="WZJ26" s="1100"/>
      <c r="WZK26" s="1100"/>
      <c r="WZL26" s="1101"/>
      <c r="WZM26" s="1110">
        <f>IF(WZQ10="Bovis","Attention retirer 2 mm aux dimensions transmises",0)</f>
        <v>0</v>
      </c>
      <c r="WZN26" s="1100"/>
      <c r="WZO26" s="1100"/>
      <c r="WZP26" s="1101"/>
      <c r="WZQ26" s="1110">
        <f>IF(WZU10="Bovis","Attention retirer 2 mm aux dimensions transmises",0)</f>
        <v>0</v>
      </c>
      <c r="WZR26" s="1100"/>
      <c r="WZS26" s="1100"/>
      <c r="WZT26" s="1101"/>
      <c r="WZU26" s="1110">
        <f>IF(WZY10="Bovis","Attention retirer 2 mm aux dimensions transmises",0)</f>
        <v>0</v>
      </c>
      <c r="WZV26" s="1100"/>
      <c r="WZW26" s="1100"/>
      <c r="WZX26" s="1101"/>
      <c r="WZY26" s="1110">
        <f>IF(XAC10="Bovis","Attention retirer 2 mm aux dimensions transmises",0)</f>
        <v>0</v>
      </c>
      <c r="WZZ26" s="1100"/>
      <c r="XAA26" s="1100"/>
      <c r="XAB26" s="1101"/>
      <c r="XAC26" s="1110">
        <f>IF(XAG10="Bovis","Attention retirer 2 mm aux dimensions transmises",0)</f>
        <v>0</v>
      </c>
      <c r="XAD26" s="1100"/>
      <c r="XAE26" s="1100"/>
      <c r="XAF26" s="1101"/>
      <c r="XAG26" s="1110">
        <f>IF(XAK10="Bovis","Attention retirer 2 mm aux dimensions transmises",0)</f>
        <v>0</v>
      </c>
      <c r="XAH26" s="1100"/>
      <c r="XAI26" s="1100"/>
      <c r="XAJ26" s="1101"/>
      <c r="XAK26" s="1110">
        <f>IF(XAO10="Bovis","Attention retirer 2 mm aux dimensions transmises",0)</f>
        <v>0</v>
      </c>
      <c r="XAL26" s="1100"/>
      <c r="XAM26" s="1100"/>
      <c r="XAN26" s="1101"/>
      <c r="XAO26" s="1110">
        <f>IF(XAS10="Bovis","Attention retirer 2 mm aux dimensions transmises",0)</f>
        <v>0</v>
      </c>
      <c r="XAP26" s="1100"/>
      <c r="XAQ26" s="1100"/>
      <c r="XAR26" s="1101"/>
      <c r="XAS26" s="1110">
        <f>IF(XAW10="Bovis","Attention retirer 2 mm aux dimensions transmises",0)</f>
        <v>0</v>
      </c>
      <c r="XAT26" s="1100"/>
      <c r="XAU26" s="1100"/>
      <c r="XAV26" s="1101"/>
      <c r="XAW26" s="1110">
        <f>IF(XBA10="Bovis","Attention retirer 2 mm aux dimensions transmises",0)</f>
        <v>0</v>
      </c>
      <c r="XAX26" s="1100"/>
      <c r="XAY26" s="1100"/>
      <c r="XAZ26" s="1101"/>
      <c r="XBA26" s="1110">
        <f>IF(XBE10="Bovis","Attention retirer 2 mm aux dimensions transmises",0)</f>
        <v>0</v>
      </c>
      <c r="XBB26" s="1100"/>
      <c r="XBC26" s="1100"/>
      <c r="XBD26" s="1101"/>
      <c r="XBE26" s="1110">
        <f>IF(XBI10="Bovis","Attention retirer 2 mm aux dimensions transmises",0)</f>
        <v>0</v>
      </c>
      <c r="XBF26" s="1100"/>
      <c r="XBG26" s="1100"/>
      <c r="XBH26" s="1101"/>
      <c r="XBI26" s="1110">
        <f>IF(XBM10="Bovis","Attention retirer 2 mm aux dimensions transmises",0)</f>
        <v>0</v>
      </c>
      <c r="XBJ26" s="1100"/>
      <c r="XBK26" s="1100"/>
      <c r="XBL26" s="1101"/>
      <c r="XBM26" s="1110">
        <f>IF(XBQ10="Bovis","Attention retirer 2 mm aux dimensions transmises",0)</f>
        <v>0</v>
      </c>
      <c r="XBN26" s="1100"/>
      <c r="XBO26" s="1100"/>
      <c r="XBP26" s="1101"/>
      <c r="XBQ26" s="1110">
        <f>IF(XBU10="Bovis","Attention retirer 2 mm aux dimensions transmises",0)</f>
        <v>0</v>
      </c>
      <c r="XBR26" s="1100"/>
      <c r="XBS26" s="1100"/>
      <c r="XBT26" s="1101"/>
      <c r="XBU26" s="1110">
        <f>IF(XBY10="Bovis","Attention retirer 2 mm aux dimensions transmises",0)</f>
        <v>0</v>
      </c>
      <c r="XBV26" s="1100"/>
      <c r="XBW26" s="1100"/>
      <c r="XBX26" s="1101"/>
      <c r="XBY26" s="1110">
        <f>IF(XCC10="Bovis","Attention retirer 2 mm aux dimensions transmises",0)</f>
        <v>0</v>
      </c>
      <c r="XBZ26" s="1100"/>
      <c r="XCA26" s="1100"/>
      <c r="XCB26" s="1101"/>
      <c r="XCC26" s="1110">
        <f>IF(XCG10="Bovis","Attention retirer 2 mm aux dimensions transmises",0)</f>
        <v>0</v>
      </c>
      <c r="XCD26" s="1100"/>
      <c r="XCE26" s="1100"/>
      <c r="XCF26" s="1101"/>
      <c r="XCG26" s="1110">
        <f>IF(XCK10="Bovis","Attention retirer 2 mm aux dimensions transmises",0)</f>
        <v>0</v>
      </c>
      <c r="XCH26" s="1100"/>
      <c r="XCI26" s="1100"/>
      <c r="XCJ26" s="1101"/>
      <c r="XCK26" s="1110">
        <f>IF(XCO10="Bovis","Attention retirer 2 mm aux dimensions transmises",0)</f>
        <v>0</v>
      </c>
      <c r="XCL26" s="1100"/>
      <c r="XCM26" s="1100"/>
      <c r="XCN26" s="1101"/>
      <c r="XCO26" s="1110">
        <f>IF(XCS10="Bovis","Attention retirer 2 mm aux dimensions transmises",0)</f>
        <v>0</v>
      </c>
      <c r="XCP26" s="1100"/>
      <c r="XCQ26" s="1100"/>
      <c r="XCR26" s="1101"/>
      <c r="XCS26" s="1110">
        <f>IF(XCW10="Bovis","Attention retirer 2 mm aux dimensions transmises",0)</f>
        <v>0</v>
      </c>
      <c r="XCT26" s="1100"/>
      <c r="XCU26" s="1100"/>
      <c r="XCV26" s="1101"/>
      <c r="XCW26" s="1110">
        <f>IF(XDA10="Bovis","Attention retirer 2 mm aux dimensions transmises",0)</f>
        <v>0</v>
      </c>
      <c r="XCX26" s="1100"/>
      <c r="XCY26" s="1100"/>
      <c r="XCZ26" s="1101"/>
      <c r="XDA26" s="1110">
        <f>IF(XDE10="Bovis","Attention retirer 2 mm aux dimensions transmises",0)</f>
        <v>0</v>
      </c>
      <c r="XDB26" s="1100"/>
      <c r="XDC26" s="1100"/>
      <c r="XDD26" s="1101"/>
      <c r="XDE26" s="1110">
        <f>IF(XDI10="Bovis","Attention retirer 2 mm aux dimensions transmises",0)</f>
        <v>0</v>
      </c>
      <c r="XDF26" s="1100"/>
      <c r="XDG26" s="1100"/>
      <c r="XDH26" s="1101"/>
      <c r="XDI26" s="1110">
        <f>IF(XDM10="Bovis","Attention retirer 2 mm aux dimensions transmises",0)</f>
        <v>0</v>
      </c>
      <c r="XDJ26" s="1100"/>
      <c r="XDK26" s="1100"/>
      <c r="XDL26" s="1101"/>
      <c r="XDM26" s="1110">
        <f>IF(XDQ10="Bovis","Attention retirer 2 mm aux dimensions transmises",0)</f>
        <v>0</v>
      </c>
      <c r="XDN26" s="1100"/>
      <c r="XDO26" s="1100"/>
      <c r="XDP26" s="1101"/>
      <c r="XDQ26" s="1110">
        <f>IF(XDU10="Bovis","Attention retirer 2 mm aux dimensions transmises",0)</f>
        <v>0</v>
      </c>
      <c r="XDR26" s="1100"/>
      <c r="XDS26" s="1100"/>
      <c r="XDT26" s="1101"/>
      <c r="XDU26" s="1110">
        <f>IF(XDY10="Bovis","Attention retirer 2 mm aux dimensions transmises",0)</f>
        <v>0</v>
      </c>
      <c r="XDV26" s="1100"/>
      <c r="XDW26" s="1100"/>
      <c r="XDX26" s="1101"/>
      <c r="XDY26" s="1110">
        <f>IF(XEC10="Bovis","Attention retirer 2 mm aux dimensions transmises",0)</f>
        <v>0</v>
      </c>
      <c r="XDZ26" s="1100"/>
      <c r="XEA26" s="1100"/>
      <c r="XEB26" s="1101"/>
      <c r="XEC26" s="1110">
        <f>IF(XEG10="Bovis","Attention retirer 2 mm aux dimensions transmises",0)</f>
        <v>0</v>
      </c>
      <c r="XED26" s="1100"/>
      <c r="XEE26" s="1100"/>
      <c r="XEF26" s="1101"/>
      <c r="XEG26" s="1110">
        <f>IF(XEK10="Bovis","Attention retirer 2 mm aux dimensions transmises",0)</f>
        <v>0</v>
      </c>
      <c r="XEH26" s="1100"/>
      <c r="XEI26" s="1100"/>
      <c r="XEJ26" s="1101"/>
      <c r="XEK26" s="1110">
        <f>IF(XEO10="Bovis","Attention retirer 2 mm aux dimensions transmises",0)</f>
        <v>0</v>
      </c>
      <c r="XEL26" s="1100"/>
      <c r="XEM26" s="1100"/>
      <c r="XEN26" s="1101"/>
      <c r="XEO26" s="1110">
        <f>IF(XES10="Bovis","Attention retirer 2 mm aux dimensions transmises",0)</f>
        <v>0</v>
      </c>
      <c r="XEP26" s="1100"/>
      <c r="XEQ26" s="1100"/>
      <c r="XER26" s="1101"/>
      <c r="XES26" s="1110">
        <f>IF(XEW10="Bovis","Attention retirer 2 mm aux dimensions transmises",0)</f>
        <v>0</v>
      </c>
      <c r="XET26" s="1100"/>
      <c r="XEU26" s="1100"/>
      <c r="XEV26" s="1101"/>
      <c r="XEW26" s="1110">
        <f>IF(XFA10="Bovis","Attention retirer 2 mm aux dimensions transmises",0)</f>
        <v>0</v>
      </c>
      <c r="XEX26" s="1100"/>
      <c r="XEY26" s="1100"/>
      <c r="XEZ26" s="1101"/>
      <c r="XFA26" s="1110" t="e">
        <f>IF(#REF!="Bovis","Attention retirer 2 mm aux dimensions transmises",0)</f>
        <v>#REF!</v>
      </c>
      <c r="XFB26" s="1100"/>
      <c r="XFC26" s="1100"/>
      <c r="XFD26" s="1101"/>
    </row>
    <row r="27" spans="1:16384" s="2" customFormat="1" ht="18" customHeight="1" x14ac:dyDescent="0.35">
      <c r="A27" s="98"/>
      <c r="B27" s="269"/>
      <c r="C27" s="270"/>
      <c r="D27" s="270"/>
      <c r="E27" s="101"/>
      <c r="F27" s="101"/>
      <c r="G27" s="101"/>
      <c r="H27" s="270"/>
      <c r="I27" s="270"/>
      <c r="J27" s="270"/>
      <c r="K27" s="100"/>
    </row>
    <row r="28" spans="1:16384" s="2" customFormat="1" ht="18" customHeight="1" x14ac:dyDescent="0.35">
      <c r="A28" s="170" t="str">
        <f>IF(B29="Aucun","Dimensions intérieures utiles","Dimensions de l'œuvre")</f>
        <v>Dimensions de l'œuvre</v>
      </c>
      <c r="B28" s="171" t="s">
        <v>28</v>
      </c>
      <c r="C28" s="171" t="s">
        <v>29</v>
      </c>
      <c r="D28" s="171" t="s">
        <v>30</v>
      </c>
      <c r="E28" s="172" t="s">
        <v>139</v>
      </c>
      <c r="G28" s="170" t="str">
        <f>IF(H29="Aucun","Dimensions intérieures utiles","Dimensions de l'œuvre")</f>
        <v>Dimensions de l'œuvre</v>
      </c>
      <c r="H28" s="171" t="s">
        <v>28</v>
      </c>
      <c r="I28" s="171" t="s">
        <v>29</v>
      </c>
      <c r="J28" s="171" t="s">
        <v>30</v>
      </c>
      <c r="K28" s="172" t="s">
        <v>140</v>
      </c>
    </row>
    <row r="29" spans="1:16384" s="2" customFormat="1" ht="18" customHeight="1" x14ac:dyDescent="0.4">
      <c r="A29" s="174"/>
      <c r="B29" s="35"/>
      <c r="C29" s="35"/>
      <c r="D29" s="35"/>
      <c r="E29" s="175"/>
      <c r="G29" s="174"/>
      <c r="H29" s="35"/>
      <c r="I29" s="35"/>
      <c r="J29" s="35"/>
      <c r="K29" s="175"/>
    </row>
    <row r="30" spans="1:16384" s="2" customFormat="1" ht="18" customHeight="1" x14ac:dyDescent="0.35">
      <c r="A30" s="176" t="s">
        <v>31</v>
      </c>
      <c r="B30" s="46" t="s">
        <v>16</v>
      </c>
      <c r="C30" s="34" t="s">
        <v>141</v>
      </c>
      <c r="D30" s="177"/>
      <c r="E30" s="175"/>
      <c r="G30" s="176" t="s">
        <v>31</v>
      </c>
      <c r="H30" s="46" t="s">
        <v>16</v>
      </c>
      <c r="I30" s="34" t="s">
        <v>141</v>
      </c>
      <c r="J30" s="177"/>
      <c r="K30" s="175"/>
    </row>
    <row r="31" spans="1:16384" s="2" customFormat="1" ht="18" customHeight="1" x14ac:dyDescent="0.35">
      <c r="A31" s="178"/>
      <c r="B31" s="45" t="s">
        <v>33</v>
      </c>
      <c r="C31" s="45" t="s">
        <v>28</v>
      </c>
      <c r="D31" s="45" t="s">
        <v>29</v>
      </c>
      <c r="E31" s="175" t="s">
        <v>34</v>
      </c>
      <c r="G31" s="178"/>
      <c r="H31" s="45" t="s">
        <v>33</v>
      </c>
      <c r="I31" s="45" t="s">
        <v>28</v>
      </c>
      <c r="J31" s="45" t="s">
        <v>29</v>
      </c>
      <c r="K31" s="175" t="s">
        <v>34</v>
      </c>
    </row>
    <row r="32" spans="1:16384" s="2" customFormat="1" ht="18" customHeight="1" x14ac:dyDescent="0.35">
      <c r="A32" s="176" t="s">
        <v>35</v>
      </c>
      <c r="B32" s="35"/>
      <c r="C32" s="45"/>
      <c r="D32" s="45"/>
      <c r="E32" s="175"/>
      <c r="G32" s="176" t="s">
        <v>35</v>
      </c>
      <c r="H32" s="35"/>
      <c r="I32" s="45"/>
      <c r="J32" s="45"/>
      <c r="K32" s="175"/>
    </row>
    <row r="33" spans="1:11" s="2" customFormat="1" ht="18" customHeight="1" x14ac:dyDescent="0.35">
      <c r="A33" s="176" t="s">
        <v>36</v>
      </c>
      <c r="B33" s="35"/>
      <c r="C33" s="45"/>
      <c r="D33" s="45"/>
      <c r="E33" s="175"/>
      <c r="G33" s="176" t="s">
        <v>36</v>
      </c>
      <c r="H33" s="35"/>
      <c r="I33" s="45"/>
      <c r="J33" s="45"/>
      <c r="K33" s="175"/>
    </row>
    <row r="34" spans="1:11" s="2" customFormat="1" ht="18" customHeight="1" x14ac:dyDescent="0.35">
      <c r="A34" s="179" t="s">
        <v>16</v>
      </c>
      <c r="B34" s="47">
        <f>+IF(B29=0,0,IF(B29&gt;70,12,6))</f>
        <v>0</v>
      </c>
      <c r="C34" s="45"/>
      <c r="D34" s="45"/>
      <c r="E34" s="372">
        <f>IF(B29&gt;300,6,IF(B29&gt;250,5,IF(B29&gt;200,4,IF(B29&gt;150,3,IF(B29&gt;120,3,2)))))</f>
        <v>2</v>
      </c>
      <c r="F34" s="180"/>
      <c r="G34" s="179" t="s">
        <v>16</v>
      </c>
      <c r="H34" s="47">
        <f>+IF(H29=0,0,IF(H29&gt;70,12,6))</f>
        <v>0</v>
      </c>
      <c r="I34" s="45"/>
      <c r="J34" s="45"/>
      <c r="K34" s="372">
        <f>IF(H29&gt;300,6,IF(H29&gt;250,5,IF(H29&gt;200,4,IF(H29&gt;150,3,IF(H29&gt;120,3,2)))))</f>
        <v>2</v>
      </c>
    </row>
    <row r="35" spans="1:11" s="2" customFormat="1" ht="18" customHeight="1" x14ac:dyDescent="0.35">
      <c r="A35" s="176" t="s">
        <v>39</v>
      </c>
      <c r="B35" s="207"/>
      <c r="C35" s="45"/>
      <c r="D35" s="207"/>
      <c r="E35" s="175"/>
      <c r="G35" s="176" t="s">
        <v>39</v>
      </c>
      <c r="H35" s="207"/>
      <c r="I35" s="45"/>
      <c r="J35" s="207"/>
      <c r="K35" s="175"/>
    </row>
    <row r="36" spans="1:11" s="2" customFormat="1" ht="18" customHeight="1" x14ac:dyDescent="0.35">
      <c r="A36" s="182" t="s">
        <v>40</v>
      </c>
      <c r="B36" s="355"/>
      <c r="C36" s="355"/>
      <c r="D36" s="355"/>
      <c r="E36" s="184"/>
      <c r="G36" s="176" t="s">
        <v>40</v>
      </c>
      <c r="H36" s="207"/>
      <c r="I36" s="207"/>
      <c r="J36" s="207"/>
      <c r="K36" s="175"/>
    </row>
    <row r="37" spans="1:11" s="2" customFormat="1" ht="18" customHeight="1" x14ac:dyDescent="0.35">
      <c r="A37" s="373" t="s">
        <v>41</v>
      </c>
      <c r="B37" s="374"/>
      <c r="C37" s="374"/>
      <c r="D37" s="374"/>
      <c r="E37" s="375"/>
      <c r="G37" s="182" t="s">
        <v>41</v>
      </c>
      <c r="H37" s="355"/>
      <c r="I37" s="355"/>
      <c r="J37" s="355"/>
      <c r="K37" s="184"/>
    </row>
    <row r="38" spans="1:11" s="2" customFormat="1" ht="18.75" hidden="1" customHeight="1" x14ac:dyDescent="0.35">
      <c r="A38" s="1131" t="s">
        <v>214</v>
      </c>
      <c r="B38" s="2">
        <f>IF(B29=0,0,B29+VLOOKUP(B30,$A$290:$L$295,2))</f>
        <v>0</v>
      </c>
      <c r="C38" s="2">
        <f>IF(C29=0,0,C29+VLOOKUP(B30,$A$290:$L$295,3))</f>
        <v>0</v>
      </c>
      <c r="D38" s="2">
        <f>IF(D29=0,0,D29+VLOOKUP(B30,$A$290:$L$295,4))</f>
        <v>0</v>
      </c>
      <c r="G38" s="1132" t="s">
        <v>142</v>
      </c>
      <c r="H38" s="2">
        <f>IF(H29=0,0,H29+VLOOKUP(H30,$A$290:$L$295,2))</f>
        <v>0</v>
      </c>
      <c r="I38" s="2">
        <f>IF(I29=0,0,I29+VLOOKUP(H30,$A$290:$L$295,3))</f>
        <v>0</v>
      </c>
      <c r="J38" s="2">
        <f>IF(J29=0,0,J29+VLOOKUP(H30,$A$290:$L$295,4))</f>
        <v>0</v>
      </c>
      <c r="K38" s="109"/>
    </row>
    <row r="39" spans="1:11" s="2" customFormat="1" ht="18" hidden="1" customHeight="1" x14ac:dyDescent="0.35">
      <c r="A39" s="1124"/>
      <c r="G39" s="1133"/>
      <c r="K39" s="109"/>
    </row>
    <row r="40" spans="1:11" s="187" customFormat="1" ht="18" hidden="1" customHeight="1" x14ac:dyDescent="0.35">
      <c r="A40" s="186"/>
      <c r="G40" s="376" t="s">
        <v>144</v>
      </c>
      <c r="H40" s="189">
        <f>IF(B41=0,0,MAX(B41,B56+5.5,B72+5.5))</f>
        <v>0</v>
      </c>
      <c r="I40" s="189">
        <f>C41</f>
        <v>0</v>
      </c>
      <c r="J40" s="189">
        <f>IF(D41=0,0,MAX(D41,D56+5.5,D72+5.5))</f>
        <v>0</v>
      </c>
      <c r="K40" s="190"/>
    </row>
    <row r="41" spans="1:11" s="187" customFormat="1" ht="18" hidden="1" customHeight="1" x14ac:dyDescent="0.35">
      <c r="A41" s="274" t="s">
        <v>145</v>
      </c>
      <c r="B41" s="193">
        <f>B38+IF(H38=0,0,1.5+H38)</f>
        <v>0</v>
      </c>
      <c r="C41" s="193">
        <f t="shared" ref="C41:D41" si="0">MAX(C38,I38)</f>
        <v>0</v>
      </c>
      <c r="D41" s="193">
        <f t="shared" si="0"/>
        <v>0</v>
      </c>
      <c r="E41" s="193"/>
      <c r="F41" s="193"/>
      <c r="G41" s="377" t="s">
        <v>146</v>
      </c>
      <c r="H41" s="194">
        <f t="shared" ref="H41:J41" si="1">IF(H40=0,0,H40)</f>
        <v>0</v>
      </c>
      <c r="I41" s="194">
        <f t="shared" si="1"/>
        <v>0</v>
      </c>
      <c r="J41" s="194">
        <f t="shared" si="1"/>
        <v>0</v>
      </c>
    </row>
    <row r="42" spans="1:11" s="2" customFormat="1" ht="18" customHeight="1" x14ac:dyDescent="0.35">
      <c r="A42" s="19"/>
      <c r="G42" s="19"/>
    </row>
    <row r="43" spans="1:11" s="199" customFormat="1" ht="18" customHeight="1" x14ac:dyDescent="0.35">
      <c r="A43" s="195" t="str">
        <f>IF(B44="Aucun","Dimensions intérieures utiles","Dimensions de l'œuvre")</f>
        <v>Dimensions de l'œuvre</v>
      </c>
      <c r="B43" s="196" t="s">
        <v>28</v>
      </c>
      <c r="C43" s="196" t="s">
        <v>29</v>
      </c>
      <c r="D43" s="196" t="s">
        <v>30</v>
      </c>
      <c r="E43" s="197" t="s">
        <v>147</v>
      </c>
      <c r="F43" s="198"/>
      <c r="G43" s="195" t="str">
        <f>IF(H44="Aucun","Dimensions intérieures utiles","Dimensions de l'œuvre")</f>
        <v>Dimensions de l'œuvre</v>
      </c>
      <c r="H43" s="196" t="s">
        <v>28</v>
      </c>
      <c r="I43" s="196" t="s">
        <v>29</v>
      </c>
      <c r="J43" s="196" t="s">
        <v>30</v>
      </c>
      <c r="K43" s="197" t="s">
        <v>148</v>
      </c>
    </row>
    <row r="44" spans="1:11" s="199" customFormat="1" ht="18" customHeight="1" x14ac:dyDescent="0.4">
      <c r="A44" s="201"/>
      <c r="B44" s="203"/>
      <c r="C44" s="203"/>
      <c r="D44" s="203"/>
      <c r="E44" s="202"/>
      <c r="G44" s="201"/>
      <c r="H44" s="203"/>
      <c r="I44" s="203"/>
      <c r="J44" s="203"/>
      <c r="K44" s="202"/>
    </row>
    <row r="45" spans="1:11" s="199" customFormat="1" ht="18" customHeight="1" x14ac:dyDescent="0.35">
      <c r="A45" s="204" t="s">
        <v>31</v>
      </c>
      <c r="B45" s="205" t="s">
        <v>16</v>
      </c>
      <c r="C45" s="206" t="s">
        <v>141</v>
      </c>
      <c r="D45" s="209"/>
      <c r="E45" s="202"/>
      <c r="G45" s="204" t="s">
        <v>31</v>
      </c>
      <c r="H45" s="205" t="s">
        <v>16</v>
      </c>
      <c r="I45" s="206" t="s">
        <v>141</v>
      </c>
      <c r="J45" s="209"/>
      <c r="K45" s="202"/>
    </row>
    <row r="46" spans="1:11" s="199" customFormat="1" ht="18" customHeight="1" x14ac:dyDescent="0.35">
      <c r="A46" s="208"/>
      <c r="B46" s="209" t="s">
        <v>33</v>
      </c>
      <c r="C46" s="209" t="s">
        <v>28</v>
      </c>
      <c r="D46" s="209" t="s">
        <v>29</v>
      </c>
      <c r="E46" s="202" t="s">
        <v>34</v>
      </c>
      <c r="G46" s="208"/>
      <c r="H46" s="209" t="s">
        <v>33</v>
      </c>
      <c r="I46" s="209" t="s">
        <v>28</v>
      </c>
      <c r="J46" s="209" t="s">
        <v>29</v>
      </c>
      <c r="K46" s="202" t="s">
        <v>34</v>
      </c>
    </row>
    <row r="47" spans="1:11" s="199" customFormat="1" ht="18" customHeight="1" x14ac:dyDescent="0.35">
      <c r="A47" s="204" t="s">
        <v>35</v>
      </c>
      <c r="B47" s="203"/>
      <c r="C47" s="209"/>
      <c r="D47" s="209"/>
      <c r="E47" s="202"/>
      <c r="G47" s="204" t="s">
        <v>35</v>
      </c>
      <c r="H47" s="203"/>
      <c r="I47" s="209"/>
      <c r="J47" s="209"/>
      <c r="K47" s="202"/>
    </row>
    <row r="48" spans="1:11" s="199" customFormat="1" ht="18" customHeight="1" x14ac:dyDescent="0.35">
      <c r="A48" s="204" t="s">
        <v>36</v>
      </c>
      <c r="B48" s="203"/>
      <c r="C48" s="209"/>
      <c r="D48" s="209"/>
      <c r="E48" s="202"/>
      <c r="G48" s="204" t="s">
        <v>36</v>
      </c>
      <c r="H48" s="203"/>
      <c r="I48" s="209"/>
      <c r="J48" s="209"/>
      <c r="K48" s="202"/>
    </row>
    <row r="49" spans="1:11" s="199" customFormat="1" ht="18" customHeight="1" x14ac:dyDescent="0.35">
      <c r="A49" s="179" t="s">
        <v>16</v>
      </c>
      <c r="B49" s="210">
        <f>+IF(B44=0,0,IF(B44&gt;70,12,6))</f>
        <v>0</v>
      </c>
      <c r="C49" s="209"/>
      <c r="D49" s="209"/>
      <c r="E49" s="378">
        <f>IF(B44&gt;300,6,IF(B44&gt;250,5,IF(B44&gt;200,4,IF(B44&gt;150,3,IF(B44&gt;120,3,2)))))</f>
        <v>2</v>
      </c>
      <c r="F49" s="211"/>
      <c r="G49" s="179" t="s">
        <v>16</v>
      </c>
      <c r="H49" s="210">
        <f>+IF(H44=0,0,IF(H44&gt;70,12,6))</f>
        <v>0</v>
      </c>
      <c r="I49" s="209"/>
      <c r="J49" s="209"/>
      <c r="K49" s="378">
        <f>IF(H44&gt;300,6,IF(H44&gt;250,5,IF(H44&gt;200,4,IF(H44&gt;150,3,IF(H44&gt;120,3,2)))))</f>
        <v>2</v>
      </c>
    </row>
    <row r="50" spans="1:11" s="199" customFormat="1" ht="18" customHeight="1" x14ac:dyDescent="0.35">
      <c r="A50" s="204" t="s">
        <v>39</v>
      </c>
      <c r="B50" s="177"/>
      <c r="C50" s="209"/>
      <c r="D50" s="177"/>
      <c r="E50" s="202"/>
      <c r="G50" s="204" t="s">
        <v>39</v>
      </c>
      <c r="H50" s="177"/>
      <c r="I50" s="209"/>
      <c r="J50" s="177"/>
      <c r="K50" s="202"/>
    </row>
    <row r="51" spans="1:11" s="199" customFormat="1" ht="18" customHeight="1" x14ac:dyDescent="0.35">
      <c r="A51" s="204" t="s">
        <v>40</v>
      </c>
      <c r="B51" s="177"/>
      <c r="C51" s="177"/>
      <c r="D51" s="177"/>
      <c r="E51" s="202"/>
      <c r="G51" s="204" t="s">
        <v>40</v>
      </c>
      <c r="H51" s="177"/>
      <c r="I51" s="177"/>
      <c r="J51" s="177"/>
      <c r="K51" s="202"/>
    </row>
    <row r="52" spans="1:11" s="199" customFormat="1" ht="18" customHeight="1" x14ac:dyDescent="0.35">
      <c r="A52" s="213" t="s">
        <v>41</v>
      </c>
      <c r="B52" s="276"/>
      <c r="C52" s="276"/>
      <c r="D52" s="276"/>
      <c r="E52" s="215"/>
      <c r="G52" s="213" t="s">
        <v>41</v>
      </c>
      <c r="H52" s="276"/>
      <c r="I52" s="276"/>
      <c r="J52" s="276"/>
      <c r="K52" s="215"/>
    </row>
    <row r="53" spans="1:11" s="199" customFormat="1" ht="18" hidden="1" customHeight="1" x14ac:dyDescent="0.35">
      <c r="A53" s="1123" t="s">
        <v>143</v>
      </c>
      <c r="B53" s="199">
        <f>IF(B44=0,0,B44+VLOOKUP(B45,$A$290:$L$295,2))</f>
        <v>0</v>
      </c>
      <c r="C53" s="199">
        <f>IF(C44=0,0,C44+VLOOKUP(B45,$A$290:$L$295,3))</f>
        <v>0</v>
      </c>
      <c r="D53" s="199">
        <f>IF(D44=0,0,D44+VLOOKUP(B45,$A$290:$L$295,4))</f>
        <v>0</v>
      </c>
      <c r="G53" s="1125" t="s">
        <v>143</v>
      </c>
      <c r="H53" s="199">
        <f>IF(H44=0,0,H44+VLOOKUP(H45,$A$290:$L$295,2))</f>
        <v>0</v>
      </c>
      <c r="I53" s="199">
        <f>IF(I44=0,0,I44+VLOOKUP(H45,$A$290:$L$295,3))</f>
        <v>0</v>
      </c>
      <c r="J53" s="199">
        <f>IF(J44=0,0,J44+VLOOKUP(H45,$A$290:$L$295,4))</f>
        <v>0</v>
      </c>
      <c r="K53" s="217"/>
    </row>
    <row r="54" spans="1:11" s="199" customFormat="1" ht="18" hidden="1" customHeight="1" x14ac:dyDescent="0.35">
      <c r="A54" s="1124"/>
      <c r="G54" s="1126"/>
      <c r="K54" s="217"/>
    </row>
    <row r="55" spans="1:11" s="199" customFormat="1" ht="18" hidden="1" customHeight="1" x14ac:dyDescent="0.35">
      <c r="A55" s="1127" t="s">
        <v>149</v>
      </c>
      <c r="G55" s="219" t="s">
        <v>150</v>
      </c>
      <c r="H55" s="209">
        <f>IF(H57=0,0,H56-3)</f>
        <v>0</v>
      </c>
      <c r="I55" s="209">
        <f>IF(I57=0,0,I56-1)</f>
        <v>0</v>
      </c>
      <c r="J55" s="209">
        <f>IF(J57=0,0,J56-3)</f>
        <v>0</v>
      </c>
      <c r="K55" s="209"/>
    </row>
    <row r="56" spans="1:11" s="199" customFormat="1" ht="18" hidden="1" customHeight="1" x14ac:dyDescent="0.35">
      <c r="A56" s="1112"/>
      <c r="B56" s="220">
        <f>B53+IF(H53=0,0,1.5+H53)</f>
        <v>0</v>
      </c>
      <c r="C56" s="220">
        <f t="shared" ref="C56:D56" si="2">MAX(C53,I53)</f>
        <v>0</v>
      </c>
      <c r="D56" s="220">
        <f t="shared" si="2"/>
        <v>0</v>
      </c>
      <c r="E56" s="220"/>
      <c r="F56" s="220"/>
      <c r="G56" s="219" t="s">
        <v>151</v>
      </c>
      <c r="H56" s="219">
        <f>IF(H57=0,0,H57-2.5)</f>
        <v>0</v>
      </c>
      <c r="I56" s="219">
        <f>IF(I57=0,0,I57-0.2)</f>
        <v>0</v>
      </c>
      <c r="J56" s="219">
        <f>IF(J57=0,0,J57-2.5)</f>
        <v>0</v>
      </c>
      <c r="K56" s="209"/>
    </row>
    <row r="57" spans="1:11" s="199" customFormat="1" ht="18" hidden="1" customHeight="1" x14ac:dyDescent="0.35">
      <c r="G57" s="199" t="s">
        <v>152</v>
      </c>
      <c r="H57" s="199">
        <f>IF(B56=0,0,MAX(B41,B56+5.5,B72+5.5))</f>
        <v>0</v>
      </c>
      <c r="I57" s="199">
        <f>IF(C56=0,0,C56+1.2)</f>
        <v>0</v>
      </c>
      <c r="J57" s="199">
        <f>IF(D56=0,0,MAX(D41,D56+5.5,D72+5.5))</f>
        <v>0</v>
      </c>
    </row>
    <row r="58" spans="1:11" s="2" customFormat="1" ht="18" customHeight="1" x14ac:dyDescent="0.35">
      <c r="A58" s="19"/>
      <c r="G58" s="19"/>
    </row>
    <row r="59" spans="1:11" s="226" customFormat="1" ht="18" customHeight="1" x14ac:dyDescent="0.35">
      <c r="A59" s="221" t="str">
        <f>IF(B60="Aucun","Dimensions intérieures utiles","Dimensions de l'œuvre")</f>
        <v>Dimensions de l'œuvre</v>
      </c>
      <c r="B59" s="222" t="s">
        <v>28</v>
      </c>
      <c r="C59" s="222" t="s">
        <v>29</v>
      </c>
      <c r="D59" s="222" t="s">
        <v>30</v>
      </c>
      <c r="E59" s="223" t="s">
        <v>153</v>
      </c>
      <c r="F59" s="224"/>
      <c r="G59" s="221" t="str">
        <f>IF(H60="Aucun","Dimensions intérieures utiles","Dimensions de l'œuvre")</f>
        <v>Dimensions de l'œuvre</v>
      </c>
      <c r="H59" s="222" t="s">
        <v>28</v>
      </c>
      <c r="I59" s="222" t="s">
        <v>29</v>
      </c>
      <c r="J59" s="222" t="s">
        <v>30</v>
      </c>
      <c r="K59" s="223" t="s">
        <v>154</v>
      </c>
    </row>
    <row r="60" spans="1:11" s="226" customFormat="1" ht="18" customHeight="1" x14ac:dyDescent="0.4">
      <c r="A60" s="228"/>
      <c r="B60" s="203"/>
      <c r="C60" s="203"/>
      <c r="D60" s="203"/>
      <c r="E60" s="229"/>
      <c r="G60" s="228"/>
      <c r="H60" s="203"/>
      <c r="I60" s="203"/>
      <c r="J60" s="203"/>
      <c r="K60" s="229"/>
    </row>
    <row r="61" spans="1:11" s="226" customFormat="1" ht="18" customHeight="1" x14ac:dyDescent="0.35">
      <c r="A61" s="230" t="s">
        <v>31</v>
      </c>
      <c r="B61" s="46" t="s">
        <v>16</v>
      </c>
      <c r="C61" s="231" t="s">
        <v>141</v>
      </c>
      <c r="D61" s="177"/>
      <c r="E61" s="229"/>
      <c r="G61" s="230" t="s">
        <v>31</v>
      </c>
      <c r="H61" s="205" t="s">
        <v>16</v>
      </c>
      <c r="I61" s="231" t="s">
        <v>141</v>
      </c>
      <c r="J61" s="177"/>
      <c r="K61" s="229"/>
    </row>
    <row r="62" spans="1:11" s="226" customFormat="1" ht="18" customHeight="1" x14ac:dyDescent="0.35">
      <c r="A62" s="232"/>
      <c r="B62" s="233" t="s">
        <v>33</v>
      </c>
      <c r="C62" s="233" t="s">
        <v>28</v>
      </c>
      <c r="D62" s="233" t="s">
        <v>29</v>
      </c>
      <c r="E62" s="229" t="s">
        <v>34</v>
      </c>
      <c r="G62" s="232"/>
      <c r="H62" s="233" t="s">
        <v>33</v>
      </c>
      <c r="I62" s="233" t="s">
        <v>28</v>
      </c>
      <c r="J62" s="233" t="s">
        <v>29</v>
      </c>
      <c r="K62" s="229" t="s">
        <v>34</v>
      </c>
    </row>
    <row r="63" spans="1:11" s="226" customFormat="1" ht="18" customHeight="1" x14ac:dyDescent="0.35">
      <c r="A63" s="230" t="s">
        <v>35</v>
      </c>
      <c r="B63" s="203"/>
      <c r="C63" s="233"/>
      <c r="D63" s="233"/>
      <c r="E63" s="229"/>
      <c r="G63" s="230" t="s">
        <v>35</v>
      </c>
      <c r="H63" s="203"/>
      <c r="I63" s="233"/>
      <c r="J63" s="233"/>
      <c r="K63" s="229"/>
    </row>
    <row r="64" spans="1:11" s="226" customFormat="1" ht="18" customHeight="1" x14ac:dyDescent="0.35">
      <c r="A64" s="230" t="s">
        <v>36</v>
      </c>
      <c r="B64" s="203"/>
      <c r="C64" s="233"/>
      <c r="D64" s="233"/>
      <c r="E64" s="229"/>
      <c r="G64" s="230" t="s">
        <v>36</v>
      </c>
      <c r="H64" s="203"/>
      <c r="I64" s="233"/>
      <c r="J64" s="233"/>
      <c r="K64" s="229"/>
    </row>
    <row r="65" spans="1:11" s="226" customFormat="1" ht="18" customHeight="1" x14ac:dyDescent="0.35">
      <c r="A65" s="179" t="s">
        <v>16</v>
      </c>
      <c r="B65" s="234">
        <f>+IF(B60=0,0,IF(B60&gt;70,12,6))</f>
        <v>0</v>
      </c>
      <c r="C65" s="233"/>
      <c r="D65" s="233"/>
      <c r="E65" s="379">
        <f>IF(B60&gt;300,6,IF(B60&gt;250,5,IF(B60&gt;200,4,IF(B60&gt;150,3,IF(B60&gt;120,3,2)))))</f>
        <v>2</v>
      </c>
      <c r="F65" s="235"/>
      <c r="G65" s="179" t="s">
        <v>16</v>
      </c>
      <c r="H65" s="234">
        <f>+IF(H60=0,0,IF(H60&gt;70,12,6))</f>
        <v>0</v>
      </c>
      <c r="I65" s="233"/>
      <c r="J65" s="233"/>
      <c r="K65" s="379">
        <f>IF(H60&gt;300,6,IF(H60&gt;250,5,IF(H60&gt;200,4,IF(H60&gt;150,3,IF(H60&gt;120,3,2)))))</f>
        <v>2</v>
      </c>
    </row>
    <row r="66" spans="1:11" s="226" customFormat="1" ht="18" customHeight="1" x14ac:dyDescent="0.35">
      <c r="A66" s="230" t="s">
        <v>39</v>
      </c>
      <c r="B66" s="177"/>
      <c r="C66" s="233"/>
      <c r="D66" s="177"/>
      <c r="E66" s="229"/>
      <c r="G66" s="230" t="s">
        <v>39</v>
      </c>
      <c r="H66" s="177"/>
      <c r="I66" s="233"/>
      <c r="J66" s="177"/>
      <c r="K66" s="229"/>
    </row>
    <row r="67" spans="1:11" s="226" customFormat="1" ht="18" customHeight="1" x14ac:dyDescent="0.35">
      <c r="A67" s="230" t="s">
        <v>40</v>
      </c>
      <c r="B67" s="177"/>
      <c r="C67" s="177"/>
      <c r="D67" s="177"/>
      <c r="E67" s="229"/>
      <c r="G67" s="230" t="s">
        <v>40</v>
      </c>
      <c r="H67" s="177"/>
      <c r="I67" s="177"/>
      <c r="J67" s="177"/>
      <c r="K67" s="229"/>
    </row>
    <row r="68" spans="1:11" s="226" customFormat="1" ht="18" customHeight="1" x14ac:dyDescent="0.35">
      <c r="A68" s="237" t="s">
        <v>41</v>
      </c>
      <c r="B68" s="276"/>
      <c r="C68" s="276"/>
      <c r="D68" s="276"/>
      <c r="E68" s="286"/>
      <c r="G68" s="237" t="s">
        <v>41</v>
      </c>
      <c r="H68" s="276"/>
      <c r="I68" s="276"/>
      <c r="J68" s="276"/>
      <c r="K68" s="286"/>
    </row>
    <row r="69" spans="1:11" s="226" customFormat="1" ht="18" hidden="1" customHeight="1" x14ac:dyDescent="0.35">
      <c r="A69" s="1128" t="s">
        <v>143</v>
      </c>
      <c r="B69" s="226">
        <f>IF(B60=0,0,B60+VLOOKUP(B61,$A$290:$L$295,2))</f>
        <v>0</v>
      </c>
      <c r="C69" s="226">
        <f>IF(C60=0,0,C60+VLOOKUP(B61,$A$290:$L$295,3))</f>
        <v>0</v>
      </c>
      <c r="D69" s="226">
        <f>IF(D60=0,0,D60+VLOOKUP(B61,$A$290:$L$295,4))</f>
        <v>0</v>
      </c>
      <c r="G69" s="1129" t="s">
        <v>143</v>
      </c>
      <c r="H69" s="226">
        <f>IF(H60=0,0,H60+VLOOKUP(H61,$A$290:$L$295,2))</f>
        <v>0</v>
      </c>
      <c r="I69" s="226">
        <f>IF(I60=0,0,I60+VLOOKUP(H61,$A$290:$L$295,3))</f>
        <v>0</v>
      </c>
      <c r="J69" s="226">
        <f>IF(J60=0,0,J60+VLOOKUP(H61,$A$290:$L$295,4))</f>
        <v>0</v>
      </c>
      <c r="K69" s="240"/>
    </row>
    <row r="70" spans="1:11" s="226" customFormat="1" ht="18" hidden="1" customHeight="1" x14ac:dyDescent="0.35">
      <c r="A70" s="1124"/>
      <c r="G70" s="1126"/>
      <c r="K70" s="240"/>
    </row>
    <row r="71" spans="1:11" s="226" customFormat="1" ht="18" hidden="1" customHeight="1" x14ac:dyDescent="0.35">
      <c r="A71" s="1130" t="s">
        <v>155</v>
      </c>
      <c r="G71" s="242" t="s">
        <v>150</v>
      </c>
      <c r="H71" s="233">
        <f>IF(H73=0,0,H72-3)</f>
        <v>0</v>
      </c>
      <c r="I71" s="233">
        <f>IF(I73=0,0,I72-1)</f>
        <v>0</v>
      </c>
      <c r="J71" s="233">
        <f>IF(J73=0,0,J72-3)</f>
        <v>0</v>
      </c>
      <c r="K71" s="233"/>
    </row>
    <row r="72" spans="1:11" s="226" customFormat="1" ht="18" hidden="1" customHeight="1" x14ac:dyDescent="0.35">
      <c r="A72" s="1112"/>
      <c r="B72" s="243">
        <f>B69+IF(H69=0,0,1.5+H69)</f>
        <v>0</v>
      </c>
      <c r="C72" s="243">
        <f t="shared" ref="C72:D72" si="3">MAX(C69,I69)</f>
        <v>0</v>
      </c>
      <c r="D72" s="243">
        <f t="shared" si="3"/>
        <v>0</v>
      </c>
      <c r="E72" s="243"/>
      <c r="F72" s="243"/>
      <c r="G72" s="242" t="s">
        <v>151</v>
      </c>
      <c r="H72" s="242">
        <f>IF(H73=0,0,H73-2.5)</f>
        <v>0</v>
      </c>
      <c r="I72" s="242">
        <f>IF(I73=0,0,I73-0.2)</f>
        <v>0</v>
      </c>
      <c r="J72" s="242">
        <f>IF(J73=0,0,J73-2.5)</f>
        <v>0</v>
      </c>
      <c r="K72" s="233"/>
    </row>
    <row r="73" spans="1:11" s="226" customFormat="1" ht="18" hidden="1" customHeight="1" x14ac:dyDescent="0.35">
      <c r="A73" s="241"/>
      <c r="G73" s="226" t="s">
        <v>152</v>
      </c>
      <c r="H73" s="226">
        <f>IF(B72=0,0,MAX(B41,B56+5.5,B72+5.5))</f>
        <v>0</v>
      </c>
      <c r="I73" s="226">
        <f>IF(C72=0,0,C72+1.2)</f>
        <v>0</v>
      </c>
      <c r="J73" s="226">
        <f>IF(D72=0,0,MAX(D41,D56+5.5,D72+5.5))</f>
        <v>0</v>
      </c>
    </row>
    <row r="74" spans="1:11" s="2" customFormat="1" ht="18" hidden="1" customHeight="1" x14ac:dyDescent="0.35">
      <c r="A74" s="19"/>
      <c r="G74" s="19"/>
    </row>
    <row r="75" spans="1:11" s="2" customFormat="1" ht="18" hidden="1" customHeight="1" x14ac:dyDescent="0.35">
      <c r="A75" s="19" t="s">
        <v>156</v>
      </c>
      <c r="C75" s="2">
        <f>MAX(H41,H57,H73)</f>
        <v>0</v>
      </c>
      <c r="D75" s="2">
        <f>I41+I57+I73</f>
        <v>0</v>
      </c>
      <c r="E75" s="2">
        <f>MAX(J41,J57,J73)</f>
        <v>0</v>
      </c>
      <c r="G75" s="19"/>
    </row>
    <row r="76" spans="1:11" s="2" customFormat="1" ht="18" hidden="1" customHeight="1" x14ac:dyDescent="0.35">
      <c r="A76" s="19"/>
      <c r="G76" s="19"/>
    </row>
    <row r="77" spans="1:11" s="2" customFormat="1" ht="18" customHeight="1" x14ac:dyDescent="0.35"/>
    <row r="78" spans="1:11" s="2" customFormat="1" ht="18" customHeight="1" x14ac:dyDescent="0.35">
      <c r="B78" s="244" t="s">
        <v>42</v>
      </c>
      <c r="C78" s="50">
        <f>C75+VLOOKUP(C17,$A$261:$P$267,2)</f>
        <v>0</v>
      </c>
      <c r="D78" s="50">
        <f>D75+VLOOKUP(C17,$A$261:$P$267,3)</f>
        <v>0</v>
      </c>
      <c r="E78" s="50">
        <f>E75+VLOOKUP(C17,$A$261:$P$267,4)</f>
        <v>0</v>
      </c>
      <c r="F78" s="52" t="s">
        <v>43</v>
      </c>
      <c r="G78" s="21"/>
    </row>
    <row r="79" spans="1:11" s="2" customFormat="1" ht="18" customHeight="1" x14ac:dyDescent="0.35">
      <c r="B79" s="19"/>
      <c r="C79" s="19"/>
      <c r="D79" s="19"/>
      <c r="E79" s="19"/>
      <c r="F79" s="53"/>
    </row>
    <row r="80" spans="1:11" s="2" customFormat="1" ht="18" customHeight="1" x14ac:dyDescent="0.35">
      <c r="B80" s="244" t="s">
        <v>44</v>
      </c>
      <c r="C80" s="245">
        <f>C78+VLOOKUP(C21,A275:B277,2)+VLOOKUP(C13,A254:D254,4)*2+VLOOKUP(C15,A256:D256,4)*2</f>
        <v>11.4</v>
      </c>
      <c r="D80" s="50">
        <f>IF(OR($F$23="Aucun",$F$23="Stabilisateur"),$D$78+VLOOKUP($C$13,$A$254:$D$254,4)*2+VLOOKUP($C$15,$A$256:$D$256,4)*2+0.5,$E$78+VLOOKUP($C$13,$A$254:$D$254,4)*2+VLOOKUP($C$15,$A$256:$D$256,4)*2)</f>
        <v>7.7</v>
      </c>
      <c r="E80" s="51">
        <f>IF(OR($F$23="Aucun",$F$23="Stabilisateur"),$E$78+VLOOKUP($C$13,$A$254:$D$254,4)*2+VLOOKUP($C$15,$A$256:$D$256,4)*2+VLOOKUP($C$23,$A$297:$B$299,2),$D$78+VLOOKUP($C$13,$A$254:$D$254,4)*2+VLOOKUP($C$15,$A$256:$D$256,4)*2+VLOOKUP($C$23,$A$297:$B$299,2)+VLOOKUP($F$23,$A$279:$D$282,4)+0.5)</f>
        <v>10.199999999999999</v>
      </c>
      <c r="F80" s="56">
        <f>ROUNDUP(C251,0)</f>
        <v>0</v>
      </c>
      <c r="G80" s="96"/>
      <c r="H80" s="71"/>
    </row>
    <row r="81" spans="1:18" s="2" customFormat="1" ht="18" customHeight="1" x14ac:dyDescent="0.35">
      <c r="B81" s="70"/>
      <c r="C81" s="60"/>
      <c r="D81" s="19"/>
      <c r="E81" s="19"/>
      <c r="F81" s="61"/>
      <c r="G81" s="96"/>
      <c r="H81" s="71"/>
    </row>
    <row r="82" spans="1:18" s="2" customFormat="1" ht="18" customHeight="1" x14ac:dyDescent="0.35">
      <c r="B82" s="62" t="s">
        <v>45</v>
      </c>
      <c r="C82" s="63">
        <f>Q243</f>
        <v>0</v>
      </c>
      <c r="D82" s="64" t="s">
        <v>46</v>
      </c>
      <c r="E82" s="65" t="s">
        <v>47</v>
      </c>
      <c r="F82" s="61"/>
      <c r="G82" s="96"/>
      <c r="H82" s="71"/>
    </row>
    <row r="83" spans="1:18" s="2" customFormat="1" ht="18" customHeight="1" x14ac:dyDescent="0.35">
      <c r="B83" s="66" t="s">
        <v>48</v>
      </c>
      <c r="C83" s="67">
        <f>D245</f>
        <v>0</v>
      </c>
      <c r="D83" s="68" t="s">
        <v>49</v>
      </c>
      <c r="E83" s="69">
        <f>R243</f>
        <v>0</v>
      </c>
      <c r="F83" s="61"/>
      <c r="G83" s="96"/>
      <c r="H83" s="71"/>
    </row>
    <row r="84" spans="1:18" s="2" customFormat="1" ht="18" customHeight="1" x14ac:dyDescent="0.35">
      <c r="B84" s="70"/>
      <c r="C84" s="60"/>
      <c r="D84" s="19"/>
      <c r="E84" s="19"/>
      <c r="F84" s="61"/>
      <c r="H84" s="71"/>
    </row>
    <row r="85" spans="1:18" s="2" customFormat="1" ht="18" customHeight="1" x14ac:dyDescent="0.35">
      <c r="A85" s="76"/>
      <c r="B85" s="73" t="s">
        <v>50</v>
      </c>
      <c r="C85" s="295"/>
      <c r="D85" s="295"/>
      <c r="E85" s="295"/>
      <c r="F85" s="296"/>
      <c r="G85" s="76"/>
      <c r="H85" s="76"/>
      <c r="I85" s="76"/>
      <c r="J85" s="76"/>
      <c r="K85" s="76"/>
      <c r="L85" s="76"/>
      <c r="M85" s="76"/>
      <c r="N85" s="76"/>
      <c r="O85" s="76"/>
      <c r="P85" s="76"/>
    </row>
    <row r="86" spans="1:18" s="2" customFormat="1" ht="18" customHeight="1" x14ac:dyDescent="0.35">
      <c r="A86" s="76"/>
      <c r="B86" s="164"/>
      <c r="C86" s="297"/>
      <c r="D86" s="297"/>
      <c r="E86" s="297"/>
      <c r="F86" s="298"/>
      <c r="G86" s="76"/>
      <c r="H86" s="76"/>
      <c r="I86" s="76"/>
      <c r="J86" s="76"/>
      <c r="K86" s="76"/>
      <c r="L86" s="76"/>
      <c r="M86" s="76"/>
      <c r="N86" s="76"/>
      <c r="O86" s="76"/>
      <c r="P86" s="76"/>
    </row>
    <row r="87" spans="1:18" s="2" customFormat="1" ht="18" customHeight="1" x14ac:dyDescent="0.35">
      <c r="A87" s="76"/>
      <c r="B87" s="164"/>
      <c r="C87" s="297"/>
      <c r="D87" s="297"/>
      <c r="E87" s="297"/>
      <c r="F87" s="298"/>
      <c r="G87" s="76"/>
      <c r="H87" s="76"/>
      <c r="I87" s="76"/>
      <c r="J87" s="76"/>
      <c r="K87" s="76"/>
      <c r="L87" s="76"/>
      <c r="M87" s="76"/>
      <c r="N87" s="76"/>
      <c r="O87" s="76"/>
      <c r="P87" s="76"/>
    </row>
    <row r="88" spans="1:18" s="2" customFormat="1" ht="18" customHeight="1" x14ac:dyDescent="0.35">
      <c r="A88" s="76"/>
      <c r="B88" s="166"/>
      <c r="C88" s="300"/>
      <c r="D88" s="300"/>
      <c r="E88" s="300"/>
      <c r="F88" s="301"/>
      <c r="G88" s="76"/>
      <c r="H88" s="76"/>
      <c r="I88" s="76"/>
      <c r="J88" s="76"/>
      <c r="K88" s="76"/>
      <c r="L88" s="76"/>
      <c r="M88" s="76"/>
      <c r="N88" s="76"/>
      <c r="O88" s="76"/>
      <c r="P88" s="76"/>
    </row>
    <row r="89" spans="1:18" s="2" customFormat="1" ht="18" customHeight="1" x14ac:dyDescent="0.35">
      <c r="B89" s="19"/>
      <c r="C89" s="19"/>
      <c r="D89" s="19"/>
      <c r="E89" s="19"/>
    </row>
    <row r="90" spans="1:18" s="2" customFormat="1" ht="18" hidden="1" customHeight="1" x14ac:dyDescent="0.35">
      <c r="F90" s="6" t="s">
        <v>34</v>
      </c>
      <c r="Q90" s="2" t="s">
        <v>157</v>
      </c>
      <c r="R90" s="5" t="s">
        <v>52</v>
      </c>
    </row>
    <row r="91" spans="1:18" s="2" customFormat="1" ht="18" hidden="1" customHeight="1" x14ac:dyDescent="0.35">
      <c r="A91" s="60" t="s">
        <v>53</v>
      </c>
      <c r="B91" s="85" t="str">
        <f>VLOOKUP(C13,A254:D254,2)</f>
        <v>Peuplier 15 mm</v>
      </c>
      <c r="C91" s="87">
        <f>IF(C78=0,0,C78+2*(VLOOKUP(B91,A254:D254,4)+VLOOKUP(C15,A256:D256,4)))</f>
        <v>0</v>
      </c>
      <c r="D91" s="87">
        <f>IF(E78=0,0,E78+2*(VLOOKUP(B91,A254:D254,4)+VLOOKUP(C15,A256:D256,4)))</f>
        <v>0</v>
      </c>
      <c r="E91" s="85" t="str">
        <f t="shared" ref="E91:E93" si="4">B91</f>
        <v>Peuplier 15 mm</v>
      </c>
      <c r="F91" s="88">
        <v>2</v>
      </c>
      <c r="J91" s="89">
        <f t="shared" ref="J91:J102" si="5">IF(C91=0,0,(C91/100)*(D91/100)*F91)</f>
        <v>0</v>
      </c>
      <c r="K91" s="89">
        <f t="shared" ref="K91:K102" si="6">J91/0.8</f>
        <v>0</v>
      </c>
      <c r="L91" s="71">
        <f>IF(E91=0,0,VLOOKUP(E91,'Prix Matiere'!$A$4:$J$65,10))</f>
        <v>16.895876288659796</v>
      </c>
      <c r="M91" s="71">
        <f t="shared" ref="M91:M93" si="7">L91*K91</f>
        <v>0</v>
      </c>
      <c r="N91" s="3">
        <f t="shared" ref="N91:N93" si="8">IF(J91=0,0,15+(9*J91))</f>
        <v>0</v>
      </c>
      <c r="O91" s="71">
        <f>N91*MinuteMO</f>
        <v>0</v>
      </c>
      <c r="Q91" s="254">
        <f>IF(J91=0,0,J91*VLOOKUP(E91,'Prix Matiere'!$A$4:$L$60,12))</f>
        <v>0</v>
      </c>
      <c r="R91" s="90">
        <f>IF(J91=0,0,Q91*VLOOKUP(E91,'Prix Matiere'!$A$4:$L$60,11))</f>
        <v>0</v>
      </c>
    </row>
    <row r="92" spans="1:18" s="2" customFormat="1" ht="18" hidden="1" customHeight="1" x14ac:dyDescent="0.35">
      <c r="A92" s="60" t="s">
        <v>54</v>
      </c>
      <c r="B92" s="85" t="str">
        <f>VLOOKUP(C13,A254:D254,3)</f>
        <v>Peuplier 15 mm</v>
      </c>
      <c r="C92" s="87">
        <f>C91</f>
        <v>0</v>
      </c>
      <c r="D92" s="87">
        <f>D78</f>
        <v>0</v>
      </c>
      <c r="E92" s="85" t="str">
        <f t="shared" si="4"/>
        <v>Peuplier 15 mm</v>
      </c>
      <c r="F92" s="88">
        <v>2</v>
      </c>
      <c r="J92" s="89">
        <f t="shared" si="5"/>
        <v>0</v>
      </c>
      <c r="K92" s="89">
        <f t="shared" si="6"/>
        <v>0</v>
      </c>
      <c r="L92" s="71">
        <f>IF(E92=0,0,VLOOKUP(E92,'Prix Matiere'!$A$4:$J$65,10))</f>
        <v>16.895876288659796</v>
      </c>
      <c r="M92" s="71">
        <f t="shared" si="7"/>
        <v>0</v>
      </c>
      <c r="N92" s="3">
        <f t="shared" si="8"/>
        <v>0</v>
      </c>
      <c r="O92" s="71">
        <f>N92*MinuteMO</f>
        <v>0</v>
      </c>
      <c r="Q92" s="254">
        <f>IF(J92=0,0,J92*VLOOKUP(E92,'Prix Matiere'!$A$4:$L$60,12))</f>
        <v>0</v>
      </c>
      <c r="R92" s="90">
        <f>IF(J92=0,0,Q92*VLOOKUP(E92,'Prix Matiere'!$A$4:$L$60,11))</f>
        <v>0</v>
      </c>
    </row>
    <row r="93" spans="1:18" s="2" customFormat="1" ht="18" hidden="1" customHeight="1" x14ac:dyDescent="0.35">
      <c r="A93" s="60" t="s">
        <v>55</v>
      </c>
      <c r="B93" s="85" t="str">
        <f>VLOOKUP(C13,A254:D254,3)</f>
        <v>Peuplier 15 mm</v>
      </c>
      <c r="C93" s="87">
        <f>E78</f>
        <v>0</v>
      </c>
      <c r="D93" s="87">
        <f>D78</f>
        <v>0</v>
      </c>
      <c r="E93" s="85" t="str">
        <f t="shared" si="4"/>
        <v>Peuplier 15 mm</v>
      </c>
      <c r="F93" s="88">
        <v>2</v>
      </c>
      <c r="J93" s="89">
        <f t="shared" si="5"/>
        <v>0</v>
      </c>
      <c r="K93" s="89">
        <f t="shared" si="6"/>
        <v>0</v>
      </c>
      <c r="L93" s="71">
        <f>IF(E93=0,0,VLOOKUP(E93,'Prix Matiere'!$A$4:$J$65,10))</f>
        <v>16.895876288659796</v>
      </c>
      <c r="M93" s="71">
        <f t="shared" si="7"/>
        <v>0</v>
      </c>
      <c r="N93" s="3">
        <f t="shared" si="8"/>
        <v>0</v>
      </c>
      <c r="O93" s="71">
        <f>N93*MinuteMO</f>
        <v>0</v>
      </c>
      <c r="Q93" s="254">
        <f>IF(J93=0,0,J93*VLOOKUP(E93,'Prix Matiere'!$A$4:$L$60,12))</f>
        <v>0</v>
      </c>
      <c r="R93" s="90">
        <f>IF(J93=0,0,Q93*VLOOKUP(E93,'Prix Matiere'!$A$4:$L$60,11))</f>
        <v>0</v>
      </c>
    </row>
    <row r="94" spans="1:18" s="2" customFormat="1" ht="18" hidden="1" customHeight="1" x14ac:dyDescent="0.35">
      <c r="J94" s="89">
        <f t="shared" si="5"/>
        <v>0</v>
      </c>
      <c r="K94" s="89">
        <f t="shared" si="6"/>
        <v>0</v>
      </c>
      <c r="L94" s="71"/>
      <c r="M94" s="71"/>
      <c r="N94" s="3"/>
      <c r="O94" s="71"/>
      <c r="Q94" s="254"/>
      <c r="R94" s="90"/>
    </row>
    <row r="95" spans="1:18" s="2" customFormat="1" ht="18" hidden="1" customHeight="1" x14ac:dyDescent="0.35">
      <c r="J95" s="89">
        <f t="shared" si="5"/>
        <v>0</v>
      </c>
      <c r="K95" s="89">
        <f t="shared" si="6"/>
        <v>0</v>
      </c>
      <c r="L95" s="71"/>
      <c r="M95" s="71"/>
      <c r="N95" s="3"/>
      <c r="O95" s="71"/>
      <c r="Q95" s="254"/>
      <c r="R95" s="90"/>
    </row>
    <row r="96" spans="1:18" s="2" customFormat="1" ht="18" hidden="1" customHeight="1" x14ac:dyDescent="0.35">
      <c r="A96" s="19" t="s">
        <v>11</v>
      </c>
      <c r="B96" s="45" t="s">
        <v>56</v>
      </c>
      <c r="C96" s="87">
        <f>C91</f>
        <v>0</v>
      </c>
      <c r="D96" s="45">
        <f>IF(D91&gt;80,9.4,7)</f>
        <v>7</v>
      </c>
      <c r="E96" s="34" t="str">
        <f t="shared" ref="E96:E98" si="9">IF($C$15="Pin raboté 4 faces","Barres 21 R4F","Barres 19 mm")</f>
        <v>Barres 21 R4F</v>
      </c>
      <c r="F96" s="45">
        <v>4</v>
      </c>
      <c r="J96" s="89">
        <f t="shared" si="5"/>
        <v>0</v>
      </c>
      <c r="K96" s="89">
        <f t="shared" si="6"/>
        <v>0</v>
      </c>
      <c r="L96" s="71">
        <f>IF(E96=0,0,VLOOKUP(E96,'Prix Matiere'!$A$4:$J$65,10))</f>
        <v>18.969072164948454</v>
      </c>
      <c r="M96" s="71">
        <f t="shared" ref="M96:M102" si="10">L96*K96</f>
        <v>0</v>
      </c>
      <c r="N96" s="3">
        <f t="shared" ref="N96:N102" si="11">IF(J96=0,0,1+(11*J96))</f>
        <v>0</v>
      </c>
      <c r="O96" s="71">
        <f t="shared" ref="O96:O102" si="12">N96*MinuteMO</f>
        <v>0</v>
      </c>
      <c r="Q96" s="254">
        <f>IF(J96=0,0,J96*VLOOKUP(E96,'Prix Matiere'!$A$4:$L$60,12))</f>
        <v>0</v>
      </c>
      <c r="R96" s="90">
        <f>IF(J96=0,0,Q96*VLOOKUP(E96,'Prix Matiere'!$A$4:$L$60,11))</f>
        <v>0</v>
      </c>
    </row>
    <row r="97" spans="1:18" s="2" customFormat="1" ht="18" hidden="1" customHeight="1" x14ac:dyDescent="0.35">
      <c r="B97" s="45" t="s">
        <v>57</v>
      </c>
      <c r="C97" s="45">
        <f>IF(D91=0,0,D91-2*D96)</f>
        <v>0</v>
      </c>
      <c r="D97" s="45">
        <f>D96</f>
        <v>7</v>
      </c>
      <c r="E97" s="34" t="str">
        <f t="shared" si="9"/>
        <v>Barres 21 R4F</v>
      </c>
      <c r="F97" s="45">
        <v>4</v>
      </c>
      <c r="J97" s="89">
        <f t="shared" si="5"/>
        <v>0</v>
      </c>
      <c r="K97" s="89">
        <f t="shared" si="6"/>
        <v>0</v>
      </c>
      <c r="L97" s="71">
        <f>IF(E97=0,0,VLOOKUP(E97,'Prix Matiere'!$A$4:$J$65,10))</f>
        <v>18.969072164948454</v>
      </c>
      <c r="M97" s="71">
        <f t="shared" si="10"/>
        <v>0</v>
      </c>
      <c r="N97" s="3">
        <f t="shared" si="11"/>
        <v>0</v>
      </c>
      <c r="O97" s="71">
        <f t="shared" si="12"/>
        <v>0</v>
      </c>
      <c r="Q97" s="254">
        <f>IF(J97=0,0,J97*VLOOKUP(E97,'Prix Matiere'!$A$4:$L$60,12))</f>
        <v>0</v>
      </c>
      <c r="R97" s="90">
        <f>IF(J97=0,0,Q97*VLOOKUP(E97,'Prix Matiere'!$A$4:$L$60,11))</f>
        <v>0</v>
      </c>
    </row>
    <row r="98" spans="1:18" s="2" customFormat="1" ht="18" hidden="1" customHeight="1" x14ac:dyDescent="0.35">
      <c r="B98" s="45" t="s">
        <v>58</v>
      </c>
      <c r="C98" s="87">
        <f>C96</f>
        <v>0</v>
      </c>
      <c r="D98" s="45">
        <f>IF($D$78&lt;14.4,$D$78,7)</f>
        <v>0</v>
      </c>
      <c r="E98" s="34" t="str">
        <f t="shared" si="9"/>
        <v>Barres 21 R4F</v>
      </c>
      <c r="F98" s="92">
        <f>IF(D78&lt;14.4,2,4)</f>
        <v>2</v>
      </c>
      <c r="J98" s="89">
        <f t="shared" si="5"/>
        <v>0</v>
      </c>
      <c r="K98" s="89">
        <f t="shared" si="6"/>
        <v>0</v>
      </c>
      <c r="L98" s="71">
        <f>IF(E98=0,0,VLOOKUP(E98,'Prix Matiere'!$A$4:$J$65,10))</f>
        <v>18.969072164948454</v>
      </c>
      <c r="M98" s="71">
        <f t="shared" si="10"/>
        <v>0</v>
      </c>
      <c r="N98" s="3">
        <f t="shared" si="11"/>
        <v>0</v>
      </c>
      <c r="O98" s="71">
        <f t="shared" si="12"/>
        <v>0</v>
      </c>
      <c r="Q98" s="254">
        <f>IF(J98=0,0,J98*VLOOKUP(E98,'Prix Matiere'!$A$4:$L$60,12))</f>
        <v>0</v>
      </c>
      <c r="R98" s="90">
        <f>IF(J98=0,0,Q98*VLOOKUP(E98,'Prix Matiere'!$A$4:$L$60,11))</f>
        <v>0</v>
      </c>
    </row>
    <row r="99" spans="1:18" s="2" customFormat="1" ht="18" hidden="1" customHeight="1" x14ac:dyDescent="0.35">
      <c r="B99" s="368" t="str">
        <f>C23</f>
        <v>Skis en 30 mm</v>
      </c>
      <c r="C99" s="87">
        <f>IF(C91&gt;120,((C91-75)/2),C91)</f>
        <v>0</v>
      </c>
      <c r="D99" s="45">
        <f>IF($F$10="BOVIS",9.4,7)</f>
        <v>7</v>
      </c>
      <c r="E99" s="34" t="str">
        <f>IF($C$23="Skis en 30 mm","Barres 21 R4F","Semelles R4F")</f>
        <v>Barres 21 R4F</v>
      </c>
      <c r="F99" s="45">
        <f>IF(C91&gt;120,4,2)</f>
        <v>2</v>
      </c>
      <c r="J99" s="89">
        <f t="shared" si="5"/>
        <v>0</v>
      </c>
      <c r="K99" s="89">
        <f t="shared" si="6"/>
        <v>0</v>
      </c>
      <c r="L99" s="71">
        <f>IF(E99=0,0,VLOOKUP(E99,'Prix Matiere'!$A$4:$J$65,10))</f>
        <v>18.969072164948454</v>
      </c>
      <c r="M99" s="71">
        <f t="shared" si="10"/>
        <v>0</v>
      </c>
      <c r="N99" s="3">
        <f t="shared" si="11"/>
        <v>0</v>
      </c>
      <c r="O99" s="71">
        <f t="shared" si="12"/>
        <v>0</v>
      </c>
      <c r="Q99" s="254">
        <f>IF(J99=0,0,J99*VLOOKUP(E99,'Prix Matiere'!$A$4:$L$60,12))</f>
        <v>0</v>
      </c>
      <c r="R99" s="90">
        <f>IF(J99=0,0,Q99*VLOOKUP(E99,'Prix Matiere'!$A$4:$L$60,11))</f>
        <v>0</v>
      </c>
    </row>
    <row r="100" spans="1:18" s="2" customFormat="1" ht="18" hidden="1" customHeight="1" x14ac:dyDescent="0.35">
      <c r="B100" s="45" t="s">
        <v>59</v>
      </c>
      <c r="C100" s="87">
        <f>IF(D78&lt;14.4,0,D78)</f>
        <v>0</v>
      </c>
      <c r="D100" s="45">
        <f>IF(D78&lt;14.4,0,D96)</f>
        <v>0</v>
      </c>
      <c r="E100" s="34" t="str">
        <f t="shared" ref="E100:E101" si="13">IF($C$15="Pin raboté 4 faces","Barres 21 R4F","Barres 19 mm")</f>
        <v>Barres 21 R4F</v>
      </c>
      <c r="F100" s="45">
        <f>IF(D78&lt;14.4,0,4)</f>
        <v>0</v>
      </c>
      <c r="J100" s="89">
        <f t="shared" si="5"/>
        <v>0</v>
      </c>
      <c r="K100" s="89">
        <f t="shared" si="6"/>
        <v>0</v>
      </c>
      <c r="L100" s="71">
        <f>IF(E100=0,0,VLOOKUP(E100,'Prix Matiere'!$A$4:$J$65,10))</f>
        <v>18.969072164948454</v>
      </c>
      <c r="M100" s="71">
        <f t="shared" si="10"/>
        <v>0</v>
      </c>
      <c r="N100" s="3">
        <f t="shared" si="11"/>
        <v>0</v>
      </c>
      <c r="O100" s="71">
        <f t="shared" si="12"/>
        <v>0</v>
      </c>
      <c r="Q100" s="254">
        <f>IF(J100=0,0,J100*VLOOKUP(E100,'Prix Matiere'!$A$4:$L$60,12))</f>
        <v>0</v>
      </c>
      <c r="R100" s="90">
        <f>IF(J100=0,0,Q100*VLOOKUP(E100,'Prix Matiere'!$A$4:$L$60,11))</f>
        <v>0</v>
      </c>
    </row>
    <row r="101" spans="1:18" s="2" customFormat="1" ht="18" hidden="1" customHeight="1" x14ac:dyDescent="0.35">
      <c r="B101" s="45" t="s">
        <v>60</v>
      </c>
      <c r="C101" s="45">
        <f>IF(D78&lt;14.4,E78,C93-2*D100)</f>
        <v>0</v>
      </c>
      <c r="D101" s="45">
        <f>IF($D$78&lt;14.4,$D$78,IF($D$78&lt;20,5,7))</f>
        <v>0</v>
      </c>
      <c r="E101" s="34" t="str">
        <f t="shared" si="13"/>
        <v>Barres 21 R4F</v>
      </c>
      <c r="F101" s="92">
        <f>IF(D78&lt;14.4,2,4)</f>
        <v>2</v>
      </c>
      <c r="J101" s="89">
        <f t="shared" si="5"/>
        <v>0</v>
      </c>
      <c r="K101" s="89">
        <f t="shared" si="6"/>
        <v>0</v>
      </c>
      <c r="L101" s="71">
        <f>IF(E101=0,0,VLOOKUP(E101,'Prix Matiere'!$A$4:$J$65,10))</f>
        <v>18.969072164948454</v>
      </c>
      <c r="M101" s="71">
        <f t="shared" si="10"/>
        <v>0</v>
      </c>
      <c r="N101" s="3">
        <f t="shared" si="11"/>
        <v>0</v>
      </c>
      <c r="O101" s="71">
        <f t="shared" si="12"/>
        <v>0</v>
      </c>
      <c r="Q101" s="254">
        <f>IF(J101=0,0,J101*VLOOKUP(E101,'Prix Matiere'!$A$4:$L$60,12))</f>
        <v>0</v>
      </c>
      <c r="R101" s="90">
        <f>IF(J101=0,0,Q101*VLOOKUP(E101,'Prix Matiere'!$A$4:$L$60,11))</f>
        <v>0</v>
      </c>
    </row>
    <row r="102" spans="1:18" s="2" customFormat="1" ht="18" hidden="1" customHeight="1" x14ac:dyDescent="0.35">
      <c r="B102" s="45">
        <f>IF(D78&lt;14.4,0,IF(C21="Bois","Poignées",IF(C21="Métal x 2 sur bouts","Supports poignées",0)))</f>
        <v>0</v>
      </c>
      <c r="C102" s="45">
        <f>IF(B102="Poignées",D93+VLOOKUP(C13,A254:D254,4)*2+4.2,IF(B102="Supports poignées",D93-2*D101,0))</f>
        <v>0</v>
      </c>
      <c r="D102" s="45">
        <f>IF(B102="Poignées",7,IF(B102="Supports poignées",9.4,0))</f>
        <v>0</v>
      </c>
      <c r="E102" s="34" t="s">
        <v>61</v>
      </c>
      <c r="F102" s="45">
        <f>IF(B102=0,0,2)</f>
        <v>0</v>
      </c>
      <c r="J102" s="89">
        <f t="shared" si="5"/>
        <v>0</v>
      </c>
      <c r="K102" s="89">
        <f t="shared" si="6"/>
        <v>0</v>
      </c>
      <c r="L102" s="71">
        <f>IF(E102=0,0,VLOOKUP(E102,'Prix Matiere'!$A$4:$J$65,10))</f>
        <v>18.969072164948454</v>
      </c>
      <c r="M102" s="71">
        <f t="shared" si="10"/>
        <v>0</v>
      </c>
      <c r="N102" s="3">
        <f t="shared" si="11"/>
        <v>0</v>
      </c>
      <c r="O102" s="71">
        <f t="shared" si="12"/>
        <v>0</v>
      </c>
      <c r="Q102" s="254">
        <f>IF(J102=0,0,J102*VLOOKUP(E102,'Prix Matiere'!$A$4:$L$60,12))</f>
        <v>0</v>
      </c>
      <c r="R102" s="90">
        <f>IF(J102=0,0,Q102*VLOOKUP(E102,'Prix Matiere'!$A$4:$L$60,11))</f>
        <v>0</v>
      </c>
    </row>
    <row r="103" spans="1:18" s="2" customFormat="1" ht="18" hidden="1" customHeight="1" x14ac:dyDescent="0.35">
      <c r="L103" s="71"/>
      <c r="M103" s="71"/>
      <c r="N103" s="3"/>
      <c r="O103" s="71"/>
      <c r="Q103" s="254"/>
      <c r="R103" s="90"/>
    </row>
    <row r="104" spans="1:18" s="2" customFormat="1" ht="18" hidden="1" customHeight="1" x14ac:dyDescent="0.35">
      <c r="L104" s="71"/>
      <c r="M104" s="71"/>
      <c r="N104" s="3"/>
      <c r="O104" s="71"/>
      <c r="Q104" s="254"/>
      <c r="R104" s="90"/>
    </row>
    <row r="105" spans="1:18" s="2" customFormat="1" ht="18" hidden="1" customHeight="1" x14ac:dyDescent="0.35">
      <c r="A105" s="19" t="s">
        <v>62</v>
      </c>
      <c r="B105" s="45" t="s">
        <v>63</v>
      </c>
      <c r="C105" s="45">
        <f>IF(F105=0,0,C78)</f>
        <v>0</v>
      </c>
      <c r="D105" s="45">
        <f>IF(F105=0,0,E109+VLOOKUP($C$17,A261:P267,5))</f>
        <v>0</v>
      </c>
      <c r="E105" s="34">
        <f>VLOOKUP($C$17,A261:P267,6)</f>
        <v>0</v>
      </c>
      <c r="F105" s="45">
        <f>VLOOKUP($C$17,A261:P267,7)</f>
        <v>0</v>
      </c>
      <c r="J105" s="89">
        <f t="shared" ref="J105:J107" si="14">IF(C105=0,0,(C105/100)*(D105/100)*F105)</f>
        <v>0</v>
      </c>
      <c r="K105" s="89">
        <f t="shared" ref="K105:K107" si="15">J105/0.8</f>
        <v>0</v>
      </c>
      <c r="L105" s="71">
        <f>IF(E105=0,0,VLOOKUP(E105,'Prix Matiere'!$A$4:$J$65,10))</f>
        <v>0</v>
      </c>
      <c r="M105" s="71">
        <f t="shared" ref="M105:M107" si="16">L105*K105</f>
        <v>0</v>
      </c>
      <c r="N105" s="3">
        <f t="shared" ref="N105:N107" si="17">IF(J105=0,0,2+(6*J105))</f>
        <v>0</v>
      </c>
      <c r="O105" s="71">
        <f>N105*MinuteMO</f>
        <v>0</v>
      </c>
      <c r="Q105" s="254">
        <f>IF(J105=0,0,J105*VLOOKUP(E105,'Prix Matiere'!$A$4:$L$60,12))</f>
        <v>0</v>
      </c>
      <c r="R105" s="90">
        <f>IF(J105=0,0,Q105*VLOOKUP(E105,'Prix Matiere'!$A$4:$L$60,11))</f>
        <v>0</v>
      </c>
    </row>
    <row r="106" spans="1:18" s="2" customFormat="1" ht="18" hidden="1" customHeight="1" x14ac:dyDescent="0.35">
      <c r="B106" s="45" t="s">
        <v>54</v>
      </c>
      <c r="C106" s="45">
        <f>IF(F106=0,0,C78)</f>
        <v>0</v>
      </c>
      <c r="D106" s="45">
        <f>IF(F106=0,0,D109)</f>
        <v>0</v>
      </c>
      <c r="E106" s="34">
        <f>IF($C$17="Aucun",0,VLOOKUP($C$17,A261:P267,6))</f>
        <v>0</v>
      </c>
      <c r="F106" s="45">
        <f>VLOOKUP($C$17,A261:P267,7)</f>
        <v>0</v>
      </c>
      <c r="J106" s="89">
        <f t="shared" si="14"/>
        <v>0</v>
      </c>
      <c r="K106" s="89">
        <f t="shared" si="15"/>
        <v>0</v>
      </c>
      <c r="L106" s="71">
        <f>IF(E106=0,0,VLOOKUP(E106,'Prix Matiere'!$A$4:$J$65,10))</f>
        <v>0</v>
      </c>
      <c r="M106" s="71">
        <f t="shared" si="16"/>
        <v>0</v>
      </c>
      <c r="N106" s="3">
        <f t="shared" si="17"/>
        <v>0</v>
      </c>
      <c r="O106" s="71">
        <f>N106*MinuteMO</f>
        <v>0</v>
      </c>
      <c r="Q106" s="254">
        <f>IF(J106=0,0,J106*VLOOKUP(E106,'Prix Matiere'!$A$4:$L$60,12))</f>
        <v>0</v>
      </c>
      <c r="R106" s="90">
        <f>IF(J106=0,0,Q106*VLOOKUP(E106,'Prix Matiere'!$A$4:$L$60,11))</f>
        <v>0</v>
      </c>
    </row>
    <row r="107" spans="1:18" s="2" customFormat="1" ht="18" hidden="1" customHeight="1" x14ac:dyDescent="0.35">
      <c r="B107" s="45" t="s">
        <v>55</v>
      </c>
      <c r="C107" s="45">
        <f>IF(F107=0,0,E109)</f>
        <v>0</v>
      </c>
      <c r="D107" s="45">
        <f>IF(F107=0,0,D109)</f>
        <v>0</v>
      </c>
      <c r="E107" s="34">
        <f>IF($C$17="Aucun",0,VLOOKUP($C$17,A261:P267,6))</f>
        <v>0</v>
      </c>
      <c r="F107" s="45">
        <f>VLOOKUP($C$17,A261:P267,7)</f>
        <v>0</v>
      </c>
      <c r="J107" s="89">
        <f t="shared" si="14"/>
        <v>0</v>
      </c>
      <c r="K107" s="89">
        <f t="shared" si="15"/>
        <v>0</v>
      </c>
      <c r="L107" s="71">
        <f>IF(E107=0,0,VLOOKUP(E107,'Prix Matiere'!$A$4:$J$65,10))</f>
        <v>0</v>
      </c>
      <c r="M107" s="71">
        <f t="shared" si="16"/>
        <v>0</v>
      </c>
      <c r="N107" s="3">
        <f t="shared" si="17"/>
        <v>0</v>
      </c>
      <c r="O107" s="71">
        <f>N107*MinuteMO</f>
        <v>0</v>
      </c>
      <c r="Q107" s="254">
        <f>IF(J107=0,0,J107*VLOOKUP(E107,'Prix Matiere'!$A$4:$L$60,12))</f>
        <v>0</v>
      </c>
      <c r="R107" s="90">
        <f>IF(J107=0,0,Q107*VLOOKUP(E107,'Prix Matiere'!$A$4:$L$60,11))</f>
        <v>0</v>
      </c>
    </row>
    <row r="108" spans="1:18" s="2" customFormat="1" ht="18" hidden="1" customHeight="1" x14ac:dyDescent="0.35">
      <c r="J108" s="89"/>
      <c r="K108" s="89"/>
      <c r="L108" s="71"/>
      <c r="M108" s="71"/>
      <c r="N108" s="3"/>
      <c r="O108" s="71"/>
      <c r="Q108" s="254"/>
      <c r="R108" s="90"/>
    </row>
    <row r="109" spans="1:18" s="2" customFormat="1" ht="18" hidden="1" customHeight="1" x14ac:dyDescent="0.35">
      <c r="B109" s="2" t="s">
        <v>64</v>
      </c>
      <c r="C109" s="2">
        <f>C78-VLOOKUP(C17,A261:P267,5)</f>
        <v>0</v>
      </c>
      <c r="D109" s="2">
        <f>D78-VLOOKUP(C17,A261:P267,5)</f>
        <v>0</v>
      </c>
      <c r="E109" s="2">
        <f>E78-VLOOKUP(C17,A261:P267,5)</f>
        <v>0</v>
      </c>
      <c r="J109" s="89"/>
      <c r="K109" s="89"/>
      <c r="L109" s="71"/>
      <c r="M109" s="71"/>
      <c r="N109" s="3"/>
      <c r="O109" s="71"/>
      <c r="Q109" s="254"/>
      <c r="R109" s="90"/>
    </row>
    <row r="110" spans="1:18" s="2" customFormat="1" ht="18" hidden="1" customHeight="1" x14ac:dyDescent="0.35">
      <c r="J110" s="89"/>
      <c r="K110" s="89"/>
      <c r="L110" s="71"/>
      <c r="M110" s="71"/>
      <c r="N110" s="3"/>
      <c r="O110" s="71"/>
      <c r="Q110" s="254"/>
      <c r="R110" s="90"/>
    </row>
    <row r="111" spans="1:18" s="2" customFormat="1" ht="18" hidden="1" customHeight="1" x14ac:dyDescent="0.35">
      <c r="A111" s="19" t="s">
        <v>65</v>
      </c>
      <c r="B111" s="45" t="s">
        <v>63</v>
      </c>
      <c r="C111" s="45">
        <f>IF(F111=0,0,C115+VLOOKUP(C17,A261:P267,8))-0.5</f>
        <v>-0.5</v>
      </c>
      <c r="D111" s="45">
        <f>IF(F111=0,0,E115+VLOOKUP(C17,A261:P267,8))-0.5</f>
        <v>-0.5</v>
      </c>
      <c r="E111" s="34">
        <f>VLOOKUP(C17,A261:P267,9)</f>
        <v>0</v>
      </c>
      <c r="F111" s="45">
        <f>VLOOKUP($C$17,A261:P267,10)</f>
        <v>0</v>
      </c>
      <c r="J111" s="89">
        <f t="shared" ref="J111:J113" si="18">IF(C111=0,0,(C111/100)*(D111/100)*F111)</f>
        <v>0</v>
      </c>
      <c r="K111" s="89">
        <f t="shared" ref="K111:K113" si="19">J111/0.8</f>
        <v>0</v>
      </c>
      <c r="L111" s="71">
        <f>IF(E111=0,0,VLOOKUP(E111,'Prix Matiere'!A4:J60,10))</f>
        <v>0</v>
      </c>
      <c r="M111" s="71">
        <f t="shared" ref="M111:M113" si="20">L111*K111</f>
        <v>0</v>
      </c>
      <c r="N111" s="3">
        <f t="shared" ref="N111:N113" si="21">IF(J111=0,0,4+(5*J111))</f>
        <v>0</v>
      </c>
      <c r="O111" s="71">
        <f>N111*MinuteMO</f>
        <v>0</v>
      </c>
      <c r="Q111" s="254">
        <f>IF(J111=0,0,J111*VLOOKUP(E111,'Prix Matiere'!$A$4:$L$60,12))</f>
        <v>0</v>
      </c>
      <c r="R111" s="90">
        <f>IF(J111=0,0,Q111*VLOOKUP(E111,'Prix Matiere'!$A$4:$L$60,11))</f>
        <v>0</v>
      </c>
    </row>
    <row r="112" spans="1:18" s="2" customFormat="1" ht="18" hidden="1" customHeight="1" x14ac:dyDescent="0.35">
      <c r="B112" s="45" t="s">
        <v>54</v>
      </c>
      <c r="C112" s="45">
        <f>IF(F112=0,0,C115+VLOOKUP(C17,A261:P267,8))</f>
        <v>0</v>
      </c>
      <c r="D112" s="45">
        <f>IF(F112=0,0,D115)</f>
        <v>0</v>
      </c>
      <c r="E112" s="34">
        <f>VLOOKUP(C17,A261:P267,9)</f>
        <v>0</v>
      </c>
      <c r="F112" s="45">
        <f>VLOOKUP($C$17,A261:P267,10)</f>
        <v>0</v>
      </c>
      <c r="J112" s="89">
        <f t="shared" si="18"/>
        <v>0</v>
      </c>
      <c r="K112" s="89">
        <f t="shared" si="19"/>
        <v>0</v>
      </c>
      <c r="L112" s="71">
        <f>IF(E112=0,0,VLOOKUP(E112,'Prix Matiere'!A5:J61,10))</f>
        <v>0</v>
      </c>
      <c r="M112" s="71">
        <f t="shared" si="20"/>
        <v>0</v>
      </c>
      <c r="N112" s="3">
        <f t="shared" si="21"/>
        <v>0</v>
      </c>
      <c r="O112" s="71">
        <f>N112*MinuteMO</f>
        <v>0</v>
      </c>
      <c r="Q112" s="254">
        <f>IF(J112=0,0,J112*VLOOKUP(E112,'Prix Matiere'!$A$4:$L$60,12))</f>
        <v>0</v>
      </c>
      <c r="R112" s="90">
        <f>IF(J112=0,0,Q112*VLOOKUP(E112,'Prix Matiere'!$A$4:$L$60,11))</f>
        <v>0</v>
      </c>
    </row>
    <row r="113" spans="1:18" s="2" customFormat="1" ht="18" hidden="1" customHeight="1" x14ac:dyDescent="0.35">
      <c r="B113" s="45" t="s">
        <v>55</v>
      </c>
      <c r="C113" s="45">
        <f>IF(F113=0,0,E115)</f>
        <v>0</v>
      </c>
      <c r="D113" s="45">
        <f>IF(F113=0,0,D115)</f>
        <v>0</v>
      </c>
      <c r="E113" s="34">
        <f>VLOOKUP(C17,A261:P267,9)</f>
        <v>0</v>
      </c>
      <c r="F113" s="45">
        <f>VLOOKUP($C$17,A261:P267,10)</f>
        <v>0</v>
      </c>
      <c r="J113" s="89">
        <f t="shared" si="18"/>
        <v>0</v>
      </c>
      <c r="K113" s="89">
        <f t="shared" si="19"/>
        <v>0</v>
      </c>
      <c r="L113" s="71">
        <f>IF(E113=0,0,VLOOKUP(E113,'Prix Matiere'!A6:J62,10))</f>
        <v>0</v>
      </c>
      <c r="M113" s="71">
        <f t="shared" si="20"/>
        <v>0</v>
      </c>
      <c r="N113" s="3">
        <f t="shared" si="21"/>
        <v>0</v>
      </c>
      <c r="O113" s="71">
        <f>N113*MinuteMO</f>
        <v>0</v>
      </c>
      <c r="Q113" s="254">
        <f>IF(J113=0,0,J113*VLOOKUP(E113,'Prix Matiere'!$A$4:$L$60,12))</f>
        <v>0</v>
      </c>
      <c r="R113" s="90">
        <f>IF(J113=0,0,Q113*VLOOKUP(E113,'Prix Matiere'!$A$4:$L$60,11))</f>
        <v>0</v>
      </c>
    </row>
    <row r="114" spans="1:18" s="2" customFormat="1" ht="18" hidden="1" customHeight="1" x14ac:dyDescent="0.35">
      <c r="J114" s="89"/>
      <c r="K114" s="89"/>
      <c r="L114" s="71"/>
      <c r="M114" s="71"/>
      <c r="N114" s="3"/>
      <c r="O114" s="71"/>
      <c r="Q114" s="254"/>
      <c r="R114" s="90"/>
    </row>
    <row r="115" spans="1:18" s="2" customFormat="1" ht="18" hidden="1" customHeight="1" x14ac:dyDescent="0.35">
      <c r="B115" s="2" t="s">
        <v>66</v>
      </c>
      <c r="C115" s="2">
        <f>C109-VLOOKUP(C17,A261:P267,8)</f>
        <v>0</v>
      </c>
      <c r="D115" s="2">
        <f>D109-VLOOKUP(C17,A261:P267,8)</f>
        <v>0</v>
      </c>
      <c r="E115" s="2">
        <f>E109-VLOOKUP(C17,A261:P267,8)</f>
        <v>0</v>
      </c>
      <c r="J115" s="89"/>
      <c r="K115" s="89"/>
      <c r="L115" s="71"/>
      <c r="M115" s="71"/>
      <c r="N115" s="3"/>
      <c r="O115" s="71"/>
      <c r="Q115" s="254"/>
      <c r="R115" s="90"/>
    </row>
    <row r="116" spans="1:18" s="2" customFormat="1" ht="18" hidden="1" customHeight="1" x14ac:dyDescent="0.35">
      <c r="J116" s="89"/>
      <c r="K116" s="89"/>
      <c r="L116" s="71"/>
      <c r="M116" s="71"/>
      <c r="N116" s="3"/>
      <c r="O116" s="71"/>
      <c r="Q116" s="254"/>
      <c r="R116" s="90"/>
    </row>
    <row r="117" spans="1:18" s="2" customFormat="1" ht="18" hidden="1" customHeight="1" x14ac:dyDescent="0.35">
      <c r="A117" s="19" t="s">
        <v>67</v>
      </c>
      <c r="B117" s="45" t="s">
        <v>63</v>
      </c>
      <c r="C117" s="45">
        <f>IF(F117=0,0,C120)</f>
        <v>0</v>
      </c>
      <c r="D117" s="45">
        <f>IF(F117=0,0,10)</f>
        <v>0</v>
      </c>
      <c r="E117" s="34">
        <f>VLOOKUP(C17,A261:P267,12)</f>
        <v>0</v>
      </c>
      <c r="F117" s="94">
        <f>VLOOKUP(C17,A261:P267,13)</f>
        <v>0</v>
      </c>
      <c r="J117" s="89">
        <f t="shared" ref="J117:J118" si="22">IF(C117=0,0,(C117/100)*(D117/100)*F117)</f>
        <v>0</v>
      </c>
      <c r="K117" s="89">
        <f t="shared" ref="K117:K118" si="23">J117/0.8</f>
        <v>0</v>
      </c>
      <c r="L117" s="71">
        <f>IF(E117=0,0,VLOOKUP(E117,'Prix Matiere'!$A$4:$J$65,10))</f>
        <v>0</v>
      </c>
      <c r="M117" s="71">
        <f t="shared" ref="M117:M118" si="24">L117*K117</f>
        <v>0</v>
      </c>
      <c r="N117" s="3">
        <f t="shared" ref="N117:N118" si="25">IF(J117=0,0,1+(6*J117))</f>
        <v>0</v>
      </c>
      <c r="O117" s="71">
        <f>N117*MinuteMO</f>
        <v>0</v>
      </c>
      <c r="Q117" s="254">
        <f>IF(J117=0,0,J117*VLOOKUP(E117,'Prix Matiere'!$A$4:$L$60,12))</f>
        <v>0</v>
      </c>
      <c r="R117" s="90">
        <f>IF(J117=0,0,Q117*VLOOKUP(E117,'Prix Matiere'!$A$4:$L$60,11))</f>
        <v>0</v>
      </c>
    </row>
    <row r="118" spans="1:18" s="2" customFormat="1" ht="18" hidden="1" customHeight="1" x14ac:dyDescent="0.35">
      <c r="B118" s="45" t="s">
        <v>54</v>
      </c>
      <c r="C118" s="45">
        <f>IF(F118=0,0,D115)</f>
        <v>0</v>
      </c>
      <c r="D118" s="45">
        <f>IF(F117=0,0,D117)</f>
        <v>0</v>
      </c>
      <c r="E118" s="34">
        <f>VLOOKUP(C17,A261:P267,12)</f>
        <v>0</v>
      </c>
      <c r="F118" s="45">
        <f>VLOOKUP(C17,A261:P267,13)*2</f>
        <v>0</v>
      </c>
      <c r="J118" s="89">
        <f t="shared" si="22"/>
        <v>0</v>
      </c>
      <c r="K118" s="89">
        <f t="shared" si="23"/>
        <v>0</v>
      </c>
      <c r="L118" s="71">
        <f>IF(E118=0,0,VLOOKUP(E118,'Prix Matiere'!$A$4:$J$65,10))</f>
        <v>0</v>
      </c>
      <c r="M118" s="71">
        <f t="shared" si="24"/>
        <v>0</v>
      </c>
      <c r="N118" s="3">
        <f t="shared" si="25"/>
        <v>0</v>
      </c>
      <c r="O118" s="71">
        <f>N118*MinuteMO</f>
        <v>0</v>
      </c>
      <c r="Q118" s="254">
        <f>IF(J118=0,0,J118*VLOOKUP(E118,'Prix Matiere'!$A$4:$L$60,12))</f>
        <v>0</v>
      </c>
      <c r="R118" s="90">
        <f>IF(J118=0,0,Q118*VLOOKUP(E118,'Prix Matiere'!$A$4:$L$60,11))</f>
        <v>0</v>
      </c>
    </row>
    <row r="119" spans="1:18" s="2" customFormat="1" ht="18" hidden="1" customHeight="1" x14ac:dyDescent="0.35">
      <c r="J119" s="89"/>
      <c r="K119" s="89"/>
      <c r="L119" s="71"/>
      <c r="M119" s="71"/>
      <c r="N119" s="3"/>
      <c r="O119" s="71"/>
      <c r="Q119" s="254"/>
      <c r="R119" s="90"/>
    </row>
    <row r="120" spans="1:18" s="2" customFormat="1" ht="18" hidden="1" customHeight="1" x14ac:dyDescent="0.35">
      <c r="B120" s="2" t="s">
        <v>68</v>
      </c>
      <c r="C120" s="2">
        <f>C115-VLOOKUP($C$17,A261:P267,11)</f>
        <v>0</v>
      </c>
      <c r="D120" s="2">
        <f>D115-VLOOKUP($C$17,A261:P267,11)</f>
        <v>0</v>
      </c>
      <c r="E120" s="2">
        <f>E115-VLOOKUP($C$17,A261:P267,11)</f>
        <v>0</v>
      </c>
      <c r="J120" s="89"/>
      <c r="K120" s="89"/>
      <c r="L120" s="71"/>
      <c r="M120" s="71"/>
      <c r="N120" s="3"/>
      <c r="O120" s="71"/>
      <c r="Q120" s="254"/>
      <c r="R120" s="90"/>
    </row>
    <row r="121" spans="1:18" s="2" customFormat="1" ht="18" hidden="1" customHeight="1" x14ac:dyDescent="0.35">
      <c r="J121" s="89"/>
      <c r="K121" s="89"/>
      <c r="L121" s="71"/>
      <c r="M121" s="71"/>
      <c r="N121" s="3"/>
      <c r="O121" s="71"/>
      <c r="Q121" s="254"/>
      <c r="R121" s="90"/>
    </row>
    <row r="122" spans="1:18" s="2" customFormat="1" ht="18" hidden="1" customHeight="1" x14ac:dyDescent="0.35">
      <c r="A122" s="19" t="s">
        <v>69</v>
      </c>
      <c r="B122" s="45" t="s">
        <v>63</v>
      </c>
      <c r="C122" s="45">
        <f>IF(F122=0,0,C126+VLOOKUP($C$17,A261:P267,14))</f>
        <v>0</v>
      </c>
      <c r="D122" s="45">
        <f>IF(F122=0,0,E126+VLOOKUP($C$17,A261:P267,14))</f>
        <v>0</v>
      </c>
      <c r="E122" s="34">
        <f>VLOOKUP($C$17,A261:P267,15)</f>
        <v>0</v>
      </c>
      <c r="F122" s="95">
        <f>VLOOKUP($C$17,A261:P267,16)</f>
        <v>0</v>
      </c>
      <c r="J122" s="89">
        <f t="shared" ref="J122:J124" si="26">IF(C122=0,0,(C122/100)*(D122/100)*F122)</f>
        <v>0</v>
      </c>
      <c r="K122" s="89">
        <f t="shared" ref="K122:K124" si="27">J122/0.8</f>
        <v>0</v>
      </c>
      <c r="L122" s="71">
        <f>IF(E122=0,0,VLOOKUP(E122,'Prix Matiere'!A4:J60,10))</f>
        <v>0</v>
      </c>
      <c r="M122" s="71">
        <f t="shared" ref="M122:M124" si="28">L122*K122</f>
        <v>0</v>
      </c>
      <c r="N122" s="3">
        <f t="shared" ref="N122:N124" si="29">IF(J122=0,0,4+(5*J122))</f>
        <v>0</v>
      </c>
      <c r="O122" s="71">
        <f>N122*MinuteMO</f>
        <v>0</v>
      </c>
      <c r="Q122" s="254">
        <f>IF(J122=0,0,J122*VLOOKUP(E122,'Prix Matiere'!$A$4:$L$60,12))</f>
        <v>0</v>
      </c>
      <c r="R122" s="90">
        <f>IF(J122=0,0,Q122*VLOOKUP(E122,'Prix Matiere'!$A$4:$L$60,11))</f>
        <v>0</v>
      </c>
    </row>
    <row r="123" spans="1:18" s="2" customFormat="1" ht="18" hidden="1" customHeight="1" x14ac:dyDescent="0.35">
      <c r="B123" s="45" t="s">
        <v>54</v>
      </c>
      <c r="C123" s="45">
        <f>IF(F123=0,0,C126+VLOOKUP($C$17,A261:P267,14))</f>
        <v>0</v>
      </c>
      <c r="D123" s="45">
        <f>IF(F123=0,0,D126)</f>
        <v>0</v>
      </c>
      <c r="E123" s="34">
        <f>VLOOKUP($C$17,A261:P267,15)</f>
        <v>0</v>
      </c>
      <c r="F123" s="95">
        <f>VLOOKUP($C$17,A261:P267,16)</f>
        <v>0</v>
      </c>
      <c r="J123" s="89">
        <f t="shared" si="26"/>
        <v>0</v>
      </c>
      <c r="K123" s="89">
        <f t="shared" si="27"/>
        <v>0</v>
      </c>
      <c r="L123" s="71">
        <f>IF(E123=0,0,VLOOKUP(E123,'Prix Matiere'!A5:J61,10))</f>
        <v>0</v>
      </c>
      <c r="M123" s="71">
        <f t="shared" si="28"/>
        <v>0</v>
      </c>
      <c r="N123" s="3">
        <f t="shared" si="29"/>
        <v>0</v>
      </c>
      <c r="O123" s="71">
        <f>N123*MinuteMO</f>
        <v>0</v>
      </c>
      <c r="Q123" s="254">
        <f>IF(J123=0,0,J123*VLOOKUP(E123,'Prix Matiere'!$A$4:$L$60,12))</f>
        <v>0</v>
      </c>
      <c r="R123" s="90">
        <f>IF(J123=0,0,Q123*VLOOKUP(E123,'Prix Matiere'!$A$4:$L$60,11))</f>
        <v>0</v>
      </c>
    </row>
    <row r="124" spans="1:18" s="2" customFormat="1" ht="18" hidden="1" customHeight="1" x14ac:dyDescent="0.35">
      <c r="B124" s="45" t="s">
        <v>55</v>
      </c>
      <c r="C124" s="45">
        <f>IF(F124=0,0,E126)</f>
        <v>0</v>
      </c>
      <c r="D124" s="45">
        <f>IF(F124=0,0,D126)</f>
        <v>0</v>
      </c>
      <c r="E124" s="34">
        <f>VLOOKUP($C$17,A261:P267,15)</f>
        <v>0</v>
      </c>
      <c r="F124" s="95">
        <f>VLOOKUP($C$17,A261:P267,16)</f>
        <v>0</v>
      </c>
      <c r="J124" s="89">
        <f t="shared" si="26"/>
        <v>0</v>
      </c>
      <c r="K124" s="89">
        <f t="shared" si="27"/>
        <v>0</v>
      </c>
      <c r="L124" s="71">
        <f>IF(E124=0,0,VLOOKUP(E124,'Prix Matiere'!A6:J62,10))</f>
        <v>0</v>
      </c>
      <c r="M124" s="71">
        <f t="shared" si="28"/>
        <v>0</v>
      </c>
      <c r="N124" s="3">
        <f t="shared" si="29"/>
        <v>0</v>
      </c>
      <c r="O124" s="71">
        <f>N124*MinuteMO</f>
        <v>0</v>
      </c>
      <c r="Q124" s="254">
        <f>IF(J124=0,0,J124*VLOOKUP(E124,'Prix Matiere'!$A$4:$L$60,12))</f>
        <v>0</v>
      </c>
      <c r="R124" s="90">
        <f>IF(J124=0,0,Q124*VLOOKUP(E124,'Prix Matiere'!$A$4:$L$60,11))</f>
        <v>0</v>
      </c>
    </row>
    <row r="125" spans="1:18" s="2" customFormat="1" ht="18" hidden="1" customHeight="1" x14ac:dyDescent="0.35">
      <c r="J125" s="89"/>
      <c r="K125" s="89"/>
      <c r="L125" s="71"/>
      <c r="M125" s="71"/>
      <c r="N125" s="3"/>
      <c r="O125" s="71"/>
      <c r="Q125" s="254"/>
      <c r="R125" s="90"/>
    </row>
    <row r="126" spans="1:18" s="2" customFormat="1" ht="18" hidden="1" customHeight="1" x14ac:dyDescent="0.35">
      <c r="B126" s="2" t="s">
        <v>66</v>
      </c>
      <c r="C126" s="2">
        <f>C120-VLOOKUP($C$17,A261:P267,14)</f>
        <v>0</v>
      </c>
      <c r="D126" s="2">
        <f>D120-VLOOKUP($C$17,A261:P267,14)</f>
        <v>0</v>
      </c>
      <c r="E126" s="2">
        <f>E120-VLOOKUP($C$17,A261:P267,14)</f>
        <v>0</v>
      </c>
      <c r="J126" s="89"/>
      <c r="K126" s="89"/>
      <c r="L126" s="71"/>
      <c r="M126" s="71"/>
      <c r="N126" s="3"/>
      <c r="O126" s="71"/>
      <c r="Q126" s="254"/>
      <c r="R126" s="90"/>
    </row>
    <row r="127" spans="1:18" s="2" customFormat="1" ht="18" hidden="1" customHeight="1" x14ac:dyDescent="0.35">
      <c r="J127" s="89"/>
      <c r="K127" s="89"/>
      <c r="L127" s="71"/>
      <c r="M127" s="71"/>
      <c r="N127" s="3"/>
      <c r="O127" s="71"/>
      <c r="Q127" s="254"/>
      <c r="R127" s="90"/>
    </row>
    <row r="128" spans="1:18" s="2" customFormat="1" ht="18" hidden="1" customHeight="1" x14ac:dyDescent="0.35">
      <c r="B128" s="38" t="s">
        <v>158</v>
      </c>
      <c r="J128" s="89"/>
      <c r="K128" s="89"/>
      <c r="L128" s="71"/>
      <c r="M128" s="71"/>
      <c r="N128" s="3"/>
      <c r="O128" s="71"/>
      <c r="Q128" s="254"/>
      <c r="R128" s="90"/>
    </row>
    <row r="129" spans="2:18" s="2" customFormat="1" ht="18" hidden="1" customHeight="1" x14ac:dyDescent="0.35">
      <c r="B129" s="41">
        <f>IF(B30="Aucun",0,"Dessus")</f>
        <v>0</v>
      </c>
      <c r="C129" s="85">
        <f>IF(B30="Aucun",0,VLOOKUP(B30,$A$290:$L$295,2)+B29)</f>
        <v>0</v>
      </c>
      <c r="D129" s="85">
        <f>IF(B30="Aucun",0,C29+VLOOKUP(B30,$A$290:$L$295,5))</f>
        <v>0</v>
      </c>
      <c r="E129" s="85">
        <f>VLOOKUP(B30,$A$290:$L$295,9)</f>
        <v>0</v>
      </c>
      <c r="F129" s="45">
        <f>IF(B30="Aucun",0,1)</f>
        <v>0</v>
      </c>
      <c r="J129" s="89">
        <f t="shared" ref="J129:J143" si="30">IF(C129=0,0,(C129/100)*(D129/100)*F129)</f>
        <v>0</v>
      </c>
      <c r="K129" s="89">
        <f t="shared" ref="K129:K143" si="31">J129/0.8</f>
        <v>0</v>
      </c>
      <c r="L129" s="71">
        <f>IF(E129=0,0,VLOOKUP(E129,'Prix Matiere'!$A$4:$J$65,10))</f>
        <v>0</v>
      </c>
      <c r="M129" s="71">
        <f t="shared" ref="M129:M143" si="32">L129*K129</f>
        <v>0</v>
      </c>
      <c r="N129" s="3">
        <f t="shared" ref="N129:N140" si="33">IF(J129=0,0,1+(6*J129))</f>
        <v>0</v>
      </c>
      <c r="O129" s="71">
        <f t="shared" ref="O129:O143" si="34">N129*MinuteMO</f>
        <v>0</v>
      </c>
      <c r="Q129" s="254">
        <f>IF(J129=0,0,J129*VLOOKUP(E129,'Prix Matiere'!$A$4:$L$60,12))</f>
        <v>0</v>
      </c>
      <c r="R129" s="90">
        <f>IF(J129=0,0,Q129*VLOOKUP(E129,'Prix Matiere'!$A$4:$L$60,11))</f>
        <v>0</v>
      </c>
    </row>
    <row r="130" spans="2:18" s="2" customFormat="1" ht="18" hidden="1" customHeight="1" x14ac:dyDescent="0.35">
      <c r="B130" s="45">
        <f>IF(B30="Aucun",0,"Extrémité")</f>
        <v>0</v>
      </c>
      <c r="C130" s="85">
        <f>IF(B30="Aucun",0,IF(B29&lt;60,10,IF(B29&lt;80,15,20)))</f>
        <v>0</v>
      </c>
      <c r="D130" s="85">
        <f t="shared" ref="D130:D133" si="35">D129</f>
        <v>0</v>
      </c>
      <c r="E130" s="85">
        <f>VLOOKUP(B30,$A$290:$L$295,9)</f>
        <v>0</v>
      </c>
      <c r="F130" s="45">
        <f>IF(B30="Aucun",0,2)</f>
        <v>0</v>
      </c>
      <c r="J130" s="89">
        <f t="shared" si="30"/>
        <v>0</v>
      </c>
      <c r="K130" s="89">
        <f t="shared" si="31"/>
        <v>0</v>
      </c>
      <c r="L130" s="71">
        <f>IF(E130=0,0,VLOOKUP(E130,'Prix Matiere'!$A$4:$J$65,10))</f>
        <v>0</v>
      </c>
      <c r="M130" s="71">
        <f t="shared" si="32"/>
        <v>0</v>
      </c>
      <c r="N130" s="3">
        <f t="shared" si="33"/>
        <v>0</v>
      </c>
      <c r="O130" s="71">
        <f t="shared" si="34"/>
        <v>0</v>
      </c>
      <c r="Q130" s="254">
        <f>IF(J130=0,0,J130*VLOOKUP(E130,'Prix Matiere'!$A$4:$L$60,12))</f>
        <v>0</v>
      </c>
      <c r="R130" s="90">
        <f>IF(J130=0,0,Q130*VLOOKUP(E130,'Prix Matiere'!$A$4:$L$60,11))</f>
        <v>0</v>
      </c>
    </row>
    <row r="131" spans="2:18" s="2" customFormat="1" ht="18" hidden="1" customHeight="1" x14ac:dyDescent="0.35">
      <c r="B131" s="45">
        <f>IF(B30="Aucun",0,A34)</f>
        <v>0</v>
      </c>
      <c r="C131" s="85">
        <f>B34</f>
        <v>0</v>
      </c>
      <c r="D131" s="85">
        <f t="shared" si="35"/>
        <v>0</v>
      </c>
      <c r="E131" s="85">
        <f>IF(B30="Aucun",0,IF(B131="Ethafoam 50 mm","Ethafoam 50 mm","Agglocelle 50 mm"))</f>
        <v>0</v>
      </c>
      <c r="F131" s="45">
        <f>E34</f>
        <v>2</v>
      </c>
      <c r="J131" s="89">
        <f t="shared" si="30"/>
        <v>0</v>
      </c>
      <c r="K131" s="89">
        <f t="shared" si="31"/>
        <v>0</v>
      </c>
      <c r="L131" s="71">
        <f>IF(E131=0,0,VLOOKUP(E131,'Prix Matiere'!$A$4:$J$65,10))</f>
        <v>0</v>
      </c>
      <c r="M131" s="71">
        <f t="shared" si="32"/>
        <v>0</v>
      </c>
      <c r="N131" s="3">
        <f t="shared" si="33"/>
        <v>0</v>
      </c>
      <c r="O131" s="71">
        <f t="shared" si="34"/>
        <v>0</v>
      </c>
      <c r="Q131" s="254">
        <f>IF(J131=0,0,J131*VLOOKUP(E131,'Prix Matiere'!$A$4:$L$60,12))</f>
        <v>0</v>
      </c>
      <c r="R131" s="90">
        <f>IF(J131=0,0,Q131*VLOOKUP(E131,'Prix Matiere'!$A$4:$L$60,11))</f>
        <v>0</v>
      </c>
    </row>
    <row r="132" spans="2:18" s="2" customFormat="1" ht="18" hidden="1" customHeight="1" x14ac:dyDescent="0.35">
      <c r="B132" s="45">
        <f>IF(B30="Aucun",0,"Milieu")</f>
        <v>0</v>
      </c>
      <c r="C132" s="85">
        <f>(C129-((C130*F130)+(C131*F131)))/(F131-1)</f>
        <v>0</v>
      </c>
      <c r="D132" s="85">
        <f t="shared" si="35"/>
        <v>0</v>
      </c>
      <c r="E132" s="85">
        <f>VLOOKUP(B30,$A$290:$L$295,9)</f>
        <v>0</v>
      </c>
      <c r="F132" s="45">
        <f>IF(B30="Aucun",0,F131-1)</f>
        <v>0</v>
      </c>
      <c r="J132" s="89">
        <f t="shared" si="30"/>
        <v>0</v>
      </c>
      <c r="K132" s="89">
        <f t="shared" si="31"/>
        <v>0</v>
      </c>
      <c r="L132" s="71">
        <f>IF(E132=0,0,VLOOKUP(E132,'Prix Matiere'!$A$4:$J$65,10))</f>
        <v>0</v>
      </c>
      <c r="M132" s="71">
        <f t="shared" si="32"/>
        <v>0</v>
      </c>
      <c r="N132" s="3">
        <f t="shared" si="33"/>
        <v>0</v>
      </c>
      <c r="O132" s="71">
        <f t="shared" si="34"/>
        <v>0</v>
      </c>
      <c r="Q132" s="254">
        <f>IF(J132=0,0,J132*VLOOKUP(E132,'Prix Matiere'!$A$4:$L$60,12))</f>
        <v>0</v>
      </c>
      <c r="R132" s="90">
        <f>IF(J132=0,0,Q132*VLOOKUP(E132,'Prix Matiere'!$A$4:$L$60,11))</f>
        <v>0</v>
      </c>
    </row>
    <row r="133" spans="2:18" s="2" customFormat="1" ht="18" hidden="1" customHeight="1" x14ac:dyDescent="0.35">
      <c r="B133" s="45">
        <f>IF(B30="Aucun",0,"Bouts avec passage de main")</f>
        <v>0</v>
      </c>
      <c r="C133" s="85">
        <f>IF(B30="Aucun",0,(D29-IF(D29&gt;120,30,15))/(F133/2))</f>
        <v>0</v>
      </c>
      <c r="D133" s="85">
        <f t="shared" si="35"/>
        <v>0</v>
      </c>
      <c r="E133" s="85">
        <f>VLOOKUP(B30,$A$290:$L$295,9)</f>
        <v>0</v>
      </c>
      <c r="F133" s="45">
        <f>IF(B30="Aucun",0,IF(D29&gt;120,6,4))</f>
        <v>0</v>
      </c>
      <c r="J133" s="89">
        <f t="shared" si="30"/>
        <v>0</v>
      </c>
      <c r="K133" s="89">
        <f t="shared" si="31"/>
        <v>0</v>
      </c>
      <c r="L133" s="71">
        <f>IF(E133=0,0,VLOOKUP(E133,'Prix Matiere'!$A$4:$J$65,10))</f>
        <v>0</v>
      </c>
      <c r="M133" s="71">
        <f t="shared" si="32"/>
        <v>0</v>
      </c>
      <c r="N133" s="3">
        <f t="shared" si="33"/>
        <v>0</v>
      </c>
      <c r="O133" s="71">
        <f t="shared" si="34"/>
        <v>0</v>
      </c>
      <c r="Q133" s="254">
        <f>IF(J133=0,0,J133*VLOOKUP(E133,'Prix Matiere'!$A$4:$L$60,12))</f>
        <v>0</v>
      </c>
      <c r="R133" s="90">
        <f>IF(J133=0,0,Q133*VLOOKUP(E133,'Prix Matiere'!$A$4:$L$60,11))</f>
        <v>0</v>
      </c>
    </row>
    <row r="134" spans="2:18" s="2" customFormat="1" ht="18" hidden="1" customHeight="1" x14ac:dyDescent="0.35">
      <c r="B134" s="45">
        <f>IF(B30="Aucun",0,"Fond")</f>
        <v>0</v>
      </c>
      <c r="C134" s="85">
        <f>IF(B30="Aucun",0,B29+VLOOKUP(B30,$A$290:$L$295,6))</f>
        <v>0</v>
      </c>
      <c r="D134" s="85">
        <f>IF(B30="Sous verre 2 faces",D29+VLOOKUP(B30,$A$290:$L$295,6),B33)</f>
        <v>0</v>
      </c>
      <c r="E134" s="85">
        <f>VLOOKUP(B30,$A$290:$L$295,8)</f>
        <v>0</v>
      </c>
      <c r="F134" s="45">
        <f>VLOOKUP(B30,A290:L295,7)</f>
        <v>0</v>
      </c>
      <c r="J134" s="89">
        <f t="shared" si="30"/>
        <v>0</v>
      </c>
      <c r="K134" s="89">
        <f t="shared" si="31"/>
        <v>0</v>
      </c>
      <c r="L134" s="71">
        <f>IF(E134=0,0,VLOOKUP(E134,'Prix Matiere'!$A$4:$J$65,10))</f>
        <v>0</v>
      </c>
      <c r="M134" s="71">
        <f t="shared" si="32"/>
        <v>0</v>
      </c>
      <c r="N134" s="3">
        <f t="shared" si="33"/>
        <v>0</v>
      </c>
      <c r="O134" s="71">
        <f t="shared" si="34"/>
        <v>0</v>
      </c>
      <c r="Q134" s="254">
        <f>IF(J134=0,0,J134*VLOOKUP(E134,'Prix Matiere'!$A$4:$L$60,12))</f>
        <v>0</v>
      </c>
      <c r="R134" s="90">
        <f>IF(J134=0,0,Q134*VLOOKUP(E134,'Prix Matiere'!$A$4:$L$60,11))</f>
        <v>0</v>
      </c>
    </row>
    <row r="135" spans="2:18" s="2" customFormat="1" ht="18" hidden="1" customHeight="1" x14ac:dyDescent="0.35">
      <c r="B135" s="45">
        <f>IF(B30="Aucun",0,"Remplis de fond")</f>
        <v>0</v>
      </c>
      <c r="C135" s="85">
        <f>IF(B30="Aucun",0,IF(B30="Sous verre 2 faces",0,D29-D134*2+VLOOKUP(B30,$A$290:$L$295,6)))</f>
        <v>0</v>
      </c>
      <c r="D135" s="85">
        <f>IF(B30="Sous verre 2 faces",0,B33)</f>
        <v>0</v>
      </c>
      <c r="E135" s="85">
        <f>IF(C135=0,0,VLOOKUP(B30,$A$290:$L$295,8))</f>
        <v>0</v>
      </c>
      <c r="F135" s="45">
        <f>IF(B30="Aucun",0,IF(B30="Sous verre 2 faces",0,2))</f>
        <v>0</v>
      </c>
      <c r="J135" s="89">
        <f t="shared" si="30"/>
        <v>0</v>
      </c>
      <c r="K135" s="89">
        <f t="shared" si="31"/>
        <v>0</v>
      </c>
      <c r="L135" s="71">
        <f>IF(E135=0,0,VLOOKUP(E135,'Prix Matiere'!$A$4:$J$65,10))</f>
        <v>0</v>
      </c>
      <c r="M135" s="71">
        <f t="shared" si="32"/>
        <v>0</v>
      </c>
      <c r="N135" s="3">
        <f t="shared" si="33"/>
        <v>0</v>
      </c>
      <c r="O135" s="71">
        <f t="shared" si="34"/>
        <v>0</v>
      </c>
      <c r="Q135" s="254">
        <f>IF(J135=0,0,J135*VLOOKUP(E135,'Prix Matiere'!$A$4:$L$60,12))</f>
        <v>0</v>
      </c>
      <c r="R135" s="90">
        <f>IF(J135=0,0,Q135*VLOOKUP(E135,'Prix Matiere'!$A$4:$L$60,11))</f>
        <v>0</v>
      </c>
    </row>
    <row r="136" spans="2:18" s="2" customFormat="1" ht="18" hidden="1" customHeight="1" x14ac:dyDescent="0.35">
      <c r="B136" s="45">
        <f>IF(B30="Aucun",0,"Dessus")</f>
        <v>0</v>
      </c>
      <c r="C136" s="85">
        <f>IF(B30="Aucun",0,B29+VLOOKUP(B30,$A$290:$L$295,10))</f>
        <v>0</v>
      </c>
      <c r="D136" s="85">
        <f>IF(B30="Sous verre 2 faces",D29+VLOOKUP(B30,$A$290:$L$295,10),IF(B30="Sous verre / bandes de mousse",D29+VLOOKUP(B30,$A$290:$L$295,10),B32))</f>
        <v>0</v>
      </c>
      <c r="E136" s="85">
        <f>VLOOKUP(B30,$A$290:$L$295,9)</f>
        <v>0</v>
      </c>
      <c r="F136" s="45">
        <f>VLOOKUP(B30,A290:L295,11)</f>
        <v>0</v>
      </c>
      <c r="J136" s="89">
        <f t="shared" si="30"/>
        <v>0</v>
      </c>
      <c r="K136" s="89">
        <f t="shared" si="31"/>
        <v>0</v>
      </c>
      <c r="L136" s="71">
        <f>IF(E136=0,0,VLOOKUP(E136,'Prix Matiere'!$A$4:$J$65,10))</f>
        <v>0</v>
      </c>
      <c r="M136" s="71">
        <f t="shared" si="32"/>
        <v>0</v>
      </c>
      <c r="N136" s="3">
        <f t="shared" si="33"/>
        <v>0</v>
      </c>
      <c r="O136" s="71">
        <f t="shared" si="34"/>
        <v>0</v>
      </c>
      <c r="Q136" s="254">
        <f>IF(J136=0,0,J136*VLOOKUP(E136,'Prix Matiere'!$A$4:$L$60,12))</f>
        <v>0</v>
      </c>
      <c r="R136" s="90">
        <f>IF(J136=0,0,Q136*VLOOKUP(E136,'Prix Matiere'!$A$4:$L$60,11))</f>
        <v>0</v>
      </c>
    </row>
    <row r="137" spans="2:18" s="2" customFormat="1" ht="18" hidden="1" customHeight="1" x14ac:dyDescent="0.35">
      <c r="B137" s="45">
        <f>IF(B30="Aucun",0,"Remplis de dessus")</f>
        <v>0</v>
      </c>
      <c r="C137" s="85">
        <f>IF(B30="Aucun",0,IF(B30="Sous verre 2 faces",0,IF(B30="Sous verre / bandes de mousse",0,D29-2*D136+VLOOKUP(B30,$A$290:$L$295,10))))</f>
        <v>0</v>
      </c>
      <c r="D137" s="85">
        <f>IF(B30="Sous verre / bandes de mousse",0,IF(B30="Sous verre 2 faces",0,B32))</f>
        <v>0</v>
      </c>
      <c r="E137" s="85">
        <f>IF(C137=0,0,VLOOKUP(B30,$A$290:$L$295,9))</f>
        <v>0</v>
      </c>
      <c r="F137" s="45">
        <f>IF(B30="Aucun",0,IF(B30="Sous verre 2 faces",0,IF(B30="Sous verre / bandes de mousse",0,2)))</f>
        <v>0</v>
      </c>
      <c r="J137" s="89">
        <f t="shared" si="30"/>
        <v>0</v>
      </c>
      <c r="K137" s="89">
        <f t="shared" si="31"/>
        <v>0</v>
      </c>
      <c r="L137" s="71">
        <f>IF(E137=0,0,VLOOKUP(E137,'Prix Matiere'!$A$4:$J$65,10))</f>
        <v>0</v>
      </c>
      <c r="M137" s="71">
        <f t="shared" si="32"/>
        <v>0</v>
      </c>
      <c r="N137" s="3">
        <f t="shared" si="33"/>
        <v>0</v>
      </c>
      <c r="O137" s="71">
        <f t="shared" si="34"/>
        <v>0</v>
      </c>
      <c r="Q137" s="254">
        <f>IF(J137=0,0,J137*VLOOKUP(E137,'Prix Matiere'!$A$4:$L$60,12))</f>
        <v>0</v>
      </c>
      <c r="R137" s="90">
        <f>IF(J137=0,0,Q137*VLOOKUP(E137,'Prix Matiere'!$A$4:$L$60,11))</f>
        <v>0</v>
      </c>
    </row>
    <row r="138" spans="2:18" s="2" customFormat="1" ht="18" hidden="1" customHeight="1" x14ac:dyDescent="0.35">
      <c r="B138" s="45">
        <f>IF(B30="Sous verre 2 faces",0,IF(B30="Aucun",0,"PU 20 mm"))</f>
        <v>0</v>
      </c>
      <c r="C138" s="85">
        <f>IF(B138=0,0,B29+VLOOKUP(B30,$A$290:$L$295,2))</f>
        <v>0</v>
      </c>
      <c r="D138" s="85">
        <f>IF(B138=0,0,D29+VLOOKUP(B30,A290:L295,4))</f>
        <v>0</v>
      </c>
      <c r="E138" s="85">
        <f>B138</f>
        <v>0</v>
      </c>
      <c r="F138" s="45">
        <f>IF(B30="Sous verre 2 faces",0,IF(B30="Aucun",0,IF(B30="Sous verre / bandes de mousse",1,2)))</f>
        <v>0</v>
      </c>
      <c r="J138" s="89">
        <f t="shared" si="30"/>
        <v>0</v>
      </c>
      <c r="K138" s="89">
        <f t="shared" si="31"/>
        <v>0</v>
      </c>
      <c r="L138" s="71">
        <f>IF(E138=0,0,VLOOKUP(E138,'Prix Matiere'!$A$4:$J$65,10))</f>
        <v>0</v>
      </c>
      <c r="M138" s="71">
        <f t="shared" si="32"/>
        <v>0</v>
      </c>
      <c r="N138" s="3">
        <f t="shared" si="33"/>
        <v>0</v>
      </c>
      <c r="O138" s="71">
        <f t="shared" si="34"/>
        <v>0</v>
      </c>
      <c r="Q138" s="254">
        <f>IF(J138=0,0,J138*VLOOKUP(E138,'Prix Matiere'!$A$4:$L$60,12))</f>
        <v>0</v>
      </c>
      <c r="R138" s="90">
        <f>IF(J138=0,0,Q138*VLOOKUP(E138,'Prix Matiere'!$A$4:$L$60,11))</f>
        <v>0</v>
      </c>
    </row>
    <row r="139" spans="2:18" s="2" customFormat="1" ht="18" hidden="1" customHeight="1" x14ac:dyDescent="0.35">
      <c r="B139" s="45">
        <f>IF(B30="Aucun",0,"Rattrapage 1")</f>
        <v>0</v>
      </c>
      <c r="C139" s="85">
        <f>IF(B35=0,0,B29+0.2)</f>
        <v>0</v>
      </c>
      <c r="D139" s="85">
        <f>IF(B35=0,0,B35)</f>
        <v>0</v>
      </c>
      <c r="E139" s="85">
        <f t="shared" ref="E139:E140" si="36">IF(C139=0,0,CONCATENATE("PU ",$D$35*10," mm"))</f>
        <v>0</v>
      </c>
      <c r="F139" s="45">
        <f>IF(B35=0,0,2)</f>
        <v>0</v>
      </c>
      <c r="J139" s="89">
        <f t="shared" si="30"/>
        <v>0</v>
      </c>
      <c r="K139" s="89">
        <f t="shared" si="31"/>
        <v>0</v>
      </c>
      <c r="L139" s="71">
        <f>IF(E139=0,0,VLOOKUP(E139,'Prix Matiere'!$A$4:$J$65,10))</f>
        <v>0</v>
      </c>
      <c r="M139" s="71">
        <f t="shared" si="32"/>
        <v>0</v>
      </c>
      <c r="N139" s="3">
        <f t="shared" si="33"/>
        <v>0</v>
      </c>
      <c r="O139" s="71">
        <f t="shared" si="34"/>
        <v>0</v>
      </c>
      <c r="Q139" s="254">
        <f>IF(J139=0,0,J139*VLOOKUP(E139,'Prix Matiere'!$A$4:$L$60,12))</f>
        <v>0</v>
      </c>
      <c r="R139" s="90">
        <f>IF(J139=0,0,Q139*VLOOKUP(E139,'Prix Matiere'!$A$4:$L$60,11))</f>
        <v>0</v>
      </c>
    </row>
    <row r="140" spans="2:18" s="2" customFormat="1" ht="18" hidden="1" customHeight="1" x14ac:dyDescent="0.35">
      <c r="B140" s="45">
        <f>IF(B30="Aucun",0,"Rattrapage 2")</f>
        <v>0</v>
      </c>
      <c r="C140" s="85">
        <f>IF(B35=0,0,D29+0.2-2*D139)</f>
        <v>0</v>
      </c>
      <c r="D140" s="85">
        <f>IF(B35=0,0,D139)</f>
        <v>0</v>
      </c>
      <c r="E140" s="85">
        <f t="shared" si="36"/>
        <v>0</v>
      </c>
      <c r="F140" s="45">
        <f>IF(B35=0,0,2)</f>
        <v>0</v>
      </c>
      <c r="J140" s="89">
        <f t="shared" si="30"/>
        <v>0</v>
      </c>
      <c r="K140" s="89">
        <f t="shared" si="31"/>
        <v>0</v>
      </c>
      <c r="L140" s="71">
        <f>IF(E140=0,0,VLOOKUP(E140,'Prix Matiere'!$A$4:$J$65,10))</f>
        <v>0</v>
      </c>
      <c r="M140" s="71">
        <f t="shared" si="32"/>
        <v>0</v>
      </c>
      <c r="N140" s="3">
        <f t="shared" si="33"/>
        <v>0</v>
      </c>
      <c r="O140" s="71">
        <f t="shared" si="34"/>
        <v>0</v>
      </c>
      <c r="Q140" s="254">
        <f>IF(J140=0,0,J140*VLOOKUP(E140,'Prix Matiere'!$A$4:$L$60,12))</f>
        <v>0</v>
      </c>
      <c r="R140" s="90">
        <f>IF(J140=0,0,Q140*VLOOKUP(E140,'Prix Matiere'!$A$4:$L$60,11))</f>
        <v>0</v>
      </c>
    </row>
    <row r="141" spans="2:18" s="2" customFormat="1" ht="18" hidden="1" customHeight="1" x14ac:dyDescent="0.35">
      <c r="B141" s="45">
        <f>IF(B30="Aucun",0,"Remplissage 1")</f>
        <v>0</v>
      </c>
      <c r="C141" s="85">
        <f t="shared" ref="C141:D141" si="37">IF(B36=0,0,B36)</f>
        <v>0</v>
      </c>
      <c r="D141" s="85">
        <f t="shared" si="37"/>
        <v>0</v>
      </c>
      <c r="E141" s="85">
        <f>IF(C141=0,0,CONCATENATE("PU ",$D$36*10," mm"))</f>
        <v>0</v>
      </c>
      <c r="F141" s="45">
        <f t="shared" ref="F141:F142" si="38">IF(B36=0,0,1)</f>
        <v>0</v>
      </c>
      <c r="J141" s="89">
        <f t="shared" si="30"/>
        <v>0</v>
      </c>
      <c r="K141" s="89">
        <f t="shared" si="31"/>
        <v>0</v>
      </c>
      <c r="L141" s="71">
        <f>IF(E141=0,0,VLOOKUP(E141,'Prix Matiere'!$A$4:$J$65,10))</f>
        <v>0</v>
      </c>
      <c r="M141" s="71">
        <f t="shared" si="32"/>
        <v>0</v>
      </c>
      <c r="N141" s="3">
        <f t="shared" ref="N141:N142" si="39">IF(J141=0,0,4+(6*J141))</f>
        <v>0</v>
      </c>
      <c r="O141" s="71">
        <f t="shared" si="34"/>
        <v>0</v>
      </c>
      <c r="Q141" s="254">
        <f>IF(J141=0,0,J141*VLOOKUP(E141,'Prix Matiere'!$A$4:$L$60,12))</f>
        <v>0</v>
      </c>
      <c r="R141" s="90">
        <f>IF(J141=0,0,Q141*VLOOKUP(E141,'Prix Matiere'!$A$4:$L$60,11))</f>
        <v>0</v>
      </c>
    </row>
    <row r="142" spans="2:18" s="2" customFormat="1" ht="18" hidden="1" customHeight="1" x14ac:dyDescent="0.35">
      <c r="B142" s="45">
        <f>IF(B30="Aucun",0,"Remplissage 2")</f>
        <v>0</v>
      </c>
      <c r="C142" s="85">
        <f t="shared" ref="C142:D142" si="40">IF(B37=0,0,B37)</f>
        <v>0</v>
      </c>
      <c r="D142" s="85">
        <f t="shared" si="40"/>
        <v>0</v>
      </c>
      <c r="E142" s="85">
        <f>IF(C142=0,0,CONCATENATE("PU ",$D$37*10," mm"))</f>
        <v>0</v>
      </c>
      <c r="F142" s="45">
        <f t="shared" si="38"/>
        <v>0</v>
      </c>
      <c r="J142" s="89">
        <f t="shared" si="30"/>
        <v>0</v>
      </c>
      <c r="K142" s="89">
        <f t="shared" si="31"/>
        <v>0</v>
      </c>
      <c r="L142" s="71">
        <f>IF(E142=0,0,VLOOKUP(E142,'Prix Matiere'!$A$4:$J$65,10))</f>
        <v>0</v>
      </c>
      <c r="M142" s="71">
        <f t="shared" si="32"/>
        <v>0</v>
      </c>
      <c r="N142" s="3">
        <f t="shared" si="39"/>
        <v>0</v>
      </c>
      <c r="O142" s="71">
        <f t="shared" si="34"/>
        <v>0</v>
      </c>
      <c r="Q142" s="254">
        <f>IF(J142=0,0,J142*VLOOKUP(E142,'Prix Matiere'!$A$4:$L$60,12))</f>
        <v>0</v>
      </c>
      <c r="R142" s="90">
        <f>IF(J142=0,0,Q142*VLOOKUP(E142,'Prix Matiere'!$A$4:$L$60,11))</f>
        <v>0</v>
      </c>
    </row>
    <row r="143" spans="2:18" s="2" customFormat="1" ht="18" hidden="1" customHeight="1" x14ac:dyDescent="0.35">
      <c r="B143" s="45">
        <f>IF(B30="Aucun",0,"Carton")</f>
        <v>0</v>
      </c>
      <c r="C143" s="85">
        <f>IF(F143=0,0,B29+VLOOKUP(B30,$A$290:$L$295,10))</f>
        <v>0</v>
      </c>
      <c r="D143" s="85">
        <f>IF(E143=0,0,D29+VLOOKUP(B30,$A$290:$L$295,10))</f>
        <v>0</v>
      </c>
      <c r="E143" s="85">
        <f>IF(C143=0,0,"Carton")</f>
        <v>0</v>
      </c>
      <c r="F143" s="45">
        <f>VLOOKUP(B30,A290:L295,12)</f>
        <v>0</v>
      </c>
      <c r="J143" s="89">
        <f t="shared" si="30"/>
        <v>0</v>
      </c>
      <c r="K143" s="89">
        <f t="shared" si="31"/>
        <v>0</v>
      </c>
      <c r="L143" s="71">
        <f>IF(E143=0,0,Carton)</f>
        <v>0</v>
      </c>
      <c r="M143" s="71">
        <f t="shared" si="32"/>
        <v>0</v>
      </c>
      <c r="N143" s="3">
        <f>IF(J143=0,0,1+(3*J143))</f>
        <v>0</v>
      </c>
      <c r="O143" s="71">
        <f t="shared" si="34"/>
        <v>0</v>
      </c>
      <c r="Q143" s="254">
        <f>IF(J143=0,0,J143*Poids_Carton)</f>
        <v>0</v>
      </c>
      <c r="R143" s="90">
        <f>IF(J143=0,0,Q143*VLOOKUP(E143,'Prix Matiere'!$A$4:$L$60,11))</f>
        <v>0</v>
      </c>
    </row>
    <row r="144" spans="2:18" s="2" customFormat="1" ht="18" hidden="1" customHeight="1" x14ac:dyDescent="0.35">
      <c r="J144" s="89"/>
      <c r="K144" s="89"/>
      <c r="L144" s="71"/>
      <c r="M144" s="71"/>
      <c r="N144" s="3"/>
      <c r="O144" s="71"/>
      <c r="Q144" s="254">
        <f>IF(J144=0,0,J144*VLOOKUP(E144,'Prix Matiere'!$A$4:$L$60,12))</f>
        <v>0</v>
      </c>
      <c r="R144" s="90"/>
    </row>
    <row r="145" spans="2:18" s="2" customFormat="1" ht="18" hidden="1" customHeight="1" x14ac:dyDescent="0.35">
      <c r="B145" s="38" t="s">
        <v>159</v>
      </c>
      <c r="J145" s="89"/>
      <c r="K145" s="89"/>
      <c r="L145" s="71"/>
      <c r="M145" s="71"/>
      <c r="N145" s="3"/>
      <c r="O145" s="71"/>
      <c r="Q145" s="254">
        <f>IF(J145=0,0,J145*VLOOKUP(E145,'Prix Matiere'!$A$4:$L$60,12))</f>
        <v>0</v>
      </c>
      <c r="R145" s="90"/>
    </row>
    <row r="146" spans="2:18" s="2" customFormat="1" ht="18" hidden="1" customHeight="1" x14ac:dyDescent="0.35">
      <c r="B146" s="41">
        <f>IF(H30="Aucun",0,"Dessus")</f>
        <v>0</v>
      </c>
      <c r="C146" s="85">
        <f>IF(H30="Aucun",0,VLOOKUP(H30,$A$290:$L$295,2)+H29)</f>
        <v>0</v>
      </c>
      <c r="D146" s="85">
        <f>IF(H30="Aucun",0,I29+VLOOKUP(H30,$A$290:$L$295,5))</f>
        <v>0</v>
      </c>
      <c r="E146" s="85">
        <f>VLOOKUP(H30,$A$290:$L$295,9)</f>
        <v>0</v>
      </c>
      <c r="F146" s="45">
        <f>IF(H30="Aucun",0,1)</f>
        <v>0</v>
      </c>
      <c r="J146" s="89">
        <f t="shared" ref="J146:J160" si="41">IF(C146=0,0,(C146/100)*(D146/100)*F146)</f>
        <v>0</v>
      </c>
      <c r="K146" s="89">
        <f t="shared" ref="K146:K160" si="42">J146/0.8</f>
        <v>0</v>
      </c>
      <c r="L146" s="71">
        <f>IF(E146=0,0,VLOOKUP(E146,'Prix Matiere'!$A$4:$J$65,10))</f>
        <v>0</v>
      </c>
      <c r="M146" s="71">
        <f t="shared" ref="M146:M160" si="43">L146*K146</f>
        <v>0</v>
      </c>
      <c r="N146" s="3">
        <f t="shared" ref="N146:N157" si="44">IF(J146=0,0,1+(6*J146))</f>
        <v>0</v>
      </c>
      <c r="O146" s="71">
        <f t="shared" ref="O146:O160" si="45">N146*MinuteMO</f>
        <v>0</v>
      </c>
      <c r="Q146" s="254">
        <f>IF(J146=0,0,J146*VLOOKUP(E146,'Prix Matiere'!$A$4:$L$60,12))</f>
        <v>0</v>
      </c>
      <c r="R146" s="90">
        <f>IF(J146=0,0,Q146*VLOOKUP(E146,'Prix Matiere'!$A$4:$L$60,11))</f>
        <v>0</v>
      </c>
    </row>
    <row r="147" spans="2:18" s="2" customFormat="1" ht="18" hidden="1" customHeight="1" x14ac:dyDescent="0.35">
      <c r="B147" s="45">
        <f>IF(H30="Aucun",0,"Extrémité")</f>
        <v>0</v>
      </c>
      <c r="C147" s="85">
        <f>IF(H30="Aucun",0,IF(H29&lt;60,10,IF(H29&lt;80,15,20)))</f>
        <v>0</v>
      </c>
      <c r="D147" s="85">
        <f t="shared" ref="D147:D150" si="46">D146</f>
        <v>0</v>
      </c>
      <c r="E147" s="85">
        <f>VLOOKUP(H30,$A$290:$L$295,9)</f>
        <v>0</v>
      </c>
      <c r="F147" s="45">
        <f>IF(H30="Aucun",0,2)</f>
        <v>0</v>
      </c>
      <c r="J147" s="89">
        <f t="shared" si="41"/>
        <v>0</v>
      </c>
      <c r="K147" s="89">
        <f t="shared" si="42"/>
        <v>0</v>
      </c>
      <c r="L147" s="71">
        <f>IF(E147=0,0,VLOOKUP(E147,'Prix Matiere'!$A$4:$J$65,10))</f>
        <v>0</v>
      </c>
      <c r="M147" s="71">
        <f t="shared" si="43"/>
        <v>0</v>
      </c>
      <c r="N147" s="3">
        <f t="shared" si="44"/>
        <v>0</v>
      </c>
      <c r="O147" s="71">
        <f t="shared" si="45"/>
        <v>0</v>
      </c>
      <c r="Q147" s="254">
        <f>IF(J147=0,0,J147*VLOOKUP(E147,'Prix Matiere'!$A$4:$L$60,12))</f>
        <v>0</v>
      </c>
      <c r="R147" s="90">
        <f>IF(J147=0,0,Q147*VLOOKUP(E147,'Prix Matiere'!$A$4:$L$60,11))</f>
        <v>0</v>
      </c>
    </row>
    <row r="148" spans="2:18" s="2" customFormat="1" ht="18" hidden="1" customHeight="1" x14ac:dyDescent="0.35">
      <c r="B148" s="45">
        <f>IF(H30="Aucun",0,G34)</f>
        <v>0</v>
      </c>
      <c r="C148" s="85">
        <f>H34</f>
        <v>0</v>
      </c>
      <c r="D148" s="85">
        <f t="shared" si="46"/>
        <v>0</v>
      </c>
      <c r="E148" s="85">
        <f>IF(H30="Aucun",0,IF(B148="Ethafoam 50 mm","Ethafoam 50 mm","Agglocelle 50 mm"))</f>
        <v>0</v>
      </c>
      <c r="F148" s="45">
        <f>K34</f>
        <v>2</v>
      </c>
      <c r="J148" s="89">
        <f t="shared" si="41"/>
        <v>0</v>
      </c>
      <c r="K148" s="89">
        <f t="shared" si="42"/>
        <v>0</v>
      </c>
      <c r="L148" s="71">
        <f>IF(E148=0,0,VLOOKUP(E148,'Prix Matiere'!$A$4:$J$65,10))</f>
        <v>0</v>
      </c>
      <c r="M148" s="71">
        <f t="shared" si="43"/>
        <v>0</v>
      </c>
      <c r="N148" s="3">
        <f t="shared" si="44"/>
        <v>0</v>
      </c>
      <c r="O148" s="71">
        <f t="shared" si="45"/>
        <v>0</v>
      </c>
      <c r="Q148" s="254">
        <f>IF(J148=0,0,J148*VLOOKUP(E148,'Prix Matiere'!$A$4:$L$60,12))</f>
        <v>0</v>
      </c>
      <c r="R148" s="90">
        <f>IF(J148=0,0,Q148*VLOOKUP(E148,'Prix Matiere'!$A$4:$L$60,11))</f>
        <v>0</v>
      </c>
    </row>
    <row r="149" spans="2:18" s="2" customFormat="1" ht="18" hidden="1" customHeight="1" x14ac:dyDescent="0.35">
      <c r="B149" s="45">
        <f>IF(H30="Aucun",0,"Milieu")</f>
        <v>0</v>
      </c>
      <c r="C149" s="85">
        <f>(C146-((C147*F147)+(C148*F148)))/(F148-1)</f>
        <v>0</v>
      </c>
      <c r="D149" s="85">
        <f t="shared" si="46"/>
        <v>0</v>
      </c>
      <c r="E149" s="85">
        <f>VLOOKUP(H30,$A$290:$L$295,9)</f>
        <v>0</v>
      </c>
      <c r="F149" s="45">
        <f>IF(H30="Aucun",0,F148-1)</f>
        <v>0</v>
      </c>
      <c r="J149" s="89">
        <f t="shared" si="41"/>
        <v>0</v>
      </c>
      <c r="K149" s="89">
        <f t="shared" si="42"/>
        <v>0</v>
      </c>
      <c r="L149" s="71">
        <f>IF(E149=0,0,VLOOKUP(E149,'Prix Matiere'!$A$4:$J$65,10))</f>
        <v>0</v>
      </c>
      <c r="M149" s="71">
        <f t="shared" si="43"/>
        <v>0</v>
      </c>
      <c r="N149" s="3">
        <f t="shared" si="44"/>
        <v>0</v>
      </c>
      <c r="O149" s="71">
        <f t="shared" si="45"/>
        <v>0</v>
      </c>
      <c r="Q149" s="254">
        <f>IF(J149=0,0,J149*VLOOKUP(E149,'Prix Matiere'!$A$4:$L$60,12))</f>
        <v>0</v>
      </c>
      <c r="R149" s="90">
        <f>IF(J149=0,0,Q149*VLOOKUP(E149,'Prix Matiere'!$A$4:$L$60,11))</f>
        <v>0</v>
      </c>
    </row>
    <row r="150" spans="2:18" s="2" customFormat="1" ht="18" hidden="1" customHeight="1" x14ac:dyDescent="0.35">
      <c r="B150" s="45">
        <f>IF(H30="Aucun",0,"Bouts avec passage de main")</f>
        <v>0</v>
      </c>
      <c r="C150" s="85">
        <f>IF(H30="Aucun",0,(J29-IF(J29&gt;120,30,15))/(F150/2))</f>
        <v>0</v>
      </c>
      <c r="D150" s="85">
        <f t="shared" si="46"/>
        <v>0</v>
      </c>
      <c r="E150" s="85">
        <f>VLOOKUP(H30,$A$290:$L$295,9)</f>
        <v>0</v>
      </c>
      <c r="F150" s="45">
        <f>IF(H30="Aucun",0,IF(J29&gt;120,6,4))</f>
        <v>0</v>
      </c>
      <c r="J150" s="89">
        <f t="shared" si="41"/>
        <v>0</v>
      </c>
      <c r="K150" s="89">
        <f t="shared" si="42"/>
        <v>0</v>
      </c>
      <c r="L150" s="71">
        <f>IF(E150=0,0,VLOOKUP(E150,'Prix Matiere'!$A$4:$J$65,10))</f>
        <v>0</v>
      </c>
      <c r="M150" s="71">
        <f t="shared" si="43"/>
        <v>0</v>
      </c>
      <c r="N150" s="3">
        <f t="shared" si="44"/>
        <v>0</v>
      </c>
      <c r="O150" s="71">
        <f t="shared" si="45"/>
        <v>0</v>
      </c>
      <c r="Q150" s="254">
        <f>IF(J150=0,0,J150*VLOOKUP(E150,'Prix Matiere'!$A$4:$L$60,12))</f>
        <v>0</v>
      </c>
      <c r="R150" s="90">
        <f>IF(J150=0,0,Q150*VLOOKUP(E150,'Prix Matiere'!$A$4:$L$60,11))</f>
        <v>0</v>
      </c>
    </row>
    <row r="151" spans="2:18" s="2" customFormat="1" ht="18" hidden="1" customHeight="1" x14ac:dyDescent="0.35">
      <c r="B151" s="45">
        <f>IF(H30="Aucun",0,"Fond")</f>
        <v>0</v>
      </c>
      <c r="C151" s="85">
        <f>IF(H30="Aucun",0,H29+VLOOKUP(H30,$A$290:$L$295,6))</f>
        <v>0</v>
      </c>
      <c r="D151" s="85">
        <f>IF(H30="Sous verre 2 faces",J29+VLOOKUP(H30,$A$290:$L$295,6),H33)</f>
        <v>0</v>
      </c>
      <c r="E151" s="85">
        <f>VLOOKUP(H30,$A$290:$L$295,8)</f>
        <v>0</v>
      </c>
      <c r="F151" s="45">
        <f>VLOOKUP(H30,$A$290:$L$295,7)</f>
        <v>0</v>
      </c>
      <c r="J151" s="89">
        <f t="shared" si="41"/>
        <v>0</v>
      </c>
      <c r="K151" s="89">
        <f t="shared" si="42"/>
        <v>0</v>
      </c>
      <c r="L151" s="71">
        <f>IF(E151=0,0,VLOOKUP(E151,'Prix Matiere'!$A$4:$J$65,10))</f>
        <v>0</v>
      </c>
      <c r="M151" s="71">
        <f t="shared" si="43"/>
        <v>0</v>
      </c>
      <c r="N151" s="3">
        <f t="shared" si="44"/>
        <v>0</v>
      </c>
      <c r="O151" s="71">
        <f t="shared" si="45"/>
        <v>0</v>
      </c>
      <c r="Q151" s="254">
        <f>IF(J151=0,0,J151*VLOOKUP(E151,'Prix Matiere'!$A$4:$L$60,12))</f>
        <v>0</v>
      </c>
      <c r="R151" s="90">
        <f>IF(J151=0,0,Q151*VLOOKUP(E151,'Prix Matiere'!$A$4:$L$60,11))</f>
        <v>0</v>
      </c>
    </row>
    <row r="152" spans="2:18" s="2" customFormat="1" ht="18" hidden="1" customHeight="1" x14ac:dyDescent="0.35">
      <c r="B152" s="45">
        <f>IF(H30="Aucun",0,"Remplis de fond")</f>
        <v>0</v>
      </c>
      <c r="C152" s="85">
        <f>IF(H30="Aucun",0,IF(H30="Sous verre 2 faces",0,J29-D151*2+VLOOKUP(H30,$A$290:$L$295,6)))</f>
        <v>0</v>
      </c>
      <c r="D152" s="85">
        <f>IF(H30="Sous verre 2 faces",0,H33)</f>
        <v>0</v>
      </c>
      <c r="E152" s="85">
        <f>IF(C152=0,0,VLOOKUP(H30,$A$290:$L$295,8))</f>
        <v>0</v>
      </c>
      <c r="F152" s="45">
        <f>IF(H30="Aucun",0,IF(H30="Sous verre 2 faces",0,2))</f>
        <v>0</v>
      </c>
      <c r="J152" s="89">
        <f t="shared" si="41"/>
        <v>0</v>
      </c>
      <c r="K152" s="89">
        <f t="shared" si="42"/>
        <v>0</v>
      </c>
      <c r="L152" s="71">
        <f>IF(E152=0,0,VLOOKUP(E152,'Prix Matiere'!$A$4:$J$65,10))</f>
        <v>0</v>
      </c>
      <c r="M152" s="71">
        <f t="shared" si="43"/>
        <v>0</v>
      </c>
      <c r="N152" s="3">
        <f t="shared" si="44"/>
        <v>0</v>
      </c>
      <c r="O152" s="71">
        <f t="shared" si="45"/>
        <v>0</v>
      </c>
      <c r="Q152" s="254">
        <f>IF(J152=0,0,J152*VLOOKUP(E152,'Prix Matiere'!$A$4:$L$60,12))</f>
        <v>0</v>
      </c>
      <c r="R152" s="90">
        <f>IF(J152=0,0,Q152*VLOOKUP(E152,'Prix Matiere'!$A$4:$L$60,11))</f>
        <v>0</v>
      </c>
    </row>
    <row r="153" spans="2:18" s="2" customFormat="1" ht="18" hidden="1" customHeight="1" x14ac:dyDescent="0.35">
      <c r="B153" s="45">
        <f>IF(H30="Aucun",0,"Dessus")</f>
        <v>0</v>
      </c>
      <c r="C153" s="85">
        <f>IF(H30="Aucun",0,H29+VLOOKUP(H30,$A$290:$L$295,10))</f>
        <v>0</v>
      </c>
      <c r="D153" s="85">
        <f>IF(H30="Sous verre 2 faces",H32+VLOOKUP(H30,$A$290:$L$295,10),IF(H30="Sous verre / bandes de mousse",H32+VLOOKUP(H30,$A$290:$L$295,10),H32))</f>
        <v>0</v>
      </c>
      <c r="E153" s="85">
        <f>VLOOKUP(H30,$A$290:$L$295,9)</f>
        <v>0</v>
      </c>
      <c r="F153" s="45">
        <f>VLOOKUP(H30,$A$290:$L$295,11)</f>
        <v>0</v>
      </c>
      <c r="J153" s="89">
        <f t="shared" si="41"/>
        <v>0</v>
      </c>
      <c r="K153" s="89">
        <f t="shared" si="42"/>
        <v>0</v>
      </c>
      <c r="L153" s="71">
        <f>IF(E153=0,0,VLOOKUP(E153,'Prix Matiere'!$A$4:$J$65,10))</f>
        <v>0</v>
      </c>
      <c r="M153" s="71">
        <f t="shared" si="43"/>
        <v>0</v>
      </c>
      <c r="N153" s="3">
        <f t="shared" si="44"/>
        <v>0</v>
      </c>
      <c r="O153" s="71">
        <f t="shared" si="45"/>
        <v>0</v>
      </c>
      <c r="Q153" s="254">
        <f>IF(J153=0,0,J153*VLOOKUP(E153,'Prix Matiere'!$A$4:$L$60,12))</f>
        <v>0</v>
      </c>
      <c r="R153" s="90">
        <f>IF(J153=0,0,Q153*VLOOKUP(E153,'Prix Matiere'!$A$4:$L$60,11))</f>
        <v>0</v>
      </c>
    </row>
    <row r="154" spans="2:18" s="2" customFormat="1" ht="18" hidden="1" customHeight="1" x14ac:dyDescent="0.35">
      <c r="B154" s="45">
        <f>IF(H30="Aucun",0,"Remplis de dessus")</f>
        <v>0</v>
      </c>
      <c r="C154" s="85">
        <f>IF(H30="Aucun",0,IF(H30="Sous verre 2 faces",0,IF(H30="Sous verre / bandes de mousse",0,J29-2*D153+VLOOKUP(H30,$A$290:$L$295,10))))</f>
        <v>0</v>
      </c>
      <c r="D154" s="85">
        <f>IF(H30="Sous verre / bandes de mousse",0,IF(H30="Sous verre 2 faces",0,H32))</f>
        <v>0</v>
      </c>
      <c r="E154" s="85">
        <f>IF(C154=0,0,VLOOKUP(H30,$A$290:$L$295,9))</f>
        <v>0</v>
      </c>
      <c r="F154" s="45">
        <f>IF(H30="Aucun",0,IF(H30="Sous verre 2 faces",0,IF(H30="Sous verre / bandes de mousse",0,2)))</f>
        <v>0</v>
      </c>
      <c r="J154" s="89">
        <f t="shared" si="41"/>
        <v>0</v>
      </c>
      <c r="K154" s="89">
        <f t="shared" si="42"/>
        <v>0</v>
      </c>
      <c r="L154" s="71">
        <f>IF(E154=0,0,VLOOKUP(E154,'Prix Matiere'!$A$4:$J$65,10))</f>
        <v>0</v>
      </c>
      <c r="M154" s="71">
        <f t="shared" si="43"/>
        <v>0</v>
      </c>
      <c r="N154" s="3">
        <f t="shared" si="44"/>
        <v>0</v>
      </c>
      <c r="O154" s="71">
        <f t="shared" si="45"/>
        <v>0</v>
      </c>
      <c r="Q154" s="254">
        <f>IF(J154=0,0,J154*VLOOKUP(E154,'Prix Matiere'!$A$4:$L$60,12))</f>
        <v>0</v>
      </c>
      <c r="R154" s="90">
        <f>IF(J154=0,0,Q154*VLOOKUP(E154,'Prix Matiere'!$A$4:$L$60,11))</f>
        <v>0</v>
      </c>
    </row>
    <row r="155" spans="2:18" s="2" customFormat="1" ht="18" hidden="1" customHeight="1" x14ac:dyDescent="0.35">
      <c r="B155" s="45">
        <f>IF(H30="Sous verre 2 faces",0,IF(H30="Aucun",0,"PU 20 mm"))</f>
        <v>0</v>
      </c>
      <c r="C155" s="85">
        <f>IF(B155=0,0,H29+VLOOKUP(H30,$A$290:$L$295,2))</f>
        <v>0</v>
      </c>
      <c r="D155" s="85">
        <f>IF(B155=0,0,J29+VLOOKUP(H30,$A$290:$L$295,4))</f>
        <v>0</v>
      </c>
      <c r="E155" s="85">
        <f>B155</f>
        <v>0</v>
      </c>
      <c r="F155" s="45">
        <f>IF(H30="Sous verre 2 faces",0,IF(H30="Aucun",0,IF(H30="Sous verre / bandes de mousse",1,2)))</f>
        <v>0</v>
      </c>
      <c r="J155" s="89">
        <f t="shared" si="41"/>
        <v>0</v>
      </c>
      <c r="K155" s="89">
        <f t="shared" si="42"/>
        <v>0</v>
      </c>
      <c r="L155" s="71">
        <f>IF(E155=0,0,VLOOKUP(E155,'Prix Matiere'!$A$4:$J$65,10))</f>
        <v>0</v>
      </c>
      <c r="M155" s="71">
        <f t="shared" si="43"/>
        <v>0</v>
      </c>
      <c r="N155" s="3">
        <f t="shared" si="44"/>
        <v>0</v>
      </c>
      <c r="O155" s="71">
        <f t="shared" si="45"/>
        <v>0</v>
      </c>
      <c r="Q155" s="254">
        <f>IF(J155=0,0,J155*VLOOKUP(E155,'Prix Matiere'!$A$4:$L$60,12))</f>
        <v>0</v>
      </c>
      <c r="R155" s="90">
        <f>IF(J155=0,0,Q155*VLOOKUP(E155,'Prix Matiere'!$A$4:$L$60,11))</f>
        <v>0</v>
      </c>
    </row>
    <row r="156" spans="2:18" s="2" customFormat="1" ht="18" hidden="1" customHeight="1" x14ac:dyDescent="0.35">
      <c r="B156" s="45">
        <f>IF(H30="Aucun",0,"Rattrapage 1")</f>
        <v>0</v>
      </c>
      <c r="C156" s="85">
        <f>IF(H35=0,0,H29+0.2)</f>
        <v>0</v>
      </c>
      <c r="D156" s="85">
        <f>IF(H35=0,0,H35)</f>
        <v>0</v>
      </c>
      <c r="E156" s="85">
        <f t="shared" ref="E156:E157" si="47">IF(C156=0,0,CONCATENATE("PU ",$J$35*10," mm"))</f>
        <v>0</v>
      </c>
      <c r="F156" s="45">
        <f>IF(H35=0,0,2)</f>
        <v>0</v>
      </c>
      <c r="J156" s="89">
        <f t="shared" si="41"/>
        <v>0</v>
      </c>
      <c r="K156" s="89">
        <f t="shared" si="42"/>
        <v>0</v>
      </c>
      <c r="L156" s="71">
        <f>IF(E156=0,0,VLOOKUP(E156,'Prix Matiere'!$A$4:$J$65,10))</f>
        <v>0</v>
      </c>
      <c r="M156" s="71">
        <f t="shared" si="43"/>
        <v>0</v>
      </c>
      <c r="N156" s="3">
        <f t="shared" si="44"/>
        <v>0</v>
      </c>
      <c r="O156" s="71">
        <f t="shared" si="45"/>
        <v>0</v>
      </c>
      <c r="Q156" s="254">
        <f>IF(J156=0,0,J156*VLOOKUP(E156,'Prix Matiere'!$A$4:$L$60,12))</f>
        <v>0</v>
      </c>
      <c r="R156" s="90">
        <f>IF(J156=0,0,Q156*VLOOKUP(E156,'Prix Matiere'!$A$4:$L$60,11))</f>
        <v>0</v>
      </c>
    </row>
    <row r="157" spans="2:18" s="2" customFormat="1" ht="18" hidden="1" customHeight="1" x14ac:dyDescent="0.35">
      <c r="B157" s="45">
        <f>IF(H30="Aucun",0,"Rattrapage 2")</f>
        <v>0</v>
      </c>
      <c r="C157" s="85">
        <f>IF(H35=0,0,J29+0.2-2*D156)</f>
        <v>0</v>
      </c>
      <c r="D157" s="85">
        <f>IF(H35=0,0,D156)</f>
        <v>0</v>
      </c>
      <c r="E157" s="85">
        <f t="shared" si="47"/>
        <v>0</v>
      </c>
      <c r="F157" s="45">
        <f>IF(H35=0,0,2)</f>
        <v>0</v>
      </c>
      <c r="J157" s="89">
        <f t="shared" si="41"/>
        <v>0</v>
      </c>
      <c r="K157" s="89">
        <f t="shared" si="42"/>
        <v>0</v>
      </c>
      <c r="L157" s="71">
        <f>IF(E157=0,0,VLOOKUP(E157,'Prix Matiere'!$A$4:$J$65,10))</f>
        <v>0</v>
      </c>
      <c r="M157" s="71">
        <f t="shared" si="43"/>
        <v>0</v>
      </c>
      <c r="N157" s="3">
        <f t="shared" si="44"/>
        <v>0</v>
      </c>
      <c r="O157" s="71">
        <f t="shared" si="45"/>
        <v>0</v>
      </c>
      <c r="Q157" s="254">
        <f>IF(J157=0,0,J157*VLOOKUP(E157,'Prix Matiere'!$A$4:$L$60,12))</f>
        <v>0</v>
      </c>
      <c r="R157" s="90">
        <f>IF(J157=0,0,Q157*VLOOKUP(E157,'Prix Matiere'!$A$4:$L$60,11))</f>
        <v>0</v>
      </c>
    </row>
    <row r="158" spans="2:18" s="2" customFormat="1" ht="18" hidden="1" customHeight="1" x14ac:dyDescent="0.35">
      <c r="B158" s="45">
        <f>IF(H30="Aucun",0,"Remplissage 1")</f>
        <v>0</v>
      </c>
      <c r="C158" s="85">
        <f t="shared" ref="C158:C159" si="48">IF(H36=0,0,H36)</f>
        <v>0</v>
      </c>
      <c r="D158" s="85">
        <f t="shared" ref="D158:D159" si="49">IF(H36=0,0,I36)</f>
        <v>0</v>
      </c>
      <c r="E158" s="85">
        <f>IF(C158=0,0,CONCATENATE("PU ",$J$36*10," mm"))</f>
        <v>0</v>
      </c>
      <c r="F158" s="45">
        <f t="shared" ref="F158:F159" si="50">IF(H36=0,0,1)</f>
        <v>0</v>
      </c>
      <c r="J158" s="89">
        <f t="shared" si="41"/>
        <v>0</v>
      </c>
      <c r="K158" s="89">
        <f t="shared" si="42"/>
        <v>0</v>
      </c>
      <c r="L158" s="71">
        <f>IF(E158=0,0,VLOOKUP(E158,'Prix Matiere'!$A$4:$J$65,10))</f>
        <v>0</v>
      </c>
      <c r="M158" s="71">
        <f t="shared" si="43"/>
        <v>0</v>
      </c>
      <c r="N158" s="3">
        <f t="shared" ref="N158:N159" si="51">IF(J158=0,0,4+(6*J158))</f>
        <v>0</v>
      </c>
      <c r="O158" s="71">
        <f t="shared" si="45"/>
        <v>0</v>
      </c>
      <c r="Q158" s="254">
        <f>IF(J158=0,0,J158*VLOOKUP(E158,'Prix Matiere'!$A$4:$L$60,12))</f>
        <v>0</v>
      </c>
      <c r="R158" s="90">
        <f>IF(J158=0,0,Q158*VLOOKUP(E158,'Prix Matiere'!$A$4:$L$60,11))</f>
        <v>0</v>
      </c>
    </row>
    <row r="159" spans="2:18" s="2" customFormat="1" ht="18" hidden="1" customHeight="1" x14ac:dyDescent="0.35">
      <c r="B159" s="45">
        <f>IF(H30="Aucun",0,"Remplissage 2")</f>
        <v>0</v>
      </c>
      <c r="C159" s="85">
        <f t="shared" si="48"/>
        <v>0</v>
      </c>
      <c r="D159" s="85">
        <f t="shared" si="49"/>
        <v>0</v>
      </c>
      <c r="E159" s="85">
        <f>IF(C159=0,0,CONCATENATE("PU ",$J$37*10," mm"))</f>
        <v>0</v>
      </c>
      <c r="F159" s="45">
        <f t="shared" si="50"/>
        <v>0</v>
      </c>
      <c r="J159" s="89">
        <f t="shared" si="41"/>
        <v>0</v>
      </c>
      <c r="K159" s="89">
        <f t="shared" si="42"/>
        <v>0</v>
      </c>
      <c r="L159" s="71">
        <f>IF(E159=0,0,VLOOKUP(E159,'Prix Matiere'!$A$4:$J$65,10))</f>
        <v>0</v>
      </c>
      <c r="M159" s="71">
        <f t="shared" si="43"/>
        <v>0</v>
      </c>
      <c r="N159" s="3">
        <f t="shared" si="51"/>
        <v>0</v>
      </c>
      <c r="O159" s="71">
        <f t="shared" si="45"/>
        <v>0</v>
      </c>
      <c r="Q159" s="254">
        <f>IF(J159=0,0,J159*VLOOKUP(E159,'Prix Matiere'!$A$4:$L$60,12))</f>
        <v>0</v>
      </c>
      <c r="R159" s="90">
        <f>IF(J159=0,0,Q159*VLOOKUP(E159,'Prix Matiere'!$A$4:$L$60,11))</f>
        <v>0</v>
      </c>
    </row>
    <row r="160" spans="2:18" s="2" customFormat="1" ht="18" hidden="1" customHeight="1" x14ac:dyDescent="0.35">
      <c r="B160" s="45">
        <f>IF(H30="Aucun",0,"Carton")</f>
        <v>0</v>
      </c>
      <c r="C160" s="85">
        <f>IF(F160=0,0,H29+VLOOKUP(H30,$A$290:$L$295,10))</f>
        <v>0</v>
      </c>
      <c r="D160" s="85">
        <f>IF(E160=0,0,J29+VLOOKUP(H30,$A$290:$L$295,10))</f>
        <v>0</v>
      </c>
      <c r="E160" s="85">
        <f>IF(C160=0,0,"Carton")</f>
        <v>0</v>
      </c>
      <c r="F160" s="45">
        <f>VLOOKUP(H30,$A$290:$L$295,12)</f>
        <v>0</v>
      </c>
      <c r="J160" s="89">
        <f t="shared" si="41"/>
        <v>0</v>
      </c>
      <c r="K160" s="89">
        <f t="shared" si="42"/>
        <v>0</v>
      </c>
      <c r="L160" s="71">
        <f>IF(E160=0,0,Carton)</f>
        <v>0</v>
      </c>
      <c r="M160" s="71">
        <f t="shared" si="43"/>
        <v>0</v>
      </c>
      <c r="N160" s="3">
        <f>IF(J160=0,0,1+(3*J160))</f>
        <v>0</v>
      </c>
      <c r="O160" s="71">
        <f t="shared" si="45"/>
        <v>0</v>
      </c>
      <c r="Q160" s="254">
        <f>IF(J160=0,0,J160*Poids_Carton)</f>
        <v>0</v>
      </c>
      <c r="R160" s="90">
        <f>IF(J160=0,0,Q160*VLOOKUP(E160,'Prix Matiere'!$A$4:$L$60,11))</f>
        <v>0</v>
      </c>
    </row>
    <row r="161" spans="1:18" s="2" customFormat="1" ht="18" hidden="1" customHeight="1" x14ac:dyDescent="0.35">
      <c r="C161" s="256"/>
      <c r="D161" s="256"/>
      <c r="E161" s="256"/>
      <c r="J161" s="89"/>
      <c r="K161" s="89"/>
      <c r="L161" s="71"/>
      <c r="M161" s="71"/>
      <c r="N161" s="3"/>
      <c r="O161" s="71"/>
      <c r="Q161" s="254">
        <f>IF(J161=0,0,J161*VLOOKUP(E161,'Prix Matiere'!$A$4:$L$60,12))</f>
        <v>0</v>
      </c>
      <c r="R161" s="90"/>
    </row>
    <row r="162" spans="1:18" s="2" customFormat="1" ht="18" hidden="1" customHeight="1" x14ac:dyDescent="0.35">
      <c r="A162" s="257" t="s">
        <v>160</v>
      </c>
      <c r="B162" s="258">
        <f>IF(B56=0,0,"GC cuvette 1")</f>
        <v>0</v>
      </c>
      <c r="C162" s="259">
        <f>IF(B56=0,0,H56)</f>
        <v>0</v>
      </c>
      <c r="D162" s="259">
        <f>IF(B56=0,0,I55)</f>
        <v>0</v>
      </c>
      <c r="E162" s="259">
        <f>IF(B56=0,0,"Peuplier 15 mm")</f>
        <v>0</v>
      </c>
      <c r="F162" s="260">
        <f>IF(B56=0,0,2)</f>
        <v>0</v>
      </c>
      <c r="J162" s="89">
        <f t="shared" ref="J162:J164" si="52">IF(C162=0,0,(C162/100)*(D162/100)*F162)</f>
        <v>0</v>
      </c>
      <c r="K162" s="89">
        <f t="shared" ref="K162:K164" si="53">J162/0.8</f>
        <v>0</v>
      </c>
      <c r="L162" s="71">
        <f>IF(E162=0,0,VLOOKUP(E162,'Prix Matiere'!$A$4:$J$65,10))</f>
        <v>0</v>
      </c>
      <c r="M162" s="71">
        <f t="shared" ref="M162:M164" si="54">L162*K162</f>
        <v>0</v>
      </c>
      <c r="N162" s="3">
        <f t="shared" ref="N162:N164" si="55">IF(J162=0,0,5+(6*J162))</f>
        <v>0</v>
      </c>
      <c r="O162" s="71">
        <f>N162*MinuteMO</f>
        <v>0</v>
      </c>
      <c r="Q162" s="254">
        <f>IF(J162=0,0,J162*VLOOKUP(E162,'Prix Matiere'!$A$4:$L$60,12))</f>
        <v>0</v>
      </c>
      <c r="R162" s="90">
        <f>IF(J162=0,0,Q162*VLOOKUP(E162,'Prix Matiere'!$A$4:$L$60,11))</f>
        <v>0</v>
      </c>
    </row>
    <row r="163" spans="1:18" s="2" customFormat="1" ht="18" hidden="1" customHeight="1" x14ac:dyDescent="0.35">
      <c r="A163" s="178"/>
      <c r="B163" s="45">
        <f>IF(B56=0,0,"Bouts cuvette 1")</f>
        <v>0</v>
      </c>
      <c r="C163" s="85">
        <f>IF(B56=0,0,J55)</f>
        <v>0</v>
      </c>
      <c r="D163" s="85">
        <f>D162</f>
        <v>0</v>
      </c>
      <c r="E163" s="85">
        <f>IF(B56=0,0,"Peuplier 15 mm")</f>
        <v>0</v>
      </c>
      <c r="F163" s="175">
        <f>IF(B56=0,0,2)</f>
        <v>0</v>
      </c>
      <c r="J163" s="89">
        <f t="shared" si="52"/>
        <v>0</v>
      </c>
      <c r="K163" s="89">
        <f t="shared" si="53"/>
        <v>0</v>
      </c>
      <c r="L163" s="71">
        <f>IF(E163=0,0,VLOOKUP(E163,'Prix Matiere'!$A$4:$J$65,10))</f>
        <v>0</v>
      </c>
      <c r="M163" s="71">
        <f t="shared" si="54"/>
        <v>0</v>
      </c>
      <c r="N163" s="3">
        <f t="shared" si="55"/>
        <v>0</v>
      </c>
      <c r="O163" s="71">
        <f>N163*MinuteMO</f>
        <v>0</v>
      </c>
      <c r="Q163" s="254">
        <f>IF(J163=0,0,J163*VLOOKUP(E163,'Prix Matiere'!$A$4:$L$60,12))</f>
        <v>0</v>
      </c>
      <c r="R163" s="90">
        <f>IF(J163=0,0,Q163*VLOOKUP(E163,'Prix Matiere'!$A$4:$L$60,11))</f>
        <v>0</v>
      </c>
    </row>
    <row r="164" spans="1:18" s="2" customFormat="1" ht="18" hidden="1" customHeight="1" x14ac:dyDescent="0.35">
      <c r="A164" s="261"/>
      <c r="B164" s="262">
        <f>IF(B56=0,0,"Fond cuvette 1")</f>
        <v>0</v>
      </c>
      <c r="C164" s="263">
        <f>IF(B56=0,0,C162)</f>
        <v>0</v>
      </c>
      <c r="D164" s="263">
        <f>IF(B56=0,0,C163+3)</f>
        <v>0</v>
      </c>
      <c r="E164" s="263">
        <f>IF(B56=0,0,"Peuplier 10 mm")</f>
        <v>0</v>
      </c>
      <c r="F164" s="184">
        <f>IF(B56=0,0,1)</f>
        <v>0</v>
      </c>
      <c r="J164" s="89">
        <f t="shared" si="52"/>
        <v>0</v>
      </c>
      <c r="K164" s="89">
        <f t="shared" si="53"/>
        <v>0</v>
      </c>
      <c r="L164" s="71">
        <f>IF(E164=0,0,VLOOKUP(E164,'Prix Matiere'!$A$4:$J$65,10))</f>
        <v>0</v>
      </c>
      <c r="M164" s="71">
        <f t="shared" si="54"/>
        <v>0</v>
      </c>
      <c r="N164" s="3">
        <f t="shared" si="55"/>
        <v>0</v>
      </c>
      <c r="O164" s="71">
        <f>N164*MinuteMO</f>
        <v>0</v>
      </c>
      <c r="Q164" s="254">
        <f>IF(J164=0,0,J164*VLOOKUP(E164,'Prix Matiere'!$A$4:$L$60,12))</f>
        <v>0</v>
      </c>
      <c r="R164" s="90">
        <f>IF(J164=0,0,Q164*VLOOKUP(E164,'Prix Matiere'!$A$4:$L$60,11))</f>
        <v>0</v>
      </c>
    </row>
    <row r="165" spans="1:18" s="2" customFormat="1" ht="18" hidden="1" customHeight="1" x14ac:dyDescent="0.35">
      <c r="J165" s="89"/>
      <c r="K165" s="89"/>
      <c r="L165" s="71"/>
      <c r="N165" s="3"/>
      <c r="O165" s="71"/>
      <c r="Q165" s="254"/>
      <c r="R165" s="90"/>
    </row>
    <row r="166" spans="1:18" s="2" customFormat="1" ht="18" hidden="1" customHeight="1" x14ac:dyDescent="0.35">
      <c r="B166" s="38" t="s">
        <v>161</v>
      </c>
      <c r="J166" s="89"/>
      <c r="K166" s="89"/>
      <c r="L166" s="71"/>
      <c r="M166" s="71"/>
      <c r="N166" s="3"/>
      <c r="O166" s="71"/>
      <c r="Q166" s="254">
        <f>IF(J166=0,0,J166*VLOOKUP(E166,'Prix Matiere'!$A$4:$L$60,12))</f>
        <v>0</v>
      </c>
      <c r="R166" s="90">
        <f>IF(J166=0,0,Q166*VLOOKUP(E166,'Prix Matiere'!$A$4:$L$60,11))</f>
        <v>0</v>
      </c>
    </row>
    <row r="167" spans="1:18" s="2" customFormat="1" ht="18" hidden="1" customHeight="1" x14ac:dyDescent="0.35">
      <c r="B167" s="41">
        <f>IF(B45="Aucun",0,"Dessus")</f>
        <v>0</v>
      </c>
      <c r="C167" s="85">
        <f>IF(B45="Aucun",0,VLOOKUP(B45,$A$290:$L$295,2)+B44)</f>
        <v>0</v>
      </c>
      <c r="D167" s="85">
        <f>IF(B45="Aucun",0,C44+VLOOKUP(B45,$A$290:$L$295,5))</f>
        <v>0</v>
      </c>
      <c r="E167" s="85">
        <f>VLOOKUP(B45,$A$290:$L$295,9)</f>
        <v>0</v>
      </c>
      <c r="F167" s="45">
        <f>IF(B45="Aucun",0,1)</f>
        <v>0</v>
      </c>
      <c r="J167" s="89">
        <f t="shared" ref="J167:J181" si="56">IF(C167=0,0,(C167/100)*(D167/100)*F167)</f>
        <v>0</v>
      </c>
      <c r="K167" s="89">
        <f t="shared" ref="K167:K181" si="57">J167/0.8</f>
        <v>0</v>
      </c>
      <c r="L167" s="71">
        <f>IF(E167=0,0,VLOOKUP(E167,'Prix Matiere'!$A$4:$J$65,10))</f>
        <v>0</v>
      </c>
      <c r="M167" s="71">
        <f t="shared" ref="M167:M181" si="58">L167*K167</f>
        <v>0</v>
      </c>
      <c r="N167" s="3">
        <f t="shared" ref="N167:N178" si="59">IF(J167=0,0,1+(6*J167))</f>
        <v>0</v>
      </c>
      <c r="O167" s="71">
        <f t="shared" ref="O167:O181" si="60">N167*MinuteMO</f>
        <v>0</v>
      </c>
      <c r="Q167" s="254">
        <f>IF(J167=0,0,J167*VLOOKUP(E167,'Prix Matiere'!$A$4:$L$60,12))</f>
        <v>0</v>
      </c>
      <c r="R167" s="90">
        <f>IF(J167=0,0,Q167*VLOOKUP(E167,'Prix Matiere'!$A$4:$L$60,11))</f>
        <v>0</v>
      </c>
    </row>
    <row r="168" spans="1:18" s="2" customFormat="1" ht="18" hidden="1" customHeight="1" x14ac:dyDescent="0.35">
      <c r="B168" s="45">
        <f>IF(B45="Aucun",0,"Extrémité")</f>
        <v>0</v>
      </c>
      <c r="C168" s="85">
        <f>IF(B45="Aucun",0,IF(B44&lt;60,10,IF(B44&lt;80,15,20)))</f>
        <v>0</v>
      </c>
      <c r="D168" s="85">
        <f t="shared" ref="D168:D171" si="61">D167</f>
        <v>0</v>
      </c>
      <c r="E168" s="85">
        <f>VLOOKUP(B45,$A$290:$L$295,9)</f>
        <v>0</v>
      </c>
      <c r="F168" s="45">
        <f>IF(B45="Aucun",0,2)</f>
        <v>0</v>
      </c>
      <c r="J168" s="89">
        <f t="shared" si="56"/>
        <v>0</v>
      </c>
      <c r="K168" s="89">
        <f t="shared" si="57"/>
        <v>0</v>
      </c>
      <c r="L168" s="71">
        <f>IF(E168=0,0,VLOOKUP(E168,'Prix Matiere'!$A$4:$J$65,10))</f>
        <v>0</v>
      </c>
      <c r="M168" s="71">
        <f t="shared" si="58"/>
        <v>0</v>
      </c>
      <c r="N168" s="3">
        <f t="shared" si="59"/>
        <v>0</v>
      </c>
      <c r="O168" s="71">
        <f t="shared" si="60"/>
        <v>0</v>
      </c>
      <c r="Q168" s="254">
        <f>IF(J168=0,0,J168*VLOOKUP(E168,'Prix Matiere'!$A$4:$L$60,12))</f>
        <v>0</v>
      </c>
      <c r="R168" s="90">
        <f>IF(J168=0,0,Q168*VLOOKUP(E168,'Prix Matiere'!$A$4:$L$60,11))</f>
        <v>0</v>
      </c>
    </row>
    <row r="169" spans="1:18" s="2" customFormat="1" ht="18" hidden="1" customHeight="1" x14ac:dyDescent="0.35">
      <c r="B169" s="45">
        <f>IF(B45="Aucun",0,A49)</f>
        <v>0</v>
      </c>
      <c r="C169" s="85">
        <f>B49</f>
        <v>0</v>
      </c>
      <c r="D169" s="85">
        <f t="shared" si="61"/>
        <v>0</v>
      </c>
      <c r="E169" s="85">
        <f>IF(B45="Aucun",0,IF(B169="Ethafoam 50 mm","Ethafoam 50 mm","Agglocelle 50 mm"))</f>
        <v>0</v>
      </c>
      <c r="F169" s="45">
        <f>E49</f>
        <v>2</v>
      </c>
      <c r="J169" s="89">
        <f t="shared" si="56"/>
        <v>0</v>
      </c>
      <c r="K169" s="89">
        <f t="shared" si="57"/>
        <v>0</v>
      </c>
      <c r="L169" s="71">
        <f>IF(E169=0,0,VLOOKUP(E169,'Prix Matiere'!$A$4:$J$65,10))</f>
        <v>0</v>
      </c>
      <c r="M169" s="71">
        <f t="shared" si="58"/>
        <v>0</v>
      </c>
      <c r="N169" s="3">
        <f t="shared" si="59"/>
        <v>0</v>
      </c>
      <c r="O169" s="71">
        <f t="shared" si="60"/>
        <v>0</v>
      </c>
      <c r="Q169" s="254">
        <f>IF(J169=0,0,J169*VLOOKUP(E169,'Prix Matiere'!$A$4:$L$60,12))</f>
        <v>0</v>
      </c>
      <c r="R169" s="90">
        <f>IF(J169=0,0,Q169*VLOOKUP(E169,'Prix Matiere'!$A$4:$L$60,11))</f>
        <v>0</v>
      </c>
    </row>
    <row r="170" spans="1:18" s="2" customFormat="1" ht="18" hidden="1" customHeight="1" x14ac:dyDescent="0.35">
      <c r="B170" s="45">
        <f>IF(B45="Aucun",0,"Milieu")</f>
        <v>0</v>
      </c>
      <c r="C170" s="85">
        <f>(C167-((C168*F168)+(C169*F169)))/(F169-1)</f>
        <v>0</v>
      </c>
      <c r="D170" s="85">
        <f t="shared" si="61"/>
        <v>0</v>
      </c>
      <c r="E170" s="85">
        <f>VLOOKUP(B45,$A$290:$L$295,9)</f>
        <v>0</v>
      </c>
      <c r="F170" s="45">
        <f>IF(B45="Aucun",0,F169-1)</f>
        <v>0</v>
      </c>
      <c r="J170" s="89">
        <f t="shared" si="56"/>
        <v>0</v>
      </c>
      <c r="K170" s="89">
        <f t="shared" si="57"/>
        <v>0</v>
      </c>
      <c r="L170" s="71">
        <f>IF(E170=0,0,VLOOKUP(E170,'Prix Matiere'!$A$4:$J$65,10))</f>
        <v>0</v>
      </c>
      <c r="M170" s="71">
        <f t="shared" si="58"/>
        <v>0</v>
      </c>
      <c r="N170" s="3">
        <f t="shared" si="59"/>
        <v>0</v>
      </c>
      <c r="O170" s="71">
        <f t="shared" si="60"/>
        <v>0</v>
      </c>
      <c r="Q170" s="254">
        <f>IF(J170=0,0,J170*VLOOKUP(E170,'Prix Matiere'!$A$4:$L$60,12))</f>
        <v>0</v>
      </c>
      <c r="R170" s="90">
        <f>IF(J170=0,0,Q170*VLOOKUP(E170,'Prix Matiere'!$A$4:$L$60,11))</f>
        <v>0</v>
      </c>
    </row>
    <row r="171" spans="1:18" s="2" customFormat="1" ht="18" hidden="1" customHeight="1" x14ac:dyDescent="0.35">
      <c r="B171" s="45">
        <f>IF(B45="Aucun",0,"Bouts avec passage de main")</f>
        <v>0</v>
      </c>
      <c r="C171" s="85">
        <f>IF(B45="Aucun",0,(D44-IF(D44&gt;120,30,15))/(F171/2))</f>
        <v>0</v>
      </c>
      <c r="D171" s="85">
        <f t="shared" si="61"/>
        <v>0</v>
      </c>
      <c r="E171" s="85">
        <f>VLOOKUP(B45,$A$290:$L$295,9)</f>
        <v>0</v>
      </c>
      <c r="F171" s="45">
        <f>IF(B45="Aucun",0,IF(D44&gt;120,6,4))</f>
        <v>0</v>
      </c>
      <c r="J171" s="89">
        <f t="shared" si="56"/>
        <v>0</v>
      </c>
      <c r="K171" s="89">
        <f t="shared" si="57"/>
        <v>0</v>
      </c>
      <c r="L171" s="71">
        <f>IF(E171=0,0,VLOOKUP(E171,'Prix Matiere'!$A$4:$J$65,10))</f>
        <v>0</v>
      </c>
      <c r="M171" s="71">
        <f t="shared" si="58"/>
        <v>0</v>
      </c>
      <c r="N171" s="3">
        <f t="shared" si="59"/>
        <v>0</v>
      </c>
      <c r="O171" s="71">
        <f t="shared" si="60"/>
        <v>0</v>
      </c>
      <c r="Q171" s="254">
        <f>IF(J171=0,0,J171*VLOOKUP(E171,'Prix Matiere'!$A$4:$L$60,12))</f>
        <v>0</v>
      </c>
      <c r="R171" s="90">
        <f>IF(J171=0,0,Q171*VLOOKUP(E171,'Prix Matiere'!$A$4:$L$60,11))</f>
        <v>0</v>
      </c>
    </row>
    <row r="172" spans="1:18" s="2" customFormat="1" ht="18" hidden="1" customHeight="1" x14ac:dyDescent="0.35">
      <c r="B172" s="45">
        <f>IF(B45="Aucun",0,"Fond")</f>
        <v>0</v>
      </c>
      <c r="C172" s="85">
        <f>IF(B45="Aucun",0,B44+VLOOKUP(B45,$A$290:$L$295,6))</f>
        <v>0</v>
      </c>
      <c r="D172" s="85">
        <f>IF(B45="Sous verre 2 faces",D44+VLOOKUP(B45,$A$290:$L$295,6),B48)</f>
        <v>0</v>
      </c>
      <c r="E172" s="85">
        <f>VLOOKUP(B45,$A$290:$L$295,8)</f>
        <v>0</v>
      </c>
      <c r="F172" s="45">
        <f>VLOOKUP(B45,$A$290:$L$295,7)</f>
        <v>0</v>
      </c>
      <c r="J172" s="89">
        <f t="shared" si="56"/>
        <v>0</v>
      </c>
      <c r="K172" s="89">
        <f t="shared" si="57"/>
        <v>0</v>
      </c>
      <c r="L172" s="71">
        <f>IF(E172=0,0,VLOOKUP(E172,'Prix Matiere'!$A$4:$J$65,10))</f>
        <v>0</v>
      </c>
      <c r="M172" s="71">
        <f t="shared" si="58"/>
        <v>0</v>
      </c>
      <c r="N172" s="3">
        <f t="shared" si="59"/>
        <v>0</v>
      </c>
      <c r="O172" s="71">
        <f t="shared" si="60"/>
        <v>0</v>
      </c>
      <c r="Q172" s="254">
        <f>IF(J172=0,0,J172*VLOOKUP(E172,'Prix Matiere'!$A$4:$L$60,12))</f>
        <v>0</v>
      </c>
      <c r="R172" s="90">
        <f>IF(J172=0,0,Q172*VLOOKUP(E172,'Prix Matiere'!$A$4:$L$60,11))</f>
        <v>0</v>
      </c>
    </row>
    <row r="173" spans="1:18" s="2" customFormat="1" ht="18" hidden="1" customHeight="1" x14ac:dyDescent="0.35">
      <c r="B173" s="45">
        <f>IF(B45="Aucun",0,"Remplis de fond")</f>
        <v>0</v>
      </c>
      <c r="C173" s="85">
        <f>IF(B45="Aucun",0,IF(B45="Sous verre 2 faces",0,D44-D172*2+VLOOKUP(B45,$A$290:$L$295,6)))</f>
        <v>0</v>
      </c>
      <c r="D173" s="85">
        <f>IF(B45="Sous verre 2 faces",0,B48)</f>
        <v>0</v>
      </c>
      <c r="E173" s="85">
        <f>IF(C173=0,0,VLOOKUP(B45,$A$290:$L$295,8))</f>
        <v>0</v>
      </c>
      <c r="F173" s="45">
        <f>IF(B45="Aucun",0,IF(B45="Sous verre 2 faces",0,2))</f>
        <v>0</v>
      </c>
      <c r="J173" s="89">
        <f t="shared" si="56"/>
        <v>0</v>
      </c>
      <c r="K173" s="89">
        <f t="shared" si="57"/>
        <v>0</v>
      </c>
      <c r="L173" s="71">
        <f>IF(E173=0,0,VLOOKUP(E173,'Prix Matiere'!$A$4:$J$65,10))</f>
        <v>0</v>
      </c>
      <c r="M173" s="71">
        <f t="shared" si="58"/>
        <v>0</v>
      </c>
      <c r="N173" s="3">
        <f t="shared" si="59"/>
        <v>0</v>
      </c>
      <c r="O173" s="71">
        <f t="shared" si="60"/>
        <v>0</v>
      </c>
      <c r="Q173" s="254">
        <f>IF(J173=0,0,J173*VLOOKUP(E173,'Prix Matiere'!$A$4:$L$60,12))</f>
        <v>0</v>
      </c>
      <c r="R173" s="90">
        <f>IF(J173=0,0,Q173*VLOOKUP(E173,'Prix Matiere'!$A$4:$L$60,11))</f>
        <v>0</v>
      </c>
    </row>
    <row r="174" spans="1:18" s="2" customFormat="1" ht="18" hidden="1" customHeight="1" x14ac:dyDescent="0.35">
      <c r="B174" s="45">
        <f>IF(B45="Aucun",0,"Dessus")</f>
        <v>0</v>
      </c>
      <c r="C174" s="85">
        <f>IF(B45="Aucun",0,B44+VLOOKUP(B45,$A$290:$L$295,10))</f>
        <v>0</v>
      </c>
      <c r="D174" s="85">
        <f>IF(B45="Sous verre 2 faces",D44+VLOOKUP(B45,$A$290:$L$295,10),IF(B45="Sous verre / bandes de mousse",D44+VLOOKUP(B45,$A$290:$L$295,10),B47))</f>
        <v>0</v>
      </c>
      <c r="E174" s="85">
        <f>VLOOKUP(B45,$A$290:$L$295,9)</f>
        <v>0</v>
      </c>
      <c r="F174" s="45">
        <f>VLOOKUP(B45,$A$290:$L$295,11)</f>
        <v>0</v>
      </c>
      <c r="J174" s="89">
        <f t="shared" si="56"/>
        <v>0</v>
      </c>
      <c r="K174" s="89">
        <f t="shared" si="57"/>
        <v>0</v>
      </c>
      <c r="L174" s="71">
        <f>IF(E174=0,0,VLOOKUP(E174,'Prix Matiere'!$A$4:$J$65,10))</f>
        <v>0</v>
      </c>
      <c r="M174" s="71">
        <f t="shared" si="58"/>
        <v>0</v>
      </c>
      <c r="N174" s="3">
        <f t="shared" si="59"/>
        <v>0</v>
      </c>
      <c r="O174" s="71">
        <f t="shared" si="60"/>
        <v>0</v>
      </c>
      <c r="Q174" s="254">
        <f>IF(J174=0,0,J174*VLOOKUP(E174,'Prix Matiere'!$A$4:$L$60,12))</f>
        <v>0</v>
      </c>
      <c r="R174" s="90">
        <f>IF(J174=0,0,Q174*VLOOKUP(E174,'Prix Matiere'!$A$4:$L$60,11))</f>
        <v>0</v>
      </c>
    </row>
    <row r="175" spans="1:18" s="2" customFormat="1" ht="18" hidden="1" customHeight="1" x14ac:dyDescent="0.35">
      <c r="B175" s="45">
        <f>IF(B45="Aucun",0,"Remplis de dessus")</f>
        <v>0</v>
      </c>
      <c r="C175" s="85">
        <f>IF(B45="Aucun",0,IF(B45="Sous verre 2 faces",0,IF(B45="Sous verre / bandes de mousse",0,D44-2*D174+VLOOKUP(B45,$A$290:$L$295,10))))</f>
        <v>0</v>
      </c>
      <c r="D175" s="85">
        <f>IF(B45="Sous verre / bandes de mousse",0,IF(B45="Sous verre 2 faces",0,B47))</f>
        <v>0</v>
      </c>
      <c r="E175" s="85">
        <f>IF(C175=0,0,VLOOKUP(B45,$A$290:$L$295,9))</f>
        <v>0</v>
      </c>
      <c r="F175" s="45">
        <f>IF(B45="Aucun",0,IF(B45="Sous verre 2 faces",0,IF(B45="Sous verre / bandes de mousse",0,2)))</f>
        <v>0</v>
      </c>
      <c r="J175" s="89">
        <f t="shared" si="56"/>
        <v>0</v>
      </c>
      <c r="K175" s="89">
        <f t="shared" si="57"/>
        <v>0</v>
      </c>
      <c r="L175" s="71">
        <f>IF(E175=0,0,VLOOKUP(E175,'Prix Matiere'!$A$4:$J$65,10))</f>
        <v>0</v>
      </c>
      <c r="M175" s="71">
        <f t="shared" si="58"/>
        <v>0</v>
      </c>
      <c r="N175" s="3">
        <f t="shared" si="59"/>
        <v>0</v>
      </c>
      <c r="O175" s="71">
        <f t="shared" si="60"/>
        <v>0</v>
      </c>
      <c r="Q175" s="254">
        <f>IF(J175=0,0,J175*VLOOKUP(E175,'Prix Matiere'!$A$4:$L$60,12))</f>
        <v>0</v>
      </c>
      <c r="R175" s="90">
        <f>IF(J175=0,0,Q175*VLOOKUP(E175,'Prix Matiere'!$A$4:$L$60,11))</f>
        <v>0</v>
      </c>
    </row>
    <row r="176" spans="1:18" s="2" customFormat="1" ht="18" hidden="1" customHeight="1" x14ac:dyDescent="0.35">
      <c r="B176" s="45">
        <f>IF(B45="Sous verre 2 faces",0,IF(B45="Aucun",0,"PU 20 mm"))</f>
        <v>0</v>
      </c>
      <c r="C176" s="85">
        <f>IF(B176=0,0,B44+VLOOKUP(B45,$A$290:$L$295,2))</f>
        <v>0</v>
      </c>
      <c r="D176" s="85">
        <f>IF(B176=0,0,D44+VLOOKUP(B45,$A$290:$L$295,4))</f>
        <v>0</v>
      </c>
      <c r="E176" s="85">
        <f>B176</f>
        <v>0</v>
      </c>
      <c r="F176" s="45">
        <f>IF(B45="Sous verre 2 faces",0,IF(B45="Aucun",0,IF(B45="Sous verre / bandes de mousse",1,2)))</f>
        <v>0</v>
      </c>
      <c r="J176" s="89">
        <f t="shared" si="56"/>
        <v>0</v>
      </c>
      <c r="K176" s="89">
        <f t="shared" si="57"/>
        <v>0</v>
      </c>
      <c r="L176" s="71">
        <f>IF(E176=0,0,VLOOKUP(E176,'Prix Matiere'!$A$4:$J$65,10))</f>
        <v>0</v>
      </c>
      <c r="M176" s="71">
        <f t="shared" si="58"/>
        <v>0</v>
      </c>
      <c r="N176" s="3">
        <f t="shared" si="59"/>
        <v>0</v>
      </c>
      <c r="O176" s="71">
        <f t="shared" si="60"/>
        <v>0</v>
      </c>
      <c r="Q176" s="254">
        <f>IF(J176=0,0,J176*VLOOKUP(E176,'Prix Matiere'!$A$4:$L$60,12))</f>
        <v>0</v>
      </c>
      <c r="R176" s="90">
        <f>IF(J176=0,0,Q176*VLOOKUP(E176,'Prix Matiere'!$A$4:$L$60,11))</f>
        <v>0</v>
      </c>
    </row>
    <row r="177" spans="2:18" s="2" customFormat="1" ht="18" hidden="1" customHeight="1" x14ac:dyDescent="0.35">
      <c r="B177" s="45">
        <f>IF(B45="Aucun",0,"Rattrapage 1")</f>
        <v>0</v>
      </c>
      <c r="C177" s="85">
        <f>IF(B50=0,0,B44+0.2)</f>
        <v>0</v>
      </c>
      <c r="D177" s="85">
        <f>IF(B50=0,0,B50)</f>
        <v>0</v>
      </c>
      <c r="E177" s="85">
        <f t="shared" ref="E177:E178" si="62">IF(C177=0,0,CONCATENATE("PU ",$D$50*10," mm"))</f>
        <v>0</v>
      </c>
      <c r="F177" s="45">
        <f>IF(B50=0,0,2)</f>
        <v>0</v>
      </c>
      <c r="J177" s="89">
        <f t="shared" si="56"/>
        <v>0</v>
      </c>
      <c r="K177" s="89">
        <f t="shared" si="57"/>
        <v>0</v>
      </c>
      <c r="L177" s="71">
        <f>IF(E177=0,0,VLOOKUP(E177,'Prix Matiere'!$A$4:$J$65,10))</f>
        <v>0</v>
      </c>
      <c r="M177" s="71">
        <f t="shared" si="58"/>
        <v>0</v>
      </c>
      <c r="N177" s="3">
        <f t="shared" si="59"/>
        <v>0</v>
      </c>
      <c r="O177" s="71">
        <f t="shared" si="60"/>
        <v>0</v>
      </c>
      <c r="Q177" s="254">
        <f>IF(J177=0,0,J177*VLOOKUP(E177,'Prix Matiere'!$A$4:$L$60,12))</f>
        <v>0</v>
      </c>
      <c r="R177" s="90">
        <f>IF(J177=0,0,Q177*VLOOKUP(E177,'Prix Matiere'!$A$4:$L$60,11))</f>
        <v>0</v>
      </c>
    </row>
    <row r="178" spans="2:18" s="2" customFormat="1" ht="18" hidden="1" customHeight="1" x14ac:dyDescent="0.35">
      <c r="B178" s="45">
        <f>IF(B45="Aucun",0,"Rattrapage 2")</f>
        <v>0</v>
      </c>
      <c r="C178" s="85">
        <f>IF(B50=0,0,D44+0.2-2*D177)</f>
        <v>0</v>
      </c>
      <c r="D178" s="85">
        <f>IF(B50=0,0,D177)</f>
        <v>0</v>
      </c>
      <c r="E178" s="85">
        <f t="shared" si="62"/>
        <v>0</v>
      </c>
      <c r="F178" s="45">
        <f>IF(B50=0,0,2)</f>
        <v>0</v>
      </c>
      <c r="J178" s="89">
        <f t="shared" si="56"/>
        <v>0</v>
      </c>
      <c r="K178" s="89">
        <f t="shared" si="57"/>
        <v>0</v>
      </c>
      <c r="L178" s="71">
        <f>IF(E178=0,0,VLOOKUP(E178,'Prix Matiere'!$A$4:$J$65,10))</f>
        <v>0</v>
      </c>
      <c r="M178" s="71">
        <f t="shared" si="58"/>
        <v>0</v>
      </c>
      <c r="N178" s="3">
        <f t="shared" si="59"/>
        <v>0</v>
      </c>
      <c r="O178" s="71">
        <f t="shared" si="60"/>
        <v>0</v>
      </c>
      <c r="Q178" s="254">
        <f>IF(J178=0,0,J178*VLOOKUP(E178,'Prix Matiere'!$A$4:$L$60,12))</f>
        <v>0</v>
      </c>
      <c r="R178" s="90">
        <f>IF(J178=0,0,Q178*VLOOKUP(E178,'Prix Matiere'!$A$4:$L$60,11))</f>
        <v>0</v>
      </c>
    </row>
    <row r="179" spans="2:18" s="2" customFormat="1" ht="18" hidden="1" customHeight="1" x14ac:dyDescent="0.35">
      <c r="B179" s="45">
        <f>IF(B45="Aucun",0,"Remplissage 1")</f>
        <v>0</v>
      </c>
      <c r="C179" s="85">
        <f t="shared" ref="C179:D179" si="63">IF(B51=0,0,B51)</f>
        <v>0</v>
      </c>
      <c r="D179" s="85">
        <f t="shared" si="63"/>
        <v>0</v>
      </c>
      <c r="E179" s="85">
        <f>IF(C179=0,0,CONCATENATE("PU ",$D$51*10," mm"))</f>
        <v>0</v>
      </c>
      <c r="F179" s="45">
        <f t="shared" ref="F179:F180" si="64">IF(B51=0,0,1)</f>
        <v>0</v>
      </c>
      <c r="J179" s="89">
        <f t="shared" si="56"/>
        <v>0</v>
      </c>
      <c r="K179" s="89">
        <f t="shared" si="57"/>
        <v>0</v>
      </c>
      <c r="L179" s="71">
        <f>IF(E179=0,0,VLOOKUP(E179,'Prix Matiere'!$A$4:$J$65,10))</f>
        <v>0</v>
      </c>
      <c r="M179" s="71">
        <f t="shared" si="58"/>
        <v>0</v>
      </c>
      <c r="N179" s="3">
        <f t="shared" ref="N179:N180" si="65">IF(J179=0,0,4+(6*J179))</f>
        <v>0</v>
      </c>
      <c r="O179" s="71">
        <f t="shared" si="60"/>
        <v>0</v>
      </c>
      <c r="Q179" s="254">
        <f>IF(J179=0,0,J179*VLOOKUP(E179,'Prix Matiere'!$A$4:$L$60,12))</f>
        <v>0</v>
      </c>
      <c r="R179" s="90">
        <f>IF(J179=0,0,Q179*VLOOKUP(E179,'Prix Matiere'!$A$4:$L$60,11))</f>
        <v>0</v>
      </c>
    </row>
    <row r="180" spans="2:18" s="2" customFormat="1" ht="18" hidden="1" customHeight="1" x14ac:dyDescent="0.35">
      <c r="B180" s="45">
        <f>IF(B45="Aucun",0,"Remplissage 2")</f>
        <v>0</v>
      </c>
      <c r="C180" s="85">
        <f t="shared" ref="C180:D180" si="66">IF(B52=0,0,B52)</f>
        <v>0</v>
      </c>
      <c r="D180" s="85">
        <f t="shared" si="66"/>
        <v>0</v>
      </c>
      <c r="E180" s="85">
        <f>IF(C180=0,0,CONCATENATE("PU ",$D$52*10," mm"))</f>
        <v>0</v>
      </c>
      <c r="F180" s="45">
        <f t="shared" si="64"/>
        <v>0</v>
      </c>
      <c r="J180" s="89">
        <f t="shared" si="56"/>
        <v>0</v>
      </c>
      <c r="K180" s="89">
        <f t="shared" si="57"/>
        <v>0</v>
      </c>
      <c r="L180" s="71">
        <f>IF(E180=0,0,VLOOKUP(E180,'Prix Matiere'!$A$4:$J$65,10))</f>
        <v>0</v>
      </c>
      <c r="M180" s="71">
        <f t="shared" si="58"/>
        <v>0</v>
      </c>
      <c r="N180" s="3">
        <f t="shared" si="65"/>
        <v>0</v>
      </c>
      <c r="O180" s="71">
        <f t="shared" si="60"/>
        <v>0</v>
      </c>
      <c r="Q180" s="254">
        <f>IF(J180=0,0,J180*VLOOKUP(E180,'Prix Matiere'!$A$4:$L$60,12))</f>
        <v>0</v>
      </c>
      <c r="R180" s="90">
        <f>IF(J180=0,0,Q180*VLOOKUP(E180,'Prix Matiere'!$A$4:$L$60,11))</f>
        <v>0</v>
      </c>
    </row>
    <row r="181" spans="2:18" s="2" customFormat="1" ht="18" hidden="1" customHeight="1" x14ac:dyDescent="0.35">
      <c r="B181" s="45">
        <f>IF(B45="Aucun",0,"Carton")</f>
        <v>0</v>
      </c>
      <c r="C181" s="85">
        <f>IF(F181=0,0,B44+VLOOKUP(B45,$A$290:$L$295,10))</f>
        <v>0</v>
      </c>
      <c r="D181" s="85">
        <f>IF(E181=0,0,D44+VLOOKUP(B45,$A$290:$L$295,10))</f>
        <v>0</v>
      </c>
      <c r="E181" s="85">
        <f>IF(C181=0,0,"Carton")</f>
        <v>0</v>
      </c>
      <c r="F181" s="45">
        <f>VLOOKUP(B45,$A$290:$L$295,12)</f>
        <v>0</v>
      </c>
      <c r="J181" s="89">
        <f t="shared" si="56"/>
        <v>0</v>
      </c>
      <c r="K181" s="89">
        <f t="shared" si="57"/>
        <v>0</v>
      </c>
      <c r="L181" s="71">
        <f>IF(E181=0,0,Carton)</f>
        <v>0</v>
      </c>
      <c r="M181" s="71">
        <f t="shared" si="58"/>
        <v>0</v>
      </c>
      <c r="N181" s="3">
        <f>IF(J181=0,0,1+(3*J181))</f>
        <v>0</v>
      </c>
      <c r="O181" s="71">
        <f t="shared" si="60"/>
        <v>0</v>
      </c>
      <c r="Q181" s="254">
        <f>IF(J181=0,0,J181*Poids_Carton)</f>
        <v>0</v>
      </c>
      <c r="R181" s="90">
        <f>IF(J181=0,0,Q181*VLOOKUP(E181,'Prix Matiere'!$A$4:$L$60,11))</f>
        <v>0</v>
      </c>
    </row>
    <row r="182" spans="2:18" s="2" customFormat="1" ht="18" hidden="1" customHeight="1" x14ac:dyDescent="0.35">
      <c r="J182" s="89"/>
      <c r="K182" s="89"/>
      <c r="L182" s="71"/>
      <c r="N182" s="3"/>
      <c r="O182" s="71"/>
      <c r="Q182" s="254"/>
      <c r="R182" s="90"/>
    </row>
    <row r="183" spans="2:18" s="2" customFormat="1" ht="18" hidden="1" customHeight="1" x14ac:dyDescent="0.35">
      <c r="B183" s="38" t="s">
        <v>162</v>
      </c>
      <c r="J183" s="89"/>
      <c r="K183" s="89"/>
      <c r="L183" s="71"/>
      <c r="M183" s="71"/>
      <c r="N183" s="3"/>
      <c r="O183" s="71"/>
      <c r="Q183" s="254"/>
      <c r="R183" s="90"/>
    </row>
    <row r="184" spans="2:18" s="2" customFormat="1" ht="18" hidden="1" customHeight="1" x14ac:dyDescent="0.35">
      <c r="B184" s="41">
        <f>IF(H45="Aucun",0,"Dessus")</f>
        <v>0</v>
      </c>
      <c r="C184" s="85">
        <f>IF(H45="Aucun",0,VLOOKUP(H45,$A$290:$L$295,2)+H44)</f>
        <v>0</v>
      </c>
      <c r="D184" s="85">
        <f>IF(H45="Aucun",0,I44+VLOOKUP(H45,$A$290:$L$295,5))</f>
        <v>0</v>
      </c>
      <c r="E184" s="85">
        <f>VLOOKUP(H45,$A$290:$L$295,9)</f>
        <v>0</v>
      </c>
      <c r="F184" s="45">
        <f>IF(H45="Aucun",0,1)</f>
        <v>0</v>
      </c>
      <c r="J184" s="89">
        <f t="shared" ref="J184:J198" si="67">IF(C184=0,0,(C184/100)*(D184/100)*F184)</f>
        <v>0</v>
      </c>
      <c r="K184" s="89">
        <f t="shared" ref="K184:K198" si="68">J184/0.8</f>
        <v>0</v>
      </c>
      <c r="L184" s="71">
        <f>IF(E184=0,0,VLOOKUP(E184,'Prix Matiere'!$A$4:$J$65,10))</f>
        <v>0</v>
      </c>
      <c r="M184" s="71">
        <f t="shared" ref="M184:M198" si="69">L184*K184</f>
        <v>0</v>
      </c>
      <c r="N184" s="3">
        <f t="shared" ref="N184:N195" si="70">IF(J184=0,0,1+(6*J184))</f>
        <v>0</v>
      </c>
      <c r="O184" s="71">
        <f t="shared" ref="O184:O198" si="71">N184*MinuteMO</f>
        <v>0</v>
      </c>
      <c r="Q184" s="254">
        <f>IF(J184=0,0,J184*VLOOKUP(E184,'Prix Matiere'!$A$4:$L$60,12))</f>
        <v>0</v>
      </c>
      <c r="R184" s="90">
        <f>IF(J184=0,0,Q184*VLOOKUP(E184,'Prix Matiere'!$A$4:$L$60,11))</f>
        <v>0</v>
      </c>
    </row>
    <row r="185" spans="2:18" s="2" customFormat="1" ht="18" hidden="1" customHeight="1" x14ac:dyDescent="0.35">
      <c r="B185" s="45">
        <f>IF(H45="Aucun",0,"Extrémité")</f>
        <v>0</v>
      </c>
      <c r="C185" s="85">
        <f>IF(H45="Aucun",0,IF(B44&lt;60,10,IF(H44&lt;80,15,20)))</f>
        <v>0</v>
      </c>
      <c r="D185" s="85">
        <f t="shared" ref="D185:D188" si="72">D184</f>
        <v>0</v>
      </c>
      <c r="E185" s="85">
        <f>VLOOKUP(H45,$A$290:$L$295,9)</f>
        <v>0</v>
      </c>
      <c r="F185" s="45">
        <f>IF(H45="Aucun",0,2)</f>
        <v>0</v>
      </c>
      <c r="J185" s="89">
        <f t="shared" si="67"/>
        <v>0</v>
      </c>
      <c r="K185" s="89">
        <f t="shared" si="68"/>
        <v>0</v>
      </c>
      <c r="L185" s="71">
        <f>IF(E185=0,0,VLOOKUP(E185,'Prix Matiere'!$A$4:$J$65,10))</f>
        <v>0</v>
      </c>
      <c r="M185" s="71">
        <f t="shared" si="69"/>
        <v>0</v>
      </c>
      <c r="N185" s="3">
        <f t="shared" si="70"/>
        <v>0</v>
      </c>
      <c r="O185" s="71">
        <f t="shared" si="71"/>
        <v>0</v>
      </c>
      <c r="Q185" s="254">
        <f>IF(J185=0,0,J185*VLOOKUP(E185,'Prix Matiere'!$A$4:$L$60,12))</f>
        <v>0</v>
      </c>
      <c r="R185" s="90">
        <f>IF(J185=0,0,Q185*VLOOKUP(E185,'Prix Matiere'!$A$4:$L$60,11))</f>
        <v>0</v>
      </c>
    </row>
    <row r="186" spans="2:18" s="2" customFormat="1" ht="18" hidden="1" customHeight="1" x14ac:dyDescent="0.35">
      <c r="B186" s="45">
        <f>IF(H45="Aucun",0,G49)</f>
        <v>0</v>
      </c>
      <c r="C186" s="85">
        <f>H49</f>
        <v>0</v>
      </c>
      <c r="D186" s="85">
        <f t="shared" si="72"/>
        <v>0</v>
      </c>
      <c r="E186" s="85">
        <f>IF(H45="Aucun",0,IF(B186="Ethafoam 50 mm","Ethafoam 50 mm","Agglocelle 50 mm"))</f>
        <v>0</v>
      </c>
      <c r="F186" s="45">
        <f>K49</f>
        <v>2</v>
      </c>
      <c r="J186" s="89">
        <f t="shared" si="67"/>
        <v>0</v>
      </c>
      <c r="K186" s="89">
        <f t="shared" si="68"/>
        <v>0</v>
      </c>
      <c r="L186" s="71">
        <f>IF(E186=0,0,VLOOKUP(E186,'Prix Matiere'!$A$4:$J$65,10))</f>
        <v>0</v>
      </c>
      <c r="M186" s="71">
        <f t="shared" si="69"/>
        <v>0</v>
      </c>
      <c r="N186" s="3">
        <f t="shared" si="70"/>
        <v>0</v>
      </c>
      <c r="O186" s="71">
        <f t="shared" si="71"/>
        <v>0</v>
      </c>
      <c r="Q186" s="254">
        <f>IF(J186=0,0,J186*VLOOKUP(E186,'Prix Matiere'!$A$4:$L$60,12))</f>
        <v>0</v>
      </c>
      <c r="R186" s="90">
        <f>IF(J186=0,0,Q186*VLOOKUP(E186,'Prix Matiere'!$A$4:$L$60,11))</f>
        <v>0</v>
      </c>
    </row>
    <row r="187" spans="2:18" s="2" customFormat="1" ht="18" hidden="1" customHeight="1" x14ac:dyDescent="0.35">
      <c r="B187" s="45">
        <f>IF(H45="Aucun",0,"Milieu")</f>
        <v>0</v>
      </c>
      <c r="C187" s="85">
        <f>(C184-((C185*F185)+(C186*F186)))/(F186-1)</f>
        <v>0</v>
      </c>
      <c r="D187" s="85">
        <f t="shared" si="72"/>
        <v>0</v>
      </c>
      <c r="E187" s="85">
        <f>VLOOKUP(H45,$A$290:$L$295,9)</f>
        <v>0</v>
      </c>
      <c r="F187" s="45">
        <f>IF(H45="Aucun",0,F186-1)</f>
        <v>0</v>
      </c>
      <c r="J187" s="89">
        <f t="shared" si="67"/>
        <v>0</v>
      </c>
      <c r="K187" s="89">
        <f t="shared" si="68"/>
        <v>0</v>
      </c>
      <c r="L187" s="71">
        <f>IF(E187=0,0,VLOOKUP(E187,'Prix Matiere'!$A$4:$J$65,10))</f>
        <v>0</v>
      </c>
      <c r="M187" s="71">
        <f t="shared" si="69"/>
        <v>0</v>
      </c>
      <c r="N187" s="3">
        <f t="shared" si="70"/>
        <v>0</v>
      </c>
      <c r="O187" s="71">
        <f t="shared" si="71"/>
        <v>0</v>
      </c>
      <c r="Q187" s="254">
        <f>IF(J187=0,0,J187*VLOOKUP(E187,'Prix Matiere'!$A$4:$L$60,12))</f>
        <v>0</v>
      </c>
      <c r="R187" s="90">
        <f>IF(J187=0,0,Q187*VLOOKUP(E187,'Prix Matiere'!$A$4:$L$60,11))</f>
        <v>0</v>
      </c>
    </row>
    <row r="188" spans="2:18" s="2" customFormat="1" ht="18" hidden="1" customHeight="1" x14ac:dyDescent="0.35">
      <c r="B188" s="45">
        <f>IF(H45="Aucun",0,"Bouts avec passage de main")</f>
        <v>0</v>
      </c>
      <c r="C188" s="85">
        <f>IF(H45="Aucun",0,(J44-IF(J44&gt;120,30,15))/(F188/2))</f>
        <v>0</v>
      </c>
      <c r="D188" s="85">
        <f t="shared" si="72"/>
        <v>0</v>
      </c>
      <c r="E188" s="85">
        <f>VLOOKUP(H45,$A$290:$L$295,9)</f>
        <v>0</v>
      </c>
      <c r="F188" s="45">
        <f>IF(H45="Aucun",0,IF(J44&gt;120,6,4))</f>
        <v>0</v>
      </c>
      <c r="J188" s="89">
        <f t="shared" si="67"/>
        <v>0</v>
      </c>
      <c r="K188" s="89">
        <f t="shared" si="68"/>
        <v>0</v>
      </c>
      <c r="L188" s="71">
        <f>IF(E188=0,0,VLOOKUP(E188,'Prix Matiere'!$A$4:$J$65,10))</f>
        <v>0</v>
      </c>
      <c r="M188" s="71">
        <f t="shared" si="69"/>
        <v>0</v>
      </c>
      <c r="N188" s="3">
        <f t="shared" si="70"/>
        <v>0</v>
      </c>
      <c r="O188" s="71">
        <f t="shared" si="71"/>
        <v>0</v>
      </c>
      <c r="Q188" s="254">
        <f>IF(J188=0,0,J188*VLOOKUP(E188,'Prix Matiere'!$A$4:$L$60,12))</f>
        <v>0</v>
      </c>
      <c r="R188" s="90">
        <f>IF(J188=0,0,Q188*VLOOKUP(E188,'Prix Matiere'!$A$4:$L$60,11))</f>
        <v>0</v>
      </c>
    </row>
    <row r="189" spans="2:18" s="2" customFormat="1" ht="18" hidden="1" customHeight="1" x14ac:dyDescent="0.35">
      <c r="B189" s="45">
        <f>IF(H45="Aucun",0,"Fond")</f>
        <v>0</v>
      </c>
      <c r="C189" s="85">
        <f>IF(H45="Aucun",0,H44+VLOOKUP(H45,$A$290:$L$295,6))</f>
        <v>0</v>
      </c>
      <c r="D189" s="85">
        <f>IF(H45="Sous verre 2 faces",J44+VLOOKUP(H45,$A$290:$L$295,6),H48)</f>
        <v>0</v>
      </c>
      <c r="E189" s="85">
        <f>VLOOKUP(H45,$A$290:$L$295,8)</f>
        <v>0</v>
      </c>
      <c r="F189" s="45">
        <f>VLOOKUP(H45,$A$290:$L$295,7)</f>
        <v>0</v>
      </c>
      <c r="J189" s="89">
        <f t="shared" si="67"/>
        <v>0</v>
      </c>
      <c r="K189" s="89">
        <f t="shared" si="68"/>
        <v>0</v>
      </c>
      <c r="L189" s="71">
        <f>IF(E189=0,0,VLOOKUP(E189,'Prix Matiere'!$A$4:$J$65,10))</f>
        <v>0</v>
      </c>
      <c r="M189" s="71">
        <f t="shared" si="69"/>
        <v>0</v>
      </c>
      <c r="N189" s="3">
        <f t="shared" si="70"/>
        <v>0</v>
      </c>
      <c r="O189" s="71">
        <f t="shared" si="71"/>
        <v>0</v>
      </c>
      <c r="Q189" s="254">
        <f>IF(J189=0,0,J189*VLOOKUP(E189,'Prix Matiere'!$A$4:$L$60,12))</f>
        <v>0</v>
      </c>
      <c r="R189" s="90">
        <f>IF(J189=0,0,Q189*VLOOKUP(E189,'Prix Matiere'!$A$4:$L$60,11))</f>
        <v>0</v>
      </c>
    </row>
    <row r="190" spans="2:18" s="2" customFormat="1" ht="18" hidden="1" customHeight="1" x14ac:dyDescent="0.35">
      <c r="B190" s="45">
        <f>IF(H45="Aucun",0,"Remplis de fond")</f>
        <v>0</v>
      </c>
      <c r="C190" s="85">
        <f>IF(H45="Aucun",0,IF(H45="Sous verre 2 faces",0,J44-D189*2+VLOOKUP(H45,$A$290:$L$295,6)))</f>
        <v>0</v>
      </c>
      <c r="D190" s="85">
        <f>IF(H45="Sous verre 2 faces",0,H48)</f>
        <v>0</v>
      </c>
      <c r="E190" s="85">
        <f>IF(C190=0,0,VLOOKUP(H45,$A$290:$L$295,8))</f>
        <v>0</v>
      </c>
      <c r="F190" s="45">
        <f>IF(H45="Aucun",0,IF(H45="Sous verre 2 faces",0,2))</f>
        <v>0</v>
      </c>
      <c r="J190" s="89">
        <f t="shared" si="67"/>
        <v>0</v>
      </c>
      <c r="K190" s="89">
        <f t="shared" si="68"/>
        <v>0</v>
      </c>
      <c r="L190" s="71">
        <f>IF(E190=0,0,VLOOKUP(E190,'Prix Matiere'!$A$4:$J$65,10))</f>
        <v>0</v>
      </c>
      <c r="M190" s="71">
        <f t="shared" si="69"/>
        <v>0</v>
      </c>
      <c r="N190" s="3">
        <f t="shared" si="70"/>
        <v>0</v>
      </c>
      <c r="O190" s="71">
        <f t="shared" si="71"/>
        <v>0</v>
      </c>
      <c r="Q190" s="254">
        <f>IF(J190=0,0,J190*VLOOKUP(E190,'Prix Matiere'!$A$4:$L$60,12))</f>
        <v>0</v>
      </c>
      <c r="R190" s="90">
        <f>IF(J190=0,0,Q190*VLOOKUP(E190,'Prix Matiere'!$A$4:$L$60,11))</f>
        <v>0</v>
      </c>
    </row>
    <row r="191" spans="2:18" s="2" customFormat="1" ht="18" hidden="1" customHeight="1" x14ac:dyDescent="0.35">
      <c r="B191" s="45">
        <f>IF(H45="Aucun",0,"Dessus")</f>
        <v>0</v>
      </c>
      <c r="C191" s="85">
        <f>IF(H45="Aucun",0,H44+VLOOKUP(H45,$A$290:$L$295,10))</f>
        <v>0</v>
      </c>
      <c r="D191" s="85">
        <f>IF(H45="Sous verre 2 faces",J44+VLOOKUP(H45,$A$290:$L$295,10),IF(H45="Sous verre / bandes de mousse",J44+VLOOKUP(H45,$A$290:$L$295,10),H47))</f>
        <v>0</v>
      </c>
      <c r="E191" s="85">
        <f>VLOOKUP(H45,$A$290:$L$295,9)</f>
        <v>0</v>
      </c>
      <c r="F191" s="45">
        <f>VLOOKUP(H45,$A$290:$L$295,11)</f>
        <v>0</v>
      </c>
      <c r="J191" s="89">
        <f t="shared" si="67"/>
        <v>0</v>
      </c>
      <c r="K191" s="89">
        <f t="shared" si="68"/>
        <v>0</v>
      </c>
      <c r="L191" s="71">
        <f>IF(E191=0,0,VLOOKUP(E191,'Prix Matiere'!$A$4:$J$65,10))</f>
        <v>0</v>
      </c>
      <c r="M191" s="71">
        <f t="shared" si="69"/>
        <v>0</v>
      </c>
      <c r="N191" s="3">
        <f t="shared" si="70"/>
        <v>0</v>
      </c>
      <c r="O191" s="71">
        <f t="shared" si="71"/>
        <v>0</v>
      </c>
      <c r="Q191" s="254">
        <f>IF(J191=0,0,J191*VLOOKUP(E191,'Prix Matiere'!$A$4:$L$60,12))</f>
        <v>0</v>
      </c>
      <c r="R191" s="90">
        <f>IF(J191=0,0,Q191*VLOOKUP(E191,'Prix Matiere'!$A$4:$L$60,11))</f>
        <v>0</v>
      </c>
    </row>
    <row r="192" spans="2:18" s="2" customFormat="1" ht="18" hidden="1" customHeight="1" x14ac:dyDescent="0.35">
      <c r="B192" s="45">
        <f>IF(H45="Aucun",0,"Remplis de dessus")</f>
        <v>0</v>
      </c>
      <c r="C192" s="85">
        <f>IF(H45="Aucun",0,IF(H45="Sous verre 2 faces",0,IF(H45="Sous verre / bandes de mousse",0,J44-2*D191+VLOOKUP(H45,$A$290:$L$295,10))))</f>
        <v>0</v>
      </c>
      <c r="D192" s="85">
        <f>IF(H45="Sous verre / bandes de mousse",0,IF(H45="Sous verre 2 faces",0,H47))</f>
        <v>0</v>
      </c>
      <c r="E192" s="85">
        <f>IF(C192=0,0,VLOOKUP(H45,$A$290:$L$295,9))</f>
        <v>0</v>
      </c>
      <c r="F192" s="45">
        <f>IF(H45="Aucun",0,IF(H45="Sous verre 2 faces",0,IF(H45="Sous verre / bandes de mousse",0,2)))</f>
        <v>0</v>
      </c>
      <c r="J192" s="89">
        <f t="shared" si="67"/>
        <v>0</v>
      </c>
      <c r="K192" s="89">
        <f t="shared" si="68"/>
        <v>0</v>
      </c>
      <c r="L192" s="71">
        <f>IF(E192=0,0,VLOOKUP(E192,'Prix Matiere'!$A$4:$J$65,10))</f>
        <v>0</v>
      </c>
      <c r="M192" s="71">
        <f t="shared" si="69"/>
        <v>0</v>
      </c>
      <c r="N192" s="3">
        <f t="shared" si="70"/>
        <v>0</v>
      </c>
      <c r="O192" s="71">
        <f t="shared" si="71"/>
        <v>0</v>
      </c>
      <c r="Q192" s="254">
        <f>IF(J192=0,0,J192*VLOOKUP(E192,'Prix Matiere'!$A$4:$L$60,12))</f>
        <v>0</v>
      </c>
      <c r="R192" s="90">
        <f>IF(J192=0,0,Q192*VLOOKUP(E192,'Prix Matiere'!$A$4:$L$60,11))</f>
        <v>0</v>
      </c>
    </row>
    <row r="193" spans="1:18" s="2" customFormat="1" ht="18" hidden="1" customHeight="1" x14ac:dyDescent="0.35">
      <c r="B193" s="45">
        <f>IF(H45="Sous verre 2 faces",0,IF(H45="Aucun",0,"PU 20 mm"))</f>
        <v>0</v>
      </c>
      <c r="C193" s="85">
        <f>IF(B193=0,0,H44+VLOOKUP(H45,$A$290:$L$295,2))</f>
        <v>0</v>
      </c>
      <c r="D193" s="85">
        <f>IF(B193=0,0,J44+VLOOKUP(H45,$A$290:$L$295,4))</f>
        <v>0</v>
      </c>
      <c r="E193" s="85">
        <f>B193</f>
        <v>0</v>
      </c>
      <c r="F193" s="45">
        <f>IF(H45="Sous verre 2 faces",0,IF(H45="Aucun",0,IF(H45="Sous verre / bandes de mousse",1,2)))</f>
        <v>0</v>
      </c>
      <c r="J193" s="89">
        <f t="shared" si="67"/>
        <v>0</v>
      </c>
      <c r="K193" s="89">
        <f t="shared" si="68"/>
        <v>0</v>
      </c>
      <c r="L193" s="71">
        <f>IF(E193=0,0,VLOOKUP(E193,'Prix Matiere'!$A$4:$J$65,10))</f>
        <v>0</v>
      </c>
      <c r="M193" s="71">
        <f t="shared" si="69"/>
        <v>0</v>
      </c>
      <c r="N193" s="3">
        <f t="shared" si="70"/>
        <v>0</v>
      </c>
      <c r="O193" s="71">
        <f t="shared" si="71"/>
        <v>0</v>
      </c>
      <c r="Q193" s="254">
        <f>IF(J193=0,0,J193*VLOOKUP(E193,'Prix Matiere'!$A$4:$L$60,12))</f>
        <v>0</v>
      </c>
      <c r="R193" s="90">
        <f>IF(J193=0,0,Q193*VLOOKUP(E193,'Prix Matiere'!$A$4:$L$60,11))</f>
        <v>0</v>
      </c>
    </row>
    <row r="194" spans="1:18" s="2" customFormat="1" ht="18" hidden="1" customHeight="1" x14ac:dyDescent="0.35">
      <c r="B194" s="45">
        <f>IF(H45="Aucun",0,"Rattrapage 1")</f>
        <v>0</v>
      </c>
      <c r="C194" s="85">
        <f>IF(H50=0,0,H44+0.2)</f>
        <v>0</v>
      </c>
      <c r="D194" s="85">
        <f>IF(H50=0,0,H50)</f>
        <v>0</v>
      </c>
      <c r="E194" s="85">
        <f t="shared" ref="E194:E195" si="73">IF(C194=0,0,CONCATENATE("PU ",$J$50*10," mm"))</f>
        <v>0</v>
      </c>
      <c r="F194" s="45"/>
      <c r="J194" s="89">
        <f t="shared" si="67"/>
        <v>0</v>
      </c>
      <c r="K194" s="89">
        <f t="shared" si="68"/>
        <v>0</v>
      </c>
      <c r="L194" s="71">
        <f>IF(E194=0,0,VLOOKUP(E194,'Prix Matiere'!$A$4:$J$65,10))</f>
        <v>0</v>
      </c>
      <c r="M194" s="71">
        <f t="shared" si="69"/>
        <v>0</v>
      </c>
      <c r="N194" s="3">
        <f t="shared" si="70"/>
        <v>0</v>
      </c>
      <c r="O194" s="71">
        <f t="shared" si="71"/>
        <v>0</v>
      </c>
      <c r="Q194" s="254">
        <f>IF(J194=0,0,J194*VLOOKUP(E194,'Prix Matiere'!$A$4:$L$60,12))</f>
        <v>0</v>
      </c>
      <c r="R194" s="90">
        <f>IF(J194=0,0,Q194*VLOOKUP(E194,'Prix Matiere'!$A$4:$L$60,11))</f>
        <v>0</v>
      </c>
    </row>
    <row r="195" spans="1:18" s="2" customFormat="1" ht="18" hidden="1" customHeight="1" x14ac:dyDescent="0.35">
      <c r="B195" s="45">
        <f>IF(H45="Aucun",0,"Rattrapage 2")</f>
        <v>0</v>
      </c>
      <c r="C195" s="85">
        <f>IF(H50=0,0,J44+0.2-2*D194)</f>
        <v>0</v>
      </c>
      <c r="D195" s="85">
        <f>IF(H50=0,0,D194)</f>
        <v>0</v>
      </c>
      <c r="E195" s="85">
        <f t="shared" si="73"/>
        <v>0</v>
      </c>
      <c r="F195" s="45">
        <f>IF(H50=0,0,2)</f>
        <v>0</v>
      </c>
      <c r="J195" s="89">
        <f t="shared" si="67"/>
        <v>0</v>
      </c>
      <c r="K195" s="89">
        <f t="shared" si="68"/>
        <v>0</v>
      </c>
      <c r="L195" s="71">
        <f>IF(E195=0,0,VLOOKUP(E195,'Prix Matiere'!$A$4:$J$65,10))</f>
        <v>0</v>
      </c>
      <c r="M195" s="71">
        <f t="shared" si="69"/>
        <v>0</v>
      </c>
      <c r="N195" s="3">
        <f t="shared" si="70"/>
        <v>0</v>
      </c>
      <c r="O195" s="71">
        <f t="shared" si="71"/>
        <v>0</v>
      </c>
      <c r="Q195" s="254">
        <f>IF(J195=0,0,J195*VLOOKUP(E195,'Prix Matiere'!$A$4:$L$60,12))</f>
        <v>0</v>
      </c>
      <c r="R195" s="90">
        <f>IF(J195=0,0,Q195*VLOOKUP(E195,'Prix Matiere'!$A$4:$L$60,11))</f>
        <v>0</v>
      </c>
    </row>
    <row r="196" spans="1:18" s="2" customFormat="1" ht="18" hidden="1" customHeight="1" x14ac:dyDescent="0.35">
      <c r="B196" s="45">
        <f>IF(H45="Aucun",0,"Remplissage 1")</f>
        <v>0</v>
      </c>
      <c r="C196" s="85">
        <f t="shared" ref="C196:C197" si="74">IF(H51=0,0,H51)</f>
        <v>0</v>
      </c>
      <c r="D196" s="85">
        <f t="shared" ref="D196:D197" si="75">IF(H51=0,0,I51)</f>
        <v>0</v>
      </c>
      <c r="E196" s="85">
        <f>IF(C196=0,0,CONCATENATE("PU ",$J$51*10," mm"))</f>
        <v>0</v>
      </c>
      <c r="F196" s="45">
        <f t="shared" ref="F196:F197" si="76">IF(H51=0,0,1)</f>
        <v>0</v>
      </c>
      <c r="J196" s="89">
        <f t="shared" si="67"/>
        <v>0</v>
      </c>
      <c r="K196" s="89">
        <f t="shared" si="68"/>
        <v>0</v>
      </c>
      <c r="L196" s="71">
        <f>IF(E196=0,0,VLOOKUP(E196,'Prix Matiere'!$A$4:$J$65,10))</f>
        <v>0</v>
      </c>
      <c r="M196" s="71">
        <f t="shared" si="69"/>
        <v>0</v>
      </c>
      <c r="N196" s="3">
        <f t="shared" ref="N196:N197" si="77">IF(J196=0,0,4+(6*J196))</f>
        <v>0</v>
      </c>
      <c r="O196" s="71">
        <f t="shared" si="71"/>
        <v>0</v>
      </c>
      <c r="Q196" s="254">
        <f>IF(J196=0,0,J196*VLOOKUP(E196,'Prix Matiere'!$A$4:$L$60,12))</f>
        <v>0</v>
      </c>
      <c r="R196" s="90">
        <f>IF(J196=0,0,Q196*VLOOKUP(E196,'Prix Matiere'!$A$4:$L$60,11))</f>
        <v>0</v>
      </c>
    </row>
    <row r="197" spans="1:18" s="2" customFormat="1" ht="18" hidden="1" customHeight="1" x14ac:dyDescent="0.35">
      <c r="B197" s="45">
        <f>IF(H45="Aucun",0,"Remplissage 2")</f>
        <v>0</v>
      </c>
      <c r="C197" s="85">
        <f t="shared" si="74"/>
        <v>0</v>
      </c>
      <c r="D197" s="85">
        <f t="shared" si="75"/>
        <v>0</v>
      </c>
      <c r="E197" s="85">
        <f>IF(C197=0,0,CONCATENATE("PU ",$J$52*10," mm"))</f>
        <v>0</v>
      </c>
      <c r="F197" s="45">
        <f t="shared" si="76"/>
        <v>0</v>
      </c>
      <c r="J197" s="89">
        <f t="shared" si="67"/>
        <v>0</v>
      </c>
      <c r="K197" s="89">
        <f t="shared" si="68"/>
        <v>0</v>
      </c>
      <c r="L197" s="71">
        <f>IF(E197=0,0,VLOOKUP(E197,'Prix Matiere'!$A$4:$J$65,10))</f>
        <v>0</v>
      </c>
      <c r="M197" s="71">
        <f t="shared" si="69"/>
        <v>0</v>
      </c>
      <c r="N197" s="3">
        <f t="shared" si="77"/>
        <v>0</v>
      </c>
      <c r="O197" s="71">
        <f t="shared" si="71"/>
        <v>0</v>
      </c>
      <c r="Q197" s="254">
        <f>IF(J197=0,0,J197*VLOOKUP(E197,'Prix Matiere'!$A$4:$L$60,12))</f>
        <v>0</v>
      </c>
      <c r="R197" s="90">
        <f>IF(J197=0,0,Q197*VLOOKUP(E197,'Prix Matiere'!$A$4:$L$60,11))</f>
        <v>0</v>
      </c>
    </row>
    <row r="198" spans="1:18" s="2" customFormat="1" ht="18" hidden="1" customHeight="1" x14ac:dyDescent="0.35">
      <c r="B198" s="45">
        <f>IF(H45="Aucun",0,"Carton")</f>
        <v>0</v>
      </c>
      <c r="C198" s="85">
        <f>IF(F198=0,0,H44+VLOOKUP(H45,$A$290:$L$295,10))</f>
        <v>0</v>
      </c>
      <c r="D198" s="85">
        <f>IF(E198=0,0,J44+VLOOKUP(H45,$A$290:$L$295,10))</f>
        <v>0</v>
      </c>
      <c r="E198" s="85">
        <f>IF(C198=0,0,"Carton")</f>
        <v>0</v>
      </c>
      <c r="F198" s="45">
        <f>VLOOKUP(H45,$A$290:$L$295,12)</f>
        <v>0</v>
      </c>
      <c r="J198" s="89">
        <f t="shared" si="67"/>
        <v>0</v>
      </c>
      <c r="K198" s="89">
        <f t="shared" si="68"/>
        <v>0</v>
      </c>
      <c r="L198" s="71">
        <f>IF(E198=0,0,Carton)</f>
        <v>0</v>
      </c>
      <c r="M198" s="71">
        <f t="shared" si="69"/>
        <v>0</v>
      </c>
      <c r="N198" s="3">
        <f>IF(J198=0,0,1+(3*J198))</f>
        <v>0</v>
      </c>
      <c r="O198" s="71">
        <f t="shared" si="71"/>
        <v>0</v>
      </c>
      <c r="Q198" s="254">
        <f>IF(J198=0,0,J198*Poids_Carton)</f>
        <v>0</v>
      </c>
      <c r="R198" s="90">
        <f>IF(J198=0,0,Q198*VLOOKUP(E198,'Prix Matiere'!$A$4:$L$60,11))</f>
        <v>0</v>
      </c>
    </row>
    <row r="199" spans="1:18" s="2" customFormat="1" ht="18" hidden="1" customHeight="1" x14ac:dyDescent="0.35">
      <c r="C199" s="256"/>
      <c r="D199" s="256"/>
      <c r="E199" s="256"/>
      <c r="J199" s="89"/>
      <c r="K199" s="89"/>
      <c r="L199" s="71"/>
      <c r="M199" s="71"/>
      <c r="N199" s="3"/>
      <c r="O199" s="71"/>
      <c r="Q199" s="254"/>
      <c r="R199" s="90"/>
    </row>
    <row r="200" spans="1:18" s="2" customFormat="1" ht="18" hidden="1" customHeight="1" x14ac:dyDescent="0.35">
      <c r="A200" s="257" t="s">
        <v>163</v>
      </c>
      <c r="B200" s="258">
        <f>IF(B72=0,0,"GC cuvette 1")</f>
        <v>0</v>
      </c>
      <c r="C200" s="259">
        <f>IF(B72=0,0,H72)</f>
        <v>0</v>
      </c>
      <c r="D200" s="259">
        <f>IF(B72=0,0,I71)</f>
        <v>0</v>
      </c>
      <c r="E200" s="259">
        <f>IF(B56=0,0,"Peuplier 15 mm")</f>
        <v>0</v>
      </c>
      <c r="F200" s="260">
        <f>IF(B72=0,0,2)</f>
        <v>0</v>
      </c>
      <c r="J200" s="89">
        <f t="shared" ref="J200:J202" si="78">IF(C200=0,0,(C200/100)*(D200/100)*F200)</f>
        <v>0</v>
      </c>
      <c r="K200" s="89">
        <f t="shared" ref="K200:K202" si="79">J200/0.8</f>
        <v>0</v>
      </c>
      <c r="L200" s="71">
        <f>IF(E200=0,0,VLOOKUP(E200,'Prix Matiere'!$A$4:$J$65,10))</f>
        <v>0</v>
      </c>
      <c r="M200" s="71">
        <f t="shared" ref="M200:M202" si="80">L200*K200</f>
        <v>0</v>
      </c>
      <c r="N200" s="3">
        <f t="shared" ref="N200:N202" si="81">IF(J200=0,0,5+(6*J200))</f>
        <v>0</v>
      </c>
      <c r="O200" s="71">
        <f>N200*MinuteMO</f>
        <v>0</v>
      </c>
      <c r="Q200" s="254">
        <f>IF(J200=0,0,J200*VLOOKUP(E200,'Prix Matiere'!$A$4:$L$60,12))</f>
        <v>0</v>
      </c>
      <c r="R200" s="90">
        <f>IF(J200=0,0,Q200*VLOOKUP(E200,'Prix Matiere'!$A$4:$L$60,11))</f>
        <v>0</v>
      </c>
    </row>
    <row r="201" spans="1:18" s="2" customFormat="1" ht="18" hidden="1" customHeight="1" x14ac:dyDescent="0.35">
      <c r="A201" s="178"/>
      <c r="B201" s="45">
        <f>IF(B72=0,0,"Bouts cuvette 1")</f>
        <v>0</v>
      </c>
      <c r="C201" s="85">
        <f>IF(B72=0,0,J71)</f>
        <v>0</v>
      </c>
      <c r="D201" s="85">
        <f>D200</f>
        <v>0</v>
      </c>
      <c r="E201" s="85">
        <f>IF(B56=0,0,"Peuplier 15 mm")</f>
        <v>0</v>
      </c>
      <c r="F201" s="175">
        <f>IF(B72=0,0,2)</f>
        <v>0</v>
      </c>
      <c r="J201" s="89">
        <f t="shared" si="78"/>
        <v>0</v>
      </c>
      <c r="K201" s="89">
        <f t="shared" si="79"/>
        <v>0</v>
      </c>
      <c r="L201" s="71">
        <f>IF(E201=0,0,VLOOKUP(E201,'Prix Matiere'!$A$4:$J$65,10))</f>
        <v>0</v>
      </c>
      <c r="M201" s="71">
        <f t="shared" si="80"/>
        <v>0</v>
      </c>
      <c r="N201" s="3">
        <f t="shared" si="81"/>
        <v>0</v>
      </c>
      <c r="O201" s="71">
        <f>N201*MinuteMO</f>
        <v>0</v>
      </c>
      <c r="Q201" s="254">
        <f>IF(J201=0,0,J201*VLOOKUP(E201,'Prix Matiere'!$A$4:$L$60,12))</f>
        <v>0</v>
      </c>
      <c r="R201" s="90">
        <f>IF(J201=0,0,Q201*VLOOKUP(E201,'Prix Matiere'!$A$4:$L$60,11))</f>
        <v>0</v>
      </c>
    </row>
    <row r="202" spans="1:18" s="2" customFormat="1" ht="18" hidden="1" customHeight="1" x14ac:dyDescent="0.35">
      <c r="A202" s="261"/>
      <c r="B202" s="262">
        <f>IF(B72=0,0,"Fond cuvette 1")</f>
        <v>0</v>
      </c>
      <c r="C202" s="263">
        <f>IF(B72=0,0,C200)</f>
        <v>0</v>
      </c>
      <c r="D202" s="263">
        <f>IF(B72=0,0,C201+3)</f>
        <v>0</v>
      </c>
      <c r="E202" s="263">
        <f>IF(B56=0,0,"Peuplier 10 mm")</f>
        <v>0</v>
      </c>
      <c r="F202" s="184">
        <f>IF(B72=0,0,1)</f>
        <v>0</v>
      </c>
      <c r="J202" s="89">
        <f t="shared" si="78"/>
        <v>0</v>
      </c>
      <c r="K202" s="89">
        <f t="shared" si="79"/>
        <v>0</v>
      </c>
      <c r="L202" s="71">
        <f>IF(E202=0,0,VLOOKUP(E202,'Prix Matiere'!$A$4:$J$65,10))</f>
        <v>0</v>
      </c>
      <c r="M202" s="71">
        <f t="shared" si="80"/>
        <v>0</v>
      </c>
      <c r="N202" s="3">
        <f t="shared" si="81"/>
        <v>0</v>
      </c>
      <c r="O202" s="71">
        <f>N202*MinuteMO</f>
        <v>0</v>
      </c>
      <c r="Q202" s="254">
        <f>IF(J202=0,0,J202*VLOOKUP(E202,'Prix Matiere'!$A$4:$L$60,12))</f>
        <v>0</v>
      </c>
      <c r="R202" s="90">
        <f>IF(J202=0,0,Q202*VLOOKUP(E202,'Prix Matiere'!$A$4:$L$60,11))</f>
        <v>0</v>
      </c>
    </row>
    <row r="203" spans="1:18" s="2" customFormat="1" ht="18" hidden="1" customHeight="1" x14ac:dyDescent="0.35">
      <c r="J203" s="89"/>
      <c r="K203" s="89"/>
      <c r="L203" s="71"/>
      <c r="N203" s="3"/>
      <c r="O203" s="71"/>
      <c r="Q203" s="254"/>
      <c r="R203" s="90"/>
    </row>
    <row r="204" spans="1:18" s="2" customFormat="1" ht="18" hidden="1" customHeight="1" x14ac:dyDescent="0.35">
      <c r="B204" s="38" t="s">
        <v>164</v>
      </c>
      <c r="J204" s="89">
        <f t="shared" ref="J204:J219" si="82">IF(C204=0,0,(C204/100)*(D204/100)*F204)</f>
        <v>0</v>
      </c>
      <c r="K204" s="89">
        <f t="shared" ref="K204:K219" si="83">J204/0.8</f>
        <v>0</v>
      </c>
      <c r="L204" s="71"/>
      <c r="M204" s="71"/>
      <c r="N204" s="3"/>
      <c r="O204" s="71"/>
      <c r="Q204" s="254"/>
      <c r="R204" s="90"/>
    </row>
    <row r="205" spans="1:18" s="2" customFormat="1" ht="18" hidden="1" customHeight="1" x14ac:dyDescent="0.35">
      <c r="B205" s="41">
        <f>IF(B61="Aucun",0,"Dessus")</f>
        <v>0</v>
      </c>
      <c r="C205" s="85">
        <f>IF(B61="Aucun",0,VLOOKUP(B61,$A$290:$L$295,2)+B60)</f>
        <v>0</v>
      </c>
      <c r="D205" s="85">
        <f>IF(B61="Aucun",0,C60+VLOOKUP(B61,$A$290:$L$295,5))</f>
        <v>0</v>
      </c>
      <c r="E205" s="85">
        <f>VLOOKUP(B61,$A$290:$L$295,9)</f>
        <v>0</v>
      </c>
      <c r="F205" s="45">
        <f>IF(B61="Aucun",0,1)</f>
        <v>0</v>
      </c>
      <c r="J205" s="89">
        <f t="shared" si="82"/>
        <v>0</v>
      </c>
      <c r="K205" s="89">
        <f t="shared" si="83"/>
        <v>0</v>
      </c>
      <c r="L205" s="71">
        <f>IF(E205=0,0,VLOOKUP(E205,'Prix Matiere'!$A$4:$J$65,10))</f>
        <v>0</v>
      </c>
      <c r="M205" s="71">
        <f t="shared" ref="M205:M219" si="84">L205*K205</f>
        <v>0</v>
      </c>
      <c r="N205" s="3">
        <f t="shared" ref="N205:N216" si="85">IF(J205=0,0,1+(6*J205))</f>
        <v>0</v>
      </c>
      <c r="O205" s="71">
        <f t="shared" ref="O205:O219" si="86">N205*MinuteMO</f>
        <v>0</v>
      </c>
      <c r="Q205" s="254">
        <f>IF(J205=0,0,J205*VLOOKUP(E205,'Prix Matiere'!$A$4:$L$60,12))</f>
        <v>0</v>
      </c>
      <c r="R205" s="90">
        <f>IF(J205=0,0,Q205*VLOOKUP(E205,'Prix Matiere'!$A$4:$L$60,11))</f>
        <v>0</v>
      </c>
    </row>
    <row r="206" spans="1:18" s="2" customFormat="1" ht="18" hidden="1" customHeight="1" x14ac:dyDescent="0.35">
      <c r="B206" s="45">
        <f>IF(B61="Aucun",0,"Extrémité")</f>
        <v>0</v>
      </c>
      <c r="C206" s="85">
        <f>IF(B61="Aucun",0,IF(B60&lt;60,10,IF(B60&lt;80,15,20)))</f>
        <v>0</v>
      </c>
      <c r="D206" s="85">
        <f t="shared" ref="D206:D209" si="87">D205</f>
        <v>0</v>
      </c>
      <c r="E206" s="85">
        <f>VLOOKUP(B61,$A$290:$L$295,9)</f>
        <v>0</v>
      </c>
      <c r="F206" s="45">
        <f>IF(B61="Aucun",0,2)</f>
        <v>0</v>
      </c>
      <c r="J206" s="89">
        <f t="shared" si="82"/>
        <v>0</v>
      </c>
      <c r="K206" s="89">
        <f t="shared" si="83"/>
        <v>0</v>
      </c>
      <c r="L206" s="71">
        <f>IF(E206=0,0,VLOOKUP(E206,'Prix Matiere'!$A$4:$J$65,10))</f>
        <v>0</v>
      </c>
      <c r="M206" s="71">
        <f t="shared" si="84"/>
        <v>0</v>
      </c>
      <c r="N206" s="3">
        <f t="shared" si="85"/>
        <v>0</v>
      </c>
      <c r="O206" s="71">
        <f t="shared" si="86"/>
        <v>0</v>
      </c>
      <c r="Q206" s="254">
        <f>IF(J206=0,0,J206*VLOOKUP(E206,'Prix Matiere'!$A$4:$L$60,12))</f>
        <v>0</v>
      </c>
      <c r="R206" s="90">
        <f>IF(J206=0,0,Q206*VLOOKUP(E206,'Prix Matiere'!$A$4:$L$60,11))</f>
        <v>0</v>
      </c>
    </row>
    <row r="207" spans="1:18" s="2" customFormat="1" ht="18" hidden="1" customHeight="1" x14ac:dyDescent="0.35">
      <c r="B207" s="45">
        <f>IF(B61="Aucun",0,A65)</f>
        <v>0</v>
      </c>
      <c r="C207" s="85">
        <f>B65</f>
        <v>0</v>
      </c>
      <c r="D207" s="85">
        <f t="shared" si="87"/>
        <v>0</v>
      </c>
      <c r="E207" s="85">
        <f>IF(B61="Aucun",0,IF(B207="Ethafoam 50 mm","Ethafoam 50 mm","Agglocelle 50 mm"))</f>
        <v>0</v>
      </c>
      <c r="F207" s="45">
        <f>E65</f>
        <v>2</v>
      </c>
      <c r="J207" s="89">
        <f t="shared" si="82"/>
        <v>0</v>
      </c>
      <c r="K207" s="89">
        <f t="shared" si="83"/>
        <v>0</v>
      </c>
      <c r="L207" s="71">
        <f>IF(E207=0,0,VLOOKUP(E207,'Prix Matiere'!$A$4:$J$65,10))</f>
        <v>0</v>
      </c>
      <c r="M207" s="71">
        <f t="shared" si="84"/>
        <v>0</v>
      </c>
      <c r="N207" s="3">
        <f t="shared" si="85"/>
        <v>0</v>
      </c>
      <c r="O207" s="71">
        <f t="shared" si="86"/>
        <v>0</v>
      </c>
      <c r="Q207" s="254">
        <f>IF(J207=0,0,J207*VLOOKUP(E207,'Prix Matiere'!$A$4:$L$60,12))</f>
        <v>0</v>
      </c>
      <c r="R207" s="90">
        <f>IF(J207=0,0,Q207*VLOOKUP(E207,'Prix Matiere'!$A$4:$L$60,11))</f>
        <v>0</v>
      </c>
    </row>
    <row r="208" spans="1:18" s="2" customFormat="1" ht="18" hidden="1" customHeight="1" x14ac:dyDescent="0.35">
      <c r="B208" s="45">
        <f>IF(B61="Aucun",0,"Milieu")</f>
        <v>0</v>
      </c>
      <c r="C208" s="85">
        <f>(C205-((C206*F206)+(C207*F207)))/(F207-1)</f>
        <v>0</v>
      </c>
      <c r="D208" s="85">
        <f t="shared" si="87"/>
        <v>0</v>
      </c>
      <c r="E208" s="85">
        <f>VLOOKUP(B61,$A$290:$L$295,9)</f>
        <v>0</v>
      </c>
      <c r="F208" s="45">
        <f>IF(B61="Aucun",0,F207-1)</f>
        <v>0</v>
      </c>
      <c r="J208" s="89">
        <f t="shared" si="82"/>
        <v>0</v>
      </c>
      <c r="K208" s="89">
        <f t="shared" si="83"/>
        <v>0</v>
      </c>
      <c r="L208" s="71">
        <f>IF(E208=0,0,VLOOKUP(E208,'Prix Matiere'!$A$4:$J$65,10))</f>
        <v>0</v>
      </c>
      <c r="M208" s="71">
        <f t="shared" si="84"/>
        <v>0</v>
      </c>
      <c r="N208" s="3">
        <f t="shared" si="85"/>
        <v>0</v>
      </c>
      <c r="O208" s="71">
        <f t="shared" si="86"/>
        <v>0</v>
      </c>
      <c r="Q208" s="254">
        <f>IF(J208=0,0,J208*VLOOKUP(E208,'Prix Matiere'!$A$4:$L$60,12))</f>
        <v>0</v>
      </c>
      <c r="R208" s="90">
        <f>IF(J208=0,0,Q208*VLOOKUP(E208,'Prix Matiere'!$A$4:$L$60,11))</f>
        <v>0</v>
      </c>
    </row>
    <row r="209" spans="2:18" s="2" customFormat="1" ht="18" hidden="1" customHeight="1" x14ac:dyDescent="0.35">
      <c r="B209" s="45">
        <f>IF(B61="Aucun",0,"Bouts avec passage de main")</f>
        <v>0</v>
      </c>
      <c r="C209" s="85">
        <f>IF(B61="Aucun",0,(D60-IF(D60&gt;120,30,15))/(F209/2))</f>
        <v>0</v>
      </c>
      <c r="D209" s="85">
        <f t="shared" si="87"/>
        <v>0</v>
      </c>
      <c r="E209" s="85">
        <f>VLOOKUP(B61,$A$290:$L$295,9)</f>
        <v>0</v>
      </c>
      <c r="F209" s="45">
        <f>IF(B61="Aucun",0,IF(D60&gt;120,6,4))</f>
        <v>0</v>
      </c>
      <c r="J209" s="89">
        <f t="shared" si="82"/>
        <v>0</v>
      </c>
      <c r="K209" s="89">
        <f t="shared" si="83"/>
        <v>0</v>
      </c>
      <c r="L209" s="71">
        <f>IF(E209=0,0,VLOOKUP(E209,'Prix Matiere'!$A$4:$J$65,10))</f>
        <v>0</v>
      </c>
      <c r="M209" s="71">
        <f t="shared" si="84"/>
        <v>0</v>
      </c>
      <c r="N209" s="3">
        <f t="shared" si="85"/>
        <v>0</v>
      </c>
      <c r="O209" s="71">
        <f t="shared" si="86"/>
        <v>0</v>
      </c>
      <c r="Q209" s="254">
        <f>IF(J209=0,0,J209*VLOOKUP(E209,'Prix Matiere'!$A$4:$L$60,12))</f>
        <v>0</v>
      </c>
      <c r="R209" s="90">
        <f>IF(J209=0,0,Q209*VLOOKUP(E209,'Prix Matiere'!$A$4:$L$60,11))</f>
        <v>0</v>
      </c>
    </row>
    <row r="210" spans="2:18" s="2" customFormat="1" ht="18" hidden="1" customHeight="1" x14ac:dyDescent="0.35">
      <c r="B210" s="45">
        <f>IF(B61="Aucun",0,"Fond")</f>
        <v>0</v>
      </c>
      <c r="C210" s="85">
        <f>IF(B61="Aucun",0,B60+VLOOKUP(B61,$A$290:$L$295,6))</f>
        <v>0</v>
      </c>
      <c r="D210" s="85">
        <f>IF(B61="Sous verre 2 faces",D60+VLOOKUP(B61,$A$290:$L$295,6),B64)</f>
        <v>0</v>
      </c>
      <c r="E210" s="85">
        <f>VLOOKUP(B61,$A$290:$L$295,8)</f>
        <v>0</v>
      </c>
      <c r="F210" s="45">
        <f>VLOOKUP(B61,$A$290:$L$295,7)</f>
        <v>0</v>
      </c>
      <c r="J210" s="89">
        <f t="shared" si="82"/>
        <v>0</v>
      </c>
      <c r="K210" s="89">
        <f t="shared" si="83"/>
        <v>0</v>
      </c>
      <c r="L210" s="71">
        <f>IF(E210=0,0,VLOOKUP(E210,'Prix Matiere'!$A$4:$J$65,10))</f>
        <v>0</v>
      </c>
      <c r="M210" s="71">
        <f t="shared" si="84"/>
        <v>0</v>
      </c>
      <c r="N210" s="3">
        <f t="shared" si="85"/>
        <v>0</v>
      </c>
      <c r="O210" s="71">
        <f t="shared" si="86"/>
        <v>0</v>
      </c>
      <c r="Q210" s="254">
        <f>IF(J210=0,0,J210*VLOOKUP(E210,'Prix Matiere'!$A$4:$L$60,12))</f>
        <v>0</v>
      </c>
      <c r="R210" s="90">
        <f>IF(J210=0,0,Q210*VLOOKUP(E210,'Prix Matiere'!$A$4:$L$60,11))</f>
        <v>0</v>
      </c>
    </row>
    <row r="211" spans="2:18" s="2" customFormat="1" ht="18" hidden="1" customHeight="1" x14ac:dyDescent="0.35">
      <c r="B211" s="45">
        <f>IF(B61="Aucun",0,"Remplis de fond")</f>
        <v>0</v>
      </c>
      <c r="C211" s="85">
        <f>IF(B61="Aucun",0,IF(B61="Sous verre 2 faces",0,D60-D210*2+VLOOKUP(B61,$A$290:$L$295,6)))</f>
        <v>0</v>
      </c>
      <c r="D211" s="85">
        <f>IF(B61="Sous verre 2 faces",0,B64)</f>
        <v>0</v>
      </c>
      <c r="E211" s="85">
        <f>IF(C211=0,0,VLOOKUP(B61,$A$290:$L$295,8))</f>
        <v>0</v>
      </c>
      <c r="F211" s="45">
        <f>IF(B61="Aucun",0,IF(B61="Sous verre 2 faces",0,2))</f>
        <v>0</v>
      </c>
      <c r="J211" s="89">
        <f t="shared" si="82"/>
        <v>0</v>
      </c>
      <c r="K211" s="89">
        <f t="shared" si="83"/>
        <v>0</v>
      </c>
      <c r="L211" s="71">
        <f>IF(E211=0,0,VLOOKUP(E211,'Prix Matiere'!$A$4:$J$65,10))</f>
        <v>0</v>
      </c>
      <c r="M211" s="71">
        <f t="shared" si="84"/>
        <v>0</v>
      </c>
      <c r="N211" s="3">
        <f t="shared" si="85"/>
        <v>0</v>
      </c>
      <c r="O211" s="71">
        <f t="shared" si="86"/>
        <v>0</v>
      </c>
      <c r="Q211" s="254">
        <f>IF(J211=0,0,J211*VLOOKUP(E211,'Prix Matiere'!$A$4:$L$60,12))</f>
        <v>0</v>
      </c>
      <c r="R211" s="90">
        <f>IF(J211=0,0,Q211*VLOOKUP(E211,'Prix Matiere'!$A$4:$L$60,11))</f>
        <v>0</v>
      </c>
    </row>
    <row r="212" spans="2:18" s="2" customFormat="1" ht="18" hidden="1" customHeight="1" x14ac:dyDescent="0.35">
      <c r="B212" s="45">
        <f>IF(B61="Aucun",0,"Dessus")</f>
        <v>0</v>
      </c>
      <c r="C212" s="85">
        <f>IF(B61="Aucun",0,B60+VLOOKUP(B61,$A$290:$L$295,10))</f>
        <v>0</v>
      </c>
      <c r="D212" s="85">
        <f>IF(B61="Sous verre 2 faces",D60+VLOOKUP(B61,$A$290:$L$295,10),IF(B61="Sous verre / bandes de mousse",D60+VLOOKUP(B61,$A$290:$L$295,10),B63))</f>
        <v>0</v>
      </c>
      <c r="E212" s="85">
        <f>VLOOKUP(B61,$A$290:$L$295,9)</f>
        <v>0</v>
      </c>
      <c r="F212" s="45">
        <f>VLOOKUP(B61,$A$290:$L$295,11)</f>
        <v>0</v>
      </c>
      <c r="J212" s="89">
        <f t="shared" si="82"/>
        <v>0</v>
      </c>
      <c r="K212" s="89">
        <f t="shared" si="83"/>
        <v>0</v>
      </c>
      <c r="L212" s="71">
        <f>IF(E212=0,0,VLOOKUP(E212,'Prix Matiere'!$A$4:$J$65,10))</f>
        <v>0</v>
      </c>
      <c r="M212" s="71">
        <f t="shared" si="84"/>
        <v>0</v>
      </c>
      <c r="N212" s="3">
        <f t="shared" si="85"/>
        <v>0</v>
      </c>
      <c r="O212" s="71">
        <f t="shared" si="86"/>
        <v>0</v>
      </c>
      <c r="Q212" s="254">
        <f>IF(J212=0,0,J212*VLOOKUP(E212,'Prix Matiere'!$A$4:$L$60,12))</f>
        <v>0</v>
      </c>
      <c r="R212" s="90">
        <f>IF(J212=0,0,Q212*VLOOKUP(E212,'Prix Matiere'!$A$4:$L$60,11))</f>
        <v>0</v>
      </c>
    </row>
    <row r="213" spans="2:18" s="2" customFormat="1" ht="18" hidden="1" customHeight="1" x14ac:dyDescent="0.35">
      <c r="B213" s="45">
        <f>IF(B61="Aucun",0,"Remplis de dessus")</f>
        <v>0</v>
      </c>
      <c r="C213" s="85">
        <f>IF(B61="Aucun",0,IF(B61="Sous verre 2 faces",0,IF(B61="Sous verre / bandes de mousse",0,D60-2*D212+VLOOKUP(B61,$A$290:$L$295,10))))</f>
        <v>0</v>
      </c>
      <c r="D213" s="85">
        <f>IF(B61="Sous verre / bandes de mousse",0,IF(B61="Sous verre 2 faces",0,B63))</f>
        <v>0</v>
      </c>
      <c r="E213" s="85">
        <f>IF(C213=0,0,VLOOKUP(B61,$A$290:$L$295,9))</f>
        <v>0</v>
      </c>
      <c r="F213" s="45">
        <f>IF(B61="Aucun",0,IF(B61="Sous verre 2 faces",0,IF(B61="Sous verre / bandes de mousse",0,2)))</f>
        <v>0</v>
      </c>
      <c r="J213" s="89">
        <f t="shared" si="82"/>
        <v>0</v>
      </c>
      <c r="K213" s="89">
        <f t="shared" si="83"/>
        <v>0</v>
      </c>
      <c r="L213" s="71">
        <f>IF(E213=0,0,VLOOKUP(E213,'Prix Matiere'!$A$4:$J$65,10))</f>
        <v>0</v>
      </c>
      <c r="M213" s="71">
        <f t="shared" si="84"/>
        <v>0</v>
      </c>
      <c r="N213" s="3">
        <f t="shared" si="85"/>
        <v>0</v>
      </c>
      <c r="O213" s="71">
        <f t="shared" si="86"/>
        <v>0</v>
      </c>
      <c r="Q213" s="254">
        <f>IF(J213=0,0,J213*VLOOKUP(E213,'Prix Matiere'!$A$4:$L$60,12))</f>
        <v>0</v>
      </c>
      <c r="R213" s="90">
        <f>IF(J213=0,0,Q213*VLOOKUP(E213,'Prix Matiere'!$A$4:$L$60,11))</f>
        <v>0</v>
      </c>
    </row>
    <row r="214" spans="2:18" s="2" customFormat="1" ht="18" hidden="1" customHeight="1" x14ac:dyDescent="0.35">
      <c r="B214" s="45">
        <f>IF(B61="Sous verre 2 faces",0,IF(B61="Aucun",0,"PU 20 mm"))</f>
        <v>0</v>
      </c>
      <c r="C214" s="85">
        <f>IF(B214=0,0,B60+VLOOKUP(B61,$A$290:$L$295,2))</f>
        <v>0</v>
      </c>
      <c r="D214" s="85">
        <f>IF(B214=0,0,D60+VLOOKUP(B61,$A$290:$L$295,4))</f>
        <v>0</v>
      </c>
      <c r="E214" s="85">
        <f>B214</f>
        <v>0</v>
      </c>
      <c r="F214" s="45">
        <f>IF(B61="Sous verre 2 faces",0,IF(B61="Aucun",0,IF(B61="Sous verre / bandes de mousse",1,2)))</f>
        <v>0</v>
      </c>
      <c r="J214" s="89">
        <f t="shared" si="82"/>
        <v>0</v>
      </c>
      <c r="K214" s="89">
        <f t="shared" si="83"/>
        <v>0</v>
      </c>
      <c r="L214" s="71">
        <f>IF(E214=0,0,VLOOKUP(E214,'Prix Matiere'!$A$4:$J$65,10))</f>
        <v>0</v>
      </c>
      <c r="M214" s="71">
        <f t="shared" si="84"/>
        <v>0</v>
      </c>
      <c r="N214" s="3">
        <f t="shared" si="85"/>
        <v>0</v>
      </c>
      <c r="O214" s="71">
        <f t="shared" si="86"/>
        <v>0</v>
      </c>
      <c r="Q214" s="254">
        <f>IF(J214=0,0,J214*VLOOKUP(E214,'Prix Matiere'!$A$4:$L$60,12))</f>
        <v>0</v>
      </c>
      <c r="R214" s="90">
        <f>IF(J214=0,0,Q214*VLOOKUP(E214,'Prix Matiere'!$A$4:$L$60,11))</f>
        <v>0</v>
      </c>
    </row>
    <row r="215" spans="2:18" s="2" customFormat="1" ht="18" hidden="1" customHeight="1" x14ac:dyDescent="0.35">
      <c r="B215" s="45">
        <f>IF(B61="Aucun",0,"Rattrapage 1")</f>
        <v>0</v>
      </c>
      <c r="C215" s="85">
        <f>IF(B66=0,0,B60+0.2)</f>
        <v>0</v>
      </c>
      <c r="D215" s="85">
        <f>IF(B66=0,0,B66)</f>
        <v>0</v>
      </c>
      <c r="E215" s="85">
        <f t="shared" ref="E215:E216" si="88">IF(C215=0,0,CONCATENATE("PU ",$D$66*10," mm"))</f>
        <v>0</v>
      </c>
      <c r="F215" s="45">
        <f>IF(B66=0,0,2)</f>
        <v>0</v>
      </c>
      <c r="J215" s="89">
        <f t="shared" si="82"/>
        <v>0</v>
      </c>
      <c r="K215" s="89">
        <f t="shared" si="83"/>
        <v>0</v>
      </c>
      <c r="L215" s="71">
        <f>IF(E215=0,0,VLOOKUP(E215,'Prix Matiere'!$A$4:$J$65,10))</f>
        <v>0</v>
      </c>
      <c r="M215" s="71">
        <f t="shared" si="84"/>
        <v>0</v>
      </c>
      <c r="N215" s="3">
        <f t="shared" si="85"/>
        <v>0</v>
      </c>
      <c r="O215" s="71">
        <f t="shared" si="86"/>
        <v>0</v>
      </c>
      <c r="Q215" s="254">
        <f>IF(J215=0,0,J215*VLOOKUP(E215,'Prix Matiere'!$A$4:$L$60,12))</f>
        <v>0</v>
      </c>
      <c r="R215" s="90">
        <f>IF(J215=0,0,Q215*VLOOKUP(E215,'Prix Matiere'!$A$4:$L$60,11))</f>
        <v>0</v>
      </c>
    </row>
    <row r="216" spans="2:18" s="2" customFormat="1" ht="18" hidden="1" customHeight="1" x14ac:dyDescent="0.35">
      <c r="B216" s="45">
        <f>IF(B61="Aucun",0,"Rattrapage 2")</f>
        <v>0</v>
      </c>
      <c r="C216" s="85">
        <f>IF(B66=0,0,D60+0.2-2*D215)</f>
        <v>0</v>
      </c>
      <c r="D216" s="85">
        <f>IF(B66=0,0,D215)</f>
        <v>0</v>
      </c>
      <c r="E216" s="85">
        <f t="shared" si="88"/>
        <v>0</v>
      </c>
      <c r="F216" s="45">
        <f>IF(B66=0,0,2)</f>
        <v>0</v>
      </c>
      <c r="J216" s="89">
        <f t="shared" si="82"/>
        <v>0</v>
      </c>
      <c r="K216" s="89">
        <f t="shared" si="83"/>
        <v>0</v>
      </c>
      <c r="L216" s="71">
        <f>IF(E216=0,0,VLOOKUP(E216,'Prix Matiere'!$A$4:$J$65,10))</f>
        <v>0</v>
      </c>
      <c r="M216" s="71">
        <f t="shared" si="84"/>
        <v>0</v>
      </c>
      <c r="N216" s="3">
        <f t="shared" si="85"/>
        <v>0</v>
      </c>
      <c r="O216" s="71">
        <f t="shared" si="86"/>
        <v>0</v>
      </c>
      <c r="Q216" s="254">
        <f>IF(J216=0,0,J216*VLOOKUP(E216,'Prix Matiere'!$A$4:$L$60,12))</f>
        <v>0</v>
      </c>
      <c r="R216" s="90">
        <f>IF(J216=0,0,Q216*VLOOKUP(E216,'Prix Matiere'!$A$4:$L$60,11))</f>
        <v>0</v>
      </c>
    </row>
    <row r="217" spans="2:18" s="2" customFormat="1" ht="18" hidden="1" customHeight="1" x14ac:dyDescent="0.35">
      <c r="B217" s="45">
        <f>IF(B61="Aucun",0,"Remplissage 1")</f>
        <v>0</v>
      </c>
      <c r="C217" s="85">
        <f t="shared" ref="C217:D217" si="89">IF(B67=0,0,B67)</f>
        <v>0</v>
      </c>
      <c r="D217" s="85">
        <f t="shared" si="89"/>
        <v>0</v>
      </c>
      <c r="E217" s="85">
        <f>IF(C217=0,0,CONCATENATE("PU ",$D$67*10," mm"))</f>
        <v>0</v>
      </c>
      <c r="F217" s="45">
        <f t="shared" ref="F217:F218" si="90">IF(B67=0,0,1)</f>
        <v>0</v>
      </c>
      <c r="J217" s="89">
        <f t="shared" si="82"/>
        <v>0</v>
      </c>
      <c r="K217" s="89">
        <f t="shared" si="83"/>
        <v>0</v>
      </c>
      <c r="L217" s="71">
        <f>IF(E217=0,0,VLOOKUP(E217,'Prix Matiere'!$A$4:$J$65,10))</f>
        <v>0</v>
      </c>
      <c r="M217" s="71">
        <f t="shared" si="84"/>
        <v>0</v>
      </c>
      <c r="N217" s="3">
        <f t="shared" ref="N217:N218" si="91">IF(J217=0,0,4+(6*J217))</f>
        <v>0</v>
      </c>
      <c r="O217" s="71">
        <f t="shared" si="86"/>
        <v>0</v>
      </c>
      <c r="Q217" s="254">
        <f>IF(J217=0,0,J217*VLOOKUP(E217,'Prix Matiere'!$A$4:$L$60,12))</f>
        <v>0</v>
      </c>
      <c r="R217" s="90">
        <f>IF(J217=0,0,Q217*VLOOKUP(E217,'Prix Matiere'!$A$4:$L$60,11))</f>
        <v>0</v>
      </c>
    </row>
    <row r="218" spans="2:18" s="2" customFormat="1" ht="18" hidden="1" customHeight="1" x14ac:dyDescent="0.35">
      <c r="B218" s="45">
        <f>IF(B61="Aucun",0,"Remplissage 2")</f>
        <v>0</v>
      </c>
      <c r="C218" s="85">
        <f t="shared" ref="C218:D218" si="92">IF(B68=0,0,B68)</f>
        <v>0</v>
      </c>
      <c r="D218" s="85">
        <f t="shared" si="92"/>
        <v>0</v>
      </c>
      <c r="E218" s="85">
        <f>IF(C218=0,0,CONCATENATE("PU ",$D$68*10," mm"))</f>
        <v>0</v>
      </c>
      <c r="F218" s="45">
        <f t="shared" si="90"/>
        <v>0</v>
      </c>
      <c r="J218" s="89">
        <f t="shared" si="82"/>
        <v>0</v>
      </c>
      <c r="K218" s="89">
        <f t="shared" si="83"/>
        <v>0</v>
      </c>
      <c r="L218" s="71">
        <f>IF(E218=0,0,VLOOKUP(E218,'Prix Matiere'!$A$4:$J$65,10))</f>
        <v>0</v>
      </c>
      <c r="M218" s="71">
        <f t="shared" si="84"/>
        <v>0</v>
      </c>
      <c r="N218" s="3">
        <f t="shared" si="91"/>
        <v>0</v>
      </c>
      <c r="O218" s="71">
        <f t="shared" si="86"/>
        <v>0</v>
      </c>
      <c r="Q218" s="254">
        <f>IF(J218=0,0,J218*VLOOKUP(E218,'Prix Matiere'!$A$4:$L$60,12))</f>
        <v>0</v>
      </c>
      <c r="R218" s="90">
        <f>IF(J218=0,0,Q218*VLOOKUP(E218,'Prix Matiere'!$A$4:$L$60,11))</f>
        <v>0</v>
      </c>
    </row>
    <row r="219" spans="2:18" s="2" customFormat="1" ht="18" hidden="1" customHeight="1" x14ac:dyDescent="0.35">
      <c r="B219" s="45">
        <f>IF(B61="Aucun",0,"Carton")</f>
        <v>0</v>
      </c>
      <c r="C219" s="85">
        <f>IF(F219=0,0,B60+VLOOKUP(B61,$A$290:$L$295,10))</f>
        <v>0</v>
      </c>
      <c r="D219" s="85">
        <f>IF(E219=0,0,D60+VLOOKUP(B61,$A$290:$L$295,10))</f>
        <v>0</v>
      </c>
      <c r="E219" s="85">
        <f>IF(C219=0,0,"Carton")</f>
        <v>0</v>
      </c>
      <c r="F219" s="45">
        <f>VLOOKUP(B61,$A$290:$L$295,12)</f>
        <v>0</v>
      </c>
      <c r="J219" s="89">
        <f t="shared" si="82"/>
        <v>0</v>
      </c>
      <c r="K219" s="89">
        <f t="shared" si="83"/>
        <v>0</v>
      </c>
      <c r="L219" s="71">
        <f>IF(E219=0,0,Carton)</f>
        <v>0</v>
      </c>
      <c r="M219" s="71">
        <f t="shared" si="84"/>
        <v>0</v>
      </c>
      <c r="N219" s="3">
        <f>IF(J219=0,0,1+(3*J219))</f>
        <v>0</v>
      </c>
      <c r="O219" s="71">
        <f t="shared" si="86"/>
        <v>0</v>
      </c>
      <c r="Q219" s="254">
        <f>IF(J219=0,0,J219*Poids_Carton)</f>
        <v>0</v>
      </c>
      <c r="R219" s="90">
        <f>IF(J219=0,0,Q219*VLOOKUP(E219,'Prix Matiere'!$A$4:$L$60,11))</f>
        <v>0</v>
      </c>
    </row>
    <row r="220" spans="2:18" s="2" customFormat="1" ht="18" hidden="1" customHeight="1" x14ac:dyDescent="0.35">
      <c r="J220" s="89"/>
      <c r="K220" s="89"/>
      <c r="L220" s="71"/>
      <c r="N220" s="3"/>
      <c r="O220" s="71"/>
      <c r="Q220" s="254"/>
      <c r="R220" s="90"/>
    </row>
    <row r="221" spans="2:18" s="2" customFormat="1" ht="18" hidden="1" customHeight="1" x14ac:dyDescent="0.35">
      <c r="B221" s="38" t="s">
        <v>165</v>
      </c>
      <c r="J221" s="89"/>
      <c r="K221" s="89"/>
      <c r="L221" s="71"/>
      <c r="M221" s="71"/>
      <c r="N221" s="3"/>
      <c r="O221" s="71"/>
      <c r="Q221" s="254"/>
      <c r="R221" s="90"/>
    </row>
    <row r="222" spans="2:18" s="2" customFormat="1" ht="18" hidden="1" customHeight="1" x14ac:dyDescent="0.35">
      <c r="B222" s="41">
        <f>IF(H61="Aucun",0,"Dessus")</f>
        <v>0</v>
      </c>
      <c r="C222" s="85">
        <f>IF(H61="Aucun",0,VLOOKUP(H61,$A$290:$L$295,2)+H60)</f>
        <v>0</v>
      </c>
      <c r="D222" s="85">
        <f>IF(H61="Aucun",0,I60+VLOOKUP(H61,$A$290:$L$295,5))</f>
        <v>0</v>
      </c>
      <c r="E222" s="85">
        <f>VLOOKUP(H61,$A$290:$L$295,9)</f>
        <v>0</v>
      </c>
      <c r="F222" s="45">
        <f>IF(H61="Aucun",0,1)</f>
        <v>0</v>
      </c>
      <c r="J222" s="89">
        <f t="shared" ref="J222:J236" si="93">IF(C222=0,0,(C222/100)*(D222/100)*F222)</f>
        <v>0</v>
      </c>
      <c r="K222" s="89">
        <f t="shared" ref="K222:K236" si="94">J222/0.8</f>
        <v>0</v>
      </c>
      <c r="L222" s="71">
        <f>IF(E222=0,0,VLOOKUP(E222,'Prix Matiere'!$A$4:$J$65,10))</f>
        <v>0</v>
      </c>
      <c r="M222" s="71">
        <f t="shared" ref="M222:M236" si="95">L222*K222</f>
        <v>0</v>
      </c>
      <c r="N222" s="3">
        <f t="shared" ref="N222:N233" si="96">IF(J222=0,0,1+(6*J222))</f>
        <v>0</v>
      </c>
      <c r="O222" s="71">
        <f t="shared" ref="O222:O241" si="97">N222*MinuteMO</f>
        <v>0</v>
      </c>
      <c r="Q222" s="254">
        <f>IF(J222=0,0,J222*VLOOKUP(E222,'Prix Matiere'!$A$4:$L$60,12))</f>
        <v>0</v>
      </c>
      <c r="R222" s="90">
        <f>IF(J222=0,0,Q222*VLOOKUP(E222,'Prix Matiere'!$A$4:$L$60,11))</f>
        <v>0</v>
      </c>
    </row>
    <row r="223" spans="2:18" s="2" customFormat="1" ht="18" hidden="1" customHeight="1" x14ac:dyDescent="0.35">
      <c r="B223" s="45">
        <f>IF(H61="Aucun",0,"Extrémité")</f>
        <v>0</v>
      </c>
      <c r="C223" s="85">
        <f>IF(H61="Aucun",0,IF(H60&lt;60,10,IF(H60&lt;80,15,20)))</f>
        <v>0</v>
      </c>
      <c r="D223" s="85">
        <f t="shared" ref="D223:D226" si="98">D222</f>
        <v>0</v>
      </c>
      <c r="E223" s="85">
        <f>VLOOKUP(H61,$A$290:$L$295,9)</f>
        <v>0</v>
      </c>
      <c r="F223" s="45">
        <f>IF(H61="Aucun",0,2)</f>
        <v>0</v>
      </c>
      <c r="J223" s="89">
        <f t="shared" si="93"/>
        <v>0</v>
      </c>
      <c r="K223" s="89">
        <f t="shared" si="94"/>
        <v>0</v>
      </c>
      <c r="L223" s="71">
        <f>IF(E223=0,0,VLOOKUP(E223,'Prix Matiere'!$A$4:$J$65,10))</f>
        <v>0</v>
      </c>
      <c r="M223" s="71">
        <f t="shared" si="95"/>
        <v>0</v>
      </c>
      <c r="N223" s="3">
        <f t="shared" si="96"/>
        <v>0</v>
      </c>
      <c r="O223" s="71">
        <f t="shared" si="97"/>
        <v>0</v>
      </c>
      <c r="Q223" s="254">
        <f>IF(J223=0,0,J223*VLOOKUP(E223,'Prix Matiere'!$A$4:$L$60,12))</f>
        <v>0</v>
      </c>
      <c r="R223" s="90">
        <f>IF(J223=0,0,Q223*VLOOKUP(E223,'Prix Matiere'!$A$4:$L$60,11))</f>
        <v>0</v>
      </c>
    </row>
    <row r="224" spans="2:18" s="2" customFormat="1" ht="18" hidden="1" customHeight="1" x14ac:dyDescent="0.35">
      <c r="B224" s="45">
        <f>IF(H61="Aucun",0,G65)</f>
        <v>0</v>
      </c>
      <c r="C224" s="85">
        <f>H65</f>
        <v>0</v>
      </c>
      <c r="D224" s="85">
        <f t="shared" si="98"/>
        <v>0</v>
      </c>
      <c r="E224" s="85">
        <f>IF(H61="Aucun",0,IF(B224="Ethafoam 50 mm","Ethafoam 50 mm","Agglocelle 50 mm"))</f>
        <v>0</v>
      </c>
      <c r="F224" s="45">
        <f>K65</f>
        <v>2</v>
      </c>
      <c r="J224" s="89">
        <f t="shared" si="93"/>
        <v>0</v>
      </c>
      <c r="K224" s="89">
        <f t="shared" si="94"/>
        <v>0</v>
      </c>
      <c r="L224" s="71">
        <f>IF(E224=0,0,VLOOKUP(E224,'Prix Matiere'!$A$4:$J$65,10))</f>
        <v>0</v>
      </c>
      <c r="M224" s="71">
        <f t="shared" si="95"/>
        <v>0</v>
      </c>
      <c r="N224" s="3">
        <f t="shared" si="96"/>
        <v>0</v>
      </c>
      <c r="O224" s="71">
        <f t="shared" si="97"/>
        <v>0</v>
      </c>
      <c r="Q224" s="254">
        <f>IF(J224=0,0,J224*VLOOKUP(E224,'Prix Matiere'!$A$4:$L$60,12))</f>
        <v>0</v>
      </c>
      <c r="R224" s="90">
        <f>IF(J224=0,0,Q224*VLOOKUP(E224,'Prix Matiere'!$A$4:$L$60,11))</f>
        <v>0</v>
      </c>
    </row>
    <row r="225" spans="1:18" s="2" customFormat="1" ht="18" hidden="1" customHeight="1" x14ac:dyDescent="0.35">
      <c r="B225" s="45">
        <f>IF(H61="Aucun",0,"Milieu")</f>
        <v>0</v>
      </c>
      <c r="C225" s="85">
        <f>(C222-((C223*F223)+(C224*F224)))/(F224-1)</f>
        <v>0</v>
      </c>
      <c r="D225" s="85">
        <f t="shared" si="98"/>
        <v>0</v>
      </c>
      <c r="E225" s="85">
        <f>VLOOKUP(H61,$A$290:$L$295,9)</f>
        <v>0</v>
      </c>
      <c r="F225" s="45">
        <f>IF(H61="Aucun",0,F224-1)</f>
        <v>0</v>
      </c>
      <c r="J225" s="89">
        <f t="shared" si="93"/>
        <v>0</v>
      </c>
      <c r="K225" s="89">
        <f t="shared" si="94"/>
        <v>0</v>
      </c>
      <c r="L225" s="71">
        <f>IF(E225=0,0,VLOOKUP(E225,'Prix Matiere'!$A$4:$J$65,10))</f>
        <v>0</v>
      </c>
      <c r="M225" s="71">
        <f t="shared" si="95"/>
        <v>0</v>
      </c>
      <c r="N225" s="3">
        <f t="shared" si="96"/>
        <v>0</v>
      </c>
      <c r="O225" s="71">
        <f t="shared" si="97"/>
        <v>0</v>
      </c>
      <c r="Q225" s="254">
        <f>IF(J225=0,0,J225*VLOOKUP(E225,'Prix Matiere'!$A$4:$L$60,12))</f>
        <v>0</v>
      </c>
      <c r="R225" s="90">
        <f>IF(J225=0,0,Q225*VLOOKUP(E225,'Prix Matiere'!$A$4:$L$60,11))</f>
        <v>0</v>
      </c>
    </row>
    <row r="226" spans="1:18" s="2" customFormat="1" ht="18" hidden="1" customHeight="1" x14ac:dyDescent="0.35">
      <c r="B226" s="45">
        <f>IF(H61="Aucun",0,"Bouts avec passage de main")</f>
        <v>0</v>
      </c>
      <c r="C226" s="85">
        <f>IF(H61="Aucun",0,(J60-IF(J60&gt;120,30,15))/(F226/2))</f>
        <v>0</v>
      </c>
      <c r="D226" s="85">
        <f t="shared" si="98"/>
        <v>0</v>
      </c>
      <c r="E226" s="85">
        <f>VLOOKUP(H61,$A$290:$L$295,9)</f>
        <v>0</v>
      </c>
      <c r="F226" s="45">
        <f>IF(H61="Aucun",0,IF(J100&gt;120,6,4))</f>
        <v>0</v>
      </c>
      <c r="J226" s="89">
        <f t="shared" si="93"/>
        <v>0</v>
      </c>
      <c r="K226" s="89">
        <f t="shared" si="94"/>
        <v>0</v>
      </c>
      <c r="L226" s="71">
        <f>IF(E226=0,0,VLOOKUP(E226,'Prix Matiere'!$A$4:$J$65,10))</f>
        <v>0</v>
      </c>
      <c r="M226" s="71">
        <f t="shared" si="95"/>
        <v>0</v>
      </c>
      <c r="N226" s="3">
        <f t="shared" si="96"/>
        <v>0</v>
      </c>
      <c r="O226" s="71">
        <f t="shared" si="97"/>
        <v>0</v>
      </c>
      <c r="Q226" s="254">
        <f>IF(J226=0,0,J226*VLOOKUP(E226,'Prix Matiere'!$A$4:$L$60,12))</f>
        <v>0</v>
      </c>
      <c r="R226" s="90">
        <f>IF(J226=0,0,Q226*VLOOKUP(E226,'Prix Matiere'!$A$4:$L$60,11))</f>
        <v>0</v>
      </c>
    </row>
    <row r="227" spans="1:18" s="2" customFormat="1" ht="18" hidden="1" customHeight="1" x14ac:dyDescent="0.35">
      <c r="B227" s="45">
        <f>IF(H61="Aucun",0,"Fond")</f>
        <v>0</v>
      </c>
      <c r="C227" s="85">
        <f>IF(H61="Aucun",0,H60+VLOOKUP(H61,$A$290:$L$295,6))</f>
        <v>0</v>
      </c>
      <c r="D227" s="85">
        <f>IF(H61="Sous verre 2 faces",J60+VLOOKUP(H60,$A$290:$L$295,6),H64)</f>
        <v>0</v>
      </c>
      <c r="E227" s="85">
        <f>VLOOKUP(H61,$A$290:$L$295,8)</f>
        <v>0</v>
      </c>
      <c r="F227" s="45">
        <f>VLOOKUP(H61,$A$290:$L$295,7)</f>
        <v>0</v>
      </c>
      <c r="J227" s="89">
        <f t="shared" si="93"/>
        <v>0</v>
      </c>
      <c r="K227" s="89">
        <f t="shared" si="94"/>
        <v>0</v>
      </c>
      <c r="L227" s="71">
        <f>IF(E227=0,0,VLOOKUP(E227,'Prix Matiere'!$A$4:$J$65,10))</f>
        <v>0</v>
      </c>
      <c r="M227" s="71">
        <f t="shared" si="95"/>
        <v>0</v>
      </c>
      <c r="N227" s="3">
        <f t="shared" si="96"/>
        <v>0</v>
      </c>
      <c r="O227" s="71">
        <f t="shared" si="97"/>
        <v>0</v>
      </c>
      <c r="Q227" s="254">
        <f>IF(J227=0,0,J227*VLOOKUP(E227,'Prix Matiere'!$A$4:$L$60,12))</f>
        <v>0</v>
      </c>
      <c r="R227" s="90">
        <f>IF(J227=0,0,Q227*VLOOKUP(E227,'Prix Matiere'!$A$4:$L$60,11))</f>
        <v>0</v>
      </c>
    </row>
    <row r="228" spans="1:18" s="2" customFormat="1" ht="18" hidden="1" customHeight="1" x14ac:dyDescent="0.35">
      <c r="B228" s="45">
        <f>IF(H61="Aucun",0,"Remplis de fond")</f>
        <v>0</v>
      </c>
      <c r="C228" s="85">
        <f>IF(H61="Aucun",0,IF(H61="Sous verre 2 faces",0,J60-D227*2+VLOOKUP(H61,$A$290:$L$295,6)))</f>
        <v>0</v>
      </c>
      <c r="D228" s="85">
        <f>IF(H61="Sous verre 2 faces",0,H64)</f>
        <v>0</v>
      </c>
      <c r="E228" s="85">
        <f>IF(C228=0,0,VLOOKUP(H61,$A$290:$L$295,8))</f>
        <v>0</v>
      </c>
      <c r="F228" s="45">
        <f>IF(H61="Aucun",0,IF(H61="Sous verre 2 faces",0,2))</f>
        <v>0</v>
      </c>
      <c r="J228" s="89">
        <f t="shared" si="93"/>
        <v>0</v>
      </c>
      <c r="K228" s="89">
        <f t="shared" si="94"/>
        <v>0</v>
      </c>
      <c r="L228" s="71">
        <f>IF(E228=0,0,VLOOKUP(E228,'Prix Matiere'!$A$4:$J$65,10))</f>
        <v>0</v>
      </c>
      <c r="M228" s="71">
        <f t="shared" si="95"/>
        <v>0</v>
      </c>
      <c r="N228" s="3">
        <f t="shared" si="96"/>
        <v>0</v>
      </c>
      <c r="O228" s="71">
        <f t="shared" si="97"/>
        <v>0</v>
      </c>
      <c r="Q228" s="254">
        <f>IF(J228=0,0,J228*VLOOKUP(E228,'Prix Matiere'!$A$4:$L$60,12))</f>
        <v>0</v>
      </c>
      <c r="R228" s="90">
        <f>IF(J228=0,0,Q228*VLOOKUP(E228,'Prix Matiere'!$A$4:$L$60,11))</f>
        <v>0</v>
      </c>
    </row>
    <row r="229" spans="1:18" s="2" customFormat="1" ht="18" hidden="1" customHeight="1" x14ac:dyDescent="0.35">
      <c r="B229" s="45">
        <f>IF(H61="Aucun",0,"Dessus")</f>
        <v>0</v>
      </c>
      <c r="C229" s="85">
        <f>IF(H61="Aucun",0,H60+VLOOKUP(H61,$A$290:$L$295,10))</f>
        <v>0</v>
      </c>
      <c r="D229" s="85">
        <f>IF(H61="Sous verre 2 faces",H60+VLOOKUP(H61,$A$290:$L$295,10),IF(H61="Sous verre / bandes de mousse",H60+VLOOKUP(H61,$A$290:$L$295,10),H63))</f>
        <v>0</v>
      </c>
      <c r="E229" s="85">
        <f>VLOOKUP(H61,$A$290:$L$295,9)</f>
        <v>0</v>
      </c>
      <c r="F229" s="45">
        <f>VLOOKUP(H61,$A$290:$L$295,11)</f>
        <v>0</v>
      </c>
      <c r="J229" s="89">
        <f t="shared" si="93"/>
        <v>0</v>
      </c>
      <c r="K229" s="89">
        <f t="shared" si="94"/>
        <v>0</v>
      </c>
      <c r="L229" s="71">
        <f>IF(E229=0,0,VLOOKUP(E229,'Prix Matiere'!$A$4:$J$65,10))</f>
        <v>0</v>
      </c>
      <c r="M229" s="71">
        <f t="shared" si="95"/>
        <v>0</v>
      </c>
      <c r="N229" s="3">
        <f t="shared" si="96"/>
        <v>0</v>
      </c>
      <c r="O229" s="71">
        <f t="shared" si="97"/>
        <v>0</v>
      </c>
      <c r="Q229" s="254">
        <f>IF(J229=0,0,J229*VLOOKUP(E229,'Prix Matiere'!$A$4:$L$60,12))</f>
        <v>0</v>
      </c>
      <c r="R229" s="90">
        <f>IF(J229=0,0,Q229*VLOOKUP(E229,'Prix Matiere'!$A$4:$L$60,11))</f>
        <v>0</v>
      </c>
    </row>
    <row r="230" spans="1:18" s="2" customFormat="1" ht="18" hidden="1" customHeight="1" x14ac:dyDescent="0.35">
      <c r="B230" s="45">
        <f>IF(H61="Aucun",0,"Remplis de dessus")</f>
        <v>0</v>
      </c>
      <c r="C230" s="85">
        <f>IF(H61="Aucun",0,IF(H61="Sous verre 2 faces",0,IF(H61="Sous verre / bandes de mousse",0,J60-2*D229+VLOOKUP(H61,$A$290:$L$295,10))))</f>
        <v>0</v>
      </c>
      <c r="D230" s="85">
        <f>IF(H61="Sous verre / bandes de mousse",0,IF(H61="Sous verre 2 faces",0,H63))</f>
        <v>0</v>
      </c>
      <c r="E230" s="85">
        <f>IF(C230=0,0,VLOOKUP(H61,$A$290:$L$295,9))</f>
        <v>0</v>
      </c>
      <c r="F230" s="45">
        <f>IF(H61="Aucun",0,IF(H61="Sous verre 2 faces",0,IF(H61="Sous verre / bandes de mousse",0,2)))</f>
        <v>0</v>
      </c>
      <c r="J230" s="89">
        <f t="shared" si="93"/>
        <v>0</v>
      </c>
      <c r="K230" s="89">
        <f t="shared" si="94"/>
        <v>0</v>
      </c>
      <c r="L230" s="71">
        <f>IF(E230=0,0,VLOOKUP(E230,'Prix Matiere'!$A$4:$J$65,10))</f>
        <v>0</v>
      </c>
      <c r="M230" s="71">
        <f t="shared" si="95"/>
        <v>0</v>
      </c>
      <c r="N230" s="3">
        <f t="shared" si="96"/>
        <v>0</v>
      </c>
      <c r="O230" s="71">
        <f t="shared" si="97"/>
        <v>0</v>
      </c>
      <c r="Q230" s="254">
        <f>IF(J230=0,0,J230*VLOOKUP(E230,'Prix Matiere'!$A$4:$L$60,12))</f>
        <v>0</v>
      </c>
      <c r="R230" s="90">
        <f>IF(J230=0,0,Q230*VLOOKUP(E230,'Prix Matiere'!$A$4:$L$60,11))</f>
        <v>0</v>
      </c>
    </row>
    <row r="231" spans="1:18" s="2" customFormat="1" ht="18" hidden="1" customHeight="1" x14ac:dyDescent="0.35">
      <c r="B231" s="45">
        <f>IF(H61="Sous verre 2 faces",0,IF(H61="Aucun",0,"PU 20 mm"))</f>
        <v>0</v>
      </c>
      <c r="C231" s="85">
        <f>IF(B231=0,0,H60+VLOOKUP(H61,$A$290:$L$295,2))</f>
        <v>0</v>
      </c>
      <c r="D231" s="85">
        <f>IF(B231=0,0,J60+VLOOKUP(H61,$A$290:$L$295,4))</f>
        <v>0</v>
      </c>
      <c r="E231" s="85">
        <f>B231</f>
        <v>0</v>
      </c>
      <c r="F231" s="45">
        <f>IF(H61="Sous verre 2 faces",0,IF(H61="Aucun",0,IF(H61="Sous verre / bandes de mousse",1,2)))</f>
        <v>0</v>
      </c>
      <c r="J231" s="89">
        <f t="shared" si="93"/>
        <v>0</v>
      </c>
      <c r="K231" s="89">
        <f t="shared" si="94"/>
        <v>0</v>
      </c>
      <c r="L231" s="71">
        <f>IF(E231=0,0,VLOOKUP(E231,'Prix Matiere'!$A$4:$J$65,10))</f>
        <v>0</v>
      </c>
      <c r="M231" s="71">
        <f t="shared" si="95"/>
        <v>0</v>
      </c>
      <c r="N231" s="3">
        <f t="shared" si="96"/>
        <v>0</v>
      </c>
      <c r="O231" s="71">
        <f t="shared" si="97"/>
        <v>0</v>
      </c>
      <c r="Q231" s="254">
        <f>IF(J231=0,0,J231*VLOOKUP(E231,'Prix Matiere'!$A$4:$L$60,12))</f>
        <v>0</v>
      </c>
      <c r="R231" s="90">
        <f>IF(J231=0,0,Q231*VLOOKUP(E231,'Prix Matiere'!$A$4:$L$60,11))</f>
        <v>0</v>
      </c>
    </row>
    <row r="232" spans="1:18" s="2" customFormat="1" ht="18" hidden="1" customHeight="1" x14ac:dyDescent="0.35">
      <c r="B232" s="45">
        <f>IF(H61="Aucun",0,"Rattrapage 1")</f>
        <v>0</v>
      </c>
      <c r="C232" s="85">
        <f>IF(H66=0,0,H60+0.2)</f>
        <v>0</v>
      </c>
      <c r="D232" s="85">
        <f>IF(H66=0,0,H66)</f>
        <v>0</v>
      </c>
      <c r="E232" s="85">
        <f t="shared" ref="E232:E233" si="99">IF(C232=0,0,CONCATENATE("PU ",$J$66*10," mm"))</f>
        <v>0</v>
      </c>
      <c r="F232" s="45">
        <f>IF(H66=0,0,2)</f>
        <v>0</v>
      </c>
      <c r="J232" s="89">
        <f t="shared" si="93"/>
        <v>0</v>
      </c>
      <c r="K232" s="89">
        <f t="shared" si="94"/>
        <v>0</v>
      </c>
      <c r="L232" s="71">
        <f>IF(E232=0,0,VLOOKUP(E232,'Prix Matiere'!$A$4:$J$65,10))</f>
        <v>0</v>
      </c>
      <c r="M232" s="71">
        <f t="shared" si="95"/>
        <v>0</v>
      </c>
      <c r="N232" s="3">
        <f t="shared" si="96"/>
        <v>0</v>
      </c>
      <c r="O232" s="71">
        <f t="shared" si="97"/>
        <v>0</v>
      </c>
      <c r="Q232" s="254">
        <f>IF(J232=0,0,J232*VLOOKUP(E232,'Prix Matiere'!$A$4:$L$60,12))</f>
        <v>0</v>
      </c>
      <c r="R232" s="90">
        <f>IF(J232=0,0,Q232*VLOOKUP(E232,'Prix Matiere'!$A$4:$L$60,11))</f>
        <v>0</v>
      </c>
    </row>
    <row r="233" spans="1:18" s="2" customFormat="1" ht="18" hidden="1" customHeight="1" x14ac:dyDescent="0.35">
      <c r="B233" s="45">
        <f>IF(H61="Aucun",0,"Rattrapage 2")</f>
        <v>0</v>
      </c>
      <c r="C233" s="85">
        <f>IF(H66=0,0,J60+0.2-2*D232)</f>
        <v>0</v>
      </c>
      <c r="D233" s="85">
        <f>IF(H66=0,0,D232)</f>
        <v>0</v>
      </c>
      <c r="E233" s="85">
        <f t="shared" si="99"/>
        <v>0</v>
      </c>
      <c r="F233" s="45">
        <f>IF(H66=0,0,2)</f>
        <v>0</v>
      </c>
      <c r="J233" s="89">
        <f t="shared" si="93"/>
        <v>0</v>
      </c>
      <c r="K233" s="89">
        <f t="shared" si="94"/>
        <v>0</v>
      </c>
      <c r="L233" s="71">
        <f>IF(E233=0,0,VLOOKUP(E233,'Prix Matiere'!$A$4:$J$65,10))</f>
        <v>0</v>
      </c>
      <c r="M233" s="71">
        <f t="shared" si="95"/>
        <v>0</v>
      </c>
      <c r="N233" s="3">
        <f t="shared" si="96"/>
        <v>0</v>
      </c>
      <c r="O233" s="71">
        <f t="shared" si="97"/>
        <v>0</v>
      </c>
      <c r="Q233" s="254">
        <f>IF(J233=0,0,J233*VLOOKUP(E233,'Prix Matiere'!$A$4:$L$60,12))</f>
        <v>0</v>
      </c>
      <c r="R233" s="90">
        <f>IF(J233=0,0,Q233*VLOOKUP(E233,'Prix Matiere'!$A$4:$L$60,11))</f>
        <v>0</v>
      </c>
    </row>
    <row r="234" spans="1:18" s="2" customFormat="1" ht="18" hidden="1" customHeight="1" x14ac:dyDescent="0.35">
      <c r="B234" s="45">
        <f>IF(H61="Aucun",0,"Remplissage 1")</f>
        <v>0</v>
      </c>
      <c r="C234" s="85">
        <f t="shared" ref="C234:C235" si="100">IF(H67=0,0,H67)</f>
        <v>0</v>
      </c>
      <c r="D234" s="85">
        <f t="shared" ref="D234:D235" si="101">IF(H67=0,0,I67)</f>
        <v>0</v>
      </c>
      <c r="E234" s="85">
        <f>IF(C234=0,0,CONCATENATE("PU ",$J$67*10," mm"))</f>
        <v>0</v>
      </c>
      <c r="F234" s="45">
        <f t="shared" ref="F234:F235" si="102">IF(H67=0,0,1)</f>
        <v>0</v>
      </c>
      <c r="J234" s="89">
        <f t="shared" si="93"/>
        <v>0</v>
      </c>
      <c r="K234" s="89">
        <f t="shared" si="94"/>
        <v>0</v>
      </c>
      <c r="L234" s="71">
        <f>IF(E234=0,0,VLOOKUP(E234,'Prix Matiere'!$A$4:$J$65,10))</f>
        <v>0</v>
      </c>
      <c r="M234" s="71">
        <f t="shared" si="95"/>
        <v>0</v>
      </c>
      <c r="N234" s="3">
        <f t="shared" ref="N234:N235" si="103">IF(J234=0,0,4+(6*J234))</f>
        <v>0</v>
      </c>
      <c r="O234" s="71">
        <f t="shared" si="97"/>
        <v>0</v>
      </c>
      <c r="Q234" s="254">
        <f>IF(J234=0,0,J234*VLOOKUP(E234,'Prix Matiere'!$A$4:$L$60,12))</f>
        <v>0</v>
      </c>
      <c r="R234" s="90">
        <f>IF(J234=0,0,Q234*VLOOKUP(E234,'Prix Matiere'!$A$4:$L$60,11))</f>
        <v>0</v>
      </c>
    </row>
    <row r="235" spans="1:18" s="2" customFormat="1" ht="18" hidden="1" customHeight="1" x14ac:dyDescent="0.35">
      <c r="B235" s="45">
        <f>IF(H61="Aucun",0,"Remplissage 2")</f>
        <v>0</v>
      </c>
      <c r="C235" s="85">
        <f t="shared" si="100"/>
        <v>0</v>
      </c>
      <c r="D235" s="85">
        <f t="shared" si="101"/>
        <v>0</v>
      </c>
      <c r="E235" s="85">
        <f>IF(C235=0,0,CONCATENATE("PU ",$J$68*10," mm"))</f>
        <v>0</v>
      </c>
      <c r="F235" s="45">
        <f t="shared" si="102"/>
        <v>0</v>
      </c>
      <c r="J235" s="89">
        <f t="shared" si="93"/>
        <v>0</v>
      </c>
      <c r="K235" s="89">
        <f t="shared" si="94"/>
        <v>0</v>
      </c>
      <c r="L235" s="71">
        <f>IF(E235=0,0,VLOOKUP(E235,'Prix Matiere'!$A$4:$J$65,10))</f>
        <v>0</v>
      </c>
      <c r="M235" s="71">
        <f t="shared" si="95"/>
        <v>0</v>
      </c>
      <c r="N235" s="3">
        <f t="shared" si="103"/>
        <v>0</v>
      </c>
      <c r="O235" s="71">
        <f t="shared" si="97"/>
        <v>0</v>
      </c>
      <c r="Q235" s="254">
        <f>IF(J235=0,0,J235*VLOOKUP(E235,'Prix Matiere'!$A$4:$L$60,12))</f>
        <v>0</v>
      </c>
      <c r="R235" s="90">
        <f>IF(J235=0,0,Q235*VLOOKUP(E235,'Prix Matiere'!$A$4:$L$60,11))</f>
        <v>0</v>
      </c>
    </row>
    <row r="236" spans="1:18" s="2" customFormat="1" ht="18" hidden="1" customHeight="1" x14ac:dyDescent="0.35">
      <c r="B236" s="45">
        <f>IF(H61="Aucun",0,"Carton")</f>
        <v>0</v>
      </c>
      <c r="C236" s="85">
        <f>IF(F236=0,0,H60+VLOOKUP(H61,$A$290:$L$295,10))</f>
        <v>0</v>
      </c>
      <c r="D236" s="85">
        <f>IF(E236=0,0,J60+VLOOKUP(H61,$A$290:$L$295,10))</f>
        <v>0</v>
      </c>
      <c r="E236" s="85">
        <f>IF(C236=0,0,"Carton")</f>
        <v>0</v>
      </c>
      <c r="F236" s="45">
        <f>VLOOKUP(H61,$A$290:$L$295,12)</f>
        <v>0</v>
      </c>
      <c r="J236" s="89">
        <f t="shared" si="93"/>
        <v>0</v>
      </c>
      <c r="K236" s="89">
        <f t="shared" si="94"/>
        <v>0</v>
      </c>
      <c r="L236" s="71">
        <f>IF(E236=0,0,Carton)</f>
        <v>0</v>
      </c>
      <c r="M236" s="71">
        <f t="shared" si="95"/>
        <v>0</v>
      </c>
      <c r="N236" s="3">
        <f>IF(J236=0,0,1+(3*J236))</f>
        <v>0</v>
      </c>
      <c r="O236" s="71">
        <f t="shared" si="97"/>
        <v>0</v>
      </c>
      <c r="Q236" s="254">
        <f>IF(J236=0,0,J236*Poids_Carton)</f>
        <v>0</v>
      </c>
      <c r="R236" s="90">
        <f>IF(J236=0,0,Q236*VLOOKUP(E236,'Prix Matiere'!$A$4:$L$60,11))</f>
        <v>0</v>
      </c>
    </row>
    <row r="237" spans="1:18" s="2" customFormat="1" ht="18" hidden="1" customHeight="1" x14ac:dyDescent="0.85">
      <c r="A237" s="2" t="s">
        <v>71</v>
      </c>
      <c r="B237" s="33" t="str">
        <f>IF(F23="Aucun"," ",F23)</f>
        <v xml:space="preserve"> </v>
      </c>
      <c r="L237" s="71"/>
      <c r="M237" s="71">
        <f>VLOOKUP($F$23,$A$279:$D$282,3)</f>
        <v>0</v>
      </c>
      <c r="N237" s="3">
        <f>IF(M237=0,0,12.5)</f>
        <v>0</v>
      </c>
      <c r="O237" s="71">
        <f t="shared" si="97"/>
        <v>0</v>
      </c>
    </row>
    <row r="238" spans="1:18" s="2" customFormat="1" ht="19.5" hidden="1" customHeight="1" x14ac:dyDescent="0.35">
      <c r="A238" s="2" t="s">
        <v>23</v>
      </c>
      <c r="B238" s="2">
        <f>IF($F$21="Oui","Tyvek",0)</f>
        <v>0</v>
      </c>
      <c r="K238" s="89">
        <f>IF(B238="Tyvek",SUM(K222:K235)+SUM(K129:K142)+SUM(K146:K159)+SUM(K167:K180)+SUM(K184:K197)+SUM(K205:K218)/0.7,0)</f>
        <v>0</v>
      </c>
      <c r="L238" s="71">
        <f>IF(B238=0,0,2.75)</f>
        <v>0</v>
      </c>
      <c r="M238" s="71">
        <f t="shared" ref="M238:M239" si="104">K238*L238</f>
        <v>0</v>
      </c>
      <c r="N238" s="3">
        <f>IF(K238=0,0,7*K238+2)</f>
        <v>0</v>
      </c>
      <c r="O238" s="71">
        <f t="shared" si="97"/>
        <v>0</v>
      </c>
      <c r="Q238" s="254">
        <f>IF(K238=0,0,K238*VLOOKUP(B238,'Prix Matiere'!$A$4:$L$60,12))</f>
        <v>0</v>
      </c>
      <c r="R238" s="90">
        <f>IF(K238=0,0,Q238*VLOOKUP(B238,'Prix Matiere'!$A$4:$L$60,11))</f>
        <v>0</v>
      </c>
    </row>
    <row r="239" spans="1:18" s="2" customFormat="1" ht="18" hidden="1" customHeight="1" x14ac:dyDescent="0.35">
      <c r="A239" s="2" t="s">
        <v>19</v>
      </c>
      <c r="B239" s="2">
        <f>IF(F19="Non",0,"Peinture")</f>
        <v>0</v>
      </c>
      <c r="J239" s="2">
        <f>IF(B239=0,0,(((C80/100)*(D80/100))+((C80/100)*(E80/100))+((D80/100)*(E80/100)))*2)</f>
        <v>0</v>
      </c>
      <c r="K239" s="2">
        <f>J239*0.5</f>
        <v>0</v>
      </c>
      <c r="L239" s="71">
        <f>IF(B239=0,0,VLOOKUP(B239,'Prix Matiere'!$A$4:$J$60,10))</f>
        <v>0</v>
      </c>
      <c r="M239" s="71">
        <f t="shared" si="104"/>
        <v>0</v>
      </c>
      <c r="N239" s="3">
        <f>IF(J239=0,0,IF(B239="Peinture",30+J239*15))</f>
        <v>0</v>
      </c>
      <c r="O239" s="71">
        <f t="shared" si="97"/>
        <v>0</v>
      </c>
      <c r="Q239" s="254">
        <f>IF(J239=0,0,J239*VLOOKUP(B239,'Prix Matiere'!$A$4:$L$60,12))</f>
        <v>0</v>
      </c>
      <c r="R239" s="90">
        <f>IF(J239=0,0,Q239*VLOOKUP(B239,'Prix Matiere'!$A$4:$L$60,11))</f>
        <v>0</v>
      </c>
    </row>
    <row r="240" spans="1:18" s="2" customFormat="1" ht="18" hidden="1" customHeight="1" x14ac:dyDescent="0.35">
      <c r="A240" s="2" t="s">
        <v>72</v>
      </c>
      <c r="B240" s="2" t="str">
        <f>C19</f>
        <v>Vis bois</v>
      </c>
      <c r="L240" s="71"/>
      <c r="M240" s="71">
        <f>IF(B240="Vis bois",0,(F4*2+F6*2)*1.5)</f>
        <v>0</v>
      </c>
      <c r="N240" s="3">
        <f>IF(B240="Vis bois",0,45)</f>
        <v>0</v>
      </c>
      <c r="O240" s="71">
        <f t="shared" si="97"/>
        <v>0</v>
      </c>
      <c r="R240" s="90">
        <f>IF(J240=0,0,Q240*VLOOKUP(E240,'Prix Matiere'!$A$4:$L$60,11))</f>
        <v>0</v>
      </c>
    </row>
    <row r="241" spans="1:18" s="2" customFormat="1" ht="18" hidden="1" customHeight="1" x14ac:dyDescent="0.35">
      <c r="A241" s="2" t="s">
        <v>21</v>
      </c>
      <c r="B241" s="2" t="str">
        <f>C21</f>
        <v>Bois</v>
      </c>
      <c r="L241" s="71"/>
      <c r="M241" s="71">
        <f>IF(B241="Métal x 4 sur GC",4*2,IF(B241="Métal x 2 sur bouts",2*2,0))</f>
        <v>0</v>
      </c>
      <c r="N241" s="3">
        <f>IF(B241="Métal x 4 sur GC",4*3,IF(B241="Métal x 2 sur bouts",2*3,0))</f>
        <v>0</v>
      </c>
      <c r="O241" s="71">
        <f t="shared" si="97"/>
        <v>0</v>
      </c>
    </row>
    <row r="242" spans="1:18" s="2" customFormat="1" ht="18" hidden="1" customHeight="1" x14ac:dyDescent="0.35">
      <c r="L242" s="71"/>
      <c r="N242" s="3"/>
      <c r="O242" s="71"/>
    </row>
    <row r="243" spans="1:18" s="2" customFormat="1" ht="18" hidden="1" customHeight="1" x14ac:dyDescent="0.35">
      <c r="L243" s="71">
        <f>IF(E243=0,0,VLOOKUP(E243,'Prix Matiere'!$A$4:$J$65,10))</f>
        <v>0</v>
      </c>
      <c r="M243" s="96">
        <f t="shared" ref="M243:N243" si="105">SUM(M91:M242)</f>
        <v>0</v>
      </c>
      <c r="N243" s="97">
        <f t="shared" si="105"/>
        <v>0</v>
      </c>
      <c r="O243" s="71">
        <f>N243*MinuteMO</f>
        <v>0</v>
      </c>
      <c r="Q243" s="254">
        <f t="shared" ref="Q243:R243" si="106">SUM(Q91:Q242)</f>
        <v>0</v>
      </c>
      <c r="R243" s="254">
        <f t="shared" si="106"/>
        <v>0</v>
      </c>
    </row>
    <row r="244" spans="1:18" s="2" customFormat="1" ht="18" hidden="1" customHeight="1" x14ac:dyDescent="0.35">
      <c r="B244" s="98" t="s">
        <v>73</v>
      </c>
      <c r="C244" s="99">
        <f>IF($F$9=0,0,M243)</f>
        <v>0</v>
      </c>
      <c r="D244" s="100"/>
      <c r="E244" s="302" t="s">
        <v>74</v>
      </c>
      <c r="F244" s="102" t="str">
        <f>CONCATENATE(ROUNDUP(SUM(K91:K93)+SUM(K117:K118)+SUM(K162:K164)+SUM(K200:K202),2)," m²")</f>
        <v>0 m²</v>
      </c>
      <c r="G244" s="303">
        <f>SUM(M91:M93)+SUM(M117:M118)+SUM(M162:M164)+SUM(M200:M202)</f>
        <v>0</v>
      </c>
    </row>
    <row r="245" spans="1:18" s="2" customFormat="1" ht="18" hidden="1" customHeight="1" x14ac:dyDescent="0.35">
      <c r="B245" s="105" t="s">
        <v>75</v>
      </c>
      <c r="C245" s="71">
        <f>IF($F$9=0,0,O243)</f>
        <v>0</v>
      </c>
      <c r="D245" s="106">
        <f>IF($F$9=0,0,N243)</f>
        <v>0</v>
      </c>
      <c r="E245" s="304" t="s">
        <v>76</v>
      </c>
      <c r="F245" s="107" t="str">
        <f>CONCATENATE(ROUNDUP(SUM(K96:K102),2)," m²")</f>
        <v>0 m²</v>
      </c>
      <c r="G245" s="305">
        <f>(SUM(M96:M102))</f>
        <v>0</v>
      </c>
    </row>
    <row r="246" spans="1:18" s="2" customFormat="1" ht="18" hidden="1" customHeight="1" x14ac:dyDescent="0.35">
      <c r="B246" s="105" t="s">
        <v>77</v>
      </c>
      <c r="C246" s="71">
        <f>IF($F$9=0,0,((C244+C245)/Frais_Généraux)-(C244+C245))</f>
        <v>0</v>
      </c>
      <c r="D246" s="109"/>
      <c r="E246" s="304" t="s">
        <v>78</v>
      </c>
      <c r="F246" s="107" t="str">
        <f>CONCATENATE(ROUNDUP(SUM(K111:K113)+SUM(K122:K124),2)," m²")</f>
        <v>0 m²</v>
      </c>
      <c r="G246" s="305">
        <f>(SUM(M111:M113)+SUM(M122:M124))</f>
        <v>0</v>
      </c>
    </row>
    <row r="247" spans="1:18" s="2" customFormat="1" ht="18" hidden="1" customHeight="1" x14ac:dyDescent="0.35">
      <c r="B247" s="105" t="s">
        <v>79</v>
      </c>
      <c r="C247" s="71">
        <f>IF($F$9=0,0,SUM(C244:C246))</f>
        <v>0</v>
      </c>
      <c r="D247" s="109"/>
      <c r="E247" s="304" t="s">
        <v>80</v>
      </c>
      <c r="F247" s="107" t="str">
        <f>CONCATENATE(ROUNDUP(SUM(K105:K107)+SUM(K129:K142)+SUM(K146:K159)+SUM(K167:K180)+SUM(K184:K197)+SUM(K205:K218)+SUM(K223:K235),2)," m²")</f>
        <v>0 m²</v>
      </c>
      <c r="G247" s="305">
        <f>SUM(M105:M107)+SUM(M129:M142)+SUM(M146:M159)+SUM(M167:M180)+SUM(M184:M197)+SUM(M205:M218)+SUM(M223:M235)</f>
        <v>0</v>
      </c>
    </row>
    <row r="248" spans="1:18" s="2" customFormat="1" ht="18" hidden="1" customHeight="1" x14ac:dyDescent="0.35">
      <c r="B248" s="105" t="s">
        <v>81</v>
      </c>
      <c r="C248" s="71">
        <f>IF($F$9=0,0,(C247/(1-Marge)-C247))</f>
        <v>0</v>
      </c>
      <c r="D248" s="110">
        <f>C247+C248</f>
        <v>0</v>
      </c>
      <c r="E248" s="304" t="s">
        <v>82</v>
      </c>
      <c r="F248" s="107" t="str">
        <f>CONCATENATE(ROUNDUP(K143+K160+K181+K198+K219+K236,2)," m²")</f>
        <v>0 m²</v>
      </c>
      <c r="G248" s="305">
        <f>(M143+M160+M181+M198+M219+M236)</f>
        <v>0</v>
      </c>
    </row>
    <row r="249" spans="1:18" s="2" customFormat="1" ht="18" hidden="1" customHeight="1" x14ac:dyDescent="0.35">
      <c r="B249" s="111" t="s">
        <v>83</v>
      </c>
      <c r="C249" s="71">
        <f>IF($F$10="BOVIS",((C247+C248)*(1+C250))-(C247+C248),((C247+C248)*(1+D249))-(C247+C248))</f>
        <v>0</v>
      </c>
      <c r="D249" s="112"/>
      <c r="E249" s="304"/>
      <c r="F249" s="107"/>
      <c r="G249" s="305"/>
    </row>
    <row r="250" spans="1:18" s="2" customFormat="1" ht="18" hidden="1" customHeight="1" x14ac:dyDescent="0.35">
      <c r="B250" s="111"/>
      <c r="C250" s="104">
        <f>IF($F$10="BOVIS",0.03,0)</f>
        <v>0</v>
      </c>
      <c r="D250" s="113"/>
      <c r="E250" s="304"/>
      <c r="F250" s="107"/>
      <c r="G250" s="305"/>
    </row>
    <row r="251" spans="1:18" s="2" customFormat="1" ht="18" hidden="1" customHeight="1" x14ac:dyDescent="0.35">
      <c r="B251" s="114" t="s">
        <v>84</v>
      </c>
      <c r="C251" s="115">
        <f>SUM(C247:C250)</f>
        <v>0</v>
      </c>
      <c r="D251" s="116"/>
      <c r="E251" s="307" t="s">
        <v>85</v>
      </c>
      <c r="F251" s="15"/>
      <c r="G251" s="380">
        <f>C244-SUM(G244:G248)</f>
        <v>0</v>
      </c>
    </row>
    <row r="252" spans="1:18" s="2" customFormat="1" ht="18" hidden="1" customHeight="1" x14ac:dyDescent="0.35">
      <c r="A252" s="76"/>
      <c r="B252" s="76"/>
      <c r="C252" s="76"/>
      <c r="D252" s="76"/>
      <c r="E252" s="76"/>
      <c r="F252" s="6"/>
      <c r="G252" s="76"/>
      <c r="H252" s="76"/>
      <c r="I252" s="76"/>
      <c r="J252" s="76"/>
      <c r="K252" s="76"/>
      <c r="L252" s="76"/>
      <c r="M252" s="76"/>
      <c r="N252" s="76"/>
      <c r="O252" s="76"/>
    </row>
    <row r="253" spans="1:18" s="2" customFormat="1" ht="18" customHeight="1" x14ac:dyDescent="0.35"/>
    <row r="254" spans="1:18" s="2" customFormat="1" ht="18" hidden="1" customHeight="1" x14ac:dyDescent="0.35">
      <c r="A254" s="124" t="s">
        <v>10</v>
      </c>
      <c r="B254" s="124" t="s">
        <v>10</v>
      </c>
      <c r="C254" s="124" t="s">
        <v>10</v>
      </c>
      <c r="D254" s="126">
        <v>1.5</v>
      </c>
      <c r="E254" s="308"/>
      <c r="F254" s="308"/>
      <c r="G254" s="308"/>
      <c r="H254" s="308"/>
      <c r="I254" s="308"/>
      <c r="J254" s="308"/>
      <c r="K254" s="308"/>
      <c r="L254" s="308"/>
      <c r="M254" s="308"/>
      <c r="N254" s="308"/>
      <c r="O254" s="308"/>
      <c r="P254" s="308"/>
    </row>
    <row r="255" spans="1:18" s="2" customFormat="1" ht="18" hidden="1" customHeight="1" x14ac:dyDescent="0.35"/>
    <row r="256" spans="1:18" s="2" customFormat="1" ht="18" hidden="1" customHeight="1" x14ac:dyDescent="0.35">
      <c r="A256" s="127" t="s">
        <v>12</v>
      </c>
      <c r="B256" s="128" t="s">
        <v>90</v>
      </c>
      <c r="C256" s="128" t="s">
        <v>90</v>
      </c>
      <c r="D256" s="129">
        <v>2.1</v>
      </c>
      <c r="E256" s="308"/>
      <c r="F256" s="308"/>
      <c r="G256" s="308"/>
      <c r="H256" s="308"/>
      <c r="I256" s="308"/>
      <c r="J256" s="308"/>
      <c r="K256" s="308"/>
      <c r="L256" s="308"/>
      <c r="M256" s="308"/>
      <c r="N256" s="308"/>
      <c r="O256" s="308"/>
      <c r="P256" s="308"/>
    </row>
    <row r="257" spans="1:16" s="2" customFormat="1" ht="18" hidden="1" customHeight="1" x14ac:dyDescent="0.35"/>
    <row r="258" spans="1:16" s="2" customFormat="1" ht="18" hidden="1" customHeight="1" x14ac:dyDescent="0.35">
      <c r="A258" s="119">
        <v>1</v>
      </c>
      <c r="B258" s="120">
        <v>2</v>
      </c>
      <c r="C258" s="120">
        <v>3</v>
      </c>
      <c r="D258" s="120">
        <v>4</v>
      </c>
      <c r="E258" s="130">
        <v>5</v>
      </c>
      <c r="F258" s="130">
        <v>6</v>
      </c>
      <c r="G258" s="130">
        <v>7</v>
      </c>
      <c r="H258" s="131">
        <v>8</v>
      </c>
      <c r="I258" s="131">
        <v>9</v>
      </c>
      <c r="J258" s="131">
        <v>10</v>
      </c>
      <c r="K258" s="132">
        <v>11</v>
      </c>
      <c r="L258" s="132">
        <v>12</v>
      </c>
      <c r="M258" s="133">
        <v>13</v>
      </c>
      <c r="N258" s="131">
        <v>14</v>
      </c>
      <c r="O258" s="131">
        <v>15</v>
      </c>
      <c r="P258" s="134">
        <v>16</v>
      </c>
    </row>
    <row r="259" spans="1:16" s="2" customFormat="1" ht="18" hidden="1" customHeight="1" x14ac:dyDescent="0.35">
      <c r="A259" s="135"/>
      <c r="B259" s="136"/>
      <c r="C259" s="136"/>
      <c r="D259" s="136"/>
      <c r="E259" s="137" t="s">
        <v>80</v>
      </c>
      <c r="F259" s="137" t="s">
        <v>91</v>
      </c>
      <c r="G259" s="137" t="s">
        <v>34</v>
      </c>
      <c r="H259" s="138" t="s">
        <v>65</v>
      </c>
      <c r="I259" s="138" t="s">
        <v>92</v>
      </c>
      <c r="J259" s="138" t="s">
        <v>93</v>
      </c>
      <c r="K259" s="139" t="s">
        <v>67</v>
      </c>
      <c r="L259" s="139" t="s">
        <v>94</v>
      </c>
      <c r="M259" s="140" t="s">
        <v>95</v>
      </c>
      <c r="N259" s="138" t="s">
        <v>69</v>
      </c>
      <c r="O259" s="138" t="s">
        <v>96</v>
      </c>
      <c r="P259" s="141" t="s">
        <v>97</v>
      </c>
    </row>
    <row r="260" spans="1:16" s="2" customFormat="1" ht="18" hidden="1" customHeight="1" x14ac:dyDescent="0.35">
      <c r="A260" s="124"/>
      <c r="B260" s="308"/>
      <c r="C260" s="308"/>
      <c r="D260" s="308"/>
      <c r="E260" s="142"/>
      <c r="F260" s="142"/>
      <c r="G260" s="142"/>
      <c r="H260" s="143"/>
      <c r="I260" s="143"/>
      <c r="J260" s="143"/>
      <c r="K260" s="144"/>
      <c r="L260" s="144"/>
      <c r="M260" s="145">
        <v>0</v>
      </c>
      <c r="N260" s="143"/>
      <c r="O260" s="143"/>
      <c r="P260" s="146"/>
    </row>
    <row r="261" spans="1:16" s="2" customFormat="1" ht="18" hidden="1" customHeight="1" x14ac:dyDescent="0.35">
      <c r="A261" s="124" t="s">
        <v>16</v>
      </c>
      <c r="B261" s="308">
        <v>0</v>
      </c>
      <c r="C261" s="308">
        <v>0</v>
      </c>
      <c r="D261" s="308">
        <v>0</v>
      </c>
      <c r="E261" s="142">
        <v>0</v>
      </c>
      <c r="F261" s="142">
        <v>0</v>
      </c>
      <c r="G261" s="142">
        <v>0</v>
      </c>
      <c r="H261" s="143">
        <v>0</v>
      </c>
      <c r="I261" s="143">
        <v>0</v>
      </c>
      <c r="J261" s="143">
        <v>0</v>
      </c>
      <c r="K261" s="144">
        <v>0</v>
      </c>
      <c r="L261" s="144">
        <v>0</v>
      </c>
      <c r="M261" s="145">
        <v>0</v>
      </c>
      <c r="N261" s="143">
        <v>0</v>
      </c>
      <c r="O261" s="143">
        <v>0</v>
      </c>
      <c r="P261" s="146">
        <v>0</v>
      </c>
    </row>
    <row r="262" spans="1:16" s="2" customFormat="1" ht="18" hidden="1" customHeight="1" x14ac:dyDescent="0.35">
      <c r="A262" s="124" t="s">
        <v>98</v>
      </c>
      <c r="B262" s="308">
        <f t="shared" ref="B262:D262" si="107">(3+1.25+3)*2</f>
        <v>14.5</v>
      </c>
      <c r="C262" s="308">
        <f t="shared" si="107"/>
        <v>14.5</v>
      </c>
      <c r="D262" s="308">
        <f t="shared" si="107"/>
        <v>14.5</v>
      </c>
      <c r="E262" s="142">
        <v>0</v>
      </c>
      <c r="F262" s="142">
        <v>0</v>
      </c>
      <c r="G262" s="142">
        <v>0</v>
      </c>
      <c r="H262" s="143">
        <v>6</v>
      </c>
      <c r="I262" s="143" t="s">
        <v>99</v>
      </c>
      <c r="J262" s="143">
        <v>2</v>
      </c>
      <c r="K262" s="144">
        <v>2.5</v>
      </c>
      <c r="L262" s="144" t="s">
        <v>86</v>
      </c>
      <c r="M262" s="147">
        <v>4</v>
      </c>
      <c r="N262" s="143">
        <v>6</v>
      </c>
      <c r="O262" s="143" t="s">
        <v>99</v>
      </c>
      <c r="P262" s="148">
        <v>2</v>
      </c>
    </row>
    <row r="263" spans="1:16" s="2" customFormat="1" ht="18" hidden="1" customHeight="1" x14ac:dyDescent="0.35">
      <c r="A263" s="124" t="s">
        <v>100</v>
      </c>
      <c r="B263" s="308">
        <f t="shared" ref="B263:D263" si="108">(5+1.25+5)*2</f>
        <v>22.5</v>
      </c>
      <c r="C263" s="308">
        <f t="shared" si="108"/>
        <v>22.5</v>
      </c>
      <c r="D263" s="308">
        <f t="shared" si="108"/>
        <v>22.5</v>
      </c>
      <c r="E263" s="142">
        <v>0</v>
      </c>
      <c r="F263" s="142">
        <v>0</v>
      </c>
      <c r="G263" s="142">
        <v>0</v>
      </c>
      <c r="H263" s="143">
        <v>10</v>
      </c>
      <c r="I263" s="143" t="s">
        <v>101</v>
      </c>
      <c r="J263" s="143">
        <v>2</v>
      </c>
      <c r="K263" s="144">
        <v>2.5</v>
      </c>
      <c r="L263" s="144" t="s">
        <v>86</v>
      </c>
      <c r="M263" s="147">
        <v>4</v>
      </c>
      <c r="N263" s="143">
        <v>10</v>
      </c>
      <c r="O263" s="143" t="s">
        <v>101</v>
      </c>
      <c r="P263" s="148">
        <v>2</v>
      </c>
    </row>
    <row r="264" spans="1:16" s="2" customFormat="1" ht="18" hidden="1" customHeight="1" x14ac:dyDescent="0.35">
      <c r="A264" s="124" t="s">
        <v>102</v>
      </c>
      <c r="B264" s="308">
        <f t="shared" ref="B264:D264" si="109">(3)*2</f>
        <v>6</v>
      </c>
      <c r="C264" s="308">
        <f t="shared" si="109"/>
        <v>6</v>
      </c>
      <c r="D264" s="308">
        <f t="shared" si="109"/>
        <v>6</v>
      </c>
      <c r="E264" s="142">
        <v>0</v>
      </c>
      <c r="F264" s="142">
        <v>0</v>
      </c>
      <c r="G264" s="142">
        <v>0</v>
      </c>
      <c r="H264" s="143">
        <v>6</v>
      </c>
      <c r="I264" s="143" t="s">
        <v>99</v>
      </c>
      <c r="J264" s="143">
        <v>2</v>
      </c>
      <c r="K264" s="144">
        <v>0</v>
      </c>
      <c r="L264" s="144">
        <v>0</v>
      </c>
      <c r="M264" s="147">
        <v>0</v>
      </c>
      <c r="N264" s="143">
        <v>0</v>
      </c>
      <c r="O264" s="143"/>
      <c r="P264" s="148">
        <v>0</v>
      </c>
    </row>
    <row r="265" spans="1:16" s="2" customFormat="1" ht="18" hidden="1" customHeight="1" x14ac:dyDescent="0.35">
      <c r="A265" s="124" t="s">
        <v>103</v>
      </c>
      <c r="B265" s="308">
        <f t="shared" ref="B265:D265" si="110">(5)*2</f>
        <v>10</v>
      </c>
      <c r="C265" s="308">
        <f t="shared" si="110"/>
        <v>10</v>
      </c>
      <c r="D265" s="308">
        <f t="shared" si="110"/>
        <v>10</v>
      </c>
      <c r="E265" s="142">
        <v>0</v>
      </c>
      <c r="F265" s="142">
        <v>0</v>
      </c>
      <c r="G265" s="142">
        <v>0</v>
      </c>
      <c r="H265" s="143">
        <v>10</v>
      </c>
      <c r="I265" s="143" t="s">
        <v>101</v>
      </c>
      <c r="J265" s="143">
        <v>2</v>
      </c>
      <c r="K265" s="144">
        <v>0</v>
      </c>
      <c r="L265" s="144">
        <v>0</v>
      </c>
      <c r="M265" s="147">
        <v>0</v>
      </c>
      <c r="N265" s="143">
        <v>0</v>
      </c>
      <c r="O265" s="143"/>
      <c r="P265" s="148">
        <v>0</v>
      </c>
    </row>
    <row r="266" spans="1:16" s="2" customFormat="1" ht="18" hidden="1" customHeight="1" x14ac:dyDescent="0.35">
      <c r="A266" s="124" t="s">
        <v>104</v>
      </c>
      <c r="B266" s="308">
        <f t="shared" ref="B266:D266" si="111">(3+3+1.25+3)*2</f>
        <v>20.5</v>
      </c>
      <c r="C266" s="308">
        <f t="shared" si="111"/>
        <v>20.5</v>
      </c>
      <c r="D266" s="308">
        <f t="shared" si="111"/>
        <v>20.5</v>
      </c>
      <c r="E266" s="142">
        <v>6</v>
      </c>
      <c r="F266" s="142" t="s">
        <v>105</v>
      </c>
      <c r="G266" s="142">
        <v>2</v>
      </c>
      <c r="H266" s="143">
        <v>6</v>
      </c>
      <c r="I266" s="143" t="s">
        <v>99</v>
      </c>
      <c r="J266" s="143">
        <v>2</v>
      </c>
      <c r="K266" s="144">
        <v>2.5</v>
      </c>
      <c r="L266" s="144" t="s">
        <v>86</v>
      </c>
      <c r="M266" s="147">
        <v>4</v>
      </c>
      <c r="N266" s="143">
        <v>6</v>
      </c>
      <c r="O266" s="143" t="s">
        <v>99</v>
      </c>
      <c r="P266" s="148">
        <v>2</v>
      </c>
    </row>
    <row r="267" spans="1:16" s="2" customFormat="1" ht="18" hidden="1" customHeight="1" x14ac:dyDescent="0.35">
      <c r="A267" s="127" t="s">
        <v>106</v>
      </c>
      <c r="B267" s="128">
        <f t="shared" ref="B267:D267" si="112">(5+5+1.25+5)*2</f>
        <v>32.5</v>
      </c>
      <c r="C267" s="128">
        <f t="shared" si="112"/>
        <v>32.5</v>
      </c>
      <c r="D267" s="128">
        <f t="shared" si="112"/>
        <v>32.5</v>
      </c>
      <c r="E267" s="149">
        <v>10</v>
      </c>
      <c r="F267" s="149" t="s">
        <v>27</v>
      </c>
      <c r="G267" s="149">
        <v>2</v>
      </c>
      <c r="H267" s="150">
        <v>10</v>
      </c>
      <c r="I267" s="150" t="s">
        <v>101</v>
      </c>
      <c r="J267" s="150">
        <v>2</v>
      </c>
      <c r="K267" s="151">
        <v>2.5</v>
      </c>
      <c r="L267" s="151" t="s">
        <v>86</v>
      </c>
      <c r="M267" s="152">
        <v>4</v>
      </c>
      <c r="N267" s="150">
        <v>10</v>
      </c>
      <c r="O267" s="150" t="s">
        <v>101</v>
      </c>
      <c r="P267" s="153">
        <v>2</v>
      </c>
    </row>
    <row r="268" spans="1:16" s="2" customFormat="1" ht="18" hidden="1" customHeight="1" x14ac:dyDescent="0.35"/>
    <row r="269" spans="1:16" s="2" customFormat="1" ht="18" hidden="1" customHeight="1" x14ac:dyDescent="0.35">
      <c r="A269" s="119" t="s">
        <v>107</v>
      </c>
      <c r="B269" s="121">
        <v>1</v>
      </c>
      <c r="C269" s="308"/>
      <c r="D269" s="308"/>
      <c r="E269" s="308"/>
      <c r="F269" s="308"/>
      <c r="G269" s="308"/>
      <c r="H269" s="308"/>
      <c r="I269" s="308"/>
      <c r="J269" s="308"/>
      <c r="K269" s="308"/>
      <c r="L269" s="308"/>
      <c r="M269" s="308"/>
      <c r="N269" s="308"/>
      <c r="O269" s="308"/>
      <c r="P269" s="308"/>
    </row>
    <row r="270" spans="1:16" s="2" customFormat="1" ht="18" hidden="1" customHeight="1" x14ac:dyDescent="0.35">
      <c r="A270" s="127" t="s">
        <v>18</v>
      </c>
      <c r="B270" s="129">
        <v>0</v>
      </c>
      <c r="C270" s="308"/>
      <c r="D270" s="308"/>
      <c r="E270" s="308"/>
      <c r="F270" s="308"/>
      <c r="G270" s="308"/>
      <c r="H270" s="308"/>
      <c r="I270" s="308"/>
      <c r="J270" s="308"/>
      <c r="K270" s="308"/>
      <c r="L270" s="308"/>
      <c r="M270" s="308"/>
      <c r="N270" s="308"/>
      <c r="O270" s="308"/>
      <c r="P270" s="308"/>
    </row>
    <row r="271" spans="1:16" s="2" customFormat="1" ht="18" hidden="1" customHeight="1" x14ac:dyDescent="0.35">
      <c r="A271" s="308"/>
      <c r="B271" s="308"/>
      <c r="C271" s="308"/>
      <c r="D271" s="308"/>
      <c r="E271" s="308"/>
      <c r="F271" s="308"/>
      <c r="G271" s="308"/>
      <c r="H271" s="308"/>
      <c r="I271" s="308"/>
      <c r="J271" s="308"/>
      <c r="K271" s="308"/>
      <c r="L271" s="308"/>
      <c r="M271" s="308"/>
      <c r="N271" s="308"/>
      <c r="O271" s="308"/>
      <c r="P271" s="308"/>
    </row>
    <row r="272" spans="1:16" s="2" customFormat="1" ht="18" hidden="1" customHeight="1" x14ac:dyDescent="0.35">
      <c r="A272" s="154" t="s">
        <v>20</v>
      </c>
      <c r="B272" s="308"/>
      <c r="C272" s="308"/>
      <c r="D272" s="308"/>
      <c r="E272" s="308"/>
      <c r="F272" s="308"/>
      <c r="G272" s="308"/>
      <c r="H272" s="308"/>
      <c r="I272" s="308"/>
      <c r="J272" s="308"/>
      <c r="K272" s="308"/>
      <c r="L272" s="308"/>
      <c r="M272" s="308"/>
      <c r="N272" s="308"/>
      <c r="O272" s="308"/>
      <c r="P272" s="308"/>
    </row>
    <row r="273" spans="1:16" s="2" customFormat="1" ht="18" hidden="1" customHeight="1" x14ac:dyDescent="0.35">
      <c r="A273" s="155" t="s">
        <v>14</v>
      </c>
      <c r="B273" s="308"/>
      <c r="C273" s="308"/>
      <c r="D273" s="308"/>
      <c r="E273" s="308"/>
      <c r="F273" s="308"/>
      <c r="G273" s="308"/>
      <c r="H273" s="308"/>
      <c r="I273" s="308"/>
      <c r="J273" s="308"/>
      <c r="K273" s="308"/>
      <c r="L273" s="308"/>
      <c r="M273" s="308"/>
      <c r="N273" s="308"/>
      <c r="O273" s="308"/>
      <c r="P273" s="308"/>
    </row>
    <row r="274" spans="1:16" s="2" customFormat="1" ht="18" hidden="1" customHeight="1" x14ac:dyDescent="0.35">
      <c r="A274" s="308"/>
      <c r="B274" s="308"/>
      <c r="C274" s="308"/>
      <c r="D274" s="308"/>
      <c r="E274" s="308"/>
      <c r="F274" s="308"/>
      <c r="G274" s="308"/>
      <c r="H274" s="308"/>
      <c r="I274" s="308"/>
      <c r="J274" s="308"/>
      <c r="K274" s="308"/>
      <c r="L274" s="308"/>
      <c r="M274" s="308"/>
      <c r="N274" s="308"/>
      <c r="O274" s="308"/>
      <c r="P274" s="308"/>
    </row>
    <row r="275" spans="1:16" s="2" customFormat="1" ht="18" hidden="1" customHeight="1" x14ac:dyDescent="0.35">
      <c r="A275" s="154" t="s">
        <v>22</v>
      </c>
      <c r="B275" s="121">
        <v>4.2</v>
      </c>
      <c r="C275" s="308"/>
      <c r="D275" s="308"/>
      <c r="E275" s="308"/>
      <c r="F275" s="308"/>
      <c r="G275" s="308"/>
      <c r="H275" s="308"/>
      <c r="I275" s="308"/>
      <c r="J275" s="308"/>
      <c r="K275" s="308"/>
      <c r="L275" s="308"/>
      <c r="M275" s="308"/>
      <c r="N275" s="308"/>
      <c r="O275" s="308"/>
      <c r="P275" s="308"/>
    </row>
    <row r="276" spans="1:16" s="2" customFormat="1" ht="18" hidden="1" customHeight="1" x14ac:dyDescent="0.35">
      <c r="A276" s="155" t="s">
        <v>108</v>
      </c>
      <c r="B276" s="126">
        <v>2</v>
      </c>
      <c r="C276" s="308"/>
      <c r="D276" s="308"/>
      <c r="E276" s="308"/>
      <c r="F276" s="308"/>
      <c r="G276" s="308"/>
      <c r="H276" s="308"/>
      <c r="I276" s="308"/>
      <c r="J276" s="308"/>
      <c r="K276" s="308"/>
      <c r="L276" s="308"/>
      <c r="M276" s="308"/>
      <c r="N276" s="308"/>
      <c r="O276" s="308"/>
      <c r="P276" s="308"/>
    </row>
    <row r="277" spans="1:16" s="2" customFormat="1" ht="18" hidden="1" customHeight="1" x14ac:dyDescent="0.35">
      <c r="A277" s="156" t="s">
        <v>109</v>
      </c>
      <c r="B277" s="129">
        <v>0</v>
      </c>
      <c r="C277" s="308"/>
      <c r="D277" s="308"/>
      <c r="E277" s="308"/>
      <c r="F277" s="308"/>
      <c r="G277" s="308"/>
      <c r="H277" s="308"/>
      <c r="I277" s="308"/>
      <c r="J277" s="308"/>
      <c r="K277" s="308"/>
      <c r="L277" s="308"/>
      <c r="M277" s="308"/>
      <c r="N277" s="308"/>
      <c r="O277" s="308"/>
      <c r="P277" s="308"/>
    </row>
    <row r="278" spans="1:16" s="2" customFormat="1" ht="18" hidden="1" customHeight="1" x14ac:dyDescent="0.35">
      <c r="A278" s="308"/>
      <c r="B278" s="308"/>
      <c r="C278" s="308"/>
      <c r="D278" s="308"/>
      <c r="E278" s="308"/>
      <c r="F278" s="308"/>
      <c r="G278" s="308"/>
      <c r="H278" s="308"/>
      <c r="I278" s="308"/>
      <c r="J278" s="308"/>
      <c r="K278" s="308"/>
      <c r="L278" s="308"/>
      <c r="M278" s="308"/>
      <c r="N278" s="308"/>
      <c r="O278" s="308"/>
      <c r="P278" s="308"/>
    </row>
    <row r="279" spans="1:16" s="2" customFormat="1" ht="18" hidden="1" customHeight="1" x14ac:dyDescent="0.35">
      <c r="A279" s="119" t="s">
        <v>110</v>
      </c>
      <c r="B279" s="120">
        <v>0</v>
      </c>
      <c r="C279" s="120"/>
      <c r="D279" s="121">
        <v>0</v>
      </c>
      <c r="E279" s="308"/>
      <c r="F279" s="308"/>
      <c r="G279" s="308"/>
      <c r="H279" s="308"/>
      <c r="I279" s="308"/>
      <c r="J279" s="308"/>
      <c r="K279" s="308"/>
      <c r="L279" s="308"/>
      <c r="M279" s="308"/>
      <c r="N279" s="308"/>
      <c r="O279" s="308"/>
      <c r="P279" s="308"/>
    </row>
    <row r="280" spans="1:16" s="2" customFormat="1" ht="18" hidden="1" customHeight="1" x14ac:dyDescent="0.35">
      <c r="A280" s="124" t="s">
        <v>111</v>
      </c>
      <c r="B280" s="308">
        <v>10</v>
      </c>
      <c r="C280" s="308">
        <v>40</v>
      </c>
      <c r="D280" s="126">
        <v>12</v>
      </c>
      <c r="E280" s="308"/>
      <c r="F280" s="308"/>
      <c r="G280" s="308"/>
      <c r="H280" s="308"/>
      <c r="I280" s="308"/>
      <c r="J280" s="308"/>
      <c r="K280" s="308"/>
      <c r="L280" s="308"/>
      <c r="M280" s="308"/>
      <c r="N280" s="308"/>
      <c r="O280" s="308"/>
      <c r="P280" s="308"/>
    </row>
    <row r="281" spans="1:16" s="2" customFormat="1" ht="18" hidden="1" customHeight="1" x14ac:dyDescent="0.35">
      <c r="A281" s="124" t="s">
        <v>16</v>
      </c>
      <c r="B281" s="308">
        <v>0</v>
      </c>
      <c r="C281" s="308"/>
      <c r="D281" s="126">
        <v>0</v>
      </c>
      <c r="E281" s="308"/>
      <c r="F281" s="308"/>
      <c r="G281" s="308"/>
      <c r="H281" s="308"/>
      <c r="I281" s="308"/>
      <c r="J281" s="308"/>
      <c r="K281" s="308"/>
      <c r="L281" s="308"/>
      <c r="M281" s="308"/>
      <c r="N281" s="308"/>
      <c r="O281" s="308"/>
      <c r="P281" s="308"/>
    </row>
    <row r="282" spans="1:16" s="2" customFormat="1" ht="18" hidden="1" customHeight="1" x14ac:dyDescent="0.35">
      <c r="A282" s="157" t="s">
        <v>112</v>
      </c>
      <c r="B282" s="128">
        <v>5</v>
      </c>
      <c r="C282" s="128">
        <v>20</v>
      </c>
      <c r="D282" s="129">
        <v>0</v>
      </c>
      <c r="E282" s="308"/>
      <c r="F282" s="308"/>
      <c r="G282" s="308"/>
      <c r="H282" s="308"/>
      <c r="I282" s="308"/>
      <c r="J282" s="308"/>
      <c r="K282" s="308"/>
      <c r="L282" s="308"/>
      <c r="M282" s="308"/>
      <c r="N282" s="308"/>
      <c r="O282" s="308"/>
      <c r="P282" s="308"/>
    </row>
    <row r="283" spans="1:16" s="2" customFormat="1" ht="18" hidden="1" customHeight="1" x14ac:dyDescent="0.35">
      <c r="A283" s="308"/>
      <c r="B283" s="308"/>
      <c r="C283" s="308"/>
      <c r="D283" s="308"/>
      <c r="E283" s="308"/>
      <c r="F283" s="308"/>
      <c r="G283" s="308"/>
      <c r="H283" s="308"/>
      <c r="I283" s="308"/>
      <c r="J283" s="308"/>
      <c r="K283" s="308"/>
      <c r="L283" s="308"/>
      <c r="M283" s="308"/>
      <c r="N283" s="308"/>
      <c r="O283" s="308"/>
      <c r="P283" s="308"/>
    </row>
    <row r="284" spans="1:16" s="2" customFormat="1" ht="18" hidden="1" customHeight="1" x14ac:dyDescent="0.35">
      <c r="A284" s="154" t="s">
        <v>16</v>
      </c>
      <c r="B284" s="308"/>
      <c r="C284" s="308"/>
      <c r="D284" s="308"/>
      <c r="E284" s="308"/>
      <c r="F284" s="308"/>
      <c r="G284" s="308"/>
      <c r="H284" s="308"/>
      <c r="I284" s="308"/>
      <c r="J284" s="308"/>
      <c r="K284" s="308"/>
      <c r="L284" s="308"/>
      <c r="M284" s="308"/>
      <c r="N284" s="308"/>
      <c r="O284" s="308"/>
      <c r="P284" s="308"/>
    </row>
    <row r="285" spans="1:16" s="2" customFormat="1" ht="18" hidden="1" customHeight="1" x14ac:dyDescent="0.35">
      <c r="A285" s="155" t="s">
        <v>113</v>
      </c>
      <c r="B285" s="308"/>
      <c r="C285" s="308"/>
      <c r="D285" s="308"/>
      <c r="E285" s="308"/>
      <c r="F285" s="308"/>
      <c r="G285" s="308"/>
      <c r="H285" s="308"/>
      <c r="I285" s="308"/>
      <c r="J285" s="308"/>
      <c r="K285" s="308"/>
      <c r="L285" s="308"/>
      <c r="M285" s="308"/>
      <c r="N285" s="308"/>
      <c r="O285" s="308"/>
      <c r="P285" s="308"/>
    </row>
    <row r="286" spans="1:16" s="2" customFormat="1" ht="18" hidden="1" customHeight="1" x14ac:dyDescent="0.35">
      <c r="A286" s="156" t="s">
        <v>37</v>
      </c>
      <c r="B286" s="308"/>
      <c r="C286" s="308"/>
      <c r="D286" s="308"/>
      <c r="E286" s="308"/>
      <c r="F286" s="308"/>
      <c r="G286" s="308"/>
      <c r="H286" s="308"/>
      <c r="I286" s="308"/>
      <c r="J286" s="308"/>
      <c r="K286" s="308"/>
      <c r="L286" s="308"/>
      <c r="M286" s="308"/>
      <c r="N286" s="308"/>
      <c r="O286" s="308"/>
      <c r="P286" s="308"/>
    </row>
    <row r="287" spans="1:16" s="2" customFormat="1" ht="18" hidden="1" customHeight="1" x14ac:dyDescent="0.35">
      <c r="A287" s="308"/>
      <c r="B287" s="308"/>
      <c r="C287" s="308"/>
      <c r="D287" s="308"/>
      <c r="E287" s="308"/>
      <c r="F287" s="308"/>
      <c r="G287" s="308"/>
      <c r="H287" s="308"/>
      <c r="I287" s="308"/>
      <c r="J287" s="308"/>
      <c r="K287" s="308"/>
      <c r="L287" s="308"/>
      <c r="M287" s="308"/>
      <c r="N287" s="308"/>
      <c r="O287" s="308"/>
      <c r="P287" s="308"/>
    </row>
    <row r="288" spans="1:16" s="2" customFormat="1" ht="18" hidden="1" customHeight="1" x14ac:dyDescent="0.35">
      <c r="A288" s="98"/>
      <c r="B288" s="120" t="s">
        <v>114</v>
      </c>
      <c r="C288" s="120" t="s">
        <v>115</v>
      </c>
      <c r="D288" s="120" t="s">
        <v>116</v>
      </c>
      <c r="E288" s="120" t="s">
        <v>117</v>
      </c>
      <c r="F288" s="120" t="s">
        <v>118</v>
      </c>
      <c r="G288" s="120" t="s">
        <v>119</v>
      </c>
      <c r="H288" s="120" t="s">
        <v>120</v>
      </c>
      <c r="I288" s="120" t="s">
        <v>121</v>
      </c>
      <c r="J288" s="120" t="s">
        <v>122</v>
      </c>
      <c r="K288" s="120" t="s">
        <v>123</v>
      </c>
      <c r="L288" s="121" t="s">
        <v>82</v>
      </c>
      <c r="M288" s="308"/>
      <c r="N288" s="308"/>
      <c r="O288" s="308"/>
      <c r="P288" s="308"/>
    </row>
    <row r="289" spans="1:16" s="2" customFormat="1" ht="18" hidden="1" customHeight="1" x14ac:dyDescent="0.35">
      <c r="A289" s="124">
        <v>1</v>
      </c>
      <c r="B289" s="308">
        <v>2</v>
      </c>
      <c r="C289" s="308">
        <v>3</v>
      </c>
      <c r="D289" s="308">
        <v>4</v>
      </c>
      <c r="E289" s="308">
        <v>5</v>
      </c>
      <c r="F289" s="308">
        <v>6</v>
      </c>
      <c r="G289" s="308">
        <v>7</v>
      </c>
      <c r="H289" s="308">
        <v>8</v>
      </c>
      <c r="I289" s="308">
        <v>9</v>
      </c>
      <c r="J289" s="308">
        <v>10</v>
      </c>
      <c r="K289" s="308">
        <v>11</v>
      </c>
      <c r="L289" s="126">
        <v>12</v>
      </c>
      <c r="M289" s="308"/>
      <c r="N289" s="308"/>
      <c r="O289" s="308"/>
      <c r="P289" s="308"/>
    </row>
    <row r="290" spans="1:16" s="2" customFormat="1" ht="18" hidden="1" customHeight="1" x14ac:dyDescent="0.35">
      <c r="A290" s="124" t="s">
        <v>16</v>
      </c>
      <c r="B290" s="308">
        <v>0</v>
      </c>
      <c r="C290" s="308">
        <v>0</v>
      </c>
      <c r="D290" s="308">
        <v>0</v>
      </c>
      <c r="E290" s="308">
        <v>0</v>
      </c>
      <c r="F290" s="308">
        <v>0</v>
      </c>
      <c r="G290" s="308">
        <v>0</v>
      </c>
      <c r="H290" s="308">
        <v>0</v>
      </c>
      <c r="I290" s="308">
        <v>0</v>
      </c>
      <c r="J290" s="308">
        <v>0</v>
      </c>
      <c r="K290" s="308">
        <v>0</v>
      </c>
      <c r="L290" s="126">
        <v>0</v>
      </c>
      <c r="M290" s="308"/>
      <c r="N290" s="308"/>
      <c r="O290" s="308"/>
      <c r="P290" s="308"/>
    </row>
    <row r="291" spans="1:16" s="2" customFormat="1" ht="18" hidden="1" customHeight="1" x14ac:dyDescent="0.35">
      <c r="A291" s="124" t="s">
        <v>32</v>
      </c>
      <c r="B291" s="308">
        <f t="shared" ref="B291:B295" si="113">10.2+IF($F$21="Oui",0.2)</f>
        <v>10.199999999999999</v>
      </c>
      <c r="C291" s="308">
        <f t="shared" ref="C291:C293" si="114">11+4+IF($F$21="Oui",0.2)</f>
        <v>15</v>
      </c>
      <c r="D291" s="308">
        <f t="shared" ref="D291:D295" si="115">10.2+IF($F$21="Oui",0.2)</f>
        <v>10.199999999999999</v>
      </c>
      <c r="E291" s="308">
        <f>11+IF($F$21="Oui",0.2)</f>
        <v>11</v>
      </c>
      <c r="F291" s="308">
        <v>0.2</v>
      </c>
      <c r="G291" s="308">
        <f>2</f>
        <v>2</v>
      </c>
      <c r="H291" s="308" t="s">
        <v>27</v>
      </c>
      <c r="I291" s="308" t="s">
        <v>27</v>
      </c>
      <c r="J291" s="308">
        <v>-0.5</v>
      </c>
      <c r="K291" s="308">
        <v>2</v>
      </c>
      <c r="L291" s="126">
        <v>1</v>
      </c>
      <c r="M291" s="308"/>
      <c r="N291" s="308"/>
      <c r="O291" s="308"/>
      <c r="P291" s="308"/>
    </row>
    <row r="292" spans="1:16" s="2" customFormat="1" ht="18" hidden="1" customHeight="1" x14ac:dyDescent="0.35">
      <c r="A292" s="124" t="s">
        <v>129</v>
      </c>
      <c r="B292" s="308">
        <f t="shared" si="113"/>
        <v>10.199999999999999</v>
      </c>
      <c r="C292" s="308">
        <f t="shared" si="114"/>
        <v>15</v>
      </c>
      <c r="D292" s="308">
        <f t="shared" si="115"/>
        <v>10.199999999999999</v>
      </c>
      <c r="E292" s="308">
        <f>5.2+IF($F$21="Oui",0.1)</f>
        <v>5.2</v>
      </c>
      <c r="F292" s="308">
        <v>0.2</v>
      </c>
      <c r="G292" s="308">
        <v>2</v>
      </c>
      <c r="H292" s="308" t="s">
        <v>27</v>
      </c>
      <c r="I292" s="308" t="s">
        <v>27</v>
      </c>
      <c r="J292" s="308">
        <v>9.5</v>
      </c>
      <c r="K292" s="308">
        <v>2</v>
      </c>
      <c r="L292" s="126">
        <v>1</v>
      </c>
      <c r="M292" s="308"/>
      <c r="N292" s="308"/>
      <c r="O292" s="308"/>
      <c r="P292" s="308"/>
    </row>
    <row r="293" spans="1:16" s="2" customFormat="1" ht="18" hidden="1" customHeight="1" x14ac:dyDescent="0.35">
      <c r="A293" s="124" t="s">
        <v>130</v>
      </c>
      <c r="B293" s="308">
        <f t="shared" si="113"/>
        <v>10.199999999999999</v>
      </c>
      <c r="C293" s="308">
        <f t="shared" si="114"/>
        <v>15</v>
      </c>
      <c r="D293" s="308">
        <f t="shared" si="115"/>
        <v>10.199999999999999</v>
      </c>
      <c r="E293" s="308">
        <f>6+IF($F$21="Oui",0.1)</f>
        <v>6</v>
      </c>
      <c r="F293" s="308">
        <v>10.199999999999999</v>
      </c>
      <c r="G293" s="308">
        <v>2</v>
      </c>
      <c r="H293" s="308" t="s">
        <v>37</v>
      </c>
      <c r="I293" s="308" t="s">
        <v>27</v>
      </c>
      <c r="J293" s="308">
        <v>-0.5</v>
      </c>
      <c r="K293" s="308">
        <v>2</v>
      </c>
      <c r="L293" s="126">
        <v>1</v>
      </c>
      <c r="M293" s="308"/>
      <c r="N293" s="308"/>
      <c r="O293" s="308"/>
      <c r="P293" s="308"/>
    </row>
    <row r="294" spans="1:16" s="2" customFormat="1" ht="18" hidden="1" customHeight="1" x14ac:dyDescent="0.35">
      <c r="A294" s="124" t="s">
        <v>131</v>
      </c>
      <c r="B294" s="308">
        <f t="shared" si="113"/>
        <v>10.199999999999999</v>
      </c>
      <c r="C294" s="308">
        <f>11+2+IF($F$21="Oui",0.2)</f>
        <v>13</v>
      </c>
      <c r="D294" s="308">
        <f t="shared" si="115"/>
        <v>10.199999999999999</v>
      </c>
      <c r="E294" s="308">
        <f t="shared" ref="E294:E295" si="116">11+IF($F$21="Oui",0.2)</f>
        <v>11</v>
      </c>
      <c r="F294" s="308">
        <v>0.2</v>
      </c>
      <c r="G294" s="308">
        <v>2</v>
      </c>
      <c r="H294" s="308" t="s">
        <v>27</v>
      </c>
      <c r="I294" s="308" t="s">
        <v>27</v>
      </c>
      <c r="J294" s="308">
        <v>-0.5</v>
      </c>
      <c r="K294" s="128">
        <v>1</v>
      </c>
      <c r="L294" s="126">
        <v>1</v>
      </c>
      <c r="M294" s="308"/>
      <c r="N294" s="308"/>
      <c r="O294" s="308"/>
      <c r="P294" s="308"/>
    </row>
    <row r="295" spans="1:16" s="2" customFormat="1" ht="18" hidden="1" customHeight="1" x14ac:dyDescent="0.35">
      <c r="A295" s="127" t="s">
        <v>132</v>
      </c>
      <c r="B295" s="128">
        <f t="shared" si="113"/>
        <v>10.199999999999999</v>
      </c>
      <c r="C295" s="128">
        <f>11+IF($F$21="Oui",0.2)</f>
        <v>11</v>
      </c>
      <c r="D295" s="128">
        <f t="shared" si="115"/>
        <v>10.199999999999999</v>
      </c>
      <c r="E295" s="128">
        <f t="shared" si="116"/>
        <v>11</v>
      </c>
      <c r="F295" s="128">
        <v>0.2</v>
      </c>
      <c r="G295" s="128">
        <v>1</v>
      </c>
      <c r="H295" s="128" t="s">
        <v>27</v>
      </c>
      <c r="I295" s="128" t="s">
        <v>27</v>
      </c>
      <c r="J295" s="128">
        <v>-0.5</v>
      </c>
      <c r="K295" s="128">
        <v>1</v>
      </c>
      <c r="L295" s="129">
        <v>1</v>
      </c>
      <c r="M295" s="308"/>
      <c r="N295" s="308"/>
      <c r="O295" s="308"/>
      <c r="P295" s="308"/>
    </row>
    <row r="296" spans="1:16" s="2" customFormat="1" ht="18" hidden="1" customHeight="1" x14ac:dyDescent="0.35"/>
    <row r="297" spans="1:16" s="2" customFormat="1" ht="18" hidden="1" customHeight="1" x14ac:dyDescent="0.35">
      <c r="A297" s="345" t="s">
        <v>135</v>
      </c>
      <c r="B297" s="346">
        <v>10</v>
      </c>
      <c r="C297" s="308"/>
      <c r="D297" s="308"/>
      <c r="E297" s="308"/>
      <c r="F297" s="308"/>
      <c r="G297" s="308"/>
      <c r="H297" s="308"/>
      <c r="I297" s="308"/>
      <c r="J297" s="308"/>
      <c r="K297" s="308"/>
      <c r="L297" s="308"/>
      <c r="M297" s="308"/>
      <c r="N297" s="308"/>
      <c r="O297" s="308"/>
      <c r="P297" s="308"/>
    </row>
    <row r="298" spans="1:16" s="2" customFormat="1" ht="18" hidden="1" customHeight="1" x14ac:dyDescent="0.35">
      <c r="A298" s="347" t="s">
        <v>136</v>
      </c>
      <c r="B298" s="348">
        <v>10</v>
      </c>
    </row>
    <row r="299" spans="1:16" s="2" customFormat="1" ht="18" hidden="1" customHeight="1" x14ac:dyDescent="0.35">
      <c r="A299" s="349" t="s">
        <v>212</v>
      </c>
      <c r="B299" s="350">
        <v>3</v>
      </c>
    </row>
  </sheetData>
  <mergeCells count="4112">
    <mergeCell ref="NDE26:NDH26"/>
    <mergeCell ref="NDI26:NDL26"/>
    <mergeCell ref="NDM26:NDP26"/>
    <mergeCell ref="NDQ26:NDT26"/>
    <mergeCell ref="NDU26:NDX26"/>
    <mergeCell ref="NDY26:NEB26"/>
    <mergeCell ref="NEC26:NEF26"/>
    <mergeCell ref="NEG26:NEJ26"/>
    <mergeCell ref="NEK26:NEN26"/>
    <mergeCell ref="NEO26:NER26"/>
    <mergeCell ref="NES26:NEV26"/>
    <mergeCell ref="NEW26:NEZ26"/>
    <mergeCell ref="NFA26:NFD26"/>
    <mergeCell ref="NFE26:NFH26"/>
    <mergeCell ref="NFI26:NFL26"/>
    <mergeCell ref="NFM26:NFP26"/>
    <mergeCell ref="NFQ26:NFT26"/>
    <mergeCell ref="NFU26:NFX26"/>
    <mergeCell ref="NFY26:NGB26"/>
    <mergeCell ref="NGC26:NGF26"/>
    <mergeCell ref="NGG26:NGJ26"/>
    <mergeCell ref="NGK26:NGN26"/>
    <mergeCell ref="NGO26:NGR26"/>
    <mergeCell ref="NGS26:NGV26"/>
    <mergeCell ref="NGW26:NGZ26"/>
    <mergeCell ref="NHA26:NHD26"/>
    <mergeCell ref="NHE26:NHH26"/>
    <mergeCell ref="NHI26:NHL26"/>
    <mergeCell ref="NHM26:NHP26"/>
    <mergeCell ref="NHQ26:NHT26"/>
    <mergeCell ref="NHU26:NHX26"/>
    <mergeCell ref="NHY26:NIB26"/>
    <mergeCell ref="NIC26:NIF26"/>
    <mergeCell ref="NIG26:NIJ26"/>
    <mergeCell ref="NIK26:NIN26"/>
    <mergeCell ref="NIO26:NIR26"/>
    <mergeCell ref="NIS26:NIV26"/>
    <mergeCell ref="NIW26:NIZ26"/>
    <mergeCell ref="NJA26:NJD26"/>
    <mergeCell ref="NJE26:NJH26"/>
    <mergeCell ref="NJI26:NJL26"/>
    <mergeCell ref="NJM26:NJP26"/>
    <mergeCell ref="NJQ26:NJT26"/>
    <mergeCell ref="NJU26:NJX26"/>
    <mergeCell ref="NJY26:NKB26"/>
    <mergeCell ref="NKC26:NKF26"/>
    <mergeCell ref="NKG26:NKJ26"/>
    <mergeCell ref="NKK26:NKN26"/>
    <mergeCell ref="NKO26:NKR26"/>
    <mergeCell ref="NKS26:NKV26"/>
    <mergeCell ref="NKW26:NKZ26"/>
    <mergeCell ref="NLA26:NLD26"/>
    <mergeCell ref="NLE26:NLH26"/>
    <mergeCell ref="NLI26:NLL26"/>
    <mergeCell ref="NLM26:NLP26"/>
    <mergeCell ref="NLQ26:NLT26"/>
    <mergeCell ref="NLU26:NLX26"/>
    <mergeCell ref="NLY26:NMB26"/>
    <mergeCell ref="NMC26:NMF26"/>
    <mergeCell ref="NMG26:NMJ26"/>
    <mergeCell ref="NMK26:NMN26"/>
    <mergeCell ref="NMO26:NMR26"/>
    <mergeCell ref="NMS26:NMV26"/>
    <mergeCell ref="NMW26:NMZ26"/>
    <mergeCell ref="NNA26:NND26"/>
    <mergeCell ref="NNE26:NNH26"/>
    <mergeCell ref="NNI26:NNL26"/>
    <mergeCell ref="NNM26:NNP26"/>
    <mergeCell ref="NNQ26:NNT26"/>
    <mergeCell ref="NNU26:NNX26"/>
    <mergeCell ref="NNY26:NOB26"/>
    <mergeCell ref="NOC26:NOF26"/>
    <mergeCell ref="NOG26:NOJ26"/>
    <mergeCell ref="NOK26:NON26"/>
    <mergeCell ref="NOO26:NOR26"/>
    <mergeCell ref="NOS26:NOV26"/>
    <mergeCell ref="NOW26:NOZ26"/>
    <mergeCell ref="NPA26:NPD26"/>
    <mergeCell ref="NPE26:NPH26"/>
    <mergeCell ref="NPI26:NPL26"/>
    <mergeCell ref="NPM26:NPP26"/>
    <mergeCell ref="NPQ26:NPT26"/>
    <mergeCell ref="NPU26:NPX26"/>
    <mergeCell ref="NPY26:NQB26"/>
    <mergeCell ref="NQC26:NQF26"/>
    <mergeCell ref="NQG26:NQJ26"/>
    <mergeCell ref="NQK26:NQN26"/>
    <mergeCell ref="NQO26:NQR26"/>
    <mergeCell ref="NQS26:NQV26"/>
    <mergeCell ref="NQW26:NQZ26"/>
    <mergeCell ref="NRA26:NRD26"/>
    <mergeCell ref="NRE26:NRH26"/>
    <mergeCell ref="NRI26:NRL26"/>
    <mergeCell ref="NRM26:NRP26"/>
    <mergeCell ref="NRQ26:NRT26"/>
    <mergeCell ref="NRU26:NRX26"/>
    <mergeCell ref="NRY26:NSB26"/>
    <mergeCell ref="NSC26:NSF26"/>
    <mergeCell ref="NSG26:NSJ26"/>
    <mergeCell ref="NSK26:NSN26"/>
    <mergeCell ref="NSO26:NSR26"/>
    <mergeCell ref="NSS26:NSV26"/>
    <mergeCell ref="NSW26:NSZ26"/>
    <mergeCell ref="NTA26:NTD26"/>
    <mergeCell ref="NTE26:NTH26"/>
    <mergeCell ref="NTI26:NTL26"/>
    <mergeCell ref="NTM26:NTP26"/>
    <mergeCell ref="NTQ26:NTT26"/>
    <mergeCell ref="NTU26:NTX26"/>
    <mergeCell ref="NTY26:NUB26"/>
    <mergeCell ref="NUC26:NUF26"/>
    <mergeCell ref="NUG26:NUJ26"/>
    <mergeCell ref="NUK26:NUN26"/>
    <mergeCell ref="NUO26:NUR26"/>
    <mergeCell ref="NUS26:NUV26"/>
    <mergeCell ref="NUW26:NUZ26"/>
    <mergeCell ref="NVA26:NVD26"/>
    <mergeCell ref="NVE26:NVH26"/>
    <mergeCell ref="NVI26:NVL26"/>
    <mergeCell ref="NVM26:NVP26"/>
    <mergeCell ref="NVQ26:NVT26"/>
    <mergeCell ref="NVU26:NVX26"/>
    <mergeCell ref="NVY26:NWB26"/>
    <mergeCell ref="NWC26:NWF26"/>
    <mergeCell ref="NWG26:NWJ26"/>
    <mergeCell ref="NWK26:NWN26"/>
    <mergeCell ref="NWO26:NWR26"/>
    <mergeCell ref="NWS26:NWV26"/>
    <mergeCell ref="NWW26:NWZ26"/>
    <mergeCell ref="NXA26:NXD26"/>
    <mergeCell ref="NXE26:NXH26"/>
    <mergeCell ref="NXI26:NXL26"/>
    <mergeCell ref="NXM26:NXP26"/>
    <mergeCell ref="NXQ26:NXT26"/>
    <mergeCell ref="NXU26:NXX26"/>
    <mergeCell ref="NXY26:NYB26"/>
    <mergeCell ref="NYC26:NYF26"/>
    <mergeCell ref="NYG26:NYJ26"/>
    <mergeCell ref="NYK26:NYN26"/>
    <mergeCell ref="NYO26:NYR26"/>
    <mergeCell ref="NYS26:NYV26"/>
    <mergeCell ref="NYW26:NYZ26"/>
    <mergeCell ref="NZA26:NZD26"/>
    <mergeCell ref="NZE26:NZH26"/>
    <mergeCell ref="NZI26:NZL26"/>
    <mergeCell ref="NZM26:NZP26"/>
    <mergeCell ref="NZQ26:NZT26"/>
    <mergeCell ref="NZU26:NZX26"/>
    <mergeCell ref="NZY26:OAB26"/>
    <mergeCell ref="OAC26:OAF26"/>
    <mergeCell ref="OAG26:OAJ26"/>
    <mergeCell ref="OAK26:OAN26"/>
    <mergeCell ref="OAO26:OAR26"/>
    <mergeCell ref="OAS26:OAV26"/>
    <mergeCell ref="OAW26:OAZ26"/>
    <mergeCell ref="OBA26:OBD26"/>
    <mergeCell ref="OBE26:OBH26"/>
    <mergeCell ref="OBI26:OBL26"/>
    <mergeCell ref="OBM26:OBP26"/>
    <mergeCell ref="OBQ26:OBT26"/>
    <mergeCell ref="OBU26:OBX26"/>
    <mergeCell ref="OBY26:OCB26"/>
    <mergeCell ref="OCC26:OCF26"/>
    <mergeCell ref="OCG26:OCJ26"/>
    <mergeCell ref="OCK26:OCN26"/>
    <mergeCell ref="OCO26:OCR26"/>
    <mergeCell ref="OCS26:OCV26"/>
    <mergeCell ref="OCW26:OCZ26"/>
    <mergeCell ref="ODA26:ODD26"/>
    <mergeCell ref="ODE26:ODH26"/>
    <mergeCell ref="ODI26:ODL26"/>
    <mergeCell ref="ODM26:ODP26"/>
    <mergeCell ref="ODQ26:ODT26"/>
    <mergeCell ref="ODU26:ODX26"/>
    <mergeCell ref="ODY26:OEB26"/>
    <mergeCell ref="OEC26:OEF26"/>
    <mergeCell ref="OEG26:OEJ26"/>
    <mergeCell ref="OEK26:OEN26"/>
    <mergeCell ref="OEO26:OER26"/>
    <mergeCell ref="OES26:OEV26"/>
    <mergeCell ref="OEW26:OEZ26"/>
    <mergeCell ref="OFA26:OFD26"/>
    <mergeCell ref="OFE26:OFH26"/>
    <mergeCell ref="OFI26:OFL26"/>
    <mergeCell ref="OFM26:OFP26"/>
    <mergeCell ref="OFQ26:OFT26"/>
    <mergeCell ref="OFU26:OFX26"/>
    <mergeCell ref="OFY26:OGB26"/>
    <mergeCell ref="OGC26:OGF26"/>
    <mergeCell ref="OGG26:OGJ26"/>
    <mergeCell ref="OGK26:OGN26"/>
    <mergeCell ref="OGO26:OGR26"/>
    <mergeCell ref="OGS26:OGV26"/>
    <mergeCell ref="OGW26:OGZ26"/>
    <mergeCell ref="OHA26:OHD26"/>
    <mergeCell ref="OHE26:OHH26"/>
    <mergeCell ref="OHI26:OHL26"/>
    <mergeCell ref="OHM26:OHP26"/>
    <mergeCell ref="OHQ26:OHT26"/>
    <mergeCell ref="OHU26:OHX26"/>
    <mergeCell ref="OHY26:OIB26"/>
    <mergeCell ref="OIC26:OIF26"/>
    <mergeCell ref="OIG26:OIJ26"/>
    <mergeCell ref="OIK26:OIN26"/>
    <mergeCell ref="OIO26:OIR26"/>
    <mergeCell ref="OIS26:OIV26"/>
    <mergeCell ref="OIW26:OIZ26"/>
    <mergeCell ref="OJA26:OJD26"/>
    <mergeCell ref="OJE26:OJH26"/>
    <mergeCell ref="OJI26:OJL26"/>
    <mergeCell ref="OJM26:OJP26"/>
    <mergeCell ref="OJQ26:OJT26"/>
    <mergeCell ref="OJU26:OJX26"/>
    <mergeCell ref="OJY26:OKB26"/>
    <mergeCell ref="OKC26:OKF26"/>
    <mergeCell ref="OKG26:OKJ26"/>
    <mergeCell ref="OKK26:OKN26"/>
    <mergeCell ref="OKO26:OKR26"/>
    <mergeCell ref="OKS26:OKV26"/>
    <mergeCell ref="OKW26:OKZ26"/>
    <mergeCell ref="OLA26:OLD26"/>
    <mergeCell ref="OLE26:OLH26"/>
    <mergeCell ref="OLI26:OLL26"/>
    <mergeCell ref="OLM26:OLP26"/>
    <mergeCell ref="OLQ26:OLT26"/>
    <mergeCell ref="OLU26:OLX26"/>
    <mergeCell ref="OLY26:OMB26"/>
    <mergeCell ref="OMC26:OMF26"/>
    <mergeCell ref="OMG26:OMJ26"/>
    <mergeCell ref="OMK26:OMN26"/>
    <mergeCell ref="OMO26:OMR26"/>
    <mergeCell ref="OMS26:OMV26"/>
    <mergeCell ref="OMW26:OMZ26"/>
    <mergeCell ref="ONA26:OND26"/>
    <mergeCell ref="ONE26:ONH26"/>
    <mergeCell ref="ONI26:ONL26"/>
    <mergeCell ref="ONM26:ONP26"/>
    <mergeCell ref="ONQ26:ONT26"/>
    <mergeCell ref="ONU26:ONX26"/>
    <mergeCell ref="ONY26:OOB26"/>
    <mergeCell ref="OOC26:OOF26"/>
    <mergeCell ref="OOG26:OOJ26"/>
    <mergeCell ref="OOK26:OON26"/>
    <mergeCell ref="OOO26:OOR26"/>
    <mergeCell ref="OOS26:OOV26"/>
    <mergeCell ref="OOW26:OOZ26"/>
    <mergeCell ref="OPA26:OPD26"/>
    <mergeCell ref="OPE26:OPH26"/>
    <mergeCell ref="OPI26:OPL26"/>
    <mergeCell ref="OPM26:OPP26"/>
    <mergeCell ref="OPQ26:OPT26"/>
    <mergeCell ref="OPU26:OPX26"/>
    <mergeCell ref="OPY26:OQB26"/>
    <mergeCell ref="OQC26:OQF26"/>
    <mergeCell ref="OQG26:OQJ26"/>
    <mergeCell ref="OQK26:OQN26"/>
    <mergeCell ref="OQO26:OQR26"/>
    <mergeCell ref="OQS26:OQV26"/>
    <mergeCell ref="OQW26:OQZ26"/>
    <mergeCell ref="ORA26:ORD26"/>
    <mergeCell ref="ORE26:ORH26"/>
    <mergeCell ref="ORI26:ORL26"/>
    <mergeCell ref="ORM26:ORP26"/>
    <mergeCell ref="ORQ26:ORT26"/>
    <mergeCell ref="ORU26:ORX26"/>
    <mergeCell ref="ORY26:OSB26"/>
    <mergeCell ref="OSC26:OSF26"/>
    <mergeCell ref="OSG26:OSJ26"/>
    <mergeCell ref="OSK26:OSN26"/>
    <mergeCell ref="OSO26:OSR26"/>
    <mergeCell ref="OSS26:OSV26"/>
    <mergeCell ref="OSW26:OSZ26"/>
    <mergeCell ref="OTA26:OTD26"/>
    <mergeCell ref="OTE26:OTH26"/>
    <mergeCell ref="OTI26:OTL26"/>
    <mergeCell ref="OTM26:OTP26"/>
    <mergeCell ref="OTQ26:OTT26"/>
    <mergeCell ref="OTU26:OTX26"/>
    <mergeCell ref="OTY26:OUB26"/>
    <mergeCell ref="OUC26:OUF26"/>
    <mergeCell ref="OUG26:OUJ26"/>
    <mergeCell ref="OUK26:OUN26"/>
    <mergeCell ref="OUO26:OUR26"/>
    <mergeCell ref="OUS26:OUV26"/>
    <mergeCell ref="OUW26:OUZ26"/>
    <mergeCell ref="OVA26:OVD26"/>
    <mergeCell ref="OVE26:OVH26"/>
    <mergeCell ref="OVI26:OVL26"/>
    <mergeCell ref="OVM26:OVP26"/>
    <mergeCell ref="OVQ26:OVT26"/>
    <mergeCell ref="OVU26:OVX26"/>
    <mergeCell ref="OVY26:OWB26"/>
    <mergeCell ref="OWC26:OWF26"/>
    <mergeCell ref="OWG26:OWJ26"/>
    <mergeCell ref="OWK26:OWN26"/>
    <mergeCell ref="OWO26:OWR26"/>
    <mergeCell ref="OWS26:OWV26"/>
    <mergeCell ref="OWW26:OWZ26"/>
    <mergeCell ref="OXA26:OXD26"/>
    <mergeCell ref="OXE26:OXH26"/>
    <mergeCell ref="OXI26:OXL26"/>
    <mergeCell ref="OXM26:OXP26"/>
    <mergeCell ref="OXQ26:OXT26"/>
    <mergeCell ref="OXU26:OXX26"/>
    <mergeCell ref="OXY26:OYB26"/>
    <mergeCell ref="OYC26:OYF26"/>
    <mergeCell ref="OYG26:OYJ26"/>
    <mergeCell ref="OYK26:OYN26"/>
    <mergeCell ref="OYO26:OYR26"/>
    <mergeCell ref="OYS26:OYV26"/>
    <mergeCell ref="OYW26:OYZ26"/>
    <mergeCell ref="OZA26:OZD26"/>
    <mergeCell ref="OZE26:OZH26"/>
    <mergeCell ref="OZI26:OZL26"/>
    <mergeCell ref="OZM26:OZP26"/>
    <mergeCell ref="OZQ26:OZT26"/>
    <mergeCell ref="OZU26:OZX26"/>
    <mergeCell ref="OZY26:PAB26"/>
    <mergeCell ref="PAC26:PAF26"/>
    <mergeCell ref="PAG26:PAJ26"/>
    <mergeCell ref="PAK26:PAN26"/>
    <mergeCell ref="PAO26:PAR26"/>
    <mergeCell ref="PAS26:PAV26"/>
    <mergeCell ref="PAW26:PAZ26"/>
    <mergeCell ref="PBA26:PBD26"/>
    <mergeCell ref="PBE26:PBH26"/>
    <mergeCell ref="PBI26:PBL26"/>
    <mergeCell ref="PBM26:PBP26"/>
    <mergeCell ref="PBQ26:PBT26"/>
    <mergeCell ref="PBU26:PBX26"/>
    <mergeCell ref="PBY26:PCB26"/>
    <mergeCell ref="PCC26:PCF26"/>
    <mergeCell ref="PCG26:PCJ26"/>
    <mergeCell ref="PCK26:PCN26"/>
    <mergeCell ref="PCO26:PCR26"/>
    <mergeCell ref="PCS26:PCV26"/>
    <mergeCell ref="PCW26:PCZ26"/>
    <mergeCell ref="PDA26:PDD26"/>
    <mergeCell ref="PDE26:PDH26"/>
    <mergeCell ref="PDI26:PDL26"/>
    <mergeCell ref="PDM26:PDP26"/>
    <mergeCell ref="PDQ26:PDT26"/>
    <mergeCell ref="PDU26:PDX26"/>
    <mergeCell ref="PDY26:PEB26"/>
    <mergeCell ref="PEC26:PEF26"/>
    <mergeCell ref="PEG26:PEJ26"/>
    <mergeCell ref="PEK26:PEN26"/>
    <mergeCell ref="PEO26:PER26"/>
    <mergeCell ref="PES26:PEV26"/>
    <mergeCell ref="PEW26:PEZ26"/>
    <mergeCell ref="PFA26:PFD26"/>
    <mergeCell ref="PFE26:PFH26"/>
    <mergeCell ref="PFI26:PFL26"/>
    <mergeCell ref="PFM26:PFP26"/>
    <mergeCell ref="PFQ26:PFT26"/>
    <mergeCell ref="PFU26:PFX26"/>
    <mergeCell ref="PFY26:PGB26"/>
    <mergeCell ref="PGC26:PGF26"/>
    <mergeCell ref="PGG26:PGJ26"/>
    <mergeCell ref="PGK26:PGN26"/>
    <mergeCell ref="PGO26:PGR26"/>
    <mergeCell ref="PGS26:PGV26"/>
    <mergeCell ref="PGW26:PGZ26"/>
    <mergeCell ref="PHA26:PHD26"/>
    <mergeCell ref="PHE26:PHH26"/>
    <mergeCell ref="PHI26:PHL26"/>
    <mergeCell ref="PHM26:PHP26"/>
    <mergeCell ref="PHQ26:PHT26"/>
    <mergeCell ref="PHU26:PHX26"/>
    <mergeCell ref="PHY26:PIB26"/>
    <mergeCell ref="PIC26:PIF26"/>
    <mergeCell ref="PIG26:PIJ26"/>
    <mergeCell ref="PIK26:PIN26"/>
    <mergeCell ref="PIO26:PIR26"/>
    <mergeCell ref="PIS26:PIV26"/>
    <mergeCell ref="PIW26:PIZ26"/>
    <mergeCell ref="PJA26:PJD26"/>
    <mergeCell ref="PJE26:PJH26"/>
    <mergeCell ref="PJI26:PJL26"/>
    <mergeCell ref="PJM26:PJP26"/>
    <mergeCell ref="PJQ26:PJT26"/>
    <mergeCell ref="PJU26:PJX26"/>
    <mergeCell ref="PJY26:PKB26"/>
    <mergeCell ref="PKC26:PKF26"/>
    <mergeCell ref="PKG26:PKJ26"/>
    <mergeCell ref="PKK26:PKN26"/>
    <mergeCell ref="PKO26:PKR26"/>
    <mergeCell ref="PKS26:PKV26"/>
    <mergeCell ref="PKW26:PKZ26"/>
    <mergeCell ref="PLA26:PLD26"/>
    <mergeCell ref="PLE26:PLH26"/>
    <mergeCell ref="PLI26:PLL26"/>
    <mergeCell ref="PLM26:PLP26"/>
    <mergeCell ref="PLQ26:PLT26"/>
    <mergeCell ref="PLU26:PLX26"/>
    <mergeCell ref="PLY26:PMB26"/>
    <mergeCell ref="PMC26:PMF26"/>
    <mergeCell ref="PMG26:PMJ26"/>
    <mergeCell ref="PMK26:PMN26"/>
    <mergeCell ref="PMO26:PMR26"/>
    <mergeCell ref="PMS26:PMV26"/>
    <mergeCell ref="PMW26:PMZ26"/>
    <mergeCell ref="PNA26:PND26"/>
    <mergeCell ref="PNE26:PNH26"/>
    <mergeCell ref="PNI26:PNL26"/>
    <mergeCell ref="PNM26:PNP26"/>
    <mergeCell ref="PNQ26:PNT26"/>
    <mergeCell ref="PNU26:PNX26"/>
    <mergeCell ref="PNY26:POB26"/>
    <mergeCell ref="POC26:POF26"/>
    <mergeCell ref="POG26:POJ26"/>
    <mergeCell ref="POK26:PON26"/>
    <mergeCell ref="POO26:POR26"/>
    <mergeCell ref="POS26:POV26"/>
    <mergeCell ref="POW26:POZ26"/>
    <mergeCell ref="PPA26:PPD26"/>
    <mergeCell ref="PPE26:PPH26"/>
    <mergeCell ref="PPI26:PPL26"/>
    <mergeCell ref="PPM26:PPP26"/>
    <mergeCell ref="PPQ26:PPT26"/>
    <mergeCell ref="PPU26:PPX26"/>
    <mergeCell ref="PPY26:PQB26"/>
    <mergeCell ref="PQC26:PQF26"/>
    <mergeCell ref="PQG26:PQJ26"/>
    <mergeCell ref="PQK26:PQN26"/>
    <mergeCell ref="PQO26:PQR26"/>
    <mergeCell ref="PQS26:PQV26"/>
    <mergeCell ref="PQW26:PQZ26"/>
    <mergeCell ref="PRA26:PRD26"/>
    <mergeCell ref="PRE26:PRH26"/>
    <mergeCell ref="PRI26:PRL26"/>
    <mergeCell ref="PRM26:PRP26"/>
    <mergeCell ref="PRQ26:PRT26"/>
    <mergeCell ref="PRU26:PRX26"/>
    <mergeCell ref="PRY26:PSB26"/>
    <mergeCell ref="PSC26:PSF26"/>
    <mergeCell ref="PSG26:PSJ26"/>
    <mergeCell ref="PSK26:PSN26"/>
    <mergeCell ref="PSO26:PSR26"/>
    <mergeCell ref="PSS26:PSV26"/>
    <mergeCell ref="PSW26:PSZ26"/>
    <mergeCell ref="PTA26:PTD26"/>
    <mergeCell ref="PTE26:PTH26"/>
    <mergeCell ref="PTI26:PTL26"/>
    <mergeCell ref="PTM26:PTP26"/>
    <mergeCell ref="PTQ26:PTT26"/>
    <mergeCell ref="PTU26:PTX26"/>
    <mergeCell ref="PTY26:PUB26"/>
    <mergeCell ref="PUC26:PUF26"/>
    <mergeCell ref="PUG26:PUJ26"/>
    <mergeCell ref="PUK26:PUN26"/>
    <mergeCell ref="PUO26:PUR26"/>
    <mergeCell ref="PUS26:PUV26"/>
    <mergeCell ref="PUW26:PUZ26"/>
    <mergeCell ref="PVA26:PVD26"/>
    <mergeCell ref="PVE26:PVH26"/>
    <mergeCell ref="PVI26:PVL26"/>
    <mergeCell ref="PVM26:PVP26"/>
    <mergeCell ref="PVQ26:PVT26"/>
    <mergeCell ref="PVU26:PVX26"/>
    <mergeCell ref="PVY26:PWB26"/>
    <mergeCell ref="PWC26:PWF26"/>
    <mergeCell ref="PWG26:PWJ26"/>
    <mergeCell ref="PWK26:PWN26"/>
    <mergeCell ref="PWO26:PWR26"/>
    <mergeCell ref="PWS26:PWV26"/>
    <mergeCell ref="PWW26:PWZ26"/>
    <mergeCell ref="PXA26:PXD26"/>
    <mergeCell ref="PXE26:PXH26"/>
    <mergeCell ref="PXI26:PXL26"/>
    <mergeCell ref="PXM26:PXP26"/>
    <mergeCell ref="PXQ26:PXT26"/>
    <mergeCell ref="PXU26:PXX26"/>
    <mergeCell ref="PXY26:PYB26"/>
    <mergeCell ref="PYC26:PYF26"/>
    <mergeCell ref="PYG26:PYJ26"/>
    <mergeCell ref="PYK26:PYN26"/>
    <mergeCell ref="PYO26:PYR26"/>
    <mergeCell ref="PYS26:PYV26"/>
    <mergeCell ref="PYW26:PYZ26"/>
    <mergeCell ref="PZA26:PZD26"/>
    <mergeCell ref="PZE26:PZH26"/>
    <mergeCell ref="PZI26:PZL26"/>
    <mergeCell ref="PZM26:PZP26"/>
    <mergeCell ref="PZQ26:PZT26"/>
    <mergeCell ref="PZU26:PZX26"/>
    <mergeCell ref="PZY26:QAB26"/>
    <mergeCell ref="QAC26:QAF26"/>
    <mergeCell ref="QAG26:QAJ26"/>
    <mergeCell ref="QAK26:QAN26"/>
    <mergeCell ref="QAO26:QAR26"/>
    <mergeCell ref="QAS26:QAV26"/>
    <mergeCell ref="QAW26:QAZ26"/>
    <mergeCell ref="QBA26:QBD26"/>
    <mergeCell ref="QBE26:QBH26"/>
    <mergeCell ref="QBI26:QBL26"/>
    <mergeCell ref="QBM26:QBP26"/>
    <mergeCell ref="QBQ26:QBT26"/>
    <mergeCell ref="QBU26:QBX26"/>
    <mergeCell ref="QBY26:QCB26"/>
    <mergeCell ref="QCC26:QCF26"/>
    <mergeCell ref="QCG26:QCJ26"/>
    <mergeCell ref="QCK26:QCN26"/>
    <mergeCell ref="QCO26:QCR26"/>
    <mergeCell ref="QCS26:QCV26"/>
    <mergeCell ref="QCW26:QCZ26"/>
    <mergeCell ref="QDA26:QDD26"/>
    <mergeCell ref="QDE26:QDH26"/>
    <mergeCell ref="QDI26:QDL26"/>
    <mergeCell ref="QDM26:QDP26"/>
    <mergeCell ref="QDQ26:QDT26"/>
    <mergeCell ref="QDU26:QDX26"/>
    <mergeCell ref="QDY26:QEB26"/>
    <mergeCell ref="QEC26:QEF26"/>
    <mergeCell ref="QEG26:QEJ26"/>
    <mergeCell ref="QEK26:QEN26"/>
    <mergeCell ref="QEO26:QER26"/>
    <mergeCell ref="QES26:QEV26"/>
    <mergeCell ref="QEW26:QEZ26"/>
    <mergeCell ref="QFA26:QFD26"/>
    <mergeCell ref="QFE26:QFH26"/>
    <mergeCell ref="QFI26:QFL26"/>
    <mergeCell ref="QFM26:QFP26"/>
    <mergeCell ref="QFQ26:QFT26"/>
    <mergeCell ref="QFU26:QFX26"/>
    <mergeCell ref="QFY26:QGB26"/>
    <mergeCell ref="QGC26:QGF26"/>
    <mergeCell ref="QGG26:QGJ26"/>
    <mergeCell ref="QGK26:QGN26"/>
    <mergeCell ref="QGO26:QGR26"/>
    <mergeCell ref="QGS26:QGV26"/>
    <mergeCell ref="QGW26:QGZ26"/>
    <mergeCell ref="QHA26:QHD26"/>
    <mergeCell ref="QHE26:QHH26"/>
    <mergeCell ref="QHI26:QHL26"/>
    <mergeCell ref="QHM26:QHP26"/>
    <mergeCell ref="QHQ26:QHT26"/>
    <mergeCell ref="QHU26:QHX26"/>
    <mergeCell ref="QHY26:QIB26"/>
    <mergeCell ref="QIC26:QIF26"/>
    <mergeCell ref="QIG26:QIJ26"/>
    <mergeCell ref="QIK26:QIN26"/>
    <mergeCell ref="QIO26:QIR26"/>
    <mergeCell ref="QIS26:QIV26"/>
    <mergeCell ref="QIW26:QIZ26"/>
    <mergeCell ref="QJA26:QJD26"/>
    <mergeCell ref="QJE26:QJH26"/>
    <mergeCell ref="QJI26:QJL26"/>
    <mergeCell ref="QJM26:QJP26"/>
    <mergeCell ref="QJQ26:QJT26"/>
    <mergeCell ref="QJU26:QJX26"/>
    <mergeCell ref="QJY26:QKB26"/>
    <mergeCell ref="QKC26:QKF26"/>
    <mergeCell ref="QKG26:QKJ26"/>
    <mergeCell ref="QKK26:QKN26"/>
    <mergeCell ref="QKO26:QKR26"/>
    <mergeCell ref="QKS26:QKV26"/>
    <mergeCell ref="QKW26:QKZ26"/>
    <mergeCell ref="QLA26:QLD26"/>
    <mergeCell ref="QLE26:QLH26"/>
    <mergeCell ref="QLI26:QLL26"/>
    <mergeCell ref="QLM26:QLP26"/>
    <mergeCell ref="QLQ26:QLT26"/>
    <mergeCell ref="QLU26:QLX26"/>
    <mergeCell ref="QLY26:QMB26"/>
    <mergeCell ref="QMC26:QMF26"/>
    <mergeCell ref="QMG26:QMJ26"/>
    <mergeCell ref="QMK26:QMN26"/>
    <mergeCell ref="QMO26:QMR26"/>
    <mergeCell ref="QMS26:QMV26"/>
    <mergeCell ref="QMW26:QMZ26"/>
    <mergeCell ref="QNA26:QND26"/>
    <mergeCell ref="QNE26:QNH26"/>
    <mergeCell ref="QNI26:QNL26"/>
    <mergeCell ref="QNM26:QNP26"/>
    <mergeCell ref="QNQ26:QNT26"/>
    <mergeCell ref="QNU26:QNX26"/>
    <mergeCell ref="QNY26:QOB26"/>
    <mergeCell ref="QOC26:QOF26"/>
    <mergeCell ref="QOG26:QOJ26"/>
    <mergeCell ref="QOK26:QON26"/>
    <mergeCell ref="QOO26:QOR26"/>
    <mergeCell ref="QOS26:QOV26"/>
    <mergeCell ref="QOW26:QOZ26"/>
    <mergeCell ref="QPA26:QPD26"/>
    <mergeCell ref="QPE26:QPH26"/>
    <mergeCell ref="QPI26:QPL26"/>
    <mergeCell ref="QPM26:QPP26"/>
    <mergeCell ref="QPQ26:QPT26"/>
    <mergeCell ref="QPU26:QPX26"/>
    <mergeCell ref="QPY26:QQB26"/>
    <mergeCell ref="QQC26:QQF26"/>
    <mergeCell ref="QQG26:QQJ26"/>
    <mergeCell ref="QQK26:QQN26"/>
    <mergeCell ref="QQO26:QQR26"/>
    <mergeCell ref="QQS26:QQV26"/>
    <mergeCell ref="QQW26:QQZ26"/>
    <mergeCell ref="QRA26:QRD26"/>
    <mergeCell ref="QRE26:QRH26"/>
    <mergeCell ref="QRI26:QRL26"/>
    <mergeCell ref="QRM26:QRP26"/>
    <mergeCell ref="QRQ26:QRT26"/>
    <mergeCell ref="QRU26:QRX26"/>
    <mergeCell ref="QRY26:QSB26"/>
    <mergeCell ref="QSC26:QSF26"/>
    <mergeCell ref="QSG26:QSJ26"/>
    <mergeCell ref="QSK26:QSN26"/>
    <mergeCell ref="QSO26:QSR26"/>
    <mergeCell ref="QSS26:QSV26"/>
    <mergeCell ref="QSW26:QSZ26"/>
    <mergeCell ref="QTA26:QTD26"/>
    <mergeCell ref="QTE26:QTH26"/>
    <mergeCell ref="QTI26:QTL26"/>
    <mergeCell ref="QTM26:QTP26"/>
    <mergeCell ref="QTQ26:QTT26"/>
    <mergeCell ref="QTU26:QTX26"/>
    <mergeCell ref="QTY26:QUB26"/>
    <mergeCell ref="QUC26:QUF26"/>
    <mergeCell ref="QUG26:QUJ26"/>
    <mergeCell ref="QUK26:QUN26"/>
    <mergeCell ref="QUO26:QUR26"/>
    <mergeCell ref="QUS26:QUV26"/>
    <mergeCell ref="QUW26:QUZ26"/>
    <mergeCell ref="QVA26:QVD26"/>
    <mergeCell ref="QVE26:QVH26"/>
    <mergeCell ref="QVI26:QVL26"/>
    <mergeCell ref="QVM26:QVP26"/>
    <mergeCell ref="QVQ26:QVT26"/>
    <mergeCell ref="QVU26:QVX26"/>
    <mergeCell ref="QVY26:QWB26"/>
    <mergeCell ref="QWC26:QWF26"/>
    <mergeCell ref="QWG26:QWJ26"/>
    <mergeCell ref="QWK26:QWN26"/>
    <mergeCell ref="QWO26:QWR26"/>
    <mergeCell ref="QWS26:QWV26"/>
    <mergeCell ref="QWW26:QWZ26"/>
    <mergeCell ref="QXA26:QXD26"/>
    <mergeCell ref="QXE26:QXH26"/>
    <mergeCell ref="QXI26:QXL26"/>
    <mergeCell ref="QXM26:QXP26"/>
    <mergeCell ref="QXQ26:QXT26"/>
    <mergeCell ref="QXU26:QXX26"/>
    <mergeCell ref="QXY26:QYB26"/>
    <mergeCell ref="QYC26:QYF26"/>
    <mergeCell ref="QYG26:QYJ26"/>
    <mergeCell ref="QYK26:QYN26"/>
    <mergeCell ref="QYO26:QYR26"/>
    <mergeCell ref="QYS26:QYV26"/>
    <mergeCell ref="QYW26:QYZ26"/>
    <mergeCell ref="QZA26:QZD26"/>
    <mergeCell ref="QZE26:QZH26"/>
    <mergeCell ref="QZI26:QZL26"/>
    <mergeCell ref="QZM26:QZP26"/>
    <mergeCell ref="QZQ26:QZT26"/>
    <mergeCell ref="QZU26:QZX26"/>
    <mergeCell ref="QZY26:RAB26"/>
    <mergeCell ref="RAC26:RAF26"/>
    <mergeCell ref="RAG26:RAJ26"/>
    <mergeCell ref="RAK26:RAN26"/>
    <mergeCell ref="RAO26:RAR26"/>
    <mergeCell ref="RAS26:RAV26"/>
    <mergeCell ref="RAW26:RAZ26"/>
    <mergeCell ref="RBA26:RBD26"/>
    <mergeCell ref="RBE26:RBH26"/>
    <mergeCell ref="RBI26:RBL26"/>
    <mergeCell ref="RBM26:RBP26"/>
    <mergeCell ref="RBQ26:RBT26"/>
    <mergeCell ref="RBU26:RBX26"/>
    <mergeCell ref="RBY26:RCB26"/>
    <mergeCell ref="RCC26:RCF26"/>
    <mergeCell ref="RCG26:RCJ26"/>
    <mergeCell ref="RCK26:RCN26"/>
    <mergeCell ref="RCO26:RCR26"/>
    <mergeCell ref="RCS26:RCV26"/>
    <mergeCell ref="RCW26:RCZ26"/>
    <mergeCell ref="RDA26:RDD26"/>
    <mergeCell ref="RDE26:RDH26"/>
    <mergeCell ref="RDI26:RDL26"/>
    <mergeCell ref="RDM26:RDP26"/>
    <mergeCell ref="RDQ26:RDT26"/>
    <mergeCell ref="RDU26:RDX26"/>
    <mergeCell ref="RDY26:REB26"/>
    <mergeCell ref="REC26:REF26"/>
    <mergeCell ref="REG26:REJ26"/>
    <mergeCell ref="REK26:REN26"/>
    <mergeCell ref="REO26:RER26"/>
    <mergeCell ref="RES26:REV26"/>
    <mergeCell ref="REW26:REZ26"/>
    <mergeCell ref="RFA26:RFD26"/>
    <mergeCell ref="RFE26:RFH26"/>
    <mergeCell ref="RFI26:RFL26"/>
    <mergeCell ref="RFM26:RFP26"/>
    <mergeCell ref="RFQ26:RFT26"/>
    <mergeCell ref="RFU26:RFX26"/>
    <mergeCell ref="RFY26:RGB26"/>
    <mergeCell ref="RGC26:RGF26"/>
    <mergeCell ref="RGG26:RGJ26"/>
    <mergeCell ref="RGK26:RGN26"/>
    <mergeCell ref="RGO26:RGR26"/>
    <mergeCell ref="RGS26:RGV26"/>
    <mergeCell ref="RGW26:RGZ26"/>
    <mergeCell ref="RHA26:RHD26"/>
    <mergeCell ref="RHE26:RHH26"/>
    <mergeCell ref="RHI26:RHL26"/>
    <mergeCell ref="RHM26:RHP26"/>
    <mergeCell ref="RHQ26:RHT26"/>
    <mergeCell ref="RHU26:RHX26"/>
    <mergeCell ref="RHY26:RIB26"/>
    <mergeCell ref="RIC26:RIF26"/>
    <mergeCell ref="RIG26:RIJ26"/>
    <mergeCell ref="RIK26:RIN26"/>
    <mergeCell ref="RIO26:RIR26"/>
    <mergeCell ref="RIS26:RIV26"/>
    <mergeCell ref="RIW26:RIZ26"/>
    <mergeCell ref="RJA26:RJD26"/>
    <mergeCell ref="RJE26:RJH26"/>
    <mergeCell ref="RJI26:RJL26"/>
    <mergeCell ref="RJM26:RJP26"/>
    <mergeCell ref="RJQ26:RJT26"/>
    <mergeCell ref="RJU26:RJX26"/>
    <mergeCell ref="RJY26:RKB26"/>
    <mergeCell ref="RKC26:RKF26"/>
    <mergeCell ref="RKG26:RKJ26"/>
    <mergeCell ref="RKK26:RKN26"/>
    <mergeCell ref="RKO26:RKR26"/>
    <mergeCell ref="RKS26:RKV26"/>
    <mergeCell ref="RKW26:RKZ26"/>
    <mergeCell ref="RLA26:RLD26"/>
    <mergeCell ref="RLE26:RLH26"/>
    <mergeCell ref="RLI26:RLL26"/>
    <mergeCell ref="RLM26:RLP26"/>
    <mergeCell ref="RLQ26:RLT26"/>
    <mergeCell ref="RLU26:RLX26"/>
    <mergeCell ref="RLY26:RMB26"/>
    <mergeCell ref="RMC26:RMF26"/>
    <mergeCell ref="RMG26:RMJ26"/>
    <mergeCell ref="RMK26:RMN26"/>
    <mergeCell ref="RMO26:RMR26"/>
    <mergeCell ref="RMS26:RMV26"/>
    <mergeCell ref="RMW26:RMZ26"/>
    <mergeCell ref="RNA26:RND26"/>
    <mergeCell ref="RNE26:RNH26"/>
    <mergeCell ref="RNI26:RNL26"/>
    <mergeCell ref="RNM26:RNP26"/>
    <mergeCell ref="RNQ26:RNT26"/>
    <mergeCell ref="RNU26:RNX26"/>
    <mergeCell ref="RNY26:ROB26"/>
    <mergeCell ref="ROC26:ROF26"/>
    <mergeCell ref="ROG26:ROJ26"/>
    <mergeCell ref="ROK26:RON26"/>
    <mergeCell ref="ROO26:ROR26"/>
    <mergeCell ref="ROS26:ROV26"/>
    <mergeCell ref="ROW26:ROZ26"/>
    <mergeCell ref="RPA26:RPD26"/>
    <mergeCell ref="RPE26:RPH26"/>
    <mergeCell ref="RPI26:RPL26"/>
    <mergeCell ref="RPM26:RPP26"/>
    <mergeCell ref="RPQ26:RPT26"/>
    <mergeCell ref="RPU26:RPX26"/>
    <mergeCell ref="RPY26:RQB26"/>
    <mergeCell ref="RQC26:RQF26"/>
    <mergeCell ref="RQG26:RQJ26"/>
    <mergeCell ref="RQK26:RQN26"/>
    <mergeCell ref="RQO26:RQR26"/>
    <mergeCell ref="RQS26:RQV26"/>
    <mergeCell ref="RQW26:RQZ26"/>
    <mergeCell ref="RRA26:RRD26"/>
    <mergeCell ref="RRE26:RRH26"/>
    <mergeCell ref="RRI26:RRL26"/>
    <mergeCell ref="RRM26:RRP26"/>
    <mergeCell ref="RRQ26:RRT26"/>
    <mergeCell ref="RRU26:RRX26"/>
    <mergeCell ref="RRY26:RSB26"/>
    <mergeCell ref="RSC26:RSF26"/>
    <mergeCell ref="RSG26:RSJ26"/>
    <mergeCell ref="RSK26:RSN26"/>
    <mergeCell ref="RSO26:RSR26"/>
    <mergeCell ref="RSS26:RSV26"/>
    <mergeCell ref="RSW26:RSZ26"/>
    <mergeCell ref="RTA26:RTD26"/>
    <mergeCell ref="RTE26:RTH26"/>
    <mergeCell ref="RTI26:RTL26"/>
    <mergeCell ref="RTM26:RTP26"/>
    <mergeCell ref="RTQ26:RTT26"/>
    <mergeCell ref="RTU26:RTX26"/>
    <mergeCell ref="RTY26:RUB26"/>
    <mergeCell ref="RUC26:RUF26"/>
    <mergeCell ref="RUG26:RUJ26"/>
    <mergeCell ref="RUK26:RUN26"/>
    <mergeCell ref="RUO26:RUR26"/>
    <mergeCell ref="RUS26:RUV26"/>
    <mergeCell ref="RUW26:RUZ26"/>
    <mergeCell ref="RVA26:RVD26"/>
    <mergeCell ref="RVE26:RVH26"/>
    <mergeCell ref="RVI26:RVL26"/>
    <mergeCell ref="RVM26:RVP26"/>
    <mergeCell ref="RVQ26:RVT26"/>
    <mergeCell ref="RVU26:RVX26"/>
    <mergeCell ref="RVY26:RWB26"/>
    <mergeCell ref="RWC26:RWF26"/>
    <mergeCell ref="RWG26:RWJ26"/>
    <mergeCell ref="RWK26:RWN26"/>
    <mergeCell ref="RWO26:RWR26"/>
    <mergeCell ref="RWS26:RWV26"/>
    <mergeCell ref="RWW26:RWZ26"/>
    <mergeCell ref="RXA26:RXD26"/>
    <mergeCell ref="RXE26:RXH26"/>
    <mergeCell ref="RXI26:RXL26"/>
    <mergeCell ref="RXM26:RXP26"/>
    <mergeCell ref="RXQ26:RXT26"/>
    <mergeCell ref="RXU26:RXX26"/>
    <mergeCell ref="RXY26:RYB26"/>
    <mergeCell ref="RYC26:RYF26"/>
    <mergeCell ref="RYG26:RYJ26"/>
    <mergeCell ref="RYK26:RYN26"/>
    <mergeCell ref="RYO26:RYR26"/>
    <mergeCell ref="RYS26:RYV26"/>
    <mergeCell ref="RYW26:RYZ26"/>
    <mergeCell ref="RZA26:RZD26"/>
    <mergeCell ref="RZE26:RZH26"/>
    <mergeCell ref="RZI26:RZL26"/>
    <mergeCell ref="RZM26:RZP26"/>
    <mergeCell ref="RZQ26:RZT26"/>
    <mergeCell ref="RZU26:RZX26"/>
    <mergeCell ref="RZY26:SAB26"/>
    <mergeCell ref="SAC26:SAF26"/>
    <mergeCell ref="SAG26:SAJ26"/>
    <mergeCell ref="SAK26:SAN26"/>
    <mergeCell ref="SAO26:SAR26"/>
    <mergeCell ref="SAS26:SAV26"/>
    <mergeCell ref="SAW26:SAZ26"/>
    <mergeCell ref="SBA26:SBD26"/>
    <mergeCell ref="SBE26:SBH26"/>
    <mergeCell ref="SBI26:SBL26"/>
    <mergeCell ref="SBM26:SBP26"/>
    <mergeCell ref="SBQ26:SBT26"/>
    <mergeCell ref="SBU26:SBX26"/>
    <mergeCell ref="SBY26:SCB26"/>
    <mergeCell ref="SCC26:SCF26"/>
    <mergeCell ref="SCG26:SCJ26"/>
    <mergeCell ref="SCK26:SCN26"/>
    <mergeCell ref="SCO26:SCR26"/>
    <mergeCell ref="SCS26:SCV26"/>
    <mergeCell ref="SCW26:SCZ26"/>
    <mergeCell ref="SDA26:SDD26"/>
    <mergeCell ref="SDE26:SDH26"/>
    <mergeCell ref="SDI26:SDL26"/>
    <mergeCell ref="SDM26:SDP26"/>
    <mergeCell ref="SDQ26:SDT26"/>
    <mergeCell ref="SDU26:SDX26"/>
    <mergeCell ref="SDY26:SEB26"/>
    <mergeCell ref="SEC26:SEF26"/>
    <mergeCell ref="SEG26:SEJ26"/>
    <mergeCell ref="SEK26:SEN26"/>
    <mergeCell ref="SEO26:SER26"/>
    <mergeCell ref="SES26:SEV26"/>
    <mergeCell ref="SEW26:SEZ26"/>
    <mergeCell ref="SFA26:SFD26"/>
    <mergeCell ref="SFE26:SFH26"/>
    <mergeCell ref="SFI26:SFL26"/>
    <mergeCell ref="SFM26:SFP26"/>
    <mergeCell ref="SFQ26:SFT26"/>
    <mergeCell ref="SFU26:SFX26"/>
    <mergeCell ref="SFY26:SGB26"/>
    <mergeCell ref="SGC26:SGF26"/>
    <mergeCell ref="SGG26:SGJ26"/>
    <mergeCell ref="SGK26:SGN26"/>
    <mergeCell ref="SGO26:SGR26"/>
    <mergeCell ref="SGS26:SGV26"/>
    <mergeCell ref="SGW26:SGZ26"/>
    <mergeCell ref="SHA26:SHD26"/>
    <mergeCell ref="SHE26:SHH26"/>
    <mergeCell ref="SHI26:SHL26"/>
    <mergeCell ref="SHM26:SHP26"/>
    <mergeCell ref="SHQ26:SHT26"/>
    <mergeCell ref="SHU26:SHX26"/>
    <mergeCell ref="SHY26:SIB26"/>
    <mergeCell ref="SIC26:SIF26"/>
    <mergeCell ref="SIG26:SIJ26"/>
    <mergeCell ref="SIK26:SIN26"/>
    <mergeCell ref="SIO26:SIR26"/>
    <mergeCell ref="SIS26:SIV26"/>
    <mergeCell ref="SIW26:SIZ26"/>
    <mergeCell ref="SJA26:SJD26"/>
    <mergeCell ref="SJE26:SJH26"/>
    <mergeCell ref="SJI26:SJL26"/>
    <mergeCell ref="SJM26:SJP26"/>
    <mergeCell ref="SJQ26:SJT26"/>
    <mergeCell ref="SJU26:SJX26"/>
    <mergeCell ref="SJY26:SKB26"/>
    <mergeCell ref="SKC26:SKF26"/>
    <mergeCell ref="SKG26:SKJ26"/>
    <mergeCell ref="SKK26:SKN26"/>
    <mergeCell ref="SKO26:SKR26"/>
    <mergeCell ref="SKS26:SKV26"/>
    <mergeCell ref="SKW26:SKZ26"/>
    <mergeCell ref="SLA26:SLD26"/>
    <mergeCell ref="SLE26:SLH26"/>
    <mergeCell ref="SLI26:SLL26"/>
    <mergeCell ref="SLM26:SLP26"/>
    <mergeCell ref="SLQ26:SLT26"/>
    <mergeCell ref="SLU26:SLX26"/>
    <mergeCell ref="SLY26:SMB26"/>
    <mergeCell ref="SMC26:SMF26"/>
    <mergeCell ref="SMG26:SMJ26"/>
    <mergeCell ref="SMK26:SMN26"/>
    <mergeCell ref="SMO26:SMR26"/>
    <mergeCell ref="SMS26:SMV26"/>
    <mergeCell ref="SMW26:SMZ26"/>
    <mergeCell ref="SNA26:SND26"/>
    <mergeCell ref="SNE26:SNH26"/>
    <mergeCell ref="SNI26:SNL26"/>
    <mergeCell ref="SNM26:SNP26"/>
    <mergeCell ref="SNQ26:SNT26"/>
    <mergeCell ref="SNU26:SNX26"/>
    <mergeCell ref="SNY26:SOB26"/>
    <mergeCell ref="SOC26:SOF26"/>
    <mergeCell ref="SOG26:SOJ26"/>
    <mergeCell ref="SOK26:SON26"/>
    <mergeCell ref="SOO26:SOR26"/>
    <mergeCell ref="SOS26:SOV26"/>
    <mergeCell ref="SOW26:SOZ26"/>
    <mergeCell ref="SPA26:SPD26"/>
    <mergeCell ref="SPE26:SPH26"/>
    <mergeCell ref="SPI26:SPL26"/>
    <mergeCell ref="SPM26:SPP26"/>
    <mergeCell ref="SPQ26:SPT26"/>
    <mergeCell ref="SPU26:SPX26"/>
    <mergeCell ref="SPY26:SQB26"/>
    <mergeCell ref="SQC26:SQF26"/>
    <mergeCell ref="SQG26:SQJ26"/>
    <mergeCell ref="SQK26:SQN26"/>
    <mergeCell ref="SQO26:SQR26"/>
    <mergeCell ref="SQS26:SQV26"/>
    <mergeCell ref="SQW26:SQZ26"/>
    <mergeCell ref="SRA26:SRD26"/>
    <mergeCell ref="SRE26:SRH26"/>
    <mergeCell ref="SRI26:SRL26"/>
    <mergeCell ref="SRM26:SRP26"/>
    <mergeCell ref="SRQ26:SRT26"/>
    <mergeCell ref="SRU26:SRX26"/>
    <mergeCell ref="SRY26:SSB26"/>
    <mergeCell ref="SSC26:SSF26"/>
    <mergeCell ref="SSG26:SSJ26"/>
    <mergeCell ref="SSK26:SSN26"/>
    <mergeCell ref="SSO26:SSR26"/>
    <mergeCell ref="SSS26:SSV26"/>
    <mergeCell ref="SSW26:SSZ26"/>
    <mergeCell ref="STA26:STD26"/>
    <mergeCell ref="STE26:STH26"/>
    <mergeCell ref="STI26:STL26"/>
    <mergeCell ref="STM26:STP26"/>
    <mergeCell ref="STQ26:STT26"/>
    <mergeCell ref="STU26:STX26"/>
    <mergeCell ref="STY26:SUB26"/>
    <mergeCell ref="SUC26:SUF26"/>
    <mergeCell ref="SUG26:SUJ26"/>
    <mergeCell ref="SUK26:SUN26"/>
    <mergeCell ref="SUO26:SUR26"/>
    <mergeCell ref="SUS26:SUV26"/>
    <mergeCell ref="SUW26:SUZ26"/>
    <mergeCell ref="SVA26:SVD26"/>
    <mergeCell ref="SVE26:SVH26"/>
    <mergeCell ref="SVI26:SVL26"/>
    <mergeCell ref="SVM26:SVP26"/>
    <mergeCell ref="SVQ26:SVT26"/>
    <mergeCell ref="SVU26:SVX26"/>
    <mergeCell ref="SVY26:SWB26"/>
    <mergeCell ref="SWC26:SWF26"/>
    <mergeCell ref="SWG26:SWJ26"/>
    <mergeCell ref="SWK26:SWN26"/>
    <mergeCell ref="SWO26:SWR26"/>
    <mergeCell ref="SWS26:SWV26"/>
    <mergeCell ref="SWW26:SWZ26"/>
    <mergeCell ref="SXA26:SXD26"/>
    <mergeCell ref="SXE26:SXH26"/>
    <mergeCell ref="SXI26:SXL26"/>
    <mergeCell ref="SXM26:SXP26"/>
    <mergeCell ref="SXQ26:SXT26"/>
    <mergeCell ref="SXU26:SXX26"/>
    <mergeCell ref="SXY26:SYB26"/>
    <mergeCell ref="SYC26:SYF26"/>
    <mergeCell ref="SYG26:SYJ26"/>
    <mergeCell ref="SYK26:SYN26"/>
    <mergeCell ref="SYO26:SYR26"/>
    <mergeCell ref="SYS26:SYV26"/>
    <mergeCell ref="SYW26:SYZ26"/>
    <mergeCell ref="SZA26:SZD26"/>
    <mergeCell ref="SZE26:SZH26"/>
    <mergeCell ref="SZI26:SZL26"/>
    <mergeCell ref="SZM26:SZP26"/>
    <mergeCell ref="SZQ26:SZT26"/>
    <mergeCell ref="SZU26:SZX26"/>
    <mergeCell ref="SZY26:TAB26"/>
    <mergeCell ref="TAC26:TAF26"/>
    <mergeCell ref="TAG26:TAJ26"/>
    <mergeCell ref="TAK26:TAN26"/>
    <mergeCell ref="TAO26:TAR26"/>
    <mergeCell ref="TAS26:TAV26"/>
    <mergeCell ref="TAW26:TAZ26"/>
    <mergeCell ref="TBA26:TBD26"/>
    <mergeCell ref="TBE26:TBH26"/>
    <mergeCell ref="TBI26:TBL26"/>
    <mergeCell ref="TBM26:TBP26"/>
    <mergeCell ref="TBQ26:TBT26"/>
    <mergeCell ref="TBU26:TBX26"/>
    <mergeCell ref="TBY26:TCB26"/>
    <mergeCell ref="TCC26:TCF26"/>
    <mergeCell ref="TCG26:TCJ26"/>
    <mergeCell ref="TCK26:TCN26"/>
    <mergeCell ref="TCO26:TCR26"/>
    <mergeCell ref="TCS26:TCV26"/>
    <mergeCell ref="TCW26:TCZ26"/>
    <mergeCell ref="TDA26:TDD26"/>
    <mergeCell ref="TDE26:TDH26"/>
    <mergeCell ref="TDI26:TDL26"/>
    <mergeCell ref="TDM26:TDP26"/>
    <mergeCell ref="TDQ26:TDT26"/>
    <mergeCell ref="TDU26:TDX26"/>
    <mergeCell ref="TDY26:TEB26"/>
    <mergeCell ref="TEC26:TEF26"/>
    <mergeCell ref="TEG26:TEJ26"/>
    <mergeCell ref="TEK26:TEN26"/>
    <mergeCell ref="TEO26:TER26"/>
    <mergeCell ref="TES26:TEV26"/>
    <mergeCell ref="TEW26:TEZ26"/>
    <mergeCell ref="TFA26:TFD26"/>
    <mergeCell ref="TFE26:TFH26"/>
    <mergeCell ref="TFI26:TFL26"/>
    <mergeCell ref="VGG26:VGJ26"/>
    <mergeCell ref="VGK26:VGN26"/>
    <mergeCell ref="VGO26:VGR26"/>
    <mergeCell ref="VGS26:VGV26"/>
    <mergeCell ref="VGW26:VGZ26"/>
    <mergeCell ref="VHA26:VHD26"/>
    <mergeCell ref="VHE26:VHH26"/>
    <mergeCell ref="VHI26:VHL26"/>
    <mergeCell ref="TFM26:TFP26"/>
    <mergeCell ref="TFQ26:TFT26"/>
    <mergeCell ref="TFU26:TFX26"/>
    <mergeCell ref="TFY26:TGB26"/>
    <mergeCell ref="TGC26:TGF26"/>
    <mergeCell ref="TGG26:TGJ26"/>
    <mergeCell ref="TGK26:TGN26"/>
    <mergeCell ref="TGO26:TGR26"/>
    <mergeCell ref="TGS26:TGV26"/>
    <mergeCell ref="TGW26:TGZ26"/>
    <mergeCell ref="THA26:THD26"/>
    <mergeCell ref="THE26:THH26"/>
    <mergeCell ref="THI26:THL26"/>
    <mergeCell ref="THM26:THP26"/>
    <mergeCell ref="THQ26:THT26"/>
    <mergeCell ref="VHM26:VHP26"/>
    <mergeCell ref="VHQ26:VHT26"/>
    <mergeCell ref="VHU26:VHX26"/>
    <mergeCell ref="VHY26:VIB26"/>
    <mergeCell ref="VIC26:VIF26"/>
    <mergeCell ref="VIG26:VIJ26"/>
    <mergeCell ref="VIK26:VIN26"/>
    <mergeCell ref="VIO26:VIR26"/>
    <mergeCell ref="VIS26:VIV26"/>
    <mergeCell ref="VIW26:VIZ26"/>
    <mergeCell ref="VJA26:VJD26"/>
    <mergeCell ref="VJE26:VJH26"/>
    <mergeCell ref="VJI26:VJL26"/>
    <mergeCell ref="VJM26:VJP26"/>
    <mergeCell ref="VJQ26:VJT26"/>
    <mergeCell ref="VJU26:VJX26"/>
    <mergeCell ref="VJY26:VKB26"/>
    <mergeCell ref="VKC26:VKF26"/>
    <mergeCell ref="VKG26:VKJ26"/>
    <mergeCell ref="VKK26:VKN26"/>
    <mergeCell ref="VKO26:VKR26"/>
    <mergeCell ref="VKS26:VKV26"/>
    <mergeCell ref="VKW26:VKZ26"/>
    <mergeCell ref="VLA26:VLD26"/>
    <mergeCell ref="VLE26:VLH26"/>
    <mergeCell ref="VLI26:VLL26"/>
    <mergeCell ref="VLM26:VLP26"/>
    <mergeCell ref="VLQ26:VLT26"/>
    <mergeCell ref="VLU26:VLX26"/>
    <mergeCell ref="VLY26:VMB26"/>
    <mergeCell ref="VMC26:VMF26"/>
    <mergeCell ref="VMG26:VMJ26"/>
    <mergeCell ref="VMK26:VMN26"/>
    <mergeCell ref="VMO26:VMR26"/>
    <mergeCell ref="VMS26:VMV26"/>
    <mergeCell ref="VMW26:VMZ26"/>
    <mergeCell ref="VNA26:VND26"/>
    <mergeCell ref="VNE26:VNH26"/>
    <mergeCell ref="VNI26:VNL26"/>
    <mergeCell ref="VNM26:VNP26"/>
    <mergeCell ref="VNQ26:VNT26"/>
    <mergeCell ref="VNU26:VNX26"/>
    <mergeCell ref="VNY26:VOB26"/>
    <mergeCell ref="VOC26:VOF26"/>
    <mergeCell ref="VOG26:VOJ26"/>
    <mergeCell ref="VOK26:VON26"/>
    <mergeCell ref="VOO26:VOR26"/>
    <mergeCell ref="VOS26:VOV26"/>
    <mergeCell ref="VOW26:VOZ26"/>
    <mergeCell ref="VPA26:VPD26"/>
    <mergeCell ref="VPE26:VPH26"/>
    <mergeCell ref="VPI26:VPL26"/>
    <mergeCell ref="VPM26:VPP26"/>
    <mergeCell ref="VPQ26:VPT26"/>
    <mergeCell ref="VPU26:VPX26"/>
    <mergeCell ref="VPY26:VQB26"/>
    <mergeCell ref="VQC26:VQF26"/>
    <mergeCell ref="VQG26:VQJ26"/>
    <mergeCell ref="VQK26:VQN26"/>
    <mergeCell ref="VQO26:VQR26"/>
    <mergeCell ref="VQS26:VQV26"/>
    <mergeCell ref="VQW26:VQZ26"/>
    <mergeCell ref="VRA26:VRD26"/>
    <mergeCell ref="VRE26:VRH26"/>
    <mergeCell ref="VRI26:VRL26"/>
    <mergeCell ref="VRM26:VRP26"/>
    <mergeCell ref="VRQ26:VRT26"/>
    <mergeCell ref="VRU26:VRX26"/>
    <mergeCell ref="VRY26:VSB26"/>
    <mergeCell ref="VSC26:VSF26"/>
    <mergeCell ref="VSG26:VSJ26"/>
    <mergeCell ref="VSK26:VSN26"/>
    <mergeCell ref="VSO26:VSR26"/>
    <mergeCell ref="VSS26:VSV26"/>
    <mergeCell ref="VSW26:VSZ26"/>
    <mergeCell ref="VTA26:VTD26"/>
    <mergeCell ref="VTE26:VTH26"/>
    <mergeCell ref="VTI26:VTL26"/>
    <mergeCell ref="VTM26:VTP26"/>
    <mergeCell ref="VTQ26:VTT26"/>
    <mergeCell ref="VTU26:VTX26"/>
    <mergeCell ref="VTY26:VUB26"/>
    <mergeCell ref="VUC26:VUF26"/>
    <mergeCell ref="VUG26:VUJ26"/>
    <mergeCell ref="VUK26:VUN26"/>
    <mergeCell ref="VUO26:VUR26"/>
    <mergeCell ref="VUS26:VUV26"/>
    <mergeCell ref="VUW26:VUZ26"/>
    <mergeCell ref="VVA26:VVD26"/>
    <mergeCell ref="VVE26:VVH26"/>
    <mergeCell ref="VVI26:VVL26"/>
    <mergeCell ref="VVM26:VVP26"/>
    <mergeCell ref="VVQ26:VVT26"/>
    <mergeCell ref="VVU26:VVX26"/>
    <mergeCell ref="VVY26:VWB26"/>
    <mergeCell ref="VWC26:VWF26"/>
    <mergeCell ref="VWG26:VWJ26"/>
    <mergeCell ref="VWK26:VWN26"/>
    <mergeCell ref="VWO26:VWR26"/>
    <mergeCell ref="VWS26:VWV26"/>
    <mergeCell ref="VWW26:VWZ26"/>
    <mergeCell ref="VXA26:VXD26"/>
    <mergeCell ref="VXE26:VXH26"/>
    <mergeCell ref="VXI26:VXL26"/>
    <mergeCell ref="VXM26:VXP26"/>
    <mergeCell ref="VXQ26:VXT26"/>
    <mergeCell ref="VXU26:VXX26"/>
    <mergeCell ref="VXY26:VYB26"/>
    <mergeCell ref="VYC26:VYF26"/>
    <mergeCell ref="VYG26:VYJ26"/>
    <mergeCell ref="VYK26:VYN26"/>
    <mergeCell ref="VYO26:VYR26"/>
    <mergeCell ref="VYS26:VYV26"/>
    <mergeCell ref="VYW26:VYZ26"/>
    <mergeCell ref="VZA26:VZD26"/>
    <mergeCell ref="VZE26:VZH26"/>
    <mergeCell ref="VZI26:VZL26"/>
    <mergeCell ref="VZM26:VZP26"/>
    <mergeCell ref="VZQ26:VZT26"/>
    <mergeCell ref="VZU26:VZX26"/>
    <mergeCell ref="VZY26:WAB26"/>
    <mergeCell ref="WAC26:WAF26"/>
    <mergeCell ref="WAG26:WAJ26"/>
    <mergeCell ref="WAK26:WAN26"/>
    <mergeCell ref="WAO26:WAR26"/>
    <mergeCell ref="WAS26:WAV26"/>
    <mergeCell ref="WAW26:WAZ26"/>
    <mergeCell ref="WBA26:WBD26"/>
    <mergeCell ref="WBE26:WBH26"/>
    <mergeCell ref="WBI26:WBL26"/>
    <mergeCell ref="WBM26:WBP26"/>
    <mergeCell ref="WBQ26:WBT26"/>
    <mergeCell ref="WBU26:WBX26"/>
    <mergeCell ref="WBY26:WCB26"/>
    <mergeCell ref="WCC26:WCF26"/>
    <mergeCell ref="WCG26:WCJ26"/>
    <mergeCell ref="WCK26:WCN26"/>
    <mergeCell ref="WCO26:WCR26"/>
    <mergeCell ref="WCS26:WCV26"/>
    <mergeCell ref="WCW26:WCZ26"/>
    <mergeCell ref="WDA26:WDD26"/>
    <mergeCell ref="WDE26:WDH26"/>
    <mergeCell ref="WDI26:WDL26"/>
    <mergeCell ref="WDM26:WDP26"/>
    <mergeCell ref="WDQ26:WDT26"/>
    <mergeCell ref="WDU26:WDX26"/>
    <mergeCell ref="WDY26:WEB26"/>
    <mergeCell ref="WEC26:WEF26"/>
    <mergeCell ref="WEG26:WEJ26"/>
    <mergeCell ref="WEK26:WEN26"/>
    <mergeCell ref="WEO26:WER26"/>
    <mergeCell ref="WES26:WEV26"/>
    <mergeCell ref="WEW26:WEZ26"/>
    <mergeCell ref="WFA26:WFD26"/>
    <mergeCell ref="WFE26:WFH26"/>
    <mergeCell ref="WFI26:WFL26"/>
    <mergeCell ref="WFM26:WFP26"/>
    <mergeCell ref="WFQ26:WFT26"/>
    <mergeCell ref="WFU26:WFX26"/>
    <mergeCell ref="WFY26:WGB26"/>
    <mergeCell ref="WGC26:WGF26"/>
    <mergeCell ref="WGG26:WGJ26"/>
    <mergeCell ref="WGK26:WGN26"/>
    <mergeCell ref="WGO26:WGR26"/>
    <mergeCell ref="WGS26:WGV26"/>
    <mergeCell ref="WGW26:WGZ26"/>
    <mergeCell ref="WHA26:WHD26"/>
    <mergeCell ref="WHE26:WHH26"/>
    <mergeCell ref="WHI26:WHL26"/>
    <mergeCell ref="WHM26:WHP26"/>
    <mergeCell ref="WHQ26:WHT26"/>
    <mergeCell ref="WHU26:WHX26"/>
    <mergeCell ref="WHY26:WIB26"/>
    <mergeCell ref="WIC26:WIF26"/>
    <mergeCell ref="WIG26:WIJ26"/>
    <mergeCell ref="WIK26:WIN26"/>
    <mergeCell ref="WIO26:WIR26"/>
    <mergeCell ref="WIS26:WIV26"/>
    <mergeCell ref="WIW26:WIZ26"/>
    <mergeCell ref="WJA26:WJD26"/>
    <mergeCell ref="WJE26:WJH26"/>
    <mergeCell ref="WJI26:WJL26"/>
    <mergeCell ref="WJM26:WJP26"/>
    <mergeCell ref="WJQ26:WJT26"/>
    <mergeCell ref="WJU26:WJX26"/>
    <mergeCell ref="WJY26:WKB26"/>
    <mergeCell ref="WKC26:WKF26"/>
    <mergeCell ref="WKG26:WKJ26"/>
    <mergeCell ref="WKK26:WKN26"/>
    <mergeCell ref="WKO26:WKR26"/>
    <mergeCell ref="WKS26:WKV26"/>
    <mergeCell ref="WKW26:WKZ26"/>
    <mergeCell ref="WLA26:WLD26"/>
    <mergeCell ref="WLE26:WLH26"/>
    <mergeCell ref="WLI26:WLL26"/>
    <mergeCell ref="WLM26:WLP26"/>
    <mergeCell ref="WLQ26:WLT26"/>
    <mergeCell ref="WLU26:WLX26"/>
    <mergeCell ref="WLY26:WMB26"/>
    <mergeCell ref="WMC26:WMF26"/>
    <mergeCell ref="WMG26:WMJ26"/>
    <mergeCell ref="WMK26:WMN26"/>
    <mergeCell ref="WMO26:WMR26"/>
    <mergeCell ref="WMS26:WMV26"/>
    <mergeCell ref="WMW26:WMZ26"/>
    <mergeCell ref="WNA26:WND26"/>
    <mergeCell ref="WNE26:WNH26"/>
    <mergeCell ref="WNI26:WNL26"/>
    <mergeCell ref="WNM26:WNP26"/>
    <mergeCell ref="WNQ26:WNT26"/>
    <mergeCell ref="WNU26:WNX26"/>
    <mergeCell ref="WNY26:WOB26"/>
    <mergeCell ref="WOC26:WOF26"/>
    <mergeCell ref="WOG26:WOJ26"/>
    <mergeCell ref="WOK26:WON26"/>
    <mergeCell ref="WOO26:WOR26"/>
    <mergeCell ref="WOS26:WOV26"/>
    <mergeCell ref="WOW26:WOZ26"/>
    <mergeCell ref="WPA26:WPD26"/>
    <mergeCell ref="WPE26:WPH26"/>
    <mergeCell ref="WPI26:WPL26"/>
    <mergeCell ref="WPM26:WPP26"/>
    <mergeCell ref="WPQ26:WPT26"/>
    <mergeCell ref="WPU26:WPX26"/>
    <mergeCell ref="WPY26:WQB26"/>
    <mergeCell ref="WQC26:WQF26"/>
    <mergeCell ref="WQG26:WQJ26"/>
    <mergeCell ref="WQK26:WQN26"/>
    <mergeCell ref="WQO26:WQR26"/>
    <mergeCell ref="WQS26:WQV26"/>
    <mergeCell ref="WQW26:WQZ26"/>
    <mergeCell ref="WRA26:WRD26"/>
    <mergeCell ref="WRE26:WRH26"/>
    <mergeCell ref="WRI26:WRL26"/>
    <mergeCell ref="WRM26:WRP26"/>
    <mergeCell ref="WRQ26:WRT26"/>
    <mergeCell ref="WRU26:WRX26"/>
    <mergeCell ref="WZM26:WZP26"/>
    <mergeCell ref="WRY26:WSB26"/>
    <mergeCell ref="WSC26:WSF26"/>
    <mergeCell ref="WSG26:WSJ26"/>
    <mergeCell ref="WSK26:WSN26"/>
    <mergeCell ref="WSO26:WSR26"/>
    <mergeCell ref="WSS26:WSV26"/>
    <mergeCell ref="WSW26:WSZ26"/>
    <mergeCell ref="WTA26:WTD26"/>
    <mergeCell ref="WTE26:WTH26"/>
    <mergeCell ref="WTI26:WTL26"/>
    <mergeCell ref="WTM26:WTP26"/>
    <mergeCell ref="WTQ26:WTT26"/>
    <mergeCell ref="WTU26:WTX26"/>
    <mergeCell ref="WTY26:WUB26"/>
    <mergeCell ref="WUC26:WUF26"/>
    <mergeCell ref="WZQ26:WZT26"/>
    <mergeCell ref="WZU26:WZX26"/>
    <mergeCell ref="WZY26:XAB26"/>
    <mergeCell ref="XAC26:XAF26"/>
    <mergeCell ref="XAG26:XAJ26"/>
    <mergeCell ref="XAK26:XAN26"/>
    <mergeCell ref="XAO26:XAR26"/>
    <mergeCell ref="XAS26:XAV26"/>
    <mergeCell ref="XAW26:XAZ26"/>
    <mergeCell ref="XBA26:XBD26"/>
    <mergeCell ref="XBE26:XBH26"/>
    <mergeCell ref="XBI26:XBL26"/>
    <mergeCell ref="XBM26:XBP26"/>
    <mergeCell ref="XBQ26:XBT26"/>
    <mergeCell ref="XBU26:XBX26"/>
    <mergeCell ref="XBY26:XCB26"/>
    <mergeCell ref="XCC26:XCF26"/>
    <mergeCell ref="XCG26:XCJ26"/>
    <mergeCell ref="XCK26:XCN26"/>
    <mergeCell ref="XCO26:XCR26"/>
    <mergeCell ref="XCS26:XCV26"/>
    <mergeCell ref="XCW26:XCZ26"/>
    <mergeCell ref="XDA26:XDD26"/>
    <mergeCell ref="XDE26:XDH26"/>
    <mergeCell ref="XDI26:XDL26"/>
    <mergeCell ref="XDM26:XDP26"/>
    <mergeCell ref="XDQ26:XDT26"/>
    <mergeCell ref="XEW26:XEZ26"/>
    <mergeCell ref="XFA26:XFD26"/>
    <mergeCell ref="XDU26:XDX26"/>
    <mergeCell ref="XDY26:XEB26"/>
    <mergeCell ref="XEC26:XEF26"/>
    <mergeCell ref="XEG26:XEJ26"/>
    <mergeCell ref="XEK26:XEN26"/>
    <mergeCell ref="XEO26:XER26"/>
    <mergeCell ref="XES26:XEV26"/>
    <mergeCell ref="WUG26:WUJ26"/>
    <mergeCell ref="WUK26:WUN26"/>
    <mergeCell ref="WUO26:WUR26"/>
    <mergeCell ref="WUS26:WUV26"/>
    <mergeCell ref="WUW26:WUZ26"/>
    <mergeCell ref="WVA26:WVD26"/>
    <mergeCell ref="WVE26:WVH26"/>
    <mergeCell ref="WVI26:WVL26"/>
    <mergeCell ref="WVM26:WVP26"/>
    <mergeCell ref="WVQ26:WVT26"/>
    <mergeCell ref="WVU26:WVX26"/>
    <mergeCell ref="WVY26:WWB26"/>
    <mergeCell ref="WWC26:WWF26"/>
    <mergeCell ref="WWG26:WWJ26"/>
    <mergeCell ref="WWK26:WWN26"/>
    <mergeCell ref="WWO26:WWR26"/>
    <mergeCell ref="WWS26:WWV26"/>
    <mergeCell ref="WWW26:WWZ26"/>
    <mergeCell ref="WXA26:WXD26"/>
    <mergeCell ref="WXE26:WXH26"/>
    <mergeCell ref="WXI26:WXL26"/>
    <mergeCell ref="WXM26:WXP26"/>
    <mergeCell ref="WXQ26:WXT26"/>
    <mergeCell ref="WXU26:WXX26"/>
    <mergeCell ref="WXY26:WYB26"/>
    <mergeCell ref="WYC26:WYF26"/>
    <mergeCell ref="WYG26:WYJ26"/>
    <mergeCell ref="WYK26:WYN26"/>
    <mergeCell ref="WYO26:WYR26"/>
    <mergeCell ref="WYS26:WYV26"/>
    <mergeCell ref="WYW26:WYZ26"/>
    <mergeCell ref="WZA26:WZD26"/>
    <mergeCell ref="WZE26:WZH26"/>
    <mergeCell ref="WZI26:WZL26"/>
    <mergeCell ref="THU26:THX26"/>
    <mergeCell ref="THY26:TIB26"/>
    <mergeCell ref="TIC26:TIF26"/>
    <mergeCell ref="TIG26:TIJ26"/>
    <mergeCell ref="TIK26:TIN26"/>
    <mergeCell ref="TIO26:TIR26"/>
    <mergeCell ref="TIS26:TIV26"/>
    <mergeCell ref="TIW26:TIZ26"/>
    <mergeCell ref="TJA26:TJD26"/>
    <mergeCell ref="TJE26:TJH26"/>
    <mergeCell ref="TJI26:TJL26"/>
    <mergeCell ref="TJM26:TJP26"/>
    <mergeCell ref="TJQ26:TJT26"/>
    <mergeCell ref="TJU26:TJX26"/>
    <mergeCell ref="TJY26:TKB26"/>
    <mergeCell ref="TKC26:TKF26"/>
    <mergeCell ref="TKG26:TKJ26"/>
    <mergeCell ref="TKK26:TKN26"/>
    <mergeCell ref="TKO26:TKR26"/>
    <mergeCell ref="TKS26:TKV26"/>
    <mergeCell ref="TKW26:TKZ26"/>
    <mergeCell ref="TLA26:TLD26"/>
    <mergeCell ref="TLE26:TLH26"/>
    <mergeCell ref="TLI26:TLL26"/>
    <mergeCell ref="TLM26:TLP26"/>
    <mergeCell ref="TLQ26:TLT26"/>
    <mergeCell ref="TLU26:TLX26"/>
    <mergeCell ref="TLY26:TMB26"/>
    <mergeCell ref="TMC26:TMF26"/>
    <mergeCell ref="TMG26:TMJ26"/>
    <mergeCell ref="TMK26:TMN26"/>
    <mergeCell ref="TMO26:TMR26"/>
    <mergeCell ref="TMS26:TMV26"/>
    <mergeCell ref="TMW26:TMZ26"/>
    <mergeCell ref="TNA26:TND26"/>
    <mergeCell ref="TNE26:TNH26"/>
    <mergeCell ref="TNI26:TNL26"/>
    <mergeCell ref="TNM26:TNP26"/>
    <mergeCell ref="TNQ26:TNT26"/>
    <mergeCell ref="TNU26:TNX26"/>
    <mergeCell ref="TNY26:TOB26"/>
    <mergeCell ref="TOC26:TOF26"/>
    <mergeCell ref="TOG26:TOJ26"/>
    <mergeCell ref="TOK26:TON26"/>
    <mergeCell ref="TOO26:TOR26"/>
    <mergeCell ref="TOS26:TOV26"/>
    <mergeCell ref="TOW26:TOZ26"/>
    <mergeCell ref="TPA26:TPD26"/>
    <mergeCell ref="TPE26:TPH26"/>
    <mergeCell ref="TPI26:TPL26"/>
    <mergeCell ref="TPM26:TPP26"/>
    <mergeCell ref="TPQ26:TPT26"/>
    <mergeCell ref="TPU26:TPX26"/>
    <mergeCell ref="TPY26:TQB26"/>
    <mergeCell ref="TQC26:TQF26"/>
    <mergeCell ref="TQG26:TQJ26"/>
    <mergeCell ref="TQK26:TQN26"/>
    <mergeCell ref="TQO26:TQR26"/>
    <mergeCell ref="TQS26:TQV26"/>
    <mergeCell ref="TQW26:TQZ26"/>
    <mergeCell ref="TRA26:TRD26"/>
    <mergeCell ref="TRE26:TRH26"/>
    <mergeCell ref="TRI26:TRL26"/>
    <mergeCell ref="TRM26:TRP26"/>
    <mergeCell ref="TRQ26:TRT26"/>
    <mergeCell ref="TRU26:TRX26"/>
    <mergeCell ref="TRY26:TSB26"/>
    <mergeCell ref="TSC26:TSF26"/>
    <mergeCell ref="TSG26:TSJ26"/>
    <mergeCell ref="TSK26:TSN26"/>
    <mergeCell ref="TSO26:TSR26"/>
    <mergeCell ref="TSS26:TSV26"/>
    <mergeCell ref="TSW26:TSZ26"/>
    <mergeCell ref="TTA26:TTD26"/>
    <mergeCell ref="TTE26:TTH26"/>
    <mergeCell ref="TTI26:TTL26"/>
    <mergeCell ref="TTM26:TTP26"/>
    <mergeCell ref="TTQ26:TTT26"/>
    <mergeCell ref="TTU26:TTX26"/>
    <mergeCell ref="TTY26:TUB26"/>
    <mergeCell ref="TUC26:TUF26"/>
    <mergeCell ref="TUG26:TUJ26"/>
    <mergeCell ref="TUK26:TUN26"/>
    <mergeCell ref="TUO26:TUR26"/>
    <mergeCell ref="TUS26:TUV26"/>
    <mergeCell ref="TUW26:TUZ26"/>
    <mergeCell ref="TVA26:TVD26"/>
    <mergeCell ref="TVE26:TVH26"/>
    <mergeCell ref="TVI26:TVL26"/>
    <mergeCell ref="TVM26:TVP26"/>
    <mergeCell ref="TVQ26:TVT26"/>
    <mergeCell ref="TVU26:TVX26"/>
    <mergeCell ref="TVY26:TWB26"/>
    <mergeCell ref="TWC26:TWF26"/>
    <mergeCell ref="TWG26:TWJ26"/>
    <mergeCell ref="TWK26:TWN26"/>
    <mergeCell ref="TWO26:TWR26"/>
    <mergeCell ref="TWS26:TWV26"/>
    <mergeCell ref="TWW26:TWZ26"/>
    <mergeCell ref="TXA26:TXD26"/>
    <mergeCell ref="TXE26:TXH26"/>
    <mergeCell ref="TXI26:TXL26"/>
    <mergeCell ref="TXM26:TXP26"/>
    <mergeCell ref="TXQ26:TXT26"/>
    <mergeCell ref="TXU26:TXX26"/>
    <mergeCell ref="TXY26:TYB26"/>
    <mergeCell ref="TYC26:TYF26"/>
    <mergeCell ref="TYG26:TYJ26"/>
    <mergeCell ref="TYK26:TYN26"/>
    <mergeCell ref="TYO26:TYR26"/>
    <mergeCell ref="TYS26:TYV26"/>
    <mergeCell ref="TYW26:TYZ26"/>
    <mergeCell ref="TZA26:TZD26"/>
    <mergeCell ref="TZE26:TZH26"/>
    <mergeCell ref="TZI26:TZL26"/>
    <mergeCell ref="TZM26:TZP26"/>
    <mergeCell ref="TZQ26:TZT26"/>
    <mergeCell ref="TZU26:TZX26"/>
    <mergeCell ref="TZY26:UAB26"/>
    <mergeCell ref="UAC26:UAF26"/>
    <mergeCell ref="UAG26:UAJ26"/>
    <mergeCell ref="UAK26:UAN26"/>
    <mergeCell ref="UAO26:UAR26"/>
    <mergeCell ref="UAS26:UAV26"/>
    <mergeCell ref="UAW26:UAZ26"/>
    <mergeCell ref="UBA26:UBD26"/>
    <mergeCell ref="UBE26:UBH26"/>
    <mergeCell ref="UBI26:UBL26"/>
    <mergeCell ref="UBM26:UBP26"/>
    <mergeCell ref="UBQ26:UBT26"/>
    <mergeCell ref="UBU26:UBX26"/>
    <mergeCell ref="UBY26:UCB26"/>
    <mergeCell ref="UCC26:UCF26"/>
    <mergeCell ref="UCG26:UCJ26"/>
    <mergeCell ref="UCK26:UCN26"/>
    <mergeCell ref="UCO26:UCR26"/>
    <mergeCell ref="UCS26:UCV26"/>
    <mergeCell ref="UCW26:UCZ26"/>
    <mergeCell ref="UDA26:UDD26"/>
    <mergeCell ref="UDE26:UDH26"/>
    <mergeCell ref="UDI26:UDL26"/>
    <mergeCell ref="UDM26:UDP26"/>
    <mergeCell ref="UDQ26:UDT26"/>
    <mergeCell ref="UDU26:UDX26"/>
    <mergeCell ref="UDY26:UEB26"/>
    <mergeCell ref="UEC26:UEF26"/>
    <mergeCell ref="UEG26:UEJ26"/>
    <mergeCell ref="UEK26:UEN26"/>
    <mergeCell ref="UEO26:UER26"/>
    <mergeCell ref="UES26:UEV26"/>
    <mergeCell ref="UEW26:UEZ26"/>
    <mergeCell ref="UFA26:UFD26"/>
    <mergeCell ref="UFE26:UFH26"/>
    <mergeCell ref="UFI26:UFL26"/>
    <mergeCell ref="UFM26:UFP26"/>
    <mergeCell ref="UFQ26:UFT26"/>
    <mergeCell ref="UFU26:UFX26"/>
    <mergeCell ref="UFY26:UGB26"/>
    <mergeCell ref="UGC26:UGF26"/>
    <mergeCell ref="UGG26:UGJ26"/>
    <mergeCell ref="UGK26:UGN26"/>
    <mergeCell ref="UGO26:UGR26"/>
    <mergeCell ref="UGS26:UGV26"/>
    <mergeCell ref="UGW26:UGZ26"/>
    <mergeCell ref="UHA26:UHD26"/>
    <mergeCell ref="UHE26:UHH26"/>
    <mergeCell ref="UHI26:UHL26"/>
    <mergeCell ref="UHM26:UHP26"/>
    <mergeCell ref="UHQ26:UHT26"/>
    <mergeCell ref="UHU26:UHX26"/>
    <mergeCell ref="UHY26:UIB26"/>
    <mergeCell ref="UIC26:UIF26"/>
    <mergeCell ref="UIG26:UIJ26"/>
    <mergeCell ref="UIK26:UIN26"/>
    <mergeCell ref="UIO26:UIR26"/>
    <mergeCell ref="UIS26:UIV26"/>
    <mergeCell ref="UIW26:UIZ26"/>
    <mergeCell ref="UJA26:UJD26"/>
    <mergeCell ref="UJE26:UJH26"/>
    <mergeCell ref="UJI26:UJL26"/>
    <mergeCell ref="UJM26:UJP26"/>
    <mergeCell ref="UJQ26:UJT26"/>
    <mergeCell ref="UJU26:UJX26"/>
    <mergeCell ref="UJY26:UKB26"/>
    <mergeCell ref="UKC26:UKF26"/>
    <mergeCell ref="UKG26:UKJ26"/>
    <mergeCell ref="UKK26:UKN26"/>
    <mergeCell ref="UKO26:UKR26"/>
    <mergeCell ref="UKS26:UKV26"/>
    <mergeCell ref="UKW26:UKZ26"/>
    <mergeCell ref="ULA26:ULD26"/>
    <mergeCell ref="ULE26:ULH26"/>
    <mergeCell ref="ULI26:ULL26"/>
    <mergeCell ref="ULM26:ULP26"/>
    <mergeCell ref="ULQ26:ULT26"/>
    <mergeCell ref="ULU26:ULX26"/>
    <mergeCell ref="ULY26:UMB26"/>
    <mergeCell ref="UMC26:UMF26"/>
    <mergeCell ref="UMG26:UMJ26"/>
    <mergeCell ref="UMK26:UMN26"/>
    <mergeCell ref="UMO26:UMR26"/>
    <mergeCell ref="UMS26:UMV26"/>
    <mergeCell ref="UMW26:UMZ26"/>
    <mergeCell ref="UNA26:UND26"/>
    <mergeCell ref="UNE26:UNH26"/>
    <mergeCell ref="UNI26:UNL26"/>
    <mergeCell ref="UNM26:UNP26"/>
    <mergeCell ref="UNQ26:UNT26"/>
    <mergeCell ref="UNU26:UNX26"/>
    <mergeCell ref="UNY26:UOB26"/>
    <mergeCell ref="UOC26:UOF26"/>
    <mergeCell ref="UOG26:UOJ26"/>
    <mergeCell ref="UOK26:UON26"/>
    <mergeCell ref="UOO26:UOR26"/>
    <mergeCell ref="UOS26:UOV26"/>
    <mergeCell ref="UOW26:UOZ26"/>
    <mergeCell ref="UPA26:UPD26"/>
    <mergeCell ref="UPE26:UPH26"/>
    <mergeCell ref="UPI26:UPL26"/>
    <mergeCell ref="UPM26:UPP26"/>
    <mergeCell ref="UPQ26:UPT26"/>
    <mergeCell ref="UPU26:UPX26"/>
    <mergeCell ref="UPY26:UQB26"/>
    <mergeCell ref="UQC26:UQF26"/>
    <mergeCell ref="UQG26:UQJ26"/>
    <mergeCell ref="UQK26:UQN26"/>
    <mergeCell ref="UQO26:UQR26"/>
    <mergeCell ref="UQS26:UQV26"/>
    <mergeCell ref="UQW26:UQZ26"/>
    <mergeCell ref="URA26:URD26"/>
    <mergeCell ref="URE26:URH26"/>
    <mergeCell ref="URI26:URL26"/>
    <mergeCell ref="URM26:URP26"/>
    <mergeCell ref="URQ26:URT26"/>
    <mergeCell ref="URU26:URX26"/>
    <mergeCell ref="URY26:USB26"/>
    <mergeCell ref="USC26:USF26"/>
    <mergeCell ref="USG26:USJ26"/>
    <mergeCell ref="USK26:USN26"/>
    <mergeCell ref="USO26:USR26"/>
    <mergeCell ref="USS26:USV26"/>
    <mergeCell ref="USW26:USZ26"/>
    <mergeCell ref="UTA26:UTD26"/>
    <mergeCell ref="UTE26:UTH26"/>
    <mergeCell ref="UTI26:UTL26"/>
    <mergeCell ref="UTM26:UTP26"/>
    <mergeCell ref="UTQ26:UTT26"/>
    <mergeCell ref="UTU26:UTX26"/>
    <mergeCell ref="UTY26:UUB26"/>
    <mergeCell ref="UUC26:UUF26"/>
    <mergeCell ref="UUG26:UUJ26"/>
    <mergeCell ref="UUK26:UUN26"/>
    <mergeCell ref="UUO26:UUR26"/>
    <mergeCell ref="UUS26:UUV26"/>
    <mergeCell ref="UUW26:UUZ26"/>
    <mergeCell ref="UZY26:VAB26"/>
    <mergeCell ref="VAC26:VAF26"/>
    <mergeCell ref="UVA26:UVD26"/>
    <mergeCell ref="UVE26:UVH26"/>
    <mergeCell ref="UVI26:UVL26"/>
    <mergeCell ref="UVM26:UVP26"/>
    <mergeCell ref="UVQ26:UVT26"/>
    <mergeCell ref="UVU26:UVX26"/>
    <mergeCell ref="UVY26:UWB26"/>
    <mergeCell ref="UWC26:UWF26"/>
    <mergeCell ref="UWG26:UWJ26"/>
    <mergeCell ref="UWK26:UWN26"/>
    <mergeCell ref="UWO26:UWR26"/>
    <mergeCell ref="UWS26:UWV26"/>
    <mergeCell ref="UWW26:UWZ26"/>
    <mergeCell ref="UXA26:UXD26"/>
    <mergeCell ref="UXE26:UXH26"/>
    <mergeCell ref="UXI26:UXL26"/>
    <mergeCell ref="UXM26:UXP26"/>
    <mergeCell ref="VFE26:VFH26"/>
    <mergeCell ref="VFI26:VFL26"/>
    <mergeCell ref="VAG26:VAJ26"/>
    <mergeCell ref="VAK26:VAN26"/>
    <mergeCell ref="VAO26:VAR26"/>
    <mergeCell ref="VAS26:VAV26"/>
    <mergeCell ref="VAW26:VAZ26"/>
    <mergeCell ref="VBA26:VBD26"/>
    <mergeCell ref="VBE26:VBH26"/>
    <mergeCell ref="VBI26:VBL26"/>
    <mergeCell ref="VBM26:VBP26"/>
    <mergeCell ref="VBQ26:VBT26"/>
    <mergeCell ref="VBU26:VBX26"/>
    <mergeCell ref="VBY26:VCB26"/>
    <mergeCell ref="VCC26:VCF26"/>
    <mergeCell ref="VCG26:VCJ26"/>
    <mergeCell ref="VCK26:VCN26"/>
    <mergeCell ref="VCO26:VCR26"/>
    <mergeCell ref="VCS26:VCV26"/>
    <mergeCell ref="CS26:CV26"/>
    <mergeCell ref="CW26:CZ26"/>
    <mergeCell ref="VCW26:VCZ26"/>
    <mergeCell ref="VDA26:VDD26"/>
    <mergeCell ref="VDE26:VDH26"/>
    <mergeCell ref="VDI26:VDL26"/>
    <mergeCell ref="VDM26:VDP26"/>
    <mergeCell ref="VDQ26:VDT26"/>
    <mergeCell ref="VDU26:VDX26"/>
    <mergeCell ref="VDY26:VEB26"/>
    <mergeCell ref="VEC26:VEF26"/>
    <mergeCell ref="VEG26:VEJ26"/>
    <mergeCell ref="VEK26:VEN26"/>
    <mergeCell ref="VEO26:VER26"/>
    <mergeCell ref="VES26:VEV26"/>
    <mergeCell ref="VEW26:VEZ26"/>
    <mergeCell ref="VFA26:VFD26"/>
    <mergeCell ref="UXQ26:UXT26"/>
    <mergeCell ref="UXU26:UXX26"/>
    <mergeCell ref="UXY26:UYB26"/>
    <mergeCell ref="UYC26:UYF26"/>
    <mergeCell ref="UYG26:UYJ26"/>
    <mergeCell ref="UYK26:UYN26"/>
    <mergeCell ref="UYO26:UYR26"/>
    <mergeCell ref="UYS26:UYV26"/>
    <mergeCell ref="UYW26:UYZ26"/>
    <mergeCell ref="UZA26:UZD26"/>
    <mergeCell ref="UZE26:UZH26"/>
    <mergeCell ref="UZI26:UZL26"/>
    <mergeCell ref="UZM26:UZP26"/>
    <mergeCell ref="UZQ26:UZT26"/>
    <mergeCell ref="UZU26:UZX26"/>
    <mergeCell ref="A38:A39"/>
    <mergeCell ref="G38:G39"/>
    <mergeCell ref="VFM26:VFP26"/>
    <mergeCell ref="VFQ26:VFT26"/>
    <mergeCell ref="VFU26:VFX26"/>
    <mergeCell ref="VFY26:VGB26"/>
    <mergeCell ref="VGC26:VGF26"/>
    <mergeCell ref="B25:C25"/>
    <mergeCell ref="A26:D26"/>
    <mergeCell ref="E26:H26"/>
    <mergeCell ref="I26:L26"/>
    <mergeCell ref="M26:P26"/>
    <mergeCell ref="Q26:T26"/>
    <mergeCell ref="U26:X26"/>
    <mergeCell ref="Y26:AB26"/>
    <mergeCell ref="AC26:AF26"/>
    <mergeCell ref="AG26:AJ26"/>
    <mergeCell ref="AK26:AN26"/>
    <mergeCell ref="AO26:AR26"/>
    <mergeCell ref="AS26:AV26"/>
    <mergeCell ref="AW26:AZ26"/>
    <mergeCell ref="BA26:BD26"/>
    <mergeCell ref="BE26:BH26"/>
    <mergeCell ref="BI26:BL26"/>
    <mergeCell ref="BM26:BP26"/>
    <mergeCell ref="BQ26:BT26"/>
    <mergeCell ref="BU26:BX26"/>
    <mergeCell ref="BY26:CB26"/>
    <mergeCell ref="CC26:CF26"/>
    <mergeCell ref="CG26:CJ26"/>
    <mergeCell ref="CK26:CN26"/>
    <mergeCell ref="CO26:CR26"/>
    <mergeCell ref="A53:A54"/>
    <mergeCell ref="G53:G54"/>
    <mergeCell ref="A55:A56"/>
    <mergeCell ref="A69:A70"/>
    <mergeCell ref="G69:G70"/>
    <mergeCell ref="A71:A72"/>
    <mergeCell ref="A1:K2"/>
    <mergeCell ref="A3:A4"/>
    <mergeCell ref="E13:G13"/>
    <mergeCell ref="E14:G14"/>
    <mergeCell ref="I15:K20"/>
    <mergeCell ref="E16:G18"/>
    <mergeCell ref="E25:G25"/>
    <mergeCell ref="FI26:FL26"/>
    <mergeCell ref="FM26:FP26"/>
    <mergeCell ref="FQ26:FT26"/>
    <mergeCell ref="FU26:FX26"/>
    <mergeCell ref="DA26:DD26"/>
    <mergeCell ref="DE26:DH26"/>
    <mergeCell ref="DI26:DL26"/>
    <mergeCell ref="DM26:DP26"/>
    <mergeCell ref="DQ26:DT26"/>
    <mergeCell ref="DU26:DX26"/>
    <mergeCell ref="DY26:EB26"/>
    <mergeCell ref="EC26:EF26"/>
    <mergeCell ref="EG26:EJ26"/>
    <mergeCell ref="EK26:EN26"/>
    <mergeCell ref="EO26:ER26"/>
    <mergeCell ref="ES26:EV26"/>
    <mergeCell ref="EW26:EZ26"/>
    <mergeCell ref="FA26:FD26"/>
    <mergeCell ref="FE26:FH26"/>
    <mergeCell ref="FY26:GB26"/>
    <mergeCell ref="GC26:GF26"/>
    <mergeCell ref="GG26:GJ26"/>
    <mergeCell ref="GK26:GN26"/>
    <mergeCell ref="GO26:GR26"/>
    <mergeCell ref="GS26:GV26"/>
    <mergeCell ref="GW26:GZ26"/>
    <mergeCell ref="HA26:HD26"/>
    <mergeCell ref="HE26:HH26"/>
    <mergeCell ref="HI26:HL26"/>
    <mergeCell ref="HM26:HP26"/>
    <mergeCell ref="HQ26:HT26"/>
    <mergeCell ref="HU26:HX26"/>
    <mergeCell ref="HY26:IB26"/>
    <mergeCell ref="IC26:IF26"/>
    <mergeCell ref="IG26:IJ26"/>
    <mergeCell ref="IK26:IN26"/>
    <mergeCell ref="IO26:IR26"/>
    <mergeCell ref="IS26:IV26"/>
    <mergeCell ref="IW26:IZ26"/>
    <mergeCell ref="JA26:JD26"/>
    <mergeCell ref="JE26:JH26"/>
    <mergeCell ref="JI26:JL26"/>
    <mergeCell ref="JM26:JP26"/>
    <mergeCell ref="JQ26:JT26"/>
    <mergeCell ref="JU26:JX26"/>
    <mergeCell ref="JY26:KB26"/>
    <mergeCell ref="KC26:KF26"/>
    <mergeCell ref="KG26:KJ26"/>
    <mergeCell ref="KK26:KN26"/>
    <mergeCell ref="KO26:KR26"/>
    <mergeCell ref="KS26:KV26"/>
    <mergeCell ref="KW26:KZ26"/>
    <mergeCell ref="LA26:LD26"/>
    <mergeCell ref="LE26:LH26"/>
    <mergeCell ref="LI26:LL26"/>
    <mergeCell ref="LM26:LP26"/>
    <mergeCell ref="LQ26:LT26"/>
    <mergeCell ref="LU26:LX26"/>
    <mergeCell ref="LY26:MB26"/>
    <mergeCell ref="MC26:MF26"/>
    <mergeCell ref="MG26:MJ26"/>
    <mergeCell ref="MK26:MN26"/>
    <mergeCell ref="MO26:MR26"/>
    <mergeCell ref="MS26:MV26"/>
    <mergeCell ref="MW26:MZ26"/>
    <mergeCell ref="NA26:ND26"/>
    <mergeCell ref="NE26:NH26"/>
    <mergeCell ref="NI26:NL26"/>
    <mergeCell ref="NM26:NP26"/>
    <mergeCell ref="NQ26:NT26"/>
    <mergeCell ref="NU26:NX26"/>
    <mergeCell ref="NY26:OB26"/>
    <mergeCell ref="OC26:OF26"/>
    <mergeCell ref="OG26:OJ26"/>
    <mergeCell ref="OK26:ON26"/>
    <mergeCell ref="OO26:OR26"/>
    <mergeCell ref="OS26:OV26"/>
    <mergeCell ref="OW26:OZ26"/>
    <mergeCell ref="PA26:PD26"/>
    <mergeCell ref="PE26:PH26"/>
    <mergeCell ref="PI26:PL26"/>
    <mergeCell ref="PM26:PP26"/>
    <mergeCell ref="PQ26:PT26"/>
    <mergeCell ref="PU26:PX26"/>
    <mergeCell ref="PY26:QB26"/>
    <mergeCell ref="QC26:QF26"/>
    <mergeCell ref="QG26:QJ26"/>
    <mergeCell ref="QK26:QN26"/>
    <mergeCell ref="QO26:QR26"/>
    <mergeCell ref="QS26:QV26"/>
    <mergeCell ref="QW26:QZ26"/>
    <mergeCell ref="RA26:RD26"/>
    <mergeCell ref="RE26:RH26"/>
    <mergeCell ref="RI26:RL26"/>
    <mergeCell ref="RM26:RP26"/>
    <mergeCell ref="RQ26:RT26"/>
    <mergeCell ref="RU26:RX26"/>
    <mergeCell ref="RY26:SB26"/>
    <mergeCell ref="SC26:SF26"/>
    <mergeCell ref="SG26:SJ26"/>
    <mergeCell ref="SK26:SN26"/>
    <mergeCell ref="SO26:SR26"/>
    <mergeCell ref="SS26:SV26"/>
    <mergeCell ref="SW26:SZ26"/>
    <mergeCell ref="TA26:TD26"/>
    <mergeCell ref="TE26:TH26"/>
    <mergeCell ref="TI26:TL26"/>
    <mergeCell ref="TM26:TP26"/>
    <mergeCell ref="TQ26:TT26"/>
    <mergeCell ref="TU26:TX26"/>
    <mergeCell ref="TY26:UB26"/>
    <mergeCell ref="UC26:UF26"/>
    <mergeCell ref="UG26:UJ26"/>
    <mergeCell ref="UK26:UN26"/>
    <mergeCell ref="UO26:UR26"/>
    <mergeCell ref="US26:UV26"/>
    <mergeCell ref="UW26:UZ26"/>
    <mergeCell ref="VA26:VD26"/>
    <mergeCell ref="VE26:VH26"/>
    <mergeCell ref="VI26:VL26"/>
    <mergeCell ref="VM26:VP26"/>
    <mergeCell ref="VQ26:VT26"/>
    <mergeCell ref="VU26:VX26"/>
    <mergeCell ref="VY26:WB26"/>
    <mergeCell ref="WC26:WF26"/>
    <mergeCell ref="WG26:WJ26"/>
    <mergeCell ref="WK26:WN26"/>
    <mergeCell ref="WO26:WR26"/>
    <mergeCell ref="WS26:WV26"/>
    <mergeCell ref="WW26:WZ26"/>
    <mergeCell ref="XA26:XD26"/>
    <mergeCell ref="XE26:XH26"/>
    <mergeCell ref="XI26:XL26"/>
    <mergeCell ref="XM26:XP26"/>
    <mergeCell ref="XQ26:XT26"/>
    <mergeCell ref="XU26:XX26"/>
    <mergeCell ref="XY26:YB26"/>
    <mergeCell ref="YC26:YF26"/>
    <mergeCell ref="YG26:YJ26"/>
    <mergeCell ref="YK26:YN26"/>
    <mergeCell ref="YO26:YR26"/>
    <mergeCell ref="YS26:YV26"/>
    <mergeCell ref="YW26:YZ26"/>
    <mergeCell ref="ZA26:ZD26"/>
    <mergeCell ref="ZE26:ZH26"/>
    <mergeCell ref="ZI26:ZL26"/>
    <mergeCell ref="ZM26:ZP26"/>
    <mergeCell ref="ZQ26:ZT26"/>
    <mergeCell ref="ZU26:ZX26"/>
    <mergeCell ref="ZY26:AAB26"/>
    <mergeCell ref="AAC26:AAF26"/>
    <mergeCell ref="AAG26:AAJ26"/>
    <mergeCell ref="AAK26:AAN26"/>
    <mergeCell ref="AAO26:AAR26"/>
    <mergeCell ref="AAS26:AAV26"/>
    <mergeCell ref="AAW26:AAZ26"/>
    <mergeCell ref="ABA26:ABD26"/>
    <mergeCell ref="ABE26:ABH26"/>
    <mergeCell ref="ABI26:ABL26"/>
    <mergeCell ref="ABM26:ABP26"/>
    <mergeCell ref="ABQ26:ABT26"/>
    <mergeCell ref="ABU26:ABX26"/>
    <mergeCell ref="ABY26:ACB26"/>
    <mergeCell ref="ACC26:ACF26"/>
    <mergeCell ref="ACG26:ACJ26"/>
    <mergeCell ref="ACK26:ACN26"/>
    <mergeCell ref="ACO26:ACR26"/>
    <mergeCell ref="ACS26:ACV26"/>
    <mergeCell ref="ACW26:ACZ26"/>
    <mergeCell ref="ADA26:ADD26"/>
    <mergeCell ref="ADE26:ADH26"/>
    <mergeCell ref="ADI26:ADL26"/>
    <mergeCell ref="ADM26:ADP26"/>
    <mergeCell ref="ADQ26:ADT26"/>
    <mergeCell ref="ADU26:ADX26"/>
    <mergeCell ref="ADY26:AEB26"/>
    <mergeCell ref="AEC26:AEF26"/>
    <mergeCell ref="AEG26:AEJ26"/>
    <mergeCell ref="AEK26:AEN26"/>
    <mergeCell ref="AEO26:AER26"/>
    <mergeCell ref="AES26:AEV26"/>
    <mergeCell ref="AEW26:AEZ26"/>
    <mergeCell ref="AFA26:AFD26"/>
    <mergeCell ref="AFE26:AFH26"/>
    <mergeCell ref="AFI26:AFL26"/>
    <mergeCell ref="AFM26:AFP26"/>
    <mergeCell ref="AFQ26:AFT26"/>
    <mergeCell ref="AFU26:AFX26"/>
    <mergeCell ref="AFY26:AGB26"/>
    <mergeCell ref="AGC26:AGF26"/>
    <mergeCell ref="AGG26:AGJ26"/>
    <mergeCell ref="AGK26:AGN26"/>
    <mergeCell ref="AGO26:AGR26"/>
    <mergeCell ref="AGS26:AGV26"/>
    <mergeCell ref="AGW26:AGZ26"/>
    <mergeCell ref="AHA26:AHD26"/>
    <mergeCell ref="AHE26:AHH26"/>
    <mergeCell ref="AHI26:AHL26"/>
    <mergeCell ref="AHM26:AHP26"/>
    <mergeCell ref="AHQ26:AHT26"/>
    <mergeCell ref="AHU26:AHX26"/>
    <mergeCell ref="AHY26:AIB26"/>
    <mergeCell ref="AIC26:AIF26"/>
    <mergeCell ref="AIG26:AIJ26"/>
    <mergeCell ref="AIK26:AIN26"/>
    <mergeCell ref="AIO26:AIR26"/>
    <mergeCell ref="AIS26:AIV26"/>
    <mergeCell ref="AIW26:AIZ26"/>
    <mergeCell ref="AJA26:AJD26"/>
    <mergeCell ref="AJE26:AJH26"/>
    <mergeCell ref="AJI26:AJL26"/>
    <mergeCell ref="AJM26:AJP26"/>
    <mergeCell ref="AJQ26:AJT26"/>
    <mergeCell ref="AJU26:AJX26"/>
    <mergeCell ref="AJY26:AKB26"/>
    <mergeCell ref="AKC26:AKF26"/>
    <mergeCell ref="AKG26:AKJ26"/>
    <mergeCell ref="AKK26:AKN26"/>
    <mergeCell ref="AKO26:AKR26"/>
    <mergeCell ref="AKS26:AKV26"/>
    <mergeCell ref="AKW26:AKZ26"/>
    <mergeCell ref="ALA26:ALD26"/>
    <mergeCell ref="ALE26:ALH26"/>
    <mergeCell ref="ALI26:ALL26"/>
    <mergeCell ref="ALM26:ALP26"/>
    <mergeCell ref="ALQ26:ALT26"/>
    <mergeCell ref="ALU26:ALX26"/>
    <mergeCell ref="ALY26:AMB26"/>
    <mergeCell ref="AMC26:AMF26"/>
    <mergeCell ref="AMG26:AMJ26"/>
    <mergeCell ref="AMK26:AMN26"/>
    <mergeCell ref="AMO26:AMR26"/>
    <mergeCell ref="AMS26:AMV26"/>
    <mergeCell ref="AMW26:AMZ26"/>
    <mergeCell ref="ANA26:AND26"/>
    <mergeCell ref="ANE26:ANH26"/>
    <mergeCell ref="ANI26:ANL26"/>
    <mergeCell ref="ANM26:ANP26"/>
    <mergeCell ref="ANQ26:ANT26"/>
    <mergeCell ref="ANU26:ANX26"/>
    <mergeCell ref="ANY26:AOB26"/>
    <mergeCell ref="AOC26:AOF26"/>
    <mergeCell ref="AOG26:AOJ26"/>
    <mergeCell ref="AOK26:AON26"/>
    <mergeCell ref="AOO26:AOR26"/>
    <mergeCell ref="AOS26:AOV26"/>
    <mergeCell ref="AOW26:AOZ26"/>
    <mergeCell ref="APA26:APD26"/>
    <mergeCell ref="APE26:APH26"/>
    <mergeCell ref="API26:APL26"/>
    <mergeCell ref="APM26:APP26"/>
    <mergeCell ref="APQ26:APT26"/>
    <mergeCell ref="APU26:APX26"/>
    <mergeCell ref="APY26:AQB26"/>
    <mergeCell ref="AQC26:AQF26"/>
    <mergeCell ref="AQG26:AQJ26"/>
    <mergeCell ref="AQK26:AQN26"/>
    <mergeCell ref="AQO26:AQR26"/>
    <mergeCell ref="AQS26:AQV26"/>
    <mergeCell ref="AQW26:AQZ26"/>
    <mergeCell ref="ARA26:ARD26"/>
    <mergeCell ref="ARE26:ARH26"/>
    <mergeCell ref="ARI26:ARL26"/>
    <mergeCell ref="ARM26:ARP26"/>
    <mergeCell ref="ARQ26:ART26"/>
    <mergeCell ref="ARU26:ARX26"/>
    <mergeCell ref="ARY26:ASB26"/>
    <mergeCell ref="ASC26:ASF26"/>
    <mergeCell ref="ASG26:ASJ26"/>
    <mergeCell ref="ASK26:ASN26"/>
    <mergeCell ref="ASO26:ASR26"/>
    <mergeCell ref="ASS26:ASV26"/>
    <mergeCell ref="ASW26:ASZ26"/>
    <mergeCell ref="ATA26:ATD26"/>
    <mergeCell ref="ATE26:ATH26"/>
    <mergeCell ref="ATI26:ATL26"/>
    <mergeCell ref="ATM26:ATP26"/>
    <mergeCell ref="ATQ26:ATT26"/>
    <mergeCell ref="ATU26:ATX26"/>
    <mergeCell ref="ATY26:AUB26"/>
    <mergeCell ref="AUC26:AUF26"/>
    <mergeCell ref="AUG26:AUJ26"/>
    <mergeCell ref="AUK26:AUN26"/>
    <mergeCell ref="AUO26:AUR26"/>
    <mergeCell ref="AUS26:AUV26"/>
    <mergeCell ref="AUW26:AUZ26"/>
    <mergeCell ref="AVA26:AVD26"/>
    <mergeCell ref="AVE26:AVH26"/>
    <mergeCell ref="AVI26:AVL26"/>
    <mergeCell ref="AVM26:AVP26"/>
    <mergeCell ref="AVQ26:AVT26"/>
    <mergeCell ref="AVU26:AVX26"/>
    <mergeCell ref="AVY26:AWB26"/>
    <mergeCell ref="AWC26:AWF26"/>
    <mergeCell ref="AWG26:AWJ26"/>
    <mergeCell ref="AWK26:AWN26"/>
    <mergeCell ref="AWO26:AWR26"/>
    <mergeCell ref="AWS26:AWV26"/>
    <mergeCell ref="AWW26:AWZ26"/>
    <mergeCell ref="AXA26:AXD26"/>
    <mergeCell ref="AXE26:AXH26"/>
    <mergeCell ref="AXI26:AXL26"/>
    <mergeCell ref="AXM26:AXP26"/>
    <mergeCell ref="AXQ26:AXT26"/>
    <mergeCell ref="AXU26:AXX26"/>
    <mergeCell ref="AXY26:AYB26"/>
    <mergeCell ref="AYC26:AYF26"/>
    <mergeCell ref="AYG26:AYJ26"/>
    <mergeCell ref="AYK26:AYN26"/>
    <mergeCell ref="AYO26:AYR26"/>
    <mergeCell ref="AYS26:AYV26"/>
    <mergeCell ref="AYW26:AYZ26"/>
    <mergeCell ref="AZA26:AZD26"/>
    <mergeCell ref="AZE26:AZH26"/>
    <mergeCell ref="AZI26:AZL26"/>
    <mergeCell ref="AZM26:AZP26"/>
    <mergeCell ref="AZQ26:AZT26"/>
    <mergeCell ref="AZU26:AZX26"/>
    <mergeCell ref="AZY26:BAB26"/>
    <mergeCell ref="BAC26:BAF26"/>
    <mergeCell ref="BAG26:BAJ26"/>
    <mergeCell ref="BAK26:BAN26"/>
    <mergeCell ref="BAO26:BAR26"/>
    <mergeCell ref="BAS26:BAV26"/>
    <mergeCell ref="BAW26:BAZ26"/>
    <mergeCell ref="BBA26:BBD26"/>
    <mergeCell ref="BBE26:BBH26"/>
    <mergeCell ref="BBI26:BBL26"/>
    <mergeCell ref="BBM26:BBP26"/>
    <mergeCell ref="BBQ26:BBT26"/>
    <mergeCell ref="BBU26:BBX26"/>
    <mergeCell ref="BBY26:BCB26"/>
    <mergeCell ref="BCC26:BCF26"/>
    <mergeCell ref="BCG26:BCJ26"/>
    <mergeCell ref="BCK26:BCN26"/>
    <mergeCell ref="BCO26:BCR26"/>
    <mergeCell ref="BCS26:BCV26"/>
    <mergeCell ref="BCW26:BCZ26"/>
    <mergeCell ref="BDA26:BDD26"/>
    <mergeCell ref="BDE26:BDH26"/>
    <mergeCell ref="BDI26:BDL26"/>
    <mergeCell ref="BDM26:BDP26"/>
    <mergeCell ref="BDQ26:BDT26"/>
    <mergeCell ref="BDU26:BDX26"/>
    <mergeCell ref="BDY26:BEB26"/>
    <mergeCell ref="BEC26:BEF26"/>
    <mergeCell ref="BEG26:BEJ26"/>
    <mergeCell ref="BEK26:BEN26"/>
    <mergeCell ref="BEO26:BER26"/>
    <mergeCell ref="BES26:BEV26"/>
    <mergeCell ref="BEW26:BEZ26"/>
    <mergeCell ref="BFA26:BFD26"/>
    <mergeCell ref="BFE26:BFH26"/>
    <mergeCell ref="BFI26:BFL26"/>
    <mergeCell ref="BFM26:BFP26"/>
    <mergeCell ref="BFQ26:BFT26"/>
    <mergeCell ref="BFU26:BFX26"/>
    <mergeCell ref="BFY26:BGB26"/>
    <mergeCell ref="BGC26:BGF26"/>
    <mergeCell ref="BGG26:BGJ26"/>
    <mergeCell ref="BGK26:BGN26"/>
    <mergeCell ref="BGO26:BGR26"/>
    <mergeCell ref="BGS26:BGV26"/>
    <mergeCell ref="BGW26:BGZ26"/>
    <mergeCell ref="BHA26:BHD26"/>
    <mergeCell ref="BHE26:BHH26"/>
    <mergeCell ref="BHI26:BHL26"/>
    <mergeCell ref="BHM26:BHP26"/>
    <mergeCell ref="BHQ26:BHT26"/>
    <mergeCell ref="BHU26:BHX26"/>
    <mergeCell ref="BHY26:BIB26"/>
    <mergeCell ref="BIC26:BIF26"/>
    <mergeCell ref="BIG26:BIJ26"/>
    <mergeCell ref="BIK26:BIN26"/>
    <mergeCell ref="BIO26:BIR26"/>
    <mergeCell ref="BIS26:BIV26"/>
    <mergeCell ref="BIW26:BIZ26"/>
    <mergeCell ref="BJA26:BJD26"/>
    <mergeCell ref="BJE26:BJH26"/>
    <mergeCell ref="BJI26:BJL26"/>
    <mergeCell ref="BJM26:BJP26"/>
    <mergeCell ref="BJQ26:BJT26"/>
    <mergeCell ref="BJU26:BJX26"/>
    <mergeCell ref="BJY26:BKB26"/>
    <mergeCell ref="BKC26:BKF26"/>
    <mergeCell ref="BKG26:BKJ26"/>
    <mergeCell ref="BKK26:BKN26"/>
    <mergeCell ref="BKO26:BKR26"/>
    <mergeCell ref="BKS26:BKV26"/>
    <mergeCell ref="BKW26:BKZ26"/>
    <mergeCell ref="BLA26:BLD26"/>
    <mergeCell ref="BLE26:BLH26"/>
    <mergeCell ref="BLI26:BLL26"/>
    <mergeCell ref="BLM26:BLP26"/>
    <mergeCell ref="BLQ26:BLT26"/>
    <mergeCell ref="BLU26:BLX26"/>
    <mergeCell ref="BLY26:BMB26"/>
    <mergeCell ref="BMC26:BMF26"/>
    <mergeCell ref="BMG26:BMJ26"/>
    <mergeCell ref="BMK26:BMN26"/>
    <mergeCell ref="BMO26:BMR26"/>
    <mergeCell ref="BMS26:BMV26"/>
    <mergeCell ref="BMW26:BMZ26"/>
    <mergeCell ref="BNA26:BND26"/>
    <mergeCell ref="BNE26:BNH26"/>
    <mergeCell ref="BNI26:BNL26"/>
    <mergeCell ref="BNM26:BNP26"/>
    <mergeCell ref="BNQ26:BNT26"/>
    <mergeCell ref="BNU26:BNX26"/>
    <mergeCell ref="BNY26:BOB26"/>
    <mergeCell ref="BOC26:BOF26"/>
    <mergeCell ref="BOG26:BOJ26"/>
    <mergeCell ref="BOK26:BON26"/>
    <mergeCell ref="BOO26:BOR26"/>
    <mergeCell ref="BOS26:BOV26"/>
    <mergeCell ref="BOW26:BOZ26"/>
    <mergeCell ref="BPA26:BPD26"/>
    <mergeCell ref="BPE26:BPH26"/>
    <mergeCell ref="BPI26:BPL26"/>
    <mergeCell ref="BPM26:BPP26"/>
    <mergeCell ref="BPQ26:BPT26"/>
    <mergeCell ref="BPU26:BPX26"/>
    <mergeCell ref="BPY26:BQB26"/>
    <mergeCell ref="BQC26:BQF26"/>
    <mergeCell ref="BQG26:BQJ26"/>
    <mergeCell ref="BQK26:BQN26"/>
    <mergeCell ref="BQO26:BQR26"/>
    <mergeCell ref="BQS26:BQV26"/>
    <mergeCell ref="BQW26:BQZ26"/>
    <mergeCell ref="BRA26:BRD26"/>
    <mergeCell ref="BRE26:BRH26"/>
    <mergeCell ref="BRI26:BRL26"/>
    <mergeCell ref="BRM26:BRP26"/>
    <mergeCell ref="BRQ26:BRT26"/>
    <mergeCell ref="BRU26:BRX26"/>
    <mergeCell ref="BRY26:BSB26"/>
    <mergeCell ref="BSC26:BSF26"/>
    <mergeCell ref="BSG26:BSJ26"/>
    <mergeCell ref="BSK26:BSN26"/>
    <mergeCell ref="BSO26:BSR26"/>
    <mergeCell ref="BSS26:BSV26"/>
    <mergeCell ref="BSW26:BSZ26"/>
    <mergeCell ref="BTA26:BTD26"/>
    <mergeCell ref="BTE26:BTH26"/>
    <mergeCell ref="BTI26:BTL26"/>
    <mergeCell ref="BTM26:BTP26"/>
    <mergeCell ref="BTQ26:BTT26"/>
    <mergeCell ref="BTU26:BTX26"/>
    <mergeCell ref="BTY26:BUB26"/>
    <mergeCell ref="BUC26:BUF26"/>
    <mergeCell ref="BUG26:BUJ26"/>
    <mergeCell ref="BUK26:BUN26"/>
    <mergeCell ref="BUO26:BUR26"/>
    <mergeCell ref="BUS26:BUV26"/>
    <mergeCell ref="BUW26:BUZ26"/>
    <mergeCell ref="BVA26:BVD26"/>
    <mergeCell ref="BVE26:BVH26"/>
    <mergeCell ref="BVI26:BVL26"/>
    <mergeCell ref="BVM26:BVP26"/>
    <mergeCell ref="BVQ26:BVT26"/>
    <mergeCell ref="BVU26:BVX26"/>
    <mergeCell ref="BVY26:BWB26"/>
    <mergeCell ref="BWC26:BWF26"/>
    <mergeCell ref="BWG26:BWJ26"/>
    <mergeCell ref="BWK26:BWN26"/>
    <mergeCell ref="BWO26:BWR26"/>
    <mergeCell ref="BWS26:BWV26"/>
    <mergeCell ref="BWW26:BWZ26"/>
    <mergeCell ref="BXA26:BXD26"/>
    <mergeCell ref="BXE26:BXH26"/>
    <mergeCell ref="BXI26:BXL26"/>
    <mergeCell ref="BXM26:BXP26"/>
    <mergeCell ref="BXQ26:BXT26"/>
    <mergeCell ref="BXU26:BXX26"/>
    <mergeCell ref="BXY26:BYB26"/>
    <mergeCell ref="BYC26:BYF26"/>
    <mergeCell ref="BYG26:BYJ26"/>
    <mergeCell ref="BYK26:BYN26"/>
    <mergeCell ref="BYO26:BYR26"/>
    <mergeCell ref="BYS26:BYV26"/>
    <mergeCell ref="BYW26:BYZ26"/>
    <mergeCell ref="BZA26:BZD26"/>
    <mergeCell ref="BZE26:BZH26"/>
    <mergeCell ref="BZI26:BZL26"/>
    <mergeCell ref="BZM26:BZP26"/>
    <mergeCell ref="BZQ26:BZT26"/>
    <mergeCell ref="BZU26:BZX26"/>
    <mergeCell ref="BZY26:CAB26"/>
    <mergeCell ref="CAC26:CAF26"/>
    <mergeCell ref="CAG26:CAJ26"/>
    <mergeCell ref="CAK26:CAN26"/>
    <mergeCell ref="CAO26:CAR26"/>
    <mergeCell ref="CAS26:CAV26"/>
    <mergeCell ref="CAW26:CAZ26"/>
    <mergeCell ref="CBA26:CBD26"/>
    <mergeCell ref="CBE26:CBH26"/>
    <mergeCell ref="CBI26:CBL26"/>
    <mergeCell ref="CBM26:CBP26"/>
    <mergeCell ref="CBQ26:CBT26"/>
    <mergeCell ref="CBU26:CBX26"/>
    <mergeCell ref="CBY26:CCB26"/>
    <mergeCell ref="CCC26:CCF26"/>
    <mergeCell ref="CCG26:CCJ26"/>
    <mergeCell ref="CCK26:CCN26"/>
    <mergeCell ref="CCO26:CCR26"/>
    <mergeCell ref="CCS26:CCV26"/>
    <mergeCell ref="CCW26:CCZ26"/>
    <mergeCell ref="CDA26:CDD26"/>
    <mergeCell ref="CDE26:CDH26"/>
    <mergeCell ref="CDI26:CDL26"/>
    <mergeCell ref="CDM26:CDP26"/>
    <mergeCell ref="CDQ26:CDT26"/>
    <mergeCell ref="CDU26:CDX26"/>
    <mergeCell ref="CDY26:CEB26"/>
    <mergeCell ref="CEC26:CEF26"/>
    <mergeCell ref="CEG26:CEJ26"/>
    <mergeCell ref="CEK26:CEN26"/>
    <mergeCell ref="CEO26:CER26"/>
    <mergeCell ref="CES26:CEV26"/>
    <mergeCell ref="CEW26:CEZ26"/>
    <mergeCell ref="CFA26:CFD26"/>
    <mergeCell ref="CFE26:CFH26"/>
    <mergeCell ref="CFI26:CFL26"/>
    <mergeCell ref="CFM26:CFP26"/>
    <mergeCell ref="CFQ26:CFT26"/>
    <mergeCell ref="CFU26:CFX26"/>
    <mergeCell ref="CFY26:CGB26"/>
    <mergeCell ref="CGC26:CGF26"/>
    <mergeCell ref="CGG26:CGJ26"/>
    <mergeCell ref="CGK26:CGN26"/>
    <mergeCell ref="CGO26:CGR26"/>
    <mergeCell ref="CGS26:CGV26"/>
    <mergeCell ref="CGW26:CGZ26"/>
    <mergeCell ref="CHA26:CHD26"/>
    <mergeCell ref="CHE26:CHH26"/>
    <mergeCell ref="CHI26:CHL26"/>
    <mergeCell ref="CHM26:CHP26"/>
    <mergeCell ref="CHQ26:CHT26"/>
    <mergeCell ref="CHU26:CHX26"/>
    <mergeCell ref="CHY26:CIB26"/>
    <mergeCell ref="CIC26:CIF26"/>
    <mergeCell ref="CIG26:CIJ26"/>
    <mergeCell ref="CIK26:CIN26"/>
    <mergeCell ref="CIO26:CIR26"/>
    <mergeCell ref="CIS26:CIV26"/>
    <mergeCell ref="CIW26:CIZ26"/>
    <mergeCell ref="CJA26:CJD26"/>
    <mergeCell ref="CJE26:CJH26"/>
    <mergeCell ref="CJI26:CJL26"/>
    <mergeCell ref="CJM26:CJP26"/>
    <mergeCell ref="CJQ26:CJT26"/>
    <mergeCell ref="CJU26:CJX26"/>
    <mergeCell ref="CJY26:CKB26"/>
    <mergeCell ref="CKC26:CKF26"/>
    <mergeCell ref="CKG26:CKJ26"/>
    <mergeCell ref="CKK26:CKN26"/>
    <mergeCell ref="CKO26:CKR26"/>
    <mergeCell ref="CKS26:CKV26"/>
    <mergeCell ref="CKW26:CKZ26"/>
    <mergeCell ref="CLA26:CLD26"/>
    <mergeCell ref="CLE26:CLH26"/>
    <mergeCell ref="CLI26:CLL26"/>
    <mergeCell ref="CLM26:CLP26"/>
    <mergeCell ref="CLQ26:CLT26"/>
    <mergeCell ref="CLU26:CLX26"/>
    <mergeCell ref="CLY26:CMB26"/>
    <mergeCell ref="CMC26:CMF26"/>
    <mergeCell ref="CMG26:CMJ26"/>
    <mergeCell ref="CMK26:CMN26"/>
    <mergeCell ref="CMO26:CMR26"/>
    <mergeCell ref="CMS26:CMV26"/>
    <mergeCell ref="CMW26:CMZ26"/>
    <mergeCell ref="CNA26:CND26"/>
    <mergeCell ref="CNE26:CNH26"/>
    <mergeCell ref="CNI26:CNL26"/>
    <mergeCell ref="CNM26:CNP26"/>
    <mergeCell ref="CNQ26:CNT26"/>
    <mergeCell ref="CNU26:CNX26"/>
    <mergeCell ref="CNY26:COB26"/>
    <mergeCell ref="COC26:COF26"/>
    <mergeCell ref="COG26:COJ26"/>
    <mergeCell ref="COK26:CON26"/>
    <mergeCell ref="COO26:COR26"/>
    <mergeCell ref="COS26:COV26"/>
    <mergeCell ref="COW26:COZ26"/>
    <mergeCell ref="CPA26:CPD26"/>
    <mergeCell ref="CPE26:CPH26"/>
    <mergeCell ref="CPI26:CPL26"/>
    <mergeCell ref="CPM26:CPP26"/>
    <mergeCell ref="CPQ26:CPT26"/>
    <mergeCell ref="CPU26:CPX26"/>
    <mergeCell ref="CPY26:CQB26"/>
    <mergeCell ref="CQC26:CQF26"/>
    <mergeCell ref="CQG26:CQJ26"/>
    <mergeCell ref="CQK26:CQN26"/>
    <mergeCell ref="CQO26:CQR26"/>
    <mergeCell ref="CQS26:CQV26"/>
    <mergeCell ref="CQW26:CQZ26"/>
    <mergeCell ref="CRA26:CRD26"/>
    <mergeCell ref="CRE26:CRH26"/>
    <mergeCell ref="CRI26:CRL26"/>
    <mergeCell ref="CRM26:CRP26"/>
    <mergeCell ref="CRQ26:CRT26"/>
    <mergeCell ref="CRU26:CRX26"/>
    <mergeCell ref="CRY26:CSB26"/>
    <mergeCell ref="CSC26:CSF26"/>
    <mergeCell ref="CSG26:CSJ26"/>
    <mergeCell ref="CSK26:CSN26"/>
    <mergeCell ref="CSO26:CSR26"/>
    <mergeCell ref="CSS26:CSV26"/>
    <mergeCell ref="CSW26:CSZ26"/>
    <mergeCell ref="CTA26:CTD26"/>
    <mergeCell ref="CTE26:CTH26"/>
    <mergeCell ref="CTI26:CTL26"/>
    <mergeCell ref="CTM26:CTP26"/>
    <mergeCell ref="CTQ26:CTT26"/>
    <mergeCell ref="CTU26:CTX26"/>
    <mergeCell ref="CTY26:CUB26"/>
    <mergeCell ref="CUC26:CUF26"/>
    <mergeCell ref="CUG26:CUJ26"/>
    <mergeCell ref="CUK26:CUN26"/>
    <mergeCell ref="CUO26:CUR26"/>
    <mergeCell ref="CUS26:CUV26"/>
    <mergeCell ref="CUW26:CUZ26"/>
    <mergeCell ref="CVA26:CVD26"/>
    <mergeCell ref="CVE26:CVH26"/>
    <mergeCell ref="CVI26:CVL26"/>
    <mergeCell ref="CVM26:CVP26"/>
    <mergeCell ref="CVQ26:CVT26"/>
    <mergeCell ref="CVU26:CVX26"/>
    <mergeCell ref="CVY26:CWB26"/>
    <mergeCell ref="CWC26:CWF26"/>
    <mergeCell ref="CWG26:CWJ26"/>
    <mergeCell ref="CWK26:CWN26"/>
    <mergeCell ref="CWO26:CWR26"/>
    <mergeCell ref="CWS26:CWV26"/>
    <mergeCell ref="CWW26:CWZ26"/>
    <mergeCell ref="CXA26:CXD26"/>
    <mergeCell ref="CXE26:CXH26"/>
    <mergeCell ref="CXI26:CXL26"/>
    <mergeCell ref="CXM26:CXP26"/>
    <mergeCell ref="CXQ26:CXT26"/>
    <mergeCell ref="CXU26:CXX26"/>
    <mergeCell ref="CXY26:CYB26"/>
    <mergeCell ref="CYC26:CYF26"/>
    <mergeCell ref="CYG26:CYJ26"/>
    <mergeCell ref="CYK26:CYN26"/>
    <mergeCell ref="CYO26:CYR26"/>
    <mergeCell ref="CYS26:CYV26"/>
    <mergeCell ref="CYW26:CYZ26"/>
    <mergeCell ref="CZA26:CZD26"/>
    <mergeCell ref="CZE26:CZH26"/>
    <mergeCell ref="CZI26:CZL26"/>
    <mergeCell ref="CZM26:CZP26"/>
    <mergeCell ref="CZQ26:CZT26"/>
    <mergeCell ref="CZU26:CZX26"/>
    <mergeCell ref="CZY26:DAB26"/>
    <mergeCell ref="DAC26:DAF26"/>
    <mergeCell ref="DAG26:DAJ26"/>
    <mergeCell ref="DAK26:DAN26"/>
    <mergeCell ref="DAO26:DAR26"/>
    <mergeCell ref="DAS26:DAV26"/>
    <mergeCell ref="DAW26:DAZ26"/>
    <mergeCell ref="DBA26:DBD26"/>
    <mergeCell ref="DBE26:DBH26"/>
    <mergeCell ref="DBI26:DBL26"/>
    <mergeCell ref="DBM26:DBP26"/>
    <mergeCell ref="DBQ26:DBT26"/>
    <mergeCell ref="DBU26:DBX26"/>
    <mergeCell ref="DBY26:DCB26"/>
    <mergeCell ref="DCC26:DCF26"/>
    <mergeCell ref="DCG26:DCJ26"/>
    <mergeCell ref="DCK26:DCN26"/>
    <mergeCell ref="DCO26:DCR26"/>
    <mergeCell ref="DCS26:DCV26"/>
    <mergeCell ref="DCW26:DCZ26"/>
    <mergeCell ref="DDA26:DDD26"/>
    <mergeCell ref="DDE26:DDH26"/>
    <mergeCell ref="DDI26:DDL26"/>
    <mergeCell ref="DDM26:DDP26"/>
    <mergeCell ref="DDQ26:DDT26"/>
    <mergeCell ref="DDU26:DDX26"/>
    <mergeCell ref="DDY26:DEB26"/>
    <mergeCell ref="DEC26:DEF26"/>
    <mergeCell ref="DEG26:DEJ26"/>
    <mergeCell ref="DEK26:DEN26"/>
    <mergeCell ref="DEO26:DER26"/>
    <mergeCell ref="DES26:DEV26"/>
    <mergeCell ref="DEW26:DEZ26"/>
    <mergeCell ref="DFA26:DFD26"/>
    <mergeCell ref="DFE26:DFH26"/>
    <mergeCell ref="DFI26:DFL26"/>
    <mergeCell ref="DFM26:DFP26"/>
    <mergeCell ref="DFQ26:DFT26"/>
    <mergeCell ref="DFU26:DFX26"/>
    <mergeCell ref="DFY26:DGB26"/>
    <mergeCell ref="DGC26:DGF26"/>
    <mergeCell ref="DGG26:DGJ26"/>
    <mergeCell ref="DGK26:DGN26"/>
    <mergeCell ref="DGO26:DGR26"/>
    <mergeCell ref="DGS26:DGV26"/>
    <mergeCell ref="DGW26:DGZ26"/>
    <mergeCell ref="DHA26:DHD26"/>
    <mergeCell ref="DHE26:DHH26"/>
    <mergeCell ref="DHI26:DHL26"/>
    <mergeCell ref="DHM26:DHP26"/>
    <mergeCell ref="DHQ26:DHT26"/>
    <mergeCell ref="DHU26:DHX26"/>
    <mergeCell ref="DHY26:DIB26"/>
    <mergeCell ref="DIC26:DIF26"/>
    <mergeCell ref="DIG26:DIJ26"/>
    <mergeCell ref="DIK26:DIN26"/>
    <mergeCell ref="DIO26:DIR26"/>
    <mergeCell ref="DIS26:DIV26"/>
    <mergeCell ref="DIW26:DIZ26"/>
    <mergeCell ref="DJA26:DJD26"/>
    <mergeCell ref="DJE26:DJH26"/>
    <mergeCell ref="DJI26:DJL26"/>
    <mergeCell ref="DJM26:DJP26"/>
    <mergeCell ref="DJQ26:DJT26"/>
    <mergeCell ref="DJU26:DJX26"/>
    <mergeCell ref="DJY26:DKB26"/>
    <mergeCell ref="DKC26:DKF26"/>
    <mergeCell ref="DKG26:DKJ26"/>
    <mergeCell ref="DKK26:DKN26"/>
    <mergeCell ref="DKO26:DKR26"/>
    <mergeCell ref="DKS26:DKV26"/>
    <mergeCell ref="DKW26:DKZ26"/>
    <mergeCell ref="DLA26:DLD26"/>
    <mergeCell ref="DLE26:DLH26"/>
    <mergeCell ref="DLI26:DLL26"/>
    <mergeCell ref="DLM26:DLP26"/>
    <mergeCell ref="DLQ26:DLT26"/>
    <mergeCell ref="DLU26:DLX26"/>
    <mergeCell ref="DLY26:DMB26"/>
    <mergeCell ref="DMC26:DMF26"/>
    <mergeCell ref="DMG26:DMJ26"/>
    <mergeCell ref="DMK26:DMN26"/>
    <mergeCell ref="DMO26:DMR26"/>
    <mergeCell ref="DMS26:DMV26"/>
    <mergeCell ref="DMW26:DMZ26"/>
    <mergeCell ref="DNA26:DND26"/>
    <mergeCell ref="DNE26:DNH26"/>
    <mergeCell ref="DNI26:DNL26"/>
    <mergeCell ref="DNM26:DNP26"/>
    <mergeCell ref="DNQ26:DNT26"/>
    <mergeCell ref="DNU26:DNX26"/>
    <mergeCell ref="DNY26:DOB26"/>
    <mergeCell ref="DOC26:DOF26"/>
    <mergeCell ref="DOG26:DOJ26"/>
    <mergeCell ref="DOK26:DON26"/>
    <mergeCell ref="DOO26:DOR26"/>
    <mergeCell ref="DOS26:DOV26"/>
    <mergeCell ref="DOW26:DOZ26"/>
    <mergeCell ref="DPA26:DPD26"/>
    <mergeCell ref="DPE26:DPH26"/>
    <mergeCell ref="DPI26:DPL26"/>
    <mergeCell ref="DPM26:DPP26"/>
    <mergeCell ref="DPQ26:DPT26"/>
    <mergeCell ref="DPU26:DPX26"/>
    <mergeCell ref="DPY26:DQB26"/>
    <mergeCell ref="DQC26:DQF26"/>
    <mergeCell ref="DQG26:DQJ26"/>
    <mergeCell ref="DQK26:DQN26"/>
    <mergeCell ref="DQO26:DQR26"/>
    <mergeCell ref="DQS26:DQV26"/>
    <mergeCell ref="DQW26:DQZ26"/>
    <mergeCell ref="DRA26:DRD26"/>
    <mergeCell ref="DRE26:DRH26"/>
    <mergeCell ref="DRI26:DRL26"/>
    <mergeCell ref="DRM26:DRP26"/>
    <mergeCell ref="DRQ26:DRT26"/>
    <mergeCell ref="DRU26:DRX26"/>
    <mergeCell ref="DRY26:DSB26"/>
    <mergeCell ref="DSC26:DSF26"/>
    <mergeCell ref="DSG26:DSJ26"/>
    <mergeCell ref="DSK26:DSN26"/>
    <mergeCell ref="DSO26:DSR26"/>
    <mergeCell ref="DSS26:DSV26"/>
    <mergeCell ref="DSW26:DSZ26"/>
    <mergeCell ref="DTA26:DTD26"/>
    <mergeCell ref="DTE26:DTH26"/>
    <mergeCell ref="DTI26:DTL26"/>
    <mergeCell ref="DTM26:DTP26"/>
    <mergeCell ref="DTQ26:DTT26"/>
    <mergeCell ref="DTU26:DTX26"/>
    <mergeCell ref="DTY26:DUB26"/>
    <mergeCell ref="DUC26:DUF26"/>
    <mergeCell ref="DUG26:DUJ26"/>
    <mergeCell ref="DUK26:DUN26"/>
    <mergeCell ref="DUO26:DUR26"/>
    <mergeCell ref="DUS26:DUV26"/>
    <mergeCell ref="DUW26:DUZ26"/>
    <mergeCell ref="DVA26:DVD26"/>
    <mergeCell ref="DVE26:DVH26"/>
    <mergeCell ref="DVI26:DVL26"/>
    <mergeCell ref="DVM26:DVP26"/>
    <mergeCell ref="DVQ26:DVT26"/>
    <mergeCell ref="DVU26:DVX26"/>
    <mergeCell ref="DVY26:DWB26"/>
    <mergeCell ref="DWC26:DWF26"/>
    <mergeCell ref="DWG26:DWJ26"/>
    <mergeCell ref="DWK26:DWN26"/>
    <mergeCell ref="DWO26:DWR26"/>
    <mergeCell ref="DWS26:DWV26"/>
    <mergeCell ref="DWW26:DWZ26"/>
    <mergeCell ref="DXA26:DXD26"/>
    <mergeCell ref="DXE26:DXH26"/>
    <mergeCell ref="DXI26:DXL26"/>
    <mergeCell ref="DXM26:DXP26"/>
    <mergeCell ref="DXQ26:DXT26"/>
    <mergeCell ref="DXU26:DXX26"/>
    <mergeCell ref="DXY26:DYB26"/>
    <mergeCell ref="DYC26:DYF26"/>
    <mergeCell ref="DYG26:DYJ26"/>
    <mergeCell ref="DYK26:DYN26"/>
    <mergeCell ref="DYO26:DYR26"/>
    <mergeCell ref="DYS26:DYV26"/>
    <mergeCell ref="DYW26:DYZ26"/>
    <mergeCell ref="DZA26:DZD26"/>
    <mergeCell ref="DZE26:DZH26"/>
    <mergeCell ref="DZI26:DZL26"/>
    <mergeCell ref="DZM26:DZP26"/>
    <mergeCell ref="DZQ26:DZT26"/>
    <mergeCell ref="DZU26:DZX26"/>
    <mergeCell ref="DZY26:EAB26"/>
    <mergeCell ref="EAC26:EAF26"/>
    <mergeCell ref="EAG26:EAJ26"/>
    <mergeCell ref="EAK26:EAN26"/>
    <mergeCell ref="EAO26:EAR26"/>
    <mergeCell ref="EAS26:EAV26"/>
    <mergeCell ref="EAW26:EAZ26"/>
    <mergeCell ref="EBA26:EBD26"/>
    <mergeCell ref="EBE26:EBH26"/>
    <mergeCell ref="EBI26:EBL26"/>
    <mergeCell ref="EBM26:EBP26"/>
    <mergeCell ref="EBQ26:EBT26"/>
    <mergeCell ref="EBU26:EBX26"/>
    <mergeCell ref="EBY26:ECB26"/>
    <mergeCell ref="ECC26:ECF26"/>
    <mergeCell ref="ECG26:ECJ26"/>
    <mergeCell ref="ECK26:ECN26"/>
    <mergeCell ref="ECO26:ECR26"/>
    <mergeCell ref="ECS26:ECV26"/>
    <mergeCell ref="ECW26:ECZ26"/>
    <mergeCell ref="EDA26:EDD26"/>
    <mergeCell ref="EDE26:EDH26"/>
    <mergeCell ref="EDI26:EDL26"/>
    <mergeCell ref="EDM26:EDP26"/>
    <mergeCell ref="EDQ26:EDT26"/>
    <mergeCell ref="EDU26:EDX26"/>
    <mergeCell ref="EDY26:EEB26"/>
    <mergeCell ref="EEC26:EEF26"/>
    <mergeCell ref="EEG26:EEJ26"/>
    <mergeCell ref="EEK26:EEN26"/>
    <mergeCell ref="EEO26:EER26"/>
    <mergeCell ref="EES26:EEV26"/>
    <mergeCell ref="EEW26:EEZ26"/>
    <mergeCell ref="EFA26:EFD26"/>
    <mergeCell ref="EFE26:EFH26"/>
    <mergeCell ref="EFI26:EFL26"/>
    <mergeCell ref="EFM26:EFP26"/>
    <mergeCell ref="EFQ26:EFT26"/>
    <mergeCell ref="EFU26:EFX26"/>
    <mergeCell ref="EFY26:EGB26"/>
    <mergeCell ref="EGC26:EGF26"/>
    <mergeCell ref="EGG26:EGJ26"/>
    <mergeCell ref="EGK26:EGN26"/>
    <mergeCell ref="EGO26:EGR26"/>
    <mergeCell ref="EGS26:EGV26"/>
    <mergeCell ref="EGW26:EGZ26"/>
    <mergeCell ref="EHA26:EHD26"/>
    <mergeCell ref="EHE26:EHH26"/>
    <mergeCell ref="EHI26:EHL26"/>
    <mergeCell ref="EHM26:EHP26"/>
    <mergeCell ref="EHQ26:EHT26"/>
    <mergeCell ref="EHU26:EHX26"/>
    <mergeCell ref="EHY26:EIB26"/>
    <mergeCell ref="EIC26:EIF26"/>
    <mergeCell ref="EIG26:EIJ26"/>
    <mergeCell ref="EIK26:EIN26"/>
    <mergeCell ref="EIO26:EIR26"/>
    <mergeCell ref="EIS26:EIV26"/>
    <mergeCell ref="EIW26:EIZ26"/>
    <mergeCell ref="EJA26:EJD26"/>
    <mergeCell ref="EJE26:EJH26"/>
    <mergeCell ref="EJI26:EJL26"/>
    <mergeCell ref="EJM26:EJP26"/>
    <mergeCell ref="EJQ26:EJT26"/>
    <mergeCell ref="EJU26:EJX26"/>
    <mergeCell ref="EJY26:EKB26"/>
    <mergeCell ref="EKC26:EKF26"/>
    <mergeCell ref="EKG26:EKJ26"/>
    <mergeCell ref="EKK26:EKN26"/>
    <mergeCell ref="EKO26:EKR26"/>
    <mergeCell ref="EKS26:EKV26"/>
    <mergeCell ref="EKW26:EKZ26"/>
    <mergeCell ref="ELA26:ELD26"/>
    <mergeCell ref="ELE26:ELH26"/>
    <mergeCell ref="ELI26:ELL26"/>
    <mergeCell ref="ELM26:ELP26"/>
    <mergeCell ref="ELQ26:ELT26"/>
    <mergeCell ref="ELU26:ELX26"/>
    <mergeCell ref="ELY26:EMB26"/>
    <mergeCell ref="EMC26:EMF26"/>
    <mergeCell ref="EMG26:EMJ26"/>
    <mergeCell ref="EMK26:EMN26"/>
    <mergeCell ref="EMO26:EMR26"/>
    <mergeCell ref="EMS26:EMV26"/>
    <mergeCell ref="EMW26:EMZ26"/>
    <mergeCell ref="ENA26:END26"/>
    <mergeCell ref="ENE26:ENH26"/>
    <mergeCell ref="ENI26:ENL26"/>
    <mergeCell ref="ENM26:ENP26"/>
    <mergeCell ref="ENQ26:ENT26"/>
    <mergeCell ref="ENU26:ENX26"/>
    <mergeCell ref="ENY26:EOB26"/>
    <mergeCell ref="EOC26:EOF26"/>
    <mergeCell ref="EOG26:EOJ26"/>
    <mergeCell ref="EOK26:EON26"/>
    <mergeCell ref="EOO26:EOR26"/>
    <mergeCell ref="EOS26:EOV26"/>
    <mergeCell ref="EOW26:EOZ26"/>
    <mergeCell ref="EPA26:EPD26"/>
    <mergeCell ref="EPE26:EPH26"/>
    <mergeCell ref="EPI26:EPL26"/>
    <mergeCell ref="EPM26:EPP26"/>
    <mergeCell ref="EPQ26:EPT26"/>
    <mergeCell ref="EPU26:EPX26"/>
    <mergeCell ref="EPY26:EQB26"/>
    <mergeCell ref="EQC26:EQF26"/>
    <mergeCell ref="EQG26:EQJ26"/>
    <mergeCell ref="EQK26:EQN26"/>
    <mergeCell ref="EQO26:EQR26"/>
    <mergeCell ref="EQS26:EQV26"/>
    <mergeCell ref="EQW26:EQZ26"/>
    <mergeCell ref="ERA26:ERD26"/>
    <mergeCell ref="ERE26:ERH26"/>
    <mergeCell ref="ERI26:ERL26"/>
    <mergeCell ref="ERM26:ERP26"/>
    <mergeCell ref="ERQ26:ERT26"/>
    <mergeCell ref="ERU26:ERX26"/>
    <mergeCell ref="ERY26:ESB26"/>
    <mergeCell ref="ESC26:ESF26"/>
    <mergeCell ref="ESG26:ESJ26"/>
    <mergeCell ref="ESK26:ESN26"/>
    <mergeCell ref="ESO26:ESR26"/>
    <mergeCell ref="ESS26:ESV26"/>
    <mergeCell ref="ESW26:ESZ26"/>
    <mergeCell ref="ETA26:ETD26"/>
    <mergeCell ref="ETE26:ETH26"/>
    <mergeCell ref="ETI26:ETL26"/>
    <mergeCell ref="ETM26:ETP26"/>
    <mergeCell ref="ETQ26:ETT26"/>
    <mergeCell ref="ETU26:ETX26"/>
    <mergeCell ref="ETY26:EUB26"/>
    <mergeCell ref="EUC26:EUF26"/>
    <mergeCell ref="EUG26:EUJ26"/>
    <mergeCell ref="EUK26:EUN26"/>
    <mergeCell ref="EUO26:EUR26"/>
    <mergeCell ref="EUS26:EUV26"/>
    <mergeCell ref="EUW26:EUZ26"/>
    <mergeCell ref="EVA26:EVD26"/>
    <mergeCell ref="EVE26:EVH26"/>
    <mergeCell ref="EVI26:EVL26"/>
    <mergeCell ref="EVM26:EVP26"/>
    <mergeCell ref="EVQ26:EVT26"/>
    <mergeCell ref="EVU26:EVX26"/>
    <mergeCell ref="EVY26:EWB26"/>
    <mergeCell ref="EWC26:EWF26"/>
    <mergeCell ref="EWG26:EWJ26"/>
    <mergeCell ref="EWK26:EWN26"/>
    <mergeCell ref="EWO26:EWR26"/>
    <mergeCell ref="EWS26:EWV26"/>
    <mergeCell ref="EWW26:EWZ26"/>
    <mergeCell ref="EXA26:EXD26"/>
    <mergeCell ref="EXE26:EXH26"/>
    <mergeCell ref="EXI26:EXL26"/>
    <mergeCell ref="EXM26:EXP26"/>
    <mergeCell ref="EXQ26:EXT26"/>
    <mergeCell ref="EXU26:EXX26"/>
    <mergeCell ref="EXY26:EYB26"/>
    <mergeCell ref="EYC26:EYF26"/>
    <mergeCell ref="EYG26:EYJ26"/>
    <mergeCell ref="EYK26:EYN26"/>
    <mergeCell ref="EYO26:EYR26"/>
    <mergeCell ref="EYS26:EYV26"/>
    <mergeCell ref="EYW26:EYZ26"/>
    <mergeCell ref="EZA26:EZD26"/>
    <mergeCell ref="EZE26:EZH26"/>
    <mergeCell ref="EZI26:EZL26"/>
    <mergeCell ref="EZM26:EZP26"/>
    <mergeCell ref="EZQ26:EZT26"/>
    <mergeCell ref="EZU26:EZX26"/>
    <mergeCell ref="EZY26:FAB26"/>
    <mergeCell ref="FAC26:FAF26"/>
    <mergeCell ref="FAG26:FAJ26"/>
    <mergeCell ref="FAK26:FAN26"/>
    <mergeCell ref="FAO26:FAR26"/>
    <mergeCell ref="FAS26:FAV26"/>
    <mergeCell ref="FAW26:FAZ26"/>
    <mergeCell ref="FBA26:FBD26"/>
    <mergeCell ref="FBE26:FBH26"/>
    <mergeCell ref="FBI26:FBL26"/>
    <mergeCell ref="FBM26:FBP26"/>
    <mergeCell ref="FBQ26:FBT26"/>
    <mergeCell ref="FBU26:FBX26"/>
    <mergeCell ref="FBY26:FCB26"/>
    <mergeCell ref="FCC26:FCF26"/>
    <mergeCell ref="FCG26:FCJ26"/>
    <mergeCell ref="FCK26:FCN26"/>
    <mergeCell ref="FCO26:FCR26"/>
    <mergeCell ref="FCS26:FCV26"/>
    <mergeCell ref="FCW26:FCZ26"/>
    <mergeCell ref="FDA26:FDD26"/>
    <mergeCell ref="FDE26:FDH26"/>
    <mergeCell ref="FDI26:FDL26"/>
    <mergeCell ref="FDM26:FDP26"/>
    <mergeCell ref="FDQ26:FDT26"/>
    <mergeCell ref="FDU26:FDX26"/>
    <mergeCell ref="FDY26:FEB26"/>
    <mergeCell ref="FEC26:FEF26"/>
    <mergeCell ref="FEG26:FEJ26"/>
    <mergeCell ref="FEK26:FEN26"/>
    <mergeCell ref="FEO26:FER26"/>
    <mergeCell ref="FES26:FEV26"/>
    <mergeCell ref="FEW26:FEZ26"/>
    <mergeCell ref="FFA26:FFD26"/>
    <mergeCell ref="FFE26:FFH26"/>
    <mergeCell ref="FFI26:FFL26"/>
    <mergeCell ref="FFM26:FFP26"/>
    <mergeCell ref="FFQ26:FFT26"/>
    <mergeCell ref="FFU26:FFX26"/>
    <mergeCell ref="FFY26:FGB26"/>
    <mergeCell ref="FGC26:FGF26"/>
    <mergeCell ref="FGG26:FGJ26"/>
    <mergeCell ref="FGK26:FGN26"/>
    <mergeCell ref="FGO26:FGR26"/>
    <mergeCell ref="FGS26:FGV26"/>
    <mergeCell ref="FGW26:FGZ26"/>
    <mergeCell ref="FHA26:FHD26"/>
    <mergeCell ref="FHE26:FHH26"/>
    <mergeCell ref="FHI26:FHL26"/>
    <mergeCell ref="FHM26:FHP26"/>
    <mergeCell ref="FHQ26:FHT26"/>
    <mergeCell ref="FHU26:FHX26"/>
    <mergeCell ref="FHY26:FIB26"/>
    <mergeCell ref="FIC26:FIF26"/>
    <mergeCell ref="FIG26:FIJ26"/>
    <mergeCell ref="FIK26:FIN26"/>
    <mergeCell ref="FIO26:FIR26"/>
    <mergeCell ref="FIS26:FIV26"/>
    <mergeCell ref="FIW26:FIZ26"/>
    <mergeCell ref="FJA26:FJD26"/>
    <mergeCell ref="FJE26:FJH26"/>
    <mergeCell ref="FJI26:FJL26"/>
    <mergeCell ref="FJM26:FJP26"/>
    <mergeCell ref="FJQ26:FJT26"/>
    <mergeCell ref="FJU26:FJX26"/>
    <mergeCell ref="FJY26:FKB26"/>
    <mergeCell ref="FKC26:FKF26"/>
    <mergeCell ref="FKG26:FKJ26"/>
    <mergeCell ref="FKK26:FKN26"/>
    <mergeCell ref="FKO26:FKR26"/>
    <mergeCell ref="FKS26:FKV26"/>
    <mergeCell ref="FKW26:FKZ26"/>
    <mergeCell ref="FLA26:FLD26"/>
    <mergeCell ref="FLE26:FLH26"/>
    <mergeCell ref="FLI26:FLL26"/>
    <mergeCell ref="FLM26:FLP26"/>
    <mergeCell ref="FLQ26:FLT26"/>
    <mergeCell ref="FLU26:FLX26"/>
    <mergeCell ref="FLY26:FMB26"/>
    <mergeCell ref="FMC26:FMF26"/>
    <mergeCell ref="FMG26:FMJ26"/>
    <mergeCell ref="FMK26:FMN26"/>
    <mergeCell ref="FMO26:FMR26"/>
    <mergeCell ref="FMS26:FMV26"/>
    <mergeCell ref="FMW26:FMZ26"/>
    <mergeCell ref="FNA26:FND26"/>
    <mergeCell ref="FNE26:FNH26"/>
    <mergeCell ref="FNI26:FNL26"/>
    <mergeCell ref="FNM26:FNP26"/>
    <mergeCell ref="FNQ26:FNT26"/>
    <mergeCell ref="FNU26:FNX26"/>
    <mergeCell ref="FNY26:FOB26"/>
    <mergeCell ref="FOC26:FOF26"/>
    <mergeCell ref="FOG26:FOJ26"/>
    <mergeCell ref="FOK26:FON26"/>
    <mergeCell ref="FOO26:FOR26"/>
    <mergeCell ref="FOS26:FOV26"/>
    <mergeCell ref="FOW26:FOZ26"/>
    <mergeCell ref="FPA26:FPD26"/>
    <mergeCell ref="FPE26:FPH26"/>
    <mergeCell ref="FPI26:FPL26"/>
    <mergeCell ref="FPM26:FPP26"/>
    <mergeCell ref="FPQ26:FPT26"/>
    <mergeCell ref="FPU26:FPX26"/>
    <mergeCell ref="FPY26:FQB26"/>
    <mergeCell ref="FQC26:FQF26"/>
    <mergeCell ref="FQG26:FQJ26"/>
    <mergeCell ref="FQK26:FQN26"/>
    <mergeCell ref="FQO26:FQR26"/>
    <mergeCell ref="FQS26:FQV26"/>
    <mergeCell ref="FQW26:FQZ26"/>
    <mergeCell ref="FRA26:FRD26"/>
    <mergeCell ref="FRE26:FRH26"/>
    <mergeCell ref="FRI26:FRL26"/>
    <mergeCell ref="FRM26:FRP26"/>
    <mergeCell ref="FRQ26:FRT26"/>
    <mergeCell ref="FRU26:FRX26"/>
    <mergeCell ref="FRY26:FSB26"/>
    <mergeCell ref="FSC26:FSF26"/>
    <mergeCell ref="FSG26:FSJ26"/>
    <mergeCell ref="FSK26:FSN26"/>
    <mergeCell ref="FSO26:FSR26"/>
    <mergeCell ref="FSS26:FSV26"/>
    <mergeCell ref="FSW26:FSZ26"/>
    <mergeCell ref="FTA26:FTD26"/>
    <mergeCell ref="FTE26:FTH26"/>
    <mergeCell ref="FTI26:FTL26"/>
    <mergeCell ref="FTM26:FTP26"/>
    <mergeCell ref="FTQ26:FTT26"/>
    <mergeCell ref="FTU26:FTX26"/>
    <mergeCell ref="FTY26:FUB26"/>
    <mergeCell ref="FUC26:FUF26"/>
    <mergeCell ref="FUG26:FUJ26"/>
    <mergeCell ref="FUK26:FUN26"/>
    <mergeCell ref="FUO26:FUR26"/>
    <mergeCell ref="FUS26:FUV26"/>
    <mergeCell ref="FUW26:FUZ26"/>
    <mergeCell ref="FVA26:FVD26"/>
    <mergeCell ref="FVE26:FVH26"/>
    <mergeCell ref="FVI26:FVL26"/>
    <mergeCell ref="FVM26:FVP26"/>
    <mergeCell ref="FVQ26:FVT26"/>
    <mergeCell ref="FVU26:FVX26"/>
    <mergeCell ref="FVY26:FWB26"/>
    <mergeCell ref="FWC26:FWF26"/>
    <mergeCell ref="FWG26:FWJ26"/>
    <mergeCell ref="FWK26:FWN26"/>
    <mergeCell ref="FWO26:FWR26"/>
    <mergeCell ref="FWS26:FWV26"/>
    <mergeCell ref="FWW26:FWZ26"/>
    <mergeCell ref="FXA26:FXD26"/>
    <mergeCell ref="FXE26:FXH26"/>
    <mergeCell ref="FXI26:FXL26"/>
    <mergeCell ref="FXM26:FXP26"/>
    <mergeCell ref="FXQ26:FXT26"/>
    <mergeCell ref="FXU26:FXX26"/>
    <mergeCell ref="FXY26:FYB26"/>
    <mergeCell ref="FYC26:FYF26"/>
    <mergeCell ref="FYG26:FYJ26"/>
    <mergeCell ref="FYK26:FYN26"/>
    <mergeCell ref="FYO26:FYR26"/>
    <mergeCell ref="FYS26:FYV26"/>
    <mergeCell ref="FYW26:FYZ26"/>
    <mergeCell ref="FZA26:FZD26"/>
    <mergeCell ref="FZE26:FZH26"/>
    <mergeCell ref="FZI26:FZL26"/>
    <mergeCell ref="FZM26:FZP26"/>
    <mergeCell ref="FZQ26:FZT26"/>
    <mergeCell ref="FZU26:FZX26"/>
    <mergeCell ref="FZY26:GAB26"/>
    <mergeCell ref="GAC26:GAF26"/>
    <mergeCell ref="GAG26:GAJ26"/>
    <mergeCell ref="GAK26:GAN26"/>
    <mergeCell ref="GAO26:GAR26"/>
    <mergeCell ref="GAS26:GAV26"/>
    <mergeCell ref="GAW26:GAZ26"/>
    <mergeCell ref="GBA26:GBD26"/>
    <mergeCell ref="GBE26:GBH26"/>
    <mergeCell ref="GBI26:GBL26"/>
    <mergeCell ref="GBM26:GBP26"/>
    <mergeCell ref="GBQ26:GBT26"/>
    <mergeCell ref="GBU26:GBX26"/>
    <mergeCell ref="GBY26:GCB26"/>
    <mergeCell ref="GCC26:GCF26"/>
    <mergeCell ref="GCG26:GCJ26"/>
    <mergeCell ref="GCK26:GCN26"/>
    <mergeCell ref="GCO26:GCR26"/>
    <mergeCell ref="GCS26:GCV26"/>
    <mergeCell ref="GCW26:GCZ26"/>
    <mergeCell ref="GDA26:GDD26"/>
    <mergeCell ref="GDE26:GDH26"/>
    <mergeCell ref="GDI26:GDL26"/>
    <mergeCell ref="GDM26:GDP26"/>
    <mergeCell ref="GDQ26:GDT26"/>
    <mergeCell ref="GDU26:GDX26"/>
    <mergeCell ref="GDY26:GEB26"/>
    <mergeCell ref="GEC26:GEF26"/>
    <mergeCell ref="GEG26:GEJ26"/>
    <mergeCell ref="GEK26:GEN26"/>
    <mergeCell ref="GEO26:GER26"/>
    <mergeCell ref="GES26:GEV26"/>
    <mergeCell ref="GEW26:GEZ26"/>
    <mergeCell ref="GFA26:GFD26"/>
    <mergeCell ref="GFE26:GFH26"/>
    <mergeCell ref="GFI26:GFL26"/>
    <mergeCell ref="GFM26:GFP26"/>
    <mergeCell ref="GFQ26:GFT26"/>
    <mergeCell ref="GFU26:GFX26"/>
    <mergeCell ref="GFY26:GGB26"/>
    <mergeCell ref="GGC26:GGF26"/>
    <mergeCell ref="GGG26:GGJ26"/>
    <mergeCell ref="GGK26:GGN26"/>
    <mergeCell ref="GGO26:GGR26"/>
    <mergeCell ref="GGS26:GGV26"/>
    <mergeCell ref="GGW26:GGZ26"/>
    <mergeCell ref="GHA26:GHD26"/>
    <mergeCell ref="GHE26:GHH26"/>
    <mergeCell ref="GHI26:GHL26"/>
    <mergeCell ref="GHM26:GHP26"/>
    <mergeCell ref="GHQ26:GHT26"/>
    <mergeCell ref="GHU26:GHX26"/>
    <mergeCell ref="GHY26:GIB26"/>
    <mergeCell ref="GIC26:GIF26"/>
    <mergeCell ref="GIG26:GIJ26"/>
    <mergeCell ref="GIK26:GIN26"/>
    <mergeCell ref="GIO26:GIR26"/>
    <mergeCell ref="GIS26:GIV26"/>
    <mergeCell ref="GIW26:GIZ26"/>
    <mergeCell ref="GJA26:GJD26"/>
    <mergeCell ref="GJE26:GJH26"/>
    <mergeCell ref="GJI26:GJL26"/>
    <mergeCell ref="GJM26:GJP26"/>
    <mergeCell ref="GJQ26:GJT26"/>
    <mergeCell ref="GJU26:GJX26"/>
    <mergeCell ref="GJY26:GKB26"/>
    <mergeCell ref="GKC26:GKF26"/>
    <mergeCell ref="GKG26:GKJ26"/>
    <mergeCell ref="GKK26:GKN26"/>
    <mergeCell ref="GKO26:GKR26"/>
    <mergeCell ref="GKS26:GKV26"/>
    <mergeCell ref="GKW26:GKZ26"/>
    <mergeCell ref="GLA26:GLD26"/>
    <mergeCell ref="GLE26:GLH26"/>
    <mergeCell ref="GLI26:GLL26"/>
    <mergeCell ref="GLM26:GLP26"/>
    <mergeCell ref="GLQ26:GLT26"/>
    <mergeCell ref="GLU26:GLX26"/>
    <mergeCell ref="GLY26:GMB26"/>
    <mergeCell ref="GMC26:GMF26"/>
    <mergeCell ref="GMG26:GMJ26"/>
    <mergeCell ref="GMK26:GMN26"/>
    <mergeCell ref="GMO26:GMR26"/>
    <mergeCell ref="GMS26:GMV26"/>
    <mergeCell ref="GMW26:GMZ26"/>
    <mergeCell ref="GNA26:GND26"/>
    <mergeCell ref="GNE26:GNH26"/>
    <mergeCell ref="GNI26:GNL26"/>
    <mergeCell ref="GNM26:GNP26"/>
    <mergeCell ref="GNQ26:GNT26"/>
    <mergeCell ref="GNU26:GNX26"/>
    <mergeCell ref="GNY26:GOB26"/>
    <mergeCell ref="GOC26:GOF26"/>
    <mergeCell ref="GOG26:GOJ26"/>
    <mergeCell ref="GOK26:GON26"/>
    <mergeCell ref="GOO26:GOR26"/>
    <mergeCell ref="GOS26:GOV26"/>
    <mergeCell ref="GOW26:GOZ26"/>
    <mergeCell ref="GPA26:GPD26"/>
    <mergeCell ref="GPE26:GPH26"/>
    <mergeCell ref="GPI26:GPL26"/>
    <mergeCell ref="GPM26:GPP26"/>
    <mergeCell ref="GPQ26:GPT26"/>
    <mergeCell ref="GPU26:GPX26"/>
    <mergeCell ref="GPY26:GQB26"/>
    <mergeCell ref="GQC26:GQF26"/>
    <mergeCell ref="GQG26:GQJ26"/>
    <mergeCell ref="GQK26:GQN26"/>
    <mergeCell ref="GQO26:GQR26"/>
    <mergeCell ref="GQS26:GQV26"/>
    <mergeCell ref="GQW26:GQZ26"/>
    <mergeCell ref="GRA26:GRD26"/>
    <mergeCell ref="GRE26:GRH26"/>
    <mergeCell ref="GRI26:GRL26"/>
    <mergeCell ref="GRM26:GRP26"/>
    <mergeCell ref="GRQ26:GRT26"/>
    <mergeCell ref="GRU26:GRX26"/>
    <mergeCell ref="GRY26:GSB26"/>
    <mergeCell ref="GSC26:GSF26"/>
    <mergeCell ref="GSG26:GSJ26"/>
    <mergeCell ref="GSK26:GSN26"/>
    <mergeCell ref="GSO26:GSR26"/>
    <mergeCell ref="GSS26:GSV26"/>
    <mergeCell ref="GSW26:GSZ26"/>
    <mergeCell ref="GTA26:GTD26"/>
    <mergeCell ref="GTE26:GTH26"/>
    <mergeCell ref="GTI26:GTL26"/>
    <mergeCell ref="GTM26:GTP26"/>
    <mergeCell ref="GTQ26:GTT26"/>
    <mergeCell ref="GTU26:GTX26"/>
    <mergeCell ref="GTY26:GUB26"/>
    <mergeCell ref="GUC26:GUF26"/>
    <mergeCell ref="GUG26:GUJ26"/>
    <mergeCell ref="GUK26:GUN26"/>
    <mergeCell ref="GUO26:GUR26"/>
    <mergeCell ref="GUS26:GUV26"/>
    <mergeCell ref="GUW26:GUZ26"/>
    <mergeCell ref="GVA26:GVD26"/>
    <mergeCell ref="GVE26:GVH26"/>
    <mergeCell ref="GVI26:GVL26"/>
    <mergeCell ref="GVM26:GVP26"/>
    <mergeCell ref="GVQ26:GVT26"/>
    <mergeCell ref="GVU26:GVX26"/>
    <mergeCell ref="GVY26:GWB26"/>
    <mergeCell ref="GWC26:GWF26"/>
    <mergeCell ref="GWG26:GWJ26"/>
    <mergeCell ref="GWK26:GWN26"/>
    <mergeCell ref="GWO26:GWR26"/>
    <mergeCell ref="GWS26:GWV26"/>
    <mergeCell ref="GWW26:GWZ26"/>
    <mergeCell ref="GXA26:GXD26"/>
    <mergeCell ref="GXE26:GXH26"/>
    <mergeCell ref="GXI26:GXL26"/>
    <mergeCell ref="GXM26:GXP26"/>
    <mergeCell ref="GXQ26:GXT26"/>
    <mergeCell ref="GXU26:GXX26"/>
    <mergeCell ref="GXY26:GYB26"/>
    <mergeCell ref="GYC26:GYF26"/>
    <mergeCell ref="GYG26:GYJ26"/>
    <mergeCell ref="GYK26:GYN26"/>
    <mergeCell ref="GYO26:GYR26"/>
    <mergeCell ref="GYS26:GYV26"/>
    <mergeCell ref="GYW26:GYZ26"/>
    <mergeCell ref="GZA26:GZD26"/>
    <mergeCell ref="GZE26:GZH26"/>
    <mergeCell ref="GZI26:GZL26"/>
    <mergeCell ref="GZM26:GZP26"/>
    <mergeCell ref="GZQ26:GZT26"/>
    <mergeCell ref="GZU26:GZX26"/>
    <mergeCell ref="GZY26:HAB26"/>
    <mergeCell ref="HAC26:HAF26"/>
    <mergeCell ref="HAG26:HAJ26"/>
    <mergeCell ref="HAK26:HAN26"/>
    <mergeCell ref="HAO26:HAR26"/>
    <mergeCell ref="HAS26:HAV26"/>
    <mergeCell ref="HAW26:HAZ26"/>
    <mergeCell ref="HBA26:HBD26"/>
    <mergeCell ref="HBE26:HBH26"/>
    <mergeCell ref="HBI26:HBL26"/>
    <mergeCell ref="HBM26:HBP26"/>
    <mergeCell ref="HBQ26:HBT26"/>
    <mergeCell ref="HBU26:HBX26"/>
    <mergeCell ref="HBY26:HCB26"/>
    <mergeCell ref="HCC26:HCF26"/>
    <mergeCell ref="HCG26:HCJ26"/>
    <mergeCell ref="HCK26:HCN26"/>
    <mergeCell ref="HCO26:HCR26"/>
    <mergeCell ref="HCS26:HCV26"/>
    <mergeCell ref="HCW26:HCZ26"/>
    <mergeCell ref="HDA26:HDD26"/>
    <mergeCell ref="HDE26:HDH26"/>
    <mergeCell ref="HDI26:HDL26"/>
    <mergeCell ref="HDM26:HDP26"/>
    <mergeCell ref="HDQ26:HDT26"/>
    <mergeCell ref="HDU26:HDX26"/>
    <mergeCell ref="HDY26:HEB26"/>
    <mergeCell ref="HEC26:HEF26"/>
    <mergeCell ref="HEG26:HEJ26"/>
    <mergeCell ref="HEK26:HEN26"/>
    <mergeCell ref="HEO26:HER26"/>
    <mergeCell ref="HES26:HEV26"/>
    <mergeCell ref="HEW26:HEZ26"/>
    <mergeCell ref="HFA26:HFD26"/>
    <mergeCell ref="HFE26:HFH26"/>
    <mergeCell ref="HFI26:HFL26"/>
    <mergeCell ref="HFM26:HFP26"/>
    <mergeCell ref="HFQ26:HFT26"/>
    <mergeCell ref="HFU26:HFX26"/>
    <mergeCell ref="HFY26:HGB26"/>
    <mergeCell ref="HGC26:HGF26"/>
    <mergeCell ref="HGG26:HGJ26"/>
    <mergeCell ref="HGK26:HGN26"/>
    <mergeCell ref="HGO26:HGR26"/>
    <mergeCell ref="HGS26:HGV26"/>
    <mergeCell ref="HGW26:HGZ26"/>
    <mergeCell ref="HHA26:HHD26"/>
    <mergeCell ref="HHE26:HHH26"/>
    <mergeCell ref="HHI26:HHL26"/>
    <mergeCell ref="HHM26:HHP26"/>
    <mergeCell ref="HHQ26:HHT26"/>
    <mergeCell ref="HHU26:HHX26"/>
    <mergeCell ref="HHY26:HIB26"/>
    <mergeCell ref="HIC26:HIF26"/>
    <mergeCell ref="HIG26:HIJ26"/>
    <mergeCell ref="HIK26:HIN26"/>
    <mergeCell ref="HIO26:HIR26"/>
    <mergeCell ref="HIS26:HIV26"/>
    <mergeCell ref="HIW26:HIZ26"/>
    <mergeCell ref="HJA26:HJD26"/>
    <mergeCell ref="HJE26:HJH26"/>
    <mergeCell ref="HJI26:HJL26"/>
    <mergeCell ref="HJM26:HJP26"/>
    <mergeCell ref="HJQ26:HJT26"/>
    <mergeCell ref="HJU26:HJX26"/>
    <mergeCell ref="HJY26:HKB26"/>
    <mergeCell ref="HKC26:HKF26"/>
    <mergeCell ref="HKG26:HKJ26"/>
    <mergeCell ref="HKK26:HKN26"/>
    <mergeCell ref="HKO26:HKR26"/>
    <mergeCell ref="HKS26:HKV26"/>
    <mergeCell ref="HKW26:HKZ26"/>
    <mergeCell ref="HLA26:HLD26"/>
    <mergeCell ref="HLE26:HLH26"/>
    <mergeCell ref="HLI26:HLL26"/>
    <mergeCell ref="HLM26:HLP26"/>
    <mergeCell ref="HLQ26:HLT26"/>
    <mergeCell ref="HLU26:HLX26"/>
    <mergeCell ref="HLY26:HMB26"/>
    <mergeCell ref="HMC26:HMF26"/>
    <mergeCell ref="HMG26:HMJ26"/>
    <mergeCell ref="HMK26:HMN26"/>
    <mergeCell ref="HMO26:HMR26"/>
    <mergeCell ref="HMS26:HMV26"/>
    <mergeCell ref="HMW26:HMZ26"/>
    <mergeCell ref="HNA26:HND26"/>
    <mergeCell ref="HNE26:HNH26"/>
    <mergeCell ref="HNI26:HNL26"/>
    <mergeCell ref="HNM26:HNP26"/>
    <mergeCell ref="HNQ26:HNT26"/>
    <mergeCell ref="HNU26:HNX26"/>
    <mergeCell ref="HNY26:HOB26"/>
    <mergeCell ref="HOC26:HOF26"/>
    <mergeCell ref="HOG26:HOJ26"/>
    <mergeCell ref="HOK26:HON26"/>
    <mergeCell ref="HOO26:HOR26"/>
    <mergeCell ref="HOS26:HOV26"/>
    <mergeCell ref="HOW26:HOZ26"/>
    <mergeCell ref="HPA26:HPD26"/>
    <mergeCell ref="HPE26:HPH26"/>
    <mergeCell ref="HPI26:HPL26"/>
    <mergeCell ref="HPM26:HPP26"/>
    <mergeCell ref="HPQ26:HPT26"/>
    <mergeCell ref="HPU26:HPX26"/>
    <mergeCell ref="HPY26:HQB26"/>
    <mergeCell ref="HQC26:HQF26"/>
    <mergeCell ref="HQG26:HQJ26"/>
    <mergeCell ref="HQK26:HQN26"/>
    <mergeCell ref="HQO26:HQR26"/>
    <mergeCell ref="HQS26:HQV26"/>
    <mergeCell ref="HQW26:HQZ26"/>
    <mergeCell ref="HRA26:HRD26"/>
    <mergeCell ref="HRE26:HRH26"/>
    <mergeCell ref="HRI26:HRL26"/>
    <mergeCell ref="HRM26:HRP26"/>
    <mergeCell ref="HRQ26:HRT26"/>
    <mergeCell ref="HRU26:HRX26"/>
    <mergeCell ref="HRY26:HSB26"/>
    <mergeCell ref="HSC26:HSF26"/>
    <mergeCell ref="HSG26:HSJ26"/>
    <mergeCell ref="HSK26:HSN26"/>
    <mergeCell ref="HSO26:HSR26"/>
    <mergeCell ref="HSS26:HSV26"/>
    <mergeCell ref="HSW26:HSZ26"/>
    <mergeCell ref="HTA26:HTD26"/>
    <mergeCell ref="HTE26:HTH26"/>
    <mergeCell ref="HTI26:HTL26"/>
    <mergeCell ref="HTM26:HTP26"/>
    <mergeCell ref="HTQ26:HTT26"/>
    <mergeCell ref="HTU26:HTX26"/>
    <mergeCell ref="HTY26:HUB26"/>
    <mergeCell ref="HUC26:HUF26"/>
    <mergeCell ref="HUG26:HUJ26"/>
    <mergeCell ref="HUK26:HUN26"/>
    <mergeCell ref="HUO26:HUR26"/>
    <mergeCell ref="HUS26:HUV26"/>
    <mergeCell ref="HUW26:HUZ26"/>
    <mergeCell ref="HVA26:HVD26"/>
    <mergeCell ref="HVE26:HVH26"/>
    <mergeCell ref="HVI26:HVL26"/>
    <mergeCell ref="HVM26:HVP26"/>
    <mergeCell ref="HVQ26:HVT26"/>
    <mergeCell ref="HVU26:HVX26"/>
    <mergeCell ref="HVY26:HWB26"/>
    <mergeCell ref="HWC26:HWF26"/>
    <mergeCell ref="HWG26:HWJ26"/>
    <mergeCell ref="HWK26:HWN26"/>
    <mergeCell ref="HWO26:HWR26"/>
    <mergeCell ref="HWS26:HWV26"/>
    <mergeCell ref="HWW26:HWZ26"/>
    <mergeCell ref="HXA26:HXD26"/>
    <mergeCell ref="HXE26:HXH26"/>
    <mergeCell ref="HXI26:HXL26"/>
    <mergeCell ref="HXM26:HXP26"/>
    <mergeCell ref="HXQ26:HXT26"/>
    <mergeCell ref="HXU26:HXX26"/>
    <mergeCell ref="HXY26:HYB26"/>
    <mergeCell ref="HYC26:HYF26"/>
    <mergeCell ref="HYG26:HYJ26"/>
    <mergeCell ref="HYK26:HYN26"/>
    <mergeCell ref="HYO26:HYR26"/>
    <mergeCell ref="HYS26:HYV26"/>
    <mergeCell ref="HYW26:HYZ26"/>
    <mergeCell ref="HZA26:HZD26"/>
    <mergeCell ref="HZE26:HZH26"/>
    <mergeCell ref="HZI26:HZL26"/>
    <mergeCell ref="HZM26:HZP26"/>
    <mergeCell ref="HZQ26:HZT26"/>
    <mergeCell ref="HZU26:HZX26"/>
    <mergeCell ref="HZY26:IAB26"/>
    <mergeCell ref="IAC26:IAF26"/>
    <mergeCell ref="IAG26:IAJ26"/>
    <mergeCell ref="IAK26:IAN26"/>
    <mergeCell ref="IAO26:IAR26"/>
    <mergeCell ref="IAS26:IAV26"/>
    <mergeCell ref="IAW26:IAZ26"/>
    <mergeCell ref="IBA26:IBD26"/>
    <mergeCell ref="IBE26:IBH26"/>
    <mergeCell ref="IBI26:IBL26"/>
    <mergeCell ref="IBM26:IBP26"/>
    <mergeCell ref="IBQ26:IBT26"/>
    <mergeCell ref="IBU26:IBX26"/>
    <mergeCell ref="IBY26:ICB26"/>
    <mergeCell ref="ICC26:ICF26"/>
    <mergeCell ref="ICG26:ICJ26"/>
    <mergeCell ref="ICK26:ICN26"/>
    <mergeCell ref="ICO26:ICR26"/>
    <mergeCell ref="ICS26:ICV26"/>
    <mergeCell ref="ICW26:ICZ26"/>
    <mergeCell ref="IDA26:IDD26"/>
    <mergeCell ref="IDE26:IDH26"/>
    <mergeCell ref="IDI26:IDL26"/>
    <mergeCell ref="IDM26:IDP26"/>
    <mergeCell ref="IDQ26:IDT26"/>
    <mergeCell ref="IDU26:IDX26"/>
    <mergeCell ref="IDY26:IEB26"/>
    <mergeCell ref="IEC26:IEF26"/>
    <mergeCell ref="IEG26:IEJ26"/>
    <mergeCell ref="IEK26:IEN26"/>
    <mergeCell ref="IEO26:IER26"/>
    <mergeCell ref="IES26:IEV26"/>
    <mergeCell ref="IEW26:IEZ26"/>
    <mergeCell ref="IFA26:IFD26"/>
    <mergeCell ref="IFE26:IFH26"/>
    <mergeCell ref="IFI26:IFL26"/>
    <mergeCell ref="IFM26:IFP26"/>
    <mergeCell ref="IFQ26:IFT26"/>
    <mergeCell ref="IFU26:IFX26"/>
    <mergeCell ref="IFY26:IGB26"/>
    <mergeCell ref="IGC26:IGF26"/>
    <mergeCell ref="IGG26:IGJ26"/>
    <mergeCell ref="IGK26:IGN26"/>
    <mergeCell ref="IGO26:IGR26"/>
    <mergeCell ref="IGS26:IGV26"/>
    <mergeCell ref="IGW26:IGZ26"/>
    <mergeCell ref="IHA26:IHD26"/>
    <mergeCell ref="IHE26:IHH26"/>
    <mergeCell ref="IHI26:IHL26"/>
    <mergeCell ref="IHM26:IHP26"/>
    <mergeCell ref="IHQ26:IHT26"/>
    <mergeCell ref="IHU26:IHX26"/>
    <mergeCell ref="IHY26:IIB26"/>
    <mergeCell ref="IIC26:IIF26"/>
    <mergeCell ref="IIG26:IIJ26"/>
    <mergeCell ref="IIK26:IIN26"/>
    <mergeCell ref="IIO26:IIR26"/>
    <mergeCell ref="IIS26:IIV26"/>
    <mergeCell ref="IIW26:IIZ26"/>
    <mergeCell ref="IJA26:IJD26"/>
    <mergeCell ref="IJE26:IJH26"/>
    <mergeCell ref="IJI26:IJL26"/>
    <mergeCell ref="IJM26:IJP26"/>
    <mergeCell ref="IJQ26:IJT26"/>
    <mergeCell ref="IJU26:IJX26"/>
    <mergeCell ref="IJY26:IKB26"/>
    <mergeCell ref="IKC26:IKF26"/>
    <mergeCell ref="IKG26:IKJ26"/>
    <mergeCell ref="IKK26:IKN26"/>
    <mergeCell ref="IKO26:IKR26"/>
    <mergeCell ref="IKS26:IKV26"/>
    <mergeCell ref="IKW26:IKZ26"/>
    <mergeCell ref="ILA26:ILD26"/>
    <mergeCell ref="ILE26:ILH26"/>
    <mergeCell ref="ILI26:ILL26"/>
    <mergeCell ref="ILM26:ILP26"/>
    <mergeCell ref="ILQ26:ILT26"/>
    <mergeCell ref="ILU26:ILX26"/>
    <mergeCell ref="ILY26:IMB26"/>
    <mergeCell ref="IMC26:IMF26"/>
    <mergeCell ref="IMG26:IMJ26"/>
    <mergeCell ref="IMK26:IMN26"/>
    <mergeCell ref="IMO26:IMR26"/>
    <mergeCell ref="IMS26:IMV26"/>
    <mergeCell ref="IMW26:IMZ26"/>
    <mergeCell ref="INA26:IND26"/>
    <mergeCell ref="INE26:INH26"/>
    <mergeCell ref="INI26:INL26"/>
    <mergeCell ref="INM26:INP26"/>
    <mergeCell ref="INQ26:INT26"/>
    <mergeCell ref="INU26:INX26"/>
    <mergeCell ref="INY26:IOB26"/>
    <mergeCell ref="IOC26:IOF26"/>
    <mergeCell ref="IOG26:IOJ26"/>
    <mergeCell ref="IOK26:ION26"/>
    <mergeCell ref="IOO26:IOR26"/>
    <mergeCell ref="IOS26:IOV26"/>
    <mergeCell ref="IOW26:IOZ26"/>
    <mergeCell ref="IPA26:IPD26"/>
    <mergeCell ref="IPE26:IPH26"/>
    <mergeCell ref="IPI26:IPL26"/>
    <mergeCell ref="IPM26:IPP26"/>
    <mergeCell ref="IPQ26:IPT26"/>
    <mergeCell ref="IPU26:IPX26"/>
    <mergeCell ref="IPY26:IQB26"/>
    <mergeCell ref="IQC26:IQF26"/>
    <mergeCell ref="IQG26:IQJ26"/>
    <mergeCell ref="IQK26:IQN26"/>
    <mergeCell ref="IQO26:IQR26"/>
    <mergeCell ref="IQS26:IQV26"/>
    <mergeCell ref="IQW26:IQZ26"/>
    <mergeCell ref="IRA26:IRD26"/>
    <mergeCell ref="IRE26:IRH26"/>
    <mergeCell ref="IRI26:IRL26"/>
    <mergeCell ref="IRM26:IRP26"/>
    <mergeCell ref="IRQ26:IRT26"/>
    <mergeCell ref="IRU26:IRX26"/>
    <mergeCell ref="IRY26:ISB26"/>
    <mergeCell ref="ISC26:ISF26"/>
    <mergeCell ref="ISG26:ISJ26"/>
    <mergeCell ref="ISK26:ISN26"/>
    <mergeCell ref="ISO26:ISR26"/>
    <mergeCell ref="ISS26:ISV26"/>
    <mergeCell ref="ISW26:ISZ26"/>
    <mergeCell ref="ITA26:ITD26"/>
    <mergeCell ref="ITE26:ITH26"/>
    <mergeCell ref="ITI26:ITL26"/>
    <mergeCell ref="ITM26:ITP26"/>
    <mergeCell ref="ITQ26:ITT26"/>
    <mergeCell ref="ITU26:ITX26"/>
    <mergeCell ref="ITY26:IUB26"/>
    <mergeCell ref="IUC26:IUF26"/>
    <mergeCell ref="IUG26:IUJ26"/>
    <mergeCell ref="IUK26:IUN26"/>
    <mergeCell ref="IUO26:IUR26"/>
    <mergeCell ref="IUS26:IUV26"/>
    <mergeCell ref="IUW26:IUZ26"/>
    <mergeCell ref="IVA26:IVD26"/>
    <mergeCell ref="IVE26:IVH26"/>
    <mergeCell ref="IVI26:IVL26"/>
    <mergeCell ref="IVM26:IVP26"/>
    <mergeCell ref="IVQ26:IVT26"/>
    <mergeCell ref="IVU26:IVX26"/>
    <mergeCell ref="IVY26:IWB26"/>
    <mergeCell ref="IWC26:IWF26"/>
    <mergeCell ref="IWG26:IWJ26"/>
    <mergeCell ref="IWK26:IWN26"/>
    <mergeCell ref="IWO26:IWR26"/>
    <mergeCell ref="IWS26:IWV26"/>
    <mergeCell ref="IWW26:IWZ26"/>
    <mergeCell ref="IXA26:IXD26"/>
    <mergeCell ref="IXE26:IXH26"/>
    <mergeCell ref="IXI26:IXL26"/>
    <mergeCell ref="IXM26:IXP26"/>
    <mergeCell ref="IXQ26:IXT26"/>
    <mergeCell ref="IXU26:IXX26"/>
    <mergeCell ref="IXY26:IYB26"/>
    <mergeCell ref="IYC26:IYF26"/>
    <mergeCell ref="IYG26:IYJ26"/>
    <mergeCell ref="IYK26:IYN26"/>
    <mergeCell ref="IYO26:IYR26"/>
    <mergeCell ref="IYS26:IYV26"/>
    <mergeCell ref="IYW26:IYZ26"/>
    <mergeCell ref="IZA26:IZD26"/>
    <mergeCell ref="IZE26:IZH26"/>
    <mergeCell ref="IZI26:IZL26"/>
    <mergeCell ref="IZM26:IZP26"/>
    <mergeCell ref="IZQ26:IZT26"/>
    <mergeCell ref="IZU26:IZX26"/>
    <mergeCell ref="IZY26:JAB26"/>
    <mergeCell ref="JAC26:JAF26"/>
    <mergeCell ref="JAG26:JAJ26"/>
    <mergeCell ref="JAK26:JAN26"/>
    <mergeCell ref="JAO26:JAR26"/>
    <mergeCell ref="JAS26:JAV26"/>
    <mergeCell ref="JAW26:JAZ26"/>
    <mergeCell ref="JBA26:JBD26"/>
    <mergeCell ref="JBE26:JBH26"/>
    <mergeCell ref="JBI26:JBL26"/>
    <mergeCell ref="JBM26:JBP26"/>
    <mergeCell ref="JBQ26:JBT26"/>
    <mergeCell ref="JBU26:JBX26"/>
    <mergeCell ref="JBY26:JCB26"/>
    <mergeCell ref="JCC26:JCF26"/>
    <mergeCell ref="JCG26:JCJ26"/>
    <mergeCell ref="JCK26:JCN26"/>
    <mergeCell ref="JCO26:JCR26"/>
    <mergeCell ref="JCS26:JCV26"/>
    <mergeCell ref="JCW26:JCZ26"/>
    <mergeCell ref="JDA26:JDD26"/>
    <mergeCell ref="JDE26:JDH26"/>
    <mergeCell ref="JDI26:JDL26"/>
    <mergeCell ref="JDM26:JDP26"/>
    <mergeCell ref="JDQ26:JDT26"/>
    <mergeCell ref="JDU26:JDX26"/>
    <mergeCell ref="JDY26:JEB26"/>
    <mergeCell ref="JEC26:JEF26"/>
    <mergeCell ref="JEG26:JEJ26"/>
    <mergeCell ref="JEK26:JEN26"/>
    <mergeCell ref="JEO26:JER26"/>
    <mergeCell ref="JES26:JEV26"/>
    <mergeCell ref="JEW26:JEZ26"/>
    <mergeCell ref="JFA26:JFD26"/>
    <mergeCell ref="JFE26:JFH26"/>
    <mergeCell ref="JFI26:JFL26"/>
    <mergeCell ref="JFM26:JFP26"/>
    <mergeCell ref="JFQ26:JFT26"/>
    <mergeCell ref="JFU26:JFX26"/>
    <mergeCell ref="JFY26:JGB26"/>
    <mergeCell ref="JGC26:JGF26"/>
    <mergeCell ref="JGG26:JGJ26"/>
    <mergeCell ref="JGK26:JGN26"/>
    <mergeCell ref="JGO26:JGR26"/>
    <mergeCell ref="JGS26:JGV26"/>
    <mergeCell ref="JGW26:JGZ26"/>
    <mergeCell ref="JHA26:JHD26"/>
    <mergeCell ref="JHE26:JHH26"/>
    <mergeCell ref="JHI26:JHL26"/>
    <mergeCell ref="JHM26:JHP26"/>
    <mergeCell ref="JHQ26:JHT26"/>
    <mergeCell ref="JHU26:JHX26"/>
    <mergeCell ref="JHY26:JIB26"/>
    <mergeCell ref="JIC26:JIF26"/>
    <mergeCell ref="JIG26:JIJ26"/>
    <mergeCell ref="JIK26:JIN26"/>
    <mergeCell ref="JIO26:JIR26"/>
    <mergeCell ref="JIS26:JIV26"/>
    <mergeCell ref="JIW26:JIZ26"/>
    <mergeCell ref="JJA26:JJD26"/>
    <mergeCell ref="JJE26:JJH26"/>
    <mergeCell ref="JJI26:JJL26"/>
    <mergeCell ref="JJM26:JJP26"/>
    <mergeCell ref="JJQ26:JJT26"/>
    <mergeCell ref="JJU26:JJX26"/>
    <mergeCell ref="JJY26:JKB26"/>
    <mergeCell ref="JKC26:JKF26"/>
    <mergeCell ref="JKG26:JKJ26"/>
    <mergeCell ref="JKK26:JKN26"/>
    <mergeCell ref="JKO26:JKR26"/>
    <mergeCell ref="JKS26:JKV26"/>
    <mergeCell ref="JKW26:JKZ26"/>
    <mergeCell ref="JLA26:JLD26"/>
    <mergeCell ref="JLE26:JLH26"/>
    <mergeCell ref="JLI26:JLL26"/>
    <mergeCell ref="JLM26:JLP26"/>
    <mergeCell ref="JLQ26:JLT26"/>
    <mergeCell ref="JLU26:JLX26"/>
    <mergeCell ref="JLY26:JMB26"/>
    <mergeCell ref="JMC26:JMF26"/>
    <mergeCell ref="JMG26:JMJ26"/>
    <mergeCell ref="JMK26:JMN26"/>
    <mergeCell ref="JMO26:JMR26"/>
    <mergeCell ref="JMS26:JMV26"/>
    <mergeCell ref="JMW26:JMZ26"/>
    <mergeCell ref="JNA26:JND26"/>
    <mergeCell ref="JNE26:JNH26"/>
    <mergeCell ref="JNI26:JNL26"/>
    <mergeCell ref="JNM26:JNP26"/>
    <mergeCell ref="JNQ26:JNT26"/>
    <mergeCell ref="JNU26:JNX26"/>
    <mergeCell ref="JNY26:JOB26"/>
    <mergeCell ref="JOC26:JOF26"/>
    <mergeCell ref="JOG26:JOJ26"/>
    <mergeCell ref="JOK26:JON26"/>
    <mergeCell ref="JOO26:JOR26"/>
    <mergeCell ref="JOS26:JOV26"/>
    <mergeCell ref="JOW26:JOZ26"/>
    <mergeCell ref="JPA26:JPD26"/>
    <mergeCell ref="JPE26:JPH26"/>
    <mergeCell ref="JPI26:JPL26"/>
    <mergeCell ref="JPM26:JPP26"/>
    <mergeCell ref="JPQ26:JPT26"/>
    <mergeCell ref="JPU26:JPX26"/>
    <mergeCell ref="JPY26:JQB26"/>
    <mergeCell ref="JQC26:JQF26"/>
    <mergeCell ref="JQG26:JQJ26"/>
    <mergeCell ref="JQK26:JQN26"/>
    <mergeCell ref="JQO26:JQR26"/>
    <mergeCell ref="JQS26:JQV26"/>
    <mergeCell ref="JQW26:JQZ26"/>
    <mergeCell ref="JRA26:JRD26"/>
    <mergeCell ref="JRE26:JRH26"/>
    <mergeCell ref="JRI26:JRL26"/>
    <mergeCell ref="JRM26:JRP26"/>
    <mergeCell ref="JRQ26:JRT26"/>
    <mergeCell ref="JRU26:JRX26"/>
    <mergeCell ref="JRY26:JSB26"/>
    <mergeCell ref="JSC26:JSF26"/>
    <mergeCell ref="JSG26:JSJ26"/>
    <mergeCell ref="JSK26:JSN26"/>
    <mergeCell ref="JSO26:JSR26"/>
    <mergeCell ref="JSS26:JSV26"/>
    <mergeCell ref="JSW26:JSZ26"/>
    <mergeCell ref="JTA26:JTD26"/>
    <mergeCell ref="JTE26:JTH26"/>
    <mergeCell ref="JTI26:JTL26"/>
    <mergeCell ref="JTM26:JTP26"/>
    <mergeCell ref="JTQ26:JTT26"/>
    <mergeCell ref="JTU26:JTX26"/>
    <mergeCell ref="JTY26:JUB26"/>
    <mergeCell ref="JUC26:JUF26"/>
    <mergeCell ref="JUG26:JUJ26"/>
    <mergeCell ref="JUK26:JUN26"/>
    <mergeCell ref="JUO26:JUR26"/>
    <mergeCell ref="JUS26:JUV26"/>
    <mergeCell ref="JUW26:JUZ26"/>
    <mergeCell ref="JVA26:JVD26"/>
    <mergeCell ref="JVE26:JVH26"/>
    <mergeCell ref="JVI26:JVL26"/>
    <mergeCell ref="JVM26:JVP26"/>
    <mergeCell ref="JVQ26:JVT26"/>
    <mergeCell ref="JVU26:JVX26"/>
    <mergeCell ref="JVY26:JWB26"/>
    <mergeCell ref="JWC26:JWF26"/>
    <mergeCell ref="JWG26:JWJ26"/>
    <mergeCell ref="JWK26:JWN26"/>
    <mergeCell ref="JWO26:JWR26"/>
    <mergeCell ref="JWS26:JWV26"/>
    <mergeCell ref="JWW26:JWZ26"/>
    <mergeCell ref="JXA26:JXD26"/>
    <mergeCell ref="JXE26:JXH26"/>
    <mergeCell ref="JXI26:JXL26"/>
    <mergeCell ref="JXM26:JXP26"/>
    <mergeCell ref="JXQ26:JXT26"/>
    <mergeCell ref="JXU26:JXX26"/>
    <mergeCell ref="JXY26:JYB26"/>
    <mergeCell ref="JYC26:JYF26"/>
    <mergeCell ref="JYG26:JYJ26"/>
    <mergeCell ref="JYK26:JYN26"/>
    <mergeCell ref="JYO26:JYR26"/>
    <mergeCell ref="JYS26:JYV26"/>
    <mergeCell ref="JYW26:JYZ26"/>
    <mergeCell ref="JZA26:JZD26"/>
    <mergeCell ref="JZE26:JZH26"/>
    <mergeCell ref="JZI26:JZL26"/>
    <mergeCell ref="JZM26:JZP26"/>
    <mergeCell ref="JZQ26:JZT26"/>
    <mergeCell ref="JZU26:JZX26"/>
    <mergeCell ref="JZY26:KAB26"/>
    <mergeCell ref="KAC26:KAF26"/>
    <mergeCell ref="KAG26:KAJ26"/>
    <mergeCell ref="KAK26:KAN26"/>
    <mergeCell ref="KAO26:KAR26"/>
    <mergeCell ref="KAS26:KAV26"/>
    <mergeCell ref="KAW26:KAZ26"/>
    <mergeCell ref="KBA26:KBD26"/>
    <mergeCell ref="KBE26:KBH26"/>
    <mergeCell ref="KBI26:KBL26"/>
    <mergeCell ref="KBM26:KBP26"/>
    <mergeCell ref="KBQ26:KBT26"/>
    <mergeCell ref="KBU26:KBX26"/>
    <mergeCell ref="KBY26:KCB26"/>
    <mergeCell ref="KCC26:KCF26"/>
    <mergeCell ref="KCG26:KCJ26"/>
    <mergeCell ref="KCK26:KCN26"/>
    <mergeCell ref="KCO26:KCR26"/>
    <mergeCell ref="KCS26:KCV26"/>
    <mergeCell ref="KCW26:KCZ26"/>
    <mergeCell ref="KDA26:KDD26"/>
    <mergeCell ref="KDE26:KDH26"/>
    <mergeCell ref="KDI26:KDL26"/>
    <mergeCell ref="KDM26:KDP26"/>
    <mergeCell ref="KDQ26:KDT26"/>
    <mergeCell ref="KDU26:KDX26"/>
    <mergeCell ref="KDY26:KEB26"/>
    <mergeCell ref="KEC26:KEF26"/>
    <mergeCell ref="KEG26:KEJ26"/>
    <mergeCell ref="KEK26:KEN26"/>
    <mergeCell ref="KEO26:KER26"/>
    <mergeCell ref="KES26:KEV26"/>
    <mergeCell ref="KEW26:KEZ26"/>
    <mergeCell ref="KFA26:KFD26"/>
    <mergeCell ref="KFE26:KFH26"/>
    <mergeCell ref="KFI26:KFL26"/>
    <mergeCell ref="KFM26:KFP26"/>
    <mergeCell ref="KFQ26:KFT26"/>
    <mergeCell ref="KFU26:KFX26"/>
    <mergeCell ref="KFY26:KGB26"/>
    <mergeCell ref="KGC26:KGF26"/>
    <mergeCell ref="KGG26:KGJ26"/>
    <mergeCell ref="KGK26:KGN26"/>
    <mergeCell ref="KGO26:KGR26"/>
    <mergeCell ref="KGS26:KGV26"/>
    <mergeCell ref="KGW26:KGZ26"/>
    <mergeCell ref="KHA26:KHD26"/>
    <mergeCell ref="KHE26:KHH26"/>
    <mergeCell ref="KHI26:KHL26"/>
    <mergeCell ref="KHM26:KHP26"/>
    <mergeCell ref="KHQ26:KHT26"/>
    <mergeCell ref="KHU26:KHX26"/>
    <mergeCell ref="KHY26:KIB26"/>
    <mergeCell ref="KIC26:KIF26"/>
    <mergeCell ref="KIG26:KIJ26"/>
    <mergeCell ref="KIK26:KIN26"/>
    <mergeCell ref="KIO26:KIR26"/>
    <mergeCell ref="KIS26:KIV26"/>
    <mergeCell ref="KIW26:KIZ26"/>
    <mergeCell ref="KJA26:KJD26"/>
    <mergeCell ref="KJE26:KJH26"/>
    <mergeCell ref="KJI26:KJL26"/>
    <mergeCell ref="KJM26:KJP26"/>
    <mergeCell ref="KJQ26:KJT26"/>
    <mergeCell ref="KJU26:KJX26"/>
    <mergeCell ref="KJY26:KKB26"/>
    <mergeCell ref="KKC26:KKF26"/>
    <mergeCell ref="KKG26:KKJ26"/>
    <mergeCell ref="KKK26:KKN26"/>
    <mergeCell ref="KKO26:KKR26"/>
    <mergeCell ref="KKS26:KKV26"/>
    <mergeCell ref="KKW26:KKZ26"/>
    <mergeCell ref="KLA26:KLD26"/>
    <mergeCell ref="KLE26:KLH26"/>
    <mergeCell ref="KLI26:KLL26"/>
    <mergeCell ref="KLM26:KLP26"/>
    <mergeCell ref="KLQ26:KLT26"/>
    <mergeCell ref="KLU26:KLX26"/>
    <mergeCell ref="KLY26:KMB26"/>
    <mergeCell ref="KMC26:KMF26"/>
    <mergeCell ref="KMG26:KMJ26"/>
    <mergeCell ref="KMK26:KMN26"/>
    <mergeCell ref="KMO26:KMR26"/>
    <mergeCell ref="KMS26:KMV26"/>
    <mergeCell ref="KMW26:KMZ26"/>
    <mergeCell ref="KNA26:KND26"/>
    <mergeCell ref="KNE26:KNH26"/>
    <mergeCell ref="KNI26:KNL26"/>
    <mergeCell ref="KNM26:KNP26"/>
    <mergeCell ref="KNQ26:KNT26"/>
    <mergeCell ref="KNU26:KNX26"/>
    <mergeCell ref="KNY26:KOB26"/>
    <mergeCell ref="KOC26:KOF26"/>
    <mergeCell ref="KOG26:KOJ26"/>
    <mergeCell ref="KOK26:KON26"/>
    <mergeCell ref="KOO26:KOR26"/>
    <mergeCell ref="KOS26:KOV26"/>
    <mergeCell ref="KOW26:KOZ26"/>
    <mergeCell ref="KPA26:KPD26"/>
    <mergeCell ref="KPE26:KPH26"/>
    <mergeCell ref="KPI26:KPL26"/>
    <mergeCell ref="KPM26:KPP26"/>
    <mergeCell ref="KPQ26:KPT26"/>
    <mergeCell ref="KPU26:KPX26"/>
    <mergeCell ref="KPY26:KQB26"/>
    <mergeCell ref="KQC26:KQF26"/>
    <mergeCell ref="KQG26:KQJ26"/>
    <mergeCell ref="KQK26:KQN26"/>
    <mergeCell ref="KQO26:KQR26"/>
    <mergeCell ref="KQS26:KQV26"/>
    <mergeCell ref="KQW26:KQZ26"/>
    <mergeCell ref="KRA26:KRD26"/>
    <mergeCell ref="KRE26:KRH26"/>
    <mergeCell ref="KRI26:KRL26"/>
    <mergeCell ref="KRM26:KRP26"/>
    <mergeCell ref="KRQ26:KRT26"/>
    <mergeCell ref="KRU26:KRX26"/>
    <mergeCell ref="KRY26:KSB26"/>
    <mergeCell ref="KSC26:KSF26"/>
    <mergeCell ref="KSG26:KSJ26"/>
    <mergeCell ref="KSK26:KSN26"/>
    <mergeCell ref="KSO26:KSR26"/>
    <mergeCell ref="KSS26:KSV26"/>
    <mergeCell ref="KSW26:KSZ26"/>
    <mergeCell ref="KTA26:KTD26"/>
    <mergeCell ref="KTE26:KTH26"/>
    <mergeCell ref="KTI26:KTL26"/>
    <mergeCell ref="KTM26:KTP26"/>
    <mergeCell ref="KTQ26:KTT26"/>
    <mergeCell ref="KTU26:KTX26"/>
    <mergeCell ref="KTY26:KUB26"/>
    <mergeCell ref="KUC26:KUF26"/>
    <mergeCell ref="KUG26:KUJ26"/>
    <mergeCell ref="KUK26:KUN26"/>
    <mergeCell ref="KUO26:KUR26"/>
    <mergeCell ref="KUS26:KUV26"/>
    <mergeCell ref="KUW26:KUZ26"/>
    <mergeCell ref="KVA26:KVD26"/>
    <mergeCell ref="KVE26:KVH26"/>
    <mergeCell ref="KVI26:KVL26"/>
    <mergeCell ref="KVM26:KVP26"/>
    <mergeCell ref="KVQ26:KVT26"/>
    <mergeCell ref="KVU26:KVX26"/>
    <mergeCell ref="KVY26:KWB26"/>
    <mergeCell ref="KWC26:KWF26"/>
    <mergeCell ref="KWG26:KWJ26"/>
    <mergeCell ref="KWK26:KWN26"/>
    <mergeCell ref="KWO26:KWR26"/>
    <mergeCell ref="KWS26:KWV26"/>
    <mergeCell ref="KWW26:KWZ26"/>
    <mergeCell ref="KXA26:KXD26"/>
    <mergeCell ref="KXE26:KXH26"/>
    <mergeCell ref="KXI26:KXL26"/>
    <mergeCell ref="KXM26:KXP26"/>
    <mergeCell ref="KXQ26:KXT26"/>
    <mergeCell ref="KXU26:KXX26"/>
    <mergeCell ref="KXY26:KYB26"/>
    <mergeCell ref="KYC26:KYF26"/>
    <mergeCell ref="KYG26:KYJ26"/>
    <mergeCell ref="KYK26:KYN26"/>
    <mergeCell ref="KYO26:KYR26"/>
    <mergeCell ref="KYS26:KYV26"/>
    <mergeCell ref="KYW26:KYZ26"/>
    <mergeCell ref="KZA26:KZD26"/>
    <mergeCell ref="KZE26:KZH26"/>
    <mergeCell ref="KZI26:KZL26"/>
    <mergeCell ref="KZM26:KZP26"/>
    <mergeCell ref="KZQ26:KZT26"/>
    <mergeCell ref="KZU26:KZX26"/>
    <mergeCell ref="KZY26:LAB26"/>
    <mergeCell ref="LAC26:LAF26"/>
    <mergeCell ref="LAG26:LAJ26"/>
    <mergeCell ref="LAK26:LAN26"/>
    <mergeCell ref="LAO26:LAR26"/>
    <mergeCell ref="LAS26:LAV26"/>
    <mergeCell ref="LAW26:LAZ26"/>
    <mergeCell ref="LBA26:LBD26"/>
    <mergeCell ref="LBE26:LBH26"/>
    <mergeCell ref="LBI26:LBL26"/>
    <mergeCell ref="LBM26:LBP26"/>
    <mergeCell ref="LBQ26:LBT26"/>
    <mergeCell ref="LBU26:LBX26"/>
    <mergeCell ref="LBY26:LCB26"/>
    <mergeCell ref="LCC26:LCF26"/>
    <mergeCell ref="LCG26:LCJ26"/>
    <mergeCell ref="LCK26:LCN26"/>
    <mergeCell ref="LCO26:LCR26"/>
    <mergeCell ref="LCS26:LCV26"/>
    <mergeCell ref="LCW26:LCZ26"/>
    <mergeCell ref="LDA26:LDD26"/>
    <mergeCell ref="LDE26:LDH26"/>
    <mergeCell ref="LDI26:LDL26"/>
    <mergeCell ref="LDM26:LDP26"/>
    <mergeCell ref="LDQ26:LDT26"/>
    <mergeCell ref="LDU26:LDX26"/>
    <mergeCell ref="LDY26:LEB26"/>
    <mergeCell ref="LEC26:LEF26"/>
    <mergeCell ref="LEG26:LEJ26"/>
    <mergeCell ref="LEK26:LEN26"/>
    <mergeCell ref="LEO26:LER26"/>
    <mergeCell ref="LES26:LEV26"/>
    <mergeCell ref="LEW26:LEZ26"/>
    <mergeCell ref="LFA26:LFD26"/>
    <mergeCell ref="LFE26:LFH26"/>
    <mergeCell ref="LFI26:LFL26"/>
    <mergeCell ref="LFM26:LFP26"/>
    <mergeCell ref="LFQ26:LFT26"/>
    <mergeCell ref="LFU26:LFX26"/>
    <mergeCell ref="LFY26:LGB26"/>
    <mergeCell ref="LGC26:LGF26"/>
    <mergeCell ref="LGG26:LGJ26"/>
    <mergeCell ref="LGK26:LGN26"/>
    <mergeCell ref="LGO26:LGR26"/>
    <mergeCell ref="LGS26:LGV26"/>
    <mergeCell ref="LGW26:LGZ26"/>
    <mergeCell ref="LHA26:LHD26"/>
    <mergeCell ref="LHE26:LHH26"/>
    <mergeCell ref="LHI26:LHL26"/>
    <mergeCell ref="LHM26:LHP26"/>
    <mergeCell ref="LHQ26:LHT26"/>
    <mergeCell ref="LHU26:LHX26"/>
    <mergeCell ref="LHY26:LIB26"/>
    <mergeCell ref="LIC26:LIF26"/>
    <mergeCell ref="LIG26:LIJ26"/>
    <mergeCell ref="LIK26:LIN26"/>
    <mergeCell ref="LIO26:LIR26"/>
    <mergeCell ref="LIS26:LIV26"/>
    <mergeCell ref="LIW26:LIZ26"/>
    <mergeCell ref="LJA26:LJD26"/>
    <mergeCell ref="LJE26:LJH26"/>
    <mergeCell ref="LJI26:LJL26"/>
    <mergeCell ref="LJM26:LJP26"/>
    <mergeCell ref="LJQ26:LJT26"/>
    <mergeCell ref="LJU26:LJX26"/>
    <mergeCell ref="LJY26:LKB26"/>
    <mergeCell ref="LKC26:LKF26"/>
    <mergeCell ref="LKG26:LKJ26"/>
    <mergeCell ref="LKK26:LKN26"/>
    <mergeCell ref="LKO26:LKR26"/>
    <mergeCell ref="LKS26:LKV26"/>
    <mergeCell ref="LKW26:LKZ26"/>
    <mergeCell ref="LLA26:LLD26"/>
    <mergeCell ref="LLE26:LLH26"/>
    <mergeCell ref="LLI26:LLL26"/>
    <mergeCell ref="LLM26:LLP26"/>
    <mergeCell ref="LLQ26:LLT26"/>
    <mergeCell ref="LLU26:LLX26"/>
    <mergeCell ref="LLY26:LMB26"/>
    <mergeCell ref="LMC26:LMF26"/>
    <mergeCell ref="LMG26:LMJ26"/>
    <mergeCell ref="LMK26:LMN26"/>
    <mergeCell ref="LMO26:LMR26"/>
    <mergeCell ref="LMS26:LMV26"/>
    <mergeCell ref="LMW26:LMZ26"/>
    <mergeCell ref="LNA26:LND26"/>
    <mergeCell ref="LNE26:LNH26"/>
    <mergeCell ref="LNI26:LNL26"/>
    <mergeCell ref="LNM26:LNP26"/>
    <mergeCell ref="LNQ26:LNT26"/>
    <mergeCell ref="LNU26:LNX26"/>
    <mergeCell ref="LNY26:LOB26"/>
    <mergeCell ref="LOC26:LOF26"/>
    <mergeCell ref="LOG26:LOJ26"/>
    <mergeCell ref="LOK26:LON26"/>
    <mergeCell ref="LOO26:LOR26"/>
    <mergeCell ref="LOS26:LOV26"/>
    <mergeCell ref="LOW26:LOZ26"/>
    <mergeCell ref="LPA26:LPD26"/>
    <mergeCell ref="LPE26:LPH26"/>
    <mergeCell ref="LPI26:LPL26"/>
    <mergeCell ref="LPM26:LPP26"/>
    <mergeCell ref="LPQ26:LPT26"/>
    <mergeCell ref="LPU26:LPX26"/>
    <mergeCell ref="LPY26:LQB26"/>
    <mergeCell ref="LQC26:LQF26"/>
    <mergeCell ref="LQG26:LQJ26"/>
    <mergeCell ref="LQK26:LQN26"/>
    <mergeCell ref="LQO26:LQR26"/>
    <mergeCell ref="LQS26:LQV26"/>
    <mergeCell ref="LQW26:LQZ26"/>
    <mergeCell ref="LRA26:LRD26"/>
    <mergeCell ref="LRE26:LRH26"/>
    <mergeCell ref="LRI26:LRL26"/>
    <mergeCell ref="LRM26:LRP26"/>
    <mergeCell ref="LRQ26:LRT26"/>
    <mergeCell ref="LRU26:LRX26"/>
    <mergeCell ref="LRY26:LSB26"/>
    <mergeCell ref="LSC26:LSF26"/>
    <mergeCell ref="LSG26:LSJ26"/>
    <mergeCell ref="LSK26:LSN26"/>
    <mergeCell ref="LSO26:LSR26"/>
    <mergeCell ref="LSS26:LSV26"/>
    <mergeCell ref="LSW26:LSZ26"/>
    <mergeCell ref="LTA26:LTD26"/>
    <mergeCell ref="LTE26:LTH26"/>
    <mergeCell ref="LTI26:LTL26"/>
    <mergeCell ref="LTM26:LTP26"/>
    <mergeCell ref="LTQ26:LTT26"/>
    <mergeCell ref="LTU26:LTX26"/>
    <mergeCell ref="LTY26:LUB26"/>
    <mergeCell ref="LUC26:LUF26"/>
    <mergeCell ref="LUG26:LUJ26"/>
    <mergeCell ref="LUK26:LUN26"/>
    <mergeCell ref="LUO26:LUR26"/>
    <mergeCell ref="LUS26:LUV26"/>
    <mergeCell ref="LUW26:LUZ26"/>
    <mergeCell ref="LVA26:LVD26"/>
    <mergeCell ref="LVE26:LVH26"/>
    <mergeCell ref="LVI26:LVL26"/>
    <mergeCell ref="LVM26:LVP26"/>
    <mergeCell ref="LVQ26:LVT26"/>
    <mergeCell ref="LVU26:LVX26"/>
    <mergeCell ref="LVY26:LWB26"/>
    <mergeCell ref="LWC26:LWF26"/>
    <mergeCell ref="LWG26:LWJ26"/>
    <mergeCell ref="LWK26:LWN26"/>
    <mergeCell ref="LWO26:LWR26"/>
    <mergeCell ref="LWS26:LWV26"/>
    <mergeCell ref="LWW26:LWZ26"/>
    <mergeCell ref="LXA26:LXD26"/>
    <mergeCell ref="LXE26:LXH26"/>
    <mergeCell ref="LXI26:LXL26"/>
    <mergeCell ref="LXM26:LXP26"/>
    <mergeCell ref="LXQ26:LXT26"/>
    <mergeCell ref="LXU26:LXX26"/>
    <mergeCell ref="LXY26:LYB26"/>
    <mergeCell ref="LYC26:LYF26"/>
    <mergeCell ref="LYG26:LYJ26"/>
    <mergeCell ref="LYK26:LYN26"/>
    <mergeCell ref="LYO26:LYR26"/>
    <mergeCell ref="LYS26:LYV26"/>
    <mergeCell ref="LYW26:LYZ26"/>
    <mergeCell ref="LZA26:LZD26"/>
    <mergeCell ref="LZE26:LZH26"/>
    <mergeCell ref="LZI26:LZL26"/>
    <mergeCell ref="LZM26:LZP26"/>
    <mergeCell ref="LZQ26:LZT26"/>
    <mergeCell ref="LZU26:LZX26"/>
    <mergeCell ref="LZY26:MAB26"/>
    <mergeCell ref="MAC26:MAF26"/>
    <mergeCell ref="MAG26:MAJ26"/>
    <mergeCell ref="MAK26:MAN26"/>
    <mergeCell ref="MAO26:MAR26"/>
    <mergeCell ref="MAS26:MAV26"/>
    <mergeCell ref="MAW26:MAZ26"/>
    <mergeCell ref="MBA26:MBD26"/>
    <mergeCell ref="MBE26:MBH26"/>
    <mergeCell ref="MBI26:MBL26"/>
    <mergeCell ref="MBM26:MBP26"/>
    <mergeCell ref="MBQ26:MBT26"/>
    <mergeCell ref="MBU26:MBX26"/>
    <mergeCell ref="MBY26:MCB26"/>
    <mergeCell ref="MCC26:MCF26"/>
    <mergeCell ref="MCG26:MCJ26"/>
    <mergeCell ref="MCK26:MCN26"/>
    <mergeCell ref="MCO26:MCR26"/>
    <mergeCell ref="MCS26:MCV26"/>
    <mergeCell ref="MCW26:MCZ26"/>
    <mergeCell ref="MDA26:MDD26"/>
    <mergeCell ref="MDE26:MDH26"/>
    <mergeCell ref="MDI26:MDL26"/>
    <mergeCell ref="MDM26:MDP26"/>
    <mergeCell ref="MDQ26:MDT26"/>
    <mergeCell ref="MDU26:MDX26"/>
    <mergeCell ref="MDY26:MEB26"/>
    <mergeCell ref="MEC26:MEF26"/>
    <mergeCell ref="MEG26:MEJ26"/>
    <mergeCell ref="MEK26:MEN26"/>
    <mergeCell ref="MEO26:MER26"/>
    <mergeCell ref="MES26:MEV26"/>
    <mergeCell ref="MEW26:MEZ26"/>
    <mergeCell ref="MFA26:MFD26"/>
    <mergeCell ref="MFE26:MFH26"/>
    <mergeCell ref="MFI26:MFL26"/>
    <mergeCell ref="MFM26:MFP26"/>
    <mergeCell ref="MFQ26:MFT26"/>
    <mergeCell ref="MFU26:MFX26"/>
    <mergeCell ref="MFY26:MGB26"/>
    <mergeCell ref="MGC26:MGF26"/>
    <mergeCell ref="MGG26:MGJ26"/>
    <mergeCell ref="MGK26:MGN26"/>
    <mergeCell ref="MGO26:MGR26"/>
    <mergeCell ref="MGS26:MGV26"/>
    <mergeCell ref="MGW26:MGZ26"/>
    <mergeCell ref="MHA26:MHD26"/>
    <mergeCell ref="MHE26:MHH26"/>
    <mergeCell ref="MHI26:MHL26"/>
    <mergeCell ref="MHM26:MHP26"/>
    <mergeCell ref="MHQ26:MHT26"/>
    <mergeCell ref="MHU26:MHX26"/>
    <mergeCell ref="MHY26:MIB26"/>
    <mergeCell ref="MIC26:MIF26"/>
    <mergeCell ref="MIG26:MIJ26"/>
    <mergeCell ref="MIK26:MIN26"/>
    <mergeCell ref="MIO26:MIR26"/>
    <mergeCell ref="MIS26:MIV26"/>
    <mergeCell ref="MIW26:MIZ26"/>
    <mergeCell ref="MJA26:MJD26"/>
    <mergeCell ref="MJE26:MJH26"/>
    <mergeCell ref="MJI26:MJL26"/>
    <mergeCell ref="MJM26:MJP26"/>
    <mergeCell ref="MJQ26:MJT26"/>
    <mergeCell ref="MJU26:MJX26"/>
    <mergeCell ref="MJY26:MKB26"/>
    <mergeCell ref="MKC26:MKF26"/>
    <mergeCell ref="MKG26:MKJ26"/>
    <mergeCell ref="MKK26:MKN26"/>
    <mergeCell ref="MKO26:MKR26"/>
    <mergeCell ref="MKS26:MKV26"/>
    <mergeCell ref="MKW26:MKZ26"/>
    <mergeCell ref="MLA26:MLD26"/>
    <mergeCell ref="MLE26:MLH26"/>
    <mergeCell ref="MLI26:MLL26"/>
    <mergeCell ref="MLM26:MLP26"/>
    <mergeCell ref="MLQ26:MLT26"/>
    <mergeCell ref="MLU26:MLX26"/>
    <mergeCell ref="MLY26:MMB26"/>
    <mergeCell ref="MMC26:MMF26"/>
    <mergeCell ref="MMG26:MMJ26"/>
    <mergeCell ref="MMK26:MMN26"/>
    <mergeCell ref="MMO26:MMR26"/>
    <mergeCell ref="MMS26:MMV26"/>
    <mergeCell ref="MMW26:MMZ26"/>
    <mergeCell ref="MNA26:MND26"/>
    <mergeCell ref="MNE26:MNH26"/>
    <mergeCell ref="MNI26:MNL26"/>
    <mergeCell ref="MNM26:MNP26"/>
    <mergeCell ref="MNQ26:MNT26"/>
    <mergeCell ref="MNU26:MNX26"/>
    <mergeCell ref="MNY26:MOB26"/>
    <mergeCell ref="MOC26:MOF26"/>
    <mergeCell ref="MOG26:MOJ26"/>
    <mergeCell ref="MOK26:MON26"/>
    <mergeCell ref="MOO26:MOR26"/>
    <mergeCell ref="MOS26:MOV26"/>
    <mergeCell ref="MOW26:MOZ26"/>
    <mergeCell ref="MPA26:MPD26"/>
    <mergeCell ref="MPE26:MPH26"/>
    <mergeCell ref="MPI26:MPL26"/>
    <mergeCell ref="MPM26:MPP26"/>
    <mergeCell ref="MPQ26:MPT26"/>
    <mergeCell ref="MPU26:MPX26"/>
    <mergeCell ref="MPY26:MQB26"/>
    <mergeCell ref="MQC26:MQF26"/>
    <mergeCell ref="MQG26:MQJ26"/>
    <mergeCell ref="MQK26:MQN26"/>
    <mergeCell ref="MQO26:MQR26"/>
    <mergeCell ref="MQS26:MQV26"/>
    <mergeCell ref="MQW26:MQZ26"/>
    <mergeCell ref="MRA26:MRD26"/>
    <mergeCell ref="MRE26:MRH26"/>
    <mergeCell ref="MRI26:MRL26"/>
    <mergeCell ref="MRM26:MRP26"/>
    <mergeCell ref="MRQ26:MRT26"/>
    <mergeCell ref="MRU26:MRX26"/>
    <mergeCell ref="MRY26:MSB26"/>
    <mergeCell ref="MSC26:MSF26"/>
    <mergeCell ref="MSG26:MSJ26"/>
    <mergeCell ref="MSK26:MSN26"/>
    <mergeCell ref="MSO26:MSR26"/>
    <mergeCell ref="MSS26:MSV26"/>
    <mergeCell ref="MSW26:MSZ26"/>
    <mergeCell ref="MTA26:MTD26"/>
    <mergeCell ref="MTE26:MTH26"/>
    <mergeCell ref="MTI26:MTL26"/>
    <mergeCell ref="MTM26:MTP26"/>
    <mergeCell ref="MTQ26:MTT26"/>
    <mergeCell ref="MTU26:MTX26"/>
    <mergeCell ref="MTY26:MUB26"/>
    <mergeCell ref="MUC26:MUF26"/>
    <mergeCell ref="MUG26:MUJ26"/>
    <mergeCell ref="MUK26:MUN26"/>
    <mergeCell ref="MUO26:MUR26"/>
    <mergeCell ref="MUS26:MUV26"/>
    <mergeCell ref="MUW26:MUZ26"/>
    <mergeCell ref="MVA26:MVD26"/>
    <mergeCell ref="MVE26:MVH26"/>
    <mergeCell ref="MVI26:MVL26"/>
    <mergeCell ref="MVM26:MVP26"/>
    <mergeCell ref="MVQ26:MVT26"/>
    <mergeCell ref="MVU26:MVX26"/>
    <mergeCell ref="MVY26:MWB26"/>
    <mergeCell ref="MWC26:MWF26"/>
    <mergeCell ref="MWG26:MWJ26"/>
    <mergeCell ref="MWK26:MWN26"/>
    <mergeCell ref="MWO26:MWR26"/>
    <mergeCell ref="MWS26:MWV26"/>
    <mergeCell ref="MWW26:MWZ26"/>
    <mergeCell ref="MXA26:MXD26"/>
    <mergeCell ref="MXE26:MXH26"/>
    <mergeCell ref="MXI26:MXL26"/>
    <mergeCell ref="MXM26:MXP26"/>
    <mergeCell ref="MXQ26:MXT26"/>
    <mergeCell ref="MXU26:MXX26"/>
    <mergeCell ref="MXY26:MYB26"/>
    <mergeCell ref="MYC26:MYF26"/>
    <mergeCell ref="MYG26:MYJ26"/>
    <mergeCell ref="MYK26:MYN26"/>
    <mergeCell ref="MYO26:MYR26"/>
    <mergeCell ref="MYS26:MYV26"/>
    <mergeCell ref="MYW26:MYZ26"/>
    <mergeCell ref="MZA26:MZD26"/>
    <mergeCell ref="MZE26:MZH26"/>
    <mergeCell ref="MZI26:MZL26"/>
    <mergeCell ref="MZM26:MZP26"/>
    <mergeCell ref="MZQ26:MZT26"/>
    <mergeCell ref="MZU26:MZX26"/>
    <mergeCell ref="MZY26:NAB26"/>
    <mergeCell ref="NAC26:NAF26"/>
    <mergeCell ref="NCW26:NCZ26"/>
    <mergeCell ref="NDA26:NDD26"/>
    <mergeCell ref="NAG26:NAJ26"/>
    <mergeCell ref="NAK26:NAN26"/>
    <mergeCell ref="NAO26:NAR26"/>
    <mergeCell ref="NAS26:NAV26"/>
    <mergeCell ref="NAW26:NAZ26"/>
    <mergeCell ref="NBA26:NBD26"/>
    <mergeCell ref="NBE26:NBH26"/>
    <mergeCell ref="NBI26:NBL26"/>
    <mergeCell ref="NBM26:NBP26"/>
    <mergeCell ref="NBQ26:NBT26"/>
    <mergeCell ref="NBU26:NBX26"/>
    <mergeCell ref="NBY26:NCB26"/>
    <mergeCell ref="NCC26:NCF26"/>
    <mergeCell ref="NCG26:NCJ26"/>
    <mergeCell ref="NCK26:NCN26"/>
    <mergeCell ref="NCO26:NCR26"/>
    <mergeCell ref="NCS26:NCV26"/>
  </mergeCells>
  <conditionalFormatting sqref="E3 C19">
    <cfRule type="containsText" dxfId="44" priority="1" operator="containsText" text="Boulons et Platines">
      <formula>NOT(ISERROR(SEARCH(("Boulons et Platines"),(C19))))</formula>
    </cfRule>
  </conditionalFormatting>
  <conditionalFormatting sqref="F19">
    <cfRule type="containsText" dxfId="43" priority="2" operator="containsText" text="Oui">
      <formula>NOT(ISERROR(SEARCH(("Oui"),(F19))))</formula>
    </cfRule>
  </conditionalFormatting>
  <conditionalFormatting sqref="F21:F22">
    <cfRule type="cellIs" dxfId="42" priority="3" operator="equal">
      <formula>"Oui"</formula>
    </cfRule>
  </conditionalFormatting>
  <dataValidations count="8">
    <dataValidation type="list" allowBlank="1" showErrorMessage="1" sqref="F19 F21" xr:uid="{00000000-0002-0000-0600-000000000000}">
      <formula1>$A$272:$A$273</formula1>
    </dataValidation>
    <dataValidation type="list" allowBlank="1" showErrorMessage="1" sqref="F23" xr:uid="{00000000-0002-0000-0600-000001000000}">
      <formula1>$A$279:$A$282</formula1>
    </dataValidation>
    <dataValidation type="list" allowBlank="1" showErrorMessage="1" sqref="C23" xr:uid="{00000000-0002-0000-0600-000002000000}">
      <formula1>$A$297:$A$299</formula1>
    </dataValidation>
    <dataValidation type="list" allowBlank="1" showErrorMessage="1" sqref="C19" xr:uid="{00000000-0002-0000-0600-000003000000}">
      <formula1>$A$269:$A$270</formula1>
    </dataValidation>
    <dataValidation type="list" allowBlank="1" showErrorMessage="1" sqref="C21" xr:uid="{00000000-0002-0000-0600-000005000000}">
      <formula1>$A$275:$A$277</formula1>
    </dataValidation>
    <dataValidation type="list" allowBlank="1" showErrorMessage="1" sqref="C17" xr:uid="{00000000-0002-0000-0600-000007000000}">
      <formula1>$A$261:$A$267</formula1>
    </dataValidation>
    <dataValidation type="list" allowBlank="1" showErrorMessage="1" sqref="B30 H30 B45 H45 B61 H61" xr:uid="{00000000-0002-0000-0600-000008000000}">
      <formula1>$A$290:$A$295</formula1>
    </dataValidation>
    <dataValidation type="list" allowBlank="1" showErrorMessage="1" sqref="A34 G34 A49 G49 A65 G65" xr:uid="{00000000-0002-0000-0600-000009000000}">
      <formula1>$A$284:$A$286</formula1>
    </dataValidation>
  </dataValidations>
  <pageMargins left="0.9055118110236221" right="0.31496062992125984" top="0.35433070866141736" bottom="0.35433070866141736" header="0" footer="0"/>
  <pageSetup paperSize="9" orientation="landscape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ErrorMessage="1" xr:uid="{00000000-0002-0000-0600-000004000000}">
          <x14:formula1>
            <xm:f>'Infos Clients'!$B$2:$B$10</xm:f>
          </x14:formula1>
          <xm:sqref>F10</xm:sqref>
        </x14:dataValidation>
        <x14:dataValidation type="list" allowBlank="1" showErrorMessage="1" xr:uid="{00000000-0002-0000-0600-000006000000}">
          <x14:formula1>
            <xm:f>'Infos Clients'!$A$19:$A$20</xm:f>
          </x14:formula1>
          <xm:sqref>F9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00B0F0"/>
  </sheetPr>
  <dimension ref="A1:Z1000"/>
  <sheetViews>
    <sheetView workbookViewId="0"/>
  </sheetViews>
  <sheetFormatPr baseColWidth="10" defaultColWidth="14.44140625" defaultRowHeight="15" customHeight="1" x14ac:dyDescent="0.3"/>
  <cols>
    <col min="1" max="1" width="26.88671875" customWidth="1"/>
    <col min="2" max="2" width="27.109375" customWidth="1"/>
    <col min="3" max="3" width="26.6640625" customWidth="1"/>
    <col min="4" max="4" width="22.6640625" customWidth="1"/>
    <col min="5" max="5" width="26" customWidth="1"/>
    <col min="6" max="7" width="22.6640625" customWidth="1"/>
    <col min="8" max="8" width="21.33203125" customWidth="1"/>
    <col min="9" max="10" width="18.88671875" customWidth="1"/>
    <col min="11" max="11" width="24.33203125" customWidth="1"/>
    <col min="12" max="12" width="18.88671875" customWidth="1"/>
    <col min="13" max="13" width="14.44140625" customWidth="1"/>
    <col min="14" max="14" width="18.33203125" customWidth="1"/>
    <col min="15" max="15" width="14.5546875" customWidth="1"/>
    <col min="16" max="16" width="11.44140625" customWidth="1"/>
    <col min="17" max="17" width="16.44140625" customWidth="1"/>
    <col min="18" max="26" width="11.44140625" customWidth="1"/>
  </cols>
  <sheetData>
    <row r="1" spans="1:26" ht="18" customHeight="1" x14ac:dyDescent="0.35">
      <c r="A1" s="1106" t="s">
        <v>215</v>
      </c>
      <c r="B1" s="1085"/>
      <c r="C1" s="1085"/>
      <c r="D1" s="1085"/>
      <c r="E1" s="1085"/>
      <c r="F1" s="1085"/>
      <c r="G1" s="1085"/>
      <c r="H1" s="1085"/>
      <c r="I1" s="1085"/>
      <c r="J1" s="1085"/>
      <c r="K1" s="1086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8" customHeight="1" x14ac:dyDescent="0.35">
      <c r="A2" s="1087"/>
      <c r="B2" s="1088"/>
      <c r="C2" s="1088"/>
      <c r="D2" s="1088"/>
      <c r="E2" s="1088"/>
      <c r="F2" s="1088"/>
      <c r="G2" s="1088"/>
      <c r="H2" s="1088"/>
      <c r="I2" s="1088"/>
      <c r="J2" s="1088"/>
      <c r="K2" s="1089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24" customHeight="1" x14ac:dyDescent="0.35">
      <c r="A3" s="1134"/>
      <c r="B3" s="2"/>
      <c r="C3" s="2"/>
      <c r="D3" s="2"/>
      <c r="E3" s="7">
        <f>IF(C19="Boulons et platines","Boulons et Platines",0)</f>
        <v>0</v>
      </c>
      <c r="F3" s="7">
        <f>IF(E3="Boulons et Platines","Nbre de Trous",0)</f>
        <v>0</v>
      </c>
      <c r="G3" s="8">
        <f>IF(E3="Boulons et Platines","Dim du Bord",0)</f>
        <v>0</v>
      </c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8" customHeight="1" x14ac:dyDescent="0.35">
      <c r="A4" s="1108"/>
      <c r="B4" s="2"/>
      <c r="C4" s="2"/>
      <c r="D4" s="2"/>
      <c r="E4" s="10">
        <f>IF(C19="Vis bois",0,"Trous dans la Longueur")</f>
        <v>0</v>
      </c>
      <c r="F4" s="6">
        <f>IF(E4=0,0,IF(C63&lt;100,2,IF(C63&lt;150,3,IF(C63&lt;200,4,IF(C63&lt;250,5,IF(C63&lt;300,6,7))))))</f>
        <v>0</v>
      </c>
      <c r="G4" s="11">
        <f>IF(F4=0,0,IF(F4=3,0,(($C$63-32)/(F4-1))+16))</f>
        <v>0</v>
      </c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8" customHeight="1" x14ac:dyDescent="0.35">
      <c r="A5" s="2"/>
      <c r="B5" s="2"/>
      <c r="C5" s="2"/>
      <c r="D5" s="2"/>
      <c r="E5" s="13">
        <f>IF(F4=6,"2ème Trou",IF(F4=7,"2ème Trou",0))</f>
        <v>0</v>
      </c>
      <c r="F5" s="2"/>
      <c r="G5" s="11">
        <f>IF(E5=0,0,G4+G4-16)</f>
        <v>0</v>
      </c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8" customHeight="1" x14ac:dyDescent="0.35">
      <c r="A6" s="2"/>
      <c r="B6" s="2"/>
      <c r="C6" s="2"/>
      <c r="D6" s="2"/>
      <c r="E6" s="10">
        <f>IF(C19="Vis bois",0,"Trous dans la Hauteur")</f>
        <v>0</v>
      </c>
      <c r="F6" s="6">
        <f>IF(E6=0,0,IF(D63&lt;100,2,IF(D63&lt;150,3,IF(D63&lt;200,4,IF(D63&lt;250,5,IF(D63&lt;310,6,7))))))</f>
        <v>0</v>
      </c>
      <c r="G6" s="11">
        <f>IF(F6=0,0,IF(F6=3,0,(($D$63-32)/(F6-1))+16))</f>
        <v>0</v>
      </c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8" customHeight="1" x14ac:dyDescent="0.35">
      <c r="A7" s="2"/>
      <c r="B7" s="2"/>
      <c r="C7" s="2"/>
      <c r="D7" s="2"/>
      <c r="E7" s="14">
        <f>IF(F6=6,"2ème Trou",IF(F6=7,"2ème Trou",0))</f>
        <v>0</v>
      </c>
      <c r="F7" s="15"/>
      <c r="G7" s="16">
        <f>IF(E7=0,0,G6+G6-16)</f>
        <v>0</v>
      </c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8" customHeight="1" x14ac:dyDescent="0.3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8" customHeight="1" x14ac:dyDescent="0.35">
      <c r="A9" s="2"/>
      <c r="B9" s="2" t="s">
        <v>1</v>
      </c>
      <c r="C9" s="20"/>
      <c r="D9" s="2"/>
      <c r="E9" s="6" t="s">
        <v>2</v>
      </c>
      <c r="F9" s="2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8" customHeight="1" x14ac:dyDescent="0.35">
      <c r="A10" s="2"/>
      <c r="B10" s="2" t="s">
        <v>4</v>
      </c>
      <c r="C10" s="23"/>
      <c r="D10" s="2"/>
      <c r="E10" s="6" t="s">
        <v>5</v>
      </c>
      <c r="F10" s="23" t="s">
        <v>216</v>
      </c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8" customHeight="1" x14ac:dyDescent="0.35">
      <c r="A11" s="2"/>
      <c r="B11" s="2" t="s">
        <v>138</v>
      </c>
      <c r="C11" s="23"/>
      <c r="D11" s="2"/>
      <c r="E11" s="6" t="s">
        <v>8</v>
      </c>
      <c r="F11" s="25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8" customHeight="1" x14ac:dyDescent="0.35">
      <c r="A12" s="2"/>
      <c r="B12" s="2"/>
      <c r="C12" s="6">
        <v>0</v>
      </c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8" customHeight="1" x14ac:dyDescent="0.4">
      <c r="A13" s="2"/>
      <c r="B13" s="19" t="s">
        <v>9</v>
      </c>
      <c r="C13" s="24" t="s">
        <v>10</v>
      </c>
      <c r="D13" s="2"/>
      <c r="E13" s="1099" t="str">
        <f>IF($C$13="Peuplier 15 mm","Clouage des Barres au 32 mm de l'intérieur","Clouage des Barres au 45 mm de l'extérieur")</f>
        <v>Clouage des Barres au 32 mm de l'intérieur</v>
      </c>
      <c r="F13" s="1100"/>
      <c r="G13" s="1101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8" customHeight="1" x14ac:dyDescent="0.4">
      <c r="A14" s="2"/>
      <c r="B14" s="19"/>
      <c r="C14" s="6"/>
      <c r="D14" s="2"/>
      <c r="E14" s="1099" t="str">
        <f>IF($C$19="Boulons et Platines",VLOOKUP($F$10,'Infos Clients'!$B$2:$G$11,5),VLOOKUP($F$10,'Infos Clients'!$B$2:$G$11,6))</f>
        <v>Fermeture par Vis Bois 4 x 70 + Cuvette Laiton</v>
      </c>
      <c r="F14" s="1100"/>
      <c r="G14" s="1101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8" customHeight="1" x14ac:dyDescent="0.35">
      <c r="A15" s="2"/>
      <c r="B15" s="19" t="s">
        <v>11</v>
      </c>
      <c r="C15" s="24" t="s">
        <v>12</v>
      </c>
      <c r="D15" s="2"/>
      <c r="E15" s="19" t="s">
        <v>210</v>
      </c>
      <c r="F15" s="24" t="s">
        <v>211</v>
      </c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9.5" customHeight="1" x14ac:dyDescent="0.35">
      <c r="A16" s="2"/>
      <c r="B16" s="2"/>
      <c r="C16" s="6"/>
      <c r="D16" s="2"/>
      <c r="E16" s="1098" t="str">
        <f>VLOOKUP(F10,'Infos Clients'!B2:D10,3)</f>
        <v>Valsem Scotch Marron, Styrofoam Armé,                         Carton Scotch Marron, Joint 19 mm</v>
      </c>
      <c r="F16" s="1085"/>
      <c r="G16" s="1086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8" customHeight="1" x14ac:dyDescent="0.35">
      <c r="A17" s="2"/>
      <c r="B17" s="19" t="s">
        <v>15</v>
      </c>
      <c r="C17" s="23" t="s">
        <v>16</v>
      </c>
      <c r="D17" s="2"/>
      <c r="E17" s="1091"/>
      <c r="F17" s="1097"/>
      <c r="G17" s="109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8" customHeight="1" x14ac:dyDescent="0.35">
      <c r="A18" s="2"/>
      <c r="B18" s="2"/>
      <c r="C18" s="6"/>
      <c r="D18" s="2"/>
      <c r="E18" s="1087"/>
      <c r="F18" s="1088"/>
      <c r="G18" s="1089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8" customHeight="1" x14ac:dyDescent="0.35">
      <c r="A19" s="2"/>
      <c r="B19" s="19" t="s">
        <v>17</v>
      </c>
      <c r="C19" s="23" t="s">
        <v>18</v>
      </c>
      <c r="D19" s="2"/>
      <c r="E19" s="19" t="s">
        <v>19</v>
      </c>
      <c r="F19" s="23" t="s">
        <v>20</v>
      </c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8" customHeight="1" x14ac:dyDescent="0.35">
      <c r="A20" s="2"/>
      <c r="B20" s="2"/>
      <c r="C20" s="6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8" customHeight="1" x14ac:dyDescent="0.35">
      <c r="A21" s="2"/>
      <c r="B21" s="19" t="s">
        <v>21</v>
      </c>
      <c r="C21" s="23" t="s">
        <v>22</v>
      </c>
      <c r="D21" s="2"/>
      <c r="E21" s="30" t="s">
        <v>25</v>
      </c>
      <c r="F21" s="23" t="s">
        <v>16</v>
      </c>
      <c r="G21" s="5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8" customHeight="1" x14ac:dyDescent="0.35">
      <c r="A22" s="2"/>
      <c r="B22" s="19"/>
      <c r="C22" s="6"/>
      <c r="D22" s="2"/>
      <c r="E22" s="30"/>
      <c r="F22" s="12"/>
      <c r="G22" s="5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8" customHeight="1" x14ac:dyDescent="0.35">
      <c r="A23" s="2"/>
      <c r="B23" s="19" t="s">
        <v>24</v>
      </c>
      <c r="C23" s="23" t="s">
        <v>24</v>
      </c>
      <c r="D23" s="2"/>
      <c r="E23" s="27" t="s">
        <v>23</v>
      </c>
      <c r="F23" s="29" t="s">
        <v>20</v>
      </c>
      <c r="G23" s="5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8" customHeight="1" x14ac:dyDescent="0.35">
      <c r="A24" s="2"/>
      <c r="B24" s="19"/>
      <c r="C24" s="6"/>
      <c r="D24" s="2"/>
      <c r="E24" s="30"/>
      <c r="F24" s="12"/>
      <c r="G24" s="5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8" customHeight="1" x14ac:dyDescent="0.35">
      <c r="A25" s="2"/>
      <c r="B25" s="19" t="s">
        <v>217</v>
      </c>
      <c r="C25" s="38" t="e">
        <f>IF(F25=4,VLOOKUP(I27,A232:B241,2),IF(F25=6,VLOOKUP(I27,A245:B254,2),IF(F25=8,VLOOKUP(I27,A257:B266,2),IF(F25=9,VLOOKUP(I27,A269:B278,2,0),IF(F25=10,VLOOKUP(I27,A281:B290,2))))))</f>
        <v>#N/A</v>
      </c>
      <c r="D25" s="2"/>
      <c r="E25" s="30" t="s">
        <v>34</v>
      </c>
      <c r="F25" s="23">
        <v>4</v>
      </c>
      <c r="G25" s="5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8" customHeight="1" x14ac:dyDescent="0.35">
      <c r="A26" s="2"/>
      <c r="B26" s="19"/>
      <c r="C26" s="6"/>
      <c r="D26" s="2"/>
      <c r="E26" s="30"/>
      <c r="F26" s="12"/>
      <c r="G26" s="5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8" customHeight="1" x14ac:dyDescent="0.35">
      <c r="A27" s="2"/>
      <c r="B27" s="19" t="s">
        <v>218</v>
      </c>
      <c r="C27" s="381">
        <f>SUM(Q104:Q138)</f>
        <v>0</v>
      </c>
      <c r="D27" s="2"/>
      <c r="E27" s="59" t="s">
        <v>219</v>
      </c>
      <c r="F27" s="382">
        <f>((B32/100)*(D32/100)*24)+((H32/100)*(J32/100)*24)+((B32/100)*(C32/100))*10*2+((H32/100)*(I32/100)*10*2)-2</f>
        <v>-2</v>
      </c>
      <c r="G27" s="5"/>
      <c r="H27" s="2" t="s">
        <v>220</v>
      </c>
      <c r="I27" s="383">
        <f>C27+F27</f>
        <v>-2</v>
      </c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8" customHeight="1" x14ac:dyDescent="0.35">
      <c r="A28" s="2"/>
      <c r="B28" s="19"/>
      <c r="C28" s="2"/>
      <c r="D28" s="2"/>
      <c r="E28" s="5"/>
      <c r="F28" s="5"/>
      <c r="G28" s="5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8" customHeight="1" x14ac:dyDescent="0.85">
      <c r="A29" s="2"/>
      <c r="B29" s="19"/>
      <c r="C29" s="33" t="str">
        <f>IF(F21="Aucun"," ",F21)</f>
        <v xml:space="preserve"> </v>
      </c>
      <c r="D29" s="2"/>
      <c r="E29" s="1102">
        <f>IF(F23="Oui","Mousse Garnie Tyvek",0)</f>
        <v>0</v>
      </c>
      <c r="F29" s="1100"/>
      <c r="G29" s="1101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8" customHeight="1" x14ac:dyDescent="0.35">
      <c r="A30" s="98"/>
      <c r="B30" s="269"/>
      <c r="C30" s="270"/>
      <c r="D30" s="270"/>
      <c r="E30" s="101"/>
      <c r="F30" s="101"/>
      <c r="G30" s="101"/>
      <c r="H30" s="270"/>
      <c r="I30" s="270"/>
      <c r="J30" s="270"/>
      <c r="K30" s="100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8" customHeight="1" x14ac:dyDescent="0.4">
      <c r="A31" s="173" t="str">
        <f>IF(B32="Aucun","Dimensions intérieures utiles","Dimensions de l'œuvre")</f>
        <v>Dimensions de l'œuvre</v>
      </c>
      <c r="B31" s="171" t="s">
        <v>28</v>
      </c>
      <c r="C31" s="171" t="s">
        <v>29</v>
      </c>
      <c r="D31" s="171" t="s">
        <v>30</v>
      </c>
      <c r="E31" s="172" t="s">
        <v>139</v>
      </c>
      <c r="F31" s="2"/>
      <c r="G31" s="173" t="str">
        <f>IF(H32="Aucun","Dimensions intérieures utiles","Dimensions de l'œuvre")</f>
        <v>Dimensions de l'œuvre</v>
      </c>
      <c r="H31" s="171" t="s">
        <v>28</v>
      </c>
      <c r="I31" s="171" t="s">
        <v>29</v>
      </c>
      <c r="J31" s="171" t="s">
        <v>30</v>
      </c>
      <c r="K31" s="172" t="s">
        <v>139</v>
      </c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8" customHeight="1" x14ac:dyDescent="0.4">
      <c r="A32" s="174"/>
      <c r="B32" s="35"/>
      <c r="C32" s="35"/>
      <c r="D32" s="35"/>
      <c r="E32" s="175"/>
      <c r="F32" s="2"/>
      <c r="G32" s="174"/>
      <c r="H32" s="35"/>
      <c r="I32" s="35"/>
      <c r="J32" s="35"/>
      <c r="K32" s="175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8" customHeight="1" x14ac:dyDescent="0.35">
      <c r="A33" s="176" t="s">
        <v>31</v>
      </c>
      <c r="B33" s="46" t="s">
        <v>16</v>
      </c>
      <c r="C33" s="34" t="s">
        <v>141</v>
      </c>
      <c r="D33" s="177"/>
      <c r="E33" s="175"/>
      <c r="F33" s="2"/>
      <c r="G33" s="176" t="s">
        <v>31</v>
      </c>
      <c r="H33" s="46" t="s">
        <v>16</v>
      </c>
      <c r="I33" s="34" t="s">
        <v>141</v>
      </c>
      <c r="J33" s="177"/>
      <c r="K33" s="175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8" customHeight="1" x14ac:dyDescent="0.35">
      <c r="A34" s="178"/>
      <c r="B34" s="45" t="s">
        <v>33</v>
      </c>
      <c r="C34" s="45" t="s">
        <v>28</v>
      </c>
      <c r="D34" s="45" t="s">
        <v>29</v>
      </c>
      <c r="E34" s="175" t="s">
        <v>34</v>
      </c>
      <c r="F34" s="2"/>
      <c r="G34" s="178"/>
      <c r="H34" s="45" t="s">
        <v>33</v>
      </c>
      <c r="I34" s="45" t="s">
        <v>28</v>
      </c>
      <c r="J34" s="45" t="s">
        <v>29</v>
      </c>
      <c r="K34" s="175" t="s">
        <v>34</v>
      </c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8" customHeight="1" x14ac:dyDescent="0.35">
      <c r="A35" s="176" t="s">
        <v>35</v>
      </c>
      <c r="B35" s="35"/>
      <c r="C35" s="45"/>
      <c r="D35" s="45"/>
      <c r="E35" s="175"/>
      <c r="F35" s="2"/>
      <c r="G35" s="176" t="s">
        <v>35</v>
      </c>
      <c r="H35" s="35"/>
      <c r="I35" s="45"/>
      <c r="J35" s="45"/>
      <c r="K35" s="175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8" customHeight="1" x14ac:dyDescent="0.35">
      <c r="A36" s="176" t="s">
        <v>36</v>
      </c>
      <c r="B36" s="35"/>
      <c r="C36" s="45"/>
      <c r="D36" s="45"/>
      <c r="E36" s="175"/>
      <c r="F36" s="2"/>
      <c r="G36" s="176" t="s">
        <v>36</v>
      </c>
      <c r="H36" s="35"/>
      <c r="I36" s="45"/>
      <c r="J36" s="45"/>
      <c r="K36" s="175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8" customHeight="1" x14ac:dyDescent="0.35">
      <c r="A37" s="179" t="s">
        <v>16</v>
      </c>
      <c r="B37" s="47">
        <f>+IF(B32=0,0,IF(B32&gt;70,12,6))</f>
        <v>0</v>
      </c>
      <c r="C37" s="45"/>
      <c r="D37" s="45"/>
      <c r="E37" s="372">
        <f>IF(B32&gt;300,6,IF(B32&gt;250,5,IF(B32&gt;200,4,IF(B32&gt;150,3,IF(B32&gt;120,3,2)))))</f>
        <v>2</v>
      </c>
      <c r="F37" s="180"/>
      <c r="G37" s="179" t="s">
        <v>16</v>
      </c>
      <c r="H37" s="47">
        <f>+IF(H32=0,0,IF(H32&gt;70,12,6))</f>
        <v>0</v>
      </c>
      <c r="I37" s="45"/>
      <c r="J37" s="45"/>
      <c r="K37" s="372">
        <f>IF(H32&gt;300,6,IF(H32&gt;250,5,IF(H32&gt;200,4,IF(H32&gt;150,3,IF(H32&gt;120,3,2)))))</f>
        <v>2</v>
      </c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8" customHeight="1" x14ac:dyDescent="0.35">
      <c r="A38" s="176" t="s">
        <v>39</v>
      </c>
      <c r="B38" s="207"/>
      <c r="C38" s="45"/>
      <c r="D38" s="207"/>
      <c r="E38" s="175"/>
      <c r="F38" s="2"/>
      <c r="G38" s="176" t="s">
        <v>39</v>
      </c>
      <c r="H38" s="207"/>
      <c r="I38" s="45"/>
      <c r="J38" s="207"/>
      <c r="K38" s="175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8" customHeight="1" x14ac:dyDescent="0.35">
      <c r="A39" s="176" t="s">
        <v>40</v>
      </c>
      <c r="B39" s="207"/>
      <c r="C39" s="207"/>
      <c r="D39" s="207"/>
      <c r="E39" s="175"/>
      <c r="F39" s="2"/>
      <c r="G39" s="176" t="s">
        <v>40</v>
      </c>
      <c r="H39" s="207"/>
      <c r="I39" s="207"/>
      <c r="J39" s="207"/>
      <c r="K39" s="175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8" customHeight="1" x14ac:dyDescent="0.35">
      <c r="A40" s="182" t="s">
        <v>41</v>
      </c>
      <c r="B40" s="207"/>
      <c r="C40" s="207"/>
      <c r="D40" s="207"/>
      <c r="E40" s="184"/>
      <c r="F40" s="2"/>
      <c r="G40" s="182" t="s">
        <v>41</v>
      </c>
      <c r="H40" s="207"/>
      <c r="I40" s="207"/>
      <c r="J40" s="207"/>
      <c r="K40" s="184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8" customHeight="1" x14ac:dyDescent="0.35">
      <c r="A41" s="185" t="s">
        <v>142</v>
      </c>
      <c r="B41" s="2">
        <f>IF(B32=0,0,B32+VLOOKUP(B33,$A$196:$L$201,2))</f>
        <v>0</v>
      </c>
      <c r="C41" s="2">
        <f>IF(C32=0,0,C32+VLOOKUP(B33,$A$196:$L$201,3))</f>
        <v>0</v>
      </c>
      <c r="D41" s="2">
        <f>IF(D32=0,0,D32+VLOOKUP(B33,$A$196:$L$201,4))</f>
        <v>0</v>
      </c>
      <c r="E41" s="2"/>
      <c r="F41" s="2"/>
      <c r="G41" s="185" t="s">
        <v>142</v>
      </c>
      <c r="H41" s="2">
        <f>IF(H32=0,0,H32+VLOOKUP(H33,$A$196:$L$201,2))</f>
        <v>0</v>
      </c>
      <c r="I41" s="2">
        <f>IF(I32=0,0,I32+VLOOKUP(H33,$A$196:$L$201,3))</f>
        <v>0</v>
      </c>
      <c r="J41" s="2">
        <f>IF(J32=0,0,J32+VLOOKUP(H33,$A$196:$L$201,4))</f>
        <v>0</v>
      </c>
      <c r="K41" s="109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8" customHeight="1" x14ac:dyDescent="0.35">
      <c r="A42" s="185"/>
      <c r="B42" s="2"/>
      <c r="C42" s="2"/>
      <c r="D42" s="2"/>
      <c r="E42" s="2"/>
      <c r="F42" s="2"/>
      <c r="G42" s="66"/>
      <c r="H42" s="15"/>
      <c r="I42" s="15"/>
      <c r="J42" s="15"/>
      <c r="K42" s="271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8" customHeight="1" x14ac:dyDescent="0.35">
      <c r="A43" s="186"/>
      <c r="B43" s="187"/>
      <c r="C43" s="187"/>
      <c r="D43" s="187"/>
      <c r="E43" s="187"/>
      <c r="F43" s="187"/>
      <c r="G43" s="272"/>
      <c r="H43" s="41"/>
      <c r="I43" s="41"/>
      <c r="J43" s="273"/>
      <c r="K43" s="187"/>
      <c r="L43" s="187"/>
      <c r="M43" s="187"/>
      <c r="N43" s="187"/>
      <c r="O43" s="187"/>
      <c r="P43" s="187"/>
      <c r="Q43" s="187"/>
      <c r="R43" s="187"/>
      <c r="S43" s="187"/>
      <c r="T43" s="187"/>
      <c r="U43" s="187"/>
      <c r="V43" s="187"/>
      <c r="W43" s="187"/>
      <c r="X43" s="187"/>
      <c r="Y43" s="187"/>
      <c r="Z43" s="187"/>
    </row>
    <row r="44" spans="1:26" ht="18" customHeight="1" x14ac:dyDescent="0.35">
      <c r="A44" s="384" t="s">
        <v>168</v>
      </c>
      <c r="B44" s="193">
        <f>B41+IF(H41=0,0,1.5+H41)</f>
        <v>0</v>
      </c>
      <c r="C44" s="193">
        <f t="shared" ref="C44:D44" si="0">MAX(C41,I41)</f>
        <v>0</v>
      </c>
      <c r="D44" s="193">
        <f t="shared" si="0"/>
        <v>0</v>
      </c>
      <c r="E44" s="193"/>
      <c r="F44" s="193"/>
      <c r="G44" s="176" t="s">
        <v>169</v>
      </c>
      <c r="H44" s="44">
        <f t="shared" ref="H44:J44" si="1">B44+3.5</f>
        <v>3.5</v>
      </c>
      <c r="I44" s="44">
        <f t="shared" si="1"/>
        <v>3.5</v>
      </c>
      <c r="J44" s="44">
        <f t="shared" si="1"/>
        <v>3.5</v>
      </c>
      <c r="K44" s="187"/>
      <c r="L44" s="187"/>
      <c r="M44" s="187"/>
      <c r="N44" s="187"/>
      <c r="O44" s="187"/>
      <c r="P44" s="187"/>
      <c r="Q44" s="187"/>
      <c r="R44" s="187"/>
      <c r="S44" s="187"/>
      <c r="T44" s="187"/>
      <c r="U44" s="187"/>
      <c r="V44" s="187"/>
      <c r="W44" s="187"/>
      <c r="X44" s="187"/>
      <c r="Y44" s="187"/>
      <c r="Z44" s="187"/>
    </row>
    <row r="45" spans="1:26" ht="18" customHeight="1" x14ac:dyDescent="0.35">
      <c r="A45" s="19"/>
      <c r="B45" s="2"/>
      <c r="C45" s="2"/>
      <c r="D45" s="2"/>
      <c r="E45" s="2"/>
      <c r="F45" s="2"/>
      <c r="G45" s="114" t="s">
        <v>152</v>
      </c>
      <c r="H45" s="15"/>
      <c r="I45" s="15"/>
      <c r="J45" s="271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8" customHeight="1" x14ac:dyDescent="0.35">
      <c r="A46" s="19"/>
      <c r="B46" s="2"/>
      <c r="C46" s="2"/>
      <c r="D46" s="2"/>
      <c r="E46" s="2"/>
      <c r="F46" s="2"/>
      <c r="G46" s="19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8" customHeight="1" x14ac:dyDescent="0.35">
      <c r="A47" s="19" t="s">
        <v>156</v>
      </c>
      <c r="B47" s="2"/>
      <c r="C47" s="2">
        <f t="shared" ref="C47:E47" si="2">H44</f>
        <v>3.5</v>
      </c>
      <c r="D47" s="2">
        <f t="shared" si="2"/>
        <v>3.5</v>
      </c>
      <c r="E47" s="2">
        <f t="shared" si="2"/>
        <v>3.5</v>
      </c>
      <c r="F47" s="2"/>
      <c r="G47" s="19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8" customHeight="1" x14ac:dyDescent="0.35">
      <c r="A48" s="19"/>
      <c r="B48" s="2"/>
      <c r="C48" s="2"/>
      <c r="D48" s="2"/>
      <c r="E48" s="2"/>
      <c r="F48" s="2"/>
      <c r="G48" s="19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8" customHeight="1" x14ac:dyDescent="0.3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8" customHeight="1" x14ac:dyDescent="0.35">
      <c r="A50" s="2"/>
      <c r="B50" s="244" t="s">
        <v>42</v>
      </c>
      <c r="C50" s="50" t="e">
        <f>C47+VLOOKUP(C17,$A$166:$P$172,2)+(VLOOKUP($C$25,A208:H216,2))</f>
        <v>#N/A</v>
      </c>
      <c r="D50" s="50" t="e">
        <f>D47+VLOOKUP(C17,$A$166:$P$172,3)+VLOOKUP($C$25,A208:H216,3)</f>
        <v>#N/A</v>
      </c>
      <c r="E50" s="50" t="e">
        <f>E47+(VLOOKUP(C17,$A$166:$P$172,4))+(VLOOKUP($C$25,A208:H216,4))</f>
        <v>#N/A</v>
      </c>
      <c r="F50" s="52" t="s">
        <v>43</v>
      </c>
      <c r="G50" s="21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8" customHeight="1" x14ac:dyDescent="0.35">
      <c r="A51" s="2"/>
      <c r="B51" s="19"/>
      <c r="C51" s="19"/>
      <c r="D51" s="19"/>
      <c r="E51" s="19"/>
      <c r="F51" s="53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8" customHeight="1" x14ac:dyDescent="0.35">
      <c r="A52" s="2"/>
      <c r="B52" s="244" t="s">
        <v>44</v>
      </c>
      <c r="C52" s="245" t="e">
        <f>C50+VLOOKUP(C21,A180:B182,2)+VLOOKUP(C13,A159:D159,4)*2+VLOOKUP(C15,A161:D161,4)*2</f>
        <v>#N/A</v>
      </c>
      <c r="D52" s="50" t="e">
        <f>IF(OR($F$21="Aucun",$F$21="Carton Fleur Melinex"),$D$50+VLOOKUP($C$13,$A$159:$D$159,4)*2+VLOOKUP($C$15,$A$161:$D$161,4)*2+0.5,$E$50+VLOOKUP($C$13,$A$159:$D$159,5)*2+VLOOKUP($C$15,$A$161:$D$161,4)*2)</f>
        <v>#N/A</v>
      </c>
      <c r="E52" s="51" t="e">
        <f>IF(OR($F$21="Aucun",$F$21="Carton Fleur Melinex"),$E$50+VLOOKUP($C$13,$A$159:$D$159,4)*2+VLOOKUP($C$15,$A$161:$D$161,4)*2+VLOOKUP($C$23,$A$203:$B$205,2),$D$50+VLOOKUP($C$13,$A$159:$D$159,4)*2+VLOOKUP($C$15,$A$161:$D$161,4)*2+VLOOKUP($C$23,$A$203:$B$205,2)+VLOOKUP($F$21,$A$184:$D$188,4)+0.5)</f>
        <v>#N/A</v>
      </c>
      <c r="F52" s="56">
        <f>ROUNDUP(C156,0)</f>
        <v>0</v>
      </c>
      <c r="G52" s="96"/>
      <c r="H52" s="71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8" customHeight="1" x14ac:dyDescent="0.35">
      <c r="A53" s="2"/>
      <c r="B53" s="70"/>
      <c r="C53" s="60"/>
      <c r="D53" s="19"/>
      <c r="E53" s="19"/>
      <c r="F53" s="61"/>
      <c r="G53" s="96"/>
      <c r="H53" s="71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8" customHeight="1" x14ac:dyDescent="0.35">
      <c r="A54" s="2"/>
      <c r="B54" s="62" t="s">
        <v>45</v>
      </c>
      <c r="C54" s="63" t="e">
        <f>Q148</f>
        <v>#N/A</v>
      </c>
      <c r="D54" s="64" t="s">
        <v>46</v>
      </c>
      <c r="E54" s="19"/>
      <c r="F54" s="61"/>
      <c r="G54" s="96"/>
      <c r="H54" s="71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8" customHeight="1" x14ac:dyDescent="0.35">
      <c r="A55" s="2"/>
      <c r="B55" s="66" t="s">
        <v>48</v>
      </c>
      <c r="C55" s="67">
        <f>D150</f>
        <v>0</v>
      </c>
      <c r="D55" s="68" t="s">
        <v>49</v>
      </c>
      <c r="E55" s="19"/>
      <c r="F55" s="61"/>
      <c r="G55" s="96"/>
      <c r="H55" s="71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8" customHeight="1" x14ac:dyDescent="0.35">
      <c r="A56" s="2"/>
      <c r="B56" s="70"/>
      <c r="C56" s="60"/>
      <c r="D56" s="19"/>
      <c r="E56" s="19"/>
      <c r="F56" s="61"/>
      <c r="G56" s="2"/>
      <c r="H56" s="71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8" customHeight="1" x14ac:dyDescent="0.35">
      <c r="A57" s="76"/>
      <c r="B57" s="73" t="s">
        <v>50</v>
      </c>
      <c r="C57" s="295"/>
      <c r="D57" s="295"/>
      <c r="E57" s="295"/>
      <c r="F57" s="296"/>
      <c r="G57" s="76"/>
      <c r="H57" s="76"/>
      <c r="I57" s="76"/>
      <c r="J57" s="76"/>
      <c r="K57" s="76"/>
      <c r="L57" s="76"/>
      <c r="M57" s="76"/>
      <c r="N57" s="76"/>
      <c r="O57" s="76"/>
      <c r="P57" s="76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35">
      <c r="A58" s="76"/>
      <c r="B58" s="164"/>
      <c r="C58" s="297"/>
      <c r="D58" s="297"/>
      <c r="E58" s="297"/>
      <c r="F58" s="298"/>
      <c r="G58" s="76"/>
      <c r="H58" s="76"/>
      <c r="I58" s="76"/>
      <c r="J58" s="76"/>
      <c r="K58" s="76"/>
      <c r="L58" s="76"/>
      <c r="M58" s="76"/>
      <c r="N58" s="76"/>
      <c r="O58" s="76"/>
      <c r="P58" s="76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45">
      <c r="A59" s="76"/>
      <c r="B59" s="299"/>
      <c r="C59" s="297"/>
      <c r="D59" s="297"/>
      <c r="E59" s="297"/>
      <c r="F59" s="298"/>
      <c r="G59" s="76"/>
      <c r="H59" s="76"/>
      <c r="I59" s="76"/>
      <c r="J59" s="76"/>
      <c r="K59" s="76"/>
      <c r="L59" s="76"/>
      <c r="M59" s="76"/>
      <c r="N59" s="76"/>
      <c r="O59" s="76"/>
      <c r="P59" s="76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35">
      <c r="A60" s="76"/>
      <c r="B60" s="166"/>
      <c r="C60" s="300"/>
      <c r="D60" s="300"/>
      <c r="E60" s="300"/>
      <c r="F60" s="301"/>
      <c r="G60" s="76"/>
      <c r="H60" s="76"/>
      <c r="I60" s="76"/>
      <c r="J60" s="76"/>
      <c r="K60" s="76"/>
      <c r="L60" s="76"/>
      <c r="M60" s="76"/>
      <c r="N60" s="76"/>
      <c r="O60" s="76"/>
      <c r="P60" s="76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8" customHeight="1" x14ac:dyDescent="0.35">
      <c r="A61" s="2"/>
      <c r="B61" s="19"/>
      <c r="C61" s="19"/>
      <c r="D61" s="19"/>
      <c r="E61" s="19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8" customHeight="1" x14ac:dyDescent="0.35">
      <c r="A62" s="2"/>
      <c r="B62" s="2"/>
      <c r="C62" s="2"/>
      <c r="D62" s="2"/>
      <c r="E62" s="2"/>
      <c r="F62" s="6" t="s">
        <v>34</v>
      </c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8" customHeight="1" x14ac:dyDescent="0.35">
      <c r="A63" s="60" t="s">
        <v>53</v>
      </c>
      <c r="B63" s="85" t="str">
        <f>VLOOKUP(C13,A159:D159,2)</f>
        <v>Peuplier 15 mm</v>
      </c>
      <c r="C63" s="87" t="e">
        <f>C50+2*(VLOOKUP(B64,A159:D159,4)+VLOOKUP(C15,A161:D161,4))</f>
        <v>#N/A</v>
      </c>
      <c r="D63" s="87" t="e">
        <f>E50+2*(VLOOKUP(B65,A159:D159,4)+VLOOKUP(C15,A161:D161,4))</f>
        <v>#N/A</v>
      </c>
      <c r="E63" s="85" t="str">
        <f t="shared" ref="E63:E65" si="3">B63</f>
        <v>Peuplier 15 mm</v>
      </c>
      <c r="F63" s="88">
        <v>2</v>
      </c>
      <c r="G63" s="2"/>
      <c r="H63" s="2"/>
      <c r="I63" s="2"/>
      <c r="J63" s="89" t="e">
        <f t="shared" ref="J63:J74" si="4">IF(C63=0,0,(C63/100)*(D63/100)*F63)</f>
        <v>#N/A</v>
      </c>
      <c r="K63" s="89" t="e">
        <f t="shared" ref="K63:K74" si="5">J63/0.8</f>
        <v>#N/A</v>
      </c>
      <c r="L63" s="71">
        <f>IF(E63=0,0,VLOOKUP(E63,'Prix Matiere'!$A$4:$J$65,10))</f>
        <v>16.895876288659796</v>
      </c>
      <c r="M63" s="71" t="e">
        <f t="shared" ref="M63:M65" si="6">L63*K63</f>
        <v>#N/A</v>
      </c>
      <c r="N63" s="3" t="e">
        <f t="shared" ref="N63:N65" si="7">IF(J63=0,0,(7.0924*J63)+15)</f>
        <v>#N/A</v>
      </c>
      <c r="O63" s="71" t="e">
        <f>N63*MinuteMO</f>
        <v>#N/A</v>
      </c>
      <c r="P63" s="2"/>
      <c r="Q63" s="383" t="e">
        <f>IF(E63=0,0,VLOOKUP(E63,'Prix Matiere'!$A$4:$L$65,12))*J63</f>
        <v>#N/A</v>
      </c>
      <c r="R63" s="2"/>
      <c r="S63" s="2"/>
      <c r="T63" s="2"/>
      <c r="U63" s="2"/>
      <c r="V63" s="2"/>
      <c r="W63" s="2"/>
      <c r="X63" s="2"/>
      <c r="Y63" s="2"/>
      <c r="Z63" s="2"/>
    </row>
    <row r="64" spans="1:26" ht="18" customHeight="1" x14ac:dyDescent="0.35">
      <c r="A64" s="60" t="s">
        <v>54</v>
      </c>
      <c r="B64" s="85" t="str">
        <f>VLOOKUP(C13,A159:D159,3)</f>
        <v>Peuplier 15 mm</v>
      </c>
      <c r="C64" s="87" t="e">
        <f>C63</f>
        <v>#N/A</v>
      </c>
      <c r="D64" s="87" t="e">
        <f>D50</f>
        <v>#N/A</v>
      </c>
      <c r="E64" s="85" t="str">
        <f t="shared" si="3"/>
        <v>Peuplier 15 mm</v>
      </c>
      <c r="F64" s="88">
        <v>2</v>
      </c>
      <c r="G64" s="2"/>
      <c r="H64" s="2"/>
      <c r="I64" s="2"/>
      <c r="J64" s="89" t="e">
        <f t="shared" si="4"/>
        <v>#N/A</v>
      </c>
      <c r="K64" s="89" t="e">
        <f t="shared" si="5"/>
        <v>#N/A</v>
      </c>
      <c r="L64" s="71">
        <f>IF(E64=0,0,VLOOKUP(E64,'Prix Matiere'!$A$4:$J$65,10))</f>
        <v>16.895876288659796</v>
      </c>
      <c r="M64" s="71" t="e">
        <f t="shared" si="6"/>
        <v>#N/A</v>
      </c>
      <c r="N64" s="3" t="e">
        <f t="shared" si="7"/>
        <v>#N/A</v>
      </c>
      <c r="O64" s="71" t="e">
        <f>N64*MinuteMO</f>
        <v>#N/A</v>
      </c>
      <c r="P64" s="2"/>
      <c r="Q64" s="383" t="e">
        <f>IF(E64=0,0,VLOOKUP(E64,'Prix Matiere'!$A$4:$L$65,12))*J64</f>
        <v>#N/A</v>
      </c>
      <c r="R64" s="2"/>
      <c r="S64" s="2"/>
      <c r="T64" s="2"/>
      <c r="U64" s="2"/>
      <c r="V64" s="2"/>
      <c r="W64" s="2"/>
      <c r="X64" s="2"/>
      <c r="Y64" s="2"/>
      <c r="Z64" s="2"/>
    </row>
    <row r="65" spans="1:26" ht="18" customHeight="1" x14ac:dyDescent="0.35">
      <c r="A65" s="60" t="s">
        <v>55</v>
      </c>
      <c r="B65" s="85" t="str">
        <f>VLOOKUP(C13,A159:D159,3)</f>
        <v>Peuplier 15 mm</v>
      </c>
      <c r="C65" s="87" t="e">
        <f>E50</f>
        <v>#N/A</v>
      </c>
      <c r="D65" s="87" t="e">
        <f>D50</f>
        <v>#N/A</v>
      </c>
      <c r="E65" s="85" t="str">
        <f t="shared" si="3"/>
        <v>Peuplier 15 mm</v>
      </c>
      <c r="F65" s="88">
        <v>2</v>
      </c>
      <c r="G65" s="2"/>
      <c r="H65" s="2"/>
      <c r="I65" s="2"/>
      <c r="J65" s="89" t="e">
        <f t="shared" si="4"/>
        <v>#N/A</v>
      </c>
      <c r="K65" s="89" t="e">
        <f t="shared" si="5"/>
        <v>#N/A</v>
      </c>
      <c r="L65" s="71">
        <f>IF(E65=0,0,VLOOKUP(E65,'Prix Matiere'!$A$4:$J$65,10))</f>
        <v>16.895876288659796</v>
      </c>
      <c r="M65" s="71" t="e">
        <f t="shared" si="6"/>
        <v>#N/A</v>
      </c>
      <c r="N65" s="3" t="e">
        <f t="shared" si="7"/>
        <v>#N/A</v>
      </c>
      <c r="O65" s="71" t="e">
        <f>N65*MinuteMO</f>
        <v>#N/A</v>
      </c>
      <c r="P65" s="2"/>
      <c r="Q65" s="383" t="e">
        <f>IF(E65=0,0,VLOOKUP(E65,'Prix Matiere'!$A$4:$L$65,12))*J65</f>
        <v>#N/A</v>
      </c>
      <c r="R65" s="2"/>
      <c r="S65" s="2"/>
      <c r="T65" s="2"/>
      <c r="U65" s="2"/>
      <c r="V65" s="2"/>
      <c r="W65" s="2"/>
      <c r="X65" s="2"/>
      <c r="Y65" s="2"/>
      <c r="Z65" s="2"/>
    </row>
    <row r="66" spans="1:26" ht="18" customHeight="1" x14ac:dyDescent="0.35">
      <c r="A66" s="2"/>
      <c r="B66" s="2"/>
      <c r="C66" s="2"/>
      <c r="D66" s="2"/>
      <c r="E66" s="2"/>
      <c r="F66" s="2"/>
      <c r="G66" s="2"/>
      <c r="H66" s="2"/>
      <c r="I66" s="2"/>
      <c r="J66" s="89">
        <f t="shared" si="4"/>
        <v>0</v>
      </c>
      <c r="K66" s="89">
        <f t="shared" si="5"/>
        <v>0</v>
      </c>
      <c r="L66" s="71"/>
      <c r="M66" s="71"/>
      <c r="N66" s="3"/>
      <c r="O66" s="71"/>
      <c r="P66" s="2"/>
      <c r="Q66" s="383">
        <f>IF(E66=0,0,VLOOKUP(E66,'Prix Matiere'!$A$4:$L$65,12))*J66</f>
        <v>0</v>
      </c>
      <c r="R66" s="2"/>
      <c r="S66" s="2"/>
      <c r="T66" s="2"/>
      <c r="U66" s="2"/>
      <c r="V66" s="2"/>
      <c r="W66" s="2"/>
      <c r="X66" s="2"/>
      <c r="Y66" s="2"/>
      <c r="Z66" s="2"/>
    </row>
    <row r="67" spans="1:26" ht="18" customHeight="1" x14ac:dyDescent="0.35">
      <c r="A67" s="2"/>
      <c r="B67" s="2"/>
      <c r="C67" s="2"/>
      <c r="D67" s="2"/>
      <c r="E67" s="2"/>
      <c r="F67" s="2"/>
      <c r="G67" s="2"/>
      <c r="H67" s="2"/>
      <c r="I67" s="2"/>
      <c r="J67" s="89">
        <f t="shared" si="4"/>
        <v>0</v>
      </c>
      <c r="K67" s="89">
        <f t="shared" si="5"/>
        <v>0</v>
      </c>
      <c r="L67" s="71"/>
      <c r="M67" s="71"/>
      <c r="N67" s="3"/>
      <c r="O67" s="71"/>
      <c r="P67" s="2"/>
      <c r="Q67" s="383">
        <f>IF(E67=0,0,VLOOKUP(E67,'Prix Matiere'!$A$4:$L$65,12))*J67</f>
        <v>0</v>
      </c>
      <c r="R67" s="2"/>
      <c r="S67" s="2"/>
      <c r="T67" s="2"/>
      <c r="U67" s="2"/>
      <c r="V67" s="2"/>
      <c r="W67" s="2"/>
      <c r="X67" s="2"/>
      <c r="Y67" s="2"/>
      <c r="Z67" s="2"/>
    </row>
    <row r="68" spans="1:26" ht="18" customHeight="1" x14ac:dyDescent="0.35">
      <c r="A68" s="19" t="s">
        <v>11</v>
      </c>
      <c r="B68" s="45" t="s">
        <v>56</v>
      </c>
      <c r="C68" s="87" t="e">
        <f>C63</f>
        <v>#N/A</v>
      </c>
      <c r="D68" s="45" t="e">
        <f>IF(D63&gt;80,9.4,7)</f>
        <v>#N/A</v>
      </c>
      <c r="E68" s="34" t="str">
        <f t="shared" ref="E68:E70" si="8">IF($C$15="Pin raboté 4 faces","Barres 21 R4F","Barres 19 mm")</f>
        <v>Barres 21 R4F</v>
      </c>
      <c r="F68" s="45">
        <v>4</v>
      </c>
      <c r="G68" s="2"/>
      <c r="H68" s="2"/>
      <c r="I68" s="2"/>
      <c r="J68" s="89" t="e">
        <f t="shared" si="4"/>
        <v>#N/A</v>
      </c>
      <c r="K68" s="89" t="e">
        <f t="shared" si="5"/>
        <v>#N/A</v>
      </c>
      <c r="L68" s="71">
        <f>IF(E68=0,0,VLOOKUP(E68,'Prix Matiere'!$A$4:$J$65,10))</f>
        <v>18.969072164948454</v>
      </c>
      <c r="M68" s="71" t="e">
        <f t="shared" ref="M68:M74" si="9">L68*K68</f>
        <v>#N/A</v>
      </c>
      <c r="N68" s="3" t="e">
        <f t="shared" ref="N68:N74" si="10">IF(J68=0,0,1+(11*J68))</f>
        <v>#N/A</v>
      </c>
      <c r="O68" s="71" t="e">
        <f t="shared" ref="O68:O74" si="11">N68*MinuteMO</f>
        <v>#N/A</v>
      </c>
      <c r="P68" s="2"/>
      <c r="Q68" s="383" t="e">
        <f>IF(E68=0,0,VLOOKUP(E68,'Prix Matiere'!$A$4:$L$65,12))*J68</f>
        <v>#N/A</v>
      </c>
      <c r="R68" s="2"/>
      <c r="S68" s="2"/>
      <c r="T68" s="2"/>
      <c r="U68" s="2"/>
      <c r="V68" s="2"/>
      <c r="W68" s="2"/>
      <c r="X68" s="2"/>
      <c r="Y68" s="2"/>
      <c r="Z68" s="2"/>
    </row>
    <row r="69" spans="1:26" ht="18" customHeight="1" x14ac:dyDescent="0.35">
      <c r="A69" s="2"/>
      <c r="B69" s="45" t="s">
        <v>57</v>
      </c>
      <c r="C69" s="45" t="e">
        <f>D63-2*D68</f>
        <v>#N/A</v>
      </c>
      <c r="D69" s="45" t="e">
        <f>D68</f>
        <v>#N/A</v>
      </c>
      <c r="E69" s="34" t="str">
        <f t="shared" si="8"/>
        <v>Barres 21 R4F</v>
      </c>
      <c r="F69" s="45">
        <v>4</v>
      </c>
      <c r="G69" s="2"/>
      <c r="H69" s="2"/>
      <c r="I69" s="2"/>
      <c r="J69" s="89" t="e">
        <f t="shared" si="4"/>
        <v>#N/A</v>
      </c>
      <c r="K69" s="89" t="e">
        <f t="shared" si="5"/>
        <v>#N/A</v>
      </c>
      <c r="L69" s="71">
        <f>IF(E69=0,0,VLOOKUP(E69,'Prix Matiere'!$A$4:$J$65,10))</f>
        <v>18.969072164948454</v>
      </c>
      <c r="M69" s="71" t="e">
        <f t="shared" si="9"/>
        <v>#N/A</v>
      </c>
      <c r="N69" s="3" t="e">
        <f t="shared" si="10"/>
        <v>#N/A</v>
      </c>
      <c r="O69" s="71" t="e">
        <f t="shared" si="11"/>
        <v>#N/A</v>
      </c>
      <c r="P69" s="2"/>
      <c r="Q69" s="383" t="e">
        <f>IF(E69=0,0,VLOOKUP(E69,'Prix Matiere'!$A$4:$L$65,12))*J69</f>
        <v>#N/A</v>
      </c>
      <c r="R69" s="2"/>
      <c r="S69" s="2"/>
      <c r="T69" s="2"/>
      <c r="U69" s="2"/>
      <c r="V69" s="2"/>
      <c r="W69" s="2"/>
      <c r="X69" s="2"/>
      <c r="Y69" s="2"/>
      <c r="Z69" s="2"/>
    </row>
    <row r="70" spans="1:26" ht="18" customHeight="1" x14ac:dyDescent="0.35">
      <c r="A70" s="2"/>
      <c r="B70" s="45" t="s">
        <v>58</v>
      </c>
      <c r="C70" s="87" t="e">
        <f>C68</f>
        <v>#N/A</v>
      </c>
      <c r="D70" s="45" t="e">
        <f>IF($D$50&lt;14.4,$D$50,7)</f>
        <v>#N/A</v>
      </c>
      <c r="E70" s="34" t="str">
        <f t="shared" si="8"/>
        <v>Barres 21 R4F</v>
      </c>
      <c r="F70" s="92" t="e">
        <f>IF(D50&lt;14.4,2,4)</f>
        <v>#N/A</v>
      </c>
      <c r="G70" s="2"/>
      <c r="H70" s="2"/>
      <c r="I70" s="2"/>
      <c r="J70" s="89" t="e">
        <f t="shared" si="4"/>
        <v>#N/A</v>
      </c>
      <c r="K70" s="89" t="e">
        <f t="shared" si="5"/>
        <v>#N/A</v>
      </c>
      <c r="L70" s="71">
        <f>IF(E70=0,0,VLOOKUP(E70,'Prix Matiere'!$A$4:$J$65,10))</f>
        <v>18.969072164948454</v>
      </c>
      <c r="M70" s="71" t="e">
        <f t="shared" si="9"/>
        <v>#N/A</v>
      </c>
      <c r="N70" s="3" t="e">
        <f t="shared" si="10"/>
        <v>#N/A</v>
      </c>
      <c r="O70" s="71" t="e">
        <f t="shared" si="11"/>
        <v>#N/A</v>
      </c>
      <c r="P70" s="2"/>
      <c r="Q70" s="383" t="e">
        <f>IF(E70=0,0,VLOOKUP(E70,'Prix Matiere'!$A$4:$L$65,12))*J70</f>
        <v>#N/A</v>
      </c>
      <c r="R70" s="2"/>
      <c r="S70" s="2"/>
      <c r="T70" s="2"/>
      <c r="U70" s="2"/>
      <c r="V70" s="2"/>
      <c r="W70" s="2"/>
      <c r="X70" s="2"/>
      <c r="Y70" s="2"/>
      <c r="Z70" s="2"/>
    </row>
    <row r="71" spans="1:26" ht="18" customHeight="1" x14ac:dyDescent="0.35">
      <c r="A71" s="2"/>
      <c r="B71" s="45" t="str">
        <f>C23</f>
        <v>Skis</v>
      </c>
      <c r="C71" s="87" t="e">
        <f>IF(B71="Skis",C63-10,IF(B71="10 dessous en semelles",D52,IF(B71="10 dessous en skis",(C68-70)/2)))</f>
        <v>#N/A</v>
      </c>
      <c r="D71" s="45">
        <f>IF($F$10="BOVIS",9.4,7)</f>
        <v>7</v>
      </c>
      <c r="E71" s="34" t="str">
        <f>IF($C$23="Skis","Barres 21 R4F","Semelles R4F")</f>
        <v>Barres 21 R4F</v>
      </c>
      <c r="F71" s="45">
        <f>IF(B71="Skis",2,IF(B71="10 dessous en semelles",2,F70))</f>
        <v>2</v>
      </c>
      <c r="G71" s="2"/>
      <c r="H71" s="2"/>
      <c r="I71" s="2"/>
      <c r="J71" s="89" t="e">
        <f t="shared" si="4"/>
        <v>#N/A</v>
      </c>
      <c r="K71" s="89" t="e">
        <f t="shared" si="5"/>
        <v>#N/A</v>
      </c>
      <c r="L71" s="71">
        <f>IF(E71=0,0,VLOOKUP(E71,'Prix Matiere'!$A$4:$J$65,10))</f>
        <v>18.969072164948454</v>
      </c>
      <c r="M71" s="71" t="e">
        <f t="shared" si="9"/>
        <v>#N/A</v>
      </c>
      <c r="N71" s="3" t="e">
        <f t="shared" si="10"/>
        <v>#N/A</v>
      </c>
      <c r="O71" s="71" t="e">
        <f t="shared" si="11"/>
        <v>#N/A</v>
      </c>
      <c r="P71" s="2"/>
      <c r="Q71" s="383" t="e">
        <f>IF(E71=0,0,VLOOKUP(E71,'Prix Matiere'!$A$4:$L$65,12))*J71</f>
        <v>#N/A</v>
      </c>
      <c r="R71" s="2"/>
      <c r="S71" s="2"/>
      <c r="T71" s="2"/>
      <c r="U71" s="2"/>
      <c r="V71" s="2"/>
      <c r="W71" s="2"/>
      <c r="X71" s="2"/>
      <c r="Y71" s="2"/>
      <c r="Z71" s="2"/>
    </row>
    <row r="72" spans="1:26" ht="18" customHeight="1" x14ac:dyDescent="0.35">
      <c r="A72" s="2"/>
      <c r="B72" s="45" t="s">
        <v>59</v>
      </c>
      <c r="C72" s="87" t="e">
        <f>IF(D50&lt;14.4,0,D50)</f>
        <v>#N/A</v>
      </c>
      <c r="D72" s="45" t="e">
        <f>IF(D50&lt;14.4,0,D68)</f>
        <v>#N/A</v>
      </c>
      <c r="E72" s="34" t="str">
        <f t="shared" ref="E72:E73" si="12">IF($C$15="Pin raboté 4 faces","Barres 21 R4F","Barres 19 mm")</f>
        <v>Barres 21 R4F</v>
      </c>
      <c r="F72" s="45" t="e">
        <f>IF(D50&lt;14.4,0,4)</f>
        <v>#N/A</v>
      </c>
      <c r="G72" s="2"/>
      <c r="H72" s="2"/>
      <c r="I72" s="2"/>
      <c r="J72" s="89" t="e">
        <f t="shared" si="4"/>
        <v>#N/A</v>
      </c>
      <c r="K72" s="89" t="e">
        <f t="shared" si="5"/>
        <v>#N/A</v>
      </c>
      <c r="L72" s="71">
        <f>IF(E72=0,0,VLOOKUP(E72,'Prix Matiere'!$A$4:$J$65,10))</f>
        <v>18.969072164948454</v>
      </c>
      <c r="M72" s="71" t="e">
        <f t="shared" si="9"/>
        <v>#N/A</v>
      </c>
      <c r="N72" s="3" t="e">
        <f t="shared" si="10"/>
        <v>#N/A</v>
      </c>
      <c r="O72" s="71" t="e">
        <f t="shared" si="11"/>
        <v>#N/A</v>
      </c>
      <c r="P72" s="2"/>
      <c r="Q72" s="383" t="e">
        <f>IF(E72=0,0,VLOOKUP(E72,'Prix Matiere'!$A$4:$L$65,12))*J72</f>
        <v>#N/A</v>
      </c>
      <c r="R72" s="2"/>
      <c r="S72" s="2"/>
      <c r="T72" s="2"/>
      <c r="U72" s="2"/>
      <c r="V72" s="2"/>
      <c r="W72" s="2"/>
      <c r="X72" s="2"/>
      <c r="Y72" s="2"/>
      <c r="Z72" s="2"/>
    </row>
    <row r="73" spans="1:26" ht="18" customHeight="1" x14ac:dyDescent="0.35">
      <c r="A73" s="2"/>
      <c r="B73" s="45" t="s">
        <v>60</v>
      </c>
      <c r="C73" s="45" t="e">
        <f>IF(D50&lt;14.4,E50,C65-2*D72)</f>
        <v>#N/A</v>
      </c>
      <c r="D73" s="45" t="e">
        <f>IF($D$50&lt;14.4,$D$50,IF($D$50&lt;20,5,7))</f>
        <v>#N/A</v>
      </c>
      <c r="E73" s="34" t="str">
        <f t="shared" si="12"/>
        <v>Barres 21 R4F</v>
      </c>
      <c r="F73" s="92" t="e">
        <f>IF(D50&lt;14.4,2,4)</f>
        <v>#N/A</v>
      </c>
      <c r="G73" s="2"/>
      <c r="H73" s="2"/>
      <c r="I73" s="2"/>
      <c r="J73" s="89" t="e">
        <f t="shared" si="4"/>
        <v>#N/A</v>
      </c>
      <c r="K73" s="89" t="e">
        <f t="shared" si="5"/>
        <v>#N/A</v>
      </c>
      <c r="L73" s="71">
        <f>IF(E73=0,0,VLOOKUP(E73,'Prix Matiere'!$A$4:$J$65,10))</f>
        <v>18.969072164948454</v>
      </c>
      <c r="M73" s="71" t="e">
        <f t="shared" si="9"/>
        <v>#N/A</v>
      </c>
      <c r="N73" s="3" t="e">
        <f t="shared" si="10"/>
        <v>#N/A</v>
      </c>
      <c r="O73" s="71" t="e">
        <f t="shared" si="11"/>
        <v>#N/A</v>
      </c>
      <c r="P73" s="2"/>
      <c r="Q73" s="383" t="e">
        <f>IF(E73=0,0,VLOOKUP(E73,'Prix Matiere'!$A$4:$L$65,12))*J73</f>
        <v>#N/A</v>
      </c>
      <c r="R73" s="2"/>
      <c r="S73" s="2"/>
      <c r="T73" s="2"/>
      <c r="U73" s="2"/>
      <c r="V73" s="2"/>
      <c r="W73" s="2"/>
      <c r="X73" s="2"/>
      <c r="Y73" s="2"/>
      <c r="Z73" s="2"/>
    </row>
    <row r="74" spans="1:26" ht="18" customHeight="1" x14ac:dyDescent="0.35">
      <c r="A74" s="2"/>
      <c r="B74" s="45" t="e">
        <f>IF(D50&lt;14.4,0,IF(C21="Bois","Poignées",IF(C21="Métal x 2 sur bouts","Supports poignées",0)))</f>
        <v>#N/A</v>
      </c>
      <c r="C74" s="45" t="e">
        <f>IF(B74="Poignées",D65+VLOOKUP(C13,A159:D159,4)*2+4.2,IF(B74="Supports poignées",D65-2*D73,0))</f>
        <v>#N/A</v>
      </c>
      <c r="D74" s="45" t="e">
        <f>IF(B74="Poignées",7,IF(B74="Supports poignées",9.4,0))</f>
        <v>#N/A</v>
      </c>
      <c r="E74" s="34" t="s">
        <v>61</v>
      </c>
      <c r="F74" s="45" t="e">
        <f>IF(B74=0,0,2)</f>
        <v>#N/A</v>
      </c>
      <c r="G74" s="2"/>
      <c r="H74" s="2"/>
      <c r="I74" s="2"/>
      <c r="J74" s="89" t="e">
        <f t="shared" si="4"/>
        <v>#N/A</v>
      </c>
      <c r="K74" s="89" t="e">
        <f t="shared" si="5"/>
        <v>#N/A</v>
      </c>
      <c r="L74" s="71">
        <f>IF(E74=0,0,VLOOKUP(E74,'Prix Matiere'!$A$4:$J$65,10))</f>
        <v>18.969072164948454</v>
      </c>
      <c r="M74" s="71" t="e">
        <f t="shared" si="9"/>
        <v>#N/A</v>
      </c>
      <c r="N74" s="3" t="e">
        <f t="shared" si="10"/>
        <v>#N/A</v>
      </c>
      <c r="O74" s="71" t="e">
        <f t="shared" si="11"/>
        <v>#N/A</v>
      </c>
      <c r="P74" s="2"/>
      <c r="Q74" s="383" t="e">
        <f>IF(E74=0,0,VLOOKUP(E74,'Prix Matiere'!$A$4:$L$65,12))*J74</f>
        <v>#N/A</v>
      </c>
      <c r="R74" s="2"/>
      <c r="S74" s="2"/>
      <c r="T74" s="2"/>
      <c r="U74" s="2"/>
      <c r="V74" s="2"/>
      <c r="W74" s="2"/>
      <c r="X74" s="2"/>
      <c r="Y74" s="2"/>
      <c r="Z74" s="2"/>
    </row>
    <row r="75" spans="1:26" ht="18" customHeight="1" x14ac:dyDescent="0.3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71"/>
      <c r="M75" s="71"/>
      <c r="N75" s="3"/>
      <c r="O75" s="71"/>
      <c r="P75" s="2"/>
      <c r="Q75" s="383">
        <f>IF(E75=0,0,VLOOKUP(E75,'Prix Matiere'!$A$4:$L$65,12))*J75</f>
        <v>0</v>
      </c>
      <c r="R75" s="2"/>
      <c r="S75" s="2"/>
      <c r="T75" s="2"/>
      <c r="U75" s="2"/>
      <c r="V75" s="2"/>
      <c r="W75" s="2"/>
      <c r="X75" s="2"/>
      <c r="Y75" s="2"/>
      <c r="Z75" s="2"/>
    </row>
    <row r="76" spans="1:26" ht="18" customHeight="1" x14ac:dyDescent="0.3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71"/>
      <c r="M76" s="71"/>
      <c r="N76" s="3"/>
      <c r="O76" s="71"/>
      <c r="P76" s="2"/>
      <c r="Q76" s="383">
        <f>IF(E76=0,0,VLOOKUP(E76,'Prix Matiere'!$A$4:$L$65,12))*J76</f>
        <v>0</v>
      </c>
      <c r="R76" s="2"/>
      <c r="S76" s="2"/>
      <c r="T76" s="2"/>
      <c r="U76" s="2"/>
      <c r="V76" s="2"/>
      <c r="W76" s="2"/>
      <c r="X76" s="2"/>
      <c r="Y76" s="2"/>
      <c r="Z76" s="2"/>
    </row>
    <row r="77" spans="1:26" ht="18" customHeight="1" x14ac:dyDescent="0.35">
      <c r="A77" s="19" t="s">
        <v>62</v>
      </c>
      <c r="B77" s="45" t="s">
        <v>63</v>
      </c>
      <c r="C77" s="45">
        <f>IF(F77=0,0,C50)</f>
        <v>0</v>
      </c>
      <c r="D77" s="45">
        <f>IF(F77=0,0,E81+VLOOKUP($C$17,A166:P172,5))</f>
        <v>0</v>
      </c>
      <c r="E77" s="34">
        <f>VLOOKUP($C$17,A166:P172,6)</f>
        <v>0</v>
      </c>
      <c r="F77" s="45">
        <f>VLOOKUP($C$17,A166:P172,7)</f>
        <v>0</v>
      </c>
      <c r="G77" s="2"/>
      <c r="H77" s="2"/>
      <c r="I77" s="2"/>
      <c r="J77" s="2">
        <f t="shared" ref="J77:J79" si="13">IF(C77=0,0,(C77/100)*(D77/100)*F77)</f>
        <v>0</v>
      </c>
      <c r="K77" s="2">
        <f t="shared" ref="K77:K79" si="14">J77/0.8</f>
        <v>0</v>
      </c>
      <c r="L77" s="71">
        <f>IF(E77=0,0,VLOOKUP(E77,'Prix Matiere'!$A$4:$J$65,10))</f>
        <v>0</v>
      </c>
      <c r="M77" s="71">
        <f t="shared" ref="M77:M79" si="15">L77*K77</f>
        <v>0</v>
      </c>
      <c r="N77" s="3">
        <f t="shared" ref="N77:N79" si="16">IF(J77=0,0,(4.7283*J77)+3)</f>
        <v>0</v>
      </c>
      <c r="O77" s="71">
        <f>N77*MinuteMO</f>
        <v>0</v>
      </c>
      <c r="P77" s="2"/>
      <c r="Q77" s="383">
        <f>IF(E77=0,0,VLOOKUP(E77,'Prix Matiere'!$A$4:$L$65,12))*J77</f>
        <v>0</v>
      </c>
      <c r="R77" s="2"/>
      <c r="S77" s="2"/>
      <c r="T77" s="2"/>
      <c r="U77" s="2"/>
      <c r="V77" s="2"/>
      <c r="W77" s="2"/>
      <c r="X77" s="2"/>
      <c r="Y77" s="2"/>
      <c r="Z77" s="2"/>
    </row>
    <row r="78" spans="1:26" ht="18" customHeight="1" x14ac:dyDescent="0.35">
      <c r="A78" s="2"/>
      <c r="B78" s="45" t="s">
        <v>54</v>
      </c>
      <c r="C78" s="45">
        <f>IF(F78=0,0,C50)</f>
        <v>0</v>
      </c>
      <c r="D78" s="45">
        <f>IF(F78=0,0,D81)</f>
        <v>0</v>
      </c>
      <c r="E78" s="34">
        <f>IF($C$17="Aucun",0,VLOOKUP($C$17,A166:P172,6))</f>
        <v>0</v>
      </c>
      <c r="F78" s="45">
        <f>VLOOKUP($C$17,A166:P172,7)</f>
        <v>0</v>
      </c>
      <c r="G78" s="2"/>
      <c r="H78" s="2"/>
      <c r="I78" s="2"/>
      <c r="J78" s="2">
        <f t="shared" si="13"/>
        <v>0</v>
      </c>
      <c r="K78" s="2">
        <f t="shared" si="14"/>
        <v>0</v>
      </c>
      <c r="L78" s="71">
        <f>IF(E78=0,0,VLOOKUP(E78,'Prix Matiere'!$A$4:$J$65,10))</f>
        <v>0</v>
      </c>
      <c r="M78" s="71">
        <f t="shared" si="15"/>
        <v>0</v>
      </c>
      <c r="N78" s="3">
        <f t="shared" si="16"/>
        <v>0</v>
      </c>
      <c r="O78" s="71">
        <f>N78*MinuteMO</f>
        <v>0</v>
      </c>
      <c r="P78" s="2"/>
      <c r="Q78" s="383">
        <f>IF(E78=0,0,VLOOKUP(E78,'Prix Matiere'!$A$4:$L$65,12))*J78</f>
        <v>0</v>
      </c>
      <c r="R78" s="2"/>
      <c r="S78" s="2"/>
      <c r="T78" s="2"/>
      <c r="U78" s="2"/>
      <c r="V78" s="2"/>
      <c r="W78" s="2"/>
      <c r="X78" s="2"/>
      <c r="Y78" s="2"/>
      <c r="Z78" s="2"/>
    </row>
    <row r="79" spans="1:26" ht="18" customHeight="1" x14ac:dyDescent="0.35">
      <c r="A79" s="2"/>
      <c r="B79" s="45" t="s">
        <v>55</v>
      </c>
      <c r="C79" s="45">
        <f>IF(F79=0,0,E81)</f>
        <v>0</v>
      </c>
      <c r="D79" s="45">
        <f>IF(F79=0,0,D81)</f>
        <v>0</v>
      </c>
      <c r="E79" s="34">
        <f>IF($C$17="Aucun",0,VLOOKUP($C$17,A166:P172,6))</f>
        <v>0</v>
      </c>
      <c r="F79" s="45">
        <f>VLOOKUP($C$17,A166:P172,7)</f>
        <v>0</v>
      </c>
      <c r="G79" s="2"/>
      <c r="H79" s="2"/>
      <c r="I79" s="2"/>
      <c r="J79" s="2">
        <f t="shared" si="13"/>
        <v>0</v>
      </c>
      <c r="K79" s="2">
        <f t="shared" si="14"/>
        <v>0</v>
      </c>
      <c r="L79" s="71">
        <f>IF(E79=0,0,VLOOKUP(E79,'Prix Matiere'!$A$4:$J$65,10))</f>
        <v>0</v>
      </c>
      <c r="M79" s="71">
        <f t="shared" si="15"/>
        <v>0</v>
      </c>
      <c r="N79" s="3">
        <f t="shared" si="16"/>
        <v>0</v>
      </c>
      <c r="O79" s="71">
        <f>N79*MinuteMO</f>
        <v>0</v>
      </c>
      <c r="P79" s="2"/>
      <c r="Q79" s="383">
        <f>IF(E79=0,0,VLOOKUP(E79,'Prix Matiere'!$A$4:$L$65,12))*J79</f>
        <v>0</v>
      </c>
      <c r="R79" s="2"/>
      <c r="S79" s="2"/>
      <c r="T79" s="2"/>
      <c r="U79" s="2"/>
      <c r="V79" s="2"/>
      <c r="W79" s="2"/>
      <c r="X79" s="2"/>
      <c r="Y79" s="2"/>
      <c r="Z79" s="2"/>
    </row>
    <row r="80" spans="1:26" ht="18" customHeight="1" x14ac:dyDescent="0.3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71"/>
      <c r="M80" s="71"/>
      <c r="N80" s="3"/>
      <c r="O80" s="71"/>
      <c r="P80" s="2"/>
      <c r="Q80" s="383">
        <f>IF(E80=0,0,VLOOKUP(E80,'Prix Matiere'!$A$4:$L$65,12))*J80</f>
        <v>0</v>
      </c>
      <c r="R80" s="2"/>
      <c r="S80" s="2"/>
      <c r="T80" s="2"/>
      <c r="U80" s="2"/>
      <c r="V80" s="2"/>
      <c r="W80" s="2"/>
      <c r="X80" s="2"/>
      <c r="Y80" s="2"/>
      <c r="Z80" s="2"/>
    </row>
    <row r="81" spans="1:26" ht="18" customHeight="1" x14ac:dyDescent="0.35">
      <c r="A81" s="2"/>
      <c r="B81" s="2" t="s">
        <v>64</v>
      </c>
      <c r="C81" s="2" t="e">
        <f>C50-VLOOKUP(C17,A166:P172,5)</f>
        <v>#N/A</v>
      </c>
      <c r="D81" s="2" t="e">
        <f>D50-VLOOKUP(C17,A166:P172,5)</f>
        <v>#N/A</v>
      </c>
      <c r="E81" s="2" t="e">
        <f>E50-VLOOKUP(C17,A166:P172,5)</f>
        <v>#N/A</v>
      </c>
      <c r="F81" s="2"/>
      <c r="G81" s="2"/>
      <c r="H81" s="2"/>
      <c r="I81" s="2"/>
      <c r="J81" s="2"/>
      <c r="K81" s="2"/>
      <c r="L81" s="71"/>
      <c r="M81" s="71"/>
      <c r="N81" s="3"/>
      <c r="O81" s="71"/>
      <c r="P81" s="2"/>
      <c r="Q81" s="383"/>
      <c r="R81" s="2"/>
      <c r="S81" s="2"/>
      <c r="T81" s="2"/>
      <c r="U81" s="2"/>
      <c r="V81" s="2"/>
      <c r="W81" s="2"/>
      <c r="X81" s="2"/>
      <c r="Y81" s="2"/>
      <c r="Z81" s="2"/>
    </row>
    <row r="82" spans="1:26" ht="18" customHeight="1" x14ac:dyDescent="0.3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71"/>
      <c r="M82" s="71"/>
      <c r="N82" s="3"/>
      <c r="O82" s="71"/>
      <c r="P82" s="2"/>
      <c r="Q82" s="383">
        <f>IF(E82=0,0,VLOOKUP(E82,'Prix Matiere'!$A$4:$L$65,12))*J82</f>
        <v>0</v>
      </c>
      <c r="R82" s="2"/>
      <c r="S82" s="2"/>
      <c r="T82" s="2"/>
      <c r="U82" s="2"/>
      <c r="V82" s="2"/>
      <c r="W82" s="2"/>
      <c r="X82" s="2"/>
      <c r="Y82" s="2"/>
      <c r="Z82" s="2"/>
    </row>
    <row r="83" spans="1:26" ht="18" customHeight="1" x14ac:dyDescent="0.35">
      <c r="A83" s="19" t="s">
        <v>65</v>
      </c>
      <c r="B83" s="45" t="s">
        <v>63</v>
      </c>
      <c r="C83" s="45">
        <f>IF(F83=0,0,C87+VLOOKUP(C17,A166:P172,8))-0.5</f>
        <v>-0.5</v>
      </c>
      <c r="D83" s="45">
        <f>IF(F83=0,0,E87+VLOOKUP(C17,A166:P172,8))-0.5</f>
        <v>-0.5</v>
      </c>
      <c r="E83" s="34">
        <f>VLOOKUP(C17,A166:P172,9)</f>
        <v>0</v>
      </c>
      <c r="F83" s="45">
        <f>VLOOKUP($C$17,A166:P172,10)</f>
        <v>0</v>
      </c>
      <c r="G83" s="2"/>
      <c r="H83" s="2"/>
      <c r="I83" s="2"/>
      <c r="J83" s="2">
        <f t="shared" ref="J83:J85" si="17">IF(C83=0,0,(C83/100)*(D83/100)*F83)</f>
        <v>0</v>
      </c>
      <c r="K83" s="2">
        <f t="shared" ref="K83:K85" si="18">J83/0.8</f>
        <v>0</v>
      </c>
      <c r="L83" s="71">
        <f>IF(E83=0,0,VLOOKUP(E83,'Prix Matiere'!A4:J60,10))</f>
        <v>0</v>
      </c>
      <c r="M83" s="71">
        <f t="shared" ref="M83:M85" si="19">L83*K83</f>
        <v>0</v>
      </c>
      <c r="N83" s="3">
        <f t="shared" ref="N83:N85" si="20">IF(J83=0,0,(3.94*J83)+5)</f>
        <v>0</v>
      </c>
      <c r="O83" s="71">
        <f>N83*MinuteMO</f>
        <v>0</v>
      </c>
      <c r="P83" s="2"/>
      <c r="Q83" s="383">
        <f>IF(E83=0,0,VLOOKUP(E83,'Prix Matiere'!$A$4:$L$65,12))*J83</f>
        <v>0</v>
      </c>
      <c r="R83" s="2"/>
      <c r="S83" s="2"/>
      <c r="T83" s="2"/>
      <c r="U83" s="2"/>
      <c r="V83" s="2"/>
      <c r="W83" s="2"/>
      <c r="X83" s="2"/>
      <c r="Y83" s="2"/>
      <c r="Z83" s="2"/>
    </row>
    <row r="84" spans="1:26" ht="18" customHeight="1" x14ac:dyDescent="0.35">
      <c r="A84" s="2"/>
      <c r="B84" s="45" t="s">
        <v>54</v>
      </c>
      <c r="C84" s="45">
        <f>IF(F84=0,0,C87+VLOOKUP(C17,A166:P172,8))</f>
        <v>0</v>
      </c>
      <c r="D84" s="45">
        <f>IF(F84=0,0,D87)</f>
        <v>0</v>
      </c>
      <c r="E84" s="34">
        <f>VLOOKUP(C17,A166:P172,9)</f>
        <v>0</v>
      </c>
      <c r="F84" s="45">
        <f>VLOOKUP($C$17,A166:P172,10)</f>
        <v>0</v>
      </c>
      <c r="G84" s="2"/>
      <c r="H84" s="2"/>
      <c r="I84" s="2"/>
      <c r="J84" s="2">
        <f t="shared" si="17"/>
        <v>0</v>
      </c>
      <c r="K84" s="2">
        <f t="shared" si="18"/>
        <v>0</v>
      </c>
      <c r="L84" s="71">
        <f>IF(E84=0,0,VLOOKUP(E84,'Prix Matiere'!A5:J61,10))</f>
        <v>0</v>
      </c>
      <c r="M84" s="71">
        <f t="shared" si="19"/>
        <v>0</v>
      </c>
      <c r="N84" s="3">
        <f t="shared" si="20"/>
        <v>0</v>
      </c>
      <c r="O84" s="71">
        <f>N84*MinuteMO</f>
        <v>0</v>
      </c>
      <c r="P84" s="2"/>
      <c r="Q84" s="383">
        <f>IF(E84=0,0,VLOOKUP(E84,'Prix Matiere'!$A$4:$L$65,12))*J84</f>
        <v>0</v>
      </c>
      <c r="R84" s="2"/>
      <c r="S84" s="2"/>
      <c r="T84" s="2"/>
      <c r="U84" s="2"/>
      <c r="V84" s="2"/>
      <c r="W84" s="2"/>
      <c r="X84" s="2"/>
      <c r="Y84" s="2"/>
      <c r="Z84" s="2"/>
    </row>
    <row r="85" spans="1:26" ht="18" customHeight="1" x14ac:dyDescent="0.35">
      <c r="A85" s="2"/>
      <c r="B85" s="45" t="s">
        <v>55</v>
      </c>
      <c r="C85" s="45">
        <f>IF(F85=0,0,E87)</f>
        <v>0</v>
      </c>
      <c r="D85" s="45">
        <f>IF(F85=0,0,D87)</f>
        <v>0</v>
      </c>
      <c r="E85" s="34">
        <f>VLOOKUP(C17,A166:P172,9)</f>
        <v>0</v>
      </c>
      <c r="F85" s="45">
        <f>VLOOKUP($C$17,A166:P172,10)</f>
        <v>0</v>
      </c>
      <c r="G85" s="2"/>
      <c r="H85" s="2"/>
      <c r="I85" s="2"/>
      <c r="J85" s="2">
        <f t="shared" si="17"/>
        <v>0</v>
      </c>
      <c r="K85" s="2">
        <f t="shared" si="18"/>
        <v>0</v>
      </c>
      <c r="L85" s="71">
        <f>IF(E85=0,0,VLOOKUP(E85,'Prix Matiere'!A6:J62,10))</f>
        <v>0</v>
      </c>
      <c r="M85" s="71">
        <f t="shared" si="19"/>
        <v>0</v>
      </c>
      <c r="N85" s="3">
        <f t="shared" si="20"/>
        <v>0</v>
      </c>
      <c r="O85" s="71">
        <f>N85*MinuteMO</f>
        <v>0</v>
      </c>
      <c r="P85" s="2"/>
      <c r="Q85" s="383">
        <f>IF(E85=0,0,VLOOKUP(E85,'Prix Matiere'!$A$4:$L$65,12))*J85</f>
        <v>0</v>
      </c>
      <c r="R85" s="2"/>
      <c r="S85" s="2"/>
      <c r="T85" s="2"/>
      <c r="U85" s="2"/>
      <c r="V85" s="2"/>
      <c r="W85" s="2"/>
      <c r="X85" s="2"/>
      <c r="Y85" s="2"/>
      <c r="Z85" s="2"/>
    </row>
    <row r="86" spans="1:26" ht="18" customHeight="1" x14ac:dyDescent="0.3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71"/>
      <c r="M86" s="71"/>
      <c r="N86" s="3"/>
      <c r="O86" s="71"/>
      <c r="P86" s="2"/>
      <c r="Q86" s="383">
        <f>IF(E86=0,0,VLOOKUP(E86,'Prix Matiere'!$A$4:$L$65,12))*J86</f>
        <v>0</v>
      </c>
      <c r="R86" s="2"/>
      <c r="S86" s="2"/>
      <c r="T86" s="2"/>
      <c r="U86" s="2"/>
      <c r="V86" s="2"/>
      <c r="W86" s="2"/>
      <c r="X86" s="2"/>
      <c r="Y86" s="2"/>
      <c r="Z86" s="2"/>
    </row>
    <row r="87" spans="1:26" ht="18" customHeight="1" x14ac:dyDescent="0.35">
      <c r="A87" s="2"/>
      <c r="B87" s="2" t="s">
        <v>66</v>
      </c>
      <c r="C87" s="2" t="e">
        <f>C81-VLOOKUP(C17,A166:P172,8)</f>
        <v>#N/A</v>
      </c>
      <c r="D87" s="2" t="e">
        <f>D81-VLOOKUP(C17,A166:P172,8)</f>
        <v>#N/A</v>
      </c>
      <c r="E87" s="2" t="e">
        <f>E81-VLOOKUP(C17,A166:P172,8)</f>
        <v>#N/A</v>
      </c>
      <c r="F87" s="2"/>
      <c r="G87" s="2"/>
      <c r="H87" s="2"/>
      <c r="I87" s="2"/>
      <c r="J87" s="2"/>
      <c r="K87" s="2"/>
      <c r="L87" s="71"/>
      <c r="M87" s="71"/>
      <c r="N87" s="3"/>
      <c r="O87" s="71"/>
      <c r="P87" s="2"/>
      <c r="Q87" s="383"/>
      <c r="R87" s="2"/>
      <c r="S87" s="2"/>
      <c r="T87" s="2"/>
      <c r="U87" s="2"/>
      <c r="V87" s="2"/>
      <c r="W87" s="2"/>
      <c r="X87" s="2"/>
      <c r="Y87" s="2"/>
      <c r="Z87" s="2"/>
    </row>
    <row r="88" spans="1:26" ht="18" customHeight="1" x14ac:dyDescent="0.3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71"/>
      <c r="M88" s="71"/>
      <c r="N88" s="3"/>
      <c r="O88" s="71"/>
      <c r="P88" s="2"/>
      <c r="Q88" s="383">
        <f>IF(E88=0,0,VLOOKUP(E88,'Prix Matiere'!$A$4:$L$65,12))*J88</f>
        <v>0</v>
      </c>
      <c r="R88" s="2"/>
      <c r="S88" s="2"/>
      <c r="T88" s="2"/>
      <c r="U88" s="2"/>
      <c r="V88" s="2"/>
      <c r="W88" s="2"/>
      <c r="X88" s="2"/>
      <c r="Y88" s="2"/>
      <c r="Z88" s="2"/>
    </row>
    <row r="89" spans="1:26" ht="18" customHeight="1" x14ac:dyDescent="0.35">
      <c r="A89" s="19" t="s">
        <v>67</v>
      </c>
      <c r="B89" s="45" t="s">
        <v>63</v>
      </c>
      <c r="C89" s="45">
        <f>IF(F89=0,0,C92)</f>
        <v>0</v>
      </c>
      <c r="D89" s="45">
        <f>IF(F89=0,0,10)</f>
        <v>0</v>
      </c>
      <c r="E89" s="34">
        <f>VLOOKUP(C17,A166:P172,12)</f>
        <v>0</v>
      </c>
      <c r="F89" s="45">
        <f>VLOOKUP(C17,A166:P172,13)</f>
        <v>0</v>
      </c>
      <c r="G89" s="2"/>
      <c r="H89" s="2"/>
      <c r="I89" s="2"/>
      <c r="J89" s="2">
        <f t="shared" ref="J89:J90" si="21">IF(C89=0,0,(C89/100)*(D89/100)*F89)</f>
        <v>0</v>
      </c>
      <c r="K89" s="2">
        <f t="shared" ref="K89:K90" si="22">J89/0.8</f>
        <v>0</v>
      </c>
      <c r="L89" s="71">
        <f>IF(E89=0,0,VLOOKUP(E89,'Prix Matiere'!$A$4:$J$65,10))</f>
        <v>0</v>
      </c>
      <c r="M89" s="71">
        <f t="shared" ref="M89:M90" si="23">L89*K89</f>
        <v>0</v>
      </c>
      <c r="N89" s="3">
        <f t="shared" ref="N89:N90" si="24">IF(J89=0,0,1+(6*J89))</f>
        <v>0</v>
      </c>
      <c r="O89" s="71">
        <f>N89*MinuteMO</f>
        <v>0</v>
      </c>
      <c r="P89" s="2"/>
      <c r="Q89" s="383">
        <f>IF(E89=0,0,VLOOKUP(E89,'Prix Matiere'!$A$4:$L$65,12))*J89</f>
        <v>0</v>
      </c>
      <c r="R89" s="2"/>
      <c r="S89" s="2"/>
      <c r="T89" s="2"/>
      <c r="U89" s="2"/>
      <c r="V89" s="2"/>
      <c r="W89" s="2"/>
      <c r="X89" s="2"/>
      <c r="Y89" s="2"/>
      <c r="Z89" s="2"/>
    </row>
    <row r="90" spans="1:26" ht="18" customHeight="1" x14ac:dyDescent="0.35">
      <c r="A90" s="2"/>
      <c r="B90" s="45" t="s">
        <v>54</v>
      </c>
      <c r="C90" s="45">
        <f>IF(F90=0,0,D87)</f>
        <v>0</v>
      </c>
      <c r="D90" s="45">
        <f>IF(F89=0,0,D89)</f>
        <v>0</v>
      </c>
      <c r="E90" s="34">
        <f>VLOOKUP(C17,A166:P172,12)</f>
        <v>0</v>
      </c>
      <c r="F90" s="45">
        <f>VLOOKUP(C17,A166:P172,13)*2</f>
        <v>0</v>
      </c>
      <c r="G90" s="2"/>
      <c r="H90" s="2"/>
      <c r="I90" s="2"/>
      <c r="J90" s="2">
        <f t="shared" si="21"/>
        <v>0</v>
      </c>
      <c r="K90" s="2">
        <f t="shared" si="22"/>
        <v>0</v>
      </c>
      <c r="L90" s="71">
        <f>IF(E90=0,0,VLOOKUP(E90,'Prix Matiere'!$A$4:$J$65,10))</f>
        <v>0</v>
      </c>
      <c r="M90" s="71">
        <f t="shared" si="23"/>
        <v>0</v>
      </c>
      <c r="N90" s="3">
        <f t="shared" si="24"/>
        <v>0</v>
      </c>
      <c r="O90" s="71">
        <f>N90*MinuteMO</f>
        <v>0</v>
      </c>
      <c r="P90" s="2"/>
      <c r="Q90" s="383">
        <f>IF(E90=0,0,VLOOKUP(E90,'Prix Matiere'!$A$4:$L$65,12))*J90</f>
        <v>0</v>
      </c>
      <c r="R90" s="2"/>
      <c r="S90" s="2"/>
      <c r="T90" s="2"/>
      <c r="U90" s="2"/>
      <c r="V90" s="2"/>
      <c r="W90" s="2"/>
      <c r="X90" s="2"/>
      <c r="Y90" s="2"/>
      <c r="Z90" s="2"/>
    </row>
    <row r="91" spans="1:26" ht="18" customHeight="1" x14ac:dyDescent="0.3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71"/>
      <c r="M91" s="71"/>
      <c r="N91" s="3"/>
      <c r="O91" s="71"/>
      <c r="P91" s="2"/>
      <c r="Q91" s="383">
        <f>IF(E91=0,0,VLOOKUP(E91,'Prix Matiere'!$A$4:$L$65,12))*J91</f>
        <v>0</v>
      </c>
      <c r="R91" s="2"/>
      <c r="S91" s="2"/>
      <c r="T91" s="2"/>
      <c r="U91" s="2"/>
      <c r="V91" s="2"/>
      <c r="W91" s="2"/>
      <c r="X91" s="2"/>
      <c r="Y91" s="2"/>
      <c r="Z91" s="2"/>
    </row>
    <row r="92" spans="1:26" ht="18" customHeight="1" x14ac:dyDescent="0.35">
      <c r="A92" s="2"/>
      <c r="B92" s="2" t="s">
        <v>68</v>
      </c>
      <c r="C92" s="2" t="e">
        <f>C87-VLOOKUP($C$17,A166:P172,11)</f>
        <v>#N/A</v>
      </c>
      <c r="D92" s="2" t="e">
        <f>D87-VLOOKUP($C$17,A166:P172,11)</f>
        <v>#N/A</v>
      </c>
      <c r="E92" s="2" t="e">
        <f>E87-VLOOKUP($C$17,A166:P172,11)</f>
        <v>#N/A</v>
      </c>
      <c r="F92" s="2"/>
      <c r="G92" s="2"/>
      <c r="H92" s="2"/>
      <c r="I92" s="2"/>
      <c r="J92" s="2"/>
      <c r="K92" s="2"/>
      <c r="L92" s="71"/>
      <c r="M92" s="71"/>
      <c r="N92" s="3"/>
      <c r="O92" s="71"/>
      <c r="P92" s="2"/>
      <c r="Q92" s="383"/>
      <c r="R92" s="2"/>
      <c r="S92" s="2"/>
      <c r="T92" s="2"/>
      <c r="U92" s="2"/>
      <c r="V92" s="2"/>
      <c r="W92" s="2"/>
      <c r="X92" s="2"/>
      <c r="Y92" s="2"/>
      <c r="Z92" s="2"/>
    </row>
    <row r="93" spans="1:26" ht="18" customHeight="1" x14ac:dyDescent="0.3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71"/>
      <c r="M93" s="71"/>
      <c r="N93" s="3"/>
      <c r="O93" s="71"/>
      <c r="P93" s="2"/>
      <c r="Q93" s="383">
        <f>IF(E93=0,0,VLOOKUP(E93,'Prix Matiere'!$A$4:$L$65,12))*J93</f>
        <v>0</v>
      </c>
      <c r="R93" s="2"/>
      <c r="S93" s="2"/>
      <c r="T93" s="2"/>
      <c r="U93" s="2"/>
      <c r="V93" s="2"/>
      <c r="W93" s="2"/>
      <c r="X93" s="2"/>
      <c r="Y93" s="2"/>
      <c r="Z93" s="2"/>
    </row>
    <row r="94" spans="1:26" ht="18" customHeight="1" x14ac:dyDescent="0.35">
      <c r="A94" s="19" t="s">
        <v>69</v>
      </c>
      <c r="B94" s="45" t="s">
        <v>63</v>
      </c>
      <c r="C94" s="45">
        <f>IF(F94=0,0,C98+VLOOKUP($C$17,A166:P172,14))</f>
        <v>0</v>
      </c>
      <c r="D94" s="45">
        <f>IF(F94=0,0,E98+VLOOKUP($C$17,A166:P172,14))</f>
        <v>0</v>
      </c>
      <c r="E94" s="34">
        <f>VLOOKUP($C$17,A166:P172,15)</f>
        <v>0</v>
      </c>
      <c r="F94" s="45">
        <f>VLOOKUP($C$17,A166:P172,16)</f>
        <v>0</v>
      </c>
      <c r="G94" s="2"/>
      <c r="H94" s="2"/>
      <c r="I94" s="2"/>
      <c r="J94" s="2">
        <f t="shared" ref="J94:J96" si="25">IF(C94=0,0,(C94/100)*(D94/100)*F94)</f>
        <v>0</v>
      </c>
      <c r="K94" s="2">
        <f t="shared" ref="K94:K96" si="26">J94/0.8</f>
        <v>0</v>
      </c>
      <c r="L94" s="71">
        <f>IF(E94=0,0,VLOOKUP(E94,'Prix Matiere'!A4:J60,10))</f>
        <v>0</v>
      </c>
      <c r="M94" s="71">
        <f t="shared" ref="M94:M96" si="27">L94*K94</f>
        <v>0</v>
      </c>
      <c r="N94" s="3">
        <f t="shared" ref="N94:N96" si="28">IF(J94=0,0,(3.94*J94)+5)</f>
        <v>0</v>
      </c>
      <c r="O94" s="71">
        <f>N94*MinuteMO</f>
        <v>0</v>
      </c>
      <c r="P94" s="2"/>
      <c r="Q94" s="383">
        <f>IF(E94=0,0,VLOOKUP(E94,'Prix Matiere'!$A$4:$L$65,12))*J94</f>
        <v>0</v>
      </c>
      <c r="R94" s="2"/>
      <c r="S94" s="2"/>
      <c r="T94" s="2"/>
      <c r="U94" s="2"/>
      <c r="V94" s="2"/>
      <c r="W94" s="2"/>
      <c r="X94" s="2"/>
      <c r="Y94" s="2"/>
      <c r="Z94" s="2"/>
    </row>
    <row r="95" spans="1:26" ht="18" customHeight="1" x14ac:dyDescent="0.35">
      <c r="A95" s="2"/>
      <c r="B95" s="45" t="s">
        <v>54</v>
      </c>
      <c r="C95" s="45">
        <f>IF(F95=0,0,C98+VLOOKUP($C$17,A166:P172,14))</f>
        <v>0</v>
      </c>
      <c r="D95" s="45">
        <f>IF(F95=0,0,D98)</f>
        <v>0</v>
      </c>
      <c r="E95" s="34">
        <f>VLOOKUP($C$17,A166:P172,15)</f>
        <v>0</v>
      </c>
      <c r="F95" s="45">
        <f>VLOOKUP($C$17,A166:P172,16)</f>
        <v>0</v>
      </c>
      <c r="G95" s="2"/>
      <c r="H95" s="2"/>
      <c r="I95" s="2"/>
      <c r="J95" s="2">
        <f t="shared" si="25"/>
        <v>0</v>
      </c>
      <c r="K95" s="2">
        <f t="shared" si="26"/>
        <v>0</v>
      </c>
      <c r="L95" s="71">
        <f>IF(E95=0,0,VLOOKUP(E95,'Prix Matiere'!A5:J61,10))</f>
        <v>0</v>
      </c>
      <c r="M95" s="71">
        <f t="shared" si="27"/>
        <v>0</v>
      </c>
      <c r="N95" s="3">
        <f t="shared" si="28"/>
        <v>0</v>
      </c>
      <c r="O95" s="71">
        <f>N95*MinuteMO</f>
        <v>0</v>
      </c>
      <c r="P95" s="2"/>
      <c r="Q95" s="383">
        <f>IF(E95=0,0,VLOOKUP(E95,'Prix Matiere'!$A$4:$L$65,12))*J95</f>
        <v>0</v>
      </c>
      <c r="R95" s="2"/>
      <c r="S95" s="2"/>
      <c r="T95" s="2"/>
      <c r="U95" s="2"/>
      <c r="V95" s="2"/>
      <c r="W95" s="2"/>
      <c r="X95" s="2"/>
      <c r="Y95" s="2"/>
      <c r="Z95" s="2"/>
    </row>
    <row r="96" spans="1:26" ht="18" customHeight="1" x14ac:dyDescent="0.35">
      <c r="A96" s="2"/>
      <c r="B96" s="45" t="s">
        <v>55</v>
      </c>
      <c r="C96" s="45">
        <f>IF(F96=0,0,E98)</f>
        <v>0</v>
      </c>
      <c r="D96" s="45">
        <f>IF(F96=0,0,D98)</f>
        <v>0</v>
      </c>
      <c r="E96" s="34">
        <f>VLOOKUP($C$17,A166:P172,15)</f>
        <v>0</v>
      </c>
      <c r="F96" s="45">
        <f>VLOOKUP($C$17,A166:P172,16)</f>
        <v>0</v>
      </c>
      <c r="G96" s="2"/>
      <c r="H96" s="2"/>
      <c r="I96" s="2"/>
      <c r="J96" s="2">
        <f t="shared" si="25"/>
        <v>0</v>
      </c>
      <c r="K96" s="2">
        <f t="shared" si="26"/>
        <v>0</v>
      </c>
      <c r="L96" s="71">
        <f>IF(E96=0,0,VLOOKUP(E96,'Prix Matiere'!A6:J62,10))</f>
        <v>0</v>
      </c>
      <c r="M96" s="71">
        <f t="shared" si="27"/>
        <v>0</v>
      </c>
      <c r="N96" s="3">
        <f t="shared" si="28"/>
        <v>0</v>
      </c>
      <c r="O96" s="71">
        <f>N96*MinuteMO</f>
        <v>0</v>
      </c>
      <c r="P96" s="2"/>
      <c r="Q96" s="383">
        <f>IF(E96=0,0,VLOOKUP(E96,'Prix Matiere'!$A$4:$L$65,12))*J96</f>
        <v>0</v>
      </c>
      <c r="R96" s="2"/>
      <c r="S96" s="2"/>
      <c r="T96" s="2"/>
      <c r="U96" s="2"/>
      <c r="V96" s="2"/>
      <c r="W96" s="2"/>
      <c r="X96" s="2"/>
      <c r="Y96" s="2"/>
      <c r="Z96" s="2"/>
    </row>
    <row r="97" spans="1:26" ht="18" customHeight="1" x14ac:dyDescent="0.3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71"/>
      <c r="M97" s="71"/>
      <c r="N97" s="3"/>
      <c r="O97" s="71"/>
      <c r="P97" s="2"/>
      <c r="Q97" s="383">
        <f>IF(E97=0,0,VLOOKUP(E97,'Prix Matiere'!$A$4:$L$65,12))*J97</f>
        <v>0</v>
      </c>
      <c r="R97" s="2"/>
      <c r="S97" s="2"/>
      <c r="T97" s="2"/>
      <c r="U97" s="2"/>
      <c r="V97" s="2"/>
      <c r="W97" s="2"/>
      <c r="X97" s="2"/>
      <c r="Y97" s="2"/>
      <c r="Z97" s="2"/>
    </row>
    <row r="98" spans="1:26" ht="18" customHeight="1" x14ac:dyDescent="0.35">
      <c r="A98" s="2"/>
      <c r="B98" s="2" t="s">
        <v>66</v>
      </c>
      <c r="C98" s="2" t="e">
        <f>C92-VLOOKUP($C$17,A166:P172,14)</f>
        <v>#N/A</v>
      </c>
      <c r="D98" s="2" t="e">
        <f>D92-VLOOKUP($C$17,A166:P172,14)</f>
        <v>#N/A</v>
      </c>
      <c r="E98" s="2" t="e">
        <f>E92-VLOOKUP($C$17,A166:P172,14)</f>
        <v>#N/A</v>
      </c>
      <c r="F98" s="2"/>
      <c r="G98" s="2"/>
      <c r="H98" s="2"/>
      <c r="I98" s="2"/>
      <c r="J98" s="2"/>
      <c r="K98" s="2"/>
      <c r="L98" s="71"/>
      <c r="M98" s="71"/>
      <c r="N98" s="3"/>
      <c r="O98" s="71"/>
      <c r="P98" s="2"/>
      <c r="Q98" s="383"/>
      <c r="R98" s="2"/>
      <c r="S98" s="2"/>
      <c r="T98" s="2"/>
      <c r="U98" s="2"/>
      <c r="V98" s="2"/>
      <c r="W98" s="2"/>
      <c r="X98" s="2"/>
      <c r="Y98" s="2"/>
      <c r="Z98" s="2"/>
    </row>
    <row r="99" spans="1:26" ht="18" customHeight="1" x14ac:dyDescent="0.3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71"/>
      <c r="M99" s="71"/>
      <c r="N99" s="3"/>
      <c r="O99" s="71"/>
      <c r="P99" s="2"/>
      <c r="Q99" s="383"/>
      <c r="R99" s="2"/>
      <c r="S99" s="2"/>
      <c r="T99" s="2"/>
      <c r="U99" s="2"/>
      <c r="V99" s="2"/>
      <c r="W99" s="2"/>
      <c r="X99" s="2"/>
      <c r="Y99" s="2"/>
      <c r="Z99" s="2"/>
    </row>
    <row r="100" spans="1:26" ht="18" customHeight="1" x14ac:dyDescent="0.35">
      <c r="A100" s="2" t="s">
        <v>221</v>
      </c>
      <c r="B100" s="2" t="s">
        <v>55</v>
      </c>
      <c r="C100" s="2">
        <f>IF(C17="Aucun",0,E98-3)</f>
        <v>0</v>
      </c>
      <c r="D100" s="2" t="e">
        <f>D98</f>
        <v>#N/A</v>
      </c>
      <c r="E100" s="259">
        <f t="shared" ref="E100:E101" si="29">IF(C100=0,0,"Peuplier 15 mm")</f>
        <v>0</v>
      </c>
      <c r="F100" s="2">
        <f>IF(C17="Aucun",0,2)</f>
        <v>0</v>
      </c>
      <c r="G100" s="2"/>
      <c r="H100" s="2"/>
      <c r="I100" s="2"/>
      <c r="J100" s="89">
        <f t="shared" ref="J100:J101" si="30">IF(C100=0,0,(C100/100)*(D100/100)*F100)</f>
        <v>0</v>
      </c>
      <c r="K100" s="89">
        <f t="shared" ref="K100:K101" si="31">J100/0.8</f>
        <v>0</v>
      </c>
      <c r="L100" s="71">
        <f>IF(E100=0,0,VLOOKUP(E100,'Prix Matiere'!$A$4:$J$65,10))</f>
        <v>0</v>
      </c>
      <c r="M100" s="71">
        <f t="shared" ref="M100:M101" si="32">L100*K100</f>
        <v>0</v>
      </c>
      <c r="N100" s="3">
        <f t="shared" ref="N100:N101" si="33">IF(J100=0,0,((6.0924*J100)+10))</f>
        <v>0</v>
      </c>
      <c r="O100" s="71">
        <f>N100*MinuteMO</f>
        <v>0</v>
      </c>
      <c r="P100" s="2"/>
      <c r="Q100" s="383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8" customHeight="1" x14ac:dyDescent="0.35">
      <c r="A101" s="2"/>
      <c r="B101" s="2" t="s">
        <v>222</v>
      </c>
      <c r="C101" s="2">
        <f>IF(C17="Aucun",0,C98)</f>
        <v>0</v>
      </c>
      <c r="D101" s="2" t="e">
        <f>D98</f>
        <v>#N/A</v>
      </c>
      <c r="E101" s="259">
        <f t="shared" si="29"/>
        <v>0</v>
      </c>
      <c r="F101" s="2">
        <f>IF(C17="Aucun",0,2)</f>
        <v>0</v>
      </c>
      <c r="G101" s="2"/>
      <c r="H101" s="2"/>
      <c r="I101" s="2"/>
      <c r="J101" s="89">
        <f t="shared" si="30"/>
        <v>0</v>
      </c>
      <c r="K101" s="89">
        <f t="shared" si="31"/>
        <v>0</v>
      </c>
      <c r="L101" s="71">
        <f>IF(E101=0,0,VLOOKUP(E101,'Prix Matiere'!$A$4:$J$65,10))</f>
        <v>0</v>
      </c>
      <c r="M101" s="71">
        <f t="shared" si="32"/>
        <v>0</v>
      </c>
      <c r="N101" s="3">
        <f t="shared" si="33"/>
        <v>0</v>
      </c>
      <c r="O101" s="71">
        <f>N101*MinuteMO</f>
        <v>0</v>
      </c>
      <c r="P101" s="2"/>
      <c r="Q101" s="383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8" customHeight="1" x14ac:dyDescent="0.3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71"/>
      <c r="M102" s="71"/>
      <c r="N102" s="3"/>
      <c r="O102" s="71"/>
      <c r="P102" s="2"/>
      <c r="Q102" s="383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8" customHeight="1" x14ac:dyDescent="0.35">
      <c r="A103" s="2"/>
      <c r="B103" s="2"/>
      <c r="C103" s="256"/>
      <c r="D103" s="256"/>
      <c r="E103" s="256"/>
      <c r="F103" s="2"/>
      <c r="G103" s="2"/>
      <c r="H103" s="2"/>
      <c r="I103" s="2"/>
      <c r="J103" s="2"/>
      <c r="K103" s="2"/>
      <c r="L103" s="71"/>
      <c r="M103" s="71"/>
      <c r="N103" s="3"/>
      <c r="O103" s="71"/>
      <c r="P103" s="2"/>
      <c r="Q103" s="383">
        <f>IF(E103=0,0,VLOOKUP(E103,'Prix Matiere'!$A$4:$L$65,12))*J103</f>
        <v>0</v>
      </c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8" customHeight="1" x14ac:dyDescent="0.35">
      <c r="A104" s="257" t="s">
        <v>181</v>
      </c>
      <c r="B104" s="258">
        <f>IF(B44=0,0,"Dessus/Dessous")</f>
        <v>0</v>
      </c>
      <c r="C104" s="259">
        <f>IF(B44=0,0,B44+3)</f>
        <v>0</v>
      </c>
      <c r="D104" s="259">
        <f>IF(B44=0,0,C44)</f>
        <v>0</v>
      </c>
      <c r="E104" s="259">
        <f>IF(B44=0,0,"Peuplier 15 mm")</f>
        <v>0</v>
      </c>
      <c r="F104" s="260">
        <f>IF(B44=0,0,2)</f>
        <v>0</v>
      </c>
      <c r="G104" s="2"/>
      <c r="H104" s="2"/>
      <c r="I104" s="2"/>
      <c r="J104" s="89">
        <f t="shared" ref="J104:J106" si="34">IF(C104=0,0,(C104/100)*(D104/100)*F104)</f>
        <v>0</v>
      </c>
      <c r="K104" s="89">
        <f t="shared" ref="K104:K106" si="35">J104/0.8</f>
        <v>0</v>
      </c>
      <c r="L104" s="71">
        <f>IF(E104=0,0,VLOOKUP(E104,'Prix Matiere'!$A$4:$J$65,10))</f>
        <v>0</v>
      </c>
      <c r="M104" s="71">
        <f t="shared" ref="M104:M106" si="36">L104*K104</f>
        <v>0</v>
      </c>
      <c r="N104" s="3">
        <f t="shared" ref="N104:N106" si="37">IF(J104=0,0,((6.0924*J104)+10))</f>
        <v>0</v>
      </c>
      <c r="O104" s="71">
        <f>N104*MinuteMO</f>
        <v>0</v>
      </c>
      <c r="P104" s="2"/>
      <c r="Q104" s="383">
        <f>IF(E104=0,0,VLOOKUP(E104,'Prix Matiere'!$A$4:$L$65,12))*J104</f>
        <v>0</v>
      </c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8" customHeight="1" x14ac:dyDescent="0.35">
      <c r="A105" s="178"/>
      <c r="B105" s="45">
        <f>IF(B44=0,0,"Bouts")</f>
        <v>0</v>
      </c>
      <c r="C105" s="85">
        <f>IF(B44=0,0,D44)</f>
        <v>0</v>
      </c>
      <c r="D105" s="85">
        <f>D104</f>
        <v>0</v>
      </c>
      <c r="E105" s="85">
        <f>IF(B44=0,0,"Peuplier 15 mm")</f>
        <v>0</v>
      </c>
      <c r="F105" s="175">
        <f>IF(B44=0,0,2)</f>
        <v>0</v>
      </c>
      <c r="G105" s="2"/>
      <c r="H105" s="2"/>
      <c r="I105" s="2"/>
      <c r="J105" s="89">
        <f t="shared" si="34"/>
        <v>0</v>
      </c>
      <c r="K105" s="89">
        <f t="shared" si="35"/>
        <v>0</v>
      </c>
      <c r="L105" s="71">
        <f>IF(E105=0,0,VLOOKUP(E105,'Prix Matiere'!$A$4:$J$65,10))</f>
        <v>0</v>
      </c>
      <c r="M105" s="71">
        <f t="shared" si="36"/>
        <v>0</v>
      </c>
      <c r="N105" s="3">
        <f t="shared" si="37"/>
        <v>0</v>
      </c>
      <c r="O105" s="71">
        <f>N105*MinuteMO</f>
        <v>0</v>
      </c>
      <c r="P105" s="2"/>
      <c r="Q105" s="383">
        <f>IF(E105=0,0,VLOOKUP(E105,'Prix Matiere'!$A$4:$L$65,12))*J105</f>
        <v>0</v>
      </c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8" customHeight="1" x14ac:dyDescent="0.35">
      <c r="A106" s="261"/>
      <c r="B106" s="262">
        <f>IF(B44=0,0,"GC")</f>
        <v>0</v>
      </c>
      <c r="C106" s="263">
        <f>IF(B44=0,0,C104)</f>
        <v>0</v>
      </c>
      <c r="D106" s="263">
        <f>IF(B44=0,0,C105+3)</f>
        <v>0</v>
      </c>
      <c r="E106" s="263">
        <f>IF(B44=0,0,"Peuplier 15 mm")</f>
        <v>0</v>
      </c>
      <c r="F106" s="184">
        <f>IF(B44=0,0,2)</f>
        <v>0</v>
      </c>
      <c r="G106" s="2"/>
      <c r="H106" s="2"/>
      <c r="I106" s="2"/>
      <c r="J106" s="89">
        <f t="shared" si="34"/>
        <v>0</v>
      </c>
      <c r="K106" s="89">
        <f t="shared" si="35"/>
        <v>0</v>
      </c>
      <c r="L106" s="71">
        <f>IF(E106=0,0,VLOOKUP(E106,'Prix Matiere'!$A$4:$J$65,10))</f>
        <v>0</v>
      </c>
      <c r="M106" s="71">
        <f t="shared" si="36"/>
        <v>0</v>
      </c>
      <c r="N106" s="3">
        <f t="shared" si="37"/>
        <v>0</v>
      </c>
      <c r="O106" s="71">
        <f>N106*MinuteMO</f>
        <v>0</v>
      </c>
      <c r="P106" s="2"/>
      <c r="Q106" s="383">
        <f>IF(E106=0,0,VLOOKUP(E106,'Prix Matiere'!$A$4:$L$65,12))*J106</f>
        <v>0</v>
      </c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8" customHeight="1" x14ac:dyDescent="0.3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71"/>
      <c r="M107" s="2"/>
      <c r="N107" s="3"/>
      <c r="O107" s="71">
        <f>N107*MinuteMO</f>
        <v>0</v>
      </c>
      <c r="P107" s="2"/>
      <c r="Q107" s="383">
        <f>IF(E107=0,0,VLOOKUP(E107,'Prix Matiere'!$A$4:$L$65,12))*J107</f>
        <v>0</v>
      </c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8" customHeight="1" x14ac:dyDescent="0.35">
      <c r="A108" s="2"/>
      <c r="B108" s="38" t="s">
        <v>158</v>
      </c>
      <c r="C108" s="2"/>
      <c r="D108" s="2"/>
      <c r="E108" s="2"/>
      <c r="F108" s="2"/>
      <c r="G108" s="2"/>
      <c r="H108" s="2"/>
      <c r="I108" s="2"/>
      <c r="J108" s="2"/>
      <c r="K108" s="2"/>
      <c r="L108" s="71"/>
      <c r="M108" s="71"/>
      <c r="N108" s="3"/>
      <c r="O108" s="71"/>
      <c r="P108" s="2"/>
      <c r="Q108" s="383">
        <f>IF(E108=0,0,VLOOKUP(E108,'Prix Matiere'!$A$4:$L$65,12))*J108</f>
        <v>0</v>
      </c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8" customHeight="1" x14ac:dyDescent="0.35">
      <c r="A109" s="2"/>
      <c r="B109" s="41">
        <f>IF(B33="Aucun",0,"Dessus")</f>
        <v>0</v>
      </c>
      <c r="C109" s="85">
        <f>IF(B33="Aucun",0,VLOOKUP(B33,$A$196:$L$201,2)+B32)</f>
        <v>0</v>
      </c>
      <c r="D109" s="85">
        <f>IF(B33="Aucun",0,C32+VLOOKUP(B33,$A$196:$L$201,5))</f>
        <v>0</v>
      </c>
      <c r="E109" s="85">
        <f>VLOOKUP(B33,$A$196:$L$201,9)</f>
        <v>0</v>
      </c>
      <c r="F109" s="45">
        <f>IF(B33="Aucun",0,1)</f>
        <v>0</v>
      </c>
      <c r="G109" s="2"/>
      <c r="H109" s="2"/>
      <c r="I109" s="2"/>
      <c r="J109" s="2">
        <f t="shared" ref="J109:J122" si="38">IF(C109=0,0,(C109/100)*(D109/100)*F109)</f>
        <v>0</v>
      </c>
      <c r="K109" s="2">
        <f t="shared" ref="K109:K122" si="39">J109/0.8</f>
        <v>0</v>
      </c>
      <c r="L109" s="71">
        <f>IF(E109=0,0,VLOOKUP(E109,'Prix Matiere'!$A$4:$J$65,10))</f>
        <v>0</v>
      </c>
      <c r="M109" s="71">
        <f t="shared" ref="M109:M122" si="40">L109*K109</f>
        <v>0</v>
      </c>
      <c r="N109" s="3">
        <f t="shared" ref="N109:N121" si="41">IF(J109=0,0,4.7283*J109+2)</f>
        <v>0</v>
      </c>
      <c r="O109" s="71">
        <f t="shared" ref="O109:O123" si="42">N109*MinuteMO</f>
        <v>0</v>
      </c>
      <c r="P109" s="2"/>
      <c r="Q109" s="383">
        <f>IF(E109=0,0,VLOOKUP(E109,'Prix Matiere'!$A$4:$L$65,12))*J109</f>
        <v>0</v>
      </c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8" customHeight="1" x14ac:dyDescent="0.35">
      <c r="A110" s="2"/>
      <c r="B110" s="45">
        <f>IF(B33="Aucun",0,"Extrémité")</f>
        <v>0</v>
      </c>
      <c r="C110" s="85">
        <f>IF(B33="Aucun",0,IF(B32&lt;60,10,IF(B32&lt;80,15,20)))</f>
        <v>0</v>
      </c>
      <c r="D110" s="85">
        <f t="shared" ref="D110:D113" si="43">D109</f>
        <v>0</v>
      </c>
      <c r="E110" s="85">
        <f>VLOOKUP(B33,$A$196:$L$201,9)</f>
        <v>0</v>
      </c>
      <c r="F110" s="45">
        <f>IF(B33="Aucun",0,2)</f>
        <v>0</v>
      </c>
      <c r="G110" s="2"/>
      <c r="H110" s="2"/>
      <c r="I110" s="2"/>
      <c r="J110" s="2">
        <f t="shared" si="38"/>
        <v>0</v>
      </c>
      <c r="K110" s="2">
        <f t="shared" si="39"/>
        <v>0</v>
      </c>
      <c r="L110" s="71">
        <f>IF(E110=0,0,VLOOKUP(E110,'Prix Matiere'!$A$4:$J$65,10))</f>
        <v>0</v>
      </c>
      <c r="M110" s="71">
        <f t="shared" si="40"/>
        <v>0</v>
      </c>
      <c r="N110" s="3">
        <f t="shared" si="41"/>
        <v>0</v>
      </c>
      <c r="O110" s="71">
        <f t="shared" si="42"/>
        <v>0</v>
      </c>
      <c r="P110" s="2"/>
      <c r="Q110" s="383">
        <f>IF(E110=0,0,VLOOKUP(E110,'Prix Matiere'!$A$4:$L$65,12))*J110</f>
        <v>0</v>
      </c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8" customHeight="1" x14ac:dyDescent="0.35">
      <c r="A111" s="2"/>
      <c r="B111" s="45">
        <f>IF(B33="Aucun",0,A37)</f>
        <v>0</v>
      </c>
      <c r="C111" s="85">
        <f>B37</f>
        <v>0</v>
      </c>
      <c r="D111" s="85">
        <f t="shared" si="43"/>
        <v>0</v>
      </c>
      <c r="E111" s="85">
        <f>IF(B33="Aucun",0,IF(B111="Ethafoam 50 mm","Ethafoam 50 mm","Agglocelle 50 mm"))</f>
        <v>0</v>
      </c>
      <c r="F111" s="45">
        <f>E37</f>
        <v>2</v>
      </c>
      <c r="G111" s="2"/>
      <c r="H111" s="2"/>
      <c r="I111" s="2"/>
      <c r="J111" s="2">
        <f t="shared" si="38"/>
        <v>0</v>
      </c>
      <c r="K111" s="2">
        <f t="shared" si="39"/>
        <v>0</v>
      </c>
      <c r="L111" s="71">
        <f>IF(E111=0,0,VLOOKUP(E111,'Prix Matiere'!$A$4:$J$65,10))</f>
        <v>0</v>
      </c>
      <c r="M111" s="71">
        <f t="shared" si="40"/>
        <v>0</v>
      </c>
      <c r="N111" s="3">
        <f t="shared" si="41"/>
        <v>0</v>
      </c>
      <c r="O111" s="71">
        <f t="shared" si="42"/>
        <v>0</v>
      </c>
      <c r="P111" s="2"/>
      <c r="Q111" s="383">
        <f>IF(E111=0,0,VLOOKUP(E111,'Prix Matiere'!$A$4:$L$65,12))*J111</f>
        <v>0</v>
      </c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8" customHeight="1" x14ac:dyDescent="0.35">
      <c r="A112" s="2"/>
      <c r="B112" s="45">
        <f>IF(B33="Aucun",0,"Milieu")</f>
        <v>0</v>
      </c>
      <c r="C112" s="85">
        <f>(C109-((C110*F110)+(C111*F111)))/(F111-1)</f>
        <v>0</v>
      </c>
      <c r="D112" s="85">
        <f t="shared" si="43"/>
        <v>0</v>
      </c>
      <c r="E112" s="85">
        <f>VLOOKUP(B33,$A$196:$L$201,9)</f>
        <v>0</v>
      </c>
      <c r="F112" s="45">
        <f>IF(B33="Aucun",0,F111-1)</f>
        <v>0</v>
      </c>
      <c r="G112" s="2"/>
      <c r="H112" s="2"/>
      <c r="I112" s="2"/>
      <c r="J112" s="2">
        <f t="shared" si="38"/>
        <v>0</v>
      </c>
      <c r="K112" s="2">
        <f t="shared" si="39"/>
        <v>0</v>
      </c>
      <c r="L112" s="71">
        <f>IF(E112=0,0,VLOOKUP(E112,'Prix Matiere'!$A$4:$J$65,10))</f>
        <v>0</v>
      </c>
      <c r="M112" s="71">
        <f t="shared" si="40"/>
        <v>0</v>
      </c>
      <c r="N112" s="3">
        <f t="shared" si="41"/>
        <v>0</v>
      </c>
      <c r="O112" s="71">
        <f t="shared" si="42"/>
        <v>0</v>
      </c>
      <c r="P112" s="2"/>
      <c r="Q112" s="383">
        <f>IF(E112=0,0,VLOOKUP(E112,'Prix Matiere'!$A$4:$L$65,12))*J112</f>
        <v>0</v>
      </c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8" customHeight="1" x14ac:dyDescent="0.35">
      <c r="A113" s="2"/>
      <c r="B113" s="45">
        <f>IF(B33="Aucun",0,"Bouts avec passage de main")</f>
        <v>0</v>
      </c>
      <c r="C113" s="85">
        <f>IF(B33="Aucun",0,(D32-IF(D32&gt;120,30,15))/(F113/2))</f>
        <v>0</v>
      </c>
      <c r="D113" s="85">
        <f t="shared" si="43"/>
        <v>0</v>
      </c>
      <c r="E113" s="85">
        <f>VLOOKUP(B33,$A$196:$L$201,9)</f>
        <v>0</v>
      </c>
      <c r="F113" s="45">
        <f>IF(B33="Aucun",0,IF(D32&gt;120,6,4))</f>
        <v>0</v>
      </c>
      <c r="G113" s="2"/>
      <c r="H113" s="2"/>
      <c r="I113" s="2"/>
      <c r="J113" s="2">
        <f t="shared" si="38"/>
        <v>0</v>
      </c>
      <c r="K113" s="2">
        <f t="shared" si="39"/>
        <v>0</v>
      </c>
      <c r="L113" s="71">
        <f>IF(E113=0,0,VLOOKUP(E113,'Prix Matiere'!$A$4:$J$65,10))</f>
        <v>0</v>
      </c>
      <c r="M113" s="71">
        <f t="shared" si="40"/>
        <v>0</v>
      </c>
      <c r="N113" s="3">
        <f t="shared" si="41"/>
        <v>0</v>
      </c>
      <c r="O113" s="71">
        <f t="shared" si="42"/>
        <v>0</v>
      </c>
      <c r="P113" s="2"/>
      <c r="Q113" s="383">
        <f>IF(E113=0,0,VLOOKUP(E113,'Prix Matiere'!$A$4:$L$65,12))*J113</f>
        <v>0</v>
      </c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8" customHeight="1" x14ac:dyDescent="0.35">
      <c r="A114" s="2"/>
      <c r="B114" s="45">
        <f>IF(B33="Aucun",0,"Fond")</f>
        <v>0</v>
      </c>
      <c r="C114" s="85">
        <f>IF(B33="Aucun",0,B32+VLOOKUP(B33,$A$196:$L$201,6))</f>
        <v>0</v>
      </c>
      <c r="D114" s="85">
        <f>IF(B33="Sous verre 2 faces",D32+VLOOKUP(B33,$A$196:$L$201,6),B36)</f>
        <v>0</v>
      </c>
      <c r="E114" s="85">
        <f>VLOOKUP(B33,$A$196:$L$201,8)</f>
        <v>0</v>
      </c>
      <c r="F114" s="45">
        <f>VLOOKUP(B33,A196:L201,7)</f>
        <v>0</v>
      </c>
      <c r="G114" s="2"/>
      <c r="H114" s="2"/>
      <c r="I114" s="2"/>
      <c r="J114" s="2">
        <f t="shared" si="38"/>
        <v>0</v>
      </c>
      <c r="K114" s="2">
        <f t="shared" si="39"/>
        <v>0</v>
      </c>
      <c r="L114" s="71">
        <f>IF(E114=0,0,VLOOKUP(E114,'Prix Matiere'!$A$4:$J$65,10))</f>
        <v>0</v>
      </c>
      <c r="M114" s="71">
        <f t="shared" si="40"/>
        <v>0</v>
      </c>
      <c r="N114" s="3">
        <f t="shared" si="41"/>
        <v>0</v>
      </c>
      <c r="O114" s="71">
        <f t="shared" si="42"/>
        <v>0</v>
      </c>
      <c r="P114" s="2"/>
      <c r="Q114" s="383">
        <f>IF(E114=0,0,VLOOKUP(E114,'Prix Matiere'!$A$4:$L$65,12))*J114</f>
        <v>0</v>
      </c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8" customHeight="1" x14ac:dyDescent="0.35">
      <c r="A115" s="2"/>
      <c r="B115" s="45">
        <f>IF(B33="Aucun",0,"Remplis de fond")</f>
        <v>0</v>
      </c>
      <c r="C115" s="85">
        <f>IF(B33="Aucun",0,IF(B33="Sous verre 2 faces",0,D32-D114*2+VLOOKUP(B33,$A$196:$L$201,6)))</f>
        <v>0</v>
      </c>
      <c r="D115" s="85">
        <f>IF(B33="Sous verre 2 faces",0,B36)</f>
        <v>0</v>
      </c>
      <c r="E115" s="85">
        <f>IF(C115=0,0,VLOOKUP(B33,$A$196:$L$201,8))</f>
        <v>0</v>
      </c>
      <c r="F115" s="45">
        <f>IF(B33="Aucun",0,IF(B33="Sous verre 2 faces",0,2))</f>
        <v>0</v>
      </c>
      <c r="G115" s="2"/>
      <c r="H115" s="2"/>
      <c r="I115" s="2"/>
      <c r="J115" s="2">
        <f t="shared" si="38"/>
        <v>0</v>
      </c>
      <c r="K115" s="2">
        <f t="shared" si="39"/>
        <v>0</v>
      </c>
      <c r="L115" s="71">
        <f>IF(E115=0,0,VLOOKUP(E115,'Prix Matiere'!$A$4:$J$65,10))</f>
        <v>0</v>
      </c>
      <c r="M115" s="71">
        <f t="shared" si="40"/>
        <v>0</v>
      </c>
      <c r="N115" s="3">
        <f t="shared" si="41"/>
        <v>0</v>
      </c>
      <c r="O115" s="71">
        <f t="shared" si="42"/>
        <v>0</v>
      </c>
      <c r="P115" s="2"/>
      <c r="Q115" s="383">
        <f>IF(E115=0,0,VLOOKUP(E115,'Prix Matiere'!$A$4:$L$65,12))*J115</f>
        <v>0</v>
      </c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8" customHeight="1" x14ac:dyDescent="0.35">
      <c r="A116" s="2"/>
      <c r="B116" s="45">
        <f>IF(B33="Aucun",0,"Dessus")</f>
        <v>0</v>
      </c>
      <c r="C116" s="85">
        <f>IF(B33="Aucun",0,B32+VLOOKUP(B33,$A$196:$L$201,10))</f>
        <v>0</v>
      </c>
      <c r="D116" s="85">
        <f>IF(B33="Sous verre 2 faces",D32+VLOOKUP(B33,$A$196:$L$201,10),IF(B33="Sous verre / bandes de mousse",D32+VLOOKUP(B33,$A$196:$L$201,10),B35))</f>
        <v>0</v>
      </c>
      <c r="E116" s="85">
        <f>VLOOKUP(B33,$A$196:$L$201,9)</f>
        <v>0</v>
      </c>
      <c r="F116" s="45">
        <f>VLOOKUP(B33,A196:L201,11)</f>
        <v>0</v>
      </c>
      <c r="G116" s="2"/>
      <c r="H116" s="2"/>
      <c r="I116" s="2"/>
      <c r="J116" s="2">
        <f t="shared" si="38"/>
        <v>0</v>
      </c>
      <c r="K116" s="2">
        <f t="shared" si="39"/>
        <v>0</v>
      </c>
      <c r="L116" s="71">
        <f>IF(E116=0,0,VLOOKUP(E116,'Prix Matiere'!$A$4:$J$65,10))</f>
        <v>0</v>
      </c>
      <c r="M116" s="71">
        <f t="shared" si="40"/>
        <v>0</v>
      </c>
      <c r="N116" s="3">
        <f t="shared" si="41"/>
        <v>0</v>
      </c>
      <c r="O116" s="71">
        <f t="shared" si="42"/>
        <v>0</v>
      </c>
      <c r="P116" s="2"/>
      <c r="Q116" s="383">
        <f>IF(E116=0,0,VLOOKUP(E116,'Prix Matiere'!$A$4:$L$65,12))*J116</f>
        <v>0</v>
      </c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8" customHeight="1" x14ac:dyDescent="0.35">
      <c r="A117" s="2"/>
      <c r="B117" s="45">
        <f>IF(B33="Aucun",0,"Remplis de dessus")</f>
        <v>0</v>
      </c>
      <c r="C117" s="85">
        <f>IF(B33="Aucun",0,IF(B33="Sous verre 2 faces",0,IF(B33="Sous verre / bandes de mousse",0,D32-2*D116+VLOOKUP(B33,$A$196:$L$201,10))))</f>
        <v>0</v>
      </c>
      <c r="D117" s="85">
        <f>IF(B33="Sous verre / bandes de mousse",0,IF(B33="Sous verre 2 faces",0,B35))</f>
        <v>0</v>
      </c>
      <c r="E117" s="85">
        <f>IF(C117=0,0,VLOOKUP(B33,$A$196:$L$201,9))</f>
        <v>0</v>
      </c>
      <c r="F117" s="45">
        <f>IF(B33="Aucun",0,IF(B33="Sous verre 2 faces",0,IF(B33="Sous verre / bandes de mousse",0,2)))</f>
        <v>0</v>
      </c>
      <c r="G117" s="2"/>
      <c r="H117" s="2"/>
      <c r="I117" s="2"/>
      <c r="J117" s="2">
        <f t="shared" si="38"/>
        <v>0</v>
      </c>
      <c r="K117" s="2">
        <f t="shared" si="39"/>
        <v>0</v>
      </c>
      <c r="L117" s="71">
        <f>IF(E117=0,0,VLOOKUP(E117,'Prix Matiere'!$A$4:$J$65,10))</f>
        <v>0</v>
      </c>
      <c r="M117" s="71">
        <f t="shared" si="40"/>
        <v>0</v>
      </c>
      <c r="N117" s="3">
        <f t="shared" si="41"/>
        <v>0</v>
      </c>
      <c r="O117" s="71">
        <f t="shared" si="42"/>
        <v>0</v>
      </c>
      <c r="P117" s="2"/>
      <c r="Q117" s="383">
        <f>IF(E117=0,0,VLOOKUP(E117,'Prix Matiere'!$A$4:$L$65,12))*J117</f>
        <v>0</v>
      </c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8" customHeight="1" x14ac:dyDescent="0.35">
      <c r="A118" s="2"/>
      <c r="B118" s="45">
        <f>IF(B33="Aucun",0,"Rattrapage 1")</f>
        <v>0</v>
      </c>
      <c r="C118" s="85">
        <f>IF(B38=0,0,B32+0.2)</f>
        <v>0</v>
      </c>
      <c r="D118" s="85">
        <f>IF(B38=0,0,B38)</f>
        <v>0</v>
      </c>
      <c r="E118" s="85">
        <f t="shared" ref="E118:E119" si="44">IF(C118=0,0,CONCATENATE("PU ",$D$38*10," mm"))</f>
        <v>0</v>
      </c>
      <c r="F118" s="45">
        <f>IF(B38=0,0,2)</f>
        <v>0</v>
      </c>
      <c r="G118" s="2"/>
      <c r="H118" s="2"/>
      <c r="I118" s="2"/>
      <c r="J118" s="2">
        <f t="shared" si="38"/>
        <v>0</v>
      </c>
      <c r="K118" s="2">
        <f t="shared" si="39"/>
        <v>0</v>
      </c>
      <c r="L118" s="71">
        <f>IF(E118=0,0,VLOOKUP(E118,'Prix Matiere'!$A$4:$J$65,10))</f>
        <v>0</v>
      </c>
      <c r="M118" s="71">
        <f t="shared" si="40"/>
        <v>0</v>
      </c>
      <c r="N118" s="3">
        <f t="shared" si="41"/>
        <v>0</v>
      </c>
      <c r="O118" s="71">
        <f t="shared" si="42"/>
        <v>0</v>
      </c>
      <c r="P118" s="2"/>
      <c r="Q118" s="383">
        <f>IF(E118=0,0,VLOOKUP(E118,'Prix Matiere'!$A$4:$L$65,12))*J118</f>
        <v>0</v>
      </c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8" customHeight="1" x14ac:dyDescent="0.35">
      <c r="A119" s="2"/>
      <c r="B119" s="45">
        <f>IF(B33="Aucun",0,"Rattrapage 2")</f>
        <v>0</v>
      </c>
      <c r="C119" s="85">
        <f>IF(B38=0,0,D32+0.2-2*D118)</f>
        <v>0</v>
      </c>
      <c r="D119" s="85">
        <f>IF(B38=0,0,D118)</f>
        <v>0</v>
      </c>
      <c r="E119" s="85">
        <f t="shared" si="44"/>
        <v>0</v>
      </c>
      <c r="F119" s="45">
        <f>IF(B38=0,0,2)</f>
        <v>0</v>
      </c>
      <c r="G119" s="2"/>
      <c r="H119" s="2"/>
      <c r="I119" s="2"/>
      <c r="J119" s="2">
        <f t="shared" si="38"/>
        <v>0</v>
      </c>
      <c r="K119" s="2">
        <f t="shared" si="39"/>
        <v>0</v>
      </c>
      <c r="L119" s="71">
        <f>IF(E119=0,0,VLOOKUP(E119,'Prix Matiere'!$A$4:$J$65,10))</f>
        <v>0</v>
      </c>
      <c r="M119" s="71">
        <f t="shared" si="40"/>
        <v>0</v>
      </c>
      <c r="N119" s="3">
        <f t="shared" si="41"/>
        <v>0</v>
      </c>
      <c r="O119" s="71">
        <f t="shared" si="42"/>
        <v>0</v>
      </c>
      <c r="P119" s="2"/>
      <c r="Q119" s="383">
        <f>IF(E119=0,0,VLOOKUP(E119,'Prix Matiere'!$A$4:$L$65,12))*J119</f>
        <v>0</v>
      </c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8" customHeight="1" x14ac:dyDescent="0.35">
      <c r="A120" s="2"/>
      <c r="B120" s="45">
        <f>IF(B33="Aucun",0,"Remplissage 1")</f>
        <v>0</v>
      </c>
      <c r="C120" s="85">
        <f t="shared" ref="C120:D120" si="45">IF(B39=0,0,B39)</f>
        <v>0</v>
      </c>
      <c r="D120" s="85">
        <f t="shared" si="45"/>
        <v>0</v>
      </c>
      <c r="E120" s="85">
        <f>IF(C120=0,0,CONCATENATE("PU ",$D$39*10," mm"))</f>
        <v>0</v>
      </c>
      <c r="F120" s="45">
        <f t="shared" ref="F120:F121" si="46">IF(B39=0,0,1)</f>
        <v>0</v>
      </c>
      <c r="G120" s="2"/>
      <c r="H120" s="2"/>
      <c r="I120" s="2"/>
      <c r="J120" s="2">
        <f t="shared" si="38"/>
        <v>0</v>
      </c>
      <c r="K120" s="2">
        <f t="shared" si="39"/>
        <v>0</v>
      </c>
      <c r="L120" s="71">
        <f>IF(E120=0,0,VLOOKUP(E120,'Prix Matiere'!$A$4:$J$65,10))</f>
        <v>0</v>
      </c>
      <c r="M120" s="71">
        <f t="shared" si="40"/>
        <v>0</v>
      </c>
      <c r="N120" s="3">
        <f t="shared" si="41"/>
        <v>0</v>
      </c>
      <c r="O120" s="71">
        <f t="shared" si="42"/>
        <v>0</v>
      </c>
      <c r="P120" s="2"/>
      <c r="Q120" s="383">
        <f>IF(E120=0,0,VLOOKUP(E120,'Prix Matiere'!$A$4:$L$65,12))*J120</f>
        <v>0</v>
      </c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8" customHeight="1" x14ac:dyDescent="0.35">
      <c r="A121" s="2"/>
      <c r="B121" s="45">
        <f>IF(B33="Aucun",0,"Remplissage 2")</f>
        <v>0</v>
      </c>
      <c r="C121" s="85">
        <f t="shared" ref="C121:D121" si="47">IF(B40=0,0,B40)</f>
        <v>0</v>
      </c>
      <c r="D121" s="85">
        <f t="shared" si="47"/>
        <v>0</v>
      </c>
      <c r="E121" s="85">
        <f>IF(C121=0,0,CONCATENATE("PU ",$D$40*10," mm"))</f>
        <v>0</v>
      </c>
      <c r="F121" s="45">
        <f t="shared" si="46"/>
        <v>0</v>
      </c>
      <c r="G121" s="2"/>
      <c r="H121" s="2"/>
      <c r="I121" s="2"/>
      <c r="J121" s="2">
        <f t="shared" si="38"/>
        <v>0</v>
      </c>
      <c r="K121" s="2">
        <f t="shared" si="39"/>
        <v>0</v>
      </c>
      <c r="L121" s="71">
        <f>IF(E121=0,0,VLOOKUP(E121,'Prix Matiere'!$A$4:$J$65,10))</f>
        <v>0</v>
      </c>
      <c r="M121" s="71">
        <f t="shared" si="40"/>
        <v>0</v>
      </c>
      <c r="N121" s="3">
        <f t="shared" si="41"/>
        <v>0</v>
      </c>
      <c r="O121" s="71">
        <f t="shared" si="42"/>
        <v>0</v>
      </c>
      <c r="P121" s="2"/>
      <c r="Q121" s="383">
        <f>IF(E121=0,0,VLOOKUP(E121,'Prix Matiere'!$A$4:$L$65,12))*J121</f>
        <v>0</v>
      </c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8" customHeight="1" x14ac:dyDescent="0.35">
      <c r="A122" s="2"/>
      <c r="B122" s="45">
        <f>IF(B33="Aucun",0,"Carton")</f>
        <v>0</v>
      </c>
      <c r="C122" s="85">
        <f>IF(F122=0,0,B32+VLOOKUP(B33,$A$196:$L$201,10))</f>
        <v>0</v>
      </c>
      <c r="D122" s="85">
        <f>IF(E122=0,0,D32+VLOOKUP(B33,$A$196:$L$201,10))</f>
        <v>0</v>
      </c>
      <c r="E122" s="85">
        <f>IF(C122=0,0,"Carton")</f>
        <v>0</v>
      </c>
      <c r="F122" s="45">
        <f>VLOOKUP(B33,A196:L201,12)</f>
        <v>0</v>
      </c>
      <c r="G122" s="2"/>
      <c r="H122" s="2"/>
      <c r="I122" s="2"/>
      <c r="J122" s="2">
        <f t="shared" si="38"/>
        <v>0</v>
      </c>
      <c r="K122" s="2">
        <f t="shared" si="39"/>
        <v>0</v>
      </c>
      <c r="L122" s="71">
        <f>IF(E122=0,0,Carton)</f>
        <v>0</v>
      </c>
      <c r="M122" s="71">
        <f t="shared" si="40"/>
        <v>0</v>
      </c>
      <c r="N122" s="3">
        <f>IF(J122=0,0,2.356*J122+1)</f>
        <v>0</v>
      </c>
      <c r="O122" s="71">
        <f t="shared" si="42"/>
        <v>0</v>
      </c>
      <c r="P122" s="2"/>
      <c r="Q122" s="383">
        <f>IF(E122=0,0,1*J122)</f>
        <v>0</v>
      </c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8" customHeight="1" x14ac:dyDescent="0.3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71"/>
      <c r="M123" s="2"/>
      <c r="N123" s="3"/>
      <c r="O123" s="71">
        <f t="shared" si="42"/>
        <v>0</v>
      </c>
      <c r="P123" s="2"/>
      <c r="Q123" s="383">
        <f>IF(E123=0,0,VLOOKUP(E123,'Prix Matiere'!$A$4:$L$65,12))*J123</f>
        <v>0</v>
      </c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8" customHeight="1" x14ac:dyDescent="0.35">
      <c r="A124" s="2"/>
      <c r="B124" s="38" t="s">
        <v>159</v>
      </c>
      <c r="C124" s="2"/>
      <c r="D124" s="2"/>
      <c r="E124" s="2"/>
      <c r="F124" s="2"/>
      <c r="G124" s="2"/>
      <c r="H124" s="2"/>
      <c r="I124" s="2"/>
      <c r="J124" s="2"/>
      <c r="K124" s="2"/>
      <c r="L124" s="71"/>
      <c r="M124" s="71"/>
      <c r="N124" s="3"/>
      <c r="O124" s="71"/>
      <c r="P124" s="2"/>
      <c r="Q124" s="383">
        <f>IF(E124=0,0,VLOOKUP(E124,'Prix Matiere'!$A$4:$L$65,12))*J124</f>
        <v>0</v>
      </c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8" customHeight="1" x14ac:dyDescent="0.35">
      <c r="A125" s="2"/>
      <c r="B125" s="41">
        <f>IF(H33="Aucun",0,"Dessus")</f>
        <v>0</v>
      </c>
      <c r="C125" s="85">
        <f>IF(H33="Aucun",0,VLOOKUP(H33,$A$196:$L$201,2)+H32)</f>
        <v>0</v>
      </c>
      <c r="D125" s="85">
        <f>IF(H33="Aucun",0,I32+VLOOKUP(H33,$A$196:$L$201,5))</f>
        <v>0</v>
      </c>
      <c r="E125" s="85">
        <f>VLOOKUP(H33,$A$196:$L$201,9)</f>
        <v>0</v>
      </c>
      <c r="F125" s="45">
        <f>IF(H33="Aucun",0,1)</f>
        <v>0</v>
      </c>
      <c r="G125" s="2"/>
      <c r="H125" s="2"/>
      <c r="I125" s="2"/>
      <c r="J125" s="2">
        <f t="shared" ref="J125:J138" si="48">IF(C125=0,0,(C125/100)*(D125/100)*F125)</f>
        <v>0</v>
      </c>
      <c r="K125" s="2">
        <f t="shared" ref="K125:K138" si="49">J125/0.8</f>
        <v>0</v>
      </c>
      <c r="L125" s="71">
        <f>IF(E125=0,0,VLOOKUP(E125,'Prix Matiere'!$A$4:$J$65,10))</f>
        <v>0</v>
      </c>
      <c r="M125" s="71">
        <f t="shared" ref="M125:M138" si="50">L125*K125</f>
        <v>0</v>
      </c>
      <c r="N125" s="3">
        <f t="shared" ref="N125:N137" si="51">IF(J125=0,0,4.7283*J125+2)</f>
        <v>0</v>
      </c>
      <c r="O125" s="71">
        <f t="shared" ref="O125:O138" si="52">N125*MinuteMO</f>
        <v>0</v>
      </c>
      <c r="P125" s="2"/>
      <c r="Q125" s="383">
        <f>IF(E125=0,0,VLOOKUP(E125,'Prix Matiere'!$A$4:$L$65,12))*J125</f>
        <v>0</v>
      </c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8" customHeight="1" x14ac:dyDescent="0.35">
      <c r="A126" s="2"/>
      <c r="B126" s="45">
        <f>IF(H33="Aucun",0,"Extrémité")</f>
        <v>0</v>
      </c>
      <c r="C126" s="85">
        <f>IF(H33="Aucun",0,IF(H32&lt;60,10,IF(H32&lt;80,15,20)))</f>
        <v>0</v>
      </c>
      <c r="D126" s="85">
        <f t="shared" ref="D126:D129" si="53">D125</f>
        <v>0</v>
      </c>
      <c r="E126" s="85">
        <f>VLOOKUP(H33,$A$196:$L$201,9)</f>
        <v>0</v>
      </c>
      <c r="F126" s="45">
        <f>IF(H33="Aucun",0,2)</f>
        <v>0</v>
      </c>
      <c r="G126" s="2"/>
      <c r="H126" s="2"/>
      <c r="I126" s="2"/>
      <c r="J126" s="2">
        <f t="shared" si="48"/>
        <v>0</v>
      </c>
      <c r="K126" s="2">
        <f t="shared" si="49"/>
        <v>0</v>
      </c>
      <c r="L126" s="71">
        <f>IF(E126=0,0,VLOOKUP(E126,'Prix Matiere'!$A$4:$J$65,10))</f>
        <v>0</v>
      </c>
      <c r="M126" s="71">
        <f t="shared" si="50"/>
        <v>0</v>
      </c>
      <c r="N126" s="3">
        <f t="shared" si="51"/>
        <v>0</v>
      </c>
      <c r="O126" s="71">
        <f t="shared" si="52"/>
        <v>0</v>
      </c>
      <c r="P126" s="2"/>
      <c r="Q126" s="383">
        <f>IF(E126=0,0,VLOOKUP(E126,'Prix Matiere'!$A$4:$L$65,12))*J126</f>
        <v>0</v>
      </c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8" customHeight="1" x14ac:dyDescent="0.35">
      <c r="A127" s="2"/>
      <c r="B127" s="45">
        <f>IF(H33="Aucun",0,G37)</f>
        <v>0</v>
      </c>
      <c r="C127" s="85">
        <f>H37</f>
        <v>0</v>
      </c>
      <c r="D127" s="85">
        <f t="shared" si="53"/>
        <v>0</v>
      </c>
      <c r="E127" s="85">
        <f>IF(H33="Aucun",0,IF(B127="Ethafoam 50 mm","Ethafoam 50 mm","Agglocelle 50 mm"))</f>
        <v>0</v>
      </c>
      <c r="F127" s="45">
        <f>K37</f>
        <v>2</v>
      </c>
      <c r="G127" s="2"/>
      <c r="H127" s="2"/>
      <c r="I127" s="2"/>
      <c r="J127" s="2">
        <f t="shared" si="48"/>
        <v>0</v>
      </c>
      <c r="K127" s="2">
        <f t="shared" si="49"/>
        <v>0</v>
      </c>
      <c r="L127" s="71">
        <f>IF(E127=0,0,VLOOKUP(E127,'Prix Matiere'!$A$4:$J$65,10))</f>
        <v>0</v>
      </c>
      <c r="M127" s="71">
        <f t="shared" si="50"/>
        <v>0</v>
      </c>
      <c r="N127" s="3">
        <f t="shared" si="51"/>
        <v>0</v>
      </c>
      <c r="O127" s="71">
        <f t="shared" si="52"/>
        <v>0</v>
      </c>
      <c r="P127" s="2"/>
      <c r="Q127" s="383">
        <f>IF(E127=0,0,VLOOKUP(E127,'Prix Matiere'!$A$4:$L$65,12))*J127</f>
        <v>0</v>
      </c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8" customHeight="1" x14ac:dyDescent="0.35">
      <c r="A128" s="2"/>
      <c r="B128" s="45">
        <f>IF(H33="Aucun",0,"Milieu")</f>
        <v>0</v>
      </c>
      <c r="C128" s="85">
        <f>(C125-((C126*F126)+(C127*F127)))/(F127-1)</f>
        <v>0</v>
      </c>
      <c r="D128" s="85">
        <f t="shared" si="53"/>
        <v>0</v>
      </c>
      <c r="E128" s="85">
        <f>VLOOKUP(H33,$A$196:$L$201,9)</f>
        <v>0</v>
      </c>
      <c r="F128" s="45">
        <f>IF(H33="Aucun",0,F127-1)</f>
        <v>0</v>
      </c>
      <c r="G128" s="2"/>
      <c r="H128" s="2"/>
      <c r="I128" s="2"/>
      <c r="J128" s="2">
        <f t="shared" si="48"/>
        <v>0</v>
      </c>
      <c r="K128" s="2">
        <f t="shared" si="49"/>
        <v>0</v>
      </c>
      <c r="L128" s="71">
        <f>IF(E128=0,0,VLOOKUP(E128,'Prix Matiere'!$A$4:$J$65,10))</f>
        <v>0</v>
      </c>
      <c r="M128" s="71">
        <f t="shared" si="50"/>
        <v>0</v>
      </c>
      <c r="N128" s="3">
        <f t="shared" si="51"/>
        <v>0</v>
      </c>
      <c r="O128" s="71">
        <f t="shared" si="52"/>
        <v>0</v>
      </c>
      <c r="P128" s="2"/>
      <c r="Q128" s="383">
        <f>IF(E128=0,0,VLOOKUP(E128,'Prix Matiere'!$A$4:$L$65,12))*J128</f>
        <v>0</v>
      </c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8" customHeight="1" x14ac:dyDescent="0.35">
      <c r="A129" s="2"/>
      <c r="B129" s="45">
        <f>IF(H33="Aucun",0,"Bouts avec passage de main")</f>
        <v>0</v>
      </c>
      <c r="C129" s="85">
        <f>IF(H33="Aucun",0,(J32-IF(J32&gt;120,30,15))/(F129/2))</f>
        <v>0</v>
      </c>
      <c r="D129" s="85">
        <f t="shared" si="53"/>
        <v>0</v>
      </c>
      <c r="E129" s="85">
        <f>VLOOKUP(H33,$A$196:$L$201,9)</f>
        <v>0</v>
      </c>
      <c r="F129" s="45">
        <f>IF(H33="Aucun",0,IF(J32&gt;120,6,4))</f>
        <v>0</v>
      </c>
      <c r="G129" s="2"/>
      <c r="H129" s="2"/>
      <c r="I129" s="2"/>
      <c r="J129" s="2">
        <f t="shared" si="48"/>
        <v>0</v>
      </c>
      <c r="K129" s="2">
        <f t="shared" si="49"/>
        <v>0</v>
      </c>
      <c r="L129" s="71">
        <f>IF(E129=0,0,VLOOKUP(E129,'Prix Matiere'!$A$4:$J$65,10))</f>
        <v>0</v>
      </c>
      <c r="M129" s="71">
        <f t="shared" si="50"/>
        <v>0</v>
      </c>
      <c r="N129" s="3">
        <f t="shared" si="51"/>
        <v>0</v>
      </c>
      <c r="O129" s="71">
        <f t="shared" si="52"/>
        <v>0</v>
      </c>
      <c r="P129" s="2"/>
      <c r="Q129" s="383">
        <f>IF(E129=0,0,VLOOKUP(E129,'Prix Matiere'!$A$4:$L$65,12))*J129</f>
        <v>0</v>
      </c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8" customHeight="1" x14ac:dyDescent="0.35">
      <c r="A130" s="2"/>
      <c r="B130" s="45">
        <f>IF(H33="Aucun",0,"Fond")</f>
        <v>0</v>
      </c>
      <c r="C130" s="85">
        <f>IF(H33="Aucun",0,H32+VLOOKUP(H33,$A$196:$L$201,6))</f>
        <v>0</v>
      </c>
      <c r="D130" s="85">
        <f>IF(H33="Sous verre 2 faces",J32+VLOOKUP(H33,$A$196:$L$201,6),H36)</f>
        <v>0</v>
      </c>
      <c r="E130" s="85">
        <f>VLOOKUP(H33,$A$196:$L$201,8)</f>
        <v>0</v>
      </c>
      <c r="F130" s="45">
        <f>VLOOKUP(H33,$A$196:$L$201,7)</f>
        <v>0</v>
      </c>
      <c r="G130" s="2"/>
      <c r="H130" s="2"/>
      <c r="I130" s="2"/>
      <c r="J130" s="2">
        <f t="shared" si="48"/>
        <v>0</v>
      </c>
      <c r="K130" s="2">
        <f t="shared" si="49"/>
        <v>0</v>
      </c>
      <c r="L130" s="71">
        <f>IF(E130=0,0,VLOOKUP(E130,'Prix Matiere'!$A$4:$J$65,10))</f>
        <v>0</v>
      </c>
      <c r="M130" s="71">
        <f t="shared" si="50"/>
        <v>0</v>
      </c>
      <c r="N130" s="3">
        <f t="shared" si="51"/>
        <v>0</v>
      </c>
      <c r="O130" s="71">
        <f t="shared" si="52"/>
        <v>0</v>
      </c>
      <c r="P130" s="2"/>
      <c r="Q130" s="383">
        <f>IF(E130=0,0,VLOOKUP(E130,'Prix Matiere'!$A$4:$L$65,12))*J130</f>
        <v>0</v>
      </c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8" customHeight="1" x14ac:dyDescent="0.35">
      <c r="A131" s="2"/>
      <c r="B131" s="45">
        <f>IF(H33="Aucun",0,"Remplis de fond")</f>
        <v>0</v>
      </c>
      <c r="C131" s="85">
        <f>IF(H33="Aucun",0,IF(H33="Sous verre 2 faces",0,J32-D130*2+VLOOKUP(H33,$A$196:$L$201,6)))</f>
        <v>0</v>
      </c>
      <c r="D131" s="85">
        <f>IF(H33="Sous verre 2 faces",0,H36)</f>
        <v>0</v>
      </c>
      <c r="E131" s="85">
        <f>IF(C131=0,0,VLOOKUP(H33,$A$196:$L$201,8))</f>
        <v>0</v>
      </c>
      <c r="F131" s="45">
        <f>IF(H33="Aucun",0,IF(H33="Sous verre 2 faces",0,2))</f>
        <v>0</v>
      </c>
      <c r="G131" s="2"/>
      <c r="H131" s="2"/>
      <c r="I131" s="2"/>
      <c r="J131" s="2">
        <f t="shared" si="48"/>
        <v>0</v>
      </c>
      <c r="K131" s="2">
        <f t="shared" si="49"/>
        <v>0</v>
      </c>
      <c r="L131" s="71">
        <f>IF(E131=0,0,VLOOKUP(E131,'Prix Matiere'!$A$4:$J$65,10))</f>
        <v>0</v>
      </c>
      <c r="M131" s="71">
        <f t="shared" si="50"/>
        <v>0</v>
      </c>
      <c r="N131" s="3">
        <f t="shared" si="51"/>
        <v>0</v>
      </c>
      <c r="O131" s="71">
        <f t="shared" si="52"/>
        <v>0</v>
      </c>
      <c r="P131" s="2"/>
      <c r="Q131" s="383">
        <f>IF(E131=0,0,VLOOKUP(E131,'Prix Matiere'!$A$4:$L$65,12))*J131</f>
        <v>0</v>
      </c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8" customHeight="1" x14ac:dyDescent="0.35">
      <c r="A132" s="2"/>
      <c r="B132" s="45">
        <f>IF(H33="Aucun",0,"Dessus")</f>
        <v>0</v>
      </c>
      <c r="C132" s="85">
        <f>IF(H33="Aucun",0,H32+VLOOKUP(H33,$A$196:$L$201,10))</f>
        <v>0</v>
      </c>
      <c r="D132" s="85">
        <f>IF(H33="Sous verre 2 faces",H35+VLOOKUP(H33,$A$196:$L$201,10),IF(H33="Sous verre / bandes de mousse",H35+VLOOKUP(H33,$A$196:$L$201,10),H35))</f>
        <v>0</v>
      </c>
      <c r="E132" s="85">
        <f>VLOOKUP(H33,$A$196:$L$201,9)</f>
        <v>0</v>
      </c>
      <c r="F132" s="45">
        <f>VLOOKUP(H33,$A$196:$L$201,11)</f>
        <v>0</v>
      </c>
      <c r="G132" s="2"/>
      <c r="H132" s="2"/>
      <c r="I132" s="2"/>
      <c r="J132" s="2">
        <f t="shared" si="48"/>
        <v>0</v>
      </c>
      <c r="K132" s="2">
        <f t="shared" si="49"/>
        <v>0</v>
      </c>
      <c r="L132" s="71">
        <f>IF(E132=0,0,VLOOKUP(E132,'Prix Matiere'!$A$4:$J$65,10))</f>
        <v>0</v>
      </c>
      <c r="M132" s="71">
        <f t="shared" si="50"/>
        <v>0</v>
      </c>
      <c r="N132" s="3">
        <f t="shared" si="51"/>
        <v>0</v>
      </c>
      <c r="O132" s="71">
        <f t="shared" si="52"/>
        <v>0</v>
      </c>
      <c r="P132" s="2"/>
      <c r="Q132" s="383">
        <f>IF(E132=0,0,VLOOKUP(E132,'Prix Matiere'!$A$4:$L$65,12))*J132</f>
        <v>0</v>
      </c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8" customHeight="1" x14ac:dyDescent="0.35">
      <c r="A133" s="2"/>
      <c r="B133" s="45">
        <f>IF(H33="Aucun",0,"Remplis de dessus")</f>
        <v>0</v>
      </c>
      <c r="C133" s="85">
        <f>IF(H33="Aucun",0,IF(H33="Sous verre 2 faces",0,IF(H33="Sous verre / bandes de mousse",0,J32-2*D132+VLOOKUP(H33,$A$196:$L$201,10))))</f>
        <v>0</v>
      </c>
      <c r="D133" s="85">
        <f>IF(H33="Sous verre / bandes de mousse",0,IF(H33="Sous verre 2 faces",0,H35))</f>
        <v>0</v>
      </c>
      <c r="E133" s="85">
        <f>IF(C133=0,0,VLOOKUP(H33,$A$196:$L$201,9))</f>
        <v>0</v>
      </c>
      <c r="F133" s="45">
        <f>IF(H33="Aucun",0,IF(H33="Sous verre 2 faces",0,IF(H33="Sous verre / bandes de mousse",0,2)))</f>
        <v>0</v>
      </c>
      <c r="G133" s="2"/>
      <c r="H133" s="2"/>
      <c r="I133" s="2"/>
      <c r="J133" s="2">
        <f t="shared" si="48"/>
        <v>0</v>
      </c>
      <c r="K133" s="2">
        <f t="shared" si="49"/>
        <v>0</v>
      </c>
      <c r="L133" s="71">
        <f>IF(E133=0,0,VLOOKUP(E133,'Prix Matiere'!$A$4:$J$65,10))</f>
        <v>0</v>
      </c>
      <c r="M133" s="71">
        <f t="shared" si="50"/>
        <v>0</v>
      </c>
      <c r="N133" s="3">
        <f t="shared" si="51"/>
        <v>0</v>
      </c>
      <c r="O133" s="71">
        <f t="shared" si="52"/>
        <v>0</v>
      </c>
      <c r="P133" s="2"/>
      <c r="Q133" s="383">
        <f>IF(E133=0,0,VLOOKUP(E133,'Prix Matiere'!$A$4:$L$65,12))*J133</f>
        <v>0</v>
      </c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8" customHeight="1" x14ac:dyDescent="0.35">
      <c r="A134" s="2"/>
      <c r="B134" s="45">
        <f>IF(H33="Aucun",0,"Rattrapage 1")</f>
        <v>0</v>
      </c>
      <c r="C134" s="85">
        <f>IF(H38=0,0,H32+0.2)</f>
        <v>0</v>
      </c>
      <c r="D134" s="85">
        <f>IF(H38=0,0,H38)</f>
        <v>0</v>
      </c>
      <c r="E134" s="85">
        <f t="shared" ref="E134:E135" si="54">IF(C134=0,0,CONCATENATE("PU ",$J$38*10," mm"))</f>
        <v>0</v>
      </c>
      <c r="F134" s="45">
        <f>IF(H38=0,0,2)</f>
        <v>0</v>
      </c>
      <c r="G134" s="2"/>
      <c r="H134" s="2"/>
      <c r="I134" s="2"/>
      <c r="J134" s="2">
        <f t="shared" si="48"/>
        <v>0</v>
      </c>
      <c r="K134" s="2">
        <f t="shared" si="49"/>
        <v>0</v>
      </c>
      <c r="L134" s="71">
        <f>IF(E134=0,0,VLOOKUP(E134,'Prix Matiere'!$A$4:$J$65,10))</f>
        <v>0</v>
      </c>
      <c r="M134" s="71">
        <f t="shared" si="50"/>
        <v>0</v>
      </c>
      <c r="N134" s="3">
        <f t="shared" si="51"/>
        <v>0</v>
      </c>
      <c r="O134" s="71">
        <f t="shared" si="52"/>
        <v>0</v>
      </c>
      <c r="P134" s="2"/>
      <c r="Q134" s="383">
        <f>IF(E134=0,0,VLOOKUP(E134,'Prix Matiere'!$A$4:$L$65,12))*J134</f>
        <v>0</v>
      </c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8" customHeight="1" x14ac:dyDescent="0.35">
      <c r="A135" s="2"/>
      <c r="B135" s="45">
        <f>IF(H33="Aucun",0,"Rattrapage 2")</f>
        <v>0</v>
      </c>
      <c r="C135" s="85">
        <f>IF(H38=0,0,J32+0.2-2*D134)</f>
        <v>0</v>
      </c>
      <c r="D135" s="85">
        <f>IF(H38=0,0,D134)</f>
        <v>0</v>
      </c>
      <c r="E135" s="85">
        <f t="shared" si="54"/>
        <v>0</v>
      </c>
      <c r="F135" s="45">
        <f>IF(H38=0,0,2)</f>
        <v>0</v>
      </c>
      <c r="G135" s="2"/>
      <c r="H135" s="2"/>
      <c r="I135" s="2"/>
      <c r="J135" s="2">
        <f t="shared" si="48"/>
        <v>0</v>
      </c>
      <c r="K135" s="2">
        <f t="shared" si="49"/>
        <v>0</v>
      </c>
      <c r="L135" s="71">
        <f>IF(E135=0,0,VLOOKUP(E135,'Prix Matiere'!$A$4:$J$65,10))</f>
        <v>0</v>
      </c>
      <c r="M135" s="71">
        <f t="shared" si="50"/>
        <v>0</v>
      </c>
      <c r="N135" s="3">
        <f t="shared" si="51"/>
        <v>0</v>
      </c>
      <c r="O135" s="71">
        <f t="shared" si="52"/>
        <v>0</v>
      </c>
      <c r="P135" s="2"/>
      <c r="Q135" s="383">
        <f>IF(E135=0,0,VLOOKUP(E135,'Prix Matiere'!$A$4:$L$65,12))*J135</f>
        <v>0</v>
      </c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8" customHeight="1" x14ac:dyDescent="0.35">
      <c r="A136" s="2"/>
      <c r="B136" s="45">
        <f>IF(H33="Aucun",0,"Remplissage 1")</f>
        <v>0</v>
      </c>
      <c r="C136" s="85">
        <f t="shared" ref="C136:C137" si="55">IF(H39=0,0,H39)</f>
        <v>0</v>
      </c>
      <c r="D136" s="85">
        <f t="shared" ref="D136:D137" si="56">IF(H39=0,0,I39)</f>
        <v>0</v>
      </c>
      <c r="E136" s="85">
        <f>IF(C136=0,0,CONCATENATE("PU ",$J$39*10," mm"))</f>
        <v>0</v>
      </c>
      <c r="F136" s="45">
        <f t="shared" ref="F136:F137" si="57">IF(H39=0,0,1)</f>
        <v>0</v>
      </c>
      <c r="G136" s="2"/>
      <c r="H136" s="2"/>
      <c r="I136" s="2"/>
      <c r="J136" s="2">
        <f t="shared" si="48"/>
        <v>0</v>
      </c>
      <c r="K136" s="2">
        <f t="shared" si="49"/>
        <v>0</v>
      </c>
      <c r="L136" s="71">
        <f>IF(E136=0,0,VLOOKUP(E136,'Prix Matiere'!$A$4:$J$65,10))</f>
        <v>0</v>
      </c>
      <c r="M136" s="71">
        <f t="shared" si="50"/>
        <v>0</v>
      </c>
      <c r="N136" s="3">
        <f t="shared" si="51"/>
        <v>0</v>
      </c>
      <c r="O136" s="71">
        <f t="shared" si="52"/>
        <v>0</v>
      </c>
      <c r="P136" s="2"/>
      <c r="Q136" s="383">
        <f>IF(E136=0,0,VLOOKUP(E136,'Prix Matiere'!$A$4:$L$65,12))*J136</f>
        <v>0</v>
      </c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8" customHeight="1" x14ac:dyDescent="0.35">
      <c r="A137" s="2"/>
      <c r="B137" s="45">
        <f>IF(H33="Aucun",0,"Remplissage 2")</f>
        <v>0</v>
      </c>
      <c r="C137" s="85">
        <f t="shared" si="55"/>
        <v>0</v>
      </c>
      <c r="D137" s="85">
        <f t="shared" si="56"/>
        <v>0</v>
      </c>
      <c r="E137" s="85">
        <f>IF(C137=0,0,CONCATENATE("PU ",$J$40*10," mm"))</f>
        <v>0</v>
      </c>
      <c r="F137" s="45">
        <f t="shared" si="57"/>
        <v>0</v>
      </c>
      <c r="G137" s="2"/>
      <c r="H137" s="2"/>
      <c r="I137" s="2"/>
      <c r="J137" s="2">
        <f t="shared" si="48"/>
        <v>0</v>
      </c>
      <c r="K137" s="2">
        <f t="shared" si="49"/>
        <v>0</v>
      </c>
      <c r="L137" s="71">
        <f>IF(E137=0,0,VLOOKUP(E137,'Prix Matiere'!$A$4:$J$65,10))</f>
        <v>0</v>
      </c>
      <c r="M137" s="71">
        <f t="shared" si="50"/>
        <v>0</v>
      </c>
      <c r="N137" s="3">
        <f t="shared" si="51"/>
        <v>0</v>
      </c>
      <c r="O137" s="71">
        <f t="shared" si="52"/>
        <v>0</v>
      </c>
      <c r="P137" s="2"/>
      <c r="Q137" s="383">
        <f>IF(E137=0,0,VLOOKUP(E137,'Prix Matiere'!$A$4:$L$65,12))*J137</f>
        <v>0</v>
      </c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8" customHeight="1" x14ac:dyDescent="0.35">
      <c r="A138" s="2"/>
      <c r="B138" s="45">
        <f>IF(H33="Aucun",0,"Carton")</f>
        <v>0</v>
      </c>
      <c r="C138" s="85">
        <f>IF(F138=0,0,H32+VLOOKUP(H33,$A$196:$L$201,10))</f>
        <v>0</v>
      </c>
      <c r="D138" s="85">
        <f>IF(E138=0,0,J32+VLOOKUP(H33,$A$196:$L$201,10))</f>
        <v>0</v>
      </c>
      <c r="E138" s="85">
        <f>IF(C138=0,0,"Carton")</f>
        <v>0</v>
      </c>
      <c r="F138" s="45">
        <f>VLOOKUP(H33,$A$196:$L$201,12)</f>
        <v>0</v>
      </c>
      <c r="G138" s="2"/>
      <c r="H138" s="2"/>
      <c r="I138" s="2"/>
      <c r="J138" s="2">
        <f t="shared" si="48"/>
        <v>0</v>
      </c>
      <c r="K138" s="2">
        <f t="shared" si="49"/>
        <v>0</v>
      </c>
      <c r="L138" s="71">
        <f>IF(E138=0,0,Carton)</f>
        <v>0</v>
      </c>
      <c r="M138" s="71">
        <f t="shared" si="50"/>
        <v>0</v>
      </c>
      <c r="N138" s="3">
        <f>IF(J138=0,0,2.356*J138+1)</f>
        <v>0</v>
      </c>
      <c r="O138" s="71">
        <f t="shared" si="52"/>
        <v>0</v>
      </c>
      <c r="P138" s="2"/>
      <c r="Q138" s="383">
        <f>IF(E138=0,0,VLOOKUP(E138,'Prix Matiere'!$A$4:$L$65,12))*J138</f>
        <v>0</v>
      </c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8" customHeight="1" x14ac:dyDescent="0.35">
      <c r="A139" s="2"/>
      <c r="B139" s="2"/>
      <c r="C139" s="256"/>
      <c r="D139" s="256"/>
      <c r="E139" s="256"/>
      <c r="F139" s="2"/>
      <c r="G139" s="2"/>
      <c r="H139" s="2"/>
      <c r="I139" s="2"/>
      <c r="J139" s="2"/>
      <c r="K139" s="2"/>
      <c r="L139" s="71"/>
      <c r="M139" s="71"/>
      <c r="N139" s="3"/>
      <c r="O139" s="71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8" customHeight="1" x14ac:dyDescent="0.35">
      <c r="A140" s="2"/>
      <c r="B140" s="2" t="e">
        <f>CONCATENATE("Amortisseurs"," ",C25)</f>
        <v>#N/A</v>
      </c>
      <c r="C140" s="256"/>
      <c r="D140" s="256"/>
      <c r="E140" s="256"/>
      <c r="F140" s="2">
        <f>F25</f>
        <v>4</v>
      </c>
      <c r="G140" s="2"/>
      <c r="H140" s="2"/>
      <c r="I140" s="2"/>
      <c r="J140" s="2"/>
      <c r="K140" s="2">
        <f>F140</f>
        <v>4</v>
      </c>
      <c r="L140" s="71" t="e">
        <f>VLOOKUP(C25,A208:H216,6)</f>
        <v>#N/A</v>
      </c>
      <c r="M140" s="71" t="e">
        <f>L140*K140</f>
        <v>#N/A</v>
      </c>
      <c r="N140" s="3">
        <f>K140*30</f>
        <v>120</v>
      </c>
      <c r="O140" s="71">
        <f>N140*MinuteMO</f>
        <v>102</v>
      </c>
      <c r="P140" s="71"/>
      <c r="Q140" s="71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8" customHeight="1" x14ac:dyDescent="0.35">
      <c r="A141" s="2"/>
      <c r="B141" s="2"/>
      <c r="C141" s="256"/>
      <c r="D141" s="256"/>
      <c r="E141" s="256"/>
      <c r="F141" s="2"/>
      <c r="G141" s="2"/>
      <c r="H141" s="2"/>
      <c r="I141" s="2"/>
      <c r="J141" s="2"/>
      <c r="K141" s="2"/>
      <c r="L141" s="71"/>
      <c r="M141" s="71"/>
      <c r="N141" s="3"/>
      <c r="O141" s="71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8" customHeight="1" x14ac:dyDescent="0.85">
      <c r="A142" s="2" t="s">
        <v>71</v>
      </c>
      <c r="B142" s="33" t="str">
        <f>IF(F21="Aucun"," ",F21)</f>
        <v xml:space="preserve"> </v>
      </c>
      <c r="C142" s="2"/>
      <c r="D142" s="2"/>
      <c r="E142" s="2"/>
      <c r="F142" s="2"/>
      <c r="G142" s="2"/>
      <c r="H142" s="2"/>
      <c r="I142" s="2"/>
      <c r="J142" s="2"/>
      <c r="K142" s="2"/>
      <c r="L142" s="71"/>
      <c r="M142" s="71">
        <f>IF(B142="A Plat",0,IF(B142="Aucun",0,IF(B142=" ",0,40)))</f>
        <v>0</v>
      </c>
      <c r="N142" s="3"/>
      <c r="O142" s="71">
        <f>N142*MinuteMO</f>
        <v>0</v>
      </c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9.5" customHeight="1" x14ac:dyDescent="0.35">
      <c r="A143" s="2" t="s">
        <v>23</v>
      </c>
      <c r="B143" s="2">
        <f>IF($F$23="Oui","Tyvek",0)</f>
        <v>0</v>
      </c>
      <c r="C143" s="2"/>
      <c r="D143" s="2"/>
      <c r="E143" s="2"/>
      <c r="F143" s="2"/>
      <c r="G143" s="2"/>
      <c r="H143" s="2"/>
      <c r="I143" s="2"/>
      <c r="J143" s="2"/>
      <c r="K143" s="89">
        <f>IF(B143="Tyvek",SUM(K125:K138)+SUM(K109:K122)/0.7,0)</f>
        <v>0</v>
      </c>
      <c r="L143" s="71">
        <f>IF(B143=0,0,2.75)</f>
        <v>0</v>
      </c>
      <c r="M143" s="71">
        <f t="shared" ref="M143:M144" si="58">K143*L143</f>
        <v>0</v>
      </c>
      <c r="N143" s="3">
        <f>IF(K143=0,0,6*K143+2)</f>
        <v>0</v>
      </c>
      <c r="O143" s="71">
        <f>N143*MinuteMO</f>
        <v>0</v>
      </c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8" customHeight="1" x14ac:dyDescent="0.35">
      <c r="A144" s="2" t="s">
        <v>19</v>
      </c>
      <c r="B144" s="2">
        <f>IF(F19="Non",0,"Peinture")</f>
        <v>0</v>
      </c>
      <c r="C144" s="2"/>
      <c r="D144" s="2"/>
      <c r="E144" s="2"/>
      <c r="F144" s="2"/>
      <c r="G144" s="2"/>
      <c r="H144" s="2"/>
      <c r="I144" s="2"/>
      <c r="J144" s="2">
        <f>IF(B144=0,0,(((C52/100)*(D52/100))+((C52/100)*(E52/100))+((D52/100)*(E52/100)))*2)</f>
        <v>0</v>
      </c>
      <c r="K144" s="2">
        <f>J144</f>
        <v>0</v>
      </c>
      <c r="L144" s="71">
        <f>IF(B144=0,0,VLOOKUP(B144,'Prix Matiere'!$A$4:$J$60,10))</f>
        <v>0</v>
      </c>
      <c r="M144" s="71">
        <f t="shared" si="58"/>
        <v>0</v>
      </c>
      <c r="N144" s="3">
        <f>IF(J144=0,0,IF(B144="Peinture",30+J144*15))</f>
        <v>0</v>
      </c>
      <c r="O144" s="71">
        <f>N144*MinuteMO</f>
        <v>0</v>
      </c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8" customHeight="1" x14ac:dyDescent="0.35">
      <c r="A145" s="2" t="s">
        <v>72</v>
      </c>
      <c r="B145" s="2" t="str">
        <f>C19</f>
        <v>Vis bois</v>
      </c>
      <c r="C145" s="2"/>
      <c r="D145" s="2"/>
      <c r="E145" s="2"/>
      <c r="F145" s="2"/>
      <c r="G145" s="2"/>
      <c r="H145" s="2"/>
      <c r="I145" s="2"/>
      <c r="J145" s="2"/>
      <c r="K145" s="2"/>
      <c r="L145" s="71"/>
      <c r="M145" s="71">
        <f>IF(B145="Vis bois",0,(F4*2+F6*2)*1.5)</f>
        <v>0</v>
      </c>
      <c r="N145" s="3">
        <f>IF(B145="Vis bois",0,45)</f>
        <v>0</v>
      </c>
      <c r="O145" s="71">
        <f>N145*MinuteMO</f>
        <v>0</v>
      </c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8" customHeight="1" x14ac:dyDescent="0.35">
      <c r="A146" s="2" t="s">
        <v>21</v>
      </c>
      <c r="B146" s="2" t="str">
        <f>C21</f>
        <v>Bois</v>
      </c>
      <c r="C146" s="2"/>
      <c r="D146" s="2"/>
      <c r="E146" s="2"/>
      <c r="F146" s="2"/>
      <c r="G146" s="2"/>
      <c r="H146" s="2"/>
      <c r="I146" s="2"/>
      <c r="J146" s="2"/>
      <c r="K146" s="2"/>
      <c r="L146" s="71"/>
      <c r="M146" s="71">
        <f>IF(B146="Métal x 4 sur GC",4*2,IF(B146="Métal x 2 sur bouts",2*2,0))</f>
        <v>0</v>
      </c>
      <c r="N146" s="3">
        <f>IF(B146="Métal x 4 sur GC",4*3,IF(B146="Métal x 2 sur bouts",2*3,0))</f>
        <v>0</v>
      </c>
      <c r="O146" s="71">
        <f>N146*MinuteMO</f>
        <v>0</v>
      </c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8" customHeight="1" x14ac:dyDescent="0.3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71"/>
      <c r="M147" s="2"/>
      <c r="N147" s="3"/>
      <c r="O147" s="71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8" customHeight="1" x14ac:dyDescent="0.3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71">
        <f>IF(E148=0,0,VLOOKUP(E148,'Prix Matiere'!$A$4:$J$65,10))</f>
        <v>0</v>
      </c>
      <c r="M148" s="96" t="e">
        <f t="shared" ref="M148:N148" si="59">SUM(M63:M147)</f>
        <v>#N/A</v>
      </c>
      <c r="N148" s="97" t="e">
        <f t="shared" si="59"/>
        <v>#N/A</v>
      </c>
      <c r="O148" s="71" t="e">
        <f>N148*MinuteMO</f>
        <v>#N/A</v>
      </c>
      <c r="P148" s="2"/>
      <c r="Q148" s="383" t="e">
        <f>SUM(Q63:Q147)</f>
        <v>#N/A</v>
      </c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8" customHeight="1" x14ac:dyDescent="0.35">
      <c r="A149" s="2"/>
      <c r="B149" s="98" t="s">
        <v>73</v>
      </c>
      <c r="C149" s="99">
        <f>IF($F$9=0,0,M148)</f>
        <v>0</v>
      </c>
      <c r="D149" s="100"/>
      <c r="E149" s="385" t="s">
        <v>74</v>
      </c>
      <c r="F149" s="386" t="e">
        <f>CONCATENATE(ROUNDUP(SUM(K63:K65)+SUM(K89:K90)+SUM(K100:K101)+SUM(K104:K106),2)," m²")</f>
        <v>#N/A</v>
      </c>
      <c r="G149" s="303" t="e">
        <f>(SUM(M63:M65)+SUM(M89:M90)+SUM(M100:M101)+SUM(M104:M106))</f>
        <v>#N/A</v>
      </c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8" customHeight="1" x14ac:dyDescent="0.35">
      <c r="A150" s="2"/>
      <c r="B150" s="105" t="s">
        <v>75</v>
      </c>
      <c r="C150" s="71">
        <f>IF($F$9=0,0,O148)</f>
        <v>0</v>
      </c>
      <c r="D150" s="106">
        <f>IF($F$9=0,0,N148)</f>
        <v>0</v>
      </c>
      <c r="E150" s="387" t="s">
        <v>76</v>
      </c>
      <c r="F150" s="388" t="e">
        <f>CONCATENATE(ROUNDUP(SUM(K68:K74),2)," m²")</f>
        <v>#N/A</v>
      </c>
      <c r="G150" s="305" t="e">
        <f>(SUM(M68:M74))</f>
        <v>#N/A</v>
      </c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8" customHeight="1" x14ac:dyDescent="0.35">
      <c r="A151" s="2"/>
      <c r="B151" s="105" t="s">
        <v>77</v>
      </c>
      <c r="C151" s="71">
        <f>IF($F$9=0,0,((C149+C150)/Frais_Généraux)-(C149+C150))</f>
        <v>0</v>
      </c>
      <c r="D151" s="109"/>
      <c r="E151" s="387" t="s">
        <v>78</v>
      </c>
      <c r="F151" s="388" t="str">
        <f>CONCATENATE(ROUNDUP(SUM(K83:K85)+SUM(K94:K96),2)," m²")</f>
        <v>0 m²</v>
      </c>
      <c r="G151" s="305">
        <f>(SUM(M83:M85)+SUM(M94:M96))</f>
        <v>0</v>
      </c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8" customHeight="1" x14ac:dyDescent="0.35">
      <c r="A152" s="2"/>
      <c r="B152" s="105" t="s">
        <v>79</v>
      </c>
      <c r="C152" s="71">
        <f>IF($F$9=0,0,SUM(C149:C151))</f>
        <v>0</v>
      </c>
      <c r="D152" s="109"/>
      <c r="E152" s="387" t="s">
        <v>80</v>
      </c>
      <c r="F152" s="388" t="str">
        <f>CONCATENATE(ROUNDUP(SUM(K77:K79)+SUM(K109:K121)+SUM(K125:K137),2)," m²")</f>
        <v>0 m²</v>
      </c>
      <c r="G152" s="305">
        <f>SUM(M77:M79)+SUM(M109:M121)+SUM(M125:M137)</f>
        <v>0</v>
      </c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8" customHeight="1" x14ac:dyDescent="0.35">
      <c r="A153" s="2"/>
      <c r="B153" s="105" t="s">
        <v>81</v>
      </c>
      <c r="C153" s="71">
        <f>IF($F$9=0,0,(C152/(1-Marge)-C152))</f>
        <v>0</v>
      </c>
      <c r="D153" s="110">
        <f>C152+C153</f>
        <v>0</v>
      </c>
      <c r="E153" s="387" t="s">
        <v>82</v>
      </c>
      <c r="F153" s="388" t="str">
        <f>CONCATENATE(ROUNDUP(K122+K138,2)," m²")</f>
        <v>0 m²</v>
      </c>
      <c r="G153" s="305">
        <f>(M122+M138)</f>
        <v>0</v>
      </c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8" customHeight="1" x14ac:dyDescent="0.35">
      <c r="A154" s="2"/>
      <c r="B154" s="111" t="s">
        <v>83</v>
      </c>
      <c r="C154" s="71">
        <f>IF($F$10="BOVIS",((C152+C153)*(1+C155))-(C152+C153),((C152+C153)*(1+D154))-(C152+C153))</f>
        <v>0</v>
      </c>
      <c r="D154" s="112"/>
      <c r="E154" s="387"/>
      <c r="F154" s="388"/>
      <c r="G154" s="305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8" hidden="1" customHeight="1" x14ac:dyDescent="0.35">
      <c r="A155" s="2"/>
      <c r="B155" s="111"/>
      <c r="C155" s="104">
        <f>IF($F$10="BOVIS",0.03,0)</f>
        <v>0</v>
      </c>
      <c r="D155" s="113"/>
      <c r="E155" s="387"/>
      <c r="F155" s="388"/>
      <c r="G155" s="305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22.5" customHeight="1" x14ac:dyDescent="0.35">
      <c r="A156" s="2"/>
      <c r="B156" s="114" t="s">
        <v>84</v>
      </c>
      <c r="C156" s="115">
        <f>SUM(C152:C155)</f>
        <v>0</v>
      </c>
      <c r="D156" s="116"/>
      <c r="E156" s="307" t="s">
        <v>85</v>
      </c>
      <c r="F156" s="365"/>
      <c r="G156" s="380" t="e">
        <f>C149-SUM(G149:G153)</f>
        <v>#N/A</v>
      </c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 x14ac:dyDescent="0.35">
      <c r="A157" s="76"/>
      <c r="B157" s="76"/>
      <c r="C157" s="76"/>
      <c r="D157" s="76"/>
      <c r="E157" s="76"/>
      <c r="F157" s="6"/>
      <c r="G157" s="76"/>
      <c r="H157" s="76"/>
      <c r="I157" s="76"/>
      <c r="J157" s="76"/>
      <c r="K157" s="76"/>
      <c r="L157" s="76"/>
      <c r="M157" s="76"/>
      <c r="N157" s="76"/>
      <c r="O157" s="76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 x14ac:dyDescent="0.3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8" hidden="1" customHeight="1" x14ac:dyDescent="0.35">
      <c r="A159" s="124" t="s">
        <v>10</v>
      </c>
      <c r="B159" s="124" t="s">
        <v>10</v>
      </c>
      <c r="C159" s="124" t="s">
        <v>10</v>
      </c>
      <c r="D159" s="126">
        <v>1.5</v>
      </c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8" hidden="1" customHeight="1" x14ac:dyDescent="0.3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8" hidden="1" customHeight="1" x14ac:dyDescent="0.35">
      <c r="A161" s="127" t="s">
        <v>12</v>
      </c>
      <c r="B161" s="128" t="s">
        <v>90</v>
      </c>
      <c r="C161" s="128" t="s">
        <v>90</v>
      </c>
      <c r="D161" s="129">
        <v>2.1</v>
      </c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8" hidden="1" customHeight="1" x14ac:dyDescent="0.3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8" hidden="1" customHeight="1" x14ac:dyDescent="0.35">
      <c r="A163" s="119">
        <v>1</v>
      </c>
      <c r="B163" s="120">
        <v>2</v>
      </c>
      <c r="C163" s="120">
        <v>3</v>
      </c>
      <c r="D163" s="120">
        <v>4</v>
      </c>
      <c r="E163" s="130">
        <v>5</v>
      </c>
      <c r="F163" s="130">
        <v>6</v>
      </c>
      <c r="G163" s="130">
        <v>7</v>
      </c>
      <c r="H163" s="131">
        <v>8</v>
      </c>
      <c r="I163" s="131">
        <v>9</v>
      </c>
      <c r="J163" s="131">
        <v>10</v>
      </c>
      <c r="K163" s="132">
        <v>11</v>
      </c>
      <c r="L163" s="132">
        <v>12</v>
      </c>
      <c r="M163" s="132">
        <v>13</v>
      </c>
      <c r="N163" s="131">
        <v>14</v>
      </c>
      <c r="O163" s="131">
        <v>15</v>
      </c>
      <c r="P163" s="389">
        <v>16</v>
      </c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8" hidden="1" customHeight="1" x14ac:dyDescent="0.35">
      <c r="A164" s="135"/>
      <c r="B164" s="136"/>
      <c r="C164" s="136"/>
      <c r="D164" s="136"/>
      <c r="E164" s="137" t="s">
        <v>80</v>
      </c>
      <c r="F164" s="137" t="s">
        <v>91</v>
      </c>
      <c r="G164" s="137" t="s">
        <v>34</v>
      </c>
      <c r="H164" s="138" t="s">
        <v>65</v>
      </c>
      <c r="I164" s="138" t="s">
        <v>92</v>
      </c>
      <c r="J164" s="138" t="s">
        <v>93</v>
      </c>
      <c r="K164" s="139" t="s">
        <v>67</v>
      </c>
      <c r="L164" s="139" t="s">
        <v>94</v>
      </c>
      <c r="M164" s="139" t="s">
        <v>95</v>
      </c>
      <c r="N164" s="138" t="s">
        <v>69</v>
      </c>
      <c r="O164" s="138" t="s">
        <v>96</v>
      </c>
      <c r="P164" s="390" t="s">
        <v>97</v>
      </c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8" hidden="1" customHeight="1" x14ac:dyDescent="0.35">
      <c r="A165" s="124"/>
      <c r="E165" s="142"/>
      <c r="F165" s="142"/>
      <c r="G165" s="142"/>
      <c r="H165" s="143"/>
      <c r="I165" s="143"/>
      <c r="J165" s="143"/>
      <c r="K165" s="144"/>
      <c r="L165" s="144"/>
      <c r="M165" s="144">
        <v>0</v>
      </c>
      <c r="N165" s="143"/>
      <c r="O165" s="143"/>
      <c r="P165" s="391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8" hidden="1" customHeight="1" x14ac:dyDescent="0.35">
      <c r="A166" s="124" t="s">
        <v>16</v>
      </c>
      <c r="B166" s="125">
        <v>0</v>
      </c>
      <c r="C166" s="125">
        <v>0</v>
      </c>
      <c r="D166" s="125">
        <v>0</v>
      </c>
      <c r="E166" s="142">
        <v>0</v>
      </c>
      <c r="F166" s="142">
        <v>0</v>
      </c>
      <c r="G166" s="142">
        <v>0</v>
      </c>
      <c r="H166" s="143">
        <v>0</v>
      </c>
      <c r="I166" s="143">
        <v>0</v>
      </c>
      <c r="J166" s="143">
        <v>0</v>
      </c>
      <c r="K166" s="144">
        <v>0</v>
      </c>
      <c r="L166" s="144">
        <v>0</v>
      </c>
      <c r="M166" s="144">
        <v>0</v>
      </c>
      <c r="N166" s="143">
        <v>0</v>
      </c>
      <c r="O166" s="143">
        <v>0</v>
      </c>
      <c r="P166" s="391">
        <v>0</v>
      </c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8" hidden="1" customHeight="1" x14ac:dyDescent="0.35">
      <c r="A167" s="124" t="s">
        <v>98</v>
      </c>
      <c r="B167" s="308">
        <f t="shared" ref="B167:D167" si="60">(3+1.25+3)*2</f>
        <v>14.5</v>
      </c>
      <c r="C167" s="308">
        <f t="shared" si="60"/>
        <v>14.5</v>
      </c>
      <c r="D167" s="308">
        <f t="shared" si="60"/>
        <v>14.5</v>
      </c>
      <c r="E167" s="142">
        <v>0</v>
      </c>
      <c r="F167" s="142">
        <v>0</v>
      </c>
      <c r="G167" s="142">
        <v>0</v>
      </c>
      <c r="H167" s="143">
        <v>6</v>
      </c>
      <c r="I167" s="143" t="s">
        <v>99</v>
      </c>
      <c r="J167" s="143">
        <v>2</v>
      </c>
      <c r="K167" s="144">
        <v>2.5</v>
      </c>
      <c r="L167" s="144" t="s">
        <v>86</v>
      </c>
      <c r="M167" s="147">
        <v>4</v>
      </c>
      <c r="N167" s="143">
        <v>6</v>
      </c>
      <c r="O167" s="143" t="s">
        <v>99</v>
      </c>
      <c r="P167" s="148">
        <v>2</v>
      </c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8" hidden="1" customHeight="1" x14ac:dyDescent="0.35">
      <c r="A168" s="124" t="s">
        <v>100</v>
      </c>
      <c r="B168" s="308">
        <f t="shared" ref="B168:D168" si="61">(5.1+1.25+5.1)*2</f>
        <v>22.9</v>
      </c>
      <c r="C168" s="308">
        <f t="shared" si="61"/>
        <v>22.9</v>
      </c>
      <c r="D168" s="308">
        <f t="shared" si="61"/>
        <v>22.9</v>
      </c>
      <c r="E168" s="142">
        <v>0</v>
      </c>
      <c r="F168" s="142">
        <v>0</v>
      </c>
      <c r="G168" s="142">
        <v>0</v>
      </c>
      <c r="H168" s="143">
        <v>10.199999999999999</v>
      </c>
      <c r="I168" s="143" t="s">
        <v>101</v>
      </c>
      <c r="J168" s="143">
        <v>2</v>
      </c>
      <c r="K168" s="144">
        <v>2.5</v>
      </c>
      <c r="L168" s="144" t="s">
        <v>86</v>
      </c>
      <c r="M168" s="147">
        <v>4</v>
      </c>
      <c r="N168" s="143">
        <v>10.199999999999999</v>
      </c>
      <c r="O168" s="143" t="s">
        <v>101</v>
      </c>
      <c r="P168" s="148">
        <v>2</v>
      </c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8" hidden="1" customHeight="1" x14ac:dyDescent="0.35">
      <c r="A169" s="124" t="s">
        <v>102</v>
      </c>
      <c r="B169" s="308">
        <f t="shared" ref="B169:D169" si="62">(3)*2</f>
        <v>6</v>
      </c>
      <c r="C169" s="308">
        <f t="shared" si="62"/>
        <v>6</v>
      </c>
      <c r="D169" s="308">
        <f t="shared" si="62"/>
        <v>6</v>
      </c>
      <c r="E169" s="142">
        <v>0</v>
      </c>
      <c r="F169" s="142">
        <v>0</v>
      </c>
      <c r="G169" s="142">
        <v>0</v>
      </c>
      <c r="H169" s="143">
        <v>6</v>
      </c>
      <c r="I169" s="143" t="s">
        <v>99</v>
      </c>
      <c r="J169" s="143">
        <v>2</v>
      </c>
      <c r="K169" s="144">
        <v>0</v>
      </c>
      <c r="L169" s="144">
        <v>0</v>
      </c>
      <c r="M169" s="147">
        <v>0</v>
      </c>
      <c r="N169" s="143">
        <v>0</v>
      </c>
      <c r="O169" s="143"/>
      <c r="P169" s="148">
        <v>0</v>
      </c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8" hidden="1" customHeight="1" x14ac:dyDescent="0.35">
      <c r="A170" s="124" t="s">
        <v>103</v>
      </c>
      <c r="B170" s="308">
        <f t="shared" ref="B170:D170" si="63">(5.1)*2</f>
        <v>10.199999999999999</v>
      </c>
      <c r="C170" s="308">
        <f t="shared" si="63"/>
        <v>10.199999999999999</v>
      </c>
      <c r="D170" s="308">
        <f t="shared" si="63"/>
        <v>10.199999999999999</v>
      </c>
      <c r="E170" s="142">
        <v>0</v>
      </c>
      <c r="F170" s="142">
        <v>0</v>
      </c>
      <c r="G170" s="142">
        <v>0</v>
      </c>
      <c r="H170" s="143">
        <v>10.199999999999999</v>
      </c>
      <c r="I170" s="143" t="s">
        <v>101</v>
      </c>
      <c r="J170" s="143">
        <v>2</v>
      </c>
      <c r="K170" s="144">
        <v>0</v>
      </c>
      <c r="L170" s="144">
        <v>0</v>
      </c>
      <c r="M170" s="147">
        <v>0</v>
      </c>
      <c r="N170" s="143">
        <v>0</v>
      </c>
      <c r="O170" s="143"/>
      <c r="P170" s="148">
        <v>0</v>
      </c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8" hidden="1" customHeight="1" x14ac:dyDescent="0.35">
      <c r="A171" s="124" t="s">
        <v>104</v>
      </c>
      <c r="B171" s="308">
        <f t="shared" ref="B171:D171" si="64">(3+3+1.25+3)*2</f>
        <v>20.5</v>
      </c>
      <c r="C171" s="308">
        <f t="shared" si="64"/>
        <v>20.5</v>
      </c>
      <c r="D171" s="308">
        <f t="shared" si="64"/>
        <v>20.5</v>
      </c>
      <c r="E171" s="142">
        <v>6</v>
      </c>
      <c r="F171" s="142" t="s">
        <v>105</v>
      </c>
      <c r="G171" s="142">
        <v>2</v>
      </c>
      <c r="H171" s="143">
        <v>6</v>
      </c>
      <c r="I171" s="143" t="s">
        <v>99</v>
      </c>
      <c r="J171" s="143">
        <v>2</v>
      </c>
      <c r="K171" s="144">
        <v>2.5</v>
      </c>
      <c r="L171" s="144" t="s">
        <v>86</v>
      </c>
      <c r="M171" s="147">
        <v>4</v>
      </c>
      <c r="N171" s="143">
        <v>6</v>
      </c>
      <c r="O171" s="143" t="s">
        <v>99</v>
      </c>
      <c r="P171" s="148">
        <v>2</v>
      </c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8" hidden="1" customHeight="1" x14ac:dyDescent="0.35">
      <c r="A172" s="127" t="s">
        <v>106</v>
      </c>
      <c r="B172" s="128">
        <f t="shared" ref="B172:D172" si="65">(5+5.1+1.25+5.1)*2</f>
        <v>32.9</v>
      </c>
      <c r="C172" s="128">
        <f t="shared" si="65"/>
        <v>32.9</v>
      </c>
      <c r="D172" s="128">
        <f t="shared" si="65"/>
        <v>32.9</v>
      </c>
      <c r="E172" s="149">
        <v>10.199999999999999</v>
      </c>
      <c r="F172" s="149" t="s">
        <v>27</v>
      </c>
      <c r="G172" s="149">
        <v>2</v>
      </c>
      <c r="H172" s="150">
        <v>10.199999999999999</v>
      </c>
      <c r="I172" s="150" t="s">
        <v>101</v>
      </c>
      <c r="J172" s="150">
        <v>2</v>
      </c>
      <c r="K172" s="151">
        <v>2.5</v>
      </c>
      <c r="L172" s="151" t="s">
        <v>86</v>
      </c>
      <c r="M172" s="152">
        <v>4</v>
      </c>
      <c r="N172" s="150">
        <v>10.199999999999999</v>
      </c>
      <c r="O172" s="150" t="s">
        <v>101</v>
      </c>
      <c r="P172" s="153">
        <v>2</v>
      </c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8" hidden="1" customHeight="1" x14ac:dyDescent="0.3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8" hidden="1" customHeight="1" x14ac:dyDescent="0.35">
      <c r="A174" s="119" t="s">
        <v>107</v>
      </c>
      <c r="B174" s="121">
        <v>1</v>
      </c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8" hidden="1" customHeight="1" x14ac:dyDescent="0.35">
      <c r="A175" s="127" t="s">
        <v>18</v>
      </c>
      <c r="B175" s="129">
        <v>0</v>
      </c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8" hidden="1" customHeight="1" x14ac:dyDescent="0.35"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8" hidden="1" customHeight="1" x14ac:dyDescent="0.35">
      <c r="A177" s="154" t="s">
        <v>20</v>
      </c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8" hidden="1" customHeight="1" x14ac:dyDescent="0.35">
      <c r="A178" s="155" t="s">
        <v>14</v>
      </c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8" hidden="1" customHeight="1" x14ac:dyDescent="0.35"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8" hidden="1" customHeight="1" x14ac:dyDescent="0.35">
      <c r="A180" s="154" t="s">
        <v>22</v>
      </c>
      <c r="B180" s="121">
        <v>4.2</v>
      </c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8" hidden="1" customHeight="1" x14ac:dyDescent="0.35">
      <c r="A181" s="155" t="s">
        <v>108</v>
      </c>
      <c r="B181" s="126">
        <v>2</v>
      </c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8" hidden="1" customHeight="1" x14ac:dyDescent="0.35">
      <c r="A182" s="156" t="s">
        <v>109</v>
      </c>
      <c r="B182" s="129">
        <v>0</v>
      </c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8" hidden="1" customHeight="1" x14ac:dyDescent="0.35"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8" hidden="1" customHeight="1" x14ac:dyDescent="0.35">
      <c r="A184" s="119" t="s">
        <v>110</v>
      </c>
      <c r="B184" s="119">
        <v>0</v>
      </c>
      <c r="C184" s="121"/>
      <c r="D184" s="125">
        <v>0</v>
      </c>
      <c r="E184" s="125">
        <v>1</v>
      </c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8" hidden="1" customHeight="1" x14ac:dyDescent="0.35">
      <c r="A185" s="124" t="s">
        <v>111</v>
      </c>
      <c r="B185" s="124">
        <v>10</v>
      </c>
      <c r="C185" s="126">
        <v>30</v>
      </c>
      <c r="D185" s="125">
        <v>12</v>
      </c>
      <c r="E185" s="125">
        <v>1</v>
      </c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8" hidden="1" customHeight="1" x14ac:dyDescent="0.35">
      <c r="A186" s="124" t="s">
        <v>16</v>
      </c>
      <c r="B186" s="124">
        <v>0</v>
      </c>
      <c r="C186" s="126"/>
      <c r="D186" s="125">
        <v>0</v>
      </c>
      <c r="F186" s="125">
        <v>3</v>
      </c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8" hidden="1" customHeight="1" x14ac:dyDescent="0.35">
      <c r="A187" s="342" t="s">
        <v>208</v>
      </c>
      <c r="B187" s="124">
        <v>5</v>
      </c>
      <c r="C187" s="126">
        <v>15</v>
      </c>
      <c r="D187" s="125">
        <v>0</v>
      </c>
      <c r="F187" s="125">
        <v>3</v>
      </c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8" hidden="1" customHeight="1" x14ac:dyDescent="0.35">
      <c r="A188" s="127" t="s">
        <v>23</v>
      </c>
      <c r="B188" s="127">
        <v>10</v>
      </c>
      <c r="C188" s="129">
        <v>30</v>
      </c>
      <c r="D188" s="125">
        <v>0</v>
      </c>
      <c r="F188" s="125">
        <v>3</v>
      </c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8" hidden="1" customHeight="1" x14ac:dyDescent="0.35"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8" hidden="1" customHeight="1" x14ac:dyDescent="0.35">
      <c r="A190" s="154" t="s">
        <v>16</v>
      </c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8" hidden="1" customHeight="1" x14ac:dyDescent="0.35">
      <c r="A191" s="155" t="s">
        <v>113</v>
      </c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8" hidden="1" customHeight="1" x14ac:dyDescent="0.35">
      <c r="A192" s="156" t="s">
        <v>37</v>
      </c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8" hidden="1" customHeight="1" x14ac:dyDescent="0.35"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8" hidden="1" customHeight="1" x14ac:dyDescent="0.35">
      <c r="A194" s="98"/>
      <c r="B194" s="120" t="s">
        <v>114</v>
      </c>
      <c r="C194" s="120" t="s">
        <v>115</v>
      </c>
      <c r="D194" s="120" t="s">
        <v>116</v>
      </c>
      <c r="E194" s="120" t="s">
        <v>117</v>
      </c>
      <c r="F194" s="120" t="s">
        <v>118</v>
      </c>
      <c r="G194" s="120" t="s">
        <v>119</v>
      </c>
      <c r="H194" s="120" t="s">
        <v>120</v>
      </c>
      <c r="I194" s="120" t="s">
        <v>121</v>
      </c>
      <c r="J194" s="120" t="s">
        <v>122</v>
      </c>
      <c r="K194" s="120" t="s">
        <v>123</v>
      </c>
      <c r="L194" s="121" t="s">
        <v>82</v>
      </c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8" hidden="1" customHeight="1" x14ac:dyDescent="0.35">
      <c r="A195" s="124">
        <v>1</v>
      </c>
      <c r="B195" s="125">
        <v>2</v>
      </c>
      <c r="C195" s="125">
        <v>3</v>
      </c>
      <c r="D195" s="125">
        <v>4</v>
      </c>
      <c r="E195" s="125">
        <v>5</v>
      </c>
      <c r="F195" s="125">
        <v>6</v>
      </c>
      <c r="G195" s="125">
        <v>7</v>
      </c>
      <c r="H195" s="125">
        <v>8</v>
      </c>
      <c r="I195" s="125">
        <v>9</v>
      </c>
      <c r="J195" s="125">
        <v>10</v>
      </c>
      <c r="K195" s="125">
        <v>11</v>
      </c>
      <c r="L195" s="126">
        <v>12</v>
      </c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8" hidden="1" customHeight="1" x14ac:dyDescent="0.35">
      <c r="A196" s="124" t="s">
        <v>16</v>
      </c>
      <c r="B196" s="125">
        <v>0</v>
      </c>
      <c r="C196" s="125">
        <v>0</v>
      </c>
      <c r="D196" s="125">
        <v>0</v>
      </c>
      <c r="E196" s="125">
        <v>0</v>
      </c>
      <c r="F196" s="125">
        <v>0</v>
      </c>
      <c r="G196" s="125">
        <v>0</v>
      </c>
      <c r="H196" s="125">
        <v>0</v>
      </c>
      <c r="I196" s="125">
        <v>0</v>
      </c>
      <c r="J196" s="125">
        <v>0</v>
      </c>
      <c r="K196" s="125">
        <v>0</v>
      </c>
      <c r="L196" s="126">
        <v>0</v>
      </c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8" hidden="1" customHeight="1" x14ac:dyDescent="0.35">
      <c r="A197" s="124" t="s">
        <v>32</v>
      </c>
      <c r="B197" s="125">
        <f t="shared" ref="B197:B201" si="66">10.2+IF($F$23="Oui",0.2)</f>
        <v>10.199999999999999</v>
      </c>
      <c r="C197" s="125">
        <f t="shared" ref="C197:C201" si="67">11+IF($F$23="Oui",0.2)</f>
        <v>11</v>
      </c>
      <c r="D197" s="125">
        <f t="shared" ref="D197:D201" si="68">10.2+IF($F$23="Oui",0.2)</f>
        <v>10.199999999999999</v>
      </c>
      <c r="E197" s="125">
        <f>11+IF($F$23="Oui",0.2)</f>
        <v>11</v>
      </c>
      <c r="F197" s="125">
        <v>0.2</v>
      </c>
      <c r="G197" s="125">
        <f>2</f>
        <v>2</v>
      </c>
      <c r="H197" s="125" t="s">
        <v>27</v>
      </c>
      <c r="I197" s="125" t="s">
        <v>27</v>
      </c>
      <c r="J197" s="125">
        <v>-0.5</v>
      </c>
      <c r="K197" s="125">
        <v>2</v>
      </c>
      <c r="L197" s="126">
        <v>1</v>
      </c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8" hidden="1" customHeight="1" x14ac:dyDescent="0.35">
      <c r="A198" s="124" t="s">
        <v>129</v>
      </c>
      <c r="B198" s="125">
        <f t="shared" si="66"/>
        <v>10.199999999999999</v>
      </c>
      <c r="C198" s="125">
        <f t="shared" si="67"/>
        <v>11</v>
      </c>
      <c r="D198" s="125">
        <f t="shared" si="68"/>
        <v>10.199999999999999</v>
      </c>
      <c r="E198" s="125">
        <f>5.2+IF($F$23="Oui",0.1)</f>
        <v>5.2</v>
      </c>
      <c r="F198" s="125">
        <v>0.2</v>
      </c>
      <c r="G198" s="125">
        <v>2</v>
      </c>
      <c r="H198" s="125" t="s">
        <v>27</v>
      </c>
      <c r="I198" s="125" t="s">
        <v>27</v>
      </c>
      <c r="J198" s="125">
        <v>9.5</v>
      </c>
      <c r="K198" s="125">
        <v>2</v>
      </c>
      <c r="L198" s="126">
        <v>1</v>
      </c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8" hidden="1" customHeight="1" x14ac:dyDescent="0.35">
      <c r="A199" s="124" t="s">
        <v>130</v>
      </c>
      <c r="B199" s="125">
        <f t="shared" si="66"/>
        <v>10.199999999999999</v>
      </c>
      <c r="C199" s="125">
        <f t="shared" si="67"/>
        <v>11</v>
      </c>
      <c r="D199" s="125">
        <f t="shared" si="68"/>
        <v>10.199999999999999</v>
      </c>
      <c r="E199" s="125">
        <f>6+IF($F$23="Oui",0.1)</f>
        <v>6</v>
      </c>
      <c r="F199" s="125">
        <v>10.199999999999999</v>
      </c>
      <c r="G199" s="125">
        <v>2</v>
      </c>
      <c r="H199" s="125" t="s">
        <v>37</v>
      </c>
      <c r="I199" s="125" t="s">
        <v>27</v>
      </c>
      <c r="J199" s="125">
        <v>-0.5</v>
      </c>
      <c r="K199" s="125">
        <v>2</v>
      </c>
      <c r="L199" s="126">
        <v>1</v>
      </c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8" hidden="1" customHeight="1" x14ac:dyDescent="0.35">
      <c r="A200" s="124" t="s">
        <v>131</v>
      </c>
      <c r="B200" s="125">
        <f t="shared" si="66"/>
        <v>10.199999999999999</v>
      </c>
      <c r="C200" s="125">
        <f t="shared" si="67"/>
        <v>11</v>
      </c>
      <c r="D200" s="125">
        <f t="shared" si="68"/>
        <v>10.199999999999999</v>
      </c>
      <c r="E200" s="125">
        <f t="shared" ref="E200:E201" si="69">11+IF($F$23="Oui",0.2)</f>
        <v>11</v>
      </c>
      <c r="F200" s="125">
        <v>0.2</v>
      </c>
      <c r="G200" s="125">
        <v>2</v>
      </c>
      <c r="H200" s="125" t="s">
        <v>27</v>
      </c>
      <c r="I200" s="125" t="s">
        <v>27</v>
      </c>
      <c r="J200" s="125">
        <v>-0.5</v>
      </c>
      <c r="K200" s="128">
        <v>1</v>
      </c>
      <c r="L200" s="126">
        <v>1</v>
      </c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8" hidden="1" customHeight="1" x14ac:dyDescent="0.35">
      <c r="A201" s="127" t="s">
        <v>132</v>
      </c>
      <c r="B201" s="125">
        <f t="shared" si="66"/>
        <v>10.199999999999999</v>
      </c>
      <c r="C201" s="125">
        <f t="shared" si="67"/>
        <v>11</v>
      </c>
      <c r="D201" s="125">
        <f t="shared" si="68"/>
        <v>10.199999999999999</v>
      </c>
      <c r="E201" s="128">
        <f t="shared" si="69"/>
        <v>11</v>
      </c>
      <c r="F201" s="128">
        <v>0.2</v>
      </c>
      <c r="G201" s="128">
        <v>1</v>
      </c>
      <c r="H201" s="128" t="s">
        <v>27</v>
      </c>
      <c r="I201" s="128" t="s">
        <v>27</v>
      </c>
      <c r="J201" s="128">
        <v>-0.5</v>
      </c>
      <c r="K201" s="128">
        <v>1</v>
      </c>
      <c r="L201" s="129">
        <v>1</v>
      </c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8" hidden="1" customHeight="1" x14ac:dyDescent="0.3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8" hidden="1" customHeight="1" x14ac:dyDescent="0.35">
      <c r="A203" s="345" t="s">
        <v>135</v>
      </c>
      <c r="B203" s="346">
        <v>10</v>
      </c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8" hidden="1" customHeight="1" x14ac:dyDescent="0.35">
      <c r="A204" s="347" t="s">
        <v>136</v>
      </c>
      <c r="B204" s="348">
        <v>10</v>
      </c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8" hidden="1" customHeight="1" x14ac:dyDescent="0.35">
      <c r="A205" s="349" t="s">
        <v>24</v>
      </c>
      <c r="B205" s="350">
        <v>2.1</v>
      </c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8" hidden="1" customHeight="1" x14ac:dyDescent="0.3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8" hidden="1" customHeight="1" x14ac:dyDescent="0.35">
      <c r="A207" s="392" t="s">
        <v>223</v>
      </c>
      <c r="B207" s="392" t="s">
        <v>224</v>
      </c>
      <c r="C207" s="392" t="s">
        <v>225</v>
      </c>
      <c r="D207" s="392" t="s">
        <v>226</v>
      </c>
      <c r="E207" s="392" t="s">
        <v>227</v>
      </c>
      <c r="F207" s="392" t="s">
        <v>228</v>
      </c>
      <c r="I207" s="393" t="s">
        <v>229</v>
      </c>
      <c r="J207" s="125" t="s">
        <v>230</v>
      </c>
      <c r="K207" s="125" t="s">
        <v>231</v>
      </c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8" hidden="1" customHeight="1" x14ac:dyDescent="0.35">
      <c r="A208" s="207" t="s">
        <v>232</v>
      </c>
      <c r="B208" s="207">
        <f t="shared" ref="B208:B216" si="70">E208*2</f>
        <v>14.8</v>
      </c>
      <c r="C208" s="207">
        <f t="shared" ref="C208:C216" si="71">E208*2</f>
        <v>14.8</v>
      </c>
      <c r="D208" s="207">
        <f t="shared" ref="D208:D216" si="72">E208*2</f>
        <v>14.8</v>
      </c>
      <c r="E208" s="207">
        <v>7.4</v>
      </c>
      <c r="F208" s="394">
        <f t="shared" ref="F208:F216" si="73">H208+G208</f>
        <v>48.5</v>
      </c>
      <c r="G208" s="2">
        <f t="shared" ref="G208:G216" si="74">3*1.5</f>
        <v>4.5</v>
      </c>
      <c r="H208" s="394">
        <v>44</v>
      </c>
      <c r="I208" s="2">
        <v>40</v>
      </c>
      <c r="J208" s="2">
        <f t="shared" ref="J208:J216" si="75">(I208/4)*6</f>
        <v>60</v>
      </c>
      <c r="K208" s="2">
        <f t="shared" ref="K208:K216" si="76">(I208/4)*8</f>
        <v>80</v>
      </c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8" hidden="1" customHeight="1" x14ac:dyDescent="0.35">
      <c r="A209" s="207" t="s">
        <v>233</v>
      </c>
      <c r="B209" s="207">
        <f t="shared" si="70"/>
        <v>16.8</v>
      </c>
      <c r="C209" s="207">
        <f t="shared" si="71"/>
        <v>16.8</v>
      </c>
      <c r="D209" s="207">
        <f t="shared" si="72"/>
        <v>16.8</v>
      </c>
      <c r="E209" s="207">
        <v>8.4</v>
      </c>
      <c r="F209" s="394">
        <f t="shared" si="73"/>
        <v>65.5</v>
      </c>
      <c r="G209" s="2">
        <f t="shared" si="74"/>
        <v>4.5</v>
      </c>
      <c r="H209" s="394">
        <v>61</v>
      </c>
      <c r="I209" s="2">
        <v>120</v>
      </c>
      <c r="J209" s="2">
        <f t="shared" si="75"/>
        <v>180</v>
      </c>
      <c r="K209" s="2">
        <f t="shared" si="76"/>
        <v>240</v>
      </c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8" hidden="1" customHeight="1" x14ac:dyDescent="0.35">
      <c r="A210" s="207" t="s">
        <v>234</v>
      </c>
      <c r="B210" s="207">
        <f t="shared" si="70"/>
        <v>15.4</v>
      </c>
      <c r="C210" s="207">
        <f t="shared" si="71"/>
        <v>15.4</v>
      </c>
      <c r="D210" s="207">
        <f t="shared" si="72"/>
        <v>15.4</v>
      </c>
      <c r="E210" s="207">
        <v>7.7</v>
      </c>
      <c r="F210" s="394">
        <f t="shared" si="73"/>
        <v>58.5</v>
      </c>
      <c r="G210" s="2">
        <f t="shared" si="74"/>
        <v>4.5</v>
      </c>
      <c r="H210" s="394">
        <v>54</v>
      </c>
      <c r="I210" s="2">
        <v>80</v>
      </c>
      <c r="J210" s="2">
        <f t="shared" si="75"/>
        <v>120</v>
      </c>
      <c r="K210" s="2">
        <f t="shared" si="76"/>
        <v>160</v>
      </c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8" hidden="1" customHeight="1" x14ac:dyDescent="0.35">
      <c r="A211" s="207" t="s">
        <v>235</v>
      </c>
      <c r="B211" s="207">
        <f t="shared" si="70"/>
        <v>17</v>
      </c>
      <c r="C211" s="207">
        <f t="shared" si="71"/>
        <v>17</v>
      </c>
      <c r="D211" s="207">
        <f t="shared" si="72"/>
        <v>17</v>
      </c>
      <c r="E211" s="207">
        <v>8.5</v>
      </c>
      <c r="F211" s="394">
        <f t="shared" si="73"/>
        <v>65.5</v>
      </c>
      <c r="G211" s="2">
        <f t="shared" si="74"/>
        <v>4.5</v>
      </c>
      <c r="H211" s="394">
        <v>61</v>
      </c>
      <c r="I211" s="2">
        <v>200</v>
      </c>
      <c r="J211" s="2">
        <f t="shared" si="75"/>
        <v>300</v>
      </c>
      <c r="K211" s="2">
        <f t="shared" si="76"/>
        <v>400</v>
      </c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8" hidden="1" customHeight="1" x14ac:dyDescent="0.35">
      <c r="A212" s="207" t="s">
        <v>236</v>
      </c>
      <c r="B212" s="207">
        <f t="shared" si="70"/>
        <v>11.2</v>
      </c>
      <c r="C212" s="207">
        <f t="shared" si="71"/>
        <v>11.2</v>
      </c>
      <c r="D212" s="207">
        <f t="shared" si="72"/>
        <v>11.2</v>
      </c>
      <c r="E212" s="207">
        <v>5.6</v>
      </c>
      <c r="F212" s="394">
        <f t="shared" si="73"/>
        <v>36.5</v>
      </c>
      <c r="G212" s="2">
        <f t="shared" si="74"/>
        <v>4.5</v>
      </c>
      <c r="H212" s="394">
        <v>32</v>
      </c>
      <c r="I212" s="2">
        <v>3</v>
      </c>
      <c r="J212" s="2">
        <f t="shared" si="75"/>
        <v>4.5</v>
      </c>
      <c r="K212" s="2">
        <f t="shared" si="76"/>
        <v>6</v>
      </c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8" hidden="1" customHeight="1" x14ac:dyDescent="0.35">
      <c r="A213" s="207" t="s">
        <v>237</v>
      </c>
      <c r="B213" s="207">
        <f t="shared" si="70"/>
        <v>11.4</v>
      </c>
      <c r="C213" s="207">
        <f t="shared" si="71"/>
        <v>11.4</v>
      </c>
      <c r="D213" s="207">
        <f t="shared" si="72"/>
        <v>11.4</v>
      </c>
      <c r="E213" s="207">
        <v>5.7</v>
      </c>
      <c r="F213" s="394">
        <f t="shared" si="73"/>
        <v>37.5</v>
      </c>
      <c r="G213" s="2">
        <f t="shared" si="74"/>
        <v>4.5</v>
      </c>
      <c r="H213" s="394">
        <v>33</v>
      </c>
      <c r="I213" s="2">
        <v>5</v>
      </c>
      <c r="J213" s="2">
        <f t="shared" si="75"/>
        <v>7.5</v>
      </c>
      <c r="K213" s="2">
        <f t="shared" si="76"/>
        <v>10</v>
      </c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8" hidden="1" customHeight="1" x14ac:dyDescent="0.35">
      <c r="A214" s="207" t="s">
        <v>238</v>
      </c>
      <c r="B214" s="207">
        <f t="shared" si="70"/>
        <v>11.6</v>
      </c>
      <c r="C214" s="207">
        <f t="shared" si="71"/>
        <v>11.6</v>
      </c>
      <c r="D214" s="207">
        <f t="shared" si="72"/>
        <v>11.6</v>
      </c>
      <c r="E214" s="207">
        <v>5.8</v>
      </c>
      <c r="F214" s="394">
        <f t="shared" si="73"/>
        <v>38.5</v>
      </c>
      <c r="G214" s="2">
        <f t="shared" si="74"/>
        <v>4.5</v>
      </c>
      <c r="H214" s="394">
        <v>34</v>
      </c>
      <c r="I214" s="2">
        <v>12</v>
      </c>
      <c r="J214" s="2">
        <f t="shared" si="75"/>
        <v>18</v>
      </c>
      <c r="K214" s="2">
        <f t="shared" si="76"/>
        <v>24</v>
      </c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8" hidden="1" customHeight="1" x14ac:dyDescent="0.35">
      <c r="A215" s="207" t="s">
        <v>239</v>
      </c>
      <c r="B215" s="207">
        <f t="shared" si="70"/>
        <v>14.4</v>
      </c>
      <c r="C215" s="207">
        <f t="shared" si="71"/>
        <v>14.4</v>
      </c>
      <c r="D215" s="207">
        <f t="shared" si="72"/>
        <v>14.4</v>
      </c>
      <c r="E215" s="207">
        <v>7.2</v>
      </c>
      <c r="F215" s="394">
        <f t="shared" si="73"/>
        <v>46.5</v>
      </c>
      <c r="G215" s="2">
        <f t="shared" si="74"/>
        <v>4.5</v>
      </c>
      <c r="H215" s="394">
        <v>42</v>
      </c>
      <c r="I215" s="2">
        <v>15</v>
      </c>
      <c r="J215" s="2">
        <f t="shared" si="75"/>
        <v>22.5</v>
      </c>
      <c r="K215" s="2">
        <f t="shared" si="76"/>
        <v>30</v>
      </c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8" hidden="1" customHeight="1" x14ac:dyDescent="0.35">
      <c r="A216" s="207" t="s">
        <v>240</v>
      </c>
      <c r="B216" s="207">
        <f t="shared" si="70"/>
        <v>14.6</v>
      </c>
      <c r="C216" s="207">
        <f t="shared" si="71"/>
        <v>14.6</v>
      </c>
      <c r="D216" s="207">
        <f t="shared" si="72"/>
        <v>14.6</v>
      </c>
      <c r="E216" s="207">
        <v>7.3</v>
      </c>
      <c r="F216" s="394">
        <f t="shared" si="73"/>
        <v>47.5</v>
      </c>
      <c r="G216" s="2">
        <f t="shared" si="74"/>
        <v>4.5</v>
      </c>
      <c r="H216" s="394">
        <v>43</v>
      </c>
      <c r="I216" s="2">
        <v>22</v>
      </c>
      <c r="J216" s="2">
        <f t="shared" si="75"/>
        <v>33</v>
      </c>
      <c r="K216" s="2">
        <f t="shared" si="76"/>
        <v>44</v>
      </c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8" hidden="1" customHeight="1" x14ac:dyDescent="0.3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8" hidden="1" customHeight="1" x14ac:dyDescent="0.35">
      <c r="A218" s="2">
        <v>4</v>
      </c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8" hidden="1" customHeight="1" x14ac:dyDescent="0.35">
      <c r="A219" s="2">
        <v>6</v>
      </c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8" hidden="1" customHeight="1" x14ac:dyDescent="0.35">
      <c r="A220" s="2">
        <v>8</v>
      </c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8" hidden="1" customHeight="1" x14ac:dyDescent="0.35">
      <c r="A221" s="2">
        <v>9</v>
      </c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8" hidden="1" customHeight="1" x14ac:dyDescent="0.35">
      <c r="A222" s="2">
        <v>10</v>
      </c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8" hidden="1" customHeight="1" x14ac:dyDescent="0.3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8" hidden="1" customHeight="1" x14ac:dyDescent="0.3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8" hidden="1" customHeight="1" x14ac:dyDescent="0.3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8" hidden="1" customHeight="1" x14ac:dyDescent="0.3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8" hidden="1" customHeight="1" x14ac:dyDescent="0.3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8" hidden="1" customHeight="1" x14ac:dyDescent="0.3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8" hidden="1" customHeight="1" x14ac:dyDescent="0.3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8" hidden="1" customHeight="1" x14ac:dyDescent="0.3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8" hidden="1" customHeight="1" x14ac:dyDescent="0.35">
      <c r="A231" s="393" t="s">
        <v>229</v>
      </c>
      <c r="B231" s="392" t="s">
        <v>223</v>
      </c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8" hidden="1" customHeight="1" x14ac:dyDescent="0.35">
      <c r="A232" s="393">
        <v>1</v>
      </c>
      <c r="B232" s="207" t="s">
        <v>236</v>
      </c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8" hidden="1" customHeight="1" x14ac:dyDescent="0.35">
      <c r="A233" s="2">
        <v>3</v>
      </c>
      <c r="B233" s="207" t="s">
        <v>237</v>
      </c>
      <c r="C233" s="2"/>
      <c r="D233" s="207"/>
      <c r="E233" s="207"/>
      <c r="F233" s="207"/>
      <c r="G233" s="207"/>
      <c r="H233" s="207"/>
      <c r="I233" s="207"/>
      <c r="J233" s="207"/>
      <c r="K233" s="207"/>
      <c r="L233" s="207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8" hidden="1" customHeight="1" x14ac:dyDescent="0.35">
      <c r="A234" s="2">
        <v>5</v>
      </c>
      <c r="B234" s="207" t="s">
        <v>238</v>
      </c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8" hidden="1" customHeight="1" x14ac:dyDescent="0.35">
      <c r="A235" s="2">
        <v>12</v>
      </c>
      <c r="B235" s="207" t="s">
        <v>239</v>
      </c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8" hidden="1" customHeight="1" x14ac:dyDescent="0.35">
      <c r="A236" s="2">
        <v>15</v>
      </c>
      <c r="B236" s="207" t="s">
        <v>240</v>
      </c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8" hidden="1" customHeight="1" x14ac:dyDescent="0.35">
      <c r="A237" s="2">
        <v>22</v>
      </c>
      <c r="B237" s="207" t="s">
        <v>232</v>
      </c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8" hidden="1" customHeight="1" x14ac:dyDescent="0.35">
      <c r="A238" s="2">
        <v>40</v>
      </c>
      <c r="B238" s="207" t="s">
        <v>234</v>
      </c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8" hidden="1" customHeight="1" x14ac:dyDescent="0.35">
      <c r="A239" s="2">
        <v>80</v>
      </c>
      <c r="B239" s="207" t="s">
        <v>233</v>
      </c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8" hidden="1" customHeight="1" x14ac:dyDescent="0.35">
      <c r="A240" s="2">
        <v>120</v>
      </c>
      <c r="B240" s="207" t="s">
        <v>235</v>
      </c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8" hidden="1" customHeight="1" x14ac:dyDescent="0.35">
      <c r="A241" s="2">
        <v>200</v>
      </c>
      <c r="B241" s="207" t="s">
        <v>235</v>
      </c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8" hidden="1" customHeight="1" x14ac:dyDescent="0.35">
      <c r="A242" s="2"/>
      <c r="B242" s="343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8" hidden="1" customHeight="1" x14ac:dyDescent="0.35"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8" hidden="1" customHeight="1" x14ac:dyDescent="0.35">
      <c r="A244" s="393" t="s">
        <v>230</v>
      </c>
      <c r="B244" s="392" t="s">
        <v>223</v>
      </c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8" hidden="1" customHeight="1" x14ac:dyDescent="0.35">
      <c r="A245" s="393">
        <v>1</v>
      </c>
      <c r="B245" s="207" t="s">
        <v>236</v>
      </c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8" hidden="1" customHeight="1" x14ac:dyDescent="0.35">
      <c r="A246" s="2">
        <v>4.5</v>
      </c>
      <c r="B246" s="207" t="s">
        <v>237</v>
      </c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8" hidden="1" customHeight="1" x14ac:dyDescent="0.35">
      <c r="A247" s="2">
        <v>7.5</v>
      </c>
      <c r="B247" s="207" t="s">
        <v>238</v>
      </c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8" hidden="1" customHeight="1" x14ac:dyDescent="0.35">
      <c r="A248" s="2">
        <v>18</v>
      </c>
      <c r="B248" s="207" t="s">
        <v>239</v>
      </c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8" hidden="1" customHeight="1" x14ac:dyDescent="0.35">
      <c r="A249" s="2">
        <v>22.5</v>
      </c>
      <c r="B249" s="207" t="s">
        <v>240</v>
      </c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8" hidden="1" customHeight="1" x14ac:dyDescent="0.35">
      <c r="A250" s="2">
        <v>33</v>
      </c>
      <c r="B250" s="207" t="s">
        <v>232</v>
      </c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8" hidden="1" customHeight="1" x14ac:dyDescent="0.35">
      <c r="A251" s="2">
        <v>60</v>
      </c>
      <c r="B251" s="207" t="s">
        <v>234</v>
      </c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8" hidden="1" customHeight="1" x14ac:dyDescent="0.35">
      <c r="A252" s="2">
        <v>120</v>
      </c>
      <c r="B252" s="207" t="s">
        <v>233</v>
      </c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8" hidden="1" customHeight="1" x14ac:dyDescent="0.35">
      <c r="A253" s="2">
        <v>180</v>
      </c>
      <c r="B253" s="207" t="s">
        <v>235</v>
      </c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8" hidden="1" customHeight="1" x14ac:dyDescent="0.35">
      <c r="A254" s="2">
        <v>300</v>
      </c>
      <c r="B254" s="207" t="s">
        <v>235</v>
      </c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8" hidden="1" customHeight="1" x14ac:dyDescent="0.35"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8" hidden="1" customHeight="1" x14ac:dyDescent="0.35">
      <c r="A256" s="393" t="s">
        <v>231</v>
      </c>
      <c r="B256" s="392" t="s">
        <v>223</v>
      </c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8" hidden="1" customHeight="1" x14ac:dyDescent="0.35">
      <c r="A257" s="393">
        <v>1</v>
      </c>
      <c r="B257" s="207" t="s">
        <v>236</v>
      </c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8" hidden="1" customHeight="1" x14ac:dyDescent="0.35">
      <c r="A258" s="2">
        <v>6</v>
      </c>
      <c r="B258" s="207" t="s">
        <v>237</v>
      </c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8" hidden="1" customHeight="1" x14ac:dyDescent="0.35">
      <c r="A259" s="2">
        <v>10</v>
      </c>
      <c r="B259" s="207" t="s">
        <v>238</v>
      </c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8" hidden="1" customHeight="1" x14ac:dyDescent="0.35">
      <c r="A260" s="2">
        <v>24</v>
      </c>
      <c r="B260" s="207" t="s">
        <v>239</v>
      </c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8" hidden="1" customHeight="1" x14ac:dyDescent="0.35">
      <c r="A261" s="2">
        <v>30</v>
      </c>
      <c r="B261" s="207" t="s">
        <v>240</v>
      </c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8" hidden="1" customHeight="1" x14ac:dyDescent="0.35">
      <c r="A262" s="2">
        <v>44</v>
      </c>
      <c r="B262" s="207" t="s">
        <v>232</v>
      </c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8" hidden="1" customHeight="1" x14ac:dyDescent="0.35">
      <c r="A263" s="2">
        <v>80</v>
      </c>
      <c r="B263" s="207" t="s">
        <v>234</v>
      </c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8" hidden="1" customHeight="1" x14ac:dyDescent="0.35">
      <c r="A264" s="2">
        <v>160</v>
      </c>
      <c r="B264" s="207" t="s">
        <v>233</v>
      </c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8" hidden="1" customHeight="1" x14ac:dyDescent="0.35">
      <c r="A265" s="2">
        <v>240</v>
      </c>
      <c r="B265" s="207" t="s">
        <v>235</v>
      </c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8" hidden="1" customHeight="1" x14ac:dyDescent="0.35">
      <c r="A266" s="2">
        <v>400</v>
      </c>
      <c r="B266" s="207" t="s">
        <v>235</v>
      </c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8" hidden="1" customHeight="1" x14ac:dyDescent="0.3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8" hidden="1" customHeight="1" x14ac:dyDescent="0.35">
      <c r="A268" s="393" t="s">
        <v>241</v>
      </c>
      <c r="B268" s="392" t="s">
        <v>223</v>
      </c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8" hidden="1" customHeight="1" x14ac:dyDescent="0.35">
      <c r="A269" s="393">
        <v>1</v>
      </c>
      <c r="B269" s="207" t="s">
        <v>236</v>
      </c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8" hidden="1" customHeight="1" x14ac:dyDescent="0.35">
      <c r="A270" s="2">
        <v>6</v>
      </c>
      <c r="B270" s="207" t="s">
        <v>237</v>
      </c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8" hidden="1" customHeight="1" x14ac:dyDescent="0.35">
      <c r="A271" s="2">
        <v>10</v>
      </c>
      <c r="B271" s="207" t="s">
        <v>238</v>
      </c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8" hidden="1" customHeight="1" x14ac:dyDescent="0.35">
      <c r="A272" s="2">
        <v>24</v>
      </c>
      <c r="B272" s="207" t="s">
        <v>239</v>
      </c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8" hidden="1" customHeight="1" x14ac:dyDescent="0.35">
      <c r="A273" s="2">
        <v>30</v>
      </c>
      <c r="B273" s="207" t="s">
        <v>240</v>
      </c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8" hidden="1" customHeight="1" x14ac:dyDescent="0.35">
      <c r="A274" s="2">
        <v>44</v>
      </c>
      <c r="B274" s="207" t="s">
        <v>232</v>
      </c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8" hidden="1" customHeight="1" x14ac:dyDescent="0.35">
      <c r="A275" s="2">
        <v>80</v>
      </c>
      <c r="B275" s="207" t="s">
        <v>234</v>
      </c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8" hidden="1" customHeight="1" x14ac:dyDescent="0.35">
      <c r="A276" s="2">
        <v>160</v>
      </c>
      <c r="B276" s="207" t="s">
        <v>233</v>
      </c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8" hidden="1" customHeight="1" x14ac:dyDescent="0.35">
      <c r="A277" s="2">
        <v>240</v>
      </c>
      <c r="B277" s="207" t="s">
        <v>235</v>
      </c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8" hidden="1" customHeight="1" x14ac:dyDescent="0.35">
      <c r="A278" s="2">
        <v>400</v>
      </c>
      <c r="B278" s="207" t="s">
        <v>235</v>
      </c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8" hidden="1" customHeight="1" x14ac:dyDescent="0.3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8" hidden="1" customHeight="1" x14ac:dyDescent="0.35">
      <c r="A280" s="393" t="s">
        <v>242</v>
      </c>
      <c r="B280" s="392" t="s">
        <v>223</v>
      </c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8" hidden="1" customHeight="1" x14ac:dyDescent="0.35">
      <c r="A281" s="393">
        <v>1</v>
      </c>
      <c r="B281" s="207" t="s">
        <v>236</v>
      </c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8" hidden="1" customHeight="1" x14ac:dyDescent="0.35">
      <c r="A282" s="2">
        <v>6</v>
      </c>
      <c r="B282" s="207" t="s">
        <v>237</v>
      </c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8" hidden="1" customHeight="1" x14ac:dyDescent="0.35">
      <c r="A283" s="2">
        <v>10</v>
      </c>
      <c r="B283" s="207" t="s">
        <v>238</v>
      </c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8" hidden="1" customHeight="1" x14ac:dyDescent="0.35">
      <c r="A284" s="2">
        <v>24</v>
      </c>
      <c r="B284" s="207" t="s">
        <v>239</v>
      </c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8" hidden="1" customHeight="1" x14ac:dyDescent="0.35">
      <c r="A285" s="2">
        <v>30</v>
      </c>
      <c r="B285" s="207" t="s">
        <v>240</v>
      </c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8" hidden="1" customHeight="1" x14ac:dyDescent="0.35">
      <c r="A286" s="2">
        <v>44</v>
      </c>
      <c r="B286" s="207" t="s">
        <v>232</v>
      </c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8" hidden="1" customHeight="1" x14ac:dyDescent="0.35">
      <c r="A287" s="2">
        <v>80</v>
      </c>
      <c r="B287" s="207" t="s">
        <v>234</v>
      </c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8" hidden="1" customHeight="1" x14ac:dyDescent="0.35">
      <c r="A288" s="2">
        <v>160</v>
      </c>
      <c r="B288" s="207" t="s">
        <v>233</v>
      </c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8" hidden="1" customHeight="1" x14ac:dyDescent="0.35">
      <c r="A289" s="2">
        <v>240</v>
      </c>
      <c r="B289" s="207" t="s">
        <v>235</v>
      </c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8" hidden="1" customHeight="1" x14ac:dyDescent="0.35">
      <c r="A290" s="2">
        <v>400</v>
      </c>
      <c r="B290" s="207" t="s">
        <v>235</v>
      </c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8" customHeight="1" x14ac:dyDescent="0.3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8" customHeight="1" x14ac:dyDescent="0.3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8" customHeight="1" x14ac:dyDescent="0.3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8" customHeight="1" x14ac:dyDescent="0.3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8" customHeight="1" x14ac:dyDescent="0.3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8" customHeight="1" x14ac:dyDescent="0.3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8" customHeight="1" x14ac:dyDescent="0.3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8" customHeight="1" x14ac:dyDescent="0.3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8" customHeight="1" x14ac:dyDescent="0.3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8" customHeight="1" x14ac:dyDescent="0.3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8" customHeight="1" x14ac:dyDescent="0.3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8" customHeight="1" x14ac:dyDescent="0.3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8" customHeight="1" x14ac:dyDescent="0.3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8" customHeight="1" x14ac:dyDescent="0.3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8" customHeight="1" x14ac:dyDescent="0.3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8" customHeight="1" x14ac:dyDescent="0.3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8" customHeight="1" x14ac:dyDescent="0.3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8" customHeight="1" x14ac:dyDescent="0.3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8" customHeight="1" x14ac:dyDescent="0.3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8" customHeight="1" x14ac:dyDescent="0.3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8" customHeight="1" x14ac:dyDescent="0.3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8" customHeight="1" x14ac:dyDescent="0.3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8" customHeight="1" x14ac:dyDescent="0.3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8" customHeight="1" x14ac:dyDescent="0.3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8" customHeight="1" x14ac:dyDescent="0.3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8" customHeight="1" x14ac:dyDescent="0.3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8" customHeight="1" x14ac:dyDescent="0.3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8" customHeight="1" x14ac:dyDescent="0.3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8" customHeight="1" x14ac:dyDescent="0.3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8" customHeight="1" x14ac:dyDescent="0.3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8" customHeight="1" x14ac:dyDescent="0.3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8" customHeight="1" x14ac:dyDescent="0.3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8" customHeight="1" x14ac:dyDescent="0.3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8" customHeight="1" x14ac:dyDescent="0.3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8" customHeight="1" x14ac:dyDescent="0.3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8" customHeight="1" x14ac:dyDescent="0.3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8" customHeight="1" x14ac:dyDescent="0.3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8" customHeight="1" x14ac:dyDescent="0.3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8" customHeight="1" x14ac:dyDescent="0.3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8" customHeight="1" x14ac:dyDescent="0.3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8" customHeight="1" x14ac:dyDescent="0.3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8" customHeight="1" x14ac:dyDescent="0.3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8" customHeight="1" x14ac:dyDescent="0.3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8" customHeight="1" x14ac:dyDescent="0.3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8" customHeight="1" x14ac:dyDescent="0.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8" customHeight="1" x14ac:dyDescent="0.3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8" customHeight="1" x14ac:dyDescent="0.3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8" customHeight="1" x14ac:dyDescent="0.3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8" customHeight="1" x14ac:dyDescent="0.3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8" customHeight="1" x14ac:dyDescent="0.3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8" customHeight="1" x14ac:dyDescent="0.3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8" customHeight="1" x14ac:dyDescent="0.3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8" customHeight="1" x14ac:dyDescent="0.3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8" customHeight="1" x14ac:dyDescent="0.3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8" customHeight="1" x14ac:dyDescent="0.3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8" customHeight="1" x14ac:dyDescent="0.3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8" customHeight="1" x14ac:dyDescent="0.3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8" customHeight="1" x14ac:dyDescent="0.3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8" customHeight="1" x14ac:dyDescent="0.3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8" customHeight="1" x14ac:dyDescent="0.3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8" customHeight="1" x14ac:dyDescent="0.3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8" customHeight="1" x14ac:dyDescent="0.3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8" customHeight="1" x14ac:dyDescent="0.3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8" customHeight="1" x14ac:dyDescent="0.3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8" customHeight="1" x14ac:dyDescent="0.3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8" customHeight="1" x14ac:dyDescent="0.3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8" customHeight="1" x14ac:dyDescent="0.3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8" customHeight="1" x14ac:dyDescent="0.3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8" customHeight="1" x14ac:dyDescent="0.3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8" customHeight="1" x14ac:dyDescent="0.3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8" customHeight="1" x14ac:dyDescent="0.3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8" customHeight="1" x14ac:dyDescent="0.3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8" customHeight="1" x14ac:dyDescent="0.3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8" customHeight="1" x14ac:dyDescent="0.3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8" customHeight="1" x14ac:dyDescent="0.3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8" customHeight="1" x14ac:dyDescent="0.3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8" customHeight="1" x14ac:dyDescent="0.3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8" customHeight="1" x14ac:dyDescent="0.3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8" customHeight="1" x14ac:dyDescent="0.3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8" customHeight="1" x14ac:dyDescent="0.3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8" customHeight="1" x14ac:dyDescent="0.3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8" customHeight="1" x14ac:dyDescent="0.3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8" customHeight="1" x14ac:dyDescent="0.3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8" customHeight="1" x14ac:dyDescent="0.3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8" customHeight="1" x14ac:dyDescent="0.3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8" customHeight="1" x14ac:dyDescent="0.3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8" customHeight="1" x14ac:dyDescent="0.3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8" customHeight="1" x14ac:dyDescent="0.3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8" customHeight="1" x14ac:dyDescent="0.3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8" customHeight="1" x14ac:dyDescent="0.3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8" customHeight="1" x14ac:dyDescent="0.3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8" customHeight="1" x14ac:dyDescent="0.3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8" customHeight="1" x14ac:dyDescent="0.3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8" customHeight="1" x14ac:dyDescent="0.3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8" customHeight="1" x14ac:dyDescent="0.3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8" customHeight="1" x14ac:dyDescent="0.3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8" customHeight="1" x14ac:dyDescent="0.3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8" customHeight="1" x14ac:dyDescent="0.3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8" customHeight="1" x14ac:dyDescent="0.3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8" customHeight="1" x14ac:dyDescent="0.3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8" customHeight="1" x14ac:dyDescent="0.3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8" customHeight="1" x14ac:dyDescent="0.3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8" customHeight="1" x14ac:dyDescent="0.3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8" customHeight="1" x14ac:dyDescent="0.3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8" customHeight="1" x14ac:dyDescent="0.3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8" customHeight="1" x14ac:dyDescent="0.3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8" customHeight="1" x14ac:dyDescent="0.3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8" customHeight="1" x14ac:dyDescent="0.3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8" customHeight="1" x14ac:dyDescent="0.3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8" customHeight="1" x14ac:dyDescent="0.3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8" customHeight="1" x14ac:dyDescent="0.3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8" customHeight="1" x14ac:dyDescent="0.3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8" customHeight="1" x14ac:dyDescent="0.3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8" customHeight="1" x14ac:dyDescent="0.3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8" customHeight="1" x14ac:dyDescent="0.3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8" customHeight="1" x14ac:dyDescent="0.3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8" customHeight="1" x14ac:dyDescent="0.3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8" customHeight="1" x14ac:dyDescent="0.3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8" customHeight="1" x14ac:dyDescent="0.3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8" customHeight="1" x14ac:dyDescent="0.3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8" customHeight="1" x14ac:dyDescent="0.3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8" customHeight="1" x14ac:dyDescent="0.3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8" customHeight="1" x14ac:dyDescent="0.3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8" customHeight="1" x14ac:dyDescent="0.3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8" customHeight="1" x14ac:dyDescent="0.3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8" customHeight="1" x14ac:dyDescent="0.3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8" customHeight="1" x14ac:dyDescent="0.3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8" customHeight="1" x14ac:dyDescent="0.3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8" customHeight="1" x14ac:dyDescent="0.3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8" customHeight="1" x14ac:dyDescent="0.3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8" customHeight="1" x14ac:dyDescent="0.3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8" customHeight="1" x14ac:dyDescent="0.3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8" customHeight="1" x14ac:dyDescent="0.3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8" customHeight="1" x14ac:dyDescent="0.3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8" customHeight="1" x14ac:dyDescent="0.3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8" customHeight="1" x14ac:dyDescent="0.3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8" customHeight="1" x14ac:dyDescent="0.3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8" customHeight="1" x14ac:dyDescent="0.3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8" customHeight="1" x14ac:dyDescent="0.3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8" customHeight="1" x14ac:dyDescent="0.3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8" customHeight="1" x14ac:dyDescent="0.3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8" customHeight="1" x14ac:dyDescent="0.3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8" customHeight="1" x14ac:dyDescent="0.3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8" customHeight="1" x14ac:dyDescent="0.3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8" customHeight="1" x14ac:dyDescent="0.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8" customHeight="1" x14ac:dyDescent="0.3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8" customHeight="1" x14ac:dyDescent="0.3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8" customHeight="1" x14ac:dyDescent="0.3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8" customHeight="1" x14ac:dyDescent="0.3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8" customHeight="1" x14ac:dyDescent="0.3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8" customHeight="1" x14ac:dyDescent="0.3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8" customHeight="1" x14ac:dyDescent="0.3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8" customHeight="1" x14ac:dyDescent="0.3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8" customHeight="1" x14ac:dyDescent="0.3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8" customHeight="1" x14ac:dyDescent="0.3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8" customHeight="1" x14ac:dyDescent="0.3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8" customHeight="1" x14ac:dyDescent="0.3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8" customHeight="1" x14ac:dyDescent="0.3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8" customHeight="1" x14ac:dyDescent="0.3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8" customHeight="1" x14ac:dyDescent="0.3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8" customHeight="1" x14ac:dyDescent="0.3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8" customHeight="1" x14ac:dyDescent="0.3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8" customHeight="1" x14ac:dyDescent="0.3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8" customHeight="1" x14ac:dyDescent="0.3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8" customHeight="1" x14ac:dyDescent="0.3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8" customHeight="1" x14ac:dyDescent="0.3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8" customHeight="1" x14ac:dyDescent="0.3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8" customHeight="1" x14ac:dyDescent="0.3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8" customHeight="1" x14ac:dyDescent="0.3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8" customHeight="1" x14ac:dyDescent="0.3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8" customHeight="1" x14ac:dyDescent="0.3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8" customHeight="1" x14ac:dyDescent="0.3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8" customHeight="1" x14ac:dyDescent="0.3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8" customHeight="1" x14ac:dyDescent="0.3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8" customHeight="1" x14ac:dyDescent="0.3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8" customHeight="1" x14ac:dyDescent="0.3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8" customHeight="1" x14ac:dyDescent="0.3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8" customHeight="1" x14ac:dyDescent="0.3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8" customHeight="1" x14ac:dyDescent="0.3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8" customHeight="1" x14ac:dyDescent="0.3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8" customHeight="1" x14ac:dyDescent="0.3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8" customHeight="1" x14ac:dyDescent="0.3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8" customHeight="1" x14ac:dyDescent="0.3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8" customHeight="1" x14ac:dyDescent="0.3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8" customHeight="1" x14ac:dyDescent="0.3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8" customHeight="1" x14ac:dyDescent="0.3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8" customHeight="1" x14ac:dyDescent="0.3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8" customHeight="1" x14ac:dyDescent="0.3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8" customHeight="1" x14ac:dyDescent="0.3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8" customHeight="1" x14ac:dyDescent="0.3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8" customHeight="1" x14ac:dyDescent="0.3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8" customHeight="1" x14ac:dyDescent="0.3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8" customHeight="1" x14ac:dyDescent="0.3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8" customHeight="1" x14ac:dyDescent="0.3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8" customHeight="1" x14ac:dyDescent="0.3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8" customHeight="1" x14ac:dyDescent="0.3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8" customHeight="1" x14ac:dyDescent="0.3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8" customHeight="1" x14ac:dyDescent="0.3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8" customHeight="1" x14ac:dyDescent="0.3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8" customHeight="1" x14ac:dyDescent="0.3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8" customHeight="1" x14ac:dyDescent="0.3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8" customHeight="1" x14ac:dyDescent="0.3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8" customHeight="1" x14ac:dyDescent="0.3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8" customHeight="1" x14ac:dyDescent="0.3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8" customHeight="1" x14ac:dyDescent="0.3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8" customHeight="1" x14ac:dyDescent="0.3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8" customHeight="1" x14ac:dyDescent="0.3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8" customHeight="1" x14ac:dyDescent="0.3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8" customHeight="1" x14ac:dyDescent="0.3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8" customHeight="1" x14ac:dyDescent="0.3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8" customHeight="1" x14ac:dyDescent="0.3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8" customHeight="1" x14ac:dyDescent="0.3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8" customHeight="1" x14ac:dyDescent="0.3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8" customHeight="1" x14ac:dyDescent="0.3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8" customHeight="1" x14ac:dyDescent="0.3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8" customHeight="1" x14ac:dyDescent="0.3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8" customHeight="1" x14ac:dyDescent="0.3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8" customHeight="1" x14ac:dyDescent="0.3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8" customHeight="1" x14ac:dyDescent="0.3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8" customHeight="1" x14ac:dyDescent="0.3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8" customHeight="1" x14ac:dyDescent="0.3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8" customHeight="1" x14ac:dyDescent="0.3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8" customHeight="1" x14ac:dyDescent="0.3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8" customHeight="1" x14ac:dyDescent="0.3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8" customHeight="1" x14ac:dyDescent="0.3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8" customHeight="1" x14ac:dyDescent="0.3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8" customHeight="1" x14ac:dyDescent="0.3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8" customHeight="1" x14ac:dyDescent="0.3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8" customHeight="1" x14ac:dyDescent="0.3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8" customHeight="1" x14ac:dyDescent="0.3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8" customHeight="1" x14ac:dyDescent="0.3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8" customHeight="1" x14ac:dyDescent="0.3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8" customHeight="1" x14ac:dyDescent="0.3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8" customHeight="1" x14ac:dyDescent="0.3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8" customHeight="1" x14ac:dyDescent="0.3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8" customHeight="1" x14ac:dyDescent="0.3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8" customHeight="1" x14ac:dyDescent="0.3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8" customHeight="1" x14ac:dyDescent="0.3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8" customHeight="1" x14ac:dyDescent="0.3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8" customHeight="1" x14ac:dyDescent="0.3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8" customHeight="1" x14ac:dyDescent="0.3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8" customHeight="1" x14ac:dyDescent="0.3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8" customHeight="1" x14ac:dyDescent="0.3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8" customHeight="1" x14ac:dyDescent="0.3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8" customHeight="1" x14ac:dyDescent="0.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8" customHeight="1" x14ac:dyDescent="0.3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8" customHeight="1" x14ac:dyDescent="0.3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8" customHeight="1" x14ac:dyDescent="0.3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8" customHeight="1" x14ac:dyDescent="0.3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8" customHeight="1" x14ac:dyDescent="0.3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8" customHeight="1" x14ac:dyDescent="0.3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8" customHeight="1" x14ac:dyDescent="0.3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8" customHeight="1" x14ac:dyDescent="0.3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8" customHeight="1" x14ac:dyDescent="0.3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8" customHeight="1" x14ac:dyDescent="0.3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8" customHeight="1" x14ac:dyDescent="0.3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8" customHeight="1" x14ac:dyDescent="0.3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8" customHeight="1" x14ac:dyDescent="0.3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8" customHeight="1" x14ac:dyDescent="0.3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8" customHeight="1" x14ac:dyDescent="0.3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8" customHeight="1" x14ac:dyDescent="0.3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8" customHeight="1" x14ac:dyDescent="0.3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8" customHeight="1" x14ac:dyDescent="0.3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8" customHeight="1" x14ac:dyDescent="0.3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8" customHeight="1" x14ac:dyDescent="0.3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8" customHeight="1" x14ac:dyDescent="0.3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8" customHeight="1" x14ac:dyDescent="0.3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8" customHeight="1" x14ac:dyDescent="0.3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8" customHeight="1" x14ac:dyDescent="0.3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8" customHeight="1" x14ac:dyDescent="0.3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8" customHeight="1" x14ac:dyDescent="0.3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8" customHeight="1" x14ac:dyDescent="0.3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8" customHeight="1" x14ac:dyDescent="0.3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8" customHeight="1" x14ac:dyDescent="0.3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8" customHeight="1" x14ac:dyDescent="0.3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8" customHeight="1" x14ac:dyDescent="0.3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8" customHeight="1" x14ac:dyDescent="0.3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8" customHeight="1" x14ac:dyDescent="0.3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8" customHeight="1" x14ac:dyDescent="0.3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8" customHeight="1" x14ac:dyDescent="0.3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8" customHeight="1" x14ac:dyDescent="0.3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8" customHeight="1" x14ac:dyDescent="0.3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8" customHeight="1" x14ac:dyDescent="0.3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8" customHeight="1" x14ac:dyDescent="0.3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8" customHeight="1" x14ac:dyDescent="0.3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8" customHeight="1" x14ac:dyDescent="0.3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8" customHeight="1" x14ac:dyDescent="0.3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8" customHeight="1" x14ac:dyDescent="0.3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8" customHeight="1" x14ac:dyDescent="0.3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8" customHeight="1" x14ac:dyDescent="0.3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8" customHeight="1" x14ac:dyDescent="0.3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8" customHeight="1" x14ac:dyDescent="0.3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8" customHeight="1" x14ac:dyDescent="0.3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8" customHeight="1" x14ac:dyDescent="0.3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8" customHeight="1" x14ac:dyDescent="0.3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8" customHeight="1" x14ac:dyDescent="0.3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8" customHeight="1" x14ac:dyDescent="0.3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8" customHeight="1" x14ac:dyDescent="0.3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8" customHeight="1" x14ac:dyDescent="0.3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8" customHeight="1" x14ac:dyDescent="0.3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8" customHeight="1" x14ac:dyDescent="0.3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8" customHeight="1" x14ac:dyDescent="0.3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8" customHeight="1" x14ac:dyDescent="0.3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8" customHeight="1" x14ac:dyDescent="0.3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8" customHeight="1" x14ac:dyDescent="0.3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8" customHeight="1" x14ac:dyDescent="0.3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8" customHeight="1" x14ac:dyDescent="0.3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8" customHeight="1" x14ac:dyDescent="0.3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8" customHeight="1" x14ac:dyDescent="0.3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8" customHeight="1" x14ac:dyDescent="0.3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8" customHeight="1" x14ac:dyDescent="0.3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8" customHeight="1" x14ac:dyDescent="0.3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8" customHeight="1" x14ac:dyDescent="0.3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8" customHeight="1" x14ac:dyDescent="0.3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8" customHeight="1" x14ac:dyDescent="0.3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8" customHeight="1" x14ac:dyDescent="0.3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8" customHeight="1" x14ac:dyDescent="0.3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8" customHeight="1" x14ac:dyDescent="0.3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8" customHeight="1" x14ac:dyDescent="0.3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8" customHeight="1" x14ac:dyDescent="0.3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8" customHeight="1" x14ac:dyDescent="0.3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8" customHeight="1" x14ac:dyDescent="0.3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8" customHeight="1" x14ac:dyDescent="0.3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8" customHeight="1" x14ac:dyDescent="0.3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8" customHeight="1" x14ac:dyDescent="0.3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8" customHeight="1" x14ac:dyDescent="0.3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8" customHeight="1" x14ac:dyDescent="0.3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8" customHeight="1" x14ac:dyDescent="0.3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8" customHeight="1" x14ac:dyDescent="0.3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8" customHeight="1" x14ac:dyDescent="0.3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8" customHeight="1" x14ac:dyDescent="0.3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8" customHeight="1" x14ac:dyDescent="0.3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8" customHeight="1" x14ac:dyDescent="0.3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8" customHeight="1" x14ac:dyDescent="0.3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8" customHeight="1" x14ac:dyDescent="0.3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8" customHeight="1" x14ac:dyDescent="0.3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8" customHeight="1" x14ac:dyDescent="0.3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8" customHeight="1" x14ac:dyDescent="0.3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8" customHeight="1" x14ac:dyDescent="0.3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8" customHeight="1" x14ac:dyDescent="0.3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8" customHeight="1" x14ac:dyDescent="0.3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8" customHeight="1" x14ac:dyDescent="0.3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8" customHeight="1" x14ac:dyDescent="0.3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8" customHeight="1" x14ac:dyDescent="0.3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8" customHeight="1" x14ac:dyDescent="0.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8" customHeight="1" x14ac:dyDescent="0.3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8" customHeight="1" x14ac:dyDescent="0.3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8" customHeight="1" x14ac:dyDescent="0.3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8" customHeight="1" x14ac:dyDescent="0.3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8" customHeight="1" x14ac:dyDescent="0.3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8" customHeight="1" x14ac:dyDescent="0.3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8" customHeight="1" x14ac:dyDescent="0.3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8" customHeight="1" x14ac:dyDescent="0.3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8" customHeight="1" x14ac:dyDescent="0.3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8" customHeight="1" x14ac:dyDescent="0.3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8" customHeight="1" x14ac:dyDescent="0.3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8" customHeight="1" x14ac:dyDescent="0.3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8" customHeight="1" x14ac:dyDescent="0.3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8" customHeight="1" x14ac:dyDescent="0.3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8" customHeight="1" x14ac:dyDescent="0.3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8" customHeight="1" x14ac:dyDescent="0.3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8" customHeight="1" x14ac:dyDescent="0.3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8" customHeight="1" x14ac:dyDescent="0.3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8" customHeight="1" x14ac:dyDescent="0.3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8" customHeight="1" x14ac:dyDescent="0.3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8" customHeight="1" x14ac:dyDescent="0.3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8" customHeight="1" x14ac:dyDescent="0.3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8" customHeight="1" x14ac:dyDescent="0.3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8" customHeight="1" x14ac:dyDescent="0.3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8" customHeight="1" x14ac:dyDescent="0.3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8" customHeight="1" x14ac:dyDescent="0.3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8" customHeight="1" x14ac:dyDescent="0.3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8" customHeight="1" x14ac:dyDescent="0.3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8" customHeight="1" x14ac:dyDescent="0.3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8" customHeight="1" x14ac:dyDescent="0.3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8" customHeight="1" x14ac:dyDescent="0.3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8" customHeight="1" x14ac:dyDescent="0.3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8" customHeight="1" x14ac:dyDescent="0.3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8" customHeight="1" x14ac:dyDescent="0.3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8" customHeight="1" x14ac:dyDescent="0.3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8" customHeight="1" x14ac:dyDescent="0.3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8" customHeight="1" x14ac:dyDescent="0.3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8" customHeight="1" x14ac:dyDescent="0.3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8" customHeight="1" x14ac:dyDescent="0.3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8" customHeight="1" x14ac:dyDescent="0.3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8" customHeight="1" x14ac:dyDescent="0.3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8" customHeight="1" x14ac:dyDescent="0.3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8" customHeight="1" x14ac:dyDescent="0.3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8" customHeight="1" x14ac:dyDescent="0.3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8" customHeight="1" x14ac:dyDescent="0.3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8" customHeight="1" x14ac:dyDescent="0.3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8" customHeight="1" x14ac:dyDescent="0.3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8" customHeight="1" x14ac:dyDescent="0.3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8" customHeight="1" x14ac:dyDescent="0.3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8" customHeight="1" x14ac:dyDescent="0.3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8" customHeight="1" x14ac:dyDescent="0.3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8" customHeight="1" x14ac:dyDescent="0.3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8" customHeight="1" x14ac:dyDescent="0.3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8" customHeight="1" x14ac:dyDescent="0.3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8" customHeight="1" x14ac:dyDescent="0.3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8" customHeight="1" x14ac:dyDescent="0.3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8" customHeight="1" x14ac:dyDescent="0.3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8" customHeight="1" x14ac:dyDescent="0.3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8" customHeight="1" x14ac:dyDescent="0.3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8" customHeight="1" x14ac:dyDescent="0.3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8" customHeight="1" x14ac:dyDescent="0.3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8" customHeight="1" x14ac:dyDescent="0.3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8" customHeight="1" x14ac:dyDescent="0.3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8" customHeight="1" x14ac:dyDescent="0.3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8" customHeight="1" x14ac:dyDescent="0.3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8" customHeight="1" x14ac:dyDescent="0.3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8" customHeight="1" x14ac:dyDescent="0.3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8" customHeight="1" x14ac:dyDescent="0.3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8" customHeight="1" x14ac:dyDescent="0.3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8" customHeight="1" x14ac:dyDescent="0.3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8" customHeight="1" x14ac:dyDescent="0.3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8" customHeight="1" x14ac:dyDescent="0.3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8" customHeight="1" x14ac:dyDescent="0.3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8" customHeight="1" x14ac:dyDescent="0.3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8" customHeight="1" x14ac:dyDescent="0.3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8" customHeight="1" x14ac:dyDescent="0.3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8" customHeight="1" x14ac:dyDescent="0.3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8" customHeight="1" x14ac:dyDescent="0.3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8" customHeight="1" x14ac:dyDescent="0.3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8" customHeight="1" x14ac:dyDescent="0.3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8" customHeight="1" x14ac:dyDescent="0.3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8" customHeight="1" x14ac:dyDescent="0.3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8" customHeight="1" x14ac:dyDescent="0.3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8" customHeight="1" x14ac:dyDescent="0.3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8" customHeight="1" x14ac:dyDescent="0.3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8" customHeight="1" x14ac:dyDescent="0.3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8" customHeight="1" x14ac:dyDescent="0.3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8" customHeight="1" x14ac:dyDescent="0.3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8" customHeight="1" x14ac:dyDescent="0.3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8" customHeight="1" x14ac:dyDescent="0.3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8" customHeight="1" x14ac:dyDescent="0.3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8" customHeight="1" x14ac:dyDescent="0.3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8" customHeight="1" x14ac:dyDescent="0.3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8" customHeight="1" x14ac:dyDescent="0.3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8" customHeight="1" x14ac:dyDescent="0.3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8" customHeight="1" x14ac:dyDescent="0.3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8" customHeight="1" x14ac:dyDescent="0.3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8" customHeight="1" x14ac:dyDescent="0.3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8" customHeight="1" x14ac:dyDescent="0.3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8" customHeight="1" x14ac:dyDescent="0.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8" customHeight="1" x14ac:dyDescent="0.3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8" customHeight="1" x14ac:dyDescent="0.3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8" customHeight="1" x14ac:dyDescent="0.3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8" customHeight="1" x14ac:dyDescent="0.3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8" customHeight="1" x14ac:dyDescent="0.3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8" customHeight="1" x14ac:dyDescent="0.3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8" customHeight="1" x14ac:dyDescent="0.3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8" customHeight="1" x14ac:dyDescent="0.3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8" customHeight="1" x14ac:dyDescent="0.3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8" customHeight="1" x14ac:dyDescent="0.3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8" customHeight="1" x14ac:dyDescent="0.3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8" customHeight="1" x14ac:dyDescent="0.3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8" customHeight="1" x14ac:dyDescent="0.3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8" customHeight="1" x14ac:dyDescent="0.3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8" customHeight="1" x14ac:dyDescent="0.3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8" customHeight="1" x14ac:dyDescent="0.3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8" customHeight="1" x14ac:dyDescent="0.3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8" customHeight="1" x14ac:dyDescent="0.3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8" customHeight="1" x14ac:dyDescent="0.3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8" customHeight="1" x14ac:dyDescent="0.3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8" customHeight="1" x14ac:dyDescent="0.3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8" customHeight="1" x14ac:dyDescent="0.3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8" customHeight="1" x14ac:dyDescent="0.3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8" customHeight="1" x14ac:dyDescent="0.3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8" customHeight="1" x14ac:dyDescent="0.3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8" customHeight="1" x14ac:dyDescent="0.3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8" customHeight="1" x14ac:dyDescent="0.3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8" customHeight="1" x14ac:dyDescent="0.3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8" customHeight="1" x14ac:dyDescent="0.3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8" customHeight="1" x14ac:dyDescent="0.3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8" customHeight="1" x14ac:dyDescent="0.3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8" customHeight="1" x14ac:dyDescent="0.3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8" customHeight="1" x14ac:dyDescent="0.3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8" customHeight="1" x14ac:dyDescent="0.3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8" customHeight="1" x14ac:dyDescent="0.3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8" customHeight="1" x14ac:dyDescent="0.3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8" customHeight="1" x14ac:dyDescent="0.3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8" customHeight="1" x14ac:dyDescent="0.3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8" customHeight="1" x14ac:dyDescent="0.3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8" customHeight="1" x14ac:dyDescent="0.3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8" customHeight="1" x14ac:dyDescent="0.3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8" customHeight="1" x14ac:dyDescent="0.3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8" customHeight="1" x14ac:dyDescent="0.3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8" customHeight="1" x14ac:dyDescent="0.3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8" customHeight="1" x14ac:dyDescent="0.3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8" customHeight="1" x14ac:dyDescent="0.3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8" customHeight="1" x14ac:dyDescent="0.3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8" customHeight="1" x14ac:dyDescent="0.3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8" customHeight="1" x14ac:dyDescent="0.3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8" customHeight="1" x14ac:dyDescent="0.3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8" customHeight="1" x14ac:dyDescent="0.3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8" customHeight="1" x14ac:dyDescent="0.3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8" customHeight="1" x14ac:dyDescent="0.3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8" customHeight="1" x14ac:dyDescent="0.3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8" customHeight="1" x14ac:dyDescent="0.3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8" customHeight="1" x14ac:dyDescent="0.3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8" customHeight="1" x14ac:dyDescent="0.3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8" customHeight="1" x14ac:dyDescent="0.3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8" customHeight="1" x14ac:dyDescent="0.3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8" customHeight="1" x14ac:dyDescent="0.3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8" customHeight="1" x14ac:dyDescent="0.3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8" customHeight="1" x14ac:dyDescent="0.3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8" customHeight="1" x14ac:dyDescent="0.3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8" customHeight="1" x14ac:dyDescent="0.3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8" customHeight="1" x14ac:dyDescent="0.3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8" customHeight="1" x14ac:dyDescent="0.3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8" customHeight="1" x14ac:dyDescent="0.3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8" customHeight="1" x14ac:dyDescent="0.3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8" customHeight="1" x14ac:dyDescent="0.3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8" customHeight="1" x14ac:dyDescent="0.3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8" customHeight="1" x14ac:dyDescent="0.3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8" customHeight="1" x14ac:dyDescent="0.3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8" customHeight="1" x14ac:dyDescent="0.3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8" customHeight="1" x14ac:dyDescent="0.3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8" customHeight="1" x14ac:dyDescent="0.3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8" customHeight="1" x14ac:dyDescent="0.3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8" customHeight="1" x14ac:dyDescent="0.3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8" customHeight="1" x14ac:dyDescent="0.3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8" customHeight="1" x14ac:dyDescent="0.3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8" customHeight="1" x14ac:dyDescent="0.3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8" customHeight="1" x14ac:dyDescent="0.3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8" customHeight="1" x14ac:dyDescent="0.3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8" customHeight="1" x14ac:dyDescent="0.3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8" customHeight="1" x14ac:dyDescent="0.3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8" customHeight="1" x14ac:dyDescent="0.3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8" customHeight="1" x14ac:dyDescent="0.3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8" customHeight="1" x14ac:dyDescent="0.3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8" customHeight="1" x14ac:dyDescent="0.3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8" customHeight="1" x14ac:dyDescent="0.3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8" customHeight="1" x14ac:dyDescent="0.3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8" customHeight="1" x14ac:dyDescent="0.3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8" customHeight="1" x14ac:dyDescent="0.3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8" customHeight="1" x14ac:dyDescent="0.3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8" customHeight="1" x14ac:dyDescent="0.3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8" customHeight="1" x14ac:dyDescent="0.3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8" customHeight="1" x14ac:dyDescent="0.3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8" customHeight="1" x14ac:dyDescent="0.3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8" customHeight="1" x14ac:dyDescent="0.3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8" customHeight="1" x14ac:dyDescent="0.3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8" customHeight="1" x14ac:dyDescent="0.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8" customHeight="1" x14ac:dyDescent="0.3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8" customHeight="1" x14ac:dyDescent="0.3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8" customHeight="1" x14ac:dyDescent="0.3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8" customHeight="1" x14ac:dyDescent="0.3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8" customHeight="1" x14ac:dyDescent="0.3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8" customHeight="1" x14ac:dyDescent="0.3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8" customHeight="1" x14ac:dyDescent="0.3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8" customHeight="1" x14ac:dyDescent="0.3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8" customHeight="1" x14ac:dyDescent="0.3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8" customHeight="1" x14ac:dyDescent="0.3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8" customHeight="1" x14ac:dyDescent="0.3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8" customHeight="1" x14ac:dyDescent="0.3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8" customHeight="1" x14ac:dyDescent="0.3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8" customHeight="1" x14ac:dyDescent="0.3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8" customHeight="1" x14ac:dyDescent="0.3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8" customHeight="1" x14ac:dyDescent="0.3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8" customHeight="1" x14ac:dyDescent="0.3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8" customHeight="1" x14ac:dyDescent="0.3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8" customHeight="1" x14ac:dyDescent="0.3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8" customHeight="1" x14ac:dyDescent="0.3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8" customHeight="1" x14ac:dyDescent="0.3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8" customHeight="1" x14ac:dyDescent="0.3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8" customHeight="1" x14ac:dyDescent="0.3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8" customHeight="1" x14ac:dyDescent="0.3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8" customHeight="1" x14ac:dyDescent="0.3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8" customHeight="1" x14ac:dyDescent="0.3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8" customHeight="1" x14ac:dyDescent="0.3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8" customHeight="1" x14ac:dyDescent="0.3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8" customHeight="1" x14ac:dyDescent="0.3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8" customHeight="1" x14ac:dyDescent="0.3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8" customHeight="1" x14ac:dyDescent="0.3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8" customHeight="1" x14ac:dyDescent="0.3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8" customHeight="1" x14ac:dyDescent="0.3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8" customHeight="1" x14ac:dyDescent="0.3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8" customHeight="1" x14ac:dyDescent="0.3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8" customHeight="1" x14ac:dyDescent="0.3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8" customHeight="1" x14ac:dyDescent="0.3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8" customHeight="1" x14ac:dyDescent="0.3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8" customHeight="1" x14ac:dyDescent="0.3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8" customHeight="1" x14ac:dyDescent="0.3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8" customHeight="1" x14ac:dyDescent="0.3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8" customHeight="1" x14ac:dyDescent="0.3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8" customHeight="1" x14ac:dyDescent="0.3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8" customHeight="1" x14ac:dyDescent="0.3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8" customHeight="1" x14ac:dyDescent="0.3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8" customHeight="1" x14ac:dyDescent="0.3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8" customHeight="1" x14ac:dyDescent="0.3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8" customHeight="1" x14ac:dyDescent="0.3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8" customHeight="1" x14ac:dyDescent="0.3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8" customHeight="1" x14ac:dyDescent="0.3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8" customHeight="1" x14ac:dyDescent="0.3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8" customHeight="1" x14ac:dyDescent="0.3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8" customHeight="1" x14ac:dyDescent="0.3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8" customHeight="1" x14ac:dyDescent="0.3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8" customHeight="1" x14ac:dyDescent="0.3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8" customHeight="1" x14ac:dyDescent="0.3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8" customHeight="1" x14ac:dyDescent="0.3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8" customHeight="1" x14ac:dyDescent="0.3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8" customHeight="1" x14ac:dyDescent="0.3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8" customHeight="1" x14ac:dyDescent="0.3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8" customHeight="1" x14ac:dyDescent="0.3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8" customHeight="1" x14ac:dyDescent="0.3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8" customHeight="1" x14ac:dyDescent="0.3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8" customHeight="1" x14ac:dyDescent="0.3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8" customHeight="1" x14ac:dyDescent="0.3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8" customHeight="1" x14ac:dyDescent="0.3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8" customHeight="1" x14ac:dyDescent="0.3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8" customHeight="1" x14ac:dyDescent="0.3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8" customHeight="1" x14ac:dyDescent="0.3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8" customHeight="1" x14ac:dyDescent="0.3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8" customHeight="1" x14ac:dyDescent="0.3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8" customHeight="1" x14ac:dyDescent="0.3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8" customHeight="1" x14ac:dyDescent="0.3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8" customHeight="1" x14ac:dyDescent="0.3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8" customHeight="1" x14ac:dyDescent="0.3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8" customHeight="1" x14ac:dyDescent="0.3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8" customHeight="1" x14ac:dyDescent="0.3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8" customHeight="1" x14ac:dyDescent="0.3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8" customHeight="1" x14ac:dyDescent="0.3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8" customHeight="1" x14ac:dyDescent="0.3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8" customHeight="1" x14ac:dyDescent="0.3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8" customHeight="1" x14ac:dyDescent="0.3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8" customHeight="1" x14ac:dyDescent="0.3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8" customHeight="1" x14ac:dyDescent="0.3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8" customHeight="1" x14ac:dyDescent="0.3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8" customHeight="1" x14ac:dyDescent="0.3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8" customHeight="1" x14ac:dyDescent="0.3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8" customHeight="1" x14ac:dyDescent="0.3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8" customHeight="1" x14ac:dyDescent="0.3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8" customHeight="1" x14ac:dyDescent="0.3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8" customHeight="1" x14ac:dyDescent="0.3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8" customHeight="1" x14ac:dyDescent="0.3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8" customHeight="1" x14ac:dyDescent="0.3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8" customHeight="1" x14ac:dyDescent="0.3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8" customHeight="1" x14ac:dyDescent="0.3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8" customHeight="1" x14ac:dyDescent="0.3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8" customHeight="1" x14ac:dyDescent="0.3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8" customHeight="1" x14ac:dyDescent="0.3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8" customHeight="1" x14ac:dyDescent="0.3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8" customHeight="1" x14ac:dyDescent="0.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8" customHeight="1" x14ac:dyDescent="0.3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8" customHeight="1" x14ac:dyDescent="0.3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8" customHeight="1" x14ac:dyDescent="0.3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8" customHeight="1" x14ac:dyDescent="0.3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8" customHeight="1" x14ac:dyDescent="0.3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8" customHeight="1" x14ac:dyDescent="0.3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8" customHeight="1" x14ac:dyDescent="0.3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8" customHeight="1" x14ac:dyDescent="0.3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8" customHeight="1" x14ac:dyDescent="0.3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8" customHeight="1" x14ac:dyDescent="0.3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8" customHeight="1" x14ac:dyDescent="0.3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8" customHeight="1" x14ac:dyDescent="0.3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8" customHeight="1" x14ac:dyDescent="0.3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8" customHeight="1" x14ac:dyDescent="0.3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8" customHeight="1" x14ac:dyDescent="0.3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8" customHeight="1" x14ac:dyDescent="0.3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8" customHeight="1" x14ac:dyDescent="0.3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8" customHeight="1" x14ac:dyDescent="0.3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8" customHeight="1" x14ac:dyDescent="0.3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8" customHeight="1" x14ac:dyDescent="0.3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8" customHeight="1" x14ac:dyDescent="0.3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8" customHeight="1" x14ac:dyDescent="0.3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8" customHeight="1" x14ac:dyDescent="0.3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8" customHeight="1" x14ac:dyDescent="0.3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8" customHeight="1" x14ac:dyDescent="0.3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8" customHeight="1" x14ac:dyDescent="0.3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8" customHeight="1" x14ac:dyDescent="0.3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8" customHeight="1" x14ac:dyDescent="0.3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8" customHeight="1" x14ac:dyDescent="0.3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8" customHeight="1" x14ac:dyDescent="0.3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8" customHeight="1" x14ac:dyDescent="0.3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8" customHeight="1" x14ac:dyDescent="0.3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8" customHeight="1" x14ac:dyDescent="0.3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8" customHeight="1" x14ac:dyDescent="0.3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8" customHeight="1" x14ac:dyDescent="0.3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8" customHeight="1" x14ac:dyDescent="0.3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8" customHeight="1" x14ac:dyDescent="0.3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8" customHeight="1" x14ac:dyDescent="0.3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8" customHeight="1" x14ac:dyDescent="0.3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8" customHeight="1" x14ac:dyDescent="0.3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8" customHeight="1" x14ac:dyDescent="0.3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8" customHeight="1" x14ac:dyDescent="0.3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8" customHeight="1" x14ac:dyDescent="0.3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8" customHeight="1" x14ac:dyDescent="0.3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8" customHeight="1" x14ac:dyDescent="0.3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8" customHeight="1" x14ac:dyDescent="0.3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8" customHeight="1" x14ac:dyDescent="0.3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8" customHeight="1" x14ac:dyDescent="0.3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8" customHeight="1" x14ac:dyDescent="0.3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8" customHeight="1" x14ac:dyDescent="0.3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8" customHeight="1" x14ac:dyDescent="0.3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8" customHeight="1" x14ac:dyDescent="0.3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8" customHeight="1" x14ac:dyDescent="0.3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8" customHeight="1" x14ac:dyDescent="0.3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8" customHeight="1" x14ac:dyDescent="0.3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8" customHeight="1" x14ac:dyDescent="0.3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8" customHeight="1" x14ac:dyDescent="0.3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8" customHeight="1" x14ac:dyDescent="0.3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8" customHeight="1" x14ac:dyDescent="0.3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8" customHeight="1" x14ac:dyDescent="0.3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8" customHeight="1" x14ac:dyDescent="0.3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8" customHeight="1" x14ac:dyDescent="0.3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8" customHeight="1" x14ac:dyDescent="0.3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8" customHeight="1" x14ac:dyDescent="0.3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8" customHeight="1" x14ac:dyDescent="0.3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6">
    <mergeCell ref="E29:G29"/>
    <mergeCell ref="A1:K2"/>
    <mergeCell ref="A3:A4"/>
    <mergeCell ref="E13:G13"/>
    <mergeCell ref="E14:G14"/>
    <mergeCell ref="E16:G18"/>
  </mergeCells>
  <conditionalFormatting sqref="E3 C19">
    <cfRule type="containsText" dxfId="41" priority="1" operator="containsText" text="Boulons et Platines">
      <formula>NOT(ISERROR(SEARCH(("Boulons et Platines"),(C19))))</formula>
    </cfRule>
  </conditionalFormatting>
  <conditionalFormatting sqref="F19">
    <cfRule type="containsText" dxfId="40" priority="2" operator="containsText" text="Oui">
      <formula>NOT(ISERROR(SEARCH(("Oui"),(F19))))</formula>
    </cfRule>
  </conditionalFormatting>
  <conditionalFormatting sqref="F23">
    <cfRule type="cellIs" dxfId="39" priority="3" operator="equal">
      <formula>"Oui"</formula>
    </cfRule>
  </conditionalFormatting>
  <dataValidations count="9">
    <dataValidation type="list" allowBlank="1" showErrorMessage="1" sqref="C17" xr:uid="{00000000-0002-0000-0700-000001000000}">
      <formula1>$A$166:$A$172</formula1>
    </dataValidation>
    <dataValidation type="list" allowBlank="1" showErrorMessage="1" sqref="C19" xr:uid="{00000000-0002-0000-0700-000002000000}">
      <formula1>$A$174:$A$175</formula1>
    </dataValidation>
    <dataValidation type="list" allowBlank="1" showErrorMessage="1" sqref="F19 F23" xr:uid="{00000000-0002-0000-0700-000004000000}">
      <formula1>$A$177:$A$178</formula1>
    </dataValidation>
    <dataValidation type="list" allowBlank="1" showErrorMessage="1" sqref="A37 G37" xr:uid="{00000000-0002-0000-0700-000005000000}">
      <formula1>$A$190:$A$192</formula1>
    </dataValidation>
    <dataValidation type="list" allowBlank="1" showErrorMessage="1" sqref="B33 H33" xr:uid="{00000000-0002-0000-0700-000006000000}">
      <formula1>$A$196:$A$201</formula1>
    </dataValidation>
    <dataValidation type="list" allowBlank="1" showErrorMessage="1" sqref="C21" xr:uid="{00000000-0002-0000-0700-000007000000}">
      <formula1>$A$180:$A$182</formula1>
    </dataValidation>
    <dataValidation type="list" allowBlank="1" showErrorMessage="1" sqref="F21" xr:uid="{00000000-0002-0000-0700-000008000000}">
      <formula1>$A$184:$A$187</formula1>
    </dataValidation>
    <dataValidation type="list" allowBlank="1" showErrorMessage="1" sqref="F25" xr:uid="{00000000-0002-0000-0700-000009000000}">
      <formula1>$A$218:$A$222</formula1>
    </dataValidation>
    <dataValidation type="list" allowBlank="1" showErrorMessage="1" sqref="C23" xr:uid="{00000000-0002-0000-0700-00000A000000}">
      <formula1>$A$203:$A$205</formula1>
    </dataValidation>
  </dataValidations>
  <pageMargins left="0.51181102362204722" right="0.51181102362204722" top="0.55118110236220474" bottom="0.55118110236220474" header="0" footer="0"/>
  <pageSetup paperSize="9" orientation="landscape"/>
  <rowBreaks count="2" manualBreakCount="2">
    <brk id="106" man="1"/>
    <brk id="45" man="1"/>
  </rowBreaks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ErrorMessage="1" xr:uid="{00000000-0002-0000-0700-000000000000}">
          <x14:formula1>
            <xm:f>'Infos Clients'!$B$2:$B$10</xm:f>
          </x14:formula1>
          <xm:sqref>F10</xm:sqref>
        </x14:dataValidation>
        <x14:dataValidation type="list" allowBlank="1" showErrorMessage="1" xr:uid="{00000000-0002-0000-0700-000003000000}">
          <x14:formula1>
            <xm:f>'Infos Clients'!$A$19:$A$20</xm:f>
          </x14:formula1>
          <xm:sqref>F9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00B0F0"/>
  </sheetPr>
  <dimension ref="A1:Z1000"/>
  <sheetViews>
    <sheetView workbookViewId="0"/>
  </sheetViews>
  <sheetFormatPr baseColWidth="10" defaultColWidth="14.44140625" defaultRowHeight="15" customHeight="1" x14ac:dyDescent="0.3"/>
  <cols>
    <col min="1" max="1" width="18.88671875" customWidth="1"/>
    <col min="2" max="2" width="35.5546875" customWidth="1"/>
    <col min="3" max="3" width="30.33203125" customWidth="1"/>
    <col min="4" max="4" width="17.88671875" customWidth="1"/>
    <col min="5" max="5" width="26.44140625" customWidth="1"/>
    <col min="6" max="6" width="27.109375" customWidth="1"/>
    <col min="7" max="7" width="15.109375" customWidth="1"/>
    <col min="8" max="8" width="11.44140625" hidden="1" customWidth="1"/>
    <col min="9" max="9" width="11.44140625" customWidth="1"/>
    <col min="10" max="10" width="21.109375" hidden="1" customWidth="1"/>
    <col min="11" max="11" width="11.5546875" hidden="1" customWidth="1"/>
    <col min="12" max="12" width="16.33203125" hidden="1" customWidth="1"/>
    <col min="13" max="13" width="11.5546875" hidden="1" customWidth="1"/>
    <col min="14" max="14" width="13.88671875" hidden="1" customWidth="1"/>
    <col min="15" max="15" width="21.109375" customWidth="1"/>
    <col min="16" max="16" width="17" customWidth="1"/>
    <col min="17" max="17" width="24.88671875" customWidth="1"/>
    <col min="18" max="18" width="14.5546875" customWidth="1"/>
    <col min="19" max="19" width="16.33203125" customWidth="1"/>
    <col min="20" max="20" width="14.88671875" customWidth="1"/>
    <col min="21" max="21" width="11.44140625" customWidth="1"/>
    <col min="22" max="22" width="26.109375" customWidth="1"/>
    <col min="23" max="26" width="11.44140625" customWidth="1"/>
  </cols>
  <sheetData>
    <row r="1" spans="1:26" ht="18.75" customHeight="1" x14ac:dyDescent="0.35">
      <c r="A1" s="1106" t="s">
        <v>243</v>
      </c>
      <c r="B1" s="1085"/>
      <c r="C1" s="1085"/>
      <c r="D1" s="1085"/>
      <c r="E1" s="1085"/>
      <c r="F1" s="1085"/>
      <c r="G1" s="1086"/>
      <c r="H1" s="395"/>
      <c r="I1" s="395"/>
      <c r="J1" s="395"/>
      <c r="K1" s="395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8.75" customHeight="1" x14ac:dyDescent="0.35">
      <c r="A2" s="1091"/>
      <c r="B2" s="1097"/>
      <c r="C2" s="1097"/>
      <c r="D2" s="1097"/>
      <c r="E2" s="1097"/>
      <c r="F2" s="1097"/>
      <c r="G2" s="1092"/>
      <c r="H2" s="395"/>
      <c r="I2" s="395"/>
      <c r="J2" s="395"/>
      <c r="K2" s="395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9.5" customHeight="1" x14ac:dyDescent="0.35">
      <c r="A3" s="1087"/>
      <c r="B3" s="1088"/>
      <c r="C3" s="1088"/>
      <c r="D3" s="1088"/>
      <c r="E3" s="1088"/>
      <c r="F3" s="1088"/>
      <c r="G3" s="1089"/>
      <c r="H3" s="395"/>
      <c r="I3" s="395"/>
      <c r="J3" s="395"/>
      <c r="K3" s="395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8" hidden="1" customHeight="1" x14ac:dyDescent="0.35">
      <c r="A4" s="1134"/>
      <c r="B4" s="2"/>
      <c r="C4" s="2"/>
      <c r="D4" s="2"/>
      <c r="E4" s="7">
        <f>IF(C20="Boulons et platines","Boulons et Platines",0)</f>
        <v>0</v>
      </c>
      <c r="F4" s="7">
        <f>IF(E4="Boulons et Platines","Nbre de Trous",0)</f>
        <v>0</v>
      </c>
      <c r="G4" s="8">
        <f>IF(E4="Boulons et Platines","Dim du Bord",0)</f>
        <v>0</v>
      </c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8" hidden="1" customHeight="1" x14ac:dyDescent="0.35">
      <c r="A5" s="1108"/>
      <c r="B5" s="2"/>
      <c r="C5" s="2"/>
      <c r="D5" s="2"/>
      <c r="E5" s="10">
        <f>IF(C20="Vis bois",0,"Trous dans la Longueur")</f>
        <v>0</v>
      </c>
      <c r="F5" s="6">
        <f>IF(E5=0,0,IF(C67&lt;100,2,IF(C67&lt;150,3,IF(C67&lt;200,4,IF(C67&lt;250,5,IF(C67&lt;300,6,7))))))</f>
        <v>0</v>
      </c>
      <c r="G5" s="11">
        <f>IF(F5=0,0,IF(F5=2,0,IF(F5=3,0,(($C$67-32)/(F5-1))+16)))</f>
        <v>0</v>
      </c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8" hidden="1" customHeight="1" x14ac:dyDescent="0.35">
      <c r="A6" s="2"/>
      <c r="B6" s="2"/>
      <c r="C6" s="2"/>
      <c r="D6" s="2"/>
      <c r="E6" s="13">
        <f>IF(F5=6,"2ème Trou",IF(F5=7,"2ème Trou",0))</f>
        <v>0</v>
      </c>
      <c r="F6" s="2"/>
      <c r="G6" s="11">
        <f>IF(E6=0,0,G5+G5-16)</f>
        <v>0</v>
      </c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8" hidden="1" customHeight="1" x14ac:dyDescent="0.35">
      <c r="A7" s="2"/>
      <c r="B7" s="2"/>
      <c r="C7" s="2"/>
      <c r="D7" s="2"/>
      <c r="E7" s="10">
        <f>IF(C20="Vis bois",0,"Trous dans la Hauteur")</f>
        <v>0</v>
      </c>
      <c r="F7" s="6">
        <f>IF(E7=0,0,IF(D67&lt;50,1,IF(D67&lt;100,2,IF(D67&lt;150,3,IF(D67&lt;200,4,IF(D67&lt;250,5,IF(D67&lt;310,6,7)))))))</f>
        <v>0</v>
      </c>
      <c r="G7" s="11">
        <f>IF(F7=0,0,IF(F7=2,0,IF(F7=3,0,(($D$67-32)/(F7-1))+16)))</f>
        <v>0</v>
      </c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8" hidden="1" customHeight="1" x14ac:dyDescent="0.35">
      <c r="A8" s="2"/>
      <c r="B8" s="2"/>
      <c r="C8" s="2"/>
      <c r="D8" s="2"/>
      <c r="E8" s="14">
        <f>IF(F7=6,"2ème Trou",IF(F7=7,"2ème Trou",0))</f>
        <v>0</v>
      </c>
      <c r="F8" s="15"/>
      <c r="G8" s="16">
        <f>IF(E8=0,0,G7+G7-16)</f>
        <v>0</v>
      </c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8" customHeight="1" x14ac:dyDescent="0.35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8" customHeight="1" x14ac:dyDescent="0.35">
      <c r="A10" s="2"/>
      <c r="B10" s="2" t="s">
        <v>1</v>
      </c>
      <c r="C10" s="20"/>
      <c r="D10" s="2"/>
      <c r="E10" s="6" t="s">
        <v>2</v>
      </c>
      <c r="F10" s="2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8" customHeight="1" x14ac:dyDescent="0.35">
      <c r="A11" s="2"/>
      <c r="B11" s="2" t="s">
        <v>4</v>
      </c>
      <c r="C11" s="23"/>
      <c r="D11" s="2"/>
      <c r="E11" s="6" t="s">
        <v>5</v>
      </c>
      <c r="F11" s="24" t="s">
        <v>6</v>
      </c>
      <c r="G11" s="2"/>
      <c r="H11" s="2"/>
      <c r="I11" s="2"/>
      <c r="J11" s="396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8" customHeight="1" x14ac:dyDescent="0.35">
      <c r="A12" s="2"/>
      <c r="B12" s="2" t="s">
        <v>138</v>
      </c>
      <c r="C12" s="23"/>
      <c r="D12" s="2"/>
      <c r="E12" s="5" t="s">
        <v>8</v>
      </c>
      <c r="F12" s="25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8" customHeight="1" x14ac:dyDescent="0.35">
      <c r="A13" s="2"/>
      <c r="B13" s="2"/>
      <c r="C13" s="6"/>
      <c r="D13" s="2"/>
      <c r="E13" s="5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8" customHeight="1" x14ac:dyDescent="0.4">
      <c r="A14" s="2"/>
      <c r="B14" s="19" t="s">
        <v>9</v>
      </c>
      <c r="C14" s="23" t="s">
        <v>10</v>
      </c>
      <c r="D14" s="2"/>
      <c r="E14" s="1099"/>
      <c r="F14" s="1100"/>
      <c r="G14" s="1101"/>
      <c r="H14" s="2"/>
      <c r="I14" s="2"/>
      <c r="J14" s="2"/>
      <c r="K14" s="1135"/>
      <c r="L14" s="1085"/>
      <c r="M14" s="1086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8" customHeight="1" x14ac:dyDescent="0.4">
      <c r="A15" s="2"/>
      <c r="B15" s="19"/>
      <c r="C15" s="6"/>
      <c r="D15" s="2"/>
      <c r="E15" s="1099"/>
      <c r="F15" s="1100"/>
      <c r="G15" s="1101"/>
      <c r="H15" s="2"/>
      <c r="I15" s="2"/>
      <c r="J15" s="2"/>
      <c r="K15" s="1091"/>
      <c r="L15" s="1097"/>
      <c r="M15" s="109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8" customHeight="1" x14ac:dyDescent="0.35">
      <c r="A16" s="2"/>
      <c r="B16" s="19" t="s">
        <v>11</v>
      </c>
      <c r="C16" s="23" t="s">
        <v>12</v>
      </c>
      <c r="D16" s="2"/>
      <c r="E16" s="9" t="s">
        <v>13</v>
      </c>
      <c r="F16" s="23" t="s">
        <v>14</v>
      </c>
      <c r="G16" s="2"/>
      <c r="H16" s="2"/>
      <c r="I16" s="2"/>
      <c r="J16" s="2"/>
      <c r="K16" s="1091"/>
      <c r="L16" s="1097"/>
      <c r="M16" s="109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9.5" customHeight="1" x14ac:dyDescent="0.35">
      <c r="A17" s="2"/>
      <c r="B17" s="2"/>
      <c r="C17" s="6"/>
      <c r="D17" s="2"/>
      <c r="E17" s="1098"/>
      <c r="F17" s="1085"/>
      <c r="G17" s="1086"/>
      <c r="H17" s="397"/>
      <c r="I17" s="397"/>
      <c r="J17" s="2"/>
      <c r="K17" s="1091"/>
      <c r="L17" s="1097"/>
      <c r="M17" s="109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8" customHeight="1" x14ac:dyDescent="0.35">
      <c r="A18" s="2"/>
      <c r="B18" s="19" t="s">
        <v>15</v>
      </c>
      <c r="C18" s="23" t="s">
        <v>16</v>
      </c>
      <c r="D18" s="2"/>
      <c r="E18" s="1091"/>
      <c r="F18" s="1097"/>
      <c r="G18" s="1092"/>
      <c r="H18" s="397"/>
      <c r="I18" s="397"/>
      <c r="J18" s="2"/>
      <c r="K18" s="1087"/>
      <c r="L18" s="1088"/>
      <c r="M18" s="1089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8" customHeight="1" x14ac:dyDescent="0.35">
      <c r="A19" s="2"/>
      <c r="B19" s="2"/>
      <c r="C19" s="6"/>
      <c r="D19" s="2"/>
      <c r="E19" s="1087"/>
      <c r="F19" s="1088"/>
      <c r="G19" s="1089"/>
      <c r="H19" s="397"/>
      <c r="I19" s="397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8" customHeight="1" x14ac:dyDescent="0.35">
      <c r="A20" s="2"/>
      <c r="B20" s="19" t="s">
        <v>17</v>
      </c>
      <c r="C20" s="23" t="s">
        <v>18</v>
      </c>
      <c r="D20" s="2"/>
      <c r="E20" s="9" t="s">
        <v>19</v>
      </c>
      <c r="F20" s="23" t="s">
        <v>20</v>
      </c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8" customHeight="1" x14ac:dyDescent="0.35">
      <c r="A21" s="2"/>
      <c r="B21" s="2"/>
      <c r="C21" s="6"/>
      <c r="D21" s="2"/>
      <c r="E21" s="19">
        <f>IF(F20="Oui","Type de Peinture",0)</f>
        <v>0</v>
      </c>
      <c r="F21" s="169">
        <f>IF(F20="Non",0,VLOOKUP(F11,'Infos Clients'!B2:E10,4))</f>
        <v>0</v>
      </c>
      <c r="G21" s="5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8" customHeight="1" x14ac:dyDescent="0.35">
      <c r="A22" s="2"/>
      <c r="B22" s="19" t="s">
        <v>21</v>
      </c>
      <c r="C22" s="24" t="str">
        <f>IF(F23="Skis","Bois","Non")</f>
        <v>Bois</v>
      </c>
      <c r="D22" s="2"/>
      <c r="E22" s="2"/>
      <c r="F22" s="398"/>
      <c r="G22" s="5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8" customHeight="1" x14ac:dyDescent="0.35">
      <c r="A23" s="2"/>
      <c r="B23" s="19"/>
      <c r="C23" s="6"/>
      <c r="D23" s="2"/>
      <c r="E23" s="9" t="s">
        <v>24</v>
      </c>
      <c r="F23" s="24" t="str">
        <f>IF(C181=0,"Skis",IF(C181=1,"10 Dessous en Semelles","10 Dessous en Skis"))</f>
        <v>Skis</v>
      </c>
      <c r="G23" s="5"/>
      <c r="H23" s="2"/>
      <c r="I23" s="2"/>
      <c r="J23" s="2"/>
      <c r="K23" s="2"/>
      <c r="L23" s="2"/>
      <c r="M23" s="2"/>
      <c r="N23" s="2"/>
      <c r="O23" s="1146"/>
      <c r="P23" s="1101"/>
      <c r="Q23" s="1146"/>
      <c r="R23" s="1100"/>
      <c r="S23" s="1100"/>
      <c r="T23" s="1101"/>
      <c r="U23" s="399"/>
      <c r="V23" s="1146"/>
      <c r="W23" s="1100"/>
      <c r="X23" s="1100"/>
      <c r="Y23" s="1101"/>
      <c r="Z23" s="2"/>
    </row>
    <row r="24" spans="1:26" ht="18" customHeight="1" x14ac:dyDescent="0.35">
      <c r="A24" s="2"/>
      <c r="B24" s="1147" t="s">
        <v>244</v>
      </c>
      <c r="C24" s="1149" t="s">
        <v>245</v>
      </c>
      <c r="D24" s="2"/>
      <c r="E24" s="5"/>
      <c r="F24" s="5"/>
      <c r="G24" s="5"/>
      <c r="H24" s="2"/>
      <c r="I24" s="2"/>
      <c r="J24" s="2"/>
      <c r="K24" s="2"/>
      <c r="L24" s="2"/>
      <c r="M24" s="2"/>
      <c r="N24" s="2"/>
      <c r="O24" s="400"/>
      <c r="P24" s="401"/>
      <c r="Q24" s="399"/>
      <c r="R24" s="399"/>
      <c r="S24" s="399"/>
      <c r="T24" s="399"/>
      <c r="U24" s="399"/>
      <c r="V24" s="399"/>
      <c r="W24" s="399"/>
      <c r="X24" s="399"/>
      <c r="Y24" s="399"/>
      <c r="Z24" s="2"/>
    </row>
    <row r="25" spans="1:26" ht="18" customHeight="1" x14ac:dyDescent="0.35">
      <c r="A25" s="2"/>
      <c r="B25" s="1148"/>
      <c r="C25" s="1150"/>
      <c r="D25" s="2"/>
      <c r="E25" s="9" t="s">
        <v>246</v>
      </c>
      <c r="F25" s="23" t="s">
        <v>20</v>
      </c>
      <c r="G25" s="5"/>
      <c r="H25" s="2"/>
      <c r="I25" s="2"/>
      <c r="J25" s="2"/>
      <c r="K25" s="2"/>
      <c r="L25" s="2"/>
      <c r="M25" s="2"/>
      <c r="N25" s="2"/>
      <c r="O25" s="402"/>
      <c r="P25" s="403"/>
      <c r="Q25" s="404"/>
      <c r="R25" s="404"/>
      <c r="S25" s="404"/>
      <c r="T25" s="404"/>
      <c r="U25" s="404"/>
      <c r="V25" s="404"/>
      <c r="W25" s="404"/>
      <c r="X25" s="404"/>
      <c r="Y25" s="404"/>
      <c r="Z25" s="2"/>
    </row>
    <row r="26" spans="1:26" ht="18" customHeight="1" x14ac:dyDescent="0.35">
      <c r="A26" s="2"/>
      <c r="B26" s="405"/>
      <c r="C26" s="6"/>
      <c r="D26" s="2"/>
      <c r="E26" s="9"/>
      <c r="F26" s="6"/>
      <c r="G26" s="5"/>
      <c r="H26" s="2"/>
      <c r="I26" s="5"/>
      <c r="J26" s="5"/>
      <c r="K26" s="5"/>
      <c r="L26" s="5"/>
      <c r="M26" s="2"/>
      <c r="N26" s="2"/>
      <c r="O26" s="402"/>
      <c r="P26" s="403"/>
      <c r="Q26" s="404"/>
      <c r="R26" s="404"/>
      <c r="S26" s="404"/>
      <c r="T26" s="404"/>
      <c r="U26" s="404"/>
      <c r="V26" s="404"/>
      <c r="W26" s="404"/>
      <c r="X26" s="404"/>
      <c r="Y26" s="404"/>
      <c r="Z26" s="2"/>
    </row>
    <row r="27" spans="1:26" ht="18.75" customHeight="1" x14ac:dyDescent="0.35">
      <c r="A27" s="2"/>
      <c r="B27" s="405"/>
      <c r="C27" s="1151" t="s">
        <v>247</v>
      </c>
      <c r="D27" s="1085"/>
      <c r="E27" s="1085"/>
      <c r="F27" s="1086"/>
      <c r="G27" s="5"/>
      <c r="H27" s="2"/>
      <c r="I27" s="5"/>
      <c r="J27" s="5"/>
      <c r="K27" s="5"/>
      <c r="L27" s="5"/>
      <c r="M27" s="2"/>
      <c r="N27" s="2"/>
      <c r="O27" s="402"/>
      <c r="P27" s="403"/>
      <c r="Q27" s="404"/>
      <c r="R27" s="404"/>
      <c r="S27" s="404"/>
      <c r="T27" s="404"/>
      <c r="U27" s="404"/>
      <c r="V27" s="404"/>
      <c r="W27" s="404"/>
      <c r="X27" s="404"/>
      <c r="Y27" s="404"/>
      <c r="Z27" s="2"/>
    </row>
    <row r="28" spans="1:26" ht="18.75" customHeight="1" x14ac:dyDescent="0.35">
      <c r="A28" s="2"/>
      <c r="B28" s="405"/>
      <c r="C28" s="1091"/>
      <c r="D28" s="1097"/>
      <c r="E28" s="1097"/>
      <c r="F28" s="1092"/>
      <c r="G28" s="5"/>
      <c r="H28" s="2"/>
      <c r="I28" s="5"/>
      <c r="J28" s="5"/>
      <c r="K28" s="5"/>
      <c r="L28" s="5"/>
      <c r="M28" s="2"/>
      <c r="N28" s="2"/>
      <c r="O28" s="402"/>
      <c r="P28" s="403"/>
      <c r="Q28" s="404"/>
      <c r="R28" s="404"/>
      <c r="S28" s="404"/>
      <c r="T28" s="404"/>
      <c r="U28" s="404"/>
      <c r="V28" s="404"/>
      <c r="W28" s="404"/>
      <c r="X28" s="404"/>
      <c r="Y28" s="404"/>
      <c r="Z28" s="2"/>
    </row>
    <row r="29" spans="1:26" ht="18.75" customHeight="1" x14ac:dyDescent="0.35">
      <c r="A29" s="2"/>
      <c r="B29" s="405"/>
      <c r="C29" s="1087"/>
      <c r="D29" s="1088"/>
      <c r="E29" s="1088"/>
      <c r="F29" s="1089"/>
      <c r="G29" s="5"/>
      <c r="H29" s="2"/>
      <c r="I29" s="5"/>
      <c r="J29" s="5"/>
      <c r="K29" s="5"/>
      <c r="L29" s="5"/>
      <c r="M29" s="2"/>
      <c r="N29" s="2"/>
      <c r="O29" s="402"/>
      <c r="P29" s="403"/>
      <c r="Q29" s="404"/>
      <c r="R29" s="404"/>
      <c r="S29" s="404"/>
      <c r="T29" s="404"/>
      <c r="U29" s="404"/>
      <c r="V29" s="404"/>
      <c r="W29" s="404"/>
      <c r="X29" s="404"/>
      <c r="Y29" s="404"/>
      <c r="Z29" s="2"/>
    </row>
    <row r="30" spans="1:26" ht="18" customHeight="1" x14ac:dyDescent="0.35">
      <c r="A30" s="2"/>
      <c r="B30" s="405"/>
      <c r="C30" s="5"/>
      <c r="D30" s="2"/>
      <c r="E30" s="5"/>
      <c r="F30" s="5"/>
      <c r="G30" s="5"/>
      <c r="H30" s="2"/>
      <c r="I30" s="2"/>
      <c r="J30" s="2"/>
      <c r="K30" s="2"/>
      <c r="L30" s="2"/>
      <c r="M30" s="2"/>
      <c r="N30" s="2"/>
      <c r="O30" s="402"/>
      <c r="P30" s="403"/>
      <c r="Q30" s="404"/>
      <c r="R30" s="404"/>
      <c r="S30" s="404"/>
      <c r="T30" s="404"/>
      <c r="U30" s="404"/>
      <c r="V30" s="404"/>
      <c r="W30" s="404"/>
      <c r="X30" s="404"/>
      <c r="Y30" s="404"/>
      <c r="Z30" s="2"/>
    </row>
    <row r="31" spans="1:26" ht="18" customHeight="1" x14ac:dyDescent="0.35">
      <c r="A31" s="2"/>
      <c r="B31" s="91" t="str">
        <f>F11</f>
        <v>ESI</v>
      </c>
      <c r="C31" s="91" t="s">
        <v>141</v>
      </c>
      <c r="D31" s="406" t="s">
        <v>28</v>
      </c>
      <c r="E31" s="406" t="s">
        <v>33</v>
      </c>
      <c r="F31" s="406" t="s">
        <v>30</v>
      </c>
      <c r="G31" s="406" t="s">
        <v>34</v>
      </c>
      <c r="H31" s="407" t="s">
        <v>248</v>
      </c>
      <c r="I31" s="407" t="s">
        <v>249</v>
      </c>
      <c r="J31" s="408"/>
      <c r="K31" s="408"/>
      <c r="L31" s="409" t="s">
        <v>29</v>
      </c>
      <c r="M31" s="409"/>
      <c r="N31" s="409"/>
      <c r="O31" s="404"/>
      <c r="P31" s="404"/>
      <c r="Q31" s="404"/>
      <c r="R31" s="404"/>
      <c r="S31" s="404"/>
      <c r="T31" s="404"/>
      <c r="U31" s="404"/>
      <c r="V31" s="404"/>
      <c r="W31" s="404"/>
      <c r="X31" s="404"/>
      <c r="Y31" s="404"/>
      <c r="Z31" s="2"/>
    </row>
    <row r="32" spans="1:26" ht="18" customHeight="1" x14ac:dyDescent="0.35">
      <c r="A32" s="2"/>
      <c r="B32" s="207"/>
      <c r="C32" s="207"/>
      <c r="D32" s="410"/>
      <c r="E32" s="410"/>
      <c r="F32" s="410"/>
      <c r="G32" s="411"/>
      <c r="H32" s="406">
        <v>2.2000000000000002</v>
      </c>
      <c r="I32" s="406">
        <f t="shared" ref="I32:I47" si="0">IF(M32=0,0,M32)</f>
        <v>0</v>
      </c>
      <c r="J32" s="408" t="s">
        <v>250</v>
      </c>
      <c r="K32" s="412">
        <f>SUM(G32:G47)</f>
        <v>0</v>
      </c>
      <c r="L32" s="413">
        <f>IF(D32=0,0,IF(E32&gt;10,"impossible",M32*G32+(H32*(G32+1))))</f>
        <v>0</v>
      </c>
      <c r="M32" s="404">
        <f t="shared" ref="M32:M47" si="1">IF(D32=0,0,VLOOKUP(E32,$A$191:$B$293,2))</f>
        <v>0</v>
      </c>
      <c r="N32" s="404"/>
      <c r="O32" s="89"/>
      <c r="P32" s="89"/>
      <c r="Q32" s="84"/>
      <c r="R32" s="89"/>
      <c r="S32" s="89"/>
      <c r="T32" s="89"/>
      <c r="U32" s="89"/>
      <c r="V32" s="84"/>
      <c r="W32" s="89"/>
      <c r="X32" s="89"/>
      <c r="Y32" s="89"/>
      <c r="Z32" s="2"/>
    </row>
    <row r="33" spans="1:26" ht="18" customHeight="1" x14ac:dyDescent="0.35">
      <c r="A33" s="2"/>
      <c r="B33" s="367"/>
      <c r="C33" s="207"/>
      <c r="D33" s="410"/>
      <c r="E33" s="410"/>
      <c r="F33" s="410"/>
      <c r="G33" s="411"/>
      <c r="H33" s="406">
        <v>2.2000000000000002</v>
      </c>
      <c r="I33" s="406">
        <f t="shared" si="0"/>
        <v>0</v>
      </c>
      <c r="J33" s="408"/>
      <c r="K33" s="414"/>
      <c r="L33" s="404">
        <f t="shared" ref="L33:L47" si="2">IF(D33=0,0,IF(E33&gt;5,E33+0.2,M33)*G33+(H33*(G33+1)))</f>
        <v>0</v>
      </c>
      <c r="M33" s="404">
        <f t="shared" si="1"/>
        <v>0</v>
      </c>
      <c r="N33" s="404"/>
      <c r="O33" s="89"/>
      <c r="P33" s="89"/>
      <c r="Q33" s="84"/>
      <c r="R33" s="89"/>
      <c r="S33" s="89"/>
      <c r="T33" s="89"/>
      <c r="U33" s="89"/>
      <c r="V33" s="84"/>
      <c r="W33" s="89"/>
      <c r="X33" s="89"/>
      <c r="Y33" s="89"/>
      <c r="Z33" s="2"/>
    </row>
    <row r="34" spans="1:26" ht="18" customHeight="1" x14ac:dyDescent="0.35">
      <c r="A34" s="2"/>
      <c r="B34" s="367"/>
      <c r="C34" s="207"/>
      <c r="D34" s="410"/>
      <c r="E34" s="410"/>
      <c r="F34" s="410"/>
      <c r="G34" s="411"/>
      <c r="H34" s="406">
        <v>2.2000000000000002</v>
      </c>
      <c r="I34" s="406">
        <f t="shared" si="0"/>
        <v>0</v>
      </c>
      <c r="J34" s="408" t="s">
        <v>251</v>
      </c>
      <c r="K34" s="407">
        <f>MAX(D32:D47)</f>
        <v>0</v>
      </c>
      <c r="L34" s="404">
        <f t="shared" si="2"/>
        <v>0</v>
      </c>
      <c r="M34" s="404">
        <f t="shared" si="1"/>
        <v>0</v>
      </c>
      <c r="N34" s="404"/>
      <c r="O34" s="89"/>
      <c r="P34" s="89"/>
      <c r="Q34" s="84"/>
      <c r="R34" s="89"/>
      <c r="S34" s="89"/>
      <c r="T34" s="89"/>
      <c r="U34" s="89"/>
      <c r="V34" s="84"/>
      <c r="W34" s="89"/>
      <c r="X34" s="89"/>
      <c r="Y34" s="89"/>
      <c r="Z34" s="2"/>
    </row>
    <row r="35" spans="1:26" ht="18" customHeight="1" x14ac:dyDescent="0.35">
      <c r="A35" s="2"/>
      <c r="B35" s="367"/>
      <c r="C35" s="367"/>
      <c r="D35" s="410"/>
      <c r="E35" s="410"/>
      <c r="F35" s="410"/>
      <c r="G35" s="411"/>
      <c r="H35" s="406">
        <v>2.2000000000000002</v>
      </c>
      <c r="I35" s="406">
        <f t="shared" si="0"/>
        <v>0</v>
      </c>
      <c r="J35" s="408"/>
      <c r="K35" s="408"/>
      <c r="L35" s="404">
        <f t="shared" si="2"/>
        <v>0</v>
      </c>
      <c r="M35" s="404">
        <f t="shared" si="1"/>
        <v>0</v>
      </c>
      <c r="N35" s="404"/>
      <c r="O35" s="89"/>
      <c r="P35" s="89"/>
      <c r="Q35" s="84"/>
      <c r="R35" s="89"/>
      <c r="S35" s="89"/>
      <c r="T35" s="89"/>
      <c r="U35" s="89"/>
      <c r="V35" s="84"/>
      <c r="W35" s="89"/>
      <c r="X35" s="89"/>
      <c r="Y35" s="89"/>
      <c r="Z35" s="2"/>
    </row>
    <row r="36" spans="1:26" ht="18" customHeight="1" x14ac:dyDescent="0.35">
      <c r="A36" s="2"/>
      <c r="B36" s="367"/>
      <c r="C36" s="367"/>
      <c r="D36" s="410"/>
      <c r="E36" s="410"/>
      <c r="F36" s="410"/>
      <c r="G36" s="411"/>
      <c r="H36" s="406">
        <v>2.2000000000000002</v>
      </c>
      <c r="I36" s="406">
        <f t="shared" si="0"/>
        <v>0</v>
      </c>
      <c r="J36" s="408" t="s">
        <v>252</v>
      </c>
      <c r="K36" s="407">
        <f>MAX(F32:F47)</f>
        <v>0</v>
      </c>
      <c r="L36" s="404">
        <f t="shared" si="2"/>
        <v>0</v>
      </c>
      <c r="M36" s="404">
        <f t="shared" si="1"/>
        <v>0</v>
      </c>
      <c r="N36" s="404"/>
      <c r="O36" s="89"/>
      <c r="P36" s="89"/>
      <c r="Q36" s="84"/>
      <c r="R36" s="89"/>
      <c r="S36" s="89"/>
      <c r="T36" s="89"/>
      <c r="U36" s="89"/>
      <c r="V36" s="84"/>
      <c r="W36" s="89"/>
      <c r="X36" s="89"/>
      <c r="Y36" s="89"/>
      <c r="Z36" s="2"/>
    </row>
    <row r="37" spans="1:26" ht="18" customHeight="1" x14ac:dyDescent="0.35">
      <c r="A37" s="2"/>
      <c r="B37" s="367"/>
      <c r="C37" s="367"/>
      <c r="D37" s="410"/>
      <c r="E37" s="410"/>
      <c r="F37" s="410"/>
      <c r="G37" s="411"/>
      <c r="H37" s="406">
        <v>2.2000000000000002</v>
      </c>
      <c r="I37" s="406">
        <f t="shared" si="0"/>
        <v>0</v>
      </c>
      <c r="J37" s="408"/>
      <c r="K37" s="408"/>
      <c r="L37" s="404">
        <f t="shared" si="2"/>
        <v>0</v>
      </c>
      <c r="M37" s="404">
        <f t="shared" si="1"/>
        <v>0</v>
      </c>
      <c r="N37" s="404"/>
      <c r="O37" s="89"/>
      <c r="P37" s="89"/>
      <c r="Q37" s="84"/>
      <c r="R37" s="89"/>
      <c r="S37" s="89"/>
      <c r="T37" s="89"/>
      <c r="U37" s="89"/>
      <c r="V37" s="84"/>
      <c r="W37" s="89"/>
      <c r="X37" s="89"/>
      <c r="Y37" s="89"/>
      <c r="Z37" s="2"/>
    </row>
    <row r="38" spans="1:26" ht="18" customHeight="1" x14ac:dyDescent="0.35">
      <c r="A38" s="2"/>
      <c r="B38" s="367"/>
      <c r="C38" s="367"/>
      <c r="D38" s="410"/>
      <c r="E38" s="410"/>
      <c r="F38" s="410"/>
      <c r="G38" s="411"/>
      <c r="H38" s="406">
        <v>2.2000000000000002</v>
      </c>
      <c r="I38" s="406">
        <f t="shared" si="0"/>
        <v>0</v>
      </c>
      <c r="J38" s="415" t="s">
        <v>253</v>
      </c>
      <c r="K38" s="407">
        <f>SUM(L32:L47)</f>
        <v>0</v>
      </c>
      <c r="L38" s="404">
        <f t="shared" si="2"/>
        <v>0</v>
      </c>
      <c r="M38" s="404">
        <f t="shared" si="1"/>
        <v>0</v>
      </c>
      <c r="N38" s="404"/>
      <c r="O38" s="89"/>
      <c r="P38" s="89"/>
      <c r="Q38" s="84"/>
      <c r="R38" s="89"/>
      <c r="S38" s="89"/>
      <c r="T38" s="89"/>
      <c r="U38" s="89"/>
      <c r="V38" s="84"/>
      <c r="W38" s="89"/>
      <c r="X38" s="89"/>
      <c r="Y38" s="89"/>
      <c r="Z38" s="2"/>
    </row>
    <row r="39" spans="1:26" ht="18" customHeight="1" x14ac:dyDescent="0.35">
      <c r="A39" s="2"/>
      <c r="B39" s="367"/>
      <c r="C39" s="367"/>
      <c r="D39" s="410"/>
      <c r="E39" s="410"/>
      <c r="F39" s="410"/>
      <c r="G39" s="411"/>
      <c r="H39" s="406">
        <v>2.2000000000000002</v>
      </c>
      <c r="I39" s="406">
        <f t="shared" si="0"/>
        <v>0</v>
      </c>
      <c r="J39" s="408"/>
      <c r="K39" s="408"/>
      <c r="L39" s="404">
        <f t="shared" si="2"/>
        <v>0</v>
      </c>
      <c r="M39" s="404">
        <f t="shared" si="1"/>
        <v>0</v>
      </c>
      <c r="N39" s="404"/>
      <c r="O39" s="89"/>
      <c r="P39" s="89"/>
      <c r="Q39" s="84"/>
      <c r="R39" s="89"/>
      <c r="S39" s="89"/>
      <c r="T39" s="89"/>
      <c r="U39" s="89"/>
      <c r="V39" s="84"/>
      <c r="W39" s="89"/>
      <c r="X39" s="89"/>
      <c r="Y39" s="89"/>
      <c r="Z39" s="2"/>
    </row>
    <row r="40" spans="1:26" ht="18" customHeight="1" x14ac:dyDescent="0.35">
      <c r="A40" s="2"/>
      <c r="B40" s="367"/>
      <c r="C40" s="367"/>
      <c r="D40" s="410"/>
      <c r="E40" s="410"/>
      <c r="F40" s="410"/>
      <c r="G40" s="411"/>
      <c r="H40" s="406">
        <v>2.2000000000000002</v>
      </c>
      <c r="I40" s="406">
        <f t="shared" si="0"/>
        <v>0</v>
      </c>
      <c r="J40" s="408" t="s">
        <v>254</v>
      </c>
      <c r="K40" s="407">
        <f>VLOOKUP(C24,A178:B179,2)+K36+F51</f>
        <v>6.3</v>
      </c>
      <c r="L40" s="404">
        <f t="shared" si="2"/>
        <v>0</v>
      </c>
      <c r="M40" s="404">
        <f t="shared" si="1"/>
        <v>0</v>
      </c>
      <c r="N40" s="404"/>
      <c r="O40" s="89"/>
      <c r="P40" s="89"/>
      <c r="Q40" s="84"/>
      <c r="R40" s="89"/>
      <c r="S40" s="89"/>
      <c r="T40" s="89"/>
      <c r="U40" s="89"/>
      <c r="V40" s="84"/>
      <c r="W40" s="89"/>
      <c r="X40" s="89"/>
      <c r="Y40" s="89"/>
      <c r="Z40" s="2"/>
    </row>
    <row r="41" spans="1:26" ht="18" customHeight="1" x14ac:dyDescent="0.35">
      <c r="A41" s="2"/>
      <c r="B41" s="367"/>
      <c r="C41" s="367"/>
      <c r="D41" s="410"/>
      <c r="E41" s="410"/>
      <c r="F41" s="410"/>
      <c r="G41" s="411"/>
      <c r="H41" s="406">
        <v>2.2000000000000002</v>
      </c>
      <c r="I41" s="406">
        <f t="shared" si="0"/>
        <v>0</v>
      </c>
      <c r="J41" s="408"/>
      <c r="K41" s="408"/>
      <c r="L41" s="404">
        <f t="shared" si="2"/>
        <v>0</v>
      </c>
      <c r="M41" s="404">
        <f t="shared" si="1"/>
        <v>0</v>
      </c>
      <c r="N41" s="404"/>
      <c r="O41" s="89"/>
      <c r="P41" s="89"/>
      <c r="Q41" s="84"/>
      <c r="R41" s="89"/>
      <c r="S41" s="89"/>
      <c r="T41" s="89"/>
      <c r="U41" s="89"/>
      <c r="V41" s="84"/>
      <c r="W41" s="89"/>
      <c r="X41" s="89"/>
      <c r="Y41" s="89"/>
      <c r="Z41" s="2"/>
    </row>
    <row r="42" spans="1:26" ht="18" customHeight="1" x14ac:dyDescent="0.35">
      <c r="A42" s="2"/>
      <c r="B42" s="367"/>
      <c r="C42" s="367"/>
      <c r="D42" s="410"/>
      <c r="E42" s="410"/>
      <c r="F42" s="410"/>
      <c r="G42" s="411"/>
      <c r="H42" s="406">
        <v>2.2000000000000002</v>
      </c>
      <c r="I42" s="406">
        <f t="shared" si="0"/>
        <v>0</v>
      </c>
      <c r="J42" s="408"/>
      <c r="K42" s="408"/>
      <c r="L42" s="404">
        <f t="shared" si="2"/>
        <v>0</v>
      </c>
      <c r="M42" s="404">
        <f t="shared" si="1"/>
        <v>0</v>
      </c>
      <c r="N42" s="404"/>
      <c r="O42" s="89"/>
      <c r="P42" s="89"/>
      <c r="Q42" s="84"/>
      <c r="R42" s="89"/>
      <c r="S42" s="89"/>
      <c r="T42" s="89"/>
      <c r="U42" s="89"/>
      <c r="V42" s="84"/>
      <c r="W42" s="89"/>
      <c r="X42" s="89"/>
      <c r="Y42" s="89"/>
      <c r="Z42" s="2"/>
    </row>
    <row r="43" spans="1:26" ht="18" customHeight="1" x14ac:dyDescent="0.35">
      <c r="A43" s="2"/>
      <c r="B43" s="367"/>
      <c r="C43" s="367"/>
      <c r="D43" s="410"/>
      <c r="E43" s="410"/>
      <c r="F43" s="410"/>
      <c r="G43" s="411"/>
      <c r="H43" s="406">
        <v>2.2000000000000002</v>
      </c>
      <c r="I43" s="406">
        <f t="shared" si="0"/>
        <v>0</v>
      </c>
      <c r="J43" s="408"/>
      <c r="K43" s="408"/>
      <c r="L43" s="404">
        <f t="shared" si="2"/>
        <v>0</v>
      </c>
      <c r="M43" s="404">
        <f t="shared" si="1"/>
        <v>0</v>
      </c>
      <c r="N43" s="404"/>
      <c r="O43" s="89"/>
      <c r="P43" s="89"/>
      <c r="Q43" s="84"/>
      <c r="R43" s="89"/>
      <c r="S43" s="89"/>
      <c r="T43" s="89"/>
      <c r="U43" s="89"/>
      <c r="V43" s="84"/>
      <c r="W43" s="89"/>
      <c r="X43" s="89"/>
      <c r="Y43" s="89"/>
      <c r="Z43" s="2"/>
    </row>
    <row r="44" spans="1:26" ht="18" customHeight="1" x14ac:dyDescent="0.35">
      <c r="A44" s="2"/>
      <c r="B44" s="367"/>
      <c r="C44" s="367"/>
      <c r="D44" s="410"/>
      <c r="E44" s="410"/>
      <c r="F44" s="410"/>
      <c r="G44" s="411"/>
      <c r="H44" s="406">
        <v>2.2000000000000002</v>
      </c>
      <c r="I44" s="406">
        <f t="shared" si="0"/>
        <v>0</v>
      </c>
      <c r="J44" s="408"/>
      <c r="K44" s="408"/>
      <c r="L44" s="404">
        <f t="shared" si="2"/>
        <v>0</v>
      </c>
      <c r="M44" s="404">
        <f t="shared" si="1"/>
        <v>0</v>
      </c>
      <c r="N44" s="404"/>
      <c r="O44" s="89"/>
      <c r="P44" s="89"/>
      <c r="Q44" s="84"/>
      <c r="R44" s="89"/>
      <c r="S44" s="89"/>
      <c r="T44" s="89"/>
      <c r="U44" s="89"/>
      <c r="V44" s="84"/>
      <c r="W44" s="89"/>
      <c r="X44" s="89"/>
      <c r="Y44" s="89"/>
      <c r="Z44" s="2"/>
    </row>
    <row r="45" spans="1:26" ht="18" customHeight="1" x14ac:dyDescent="0.35">
      <c r="A45" s="2"/>
      <c r="B45" s="367"/>
      <c r="C45" s="367"/>
      <c r="D45" s="410"/>
      <c r="E45" s="410"/>
      <c r="F45" s="410"/>
      <c r="G45" s="411"/>
      <c r="H45" s="406">
        <v>2.2000000000000002</v>
      </c>
      <c r="I45" s="406">
        <f t="shared" si="0"/>
        <v>0</v>
      </c>
      <c r="J45" s="408"/>
      <c r="K45" s="408"/>
      <c r="L45" s="404">
        <f t="shared" si="2"/>
        <v>0</v>
      </c>
      <c r="M45" s="404">
        <f t="shared" si="1"/>
        <v>0</v>
      </c>
      <c r="N45" s="404"/>
      <c r="O45" s="89"/>
      <c r="P45" s="89"/>
      <c r="Q45" s="84"/>
      <c r="R45" s="89"/>
      <c r="S45" s="89"/>
      <c r="T45" s="89"/>
      <c r="U45" s="89"/>
      <c r="V45" s="84"/>
      <c r="W45" s="89"/>
      <c r="X45" s="89"/>
      <c r="Y45" s="89"/>
      <c r="Z45" s="2"/>
    </row>
    <row r="46" spans="1:26" ht="18" customHeight="1" x14ac:dyDescent="0.35">
      <c r="A46" s="2"/>
      <c r="B46" s="367"/>
      <c r="C46" s="367"/>
      <c r="D46" s="410"/>
      <c r="E46" s="410"/>
      <c r="F46" s="410"/>
      <c r="G46" s="411"/>
      <c r="H46" s="406">
        <v>2.2000000000000002</v>
      </c>
      <c r="I46" s="406">
        <f t="shared" si="0"/>
        <v>0</v>
      </c>
      <c r="J46" s="408"/>
      <c r="K46" s="408"/>
      <c r="L46" s="404">
        <f t="shared" si="2"/>
        <v>0</v>
      </c>
      <c r="M46" s="404">
        <f t="shared" si="1"/>
        <v>0</v>
      </c>
      <c r="N46" s="404"/>
      <c r="O46" s="89"/>
      <c r="P46" s="89"/>
      <c r="Q46" s="84"/>
      <c r="R46" s="89"/>
      <c r="S46" s="89"/>
      <c r="T46" s="89"/>
      <c r="U46" s="89"/>
      <c r="V46" s="84"/>
      <c r="W46" s="89"/>
      <c r="X46" s="89"/>
      <c r="Y46" s="89"/>
      <c r="Z46" s="2"/>
    </row>
    <row r="47" spans="1:26" ht="18" customHeight="1" x14ac:dyDescent="0.35">
      <c r="A47" s="2"/>
      <c r="B47" s="367"/>
      <c r="C47" s="367"/>
      <c r="D47" s="410"/>
      <c r="E47" s="410"/>
      <c r="F47" s="410"/>
      <c r="G47" s="411"/>
      <c r="H47" s="406">
        <v>2.2000000000000002</v>
      </c>
      <c r="I47" s="406">
        <f t="shared" si="0"/>
        <v>0</v>
      </c>
      <c r="J47" s="408"/>
      <c r="K47" s="408"/>
      <c r="L47" s="404">
        <f t="shared" si="2"/>
        <v>0</v>
      </c>
      <c r="M47" s="404">
        <f t="shared" si="1"/>
        <v>0</v>
      </c>
      <c r="N47" s="404"/>
      <c r="O47" s="89"/>
      <c r="P47" s="89"/>
      <c r="Q47" s="84"/>
      <c r="R47" s="89"/>
      <c r="S47" s="89"/>
      <c r="T47" s="89"/>
      <c r="U47" s="89"/>
      <c r="V47" s="84"/>
      <c r="W47" s="89"/>
      <c r="X47" s="89"/>
      <c r="Y47" s="89"/>
      <c r="Z47" s="2"/>
    </row>
    <row r="48" spans="1:26" ht="18" customHeight="1" x14ac:dyDescent="0.35">
      <c r="A48" s="2"/>
      <c r="B48" s="19"/>
      <c r="C48" s="19"/>
      <c r="D48" s="416"/>
      <c r="E48" s="416"/>
      <c r="F48" s="416"/>
      <c r="G48" s="416"/>
      <c r="H48" s="2"/>
      <c r="I48" s="2"/>
      <c r="J48" s="2"/>
      <c r="K48" s="2"/>
      <c r="L48" s="2"/>
      <c r="M48" s="89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8" customHeight="1" x14ac:dyDescent="0.35">
      <c r="A49" s="2"/>
      <c r="B49" s="1136" t="str">
        <f>IF(F25="Oui"," Préciser les dimensions nécessaire cuvette"," ")</f>
        <v xml:space="preserve"> </v>
      </c>
      <c r="C49" s="1137"/>
      <c r="D49" s="417"/>
      <c r="E49" s="417"/>
      <c r="F49" s="417"/>
      <c r="G49" s="418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8" customHeight="1" x14ac:dyDescent="0.35">
      <c r="A50" s="2"/>
      <c r="B50" s="419" t="s">
        <v>255</v>
      </c>
      <c r="C50" s="420"/>
      <c r="D50" s="421">
        <f>IF(F25="Non",0,IF(D49&lt;K34,K34+4.5-5.5,D49))</f>
        <v>0</v>
      </c>
      <c r="E50" s="421">
        <f>IF(F25="Non",0,IF(E49&lt;K38-5.5,K38-5.5,E49))</f>
        <v>0</v>
      </c>
      <c r="F50" s="421">
        <f>IF(F25="Non",0,F49)</f>
        <v>0</v>
      </c>
      <c r="G50" s="42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8" customHeight="1" x14ac:dyDescent="0.35">
      <c r="A51" s="2"/>
      <c r="B51" s="182" t="str">
        <f>IF($F$25="Oui","dimensions extérieures de la cuvette"," " )</f>
        <v xml:space="preserve"> </v>
      </c>
      <c r="C51" s="423"/>
      <c r="D51" s="424">
        <f t="shared" ref="D51:E51" si="3">IF($F$25="Oui",D50+3,0)</f>
        <v>0</v>
      </c>
      <c r="E51" s="424">
        <f t="shared" si="3"/>
        <v>0</v>
      </c>
      <c r="F51" s="424">
        <f>IF($F$25="Oui",F49+1.2,0)</f>
        <v>0</v>
      </c>
      <c r="G51" s="425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8" customHeight="1" x14ac:dyDescent="0.3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8" customHeight="1" x14ac:dyDescent="0.35">
      <c r="A53" s="2"/>
      <c r="B53" s="244" t="s">
        <v>42</v>
      </c>
      <c r="C53" s="245">
        <f>IF(L53&gt;M53,L53,M53)</f>
        <v>0</v>
      </c>
      <c r="D53" s="245">
        <f>IF(L53&gt;M53,M53,L53)</f>
        <v>0</v>
      </c>
      <c r="E53" s="245">
        <f>IF(N53=0,0,N53)</f>
        <v>0</v>
      </c>
      <c r="F53" s="426" t="s">
        <v>256</v>
      </c>
      <c r="G53" s="1115"/>
      <c r="H53" s="1101"/>
      <c r="I53" s="9"/>
      <c r="J53" s="21"/>
      <c r="K53" s="19"/>
      <c r="L53" s="89">
        <f>IF(K34=0,0,IF(F25="Oui",MAX(K34+4.5,D51+2.5),(K34+4.5))+VLOOKUP(C18,A157:Q163,2))</f>
        <v>0</v>
      </c>
      <c r="M53" s="89">
        <f>IF(F25="Oui",MAX(K38,E51+2.5),K38)+VLOOKUP(C18,A157:Q163,3)</f>
        <v>0</v>
      </c>
      <c r="N53" s="89">
        <f>IF(K36=0,0,K40+VLOOKUP(C18,A157:Q163,3))</f>
        <v>0</v>
      </c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8" customHeight="1" x14ac:dyDescent="0.35">
      <c r="A54" s="2"/>
      <c r="B54" s="19"/>
      <c r="C54" s="19"/>
      <c r="D54" s="19"/>
      <c r="E54" s="19"/>
      <c r="F54" s="427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8" customHeight="1" x14ac:dyDescent="0.35">
      <c r="A55" s="2"/>
      <c r="B55" s="244" t="s">
        <v>44</v>
      </c>
      <c r="C55" s="245">
        <f>C53+IF($C$22="Bois",4.2,0)+VLOOKUP($C$14,A148:E149,4)*2+VLOOKUP($C$16,A151:D152,4)*2</f>
        <v>11.4</v>
      </c>
      <c r="D55" s="245">
        <f>D53+VLOOKUP($C$14,A148:E149,4)*2+VLOOKUP($C$16,A151:D152,4)*2</f>
        <v>7.2</v>
      </c>
      <c r="E55" s="245">
        <f>$E$53+VLOOKUP($C$14,A148:E149,4)+VLOOKUP($C$14,A148:E149,5)+VLOOKUP($C$16,A151:D152,4)*2+VLOOKUP(F23,A181:B183,2)</f>
        <v>10.199999999999999</v>
      </c>
      <c r="F55" s="428">
        <f>ROUNDUP(C145,0)</f>
        <v>0</v>
      </c>
      <c r="G55" s="1138"/>
      <c r="H55" s="1101"/>
      <c r="I55" s="61"/>
      <c r="J55" s="96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8" customHeight="1" x14ac:dyDescent="0.35">
      <c r="A56" s="2"/>
      <c r="B56" s="70"/>
      <c r="C56" s="60"/>
      <c r="D56" s="19"/>
      <c r="E56" s="19"/>
      <c r="F56" s="2"/>
      <c r="G56" s="61"/>
      <c r="H56" s="61"/>
      <c r="I56" s="61"/>
      <c r="J56" s="96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8" customHeight="1" x14ac:dyDescent="0.35">
      <c r="A57" s="2"/>
      <c r="B57" s="62" t="s">
        <v>45</v>
      </c>
      <c r="C57" s="63">
        <f>R137</f>
        <v>-3.9199999999999985E-2</v>
      </c>
      <c r="D57" s="64" t="s">
        <v>46</v>
      </c>
      <c r="E57" s="65" t="s">
        <v>47</v>
      </c>
      <c r="F57" s="2"/>
      <c r="G57" s="61"/>
      <c r="H57" s="61"/>
      <c r="I57" s="61"/>
      <c r="J57" s="96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8" customHeight="1" x14ac:dyDescent="0.35">
      <c r="A58" s="2"/>
      <c r="B58" s="66" t="s">
        <v>48</v>
      </c>
      <c r="C58" s="67">
        <f>D139</f>
        <v>0</v>
      </c>
      <c r="D58" s="68" t="s">
        <v>49</v>
      </c>
      <c r="E58" s="69">
        <f>R130</f>
        <v>0</v>
      </c>
      <c r="F58" s="2"/>
      <c r="G58" s="61"/>
      <c r="H58" s="61"/>
      <c r="I58" s="61"/>
      <c r="J58" s="96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8" customHeight="1" x14ac:dyDescent="0.35">
      <c r="A59" s="2"/>
      <c r="B59" s="70"/>
      <c r="C59" s="60"/>
      <c r="D59" s="19"/>
      <c r="E59" s="19"/>
      <c r="F59" s="61"/>
      <c r="G59" s="2"/>
      <c r="H59" s="71"/>
      <c r="I59" s="71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8" customHeight="1" x14ac:dyDescent="0.35">
      <c r="A60" s="76"/>
      <c r="B60" s="73" t="s">
        <v>50</v>
      </c>
      <c r="C60" s="295"/>
      <c r="D60" s="295"/>
      <c r="E60" s="295"/>
      <c r="F60" s="296"/>
      <c r="G60" s="76"/>
      <c r="H60" s="76"/>
      <c r="I60" s="76"/>
      <c r="J60" s="76"/>
      <c r="K60" s="76"/>
      <c r="L60" s="76"/>
      <c r="M60" s="76"/>
      <c r="N60" s="76"/>
      <c r="O60" s="76"/>
      <c r="P60" s="76"/>
      <c r="Q60" s="76"/>
      <c r="R60" s="2"/>
      <c r="S60" s="2"/>
      <c r="T60" s="2"/>
      <c r="U60" s="2"/>
      <c r="V60" s="2"/>
      <c r="W60" s="2"/>
      <c r="X60" s="2"/>
      <c r="Y60" s="2"/>
      <c r="Z60" s="2"/>
    </row>
    <row r="61" spans="1:26" ht="18" customHeight="1" x14ac:dyDescent="0.35">
      <c r="A61" s="76"/>
      <c r="B61" s="1139"/>
      <c r="C61" s="1085"/>
      <c r="D61" s="1085"/>
      <c r="E61" s="1085"/>
      <c r="F61" s="1140"/>
      <c r="G61" s="76"/>
      <c r="H61" s="76"/>
      <c r="I61" s="76"/>
      <c r="J61" s="76"/>
      <c r="K61" s="76"/>
      <c r="L61" s="76"/>
      <c r="M61" s="76"/>
      <c r="N61" s="76"/>
      <c r="O61" s="76"/>
      <c r="P61" s="76"/>
      <c r="Q61" s="76"/>
      <c r="R61" s="2"/>
      <c r="S61" s="2"/>
      <c r="T61" s="2"/>
      <c r="U61" s="2"/>
      <c r="V61" s="2"/>
      <c r="W61" s="2"/>
      <c r="X61" s="2"/>
      <c r="Y61" s="2"/>
      <c r="Z61" s="2"/>
    </row>
    <row r="62" spans="1:26" ht="18" customHeight="1" x14ac:dyDescent="0.35">
      <c r="A62" s="76"/>
      <c r="B62" s="1141"/>
      <c r="C62" s="1097"/>
      <c r="D62" s="1097"/>
      <c r="E62" s="1097"/>
      <c r="F62" s="1142"/>
      <c r="G62" s="76"/>
      <c r="H62" s="76"/>
      <c r="I62" s="76"/>
      <c r="J62" s="76"/>
      <c r="K62" s="76"/>
      <c r="L62" s="76"/>
      <c r="M62" s="76"/>
      <c r="N62" s="76"/>
      <c r="O62" s="76"/>
      <c r="P62" s="76"/>
      <c r="Q62" s="76"/>
      <c r="R62" s="2"/>
      <c r="S62" s="2"/>
      <c r="T62" s="2"/>
      <c r="U62" s="2"/>
      <c r="V62" s="2"/>
      <c r="W62" s="2"/>
      <c r="X62" s="2"/>
      <c r="Y62" s="2"/>
      <c r="Z62" s="2"/>
    </row>
    <row r="63" spans="1:26" ht="18" customHeight="1" x14ac:dyDescent="0.35">
      <c r="A63" s="76"/>
      <c r="B63" s="1143"/>
      <c r="C63" s="1144"/>
      <c r="D63" s="1144"/>
      <c r="E63" s="1144"/>
      <c r="F63" s="1145"/>
      <c r="G63" s="76"/>
      <c r="H63" s="76"/>
      <c r="I63" s="76"/>
      <c r="J63" s="76"/>
      <c r="K63" s="76"/>
      <c r="L63" s="76"/>
      <c r="M63" s="76"/>
      <c r="N63" s="76"/>
      <c r="O63" s="76"/>
      <c r="P63" s="76"/>
      <c r="Q63" s="76"/>
      <c r="R63" s="2"/>
      <c r="S63" s="2"/>
      <c r="T63" s="2"/>
      <c r="U63" s="2"/>
      <c r="V63" s="2"/>
      <c r="W63" s="2"/>
      <c r="X63" s="2"/>
      <c r="Y63" s="2"/>
      <c r="Z63" s="2"/>
    </row>
    <row r="64" spans="1:26" ht="18" customHeight="1" x14ac:dyDescent="0.35">
      <c r="A64" s="2"/>
      <c r="B64" s="19"/>
      <c r="C64" s="19"/>
      <c r="D64" s="19"/>
      <c r="E64" s="19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8" hidden="1" customHeight="1" x14ac:dyDescent="0.35">
      <c r="A65" s="2"/>
      <c r="B65" s="2"/>
      <c r="C65" s="2"/>
      <c r="D65" s="2"/>
      <c r="E65" s="2"/>
      <c r="F65" s="6" t="s">
        <v>34</v>
      </c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 t="s">
        <v>157</v>
      </c>
      <c r="S65" s="5" t="s">
        <v>52</v>
      </c>
      <c r="T65" s="2"/>
      <c r="U65" s="2"/>
      <c r="V65" s="2"/>
      <c r="W65" s="2"/>
      <c r="X65" s="2"/>
      <c r="Y65" s="2"/>
      <c r="Z65" s="2"/>
    </row>
    <row r="66" spans="1:26" ht="18" hidden="1" customHeight="1" x14ac:dyDescent="0.35">
      <c r="A66" s="60" t="s">
        <v>53</v>
      </c>
      <c r="B66" s="85" t="str">
        <f>VLOOKUP(C14,$A$148:$E$149,2)</f>
        <v>Peuplier 15 mm</v>
      </c>
      <c r="C66" s="87">
        <f>IF(C53=0,0,C53+2*(VLOOKUP(B66,A148:D149,4)+VLOOKUP(C16,A151:D152,4)))</f>
        <v>0</v>
      </c>
      <c r="D66" s="87">
        <f>IF(E53=0,0,E53+(VLOOKUP(B66,A148:E149,5)+VLOOKUP(C16,A151:D152,4)))</f>
        <v>0</v>
      </c>
      <c r="E66" s="85" t="str">
        <f t="shared" ref="E66:E69" si="4">B66</f>
        <v>Peuplier 15 mm</v>
      </c>
      <c r="F66" s="88">
        <v>2</v>
      </c>
      <c r="G66" s="2"/>
      <c r="H66" s="2"/>
      <c r="I66" s="2"/>
      <c r="J66" s="2"/>
      <c r="K66" s="89">
        <f t="shared" ref="K66:K69" si="5">IF(C66=0,0,(C66/100)*(D66/100)*F66)</f>
        <v>0</v>
      </c>
      <c r="L66" s="89">
        <f t="shared" ref="L66:L69" si="6">K66/0.8</f>
        <v>0</v>
      </c>
      <c r="M66" s="71">
        <f>IF(E66=0,0,VLOOKUP(E66,'Prix Matiere'!$A$4:$J$65,10))</f>
        <v>16.895876288659796</v>
      </c>
      <c r="N66" s="71">
        <f t="shared" ref="N66:N69" si="7">M66*L66-IF($F$16="Non",L66*0.75,0)</f>
        <v>0</v>
      </c>
      <c r="O66" s="3">
        <f t="shared" ref="O66:O69" si="8">IF(K66=0,0,IF($F$16="Oui",(7.0924*K66)+15,(6.0924*K66)+10))</f>
        <v>0</v>
      </c>
      <c r="P66" s="71">
        <f>O66*MinuteMO</f>
        <v>0</v>
      </c>
      <c r="Q66" s="2"/>
      <c r="R66" s="254">
        <f>IF(K66=0,0,K66*VLOOKUP(E66,'Prix Matiere'!$A$4:$L$60,12))</f>
        <v>0</v>
      </c>
      <c r="S66" s="90">
        <f>IF(K66=0,0,R66*VLOOKUP(E66,'Prix Matiere'!$A$4:$L$60,11))</f>
        <v>0</v>
      </c>
      <c r="T66" s="2"/>
      <c r="U66" s="2"/>
      <c r="V66" s="2"/>
      <c r="W66" s="2"/>
      <c r="X66" s="2"/>
      <c r="Y66" s="2"/>
      <c r="Z66" s="2"/>
    </row>
    <row r="67" spans="1:26" ht="18" hidden="1" customHeight="1" x14ac:dyDescent="0.35">
      <c r="A67" s="60" t="s">
        <v>175</v>
      </c>
      <c r="B67" s="85" t="str">
        <f>VLOOKUP(C14,$A$148:$E$149,2)</f>
        <v>Peuplier 15 mm</v>
      </c>
      <c r="C67" s="87">
        <f>C66</f>
        <v>0</v>
      </c>
      <c r="D67" s="87">
        <f>IF(D53=0,0,D53+VLOOKUP(C14,A148:E149,4)*2+VLOOKUP(C16,A151:D152,4)*2)</f>
        <v>0</v>
      </c>
      <c r="E67" s="85" t="str">
        <f t="shared" si="4"/>
        <v>Peuplier 15 mm</v>
      </c>
      <c r="F67" s="88">
        <v>1</v>
      </c>
      <c r="G67" s="2"/>
      <c r="H67" s="2"/>
      <c r="I67" s="2"/>
      <c r="J67" s="2"/>
      <c r="K67" s="89">
        <f t="shared" si="5"/>
        <v>0</v>
      </c>
      <c r="L67" s="89">
        <f t="shared" si="6"/>
        <v>0</v>
      </c>
      <c r="M67" s="71">
        <f>IF(E67=0,0,VLOOKUP(E67,'Prix Matiere'!$A$4:$J$65,10))</f>
        <v>16.895876288659796</v>
      </c>
      <c r="N67" s="71">
        <f t="shared" si="7"/>
        <v>0</v>
      </c>
      <c r="O67" s="3">
        <f t="shared" si="8"/>
        <v>0</v>
      </c>
      <c r="P67" s="71">
        <f>O67*MinuteMO</f>
        <v>0</v>
      </c>
      <c r="Q67" s="2"/>
      <c r="R67" s="254">
        <f>IF(K67=0,0,K67*VLOOKUP(E67,'Prix Matiere'!$A$4:$L$60,12))</f>
        <v>0</v>
      </c>
      <c r="S67" s="90">
        <f>IF(K67=0,0,R67*VLOOKUP(E67,'Prix Matiere'!$A$4:$L$60,11))</f>
        <v>0</v>
      </c>
      <c r="T67" s="2"/>
      <c r="U67" s="2"/>
      <c r="V67" s="2"/>
      <c r="W67" s="2"/>
      <c r="X67" s="2"/>
      <c r="Y67" s="2"/>
      <c r="Z67" s="2"/>
    </row>
    <row r="68" spans="1:26" ht="18" hidden="1" customHeight="1" x14ac:dyDescent="0.35">
      <c r="A68" s="60" t="s">
        <v>176</v>
      </c>
      <c r="B68" s="85" t="str">
        <f>VLOOKUP(C14,$A$148:$E$149,3)</f>
        <v>Peuplier 15 mm</v>
      </c>
      <c r="C68" s="87">
        <f t="shared" ref="C68:D68" si="9">C53</f>
        <v>0</v>
      </c>
      <c r="D68" s="87">
        <f t="shared" si="9"/>
        <v>0</v>
      </c>
      <c r="E68" s="85" t="str">
        <f t="shared" si="4"/>
        <v>Peuplier 15 mm</v>
      </c>
      <c r="F68" s="88">
        <v>1</v>
      </c>
      <c r="G68" s="2"/>
      <c r="H68" s="2"/>
      <c r="I68" s="2"/>
      <c r="J68" s="2"/>
      <c r="K68" s="89">
        <f t="shared" si="5"/>
        <v>0</v>
      </c>
      <c r="L68" s="89">
        <f t="shared" si="6"/>
        <v>0</v>
      </c>
      <c r="M68" s="71">
        <f>IF(E68=0,0,VLOOKUP(E68,'Prix Matiere'!$A$4:$J$65,10))</f>
        <v>16.895876288659796</v>
      </c>
      <c r="N68" s="71">
        <f t="shared" si="7"/>
        <v>0</v>
      </c>
      <c r="O68" s="3">
        <f t="shared" si="8"/>
        <v>0</v>
      </c>
      <c r="P68" s="71">
        <f>O68*MinuteMO</f>
        <v>0</v>
      </c>
      <c r="Q68" s="2"/>
      <c r="R68" s="254">
        <f>IF(K68=0,0,K68*VLOOKUP(E68,'Prix Matiere'!$A$4:$L$60,12))</f>
        <v>0</v>
      </c>
      <c r="S68" s="90">
        <f>IF(K68=0,0,R68*VLOOKUP(E68,'Prix Matiere'!$A$4:$L$60,11))</f>
        <v>0</v>
      </c>
      <c r="T68" s="2"/>
      <c r="U68" s="2"/>
      <c r="V68" s="2"/>
      <c r="W68" s="2"/>
      <c r="X68" s="2"/>
      <c r="Y68" s="2"/>
      <c r="Z68" s="2"/>
    </row>
    <row r="69" spans="1:26" ht="18" hidden="1" customHeight="1" x14ac:dyDescent="0.35">
      <c r="A69" s="60" t="s">
        <v>55</v>
      </c>
      <c r="B69" s="85" t="str">
        <f>VLOOKUP(C14,$A$148:$E$149,2)</f>
        <v>Peuplier 15 mm</v>
      </c>
      <c r="C69" s="87">
        <f>D68</f>
        <v>0</v>
      </c>
      <c r="D69" s="87">
        <f>D66</f>
        <v>0</v>
      </c>
      <c r="E69" s="85" t="str">
        <f t="shared" si="4"/>
        <v>Peuplier 15 mm</v>
      </c>
      <c r="F69" s="88">
        <v>2</v>
      </c>
      <c r="G69" s="2"/>
      <c r="H69" s="2"/>
      <c r="I69" s="2"/>
      <c r="J69" s="2"/>
      <c r="K69" s="89">
        <f t="shared" si="5"/>
        <v>0</v>
      </c>
      <c r="L69" s="89">
        <f t="shared" si="6"/>
        <v>0</v>
      </c>
      <c r="M69" s="71">
        <f>IF(E69=0,0,VLOOKUP(E69,'Prix Matiere'!$A$4:$J$65,10))</f>
        <v>16.895876288659796</v>
      </c>
      <c r="N69" s="71">
        <f t="shared" si="7"/>
        <v>0</v>
      </c>
      <c r="O69" s="3">
        <f t="shared" si="8"/>
        <v>0</v>
      </c>
      <c r="P69" s="71">
        <f>O69*MinuteMO</f>
        <v>0</v>
      </c>
      <c r="Q69" s="2"/>
      <c r="R69" s="254">
        <f>IF(K69=0,0,K69*VLOOKUP(E69,'Prix Matiere'!$A$4:$L$60,12))</f>
        <v>0</v>
      </c>
      <c r="S69" s="90">
        <f>IF(K69=0,0,R69*VLOOKUP(E69,'Prix Matiere'!$A$4:$L$60,11))</f>
        <v>0</v>
      </c>
      <c r="T69" s="2"/>
      <c r="U69" s="2"/>
      <c r="V69" s="2"/>
      <c r="W69" s="2"/>
      <c r="X69" s="2"/>
      <c r="Y69" s="2"/>
      <c r="Z69" s="2"/>
    </row>
    <row r="70" spans="1:26" ht="18" hidden="1" customHeight="1" x14ac:dyDescent="0.35">
      <c r="A70" s="2"/>
      <c r="B70" s="2"/>
      <c r="C70" s="2"/>
      <c r="D70" s="2"/>
      <c r="E70" s="2"/>
      <c r="F70" s="2"/>
      <c r="G70" s="2"/>
      <c r="H70" s="2"/>
      <c r="I70" s="2"/>
      <c r="J70" s="2"/>
      <c r="K70" s="89"/>
      <c r="L70" s="89"/>
      <c r="M70" s="71"/>
      <c r="N70" s="71"/>
      <c r="O70" s="3"/>
      <c r="P70" s="71"/>
      <c r="Q70" s="2"/>
      <c r="R70" s="254"/>
      <c r="S70" s="90"/>
      <c r="T70" s="2"/>
      <c r="U70" s="2"/>
      <c r="V70" s="2"/>
      <c r="W70" s="2"/>
      <c r="X70" s="2"/>
      <c r="Y70" s="2"/>
      <c r="Z70" s="2"/>
    </row>
    <row r="71" spans="1:26" ht="18" hidden="1" customHeight="1" x14ac:dyDescent="0.35">
      <c r="A71" s="2"/>
      <c r="B71" s="2"/>
      <c r="C71" s="2"/>
      <c r="D71" s="2"/>
      <c r="E71" s="2"/>
      <c r="F71" s="2"/>
      <c r="G71" s="2"/>
      <c r="H71" s="2"/>
      <c r="I71" s="2"/>
      <c r="J71" s="2"/>
      <c r="K71" s="89"/>
      <c r="L71" s="89"/>
      <c r="M71" s="71"/>
      <c r="N71" s="71"/>
      <c r="O71" s="3"/>
      <c r="P71" s="71"/>
      <c r="Q71" s="2"/>
      <c r="R71" s="254"/>
      <c r="S71" s="90"/>
      <c r="T71" s="2"/>
      <c r="U71" s="2"/>
      <c r="V71" s="2"/>
      <c r="W71" s="2"/>
      <c r="X71" s="2"/>
      <c r="Y71" s="2"/>
      <c r="Z71" s="2"/>
    </row>
    <row r="72" spans="1:26" ht="18" hidden="1" customHeight="1" x14ac:dyDescent="0.35">
      <c r="A72" s="19" t="s">
        <v>11</v>
      </c>
      <c r="B72" s="45" t="s">
        <v>56</v>
      </c>
      <c r="C72" s="87">
        <f>C66</f>
        <v>0</v>
      </c>
      <c r="D72" s="45">
        <f>IF(D66&gt;80,9.4,7)</f>
        <v>7</v>
      </c>
      <c r="E72" s="34" t="str">
        <f>IF($C$16="Pin raboté 4 faces","Barres 21 R4F","Barres 19 mm")</f>
        <v>Barres 21 R4F</v>
      </c>
      <c r="F72" s="45">
        <v>4</v>
      </c>
      <c r="G72" s="2"/>
      <c r="H72" s="2"/>
      <c r="I72" s="2"/>
      <c r="J72" s="2"/>
      <c r="K72" s="89">
        <f t="shared" ref="K72:K81" si="10">IF(C72=0,0,(C72/100)*(D72/100)*F72)</f>
        <v>0</v>
      </c>
      <c r="L72" s="89">
        <f t="shared" ref="L72:L81" si="11">K72/0.8</f>
        <v>0</v>
      </c>
      <c r="M72" s="71">
        <f>IF(E72=0,0,VLOOKUP(E72,'Prix Matiere'!$A$4:$J$65,10))</f>
        <v>18.969072164948454</v>
      </c>
      <c r="N72" s="71">
        <f t="shared" ref="N72:N81" si="12">M72*L72</f>
        <v>0</v>
      </c>
      <c r="O72" s="3">
        <f t="shared" ref="O72:O81" si="13">IF(K72=0,0,1+(11*K72))</f>
        <v>0</v>
      </c>
      <c r="P72" s="71">
        <f t="shared" ref="P72:P81" si="14">O72*MinuteMO</f>
        <v>0</v>
      </c>
      <c r="Q72" s="2"/>
      <c r="R72" s="254">
        <f>IF(K72=0,0,K72*VLOOKUP(E72,'Prix Matiere'!$A$4:$L$60,12))</f>
        <v>0</v>
      </c>
      <c r="S72" s="90">
        <f>IF(K72=0,0,R72*VLOOKUP(E72,'Prix Matiere'!$A$4:$L$60,11))</f>
        <v>0</v>
      </c>
      <c r="T72" s="2"/>
      <c r="U72" s="2"/>
      <c r="V72" s="2"/>
      <c r="W72" s="2"/>
      <c r="X72" s="2"/>
      <c r="Y72" s="2"/>
      <c r="Z72" s="2"/>
    </row>
    <row r="73" spans="1:26" ht="18" hidden="1" customHeight="1" x14ac:dyDescent="0.35">
      <c r="A73" s="2"/>
      <c r="B73" s="45" t="s">
        <v>57</v>
      </c>
      <c r="C73" s="45">
        <f>IF(D66=0,0,D66-2*D72)</f>
        <v>0</v>
      </c>
      <c r="D73" s="45">
        <f>D72</f>
        <v>7</v>
      </c>
      <c r="E73" s="34" t="str">
        <f>IF($C$16="Pin raboté 4 faces","Barres 21 R4F",0)</f>
        <v>Barres 21 R4F</v>
      </c>
      <c r="F73" s="45">
        <f>4</f>
        <v>4</v>
      </c>
      <c r="G73" s="2"/>
      <c r="H73" s="2"/>
      <c r="I73" s="2"/>
      <c r="J73" s="2"/>
      <c r="K73" s="89">
        <f t="shared" si="10"/>
        <v>0</v>
      </c>
      <c r="L73" s="89">
        <f t="shared" si="11"/>
        <v>0</v>
      </c>
      <c r="M73" s="71">
        <f>IF(E73=0,0,VLOOKUP(E73,'Prix Matiere'!$A$4:$J$65,10))</f>
        <v>18.969072164948454</v>
      </c>
      <c r="N73" s="71">
        <f t="shared" si="12"/>
        <v>0</v>
      </c>
      <c r="O73" s="3">
        <f t="shared" si="13"/>
        <v>0</v>
      </c>
      <c r="P73" s="71">
        <f t="shared" si="14"/>
        <v>0</v>
      </c>
      <c r="Q73" s="2"/>
      <c r="R73" s="254">
        <f>IF(K73=0,0,K73*VLOOKUP(E73,'Prix Matiere'!$A$4:$L$60,12))</f>
        <v>0</v>
      </c>
      <c r="S73" s="90">
        <f>IF(K73=0,0,R73*VLOOKUP(E73,'Prix Matiere'!$A$4:$L$60,11))</f>
        <v>0</v>
      </c>
      <c r="T73" s="2"/>
      <c r="U73" s="2"/>
      <c r="V73" s="2"/>
      <c r="W73" s="2"/>
      <c r="X73" s="2"/>
      <c r="Y73" s="2"/>
      <c r="Z73" s="2"/>
    </row>
    <row r="74" spans="1:26" ht="18" hidden="1" customHeight="1" x14ac:dyDescent="0.35">
      <c r="A74" s="2"/>
      <c r="B74" s="45" t="s">
        <v>257</v>
      </c>
      <c r="C74" s="87">
        <f>C72</f>
        <v>0</v>
      </c>
      <c r="D74" s="45">
        <f>IF(D67&gt;80,9.4,7)</f>
        <v>7</v>
      </c>
      <c r="E74" s="34" t="str">
        <f t="shared" ref="E74:E79" si="15">IF($C$16="Pin raboté 4 faces","Barres 21 R4F","Barres 19 mm")</f>
        <v>Barres 21 R4F</v>
      </c>
      <c r="F74" s="92">
        <v>2</v>
      </c>
      <c r="G74" s="2"/>
      <c r="H74" s="2"/>
      <c r="I74" s="2"/>
      <c r="J74" s="2"/>
      <c r="K74" s="89">
        <f t="shared" si="10"/>
        <v>0</v>
      </c>
      <c r="L74" s="89">
        <f t="shared" si="11"/>
        <v>0</v>
      </c>
      <c r="M74" s="71">
        <f>IF(E74=0,0,VLOOKUP(E74,'Prix Matiere'!$A$4:$J$65,10))</f>
        <v>18.969072164948454</v>
      </c>
      <c r="N74" s="71">
        <f t="shared" si="12"/>
        <v>0</v>
      </c>
      <c r="O74" s="3">
        <f t="shared" si="13"/>
        <v>0</v>
      </c>
      <c r="P74" s="71">
        <f t="shared" si="14"/>
        <v>0</v>
      </c>
      <c r="Q74" s="2"/>
      <c r="R74" s="254">
        <f>IF(K74=0,0,K74*VLOOKUP(E74,'Prix Matiere'!$A$4:$L$60,12))</f>
        <v>0</v>
      </c>
      <c r="S74" s="90">
        <f>IF(K74=0,0,R74*VLOOKUP(E74,'Prix Matiere'!$A$4:$L$60,11))</f>
        <v>0</v>
      </c>
      <c r="T74" s="2"/>
      <c r="U74" s="2"/>
      <c r="V74" s="2"/>
      <c r="W74" s="2"/>
      <c r="X74" s="2"/>
      <c r="Y74" s="2"/>
      <c r="Z74" s="2"/>
    </row>
    <row r="75" spans="1:26" ht="18" hidden="1" customHeight="1" x14ac:dyDescent="0.35">
      <c r="A75" s="2"/>
      <c r="B75" s="45" t="s">
        <v>258</v>
      </c>
      <c r="C75" s="87">
        <f>IF(D67=0,0,D67-2*D74)</f>
        <v>0</v>
      </c>
      <c r="D75" s="45">
        <f>D74</f>
        <v>7</v>
      </c>
      <c r="E75" s="34" t="str">
        <f t="shared" si="15"/>
        <v>Barres 21 R4F</v>
      </c>
      <c r="F75" s="45">
        <v>2</v>
      </c>
      <c r="G75" s="2"/>
      <c r="H75" s="2"/>
      <c r="I75" s="2"/>
      <c r="J75" s="2"/>
      <c r="K75" s="89">
        <f t="shared" si="10"/>
        <v>0</v>
      </c>
      <c r="L75" s="89">
        <f t="shared" si="11"/>
        <v>0</v>
      </c>
      <c r="M75" s="71">
        <f>IF(E75=0,0,VLOOKUP(E75,'Prix Matiere'!$A$4:$J$65,10))</f>
        <v>18.969072164948454</v>
      </c>
      <c r="N75" s="71">
        <f t="shared" si="12"/>
        <v>0</v>
      </c>
      <c r="O75" s="3">
        <f t="shared" si="13"/>
        <v>0</v>
      </c>
      <c r="P75" s="71">
        <f t="shared" si="14"/>
        <v>0</v>
      </c>
      <c r="Q75" s="2"/>
      <c r="R75" s="254">
        <f>IF(K75=0,0,K75*VLOOKUP(E75,'Prix Matiere'!$A$4:$L$60,12))</f>
        <v>0</v>
      </c>
      <c r="S75" s="90">
        <f>IF(K75=0,0,R75*VLOOKUP(E75,'Prix Matiere'!$A$4:$L$60,11))</f>
        <v>0</v>
      </c>
      <c r="T75" s="2"/>
      <c r="U75" s="2"/>
      <c r="V75" s="2"/>
      <c r="W75" s="2"/>
      <c r="X75" s="2"/>
      <c r="Y75" s="2"/>
      <c r="Z75" s="2"/>
    </row>
    <row r="76" spans="1:26" ht="18" hidden="1" customHeight="1" x14ac:dyDescent="0.35">
      <c r="A76" s="2"/>
      <c r="B76" s="45" t="s">
        <v>259</v>
      </c>
      <c r="C76" s="87">
        <f>C68</f>
        <v>0</v>
      </c>
      <c r="D76" s="45">
        <f>7</f>
        <v>7</v>
      </c>
      <c r="E76" s="34" t="str">
        <f t="shared" si="15"/>
        <v>Barres 21 R4F</v>
      </c>
      <c r="F76" s="45">
        <f>IF(D68&lt;80,3,2)</f>
        <v>3</v>
      </c>
      <c r="G76" s="2"/>
      <c r="H76" s="2"/>
      <c r="I76" s="2"/>
      <c r="J76" s="2"/>
      <c r="K76" s="89">
        <f t="shared" si="10"/>
        <v>0</v>
      </c>
      <c r="L76" s="89">
        <f t="shared" si="11"/>
        <v>0</v>
      </c>
      <c r="M76" s="71">
        <f>IF(E76=0,0,VLOOKUP(E76,'Prix Matiere'!$A$4:$J$65,10))</f>
        <v>18.969072164948454</v>
      </c>
      <c r="N76" s="71">
        <f t="shared" si="12"/>
        <v>0</v>
      </c>
      <c r="O76" s="3">
        <f t="shared" si="13"/>
        <v>0</v>
      </c>
      <c r="P76" s="71">
        <f t="shared" si="14"/>
        <v>0</v>
      </c>
      <c r="Q76" s="2"/>
      <c r="R76" s="254">
        <f>IF(K76=0,0,K76*VLOOKUP(E76,'Prix Matiere'!$A$4:$L$60,12))</f>
        <v>0</v>
      </c>
      <c r="S76" s="90">
        <f>IF(K76=0,0,R76*VLOOKUP(E76,'Prix Matiere'!$A$4:$L$60,11))</f>
        <v>0</v>
      </c>
      <c r="T76" s="2"/>
      <c r="U76" s="2"/>
      <c r="V76" s="2"/>
      <c r="W76" s="2"/>
      <c r="X76" s="2"/>
      <c r="Y76" s="2"/>
      <c r="Z76" s="2"/>
    </row>
    <row r="77" spans="1:26" ht="18" hidden="1" customHeight="1" x14ac:dyDescent="0.35">
      <c r="A77" s="2"/>
      <c r="B77" s="45" t="s">
        <v>260</v>
      </c>
      <c r="C77" s="45">
        <f>IF(C76=0,0,IF(F76=3,(D68-3*D76)/2,(D68-2*D76)/2))</f>
        <v>0</v>
      </c>
      <c r="D77" s="45">
        <f>D76</f>
        <v>7</v>
      </c>
      <c r="E77" s="34" t="str">
        <f t="shared" si="15"/>
        <v>Barres 21 R4F</v>
      </c>
      <c r="F77" s="92">
        <f>IF(F76=3,4,2)</f>
        <v>4</v>
      </c>
      <c r="G77" s="2"/>
      <c r="H77" s="2"/>
      <c r="I77" s="2"/>
      <c r="J77" s="2"/>
      <c r="K77" s="89">
        <f t="shared" si="10"/>
        <v>0</v>
      </c>
      <c r="L77" s="89">
        <f t="shared" si="11"/>
        <v>0</v>
      </c>
      <c r="M77" s="71">
        <f>IF(E77=0,0,VLOOKUP(E77,'Prix Matiere'!$A$4:$J$65,10))</f>
        <v>18.969072164948454</v>
      </c>
      <c r="N77" s="71">
        <f t="shared" si="12"/>
        <v>0</v>
      </c>
      <c r="O77" s="3">
        <f t="shared" si="13"/>
        <v>0</v>
      </c>
      <c r="P77" s="71">
        <f t="shared" si="14"/>
        <v>0</v>
      </c>
      <c r="Q77" s="2"/>
      <c r="R77" s="254">
        <f>IF(K77=0,0,K77*VLOOKUP(E77,'Prix Matiere'!$A$4:$L$60,12))</f>
        <v>0</v>
      </c>
      <c r="S77" s="90">
        <f>IF(K77=0,0,R77*VLOOKUP(E77,'Prix Matiere'!$A$4:$L$60,11))</f>
        <v>0</v>
      </c>
      <c r="T77" s="2"/>
      <c r="U77" s="2"/>
      <c r="V77" s="2"/>
      <c r="W77" s="2"/>
      <c r="X77" s="2"/>
      <c r="Y77" s="2"/>
      <c r="Z77" s="2"/>
    </row>
    <row r="78" spans="1:26" ht="18" hidden="1" customHeight="1" x14ac:dyDescent="0.35">
      <c r="A78" s="2"/>
      <c r="B78" s="45" t="s">
        <v>59</v>
      </c>
      <c r="C78" s="87">
        <f>C69</f>
        <v>0</v>
      </c>
      <c r="D78" s="45">
        <f>IF(D66&gt;80,9.4,7)</f>
        <v>7</v>
      </c>
      <c r="E78" s="34" t="str">
        <f t="shared" si="15"/>
        <v>Barres 21 R4F</v>
      </c>
      <c r="F78" s="92">
        <v>4</v>
      </c>
      <c r="G78" s="2"/>
      <c r="H78" s="2"/>
      <c r="I78" s="2"/>
      <c r="J78" s="2"/>
      <c r="K78" s="89">
        <f t="shared" si="10"/>
        <v>0</v>
      </c>
      <c r="L78" s="89">
        <f t="shared" si="11"/>
        <v>0</v>
      </c>
      <c r="M78" s="71">
        <f>IF(E78=0,0,VLOOKUP(E78,'Prix Matiere'!$A$4:$J$65,10))</f>
        <v>18.969072164948454</v>
      </c>
      <c r="N78" s="71">
        <f t="shared" si="12"/>
        <v>0</v>
      </c>
      <c r="O78" s="3">
        <f t="shared" si="13"/>
        <v>0</v>
      </c>
      <c r="P78" s="71">
        <f t="shared" si="14"/>
        <v>0</v>
      </c>
      <c r="Q78" s="2"/>
      <c r="R78" s="254">
        <f>IF(K78=0,0,K78*VLOOKUP(E78,'Prix Matiere'!$A$4:$L$60,12))</f>
        <v>0</v>
      </c>
      <c r="S78" s="90">
        <f>IF(K78=0,0,R78*VLOOKUP(E78,'Prix Matiere'!$A$4:$L$60,11))</f>
        <v>0</v>
      </c>
      <c r="T78" s="2"/>
      <c r="U78" s="2"/>
      <c r="V78" s="2"/>
      <c r="W78" s="2"/>
      <c r="X78" s="2"/>
      <c r="Y78" s="2"/>
      <c r="Z78" s="2"/>
    </row>
    <row r="79" spans="1:26" ht="18" hidden="1" customHeight="1" x14ac:dyDescent="0.35">
      <c r="A79" s="2"/>
      <c r="B79" s="45" t="s">
        <v>261</v>
      </c>
      <c r="C79" s="45">
        <f>IF(C78=0,0,D69-2*D78)</f>
        <v>0</v>
      </c>
      <c r="D79" s="45">
        <v>7</v>
      </c>
      <c r="E79" s="34" t="str">
        <f t="shared" si="15"/>
        <v>Barres 21 R4F</v>
      </c>
      <c r="F79" s="92">
        <v>4</v>
      </c>
      <c r="G79" s="2"/>
      <c r="H79" s="2"/>
      <c r="I79" s="2"/>
      <c r="J79" s="2"/>
      <c r="K79" s="89">
        <f t="shared" si="10"/>
        <v>0</v>
      </c>
      <c r="L79" s="89">
        <f t="shared" si="11"/>
        <v>0</v>
      </c>
      <c r="M79" s="71">
        <f>IF(E79=0,0,VLOOKUP(E79,'Prix Matiere'!$A$4:$J$65,10))</f>
        <v>18.969072164948454</v>
      </c>
      <c r="N79" s="71">
        <f t="shared" si="12"/>
        <v>0</v>
      </c>
      <c r="O79" s="3">
        <f t="shared" si="13"/>
        <v>0</v>
      </c>
      <c r="P79" s="71">
        <f t="shared" si="14"/>
        <v>0</v>
      </c>
      <c r="Q79" s="2"/>
      <c r="R79" s="254">
        <f>IF(K79=0,0,K79*VLOOKUP(E79,'Prix Matiere'!$A$4:$L$60,12))</f>
        <v>0</v>
      </c>
      <c r="S79" s="90">
        <f>IF(K79=0,0,R79*VLOOKUP(E79,'Prix Matiere'!$A$4:$L$60,11))</f>
        <v>0</v>
      </c>
      <c r="T79" s="2"/>
      <c r="U79" s="2"/>
      <c r="V79" s="2"/>
      <c r="W79" s="2"/>
      <c r="X79" s="2"/>
      <c r="Y79" s="2"/>
      <c r="Z79" s="2"/>
    </row>
    <row r="80" spans="1:26" ht="18" hidden="1" customHeight="1" x14ac:dyDescent="0.35">
      <c r="A80" s="2"/>
      <c r="B80" s="45" t="str">
        <f>IF(C22="Bois","Poignées",0)</f>
        <v>Poignées</v>
      </c>
      <c r="C80" s="87">
        <f>IF(B80="Poignées",C69+VLOOKUP(C14,A148:E149,4)*2+4.2,0)</f>
        <v>7.2</v>
      </c>
      <c r="D80" s="45">
        <f>IF(B80="Poignées",7,0)</f>
        <v>7</v>
      </c>
      <c r="E80" s="34" t="str">
        <f>IF($C$22="Bois","Barres 21 R4F",0)</f>
        <v>Barres 21 R4F</v>
      </c>
      <c r="F80" s="45">
        <f>IF(B80=0,0,2)</f>
        <v>2</v>
      </c>
      <c r="G80" s="2"/>
      <c r="H80" s="2"/>
      <c r="I80" s="2"/>
      <c r="J80" s="2"/>
      <c r="K80" s="89">
        <f t="shared" si="10"/>
        <v>1.0080000000000002E-2</v>
      </c>
      <c r="L80" s="89">
        <f t="shared" si="11"/>
        <v>1.2600000000000002E-2</v>
      </c>
      <c r="M80" s="71">
        <f>IF(E80=0,0,VLOOKUP(E80,'Prix Matiere'!$A$4:$J$65,10))</f>
        <v>18.969072164948454</v>
      </c>
      <c r="N80" s="71">
        <f t="shared" si="12"/>
        <v>0.23901030927835054</v>
      </c>
      <c r="O80" s="3">
        <f t="shared" si="13"/>
        <v>1.1108800000000001</v>
      </c>
      <c r="P80" s="71">
        <f t="shared" si="14"/>
        <v>0.94424800000000009</v>
      </c>
      <c r="Q80" s="2"/>
      <c r="R80" s="254">
        <f>IF(K80=0,0,K80*VLOOKUP(E80,'Prix Matiere'!$A$4:$L$60,12))</f>
        <v>0.10080000000000003</v>
      </c>
      <c r="S80" s="90">
        <f>IF(K80=0,0,R80*VLOOKUP(E80,'Prix Matiere'!$A$4:$L$60,11))</f>
        <v>4.878720000000001E-2</v>
      </c>
      <c r="T80" s="2"/>
      <c r="U80" s="2"/>
      <c r="V80" s="2"/>
      <c r="W80" s="2"/>
      <c r="X80" s="2"/>
      <c r="Y80" s="2"/>
      <c r="Z80" s="2"/>
    </row>
    <row r="81" spans="1:26" ht="18" hidden="1" customHeight="1" x14ac:dyDescent="0.35">
      <c r="A81" s="2"/>
      <c r="B81" s="45" t="str">
        <f>F23</f>
        <v>Skis</v>
      </c>
      <c r="C81" s="87">
        <f>IF(B81="Skis",C66-10,IF(B81="10 dessous en semelles",D55,IF(B81="10 dessous en skis",(C72-62)/2)))</f>
        <v>-10</v>
      </c>
      <c r="D81" s="45">
        <f>IF($F$10="BOVIS",9.4,7)</f>
        <v>7</v>
      </c>
      <c r="E81" s="34" t="str">
        <f>IF($F$23="Skis","Barres 30 R4F","Semelles R4F")</f>
        <v>Barres 30 R4F</v>
      </c>
      <c r="F81" s="45">
        <f>IF(B81="Skis",2,IF(B81="10 Dessous en Semelles",2,F76*2))</f>
        <v>2</v>
      </c>
      <c r="G81" s="2"/>
      <c r="H81" s="2"/>
      <c r="I81" s="2"/>
      <c r="J81" s="2"/>
      <c r="K81" s="89">
        <f t="shared" si="10"/>
        <v>-1.4000000000000002E-2</v>
      </c>
      <c r="L81" s="89">
        <f t="shared" si="11"/>
        <v>-1.7500000000000002E-2</v>
      </c>
      <c r="M81" s="71">
        <f>IF(E81=0,0,VLOOKUP(E81,'Prix Matiere'!$A$4:$J$65,10))</f>
        <v>45.432989690721641</v>
      </c>
      <c r="N81" s="71">
        <f t="shared" si="12"/>
        <v>-0.79507731958762884</v>
      </c>
      <c r="O81" s="3">
        <f t="shared" si="13"/>
        <v>0.84599999999999997</v>
      </c>
      <c r="P81" s="71">
        <f t="shared" si="14"/>
        <v>0.71909999999999996</v>
      </c>
      <c r="Q81" s="2"/>
      <c r="R81" s="254">
        <f>IF(K81=0,0,K81*VLOOKUP(E81,'Prix Matiere'!$A$4:$L$60,12))</f>
        <v>-0.14000000000000001</v>
      </c>
      <c r="S81" s="90">
        <f>IF(K81=0,0,R81*VLOOKUP(E81,'Prix Matiere'!$A$4:$L$60,11))</f>
        <v>-6.7760000000000001E-2</v>
      </c>
      <c r="T81" s="2"/>
      <c r="U81" s="2"/>
      <c r="V81" s="2"/>
      <c r="W81" s="2"/>
      <c r="X81" s="2"/>
      <c r="Y81" s="2"/>
      <c r="Z81" s="2"/>
    </row>
    <row r="82" spans="1:26" ht="18" hidden="1" customHeight="1" x14ac:dyDescent="0.35">
      <c r="A82" s="2"/>
      <c r="B82" s="2"/>
      <c r="C82" s="2"/>
      <c r="D82" s="2"/>
      <c r="E82" s="6"/>
      <c r="F82" s="2"/>
      <c r="G82" s="2"/>
      <c r="H82" s="2"/>
      <c r="I82" s="2"/>
      <c r="J82" s="2"/>
      <c r="K82" s="89"/>
      <c r="L82" s="89"/>
      <c r="M82" s="71"/>
      <c r="N82" s="71"/>
      <c r="O82" s="3"/>
      <c r="P82" s="71"/>
      <c r="Q82" s="2"/>
      <c r="R82" s="254"/>
      <c r="S82" s="90"/>
      <c r="T82" s="2"/>
      <c r="U82" s="2"/>
      <c r="V82" s="2"/>
      <c r="W82" s="2"/>
      <c r="X82" s="2"/>
      <c r="Y82" s="2"/>
      <c r="Z82" s="2"/>
    </row>
    <row r="83" spans="1:26" ht="18" hidden="1" customHeight="1" x14ac:dyDescent="0.3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71"/>
      <c r="N83" s="71"/>
      <c r="O83" s="3"/>
      <c r="P83" s="71"/>
      <c r="Q83" s="2"/>
      <c r="R83" s="254"/>
      <c r="S83" s="90"/>
      <c r="T83" s="2"/>
      <c r="U83" s="2"/>
      <c r="V83" s="2"/>
      <c r="W83" s="2"/>
      <c r="X83" s="2"/>
      <c r="Y83" s="2"/>
      <c r="Z83" s="2"/>
    </row>
    <row r="84" spans="1:26" ht="18" hidden="1" customHeight="1" x14ac:dyDescent="0.35">
      <c r="A84" s="19" t="s">
        <v>62</v>
      </c>
      <c r="B84" s="45" t="s">
        <v>63</v>
      </c>
      <c r="C84" s="45">
        <f>IF(F84=0,0,C53)</f>
        <v>0</v>
      </c>
      <c r="D84" s="45">
        <f>IF(F84=0,0,E88)</f>
        <v>0</v>
      </c>
      <c r="E84" s="34">
        <f>VLOOKUP($C$18,A157:Q163,6)</f>
        <v>0</v>
      </c>
      <c r="F84" s="45">
        <f>VLOOKUP($C$18,A157:Q163,7)</f>
        <v>0</v>
      </c>
      <c r="G84" s="2"/>
      <c r="H84" s="2"/>
      <c r="I84" s="2"/>
      <c r="J84" s="2"/>
      <c r="K84" s="2">
        <f t="shared" ref="K84:K86" si="16">IF(C84=0,0,(C84/100)*(D84/100)*F84)</f>
        <v>0</v>
      </c>
      <c r="L84" s="2">
        <f t="shared" ref="L84:L86" si="17">K84/0.8</f>
        <v>0</v>
      </c>
      <c r="M84" s="71">
        <f>IF(E84=0,0,VLOOKUP(E84,'Prix Matiere'!$A$4:$J$65,10))</f>
        <v>0</v>
      </c>
      <c r="N84" s="71">
        <f t="shared" ref="N84:N86" si="18">M84*L84</f>
        <v>0</v>
      </c>
      <c r="O84" s="3">
        <f t="shared" ref="O84:O86" si="19">IF(K84=0,0,(4.7283*K84)+3)</f>
        <v>0</v>
      </c>
      <c r="P84" s="71">
        <f>O84*MinuteMO</f>
        <v>0</v>
      </c>
      <c r="Q84" s="2"/>
      <c r="R84" s="254">
        <f>IF(K84=0,0,K84*VLOOKUP(E84,'Prix Matiere'!$A$4:$L$60,12))</f>
        <v>0</v>
      </c>
      <c r="S84" s="90">
        <f>IF(K84=0,0,R84*VLOOKUP(E84,'Prix Matiere'!$A$4:$L$60,11))</f>
        <v>0</v>
      </c>
      <c r="T84" s="2"/>
      <c r="U84" s="2"/>
      <c r="V84" s="2"/>
      <c r="W84" s="2"/>
      <c r="X84" s="2"/>
      <c r="Y84" s="2"/>
      <c r="Z84" s="2"/>
    </row>
    <row r="85" spans="1:26" ht="18" hidden="1" customHeight="1" x14ac:dyDescent="0.35">
      <c r="A85" s="2"/>
      <c r="B85" s="45" t="s">
        <v>54</v>
      </c>
      <c r="C85" s="45">
        <f>IF(F85=0,0,C84)</f>
        <v>0</v>
      </c>
      <c r="D85" s="45">
        <f>IF(F85=0,0,D53)</f>
        <v>0</v>
      </c>
      <c r="E85" s="34">
        <f>IF($C$18="Aucun",0,VLOOKUP($C$18,A157:Q163,6))</f>
        <v>0</v>
      </c>
      <c r="F85" s="45">
        <f>VLOOKUP($C$18,A157:Q163,7)</f>
        <v>0</v>
      </c>
      <c r="G85" s="2"/>
      <c r="H85" s="2"/>
      <c r="I85" s="2"/>
      <c r="J85" s="2"/>
      <c r="K85" s="2">
        <f t="shared" si="16"/>
        <v>0</v>
      </c>
      <c r="L85" s="2">
        <f t="shared" si="17"/>
        <v>0</v>
      </c>
      <c r="M85" s="71">
        <f>IF(E85=0,0,VLOOKUP(E85,'Prix Matiere'!$A$4:$J$65,10))</f>
        <v>0</v>
      </c>
      <c r="N85" s="71">
        <f t="shared" si="18"/>
        <v>0</v>
      </c>
      <c r="O85" s="3">
        <f t="shared" si="19"/>
        <v>0</v>
      </c>
      <c r="P85" s="71">
        <f>O85*MinuteMO</f>
        <v>0</v>
      </c>
      <c r="Q85" s="2"/>
      <c r="R85" s="254">
        <f>IF(K85=0,0,K85*VLOOKUP(E85,'Prix Matiere'!$A$4:$L$60,12))</f>
        <v>0</v>
      </c>
      <c r="S85" s="90">
        <f>IF(K85=0,0,R85*VLOOKUP(E85,'Prix Matiere'!$A$4:$L$60,11))</f>
        <v>0</v>
      </c>
      <c r="T85" s="2"/>
      <c r="U85" s="2"/>
      <c r="V85" s="2"/>
      <c r="W85" s="2"/>
      <c r="X85" s="2"/>
      <c r="Y85" s="2"/>
      <c r="Z85" s="2"/>
    </row>
    <row r="86" spans="1:26" ht="18" hidden="1" customHeight="1" x14ac:dyDescent="0.35">
      <c r="A86" s="2"/>
      <c r="B86" s="45" t="s">
        <v>55</v>
      </c>
      <c r="C86" s="45">
        <f>IF(F86=0,0,D88)</f>
        <v>0</v>
      </c>
      <c r="D86" s="45">
        <f>IF(F86=0,0,D84)</f>
        <v>0</v>
      </c>
      <c r="E86" s="34">
        <f>IF($C$18="Aucun",0,VLOOKUP($C$18,A157:Q163,6))</f>
        <v>0</v>
      </c>
      <c r="F86" s="45">
        <f>VLOOKUP($C$18,A157:Q163,7)</f>
        <v>0</v>
      </c>
      <c r="G86" s="2"/>
      <c r="H86" s="2"/>
      <c r="I86" s="2"/>
      <c r="J86" s="2"/>
      <c r="K86" s="2">
        <f t="shared" si="16"/>
        <v>0</v>
      </c>
      <c r="L86" s="2">
        <f t="shared" si="17"/>
        <v>0</v>
      </c>
      <c r="M86" s="71">
        <f>IF(E86=0,0,VLOOKUP(E86,'Prix Matiere'!$A$4:$J$65,10))</f>
        <v>0</v>
      </c>
      <c r="N86" s="71">
        <f t="shared" si="18"/>
        <v>0</v>
      </c>
      <c r="O86" s="3">
        <f t="shared" si="19"/>
        <v>0</v>
      </c>
      <c r="P86" s="71">
        <f>O86*MinuteMO</f>
        <v>0</v>
      </c>
      <c r="Q86" s="2"/>
      <c r="R86" s="254">
        <f>IF(K86=0,0,K86*VLOOKUP(E86,'Prix Matiere'!$A$4:$L$60,12))</f>
        <v>0</v>
      </c>
      <c r="S86" s="90">
        <f>IF(K86=0,0,R86*VLOOKUP(E86,'Prix Matiere'!$A$4:$L$60,11))</f>
        <v>0</v>
      </c>
      <c r="T86" s="2"/>
      <c r="U86" s="2"/>
      <c r="V86" s="2"/>
      <c r="W86" s="2"/>
      <c r="X86" s="2"/>
      <c r="Y86" s="2"/>
      <c r="Z86" s="2"/>
    </row>
    <row r="87" spans="1:26" ht="18" hidden="1" customHeight="1" x14ac:dyDescent="0.3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71"/>
      <c r="N87" s="71"/>
      <c r="O87" s="3"/>
      <c r="P87" s="71"/>
      <c r="Q87" s="2"/>
      <c r="R87" s="254"/>
      <c r="S87" s="90"/>
      <c r="T87" s="2"/>
      <c r="U87" s="2"/>
      <c r="V87" s="2"/>
      <c r="W87" s="2"/>
      <c r="X87" s="2"/>
      <c r="Y87" s="2"/>
      <c r="Z87" s="2"/>
    </row>
    <row r="88" spans="1:26" ht="18" hidden="1" customHeight="1" x14ac:dyDescent="0.35">
      <c r="A88" s="2"/>
      <c r="B88" s="2" t="s">
        <v>64</v>
      </c>
      <c r="C88" s="89">
        <f>C53-VLOOKUP(C18,A157:Q163,5)</f>
        <v>0</v>
      </c>
      <c r="D88" s="89">
        <f>D53-VLOOKUP(C18,A157:Q163,5)</f>
        <v>0</v>
      </c>
      <c r="E88" s="89">
        <f>E53-VLOOKUP(C18,A157:Q163,5)</f>
        <v>0</v>
      </c>
      <c r="F88" s="2"/>
      <c r="G88" s="2"/>
      <c r="H88" s="2"/>
      <c r="I88" s="2"/>
      <c r="J88" s="2"/>
      <c r="K88" s="2"/>
      <c r="L88" s="2"/>
      <c r="M88" s="71"/>
      <c r="N88" s="71"/>
      <c r="O88" s="3"/>
      <c r="P88" s="71"/>
      <c r="Q88" s="2"/>
      <c r="R88" s="254"/>
      <c r="S88" s="90"/>
      <c r="T88" s="2"/>
      <c r="U88" s="2"/>
      <c r="V88" s="2"/>
      <c r="W88" s="2"/>
      <c r="X88" s="2"/>
      <c r="Y88" s="2"/>
      <c r="Z88" s="2"/>
    </row>
    <row r="89" spans="1:26" ht="18" hidden="1" customHeight="1" x14ac:dyDescent="0.3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71"/>
      <c r="N89" s="71"/>
      <c r="O89" s="3"/>
      <c r="P89" s="71"/>
      <c r="Q89" s="2"/>
      <c r="R89" s="254"/>
      <c r="S89" s="90"/>
      <c r="T89" s="2"/>
      <c r="U89" s="2"/>
      <c r="V89" s="2"/>
      <c r="W89" s="2"/>
      <c r="X89" s="2"/>
      <c r="Y89" s="2"/>
      <c r="Z89" s="2"/>
    </row>
    <row r="90" spans="1:26" ht="18" hidden="1" customHeight="1" x14ac:dyDescent="0.35">
      <c r="A90" s="19" t="s">
        <v>65</v>
      </c>
      <c r="B90" s="45" t="s">
        <v>63</v>
      </c>
      <c r="C90" s="45">
        <f>IF(F90=0,0,C94+VLOOKUP(C18,A157:Q163,8))</f>
        <v>0</v>
      </c>
      <c r="D90" s="45">
        <f>IF(F90=0,0,E88-VLOOKUP(C18,A157:Q163,8))</f>
        <v>0</v>
      </c>
      <c r="E90" s="34">
        <f t="shared" ref="E90:E92" si="20">VLOOKUP($C$18,$A$157:$Q$163,10)</f>
        <v>0</v>
      </c>
      <c r="F90" s="45">
        <f t="shared" ref="F90:F92" si="21">VLOOKUP($C$18,$A$157:$Q$163,11)</f>
        <v>0</v>
      </c>
      <c r="G90" s="2"/>
      <c r="H90" s="2"/>
      <c r="I90" s="2"/>
      <c r="J90" s="2"/>
      <c r="K90" s="2">
        <f t="shared" ref="K90:K92" si="22">IF(C90=0,0,(C90/100)*(D90/100)*F90)</f>
        <v>0</v>
      </c>
      <c r="L90" s="2">
        <f t="shared" ref="L90:L92" si="23">K90/0.8</f>
        <v>0</v>
      </c>
      <c r="M90" s="71">
        <f>IF(E90=0,0,VLOOKUP(E90,'Prix Matiere'!$A$4:$J$60,10))</f>
        <v>0</v>
      </c>
      <c r="N90" s="71">
        <f t="shared" ref="N90:N92" si="24">M90*L90</f>
        <v>0</v>
      </c>
      <c r="O90" s="3">
        <f t="shared" ref="O90:O92" si="25">IF(K90=0,0,(3.94*K90)+5)</f>
        <v>0</v>
      </c>
      <c r="P90" s="71">
        <f>O90*MinuteMO</f>
        <v>0</v>
      </c>
      <c r="Q90" s="2"/>
      <c r="R90" s="254">
        <f>IF(K90=0,0,K90*VLOOKUP(E90,'Prix Matiere'!$A$4:$L$60,12))</f>
        <v>0</v>
      </c>
      <c r="S90" s="90">
        <f>IF(K90=0,0,R90*VLOOKUP(E90,'Prix Matiere'!$A$4:$L$60,11))</f>
        <v>0</v>
      </c>
      <c r="T90" s="2"/>
      <c r="U90" s="2"/>
      <c r="V90" s="2"/>
      <c r="W90" s="2"/>
      <c r="X90" s="2"/>
      <c r="Y90" s="2"/>
      <c r="Z90" s="2"/>
    </row>
    <row r="91" spans="1:26" ht="18" hidden="1" customHeight="1" x14ac:dyDescent="0.35">
      <c r="A91" s="2"/>
      <c r="B91" s="45" t="s">
        <v>54</v>
      </c>
      <c r="C91" s="45">
        <f>IF(F91=0,0,C94+VLOOKUP(C18,A157:Q163,8))-0.5</f>
        <v>-0.5</v>
      </c>
      <c r="D91" s="45">
        <f>IF(F91=0,0,D88)-0.5</f>
        <v>-0.5</v>
      </c>
      <c r="E91" s="34">
        <f t="shared" si="20"/>
        <v>0</v>
      </c>
      <c r="F91" s="45">
        <f t="shared" si="21"/>
        <v>0</v>
      </c>
      <c r="G91" s="2"/>
      <c r="H91" s="2"/>
      <c r="I91" s="2"/>
      <c r="J91" s="2"/>
      <c r="K91" s="2">
        <f t="shared" si="22"/>
        <v>0</v>
      </c>
      <c r="L91" s="2">
        <f t="shared" si="23"/>
        <v>0</v>
      </c>
      <c r="M91" s="71">
        <f>IF(E91=0,0,VLOOKUP(E91,'Prix Matiere'!$A$4:$J$60,10))</f>
        <v>0</v>
      </c>
      <c r="N91" s="71">
        <f t="shared" si="24"/>
        <v>0</v>
      </c>
      <c r="O91" s="3">
        <f t="shared" si="25"/>
        <v>0</v>
      </c>
      <c r="P91" s="71">
        <f>O91*MinuteMO</f>
        <v>0</v>
      </c>
      <c r="Q91" s="2"/>
      <c r="R91" s="254">
        <f>IF(K91=0,0,K91*VLOOKUP(E91,'Prix Matiere'!$A$4:$L$60,12))</f>
        <v>0</v>
      </c>
      <c r="S91" s="90">
        <f>IF(K91=0,0,R91*VLOOKUP(E91,'Prix Matiere'!$A$4:$L$60,11))</f>
        <v>0</v>
      </c>
      <c r="T91" s="2"/>
      <c r="U91" s="2"/>
      <c r="V91" s="2"/>
      <c r="W91" s="2"/>
      <c r="X91" s="2"/>
      <c r="Y91" s="2"/>
      <c r="Z91" s="2"/>
    </row>
    <row r="92" spans="1:26" ht="18" hidden="1" customHeight="1" x14ac:dyDescent="0.35">
      <c r="A92" s="2"/>
      <c r="B92" s="45" t="s">
        <v>55</v>
      </c>
      <c r="C92" s="45">
        <f>IF(F92=0,0,D94)</f>
        <v>0</v>
      </c>
      <c r="D92" s="45">
        <f>D90</f>
        <v>0</v>
      </c>
      <c r="E92" s="34">
        <f t="shared" si="20"/>
        <v>0</v>
      </c>
      <c r="F92" s="45">
        <f t="shared" si="21"/>
        <v>0</v>
      </c>
      <c r="G92" s="2"/>
      <c r="H92" s="2"/>
      <c r="I92" s="2"/>
      <c r="J92" s="2"/>
      <c r="K92" s="2">
        <f t="shared" si="22"/>
        <v>0</v>
      </c>
      <c r="L92" s="2">
        <f t="shared" si="23"/>
        <v>0</v>
      </c>
      <c r="M92" s="71">
        <f>IF(E92=0,0,VLOOKUP(E92,'Prix Matiere'!$A$4:$J$60,10))</f>
        <v>0</v>
      </c>
      <c r="N92" s="71">
        <f t="shared" si="24"/>
        <v>0</v>
      </c>
      <c r="O92" s="3">
        <f t="shared" si="25"/>
        <v>0</v>
      </c>
      <c r="P92" s="71">
        <f>O92*MinuteMO</f>
        <v>0</v>
      </c>
      <c r="Q92" s="2"/>
      <c r="R92" s="254">
        <f>IF(K92=0,0,K92*VLOOKUP(E92,'Prix Matiere'!$A$4:$L$60,12))</f>
        <v>0</v>
      </c>
      <c r="S92" s="90">
        <f>IF(K92=0,0,R92*VLOOKUP(E92,'Prix Matiere'!$A$4:$L$60,11))</f>
        <v>0</v>
      </c>
      <c r="T92" s="2"/>
      <c r="U92" s="2"/>
      <c r="V92" s="2"/>
      <c r="W92" s="2"/>
      <c r="X92" s="2"/>
      <c r="Y92" s="2"/>
      <c r="Z92" s="2"/>
    </row>
    <row r="93" spans="1:26" ht="18" hidden="1" customHeight="1" x14ac:dyDescent="0.3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71"/>
      <c r="N93" s="71"/>
      <c r="O93" s="3"/>
      <c r="P93" s="71"/>
      <c r="Q93" s="2"/>
      <c r="R93" s="254"/>
      <c r="S93" s="90"/>
      <c r="T93" s="2"/>
      <c r="U93" s="2"/>
      <c r="V93" s="2"/>
      <c r="W93" s="2"/>
      <c r="X93" s="2"/>
      <c r="Y93" s="2"/>
      <c r="Z93" s="2"/>
    </row>
    <row r="94" spans="1:26" ht="18" hidden="1" customHeight="1" x14ac:dyDescent="0.35">
      <c r="A94" s="2"/>
      <c r="B94" s="2" t="s">
        <v>66</v>
      </c>
      <c r="C94" s="89">
        <f>C88-VLOOKUP(C18,A157:Q163,8)</f>
        <v>0</v>
      </c>
      <c r="D94" s="89">
        <f>D88-VLOOKUP(C18,A157:Q163,8)</f>
        <v>0</v>
      </c>
      <c r="E94" s="89">
        <f>E88-VLOOKUP(C18,A157:Q163,8)</f>
        <v>0</v>
      </c>
      <c r="F94" s="2"/>
      <c r="G94" s="2"/>
      <c r="H94" s="2"/>
      <c r="I94" s="2"/>
      <c r="J94" s="2"/>
      <c r="K94" s="2"/>
      <c r="L94" s="2"/>
      <c r="M94" s="71"/>
      <c r="N94" s="71"/>
      <c r="O94" s="3"/>
      <c r="P94" s="71"/>
      <c r="Q94" s="2"/>
      <c r="R94" s="254"/>
      <c r="S94" s="90"/>
      <c r="T94" s="2"/>
      <c r="U94" s="2"/>
      <c r="V94" s="2"/>
      <c r="W94" s="2"/>
      <c r="X94" s="2"/>
      <c r="Y94" s="2"/>
      <c r="Z94" s="2"/>
    </row>
    <row r="95" spans="1:26" ht="18" hidden="1" customHeight="1" x14ac:dyDescent="0.35">
      <c r="A95" s="2"/>
      <c r="B95" s="2"/>
      <c r="C95" s="2"/>
      <c r="D95" s="2"/>
      <c r="E95" s="2"/>
      <c r="F95" s="2"/>
      <c r="G95" s="2"/>
      <c r="H95" s="2"/>
      <c r="I95" s="2"/>
      <c r="J95" s="2"/>
      <c r="K95" s="2">
        <f t="shared" ref="K95:K125" si="26">IF(C95=0,0,(C95/100)*(D95/100)*F95)</f>
        <v>0</v>
      </c>
      <c r="L95" s="2">
        <f t="shared" ref="L95:L125" si="27">K95/0.8</f>
        <v>0</v>
      </c>
      <c r="M95" s="71"/>
      <c r="N95" s="71"/>
      <c r="O95" s="3"/>
      <c r="P95" s="71"/>
      <c r="Q95" s="2"/>
      <c r="R95" s="254"/>
      <c r="S95" s="90"/>
      <c r="T95" s="2"/>
      <c r="U95" s="2"/>
      <c r="V95" s="2"/>
      <c r="W95" s="2"/>
      <c r="X95" s="2"/>
      <c r="Y95" s="2"/>
      <c r="Z95" s="2"/>
    </row>
    <row r="96" spans="1:26" ht="18" hidden="1" customHeight="1" x14ac:dyDescent="0.35">
      <c r="A96" s="19" t="s">
        <v>67</v>
      </c>
      <c r="B96" s="45" t="s">
        <v>63</v>
      </c>
      <c r="C96" s="45">
        <f>IF(F96=0,0,C99)</f>
        <v>0</v>
      </c>
      <c r="D96" s="45">
        <f>IF(F96=0,0,10)</f>
        <v>0</v>
      </c>
      <c r="E96" s="34">
        <f>VLOOKUP(C18,$A$157:$Q$163,13)</f>
        <v>0</v>
      </c>
      <c r="F96" s="94">
        <f>VLOOKUP(C18,A157:Q163,14)</f>
        <v>0</v>
      </c>
      <c r="G96" s="2"/>
      <c r="H96" s="2"/>
      <c r="I96" s="2"/>
      <c r="J96" s="2"/>
      <c r="K96" s="2">
        <f t="shared" si="26"/>
        <v>0</v>
      </c>
      <c r="L96" s="2">
        <f t="shared" si="27"/>
        <v>0</v>
      </c>
      <c r="M96" s="71">
        <f>IF(E96=0,0,VLOOKUP(E96,'Prix Matiere'!$A$4:$J$60,10))</f>
        <v>0</v>
      </c>
      <c r="N96" s="71">
        <f t="shared" ref="N96:N97" si="28">M96*L96</f>
        <v>0</v>
      </c>
      <c r="O96" s="3">
        <f t="shared" ref="O96:O97" si="29">IF(K96=0,0,1+(6*K96))</f>
        <v>0</v>
      </c>
      <c r="P96" s="71">
        <f>O96*MinuteMO</f>
        <v>0</v>
      </c>
      <c r="Q96" s="2"/>
      <c r="R96" s="254">
        <f>IF(K96=0,0,K96*VLOOKUP(E96,'Prix Matiere'!$A$4:$L$60,12))</f>
        <v>0</v>
      </c>
      <c r="S96" s="90">
        <f>IF(K96=0,0,R96*VLOOKUP(E96,'Prix Matiere'!$A$4:$L$60,11))</f>
        <v>0</v>
      </c>
      <c r="T96" s="2"/>
      <c r="U96" s="2"/>
      <c r="V96" s="2"/>
      <c r="W96" s="2"/>
      <c r="X96" s="2"/>
      <c r="Y96" s="2"/>
      <c r="Z96" s="2"/>
    </row>
    <row r="97" spans="1:26" ht="18" hidden="1" customHeight="1" x14ac:dyDescent="0.35">
      <c r="A97" s="2"/>
      <c r="B97" s="45" t="s">
        <v>54</v>
      </c>
      <c r="C97" s="45">
        <f>IF(F97=0,0,E94)</f>
        <v>0</v>
      </c>
      <c r="D97" s="45">
        <f>IF(F96=0,0,D96)</f>
        <v>0</v>
      </c>
      <c r="E97" s="34">
        <f>VLOOKUP(C18,$A$157:$Q$163,13)</f>
        <v>0</v>
      </c>
      <c r="F97" s="45">
        <f>VLOOKUP(C18,A157:Q163,14)*2</f>
        <v>0</v>
      </c>
      <c r="G97" s="2"/>
      <c r="H97" s="2"/>
      <c r="I97" s="2"/>
      <c r="J97" s="2"/>
      <c r="K97" s="2">
        <f t="shared" si="26"/>
        <v>0</v>
      </c>
      <c r="L97" s="2">
        <f t="shared" si="27"/>
        <v>0</v>
      </c>
      <c r="M97" s="71">
        <f>IF(E97=0,0,VLOOKUP(E97,'Prix Matiere'!$A$4:$J$60,10))</f>
        <v>0</v>
      </c>
      <c r="N97" s="71">
        <f t="shared" si="28"/>
        <v>0</v>
      </c>
      <c r="O97" s="3">
        <f t="shared" si="29"/>
        <v>0</v>
      </c>
      <c r="P97" s="71">
        <f>O97*MinuteMO</f>
        <v>0</v>
      </c>
      <c r="Q97" s="2"/>
      <c r="R97" s="254">
        <f>IF(K97=0,0,K97*VLOOKUP(E97,'Prix Matiere'!$A$4:$L$60,12))</f>
        <v>0</v>
      </c>
      <c r="S97" s="90">
        <f>IF(K97=0,0,R97*VLOOKUP(E97,'Prix Matiere'!$A$4:$L$60,11))</f>
        <v>0</v>
      </c>
      <c r="T97" s="2"/>
      <c r="U97" s="2"/>
      <c r="V97" s="2"/>
      <c r="W97" s="2"/>
      <c r="X97" s="2"/>
      <c r="Y97" s="2"/>
      <c r="Z97" s="2"/>
    </row>
    <row r="98" spans="1:26" ht="18" hidden="1" customHeight="1" x14ac:dyDescent="0.35">
      <c r="A98" s="2"/>
      <c r="B98" s="2"/>
      <c r="C98" s="2"/>
      <c r="D98" s="2"/>
      <c r="E98" s="2"/>
      <c r="F98" s="2"/>
      <c r="G98" s="2"/>
      <c r="H98" s="2"/>
      <c r="I98" s="2"/>
      <c r="J98" s="2"/>
      <c r="K98" s="2">
        <f t="shared" si="26"/>
        <v>0</v>
      </c>
      <c r="L98" s="2">
        <f t="shared" si="27"/>
        <v>0</v>
      </c>
      <c r="M98" s="71"/>
      <c r="N98" s="71"/>
      <c r="O98" s="3"/>
      <c r="P98" s="71"/>
      <c r="Q98" s="2"/>
      <c r="R98" s="254"/>
      <c r="S98" s="90"/>
      <c r="T98" s="2"/>
      <c r="U98" s="2"/>
      <c r="V98" s="2"/>
      <c r="W98" s="2"/>
      <c r="X98" s="2"/>
      <c r="Y98" s="2"/>
      <c r="Z98" s="2"/>
    </row>
    <row r="99" spans="1:26" ht="18" hidden="1" customHeight="1" x14ac:dyDescent="0.35">
      <c r="A99" s="2"/>
      <c r="B99" s="2" t="s">
        <v>68</v>
      </c>
      <c r="C99" s="89">
        <f>C94-VLOOKUP($C$18,A157:Q163,12)</f>
        <v>0</v>
      </c>
      <c r="D99" s="89">
        <f>D94-VLOOKUP($C$18,A157:Q163,12)</f>
        <v>0</v>
      </c>
      <c r="E99" s="89">
        <f>E94-VLOOKUP($C$18,A157:Q163,12)</f>
        <v>0</v>
      </c>
      <c r="F99" s="2"/>
      <c r="G99" s="2"/>
      <c r="H99" s="2"/>
      <c r="I99" s="2"/>
      <c r="J99" s="2"/>
      <c r="K99" s="2">
        <f t="shared" si="26"/>
        <v>0</v>
      </c>
      <c r="L99" s="2">
        <f t="shared" si="27"/>
        <v>0</v>
      </c>
      <c r="M99" s="71"/>
      <c r="N99" s="71"/>
      <c r="O99" s="3"/>
      <c r="P99" s="71"/>
      <c r="Q99" s="2"/>
      <c r="R99" s="254"/>
      <c r="S99" s="90"/>
      <c r="T99" s="2"/>
      <c r="U99" s="2"/>
      <c r="V99" s="2"/>
      <c r="W99" s="2"/>
      <c r="X99" s="2"/>
      <c r="Y99" s="2"/>
      <c r="Z99" s="2"/>
    </row>
    <row r="100" spans="1:26" ht="18" hidden="1" customHeight="1" x14ac:dyDescent="0.3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>
        <f t="shared" si="26"/>
        <v>0</v>
      </c>
      <c r="L100" s="2">
        <f t="shared" si="27"/>
        <v>0</v>
      </c>
      <c r="M100" s="71"/>
      <c r="N100" s="71"/>
      <c r="O100" s="3"/>
      <c r="P100" s="71"/>
      <c r="Q100" s="2"/>
      <c r="R100" s="254"/>
      <c r="S100" s="90"/>
      <c r="T100" s="2"/>
      <c r="U100" s="2"/>
      <c r="V100" s="2"/>
      <c r="W100" s="2"/>
      <c r="X100" s="2"/>
      <c r="Y100" s="2"/>
      <c r="Z100" s="2"/>
    </row>
    <row r="101" spans="1:26" ht="18" hidden="1" customHeight="1" x14ac:dyDescent="0.35">
      <c r="A101" s="19" t="s">
        <v>69</v>
      </c>
      <c r="B101" s="45" t="s">
        <v>63</v>
      </c>
      <c r="C101" s="45">
        <f>IF(F101=0,0,C105+VLOOKUP($C$18,A157:Q163,15))</f>
        <v>0</v>
      </c>
      <c r="D101" s="45">
        <f>IF(F101=0,0,E105)</f>
        <v>0</v>
      </c>
      <c r="E101" s="34">
        <f t="shared" ref="E101:E103" si="30">VLOOKUP($C$18,$A$157:$Q$163,16)</f>
        <v>0</v>
      </c>
      <c r="F101" s="95">
        <f t="shared" ref="F101:F103" si="31">VLOOKUP($C$18,$A$157:$Q$163,17)</f>
        <v>0</v>
      </c>
      <c r="G101" s="2"/>
      <c r="H101" s="2"/>
      <c r="I101" s="2"/>
      <c r="J101" s="2"/>
      <c r="K101" s="2">
        <f t="shared" si="26"/>
        <v>0</v>
      </c>
      <c r="L101" s="2">
        <f t="shared" si="27"/>
        <v>0</v>
      </c>
      <c r="M101" s="71">
        <f>IF(E101=0,0,VLOOKUP(E101,'Prix Matiere'!$A$4:$J$60,10))</f>
        <v>0</v>
      </c>
      <c r="N101" s="71">
        <f t="shared" ref="N101:N103" si="32">M101*L101</f>
        <v>0</v>
      </c>
      <c r="O101" s="3">
        <f t="shared" ref="O101:O103" si="33">IF(K101=0,0,(3.94*K101)+5)</f>
        <v>0</v>
      </c>
      <c r="P101" s="71">
        <f>O101*MinuteMO</f>
        <v>0</v>
      </c>
      <c r="Q101" s="2"/>
      <c r="R101" s="254">
        <f>IF(K101=0,0,K101*VLOOKUP(E101,'Prix Matiere'!$A$4:$L$60,12))</f>
        <v>0</v>
      </c>
      <c r="S101" s="90">
        <f>IF(K101=0,0,R101*VLOOKUP(E101,'Prix Matiere'!$A$4:$L$60,11))</f>
        <v>0</v>
      </c>
      <c r="T101" s="2"/>
      <c r="U101" s="2"/>
      <c r="V101" s="2"/>
      <c r="W101" s="2"/>
      <c r="X101" s="2"/>
      <c r="Y101" s="2"/>
      <c r="Z101" s="2"/>
    </row>
    <row r="102" spans="1:26" ht="18" hidden="1" customHeight="1" x14ac:dyDescent="0.35">
      <c r="A102" s="2"/>
      <c r="B102" s="45" t="s">
        <v>54</v>
      </c>
      <c r="C102" s="45">
        <f>IF(F102=0,0,C105+VLOOKUP($C$18,A157:Q163,15))</f>
        <v>0</v>
      </c>
      <c r="D102" s="45">
        <f>IF(F102=0,0,D105+VLOOKUP(C18,A157:Q163,15))</f>
        <v>0</v>
      </c>
      <c r="E102" s="34">
        <f t="shared" si="30"/>
        <v>0</v>
      </c>
      <c r="F102" s="95">
        <f t="shared" si="31"/>
        <v>0</v>
      </c>
      <c r="G102" s="2"/>
      <c r="H102" s="2"/>
      <c r="I102" s="2"/>
      <c r="J102" s="2"/>
      <c r="K102" s="2">
        <f t="shared" si="26"/>
        <v>0</v>
      </c>
      <c r="L102" s="2">
        <f t="shared" si="27"/>
        <v>0</v>
      </c>
      <c r="M102" s="71">
        <f>IF(E102=0,0,VLOOKUP(E102,'Prix Matiere'!$A$4:$J$60,10))</f>
        <v>0</v>
      </c>
      <c r="N102" s="71">
        <f t="shared" si="32"/>
        <v>0</v>
      </c>
      <c r="O102" s="3">
        <f t="shared" si="33"/>
        <v>0</v>
      </c>
      <c r="P102" s="71">
        <f>O102*MinuteMO</f>
        <v>0</v>
      </c>
      <c r="Q102" s="2"/>
      <c r="R102" s="254">
        <f>IF(K102=0,0,K102*VLOOKUP(E102,'Prix Matiere'!$A$4:$L$60,12))</f>
        <v>0</v>
      </c>
      <c r="S102" s="90">
        <f>IF(K102=0,0,R102*VLOOKUP(E102,'Prix Matiere'!$A$4:$L$60,11))</f>
        <v>0</v>
      </c>
      <c r="T102" s="2"/>
      <c r="U102" s="2"/>
      <c r="V102" s="2"/>
      <c r="W102" s="2"/>
      <c r="X102" s="2"/>
      <c r="Y102" s="2"/>
      <c r="Z102" s="2"/>
    </row>
    <row r="103" spans="1:26" ht="18" hidden="1" customHeight="1" x14ac:dyDescent="0.35">
      <c r="A103" s="2"/>
      <c r="B103" s="45" t="s">
        <v>55</v>
      </c>
      <c r="C103" s="45">
        <f>IF(F103=0,0,D105)</f>
        <v>0</v>
      </c>
      <c r="D103" s="45">
        <f>D101</f>
        <v>0</v>
      </c>
      <c r="E103" s="34">
        <f t="shared" si="30"/>
        <v>0</v>
      </c>
      <c r="F103" s="95">
        <f t="shared" si="31"/>
        <v>0</v>
      </c>
      <c r="G103" s="2"/>
      <c r="H103" s="2"/>
      <c r="I103" s="2"/>
      <c r="J103" s="2"/>
      <c r="K103" s="2">
        <f t="shared" si="26"/>
        <v>0</v>
      </c>
      <c r="L103" s="2">
        <f t="shared" si="27"/>
        <v>0</v>
      </c>
      <c r="M103" s="71">
        <f>IF(E103=0,0,VLOOKUP(E103,'Prix Matiere'!$A$4:$J$60,10))</f>
        <v>0</v>
      </c>
      <c r="N103" s="71">
        <f t="shared" si="32"/>
        <v>0</v>
      </c>
      <c r="O103" s="3">
        <f t="shared" si="33"/>
        <v>0</v>
      </c>
      <c r="P103" s="71">
        <f>O103*MinuteMO</f>
        <v>0</v>
      </c>
      <c r="Q103" s="2"/>
      <c r="R103" s="254">
        <f>IF(K103=0,0,K103*VLOOKUP(E103,'Prix Matiere'!$A$4:$L$60,12))</f>
        <v>0</v>
      </c>
      <c r="S103" s="90">
        <f>IF(K103=0,0,R103*VLOOKUP(E103,'Prix Matiere'!$A$4:$L$60,11))</f>
        <v>0</v>
      </c>
      <c r="T103" s="2"/>
      <c r="U103" s="2"/>
      <c r="V103" s="2"/>
      <c r="W103" s="2"/>
      <c r="X103" s="2"/>
      <c r="Y103" s="2"/>
      <c r="Z103" s="2"/>
    </row>
    <row r="104" spans="1:26" ht="18" hidden="1" customHeight="1" x14ac:dyDescent="0.3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>
        <f t="shared" si="26"/>
        <v>0</v>
      </c>
      <c r="L104" s="2">
        <f t="shared" si="27"/>
        <v>0</v>
      </c>
      <c r="M104" s="71"/>
      <c r="N104" s="71"/>
      <c r="O104" s="3"/>
      <c r="P104" s="71"/>
      <c r="Q104" s="2"/>
      <c r="R104" s="254"/>
      <c r="S104" s="90"/>
      <c r="T104" s="2"/>
      <c r="U104" s="2"/>
      <c r="V104" s="2"/>
      <c r="W104" s="2"/>
      <c r="X104" s="2"/>
      <c r="Y104" s="2"/>
      <c r="Z104" s="2"/>
    </row>
    <row r="105" spans="1:26" ht="18" hidden="1" customHeight="1" x14ac:dyDescent="0.35">
      <c r="A105" s="2"/>
      <c r="B105" s="2" t="s">
        <v>66</v>
      </c>
      <c r="C105" s="89">
        <f>C99-VLOOKUP($C$18,A157:Q163,15)</f>
        <v>0</v>
      </c>
      <c r="D105" s="89">
        <f>D99-VLOOKUP($C$18,A157:Q163,15)</f>
        <v>0</v>
      </c>
      <c r="E105" s="89">
        <f>E99-VLOOKUP($C$18,A157:Q163,15)</f>
        <v>0</v>
      </c>
      <c r="F105" s="2"/>
      <c r="G105" s="2"/>
      <c r="H105" s="2"/>
      <c r="I105" s="2"/>
      <c r="J105" s="2"/>
      <c r="K105" s="2">
        <f t="shared" si="26"/>
        <v>0</v>
      </c>
      <c r="L105" s="2">
        <f t="shared" si="27"/>
        <v>0</v>
      </c>
      <c r="M105" s="71"/>
      <c r="N105" s="71"/>
      <c r="O105" s="3"/>
      <c r="P105" s="71"/>
      <c r="Q105" s="2"/>
      <c r="R105" s="254"/>
      <c r="S105" s="90"/>
      <c r="T105" s="2"/>
      <c r="U105" s="2"/>
      <c r="V105" s="2"/>
      <c r="W105" s="2"/>
      <c r="X105" s="2"/>
      <c r="Y105" s="2"/>
      <c r="Z105" s="2"/>
    </row>
    <row r="106" spans="1:26" ht="18" hidden="1" customHeight="1" x14ac:dyDescent="0.3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>
        <f t="shared" si="26"/>
        <v>0</v>
      </c>
      <c r="L106" s="2">
        <f t="shared" si="27"/>
        <v>0</v>
      </c>
      <c r="M106" s="71"/>
      <c r="N106" s="71"/>
      <c r="O106" s="3"/>
      <c r="P106" s="71"/>
      <c r="Q106" s="2"/>
      <c r="R106" s="254"/>
      <c r="S106" s="90"/>
      <c r="T106" s="2"/>
      <c r="U106" s="2"/>
      <c r="V106" s="2"/>
      <c r="W106" s="2"/>
      <c r="X106" s="2"/>
      <c r="Y106" s="2"/>
      <c r="Z106" s="2"/>
    </row>
    <row r="107" spans="1:26" ht="18" hidden="1" customHeight="1" x14ac:dyDescent="0.35">
      <c r="A107" s="2"/>
      <c r="B107" s="38" t="s">
        <v>70</v>
      </c>
      <c r="C107" s="2"/>
      <c r="D107" s="2"/>
      <c r="E107" s="2"/>
      <c r="F107" s="2"/>
      <c r="G107" s="2"/>
      <c r="H107" s="2"/>
      <c r="I107" s="2"/>
      <c r="J107" s="2"/>
      <c r="K107" s="2">
        <f t="shared" si="26"/>
        <v>0</v>
      </c>
      <c r="L107" s="2">
        <f t="shared" si="27"/>
        <v>0</v>
      </c>
      <c r="M107" s="71"/>
      <c r="N107" s="71"/>
      <c r="O107" s="3"/>
      <c r="P107" s="71"/>
      <c r="Q107" s="2"/>
      <c r="R107" s="254"/>
      <c r="S107" s="90"/>
      <c r="T107" s="2"/>
      <c r="U107" s="2"/>
      <c r="V107" s="2"/>
      <c r="W107" s="2"/>
      <c r="X107" s="2"/>
      <c r="Y107" s="2"/>
      <c r="Z107" s="2"/>
    </row>
    <row r="108" spans="1:26" ht="18" hidden="1" customHeight="1" x14ac:dyDescent="0.35">
      <c r="A108" s="2"/>
      <c r="B108" s="41" t="s">
        <v>35</v>
      </c>
      <c r="C108" s="85">
        <f t="shared" ref="C108:D108" si="34">C105</f>
        <v>0</v>
      </c>
      <c r="D108" s="85">
        <f t="shared" si="34"/>
        <v>0</v>
      </c>
      <c r="E108" s="85" t="str">
        <f>VLOOKUP($C$24,$A$178:$D$179,4)</f>
        <v>PU 30 mm</v>
      </c>
      <c r="F108" s="45">
        <v>1</v>
      </c>
      <c r="G108" s="2"/>
      <c r="H108" s="2"/>
      <c r="I108" s="2"/>
      <c r="J108" s="2"/>
      <c r="K108" s="2">
        <f t="shared" si="26"/>
        <v>0</v>
      </c>
      <c r="L108" s="2">
        <f t="shared" si="27"/>
        <v>0</v>
      </c>
      <c r="M108" s="71">
        <v>8.4599999999999991</v>
      </c>
      <c r="N108" s="71">
        <f>M108*L108</f>
        <v>0</v>
      </c>
      <c r="O108" s="3">
        <f t="shared" ref="O108:O125" si="35">IF(K108=0,0,(3.94*K108)+5)</f>
        <v>0</v>
      </c>
      <c r="P108" s="71">
        <f t="shared" ref="P108:P125" si="36">O108*MinuteMO</f>
        <v>0</v>
      </c>
      <c r="Q108" s="2"/>
      <c r="R108" s="254">
        <f>IF(K108=0,0,K108*VLOOKUP(E108,'Prix Matiere'!$A$4:$L$60,12))</f>
        <v>0</v>
      </c>
      <c r="S108" s="90">
        <f>IF(K108=0,0,R108*VLOOKUP(E108,'Prix Matiere'!$A$4:$L$60,11))</f>
        <v>0</v>
      </c>
      <c r="T108" s="2"/>
      <c r="U108" s="2"/>
      <c r="V108" s="2"/>
      <c r="W108" s="2"/>
      <c r="X108" s="2"/>
      <c r="Y108" s="2"/>
      <c r="Z108" s="2"/>
    </row>
    <row r="109" spans="1:26" ht="18" hidden="1" customHeight="1" x14ac:dyDescent="0.35">
      <c r="A109" s="2"/>
      <c r="B109" s="45" t="s">
        <v>36</v>
      </c>
      <c r="C109" s="85">
        <f>C105</f>
        <v>0</v>
      </c>
      <c r="D109" s="85">
        <f>D108</f>
        <v>0</v>
      </c>
      <c r="E109" s="85" t="str">
        <f>VLOOKUP($C$24,$A$178:$D$179,3)</f>
        <v>Ethafoam 30 mm</v>
      </c>
      <c r="F109" s="45">
        <v>1</v>
      </c>
      <c r="G109" s="2"/>
      <c r="H109" s="2"/>
      <c r="I109" s="87" t="str">
        <f t="shared" ref="I109:I125" si="37">I31</f>
        <v>Glissières</v>
      </c>
      <c r="J109" s="2"/>
      <c r="K109" s="2">
        <f t="shared" si="26"/>
        <v>0</v>
      </c>
      <c r="L109" s="2">
        <f t="shared" si="27"/>
        <v>0</v>
      </c>
      <c r="M109" s="71">
        <f>IF(E109=0,0,VLOOKUP(E109,'Prix Matiere'!$A$4:$J$60,10))</f>
        <v>13.804123711340205</v>
      </c>
      <c r="N109" s="71">
        <f t="shared" ref="N109:N125" si="38">IF(C109=0,0,(M109*L109)+10)</f>
        <v>0</v>
      </c>
      <c r="O109" s="3">
        <f t="shared" si="35"/>
        <v>0</v>
      </c>
      <c r="P109" s="71">
        <f t="shared" si="36"/>
        <v>0</v>
      </c>
      <c r="Q109" s="2"/>
      <c r="R109" s="254">
        <f>IF(K109=0,0,K109*VLOOKUP(E109,'Prix Matiere'!$A$4:$L$60,12))</f>
        <v>0</v>
      </c>
      <c r="S109" s="90">
        <f>IF(K109=0,0,R109*VLOOKUP(E109,'Prix Matiere'!$A$4:$L$60,11))</f>
        <v>0</v>
      </c>
      <c r="T109" s="2"/>
      <c r="U109" s="2"/>
      <c r="V109" s="2"/>
      <c r="W109" s="2"/>
      <c r="X109" s="2"/>
      <c r="Y109" s="2"/>
      <c r="Z109" s="2"/>
    </row>
    <row r="110" spans="1:26" ht="18" hidden="1" customHeight="1" x14ac:dyDescent="0.35">
      <c r="A110" s="2"/>
      <c r="B110" s="45">
        <f>IF(D32=0,0,"Glissières 1")</f>
        <v>0</v>
      </c>
      <c r="C110" s="85">
        <f t="shared" ref="C110:C125" si="39">IF(D32=0,0,F32)</f>
        <v>0</v>
      </c>
      <c r="D110" s="85">
        <f t="shared" ref="D110:D125" si="40">IF(D32=0,0,L32)</f>
        <v>0</v>
      </c>
      <c r="E110" s="85">
        <f t="shared" ref="E110:E125" si="41">IF(C110=0,0,"Ethafoam 50 mm")</f>
        <v>0</v>
      </c>
      <c r="F110" s="45">
        <f t="shared" ref="F110:F125" si="42">IF(D32=0,0,2)</f>
        <v>0</v>
      </c>
      <c r="G110" s="2"/>
      <c r="H110" s="2"/>
      <c r="I110" s="87">
        <f t="shared" si="37"/>
        <v>0</v>
      </c>
      <c r="J110" s="2"/>
      <c r="K110" s="2">
        <f t="shared" si="26"/>
        <v>0</v>
      </c>
      <c r="L110" s="2">
        <f t="shared" si="27"/>
        <v>0</v>
      </c>
      <c r="M110" s="71">
        <f>IF(E110=0,0,VLOOKUP(E110,'Prix Matiere'!$A$4:$J$60,10))</f>
        <v>0</v>
      </c>
      <c r="N110" s="71">
        <f t="shared" si="38"/>
        <v>0</v>
      </c>
      <c r="O110" s="3">
        <f t="shared" si="35"/>
        <v>0</v>
      </c>
      <c r="P110" s="71">
        <f t="shared" si="36"/>
        <v>0</v>
      </c>
      <c r="Q110" s="2"/>
      <c r="R110" s="254">
        <f>IF(K110=0,0,K110*VLOOKUP(E110,'Prix Matiere'!$A$4:$L$60,12))</f>
        <v>0</v>
      </c>
      <c r="S110" s="90">
        <f>IF(K110=0,0,R110*VLOOKUP(E110,'Prix Matiere'!$A$4:$L$60,11))</f>
        <v>0</v>
      </c>
      <c r="T110" s="2"/>
      <c r="U110" s="2"/>
      <c r="V110" s="2"/>
      <c r="W110" s="2"/>
      <c r="X110" s="2"/>
      <c r="Y110" s="2"/>
      <c r="Z110" s="2"/>
    </row>
    <row r="111" spans="1:26" ht="18" hidden="1" customHeight="1" x14ac:dyDescent="0.35">
      <c r="A111" s="2"/>
      <c r="B111" s="45">
        <f>IF(D33=0,0,"Glissières 2")</f>
        <v>0</v>
      </c>
      <c r="C111" s="85">
        <f t="shared" si="39"/>
        <v>0</v>
      </c>
      <c r="D111" s="85">
        <f t="shared" si="40"/>
        <v>0</v>
      </c>
      <c r="E111" s="85">
        <f t="shared" si="41"/>
        <v>0</v>
      </c>
      <c r="F111" s="45">
        <f t="shared" si="42"/>
        <v>0</v>
      </c>
      <c r="G111" s="2"/>
      <c r="H111" s="2"/>
      <c r="I111" s="87">
        <f t="shared" si="37"/>
        <v>0</v>
      </c>
      <c r="J111" s="2"/>
      <c r="K111" s="2">
        <f t="shared" si="26"/>
        <v>0</v>
      </c>
      <c r="L111" s="2">
        <f t="shared" si="27"/>
        <v>0</v>
      </c>
      <c r="M111" s="71">
        <f>IF(E111=0,0,VLOOKUP(E111,'Prix Matiere'!$A$4:$J$60,10))</f>
        <v>0</v>
      </c>
      <c r="N111" s="71">
        <f t="shared" si="38"/>
        <v>0</v>
      </c>
      <c r="O111" s="3">
        <f t="shared" si="35"/>
        <v>0</v>
      </c>
      <c r="P111" s="71">
        <f t="shared" si="36"/>
        <v>0</v>
      </c>
      <c r="Q111" s="2"/>
      <c r="R111" s="254">
        <f>IF(K111=0,0,K111*VLOOKUP(E111,'Prix Matiere'!$A$4:$L$60,12))</f>
        <v>0</v>
      </c>
      <c r="S111" s="90">
        <f>IF(K111=0,0,R111*VLOOKUP(E111,'Prix Matiere'!$A$4:$L$60,11))</f>
        <v>0</v>
      </c>
      <c r="T111" s="2"/>
      <c r="U111" s="2"/>
      <c r="V111" s="2"/>
      <c r="W111" s="2"/>
      <c r="X111" s="2"/>
      <c r="Y111" s="2"/>
      <c r="Z111" s="2"/>
    </row>
    <row r="112" spans="1:26" ht="18" hidden="1" customHeight="1" x14ac:dyDescent="0.35">
      <c r="A112" s="2"/>
      <c r="B112" s="45">
        <f>IF(D34=0,0,"Glissières 3")</f>
        <v>0</v>
      </c>
      <c r="C112" s="85">
        <f t="shared" si="39"/>
        <v>0</v>
      </c>
      <c r="D112" s="85">
        <f t="shared" si="40"/>
        <v>0</v>
      </c>
      <c r="E112" s="85">
        <f t="shared" si="41"/>
        <v>0</v>
      </c>
      <c r="F112" s="45">
        <f t="shared" si="42"/>
        <v>0</v>
      </c>
      <c r="G112" s="2"/>
      <c r="H112" s="2"/>
      <c r="I112" s="87">
        <f t="shared" si="37"/>
        <v>0</v>
      </c>
      <c r="J112" s="2"/>
      <c r="K112" s="2">
        <f t="shared" si="26"/>
        <v>0</v>
      </c>
      <c r="L112" s="2">
        <f t="shared" si="27"/>
        <v>0</v>
      </c>
      <c r="M112" s="71">
        <f>IF(E112=0,0,VLOOKUP(E112,'Prix Matiere'!$A$4:$J$60,10))</f>
        <v>0</v>
      </c>
      <c r="N112" s="71">
        <f t="shared" si="38"/>
        <v>0</v>
      </c>
      <c r="O112" s="3">
        <f t="shared" si="35"/>
        <v>0</v>
      </c>
      <c r="P112" s="71">
        <f t="shared" si="36"/>
        <v>0</v>
      </c>
      <c r="Q112" s="2"/>
      <c r="R112" s="254">
        <f>IF(K112=0,0,K112*VLOOKUP(E112,'Prix Matiere'!$A$4:$L$60,12))</f>
        <v>0</v>
      </c>
      <c r="S112" s="90">
        <f>IF(K112=0,0,R112*VLOOKUP(E112,'Prix Matiere'!$A$4:$L$60,11))</f>
        <v>0</v>
      </c>
      <c r="T112" s="2"/>
      <c r="U112" s="2"/>
      <c r="V112" s="2"/>
      <c r="W112" s="2"/>
      <c r="X112" s="2"/>
      <c r="Y112" s="2"/>
      <c r="Z112" s="2"/>
    </row>
    <row r="113" spans="1:26" ht="18" hidden="1" customHeight="1" x14ac:dyDescent="0.35">
      <c r="A113" s="2"/>
      <c r="B113" s="45">
        <f>IF(D35=0,0,"Glissières 4")</f>
        <v>0</v>
      </c>
      <c r="C113" s="85">
        <f t="shared" si="39"/>
        <v>0</v>
      </c>
      <c r="D113" s="85">
        <f t="shared" si="40"/>
        <v>0</v>
      </c>
      <c r="E113" s="85">
        <f t="shared" si="41"/>
        <v>0</v>
      </c>
      <c r="F113" s="45">
        <f t="shared" si="42"/>
        <v>0</v>
      </c>
      <c r="G113" s="2"/>
      <c r="H113" s="2"/>
      <c r="I113" s="87">
        <f t="shared" si="37"/>
        <v>0</v>
      </c>
      <c r="J113" s="2"/>
      <c r="K113" s="2">
        <f t="shared" si="26"/>
        <v>0</v>
      </c>
      <c r="L113" s="2">
        <f t="shared" si="27"/>
        <v>0</v>
      </c>
      <c r="M113" s="71">
        <f>IF(E113=0,0,VLOOKUP(E113,'Prix Matiere'!$A$4:$J$60,10))</f>
        <v>0</v>
      </c>
      <c r="N113" s="71">
        <f t="shared" si="38"/>
        <v>0</v>
      </c>
      <c r="O113" s="3">
        <f t="shared" si="35"/>
        <v>0</v>
      </c>
      <c r="P113" s="71">
        <f t="shared" si="36"/>
        <v>0</v>
      </c>
      <c r="Q113" s="2"/>
      <c r="R113" s="254">
        <f>IF(K113=0,0,K113*VLOOKUP(E113,'Prix Matiere'!$A$4:$L$60,12))</f>
        <v>0</v>
      </c>
      <c r="S113" s="90">
        <f>IF(K113=0,0,R113*VLOOKUP(E113,'Prix Matiere'!$A$4:$L$60,11))</f>
        <v>0</v>
      </c>
      <c r="T113" s="2"/>
      <c r="U113" s="2"/>
      <c r="V113" s="2"/>
      <c r="W113" s="2"/>
      <c r="X113" s="2"/>
      <c r="Y113" s="2"/>
      <c r="Z113" s="2"/>
    </row>
    <row r="114" spans="1:26" ht="18" hidden="1" customHeight="1" x14ac:dyDescent="0.35">
      <c r="A114" s="2"/>
      <c r="B114" s="45">
        <f>IF(D36=0,0,"Glissières 5")</f>
        <v>0</v>
      </c>
      <c r="C114" s="85">
        <f t="shared" si="39"/>
        <v>0</v>
      </c>
      <c r="D114" s="85">
        <f t="shared" si="40"/>
        <v>0</v>
      </c>
      <c r="E114" s="85">
        <f t="shared" si="41"/>
        <v>0</v>
      </c>
      <c r="F114" s="45">
        <f t="shared" si="42"/>
        <v>0</v>
      </c>
      <c r="G114" s="2"/>
      <c r="H114" s="2"/>
      <c r="I114" s="87">
        <f t="shared" si="37"/>
        <v>0</v>
      </c>
      <c r="J114" s="2"/>
      <c r="K114" s="2">
        <f t="shared" si="26"/>
        <v>0</v>
      </c>
      <c r="L114" s="2">
        <f t="shared" si="27"/>
        <v>0</v>
      </c>
      <c r="M114" s="71">
        <f>IF(E114=0,0,VLOOKUP(E114,'Prix Matiere'!$A$4:$J$60,10))</f>
        <v>0</v>
      </c>
      <c r="N114" s="71">
        <f t="shared" si="38"/>
        <v>0</v>
      </c>
      <c r="O114" s="3">
        <f t="shared" si="35"/>
        <v>0</v>
      </c>
      <c r="P114" s="71">
        <f t="shared" si="36"/>
        <v>0</v>
      </c>
      <c r="Q114" s="2"/>
      <c r="R114" s="254">
        <f>IF(K114=0,0,K114*VLOOKUP(E114,'Prix Matiere'!$A$4:$L$60,12))</f>
        <v>0</v>
      </c>
      <c r="S114" s="90">
        <f>IF(K114=0,0,R114*VLOOKUP(E114,'Prix Matiere'!$A$4:$L$60,11))</f>
        <v>0</v>
      </c>
      <c r="T114" s="2"/>
      <c r="U114" s="2"/>
      <c r="V114" s="2"/>
      <c r="W114" s="2"/>
      <c r="X114" s="2"/>
      <c r="Y114" s="2"/>
      <c r="Z114" s="2"/>
    </row>
    <row r="115" spans="1:26" ht="18" hidden="1" customHeight="1" x14ac:dyDescent="0.35">
      <c r="A115" s="2"/>
      <c r="B115" s="45">
        <f>IF(D37=0,0,"Glissières 6")</f>
        <v>0</v>
      </c>
      <c r="C115" s="85">
        <f t="shared" si="39"/>
        <v>0</v>
      </c>
      <c r="D115" s="85">
        <f t="shared" si="40"/>
        <v>0</v>
      </c>
      <c r="E115" s="85">
        <f t="shared" si="41"/>
        <v>0</v>
      </c>
      <c r="F115" s="45">
        <f t="shared" si="42"/>
        <v>0</v>
      </c>
      <c r="G115" s="2"/>
      <c r="H115" s="2"/>
      <c r="I115" s="87">
        <f t="shared" si="37"/>
        <v>0</v>
      </c>
      <c r="J115" s="2"/>
      <c r="K115" s="2">
        <f t="shared" si="26"/>
        <v>0</v>
      </c>
      <c r="L115" s="2">
        <f t="shared" si="27"/>
        <v>0</v>
      </c>
      <c r="M115" s="71">
        <f>IF(E115=0,0,VLOOKUP(E115,'Prix Matiere'!$A$4:$J$60,10))</f>
        <v>0</v>
      </c>
      <c r="N115" s="71">
        <f t="shared" si="38"/>
        <v>0</v>
      </c>
      <c r="O115" s="3">
        <f t="shared" si="35"/>
        <v>0</v>
      </c>
      <c r="P115" s="71">
        <f t="shared" si="36"/>
        <v>0</v>
      </c>
      <c r="Q115" s="2"/>
      <c r="R115" s="254">
        <f>IF(K115=0,0,K115*VLOOKUP(E115,'Prix Matiere'!$A$4:$L$60,12))</f>
        <v>0</v>
      </c>
      <c r="S115" s="90">
        <f>IF(K115=0,0,R115*VLOOKUP(E115,'Prix Matiere'!$A$4:$L$60,11))</f>
        <v>0</v>
      </c>
      <c r="T115" s="2"/>
      <c r="U115" s="2"/>
      <c r="V115" s="2"/>
      <c r="W115" s="2"/>
      <c r="X115" s="2"/>
      <c r="Y115" s="2"/>
      <c r="Z115" s="2"/>
    </row>
    <row r="116" spans="1:26" ht="18" hidden="1" customHeight="1" x14ac:dyDescent="0.35">
      <c r="A116" s="2"/>
      <c r="B116" s="45">
        <f>IF(D38=0,0,"Glissières 7")</f>
        <v>0</v>
      </c>
      <c r="C116" s="85">
        <f t="shared" si="39"/>
        <v>0</v>
      </c>
      <c r="D116" s="85">
        <f t="shared" si="40"/>
        <v>0</v>
      </c>
      <c r="E116" s="85">
        <f t="shared" si="41"/>
        <v>0</v>
      </c>
      <c r="F116" s="45">
        <f t="shared" si="42"/>
        <v>0</v>
      </c>
      <c r="G116" s="2"/>
      <c r="H116" s="2"/>
      <c r="I116" s="87">
        <f t="shared" si="37"/>
        <v>0</v>
      </c>
      <c r="J116" s="2"/>
      <c r="K116" s="2">
        <f t="shared" si="26"/>
        <v>0</v>
      </c>
      <c r="L116" s="2">
        <f t="shared" si="27"/>
        <v>0</v>
      </c>
      <c r="M116" s="71">
        <f>IF(E116=0,0,VLOOKUP(E116,'Prix Matiere'!$A$4:$J$60,10))</f>
        <v>0</v>
      </c>
      <c r="N116" s="71">
        <f t="shared" si="38"/>
        <v>0</v>
      </c>
      <c r="O116" s="3">
        <f t="shared" si="35"/>
        <v>0</v>
      </c>
      <c r="P116" s="71">
        <f t="shared" si="36"/>
        <v>0</v>
      </c>
      <c r="Q116" s="2"/>
      <c r="R116" s="254">
        <f>IF(K116=0,0,K116*VLOOKUP(E116,'Prix Matiere'!$A$4:$L$60,12))</f>
        <v>0</v>
      </c>
      <c r="S116" s="90">
        <f>IF(K116=0,0,R116*VLOOKUP(E116,'Prix Matiere'!$A$4:$L$60,11))</f>
        <v>0</v>
      </c>
      <c r="T116" s="2"/>
      <c r="U116" s="2"/>
      <c r="V116" s="2"/>
      <c r="W116" s="2"/>
      <c r="X116" s="2"/>
      <c r="Y116" s="2"/>
      <c r="Z116" s="2"/>
    </row>
    <row r="117" spans="1:26" ht="18" hidden="1" customHeight="1" x14ac:dyDescent="0.35">
      <c r="A117" s="2"/>
      <c r="B117" s="45">
        <f>IF(D39=0,0,"Glissières 8")</f>
        <v>0</v>
      </c>
      <c r="C117" s="85">
        <f t="shared" si="39"/>
        <v>0</v>
      </c>
      <c r="D117" s="85">
        <f t="shared" si="40"/>
        <v>0</v>
      </c>
      <c r="E117" s="85">
        <f t="shared" si="41"/>
        <v>0</v>
      </c>
      <c r="F117" s="45">
        <f t="shared" si="42"/>
        <v>0</v>
      </c>
      <c r="G117" s="2"/>
      <c r="H117" s="2"/>
      <c r="I117" s="87">
        <f t="shared" si="37"/>
        <v>0</v>
      </c>
      <c r="J117" s="2"/>
      <c r="K117" s="2">
        <f t="shared" si="26"/>
        <v>0</v>
      </c>
      <c r="L117" s="2">
        <f t="shared" si="27"/>
        <v>0</v>
      </c>
      <c r="M117" s="71">
        <f>IF(E117=0,0,VLOOKUP(E117,'Prix Matiere'!$A$4:$J$60,10))</f>
        <v>0</v>
      </c>
      <c r="N117" s="71">
        <f t="shared" si="38"/>
        <v>0</v>
      </c>
      <c r="O117" s="3">
        <f t="shared" si="35"/>
        <v>0</v>
      </c>
      <c r="P117" s="71">
        <f t="shared" si="36"/>
        <v>0</v>
      </c>
      <c r="Q117" s="2"/>
      <c r="R117" s="254">
        <f>IF(K117=0,0,K117*VLOOKUP(E117,'Prix Matiere'!$A$4:$L$60,12))</f>
        <v>0</v>
      </c>
      <c r="S117" s="90">
        <f>IF(K117=0,0,R117*VLOOKUP(E117,'Prix Matiere'!$A$4:$L$60,11))</f>
        <v>0</v>
      </c>
      <c r="T117" s="2"/>
      <c r="U117" s="2"/>
      <c r="V117" s="2"/>
      <c r="W117" s="2"/>
      <c r="X117" s="2"/>
      <c r="Y117" s="2"/>
      <c r="Z117" s="2"/>
    </row>
    <row r="118" spans="1:26" ht="18" hidden="1" customHeight="1" x14ac:dyDescent="0.35">
      <c r="A118" s="2"/>
      <c r="B118" s="45">
        <f>IF(D40=0,0,"Glissières 9")</f>
        <v>0</v>
      </c>
      <c r="C118" s="85">
        <f t="shared" si="39"/>
        <v>0</v>
      </c>
      <c r="D118" s="85">
        <f t="shared" si="40"/>
        <v>0</v>
      </c>
      <c r="E118" s="85">
        <f t="shared" si="41"/>
        <v>0</v>
      </c>
      <c r="F118" s="45">
        <f t="shared" si="42"/>
        <v>0</v>
      </c>
      <c r="G118" s="2"/>
      <c r="H118" s="2"/>
      <c r="I118" s="87">
        <f t="shared" si="37"/>
        <v>0</v>
      </c>
      <c r="J118" s="2"/>
      <c r="K118" s="2">
        <f t="shared" si="26"/>
        <v>0</v>
      </c>
      <c r="L118" s="2">
        <f t="shared" si="27"/>
        <v>0</v>
      </c>
      <c r="M118" s="71">
        <f>IF(E118=0,0,VLOOKUP(E118,'Prix Matiere'!$A$4:$J$60,10))</f>
        <v>0</v>
      </c>
      <c r="N118" s="71">
        <f t="shared" si="38"/>
        <v>0</v>
      </c>
      <c r="O118" s="3">
        <f t="shared" si="35"/>
        <v>0</v>
      </c>
      <c r="P118" s="71">
        <f t="shared" si="36"/>
        <v>0</v>
      </c>
      <c r="Q118" s="2"/>
      <c r="R118" s="254">
        <f>IF(K118=0,0,K118*VLOOKUP(E118,'Prix Matiere'!$A$4:$L$60,12))</f>
        <v>0</v>
      </c>
      <c r="S118" s="90">
        <f>IF(K118=0,0,R118*VLOOKUP(E118,'Prix Matiere'!$A$4:$L$60,11))</f>
        <v>0</v>
      </c>
      <c r="T118" s="2"/>
      <c r="U118" s="2"/>
      <c r="V118" s="2"/>
      <c r="W118" s="2"/>
      <c r="X118" s="2"/>
      <c r="Y118" s="2"/>
      <c r="Z118" s="2"/>
    </row>
    <row r="119" spans="1:26" ht="18" hidden="1" customHeight="1" x14ac:dyDescent="0.35">
      <c r="A119" s="2"/>
      <c r="B119" s="45">
        <f>IF(D41=0,0,"Glissières 10")</f>
        <v>0</v>
      </c>
      <c r="C119" s="85">
        <f t="shared" si="39"/>
        <v>0</v>
      </c>
      <c r="D119" s="85">
        <f t="shared" si="40"/>
        <v>0</v>
      </c>
      <c r="E119" s="85">
        <f t="shared" si="41"/>
        <v>0</v>
      </c>
      <c r="F119" s="45">
        <f t="shared" si="42"/>
        <v>0</v>
      </c>
      <c r="G119" s="2"/>
      <c r="H119" s="2"/>
      <c r="I119" s="87">
        <f t="shared" si="37"/>
        <v>0</v>
      </c>
      <c r="J119" s="2"/>
      <c r="K119" s="2">
        <f t="shared" si="26"/>
        <v>0</v>
      </c>
      <c r="L119" s="2">
        <f t="shared" si="27"/>
        <v>0</v>
      </c>
      <c r="M119" s="71">
        <f>IF(E119=0,0,VLOOKUP(E119,'Prix Matiere'!$A$4:$J$60,10))</f>
        <v>0</v>
      </c>
      <c r="N119" s="71">
        <f t="shared" si="38"/>
        <v>0</v>
      </c>
      <c r="O119" s="3">
        <f t="shared" si="35"/>
        <v>0</v>
      </c>
      <c r="P119" s="71">
        <f t="shared" si="36"/>
        <v>0</v>
      </c>
      <c r="Q119" s="2"/>
      <c r="R119" s="254">
        <f>IF(K119=0,0,K119*VLOOKUP(E119,'Prix Matiere'!$A$4:$L$60,12))</f>
        <v>0</v>
      </c>
      <c r="S119" s="90">
        <f>IF(K119=0,0,R119*VLOOKUP(E119,'Prix Matiere'!$A$4:$L$60,11))</f>
        <v>0</v>
      </c>
      <c r="T119" s="2"/>
      <c r="U119" s="2"/>
      <c r="V119" s="2"/>
      <c r="W119" s="2"/>
      <c r="X119" s="2"/>
      <c r="Y119" s="2"/>
      <c r="Z119" s="2"/>
    </row>
    <row r="120" spans="1:26" ht="18" hidden="1" customHeight="1" x14ac:dyDescent="0.35">
      <c r="A120" s="2"/>
      <c r="B120" s="45">
        <f>IF(D42=0,0,"Glissières 11")</f>
        <v>0</v>
      </c>
      <c r="C120" s="85">
        <f t="shared" si="39"/>
        <v>0</v>
      </c>
      <c r="D120" s="85">
        <f t="shared" si="40"/>
        <v>0</v>
      </c>
      <c r="E120" s="85">
        <f t="shared" si="41"/>
        <v>0</v>
      </c>
      <c r="F120" s="45">
        <f t="shared" si="42"/>
        <v>0</v>
      </c>
      <c r="G120" s="2"/>
      <c r="H120" s="2"/>
      <c r="I120" s="87">
        <f t="shared" si="37"/>
        <v>0</v>
      </c>
      <c r="J120" s="2"/>
      <c r="K120" s="2">
        <f t="shared" si="26"/>
        <v>0</v>
      </c>
      <c r="L120" s="2">
        <f t="shared" si="27"/>
        <v>0</v>
      </c>
      <c r="M120" s="71">
        <f>IF(E120=0,0,VLOOKUP(E120,'Prix Matiere'!$A$4:$J$60,10))</f>
        <v>0</v>
      </c>
      <c r="N120" s="71">
        <f t="shared" si="38"/>
        <v>0</v>
      </c>
      <c r="O120" s="3">
        <f t="shared" si="35"/>
        <v>0</v>
      </c>
      <c r="P120" s="71">
        <f t="shared" si="36"/>
        <v>0</v>
      </c>
      <c r="Q120" s="2"/>
      <c r="R120" s="254">
        <f>IF(K120=0,0,K120*VLOOKUP(E120,'Prix Matiere'!$A$4:$L$60,12))</f>
        <v>0</v>
      </c>
      <c r="S120" s="90">
        <f>IF(K120=0,0,R120*VLOOKUP(E120,'Prix Matiere'!$A$4:$L$60,11))</f>
        <v>0</v>
      </c>
      <c r="T120" s="2"/>
      <c r="U120" s="2"/>
      <c r="V120" s="2"/>
      <c r="W120" s="2"/>
      <c r="X120" s="2"/>
      <c r="Y120" s="2"/>
      <c r="Z120" s="2"/>
    </row>
    <row r="121" spans="1:26" ht="18" hidden="1" customHeight="1" x14ac:dyDescent="0.35">
      <c r="A121" s="2"/>
      <c r="B121" s="45">
        <f>IF(D43=0,0,"Glissières 12")</f>
        <v>0</v>
      </c>
      <c r="C121" s="85">
        <f t="shared" si="39"/>
        <v>0</v>
      </c>
      <c r="D121" s="85">
        <f t="shared" si="40"/>
        <v>0</v>
      </c>
      <c r="E121" s="85">
        <f t="shared" si="41"/>
        <v>0</v>
      </c>
      <c r="F121" s="45">
        <f t="shared" si="42"/>
        <v>0</v>
      </c>
      <c r="G121" s="2"/>
      <c r="H121" s="2"/>
      <c r="I121" s="87">
        <f t="shared" si="37"/>
        <v>0</v>
      </c>
      <c r="J121" s="2"/>
      <c r="K121" s="2">
        <f t="shared" si="26"/>
        <v>0</v>
      </c>
      <c r="L121" s="2">
        <f t="shared" si="27"/>
        <v>0</v>
      </c>
      <c r="M121" s="71">
        <f>IF(E121=0,0,VLOOKUP(E121,'Prix Matiere'!$A$4:$J$60,10))</f>
        <v>0</v>
      </c>
      <c r="N121" s="71">
        <f t="shared" si="38"/>
        <v>0</v>
      </c>
      <c r="O121" s="3">
        <f t="shared" si="35"/>
        <v>0</v>
      </c>
      <c r="P121" s="71">
        <f t="shared" si="36"/>
        <v>0</v>
      </c>
      <c r="Q121" s="2"/>
      <c r="R121" s="254">
        <f>IF(K121=0,0,K121*VLOOKUP(E121,'Prix Matiere'!$A$4:$L$60,12))</f>
        <v>0</v>
      </c>
      <c r="S121" s="90">
        <f>IF(K121=0,0,R121*VLOOKUP(E121,'Prix Matiere'!$A$4:$L$60,11))</f>
        <v>0</v>
      </c>
      <c r="T121" s="2"/>
      <c r="U121" s="2"/>
      <c r="V121" s="2"/>
      <c r="W121" s="2"/>
      <c r="X121" s="2"/>
      <c r="Y121" s="2"/>
      <c r="Z121" s="2"/>
    </row>
    <row r="122" spans="1:26" ht="18" hidden="1" customHeight="1" x14ac:dyDescent="0.35">
      <c r="A122" s="2"/>
      <c r="B122" s="45">
        <f>IF(D44=0,0,"Glissières 13")</f>
        <v>0</v>
      </c>
      <c r="C122" s="85">
        <f t="shared" si="39"/>
        <v>0</v>
      </c>
      <c r="D122" s="85">
        <f t="shared" si="40"/>
        <v>0</v>
      </c>
      <c r="E122" s="85">
        <f t="shared" si="41"/>
        <v>0</v>
      </c>
      <c r="F122" s="45">
        <f t="shared" si="42"/>
        <v>0</v>
      </c>
      <c r="G122" s="2"/>
      <c r="H122" s="2"/>
      <c r="I122" s="87">
        <f t="shared" si="37"/>
        <v>0</v>
      </c>
      <c r="J122" s="2"/>
      <c r="K122" s="2">
        <f t="shared" si="26"/>
        <v>0</v>
      </c>
      <c r="L122" s="2">
        <f t="shared" si="27"/>
        <v>0</v>
      </c>
      <c r="M122" s="71">
        <f>IF(E122=0,0,VLOOKUP(E122,'Prix Matiere'!$A$4:$J$60,10))</f>
        <v>0</v>
      </c>
      <c r="N122" s="71">
        <f t="shared" si="38"/>
        <v>0</v>
      </c>
      <c r="O122" s="3">
        <f t="shared" si="35"/>
        <v>0</v>
      </c>
      <c r="P122" s="71">
        <f t="shared" si="36"/>
        <v>0</v>
      </c>
      <c r="Q122" s="2"/>
      <c r="R122" s="254">
        <f>IF(K122=0,0,K122*VLOOKUP(E122,'Prix Matiere'!$A$4:$L$60,12))</f>
        <v>0</v>
      </c>
      <c r="S122" s="90">
        <f>IF(K122=0,0,R122*VLOOKUP(E122,'Prix Matiere'!$A$4:$L$60,11))</f>
        <v>0</v>
      </c>
      <c r="T122" s="2"/>
      <c r="U122" s="2"/>
      <c r="V122" s="2"/>
      <c r="W122" s="2"/>
      <c r="X122" s="2"/>
      <c r="Y122" s="2"/>
      <c r="Z122" s="2"/>
    </row>
    <row r="123" spans="1:26" ht="18" hidden="1" customHeight="1" x14ac:dyDescent="0.35">
      <c r="A123" s="2"/>
      <c r="B123" s="45">
        <f>IF(D45=0,0,"Glissières 14")</f>
        <v>0</v>
      </c>
      <c r="C123" s="85">
        <f t="shared" si="39"/>
        <v>0</v>
      </c>
      <c r="D123" s="85">
        <f t="shared" si="40"/>
        <v>0</v>
      </c>
      <c r="E123" s="85">
        <f t="shared" si="41"/>
        <v>0</v>
      </c>
      <c r="F123" s="45">
        <f t="shared" si="42"/>
        <v>0</v>
      </c>
      <c r="G123" s="2"/>
      <c r="H123" s="2"/>
      <c r="I123" s="87">
        <f t="shared" si="37"/>
        <v>0</v>
      </c>
      <c r="J123" s="2"/>
      <c r="K123" s="2">
        <f t="shared" si="26"/>
        <v>0</v>
      </c>
      <c r="L123" s="2">
        <f t="shared" si="27"/>
        <v>0</v>
      </c>
      <c r="M123" s="71">
        <f>IF(E123=0,0,VLOOKUP(E123,'Prix Matiere'!$A$4:$J$60,10))</f>
        <v>0</v>
      </c>
      <c r="N123" s="71">
        <f t="shared" si="38"/>
        <v>0</v>
      </c>
      <c r="O123" s="3">
        <f t="shared" si="35"/>
        <v>0</v>
      </c>
      <c r="P123" s="71">
        <f t="shared" si="36"/>
        <v>0</v>
      </c>
      <c r="Q123" s="2"/>
      <c r="R123" s="254">
        <f>IF(K123=0,0,K123*VLOOKUP(E123,'Prix Matiere'!$A$4:$L$60,12))</f>
        <v>0</v>
      </c>
      <c r="S123" s="90">
        <f>IF(K123=0,0,R123*VLOOKUP(E123,'Prix Matiere'!$A$4:$L$60,11))</f>
        <v>0</v>
      </c>
      <c r="T123" s="2"/>
      <c r="U123" s="2"/>
      <c r="V123" s="2"/>
      <c r="W123" s="2"/>
      <c r="X123" s="2"/>
      <c r="Y123" s="2"/>
      <c r="Z123" s="2"/>
    </row>
    <row r="124" spans="1:26" ht="18" hidden="1" customHeight="1" x14ac:dyDescent="0.35">
      <c r="A124" s="2"/>
      <c r="B124" s="45">
        <f>IF(D46=0,0,"Glissières 15")</f>
        <v>0</v>
      </c>
      <c r="C124" s="85">
        <f t="shared" si="39"/>
        <v>0</v>
      </c>
      <c r="D124" s="85">
        <f t="shared" si="40"/>
        <v>0</v>
      </c>
      <c r="E124" s="85">
        <f t="shared" si="41"/>
        <v>0</v>
      </c>
      <c r="F124" s="45">
        <f t="shared" si="42"/>
        <v>0</v>
      </c>
      <c r="G124" s="2"/>
      <c r="H124" s="2"/>
      <c r="I124" s="87">
        <f t="shared" si="37"/>
        <v>0</v>
      </c>
      <c r="J124" s="2"/>
      <c r="K124" s="2">
        <f t="shared" si="26"/>
        <v>0</v>
      </c>
      <c r="L124" s="2">
        <f t="shared" si="27"/>
        <v>0</v>
      </c>
      <c r="M124" s="71">
        <f>IF(E124=0,0,VLOOKUP(E124,'Prix Matiere'!$A$4:$J$60,10))</f>
        <v>0</v>
      </c>
      <c r="N124" s="71">
        <f t="shared" si="38"/>
        <v>0</v>
      </c>
      <c r="O124" s="3">
        <f t="shared" si="35"/>
        <v>0</v>
      </c>
      <c r="P124" s="71">
        <f t="shared" si="36"/>
        <v>0</v>
      </c>
      <c r="Q124" s="2"/>
      <c r="R124" s="254">
        <f>IF(K124=0,0,K124*VLOOKUP(E124,'Prix Matiere'!$A$4:$L$60,12))</f>
        <v>0</v>
      </c>
      <c r="S124" s="90">
        <f>IF(K124=0,0,R124*VLOOKUP(E124,'Prix Matiere'!$A$4:$L$60,11))</f>
        <v>0</v>
      </c>
      <c r="T124" s="2"/>
      <c r="U124" s="2"/>
      <c r="V124" s="2"/>
      <c r="W124" s="2"/>
      <c r="X124" s="2"/>
      <c r="Y124" s="2"/>
      <c r="Z124" s="2"/>
    </row>
    <row r="125" spans="1:26" ht="18" hidden="1" customHeight="1" x14ac:dyDescent="0.35">
      <c r="A125" s="2"/>
      <c r="B125" s="45">
        <f>IF(D47=0,0,"Glissières 16")</f>
        <v>0</v>
      </c>
      <c r="C125" s="85">
        <f t="shared" si="39"/>
        <v>0</v>
      </c>
      <c r="D125" s="85">
        <f t="shared" si="40"/>
        <v>0</v>
      </c>
      <c r="E125" s="85">
        <f t="shared" si="41"/>
        <v>0</v>
      </c>
      <c r="F125" s="45">
        <f t="shared" si="42"/>
        <v>0</v>
      </c>
      <c r="G125" s="2"/>
      <c r="H125" s="2"/>
      <c r="I125" s="87">
        <f t="shared" si="37"/>
        <v>0</v>
      </c>
      <c r="J125" s="2"/>
      <c r="K125" s="2">
        <f t="shared" si="26"/>
        <v>0</v>
      </c>
      <c r="L125" s="2">
        <f t="shared" si="27"/>
        <v>0</v>
      </c>
      <c r="M125" s="71">
        <f>IF(E125=0,0,VLOOKUP(E125,'Prix Matiere'!$A$4:$J$60,10))</f>
        <v>0</v>
      </c>
      <c r="N125" s="71">
        <f t="shared" si="38"/>
        <v>0</v>
      </c>
      <c r="O125" s="3">
        <f t="shared" si="35"/>
        <v>0</v>
      </c>
      <c r="P125" s="71">
        <f t="shared" si="36"/>
        <v>0</v>
      </c>
      <c r="Q125" s="2"/>
      <c r="R125" s="254">
        <f>IF(K125=0,0,K125*VLOOKUP(E125,'Prix Matiere'!$A$4:$L$60,12))</f>
        <v>0</v>
      </c>
      <c r="S125" s="90">
        <f>IF(K125=0,0,R125*VLOOKUP(E125,'Prix Matiere'!$A$4:$L$60,11))</f>
        <v>0</v>
      </c>
      <c r="T125" s="2"/>
      <c r="U125" s="2"/>
      <c r="V125" s="2"/>
      <c r="W125" s="2"/>
      <c r="X125" s="2"/>
      <c r="Y125" s="2"/>
      <c r="Z125" s="2"/>
    </row>
    <row r="126" spans="1:26" ht="18" hidden="1" customHeight="1" x14ac:dyDescent="0.35">
      <c r="A126" s="2"/>
      <c r="B126" s="2"/>
      <c r="C126" s="256"/>
      <c r="D126" s="256"/>
      <c r="E126" s="256"/>
      <c r="F126" s="2"/>
      <c r="G126" s="2"/>
      <c r="H126" s="2"/>
      <c r="I126" s="2"/>
      <c r="J126" s="2"/>
      <c r="K126" s="2"/>
      <c r="L126" s="2"/>
      <c r="M126" s="71"/>
      <c r="N126" s="71"/>
      <c r="O126" s="3"/>
      <c r="P126" s="71"/>
      <c r="Q126" s="2"/>
      <c r="R126" s="254">
        <f>IF(K126=0,0,K126*VLOOKUP(E126,'Prix Matiere'!$A$4:$L$60,12))</f>
        <v>0</v>
      </c>
      <c r="S126" s="90">
        <f>IF(K126=0,0,R126*VLOOKUP(E126,'Prix Matiere'!$A$4:$L$60,11))</f>
        <v>0</v>
      </c>
      <c r="T126" s="2"/>
      <c r="U126" s="2"/>
      <c r="V126" s="2"/>
      <c r="W126" s="2"/>
      <c r="X126" s="2"/>
      <c r="Y126" s="2"/>
      <c r="Z126" s="2"/>
    </row>
    <row r="127" spans="1:26" ht="18" hidden="1" customHeight="1" x14ac:dyDescent="0.35">
      <c r="A127" s="2">
        <f>IF(F32="Oui","Cuvette",0)</f>
        <v>0</v>
      </c>
      <c r="B127" s="2" t="str">
        <f>IF(F25="N",0,"GC 15 mm")</f>
        <v>GC 15 mm</v>
      </c>
      <c r="C127" s="256">
        <f>IF($F$25="Oui",D50+3,0)</f>
        <v>0</v>
      </c>
      <c r="D127" s="256">
        <f>IF($F$25="Oui",F49,0)</f>
        <v>0</v>
      </c>
      <c r="E127" s="259">
        <f t="shared" ref="E127:E128" si="43">IF(C127=0,0,"Peuplier 15 mm")</f>
        <v>0</v>
      </c>
      <c r="F127" s="2">
        <f t="shared" ref="F127:F128" si="44">IF($F$25="Oui",2,0)</f>
        <v>0</v>
      </c>
      <c r="G127" s="2"/>
      <c r="H127" s="2"/>
      <c r="I127" s="2"/>
      <c r="J127" s="2"/>
      <c r="K127" s="89">
        <f t="shared" ref="K127:K129" si="45">IF(C127=0,0,(C127/100)*(D127/100)*F127)</f>
        <v>0</v>
      </c>
      <c r="L127" s="89">
        <f t="shared" ref="L127:L129" si="46">K127/0.8</f>
        <v>0</v>
      </c>
      <c r="M127" s="71">
        <f>IF(C127=0,0,VLOOKUP(E127,'Prix Matiere'!$A$4:$J$65,10))</f>
        <v>0</v>
      </c>
      <c r="N127" s="71">
        <f t="shared" ref="N127:N129" si="47">M127*L127</f>
        <v>0</v>
      </c>
      <c r="O127" s="3">
        <f t="shared" ref="O127:O129" si="48">IF(K127=0,0,(6.0924*K127)+10)</f>
        <v>0</v>
      </c>
      <c r="P127" s="71">
        <f>O127*MinuteMO</f>
        <v>0</v>
      </c>
      <c r="Q127" s="2"/>
      <c r="R127" s="254">
        <f>IF(K127=0,0,K127*VLOOKUP(E127,'Prix Matiere'!$A$4:$L$60,12))</f>
        <v>0</v>
      </c>
      <c r="S127" s="90">
        <f>IF(K127=0,0,R127*VLOOKUP(E127,'Prix Matiere'!$A$4:$L$60,11))</f>
        <v>0</v>
      </c>
      <c r="T127" s="2"/>
      <c r="U127" s="2"/>
      <c r="V127" s="2"/>
      <c r="W127" s="2"/>
      <c r="X127" s="2"/>
      <c r="Y127" s="2"/>
      <c r="Z127" s="2"/>
    </row>
    <row r="128" spans="1:26" ht="18" hidden="1" customHeight="1" x14ac:dyDescent="0.35">
      <c r="A128" s="2"/>
      <c r="B128" s="2" t="str">
        <f>IF(F25="N",0,"Bouts 15 mm")</f>
        <v>Bouts 15 mm</v>
      </c>
      <c r="C128" s="256">
        <f>IF($F$25="Oui",E50,0)</f>
        <v>0</v>
      </c>
      <c r="D128" s="256">
        <f>D127</f>
        <v>0</v>
      </c>
      <c r="E128" s="259">
        <f t="shared" si="43"/>
        <v>0</v>
      </c>
      <c r="F128" s="2">
        <f t="shared" si="44"/>
        <v>0</v>
      </c>
      <c r="G128" s="2"/>
      <c r="H128" s="2"/>
      <c r="I128" s="2"/>
      <c r="J128" s="2"/>
      <c r="K128" s="89">
        <f t="shared" si="45"/>
        <v>0</v>
      </c>
      <c r="L128" s="89">
        <f t="shared" si="46"/>
        <v>0</v>
      </c>
      <c r="M128" s="71">
        <f>IF(C128=0,0,VLOOKUP(E128,'Prix Matiere'!$A$4:$J$65,10))</f>
        <v>0</v>
      </c>
      <c r="N128" s="71">
        <f t="shared" si="47"/>
        <v>0</v>
      </c>
      <c r="O128" s="3">
        <f t="shared" si="48"/>
        <v>0</v>
      </c>
      <c r="P128" s="71">
        <f>O128*MinuteMO</f>
        <v>0</v>
      </c>
      <c r="Q128" s="2"/>
      <c r="R128" s="254">
        <f>IF(K128=0,0,K128*VLOOKUP(E128,'Prix Matiere'!$A$4:$L$60,12))</f>
        <v>0</v>
      </c>
      <c r="S128" s="90">
        <f>IF(K128=0,0,R128*VLOOKUP(E128,'Prix Matiere'!$A$4:$L$60,11))</f>
        <v>0</v>
      </c>
      <c r="T128" s="2"/>
      <c r="U128" s="2"/>
      <c r="V128" s="2"/>
      <c r="W128" s="2"/>
      <c r="X128" s="2"/>
      <c r="Y128" s="2"/>
      <c r="Z128" s="2"/>
    </row>
    <row r="129" spans="1:26" ht="18" hidden="1" customHeight="1" x14ac:dyDescent="0.35">
      <c r="A129" s="2"/>
      <c r="B129" s="2" t="str">
        <f>IF(F25="N",0,"Fond cp 10 mm")</f>
        <v>Fond cp 10 mm</v>
      </c>
      <c r="C129" s="256">
        <f>IF($F$25="Oui",C127,0)</f>
        <v>0</v>
      </c>
      <c r="D129" s="256">
        <f>IF($F$25="Oui",C128+3,0)</f>
        <v>0</v>
      </c>
      <c r="E129" s="259">
        <f>IF(C129=0,0,"Peuplier 10 mm")</f>
        <v>0</v>
      </c>
      <c r="F129" s="2">
        <f>IF($F$25="Oui",1,0)</f>
        <v>0</v>
      </c>
      <c r="G129" s="2"/>
      <c r="H129" s="2"/>
      <c r="I129" s="2"/>
      <c r="J129" s="2"/>
      <c r="K129" s="89">
        <f t="shared" si="45"/>
        <v>0</v>
      </c>
      <c r="L129" s="89">
        <f t="shared" si="46"/>
        <v>0</v>
      </c>
      <c r="M129" s="71">
        <f>IF(C129=0,0,VLOOKUP(E129,'Prix Matiere'!$A$4:$J$65,10))</f>
        <v>0</v>
      </c>
      <c r="N129" s="71">
        <f t="shared" si="47"/>
        <v>0</v>
      </c>
      <c r="O129" s="3">
        <f t="shared" si="48"/>
        <v>0</v>
      </c>
      <c r="P129" s="71">
        <f>O129*MinuteMO</f>
        <v>0</v>
      </c>
      <c r="Q129" s="2"/>
      <c r="R129" s="254">
        <f>IF(K129=0,0,K129*VLOOKUP(E129,'Prix Matiere'!$A$4:$L$60,12))</f>
        <v>0</v>
      </c>
      <c r="S129" s="90">
        <f>IF(K129=0,0,R129*VLOOKUP(E129,'Prix Matiere'!$A$4:$L$60,11))</f>
        <v>0</v>
      </c>
      <c r="T129" s="2"/>
      <c r="U129" s="2"/>
      <c r="V129" s="2"/>
      <c r="W129" s="2"/>
      <c r="X129" s="2"/>
      <c r="Y129" s="2"/>
      <c r="Z129" s="2"/>
    </row>
    <row r="130" spans="1:26" ht="18" hidden="1" customHeight="1" x14ac:dyDescent="0.35">
      <c r="A130" s="2"/>
      <c r="B130" s="2"/>
      <c r="C130" s="256"/>
      <c r="D130" s="256"/>
      <c r="E130" s="256"/>
      <c r="F130" s="2"/>
      <c r="G130" s="2"/>
      <c r="H130" s="2"/>
      <c r="I130" s="2"/>
      <c r="J130" s="2"/>
      <c r="K130" s="2"/>
      <c r="L130" s="2"/>
      <c r="M130" s="71"/>
      <c r="N130" s="71"/>
      <c r="O130" s="3"/>
      <c r="P130" s="71"/>
      <c r="Q130" s="2"/>
      <c r="R130" s="254">
        <f>IF(K130=0,0,K130*VLOOKUP(E130,'Prix Matiere'!$A$4:$L$60,12))</f>
        <v>0</v>
      </c>
      <c r="S130" s="90">
        <f>IF(K130=0,0,R130*VLOOKUP(E130,'Prix Matiere'!$A$4:$L$60,11))</f>
        <v>0</v>
      </c>
      <c r="T130" s="2"/>
      <c r="U130" s="2"/>
      <c r="V130" s="2"/>
      <c r="W130" s="2"/>
      <c r="X130" s="2"/>
      <c r="Y130" s="2"/>
      <c r="Z130" s="2"/>
    </row>
    <row r="131" spans="1:26" ht="18" hidden="1" customHeight="1" x14ac:dyDescent="0.35">
      <c r="A131" s="2"/>
      <c r="B131" s="2" t="str">
        <f>IF(F25="N",0,"Mousse")</f>
        <v>Mousse</v>
      </c>
      <c r="C131" s="256">
        <f t="shared" ref="C131:D131" si="49">IF($F$25="Oui",D50,0)</f>
        <v>0</v>
      </c>
      <c r="D131" s="256">
        <f t="shared" si="49"/>
        <v>0</v>
      </c>
      <c r="E131" s="256">
        <f>IF(F25="Non",0,"PU 50 mm")</f>
        <v>0</v>
      </c>
      <c r="F131" s="256">
        <f>IF($F$25="Oui",F50/5,0)</f>
        <v>0</v>
      </c>
      <c r="G131" s="2"/>
      <c r="H131" s="2"/>
      <c r="I131" s="2"/>
      <c r="J131" s="2"/>
      <c r="K131" s="2">
        <f>IF(C131=0,0,(C131/100)*(D131/100)*F131)</f>
        <v>0</v>
      </c>
      <c r="L131" s="2">
        <f>K131/0.8</f>
        <v>0</v>
      </c>
      <c r="M131" s="71">
        <f>IF(C131=0,0,VLOOKUP(E131,'Prix Matiere'!$A$4:$J$65,10))</f>
        <v>0</v>
      </c>
      <c r="N131" s="71">
        <f>M131*L131</f>
        <v>0</v>
      </c>
      <c r="O131" s="3">
        <f>IF(K131=0,0,(3.94*K131)+5)</f>
        <v>0</v>
      </c>
      <c r="P131" s="71">
        <f>O131*MinuteMO</f>
        <v>0</v>
      </c>
      <c r="Q131" s="2"/>
      <c r="R131" s="254">
        <f>IF(K131=0,0,K131*VLOOKUP(E131,'Prix Matiere'!$A$4:$L$60,12))</f>
        <v>0</v>
      </c>
      <c r="S131" s="90">
        <f>IF(K131=0,0,R131*VLOOKUP(E131,'Prix Matiere'!$A$4:$L$60,11))</f>
        <v>0</v>
      </c>
      <c r="T131" s="2"/>
      <c r="U131" s="2"/>
      <c r="V131" s="2"/>
      <c r="W131" s="2"/>
      <c r="X131" s="2"/>
      <c r="Y131" s="2"/>
      <c r="Z131" s="2"/>
    </row>
    <row r="132" spans="1:26" ht="18" hidden="1" customHeight="1" x14ac:dyDescent="0.3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3"/>
      <c r="P132" s="2"/>
      <c r="Q132" s="2"/>
      <c r="R132" s="2"/>
      <c r="S132" s="90">
        <f>IF(K132=0,0,R132*VLOOKUP(E132,'Prix Matiere'!$A$4:$L$60,11))</f>
        <v>0</v>
      </c>
      <c r="T132" s="2"/>
      <c r="U132" s="2"/>
      <c r="V132" s="2"/>
      <c r="W132" s="2"/>
      <c r="X132" s="2"/>
      <c r="Y132" s="2"/>
      <c r="Z132" s="2"/>
    </row>
    <row r="133" spans="1:26" ht="18" hidden="1" customHeight="1" x14ac:dyDescent="0.3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3"/>
      <c r="P133" s="2"/>
      <c r="Q133" s="2"/>
      <c r="R133" s="2"/>
      <c r="S133" s="90">
        <f>IF(K133=0,0,R133*VLOOKUP(E133,'Prix Matiere'!$A$4:$L$60,11))</f>
        <v>0</v>
      </c>
      <c r="T133" s="2"/>
      <c r="U133" s="2"/>
      <c r="V133" s="2"/>
      <c r="W133" s="2"/>
      <c r="X133" s="2"/>
      <c r="Y133" s="2"/>
      <c r="Z133" s="2"/>
    </row>
    <row r="134" spans="1:26" ht="18" hidden="1" customHeight="1" x14ac:dyDescent="0.35">
      <c r="A134" s="2" t="s">
        <v>19</v>
      </c>
      <c r="B134" s="2">
        <f>IF(F20="Non",0,"Peinture")</f>
        <v>0</v>
      </c>
      <c r="C134" s="2"/>
      <c r="D134" s="2"/>
      <c r="E134" s="2"/>
      <c r="F134" s="2"/>
      <c r="G134" s="2"/>
      <c r="H134" s="2"/>
      <c r="I134" s="2"/>
      <c r="J134" s="2"/>
      <c r="K134" s="2">
        <f>IF(B134=0,0,(((C55/100)*(D55/100))+((C55/100)*(E55/100))+((D55/100)*(E55/100)))*2)</f>
        <v>0</v>
      </c>
      <c r="L134" s="2">
        <f>K134*0.5</f>
        <v>0</v>
      </c>
      <c r="M134" s="2">
        <f>IF(B134=0,0,VLOOKUP(B134,'Prix Matiere'!$A$4:$J$60,10))</f>
        <v>0</v>
      </c>
      <c r="N134" s="71">
        <f>L134*M134</f>
        <v>0</v>
      </c>
      <c r="O134" s="3">
        <f>IF(K134=0,0,IF(B134="Peinture",30+K134*15))</f>
        <v>0</v>
      </c>
      <c r="P134" s="71">
        <f>O134*MinuteMO</f>
        <v>0</v>
      </c>
      <c r="Q134" s="2"/>
      <c r="R134" s="254">
        <f>IF(K134=0,0,K134*VLOOKUP(B134,'Prix Matiere'!$A$4:$L$60,12))</f>
        <v>0</v>
      </c>
      <c r="S134" s="90">
        <f>IF(K134=0,0,R134*VLOOKUP(B134,'Prix Matiere'!$A$4:$L$60,11))</f>
        <v>0</v>
      </c>
      <c r="T134" s="2"/>
      <c r="U134" s="2"/>
      <c r="V134" s="2"/>
      <c r="W134" s="2"/>
      <c r="X134" s="2"/>
      <c r="Y134" s="2"/>
      <c r="Z134" s="2"/>
    </row>
    <row r="135" spans="1:26" ht="18" hidden="1" customHeight="1" x14ac:dyDescent="0.35">
      <c r="A135" s="2" t="s">
        <v>72</v>
      </c>
      <c r="B135" s="2" t="str">
        <f>C20</f>
        <v>Vis bois</v>
      </c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71">
        <f>IF(B135="Vis bois",0,(F5*2+F7*2)*1.5)</f>
        <v>0</v>
      </c>
      <c r="O135" s="3">
        <f>IF(B135="Vis bois",0,45)</f>
        <v>0</v>
      </c>
      <c r="P135" s="71">
        <f>O135*MinuteMO</f>
        <v>0</v>
      </c>
      <c r="Q135" s="2"/>
      <c r="R135" s="2"/>
      <c r="S135" s="90">
        <f>IF(K135=0,0,R135*VLOOKUP(E135,'Prix Matiere'!$A$4:$L$60,11))</f>
        <v>0</v>
      </c>
      <c r="T135" s="2"/>
      <c r="U135" s="2"/>
      <c r="V135" s="2"/>
      <c r="W135" s="2"/>
      <c r="X135" s="2"/>
      <c r="Y135" s="2"/>
      <c r="Z135" s="2"/>
    </row>
    <row r="136" spans="1:26" ht="18" hidden="1" customHeight="1" x14ac:dyDescent="0.3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3"/>
      <c r="P136" s="71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8" hidden="1" customHeight="1" x14ac:dyDescent="0.3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96"/>
      <c r="N137" s="96">
        <f t="shared" ref="N137:P137" si="50">SUM(N66:N136)</f>
        <v>-0.5560670103092783</v>
      </c>
      <c r="O137" s="97">
        <f t="shared" si="50"/>
        <v>1.95688</v>
      </c>
      <c r="P137" s="96">
        <f t="shared" si="50"/>
        <v>1.663348</v>
      </c>
      <c r="Q137" s="2"/>
      <c r="R137" s="254">
        <f t="shared" ref="R137:S137" si="51">SUM(R66:R136)</f>
        <v>-3.9199999999999985E-2</v>
      </c>
      <c r="S137" s="254">
        <f t="shared" si="51"/>
        <v>-1.8972799999999991E-2</v>
      </c>
      <c r="T137" s="2"/>
      <c r="U137" s="2"/>
      <c r="V137" s="2"/>
      <c r="W137" s="2"/>
      <c r="X137" s="2"/>
      <c r="Y137" s="2"/>
      <c r="Z137" s="2"/>
    </row>
    <row r="138" spans="1:26" ht="18" hidden="1" customHeight="1" x14ac:dyDescent="0.35">
      <c r="A138" s="2"/>
      <c r="B138" s="98" t="s">
        <v>73</v>
      </c>
      <c r="C138" s="99">
        <f>IF($F$10=0,0,N137)</f>
        <v>0</v>
      </c>
      <c r="D138" s="100"/>
      <c r="E138" s="302" t="s">
        <v>74</v>
      </c>
      <c r="F138" s="102" t="str">
        <f>CONCATENATE(ROUNDUP(SUM(L66:L69)+SUM(L127:L129),2)," m²")</f>
        <v>0 m²</v>
      </c>
      <c r="G138" s="303">
        <f>(SUM(N66:N69)+SUM(N127:N129))</f>
        <v>0</v>
      </c>
      <c r="H138" s="2"/>
      <c r="I138" s="2"/>
      <c r="J138" s="2"/>
      <c r="K138" s="2"/>
      <c r="L138" s="2"/>
      <c r="M138" s="2"/>
      <c r="N138" s="429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8" hidden="1" customHeight="1" x14ac:dyDescent="0.35">
      <c r="A139" s="2"/>
      <c r="B139" s="105" t="s">
        <v>75</v>
      </c>
      <c r="C139" s="71">
        <f>IF($F$10=0,0,P137)</f>
        <v>0</v>
      </c>
      <c r="D139" s="106">
        <f>IF($F$10=0,0,O137)</f>
        <v>0</v>
      </c>
      <c r="E139" s="304" t="s">
        <v>76</v>
      </c>
      <c r="F139" s="107" t="str">
        <f>CONCATENATE(ROUNDUP(SUM(L72:L81),2)," m²")</f>
        <v>-0,01 m²</v>
      </c>
      <c r="G139" s="305">
        <f>(SUM(N72:N81))</f>
        <v>-0.5560670103092783</v>
      </c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8" hidden="1" customHeight="1" x14ac:dyDescent="0.35">
      <c r="A140" s="2"/>
      <c r="B140" s="105" t="s">
        <v>77</v>
      </c>
      <c r="C140" s="71">
        <f>IF($F$10=0,0,((C138+C139)/Frais_Généraux)-(C138+C139))</f>
        <v>0</v>
      </c>
      <c r="D140" s="109"/>
      <c r="E140" s="304" t="s">
        <v>78</v>
      </c>
      <c r="F140" s="107" t="str">
        <f>CONCATENATE(ROUNDUP(SUM(L90:L92)+SUM(L101:L103),2)," m²")</f>
        <v>0 m²</v>
      </c>
      <c r="G140" s="305">
        <f>(SUM(N90:N92)+SUM(N101:N103))</f>
        <v>0</v>
      </c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8" hidden="1" customHeight="1" x14ac:dyDescent="0.35">
      <c r="A141" s="2"/>
      <c r="B141" s="105" t="s">
        <v>79</v>
      </c>
      <c r="C141" s="71">
        <f>IF($F$10=0,0,SUM(C138:C140))</f>
        <v>0</v>
      </c>
      <c r="D141" s="109"/>
      <c r="E141" s="304" t="s">
        <v>80</v>
      </c>
      <c r="F141" s="107" t="str">
        <f>CONCATENATE(ROUNDUP(SUM(L84:L86)+L131+SUM(L108:L125),2)," m²")</f>
        <v>0 m²</v>
      </c>
      <c r="G141" s="305">
        <f>(SUM(N84:N86)+N131+SUM(N108:N125))</f>
        <v>0</v>
      </c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8" hidden="1" customHeight="1" x14ac:dyDescent="0.35">
      <c r="A142" s="2"/>
      <c r="B142" s="105" t="s">
        <v>81</v>
      </c>
      <c r="C142" s="71">
        <f>IF($F$10=0,0,(C141/(1-Marge)-C141))</f>
        <v>0</v>
      </c>
      <c r="D142" s="110">
        <f>C141+C142</f>
        <v>0</v>
      </c>
      <c r="E142" s="304"/>
      <c r="F142" s="107"/>
      <c r="G142" s="430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8" hidden="1" customHeight="1" x14ac:dyDescent="0.35">
      <c r="A143" s="2"/>
      <c r="B143" s="111" t="s">
        <v>83</v>
      </c>
      <c r="C143" s="71">
        <f>IF($F$10="BOVIS",((C141+C142)*(1+C144))-(C141+C142),((C141+C142)*(1+D143))-(C141+C142))</f>
        <v>0</v>
      </c>
      <c r="D143" s="112"/>
      <c r="E143" s="304"/>
      <c r="F143" s="107"/>
      <c r="G143" s="430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8" hidden="1" customHeight="1" x14ac:dyDescent="0.35">
      <c r="A144" s="2"/>
      <c r="B144" s="111"/>
      <c r="C144" s="104">
        <f>IF($F$10="BOVIS",0.03,0)</f>
        <v>0</v>
      </c>
      <c r="D144" s="113"/>
      <c r="E144" s="304"/>
      <c r="F144" s="107"/>
      <c r="G144" s="430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8" hidden="1" customHeight="1" x14ac:dyDescent="0.35">
      <c r="A145" s="2"/>
      <c r="B145" s="114" t="s">
        <v>84</v>
      </c>
      <c r="C145" s="115">
        <f>SUM(C141:C144)</f>
        <v>0</v>
      </c>
      <c r="D145" s="271"/>
      <c r="E145" s="307" t="s">
        <v>85</v>
      </c>
      <c r="F145" s="15"/>
      <c r="G145" s="380">
        <f>C138-SUM(G138:G142)</f>
        <v>0.5560670103092783</v>
      </c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8" hidden="1" customHeight="1" x14ac:dyDescent="0.35">
      <c r="A146" s="76"/>
      <c r="B146" s="76"/>
      <c r="C146" s="76"/>
      <c r="D146" s="76"/>
      <c r="E146" s="76"/>
      <c r="F146" s="6"/>
      <c r="G146" s="76"/>
      <c r="H146" s="76"/>
      <c r="I146" s="76"/>
      <c r="J146" s="76"/>
      <c r="K146" s="76"/>
      <c r="L146" s="76"/>
      <c r="M146" s="76"/>
      <c r="N146" s="76"/>
      <c r="O146" s="76"/>
      <c r="P146" s="76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8" hidden="1" customHeight="1" x14ac:dyDescent="0.3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8" hidden="1" customHeight="1" x14ac:dyDescent="0.35">
      <c r="A148" s="327" t="s">
        <v>86</v>
      </c>
      <c r="B148" s="431" t="s">
        <v>86</v>
      </c>
      <c r="C148" s="431" t="s">
        <v>10</v>
      </c>
      <c r="D148" s="431">
        <v>1</v>
      </c>
      <c r="E148" s="329">
        <v>1.5</v>
      </c>
      <c r="F148" s="76"/>
      <c r="G148" s="76"/>
      <c r="H148" s="76"/>
      <c r="I148" s="76"/>
      <c r="J148" s="76"/>
      <c r="K148" s="76"/>
      <c r="L148" s="76"/>
      <c r="M148" s="76"/>
      <c r="N148" s="76"/>
      <c r="O148" s="76"/>
      <c r="P148" s="76"/>
      <c r="Q148" s="76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8" hidden="1" customHeight="1" x14ac:dyDescent="0.35">
      <c r="A149" s="337" t="s">
        <v>10</v>
      </c>
      <c r="B149" s="432" t="s">
        <v>10</v>
      </c>
      <c r="C149" s="432" t="s">
        <v>10</v>
      </c>
      <c r="D149" s="432">
        <v>1.5</v>
      </c>
      <c r="E149" s="433">
        <v>1.5</v>
      </c>
      <c r="F149" s="76"/>
      <c r="G149" s="76"/>
      <c r="H149" s="76"/>
      <c r="I149" s="76"/>
      <c r="J149" s="76"/>
      <c r="K149" s="76"/>
      <c r="L149" s="76"/>
      <c r="M149" s="76"/>
      <c r="N149" s="76"/>
      <c r="O149" s="76"/>
      <c r="P149" s="76"/>
      <c r="Q149" s="76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8" hidden="1" customHeight="1" x14ac:dyDescent="0.3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8" hidden="1" customHeight="1" x14ac:dyDescent="0.35">
      <c r="A151" s="327" t="s">
        <v>88</v>
      </c>
      <c r="B151" s="431" t="s">
        <v>89</v>
      </c>
      <c r="C151" s="431" t="s">
        <v>89</v>
      </c>
      <c r="D151" s="329">
        <v>1.9</v>
      </c>
      <c r="E151" s="76"/>
      <c r="F151" s="76"/>
      <c r="G151" s="76"/>
      <c r="H151" s="76"/>
      <c r="I151" s="76"/>
      <c r="J151" s="76"/>
      <c r="K151" s="76"/>
      <c r="L151" s="76"/>
      <c r="M151" s="76"/>
      <c r="N151" s="76"/>
      <c r="O151" s="76"/>
      <c r="P151" s="76"/>
      <c r="Q151" s="76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8" hidden="1" customHeight="1" x14ac:dyDescent="0.35">
      <c r="A152" s="337" t="s">
        <v>12</v>
      </c>
      <c r="B152" s="432" t="s">
        <v>90</v>
      </c>
      <c r="C152" s="432" t="s">
        <v>90</v>
      </c>
      <c r="D152" s="433">
        <v>2.1</v>
      </c>
      <c r="E152" s="76"/>
      <c r="F152" s="76"/>
      <c r="G152" s="76"/>
      <c r="H152" s="76"/>
      <c r="I152" s="76"/>
      <c r="J152" s="76"/>
      <c r="K152" s="76"/>
      <c r="L152" s="76"/>
      <c r="M152" s="76"/>
      <c r="N152" s="76"/>
      <c r="O152" s="76"/>
      <c r="P152" s="76"/>
      <c r="Q152" s="76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8" hidden="1" customHeight="1" x14ac:dyDescent="0.3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8" hidden="1" customHeight="1" x14ac:dyDescent="0.35">
      <c r="A154" s="119">
        <v>1</v>
      </c>
      <c r="B154" s="120">
        <v>2</v>
      </c>
      <c r="C154" s="120">
        <v>3</v>
      </c>
      <c r="D154" s="120">
        <v>4</v>
      </c>
      <c r="E154" s="130">
        <v>5</v>
      </c>
      <c r="F154" s="130">
        <v>6</v>
      </c>
      <c r="G154" s="130">
        <v>7</v>
      </c>
      <c r="H154" s="131">
        <v>8</v>
      </c>
      <c r="I154" s="434">
        <v>9</v>
      </c>
      <c r="J154" s="131">
        <v>10</v>
      </c>
      <c r="K154" s="131">
        <v>11</v>
      </c>
      <c r="L154" s="132">
        <v>12</v>
      </c>
      <c r="M154" s="132">
        <v>13</v>
      </c>
      <c r="N154" s="133">
        <v>14</v>
      </c>
      <c r="O154" s="131">
        <v>15</v>
      </c>
      <c r="P154" s="131">
        <v>16</v>
      </c>
      <c r="Q154" s="134">
        <v>17</v>
      </c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8" hidden="1" customHeight="1" x14ac:dyDescent="0.35">
      <c r="A155" s="135"/>
      <c r="B155" s="136"/>
      <c r="C155" s="136"/>
      <c r="D155" s="136"/>
      <c r="E155" s="137" t="s">
        <v>80</v>
      </c>
      <c r="F155" s="137" t="s">
        <v>91</v>
      </c>
      <c r="G155" s="137" t="s">
        <v>34</v>
      </c>
      <c r="H155" s="138" t="s">
        <v>65</v>
      </c>
      <c r="I155" s="435"/>
      <c r="J155" s="138" t="s">
        <v>92</v>
      </c>
      <c r="K155" s="138" t="s">
        <v>93</v>
      </c>
      <c r="L155" s="139" t="s">
        <v>67</v>
      </c>
      <c r="M155" s="139" t="s">
        <v>94</v>
      </c>
      <c r="N155" s="140" t="s">
        <v>95</v>
      </c>
      <c r="O155" s="138" t="s">
        <v>69</v>
      </c>
      <c r="P155" s="138" t="s">
        <v>96</v>
      </c>
      <c r="Q155" s="141" t="s">
        <v>97</v>
      </c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8" hidden="1" customHeight="1" x14ac:dyDescent="0.35">
      <c r="A156" s="124"/>
      <c r="B156" s="308"/>
      <c r="C156" s="308"/>
      <c r="D156" s="308"/>
      <c r="E156" s="142"/>
      <c r="F156" s="142"/>
      <c r="G156" s="142"/>
      <c r="H156" s="143"/>
      <c r="I156" s="76"/>
      <c r="J156" s="143"/>
      <c r="K156" s="143"/>
      <c r="L156" s="144"/>
      <c r="M156" s="144"/>
      <c r="N156" s="145">
        <v>0</v>
      </c>
      <c r="O156" s="143"/>
      <c r="P156" s="143"/>
      <c r="Q156" s="146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8" hidden="1" customHeight="1" x14ac:dyDescent="0.35">
      <c r="A157" s="124" t="s">
        <v>16</v>
      </c>
      <c r="B157" s="308">
        <v>0</v>
      </c>
      <c r="C157" s="308">
        <v>0</v>
      </c>
      <c r="D157" s="308">
        <v>0</v>
      </c>
      <c r="E157" s="142">
        <v>0</v>
      </c>
      <c r="F157" s="142">
        <v>0</v>
      </c>
      <c r="G157" s="142">
        <v>0</v>
      </c>
      <c r="H157" s="143">
        <v>0</v>
      </c>
      <c r="I157" s="76"/>
      <c r="J157" s="143">
        <v>0</v>
      </c>
      <c r="K157" s="143">
        <v>0</v>
      </c>
      <c r="L157" s="144">
        <v>0</v>
      </c>
      <c r="M157" s="144">
        <v>0</v>
      </c>
      <c r="N157" s="145">
        <v>0</v>
      </c>
      <c r="O157" s="143">
        <v>0</v>
      </c>
      <c r="P157" s="143">
        <v>0</v>
      </c>
      <c r="Q157" s="146">
        <v>0</v>
      </c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8" hidden="1" customHeight="1" x14ac:dyDescent="0.35">
      <c r="A158" s="124" t="s">
        <v>98</v>
      </c>
      <c r="B158" s="308">
        <f t="shared" ref="B158:D158" si="52">(3+1.25+3)*2</f>
        <v>14.5</v>
      </c>
      <c r="C158" s="308">
        <f t="shared" si="52"/>
        <v>14.5</v>
      </c>
      <c r="D158" s="308">
        <f t="shared" si="52"/>
        <v>14.5</v>
      </c>
      <c r="E158" s="142">
        <v>0</v>
      </c>
      <c r="F158" s="142">
        <v>0</v>
      </c>
      <c r="G158" s="142">
        <v>0</v>
      </c>
      <c r="H158" s="143">
        <v>6</v>
      </c>
      <c r="I158" s="143"/>
      <c r="J158" s="143" t="s">
        <v>99</v>
      </c>
      <c r="K158" s="143">
        <v>2</v>
      </c>
      <c r="L158" s="144">
        <v>2.5</v>
      </c>
      <c r="M158" s="144" t="s">
        <v>86</v>
      </c>
      <c r="N158" s="147">
        <v>4</v>
      </c>
      <c r="O158" s="143">
        <v>6</v>
      </c>
      <c r="P158" s="143" t="s">
        <v>99</v>
      </c>
      <c r="Q158" s="148">
        <v>2</v>
      </c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8" hidden="1" customHeight="1" x14ac:dyDescent="0.35">
      <c r="A159" s="124" t="s">
        <v>100</v>
      </c>
      <c r="B159" s="308">
        <f t="shared" ref="B159:D159" si="53">(5+1.25+5)*2</f>
        <v>22.5</v>
      </c>
      <c r="C159" s="308">
        <f t="shared" si="53"/>
        <v>22.5</v>
      </c>
      <c r="D159" s="308">
        <f t="shared" si="53"/>
        <v>22.5</v>
      </c>
      <c r="E159" s="142">
        <v>0</v>
      </c>
      <c r="F159" s="142">
        <v>0</v>
      </c>
      <c r="G159" s="142">
        <v>0</v>
      </c>
      <c r="H159" s="143">
        <v>10</v>
      </c>
      <c r="I159" s="143"/>
      <c r="J159" s="143" t="s">
        <v>101</v>
      </c>
      <c r="K159" s="143">
        <v>2</v>
      </c>
      <c r="L159" s="144">
        <v>2.5</v>
      </c>
      <c r="M159" s="144" t="s">
        <v>86</v>
      </c>
      <c r="N159" s="147">
        <v>4</v>
      </c>
      <c r="O159" s="143">
        <v>10</v>
      </c>
      <c r="P159" s="143" t="s">
        <v>101</v>
      </c>
      <c r="Q159" s="148">
        <v>2</v>
      </c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8" hidden="1" customHeight="1" x14ac:dyDescent="0.35">
      <c r="A160" s="124" t="s">
        <v>102</v>
      </c>
      <c r="B160" s="308">
        <f t="shared" ref="B160:D160" si="54">(3)*2</f>
        <v>6</v>
      </c>
      <c r="C160" s="308">
        <f t="shared" si="54"/>
        <v>6</v>
      </c>
      <c r="D160" s="308">
        <f t="shared" si="54"/>
        <v>6</v>
      </c>
      <c r="E160" s="142">
        <v>0</v>
      </c>
      <c r="F160" s="142">
        <v>0</v>
      </c>
      <c r="G160" s="142">
        <v>0</v>
      </c>
      <c r="H160" s="143">
        <v>6</v>
      </c>
      <c r="I160" s="143"/>
      <c r="J160" s="143" t="s">
        <v>99</v>
      </c>
      <c r="K160" s="143">
        <v>2</v>
      </c>
      <c r="L160" s="144">
        <v>0</v>
      </c>
      <c r="M160" s="144">
        <v>0</v>
      </c>
      <c r="N160" s="147">
        <v>0</v>
      </c>
      <c r="O160" s="143">
        <v>0</v>
      </c>
      <c r="P160" s="143"/>
      <c r="Q160" s="148">
        <v>0</v>
      </c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8" hidden="1" customHeight="1" x14ac:dyDescent="0.35">
      <c r="A161" s="124" t="s">
        <v>103</v>
      </c>
      <c r="B161" s="308">
        <f t="shared" ref="B161:D161" si="55">(5)*2</f>
        <v>10</v>
      </c>
      <c r="C161" s="308">
        <f t="shared" si="55"/>
        <v>10</v>
      </c>
      <c r="D161" s="308">
        <f t="shared" si="55"/>
        <v>10</v>
      </c>
      <c r="E161" s="142">
        <v>0</v>
      </c>
      <c r="F161" s="142">
        <v>0</v>
      </c>
      <c r="G161" s="142">
        <v>0</v>
      </c>
      <c r="H161" s="143">
        <v>10</v>
      </c>
      <c r="I161" s="143"/>
      <c r="J161" s="143" t="s">
        <v>101</v>
      </c>
      <c r="K161" s="143">
        <v>2</v>
      </c>
      <c r="L161" s="144">
        <v>0</v>
      </c>
      <c r="M161" s="144">
        <v>0</v>
      </c>
      <c r="N161" s="147">
        <v>0</v>
      </c>
      <c r="O161" s="143">
        <v>0</v>
      </c>
      <c r="P161" s="143"/>
      <c r="Q161" s="148">
        <v>0</v>
      </c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8" hidden="1" customHeight="1" x14ac:dyDescent="0.35">
      <c r="A162" s="124" t="s">
        <v>104</v>
      </c>
      <c r="B162" s="308">
        <f t="shared" ref="B162:D162" si="56">(3+3+1.25+3)*2</f>
        <v>20.5</v>
      </c>
      <c r="C162" s="308">
        <f t="shared" si="56"/>
        <v>20.5</v>
      </c>
      <c r="D162" s="308">
        <f t="shared" si="56"/>
        <v>20.5</v>
      </c>
      <c r="E162" s="142">
        <v>6</v>
      </c>
      <c r="F162" s="142" t="s">
        <v>105</v>
      </c>
      <c r="G162" s="142">
        <v>2</v>
      </c>
      <c r="H162" s="143">
        <v>6</v>
      </c>
      <c r="I162" s="143"/>
      <c r="J162" s="143" t="s">
        <v>99</v>
      </c>
      <c r="K162" s="143">
        <v>2</v>
      </c>
      <c r="L162" s="144">
        <v>2.5</v>
      </c>
      <c r="M162" s="144" t="s">
        <v>86</v>
      </c>
      <c r="N162" s="147">
        <v>4</v>
      </c>
      <c r="O162" s="143">
        <v>6</v>
      </c>
      <c r="P162" s="143" t="s">
        <v>99</v>
      </c>
      <c r="Q162" s="148">
        <v>2</v>
      </c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8" hidden="1" customHeight="1" x14ac:dyDescent="0.35">
      <c r="A163" s="127" t="s">
        <v>106</v>
      </c>
      <c r="B163" s="128">
        <f t="shared" ref="B163:D163" si="57">(5+5+1.25+5)*2</f>
        <v>32.5</v>
      </c>
      <c r="C163" s="128">
        <f t="shared" si="57"/>
        <v>32.5</v>
      </c>
      <c r="D163" s="128">
        <f t="shared" si="57"/>
        <v>32.5</v>
      </c>
      <c r="E163" s="149">
        <v>10</v>
      </c>
      <c r="F163" s="149" t="s">
        <v>27</v>
      </c>
      <c r="G163" s="149">
        <v>2</v>
      </c>
      <c r="H163" s="150">
        <v>10</v>
      </c>
      <c r="I163" s="150"/>
      <c r="J163" s="150" t="s">
        <v>101</v>
      </c>
      <c r="K163" s="150">
        <v>2</v>
      </c>
      <c r="L163" s="151">
        <v>2.5</v>
      </c>
      <c r="M163" s="151" t="s">
        <v>86</v>
      </c>
      <c r="N163" s="152">
        <v>4</v>
      </c>
      <c r="O163" s="150">
        <v>10</v>
      </c>
      <c r="P163" s="150" t="s">
        <v>101</v>
      </c>
      <c r="Q163" s="153">
        <v>2</v>
      </c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8" hidden="1" customHeight="1" x14ac:dyDescent="0.3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8" hidden="1" customHeight="1" x14ac:dyDescent="0.35">
      <c r="A165" s="327" t="s">
        <v>107</v>
      </c>
      <c r="B165" s="329">
        <v>1</v>
      </c>
      <c r="C165" s="76"/>
      <c r="D165" s="76"/>
      <c r="E165" s="76"/>
      <c r="F165" s="76"/>
      <c r="G165" s="76"/>
      <c r="H165" s="76"/>
      <c r="I165" s="76"/>
      <c r="J165" s="76"/>
      <c r="K165" s="76"/>
      <c r="L165" s="76"/>
      <c r="M165" s="76"/>
      <c r="N165" s="76"/>
      <c r="O165" s="76"/>
      <c r="P165" s="76"/>
      <c r="Q165" s="76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8" hidden="1" customHeight="1" x14ac:dyDescent="0.35">
      <c r="A166" s="337" t="s">
        <v>18</v>
      </c>
      <c r="B166" s="433">
        <v>0</v>
      </c>
      <c r="C166" s="76"/>
      <c r="D166" s="76"/>
      <c r="E166" s="76"/>
      <c r="F166" s="76"/>
      <c r="G166" s="76"/>
      <c r="H166" s="76"/>
      <c r="I166" s="76"/>
      <c r="J166" s="76"/>
      <c r="K166" s="76"/>
      <c r="L166" s="76"/>
      <c r="M166" s="76"/>
      <c r="N166" s="76"/>
      <c r="O166" s="76"/>
      <c r="P166" s="76"/>
      <c r="Q166" s="76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8" hidden="1" customHeight="1" x14ac:dyDescent="0.35">
      <c r="A167" s="76"/>
      <c r="B167" s="76"/>
      <c r="C167" s="76"/>
      <c r="D167" s="76"/>
      <c r="E167" s="76"/>
      <c r="F167" s="76"/>
      <c r="G167" s="76"/>
      <c r="H167" s="76"/>
      <c r="I167" s="76"/>
      <c r="J167" s="76"/>
      <c r="K167" s="76"/>
      <c r="L167" s="76"/>
      <c r="M167" s="76"/>
      <c r="N167" s="76"/>
      <c r="O167" s="76"/>
      <c r="P167" s="76"/>
      <c r="Q167" s="76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8" hidden="1" customHeight="1" x14ac:dyDescent="0.35">
      <c r="A168" s="436" t="s">
        <v>22</v>
      </c>
      <c r="B168" s="329">
        <v>4.2</v>
      </c>
      <c r="C168" s="76"/>
      <c r="D168" s="76"/>
      <c r="E168" s="76"/>
      <c r="F168" s="76"/>
      <c r="G168" s="76"/>
      <c r="H168" s="76"/>
      <c r="I168" s="76"/>
      <c r="J168" s="76"/>
      <c r="K168" s="76"/>
      <c r="L168" s="76"/>
      <c r="M168" s="76"/>
      <c r="N168" s="76"/>
      <c r="O168" s="76"/>
      <c r="P168" s="76"/>
      <c r="Q168" s="76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8" hidden="1" customHeight="1" x14ac:dyDescent="0.35">
      <c r="A169" s="437" t="s">
        <v>20</v>
      </c>
      <c r="B169" s="336">
        <v>0</v>
      </c>
      <c r="C169" s="76"/>
      <c r="D169" s="76"/>
      <c r="E169" s="76"/>
      <c r="F169" s="76"/>
      <c r="G169" s="76"/>
      <c r="H169" s="76"/>
      <c r="I169" s="76"/>
      <c r="J169" s="76"/>
      <c r="K169" s="76"/>
      <c r="L169" s="76"/>
      <c r="M169" s="76"/>
      <c r="N169" s="76"/>
      <c r="O169" s="76"/>
      <c r="P169" s="76"/>
      <c r="Q169" s="76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8" hidden="1" customHeight="1" x14ac:dyDescent="0.35">
      <c r="A170" s="438"/>
      <c r="B170" s="433"/>
      <c r="C170" s="76"/>
      <c r="D170" s="76"/>
      <c r="E170" s="76"/>
      <c r="F170" s="76"/>
      <c r="G170" s="76"/>
      <c r="H170" s="76"/>
      <c r="I170" s="76"/>
      <c r="J170" s="76"/>
      <c r="K170" s="76"/>
      <c r="L170" s="76"/>
      <c r="M170" s="76"/>
      <c r="N170" s="76"/>
      <c r="O170" s="76"/>
      <c r="P170" s="76"/>
      <c r="Q170" s="76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8" hidden="1" customHeight="1" x14ac:dyDescent="0.35">
      <c r="A171" s="76"/>
      <c r="B171" s="76"/>
      <c r="C171" s="76"/>
      <c r="D171" s="76"/>
      <c r="E171" s="76"/>
      <c r="F171" s="76"/>
      <c r="G171" s="76"/>
      <c r="H171" s="76"/>
      <c r="I171" s="76"/>
      <c r="J171" s="76"/>
      <c r="K171" s="76"/>
      <c r="L171" s="76"/>
      <c r="M171" s="76"/>
      <c r="N171" s="76"/>
      <c r="O171" s="76"/>
      <c r="P171" s="76"/>
      <c r="Q171" s="76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8" hidden="1" customHeight="1" x14ac:dyDescent="0.35">
      <c r="A172" s="119" t="s">
        <v>110</v>
      </c>
      <c r="B172" s="120">
        <v>0</v>
      </c>
      <c r="C172" s="120"/>
      <c r="D172" s="121">
        <v>0</v>
      </c>
      <c r="E172" s="76"/>
      <c r="F172" s="76"/>
      <c r="G172" s="76"/>
      <c r="H172" s="76"/>
      <c r="I172" s="76"/>
      <c r="J172" s="76"/>
      <c r="K172" s="76"/>
      <c r="L172" s="76"/>
      <c r="M172" s="76"/>
      <c r="N172" s="76"/>
      <c r="O172" s="76"/>
      <c r="P172" s="76"/>
      <c r="Q172" s="76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8" hidden="1" customHeight="1" x14ac:dyDescent="0.35">
      <c r="A173" s="124" t="s">
        <v>111</v>
      </c>
      <c r="B173" s="308">
        <v>10</v>
      </c>
      <c r="C173" s="308">
        <v>40</v>
      </c>
      <c r="D173" s="126">
        <v>12</v>
      </c>
      <c r="E173" s="76"/>
      <c r="F173" s="76"/>
      <c r="G173" s="76"/>
      <c r="H173" s="76"/>
      <c r="I173" s="76"/>
      <c r="J173" s="76"/>
      <c r="K173" s="76"/>
      <c r="L173" s="76"/>
      <c r="M173" s="76"/>
      <c r="N173" s="76"/>
      <c r="O173" s="76"/>
      <c r="P173" s="76"/>
      <c r="Q173" s="76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8" hidden="1" customHeight="1" x14ac:dyDescent="0.35">
      <c r="A174" s="124" t="s">
        <v>16</v>
      </c>
      <c r="B174" s="308">
        <v>0</v>
      </c>
      <c r="C174" s="308"/>
      <c r="D174" s="126">
        <v>0</v>
      </c>
      <c r="E174" s="76"/>
      <c r="F174" s="76"/>
      <c r="G174" s="76"/>
      <c r="H174" s="76"/>
      <c r="I174" s="76"/>
      <c r="J174" s="76"/>
      <c r="K174" s="76"/>
      <c r="L174" s="76"/>
      <c r="M174" s="76"/>
      <c r="N174" s="76"/>
      <c r="O174" s="76"/>
      <c r="P174" s="76"/>
      <c r="Q174" s="76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8" hidden="1" customHeight="1" x14ac:dyDescent="0.35">
      <c r="A175" s="157" t="s">
        <v>112</v>
      </c>
      <c r="B175" s="128">
        <v>5</v>
      </c>
      <c r="C175" s="128">
        <v>20</v>
      </c>
      <c r="D175" s="129">
        <v>0</v>
      </c>
      <c r="E175" s="76"/>
      <c r="F175" s="76"/>
      <c r="G175" s="76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8" hidden="1" customHeight="1" x14ac:dyDescent="0.35">
      <c r="A176" s="337" t="s">
        <v>23</v>
      </c>
      <c r="B176" s="337">
        <v>10</v>
      </c>
      <c r="C176" s="433">
        <v>30</v>
      </c>
      <c r="D176" s="76">
        <v>0</v>
      </c>
      <c r="E176" s="76"/>
      <c r="F176" s="76"/>
      <c r="G176" s="76"/>
      <c r="H176" s="76"/>
      <c r="I176" s="76"/>
      <c r="J176" s="76"/>
      <c r="K176" s="76"/>
      <c r="L176" s="76"/>
      <c r="M176" s="76"/>
      <c r="N176" s="76"/>
      <c r="O176" s="76"/>
      <c r="P176" s="76"/>
      <c r="Q176" s="76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8" hidden="1" customHeight="1" x14ac:dyDescent="0.35">
      <c r="A177" s="76"/>
      <c r="B177" s="76"/>
      <c r="C177" s="76"/>
      <c r="D177" s="76"/>
      <c r="E177" s="76"/>
      <c r="F177" s="76"/>
      <c r="G177" s="76"/>
      <c r="H177" s="76"/>
      <c r="I177" s="76"/>
      <c r="J177" s="76"/>
      <c r="K177" s="76"/>
      <c r="L177" s="76"/>
      <c r="M177" s="76"/>
      <c r="N177" s="76"/>
      <c r="O177" s="76"/>
      <c r="P177" s="76"/>
      <c r="Q177" s="76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8" hidden="1" customHeight="1" x14ac:dyDescent="0.35">
      <c r="A178" s="434" t="s">
        <v>245</v>
      </c>
      <c r="B178" s="434">
        <v>6.3</v>
      </c>
      <c r="C178" s="434" t="s">
        <v>262</v>
      </c>
      <c r="D178" s="434" t="s">
        <v>105</v>
      </c>
      <c r="E178" s="76"/>
      <c r="F178" s="76"/>
      <c r="G178" s="76"/>
      <c r="H178" s="76"/>
      <c r="I178" s="76"/>
      <c r="J178" s="76"/>
      <c r="K178" s="76"/>
      <c r="L178" s="76"/>
      <c r="M178" s="76"/>
      <c r="N178" s="76"/>
      <c r="O178" s="76"/>
      <c r="P178" s="76"/>
      <c r="Q178" s="76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8" hidden="1" customHeight="1" x14ac:dyDescent="0.35">
      <c r="A179" s="434" t="s">
        <v>263</v>
      </c>
      <c r="B179" s="434">
        <v>10.3</v>
      </c>
      <c r="C179" s="434" t="s">
        <v>37</v>
      </c>
      <c r="D179" s="434" t="s">
        <v>27</v>
      </c>
      <c r="E179" s="76"/>
      <c r="F179" s="76"/>
      <c r="G179" s="76"/>
      <c r="H179" s="76"/>
      <c r="I179" s="76"/>
      <c r="J179" s="76"/>
      <c r="K179" s="76"/>
      <c r="L179" s="76"/>
      <c r="M179" s="76"/>
      <c r="N179" s="76"/>
      <c r="O179" s="76"/>
      <c r="P179" s="76"/>
      <c r="Q179" s="76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8" hidden="1" customHeight="1" x14ac:dyDescent="0.35">
      <c r="A180" s="76"/>
      <c r="B180" s="76"/>
      <c r="C180" s="76"/>
      <c r="D180" s="76"/>
      <c r="E180" s="76"/>
      <c r="F180" s="76"/>
      <c r="G180" s="76"/>
      <c r="H180" s="76"/>
      <c r="I180" s="76"/>
      <c r="J180" s="76"/>
      <c r="K180" s="76"/>
      <c r="L180" s="76"/>
      <c r="M180" s="76"/>
      <c r="N180" s="76"/>
      <c r="O180" s="76"/>
      <c r="P180" s="76"/>
      <c r="Q180" s="76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8" hidden="1" customHeight="1" x14ac:dyDescent="0.35">
      <c r="A181" s="327" t="s">
        <v>264</v>
      </c>
      <c r="B181" s="100">
        <v>10</v>
      </c>
      <c r="C181" s="439">
        <f>IF(D55&gt;70,2,IF(D55&gt;40,1,0))</f>
        <v>0</v>
      </c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8" hidden="1" customHeight="1" x14ac:dyDescent="0.35">
      <c r="A182" s="332" t="s">
        <v>265</v>
      </c>
      <c r="B182" s="109">
        <v>10</v>
      </c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8" hidden="1" customHeight="1" x14ac:dyDescent="0.35">
      <c r="A183" s="337" t="s">
        <v>24</v>
      </c>
      <c r="B183" s="271">
        <v>3</v>
      </c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8" hidden="1" customHeight="1" x14ac:dyDescent="0.3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8" hidden="1" customHeight="1" x14ac:dyDescent="0.35">
      <c r="A185" s="440" t="s">
        <v>20</v>
      </c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8" hidden="1" customHeight="1" x14ac:dyDescent="0.35">
      <c r="A186" s="441" t="s">
        <v>14</v>
      </c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8" hidden="1" customHeight="1" x14ac:dyDescent="0.3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8" hidden="1" customHeight="1" x14ac:dyDescent="0.35">
      <c r="A188" s="321" t="s">
        <v>133</v>
      </c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8" hidden="1" customHeight="1" x14ac:dyDescent="0.35">
      <c r="A189" s="442" t="s">
        <v>134</v>
      </c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8" hidden="1" customHeight="1" x14ac:dyDescent="0.3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8" hidden="1" customHeight="1" x14ac:dyDescent="0.35">
      <c r="A191" s="98">
        <v>0.1</v>
      </c>
      <c r="B191" s="100">
        <v>1.2</v>
      </c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8" hidden="1" customHeight="1" x14ac:dyDescent="0.35">
      <c r="A192" s="105">
        <v>0.2</v>
      </c>
      <c r="B192" s="109">
        <v>1.2</v>
      </c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8" hidden="1" customHeight="1" x14ac:dyDescent="0.35">
      <c r="A193" s="105">
        <v>0.3</v>
      </c>
      <c r="B193" s="109">
        <v>1.2</v>
      </c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8" hidden="1" customHeight="1" x14ac:dyDescent="0.35">
      <c r="A194" s="105">
        <v>0.4</v>
      </c>
      <c r="B194" s="109">
        <v>1.2</v>
      </c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8" hidden="1" customHeight="1" x14ac:dyDescent="0.35">
      <c r="A195" s="105">
        <v>0.5</v>
      </c>
      <c r="B195" s="109">
        <v>1.2</v>
      </c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8" hidden="1" customHeight="1" x14ac:dyDescent="0.35">
      <c r="A196" s="105">
        <v>0.6</v>
      </c>
      <c r="B196" s="109">
        <v>1.2</v>
      </c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8" hidden="1" customHeight="1" x14ac:dyDescent="0.35">
      <c r="A197" s="105">
        <v>0.7</v>
      </c>
      <c r="B197" s="109">
        <v>1.2</v>
      </c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8" hidden="1" customHeight="1" x14ac:dyDescent="0.35">
      <c r="A198" s="105">
        <v>0.8</v>
      </c>
      <c r="B198" s="109">
        <v>1.2</v>
      </c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8" hidden="1" customHeight="1" x14ac:dyDescent="0.35">
      <c r="A199" s="105">
        <v>0.9</v>
      </c>
      <c r="B199" s="109">
        <v>1.2</v>
      </c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8" hidden="1" customHeight="1" x14ac:dyDescent="0.35">
      <c r="A200" s="105">
        <v>1</v>
      </c>
      <c r="B200" s="109">
        <v>1.2</v>
      </c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8" hidden="1" customHeight="1" x14ac:dyDescent="0.35">
      <c r="A201" s="105">
        <v>1.1000000000000001</v>
      </c>
      <c r="B201" s="109">
        <v>1.5</v>
      </c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8" hidden="1" customHeight="1" x14ac:dyDescent="0.35">
      <c r="A202" s="105">
        <v>1.2</v>
      </c>
      <c r="B202" s="109">
        <v>1.5</v>
      </c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8" hidden="1" customHeight="1" x14ac:dyDescent="0.35">
      <c r="A203" s="105">
        <v>1.3</v>
      </c>
      <c r="B203" s="109">
        <v>1.5</v>
      </c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8" hidden="1" customHeight="1" x14ac:dyDescent="0.35">
      <c r="A204" s="105">
        <v>1.4</v>
      </c>
      <c r="B204" s="109">
        <v>1.5</v>
      </c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8" hidden="1" customHeight="1" x14ac:dyDescent="0.35">
      <c r="A205" s="105">
        <v>1.5</v>
      </c>
      <c r="B205" s="109">
        <v>1.7</v>
      </c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8" hidden="1" customHeight="1" x14ac:dyDescent="0.35">
      <c r="A206" s="105">
        <v>1.6</v>
      </c>
      <c r="B206" s="109">
        <v>1.7</v>
      </c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8" hidden="1" customHeight="1" x14ac:dyDescent="0.35">
      <c r="A207" s="105">
        <v>1.7</v>
      </c>
      <c r="B207" s="109">
        <v>2</v>
      </c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8" hidden="1" customHeight="1" x14ac:dyDescent="0.35">
      <c r="A208" s="105">
        <v>1.8</v>
      </c>
      <c r="B208" s="109">
        <v>2</v>
      </c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8" hidden="1" customHeight="1" x14ac:dyDescent="0.35">
      <c r="A209" s="105">
        <v>1.9</v>
      </c>
      <c r="B209" s="109">
        <v>2</v>
      </c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8" hidden="1" customHeight="1" x14ac:dyDescent="0.35">
      <c r="A210" s="105">
        <v>2</v>
      </c>
      <c r="B210" s="109">
        <v>2.2000000000000002</v>
      </c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8" hidden="1" customHeight="1" x14ac:dyDescent="0.35">
      <c r="A211" s="105">
        <v>2.1</v>
      </c>
      <c r="B211" s="109">
        <v>2.2000000000000002</v>
      </c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8" hidden="1" customHeight="1" x14ac:dyDescent="0.35">
      <c r="A212" s="105">
        <v>2.2000000000000002</v>
      </c>
      <c r="B212" s="109">
        <v>2.5</v>
      </c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8" hidden="1" customHeight="1" x14ac:dyDescent="0.35">
      <c r="A213" s="105">
        <v>2.2999999999999998</v>
      </c>
      <c r="B213" s="109">
        <v>2.5</v>
      </c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8" hidden="1" customHeight="1" x14ac:dyDescent="0.35">
      <c r="A214" s="105">
        <v>2.4</v>
      </c>
      <c r="B214" s="109">
        <v>2.5</v>
      </c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8" hidden="1" customHeight="1" x14ac:dyDescent="0.35">
      <c r="A215" s="105">
        <v>2.5</v>
      </c>
      <c r="B215" s="109">
        <v>2.7</v>
      </c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8" hidden="1" customHeight="1" x14ac:dyDescent="0.35">
      <c r="A216" s="105">
        <v>2.6</v>
      </c>
      <c r="B216" s="109">
        <v>2.7</v>
      </c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8" hidden="1" customHeight="1" x14ac:dyDescent="0.35">
      <c r="A217" s="105">
        <v>2.7</v>
      </c>
      <c r="B217" s="109">
        <v>3</v>
      </c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8" hidden="1" customHeight="1" x14ac:dyDescent="0.35">
      <c r="A218" s="105">
        <v>2.8</v>
      </c>
      <c r="B218" s="109">
        <v>3</v>
      </c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8" hidden="1" customHeight="1" x14ac:dyDescent="0.35">
      <c r="A219" s="105">
        <v>2.9</v>
      </c>
      <c r="B219" s="109">
        <v>3</v>
      </c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8" hidden="1" customHeight="1" x14ac:dyDescent="0.35">
      <c r="A220" s="105">
        <v>3</v>
      </c>
      <c r="B220" s="109">
        <v>3.2</v>
      </c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8" hidden="1" customHeight="1" x14ac:dyDescent="0.35">
      <c r="A221" s="105">
        <v>3.1</v>
      </c>
      <c r="B221" s="109">
        <v>3.2</v>
      </c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8" hidden="1" customHeight="1" x14ac:dyDescent="0.35">
      <c r="A222" s="105">
        <v>3.2</v>
      </c>
      <c r="B222" s="109">
        <v>3.5</v>
      </c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8" hidden="1" customHeight="1" x14ac:dyDescent="0.35">
      <c r="A223" s="105">
        <v>3.3</v>
      </c>
      <c r="B223" s="109">
        <v>3.5</v>
      </c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8" hidden="1" customHeight="1" x14ac:dyDescent="0.35">
      <c r="A224" s="105">
        <v>3.4</v>
      </c>
      <c r="B224" s="109">
        <v>3.5</v>
      </c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8" hidden="1" customHeight="1" x14ac:dyDescent="0.35">
      <c r="A225" s="105">
        <v>3.5</v>
      </c>
      <c r="B225" s="109">
        <v>3.7</v>
      </c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8" hidden="1" customHeight="1" x14ac:dyDescent="0.35">
      <c r="A226" s="105">
        <v>3.6</v>
      </c>
      <c r="B226" s="109">
        <v>3.7</v>
      </c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8" hidden="1" customHeight="1" x14ac:dyDescent="0.35">
      <c r="A227" s="105">
        <v>3.7</v>
      </c>
      <c r="B227" s="109">
        <v>4</v>
      </c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8" hidden="1" customHeight="1" x14ac:dyDescent="0.35">
      <c r="A228" s="105">
        <v>3.8</v>
      </c>
      <c r="B228" s="109">
        <v>4</v>
      </c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8" hidden="1" customHeight="1" x14ac:dyDescent="0.35">
      <c r="A229" s="105">
        <v>3.9</v>
      </c>
      <c r="B229" s="109">
        <v>4</v>
      </c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8" hidden="1" customHeight="1" x14ac:dyDescent="0.35">
      <c r="A230" s="105">
        <v>4</v>
      </c>
      <c r="B230" s="109">
        <v>4.2</v>
      </c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8" hidden="1" customHeight="1" x14ac:dyDescent="0.35">
      <c r="A231" s="105">
        <v>4.0999999999999996</v>
      </c>
      <c r="B231" s="109">
        <v>4.2</v>
      </c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8" hidden="1" customHeight="1" x14ac:dyDescent="0.35">
      <c r="A232" s="105">
        <v>4.2</v>
      </c>
      <c r="B232" s="109">
        <v>4.7</v>
      </c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8" hidden="1" customHeight="1" x14ac:dyDescent="0.35">
      <c r="A233" s="105">
        <v>4.3</v>
      </c>
      <c r="B233" s="109">
        <v>4.7</v>
      </c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8" hidden="1" customHeight="1" x14ac:dyDescent="0.35">
      <c r="A234" s="105">
        <v>4.4000000000000004</v>
      </c>
      <c r="B234" s="109">
        <v>4.7</v>
      </c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8" hidden="1" customHeight="1" x14ac:dyDescent="0.35">
      <c r="A235" s="105">
        <v>4.5</v>
      </c>
      <c r="B235" s="109">
        <v>4.7</v>
      </c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8" hidden="1" customHeight="1" x14ac:dyDescent="0.35">
      <c r="A236" s="105">
        <v>4.5999999999999996</v>
      </c>
      <c r="B236" s="109">
        <v>4.7</v>
      </c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8" hidden="1" customHeight="1" x14ac:dyDescent="0.35">
      <c r="A237" s="105">
        <v>4.7</v>
      </c>
      <c r="B237" s="109">
        <v>5</v>
      </c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8" hidden="1" customHeight="1" x14ac:dyDescent="0.35">
      <c r="A238" s="105">
        <v>4.8</v>
      </c>
      <c r="B238" s="109">
        <v>5</v>
      </c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8" hidden="1" customHeight="1" x14ac:dyDescent="0.35">
      <c r="A239" s="105">
        <v>4.9000000000000004</v>
      </c>
      <c r="B239" s="109">
        <v>5</v>
      </c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8" hidden="1" customHeight="1" x14ac:dyDescent="0.35">
      <c r="A240" s="105">
        <f t="shared" ref="A240:A293" si="58">A239+0.1</f>
        <v>5</v>
      </c>
      <c r="B240" s="109">
        <v>5.5</v>
      </c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8" hidden="1" customHeight="1" x14ac:dyDescent="0.35">
      <c r="A241" s="105">
        <f t="shared" si="58"/>
        <v>5.0999999999999996</v>
      </c>
      <c r="B241" s="109">
        <v>5.5</v>
      </c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8" hidden="1" customHeight="1" x14ac:dyDescent="0.35">
      <c r="A242" s="105">
        <f t="shared" si="58"/>
        <v>5.1999999999999993</v>
      </c>
      <c r="B242" s="109">
        <v>5.5</v>
      </c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8" hidden="1" customHeight="1" x14ac:dyDescent="0.35">
      <c r="A243" s="105">
        <f t="shared" si="58"/>
        <v>5.2999999999999989</v>
      </c>
      <c r="B243" s="109">
        <v>5.5</v>
      </c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8" hidden="1" customHeight="1" x14ac:dyDescent="0.35">
      <c r="A244" s="105">
        <f t="shared" si="58"/>
        <v>5.3999999999999986</v>
      </c>
      <c r="B244" s="109">
        <v>5.5</v>
      </c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8" hidden="1" customHeight="1" x14ac:dyDescent="0.35">
      <c r="A245" s="105">
        <f t="shared" si="58"/>
        <v>5.4999999999999982</v>
      </c>
      <c r="B245" s="109">
        <v>5.5</v>
      </c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8" hidden="1" customHeight="1" x14ac:dyDescent="0.35">
      <c r="A246" s="105">
        <f t="shared" si="58"/>
        <v>5.5999999999999979</v>
      </c>
      <c r="B246" s="109">
        <v>6</v>
      </c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8" hidden="1" customHeight="1" x14ac:dyDescent="0.35">
      <c r="A247" s="105">
        <f t="shared" si="58"/>
        <v>5.6999999999999975</v>
      </c>
      <c r="B247" s="109">
        <v>6</v>
      </c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8" hidden="1" customHeight="1" x14ac:dyDescent="0.35">
      <c r="A248" s="105">
        <f t="shared" si="58"/>
        <v>5.7999999999999972</v>
      </c>
      <c r="B248" s="109">
        <v>6</v>
      </c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8" hidden="1" customHeight="1" x14ac:dyDescent="0.35">
      <c r="A249" s="105">
        <f t="shared" si="58"/>
        <v>5.8999999999999968</v>
      </c>
      <c r="B249" s="109">
        <v>6</v>
      </c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8" hidden="1" customHeight="1" x14ac:dyDescent="0.35">
      <c r="A250" s="105">
        <f t="shared" si="58"/>
        <v>5.9999999999999964</v>
      </c>
      <c r="B250" s="109">
        <v>6.5</v>
      </c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8" hidden="1" customHeight="1" x14ac:dyDescent="0.35">
      <c r="A251" s="105">
        <f t="shared" si="58"/>
        <v>6.0999999999999961</v>
      </c>
      <c r="B251" s="109">
        <v>6.5</v>
      </c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8" hidden="1" customHeight="1" x14ac:dyDescent="0.35">
      <c r="A252" s="105">
        <f t="shared" si="58"/>
        <v>6.1999999999999957</v>
      </c>
      <c r="B252" s="109">
        <v>6.5</v>
      </c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8" hidden="1" customHeight="1" x14ac:dyDescent="0.35">
      <c r="A253" s="105">
        <f t="shared" si="58"/>
        <v>6.2999999999999954</v>
      </c>
      <c r="B253" s="109">
        <v>6.5</v>
      </c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8" hidden="1" customHeight="1" x14ac:dyDescent="0.35">
      <c r="A254" s="105">
        <f t="shared" si="58"/>
        <v>6.399999999999995</v>
      </c>
      <c r="B254" s="109">
        <v>7</v>
      </c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8" hidden="1" customHeight="1" x14ac:dyDescent="0.35">
      <c r="A255" s="105">
        <f t="shared" si="58"/>
        <v>6.4999999999999947</v>
      </c>
      <c r="B255" s="109">
        <v>7</v>
      </c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8" hidden="1" customHeight="1" x14ac:dyDescent="0.35">
      <c r="A256" s="105">
        <f t="shared" si="58"/>
        <v>6.5999999999999943</v>
      </c>
      <c r="B256" s="109">
        <v>7</v>
      </c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8" hidden="1" customHeight="1" x14ac:dyDescent="0.35">
      <c r="A257" s="105">
        <f t="shared" si="58"/>
        <v>6.699999999999994</v>
      </c>
      <c r="B257" s="109">
        <v>7</v>
      </c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8" hidden="1" customHeight="1" x14ac:dyDescent="0.35">
      <c r="A258" s="105">
        <f t="shared" si="58"/>
        <v>6.7999999999999936</v>
      </c>
      <c r="B258" s="109">
        <v>7</v>
      </c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8" hidden="1" customHeight="1" x14ac:dyDescent="0.35">
      <c r="A259" s="105">
        <f t="shared" si="58"/>
        <v>6.8999999999999932</v>
      </c>
      <c r="B259" s="109">
        <v>7</v>
      </c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8" hidden="1" customHeight="1" x14ac:dyDescent="0.35">
      <c r="A260" s="105">
        <f t="shared" si="58"/>
        <v>6.9999999999999929</v>
      </c>
      <c r="B260" s="109">
        <v>7.5</v>
      </c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8" hidden="1" customHeight="1" x14ac:dyDescent="0.35">
      <c r="A261" s="105">
        <f t="shared" si="58"/>
        <v>7.0999999999999925</v>
      </c>
      <c r="B261" s="109">
        <v>7.5</v>
      </c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8" hidden="1" customHeight="1" x14ac:dyDescent="0.35">
      <c r="A262" s="105">
        <f t="shared" si="58"/>
        <v>7.1999999999999922</v>
      </c>
      <c r="B262" s="109">
        <v>7.5</v>
      </c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8" hidden="1" customHeight="1" x14ac:dyDescent="0.35">
      <c r="A263" s="105">
        <f t="shared" si="58"/>
        <v>7.2999999999999918</v>
      </c>
      <c r="B263" s="109">
        <v>7.5</v>
      </c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8" hidden="1" customHeight="1" x14ac:dyDescent="0.35">
      <c r="A264" s="105">
        <f t="shared" si="58"/>
        <v>7.3999999999999915</v>
      </c>
      <c r="B264" s="109">
        <v>7.5</v>
      </c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8" hidden="1" customHeight="1" x14ac:dyDescent="0.35">
      <c r="A265" s="105">
        <f t="shared" si="58"/>
        <v>7.4999999999999911</v>
      </c>
      <c r="B265" s="109">
        <v>8</v>
      </c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8" hidden="1" customHeight="1" x14ac:dyDescent="0.35">
      <c r="A266" s="105">
        <f t="shared" si="58"/>
        <v>7.5999999999999908</v>
      </c>
      <c r="B266" s="109">
        <v>8</v>
      </c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8" hidden="1" customHeight="1" x14ac:dyDescent="0.35">
      <c r="A267" s="105">
        <f t="shared" si="58"/>
        <v>7.6999999999999904</v>
      </c>
      <c r="B267" s="109">
        <v>8</v>
      </c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8" hidden="1" customHeight="1" x14ac:dyDescent="0.35">
      <c r="A268" s="105">
        <f t="shared" si="58"/>
        <v>7.7999999999999901</v>
      </c>
      <c r="B268" s="109">
        <v>8</v>
      </c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8" hidden="1" customHeight="1" x14ac:dyDescent="0.35">
      <c r="A269" s="105">
        <f t="shared" si="58"/>
        <v>7.8999999999999897</v>
      </c>
      <c r="B269" s="109">
        <v>8.5</v>
      </c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8" hidden="1" customHeight="1" x14ac:dyDescent="0.35">
      <c r="A270" s="105">
        <f t="shared" si="58"/>
        <v>7.9999999999999893</v>
      </c>
      <c r="B270" s="109">
        <v>8.5</v>
      </c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8" hidden="1" customHeight="1" x14ac:dyDescent="0.35">
      <c r="A271" s="105">
        <f t="shared" si="58"/>
        <v>8.099999999999989</v>
      </c>
      <c r="B271" s="109">
        <v>8.5</v>
      </c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8" hidden="1" customHeight="1" x14ac:dyDescent="0.35">
      <c r="A272" s="105">
        <f t="shared" si="58"/>
        <v>8.1999999999999886</v>
      </c>
      <c r="B272" s="109">
        <v>8.5</v>
      </c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8" hidden="1" customHeight="1" x14ac:dyDescent="0.35">
      <c r="A273" s="105">
        <f t="shared" si="58"/>
        <v>8.2999999999999883</v>
      </c>
      <c r="B273" s="109">
        <v>8.5</v>
      </c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8" hidden="1" customHeight="1" x14ac:dyDescent="0.35">
      <c r="A274" s="105">
        <f t="shared" si="58"/>
        <v>8.3999999999999879</v>
      </c>
      <c r="B274" s="109">
        <v>9</v>
      </c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8" hidden="1" customHeight="1" x14ac:dyDescent="0.35">
      <c r="A275" s="105">
        <f t="shared" si="58"/>
        <v>8.4999999999999876</v>
      </c>
      <c r="B275" s="109">
        <v>9</v>
      </c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8" hidden="1" customHeight="1" x14ac:dyDescent="0.35">
      <c r="A276" s="105">
        <f t="shared" si="58"/>
        <v>8.5999999999999872</v>
      </c>
      <c r="B276" s="109">
        <v>9</v>
      </c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8" hidden="1" customHeight="1" x14ac:dyDescent="0.35">
      <c r="A277" s="105">
        <f t="shared" si="58"/>
        <v>8.6999999999999869</v>
      </c>
      <c r="B277" s="109">
        <v>9</v>
      </c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8" hidden="1" customHeight="1" x14ac:dyDescent="0.35">
      <c r="A278" s="105">
        <f t="shared" si="58"/>
        <v>8.7999999999999865</v>
      </c>
      <c r="B278" s="109">
        <v>9</v>
      </c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8" hidden="1" customHeight="1" x14ac:dyDescent="0.35">
      <c r="A279" s="105">
        <f t="shared" si="58"/>
        <v>8.8999999999999861</v>
      </c>
      <c r="B279" s="109">
        <v>9.5</v>
      </c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8" hidden="1" customHeight="1" x14ac:dyDescent="0.35">
      <c r="A280" s="105">
        <f t="shared" si="58"/>
        <v>8.9999999999999858</v>
      </c>
      <c r="B280" s="109">
        <v>9.5</v>
      </c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8" hidden="1" customHeight="1" x14ac:dyDescent="0.35">
      <c r="A281" s="105">
        <f t="shared" si="58"/>
        <v>9.0999999999999854</v>
      </c>
      <c r="B281" s="109">
        <v>9.5</v>
      </c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8" hidden="1" customHeight="1" x14ac:dyDescent="0.35">
      <c r="A282" s="105">
        <f t="shared" si="58"/>
        <v>9.1999999999999851</v>
      </c>
      <c r="B282" s="109">
        <v>9.5</v>
      </c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8" hidden="1" customHeight="1" x14ac:dyDescent="0.35">
      <c r="A283" s="105">
        <f t="shared" si="58"/>
        <v>9.2999999999999847</v>
      </c>
      <c r="B283" s="109">
        <v>9.5</v>
      </c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8" hidden="1" customHeight="1" x14ac:dyDescent="0.35">
      <c r="A284" s="105">
        <f t="shared" si="58"/>
        <v>9.3999999999999844</v>
      </c>
      <c r="B284" s="109">
        <v>9.5</v>
      </c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8" hidden="1" customHeight="1" x14ac:dyDescent="0.35">
      <c r="A285" s="105">
        <f t="shared" si="58"/>
        <v>9.499999999999984</v>
      </c>
      <c r="B285" s="109">
        <v>10</v>
      </c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8" hidden="1" customHeight="1" x14ac:dyDescent="0.35">
      <c r="A286" s="105">
        <f t="shared" si="58"/>
        <v>9.5999999999999837</v>
      </c>
      <c r="B286" s="109">
        <v>10</v>
      </c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8" hidden="1" customHeight="1" x14ac:dyDescent="0.35">
      <c r="A287" s="105">
        <f t="shared" si="58"/>
        <v>9.6999999999999833</v>
      </c>
      <c r="B287" s="109">
        <v>10</v>
      </c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8" hidden="1" customHeight="1" x14ac:dyDescent="0.35">
      <c r="A288" s="105">
        <f t="shared" si="58"/>
        <v>9.7999999999999829</v>
      </c>
      <c r="B288" s="109">
        <v>10</v>
      </c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8" hidden="1" customHeight="1" x14ac:dyDescent="0.35">
      <c r="A289" s="105">
        <f t="shared" si="58"/>
        <v>9.8999999999999826</v>
      </c>
      <c r="B289" s="109">
        <v>10.5</v>
      </c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8" hidden="1" customHeight="1" x14ac:dyDescent="0.35">
      <c r="A290" s="105">
        <f t="shared" si="58"/>
        <v>9.9999999999999822</v>
      </c>
      <c r="B290" s="109">
        <v>10.5</v>
      </c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8" hidden="1" customHeight="1" x14ac:dyDescent="0.35">
      <c r="A291" s="105">
        <f t="shared" si="58"/>
        <v>10.099999999999982</v>
      </c>
      <c r="B291" s="109">
        <v>10.5</v>
      </c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8" hidden="1" customHeight="1" x14ac:dyDescent="0.35">
      <c r="A292" s="105">
        <f t="shared" si="58"/>
        <v>10.199999999999982</v>
      </c>
      <c r="B292" s="109">
        <v>10.5</v>
      </c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8" hidden="1" customHeight="1" x14ac:dyDescent="0.35">
      <c r="A293" s="105">
        <f t="shared" si="58"/>
        <v>10.299999999999981</v>
      </c>
      <c r="B293" s="109">
        <v>10.5</v>
      </c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8" hidden="1" customHeight="1" x14ac:dyDescent="0.3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8" hidden="1" customHeight="1" x14ac:dyDescent="0.3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8" hidden="1" customHeight="1" x14ac:dyDescent="0.3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8" hidden="1" customHeight="1" x14ac:dyDescent="0.3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8" hidden="1" customHeight="1" x14ac:dyDescent="0.3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8" hidden="1" customHeight="1" x14ac:dyDescent="0.3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8" hidden="1" customHeight="1" x14ac:dyDescent="0.3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8" hidden="1" customHeight="1" x14ac:dyDescent="0.3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8" hidden="1" customHeight="1" x14ac:dyDescent="0.3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8" hidden="1" customHeight="1" x14ac:dyDescent="0.3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8" hidden="1" customHeight="1" x14ac:dyDescent="0.3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8" hidden="1" customHeight="1" x14ac:dyDescent="0.3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8" hidden="1" customHeight="1" x14ac:dyDescent="0.3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8" customHeight="1" x14ac:dyDescent="0.3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8" customHeight="1" x14ac:dyDescent="0.35">
      <c r="A308" s="2"/>
      <c r="B308" s="1109" t="str">
        <f>VLOOKUP($F$11,'Infos Clients'!$B$2:$G$10,2)</f>
        <v>#VALUE!</v>
      </c>
      <c r="C308" s="1085"/>
      <c r="D308" s="1085"/>
      <c r="E308" s="1086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8" customHeight="1" x14ac:dyDescent="0.35">
      <c r="A309" s="2"/>
      <c r="B309" s="1091"/>
      <c r="C309" s="1097"/>
      <c r="D309" s="1097"/>
      <c r="E309" s="109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8" customHeight="1" x14ac:dyDescent="0.35">
      <c r="A310" s="2"/>
      <c r="B310" s="1091"/>
      <c r="C310" s="1097"/>
      <c r="D310" s="1097"/>
      <c r="E310" s="109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8" customHeight="1" x14ac:dyDescent="0.35">
      <c r="A311" s="2"/>
      <c r="B311" s="1091"/>
      <c r="C311" s="1097"/>
      <c r="D311" s="1097"/>
      <c r="E311" s="109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8" customHeight="1" x14ac:dyDescent="0.35">
      <c r="A312" s="2"/>
      <c r="B312" s="1091"/>
      <c r="C312" s="1097"/>
      <c r="D312" s="1097"/>
      <c r="E312" s="109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8" customHeight="1" x14ac:dyDescent="0.35">
      <c r="A313" s="2"/>
      <c r="B313" s="1087"/>
      <c r="C313" s="1088"/>
      <c r="D313" s="1088"/>
      <c r="E313" s="1089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8" customHeight="1" x14ac:dyDescent="0.3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8" customHeight="1" x14ac:dyDescent="0.3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8" customHeight="1" x14ac:dyDescent="0.3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8" customHeight="1" x14ac:dyDescent="0.3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8" customHeight="1" x14ac:dyDescent="0.3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8" customHeight="1" x14ac:dyDescent="0.3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8" customHeight="1" x14ac:dyDescent="0.3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8" customHeight="1" x14ac:dyDescent="0.3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8" customHeight="1" x14ac:dyDescent="0.3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8" customHeight="1" x14ac:dyDescent="0.3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8" customHeight="1" x14ac:dyDescent="0.3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8" customHeight="1" x14ac:dyDescent="0.3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8" customHeight="1" x14ac:dyDescent="0.3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8" customHeight="1" x14ac:dyDescent="0.3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8" customHeight="1" x14ac:dyDescent="0.3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8" customHeight="1" x14ac:dyDescent="0.3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8" customHeight="1" x14ac:dyDescent="0.3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8" customHeight="1" x14ac:dyDescent="0.3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8" customHeight="1" x14ac:dyDescent="0.3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8" customHeight="1" x14ac:dyDescent="0.3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8" customHeight="1" x14ac:dyDescent="0.3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8" customHeight="1" x14ac:dyDescent="0.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8" customHeight="1" x14ac:dyDescent="0.3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8" customHeight="1" x14ac:dyDescent="0.3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8" customHeight="1" x14ac:dyDescent="0.3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8" customHeight="1" x14ac:dyDescent="0.3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8" customHeight="1" x14ac:dyDescent="0.3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8" customHeight="1" x14ac:dyDescent="0.3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8" customHeight="1" x14ac:dyDescent="0.3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8" customHeight="1" x14ac:dyDescent="0.3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8" customHeight="1" x14ac:dyDescent="0.3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8" customHeight="1" x14ac:dyDescent="0.3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8" customHeight="1" x14ac:dyDescent="0.3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8" customHeight="1" x14ac:dyDescent="0.3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8" customHeight="1" x14ac:dyDescent="0.3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8" customHeight="1" x14ac:dyDescent="0.3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8" customHeight="1" x14ac:dyDescent="0.3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8" customHeight="1" x14ac:dyDescent="0.3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8" customHeight="1" x14ac:dyDescent="0.3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8" customHeight="1" x14ac:dyDescent="0.3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8" customHeight="1" x14ac:dyDescent="0.3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8" customHeight="1" x14ac:dyDescent="0.3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8" customHeight="1" x14ac:dyDescent="0.3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8" customHeight="1" x14ac:dyDescent="0.3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8" customHeight="1" x14ac:dyDescent="0.3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8" customHeight="1" x14ac:dyDescent="0.3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8" customHeight="1" x14ac:dyDescent="0.3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8" customHeight="1" x14ac:dyDescent="0.3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8" customHeight="1" x14ac:dyDescent="0.3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8" customHeight="1" x14ac:dyDescent="0.3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8" customHeight="1" x14ac:dyDescent="0.3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8" customHeight="1" x14ac:dyDescent="0.3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8" customHeight="1" x14ac:dyDescent="0.3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8" customHeight="1" x14ac:dyDescent="0.3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8" customHeight="1" x14ac:dyDescent="0.3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8" customHeight="1" x14ac:dyDescent="0.3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8" customHeight="1" x14ac:dyDescent="0.3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8" customHeight="1" x14ac:dyDescent="0.3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8" customHeight="1" x14ac:dyDescent="0.3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8" customHeight="1" x14ac:dyDescent="0.3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8" customHeight="1" x14ac:dyDescent="0.3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8" customHeight="1" x14ac:dyDescent="0.3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8" customHeight="1" x14ac:dyDescent="0.3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8" customHeight="1" x14ac:dyDescent="0.3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8" customHeight="1" x14ac:dyDescent="0.3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8" customHeight="1" x14ac:dyDescent="0.3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8" customHeight="1" x14ac:dyDescent="0.3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8" customHeight="1" x14ac:dyDescent="0.3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8" customHeight="1" x14ac:dyDescent="0.3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8" customHeight="1" x14ac:dyDescent="0.3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8" customHeight="1" x14ac:dyDescent="0.3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8" customHeight="1" x14ac:dyDescent="0.3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8" customHeight="1" x14ac:dyDescent="0.3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8" customHeight="1" x14ac:dyDescent="0.3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8" customHeight="1" x14ac:dyDescent="0.3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8" customHeight="1" x14ac:dyDescent="0.3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8" customHeight="1" x14ac:dyDescent="0.3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8" customHeight="1" x14ac:dyDescent="0.3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8" customHeight="1" x14ac:dyDescent="0.3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8" customHeight="1" x14ac:dyDescent="0.3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8" customHeight="1" x14ac:dyDescent="0.3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8" customHeight="1" x14ac:dyDescent="0.3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8" customHeight="1" x14ac:dyDescent="0.3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8" customHeight="1" x14ac:dyDescent="0.3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8" customHeight="1" x14ac:dyDescent="0.3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8" customHeight="1" x14ac:dyDescent="0.3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8" customHeight="1" x14ac:dyDescent="0.3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8" customHeight="1" x14ac:dyDescent="0.3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8" customHeight="1" x14ac:dyDescent="0.3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8" customHeight="1" x14ac:dyDescent="0.3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8" customHeight="1" x14ac:dyDescent="0.3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8" customHeight="1" x14ac:dyDescent="0.3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8" customHeight="1" x14ac:dyDescent="0.3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8" customHeight="1" x14ac:dyDescent="0.3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8" customHeight="1" x14ac:dyDescent="0.3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8" customHeight="1" x14ac:dyDescent="0.3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8" customHeight="1" x14ac:dyDescent="0.3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8" customHeight="1" x14ac:dyDescent="0.3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8" customHeight="1" x14ac:dyDescent="0.3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8" customHeight="1" x14ac:dyDescent="0.3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8" customHeight="1" x14ac:dyDescent="0.3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8" customHeight="1" x14ac:dyDescent="0.3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8" customHeight="1" x14ac:dyDescent="0.3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8" customHeight="1" x14ac:dyDescent="0.3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8" customHeight="1" x14ac:dyDescent="0.3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8" customHeight="1" x14ac:dyDescent="0.3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8" customHeight="1" x14ac:dyDescent="0.3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8" customHeight="1" x14ac:dyDescent="0.3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8" customHeight="1" x14ac:dyDescent="0.3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8" customHeight="1" x14ac:dyDescent="0.3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8" customHeight="1" x14ac:dyDescent="0.3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8" customHeight="1" x14ac:dyDescent="0.3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8" customHeight="1" x14ac:dyDescent="0.3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8" customHeight="1" x14ac:dyDescent="0.3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8" customHeight="1" x14ac:dyDescent="0.3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8" customHeight="1" x14ac:dyDescent="0.3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8" customHeight="1" x14ac:dyDescent="0.3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8" customHeight="1" x14ac:dyDescent="0.3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8" customHeight="1" x14ac:dyDescent="0.3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8" customHeight="1" x14ac:dyDescent="0.3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8" customHeight="1" x14ac:dyDescent="0.3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8" customHeight="1" x14ac:dyDescent="0.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8" customHeight="1" x14ac:dyDescent="0.3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8" customHeight="1" x14ac:dyDescent="0.3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8" customHeight="1" x14ac:dyDescent="0.3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8" customHeight="1" x14ac:dyDescent="0.3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8" customHeight="1" x14ac:dyDescent="0.3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8" customHeight="1" x14ac:dyDescent="0.3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8" customHeight="1" x14ac:dyDescent="0.3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8" customHeight="1" x14ac:dyDescent="0.3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8" customHeight="1" x14ac:dyDescent="0.3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8" customHeight="1" x14ac:dyDescent="0.3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8" customHeight="1" x14ac:dyDescent="0.3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8" customHeight="1" x14ac:dyDescent="0.3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8" customHeight="1" x14ac:dyDescent="0.3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8" customHeight="1" x14ac:dyDescent="0.3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8" customHeight="1" x14ac:dyDescent="0.3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8" customHeight="1" x14ac:dyDescent="0.3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8" customHeight="1" x14ac:dyDescent="0.3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8" customHeight="1" x14ac:dyDescent="0.3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8" customHeight="1" x14ac:dyDescent="0.3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8" customHeight="1" x14ac:dyDescent="0.3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8" customHeight="1" x14ac:dyDescent="0.3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8" customHeight="1" x14ac:dyDescent="0.3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8" customHeight="1" x14ac:dyDescent="0.3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8" customHeight="1" x14ac:dyDescent="0.3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8" customHeight="1" x14ac:dyDescent="0.3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8" customHeight="1" x14ac:dyDescent="0.3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8" customHeight="1" x14ac:dyDescent="0.3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8" customHeight="1" x14ac:dyDescent="0.3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8" customHeight="1" x14ac:dyDescent="0.3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8" customHeight="1" x14ac:dyDescent="0.3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8" customHeight="1" x14ac:dyDescent="0.3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8" customHeight="1" x14ac:dyDescent="0.3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8" customHeight="1" x14ac:dyDescent="0.3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8" customHeight="1" x14ac:dyDescent="0.3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8" customHeight="1" x14ac:dyDescent="0.3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8" customHeight="1" x14ac:dyDescent="0.3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8" customHeight="1" x14ac:dyDescent="0.3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8" customHeight="1" x14ac:dyDescent="0.3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8" customHeight="1" x14ac:dyDescent="0.3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8" customHeight="1" x14ac:dyDescent="0.3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8" customHeight="1" x14ac:dyDescent="0.3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8" customHeight="1" x14ac:dyDescent="0.3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8" customHeight="1" x14ac:dyDescent="0.3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8" customHeight="1" x14ac:dyDescent="0.3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8" customHeight="1" x14ac:dyDescent="0.3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8" customHeight="1" x14ac:dyDescent="0.3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8" customHeight="1" x14ac:dyDescent="0.3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8" customHeight="1" x14ac:dyDescent="0.3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8" customHeight="1" x14ac:dyDescent="0.3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8" customHeight="1" x14ac:dyDescent="0.3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8" customHeight="1" x14ac:dyDescent="0.3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8" customHeight="1" x14ac:dyDescent="0.3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8" customHeight="1" x14ac:dyDescent="0.3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8" customHeight="1" x14ac:dyDescent="0.3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8" customHeight="1" x14ac:dyDescent="0.3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8" customHeight="1" x14ac:dyDescent="0.3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8" customHeight="1" x14ac:dyDescent="0.3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8" customHeight="1" x14ac:dyDescent="0.3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8" customHeight="1" x14ac:dyDescent="0.3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8" customHeight="1" x14ac:dyDescent="0.3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8" customHeight="1" x14ac:dyDescent="0.3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8" customHeight="1" x14ac:dyDescent="0.3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8" customHeight="1" x14ac:dyDescent="0.3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8" customHeight="1" x14ac:dyDescent="0.3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8" customHeight="1" x14ac:dyDescent="0.3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8" customHeight="1" x14ac:dyDescent="0.3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8" customHeight="1" x14ac:dyDescent="0.3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8" customHeight="1" x14ac:dyDescent="0.3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8" customHeight="1" x14ac:dyDescent="0.3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8" customHeight="1" x14ac:dyDescent="0.3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8" customHeight="1" x14ac:dyDescent="0.3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8" customHeight="1" x14ac:dyDescent="0.3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8" customHeight="1" x14ac:dyDescent="0.3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8" customHeight="1" x14ac:dyDescent="0.3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8" customHeight="1" x14ac:dyDescent="0.3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8" customHeight="1" x14ac:dyDescent="0.3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8" customHeight="1" x14ac:dyDescent="0.3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8" customHeight="1" x14ac:dyDescent="0.3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8" customHeight="1" x14ac:dyDescent="0.3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8" customHeight="1" x14ac:dyDescent="0.3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8" customHeight="1" x14ac:dyDescent="0.3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8" customHeight="1" x14ac:dyDescent="0.3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8" customHeight="1" x14ac:dyDescent="0.3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8" customHeight="1" x14ac:dyDescent="0.3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8" customHeight="1" x14ac:dyDescent="0.3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8" customHeight="1" x14ac:dyDescent="0.3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8" customHeight="1" x14ac:dyDescent="0.3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8" customHeight="1" x14ac:dyDescent="0.3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8" customHeight="1" x14ac:dyDescent="0.3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8" customHeight="1" x14ac:dyDescent="0.3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8" customHeight="1" x14ac:dyDescent="0.3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8" customHeight="1" x14ac:dyDescent="0.3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8" customHeight="1" x14ac:dyDescent="0.3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8" customHeight="1" x14ac:dyDescent="0.3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8" customHeight="1" x14ac:dyDescent="0.3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8" customHeight="1" x14ac:dyDescent="0.3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8" customHeight="1" x14ac:dyDescent="0.3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8" customHeight="1" x14ac:dyDescent="0.3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8" customHeight="1" x14ac:dyDescent="0.3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8" customHeight="1" x14ac:dyDescent="0.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8" customHeight="1" x14ac:dyDescent="0.3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8" customHeight="1" x14ac:dyDescent="0.3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8" customHeight="1" x14ac:dyDescent="0.3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8" customHeight="1" x14ac:dyDescent="0.3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8" customHeight="1" x14ac:dyDescent="0.3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8" customHeight="1" x14ac:dyDescent="0.3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8" customHeight="1" x14ac:dyDescent="0.3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8" customHeight="1" x14ac:dyDescent="0.3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8" customHeight="1" x14ac:dyDescent="0.3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8" customHeight="1" x14ac:dyDescent="0.3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8" customHeight="1" x14ac:dyDescent="0.3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8" customHeight="1" x14ac:dyDescent="0.3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8" customHeight="1" x14ac:dyDescent="0.3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8" customHeight="1" x14ac:dyDescent="0.3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8" customHeight="1" x14ac:dyDescent="0.3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8" customHeight="1" x14ac:dyDescent="0.3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8" customHeight="1" x14ac:dyDescent="0.3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8" customHeight="1" x14ac:dyDescent="0.3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8" customHeight="1" x14ac:dyDescent="0.3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8" customHeight="1" x14ac:dyDescent="0.3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8" customHeight="1" x14ac:dyDescent="0.3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8" customHeight="1" x14ac:dyDescent="0.3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8" customHeight="1" x14ac:dyDescent="0.3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8" customHeight="1" x14ac:dyDescent="0.3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8" customHeight="1" x14ac:dyDescent="0.3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8" customHeight="1" x14ac:dyDescent="0.3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8" customHeight="1" x14ac:dyDescent="0.3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8" customHeight="1" x14ac:dyDescent="0.3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8" customHeight="1" x14ac:dyDescent="0.3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8" customHeight="1" x14ac:dyDescent="0.3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8" customHeight="1" x14ac:dyDescent="0.3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8" customHeight="1" x14ac:dyDescent="0.3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8" customHeight="1" x14ac:dyDescent="0.3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8" customHeight="1" x14ac:dyDescent="0.3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8" customHeight="1" x14ac:dyDescent="0.3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8" customHeight="1" x14ac:dyDescent="0.3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8" customHeight="1" x14ac:dyDescent="0.3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8" customHeight="1" x14ac:dyDescent="0.3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8" customHeight="1" x14ac:dyDescent="0.3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8" customHeight="1" x14ac:dyDescent="0.3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8" customHeight="1" x14ac:dyDescent="0.3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8" customHeight="1" x14ac:dyDescent="0.3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8" customHeight="1" x14ac:dyDescent="0.3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8" customHeight="1" x14ac:dyDescent="0.3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8" customHeight="1" x14ac:dyDescent="0.3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8" customHeight="1" x14ac:dyDescent="0.3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8" customHeight="1" x14ac:dyDescent="0.3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8" customHeight="1" x14ac:dyDescent="0.3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8" customHeight="1" x14ac:dyDescent="0.3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8" customHeight="1" x14ac:dyDescent="0.3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8" customHeight="1" x14ac:dyDescent="0.3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8" customHeight="1" x14ac:dyDescent="0.3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8" customHeight="1" x14ac:dyDescent="0.3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8" customHeight="1" x14ac:dyDescent="0.3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8" customHeight="1" x14ac:dyDescent="0.3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8" customHeight="1" x14ac:dyDescent="0.3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8" customHeight="1" x14ac:dyDescent="0.3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8" customHeight="1" x14ac:dyDescent="0.3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8" customHeight="1" x14ac:dyDescent="0.3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8" customHeight="1" x14ac:dyDescent="0.3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8" customHeight="1" x14ac:dyDescent="0.3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8" customHeight="1" x14ac:dyDescent="0.3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8" customHeight="1" x14ac:dyDescent="0.3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8" customHeight="1" x14ac:dyDescent="0.3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8" customHeight="1" x14ac:dyDescent="0.3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8" customHeight="1" x14ac:dyDescent="0.3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8" customHeight="1" x14ac:dyDescent="0.3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8" customHeight="1" x14ac:dyDescent="0.3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8" customHeight="1" x14ac:dyDescent="0.3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8" customHeight="1" x14ac:dyDescent="0.3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8" customHeight="1" x14ac:dyDescent="0.3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8" customHeight="1" x14ac:dyDescent="0.3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8" customHeight="1" x14ac:dyDescent="0.3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8" customHeight="1" x14ac:dyDescent="0.3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8" customHeight="1" x14ac:dyDescent="0.3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8" customHeight="1" x14ac:dyDescent="0.3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8" customHeight="1" x14ac:dyDescent="0.3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8" customHeight="1" x14ac:dyDescent="0.3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8" customHeight="1" x14ac:dyDescent="0.3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8" customHeight="1" x14ac:dyDescent="0.3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8" customHeight="1" x14ac:dyDescent="0.3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8" customHeight="1" x14ac:dyDescent="0.3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8" customHeight="1" x14ac:dyDescent="0.3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8" customHeight="1" x14ac:dyDescent="0.3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8" customHeight="1" x14ac:dyDescent="0.3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8" customHeight="1" x14ac:dyDescent="0.3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8" customHeight="1" x14ac:dyDescent="0.3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8" customHeight="1" x14ac:dyDescent="0.3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8" customHeight="1" x14ac:dyDescent="0.3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8" customHeight="1" x14ac:dyDescent="0.3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8" customHeight="1" x14ac:dyDescent="0.3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8" customHeight="1" x14ac:dyDescent="0.3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8" customHeight="1" x14ac:dyDescent="0.3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8" customHeight="1" x14ac:dyDescent="0.3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8" customHeight="1" x14ac:dyDescent="0.3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8" customHeight="1" x14ac:dyDescent="0.3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8" customHeight="1" x14ac:dyDescent="0.3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8" customHeight="1" x14ac:dyDescent="0.3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8" customHeight="1" x14ac:dyDescent="0.3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8" customHeight="1" x14ac:dyDescent="0.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8" customHeight="1" x14ac:dyDescent="0.3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8" customHeight="1" x14ac:dyDescent="0.3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8" customHeight="1" x14ac:dyDescent="0.3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8" customHeight="1" x14ac:dyDescent="0.3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8" customHeight="1" x14ac:dyDescent="0.3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8" customHeight="1" x14ac:dyDescent="0.3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8" customHeight="1" x14ac:dyDescent="0.3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8" customHeight="1" x14ac:dyDescent="0.3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8" customHeight="1" x14ac:dyDescent="0.3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8" customHeight="1" x14ac:dyDescent="0.3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8" customHeight="1" x14ac:dyDescent="0.3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8" customHeight="1" x14ac:dyDescent="0.3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8" customHeight="1" x14ac:dyDescent="0.3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8" customHeight="1" x14ac:dyDescent="0.3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8" customHeight="1" x14ac:dyDescent="0.3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8" customHeight="1" x14ac:dyDescent="0.3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8" customHeight="1" x14ac:dyDescent="0.3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8" customHeight="1" x14ac:dyDescent="0.3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8" customHeight="1" x14ac:dyDescent="0.3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8" customHeight="1" x14ac:dyDescent="0.3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8" customHeight="1" x14ac:dyDescent="0.3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8" customHeight="1" x14ac:dyDescent="0.3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8" customHeight="1" x14ac:dyDescent="0.3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8" customHeight="1" x14ac:dyDescent="0.3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8" customHeight="1" x14ac:dyDescent="0.3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8" customHeight="1" x14ac:dyDescent="0.3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8" customHeight="1" x14ac:dyDescent="0.3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8" customHeight="1" x14ac:dyDescent="0.3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8" customHeight="1" x14ac:dyDescent="0.3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8" customHeight="1" x14ac:dyDescent="0.3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8" customHeight="1" x14ac:dyDescent="0.3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8" customHeight="1" x14ac:dyDescent="0.3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8" customHeight="1" x14ac:dyDescent="0.3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8" customHeight="1" x14ac:dyDescent="0.3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8" customHeight="1" x14ac:dyDescent="0.3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8" customHeight="1" x14ac:dyDescent="0.3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8" customHeight="1" x14ac:dyDescent="0.3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8" customHeight="1" x14ac:dyDescent="0.3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8" customHeight="1" x14ac:dyDescent="0.3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8" customHeight="1" x14ac:dyDescent="0.3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8" customHeight="1" x14ac:dyDescent="0.3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8" customHeight="1" x14ac:dyDescent="0.3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8" customHeight="1" x14ac:dyDescent="0.3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8" customHeight="1" x14ac:dyDescent="0.3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8" customHeight="1" x14ac:dyDescent="0.3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8" customHeight="1" x14ac:dyDescent="0.3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8" customHeight="1" x14ac:dyDescent="0.3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8" customHeight="1" x14ac:dyDescent="0.3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8" customHeight="1" x14ac:dyDescent="0.3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8" customHeight="1" x14ac:dyDescent="0.3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8" customHeight="1" x14ac:dyDescent="0.3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8" customHeight="1" x14ac:dyDescent="0.3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8" customHeight="1" x14ac:dyDescent="0.3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8" customHeight="1" x14ac:dyDescent="0.3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8" customHeight="1" x14ac:dyDescent="0.3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8" customHeight="1" x14ac:dyDescent="0.3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8" customHeight="1" x14ac:dyDescent="0.3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8" customHeight="1" x14ac:dyDescent="0.3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8" customHeight="1" x14ac:dyDescent="0.3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8" customHeight="1" x14ac:dyDescent="0.3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8" customHeight="1" x14ac:dyDescent="0.3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8" customHeight="1" x14ac:dyDescent="0.3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8" customHeight="1" x14ac:dyDescent="0.3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8" customHeight="1" x14ac:dyDescent="0.3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8" customHeight="1" x14ac:dyDescent="0.3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8" customHeight="1" x14ac:dyDescent="0.3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8" customHeight="1" x14ac:dyDescent="0.3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8" customHeight="1" x14ac:dyDescent="0.3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8" customHeight="1" x14ac:dyDescent="0.3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8" customHeight="1" x14ac:dyDescent="0.3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8" customHeight="1" x14ac:dyDescent="0.3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8" customHeight="1" x14ac:dyDescent="0.3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8" customHeight="1" x14ac:dyDescent="0.3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8" customHeight="1" x14ac:dyDescent="0.3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8" customHeight="1" x14ac:dyDescent="0.3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8" customHeight="1" x14ac:dyDescent="0.3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8" customHeight="1" x14ac:dyDescent="0.3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8" customHeight="1" x14ac:dyDescent="0.3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8" customHeight="1" x14ac:dyDescent="0.3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8" customHeight="1" x14ac:dyDescent="0.3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8" customHeight="1" x14ac:dyDescent="0.3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8" customHeight="1" x14ac:dyDescent="0.3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8" customHeight="1" x14ac:dyDescent="0.3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8" customHeight="1" x14ac:dyDescent="0.3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8" customHeight="1" x14ac:dyDescent="0.3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8" customHeight="1" x14ac:dyDescent="0.3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8" customHeight="1" x14ac:dyDescent="0.3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8" customHeight="1" x14ac:dyDescent="0.3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8" customHeight="1" x14ac:dyDescent="0.3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8" customHeight="1" x14ac:dyDescent="0.3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8" customHeight="1" x14ac:dyDescent="0.3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8" customHeight="1" x14ac:dyDescent="0.3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8" customHeight="1" x14ac:dyDescent="0.3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8" customHeight="1" x14ac:dyDescent="0.3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8" customHeight="1" x14ac:dyDescent="0.3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8" customHeight="1" x14ac:dyDescent="0.3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8" customHeight="1" x14ac:dyDescent="0.3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8" customHeight="1" x14ac:dyDescent="0.3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8" customHeight="1" x14ac:dyDescent="0.3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8" customHeight="1" x14ac:dyDescent="0.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8" customHeight="1" x14ac:dyDescent="0.3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8" customHeight="1" x14ac:dyDescent="0.3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8" customHeight="1" x14ac:dyDescent="0.3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8" customHeight="1" x14ac:dyDescent="0.3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8" customHeight="1" x14ac:dyDescent="0.3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8" customHeight="1" x14ac:dyDescent="0.3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8" customHeight="1" x14ac:dyDescent="0.3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8" customHeight="1" x14ac:dyDescent="0.3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8" customHeight="1" x14ac:dyDescent="0.3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8" customHeight="1" x14ac:dyDescent="0.3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8" customHeight="1" x14ac:dyDescent="0.3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8" customHeight="1" x14ac:dyDescent="0.3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8" customHeight="1" x14ac:dyDescent="0.3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8" customHeight="1" x14ac:dyDescent="0.3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8" customHeight="1" x14ac:dyDescent="0.3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8" customHeight="1" x14ac:dyDescent="0.3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8" customHeight="1" x14ac:dyDescent="0.3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8" customHeight="1" x14ac:dyDescent="0.3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8" customHeight="1" x14ac:dyDescent="0.3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8" customHeight="1" x14ac:dyDescent="0.3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8" customHeight="1" x14ac:dyDescent="0.3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8" customHeight="1" x14ac:dyDescent="0.3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8" customHeight="1" x14ac:dyDescent="0.3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8" customHeight="1" x14ac:dyDescent="0.3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8" customHeight="1" x14ac:dyDescent="0.3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8" customHeight="1" x14ac:dyDescent="0.3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8" customHeight="1" x14ac:dyDescent="0.3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8" customHeight="1" x14ac:dyDescent="0.3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8" customHeight="1" x14ac:dyDescent="0.3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8" customHeight="1" x14ac:dyDescent="0.3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8" customHeight="1" x14ac:dyDescent="0.3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8" customHeight="1" x14ac:dyDescent="0.3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8" customHeight="1" x14ac:dyDescent="0.3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8" customHeight="1" x14ac:dyDescent="0.3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8" customHeight="1" x14ac:dyDescent="0.3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8" customHeight="1" x14ac:dyDescent="0.3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8" customHeight="1" x14ac:dyDescent="0.3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8" customHeight="1" x14ac:dyDescent="0.3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8" customHeight="1" x14ac:dyDescent="0.3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8" customHeight="1" x14ac:dyDescent="0.3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8" customHeight="1" x14ac:dyDescent="0.3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8" customHeight="1" x14ac:dyDescent="0.3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8" customHeight="1" x14ac:dyDescent="0.3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8" customHeight="1" x14ac:dyDescent="0.3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8" customHeight="1" x14ac:dyDescent="0.3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8" customHeight="1" x14ac:dyDescent="0.3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8" customHeight="1" x14ac:dyDescent="0.3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8" customHeight="1" x14ac:dyDescent="0.3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8" customHeight="1" x14ac:dyDescent="0.3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8" customHeight="1" x14ac:dyDescent="0.3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8" customHeight="1" x14ac:dyDescent="0.3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8" customHeight="1" x14ac:dyDescent="0.3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8" customHeight="1" x14ac:dyDescent="0.3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8" customHeight="1" x14ac:dyDescent="0.3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8" customHeight="1" x14ac:dyDescent="0.3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8" customHeight="1" x14ac:dyDescent="0.3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8" customHeight="1" x14ac:dyDescent="0.3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8" customHeight="1" x14ac:dyDescent="0.3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8" customHeight="1" x14ac:dyDescent="0.3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8" customHeight="1" x14ac:dyDescent="0.3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8" customHeight="1" x14ac:dyDescent="0.3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8" customHeight="1" x14ac:dyDescent="0.3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8" customHeight="1" x14ac:dyDescent="0.3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8" customHeight="1" x14ac:dyDescent="0.3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8" customHeight="1" x14ac:dyDescent="0.3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8" customHeight="1" x14ac:dyDescent="0.3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8" customHeight="1" x14ac:dyDescent="0.3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8" customHeight="1" x14ac:dyDescent="0.3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8" customHeight="1" x14ac:dyDescent="0.3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8" customHeight="1" x14ac:dyDescent="0.3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8" customHeight="1" x14ac:dyDescent="0.3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8" customHeight="1" x14ac:dyDescent="0.3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8" customHeight="1" x14ac:dyDescent="0.3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8" customHeight="1" x14ac:dyDescent="0.3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8" customHeight="1" x14ac:dyDescent="0.3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8" customHeight="1" x14ac:dyDescent="0.3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8" customHeight="1" x14ac:dyDescent="0.3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8" customHeight="1" x14ac:dyDescent="0.3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8" customHeight="1" x14ac:dyDescent="0.3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8" customHeight="1" x14ac:dyDescent="0.3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8" customHeight="1" x14ac:dyDescent="0.3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8" customHeight="1" x14ac:dyDescent="0.3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8" customHeight="1" x14ac:dyDescent="0.3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8" customHeight="1" x14ac:dyDescent="0.3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8" customHeight="1" x14ac:dyDescent="0.3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8" customHeight="1" x14ac:dyDescent="0.3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8" customHeight="1" x14ac:dyDescent="0.3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8" customHeight="1" x14ac:dyDescent="0.3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8" customHeight="1" x14ac:dyDescent="0.3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8" customHeight="1" x14ac:dyDescent="0.3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8" customHeight="1" x14ac:dyDescent="0.3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8" customHeight="1" x14ac:dyDescent="0.3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8" customHeight="1" x14ac:dyDescent="0.3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8" customHeight="1" x14ac:dyDescent="0.3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8" customHeight="1" x14ac:dyDescent="0.3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8" customHeight="1" x14ac:dyDescent="0.3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8" customHeight="1" x14ac:dyDescent="0.3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8" customHeight="1" x14ac:dyDescent="0.3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8" customHeight="1" x14ac:dyDescent="0.3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8" customHeight="1" x14ac:dyDescent="0.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8" customHeight="1" x14ac:dyDescent="0.3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8" customHeight="1" x14ac:dyDescent="0.3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8" customHeight="1" x14ac:dyDescent="0.3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8" customHeight="1" x14ac:dyDescent="0.3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8" customHeight="1" x14ac:dyDescent="0.3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8" customHeight="1" x14ac:dyDescent="0.3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8" customHeight="1" x14ac:dyDescent="0.3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8" customHeight="1" x14ac:dyDescent="0.3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8" customHeight="1" x14ac:dyDescent="0.3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8" customHeight="1" x14ac:dyDescent="0.3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8" customHeight="1" x14ac:dyDescent="0.3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8" customHeight="1" x14ac:dyDescent="0.3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8" customHeight="1" x14ac:dyDescent="0.3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8" customHeight="1" x14ac:dyDescent="0.3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8" customHeight="1" x14ac:dyDescent="0.3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8" customHeight="1" x14ac:dyDescent="0.3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8" customHeight="1" x14ac:dyDescent="0.3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8" customHeight="1" x14ac:dyDescent="0.3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8" customHeight="1" x14ac:dyDescent="0.3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8" customHeight="1" x14ac:dyDescent="0.3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8" customHeight="1" x14ac:dyDescent="0.3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8" customHeight="1" x14ac:dyDescent="0.3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8" customHeight="1" x14ac:dyDescent="0.3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8" customHeight="1" x14ac:dyDescent="0.3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8" customHeight="1" x14ac:dyDescent="0.3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8" customHeight="1" x14ac:dyDescent="0.3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8" customHeight="1" x14ac:dyDescent="0.3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8" customHeight="1" x14ac:dyDescent="0.3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8" customHeight="1" x14ac:dyDescent="0.3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8" customHeight="1" x14ac:dyDescent="0.3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8" customHeight="1" x14ac:dyDescent="0.3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8" customHeight="1" x14ac:dyDescent="0.3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8" customHeight="1" x14ac:dyDescent="0.3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8" customHeight="1" x14ac:dyDescent="0.3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8" customHeight="1" x14ac:dyDescent="0.3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8" customHeight="1" x14ac:dyDescent="0.3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8" customHeight="1" x14ac:dyDescent="0.3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8" customHeight="1" x14ac:dyDescent="0.3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8" customHeight="1" x14ac:dyDescent="0.3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8" customHeight="1" x14ac:dyDescent="0.3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8" customHeight="1" x14ac:dyDescent="0.3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8" customHeight="1" x14ac:dyDescent="0.3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8" customHeight="1" x14ac:dyDescent="0.3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8" customHeight="1" x14ac:dyDescent="0.3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8" customHeight="1" x14ac:dyDescent="0.3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8" customHeight="1" x14ac:dyDescent="0.3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8" customHeight="1" x14ac:dyDescent="0.3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8" customHeight="1" x14ac:dyDescent="0.3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8" customHeight="1" x14ac:dyDescent="0.3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8" customHeight="1" x14ac:dyDescent="0.3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8" customHeight="1" x14ac:dyDescent="0.3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8" customHeight="1" x14ac:dyDescent="0.3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8" customHeight="1" x14ac:dyDescent="0.3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8" customHeight="1" x14ac:dyDescent="0.3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8" customHeight="1" x14ac:dyDescent="0.3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8" customHeight="1" x14ac:dyDescent="0.3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8" customHeight="1" x14ac:dyDescent="0.3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8" customHeight="1" x14ac:dyDescent="0.3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8" customHeight="1" x14ac:dyDescent="0.3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8" customHeight="1" x14ac:dyDescent="0.3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8" customHeight="1" x14ac:dyDescent="0.3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8" customHeight="1" x14ac:dyDescent="0.3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8" customHeight="1" x14ac:dyDescent="0.3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8" customHeight="1" x14ac:dyDescent="0.3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8" customHeight="1" x14ac:dyDescent="0.3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8" customHeight="1" x14ac:dyDescent="0.3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8" customHeight="1" x14ac:dyDescent="0.3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8" customHeight="1" x14ac:dyDescent="0.3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8" customHeight="1" x14ac:dyDescent="0.3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8" customHeight="1" x14ac:dyDescent="0.3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8" customHeight="1" x14ac:dyDescent="0.3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8" customHeight="1" x14ac:dyDescent="0.3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8" customHeight="1" x14ac:dyDescent="0.3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8" customHeight="1" x14ac:dyDescent="0.3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8" customHeight="1" x14ac:dyDescent="0.3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8" customHeight="1" x14ac:dyDescent="0.3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8" customHeight="1" x14ac:dyDescent="0.3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8" customHeight="1" x14ac:dyDescent="0.3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8" customHeight="1" x14ac:dyDescent="0.3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8" customHeight="1" x14ac:dyDescent="0.3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8" customHeight="1" x14ac:dyDescent="0.3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8" customHeight="1" x14ac:dyDescent="0.3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8" customHeight="1" x14ac:dyDescent="0.3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8" customHeight="1" x14ac:dyDescent="0.3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8" customHeight="1" x14ac:dyDescent="0.3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8" customHeight="1" x14ac:dyDescent="0.3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8" customHeight="1" x14ac:dyDescent="0.3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8" customHeight="1" x14ac:dyDescent="0.3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8" customHeight="1" x14ac:dyDescent="0.3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8" customHeight="1" x14ac:dyDescent="0.3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8" customHeight="1" x14ac:dyDescent="0.3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8" customHeight="1" x14ac:dyDescent="0.3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8" customHeight="1" x14ac:dyDescent="0.3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8" customHeight="1" x14ac:dyDescent="0.3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8" customHeight="1" x14ac:dyDescent="0.3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8" customHeight="1" x14ac:dyDescent="0.3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8" customHeight="1" x14ac:dyDescent="0.3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8" customHeight="1" x14ac:dyDescent="0.3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8" customHeight="1" x14ac:dyDescent="0.3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8" customHeight="1" x14ac:dyDescent="0.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8" customHeight="1" x14ac:dyDescent="0.3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8" customHeight="1" x14ac:dyDescent="0.3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8" customHeight="1" x14ac:dyDescent="0.3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8" customHeight="1" x14ac:dyDescent="0.3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8" customHeight="1" x14ac:dyDescent="0.3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8" customHeight="1" x14ac:dyDescent="0.3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8" customHeight="1" x14ac:dyDescent="0.3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8" customHeight="1" x14ac:dyDescent="0.3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8" customHeight="1" x14ac:dyDescent="0.3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8" customHeight="1" x14ac:dyDescent="0.3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8" customHeight="1" x14ac:dyDescent="0.3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8" customHeight="1" x14ac:dyDescent="0.3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8" customHeight="1" x14ac:dyDescent="0.3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8" customHeight="1" x14ac:dyDescent="0.3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8" customHeight="1" x14ac:dyDescent="0.3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8" customHeight="1" x14ac:dyDescent="0.3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8" customHeight="1" x14ac:dyDescent="0.3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8" customHeight="1" x14ac:dyDescent="0.3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8" customHeight="1" x14ac:dyDescent="0.3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8" customHeight="1" x14ac:dyDescent="0.3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8" customHeight="1" x14ac:dyDescent="0.3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8" customHeight="1" x14ac:dyDescent="0.3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8" customHeight="1" x14ac:dyDescent="0.3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8" customHeight="1" x14ac:dyDescent="0.3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8" customHeight="1" x14ac:dyDescent="0.3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8" customHeight="1" x14ac:dyDescent="0.3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8" customHeight="1" x14ac:dyDescent="0.3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8" customHeight="1" x14ac:dyDescent="0.3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8" customHeight="1" x14ac:dyDescent="0.3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8" customHeight="1" x14ac:dyDescent="0.3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8" customHeight="1" x14ac:dyDescent="0.3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8" customHeight="1" x14ac:dyDescent="0.3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8" customHeight="1" x14ac:dyDescent="0.3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8" customHeight="1" x14ac:dyDescent="0.3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8" customHeight="1" x14ac:dyDescent="0.3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8" customHeight="1" x14ac:dyDescent="0.3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8" customHeight="1" x14ac:dyDescent="0.3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8" customHeight="1" x14ac:dyDescent="0.3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8" customHeight="1" x14ac:dyDescent="0.3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8" customHeight="1" x14ac:dyDescent="0.3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8" customHeight="1" x14ac:dyDescent="0.3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8" customHeight="1" x14ac:dyDescent="0.3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8" customHeight="1" x14ac:dyDescent="0.3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8" customHeight="1" x14ac:dyDescent="0.3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8" customHeight="1" x14ac:dyDescent="0.3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8" customHeight="1" x14ac:dyDescent="0.3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8" customHeight="1" x14ac:dyDescent="0.3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8" customHeight="1" x14ac:dyDescent="0.3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8" customHeight="1" x14ac:dyDescent="0.3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8" customHeight="1" x14ac:dyDescent="0.3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8" customHeight="1" x14ac:dyDescent="0.3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8" customHeight="1" x14ac:dyDescent="0.3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8" customHeight="1" x14ac:dyDescent="0.3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8" customHeight="1" x14ac:dyDescent="0.3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8" customHeight="1" x14ac:dyDescent="0.3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8" customHeight="1" x14ac:dyDescent="0.3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8" customHeight="1" x14ac:dyDescent="0.3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8" customHeight="1" x14ac:dyDescent="0.3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8" customHeight="1" x14ac:dyDescent="0.3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8" customHeight="1" x14ac:dyDescent="0.3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8" customHeight="1" x14ac:dyDescent="0.3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8" customHeight="1" x14ac:dyDescent="0.3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8" customHeight="1" x14ac:dyDescent="0.3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8" customHeight="1" x14ac:dyDescent="0.3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8" customHeight="1" x14ac:dyDescent="0.3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17">
    <mergeCell ref="Q23:T23"/>
    <mergeCell ref="V23:Y23"/>
    <mergeCell ref="B24:B25"/>
    <mergeCell ref="C24:C25"/>
    <mergeCell ref="C27:F29"/>
    <mergeCell ref="O23:P23"/>
    <mergeCell ref="B49:C49"/>
    <mergeCell ref="G53:H53"/>
    <mergeCell ref="G55:H55"/>
    <mergeCell ref="B61:F63"/>
    <mergeCell ref="B308:E313"/>
    <mergeCell ref="A1:G3"/>
    <mergeCell ref="A4:A5"/>
    <mergeCell ref="E14:G14"/>
    <mergeCell ref="K14:M18"/>
    <mergeCell ref="E15:G15"/>
    <mergeCell ref="E17:G19"/>
  </mergeCells>
  <conditionalFormatting sqref="E4 C20">
    <cfRule type="containsText" dxfId="38" priority="1" operator="containsText" text="Boulons et Platines">
      <formula>NOT(ISERROR(SEARCH(("Boulons et Platines"),(C20))))</formula>
    </cfRule>
  </conditionalFormatting>
  <conditionalFormatting sqref="F20">
    <cfRule type="containsText" dxfId="37" priority="2" operator="containsText" text="Oui">
      <formula>NOT(ISERROR(SEARCH(("Oui"),(F20))))</formula>
    </cfRule>
  </conditionalFormatting>
  <dataValidations count="6">
    <dataValidation type="list" allowBlank="1" showErrorMessage="1" sqref="C24" xr:uid="{00000000-0002-0000-0800-000000000000}">
      <formula1>$A$178:$A$179</formula1>
    </dataValidation>
    <dataValidation type="list" allowBlank="1" showErrorMessage="1" sqref="F16 F20 F25:F26" xr:uid="{00000000-0002-0000-0800-000001000000}">
      <formula1>$A$185:$A$186</formula1>
    </dataValidation>
    <dataValidation type="list" allowBlank="1" showErrorMessage="1" sqref="C18" xr:uid="{00000000-0002-0000-0800-000002000000}">
      <formula1>$A$157:$A$163</formula1>
    </dataValidation>
    <dataValidation type="list" allowBlank="1" showErrorMessage="1" sqref="C16" xr:uid="{00000000-0002-0000-0800-000004000000}">
      <formula1>$A$151:$A$152</formula1>
    </dataValidation>
    <dataValidation type="list" allowBlank="1" showErrorMessage="1" sqref="C20" xr:uid="{00000000-0002-0000-0800-000006000000}">
      <formula1>$A$165:$A$166</formula1>
    </dataValidation>
    <dataValidation type="list" allowBlank="1" showErrorMessage="1" sqref="C14" xr:uid="{00000000-0002-0000-0800-000007000000}">
      <formula1>$A$148:$A$149</formula1>
    </dataValidation>
  </dataValidations>
  <pageMargins left="0.11811023622047245" right="0.31496062992125984" top="0.55118110236220474" bottom="0.55118110236220474" header="0" footer="0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ErrorMessage="1" xr:uid="{00000000-0002-0000-0800-000003000000}">
          <x14:formula1>
            <xm:f>'Infos Clients'!$B$2:$B$10</xm:f>
          </x14:formula1>
          <xm:sqref>F11</xm:sqref>
        </x14:dataValidation>
        <x14:dataValidation type="list" allowBlank="1" showErrorMessage="1" xr:uid="{00000000-0002-0000-0800-000005000000}">
          <x14:formula1>
            <xm:f>'Infos Clients'!$A$19:$A$20</xm:f>
          </x14:formula1>
          <xm:sqref>F10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00B0F0"/>
  </sheetPr>
  <dimension ref="A1:Z1000"/>
  <sheetViews>
    <sheetView workbookViewId="0"/>
  </sheetViews>
  <sheetFormatPr baseColWidth="10" defaultColWidth="14.44140625" defaultRowHeight="15" customHeight="1" x14ac:dyDescent="0.3"/>
  <cols>
    <col min="1" max="1" width="15.109375" customWidth="1"/>
    <col min="2" max="2" width="40" customWidth="1"/>
    <col min="3" max="3" width="28" customWidth="1"/>
    <col min="4" max="4" width="17.88671875" customWidth="1"/>
    <col min="5" max="5" width="24.44140625" customWidth="1"/>
    <col min="6" max="6" width="27" customWidth="1"/>
    <col min="7" max="7" width="19" customWidth="1"/>
    <col min="8" max="8" width="18.109375" hidden="1" customWidth="1"/>
    <col min="9" max="9" width="16.109375" hidden="1" customWidth="1"/>
    <col min="10" max="11" width="11.44140625" hidden="1" customWidth="1"/>
    <col min="12" max="13" width="11.5546875" hidden="1" customWidth="1"/>
    <col min="14" max="14" width="15.44140625" hidden="1" customWidth="1"/>
    <col min="15" max="15" width="12.88671875" hidden="1" customWidth="1"/>
    <col min="16" max="16" width="18" hidden="1" customWidth="1"/>
    <col min="17" max="17" width="14.5546875" hidden="1" customWidth="1"/>
    <col min="18" max="19" width="11.44140625" hidden="1" customWidth="1"/>
    <col min="20" max="26" width="11.44140625" customWidth="1"/>
  </cols>
  <sheetData>
    <row r="1" spans="1:26" ht="18" customHeight="1" x14ac:dyDescent="0.35">
      <c r="A1" s="1106" t="s">
        <v>266</v>
      </c>
      <c r="B1" s="1085"/>
      <c r="C1" s="1085"/>
      <c r="D1" s="1085"/>
      <c r="E1" s="1085"/>
      <c r="F1" s="1085"/>
      <c r="G1" s="1085"/>
      <c r="H1" s="1085"/>
      <c r="I1" s="1085"/>
      <c r="J1" s="1085"/>
      <c r="K1" s="1086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8" customHeight="1" x14ac:dyDescent="0.35">
      <c r="A2" s="1087"/>
      <c r="B2" s="1088"/>
      <c r="C2" s="1088"/>
      <c r="D2" s="1088"/>
      <c r="E2" s="1088"/>
      <c r="F2" s="1088"/>
      <c r="G2" s="1088"/>
      <c r="H2" s="1088"/>
      <c r="I2" s="1088"/>
      <c r="J2" s="1088"/>
      <c r="K2" s="1089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21.75" hidden="1" customHeight="1" x14ac:dyDescent="0.35">
      <c r="A3" s="2"/>
      <c r="B3" s="2"/>
      <c r="C3" s="38">
        <f>IF(C19="Boulons et platines","Boulons et Platines GC",0)</f>
        <v>0</v>
      </c>
      <c r="D3" s="38">
        <f>IF(C3="Boulons et Platines GC","Nbre de Trous",0)</f>
        <v>0</v>
      </c>
      <c r="E3" s="168">
        <f>IF(C3="Boulons et Platines GC","Dim du Bord",0)</f>
        <v>0</v>
      </c>
      <c r="F3" s="38">
        <f>IF(C19="Boulons et platines","Boulons et Platines CV",0)</f>
        <v>0</v>
      </c>
      <c r="G3" s="38">
        <f>IF(F3="Boulons et Platines CV","Nbre de Trous",0)</f>
        <v>0</v>
      </c>
      <c r="H3" s="168">
        <f>IF(F3="Boulons et Platines CV","Dim du Bord",0)</f>
        <v>0</v>
      </c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21.75" hidden="1" customHeight="1" x14ac:dyDescent="0.35">
      <c r="A4" s="2"/>
      <c r="B4" s="2"/>
      <c r="C4" s="10">
        <f>IF(C19="Vis bois",0,"Trous dans la Longueur")</f>
        <v>0</v>
      </c>
      <c r="D4" s="6">
        <f>IF(C4=0,0,IF(C66&lt;100,2,IF(C66&lt;150,3,IF(C66&lt;200,4,IF(C66&lt;250,5,IF(C66&lt;300,6,7))))))</f>
        <v>0</v>
      </c>
      <c r="E4" s="11">
        <f>IF(D4=0,0,IF(D4=2,0,IF(D4=3,0,(($C$66-32)/(D4-1))+16)))</f>
        <v>0</v>
      </c>
      <c r="F4" s="10">
        <f>IF(C19="Vis bois",0,"Trous dans la Longueur")</f>
        <v>0</v>
      </c>
      <c r="G4" s="6">
        <f>IF(F4=0,0,IF(C67&lt;100,2,IF(C67&lt;150,3,IF(C67&lt;200,4,IF(C67&lt;250,5,IF(C67&lt;300,6,7))))))</f>
        <v>0</v>
      </c>
      <c r="H4" s="11">
        <f>IF(G4=0,0,IF(G4=2,0,IF(G4=3,0,(($C$66-32)/(G4-1))+16)))</f>
        <v>0</v>
      </c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8.75" hidden="1" customHeight="1" x14ac:dyDescent="0.35">
      <c r="A5" s="2"/>
      <c r="B5" s="2"/>
      <c r="C5" s="13">
        <f>IF(D4=6,"2ème Trou",IF(D4=7,"2ème Trou",0))</f>
        <v>0</v>
      </c>
      <c r="D5" s="2"/>
      <c r="E5" s="11">
        <f>IF(C5=0,0,E4+E4-16)</f>
        <v>0</v>
      </c>
      <c r="F5" s="13">
        <f>IF(G4=6,"2ème Trou",IF(G4=7,"2ème Trou",0))</f>
        <v>0</v>
      </c>
      <c r="G5" s="2"/>
      <c r="H5" s="11">
        <f>IF(F5=0,0,H4+H4-16)</f>
        <v>0</v>
      </c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8" hidden="1" customHeight="1" x14ac:dyDescent="0.35">
      <c r="A6" s="2"/>
      <c r="B6" s="2"/>
      <c r="C6" s="10">
        <f>IF(C19="Vis bois",0,"Trous dans la Hauteur")</f>
        <v>0</v>
      </c>
      <c r="D6" s="6">
        <f>IF(C6=0,0,IF(B65&lt;100,2,IF(B65&lt;150,3,IF(B65&lt;200,4,IF(B65&lt;250,5,IF(B65&lt;310,6,7))))))</f>
        <v>0</v>
      </c>
      <c r="E6" s="11">
        <f>IF(D6=0,0,IF(D6=2,0,IF(D6=3,0,(($D$66-32)/(D6-1))+16)))</f>
        <v>0</v>
      </c>
      <c r="F6" s="10">
        <f>IF(C19="Vis bois",0,"Trous dans la Largeur")</f>
        <v>0</v>
      </c>
      <c r="G6" s="6">
        <f>IF(F6=0,0,IF(D67&lt;50,1,IF(D67&lt;100,2,IF(D67&lt;150,3,IF(D67&lt;200,4,IF(D67&lt;250,5,IF(D67&lt;310,6,7)))))))</f>
        <v>0</v>
      </c>
      <c r="H6" s="11">
        <f>IF(G6=0,0,IF(G6=2,0,IF(G6=1,0,IF(G6=3,0,(($D$67-32)/(G6-1))+16))))</f>
        <v>0</v>
      </c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8" hidden="1" customHeight="1" x14ac:dyDescent="0.35">
      <c r="A7" s="2"/>
      <c r="B7" s="2"/>
      <c r="C7" s="14">
        <f>IF(D6=6,"2ème Trou",IF(D6=7,"2ème Trou",0))</f>
        <v>0</v>
      </c>
      <c r="D7" s="15"/>
      <c r="E7" s="16">
        <f>IF(C7=0,0,E6+E6-16)</f>
        <v>0</v>
      </c>
      <c r="F7" s="14">
        <f>IF(G6=6,"2ème Trou",IF(G6=7,"2ème Trou",0))</f>
        <v>0</v>
      </c>
      <c r="G7" s="15"/>
      <c r="H7" s="16">
        <f>IF(F7=0,0,H6+H6-16)</f>
        <v>0</v>
      </c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8" customHeight="1" x14ac:dyDescent="0.35">
      <c r="A8" s="5"/>
      <c r="B8" s="5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8" customHeight="1" x14ac:dyDescent="0.35">
      <c r="A9" s="2"/>
      <c r="B9" s="2" t="s">
        <v>1</v>
      </c>
      <c r="C9" s="443"/>
      <c r="D9" s="2"/>
      <c r="E9" s="6" t="s">
        <v>2</v>
      </c>
      <c r="F9" s="2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8" customHeight="1" x14ac:dyDescent="0.35">
      <c r="A10" s="2"/>
      <c r="B10" s="2" t="s">
        <v>4</v>
      </c>
      <c r="C10" s="444"/>
      <c r="D10" s="2"/>
      <c r="E10" s="6" t="s">
        <v>5</v>
      </c>
      <c r="F10" s="24" t="s">
        <v>6</v>
      </c>
      <c r="G10" s="2"/>
      <c r="H10" s="2"/>
      <c r="I10" s="396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8" customHeight="1" x14ac:dyDescent="0.35">
      <c r="A11" s="2"/>
      <c r="B11" s="2" t="s">
        <v>138</v>
      </c>
      <c r="C11" s="444"/>
      <c r="D11" s="2"/>
      <c r="E11" s="5" t="s">
        <v>8</v>
      </c>
      <c r="F11" s="445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8" customHeight="1" x14ac:dyDescent="0.35">
      <c r="A12" s="2"/>
      <c r="B12" s="2"/>
      <c r="C12" s="5"/>
      <c r="D12" s="2"/>
      <c r="E12" s="5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8" customHeight="1" x14ac:dyDescent="0.4">
      <c r="A13" s="2"/>
      <c r="B13" s="19" t="s">
        <v>9</v>
      </c>
      <c r="C13" s="444" t="s">
        <v>10</v>
      </c>
      <c r="D13" s="2"/>
      <c r="E13" s="1099"/>
      <c r="F13" s="1100"/>
      <c r="G13" s="1101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8" customHeight="1" x14ac:dyDescent="0.4">
      <c r="A14" s="2"/>
      <c r="B14" s="19"/>
      <c r="C14" s="5"/>
      <c r="D14" s="2"/>
      <c r="E14" s="1099"/>
      <c r="F14" s="1100"/>
      <c r="G14" s="1101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8" customHeight="1" x14ac:dyDescent="0.35">
      <c r="A15" s="2"/>
      <c r="B15" s="19" t="s">
        <v>11</v>
      </c>
      <c r="C15" s="444" t="s">
        <v>12</v>
      </c>
      <c r="D15" s="2"/>
      <c r="E15" s="9" t="s">
        <v>13</v>
      </c>
      <c r="F15" s="23" t="s">
        <v>14</v>
      </c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8" customHeight="1" x14ac:dyDescent="0.35">
      <c r="A16" s="2"/>
      <c r="B16" s="2"/>
      <c r="C16" s="5"/>
      <c r="D16" s="2"/>
      <c r="E16" s="5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8" customHeight="1" x14ac:dyDescent="0.35">
      <c r="A17" s="2"/>
      <c r="B17" s="19" t="s">
        <v>15</v>
      </c>
      <c r="C17" s="444" t="s">
        <v>16</v>
      </c>
      <c r="D17" s="2"/>
      <c r="E17" s="9" t="s">
        <v>19</v>
      </c>
      <c r="F17" s="23" t="s">
        <v>20</v>
      </c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8" customHeight="1" x14ac:dyDescent="0.35">
      <c r="A18" s="2"/>
      <c r="B18" s="2"/>
      <c r="C18" s="5"/>
      <c r="D18" s="2"/>
      <c r="E18" s="19">
        <f>IF(F17="Oui","Type de Peinture",0)</f>
        <v>0</v>
      </c>
      <c r="F18" s="1155">
        <f>IF(F17="Non",0,VLOOKUP(F10,'Infos Clients'!B2:E10,4))</f>
        <v>0</v>
      </c>
      <c r="G18" s="1156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8" customHeight="1" x14ac:dyDescent="0.35">
      <c r="A19" s="2"/>
      <c r="B19" s="19" t="s">
        <v>17</v>
      </c>
      <c r="C19" s="444" t="s">
        <v>18</v>
      </c>
      <c r="D19" s="2"/>
      <c r="E19" s="9" t="s">
        <v>24</v>
      </c>
      <c r="F19" s="1157" t="s">
        <v>135</v>
      </c>
      <c r="G19" s="1158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8" customHeight="1" x14ac:dyDescent="0.35">
      <c r="A20" s="2"/>
      <c r="B20" s="2"/>
      <c r="C20" s="5"/>
      <c r="D20" s="2"/>
      <c r="E20" s="5"/>
      <c r="F20" s="5"/>
      <c r="G20" s="5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8" customHeight="1" x14ac:dyDescent="0.35">
      <c r="A21" s="2"/>
      <c r="B21" s="19" t="s">
        <v>21</v>
      </c>
      <c r="C21" s="444" t="s">
        <v>22</v>
      </c>
      <c r="D21" s="2"/>
      <c r="E21" s="9" t="s">
        <v>267</v>
      </c>
      <c r="F21" s="1159" t="s">
        <v>82</v>
      </c>
      <c r="G21" s="1158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8" customHeight="1" x14ac:dyDescent="0.35">
      <c r="A22" s="2"/>
      <c r="B22" s="19"/>
      <c r="C22" s="2"/>
      <c r="D22" s="2"/>
      <c r="E22" s="5"/>
      <c r="F22" s="5"/>
      <c r="G22" s="5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8" customHeight="1" x14ac:dyDescent="0.35">
      <c r="A23" s="2"/>
      <c r="B23" s="19"/>
      <c r="C23" s="2"/>
      <c r="D23" s="2"/>
      <c r="E23" s="5"/>
      <c r="F23" s="5"/>
      <c r="G23" s="5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8" customHeight="1" x14ac:dyDescent="0.35">
      <c r="A24" s="2" t="s">
        <v>268</v>
      </c>
      <c r="B24" s="446" t="str">
        <f>F10</f>
        <v>ESI</v>
      </c>
      <c r="C24" s="352" t="s">
        <v>141</v>
      </c>
      <c r="D24" s="447" t="s">
        <v>28</v>
      </c>
      <c r="E24" s="447" t="s">
        <v>33</v>
      </c>
      <c r="F24" s="448" t="s">
        <v>30</v>
      </c>
      <c r="G24" s="408"/>
      <c r="H24" s="408"/>
      <c r="I24" s="408"/>
      <c r="J24" s="408"/>
      <c r="K24" s="408"/>
      <c r="L24" s="408"/>
      <c r="M24" s="404"/>
      <c r="N24" s="449"/>
      <c r="O24" s="404"/>
      <c r="P24" s="404"/>
      <c r="Q24" s="404"/>
      <c r="R24" s="404"/>
      <c r="S24" s="409" t="s">
        <v>29</v>
      </c>
      <c r="T24" s="2"/>
      <c r="U24" s="2"/>
      <c r="V24" s="2"/>
      <c r="W24" s="2"/>
      <c r="X24" s="2"/>
      <c r="Y24" s="2"/>
      <c r="Z24" s="2"/>
    </row>
    <row r="25" spans="1:26" ht="18" customHeight="1" x14ac:dyDescent="0.35">
      <c r="A25" s="2"/>
      <c r="B25" s="450"/>
      <c r="C25" s="207"/>
      <c r="D25" s="410"/>
      <c r="E25" s="410"/>
      <c r="F25" s="451"/>
      <c r="G25" s="452">
        <f t="shared" ref="G25:G33" si="0">IF(D26=0,0,VLOOKUP($F$21,$A$203:$B$207,2))</f>
        <v>0</v>
      </c>
      <c r="H25" s="452">
        <f t="shared" ref="H25:H34" si="1">IF(D25=0,0,1)</f>
        <v>0</v>
      </c>
      <c r="I25" s="408" t="s">
        <v>250</v>
      </c>
      <c r="J25" s="408"/>
      <c r="K25" s="408"/>
      <c r="L25" s="408"/>
      <c r="M25" s="412">
        <f>SUM(H25:H34)</f>
        <v>0</v>
      </c>
      <c r="N25" s="449"/>
      <c r="O25" s="404"/>
      <c r="P25" s="404"/>
      <c r="Q25" s="404"/>
      <c r="R25" s="404"/>
      <c r="S25" s="404">
        <f t="shared" ref="S25:S34" si="2">IF(D25=0,0,(G25*(E25+0.5)+(G25+1)*H25))</f>
        <v>0</v>
      </c>
      <c r="T25" s="2"/>
      <c r="U25" s="2"/>
      <c r="V25" s="2"/>
      <c r="W25" s="2"/>
      <c r="X25" s="2"/>
      <c r="Y25" s="2"/>
      <c r="Z25" s="2"/>
    </row>
    <row r="26" spans="1:26" ht="18" customHeight="1" x14ac:dyDescent="0.35">
      <c r="A26" s="2"/>
      <c r="B26" s="453"/>
      <c r="C26" s="207"/>
      <c r="D26" s="410"/>
      <c r="E26" s="410"/>
      <c r="F26" s="451"/>
      <c r="G26" s="452">
        <f t="shared" si="0"/>
        <v>0</v>
      </c>
      <c r="H26" s="452">
        <f t="shared" si="1"/>
        <v>0</v>
      </c>
      <c r="I26" s="408"/>
      <c r="J26" s="408"/>
      <c r="K26" s="408"/>
      <c r="L26" s="408"/>
      <c r="M26" s="414"/>
      <c r="N26" s="449"/>
      <c r="O26" s="404"/>
      <c r="P26" s="404"/>
      <c r="Q26" s="404"/>
      <c r="R26" s="404"/>
      <c r="S26" s="404">
        <f t="shared" si="2"/>
        <v>0</v>
      </c>
      <c r="T26" s="2"/>
      <c r="U26" s="2"/>
      <c r="V26" s="2"/>
      <c r="W26" s="2"/>
      <c r="X26" s="2"/>
      <c r="Y26" s="2"/>
      <c r="Z26" s="2"/>
    </row>
    <row r="27" spans="1:26" ht="18" customHeight="1" x14ac:dyDescent="0.35">
      <c r="A27" s="2"/>
      <c r="B27" s="453"/>
      <c r="C27" s="207"/>
      <c r="D27" s="410"/>
      <c r="E27" s="410"/>
      <c r="F27" s="451"/>
      <c r="G27" s="452">
        <f t="shared" si="0"/>
        <v>0</v>
      </c>
      <c r="H27" s="452">
        <f t="shared" si="1"/>
        <v>0</v>
      </c>
      <c r="I27" s="408" t="s">
        <v>251</v>
      </c>
      <c r="J27" s="408"/>
      <c r="K27" s="408"/>
      <c r="L27" s="408"/>
      <c r="M27" s="407">
        <f>MAX(D25:D34)</f>
        <v>0</v>
      </c>
      <c r="N27" s="449"/>
      <c r="O27" s="404"/>
      <c r="P27" s="404"/>
      <c r="Q27" s="404"/>
      <c r="R27" s="404"/>
      <c r="S27" s="404">
        <f t="shared" si="2"/>
        <v>0</v>
      </c>
      <c r="T27" s="2"/>
      <c r="U27" s="2"/>
      <c r="V27" s="2"/>
      <c r="W27" s="2"/>
      <c r="X27" s="2"/>
      <c r="Y27" s="2"/>
      <c r="Z27" s="2"/>
    </row>
    <row r="28" spans="1:26" ht="18" customHeight="1" x14ac:dyDescent="0.35">
      <c r="A28" s="2"/>
      <c r="B28" s="453"/>
      <c r="C28" s="367"/>
      <c r="D28" s="410"/>
      <c r="E28" s="410"/>
      <c r="F28" s="451"/>
      <c r="G28" s="452">
        <f t="shared" si="0"/>
        <v>0</v>
      </c>
      <c r="H28" s="452">
        <f t="shared" si="1"/>
        <v>0</v>
      </c>
      <c r="I28" s="408"/>
      <c r="J28" s="408"/>
      <c r="K28" s="408"/>
      <c r="L28" s="408"/>
      <c r="M28" s="408"/>
      <c r="N28" s="449"/>
      <c r="O28" s="404"/>
      <c r="P28" s="404"/>
      <c r="Q28" s="404"/>
      <c r="R28" s="404"/>
      <c r="S28" s="404">
        <f t="shared" si="2"/>
        <v>0</v>
      </c>
      <c r="T28" s="2"/>
      <c r="U28" s="2"/>
      <c r="V28" s="2"/>
      <c r="W28" s="2"/>
      <c r="X28" s="2"/>
      <c r="Y28" s="2"/>
      <c r="Z28" s="2"/>
    </row>
    <row r="29" spans="1:26" ht="18" customHeight="1" x14ac:dyDescent="0.35">
      <c r="A29" s="2"/>
      <c r="B29" s="453"/>
      <c r="C29" s="367"/>
      <c r="D29" s="410"/>
      <c r="E29" s="410"/>
      <c r="F29" s="451"/>
      <c r="G29" s="452">
        <f t="shared" si="0"/>
        <v>0</v>
      </c>
      <c r="H29" s="452">
        <f t="shared" si="1"/>
        <v>0</v>
      </c>
      <c r="I29" s="408" t="s">
        <v>252</v>
      </c>
      <c r="J29" s="408"/>
      <c r="K29" s="408"/>
      <c r="L29" s="408"/>
      <c r="M29" s="407">
        <f>MAX(F25:F34)</f>
        <v>0</v>
      </c>
      <c r="N29" s="449"/>
      <c r="O29" s="404"/>
      <c r="P29" s="404"/>
      <c r="Q29" s="404"/>
      <c r="R29" s="404"/>
      <c r="S29" s="404">
        <f t="shared" si="2"/>
        <v>0</v>
      </c>
      <c r="T29" s="2"/>
      <c r="U29" s="2"/>
      <c r="V29" s="2"/>
      <c r="W29" s="2"/>
      <c r="X29" s="2"/>
      <c r="Y29" s="2"/>
      <c r="Z29" s="2"/>
    </row>
    <row r="30" spans="1:26" ht="18" customHeight="1" x14ac:dyDescent="0.35">
      <c r="A30" s="2"/>
      <c r="B30" s="453"/>
      <c r="C30" s="367"/>
      <c r="D30" s="410"/>
      <c r="E30" s="410"/>
      <c r="F30" s="451"/>
      <c r="G30" s="452">
        <f t="shared" si="0"/>
        <v>0</v>
      </c>
      <c r="H30" s="452">
        <f t="shared" si="1"/>
        <v>0</v>
      </c>
      <c r="I30" s="408"/>
      <c r="J30" s="408"/>
      <c r="K30" s="408"/>
      <c r="L30" s="408"/>
      <c r="M30" s="408"/>
      <c r="N30" s="449"/>
      <c r="O30" s="404"/>
      <c r="P30" s="404"/>
      <c r="Q30" s="404"/>
      <c r="R30" s="404"/>
      <c r="S30" s="404">
        <f t="shared" si="2"/>
        <v>0</v>
      </c>
      <c r="T30" s="2"/>
      <c r="U30" s="2"/>
      <c r="V30" s="2"/>
      <c r="W30" s="2"/>
      <c r="X30" s="2"/>
      <c r="Y30" s="2"/>
      <c r="Z30" s="2"/>
    </row>
    <row r="31" spans="1:26" ht="18" customHeight="1" x14ac:dyDescent="0.35">
      <c r="A31" s="2"/>
      <c r="B31" s="453"/>
      <c r="C31" s="367"/>
      <c r="D31" s="410"/>
      <c r="E31" s="410"/>
      <c r="F31" s="451"/>
      <c r="G31" s="452">
        <f t="shared" si="0"/>
        <v>0</v>
      </c>
      <c r="H31" s="452">
        <f t="shared" si="1"/>
        <v>0</v>
      </c>
      <c r="I31" s="404" t="s">
        <v>269</v>
      </c>
      <c r="J31" s="404"/>
      <c r="K31" s="404"/>
      <c r="L31" s="408"/>
      <c r="M31" s="404">
        <f>SUM(E25:E34)+(M25-1)*G25</f>
        <v>0</v>
      </c>
      <c r="N31" s="449"/>
      <c r="O31" s="404"/>
      <c r="P31" s="404"/>
      <c r="Q31" s="404"/>
      <c r="R31" s="404"/>
      <c r="S31" s="404">
        <f t="shared" si="2"/>
        <v>0</v>
      </c>
      <c r="T31" s="2"/>
      <c r="U31" s="2"/>
      <c r="V31" s="2"/>
      <c r="W31" s="2"/>
      <c r="X31" s="2"/>
      <c r="Y31" s="2"/>
      <c r="Z31" s="2"/>
    </row>
    <row r="32" spans="1:26" ht="18" customHeight="1" x14ac:dyDescent="0.35">
      <c r="A32" s="2"/>
      <c r="B32" s="453"/>
      <c r="C32" s="367"/>
      <c r="D32" s="410"/>
      <c r="E32" s="410"/>
      <c r="F32" s="451"/>
      <c r="G32" s="452">
        <f t="shared" si="0"/>
        <v>0</v>
      </c>
      <c r="H32" s="452">
        <f t="shared" si="1"/>
        <v>0</v>
      </c>
      <c r="I32" s="408"/>
      <c r="J32" s="408"/>
      <c r="K32" s="408"/>
      <c r="L32" s="408"/>
      <c r="M32" s="404"/>
      <c r="N32" s="449"/>
      <c r="O32" s="404"/>
      <c r="P32" s="404"/>
      <c r="Q32" s="404"/>
      <c r="R32" s="404"/>
      <c r="S32" s="404">
        <f t="shared" si="2"/>
        <v>0</v>
      </c>
      <c r="T32" s="2"/>
      <c r="U32" s="2"/>
      <c r="V32" s="2"/>
      <c r="W32" s="2"/>
      <c r="X32" s="2"/>
      <c r="Y32" s="2"/>
      <c r="Z32" s="2"/>
    </row>
    <row r="33" spans="1:26" ht="18" customHeight="1" x14ac:dyDescent="0.35">
      <c r="A33" s="2"/>
      <c r="B33" s="453"/>
      <c r="C33" s="367"/>
      <c r="D33" s="410"/>
      <c r="E33" s="410"/>
      <c r="F33" s="451"/>
      <c r="G33" s="452">
        <f t="shared" si="0"/>
        <v>0</v>
      </c>
      <c r="H33" s="452">
        <f t="shared" si="1"/>
        <v>0</v>
      </c>
      <c r="I33" s="408"/>
      <c r="J33" s="408"/>
      <c r="K33" s="408"/>
      <c r="L33" s="408"/>
      <c r="M33" s="404"/>
      <c r="N33" s="449"/>
      <c r="O33" s="404"/>
      <c r="P33" s="404"/>
      <c r="Q33" s="404"/>
      <c r="R33" s="404"/>
      <c r="S33" s="404">
        <f t="shared" si="2"/>
        <v>0</v>
      </c>
      <c r="T33" s="2"/>
      <c r="U33" s="2"/>
      <c r="V33" s="2"/>
      <c r="W33" s="2"/>
      <c r="X33" s="2"/>
      <c r="Y33" s="2"/>
      <c r="Z33" s="2"/>
    </row>
    <row r="34" spans="1:26" ht="18" customHeight="1" x14ac:dyDescent="0.35">
      <c r="A34" s="2"/>
      <c r="B34" s="454"/>
      <c r="C34" s="455"/>
      <c r="D34" s="456"/>
      <c r="E34" s="456"/>
      <c r="F34" s="457"/>
      <c r="G34" s="452">
        <f>IF(D38=0,0,VLOOKUP($F$21,$A$203:$B$207,2))</f>
        <v>0</v>
      </c>
      <c r="H34" s="452">
        <f t="shared" si="1"/>
        <v>0</v>
      </c>
      <c r="I34" s="408"/>
      <c r="J34" s="408"/>
      <c r="K34" s="408"/>
      <c r="L34" s="408"/>
      <c r="M34" s="404"/>
      <c r="N34" s="449"/>
      <c r="O34" s="404"/>
      <c r="P34" s="404"/>
      <c r="Q34" s="404"/>
      <c r="R34" s="404"/>
      <c r="S34" s="404">
        <f t="shared" si="2"/>
        <v>0</v>
      </c>
      <c r="T34" s="2"/>
      <c r="U34" s="2"/>
      <c r="V34" s="2"/>
      <c r="W34" s="2"/>
      <c r="X34" s="2"/>
      <c r="Y34" s="2"/>
      <c r="Z34" s="2"/>
    </row>
    <row r="35" spans="1:26" ht="18" customHeight="1" x14ac:dyDescent="0.35">
      <c r="A35" s="2"/>
      <c r="B35" s="19"/>
      <c r="C35" s="19"/>
      <c r="D35" s="458"/>
      <c r="E35" s="458"/>
      <c r="F35" s="458"/>
      <c r="G35" s="452"/>
      <c r="H35" s="452"/>
      <c r="I35" s="408"/>
      <c r="J35" s="408"/>
      <c r="K35" s="408"/>
      <c r="L35" s="408"/>
      <c r="M35" s="404"/>
      <c r="N35" s="449"/>
      <c r="O35" s="404"/>
      <c r="P35" s="404"/>
      <c r="Q35" s="404"/>
      <c r="R35" s="404"/>
      <c r="S35" s="404"/>
      <c r="T35" s="2"/>
      <c r="U35" s="2"/>
      <c r="V35" s="2"/>
      <c r="W35" s="2"/>
      <c r="X35" s="2"/>
      <c r="Y35" s="2"/>
      <c r="Z35" s="2"/>
    </row>
    <row r="36" spans="1:26" ht="18" customHeight="1" x14ac:dyDescent="0.35">
      <c r="A36" s="2"/>
      <c r="B36" s="19"/>
      <c r="C36" s="19"/>
      <c r="D36" s="458"/>
      <c r="E36" s="458"/>
      <c r="F36" s="458"/>
      <c r="G36" s="452"/>
      <c r="H36" s="452"/>
      <c r="I36" s="408"/>
      <c r="J36" s="408"/>
      <c r="K36" s="408"/>
      <c r="L36" s="408"/>
      <c r="M36" s="404"/>
      <c r="N36" s="449"/>
      <c r="O36" s="404"/>
      <c r="P36" s="404"/>
      <c r="Q36" s="404"/>
      <c r="R36" s="404"/>
      <c r="S36" s="404"/>
      <c r="T36" s="2"/>
      <c r="U36" s="2"/>
      <c r="V36" s="2"/>
      <c r="W36" s="2"/>
      <c r="X36" s="2"/>
      <c r="Y36" s="2"/>
      <c r="Z36" s="2"/>
    </row>
    <row r="37" spans="1:26" ht="18" customHeight="1" x14ac:dyDescent="0.35">
      <c r="A37" s="2"/>
      <c r="B37" s="19"/>
      <c r="C37" s="19"/>
      <c r="D37" s="458"/>
      <c r="E37" s="458"/>
      <c r="F37" s="458"/>
      <c r="G37" s="452"/>
      <c r="H37" s="452"/>
      <c r="I37" s="408"/>
      <c r="J37" s="408"/>
      <c r="K37" s="408"/>
      <c r="L37" s="408"/>
      <c r="M37" s="404"/>
      <c r="N37" s="449"/>
      <c r="O37" s="404"/>
      <c r="P37" s="404"/>
      <c r="Q37" s="404"/>
      <c r="R37" s="404"/>
      <c r="S37" s="404"/>
      <c r="T37" s="2"/>
      <c r="U37" s="2"/>
      <c r="V37" s="2"/>
      <c r="W37" s="2"/>
      <c r="X37" s="2"/>
      <c r="Y37" s="2"/>
      <c r="Z37" s="2"/>
    </row>
    <row r="38" spans="1:26" ht="18" customHeight="1" x14ac:dyDescent="0.35">
      <c r="A38" s="2"/>
      <c r="B38" s="19"/>
      <c r="C38" s="19"/>
      <c r="D38" s="416"/>
      <c r="E38" s="416"/>
      <c r="F38" s="416"/>
      <c r="G38" s="45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8" customHeight="1" x14ac:dyDescent="0.35">
      <c r="A39" s="2" t="s">
        <v>270</v>
      </c>
      <c r="B39" s="446" t="str">
        <f>F10</f>
        <v>ESI</v>
      </c>
      <c r="C39" s="352" t="s">
        <v>141</v>
      </c>
      <c r="D39" s="447" t="s">
        <v>28</v>
      </c>
      <c r="E39" s="447" t="s">
        <v>33</v>
      </c>
      <c r="F39" s="448" t="s">
        <v>30</v>
      </c>
      <c r="G39" s="408"/>
      <c r="H39" s="408"/>
      <c r="I39" s="408"/>
      <c r="J39" s="408"/>
      <c r="K39" s="408"/>
      <c r="L39" s="408"/>
      <c r="M39" s="404"/>
      <c r="N39" s="449"/>
      <c r="O39" s="404"/>
      <c r="P39" s="404"/>
      <c r="Q39" s="404"/>
      <c r="R39" s="404"/>
      <c r="S39" s="409" t="s">
        <v>29</v>
      </c>
      <c r="T39" s="2"/>
      <c r="U39" s="2"/>
      <c r="V39" s="2"/>
      <c r="W39" s="2"/>
      <c r="X39" s="2"/>
      <c r="Y39" s="2"/>
      <c r="Z39" s="2"/>
    </row>
    <row r="40" spans="1:26" ht="18" customHeight="1" x14ac:dyDescent="0.35">
      <c r="A40" s="2"/>
      <c r="B40" s="450"/>
      <c r="C40" s="207"/>
      <c r="D40" s="410"/>
      <c r="E40" s="410"/>
      <c r="F40" s="451"/>
      <c r="G40" s="452">
        <f t="shared" ref="G40:G49" si="3">IF(D41=0,0,VLOOKUP($F$21,$A$203:$B$207,2))</f>
        <v>0</v>
      </c>
      <c r="H40" s="452">
        <f t="shared" ref="H40:H49" si="4">IF(D40=0,0,1)</f>
        <v>0</v>
      </c>
      <c r="I40" s="408" t="s">
        <v>250</v>
      </c>
      <c r="J40" s="408"/>
      <c r="K40" s="408"/>
      <c r="L40" s="408"/>
      <c r="M40" s="412">
        <f>SUM(H40:H49)</f>
        <v>0</v>
      </c>
      <c r="N40" s="449"/>
      <c r="O40" s="404"/>
      <c r="P40" s="404"/>
      <c r="Q40" s="404"/>
      <c r="R40" s="404"/>
      <c r="S40" s="404">
        <f t="shared" ref="S40:S49" si="5">IF(D40=0,0,(G40*(E40+0.5)+(G40+1)*H40))</f>
        <v>0</v>
      </c>
      <c r="T40" s="2"/>
      <c r="U40" s="2"/>
      <c r="V40" s="2"/>
      <c r="W40" s="2"/>
      <c r="X40" s="2"/>
      <c r="Y40" s="2"/>
      <c r="Z40" s="2"/>
    </row>
    <row r="41" spans="1:26" ht="18" customHeight="1" x14ac:dyDescent="0.35">
      <c r="A41" s="2"/>
      <c r="B41" s="453"/>
      <c r="C41" s="207"/>
      <c r="D41" s="410"/>
      <c r="E41" s="410"/>
      <c r="F41" s="451"/>
      <c r="G41" s="452">
        <f t="shared" si="3"/>
        <v>0</v>
      </c>
      <c r="H41" s="452">
        <f t="shared" si="4"/>
        <v>0</v>
      </c>
      <c r="I41" s="408"/>
      <c r="J41" s="408"/>
      <c r="K41" s="408"/>
      <c r="L41" s="408"/>
      <c r="M41" s="414"/>
      <c r="N41" s="449"/>
      <c r="O41" s="404"/>
      <c r="P41" s="404"/>
      <c r="Q41" s="404"/>
      <c r="R41" s="404"/>
      <c r="S41" s="404">
        <f t="shared" si="5"/>
        <v>0</v>
      </c>
      <c r="T41" s="2"/>
      <c r="U41" s="2"/>
      <c r="V41" s="2"/>
      <c r="W41" s="2"/>
      <c r="X41" s="2"/>
      <c r="Y41" s="2"/>
      <c r="Z41" s="2"/>
    </row>
    <row r="42" spans="1:26" ht="18" customHeight="1" x14ac:dyDescent="0.35">
      <c r="A42" s="2"/>
      <c r="B42" s="453"/>
      <c r="C42" s="207"/>
      <c r="D42" s="410"/>
      <c r="E42" s="410"/>
      <c r="F42" s="451"/>
      <c r="G42" s="452">
        <f t="shared" si="3"/>
        <v>0</v>
      </c>
      <c r="H42" s="452">
        <f t="shared" si="4"/>
        <v>0</v>
      </c>
      <c r="I42" s="408" t="s">
        <v>251</v>
      </c>
      <c r="J42" s="408"/>
      <c r="K42" s="408"/>
      <c r="L42" s="408"/>
      <c r="M42" s="407">
        <f>MAX(D40:D49)</f>
        <v>0</v>
      </c>
      <c r="N42" s="449"/>
      <c r="O42" s="404"/>
      <c r="P42" s="404"/>
      <c r="Q42" s="404"/>
      <c r="R42" s="404"/>
      <c r="S42" s="404">
        <f t="shared" si="5"/>
        <v>0</v>
      </c>
      <c r="T42" s="2"/>
      <c r="U42" s="2"/>
      <c r="V42" s="2"/>
      <c r="W42" s="2"/>
      <c r="X42" s="2"/>
      <c r="Y42" s="2"/>
      <c r="Z42" s="2"/>
    </row>
    <row r="43" spans="1:26" ht="18" customHeight="1" x14ac:dyDescent="0.35">
      <c r="A43" s="2"/>
      <c r="B43" s="453"/>
      <c r="C43" s="367"/>
      <c r="D43" s="410"/>
      <c r="E43" s="410"/>
      <c r="F43" s="451"/>
      <c r="G43" s="452">
        <f t="shared" si="3"/>
        <v>0</v>
      </c>
      <c r="H43" s="452">
        <f t="shared" si="4"/>
        <v>0</v>
      </c>
      <c r="I43" s="408"/>
      <c r="J43" s="408"/>
      <c r="K43" s="408"/>
      <c r="L43" s="408"/>
      <c r="M43" s="408"/>
      <c r="N43" s="449"/>
      <c r="O43" s="404"/>
      <c r="P43" s="404"/>
      <c r="Q43" s="404"/>
      <c r="R43" s="404"/>
      <c r="S43" s="404">
        <f t="shared" si="5"/>
        <v>0</v>
      </c>
      <c r="T43" s="2"/>
      <c r="U43" s="2"/>
      <c r="V43" s="2"/>
      <c r="W43" s="2"/>
      <c r="X43" s="2"/>
      <c r="Y43" s="2"/>
      <c r="Z43" s="2"/>
    </row>
    <row r="44" spans="1:26" ht="18" customHeight="1" x14ac:dyDescent="0.35">
      <c r="A44" s="2"/>
      <c r="B44" s="453"/>
      <c r="C44" s="367"/>
      <c r="D44" s="410"/>
      <c r="E44" s="410"/>
      <c r="F44" s="451"/>
      <c r="G44" s="452">
        <f t="shared" si="3"/>
        <v>0</v>
      </c>
      <c r="H44" s="452">
        <f t="shared" si="4"/>
        <v>0</v>
      </c>
      <c r="I44" s="408" t="s">
        <v>252</v>
      </c>
      <c r="J44" s="408"/>
      <c r="K44" s="408"/>
      <c r="L44" s="408"/>
      <c r="M44" s="407">
        <f>MAX(F40:F49)</f>
        <v>0</v>
      </c>
      <c r="N44" s="449"/>
      <c r="O44" s="404"/>
      <c r="P44" s="404"/>
      <c r="Q44" s="404"/>
      <c r="R44" s="404"/>
      <c r="S44" s="404">
        <f t="shared" si="5"/>
        <v>0</v>
      </c>
      <c r="T44" s="2"/>
      <c r="U44" s="2"/>
      <c r="V44" s="2"/>
      <c r="W44" s="2"/>
      <c r="X44" s="2"/>
      <c r="Y44" s="2"/>
      <c r="Z44" s="2"/>
    </row>
    <row r="45" spans="1:26" ht="18" customHeight="1" x14ac:dyDescent="0.35">
      <c r="A45" s="2"/>
      <c r="B45" s="453"/>
      <c r="C45" s="367"/>
      <c r="D45" s="410"/>
      <c r="E45" s="410"/>
      <c r="F45" s="451"/>
      <c r="G45" s="452">
        <f t="shared" si="3"/>
        <v>0</v>
      </c>
      <c r="H45" s="452">
        <f t="shared" si="4"/>
        <v>0</v>
      </c>
      <c r="I45" s="408"/>
      <c r="J45" s="408"/>
      <c r="K45" s="408"/>
      <c r="L45" s="408"/>
      <c r="M45" s="408"/>
      <c r="N45" s="449"/>
      <c r="O45" s="404"/>
      <c r="P45" s="404"/>
      <c r="Q45" s="404"/>
      <c r="R45" s="404"/>
      <c r="S45" s="404">
        <f t="shared" si="5"/>
        <v>0</v>
      </c>
      <c r="T45" s="2"/>
      <c r="U45" s="2"/>
      <c r="V45" s="2"/>
      <c r="W45" s="2"/>
      <c r="X45" s="2"/>
      <c r="Y45" s="2"/>
      <c r="Z45" s="2"/>
    </row>
    <row r="46" spans="1:26" ht="18" customHeight="1" x14ac:dyDescent="0.35">
      <c r="A46" s="2"/>
      <c r="B46" s="453"/>
      <c r="C46" s="367"/>
      <c r="D46" s="410"/>
      <c r="E46" s="410"/>
      <c r="F46" s="451"/>
      <c r="G46" s="452">
        <f t="shared" si="3"/>
        <v>0</v>
      </c>
      <c r="H46" s="452">
        <f t="shared" si="4"/>
        <v>0</v>
      </c>
      <c r="I46" s="404" t="s">
        <v>269</v>
      </c>
      <c r="J46" s="404"/>
      <c r="K46" s="404"/>
      <c r="L46" s="408"/>
      <c r="M46" s="404">
        <f>SUM(E40:E49)+(M40-1)*G40</f>
        <v>0</v>
      </c>
      <c r="N46" s="449"/>
      <c r="O46" s="404"/>
      <c r="P46" s="404"/>
      <c r="Q46" s="404"/>
      <c r="R46" s="404"/>
      <c r="S46" s="404">
        <f t="shared" si="5"/>
        <v>0</v>
      </c>
      <c r="T46" s="2"/>
      <c r="U46" s="2"/>
      <c r="V46" s="2"/>
      <c r="W46" s="2"/>
      <c r="X46" s="2"/>
      <c r="Y46" s="2"/>
      <c r="Z46" s="2"/>
    </row>
    <row r="47" spans="1:26" ht="18" customHeight="1" x14ac:dyDescent="0.35">
      <c r="A47" s="2"/>
      <c r="B47" s="453"/>
      <c r="C47" s="367"/>
      <c r="D47" s="410"/>
      <c r="E47" s="410"/>
      <c r="F47" s="451"/>
      <c r="G47" s="452">
        <f t="shared" si="3"/>
        <v>0</v>
      </c>
      <c r="H47" s="452">
        <f t="shared" si="4"/>
        <v>0</v>
      </c>
      <c r="I47" s="408"/>
      <c r="J47" s="408"/>
      <c r="K47" s="408"/>
      <c r="L47" s="408"/>
      <c r="M47" s="404"/>
      <c r="N47" s="449"/>
      <c r="O47" s="404"/>
      <c r="P47" s="404"/>
      <c r="Q47" s="404"/>
      <c r="R47" s="404"/>
      <c r="S47" s="404">
        <f t="shared" si="5"/>
        <v>0</v>
      </c>
      <c r="T47" s="2"/>
      <c r="U47" s="2"/>
      <c r="V47" s="2"/>
      <c r="W47" s="2"/>
      <c r="X47" s="2"/>
      <c r="Y47" s="2"/>
      <c r="Z47" s="2"/>
    </row>
    <row r="48" spans="1:26" ht="18" customHeight="1" x14ac:dyDescent="0.35">
      <c r="A48" s="2"/>
      <c r="B48" s="453"/>
      <c r="C48" s="367"/>
      <c r="D48" s="410"/>
      <c r="E48" s="410"/>
      <c r="F48" s="451"/>
      <c r="G48" s="452">
        <f t="shared" si="3"/>
        <v>0</v>
      </c>
      <c r="H48" s="452">
        <f t="shared" si="4"/>
        <v>0</v>
      </c>
      <c r="I48" s="408"/>
      <c r="J48" s="408"/>
      <c r="K48" s="408"/>
      <c r="L48" s="408"/>
      <c r="M48" s="404"/>
      <c r="N48" s="449"/>
      <c r="O48" s="404"/>
      <c r="P48" s="404"/>
      <c r="Q48" s="404"/>
      <c r="R48" s="404"/>
      <c r="S48" s="404">
        <f t="shared" si="5"/>
        <v>0</v>
      </c>
      <c r="T48" s="2"/>
      <c r="U48" s="2"/>
      <c r="V48" s="2"/>
      <c r="W48" s="2"/>
      <c r="X48" s="2"/>
      <c r="Y48" s="2"/>
      <c r="Z48" s="2"/>
    </row>
    <row r="49" spans="1:26" ht="18" customHeight="1" x14ac:dyDescent="0.35">
      <c r="A49" s="2"/>
      <c r="B49" s="454"/>
      <c r="C49" s="455"/>
      <c r="D49" s="456"/>
      <c r="E49" s="456"/>
      <c r="F49" s="457"/>
      <c r="G49" s="452">
        <f t="shared" si="3"/>
        <v>0</v>
      </c>
      <c r="H49" s="452">
        <f t="shared" si="4"/>
        <v>0</v>
      </c>
      <c r="I49" s="408"/>
      <c r="J49" s="408"/>
      <c r="K49" s="408"/>
      <c r="L49" s="408"/>
      <c r="M49" s="404"/>
      <c r="N49" s="449"/>
      <c r="O49" s="404"/>
      <c r="P49" s="404"/>
      <c r="Q49" s="404"/>
      <c r="R49" s="404"/>
      <c r="S49" s="404">
        <f t="shared" si="5"/>
        <v>0</v>
      </c>
      <c r="T49" s="2"/>
      <c r="U49" s="2"/>
      <c r="V49" s="2"/>
      <c r="W49" s="2"/>
      <c r="X49" s="2"/>
      <c r="Y49" s="2"/>
      <c r="Z49" s="2"/>
    </row>
    <row r="50" spans="1:26" ht="18" customHeight="1" x14ac:dyDescent="0.35">
      <c r="A50" s="2"/>
      <c r="B50" s="19"/>
      <c r="C50" s="19"/>
      <c r="D50" s="458"/>
      <c r="E50" s="458"/>
      <c r="F50" s="458"/>
      <c r="G50" s="412"/>
      <c r="H50" s="452"/>
      <c r="I50" s="408"/>
      <c r="J50" s="408"/>
      <c r="K50" s="408"/>
      <c r="L50" s="408"/>
      <c r="M50" s="404"/>
      <c r="N50" s="449"/>
      <c r="O50" s="404"/>
      <c r="P50" s="404"/>
      <c r="Q50" s="404"/>
      <c r="R50" s="404"/>
      <c r="S50" s="404"/>
      <c r="T50" s="2"/>
      <c r="U50" s="2"/>
      <c r="V50" s="2"/>
      <c r="W50" s="2"/>
      <c r="X50" s="2"/>
      <c r="Y50" s="2"/>
      <c r="Z50" s="2"/>
    </row>
    <row r="51" spans="1:26" ht="18" customHeight="1" x14ac:dyDescent="0.3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8" customHeight="1" x14ac:dyDescent="0.35">
      <c r="A52" s="2"/>
      <c r="B52" s="244" t="s">
        <v>42</v>
      </c>
      <c r="C52" s="245">
        <f>IF(M27=0,0,M27+10.2+IF(M40=0,0,M42+10.2+1.5)+VLOOKUP(C17,A169:P175,2))</f>
        <v>0</v>
      </c>
      <c r="D52" s="245">
        <f>IF(M31=0,0,MAX(M31+10.2,M46+10.2)+VLOOKUP($C$17,A169:P175,3))</f>
        <v>0</v>
      </c>
      <c r="E52" s="459">
        <f>IF(M29=0,0,MAX(M29,M44)+10.2)+VLOOKUP($C$17,$A$169:$P$175,3)</f>
        <v>0</v>
      </c>
      <c r="F52" s="2"/>
      <c r="G52" s="460" t="s">
        <v>256</v>
      </c>
      <c r="H52" s="52" t="s">
        <v>271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8" customHeight="1" x14ac:dyDescent="0.35">
      <c r="A53" s="2"/>
      <c r="B53" s="19"/>
      <c r="C53" s="19"/>
      <c r="D53" s="19"/>
      <c r="E53" s="19"/>
      <c r="F53" s="2"/>
      <c r="G53" s="461"/>
      <c r="H53" s="46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8" customHeight="1" x14ac:dyDescent="0.35">
      <c r="A54" s="2"/>
      <c r="B54" s="244" t="s">
        <v>44</v>
      </c>
      <c r="C54" s="245">
        <f>C52+IF($C$21="Bois",4.4)+VLOOKUP($C$13,A160:E161,4)*2+VLOOKUP($C$15,A163:D164,4)*2</f>
        <v>11.600000000000001</v>
      </c>
      <c r="D54" s="245">
        <f>D52+VLOOKUP($C$13,A160:E161,4)*2+VLOOKUP($C$15,A163:D164,4)*2</f>
        <v>7.2</v>
      </c>
      <c r="E54" s="459">
        <f>$E$52+VLOOKUP($C$13,A160:E161,4)+VLOOKUP($C$13,A160:E161,5)+VLOOKUP($C$15,A163:D164,4)*2+VLOOKUP(F19,A193:B195,2)</f>
        <v>17.2</v>
      </c>
      <c r="F54" s="2"/>
      <c r="G54" s="463">
        <f>ROUNDUP(C157,0)</f>
        <v>0</v>
      </c>
      <c r="H54" s="463">
        <f>((SUM(N109:N139)+SUM(Q109:Q139))/0.78)/0.85</f>
        <v>0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8" customHeight="1" x14ac:dyDescent="0.35">
      <c r="A55" s="2"/>
      <c r="B55" s="70"/>
      <c r="C55" s="60"/>
      <c r="D55" s="19"/>
      <c r="E55" s="19"/>
      <c r="F55" s="2"/>
      <c r="G55" s="96"/>
      <c r="H55" s="96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8" customHeight="1" x14ac:dyDescent="0.35">
      <c r="A56" s="2"/>
      <c r="B56" s="62" t="s">
        <v>45</v>
      </c>
      <c r="C56" s="63">
        <f>R149</f>
        <v>-0.20457120000000001</v>
      </c>
      <c r="D56" s="64" t="s">
        <v>46</v>
      </c>
      <c r="E56" s="65" t="s">
        <v>47</v>
      </c>
      <c r="F56" s="2"/>
      <c r="G56" s="96"/>
      <c r="H56" s="96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8" customHeight="1" x14ac:dyDescent="0.35">
      <c r="A57" s="2"/>
      <c r="B57" s="66" t="s">
        <v>48</v>
      </c>
      <c r="C57" s="67">
        <f>D151</f>
        <v>0</v>
      </c>
      <c r="D57" s="68" t="s">
        <v>49</v>
      </c>
      <c r="E57" s="69">
        <f>S149</f>
        <v>-7.9236537600000045E-2</v>
      </c>
      <c r="F57" s="2"/>
      <c r="G57" s="96"/>
      <c r="H57" s="96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8" customHeight="1" x14ac:dyDescent="0.35">
      <c r="A58" s="2"/>
      <c r="B58" s="19"/>
      <c r="C58" s="19"/>
      <c r="D58" s="19"/>
      <c r="E58" s="19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8" customHeight="1" x14ac:dyDescent="0.35">
      <c r="A59" s="2"/>
      <c r="B59" s="464" t="s">
        <v>272</v>
      </c>
      <c r="C59" s="1152"/>
      <c r="D59" s="1153"/>
      <c r="E59" s="1153"/>
      <c r="F59" s="1153"/>
      <c r="G59" s="1117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8" customHeight="1" x14ac:dyDescent="0.35">
      <c r="A60" s="2"/>
      <c r="B60" s="1160" t="str">
        <f>IF(F31="Oui"," Préciser les dimensions des objets à mettre dans la cuvette, et leur type de calage"," ")</f>
        <v xml:space="preserve"> </v>
      </c>
      <c r="C60" s="1085"/>
      <c r="D60" s="1085"/>
      <c r="E60" s="1085"/>
      <c r="F60" s="1085"/>
      <c r="G60" s="1140"/>
      <c r="H60" s="2"/>
      <c r="I60" s="2"/>
      <c r="J60" s="2"/>
      <c r="K60" s="2"/>
      <c r="L60" s="2" t="s">
        <v>273</v>
      </c>
      <c r="M60" s="2" t="s">
        <v>274</v>
      </c>
      <c r="N60" s="2" t="s">
        <v>275</v>
      </c>
      <c r="O60" s="2" t="s">
        <v>276</v>
      </c>
      <c r="P60" s="2" t="s">
        <v>277</v>
      </c>
      <c r="Q60" s="2" t="s">
        <v>278</v>
      </c>
      <c r="R60" s="2" t="s">
        <v>157</v>
      </c>
      <c r="S60" s="5" t="s">
        <v>52</v>
      </c>
      <c r="T60" s="2"/>
      <c r="U60" s="2"/>
      <c r="V60" s="2"/>
      <c r="W60" s="2"/>
      <c r="X60" s="2"/>
      <c r="Y60" s="2"/>
      <c r="Z60" s="2"/>
    </row>
    <row r="61" spans="1:26" ht="18" customHeight="1" x14ac:dyDescent="0.35">
      <c r="A61" s="2"/>
      <c r="B61" s="1141"/>
      <c r="C61" s="1097"/>
      <c r="D61" s="1097"/>
      <c r="E61" s="1097"/>
      <c r="F61" s="1097"/>
      <c r="G61" s="114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9.5" customHeight="1" x14ac:dyDescent="0.35">
      <c r="A62" s="2"/>
      <c r="B62" s="1141"/>
      <c r="C62" s="1097"/>
      <c r="D62" s="1097"/>
      <c r="E62" s="1097"/>
      <c r="F62" s="1097"/>
      <c r="G62" s="114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8" customHeight="1" x14ac:dyDescent="0.35">
      <c r="A63" s="2"/>
      <c r="B63" s="1143"/>
      <c r="C63" s="1144"/>
      <c r="D63" s="1144"/>
      <c r="E63" s="1144"/>
      <c r="F63" s="1144"/>
      <c r="G63" s="1145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8" customHeight="1" x14ac:dyDescent="0.35">
      <c r="A64" s="2"/>
      <c r="B64" s="2"/>
      <c r="C64" s="96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8" hidden="1" customHeight="1" x14ac:dyDescent="0.35">
      <c r="A65" s="2"/>
      <c r="B65" s="2"/>
      <c r="C65" s="2"/>
      <c r="D65" s="2"/>
      <c r="E65" s="2"/>
      <c r="F65" s="2" t="s">
        <v>34</v>
      </c>
      <c r="G65" s="2"/>
      <c r="H65" s="2"/>
      <c r="I65" s="2"/>
      <c r="J65" s="2"/>
      <c r="K65" s="2"/>
      <c r="L65" s="71"/>
      <c r="M65" s="71"/>
      <c r="N65" s="71"/>
      <c r="O65" s="71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8" hidden="1" customHeight="1" x14ac:dyDescent="0.35">
      <c r="A66" s="60" t="s">
        <v>53</v>
      </c>
      <c r="B66" s="85" t="str">
        <f t="shared" ref="B66:B67" si="6">VLOOKUP($C$13,$A$160:$E$161,2)</f>
        <v>Peuplier 15 mm</v>
      </c>
      <c r="C66" s="87">
        <f>C52+2*(VLOOKUP(C13,A160:E161,4)+VLOOKUP(C15,A163:D164,4))</f>
        <v>7.2</v>
      </c>
      <c r="D66" s="87">
        <f>E52+(VLOOKUP(C13,A160:E161,5)+VLOOKUP(C15,A163:D164,4))</f>
        <v>3.6</v>
      </c>
      <c r="E66" s="85" t="str">
        <f t="shared" ref="E66:E69" si="7">B66</f>
        <v>Peuplier 15 mm</v>
      </c>
      <c r="F66" s="88">
        <v>2</v>
      </c>
      <c r="G66" s="2"/>
      <c r="H66" s="2"/>
      <c r="I66" s="2"/>
      <c r="J66" s="2"/>
      <c r="K66" s="2"/>
      <c r="L66" s="89">
        <f t="shared" ref="L66:L69" si="8">IF(C66=0,0,(C66/100)*(D66/100)*F66)</f>
        <v>5.1840000000000011E-3</v>
      </c>
      <c r="M66" s="89">
        <f t="shared" ref="M66:M69" si="9">L66/0.8</f>
        <v>6.4800000000000014E-3</v>
      </c>
      <c r="N66" s="71">
        <f>IF(E66=0,0,VLOOKUP(E66,'Prix Matiere'!$A$4:$J$65,10))</f>
        <v>16.895876288659796</v>
      </c>
      <c r="O66" s="71">
        <f t="shared" ref="O66:O69" si="10">N66*M66-IF($F$15="Non",M66*0.75,0)</f>
        <v>0.1094852783505155</v>
      </c>
      <c r="P66" s="3">
        <f t="shared" ref="P66:P69" si="11">IF(L66=0,0,IF($F$15="Oui",(7.0924*L66)+15,(6.0924*L66)+10))</f>
        <v>15.036767001599999</v>
      </c>
      <c r="Q66" s="71">
        <f>P66*MinuteMO</f>
        <v>12.78125195136</v>
      </c>
      <c r="R66" s="254">
        <f>IF(L66=0,0,L66*VLOOKUP(E66,'Prix Matiere'!$A$4:$L$60,12))</f>
        <v>3.4214400000000013E-2</v>
      </c>
      <c r="S66" s="90">
        <f>IF(L66=0,0,R66*VLOOKUP(E66,'Prix Matiere'!$A$4:$L$60,11))</f>
        <v>2.6447731200000012E-2</v>
      </c>
      <c r="T66" s="2"/>
      <c r="U66" s="2"/>
      <c r="V66" s="2"/>
      <c r="W66" s="2"/>
      <c r="X66" s="2"/>
      <c r="Y66" s="2"/>
      <c r="Z66" s="2"/>
    </row>
    <row r="67" spans="1:26" ht="18" hidden="1" customHeight="1" x14ac:dyDescent="0.35">
      <c r="A67" s="60" t="s">
        <v>175</v>
      </c>
      <c r="B67" s="85" t="str">
        <f t="shared" si="6"/>
        <v>Peuplier 15 mm</v>
      </c>
      <c r="C67" s="87">
        <f>C66</f>
        <v>7.2</v>
      </c>
      <c r="D67" s="87">
        <f>D52+VLOOKUP(C13,A160:E161,4)*2+VLOOKUP(C15,A163:D164,4)*2</f>
        <v>7.2</v>
      </c>
      <c r="E67" s="85" t="str">
        <f t="shared" si="7"/>
        <v>Peuplier 15 mm</v>
      </c>
      <c r="F67" s="88">
        <v>1</v>
      </c>
      <c r="G67" s="2"/>
      <c r="H67" s="2"/>
      <c r="I67" s="2"/>
      <c r="J67" s="2"/>
      <c r="K67" s="2"/>
      <c r="L67" s="89">
        <f t="shared" si="8"/>
        <v>5.1840000000000011E-3</v>
      </c>
      <c r="M67" s="89">
        <f t="shared" si="9"/>
        <v>6.4800000000000014E-3</v>
      </c>
      <c r="N67" s="71">
        <f>IF(E67=0,0,VLOOKUP(E67,'Prix Matiere'!$A$4:$J$65,10))</f>
        <v>16.895876288659796</v>
      </c>
      <c r="O67" s="71">
        <f t="shared" si="10"/>
        <v>0.1094852783505155</v>
      </c>
      <c r="P67" s="3">
        <f t="shared" si="11"/>
        <v>15.036767001599999</v>
      </c>
      <c r="Q67" s="71">
        <f>P67*MinuteMO</f>
        <v>12.78125195136</v>
      </c>
      <c r="R67" s="254">
        <f>IF(L67=0,0,L67*VLOOKUP(E67,'Prix Matiere'!$A$4:$L$60,12))</f>
        <v>3.4214400000000013E-2</v>
      </c>
      <c r="S67" s="90">
        <f>IF(L67=0,0,R67*VLOOKUP(E67,'Prix Matiere'!$A$4:$L$60,11))</f>
        <v>2.6447731200000012E-2</v>
      </c>
      <c r="T67" s="2"/>
      <c r="U67" s="2"/>
      <c r="V67" s="2"/>
      <c r="W67" s="2"/>
      <c r="X67" s="2"/>
      <c r="Y67" s="2"/>
      <c r="Z67" s="2"/>
    </row>
    <row r="68" spans="1:26" ht="18" hidden="1" customHeight="1" x14ac:dyDescent="0.35">
      <c r="A68" s="60" t="s">
        <v>176</v>
      </c>
      <c r="B68" s="85" t="str">
        <f>VLOOKUP($C$13,$A$160:$E$161,3)</f>
        <v>Peuplier 15 mm</v>
      </c>
      <c r="C68" s="87">
        <f t="shared" ref="C68:D68" si="12">C52</f>
        <v>0</v>
      </c>
      <c r="D68" s="87">
        <f t="shared" si="12"/>
        <v>0</v>
      </c>
      <c r="E68" s="85" t="str">
        <f t="shared" si="7"/>
        <v>Peuplier 15 mm</v>
      </c>
      <c r="F68" s="88">
        <v>1</v>
      </c>
      <c r="G68" s="2"/>
      <c r="H68" s="2"/>
      <c r="I68" s="2"/>
      <c r="J68" s="2"/>
      <c r="K68" s="2"/>
      <c r="L68" s="89">
        <f t="shared" si="8"/>
        <v>0</v>
      </c>
      <c r="M68" s="89">
        <f t="shared" si="9"/>
        <v>0</v>
      </c>
      <c r="N68" s="71">
        <f>IF(E68=0,0,VLOOKUP(E68,'Prix Matiere'!$A$4:$J$65,10))</f>
        <v>16.895876288659796</v>
      </c>
      <c r="O68" s="71">
        <f t="shared" si="10"/>
        <v>0</v>
      </c>
      <c r="P68" s="3">
        <f t="shared" si="11"/>
        <v>0</v>
      </c>
      <c r="Q68" s="71">
        <f>P68*MinuteMO</f>
        <v>0</v>
      </c>
      <c r="R68" s="254">
        <f>IF(L68=0,0,L68*VLOOKUP(E68,'Prix Matiere'!$A$4:$L$60,12))</f>
        <v>0</v>
      </c>
      <c r="S68" s="90">
        <f>IF(L68=0,0,R68*VLOOKUP(E68,'Prix Matiere'!$A$4:$L$60,11))</f>
        <v>0</v>
      </c>
      <c r="T68" s="2"/>
      <c r="U68" s="2"/>
      <c r="V68" s="2"/>
      <c r="W68" s="2"/>
      <c r="X68" s="2"/>
      <c r="Y68" s="2"/>
      <c r="Z68" s="2"/>
    </row>
    <row r="69" spans="1:26" ht="18" hidden="1" customHeight="1" x14ac:dyDescent="0.35">
      <c r="A69" s="60" t="s">
        <v>55</v>
      </c>
      <c r="B69" s="85" t="str">
        <f>VLOOKUP($C$13,$A$160:$E$161,2)</f>
        <v>Peuplier 15 mm</v>
      </c>
      <c r="C69" s="87">
        <f>D66</f>
        <v>3.6</v>
      </c>
      <c r="D69" s="87">
        <f>D52</f>
        <v>0</v>
      </c>
      <c r="E69" s="85" t="str">
        <f t="shared" si="7"/>
        <v>Peuplier 15 mm</v>
      </c>
      <c r="F69" s="88">
        <v>2</v>
      </c>
      <c r="G69" s="2"/>
      <c r="H69" s="2"/>
      <c r="I69" s="2"/>
      <c r="J69" s="2"/>
      <c r="K69" s="2"/>
      <c r="L69" s="89">
        <f t="shared" si="8"/>
        <v>0</v>
      </c>
      <c r="M69" s="89">
        <f t="shared" si="9"/>
        <v>0</v>
      </c>
      <c r="N69" s="71">
        <f>IF(E69=0,0,VLOOKUP(E69,'Prix Matiere'!$A$4:$J$65,10))</f>
        <v>16.895876288659796</v>
      </c>
      <c r="O69" s="71">
        <f t="shared" si="10"/>
        <v>0</v>
      </c>
      <c r="P69" s="3">
        <f t="shared" si="11"/>
        <v>0</v>
      </c>
      <c r="Q69" s="71">
        <f>P69*MinuteMO</f>
        <v>0</v>
      </c>
      <c r="R69" s="254">
        <f>IF(L69=0,0,L69*VLOOKUP(E69,'Prix Matiere'!$A$4:$L$60,12))</f>
        <v>0</v>
      </c>
      <c r="S69" s="90">
        <f>IF(L69=0,0,R69*VLOOKUP(E69,'Prix Matiere'!$A$4:$L$60,11))</f>
        <v>0</v>
      </c>
      <c r="T69" s="2"/>
      <c r="U69" s="2"/>
      <c r="V69" s="2"/>
      <c r="W69" s="2"/>
      <c r="X69" s="2"/>
      <c r="Y69" s="2"/>
      <c r="Z69" s="2"/>
    </row>
    <row r="70" spans="1:26" ht="18" hidden="1" customHeight="1" x14ac:dyDescent="0.3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89"/>
      <c r="M70" s="89"/>
      <c r="N70" s="71"/>
      <c r="O70" s="71"/>
      <c r="P70" s="3"/>
      <c r="Q70" s="71"/>
      <c r="R70" s="254">
        <f>IF(L70=0,0,L70*VLOOKUP(E70,'Prix Matiere'!$A$4:$L$60,12))</f>
        <v>0</v>
      </c>
      <c r="S70" s="90"/>
      <c r="T70" s="2"/>
      <c r="U70" s="2"/>
      <c r="V70" s="2"/>
      <c r="W70" s="2"/>
      <c r="X70" s="2"/>
      <c r="Y70" s="2"/>
      <c r="Z70" s="2"/>
    </row>
    <row r="71" spans="1:26" ht="18" hidden="1" customHeight="1" x14ac:dyDescent="0.3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89"/>
      <c r="M71" s="89"/>
      <c r="N71" s="71"/>
      <c r="O71" s="71"/>
      <c r="P71" s="3"/>
      <c r="Q71" s="71"/>
      <c r="R71" s="254">
        <f>IF(L71=0,0,L71*VLOOKUP(E71,'Prix Matiere'!$A$4:$L$60,12))</f>
        <v>0</v>
      </c>
      <c r="S71" s="90"/>
      <c r="T71" s="2"/>
      <c r="U71" s="2"/>
      <c r="V71" s="2"/>
      <c r="W71" s="2"/>
      <c r="X71" s="2"/>
      <c r="Y71" s="2"/>
      <c r="Z71" s="2"/>
    </row>
    <row r="72" spans="1:26" ht="18" hidden="1" customHeight="1" x14ac:dyDescent="0.35">
      <c r="A72" s="19" t="s">
        <v>11</v>
      </c>
      <c r="B72" s="45" t="s">
        <v>56</v>
      </c>
      <c r="C72" s="87">
        <f>C66</f>
        <v>7.2</v>
      </c>
      <c r="D72" s="45">
        <f>IF(D66&gt;80,9.4,7)</f>
        <v>7</v>
      </c>
      <c r="E72" s="34" t="str">
        <f>IF($C$15="Pin raboté 4 faces","Barres 21 R4F","Barres 19 mm")</f>
        <v>Barres 21 R4F</v>
      </c>
      <c r="F72" s="45">
        <v>4</v>
      </c>
      <c r="G72" s="2"/>
      <c r="H72" s="2"/>
      <c r="I72" s="2"/>
      <c r="J72" s="2"/>
      <c r="K72" s="2"/>
      <c r="L72" s="89">
        <f t="shared" ref="L72:L81" si="13">IF(C72=0,0,(C72/100)*(D72/100)*F72)</f>
        <v>2.0160000000000004E-2</v>
      </c>
      <c r="M72" s="89">
        <f t="shared" ref="M72:M81" si="14">L72/0.8</f>
        <v>2.5200000000000004E-2</v>
      </c>
      <c r="N72" s="71">
        <f>IF(E72=0,0,VLOOKUP(E72,'Prix Matiere'!$A$4:$J$65,10))</f>
        <v>18.969072164948454</v>
      </c>
      <c r="O72" s="71">
        <f t="shared" ref="O72:O81" si="15">N72*M72</f>
        <v>0.47802061855670108</v>
      </c>
      <c r="P72" s="3">
        <f t="shared" ref="P72:P81" si="16">IF(L72=0,0,1+(11*L72))</f>
        <v>1.22176</v>
      </c>
      <c r="Q72" s="71">
        <f t="shared" ref="Q72:Q81" si="17">P72*MinuteMO</f>
        <v>1.0384959999999999</v>
      </c>
      <c r="R72" s="254">
        <f>IF(L72=0,0,L72*VLOOKUP(E72,'Prix Matiere'!$A$4:$L$60,12))</f>
        <v>0.20160000000000006</v>
      </c>
      <c r="S72" s="90">
        <f>IF(L72=0,0,R72*VLOOKUP(E72,'Prix Matiere'!$A$4:$L$60,11))</f>
        <v>9.7574400000000019E-2</v>
      </c>
      <c r="T72" s="2"/>
      <c r="U72" s="2"/>
      <c r="V72" s="2"/>
      <c r="W72" s="2"/>
      <c r="X72" s="2"/>
      <c r="Y72" s="2"/>
      <c r="Z72" s="2"/>
    </row>
    <row r="73" spans="1:26" ht="18" hidden="1" customHeight="1" x14ac:dyDescent="0.35">
      <c r="A73" s="2"/>
      <c r="B73" s="45" t="s">
        <v>57</v>
      </c>
      <c r="C73" s="87">
        <f>D66-2*D72</f>
        <v>-10.4</v>
      </c>
      <c r="D73" s="45">
        <f>D72</f>
        <v>7</v>
      </c>
      <c r="E73" s="34" t="str">
        <f>IF($C$15="Pin raboté 4 faces","Barres 21 R4F",0)</f>
        <v>Barres 21 R4F</v>
      </c>
      <c r="F73" s="45">
        <f>4</f>
        <v>4</v>
      </c>
      <c r="G73" s="2"/>
      <c r="H73" s="2"/>
      <c r="I73" s="2"/>
      <c r="J73" s="2"/>
      <c r="K73" s="2"/>
      <c r="L73" s="89">
        <f t="shared" si="13"/>
        <v>-2.9120000000000007E-2</v>
      </c>
      <c r="M73" s="89">
        <f t="shared" si="14"/>
        <v>-3.6400000000000009E-2</v>
      </c>
      <c r="N73" s="71">
        <f>IF(E73=0,0,VLOOKUP(E73,'Prix Matiere'!$A$4:$J$65,10))</f>
        <v>18.969072164948454</v>
      </c>
      <c r="O73" s="71">
        <f t="shared" si="15"/>
        <v>-0.69047422680412385</v>
      </c>
      <c r="P73" s="3">
        <f t="shared" si="16"/>
        <v>0.67967999999999995</v>
      </c>
      <c r="Q73" s="71">
        <f t="shared" si="17"/>
        <v>0.57772799999999991</v>
      </c>
      <c r="R73" s="254">
        <f>IF(L73=0,0,L73*VLOOKUP(E73,'Prix Matiere'!$A$4:$L$60,12))</f>
        <v>-0.29120000000000007</v>
      </c>
      <c r="S73" s="90">
        <f>IF(L73=0,0,R73*VLOOKUP(E73,'Prix Matiere'!$A$4:$L$60,11))</f>
        <v>-0.14094080000000003</v>
      </c>
      <c r="T73" s="2"/>
      <c r="U73" s="2"/>
      <c r="V73" s="2"/>
      <c r="W73" s="2"/>
      <c r="X73" s="2"/>
      <c r="Y73" s="2"/>
      <c r="Z73" s="2"/>
    </row>
    <row r="74" spans="1:26" ht="18" hidden="1" customHeight="1" x14ac:dyDescent="0.35">
      <c r="A74" s="2"/>
      <c r="B74" s="45" t="s">
        <v>257</v>
      </c>
      <c r="C74" s="87">
        <f>C72</f>
        <v>7.2</v>
      </c>
      <c r="D74" s="45">
        <f>IF(D67&lt;80,7,9.4)</f>
        <v>7</v>
      </c>
      <c r="E74" s="34" t="str">
        <f t="shared" ref="E74:E79" si="18">IF($C$15="Pin raboté 4 faces","Barres 21 R4F","Barres 19 mm")</f>
        <v>Barres 21 R4F</v>
      </c>
      <c r="F74" s="45">
        <v>2</v>
      </c>
      <c r="G74" s="2"/>
      <c r="H74" s="2"/>
      <c r="I74" s="2"/>
      <c r="J74" s="2"/>
      <c r="K74" s="2"/>
      <c r="L74" s="89">
        <f t="shared" si="13"/>
        <v>1.0080000000000002E-2</v>
      </c>
      <c r="M74" s="89">
        <f t="shared" si="14"/>
        <v>1.2600000000000002E-2</v>
      </c>
      <c r="N74" s="71">
        <f>IF(E74=0,0,VLOOKUP(E74,'Prix Matiere'!$A$4:$J$65,10))</f>
        <v>18.969072164948454</v>
      </c>
      <c r="O74" s="71">
        <f t="shared" si="15"/>
        <v>0.23901030927835054</v>
      </c>
      <c r="P74" s="3">
        <f t="shared" si="16"/>
        <v>1.1108800000000001</v>
      </c>
      <c r="Q74" s="71">
        <f t="shared" si="17"/>
        <v>0.94424800000000009</v>
      </c>
      <c r="R74" s="254">
        <f>IF(L74=0,0,L74*VLOOKUP(E74,'Prix Matiere'!$A$4:$L$60,12))</f>
        <v>0.10080000000000003</v>
      </c>
      <c r="S74" s="90">
        <f>IF(L74=0,0,R74*VLOOKUP(E74,'Prix Matiere'!$A$4:$L$60,11))</f>
        <v>4.878720000000001E-2</v>
      </c>
      <c r="T74" s="2"/>
      <c r="U74" s="2"/>
      <c r="V74" s="2"/>
      <c r="W74" s="2"/>
      <c r="X74" s="2"/>
      <c r="Y74" s="2"/>
      <c r="Z74" s="2"/>
    </row>
    <row r="75" spans="1:26" ht="18" hidden="1" customHeight="1" x14ac:dyDescent="0.35">
      <c r="A75" s="2"/>
      <c r="B75" s="45" t="s">
        <v>258</v>
      </c>
      <c r="C75" s="87">
        <f>D67-2*D74</f>
        <v>-6.8</v>
      </c>
      <c r="D75" s="45">
        <f>D74</f>
        <v>7</v>
      </c>
      <c r="E75" s="34" t="str">
        <f t="shared" si="18"/>
        <v>Barres 21 R4F</v>
      </c>
      <c r="F75" s="45">
        <f>2</f>
        <v>2</v>
      </c>
      <c r="G75" s="2"/>
      <c r="H75" s="2"/>
      <c r="I75" s="2"/>
      <c r="J75" s="2"/>
      <c r="K75" s="2"/>
      <c r="L75" s="89">
        <f t="shared" si="13"/>
        <v>-9.5200000000000024E-3</v>
      </c>
      <c r="M75" s="89">
        <f t="shared" si="14"/>
        <v>-1.1900000000000003E-2</v>
      </c>
      <c r="N75" s="71">
        <f>IF(E75=0,0,VLOOKUP(E75,'Prix Matiere'!$A$4:$J$65,10))</f>
        <v>18.969072164948454</v>
      </c>
      <c r="O75" s="71">
        <f t="shared" si="15"/>
        <v>-0.22573195876288665</v>
      </c>
      <c r="P75" s="3">
        <f t="shared" si="16"/>
        <v>0.89527999999999996</v>
      </c>
      <c r="Q75" s="71">
        <f t="shared" si="17"/>
        <v>0.760988</v>
      </c>
      <c r="R75" s="254">
        <f>IF(L75=0,0,L75*VLOOKUP(E75,'Prix Matiere'!$A$4:$L$60,12))</f>
        <v>-9.5200000000000021E-2</v>
      </c>
      <c r="S75" s="90">
        <f>IF(L75=0,0,R75*VLOOKUP(E75,'Prix Matiere'!$A$4:$L$60,11))</f>
        <v>-4.6076800000000008E-2</v>
      </c>
      <c r="T75" s="2"/>
      <c r="U75" s="2"/>
      <c r="V75" s="2"/>
      <c r="W75" s="2"/>
      <c r="X75" s="2"/>
      <c r="Y75" s="2"/>
      <c r="Z75" s="2"/>
    </row>
    <row r="76" spans="1:26" ht="18" hidden="1" customHeight="1" x14ac:dyDescent="0.35">
      <c r="A76" s="2"/>
      <c r="B76" s="45" t="s">
        <v>259</v>
      </c>
      <c r="C76" s="87">
        <f>C68</f>
        <v>0</v>
      </c>
      <c r="D76" s="45">
        <f>7</f>
        <v>7</v>
      </c>
      <c r="E76" s="34" t="str">
        <f t="shared" si="18"/>
        <v>Barres 21 R4F</v>
      </c>
      <c r="F76" s="45">
        <f>IF(D68&gt;80,3,2)</f>
        <v>2</v>
      </c>
      <c r="G76" s="2"/>
      <c r="H76" s="2"/>
      <c r="I76" s="2"/>
      <c r="J76" s="2"/>
      <c r="K76" s="2"/>
      <c r="L76" s="89">
        <f t="shared" si="13"/>
        <v>0</v>
      </c>
      <c r="M76" s="89">
        <f t="shared" si="14"/>
        <v>0</v>
      </c>
      <c r="N76" s="71">
        <f>IF(E76=0,0,VLOOKUP(E76,'Prix Matiere'!$A$4:$J$65,10))</f>
        <v>18.969072164948454</v>
      </c>
      <c r="O76" s="71">
        <f t="shared" si="15"/>
        <v>0</v>
      </c>
      <c r="P76" s="3">
        <f t="shared" si="16"/>
        <v>0</v>
      </c>
      <c r="Q76" s="71">
        <f t="shared" si="17"/>
        <v>0</v>
      </c>
      <c r="R76" s="254">
        <f>IF(L76=0,0,L76*VLOOKUP(E76,'Prix Matiere'!$A$4:$L$60,12))</f>
        <v>0</v>
      </c>
      <c r="S76" s="90">
        <f>IF(L76=0,0,R76*VLOOKUP(E76,'Prix Matiere'!$A$4:$L$60,11))</f>
        <v>0</v>
      </c>
      <c r="T76" s="2"/>
      <c r="U76" s="2"/>
      <c r="V76" s="2"/>
      <c r="W76" s="2"/>
      <c r="X76" s="2"/>
      <c r="Y76" s="2"/>
      <c r="Z76" s="2"/>
    </row>
    <row r="77" spans="1:26" ht="18" hidden="1" customHeight="1" x14ac:dyDescent="0.35">
      <c r="A77" s="2"/>
      <c r="B77" s="45" t="s">
        <v>260</v>
      </c>
      <c r="C77" s="87">
        <f>(D52-(D76*F76))/(F76-1)</f>
        <v>-14</v>
      </c>
      <c r="D77" s="45">
        <f>D76</f>
        <v>7</v>
      </c>
      <c r="E77" s="34" t="str">
        <f t="shared" si="18"/>
        <v>Barres 21 R4F</v>
      </c>
      <c r="F77" s="45">
        <f>IF(F76=3,4,2)</f>
        <v>2</v>
      </c>
      <c r="G77" s="2"/>
      <c r="H77" s="2"/>
      <c r="I77" s="2"/>
      <c r="J77" s="2"/>
      <c r="K77" s="2"/>
      <c r="L77" s="89">
        <f t="shared" si="13"/>
        <v>-1.9600000000000003E-2</v>
      </c>
      <c r="M77" s="89">
        <f t="shared" si="14"/>
        <v>-2.4500000000000001E-2</v>
      </c>
      <c r="N77" s="71">
        <f>IF(E77=0,0,VLOOKUP(E77,'Prix Matiere'!$A$4:$J$65,10))</f>
        <v>18.969072164948454</v>
      </c>
      <c r="O77" s="71">
        <f t="shared" si="15"/>
        <v>-0.46474226804123714</v>
      </c>
      <c r="P77" s="3">
        <f t="shared" si="16"/>
        <v>0.78439999999999999</v>
      </c>
      <c r="Q77" s="71">
        <f t="shared" si="17"/>
        <v>0.66674</v>
      </c>
      <c r="R77" s="254">
        <f>IF(L77=0,0,L77*VLOOKUP(E77,'Prix Matiere'!$A$4:$L$60,12))</f>
        <v>-0.19600000000000004</v>
      </c>
      <c r="S77" s="90">
        <f>IF(L77=0,0,R77*VLOOKUP(E77,'Prix Matiere'!$A$4:$L$60,11))</f>
        <v>-9.4864000000000018E-2</v>
      </c>
      <c r="T77" s="2"/>
      <c r="U77" s="2"/>
      <c r="V77" s="2"/>
      <c r="W77" s="2"/>
      <c r="X77" s="2"/>
      <c r="Y77" s="2"/>
      <c r="Z77" s="2"/>
    </row>
    <row r="78" spans="1:26" ht="18" hidden="1" customHeight="1" x14ac:dyDescent="0.35">
      <c r="A78" s="2"/>
      <c r="B78" s="45" t="s">
        <v>59</v>
      </c>
      <c r="C78" s="87">
        <f>D69</f>
        <v>0</v>
      </c>
      <c r="D78" s="45">
        <v>9.4</v>
      </c>
      <c r="E78" s="34" t="str">
        <f t="shared" si="18"/>
        <v>Barres 21 R4F</v>
      </c>
      <c r="F78" s="45">
        <v>4</v>
      </c>
      <c r="G78" s="2"/>
      <c r="H78" s="2"/>
      <c r="I78" s="2"/>
      <c r="J78" s="2"/>
      <c r="K78" s="2"/>
      <c r="L78" s="89">
        <f t="shared" si="13"/>
        <v>0</v>
      </c>
      <c r="M78" s="89">
        <f t="shared" si="14"/>
        <v>0</v>
      </c>
      <c r="N78" s="71">
        <f>IF(E78=0,0,VLOOKUP(E78,'Prix Matiere'!$A$4:$J$65,10))</f>
        <v>18.969072164948454</v>
      </c>
      <c r="O78" s="71">
        <f t="shared" si="15"/>
        <v>0</v>
      </c>
      <c r="P78" s="3">
        <f t="shared" si="16"/>
        <v>0</v>
      </c>
      <c r="Q78" s="71">
        <f t="shared" si="17"/>
        <v>0</v>
      </c>
      <c r="R78" s="254">
        <f>IF(L78=0,0,L78*VLOOKUP(E78,'Prix Matiere'!$A$4:$L$60,12))</f>
        <v>0</v>
      </c>
      <c r="S78" s="90">
        <f>IF(L78=0,0,R78*VLOOKUP(E78,'Prix Matiere'!$A$4:$L$60,11))</f>
        <v>0</v>
      </c>
      <c r="T78" s="2"/>
      <c r="U78" s="2"/>
      <c r="V78" s="2"/>
      <c r="W78" s="2"/>
      <c r="X78" s="2"/>
      <c r="Y78" s="2"/>
      <c r="Z78" s="2"/>
    </row>
    <row r="79" spans="1:26" ht="18" hidden="1" customHeight="1" x14ac:dyDescent="0.35">
      <c r="A79" s="2"/>
      <c r="B79" s="45" t="s">
        <v>261</v>
      </c>
      <c r="C79" s="87">
        <f>C69-2*D78</f>
        <v>-15.200000000000001</v>
      </c>
      <c r="D79" s="45">
        <v>7</v>
      </c>
      <c r="E79" s="34" t="str">
        <f t="shared" si="18"/>
        <v>Barres 21 R4F</v>
      </c>
      <c r="F79" s="45">
        <v>4</v>
      </c>
      <c r="G79" s="2"/>
      <c r="H79" s="2"/>
      <c r="I79" s="2"/>
      <c r="J79" s="2"/>
      <c r="K79" s="2"/>
      <c r="L79" s="89">
        <f t="shared" si="13"/>
        <v>-4.2560000000000008E-2</v>
      </c>
      <c r="M79" s="89">
        <f t="shared" si="14"/>
        <v>-5.3200000000000004E-2</v>
      </c>
      <c r="N79" s="71">
        <f>IF(E79=0,0,VLOOKUP(E79,'Prix Matiere'!$A$4:$J$65,10))</f>
        <v>18.969072164948454</v>
      </c>
      <c r="O79" s="71">
        <f t="shared" si="15"/>
        <v>-1.0091546391752577</v>
      </c>
      <c r="P79" s="3">
        <f t="shared" si="16"/>
        <v>0.53183999999999987</v>
      </c>
      <c r="Q79" s="71">
        <f t="shared" si="17"/>
        <v>0.45206399999999985</v>
      </c>
      <c r="R79" s="254">
        <f>IF(L79=0,0,L79*VLOOKUP(E79,'Prix Matiere'!$A$4:$L$60,12))</f>
        <v>-0.42560000000000009</v>
      </c>
      <c r="S79" s="90">
        <f>IF(L79=0,0,R79*VLOOKUP(E79,'Prix Matiere'!$A$4:$L$60,11))</f>
        <v>-0.20599040000000005</v>
      </c>
      <c r="T79" s="2"/>
      <c r="U79" s="2"/>
      <c r="V79" s="2"/>
      <c r="W79" s="2"/>
      <c r="X79" s="2"/>
      <c r="Y79" s="2"/>
      <c r="Z79" s="2"/>
    </row>
    <row r="80" spans="1:26" ht="18" hidden="1" customHeight="1" x14ac:dyDescent="0.35">
      <c r="A80" s="2"/>
      <c r="B80" s="45" t="str">
        <f>IF(C21="Bois","Poignées",0)</f>
        <v>Poignées</v>
      </c>
      <c r="C80" s="87">
        <f>IF(B80="Poignées",D52+VLOOKUP(C13,A160:E161,4)+VLOOKUP(C15,A163:D164,4)*2)</f>
        <v>5.7</v>
      </c>
      <c r="D80" s="45">
        <f>IF(B80="Poignées",7,0)</f>
        <v>7</v>
      </c>
      <c r="E80" s="34" t="str">
        <f>IF($C$21="Bois","Barres 21 R4F",0)</f>
        <v>Barres 21 R4F</v>
      </c>
      <c r="F80" s="45">
        <f>IF(B80=0,0,2)</f>
        <v>2</v>
      </c>
      <c r="G80" s="2"/>
      <c r="H80" s="2"/>
      <c r="I80" s="2"/>
      <c r="J80" s="2"/>
      <c r="K80" s="2"/>
      <c r="L80" s="89">
        <f t="shared" si="13"/>
        <v>7.980000000000001E-3</v>
      </c>
      <c r="M80" s="89">
        <f t="shared" si="14"/>
        <v>9.9750000000000012E-3</v>
      </c>
      <c r="N80" s="71">
        <f>IF(E80=0,0,VLOOKUP(E80,'Prix Matiere'!$A$4:$J$65,10))</f>
        <v>18.969072164948454</v>
      </c>
      <c r="O80" s="71">
        <f t="shared" si="15"/>
        <v>0.18921649484536085</v>
      </c>
      <c r="P80" s="3">
        <f t="shared" si="16"/>
        <v>1.08778</v>
      </c>
      <c r="Q80" s="71">
        <f t="shared" si="17"/>
        <v>0.92461299999999991</v>
      </c>
      <c r="R80" s="254">
        <f>IF(L80=0,0,L80*VLOOKUP(E80,'Prix Matiere'!$A$4:$L$60,12))</f>
        <v>7.980000000000001E-2</v>
      </c>
      <c r="S80" s="90">
        <f>IF(L80=0,0,R80*VLOOKUP(E80,'Prix Matiere'!$A$4:$L$60,11))</f>
        <v>3.8623200000000003E-2</v>
      </c>
      <c r="T80" s="2"/>
      <c r="U80" s="2"/>
      <c r="V80" s="2"/>
      <c r="W80" s="2"/>
      <c r="X80" s="2"/>
      <c r="Y80" s="2"/>
      <c r="Z80" s="2"/>
    </row>
    <row r="81" spans="1:26" ht="18" hidden="1" customHeight="1" x14ac:dyDescent="0.35">
      <c r="A81" s="2"/>
      <c r="B81" s="45" t="str">
        <f>F19</f>
        <v>10 dessous en semelles</v>
      </c>
      <c r="C81" s="87">
        <f>IF(B81="Skis",C66-10,IF(B81="10 dessous en semelles",D67,IF(B81="10 dessous en skis",(C72-70)/2)))</f>
        <v>7.2</v>
      </c>
      <c r="D81" s="45">
        <f>IF($F$10="BOVIS",9.4,7)</f>
        <v>7</v>
      </c>
      <c r="E81" s="34" t="str">
        <f>IF($F$19="Skis","Barres 30 R4F","Semelles R4F")</f>
        <v>Semelles R4F</v>
      </c>
      <c r="F81" s="45">
        <f>IF(B81="Skis",2,IF(B81="10 dessous en semelles",2,F76*2))</f>
        <v>2</v>
      </c>
      <c r="G81" s="2"/>
      <c r="H81" s="2"/>
      <c r="I81" s="2"/>
      <c r="J81" s="2"/>
      <c r="K81" s="2"/>
      <c r="L81" s="89">
        <f t="shared" si="13"/>
        <v>1.0080000000000002E-2</v>
      </c>
      <c r="M81" s="89">
        <f t="shared" si="14"/>
        <v>1.2600000000000002E-2</v>
      </c>
      <c r="N81" s="71">
        <f>IF(E81=0,0,VLOOKUP(E81,'Prix Matiere'!$A$4:$J$65,10))</f>
        <v>63.319587628865982</v>
      </c>
      <c r="O81" s="71">
        <f t="shared" si="15"/>
        <v>0.79782680412371154</v>
      </c>
      <c r="P81" s="3">
        <f t="shared" si="16"/>
        <v>1.1108800000000001</v>
      </c>
      <c r="Q81" s="71">
        <f t="shared" si="17"/>
        <v>0.94424800000000009</v>
      </c>
      <c r="R81" s="254">
        <f>IF(L81=0,0,L81*VLOOKUP(E81,'Prix Matiere'!$A$4:$L$60,12))</f>
        <v>0.35280000000000006</v>
      </c>
      <c r="S81" s="90">
        <f>IF(L81=0,0,R81*VLOOKUP(E81,'Prix Matiere'!$A$4:$L$60,11))</f>
        <v>0.17075520000000002</v>
      </c>
      <c r="T81" s="2"/>
      <c r="U81" s="2"/>
      <c r="V81" s="2"/>
      <c r="W81" s="2"/>
      <c r="X81" s="2"/>
      <c r="Y81" s="2"/>
      <c r="Z81" s="2"/>
    </row>
    <row r="82" spans="1:26" ht="18" hidden="1" customHeight="1" x14ac:dyDescent="0.3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89"/>
      <c r="M82" s="89"/>
      <c r="N82" s="71"/>
      <c r="O82" s="71"/>
      <c r="P82" s="3"/>
      <c r="Q82" s="71"/>
      <c r="R82" s="254"/>
      <c r="S82" s="90"/>
      <c r="T82" s="2"/>
      <c r="U82" s="2"/>
      <c r="V82" s="2"/>
      <c r="W82" s="2"/>
      <c r="X82" s="2"/>
      <c r="Y82" s="2"/>
      <c r="Z82" s="2"/>
    </row>
    <row r="83" spans="1:26" ht="18" hidden="1" customHeight="1" x14ac:dyDescent="0.3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89"/>
      <c r="M83" s="89"/>
      <c r="N83" s="71"/>
      <c r="O83" s="71"/>
      <c r="P83" s="3"/>
      <c r="Q83" s="71"/>
      <c r="R83" s="254"/>
      <c r="S83" s="90"/>
      <c r="T83" s="2"/>
      <c r="U83" s="2"/>
      <c r="V83" s="2"/>
      <c r="W83" s="2"/>
      <c r="X83" s="2"/>
      <c r="Y83" s="2"/>
      <c r="Z83" s="2"/>
    </row>
    <row r="84" spans="1:26" ht="18" hidden="1" customHeight="1" x14ac:dyDescent="0.35">
      <c r="A84" s="19" t="s">
        <v>62</v>
      </c>
      <c r="B84" s="45" t="s">
        <v>63</v>
      </c>
      <c r="C84" s="45">
        <f>IF(F84=0,0,C52)</f>
        <v>0</v>
      </c>
      <c r="D84" s="45">
        <f>IF(F84=0,0,E88-VLOOKUP($C$17,A159:P163,5))</f>
        <v>0</v>
      </c>
      <c r="E84" s="34">
        <f t="shared" ref="E84:E86" si="19">VLOOKUP($C$17,$A$169:$P$175,6)</f>
        <v>0</v>
      </c>
      <c r="F84" s="45">
        <f t="shared" ref="F84:F86" si="20">VLOOKUP($C$17,$A$169:$P$175,7)</f>
        <v>0</v>
      </c>
      <c r="G84" s="2"/>
      <c r="H84" s="2"/>
      <c r="I84" s="2"/>
      <c r="J84" s="2"/>
      <c r="K84" s="2"/>
      <c r="L84" s="89">
        <f t="shared" ref="L84:L86" si="21">IF(C84=0,0,(C84/100)*(D84/100)*F84)</f>
        <v>0</v>
      </c>
      <c r="M84" s="89">
        <f t="shared" ref="M84:M86" si="22">L84/0.8</f>
        <v>0</v>
      </c>
      <c r="N84" s="71">
        <f>IF(E84=0,0,VLOOKUP(E84,'Prix Matiere'!$A$4:$J$65,10))</f>
        <v>0</v>
      </c>
      <c r="O84" s="71">
        <f t="shared" ref="O84:O86" si="23">N84*M84</f>
        <v>0</v>
      </c>
      <c r="P84" s="3">
        <f t="shared" ref="P84:P86" si="24">IF(L84=0,0,(4.7283*L84)+3)</f>
        <v>0</v>
      </c>
      <c r="Q84" s="71">
        <f>P84*MinuteMO</f>
        <v>0</v>
      </c>
      <c r="R84" s="254">
        <f>IF(L84=0,0,L84*VLOOKUP(E84,'Prix Matiere'!$A$4:$L$60,12))</f>
        <v>0</v>
      </c>
      <c r="S84" s="90">
        <f>IF(L84=0,0,R84*VLOOKUP(E84,'Prix Matiere'!$A$4:$L$60,11))</f>
        <v>0</v>
      </c>
      <c r="T84" s="2"/>
      <c r="U84" s="2"/>
      <c r="V84" s="2"/>
      <c r="W84" s="2"/>
      <c r="X84" s="2"/>
      <c r="Y84" s="2"/>
      <c r="Z84" s="2"/>
    </row>
    <row r="85" spans="1:26" ht="18" hidden="1" customHeight="1" x14ac:dyDescent="0.35">
      <c r="A85" s="2"/>
      <c r="B85" s="45" t="s">
        <v>54</v>
      </c>
      <c r="C85" s="45">
        <f>IF(F85=0,0,C84)</f>
        <v>0</v>
      </c>
      <c r="D85" s="45">
        <f>IF(F85=0,0,D88)</f>
        <v>0</v>
      </c>
      <c r="E85" s="34">
        <f t="shared" si="19"/>
        <v>0</v>
      </c>
      <c r="F85" s="45">
        <f t="shared" si="20"/>
        <v>0</v>
      </c>
      <c r="G85" s="2"/>
      <c r="H85" s="2"/>
      <c r="I85" s="2"/>
      <c r="J85" s="2"/>
      <c r="K85" s="2"/>
      <c r="L85" s="89">
        <f t="shared" si="21"/>
        <v>0</v>
      </c>
      <c r="M85" s="89">
        <f t="shared" si="22"/>
        <v>0</v>
      </c>
      <c r="N85" s="71">
        <f>IF(E85=0,0,VLOOKUP(E85,'Prix Matiere'!$A$4:$J$65,10))</f>
        <v>0</v>
      </c>
      <c r="O85" s="71">
        <f t="shared" si="23"/>
        <v>0</v>
      </c>
      <c r="P85" s="3">
        <f t="shared" si="24"/>
        <v>0</v>
      </c>
      <c r="Q85" s="71">
        <f>P85*MinuteMO</f>
        <v>0</v>
      </c>
      <c r="R85" s="254">
        <f>IF(L85=0,0,L85*VLOOKUP(E85,'Prix Matiere'!$A$4:$L$60,12))</f>
        <v>0</v>
      </c>
      <c r="S85" s="90">
        <f>IF(L85=0,0,R85*VLOOKUP(E85,'Prix Matiere'!$A$4:$L$60,11))</f>
        <v>0</v>
      </c>
      <c r="T85" s="2"/>
      <c r="U85" s="2"/>
      <c r="V85" s="2"/>
      <c r="W85" s="2"/>
      <c r="X85" s="2"/>
      <c r="Y85" s="2"/>
      <c r="Z85" s="2"/>
    </row>
    <row r="86" spans="1:26" ht="18" hidden="1" customHeight="1" x14ac:dyDescent="0.35">
      <c r="A86" s="2"/>
      <c r="B86" s="45" t="s">
        <v>55</v>
      </c>
      <c r="C86" s="45">
        <f>IF(F86=0,0,D88-VLOOKUP(C17,A170:P176,5))</f>
        <v>0</v>
      </c>
      <c r="D86" s="45">
        <f>IF(F86=0,0,D84)</f>
        <v>0</v>
      </c>
      <c r="E86" s="34">
        <f t="shared" si="19"/>
        <v>0</v>
      </c>
      <c r="F86" s="45">
        <f t="shared" si="20"/>
        <v>0</v>
      </c>
      <c r="G86" s="2"/>
      <c r="H86" s="2"/>
      <c r="I86" s="2"/>
      <c r="J86" s="2"/>
      <c r="K86" s="2"/>
      <c r="L86" s="89">
        <f t="shared" si="21"/>
        <v>0</v>
      </c>
      <c r="M86" s="89">
        <f t="shared" si="22"/>
        <v>0</v>
      </c>
      <c r="N86" s="71">
        <f>IF(E86=0,0,VLOOKUP(E86,'Prix Matiere'!$A$4:$J$65,10))</f>
        <v>0</v>
      </c>
      <c r="O86" s="71">
        <f t="shared" si="23"/>
        <v>0</v>
      </c>
      <c r="P86" s="3">
        <f t="shared" si="24"/>
        <v>0</v>
      </c>
      <c r="Q86" s="71">
        <f>P86*MinuteMO</f>
        <v>0</v>
      </c>
      <c r="R86" s="254">
        <f>IF(L86=0,0,L86*VLOOKUP(E86,'Prix Matiere'!$A$4:$L$60,12))</f>
        <v>0</v>
      </c>
      <c r="S86" s="90">
        <f>IF(L86=0,0,R86*VLOOKUP(E86,'Prix Matiere'!$A$4:$L$60,11))</f>
        <v>0</v>
      </c>
      <c r="T86" s="2"/>
      <c r="U86" s="2"/>
      <c r="V86" s="2"/>
      <c r="W86" s="2"/>
      <c r="X86" s="2"/>
      <c r="Y86" s="2"/>
      <c r="Z86" s="2"/>
    </row>
    <row r="87" spans="1:26" ht="18" hidden="1" customHeight="1" x14ac:dyDescent="0.3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89"/>
      <c r="M87" s="89"/>
      <c r="N87" s="71"/>
      <c r="O87" s="71"/>
      <c r="P87" s="3"/>
      <c r="Q87" s="71"/>
      <c r="R87" s="254"/>
      <c r="S87" s="90"/>
      <c r="T87" s="2"/>
      <c r="U87" s="2"/>
      <c r="V87" s="2"/>
      <c r="W87" s="2"/>
      <c r="X87" s="2"/>
      <c r="Y87" s="2"/>
      <c r="Z87" s="2"/>
    </row>
    <row r="88" spans="1:26" ht="18" hidden="1" customHeight="1" x14ac:dyDescent="0.35">
      <c r="A88" s="2"/>
      <c r="B88" s="2" t="s">
        <v>64</v>
      </c>
      <c r="C88" s="89">
        <f>C52-VLOOKUP($C$17,A169:P175,5)</f>
        <v>0</v>
      </c>
      <c r="D88" s="89">
        <f t="shared" ref="D88:E88" si="25">D52-VLOOKUP($C$17,$A$169:$P$175,5)</f>
        <v>0</v>
      </c>
      <c r="E88" s="89">
        <f t="shared" si="25"/>
        <v>0</v>
      </c>
      <c r="F88" s="2"/>
      <c r="G88" s="2"/>
      <c r="H88" s="2"/>
      <c r="I88" s="2"/>
      <c r="J88" s="2"/>
      <c r="K88" s="2"/>
      <c r="L88" s="89"/>
      <c r="M88" s="89"/>
      <c r="N88" s="71"/>
      <c r="O88" s="71"/>
      <c r="P88" s="3"/>
      <c r="Q88" s="71"/>
      <c r="R88" s="254"/>
      <c r="S88" s="90"/>
      <c r="T88" s="2"/>
      <c r="U88" s="2"/>
      <c r="V88" s="2"/>
      <c r="W88" s="2"/>
      <c r="X88" s="2"/>
      <c r="Y88" s="2"/>
      <c r="Z88" s="2"/>
    </row>
    <row r="89" spans="1:26" ht="18" hidden="1" customHeight="1" x14ac:dyDescent="0.3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89"/>
      <c r="M89" s="89"/>
      <c r="N89" s="71"/>
      <c r="O89" s="71"/>
      <c r="P89" s="3"/>
      <c r="Q89" s="71"/>
      <c r="R89" s="254"/>
      <c r="S89" s="90"/>
      <c r="T89" s="2"/>
      <c r="U89" s="2"/>
      <c r="V89" s="2"/>
      <c r="W89" s="2"/>
      <c r="X89" s="2"/>
      <c r="Y89" s="2"/>
      <c r="Z89" s="2"/>
    </row>
    <row r="90" spans="1:26" ht="18" hidden="1" customHeight="1" x14ac:dyDescent="0.35">
      <c r="A90" s="19" t="s">
        <v>65</v>
      </c>
      <c r="B90" s="45" t="s">
        <v>63</v>
      </c>
      <c r="C90" s="45">
        <f>IF(F90=0,0,C94+VLOOKUP(C17,A169:P175,8))</f>
        <v>0</v>
      </c>
      <c r="D90" s="45">
        <f>IF(F90=0,0,E88-VLOOKUP(C17,A169:P175,8))</f>
        <v>0</v>
      </c>
      <c r="E90" s="34">
        <f>VLOOKUP(C17,A169:P175,9)</f>
        <v>0</v>
      </c>
      <c r="F90" s="45">
        <f>VLOOKUP($C$17,A169:P175,10)</f>
        <v>0</v>
      </c>
      <c r="G90" s="2"/>
      <c r="H90" s="2"/>
      <c r="I90" s="2"/>
      <c r="J90" s="2"/>
      <c r="K90" s="2"/>
      <c r="L90" s="89">
        <f t="shared" ref="L90:L92" si="26">IF(C90=0,0,(C90/100)*(D90/100)*F90)</f>
        <v>0</v>
      </c>
      <c r="M90" s="89">
        <f t="shared" ref="M90:M92" si="27">L90/0.8</f>
        <v>0</v>
      </c>
      <c r="N90" s="71">
        <f>IF(E90=0,0,VLOOKUP(E90,'Prix Matiere'!$A$4:$J$60,10))</f>
        <v>0</v>
      </c>
      <c r="O90" s="71">
        <f t="shared" ref="O90:O92" si="28">N90*M90</f>
        <v>0</v>
      </c>
      <c r="P90" s="3">
        <f t="shared" ref="P90:P92" si="29">IF(L90=0,0,(3.94*L90)+5)</f>
        <v>0</v>
      </c>
      <c r="Q90" s="71">
        <f>P90*MinuteMO</f>
        <v>0</v>
      </c>
      <c r="R90" s="254">
        <f>IF(L90=0,0,L90*VLOOKUP(E90,'Prix Matiere'!$A$4:$L$60,12))</f>
        <v>0</v>
      </c>
      <c r="S90" s="90">
        <f>IF(L90=0,0,R90*VLOOKUP(E90,'Prix Matiere'!$A$4:$L$60,11))</f>
        <v>0</v>
      </c>
      <c r="T90" s="2"/>
      <c r="U90" s="2"/>
      <c r="V90" s="2"/>
      <c r="W90" s="2"/>
      <c r="X90" s="2"/>
      <c r="Y90" s="2"/>
      <c r="Z90" s="2"/>
    </row>
    <row r="91" spans="1:26" ht="18" hidden="1" customHeight="1" x14ac:dyDescent="0.35">
      <c r="A91" s="2"/>
      <c r="B91" s="45" t="s">
        <v>54</v>
      </c>
      <c r="C91" s="45">
        <f>IF(F91=0,0,$C$94+VLOOKUP(C17,A169:P175,8))-0.5</f>
        <v>-0.5</v>
      </c>
      <c r="D91" s="45">
        <f>IF(F91=0,0,D88)-0.5</f>
        <v>-0.5</v>
      </c>
      <c r="E91" s="34">
        <f>VLOOKUP(C17,A169:P175,9)</f>
        <v>0</v>
      </c>
      <c r="F91" s="45">
        <f>VLOOKUP($C$17,A169:P175,10)</f>
        <v>0</v>
      </c>
      <c r="G91" s="2"/>
      <c r="H91" s="2"/>
      <c r="I91" s="2"/>
      <c r="J91" s="2"/>
      <c r="K91" s="2"/>
      <c r="L91" s="89">
        <f t="shared" si="26"/>
        <v>0</v>
      </c>
      <c r="M91" s="89">
        <f t="shared" si="27"/>
        <v>0</v>
      </c>
      <c r="N91" s="71">
        <f>IF(E91=0,0,VLOOKUP(E91,'Prix Matiere'!$A$4:$J$60,10))</f>
        <v>0</v>
      </c>
      <c r="O91" s="71">
        <f t="shared" si="28"/>
        <v>0</v>
      </c>
      <c r="P91" s="3">
        <f t="shared" si="29"/>
        <v>0</v>
      </c>
      <c r="Q91" s="71">
        <f>P91*MinuteMO</f>
        <v>0</v>
      </c>
      <c r="R91" s="254">
        <f>IF(L91=0,0,L91*VLOOKUP(E91,'Prix Matiere'!$A$4:$L$60,12))</f>
        <v>0</v>
      </c>
      <c r="S91" s="90">
        <f>IF(L91=0,0,R91*VLOOKUP(E91,'Prix Matiere'!$A$4:$L$60,11))</f>
        <v>0</v>
      </c>
      <c r="T91" s="2"/>
      <c r="U91" s="2"/>
      <c r="V91" s="2"/>
      <c r="W91" s="2"/>
      <c r="X91" s="2"/>
      <c r="Y91" s="2"/>
      <c r="Z91" s="2"/>
    </row>
    <row r="92" spans="1:26" ht="18" hidden="1" customHeight="1" x14ac:dyDescent="0.35">
      <c r="A92" s="2"/>
      <c r="B92" s="45" t="s">
        <v>55</v>
      </c>
      <c r="C92" s="45">
        <f>IF(F92=0,0,D94)</f>
        <v>0</v>
      </c>
      <c r="D92" s="45">
        <f>D90</f>
        <v>0</v>
      </c>
      <c r="E92" s="34">
        <f>VLOOKUP(C17,A169:P175,9)</f>
        <v>0</v>
      </c>
      <c r="F92" s="45">
        <f>VLOOKUP($C$17,A169:P175,10)</f>
        <v>0</v>
      </c>
      <c r="G92" s="2"/>
      <c r="H92" s="2"/>
      <c r="I92" s="2"/>
      <c r="J92" s="2"/>
      <c r="K92" s="2"/>
      <c r="L92" s="89">
        <f t="shared" si="26"/>
        <v>0</v>
      </c>
      <c r="M92" s="89">
        <f t="shared" si="27"/>
        <v>0</v>
      </c>
      <c r="N92" s="71">
        <f>IF(E92=0,0,VLOOKUP(E92,'Prix Matiere'!$A$4:$J$60,10))</f>
        <v>0</v>
      </c>
      <c r="O92" s="71">
        <f t="shared" si="28"/>
        <v>0</v>
      </c>
      <c r="P92" s="3">
        <f t="shared" si="29"/>
        <v>0</v>
      </c>
      <c r="Q92" s="71">
        <f>P92*MinuteMO</f>
        <v>0</v>
      </c>
      <c r="R92" s="254">
        <f>IF(L92=0,0,L92*VLOOKUP(E92,'Prix Matiere'!$A$4:$L$60,12))</f>
        <v>0</v>
      </c>
      <c r="S92" s="90">
        <f>IF(L92=0,0,R92*VLOOKUP(E92,'Prix Matiere'!$A$4:$L$60,11))</f>
        <v>0</v>
      </c>
      <c r="T92" s="2"/>
      <c r="U92" s="2"/>
      <c r="V92" s="2"/>
      <c r="W92" s="2"/>
      <c r="X92" s="2"/>
      <c r="Y92" s="2"/>
      <c r="Z92" s="2"/>
    </row>
    <row r="93" spans="1:26" ht="18" hidden="1" customHeight="1" x14ac:dyDescent="0.3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89"/>
      <c r="M93" s="89"/>
      <c r="N93" s="71"/>
      <c r="O93" s="71"/>
      <c r="P93" s="3"/>
      <c r="Q93" s="71"/>
      <c r="R93" s="254"/>
      <c r="S93" s="90"/>
      <c r="T93" s="2"/>
      <c r="U93" s="2"/>
      <c r="V93" s="2"/>
      <c r="W93" s="2"/>
      <c r="X93" s="2"/>
      <c r="Y93" s="2"/>
      <c r="Z93" s="2"/>
    </row>
    <row r="94" spans="1:26" ht="18" hidden="1" customHeight="1" x14ac:dyDescent="0.35">
      <c r="A94" s="2"/>
      <c r="B94" s="2" t="s">
        <v>66</v>
      </c>
      <c r="C94" s="89">
        <f>C88-VLOOKUP(C17,A169:P175,8)</f>
        <v>0</v>
      </c>
      <c r="D94" s="89">
        <f>D88-VLOOKUP(C17,A169:P175,8)</f>
        <v>0</v>
      </c>
      <c r="E94" s="89">
        <f>E88-VLOOKUP(C17,A169:P175,8)</f>
        <v>0</v>
      </c>
      <c r="F94" s="2"/>
      <c r="G94" s="2"/>
      <c r="H94" s="2"/>
      <c r="I94" s="2"/>
      <c r="J94" s="2"/>
      <c r="K94" s="2"/>
      <c r="L94" s="89"/>
      <c r="M94" s="89"/>
      <c r="N94" s="71"/>
      <c r="O94" s="71"/>
      <c r="P94" s="3"/>
      <c r="Q94" s="71"/>
      <c r="R94" s="254"/>
      <c r="S94" s="90"/>
      <c r="T94" s="2"/>
      <c r="U94" s="2"/>
      <c r="V94" s="2"/>
      <c r="W94" s="2"/>
      <c r="X94" s="2"/>
      <c r="Y94" s="2"/>
      <c r="Z94" s="2"/>
    </row>
    <row r="95" spans="1:26" ht="18" hidden="1" customHeight="1" x14ac:dyDescent="0.3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89">
        <f t="shared" ref="L95:L103" si="30">IF(C95=0,0,(C95/100)*(D95/100)*F95)</f>
        <v>0</v>
      </c>
      <c r="M95" s="89">
        <f t="shared" ref="M95:M103" si="31">L95/0.8</f>
        <v>0</v>
      </c>
      <c r="N95" s="71"/>
      <c r="O95" s="71"/>
      <c r="P95" s="3"/>
      <c r="Q95" s="71"/>
      <c r="R95" s="254"/>
      <c r="S95" s="90"/>
      <c r="T95" s="2"/>
      <c r="U95" s="2"/>
      <c r="V95" s="2"/>
      <c r="W95" s="2"/>
      <c r="X95" s="2"/>
      <c r="Y95" s="2"/>
      <c r="Z95" s="2"/>
    </row>
    <row r="96" spans="1:26" ht="18" hidden="1" customHeight="1" x14ac:dyDescent="0.35">
      <c r="A96" s="19" t="s">
        <v>67</v>
      </c>
      <c r="B96" s="45" t="s">
        <v>63</v>
      </c>
      <c r="C96" s="45">
        <f>IF(F96=0,0,C99)</f>
        <v>0</v>
      </c>
      <c r="D96" s="45">
        <f>IF(F96=0,0,10)</f>
        <v>0</v>
      </c>
      <c r="E96" s="34">
        <f>VLOOKUP(C17,A169:P175,12)</f>
        <v>0</v>
      </c>
      <c r="F96" s="94">
        <f>VLOOKUP(C17,A169:P175,13)</f>
        <v>0</v>
      </c>
      <c r="G96" s="2"/>
      <c r="H96" s="2"/>
      <c r="I96" s="2"/>
      <c r="J96" s="2"/>
      <c r="K96" s="2"/>
      <c r="L96" s="89">
        <f t="shared" si="30"/>
        <v>0</v>
      </c>
      <c r="M96" s="89">
        <f t="shared" si="31"/>
        <v>0</v>
      </c>
      <c r="N96" s="71">
        <f>IF(E96=0,0,VLOOKUP(E96,'Prix Matiere'!$A$4:$J$60,10))</f>
        <v>0</v>
      </c>
      <c r="O96" s="71">
        <f t="shared" ref="O96:O97" si="32">N96*M96</f>
        <v>0</v>
      </c>
      <c r="P96" s="3">
        <f t="shared" ref="P96:P97" si="33">IF(L96=0,0,1+(6*L96))</f>
        <v>0</v>
      </c>
      <c r="Q96" s="71">
        <f>P96*MinuteMO</f>
        <v>0</v>
      </c>
      <c r="R96" s="254">
        <f>IF(L96=0,0,L96*VLOOKUP(E96,'Prix Matiere'!$A$4:$L$60,12))</f>
        <v>0</v>
      </c>
      <c r="S96" s="90">
        <f>IF(L96=0,0,R96*VLOOKUP(E96,'Prix Matiere'!$A$4:$L$60,11))</f>
        <v>0</v>
      </c>
      <c r="T96" s="2"/>
      <c r="U96" s="2"/>
      <c r="V96" s="2"/>
      <c r="W96" s="2"/>
      <c r="X96" s="2"/>
      <c r="Y96" s="2"/>
      <c r="Z96" s="2"/>
    </row>
    <row r="97" spans="1:26" ht="18" hidden="1" customHeight="1" x14ac:dyDescent="0.35">
      <c r="A97" s="2"/>
      <c r="B97" s="45" t="s">
        <v>54</v>
      </c>
      <c r="C97" s="45">
        <f>IF(F97=0,0,E94)</f>
        <v>0</v>
      </c>
      <c r="D97" s="45">
        <f>IF(F96=0,0,D96)</f>
        <v>0</v>
      </c>
      <c r="E97" s="34">
        <f>VLOOKUP(C17,A169:P175,12)</f>
        <v>0</v>
      </c>
      <c r="F97" s="45">
        <f>VLOOKUP(C17,A169:P175,13)*2</f>
        <v>0</v>
      </c>
      <c r="G97" s="2"/>
      <c r="H97" s="2"/>
      <c r="I97" s="2"/>
      <c r="J97" s="2"/>
      <c r="K97" s="2"/>
      <c r="L97" s="89">
        <f t="shared" si="30"/>
        <v>0</v>
      </c>
      <c r="M97" s="89">
        <f t="shared" si="31"/>
        <v>0</v>
      </c>
      <c r="N97" s="71">
        <f>IF(E97=0,0,VLOOKUP(E97,'Prix Matiere'!$A$4:$J$60,10))</f>
        <v>0</v>
      </c>
      <c r="O97" s="71">
        <f t="shared" si="32"/>
        <v>0</v>
      </c>
      <c r="P97" s="3">
        <f t="shared" si="33"/>
        <v>0</v>
      </c>
      <c r="Q97" s="71">
        <f>P97*MinuteMO</f>
        <v>0</v>
      </c>
      <c r="R97" s="254">
        <f>IF(L97=0,0,L97*VLOOKUP(E97,'Prix Matiere'!$A$4:$L$60,12))</f>
        <v>0</v>
      </c>
      <c r="S97" s="90">
        <f>IF(L97=0,0,R97*VLOOKUP(E97,'Prix Matiere'!$A$4:$L$60,11))</f>
        <v>0</v>
      </c>
      <c r="T97" s="2"/>
      <c r="U97" s="2"/>
      <c r="V97" s="2"/>
      <c r="W97" s="2"/>
      <c r="X97" s="2"/>
      <c r="Y97" s="2"/>
      <c r="Z97" s="2"/>
    </row>
    <row r="98" spans="1:26" ht="18" hidden="1" customHeight="1" x14ac:dyDescent="0.3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89">
        <f t="shared" si="30"/>
        <v>0</v>
      </c>
      <c r="M98" s="89">
        <f t="shared" si="31"/>
        <v>0</v>
      </c>
      <c r="N98" s="71"/>
      <c r="O98" s="71"/>
      <c r="P98" s="3"/>
      <c r="Q98" s="71"/>
      <c r="R98" s="254"/>
      <c r="S98" s="90"/>
      <c r="T98" s="2"/>
      <c r="U98" s="2"/>
      <c r="V98" s="2"/>
      <c r="W98" s="2"/>
      <c r="X98" s="2"/>
      <c r="Y98" s="2"/>
      <c r="Z98" s="2"/>
    </row>
    <row r="99" spans="1:26" ht="18" hidden="1" customHeight="1" x14ac:dyDescent="0.35">
      <c r="A99" s="2"/>
      <c r="B99" s="2" t="s">
        <v>68</v>
      </c>
      <c r="C99" s="89">
        <f>C94-VLOOKUP($C$17,A169:P175,11)</f>
        <v>0</v>
      </c>
      <c r="D99" s="89">
        <f>D94-VLOOKUP($C$17,A169:P175,11)</f>
        <v>0</v>
      </c>
      <c r="E99" s="89">
        <f>E94-VLOOKUP($C$17,A169:P175,11)</f>
        <v>0</v>
      </c>
      <c r="F99" s="2"/>
      <c r="G99" s="2"/>
      <c r="H99" s="2"/>
      <c r="I99" s="2"/>
      <c r="J99" s="2"/>
      <c r="K99" s="2"/>
      <c r="L99" s="89">
        <f t="shared" si="30"/>
        <v>0</v>
      </c>
      <c r="M99" s="89">
        <f t="shared" si="31"/>
        <v>0</v>
      </c>
      <c r="N99" s="71"/>
      <c r="O99" s="71"/>
      <c r="P99" s="3"/>
      <c r="Q99" s="71"/>
      <c r="R99" s="254"/>
      <c r="S99" s="90"/>
      <c r="T99" s="2"/>
      <c r="U99" s="2"/>
      <c r="V99" s="2"/>
      <c r="W99" s="2"/>
      <c r="X99" s="2"/>
      <c r="Y99" s="2"/>
      <c r="Z99" s="2"/>
    </row>
    <row r="100" spans="1:26" ht="18" hidden="1" customHeight="1" x14ac:dyDescent="0.3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89">
        <f t="shared" si="30"/>
        <v>0</v>
      </c>
      <c r="M100" s="89">
        <f t="shared" si="31"/>
        <v>0</v>
      </c>
      <c r="N100" s="71"/>
      <c r="O100" s="71"/>
      <c r="P100" s="3"/>
      <c r="Q100" s="71"/>
      <c r="R100" s="254"/>
      <c r="S100" s="90"/>
      <c r="T100" s="2"/>
      <c r="U100" s="2"/>
      <c r="V100" s="2"/>
      <c r="W100" s="2"/>
      <c r="X100" s="2"/>
      <c r="Y100" s="2"/>
      <c r="Z100" s="2"/>
    </row>
    <row r="101" spans="1:26" ht="18" hidden="1" customHeight="1" x14ac:dyDescent="0.35">
      <c r="A101" s="19" t="s">
        <v>69</v>
      </c>
      <c r="B101" s="45" t="s">
        <v>63</v>
      </c>
      <c r="C101" s="45">
        <f>IF(F101=0,0,C105+VLOOKUP($C$17,A169:P175,14))</f>
        <v>0</v>
      </c>
      <c r="D101" s="45">
        <f>IF(F101=0,0,E105)</f>
        <v>0</v>
      </c>
      <c r="E101" s="34">
        <f>VLOOKUP($C$17,A169:P175,15)</f>
        <v>0</v>
      </c>
      <c r="F101" s="95">
        <f>VLOOKUP($C$17,A169:P175,16)</f>
        <v>0</v>
      </c>
      <c r="G101" s="2"/>
      <c r="H101" s="2"/>
      <c r="I101" s="2"/>
      <c r="J101" s="2"/>
      <c r="K101" s="2"/>
      <c r="L101" s="89">
        <f t="shared" si="30"/>
        <v>0</v>
      </c>
      <c r="M101" s="89">
        <f t="shared" si="31"/>
        <v>0</v>
      </c>
      <c r="N101" s="71">
        <f>IF(E101=0,0,VLOOKUP(E101,'Prix Matiere'!$A$4:$J$60,10))</f>
        <v>0</v>
      </c>
      <c r="O101" s="71">
        <f t="shared" ref="O101:O103" si="34">N101*M101</f>
        <v>0</v>
      </c>
      <c r="P101" s="3">
        <f t="shared" ref="P101:P103" si="35">IF(L101=0,0,(3.94*L101)+5)</f>
        <v>0</v>
      </c>
      <c r="Q101" s="71">
        <f>P101*MinuteMO</f>
        <v>0</v>
      </c>
      <c r="R101" s="254">
        <f>IF(L101=0,0,L101*VLOOKUP(E101,'Prix Matiere'!$A$4:$L$60,12))</f>
        <v>0</v>
      </c>
      <c r="S101" s="90">
        <f>IF(L101=0,0,R101*VLOOKUP(E101,'Prix Matiere'!$A$4:$L$60,11))</f>
        <v>0</v>
      </c>
      <c r="T101" s="2"/>
      <c r="U101" s="2"/>
      <c r="V101" s="2"/>
      <c r="W101" s="2"/>
      <c r="X101" s="2"/>
      <c r="Y101" s="2"/>
      <c r="Z101" s="2"/>
    </row>
    <row r="102" spans="1:26" ht="18" hidden="1" customHeight="1" x14ac:dyDescent="0.35">
      <c r="A102" s="2"/>
      <c r="B102" s="45" t="s">
        <v>54</v>
      </c>
      <c r="C102" s="45">
        <f>IF(F102=0,0,C105+VLOOKUP($C$17,A169:P175,14))</f>
        <v>0</v>
      </c>
      <c r="D102" s="45">
        <f>IF(F102=0,0,D105+VLOOKUP(C17,A169:P175,14))</f>
        <v>0</v>
      </c>
      <c r="E102" s="34">
        <f>VLOOKUP($C$17,A169:P175,15)</f>
        <v>0</v>
      </c>
      <c r="F102" s="95">
        <f>VLOOKUP($C$17,A169:P175,16)</f>
        <v>0</v>
      </c>
      <c r="G102" s="2"/>
      <c r="H102" s="2"/>
      <c r="I102" s="2"/>
      <c r="J102" s="2"/>
      <c r="K102" s="2"/>
      <c r="L102" s="89">
        <f t="shared" si="30"/>
        <v>0</v>
      </c>
      <c r="M102" s="89">
        <f t="shared" si="31"/>
        <v>0</v>
      </c>
      <c r="N102" s="71">
        <f>IF(E102=0,0,VLOOKUP(E102,'Prix Matiere'!$A$4:$J$60,10))</f>
        <v>0</v>
      </c>
      <c r="O102" s="71">
        <f t="shared" si="34"/>
        <v>0</v>
      </c>
      <c r="P102" s="3">
        <f t="shared" si="35"/>
        <v>0</v>
      </c>
      <c r="Q102" s="71">
        <f>P102*MinuteMO</f>
        <v>0</v>
      </c>
      <c r="R102" s="254">
        <f>IF(L102=0,0,L102*VLOOKUP(E102,'Prix Matiere'!$A$4:$L$60,12))</f>
        <v>0</v>
      </c>
      <c r="S102" s="90">
        <f>IF(L102=0,0,R102*VLOOKUP(E102,'Prix Matiere'!$A$4:$L$60,11))</f>
        <v>0</v>
      </c>
      <c r="T102" s="2"/>
      <c r="U102" s="2"/>
      <c r="V102" s="2"/>
      <c r="W102" s="2"/>
      <c r="X102" s="2"/>
      <c r="Y102" s="2"/>
      <c r="Z102" s="2"/>
    </row>
    <row r="103" spans="1:26" ht="18" hidden="1" customHeight="1" x14ac:dyDescent="0.35">
      <c r="A103" s="2"/>
      <c r="B103" s="45" t="s">
        <v>55</v>
      </c>
      <c r="C103" s="45">
        <f>IF(F103=0,0,D105)</f>
        <v>0</v>
      </c>
      <c r="D103" s="45">
        <f>D101</f>
        <v>0</v>
      </c>
      <c r="E103" s="34">
        <f>VLOOKUP($C$17,A169:P175,15)</f>
        <v>0</v>
      </c>
      <c r="F103" s="95">
        <f>VLOOKUP($C$17,A169:P175,16)</f>
        <v>0</v>
      </c>
      <c r="G103" s="2"/>
      <c r="H103" s="2"/>
      <c r="I103" s="2"/>
      <c r="J103" s="2"/>
      <c r="K103" s="2"/>
      <c r="L103" s="89">
        <f t="shared" si="30"/>
        <v>0</v>
      </c>
      <c r="M103" s="89">
        <f t="shared" si="31"/>
        <v>0</v>
      </c>
      <c r="N103" s="71">
        <f>IF(E103=0,0,VLOOKUP(E103,'Prix Matiere'!$A$4:$J$60,10))</f>
        <v>0</v>
      </c>
      <c r="O103" s="71">
        <f t="shared" si="34"/>
        <v>0</v>
      </c>
      <c r="P103" s="3">
        <f t="shared" si="35"/>
        <v>0</v>
      </c>
      <c r="Q103" s="71">
        <f>P103*MinuteMO</f>
        <v>0</v>
      </c>
      <c r="R103" s="254">
        <f>IF(L103=0,0,L103*VLOOKUP(E103,'Prix Matiere'!$A$4:$L$60,12))</f>
        <v>0</v>
      </c>
      <c r="S103" s="90">
        <f>IF(L103=0,0,R103*VLOOKUP(E103,'Prix Matiere'!$A$4:$L$60,11))</f>
        <v>0</v>
      </c>
      <c r="T103" s="2"/>
      <c r="U103" s="2"/>
      <c r="V103" s="2"/>
      <c r="W103" s="2"/>
      <c r="X103" s="2"/>
      <c r="Y103" s="2"/>
      <c r="Z103" s="2"/>
    </row>
    <row r="104" spans="1:26" ht="18" hidden="1" customHeight="1" x14ac:dyDescent="0.35">
      <c r="A104" s="2"/>
      <c r="B104" s="2"/>
      <c r="C104" s="2"/>
      <c r="D104" s="2"/>
      <c r="E104" s="2"/>
      <c r="F104" s="2"/>
      <c r="G104" s="2"/>
      <c r="H104" s="2"/>
      <c r="I104" s="2"/>
      <c r="J104" s="2">
        <f t="shared" ref="J104:J105" si="36">IF(C104=0,0,(C104/100)*(D104/100)*F104)</f>
        <v>0</v>
      </c>
      <c r="K104" s="2">
        <f t="shared" ref="K104:K105" si="37">J104/0.8</f>
        <v>0</v>
      </c>
      <c r="L104" s="89"/>
      <c r="M104" s="89"/>
      <c r="N104" s="71"/>
      <c r="O104" s="71"/>
      <c r="P104" s="3"/>
      <c r="Q104" s="71"/>
      <c r="R104" s="254"/>
      <c r="S104" s="90"/>
      <c r="T104" s="2"/>
      <c r="U104" s="2"/>
      <c r="V104" s="2"/>
      <c r="W104" s="2"/>
      <c r="X104" s="2"/>
      <c r="Y104" s="2"/>
      <c r="Z104" s="2"/>
    </row>
    <row r="105" spans="1:26" ht="18" hidden="1" customHeight="1" x14ac:dyDescent="0.35">
      <c r="A105" s="2"/>
      <c r="B105" s="2" t="s">
        <v>66</v>
      </c>
      <c r="C105" s="89">
        <f>C99-VLOOKUP($C$17,A169:P175,14)</f>
        <v>0</v>
      </c>
      <c r="D105" s="89">
        <f>D99-VLOOKUP($C$17,A169:P175,14)</f>
        <v>0</v>
      </c>
      <c r="E105" s="89">
        <f>E99-VLOOKUP($C$17,A169:P175,14)</f>
        <v>0</v>
      </c>
      <c r="F105" s="2"/>
      <c r="G105" s="2"/>
      <c r="H105" s="2"/>
      <c r="I105" s="2"/>
      <c r="J105" s="2">
        <f t="shared" si="36"/>
        <v>0</v>
      </c>
      <c r="K105" s="2">
        <f t="shared" si="37"/>
        <v>0</v>
      </c>
      <c r="L105" s="89"/>
      <c r="M105" s="89"/>
      <c r="N105" s="71"/>
      <c r="O105" s="71"/>
      <c r="P105" s="3"/>
      <c r="Q105" s="71"/>
      <c r="R105" s="254"/>
      <c r="S105" s="90"/>
      <c r="T105" s="2"/>
      <c r="U105" s="2"/>
      <c r="V105" s="2"/>
      <c r="W105" s="2"/>
      <c r="X105" s="2"/>
      <c r="Y105" s="2"/>
      <c r="Z105" s="2"/>
    </row>
    <row r="106" spans="1:26" ht="18" hidden="1" customHeight="1" x14ac:dyDescent="0.3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89">
        <f t="shared" ref="L106:L113" si="38">IF(C106=0,0,(C106/100)*(D106/100)*F106)</f>
        <v>0</v>
      </c>
      <c r="M106" s="89">
        <f t="shared" ref="M106:M123" si="39">L106/0.8</f>
        <v>0</v>
      </c>
      <c r="N106" s="71"/>
      <c r="O106" s="71"/>
      <c r="P106" s="3"/>
      <c r="Q106" s="71"/>
      <c r="R106" s="254"/>
      <c r="S106" s="90"/>
      <c r="T106" s="2"/>
      <c r="U106" s="2"/>
      <c r="V106" s="2"/>
      <c r="W106" s="2"/>
      <c r="X106" s="2"/>
      <c r="Y106" s="2"/>
      <c r="Z106" s="2"/>
    </row>
    <row r="107" spans="1:26" ht="18" hidden="1" customHeight="1" x14ac:dyDescent="0.35">
      <c r="A107" s="19" t="s">
        <v>70</v>
      </c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89">
        <f t="shared" si="38"/>
        <v>0</v>
      </c>
      <c r="M107" s="89">
        <f t="shared" si="39"/>
        <v>0</v>
      </c>
      <c r="N107" s="71"/>
      <c r="O107" s="71"/>
      <c r="P107" s="3"/>
      <c r="Q107" s="71"/>
      <c r="R107" s="254"/>
      <c r="S107" s="90"/>
      <c r="T107" s="2"/>
      <c r="U107" s="2"/>
      <c r="V107" s="2"/>
      <c r="W107" s="2"/>
      <c r="X107" s="2"/>
      <c r="Y107" s="2"/>
      <c r="Z107" s="2"/>
    </row>
    <row r="108" spans="1:26" ht="18" hidden="1" customHeight="1" x14ac:dyDescent="0.3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89">
        <f t="shared" si="38"/>
        <v>0</v>
      </c>
      <c r="M108" s="89">
        <f t="shared" si="39"/>
        <v>0</v>
      </c>
      <c r="N108" s="71"/>
      <c r="O108" s="71"/>
      <c r="P108" s="3"/>
      <c r="Q108" s="71"/>
      <c r="R108" s="254"/>
      <c r="S108" s="90"/>
      <c r="T108" s="2"/>
      <c r="U108" s="2"/>
      <c r="V108" s="2"/>
      <c r="W108" s="2"/>
      <c r="X108" s="2"/>
      <c r="Y108" s="2"/>
      <c r="Z108" s="2"/>
    </row>
    <row r="109" spans="1:26" ht="18" hidden="1" customHeight="1" x14ac:dyDescent="0.35">
      <c r="A109" s="2" t="s">
        <v>268</v>
      </c>
      <c r="B109" s="45" t="s">
        <v>35</v>
      </c>
      <c r="C109" s="85">
        <f>IF(M27=0,0,M27+10.2)</f>
        <v>0</v>
      </c>
      <c r="D109" s="85">
        <f>IF(M31=0,0,M31+10.2)</f>
        <v>0</v>
      </c>
      <c r="E109" s="85">
        <f>IF(C109=0,0,"PU 50 mm")</f>
        <v>0</v>
      </c>
      <c r="F109" s="45">
        <f t="shared" ref="F109:F110" si="40">IF(C109=0,0,1)</f>
        <v>0</v>
      </c>
      <c r="G109" s="2"/>
      <c r="H109" s="2"/>
      <c r="I109" s="2"/>
      <c r="J109" s="2"/>
      <c r="K109" s="2"/>
      <c r="L109" s="89">
        <f t="shared" si="38"/>
        <v>0</v>
      </c>
      <c r="M109" s="89">
        <f t="shared" si="39"/>
        <v>0</v>
      </c>
      <c r="N109" s="71">
        <f>IF(E109=0,0,VLOOKUP(E109,'Prix Matiere'!$A$4:$J$62,10))</f>
        <v>0</v>
      </c>
      <c r="O109" s="71">
        <f t="shared" ref="O109:O123" si="41">N109*M109</f>
        <v>0</v>
      </c>
      <c r="P109" s="3">
        <f t="shared" ref="P109:P112" si="42">IF(L109=0,0,(3.94*L109)+5)</f>
        <v>0</v>
      </c>
      <c r="Q109" s="71">
        <f t="shared" ref="Q109:Q123" si="43">P109*MinuteMO</f>
        <v>0</v>
      </c>
      <c r="R109" s="254">
        <f>IF(L109=0,0,L109*VLOOKUP(E109,'Prix Matiere'!$A$4:$L$60,12))</f>
        <v>0</v>
      </c>
      <c r="S109" s="90">
        <f>IF(L109=0,0,R109*VLOOKUP(E109,'Prix Matiere'!$A$4:$L$60,11))</f>
        <v>0</v>
      </c>
      <c r="T109" s="2"/>
      <c r="U109" s="2"/>
      <c r="V109" s="2"/>
      <c r="W109" s="2"/>
      <c r="X109" s="2"/>
      <c r="Y109" s="2"/>
      <c r="Z109" s="2"/>
    </row>
    <row r="110" spans="1:26" ht="18" hidden="1" customHeight="1" x14ac:dyDescent="0.35">
      <c r="A110" s="2"/>
      <c r="B110" s="45" t="s">
        <v>36</v>
      </c>
      <c r="C110" s="85">
        <f>IF(M27=0,0,C109)</f>
        <v>0</v>
      </c>
      <c r="D110" s="85">
        <f>D109</f>
        <v>0</v>
      </c>
      <c r="E110" s="85">
        <f>IF(C110=0,0,"Ethafoam 50 mm")</f>
        <v>0</v>
      </c>
      <c r="F110" s="45">
        <f t="shared" si="40"/>
        <v>0</v>
      </c>
      <c r="G110" s="2"/>
      <c r="H110" s="2"/>
      <c r="I110" s="2"/>
      <c r="J110" s="2"/>
      <c r="K110" s="2"/>
      <c r="L110" s="89">
        <f t="shared" si="38"/>
        <v>0</v>
      </c>
      <c r="M110" s="89">
        <f t="shared" si="39"/>
        <v>0</v>
      </c>
      <c r="N110" s="71">
        <f>IF(E110=0,0,VLOOKUP(E110,'Prix Matiere'!$A$4:$J$62,10))</f>
        <v>0</v>
      </c>
      <c r="O110" s="71">
        <f t="shared" si="41"/>
        <v>0</v>
      </c>
      <c r="P110" s="3">
        <f t="shared" si="42"/>
        <v>0</v>
      </c>
      <c r="Q110" s="71">
        <f t="shared" si="43"/>
        <v>0</v>
      </c>
      <c r="R110" s="254">
        <f>IF(L110=0,0,L110*VLOOKUP(E110,'Prix Matiere'!$A$4:$L$60,12))</f>
        <v>0</v>
      </c>
      <c r="S110" s="90">
        <f>IF(L110=0,0,R110*VLOOKUP(E110,'Prix Matiere'!$A$4:$L$60,11))</f>
        <v>0</v>
      </c>
      <c r="T110" s="2"/>
      <c r="U110" s="2"/>
      <c r="V110" s="2"/>
      <c r="W110" s="2"/>
      <c r="X110" s="2"/>
      <c r="Y110" s="2"/>
      <c r="Z110" s="2"/>
    </row>
    <row r="111" spans="1:26" ht="18" hidden="1" customHeight="1" x14ac:dyDescent="0.35">
      <c r="A111" s="2"/>
      <c r="B111" s="45" t="s">
        <v>63</v>
      </c>
      <c r="C111" s="85">
        <f>IF(M27=0,0,C110-10)</f>
        <v>0</v>
      </c>
      <c r="D111" s="85">
        <f>M29</f>
        <v>0</v>
      </c>
      <c r="E111" s="85">
        <f t="shared" ref="E111:E112" si="44">IF(C111=0,0,"PU 50 mm")</f>
        <v>0</v>
      </c>
      <c r="F111" s="45">
        <f>IF(D25=0,0,2)</f>
        <v>0</v>
      </c>
      <c r="G111" s="2"/>
      <c r="H111" s="2"/>
      <c r="I111" s="2"/>
      <c r="J111" s="2"/>
      <c r="K111" s="2"/>
      <c r="L111" s="89">
        <f t="shared" si="38"/>
        <v>0</v>
      </c>
      <c r="M111" s="89">
        <f t="shared" si="39"/>
        <v>0</v>
      </c>
      <c r="N111" s="71">
        <f>IF(E111=0,0,VLOOKUP(E111,'Prix Matiere'!$A$4:$J$62,10))</f>
        <v>0</v>
      </c>
      <c r="O111" s="71">
        <f t="shared" si="41"/>
        <v>0</v>
      </c>
      <c r="P111" s="3">
        <f t="shared" si="42"/>
        <v>0</v>
      </c>
      <c r="Q111" s="71">
        <f t="shared" si="43"/>
        <v>0</v>
      </c>
      <c r="R111" s="254">
        <f>IF(L111=0,0,L111*VLOOKUP(E111,'Prix Matiere'!$A$4:$L$60,12))</f>
        <v>0</v>
      </c>
      <c r="S111" s="90">
        <f>IF(L111=0,0,R111*VLOOKUP(E111,'Prix Matiere'!$A$4:$L$60,11))</f>
        <v>0</v>
      </c>
      <c r="T111" s="2"/>
      <c r="U111" s="2"/>
      <c r="V111" s="2"/>
      <c r="W111" s="2"/>
      <c r="X111" s="2"/>
      <c r="Y111" s="2"/>
      <c r="Z111" s="2"/>
    </row>
    <row r="112" spans="1:26" ht="18" hidden="1" customHeight="1" x14ac:dyDescent="0.35">
      <c r="A112" s="2"/>
      <c r="B112" s="45" t="s">
        <v>55</v>
      </c>
      <c r="C112" s="85">
        <f>IF(M27=0,0,(D111-15)/2)</f>
        <v>0</v>
      </c>
      <c r="D112" s="85">
        <f>IF(D109=0,0,D109)</f>
        <v>0</v>
      </c>
      <c r="E112" s="85">
        <f t="shared" si="44"/>
        <v>0</v>
      </c>
      <c r="F112" s="45">
        <f>IF(C112=0,0,4)</f>
        <v>0</v>
      </c>
      <c r="G112" s="2"/>
      <c r="H112" s="2"/>
      <c r="I112" s="2"/>
      <c r="J112" s="2"/>
      <c r="K112" s="2"/>
      <c r="L112" s="89">
        <f t="shared" si="38"/>
        <v>0</v>
      </c>
      <c r="M112" s="89">
        <f t="shared" si="39"/>
        <v>0</v>
      </c>
      <c r="N112" s="71">
        <f>IF(E112=0,0,VLOOKUP(E112,'Prix Matiere'!$A$4:$J$62,10))</f>
        <v>0</v>
      </c>
      <c r="O112" s="71">
        <f t="shared" si="41"/>
        <v>0</v>
      </c>
      <c r="P112" s="3">
        <f t="shared" si="42"/>
        <v>0</v>
      </c>
      <c r="Q112" s="71">
        <f t="shared" si="43"/>
        <v>0</v>
      </c>
      <c r="R112" s="254">
        <f>IF(L112=0,0,L112*VLOOKUP(E112,'Prix Matiere'!$A$4:$L$60,12))</f>
        <v>0</v>
      </c>
      <c r="S112" s="90">
        <f>IF(L112=0,0,R112*VLOOKUP(E112,'Prix Matiere'!$A$4:$L$60,11))</f>
        <v>0</v>
      </c>
      <c r="T112" s="2"/>
      <c r="U112" s="2"/>
      <c r="V112" s="2"/>
      <c r="W112" s="2"/>
      <c r="X112" s="2"/>
      <c r="Y112" s="2"/>
      <c r="Z112" s="2"/>
    </row>
    <row r="113" spans="1:26" ht="18" hidden="1" customHeight="1" x14ac:dyDescent="0.35">
      <c r="A113" s="2"/>
      <c r="B113" s="45" t="s">
        <v>267</v>
      </c>
      <c r="C113" s="85">
        <f>M27</f>
        <v>0</v>
      </c>
      <c r="D113" s="85">
        <f>M29</f>
        <v>0</v>
      </c>
      <c r="E113" s="85">
        <f>IF(C113=0,0,F21)</f>
        <v>0</v>
      </c>
      <c r="F113" s="88">
        <f>IF(C113=0,0,M25-1)</f>
        <v>0</v>
      </c>
      <c r="G113" s="2"/>
      <c r="H113" s="2"/>
      <c r="I113" s="2"/>
      <c r="J113" s="2"/>
      <c r="K113" s="2"/>
      <c r="L113" s="89">
        <f t="shared" si="38"/>
        <v>0</v>
      </c>
      <c r="M113" s="89">
        <f t="shared" si="39"/>
        <v>0</v>
      </c>
      <c r="N113" s="71">
        <f>IF(E113=0,0,VLOOKUP(E113,$A$203:$C$207,3))</f>
        <v>0</v>
      </c>
      <c r="O113" s="71">
        <f t="shared" si="41"/>
        <v>0</v>
      </c>
      <c r="P113" s="3">
        <f>IF(L113=0,0,(2.356*L113)+1)</f>
        <v>0</v>
      </c>
      <c r="Q113" s="71">
        <f t="shared" si="43"/>
        <v>0</v>
      </c>
      <c r="R113" s="254">
        <f>IF(L113=0,0,L113*VLOOKUP(E113,'Prix Matiere'!$A$4:$L$60,12))</f>
        <v>0</v>
      </c>
      <c r="S113" s="90">
        <f>IF(L113=0,0,R113*VLOOKUP(E113,'Prix Matiere'!$A$4:$L$60,11))</f>
        <v>0</v>
      </c>
      <c r="T113" s="2"/>
      <c r="U113" s="2"/>
      <c r="V113" s="2"/>
      <c r="W113" s="2"/>
      <c r="X113" s="2"/>
      <c r="Y113" s="2"/>
      <c r="Z113" s="2"/>
    </row>
    <row r="114" spans="1:26" ht="18" hidden="1" customHeight="1" x14ac:dyDescent="0.35">
      <c r="A114" s="2"/>
      <c r="B114" s="45" t="s">
        <v>279</v>
      </c>
      <c r="C114" s="85">
        <f t="shared" ref="C114:C123" si="45">IF(D25=0,0,$C$113)</f>
        <v>0</v>
      </c>
      <c r="D114" s="85">
        <f t="shared" ref="D114:D123" si="46">IF(D25=0,0,$D$113-F25)</f>
        <v>0</v>
      </c>
      <c r="E114" s="85">
        <f t="shared" ref="E114:E123" si="47">IF(D25=0,0,CONCATENATE("PU ",ROUNDDOWN(E25,0)*10, " mm"))</f>
        <v>0</v>
      </c>
      <c r="F114" s="45">
        <f t="shared" ref="F114:F123" si="48">IF(D114=0,0,1)</f>
        <v>0</v>
      </c>
      <c r="G114" s="2"/>
      <c r="H114" s="85">
        <f t="shared" ref="H114:H123" si="49">IF(D25=0,0,$D$113-D114)</f>
        <v>0</v>
      </c>
      <c r="I114" s="45">
        <f t="shared" ref="I114:I123" si="50">IF(D25=0,0,($C$113-D25)/2)</f>
        <v>0</v>
      </c>
      <c r="J114" s="45">
        <f t="shared" ref="J114:J123" si="51">IF(I114=0,0,2)</f>
        <v>0</v>
      </c>
      <c r="K114" s="2"/>
      <c r="L114" s="89">
        <f t="shared" ref="L114:L123" si="52">IF(C114=0,0,(C114/100)*(D114/100)*F114)+IF(H114=0,0,(H114/100)*(I114/100)*J114)</f>
        <v>0</v>
      </c>
      <c r="M114" s="89">
        <f t="shared" si="39"/>
        <v>0</v>
      </c>
      <c r="N114" s="71">
        <f>IF(E114=0,0,VLOOKUP(E114,'Prix Matiere'!$A$4:$J$62,10))</f>
        <v>0</v>
      </c>
      <c r="O114" s="71">
        <f t="shared" si="41"/>
        <v>0</v>
      </c>
      <c r="P114" s="3">
        <f t="shared" ref="P114:P123" si="53">IF(L114=0,0,(3.94*L114)+5)</f>
        <v>0</v>
      </c>
      <c r="Q114" s="71">
        <f t="shared" si="43"/>
        <v>0</v>
      </c>
      <c r="R114" s="254">
        <f>IF(L114=0,0,L114*VLOOKUP(E114,'Prix Matiere'!$A$4:$L$60,12))</f>
        <v>0</v>
      </c>
      <c r="S114" s="90">
        <f>IF(L114=0,0,R114*VLOOKUP(E114,'Prix Matiere'!$A$4:$L$60,11))</f>
        <v>0</v>
      </c>
      <c r="T114" s="2"/>
      <c r="U114" s="2"/>
      <c r="V114" s="2"/>
      <c r="W114" s="2"/>
      <c r="X114" s="2"/>
      <c r="Y114" s="2"/>
      <c r="Z114" s="2"/>
    </row>
    <row r="115" spans="1:26" ht="18" hidden="1" customHeight="1" x14ac:dyDescent="0.35">
      <c r="A115" s="2"/>
      <c r="B115" s="45" t="s">
        <v>280</v>
      </c>
      <c r="C115" s="85">
        <f t="shared" si="45"/>
        <v>0</v>
      </c>
      <c r="D115" s="85">
        <f t="shared" si="46"/>
        <v>0</v>
      </c>
      <c r="E115" s="85">
        <f t="shared" si="47"/>
        <v>0</v>
      </c>
      <c r="F115" s="45">
        <f t="shared" si="48"/>
        <v>0</v>
      </c>
      <c r="G115" s="2"/>
      <c r="H115" s="85">
        <f t="shared" si="49"/>
        <v>0</v>
      </c>
      <c r="I115" s="45">
        <f t="shared" si="50"/>
        <v>0</v>
      </c>
      <c r="J115" s="45">
        <f t="shared" si="51"/>
        <v>0</v>
      </c>
      <c r="K115" s="2"/>
      <c r="L115" s="89">
        <f t="shared" si="52"/>
        <v>0</v>
      </c>
      <c r="M115" s="89">
        <f t="shared" si="39"/>
        <v>0</v>
      </c>
      <c r="N115" s="71">
        <f>IF(E115=0,0,VLOOKUP(E115,'Prix Matiere'!$A$4:$J$62,10))</f>
        <v>0</v>
      </c>
      <c r="O115" s="71">
        <f t="shared" si="41"/>
        <v>0</v>
      </c>
      <c r="P115" s="3">
        <f t="shared" si="53"/>
        <v>0</v>
      </c>
      <c r="Q115" s="71">
        <f t="shared" si="43"/>
        <v>0</v>
      </c>
      <c r="R115" s="254">
        <f>IF(L115=0,0,L115*VLOOKUP(E115,'Prix Matiere'!$A$4:$L$60,12))</f>
        <v>0</v>
      </c>
      <c r="S115" s="90">
        <f>IF(L115=0,0,R115*VLOOKUP(E115,'Prix Matiere'!$A$4:$L$60,11))</f>
        <v>0</v>
      </c>
      <c r="T115" s="2"/>
      <c r="U115" s="2"/>
      <c r="V115" s="2"/>
      <c r="W115" s="2"/>
      <c r="X115" s="2"/>
      <c r="Y115" s="2"/>
      <c r="Z115" s="2"/>
    </row>
    <row r="116" spans="1:26" ht="18" hidden="1" customHeight="1" x14ac:dyDescent="0.35">
      <c r="A116" s="2"/>
      <c r="B116" s="45" t="s">
        <v>281</v>
      </c>
      <c r="C116" s="85">
        <f t="shared" si="45"/>
        <v>0</v>
      </c>
      <c r="D116" s="85">
        <f t="shared" si="46"/>
        <v>0</v>
      </c>
      <c r="E116" s="85">
        <f t="shared" si="47"/>
        <v>0</v>
      </c>
      <c r="F116" s="45">
        <f t="shared" si="48"/>
        <v>0</v>
      </c>
      <c r="G116" s="2"/>
      <c r="H116" s="85">
        <f t="shared" si="49"/>
        <v>0</v>
      </c>
      <c r="I116" s="45">
        <f t="shared" si="50"/>
        <v>0</v>
      </c>
      <c r="J116" s="45">
        <f t="shared" si="51"/>
        <v>0</v>
      </c>
      <c r="K116" s="2"/>
      <c r="L116" s="89">
        <f t="shared" si="52"/>
        <v>0</v>
      </c>
      <c r="M116" s="89">
        <f t="shared" si="39"/>
        <v>0</v>
      </c>
      <c r="N116" s="71">
        <f>IF(E116=0,0,VLOOKUP(E116,'Prix Matiere'!$A$4:$J$62,10))</f>
        <v>0</v>
      </c>
      <c r="O116" s="71">
        <f t="shared" si="41"/>
        <v>0</v>
      </c>
      <c r="P116" s="3">
        <f t="shared" si="53"/>
        <v>0</v>
      </c>
      <c r="Q116" s="71">
        <f t="shared" si="43"/>
        <v>0</v>
      </c>
      <c r="R116" s="254">
        <f>IF(L116=0,0,L116*VLOOKUP(E116,'Prix Matiere'!$A$4:$L$60,12))</f>
        <v>0</v>
      </c>
      <c r="S116" s="90">
        <f>IF(L116=0,0,R116*VLOOKUP(E116,'Prix Matiere'!$A$4:$L$60,11))</f>
        <v>0</v>
      </c>
      <c r="T116" s="2"/>
      <c r="U116" s="2"/>
      <c r="V116" s="2"/>
      <c r="W116" s="2"/>
      <c r="X116" s="2"/>
      <c r="Y116" s="2"/>
      <c r="Z116" s="2"/>
    </row>
    <row r="117" spans="1:26" ht="18" hidden="1" customHeight="1" x14ac:dyDescent="0.35">
      <c r="A117" s="2"/>
      <c r="B117" s="45" t="s">
        <v>282</v>
      </c>
      <c r="C117" s="85">
        <f t="shared" si="45"/>
        <v>0</v>
      </c>
      <c r="D117" s="85">
        <f t="shared" si="46"/>
        <v>0</v>
      </c>
      <c r="E117" s="85">
        <f t="shared" si="47"/>
        <v>0</v>
      </c>
      <c r="F117" s="45">
        <f t="shared" si="48"/>
        <v>0</v>
      </c>
      <c r="G117" s="2"/>
      <c r="H117" s="85">
        <f t="shared" si="49"/>
        <v>0</v>
      </c>
      <c r="I117" s="45">
        <f t="shared" si="50"/>
        <v>0</v>
      </c>
      <c r="J117" s="45">
        <f t="shared" si="51"/>
        <v>0</v>
      </c>
      <c r="K117" s="2"/>
      <c r="L117" s="89">
        <f t="shared" si="52"/>
        <v>0</v>
      </c>
      <c r="M117" s="89">
        <f t="shared" si="39"/>
        <v>0</v>
      </c>
      <c r="N117" s="71">
        <f>IF(E117=0,0,VLOOKUP(E117,'Prix Matiere'!$A$4:$J$62,10))</f>
        <v>0</v>
      </c>
      <c r="O117" s="71">
        <f t="shared" si="41"/>
        <v>0</v>
      </c>
      <c r="P117" s="3">
        <f t="shared" si="53"/>
        <v>0</v>
      </c>
      <c r="Q117" s="71">
        <f t="shared" si="43"/>
        <v>0</v>
      </c>
      <c r="R117" s="254">
        <f>IF(L117=0,0,L117*VLOOKUP(E117,'Prix Matiere'!$A$4:$L$60,12))</f>
        <v>0</v>
      </c>
      <c r="S117" s="90">
        <f>IF(L117=0,0,R117*VLOOKUP(E117,'Prix Matiere'!$A$4:$L$60,11))</f>
        <v>0</v>
      </c>
      <c r="T117" s="2"/>
      <c r="U117" s="2"/>
      <c r="V117" s="2"/>
      <c r="W117" s="2"/>
      <c r="X117" s="2"/>
      <c r="Y117" s="2"/>
      <c r="Z117" s="2"/>
    </row>
    <row r="118" spans="1:26" ht="18" hidden="1" customHeight="1" x14ac:dyDescent="0.35">
      <c r="A118" s="2"/>
      <c r="B118" s="45" t="s">
        <v>283</v>
      </c>
      <c r="C118" s="85">
        <f t="shared" si="45"/>
        <v>0</v>
      </c>
      <c r="D118" s="85">
        <f t="shared" si="46"/>
        <v>0</v>
      </c>
      <c r="E118" s="85">
        <f t="shared" si="47"/>
        <v>0</v>
      </c>
      <c r="F118" s="45">
        <f t="shared" si="48"/>
        <v>0</v>
      </c>
      <c r="G118" s="2"/>
      <c r="H118" s="85">
        <f t="shared" si="49"/>
        <v>0</v>
      </c>
      <c r="I118" s="45">
        <f t="shared" si="50"/>
        <v>0</v>
      </c>
      <c r="J118" s="45">
        <f t="shared" si="51"/>
        <v>0</v>
      </c>
      <c r="K118" s="2"/>
      <c r="L118" s="89">
        <f t="shared" si="52"/>
        <v>0</v>
      </c>
      <c r="M118" s="89">
        <f t="shared" si="39"/>
        <v>0</v>
      </c>
      <c r="N118" s="71">
        <f>IF(E118=0,0,VLOOKUP(E118,'Prix Matiere'!$A$4:$J$62,10))</f>
        <v>0</v>
      </c>
      <c r="O118" s="71">
        <f t="shared" si="41"/>
        <v>0</v>
      </c>
      <c r="P118" s="3">
        <f t="shared" si="53"/>
        <v>0</v>
      </c>
      <c r="Q118" s="71">
        <f t="shared" si="43"/>
        <v>0</v>
      </c>
      <c r="R118" s="254">
        <f>IF(L118=0,0,L118*VLOOKUP(E118,'Prix Matiere'!$A$4:$L$60,12))</f>
        <v>0</v>
      </c>
      <c r="S118" s="90">
        <f>IF(L118=0,0,R118*VLOOKUP(E118,'Prix Matiere'!$A$4:$L$60,11))</f>
        <v>0</v>
      </c>
      <c r="T118" s="2"/>
      <c r="U118" s="2"/>
      <c r="V118" s="2"/>
      <c r="W118" s="2"/>
      <c r="X118" s="2"/>
      <c r="Y118" s="2"/>
      <c r="Z118" s="2"/>
    </row>
    <row r="119" spans="1:26" ht="18" hidden="1" customHeight="1" x14ac:dyDescent="0.35">
      <c r="A119" s="2"/>
      <c r="B119" s="45" t="s">
        <v>284</v>
      </c>
      <c r="C119" s="85">
        <f t="shared" si="45"/>
        <v>0</v>
      </c>
      <c r="D119" s="85">
        <f t="shared" si="46"/>
        <v>0</v>
      </c>
      <c r="E119" s="85">
        <f t="shared" si="47"/>
        <v>0</v>
      </c>
      <c r="F119" s="45">
        <f t="shared" si="48"/>
        <v>0</v>
      </c>
      <c r="G119" s="2"/>
      <c r="H119" s="85">
        <f t="shared" si="49"/>
        <v>0</v>
      </c>
      <c r="I119" s="45">
        <f t="shared" si="50"/>
        <v>0</v>
      </c>
      <c r="J119" s="45">
        <f t="shared" si="51"/>
        <v>0</v>
      </c>
      <c r="K119" s="2"/>
      <c r="L119" s="89">
        <f t="shared" si="52"/>
        <v>0</v>
      </c>
      <c r="M119" s="89">
        <f t="shared" si="39"/>
        <v>0</v>
      </c>
      <c r="N119" s="71">
        <f>IF(E119=0,0,VLOOKUP(E119,'Prix Matiere'!$A$4:$J$62,10))</f>
        <v>0</v>
      </c>
      <c r="O119" s="71">
        <f t="shared" si="41"/>
        <v>0</v>
      </c>
      <c r="P119" s="3">
        <f t="shared" si="53"/>
        <v>0</v>
      </c>
      <c r="Q119" s="71">
        <f t="shared" si="43"/>
        <v>0</v>
      </c>
      <c r="R119" s="254">
        <f>IF(L119=0,0,L119*VLOOKUP(E119,'Prix Matiere'!$A$4:$L$60,12))</f>
        <v>0</v>
      </c>
      <c r="S119" s="90">
        <f>IF(L119=0,0,R119*VLOOKUP(E119,'Prix Matiere'!$A$4:$L$60,11))</f>
        <v>0</v>
      </c>
      <c r="T119" s="2"/>
      <c r="U119" s="2"/>
      <c r="V119" s="2"/>
      <c r="W119" s="2"/>
      <c r="X119" s="2"/>
      <c r="Y119" s="2"/>
      <c r="Z119" s="2"/>
    </row>
    <row r="120" spans="1:26" ht="18" hidden="1" customHeight="1" x14ac:dyDescent="0.35">
      <c r="A120" s="2"/>
      <c r="B120" s="45" t="s">
        <v>285</v>
      </c>
      <c r="C120" s="85">
        <f t="shared" si="45"/>
        <v>0</v>
      </c>
      <c r="D120" s="85">
        <f t="shared" si="46"/>
        <v>0</v>
      </c>
      <c r="E120" s="85">
        <f t="shared" si="47"/>
        <v>0</v>
      </c>
      <c r="F120" s="45">
        <f t="shared" si="48"/>
        <v>0</v>
      </c>
      <c r="G120" s="2"/>
      <c r="H120" s="85">
        <f t="shared" si="49"/>
        <v>0</v>
      </c>
      <c r="I120" s="45">
        <f t="shared" si="50"/>
        <v>0</v>
      </c>
      <c r="J120" s="45">
        <f t="shared" si="51"/>
        <v>0</v>
      </c>
      <c r="K120" s="2"/>
      <c r="L120" s="89">
        <f t="shared" si="52"/>
        <v>0</v>
      </c>
      <c r="M120" s="89">
        <f t="shared" si="39"/>
        <v>0</v>
      </c>
      <c r="N120" s="71">
        <f>IF(E120=0,0,VLOOKUP(E120,'Prix Matiere'!$A$4:$J$62,10))</f>
        <v>0</v>
      </c>
      <c r="O120" s="71">
        <f t="shared" si="41"/>
        <v>0</v>
      </c>
      <c r="P120" s="3">
        <f t="shared" si="53"/>
        <v>0</v>
      </c>
      <c r="Q120" s="71">
        <f t="shared" si="43"/>
        <v>0</v>
      </c>
      <c r="R120" s="254">
        <f>IF(L120=0,0,L120*VLOOKUP(E120,'Prix Matiere'!$A$4:$L$60,12))</f>
        <v>0</v>
      </c>
      <c r="S120" s="90">
        <f>IF(L120=0,0,R120*VLOOKUP(E120,'Prix Matiere'!$A$4:$L$60,11))</f>
        <v>0</v>
      </c>
      <c r="T120" s="2"/>
      <c r="U120" s="2"/>
      <c r="V120" s="2"/>
      <c r="W120" s="2"/>
      <c r="X120" s="2"/>
      <c r="Y120" s="2"/>
      <c r="Z120" s="2"/>
    </row>
    <row r="121" spans="1:26" ht="18" hidden="1" customHeight="1" x14ac:dyDescent="0.35">
      <c r="A121" s="2"/>
      <c r="B121" s="45" t="s">
        <v>286</v>
      </c>
      <c r="C121" s="85">
        <f t="shared" si="45"/>
        <v>0</v>
      </c>
      <c r="D121" s="85">
        <f t="shared" si="46"/>
        <v>0</v>
      </c>
      <c r="E121" s="85">
        <f t="shared" si="47"/>
        <v>0</v>
      </c>
      <c r="F121" s="45">
        <f t="shared" si="48"/>
        <v>0</v>
      </c>
      <c r="G121" s="2"/>
      <c r="H121" s="85">
        <f t="shared" si="49"/>
        <v>0</v>
      </c>
      <c r="I121" s="45">
        <f t="shared" si="50"/>
        <v>0</v>
      </c>
      <c r="J121" s="45">
        <f t="shared" si="51"/>
        <v>0</v>
      </c>
      <c r="K121" s="2"/>
      <c r="L121" s="89">
        <f t="shared" si="52"/>
        <v>0</v>
      </c>
      <c r="M121" s="89">
        <f t="shared" si="39"/>
        <v>0</v>
      </c>
      <c r="N121" s="71">
        <f>IF(E121=0,0,VLOOKUP(E121,'Prix Matiere'!$A$4:$J$62,10))</f>
        <v>0</v>
      </c>
      <c r="O121" s="71">
        <f t="shared" si="41"/>
        <v>0</v>
      </c>
      <c r="P121" s="3">
        <f t="shared" si="53"/>
        <v>0</v>
      </c>
      <c r="Q121" s="71">
        <f t="shared" si="43"/>
        <v>0</v>
      </c>
      <c r="R121" s="254">
        <f>IF(L121=0,0,L121*VLOOKUP(E121,'Prix Matiere'!$A$4:$L$60,12))</f>
        <v>0</v>
      </c>
      <c r="S121" s="90">
        <f>IF(L121=0,0,R121*VLOOKUP(E121,'Prix Matiere'!$A$4:$L$60,11))</f>
        <v>0</v>
      </c>
      <c r="T121" s="2"/>
      <c r="U121" s="2"/>
      <c r="V121" s="2"/>
      <c r="W121" s="2"/>
      <c r="X121" s="2"/>
      <c r="Y121" s="2"/>
      <c r="Z121" s="2"/>
    </row>
    <row r="122" spans="1:26" ht="18" hidden="1" customHeight="1" x14ac:dyDescent="0.35">
      <c r="A122" s="2"/>
      <c r="B122" s="45" t="s">
        <v>287</v>
      </c>
      <c r="C122" s="85">
        <f t="shared" si="45"/>
        <v>0</v>
      </c>
      <c r="D122" s="85">
        <f t="shared" si="46"/>
        <v>0</v>
      </c>
      <c r="E122" s="85">
        <f t="shared" si="47"/>
        <v>0</v>
      </c>
      <c r="F122" s="45">
        <f t="shared" si="48"/>
        <v>0</v>
      </c>
      <c r="G122" s="2"/>
      <c r="H122" s="85">
        <f t="shared" si="49"/>
        <v>0</v>
      </c>
      <c r="I122" s="45">
        <f t="shared" si="50"/>
        <v>0</v>
      </c>
      <c r="J122" s="45">
        <f t="shared" si="51"/>
        <v>0</v>
      </c>
      <c r="K122" s="2"/>
      <c r="L122" s="89">
        <f t="shared" si="52"/>
        <v>0</v>
      </c>
      <c r="M122" s="89">
        <f t="shared" si="39"/>
        <v>0</v>
      </c>
      <c r="N122" s="71">
        <f>IF(E122=0,0,VLOOKUP(E122,'Prix Matiere'!$A$4:$J$62,10))</f>
        <v>0</v>
      </c>
      <c r="O122" s="71">
        <f t="shared" si="41"/>
        <v>0</v>
      </c>
      <c r="P122" s="3">
        <f t="shared" si="53"/>
        <v>0</v>
      </c>
      <c r="Q122" s="71">
        <f t="shared" si="43"/>
        <v>0</v>
      </c>
      <c r="R122" s="254">
        <f>IF(L122=0,0,L122*VLOOKUP(E122,'Prix Matiere'!$A$4:$L$60,12))</f>
        <v>0</v>
      </c>
      <c r="S122" s="90">
        <f>IF(L122=0,0,R122*VLOOKUP(E122,'Prix Matiere'!$A$4:$L$60,11))</f>
        <v>0</v>
      </c>
      <c r="T122" s="2"/>
      <c r="U122" s="2"/>
      <c r="V122" s="2"/>
      <c r="W122" s="2"/>
      <c r="X122" s="2"/>
      <c r="Y122" s="2"/>
      <c r="Z122" s="2"/>
    </row>
    <row r="123" spans="1:26" ht="18" hidden="1" customHeight="1" x14ac:dyDescent="0.35">
      <c r="A123" s="2"/>
      <c r="B123" s="45" t="s">
        <v>288</v>
      </c>
      <c r="C123" s="85">
        <f t="shared" si="45"/>
        <v>0</v>
      </c>
      <c r="D123" s="85">
        <f t="shared" si="46"/>
        <v>0</v>
      </c>
      <c r="E123" s="85">
        <f t="shared" si="47"/>
        <v>0</v>
      </c>
      <c r="F123" s="45">
        <f t="shared" si="48"/>
        <v>0</v>
      </c>
      <c r="G123" s="2"/>
      <c r="H123" s="85">
        <f t="shared" si="49"/>
        <v>0</v>
      </c>
      <c r="I123" s="45">
        <f t="shared" si="50"/>
        <v>0</v>
      </c>
      <c r="J123" s="45">
        <f t="shared" si="51"/>
        <v>0</v>
      </c>
      <c r="K123" s="2"/>
      <c r="L123" s="89">
        <f t="shared" si="52"/>
        <v>0</v>
      </c>
      <c r="M123" s="89">
        <f t="shared" si="39"/>
        <v>0</v>
      </c>
      <c r="N123" s="71">
        <f>IF(E123=0,0,VLOOKUP(E123,'Prix Matiere'!$A$4:$J$62,10))</f>
        <v>0</v>
      </c>
      <c r="O123" s="71">
        <f t="shared" si="41"/>
        <v>0</v>
      </c>
      <c r="P123" s="3">
        <f t="shared" si="53"/>
        <v>0</v>
      </c>
      <c r="Q123" s="71">
        <f t="shared" si="43"/>
        <v>0</v>
      </c>
      <c r="R123" s="254">
        <f>IF(L123=0,0,L123*VLOOKUP(E123,'Prix Matiere'!$A$4:$L$60,12))</f>
        <v>0</v>
      </c>
      <c r="S123" s="90">
        <f>IF(L123=0,0,R123*VLOOKUP(E123,'Prix Matiere'!$A$4:$L$60,11))</f>
        <v>0</v>
      </c>
      <c r="T123" s="2"/>
      <c r="U123" s="2"/>
      <c r="V123" s="2"/>
      <c r="W123" s="2"/>
      <c r="X123" s="2"/>
      <c r="Y123" s="2"/>
      <c r="Z123" s="2"/>
    </row>
    <row r="124" spans="1:26" ht="18" hidden="1" customHeight="1" x14ac:dyDescent="0.35">
      <c r="A124" s="2"/>
      <c r="B124" s="2"/>
      <c r="C124" s="256"/>
      <c r="D124" s="256"/>
      <c r="E124" s="256"/>
      <c r="F124" s="2"/>
      <c r="G124" s="2"/>
      <c r="H124" s="2"/>
      <c r="I124" s="2"/>
      <c r="J124" s="2"/>
      <c r="K124" s="2"/>
      <c r="L124" s="89"/>
      <c r="M124" s="89"/>
      <c r="N124" s="71"/>
      <c r="O124" s="71"/>
      <c r="P124" s="3"/>
      <c r="Q124" s="71"/>
      <c r="R124" s="254"/>
      <c r="S124" s="90"/>
      <c r="T124" s="2"/>
      <c r="U124" s="2"/>
      <c r="V124" s="2"/>
      <c r="W124" s="2"/>
      <c r="X124" s="2"/>
      <c r="Y124" s="2"/>
      <c r="Z124" s="2"/>
    </row>
    <row r="125" spans="1:26" ht="18" hidden="1" customHeight="1" x14ac:dyDescent="0.35">
      <c r="A125" s="2" t="s">
        <v>270</v>
      </c>
      <c r="B125" s="45" t="s">
        <v>35</v>
      </c>
      <c r="C125" s="85">
        <f>IF(D40=0,0,M42+10.2)</f>
        <v>0</v>
      </c>
      <c r="D125" s="85">
        <f>IF(D40=0,0,M46+10.2)</f>
        <v>0</v>
      </c>
      <c r="E125" s="85">
        <f>IF(C125=0,0,"PU 50 mm")</f>
        <v>0</v>
      </c>
      <c r="F125" s="45">
        <f t="shared" ref="F125:F126" si="54">IF(C125=0,0,1)</f>
        <v>0</v>
      </c>
      <c r="G125" s="2"/>
      <c r="H125" s="2"/>
      <c r="I125" s="2"/>
      <c r="J125" s="2"/>
      <c r="K125" s="2"/>
      <c r="L125" s="89">
        <f t="shared" ref="L125:L129" si="55">IF(C125=0,0,(C125/100)*(D125/100)*F125)</f>
        <v>0</v>
      </c>
      <c r="M125" s="89">
        <f t="shared" ref="M125:M139" si="56">L125/0.8</f>
        <v>0</v>
      </c>
      <c r="N125" s="71">
        <f>IF(E125=0,0,VLOOKUP(E125,'Prix Matiere'!$A$4:$J$62,10))</f>
        <v>0</v>
      </c>
      <c r="O125" s="71">
        <f t="shared" ref="O125:O139" si="57">N125*M125</f>
        <v>0</v>
      </c>
      <c r="P125" s="3">
        <f t="shared" ref="P125:P139" si="58">IF(L125=0,0,(3.94*L125)+5)</f>
        <v>0</v>
      </c>
      <c r="Q125" s="71">
        <f t="shared" ref="Q125:Q139" si="59">P125*MinuteMO</f>
        <v>0</v>
      </c>
      <c r="R125" s="254">
        <f>IF(L125=0,0,L125*VLOOKUP(E125,'Prix Matiere'!$A$4:$L$60,12))</f>
        <v>0</v>
      </c>
      <c r="S125" s="90">
        <f>IF(L125=0,0,R125*VLOOKUP(E125,'Prix Matiere'!$A$4:$L$60,11))</f>
        <v>0</v>
      </c>
      <c r="T125" s="2"/>
      <c r="U125" s="2"/>
      <c r="V125" s="2"/>
      <c r="W125" s="2"/>
      <c r="X125" s="2"/>
      <c r="Y125" s="2"/>
      <c r="Z125" s="2"/>
    </row>
    <row r="126" spans="1:26" ht="18" hidden="1" customHeight="1" x14ac:dyDescent="0.35">
      <c r="A126" s="2"/>
      <c r="B126" s="45" t="s">
        <v>36</v>
      </c>
      <c r="C126" s="85">
        <f t="shared" ref="C126:D126" si="60">C125</f>
        <v>0</v>
      </c>
      <c r="D126" s="85">
        <f t="shared" si="60"/>
        <v>0</v>
      </c>
      <c r="E126" s="85">
        <f>IF(C125=0,0,"Ethafoam 50 mm")</f>
        <v>0</v>
      </c>
      <c r="F126" s="45">
        <f t="shared" si="54"/>
        <v>0</v>
      </c>
      <c r="G126" s="2"/>
      <c r="H126" s="2"/>
      <c r="I126" s="2"/>
      <c r="J126" s="2"/>
      <c r="K126" s="2"/>
      <c r="L126" s="89">
        <f t="shared" si="55"/>
        <v>0</v>
      </c>
      <c r="M126" s="89">
        <f t="shared" si="56"/>
        <v>0</v>
      </c>
      <c r="N126" s="71">
        <f>IF(E126=0,0,VLOOKUP(E126,'Prix Matiere'!$A$4:$J$62,10))</f>
        <v>0</v>
      </c>
      <c r="O126" s="71">
        <f t="shared" si="57"/>
        <v>0</v>
      </c>
      <c r="P126" s="3">
        <f t="shared" si="58"/>
        <v>0</v>
      </c>
      <c r="Q126" s="71">
        <f t="shared" si="59"/>
        <v>0</v>
      </c>
      <c r="R126" s="254">
        <f>IF(L126=0,0,L126*VLOOKUP(E126,'Prix Matiere'!$A$4:$L$60,12))</f>
        <v>0</v>
      </c>
      <c r="S126" s="90">
        <f>IF(L126=0,0,R126*VLOOKUP(E126,'Prix Matiere'!$A$4:$L$60,11))</f>
        <v>0</v>
      </c>
      <c r="T126" s="2"/>
      <c r="U126" s="2"/>
      <c r="V126" s="2"/>
      <c r="W126" s="2"/>
      <c r="X126" s="2"/>
      <c r="Y126" s="2"/>
      <c r="Z126" s="2"/>
    </row>
    <row r="127" spans="1:26" ht="18" hidden="1" customHeight="1" x14ac:dyDescent="0.35">
      <c r="A127" s="2"/>
      <c r="B127" s="45" t="s">
        <v>63</v>
      </c>
      <c r="C127" s="85">
        <f>C126</f>
        <v>0</v>
      </c>
      <c r="D127" s="85">
        <f>M44</f>
        <v>0</v>
      </c>
      <c r="E127" s="85">
        <f>IF(C125=0,0,"PU 50 mm")</f>
        <v>0</v>
      </c>
      <c r="F127" s="45">
        <f>IF(D44=0,0,2)</f>
        <v>0</v>
      </c>
      <c r="G127" s="2"/>
      <c r="H127" s="2"/>
      <c r="I127" s="2"/>
      <c r="J127" s="2"/>
      <c r="K127" s="2"/>
      <c r="L127" s="89">
        <f t="shared" si="55"/>
        <v>0</v>
      </c>
      <c r="M127" s="89">
        <f t="shared" si="56"/>
        <v>0</v>
      </c>
      <c r="N127" s="71">
        <f>IF(E127=0,0,VLOOKUP(E127,'Prix Matiere'!$A$4:$J$62,10))</f>
        <v>0</v>
      </c>
      <c r="O127" s="71">
        <f t="shared" si="57"/>
        <v>0</v>
      </c>
      <c r="P127" s="3">
        <f t="shared" si="58"/>
        <v>0</v>
      </c>
      <c r="Q127" s="71">
        <f t="shared" si="59"/>
        <v>0</v>
      </c>
      <c r="R127" s="254">
        <f>IF(L127=0,0,L127*VLOOKUP(E127,'Prix Matiere'!$A$4:$L$60,12))</f>
        <v>0</v>
      </c>
      <c r="S127" s="90">
        <f>IF(L127=0,0,R127*VLOOKUP(E127,'Prix Matiere'!$A$4:$L$60,11))</f>
        <v>0</v>
      </c>
      <c r="T127" s="2"/>
      <c r="U127" s="2"/>
      <c r="V127" s="2"/>
      <c r="W127" s="2"/>
      <c r="X127" s="2"/>
      <c r="Y127" s="2"/>
      <c r="Z127" s="2"/>
    </row>
    <row r="128" spans="1:26" ht="18" hidden="1" customHeight="1" x14ac:dyDescent="0.35">
      <c r="A128" s="2"/>
      <c r="B128" s="45" t="s">
        <v>55</v>
      </c>
      <c r="C128" s="85">
        <f>IF(D40=0,0,(D127-15)/2)</f>
        <v>0</v>
      </c>
      <c r="D128" s="85">
        <f>IF(D40=0,0,D125-10.2)</f>
        <v>0</v>
      </c>
      <c r="E128" s="85">
        <f>IF(C125=0,0,"PU 50 mm")</f>
        <v>0</v>
      </c>
      <c r="F128" s="45">
        <f>IF(C128=0,0,1)</f>
        <v>0</v>
      </c>
      <c r="G128" s="2"/>
      <c r="H128" s="2"/>
      <c r="I128" s="2"/>
      <c r="J128" s="2"/>
      <c r="K128" s="2"/>
      <c r="L128" s="89">
        <f t="shared" si="55"/>
        <v>0</v>
      </c>
      <c r="M128" s="89">
        <f t="shared" si="56"/>
        <v>0</v>
      </c>
      <c r="N128" s="71">
        <f>IF(E128=0,0,VLOOKUP(E128,'Prix Matiere'!$A$4:$J$62,10))</f>
        <v>0</v>
      </c>
      <c r="O128" s="71">
        <f t="shared" si="57"/>
        <v>0</v>
      </c>
      <c r="P128" s="3">
        <f t="shared" si="58"/>
        <v>0</v>
      </c>
      <c r="Q128" s="71">
        <f t="shared" si="59"/>
        <v>0</v>
      </c>
      <c r="R128" s="254">
        <f>IF(L128=0,0,L128*VLOOKUP(E128,'Prix Matiere'!$A$4:$L$60,12))</f>
        <v>0</v>
      </c>
      <c r="S128" s="90">
        <f>IF(L128=0,0,R128*VLOOKUP(E128,'Prix Matiere'!$A$4:$L$60,11))</f>
        <v>0</v>
      </c>
      <c r="T128" s="2"/>
      <c r="U128" s="2"/>
      <c r="V128" s="2"/>
      <c r="W128" s="2"/>
      <c r="X128" s="2"/>
      <c r="Y128" s="2"/>
      <c r="Z128" s="2"/>
    </row>
    <row r="129" spans="1:26" ht="18" hidden="1" customHeight="1" x14ac:dyDescent="0.35">
      <c r="A129" s="2"/>
      <c r="B129" s="45" t="s">
        <v>267</v>
      </c>
      <c r="C129" s="85">
        <f>M42</f>
        <v>0</v>
      </c>
      <c r="D129" s="85">
        <f>M44</f>
        <v>0</v>
      </c>
      <c r="E129" s="85">
        <f>IF(C125=0,0,F21)</f>
        <v>0</v>
      </c>
      <c r="F129" s="88">
        <f>IF(C129=0,0,M40-1)</f>
        <v>0</v>
      </c>
      <c r="G129" s="2"/>
      <c r="H129" s="2"/>
      <c r="I129" s="2"/>
      <c r="J129" s="2"/>
      <c r="K129" s="2"/>
      <c r="L129" s="89">
        <f t="shared" si="55"/>
        <v>0</v>
      </c>
      <c r="M129" s="89">
        <f t="shared" si="56"/>
        <v>0</v>
      </c>
      <c r="N129" s="71">
        <f>IF(E129=0,0,VLOOKUP(E129,$A$203:$C$207,3))</f>
        <v>0</v>
      </c>
      <c r="O129" s="71">
        <f t="shared" si="57"/>
        <v>0</v>
      </c>
      <c r="P129" s="3">
        <f t="shared" si="58"/>
        <v>0</v>
      </c>
      <c r="Q129" s="71">
        <f t="shared" si="59"/>
        <v>0</v>
      </c>
      <c r="R129" s="254">
        <f>IF(L129=0,0,L129*VLOOKUP(E129,'Prix Matiere'!$A$4:$L$60,12))</f>
        <v>0</v>
      </c>
      <c r="S129" s="90">
        <f>IF(L129=0,0,R129*VLOOKUP(E129,'Prix Matiere'!$A$4:$L$60,11))</f>
        <v>0</v>
      </c>
      <c r="T129" s="2"/>
      <c r="U129" s="2"/>
      <c r="V129" s="2"/>
      <c r="W129" s="2"/>
      <c r="X129" s="2"/>
      <c r="Y129" s="2"/>
      <c r="Z129" s="2"/>
    </row>
    <row r="130" spans="1:26" ht="18" hidden="1" customHeight="1" x14ac:dyDescent="0.35">
      <c r="A130" s="2"/>
      <c r="B130" s="45" t="s">
        <v>279</v>
      </c>
      <c r="C130" s="85">
        <f t="shared" ref="C130:C139" si="61">IF(D40=0,0,$C$129)</f>
        <v>0</v>
      </c>
      <c r="D130" s="85">
        <f t="shared" ref="D130:D139" si="62">IF(D40=0,0,$D$129-F40)</f>
        <v>0</v>
      </c>
      <c r="E130" s="85">
        <f t="shared" ref="E130:E139" si="63">IF(D40=0,0,CONCATENATE("PU ",ROUNDDOWN(E40,0)*10, " mm"))</f>
        <v>0</v>
      </c>
      <c r="F130" s="45">
        <f t="shared" ref="F130:F139" si="64">IF(D130=0,0,1)</f>
        <v>0</v>
      </c>
      <c r="G130" s="2"/>
      <c r="H130" s="85">
        <f t="shared" ref="H130:H139" si="65">IF(D40=0,0,$D$129-D130)</f>
        <v>0</v>
      </c>
      <c r="I130" s="45">
        <f t="shared" ref="I130:I139" si="66">IF(D40=0,0,($C$129-D40)/2)</f>
        <v>0</v>
      </c>
      <c r="J130" s="45">
        <f t="shared" ref="J130:J139" si="67">IF(I130=0,0,2)</f>
        <v>0</v>
      </c>
      <c r="K130" s="2"/>
      <c r="L130" s="89">
        <f t="shared" ref="L130:L139" si="68">IF(C130=0,0,(C130/100)*(D130/100)*F130)+IF(H130=0,0,(H130/100)*(I130/100)*J130)</f>
        <v>0</v>
      </c>
      <c r="M130" s="89">
        <f t="shared" si="56"/>
        <v>0</v>
      </c>
      <c r="N130" s="71">
        <f>IF(E130=0,0,VLOOKUP(E130,'Prix Matiere'!$A$4:$J$62,10))</f>
        <v>0</v>
      </c>
      <c r="O130" s="71">
        <f t="shared" si="57"/>
        <v>0</v>
      </c>
      <c r="P130" s="3">
        <f t="shared" si="58"/>
        <v>0</v>
      </c>
      <c r="Q130" s="71">
        <f t="shared" si="59"/>
        <v>0</v>
      </c>
      <c r="R130" s="254">
        <f>IF(L130=0,0,L130*VLOOKUP(E130,'Prix Matiere'!$A$4:$L$60,12))</f>
        <v>0</v>
      </c>
      <c r="S130" s="90">
        <f>IF(L130=0,0,R130*VLOOKUP(E130,'Prix Matiere'!$A$4:$L$60,11))</f>
        <v>0</v>
      </c>
      <c r="T130" s="2"/>
      <c r="U130" s="2"/>
      <c r="V130" s="2"/>
      <c r="W130" s="2"/>
      <c r="X130" s="2"/>
      <c r="Y130" s="2"/>
      <c r="Z130" s="2"/>
    </row>
    <row r="131" spans="1:26" ht="18" hidden="1" customHeight="1" x14ac:dyDescent="0.35">
      <c r="A131" s="2"/>
      <c r="B131" s="45" t="s">
        <v>280</v>
      </c>
      <c r="C131" s="85">
        <f t="shared" si="61"/>
        <v>0</v>
      </c>
      <c r="D131" s="85">
        <f t="shared" si="62"/>
        <v>0</v>
      </c>
      <c r="E131" s="85">
        <f t="shared" si="63"/>
        <v>0</v>
      </c>
      <c r="F131" s="45">
        <f t="shared" si="64"/>
        <v>0</v>
      </c>
      <c r="G131" s="2"/>
      <c r="H131" s="85">
        <f t="shared" si="65"/>
        <v>0</v>
      </c>
      <c r="I131" s="45">
        <f t="shared" si="66"/>
        <v>0</v>
      </c>
      <c r="J131" s="45">
        <f t="shared" si="67"/>
        <v>0</v>
      </c>
      <c r="K131" s="2"/>
      <c r="L131" s="89">
        <f t="shared" si="68"/>
        <v>0</v>
      </c>
      <c r="M131" s="89">
        <f t="shared" si="56"/>
        <v>0</v>
      </c>
      <c r="N131" s="71">
        <f>IF(E131=0,0,VLOOKUP(E131,'Prix Matiere'!$A$4:$J$62,10))</f>
        <v>0</v>
      </c>
      <c r="O131" s="71">
        <f t="shared" si="57"/>
        <v>0</v>
      </c>
      <c r="P131" s="3">
        <f t="shared" si="58"/>
        <v>0</v>
      </c>
      <c r="Q131" s="71">
        <f t="shared" si="59"/>
        <v>0</v>
      </c>
      <c r="R131" s="254">
        <f>IF(L131=0,0,L131*VLOOKUP(E131,'Prix Matiere'!$A$4:$L$60,12))</f>
        <v>0</v>
      </c>
      <c r="S131" s="90">
        <f>IF(L131=0,0,R131*VLOOKUP(E131,'Prix Matiere'!$A$4:$L$60,11))</f>
        <v>0</v>
      </c>
      <c r="T131" s="2"/>
      <c r="U131" s="2"/>
      <c r="V131" s="2"/>
      <c r="W131" s="2"/>
      <c r="X131" s="2"/>
      <c r="Y131" s="2"/>
      <c r="Z131" s="2"/>
    </row>
    <row r="132" spans="1:26" ht="18" hidden="1" customHeight="1" x14ac:dyDescent="0.35">
      <c r="A132" s="2"/>
      <c r="B132" s="45" t="s">
        <v>281</v>
      </c>
      <c r="C132" s="85">
        <f t="shared" si="61"/>
        <v>0</v>
      </c>
      <c r="D132" s="85">
        <f t="shared" si="62"/>
        <v>0</v>
      </c>
      <c r="E132" s="85">
        <f t="shared" si="63"/>
        <v>0</v>
      </c>
      <c r="F132" s="45">
        <f t="shared" si="64"/>
        <v>0</v>
      </c>
      <c r="G132" s="2"/>
      <c r="H132" s="85">
        <f t="shared" si="65"/>
        <v>0</v>
      </c>
      <c r="I132" s="45">
        <f t="shared" si="66"/>
        <v>0</v>
      </c>
      <c r="J132" s="45">
        <f t="shared" si="67"/>
        <v>0</v>
      </c>
      <c r="K132" s="2"/>
      <c r="L132" s="89">
        <f t="shared" si="68"/>
        <v>0</v>
      </c>
      <c r="M132" s="89">
        <f t="shared" si="56"/>
        <v>0</v>
      </c>
      <c r="N132" s="71">
        <f>IF(E132=0,0,VLOOKUP(E132,'Prix Matiere'!$A$4:$J$62,10))</f>
        <v>0</v>
      </c>
      <c r="O132" s="71">
        <f t="shared" si="57"/>
        <v>0</v>
      </c>
      <c r="P132" s="3">
        <f t="shared" si="58"/>
        <v>0</v>
      </c>
      <c r="Q132" s="71">
        <f t="shared" si="59"/>
        <v>0</v>
      </c>
      <c r="R132" s="254">
        <f>IF(L132=0,0,L132*VLOOKUP(E132,'Prix Matiere'!$A$4:$L$60,12))</f>
        <v>0</v>
      </c>
      <c r="S132" s="90">
        <f>IF(L132=0,0,R132*VLOOKUP(E132,'Prix Matiere'!$A$4:$L$60,11))</f>
        <v>0</v>
      </c>
      <c r="T132" s="2"/>
      <c r="U132" s="2"/>
      <c r="V132" s="2"/>
      <c r="W132" s="2"/>
      <c r="X132" s="2"/>
      <c r="Y132" s="2"/>
      <c r="Z132" s="2"/>
    </row>
    <row r="133" spans="1:26" ht="18" hidden="1" customHeight="1" x14ac:dyDescent="0.35">
      <c r="A133" s="2"/>
      <c r="B133" s="45" t="s">
        <v>282</v>
      </c>
      <c r="C133" s="85">
        <f t="shared" si="61"/>
        <v>0</v>
      </c>
      <c r="D133" s="85">
        <f t="shared" si="62"/>
        <v>0</v>
      </c>
      <c r="E133" s="85">
        <f t="shared" si="63"/>
        <v>0</v>
      </c>
      <c r="F133" s="45">
        <f t="shared" si="64"/>
        <v>0</v>
      </c>
      <c r="G133" s="2"/>
      <c r="H133" s="85">
        <f t="shared" si="65"/>
        <v>0</v>
      </c>
      <c r="I133" s="45">
        <f t="shared" si="66"/>
        <v>0</v>
      </c>
      <c r="J133" s="45">
        <f t="shared" si="67"/>
        <v>0</v>
      </c>
      <c r="K133" s="2"/>
      <c r="L133" s="89">
        <f t="shared" si="68"/>
        <v>0</v>
      </c>
      <c r="M133" s="89">
        <f t="shared" si="56"/>
        <v>0</v>
      </c>
      <c r="N133" s="71">
        <f>IF(E133=0,0,VLOOKUP(E133,'Prix Matiere'!$A$4:$J$62,10))</f>
        <v>0</v>
      </c>
      <c r="O133" s="71">
        <f t="shared" si="57"/>
        <v>0</v>
      </c>
      <c r="P133" s="3">
        <f t="shared" si="58"/>
        <v>0</v>
      </c>
      <c r="Q133" s="71">
        <f t="shared" si="59"/>
        <v>0</v>
      </c>
      <c r="R133" s="254">
        <f>IF(L133=0,0,L133*VLOOKUP(E133,'Prix Matiere'!$A$4:$L$60,12))</f>
        <v>0</v>
      </c>
      <c r="S133" s="90">
        <f>IF(L133=0,0,R133*VLOOKUP(E133,'Prix Matiere'!$A$4:$L$60,11))</f>
        <v>0</v>
      </c>
      <c r="T133" s="2"/>
      <c r="U133" s="2"/>
      <c r="V133" s="2"/>
      <c r="W133" s="2"/>
      <c r="X133" s="2"/>
      <c r="Y133" s="2"/>
      <c r="Z133" s="2"/>
    </row>
    <row r="134" spans="1:26" ht="18" hidden="1" customHeight="1" x14ac:dyDescent="0.35">
      <c r="A134" s="2"/>
      <c r="B134" s="45" t="s">
        <v>283</v>
      </c>
      <c r="C134" s="85">
        <f t="shared" si="61"/>
        <v>0</v>
      </c>
      <c r="D134" s="85">
        <f t="shared" si="62"/>
        <v>0</v>
      </c>
      <c r="E134" s="85">
        <f t="shared" si="63"/>
        <v>0</v>
      </c>
      <c r="F134" s="45">
        <f t="shared" si="64"/>
        <v>0</v>
      </c>
      <c r="G134" s="2"/>
      <c r="H134" s="85">
        <f t="shared" si="65"/>
        <v>0</v>
      </c>
      <c r="I134" s="45">
        <f t="shared" si="66"/>
        <v>0</v>
      </c>
      <c r="J134" s="45">
        <f t="shared" si="67"/>
        <v>0</v>
      </c>
      <c r="K134" s="2"/>
      <c r="L134" s="89">
        <f t="shared" si="68"/>
        <v>0</v>
      </c>
      <c r="M134" s="89">
        <f t="shared" si="56"/>
        <v>0</v>
      </c>
      <c r="N134" s="71">
        <f>IF(E134=0,0,VLOOKUP(E134,'Prix Matiere'!$A$4:$J$62,10))</f>
        <v>0</v>
      </c>
      <c r="O134" s="71">
        <f t="shared" si="57"/>
        <v>0</v>
      </c>
      <c r="P134" s="3">
        <f t="shared" si="58"/>
        <v>0</v>
      </c>
      <c r="Q134" s="71">
        <f t="shared" si="59"/>
        <v>0</v>
      </c>
      <c r="R134" s="254">
        <f>IF(L134=0,0,L134*VLOOKUP(E134,'Prix Matiere'!$A$4:$L$60,12))</f>
        <v>0</v>
      </c>
      <c r="S134" s="90">
        <f>IF(L134=0,0,R134*VLOOKUP(E134,'Prix Matiere'!$A$4:$L$60,11))</f>
        <v>0</v>
      </c>
      <c r="T134" s="2"/>
      <c r="U134" s="2"/>
      <c r="V134" s="2"/>
      <c r="W134" s="2"/>
      <c r="X134" s="2"/>
      <c r="Y134" s="2"/>
      <c r="Z134" s="2"/>
    </row>
    <row r="135" spans="1:26" ht="18" hidden="1" customHeight="1" x14ac:dyDescent="0.35">
      <c r="A135" s="2"/>
      <c r="B135" s="45" t="s">
        <v>284</v>
      </c>
      <c r="C135" s="85">
        <f t="shared" si="61"/>
        <v>0</v>
      </c>
      <c r="D135" s="85">
        <f t="shared" si="62"/>
        <v>0</v>
      </c>
      <c r="E135" s="85">
        <f t="shared" si="63"/>
        <v>0</v>
      </c>
      <c r="F135" s="45">
        <f t="shared" si="64"/>
        <v>0</v>
      </c>
      <c r="G135" s="2"/>
      <c r="H135" s="85">
        <f t="shared" si="65"/>
        <v>0</v>
      </c>
      <c r="I135" s="45">
        <f t="shared" si="66"/>
        <v>0</v>
      </c>
      <c r="J135" s="45">
        <f t="shared" si="67"/>
        <v>0</v>
      </c>
      <c r="K135" s="2"/>
      <c r="L135" s="89">
        <f t="shared" si="68"/>
        <v>0</v>
      </c>
      <c r="M135" s="89">
        <f t="shared" si="56"/>
        <v>0</v>
      </c>
      <c r="N135" s="71">
        <f>IF(E135=0,0,VLOOKUP(E135,'Prix Matiere'!$A$4:$J$62,10))</f>
        <v>0</v>
      </c>
      <c r="O135" s="71">
        <f t="shared" si="57"/>
        <v>0</v>
      </c>
      <c r="P135" s="3">
        <f t="shared" si="58"/>
        <v>0</v>
      </c>
      <c r="Q135" s="71">
        <f t="shared" si="59"/>
        <v>0</v>
      </c>
      <c r="R135" s="254">
        <f>IF(L135=0,0,L135*VLOOKUP(E135,'Prix Matiere'!$A$4:$L$60,12))</f>
        <v>0</v>
      </c>
      <c r="S135" s="90">
        <f>IF(L135=0,0,R135*VLOOKUP(E135,'Prix Matiere'!$A$4:$L$60,11))</f>
        <v>0</v>
      </c>
      <c r="T135" s="2"/>
      <c r="U135" s="2"/>
      <c r="V135" s="2"/>
      <c r="W135" s="2"/>
      <c r="X135" s="2"/>
      <c r="Y135" s="2"/>
      <c r="Z135" s="2"/>
    </row>
    <row r="136" spans="1:26" ht="18" hidden="1" customHeight="1" x14ac:dyDescent="0.35">
      <c r="A136" s="2"/>
      <c r="B136" s="45" t="s">
        <v>285</v>
      </c>
      <c r="C136" s="85">
        <f t="shared" si="61"/>
        <v>0</v>
      </c>
      <c r="D136" s="85">
        <f t="shared" si="62"/>
        <v>0</v>
      </c>
      <c r="E136" s="85">
        <f t="shared" si="63"/>
        <v>0</v>
      </c>
      <c r="F136" s="45">
        <f t="shared" si="64"/>
        <v>0</v>
      </c>
      <c r="G136" s="2"/>
      <c r="H136" s="85">
        <f t="shared" si="65"/>
        <v>0</v>
      </c>
      <c r="I136" s="45">
        <f t="shared" si="66"/>
        <v>0</v>
      </c>
      <c r="J136" s="45">
        <f t="shared" si="67"/>
        <v>0</v>
      </c>
      <c r="K136" s="2"/>
      <c r="L136" s="89">
        <f t="shared" si="68"/>
        <v>0</v>
      </c>
      <c r="M136" s="89">
        <f t="shared" si="56"/>
        <v>0</v>
      </c>
      <c r="N136" s="71">
        <f>IF(E136=0,0,VLOOKUP(E136,'Prix Matiere'!$A$4:$J$62,10))</f>
        <v>0</v>
      </c>
      <c r="O136" s="71">
        <f t="shared" si="57"/>
        <v>0</v>
      </c>
      <c r="P136" s="3">
        <f t="shared" si="58"/>
        <v>0</v>
      </c>
      <c r="Q136" s="71">
        <f t="shared" si="59"/>
        <v>0</v>
      </c>
      <c r="R136" s="254">
        <f>IF(L136=0,0,L136*VLOOKUP(E136,'Prix Matiere'!$A$4:$L$60,12))</f>
        <v>0</v>
      </c>
      <c r="S136" s="90">
        <f>IF(L136=0,0,R136*VLOOKUP(E136,'Prix Matiere'!$A$4:$L$60,11))</f>
        <v>0</v>
      </c>
      <c r="T136" s="2"/>
      <c r="U136" s="2"/>
      <c r="V136" s="2"/>
      <c r="W136" s="2"/>
      <c r="X136" s="2"/>
      <c r="Y136" s="2"/>
      <c r="Z136" s="2"/>
    </row>
    <row r="137" spans="1:26" ht="18" hidden="1" customHeight="1" x14ac:dyDescent="0.35">
      <c r="A137" s="2"/>
      <c r="B137" s="45" t="s">
        <v>286</v>
      </c>
      <c r="C137" s="85">
        <f t="shared" si="61"/>
        <v>0</v>
      </c>
      <c r="D137" s="85">
        <f t="shared" si="62"/>
        <v>0</v>
      </c>
      <c r="E137" s="85">
        <f t="shared" si="63"/>
        <v>0</v>
      </c>
      <c r="F137" s="45">
        <f t="shared" si="64"/>
        <v>0</v>
      </c>
      <c r="G137" s="2"/>
      <c r="H137" s="85">
        <f t="shared" si="65"/>
        <v>0</v>
      </c>
      <c r="I137" s="45">
        <f t="shared" si="66"/>
        <v>0</v>
      </c>
      <c r="J137" s="45">
        <f t="shared" si="67"/>
        <v>0</v>
      </c>
      <c r="K137" s="2"/>
      <c r="L137" s="89">
        <f t="shared" si="68"/>
        <v>0</v>
      </c>
      <c r="M137" s="89">
        <f t="shared" si="56"/>
        <v>0</v>
      </c>
      <c r="N137" s="71">
        <f>IF(E137=0,0,VLOOKUP(E137,'Prix Matiere'!$A$4:$J$62,10))</f>
        <v>0</v>
      </c>
      <c r="O137" s="71">
        <f t="shared" si="57"/>
        <v>0</v>
      </c>
      <c r="P137" s="3">
        <f t="shared" si="58"/>
        <v>0</v>
      </c>
      <c r="Q137" s="71">
        <f t="shared" si="59"/>
        <v>0</v>
      </c>
      <c r="R137" s="254">
        <f>IF(L137=0,0,L137*VLOOKUP(E137,'Prix Matiere'!$A$4:$L$60,12))</f>
        <v>0</v>
      </c>
      <c r="S137" s="90">
        <f>IF(L137=0,0,R137*VLOOKUP(E137,'Prix Matiere'!$A$4:$L$60,11))</f>
        <v>0</v>
      </c>
      <c r="T137" s="2"/>
      <c r="U137" s="2"/>
      <c r="V137" s="2"/>
      <c r="W137" s="2"/>
      <c r="X137" s="2"/>
      <c r="Y137" s="2"/>
      <c r="Z137" s="2"/>
    </row>
    <row r="138" spans="1:26" ht="18" hidden="1" customHeight="1" x14ac:dyDescent="0.35">
      <c r="A138" s="2"/>
      <c r="B138" s="45" t="s">
        <v>287</v>
      </c>
      <c r="C138" s="85">
        <f t="shared" si="61"/>
        <v>0</v>
      </c>
      <c r="D138" s="85">
        <f t="shared" si="62"/>
        <v>0</v>
      </c>
      <c r="E138" s="85">
        <f t="shared" si="63"/>
        <v>0</v>
      </c>
      <c r="F138" s="45">
        <f t="shared" si="64"/>
        <v>0</v>
      </c>
      <c r="G138" s="2"/>
      <c r="H138" s="85">
        <f t="shared" si="65"/>
        <v>0</v>
      </c>
      <c r="I138" s="45">
        <f t="shared" si="66"/>
        <v>0</v>
      </c>
      <c r="J138" s="45">
        <f t="shared" si="67"/>
        <v>0</v>
      </c>
      <c r="K138" s="2"/>
      <c r="L138" s="89">
        <f t="shared" si="68"/>
        <v>0</v>
      </c>
      <c r="M138" s="89">
        <f t="shared" si="56"/>
        <v>0</v>
      </c>
      <c r="N138" s="71">
        <f>IF(E138=0,0,VLOOKUP(E138,'Prix Matiere'!$A$4:$J$62,10))</f>
        <v>0</v>
      </c>
      <c r="O138" s="71">
        <f t="shared" si="57"/>
        <v>0</v>
      </c>
      <c r="P138" s="3">
        <f t="shared" si="58"/>
        <v>0</v>
      </c>
      <c r="Q138" s="71">
        <f t="shared" si="59"/>
        <v>0</v>
      </c>
      <c r="R138" s="254">
        <f>IF(L138=0,0,L138*VLOOKUP(E138,'Prix Matiere'!$A$4:$L$60,12))</f>
        <v>0</v>
      </c>
      <c r="S138" s="90">
        <f>IF(L138=0,0,R138*VLOOKUP(E138,'Prix Matiere'!$A$4:$L$60,11))</f>
        <v>0</v>
      </c>
      <c r="T138" s="2"/>
      <c r="U138" s="2"/>
      <c r="V138" s="2"/>
      <c r="W138" s="2"/>
      <c r="X138" s="2"/>
      <c r="Y138" s="2"/>
      <c r="Z138" s="2"/>
    </row>
    <row r="139" spans="1:26" ht="18" hidden="1" customHeight="1" x14ac:dyDescent="0.35">
      <c r="A139" s="2"/>
      <c r="B139" s="45" t="s">
        <v>288</v>
      </c>
      <c r="C139" s="85">
        <f t="shared" si="61"/>
        <v>0</v>
      </c>
      <c r="D139" s="85">
        <f t="shared" si="62"/>
        <v>0</v>
      </c>
      <c r="E139" s="85">
        <f t="shared" si="63"/>
        <v>0</v>
      </c>
      <c r="F139" s="45">
        <f t="shared" si="64"/>
        <v>0</v>
      </c>
      <c r="G139" s="2"/>
      <c r="H139" s="85">
        <f t="shared" si="65"/>
        <v>0</v>
      </c>
      <c r="I139" s="45">
        <f t="shared" si="66"/>
        <v>0</v>
      </c>
      <c r="J139" s="45">
        <f t="shared" si="67"/>
        <v>0</v>
      </c>
      <c r="K139" s="2"/>
      <c r="L139" s="89">
        <f t="shared" si="68"/>
        <v>0</v>
      </c>
      <c r="M139" s="89">
        <f t="shared" si="56"/>
        <v>0</v>
      </c>
      <c r="N139" s="71">
        <f>IF(E139=0,0,VLOOKUP(E139,'Prix Matiere'!$A$4:$J$62,10))</f>
        <v>0</v>
      </c>
      <c r="O139" s="71">
        <f t="shared" si="57"/>
        <v>0</v>
      </c>
      <c r="P139" s="3">
        <f t="shared" si="58"/>
        <v>0</v>
      </c>
      <c r="Q139" s="71">
        <f t="shared" si="59"/>
        <v>0</v>
      </c>
      <c r="R139" s="254">
        <f>IF(L139=0,0,L139*VLOOKUP(E139,'Prix Matiere'!$A$4:$L$60,12))</f>
        <v>0</v>
      </c>
      <c r="S139" s="90">
        <f>IF(L139=0,0,R139*VLOOKUP(E139,'Prix Matiere'!$A$4:$L$60,11))</f>
        <v>0</v>
      </c>
      <c r="T139" s="2"/>
      <c r="U139" s="2"/>
      <c r="V139" s="2"/>
      <c r="W139" s="2"/>
      <c r="X139" s="2"/>
      <c r="Y139" s="2"/>
      <c r="Z139" s="2"/>
    </row>
    <row r="140" spans="1:26" ht="18" hidden="1" customHeight="1" x14ac:dyDescent="0.35">
      <c r="A140" s="2"/>
      <c r="B140" s="2"/>
      <c r="C140" s="256"/>
      <c r="D140" s="256"/>
      <c r="E140" s="256"/>
      <c r="F140" s="2"/>
      <c r="G140" s="2"/>
      <c r="H140" s="2"/>
      <c r="I140" s="2"/>
      <c r="J140" s="2"/>
      <c r="K140" s="2"/>
      <c r="L140" s="2"/>
      <c r="M140" s="2"/>
      <c r="N140" s="71"/>
      <c r="O140" s="71"/>
      <c r="P140" s="3"/>
      <c r="Q140" s="71"/>
      <c r="R140" s="2"/>
      <c r="S140" s="90">
        <f>IF(L140=0,0,R140*VLOOKUP(E140,'Prix Matiere'!$A$4:$L$60,11))</f>
        <v>0</v>
      </c>
      <c r="T140" s="2"/>
      <c r="U140" s="2"/>
      <c r="V140" s="2"/>
      <c r="W140" s="2"/>
      <c r="X140" s="2"/>
      <c r="Y140" s="2"/>
      <c r="Z140" s="2"/>
    </row>
    <row r="141" spans="1:26" ht="18" hidden="1" customHeight="1" x14ac:dyDescent="0.35">
      <c r="A141" s="2"/>
      <c r="B141" s="2"/>
      <c r="C141" s="256"/>
      <c r="D141" s="256"/>
      <c r="E141" s="256"/>
      <c r="F141" s="2"/>
      <c r="G141" s="2"/>
      <c r="H141" s="2"/>
      <c r="I141" s="2"/>
      <c r="J141" s="2"/>
      <c r="K141" s="2"/>
      <c r="L141" s="2"/>
      <c r="M141" s="2"/>
      <c r="N141" s="71"/>
      <c r="O141" s="71"/>
      <c r="P141" s="3"/>
      <c r="Q141" s="71"/>
      <c r="R141" s="2"/>
      <c r="S141" s="90">
        <f>IF(L141=0,0,R141*VLOOKUP(E141,'Prix Matiere'!$A$4:$L$60,11))</f>
        <v>0</v>
      </c>
      <c r="T141" s="2"/>
      <c r="U141" s="2"/>
      <c r="V141" s="2"/>
      <c r="W141" s="2"/>
      <c r="X141" s="2"/>
      <c r="Y141" s="2"/>
      <c r="Z141" s="2"/>
    </row>
    <row r="142" spans="1:26" ht="18" hidden="1" customHeight="1" x14ac:dyDescent="0.35">
      <c r="A142" s="2"/>
      <c r="B142" s="2"/>
      <c r="C142" s="256"/>
      <c r="D142" s="256"/>
      <c r="E142" s="256"/>
      <c r="F142" s="2"/>
      <c r="G142" s="2"/>
      <c r="H142" s="2"/>
      <c r="I142" s="2"/>
      <c r="J142" s="2"/>
      <c r="K142" s="2"/>
      <c r="L142" s="2"/>
      <c r="M142" s="2"/>
      <c r="N142" s="71"/>
      <c r="O142" s="71"/>
      <c r="P142" s="3"/>
      <c r="Q142" s="71"/>
      <c r="R142" s="2"/>
      <c r="S142" s="90">
        <f>IF(L142=0,0,R142*VLOOKUP(E142,'Prix Matiere'!$A$4:$L$60,11))</f>
        <v>0</v>
      </c>
      <c r="T142" s="2"/>
      <c r="U142" s="2"/>
      <c r="V142" s="2"/>
      <c r="W142" s="2"/>
      <c r="X142" s="2"/>
      <c r="Y142" s="2"/>
      <c r="Z142" s="2"/>
    </row>
    <row r="143" spans="1:26" ht="18" hidden="1" customHeight="1" x14ac:dyDescent="0.35">
      <c r="A143" s="2"/>
      <c r="B143" s="2"/>
      <c r="C143" s="256"/>
      <c r="D143" s="256"/>
      <c r="E143" s="256"/>
      <c r="F143" s="256"/>
      <c r="G143" s="2"/>
      <c r="H143" s="2"/>
      <c r="I143" s="2"/>
      <c r="J143" s="2"/>
      <c r="K143" s="2"/>
      <c r="L143" s="2"/>
      <c r="M143" s="2"/>
      <c r="N143" s="71"/>
      <c r="O143" s="71"/>
      <c r="P143" s="3"/>
      <c r="Q143" s="71"/>
      <c r="R143" s="2"/>
      <c r="S143" s="90">
        <f>IF(L143=0,0,R143*VLOOKUP(E143,'Prix Matiere'!$A$4:$L$60,11))</f>
        <v>0</v>
      </c>
      <c r="T143" s="2"/>
      <c r="U143" s="2"/>
      <c r="V143" s="2"/>
      <c r="W143" s="2"/>
      <c r="X143" s="2"/>
      <c r="Y143" s="2"/>
      <c r="Z143" s="2"/>
    </row>
    <row r="144" spans="1:26" ht="18" hidden="1" customHeight="1" x14ac:dyDescent="0.3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3"/>
      <c r="Q144" s="2"/>
      <c r="R144" s="2"/>
      <c r="S144" s="90">
        <f>IF(L144=0,0,R144*VLOOKUP(E144,'Prix Matiere'!$A$4:$L$60,11))</f>
        <v>0</v>
      </c>
      <c r="T144" s="2"/>
      <c r="U144" s="2"/>
      <c r="V144" s="2"/>
      <c r="W144" s="2"/>
      <c r="X144" s="2"/>
      <c r="Y144" s="2"/>
      <c r="Z144" s="2"/>
    </row>
    <row r="145" spans="1:26" ht="18" hidden="1" customHeight="1" x14ac:dyDescent="0.3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3"/>
      <c r="Q145" s="2"/>
      <c r="R145" s="2"/>
      <c r="S145" s="90">
        <f>IF(L145=0,0,R145*VLOOKUP(E145,'Prix Matiere'!$A$4:$L$60,11))</f>
        <v>0</v>
      </c>
      <c r="T145" s="2"/>
      <c r="U145" s="2"/>
      <c r="V145" s="2"/>
      <c r="W145" s="2"/>
      <c r="X145" s="2"/>
      <c r="Y145" s="2"/>
      <c r="Z145" s="2"/>
    </row>
    <row r="146" spans="1:26" ht="18" hidden="1" customHeight="1" x14ac:dyDescent="0.35">
      <c r="A146" s="2" t="s">
        <v>19</v>
      </c>
      <c r="B146" s="2">
        <f>IF(F17="Non",0,"Peinture")</f>
        <v>0</v>
      </c>
      <c r="C146" s="2"/>
      <c r="D146" s="2"/>
      <c r="E146" s="2"/>
      <c r="F146" s="2"/>
      <c r="G146" s="2"/>
      <c r="H146" s="2"/>
      <c r="I146" s="2"/>
      <c r="J146" s="2"/>
      <c r="K146" s="2"/>
      <c r="L146" s="2">
        <f>IF(B146=0,0,(((C54/100)*(D54/100))+((C54/100)*(E54/100))+((D54/100)*(E54/100)))*2)</f>
        <v>0</v>
      </c>
      <c r="M146" s="2">
        <f>L146*0.5</f>
        <v>0</v>
      </c>
      <c r="N146" s="2">
        <f>IF(B146=0,0,VLOOKUP(B146,'Prix Matiere'!$A$4:$J$59,10))</f>
        <v>0</v>
      </c>
      <c r="O146" s="71">
        <f>M146*N146</f>
        <v>0</v>
      </c>
      <c r="P146" s="3">
        <f>IF(L146=0,0,IF(B146="Peinture",30+L146*15))</f>
        <v>0</v>
      </c>
      <c r="Q146" s="71">
        <f>P146*MinuteMO</f>
        <v>0</v>
      </c>
      <c r="R146" s="254">
        <f>IF(L146=0,0,L146*VLOOKUP(B146,'Prix Matiere'!$A$4:$L$60,12))</f>
        <v>0</v>
      </c>
      <c r="S146" s="90">
        <f>IF(L146=0,0,R146*VLOOKUP(B146,'Prix Matiere'!$A$4:$L$60,11))</f>
        <v>0</v>
      </c>
      <c r="T146" s="2"/>
      <c r="U146" s="2"/>
      <c r="V146" s="2"/>
      <c r="W146" s="2"/>
      <c r="X146" s="2"/>
      <c r="Y146" s="2"/>
      <c r="Z146" s="2"/>
    </row>
    <row r="147" spans="1:26" ht="18" hidden="1" customHeight="1" x14ac:dyDescent="0.35">
      <c r="A147" s="2" t="s">
        <v>72</v>
      </c>
      <c r="B147" s="2" t="str">
        <f>C19</f>
        <v>Vis bois</v>
      </c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71">
        <f>IF(B125="Vis bois",0,(D4*2+G4*2+D6*2+G6*2)*1.5)</f>
        <v>0</v>
      </c>
      <c r="P147" s="3">
        <f>IF(B147="Vis bois",0,60)</f>
        <v>0</v>
      </c>
      <c r="Q147" s="71">
        <f>P147*MinuteMO</f>
        <v>0</v>
      </c>
      <c r="R147" s="2"/>
      <c r="S147" s="90">
        <f>IF(L147=0,0,R147*VLOOKUP(E147,'Prix Matiere'!$A$4:$L$60,11))</f>
        <v>0</v>
      </c>
      <c r="T147" s="2"/>
      <c r="U147" s="2"/>
      <c r="V147" s="2"/>
      <c r="W147" s="2"/>
      <c r="X147" s="2"/>
      <c r="Y147" s="2"/>
      <c r="Z147" s="2"/>
    </row>
    <row r="148" spans="1:26" ht="18" hidden="1" customHeight="1" x14ac:dyDescent="0.3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71"/>
      <c r="O148" s="2"/>
      <c r="P148" s="3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8" hidden="1" customHeight="1" x14ac:dyDescent="0.3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96"/>
      <c r="O149" s="96">
        <f t="shared" ref="O149:Q149" si="69">SUM(O66:O148)</f>
        <v>-0.46705830927835046</v>
      </c>
      <c r="P149" s="97">
        <f t="shared" si="69"/>
        <v>37.496034003200002</v>
      </c>
      <c r="Q149" s="96">
        <f t="shared" si="69"/>
        <v>31.871628902720005</v>
      </c>
      <c r="R149" s="254">
        <f t="shared" ref="R149:S149" si="70">SUM(R66:R139)</f>
        <v>-0.20457120000000001</v>
      </c>
      <c r="S149" s="254">
        <f t="shared" si="70"/>
        <v>-7.9236537600000045E-2</v>
      </c>
      <c r="T149" s="2"/>
      <c r="U149" s="2"/>
      <c r="V149" s="2"/>
      <c r="W149" s="2"/>
      <c r="X149" s="2"/>
      <c r="Y149" s="2"/>
      <c r="Z149" s="2"/>
    </row>
    <row r="150" spans="1:26" ht="18" hidden="1" customHeight="1" x14ac:dyDescent="0.35">
      <c r="A150" s="2"/>
      <c r="B150" s="98" t="s">
        <v>73</v>
      </c>
      <c r="C150" s="99">
        <f>IF($F$9=0,0,O149)</f>
        <v>0</v>
      </c>
      <c r="D150" s="100"/>
      <c r="E150" s="302" t="s">
        <v>74</v>
      </c>
      <c r="F150" s="102" t="str">
        <f>CONCATENATE(ROUNDUP(SUM(M66:M69)+SUM(M96:M97),2)," m²")</f>
        <v>0,02 m²</v>
      </c>
      <c r="G150" s="303">
        <f>(SUM(O66:O69)+SUM(O96:O97))</f>
        <v>0.21897055670103099</v>
      </c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8" hidden="1" customHeight="1" x14ac:dyDescent="0.35">
      <c r="A151" s="2"/>
      <c r="B151" s="105" t="s">
        <v>75</v>
      </c>
      <c r="C151" s="465">
        <f>IF($F$9=0,0,Q149)</f>
        <v>0</v>
      </c>
      <c r="D151" s="106">
        <f>IF($F$9=0,0,P149)</f>
        <v>0</v>
      </c>
      <c r="E151" s="304" t="s">
        <v>76</v>
      </c>
      <c r="F151" s="107" t="str">
        <f>CONCATENATE(ROUNDUP(SUM(M72:M81),2)," m²")</f>
        <v>-0,07 m²</v>
      </c>
      <c r="G151" s="305">
        <f>(SUM(O72:O81))</f>
        <v>-0.68602886597938117</v>
      </c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8" hidden="1" customHeight="1" x14ac:dyDescent="0.35">
      <c r="A152" s="2"/>
      <c r="B152" s="105" t="s">
        <v>77</v>
      </c>
      <c r="C152" s="71">
        <f>IF($F$9=0,0,((C150+C151)/Frais_Généraux)-(C150+C151))</f>
        <v>0</v>
      </c>
      <c r="D152" s="109"/>
      <c r="E152" s="304" t="s">
        <v>78</v>
      </c>
      <c r="F152" s="107" t="str">
        <f>CONCATENATE(ROUNDUP(SUM(M90:M92)+SUM(M101:M103),2)," m²")</f>
        <v>0 m²</v>
      </c>
      <c r="G152" s="305">
        <f>(SUM(O90:O92)+SUM(O101:O103))</f>
        <v>0</v>
      </c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8" hidden="1" customHeight="1" x14ac:dyDescent="0.35">
      <c r="A153" s="2"/>
      <c r="B153" s="105" t="s">
        <v>79</v>
      </c>
      <c r="C153" s="71">
        <f>IF($F$9=0,0,SUM(C150:C152))</f>
        <v>0</v>
      </c>
      <c r="D153" s="109"/>
      <c r="E153" s="304" t="s">
        <v>80</v>
      </c>
      <c r="F153" s="107" t="str">
        <f>CONCATENATE(ROUNDUP(SUM(M84:M86)+SUM(M109:M112)+SUM(M114:M123)+SUM(M125:M128)+SUM(M130:M139),2)," m²")</f>
        <v>0 m²</v>
      </c>
      <c r="G153" s="305">
        <f>(SUM(O84:O86)+SUM(O109:O112)+SUM(O114:O123)+SUM(O125:O128)+SUM(O130:O139))</f>
        <v>0</v>
      </c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8" hidden="1" customHeight="1" x14ac:dyDescent="0.35">
      <c r="A154" s="2"/>
      <c r="B154" s="105" t="s">
        <v>81</v>
      </c>
      <c r="C154" s="71">
        <f>IF($F$9=0,0,(C153/(1-Marge)-C153))</f>
        <v>0</v>
      </c>
      <c r="D154" s="110">
        <f>C153+C154</f>
        <v>0</v>
      </c>
      <c r="E154" s="304" t="s">
        <v>82</v>
      </c>
      <c r="F154" s="107" t="str">
        <f>CONCATENATE(ROUNDUP(M129+M113,2)," m²")</f>
        <v>0 m²</v>
      </c>
      <c r="G154" s="305">
        <f>O129+O113</f>
        <v>0</v>
      </c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8" hidden="1" customHeight="1" x14ac:dyDescent="0.35">
      <c r="A155" s="2"/>
      <c r="B155" s="105" t="s">
        <v>83</v>
      </c>
      <c r="C155" s="71">
        <f>IF($F$10="BOVIS",((C153+C154)*(1+C156))-(C153+C154),((C153+C154)*(1+D155))-(C153+C154))</f>
        <v>0</v>
      </c>
      <c r="D155" s="466"/>
      <c r="E155" s="304"/>
      <c r="F155" s="107"/>
      <c r="G155" s="305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8" hidden="1" customHeight="1" x14ac:dyDescent="0.35">
      <c r="A156" s="2"/>
      <c r="B156" s="105"/>
      <c r="C156" s="104">
        <f>IF($F$10="BOVIS",0.03,0)</f>
        <v>0</v>
      </c>
      <c r="D156" s="113"/>
      <c r="E156" s="304"/>
      <c r="F156" s="107"/>
      <c r="G156" s="305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8" hidden="1" customHeight="1" x14ac:dyDescent="0.35">
      <c r="A157" s="2"/>
      <c r="B157" s="114" t="s">
        <v>84</v>
      </c>
      <c r="C157" s="115">
        <f>SUM(C153:C156)</f>
        <v>0</v>
      </c>
      <c r="D157" s="271"/>
      <c r="E157" s="307" t="s">
        <v>85</v>
      </c>
      <c r="F157" s="15"/>
      <c r="G157" s="380">
        <f>C150-SUM(G150:G154)</f>
        <v>0.46705830927835018</v>
      </c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8" hidden="1" customHeight="1" x14ac:dyDescent="0.3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8" customHeight="1" x14ac:dyDescent="0.3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8" hidden="1" customHeight="1" x14ac:dyDescent="0.35">
      <c r="A160" s="327" t="s">
        <v>86</v>
      </c>
      <c r="B160" s="431" t="s">
        <v>86</v>
      </c>
      <c r="C160" s="431" t="s">
        <v>10</v>
      </c>
      <c r="D160" s="431">
        <v>1</v>
      </c>
      <c r="E160" s="329">
        <v>1.5</v>
      </c>
      <c r="F160" s="76"/>
      <c r="G160" s="76"/>
      <c r="H160" s="76"/>
      <c r="I160" s="76"/>
      <c r="J160" s="76"/>
      <c r="K160" s="76"/>
      <c r="L160" s="76"/>
      <c r="M160" s="76"/>
      <c r="N160" s="76"/>
      <c r="O160" s="76"/>
      <c r="P160" s="76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8" hidden="1" customHeight="1" x14ac:dyDescent="0.35">
      <c r="A161" s="337" t="s">
        <v>10</v>
      </c>
      <c r="B161" s="432" t="s">
        <v>10</v>
      </c>
      <c r="C161" s="432" t="s">
        <v>10</v>
      </c>
      <c r="D161" s="432">
        <v>1.5</v>
      </c>
      <c r="E161" s="433">
        <v>1.5</v>
      </c>
      <c r="F161" s="76"/>
      <c r="G161" s="76"/>
      <c r="H161" s="76"/>
      <c r="I161" s="76"/>
      <c r="J161" s="76"/>
      <c r="K161" s="76"/>
      <c r="L161" s="76"/>
      <c r="M161" s="76"/>
      <c r="N161" s="76"/>
      <c r="O161" s="76"/>
      <c r="P161" s="76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8" hidden="1" customHeight="1" x14ac:dyDescent="0.3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8" hidden="1" customHeight="1" x14ac:dyDescent="0.35">
      <c r="A163" s="327" t="s">
        <v>88</v>
      </c>
      <c r="B163" s="431" t="s">
        <v>89</v>
      </c>
      <c r="C163" s="431" t="s">
        <v>89</v>
      </c>
      <c r="D163" s="329">
        <v>1.9</v>
      </c>
      <c r="E163" s="76"/>
      <c r="F163" s="76"/>
      <c r="G163" s="76"/>
      <c r="H163" s="76"/>
      <c r="I163" s="76"/>
      <c r="J163" s="76"/>
      <c r="K163" s="76"/>
      <c r="L163" s="76"/>
      <c r="M163" s="76"/>
      <c r="N163" s="76"/>
      <c r="O163" s="76"/>
      <c r="P163" s="76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8" hidden="1" customHeight="1" x14ac:dyDescent="0.35">
      <c r="A164" s="337" t="s">
        <v>12</v>
      </c>
      <c r="B164" s="432" t="s">
        <v>90</v>
      </c>
      <c r="C164" s="432" t="s">
        <v>90</v>
      </c>
      <c r="D164" s="433">
        <v>2.1</v>
      </c>
      <c r="E164" s="76"/>
      <c r="F164" s="76"/>
      <c r="G164" s="76"/>
      <c r="H164" s="76"/>
      <c r="I164" s="76"/>
      <c r="J164" s="76"/>
      <c r="K164" s="76"/>
      <c r="L164" s="76"/>
      <c r="M164" s="76"/>
      <c r="N164" s="76"/>
      <c r="O164" s="76"/>
      <c r="P164" s="76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8" hidden="1" customHeight="1" x14ac:dyDescent="0.3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8" hidden="1" customHeight="1" x14ac:dyDescent="0.35">
      <c r="A166" s="119">
        <v>1</v>
      </c>
      <c r="B166" s="120">
        <v>2</v>
      </c>
      <c r="C166" s="120">
        <v>3</v>
      </c>
      <c r="D166" s="120">
        <v>4</v>
      </c>
      <c r="E166" s="130">
        <v>5</v>
      </c>
      <c r="F166" s="130">
        <v>6</v>
      </c>
      <c r="G166" s="130">
        <v>7</v>
      </c>
      <c r="H166" s="131">
        <v>8</v>
      </c>
      <c r="I166" s="131">
        <v>9</v>
      </c>
      <c r="J166" s="131">
        <v>10</v>
      </c>
      <c r="K166" s="132">
        <v>11</v>
      </c>
      <c r="L166" s="132">
        <v>12</v>
      </c>
      <c r="M166" s="133">
        <v>13</v>
      </c>
      <c r="N166" s="131">
        <v>14</v>
      </c>
      <c r="O166" s="131">
        <v>15</v>
      </c>
      <c r="P166" s="134">
        <v>16</v>
      </c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8" hidden="1" customHeight="1" x14ac:dyDescent="0.35">
      <c r="A167" s="135"/>
      <c r="B167" s="136"/>
      <c r="C167" s="136"/>
      <c r="D167" s="136"/>
      <c r="E167" s="137" t="s">
        <v>80</v>
      </c>
      <c r="F167" s="137" t="s">
        <v>91</v>
      </c>
      <c r="G167" s="137" t="s">
        <v>34</v>
      </c>
      <c r="H167" s="138" t="s">
        <v>65</v>
      </c>
      <c r="I167" s="138" t="s">
        <v>92</v>
      </c>
      <c r="J167" s="138" t="s">
        <v>93</v>
      </c>
      <c r="K167" s="139" t="s">
        <v>67</v>
      </c>
      <c r="L167" s="139" t="s">
        <v>94</v>
      </c>
      <c r="M167" s="140" t="s">
        <v>95</v>
      </c>
      <c r="N167" s="138" t="s">
        <v>69</v>
      </c>
      <c r="O167" s="138" t="s">
        <v>96</v>
      </c>
      <c r="P167" s="141" t="s">
        <v>97</v>
      </c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8" hidden="1" customHeight="1" x14ac:dyDescent="0.35">
      <c r="A168" s="124"/>
      <c r="B168" s="308"/>
      <c r="C168" s="308"/>
      <c r="D168" s="308"/>
      <c r="E168" s="142"/>
      <c r="F168" s="142"/>
      <c r="G168" s="142"/>
      <c r="H168" s="143"/>
      <c r="I168" s="143"/>
      <c r="J168" s="143"/>
      <c r="K168" s="144"/>
      <c r="L168" s="144"/>
      <c r="M168" s="145">
        <v>0</v>
      </c>
      <c r="N168" s="143"/>
      <c r="O168" s="143"/>
      <c r="P168" s="146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8" hidden="1" customHeight="1" x14ac:dyDescent="0.35">
      <c r="A169" s="124" t="s">
        <v>16</v>
      </c>
      <c r="B169" s="308">
        <v>0</v>
      </c>
      <c r="C169" s="308">
        <v>0</v>
      </c>
      <c r="D169" s="308">
        <v>0</v>
      </c>
      <c r="E169" s="142">
        <v>0</v>
      </c>
      <c r="F169" s="142">
        <v>0</v>
      </c>
      <c r="G169" s="142">
        <v>0</v>
      </c>
      <c r="H169" s="143">
        <v>0</v>
      </c>
      <c r="I169" s="143">
        <v>0</v>
      </c>
      <c r="J169" s="143">
        <v>0</v>
      </c>
      <c r="K169" s="144">
        <v>0</v>
      </c>
      <c r="L169" s="144">
        <v>0</v>
      </c>
      <c r="M169" s="145">
        <v>0</v>
      </c>
      <c r="N169" s="143">
        <v>0</v>
      </c>
      <c r="O169" s="143">
        <v>0</v>
      </c>
      <c r="P169" s="146">
        <v>0</v>
      </c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8" hidden="1" customHeight="1" x14ac:dyDescent="0.35">
      <c r="A170" s="124" t="s">
        <v>98</v>
      </c>
      <c r="B170" s="308">
        <f t="shared" ref="B170:D170" si="71">(3+1.25+3)*2</f>
        <v>14.5</v>
      </c>
      <c r="C170" s="308">
        <f t="shared" si="71"/>
        <v>14.5</v>
      </c>
      <c r="D170" s="308">
        <f t="shared" si="71"/>
        <v>14.5</v>
      </c>
      <c r="E170" s="142">
        <v>0</v>
      </c>
      <c r="F170" s="142">
        <v>0</v>
      </c>
      <c r="G170" s="142">
        <v>0</v>
      </c>
      <c r="H170" s="143">
        <v>6</v>
      </c>
      <c r="I170" s="143" t="s">
        <v>99</v>
      </c>
      <c r="J170" s="143">
        <v>2</v>
      </c>
      <c r="K170" s="144">
        <v>2.5</v>
      </c>
      <c r="L170" s="144" t="s">
        <v>86</v>
      </c>
      <c r="M170" s="147">
        <v>4</v>
      </c>
      <c r="N170" s="143">
        <v>6</v>
      </c>
      <c r="O170" s="143" t="s">
        <v>99</v>
      </c>
      <c r="P170" s="148">
        <v>2</v>
      </c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8" hidden="1" customHeight="1" x14ac:dyDescent="0.35">
      <c r="A171" s="124" t="s">
        <v>100</v>
      </c>
      <c r="B171" s="308">
        <f t="shared" ref="B171:D171" si="72">(5+1.25+5)*2</f>
        <v>22.5</v>
      </c>
      <c r="C171" s="308">
        <f t="shared" si="72"/>
        <v>22.5</v>
      </c>
      <c r="D171" s="308">
        <f t="shared" si="72"/>
        <v>22.5</v>
      </c>
      <c r="E171" s="142">
        <v>0</v>
      </c>
      <c r="F171" s="142">
        <v>0</v>
      </c>
      <c r="G171" s="142">
        <v>0</v>
      </c>
      <c r="H171" s="143">
        <v>10</v>
      </c>
      <c r="I171" s="143" t="s">
        <v>101</v>
      </c>
      <c r="J171" s="143">
        <v>2</v>
      </c>
      <c r="K171" s="144">
        <v>2.5</v>
      </c>
      <c r="L171" s="144" t="s">
        <v>86</v>
      </c>
      <c r="M171" s="147">
        <v>4</v>
      </c>
      <c r="N171" s="143">
        <v>10</v>
      </c>
      <c r="O171" s="143" t="s">
        <v>101</v>
      </c>
      <c r="P171" s="148">
        <v>2</v>
      </c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8" hidden="1" customHeight="1" x14ac:dyDescent="0.35">
      <c r="A172" s="124" t="s">
        <v>102</v>
      </c>
      <c r="B172" s="308">
        <f t="shared" ref="B172:D172" si="73">(3)*2</f>
        <v>6</v>
      </c>
      <c r="C172" s="308">
        <f t="shared" si="73"/>
        <v>6</v>
      </c>
      <c r="D172" s="308">
        <f t="shared" si="73"/>
        <v>6</v>
      </c>
      <c r="E172" s="142">
        <v>0</v>
      </c>
      <c r="F172" s="142">
        <v>0</v>
      </c>
      <c r="G172" s="142">
        <v>0</v>
      </c>
      <c r="H172" s="143">
        <v>6</v>
      </c>
      <c r="I172" s="143" t="s">
        <v>99</v>
      </c>
      <c r="J172" s="143">
        <v>2</v>
      </c>
      <c r="K172" s="144">
        <v>0</v>
      </c>
      <c r="L172" s="144">
        <v>0</v>
      </c>
      <c r="M172" s="147">
        <v>0</v>
      </c>
      <c r="N172" s="143">
        <v>0</v>
      </c>
      <c r="O172" s="143"/>
      <c r="P172" s="148">
        <v>0</v>
      </c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8" hidden="1" customHeight="1" x14ac:dyDescent="0.35">
      <c r="A173" s="124" t="s">
        <v>103</v>
      </c>
      <c r="B173" s="308">
        <f t="shared" ref="B173:D173" si="74">(5)*2</f>
        <v>10</v>
      </c>
      <c r="C173" s="308">
        <f t="shared" si="74"/>
        <v>10</v>
      </c>
      <c r="D173" s="308">
        <f t="shared" si="74"/>
        <v>10</v>
      </c>
      <c r="E173" s="142">
        <v>0</v>
      </c>
      <c r="F173" s="142">
        <v>0</v>
      </c>
      <c r="G173" s="142">
        <v>0</v>
      </c>
      <c r="H173" s="143">
        <v>10</v>
      </c>
      <c r="I173" s="143" t="s">
        <v>101</v>
      </c>
      <c r="J173" s="143">
        <v>2</v>
      </c>
      <c r="K173" s="144">
        <v>0</v>
      </c>
      <c r="L173" s="144">
        <v>0</v>
      </c>
      <c r="M173" s="147">
        <v>0</v>
      </c>
      <c r="N173" s="143">
        <v>0</v>
      </c>
      <c r="O173" s="143"/>
      <c r="P173" s="148">
        <v>0</v>
      </c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8" hidden="1" customHeight="1" x14ac:dyDescent="0.35">
      <c r="A174" s="124" t="s">
        <v>104</v>
      </c>
      <c r="B174" s="308">
        <f t="shared" ref="B174:D174" si="75">(3+3+1.25+3)*2</f>
        <v>20.5</v>
      </c>
      <c r="C174" s="308">
        <f t="shared" si="75"/>
        <v>20.5</v>
      </c>
      <c r="D174" s="308">
        <f t="shared" si="75"/>
        <v>20.5</v>
      </c>
      <c r="E174" s="142">
        <v>6</v>
      </c>
      <c r="F174" s="142" t="s">
        <v>105</v>
      </c>
      <c r="G174" s="142">
        <v>2</v>
      </c>
      <c r="H174" s="143">
        <v>6</v>
      </c>
      <c r="I174" s="143" t="s">
        <v>99</v>
      </c>
      <c r="J174" s="143">
        <v>2</v>
      </c>
      <c r="K174" s="144">
        <v>2.5</v>
      </c>
      <c r="L174" s="144" t="s">
        <v>86</v>
      </c>
      <c r="M174" s="147">
        <v>4</v>
      </c>
      <c r="N174" s="143">
        <v>6</v>
      </c>
      <c r="O174" s="143" t="s">
        <v>99</v>
      </c>
      <c r="P174" s="148">
        <v>2</v>
      </c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8" hidden="1" customHeight="1" x14ac:dyDescent="0.35">
      <c r="A175" s="127" t="s">
        <v>106</v>
      </c>
      <c r="B175" s="128">
        <f t="shared" ref="B175:D175" si="76">(5+5+1.25+5)*2</f>
        <v>32.5</v>
      </c>
      <c r="C175" s="128">
        <f t="shared" si="76"/>
        <v>32.5</v>
      </c>
      <c r="D175" s="128">
        <f t="shared" si="76"/>
        <v>32.5</v>
      </c>
      <c r="E175" s="149">
        <v>10</v>
      </c>
      <c r="F175" s="149" t="s">
        <v>27</v>
      </c>
      <c r="G175" s="149">
        <v>2</v>
      </c>
      <c r="H175" s="150">
        <v>10</v>
      </c>
      <c r="I175" s="150" t="s">
        <v>101</v>
      </c>
      <c r="J175" s="150">
        <v>2</v>
      </c>
      <c r="K175" s="151">
        <v>2.5</v>
      </c>
      <c r="L175" s="151" t="s">
        <v>86</v>
      </c>
      <c r="M175" s="152">
        <v>4</v>
      </c>
      <c r="N175" s="150">
        <v>10</v>
      </c>
      <c r="O175" s="150" t="s">
        <v>101</v>
      </c>
      <c r="P175" s="153">
        <v>2</v>
      </c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8" hidden="1" customHeight="1" x14ac:dyDescent="0.3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8" hidden="1" customHeight="1" x14ac:dyDescent="0.35">
      <c r="A177" s="327" t="s">
        <v>107</v>
      </c>
      <c r="B177" s="329">
        <v>1</v>
      </c>
      <c r="C177" s="76"/>
      <c r="D177" s="76"/>
      <c r="E177" s="76"/>
      <c r="F177" s="76"/>
      <c r="G177" s="76"/>
      <c r="H177" s="76"/>
      <c r="I177" s="76"/>
      <c r="J177" s="76"/>
      <c r="K177" s="76"/>
      <c r="L177" s="76"/>
      <c r="M177" s="76"/>
      <c r="N177" s="76"/>
      <c r="O177" s="76"/>
      <c r="P177" s="76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8" hidden="1" customHeight="1" x14ac:dyDescent="0.35">
      <c r="A178" s="337" t="s">
        <v>18</v>
      </c>
      <c r="B178" s="433">
        <v>0</v>
      </c>
      <c r="C178" s="76"/>
      <c r="D178" s="76"/>
      <c r="E178" s="76"/>
      <c r="F178" s="76"/>
      <c r="G178" s="76"/>
      <c r="H178" s="76"/>
      <c r="I178" s="76"/>
      <c r="J178" s="76"/>
      <c r="K178" s="76"/>
      <c r="L178" s="76"/>
      <c r="M178" s="76"/>
      <c r="N178" s="76"/>
      <c r="O178" s="76"/>
      <c r="P178" s="76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8" hidden="1" customHeight="1" x14ac:dyDescent="0.35">
      <c r="A179" s="76"/>
      <c r="B179" s="76"/>
      <c r="C179" s="76"/>
      <c r="D179" s="76"/>
      <c r="E179" s="76"/>
      <c r="F179" s="76"/>
      <c r="G179" s="76"/>
      <c r="H179" s="76"/>
      <c r="I179" s="76"/>
      <c r="J179" s="76"/>
      <c r="K179" s="76"/>
      <c r="L179" s="76"/>
      <c r="M179" s="76"/>
      <c r="N179" s="76"/>
      <c r="O179" s="76"/>
      <c r="P179" s="76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8" hidden="1" customHeight="1" x14ac:dyDescent="0.35">
      <c r="A180" s="436" t="s">
        <v>22</v>
      </c>
      <c r="B180" s="329">
        <v>4.2</v>
      </c>
      <c r="C180" s="76"/>
      <c r="D180" s="76"/>
      <c r="E180" s="76"/>
      <c r="F180" s="76"/>
      <c r="G180" s="76"/>
      <c r="H180" s="76"/>
      <c r="I180" s="76"/>
      <c r="J180" s="76"/>
      <c r="K180" s="76"/>
      <c r="L180" s="76"/>
      <c r="M180" s="76"/>
      <c r="N180" s="76"/>
      <c r="O180" s="76"/>
      <c r="P180" s="76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8" hidden="1" customHeight="1" x14ac:dyDescent="0.35">
      <c r="A181" s="437" t="s">
        <v>20</v>
      </c>
      <c r="B181" s="336">
        <v>0</v>
      </c>
      <c r="C181" s="76"/>
      <c r="D181" s="76"/>
      <c r="E181" s="76"/>
      <c r="F181" s="76"/>
      <c r="G181" s="76"/>
      <c r="H181" s="76"/>
      <c r="I181" s="76"/>
      <c r="J181" s="76"/>
      <c r="K181" s="76"/>
      <c r="L181" s="76"/>
      <c r="M181" s="76"/>
      <c r="N181" s="76"/>
      <c r="O181" s="76"/>
      <c r="P181" s="76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8" hidden="1" customHeight="1" x14ac:dyDescent="0.35">
      <c r="A182" s="438"/>
      <c r="B182" s="433"/>
      <c r="C182" s="76"/>
      <c r="D182" s="76"/>
      <c r="E182" s="76"/>
      <c r="F182" s="76"/>
      <c r="G182" s="76"/>
      <c r="H182" s="76"/>
      <c r="I182" s="76"/>
      <c r="J182" s="76"/>
      <c r="K182" s="76"/>
      <c r="L182" s="76"/>
      <c r="M182" s="76"/>
      <c r="N182" s="76"/>
      <c r="O182" s="76"/>
      <c r="P182" s="76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8" hidden="1" customHeight="1" x14ac:dyDescent="0.35">
      <c r="A183" s="76"/>
      <c r="B183" s="76"/>
      <c r="C183" s="76"/>
      <c r="D183" s="76"/>
      <c r="E183" s="76"/>
      <c r="F183" s="76"/>
      <c r="G183" s="76"/>
      <c r="H183" s="76"/>
      <c r="I183" s="76"/>
      <c r="J183" s="76"/>
      <c r="K183" s="76"/>
      <c r="L183" s="76"/>
      <c r="M183" s="76"/>
      <c r="N183" s="76"/>
      <c r="O183" s="76"/>
      <c r="P183" s="76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8" hidden="1" customHeight="1" x14ac:dyDescent="0.35">
      <c r="A184" s="119" t="s">
        <v>110</v>
      </c>
      <c r="B184" s="120">
        <v>0</v>
      </c>
      <c r="C184" s="120"/>
      <c r="D184" s="121">
        <v>0</v>
      </c>
      <c r="E184" s="76"/>
      <c r="F184" s="76"/>
      <c r="G184" s="76"/>
      <c r="H184" s="76"/>
      <c r="I184" s="76"/>
      <c r="J184" s="76"/>
      <c r="K184" s="76"/>
      <c r="L184" s="76"/>
      <c r="M184" s="76"/>
      <c r="N184" s="76"/>
      <c r="O184" s="76"/>
      <c r="P184" s="76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8" hidden="1" customHeight="1" x14ac:dyDescent="0.35">
      <c r="A185" s="124" t="s">
        <v>111</v>
      </c>
      <c r="B185" s="308">
        <v>10</v>
      </c>
      <c r="C185" s="308">
        <v>40</v>
      </c>
      <c r="D185" s="126">
        <v>12</v>
      </c>
      <c r="E185" s="76"/>
      <c r="F185" s="76"/>
      <c r="G185" s="76"/>
      <c r="H185" s="76"/>
      <c r="I185" s="76"/>
      <c r="J185" s="76"/>
      <c r="K185" s="76"/>
      <c r="L185" s="76"/>
      <c r="M185" s="76"/>
      <c r="N185" s="76"/>
      <c r="O185" s="76"/>
      <c r="P185" s="76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8" hidden="1" customHeight="1" x14ac:dyDescent="0.35">
      <c r="A186" s="124" t="s">
        <v>16</v>
      </c>
      <c r="B186" s="308">
        <v>0</v>
      </c>
      <c r="C186" s="308"/>
      <c r="D186" s="126">
        <v>0</v>
      </c>
      <c r="E186" s="76"/>
      <c r="F186" s="76"/>
      <c r="G186" s="76"/>
      <c r="H186" s="76"/>
      <c r="I186" s="76"/>
      <c r="J186" s="76"/>
      <c r="K186" s="76"/>
      <c r="L186" s="76"/>
      <c r="M186" s="76"/>
      <c r="N186" s="76"/>
      <c r="O186" s="76"/>
      <c r="P186" s="76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8" hidden="1" customHeight="1" x14ac:dyDescent="0.35">
      <c r="A187" s="157" t="s">
        <v>112</v>
      </c>
      <c r="B187" s="128">
        <v>5</v>
      </c>
      <c r="C187" s="128">
        <v>20</v>
      </c>
      <c r="D187" s="129">
        <v>0</v>
      </c>
      <c r="E187" s="76"/>
      <c r="F187" s="76"/>
      <c r="G187" s="76"/>
      <c r="H187" s="76"/>
      <c r="I187" s="76"/>
      <c r="J187" s="76"/>
      <c r="K187" s="76"/>
      <c r="L187" s="76"/>
      <c r="M187" s="76"/>
      <c r="N187" s="76"/>
      <c r="O187" s="76"/>
      <c r="P187" s="76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8" hidden="1" customHeight="1" x14ac:dyDescent="0.35">
      <c r="A188" s="337" t="s">
        <v>23</v>
      </c>
      <c r="B188" s="337">
        <v>10</v>
      </c>
      <c r="C188" s="433">
        <v>30</v>
      </c>
      <c r="D188" s="76">
        <v>0</v>
      </c>
      <c r="E188" s="76"/>
      <c r="F188" s="76"/>
      <c r="G188" s="76"/>
      <c r="H188" s="76"/>
      <c r="I188" s="76"/>
      <c r="J188" s="76"/>
      <c r="K188" s="76"/>
      <c r="L188" s="76"/>
      <c r="M188" s="76"/>
      <c r="N188" s="76"/>
      <c r="O188" s="76"/>
      <c r="P188" s="76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8" hidden="1" customHeight="1" x14ac:dyDescent="0.35">
      <c r="A189" s="76"/>
      <c r="B189" s="76"/>
      <c r="C189" s="76"/>
      <c r="D189" s="76"/>
      <c r="E189" s="76"/>
      <c r="F189" s="76"/>
      <c r="G189" s="76"/>
      <c r="H189" s="76"/>
      <c r="I189" s="76"/>
      <c r="J189" s="76"/>
      <c r="K189" s="76"/>
      <c r="L189" s="76"/>
      <c r="M189" s="76"/>
      <c r="N189" s="76"/>
      <c r="O189" s="76"/>
      <c r="P189" s="76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8" hidden="1" customHeight="1" x14ac:dyDescent="0.35">
      <c r="A190" s="434" t="s">
        <v>245</v>
      </c>
      <c r="B190" s="434">
        <v>6</v>
      </c>
      <c r="C190" s="434" t="s">
        <v>262</v>
      </c>
      <c r="D190" s="434" t="s">
        <v>105</v>
      </c>
      <c r="E190" s="76"/>
      <c r="F190" s="76"/>
      <c r="G190" s="76"/>
      <c r="H190" s="76"/>
      <c r="I190" s="76"/>
      <c r="J190" s="76"/>
      <c r="K190" s="76"/>
      <c r="L190" s="76"/>
      <c r="M190" s="76"/>
      <c r="N190" s="76"/>
      <c r="O190" s="76"/>
      <c r="P190" s="76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8" hidden="1" customHeight="1" x14ac:dyDescent="0.35">
      <c r="A191" s="434" t="s">
        <v>263</v>
      </c>
      <c r="B191" s="434">
        <v>10</v>
      </c>
      <c r="C191" s="434" t="s">
        <v>37</v>
      </c>
      <c r="D191" s="434" t="s">
        <v>27</v>
      </c>
      <c r="E191" s="76"/>
      <c r="F191" s="76"/>
      <c r="G191" s="76"/>
      <c r="H191" s="76"/>
      <c r="I191" s="76"/>
      <c r="J191" s="76"/>
      <c r="K191" s="76"/>
      <c r="L191" s="76"/>
      <c r="M191" s="76"/>
      <c r="N191" s="76"/>
      <c r="O191" s="76"/>
      <c r="P191" s="76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8" hidden="1" customHeight="1" x14ac:dyDescent="0.35">
      <c r="A192" s="76"/>
      <c r="B192" s="76"/>
      <c r="C192" s="76"/>
      <c r="D192" s="76"/>
      <c r="E192" s="76"/>
      <c r="F192" s="76"/>
      <c r="G192" s="76"/>
      <c r="H192" s="76"/>
      <c r="I192" s="76"/>
      <c r="J192" s="76"/>
      <c r="K192" s="76"/>
      <c r="L192" s="76"/>
      <c r="M192" s="76"/>
      <c r="N192" s="76"/>
      <c r="O192" s="76"/>
      <c r="P192" s="76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8" hidden="1" customHeight="1" x14ac:dyDescent="0.35">
      <c r="A193" s="327" t="s">
        <v>135</v>
      </c>
      <c r="B193" s="100">
        <v>10</v>
      </c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8" hidden="1" customHeight="1" x14ac:dyDescent="0.35">
      <c r="A194" s="332" t="s">
        <v>136</v>
      </c>
      <c r="B194" s="109">
        <v>10</v>
      </c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8" hidden="1" customHeight="1" x14ac:dyDescent="0.35">
      <c r="A195" s="337" t="s">
        <v>24</v>
      </c>
      <c r="B195" s="271">
        <v>3</v>
      </c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8" hidden="1" customHeight="1" x14ac:dyDescent="0.3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8" hidden="1" customHeight="1" x14ac:dyDescent="0.35">
      <c r="A197" s="440" t="s">
        <v>20</v>
      </c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8" hidden="1" customHeight="1" x14ac:dyDescent="0.35">
      <c r="A198" s="441" t="s">
        <v>14</v>
      </c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8" hidden="1" customHeight="1" x14ac:dyDescent="0.35">
      <c r="A199" s="467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8" hidden="1" customHeight="1" x14ac:dyDescent="0.35">
      <c r="A200" s="76" t="s">
        <v>289</v>
      </c>
      <c r="B200" s="76"/>
      <c r="C200" s="76"/>
      <c r="D200" s="76"/>
      <c r="E200" s="76"/>
      <c r="F200" s="76"/>
      <c r="G200" s="76"/>
      <c r="H200" s="76"/>
      <c r="I200" s="76"/>
      <c r="J200" s="76"/>
      <c r="K200" s="76"/>
      <c r="L200" s="76"/>
      <c r="M200" s="76"/>
      <c r="N200" s="76"/>
      <c r="O200" s="76"/>
      <c r="P200" s="76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8" hidden="1" customHeight="1" x14ac:dyDescent="0.35">
      <c r="A201" s="76" t="s">
        <v>290</v>
      </c>
      <c r="B201" s="76"/>
      <c r="C201" s="76"/>
      <c r="D201" s="76"/>
      <c r="E201" s="76"/>
      <c r="F201" s="76"/>
      <c r="G201" s="76"/>
      <c r="H201" s="76"/>
      <c r="I201" s="76"/>
      <c r="J201" s="76"/>
      <c r="K201" s="76"/>
      <c r="L201" s="76"/>
      <c r="M201" s="76"/>
      <c r="N201" s="76"/>
      <c r="O201" s="76"/>
      <c r="P201" s="76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8" hidden="1" customHeight="1" x14ac:dyDescent="0.35">
      <c r="A202" s="76"/>
      <c r="B202" s="76"/>
      <c r="C202" s="76"/>
      <c r="D202" s="76"/>
      <c r="E202" s="76"/>
      <c r="F202" s="76"/>
      <c r="G202" s="76"/>
      <c r="H202" s="76"/>
      <c r="I202" s="76"/>
      <c r="J202" s="76"/>
      <c r="K202" s="76"/>
      <c r="L202" s="76"/>
      <c r="M202" s="76"/>
      <c r="N202" s="76"/>
      <c r="O202" s="76"/>
      <c r="P202" s="76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8" hidden="1" customHeight="1" x14ac:dyDescent="0.35">
      <c r="A203" s="327" t="s">
        <v>82</v>
      </c>
      <c r="B203" s="270">
        <v>0.9</v>
      </c>
      <c r="C203" s="100">
        <v>1.27</v>
      </c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8" hidden="1" customHeight="1" x14ac:dyDescent="0.35">
      <c r="A204" s="332" t="s">
        <v>291</v>
      </c>
      <c r="B204" s="2">
        <v>4.9000000000000004</v>
      </c>
      <c r="C204" s="109">
        <v>8.14</v>
      </c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8" hidden="1" customHeight="1" x14ac:dyDescent="0.35">
      <c r="A205" s="332" t="s">
        <v>198</v>
      </c>
      <c r="B205" s="2">
        <v>1.4</v>
      </c>
      <c r="C205" s="109">
        <v>2.31</v>
      </c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8" hidden="1" customHeight="1" x14ac:dyDescent="0.35">
      <c r="A206" s="332" t="s">
        <v>292</v>
      </c>
      <c r="B206" s="2">
        <v>3</v>
      </c>
      <c r="C206" s="109">
        <v>5.93</v>
      </c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8" hidden="1" customHeight="1" x14ac:dyDescent="0.35">
      <c r="A207" s="337" t="s">
        <v>293</v>
      </c>
      <c r="B207" s="15">
        <v>5</v>
      </c>
      <c r="C207" s="271">
        <v>8.7200000000000006</v>
      </c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8" customHeight="1" x14ac:dyDescent="0.35">
      <c r="A208" s="2"/>
      <c r="B208" s="2"/>
      <c r="C208" s="1154" t="str">
        <f>VLOOKUP($F$10,'Infos Clients'!$B$2:$G$10,2)</f>
        <v>#VALUE!</v>
      </c>
      <c r="D208" s="1085"/>
      <c r="E208" s="1085"/>
      <c r="F208" s="1085"/>
      <c r="G208" s="1086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8" customHeight="1" x14ac:dyDescent="0.35">
      <c r="A209" s="2"/>
      <c r="B209" s="2"/>
      <c r="C209" s="1091"/>
      <c r="D209" s="1097"/>
      <c r="E209" s="1097"/>
      <c r="F209" s="1097"/>
      <c r="G209" s="109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8" customHeight="1" x14ac:dyDescent="0.35">
      <c r="A210" s="2"/>
      <c r="B210" s="2"/>
      <c r="C210" s="1091"/>
      <c r="D210" s="1097"/>
      <c r="E210" s="1097"/>
      <c r="F210" s="1097"/>
      <c r="G210" s="109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8" customHeight="1" x14ac:dyDescent="0.35">
      <c r="A211" s="2"/>
      <c r="B211" s="2"/>
      <c r="C211" s="1091"/>
      <c r="D211" s="1097"/>
      <c r="E211" s="1097"/>
      <c r="F211" s="1097"/>
      <c r="G211" s="109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8" customHeight="1" x14ac:dyDescent="0.35">
      <c r="A212" s="2"/>
      <c r="B212" s="2"/>
      <c r="C212" s="1091"/>
      <c r="D212" s="1097"/>
      <c r="E212" s="1097"/>
      <c r="F212" s="1097"/>
      <c r="G212" s="109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8" customHeight="1" x14ac:dyDescent="0.35">
      <c r="A213" s="2"/>
      <c r="B213" s="2"/>
      <c r="C213" s="1087"/>
      <c r="D213" s="1088"/>
      <c r="E213" s="1088"/>
      <c r="F213" s="1088"/>
      <c r="G213" s="1089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8" customHeight="1" x14ac:dyDescent="0.3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8" customHeight="1" x14ac:dyDescent="0.3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8" customHeight="1" x14ac:dyDescent="0.3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8" customHeight="1" x14ac:dyDescent="0.3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8" customHeight="1" x14ac:dyDescent="0.3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8" customHeight="1" x14ac:dyDescent="0.3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8" customHeight="1" x14ac:dyDescent="0.3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8" customHeight="1" x14ac:dyDescent="0.3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8" customHeight="1" x14ac:dyDescent="0.3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8" customHeight="1" x14ac:dyDescent="0.3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8" customHeight="1" x14ac:dyDescent="0.3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8" customHeight="1" x14ac:dyDescent="0.3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8" customHeight="1" x14ac:dyDescent="0.3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8" customHeight="1" x14ac:dyDescent="0.3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8" customHeight="1" x14ac:dyDescent="0.3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8" customHeight="1" x14ac:dyDescent="0.3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8" customHeight="1" x14ac:dyDescent="0.3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8" customHeight="1" x14ac:dyDescent="0.3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8" customHeight="1" x14ac:dyDescent="0.3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8" customHeight="1" x14ac:dyDescent="0.3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8" customHeight="1" x14ac:dyDescent="0.3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8" customHeight="1" x14ac:dyDescent="0.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8" customHeight="1" x14ac:dyDescent="0.3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8" customHeight="1" x14ac:dyDescent="0.3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8" customHeight="1" x14ac:dyDescent="0.3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8" customHeight="1" x14ac:dyDescent="0.3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8" customHeight="1" x14ac:dyDescent="0.3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8" customHeight="1" x14ac:dyDescent="0.3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8" customHeight="1" x14ac:dyDescent="0.3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8" customHeight="1" x14ac:dyDescent="0.3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8" customHeight="1" x14ac:dyDescent="0.3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8" customHeight="1" x14ac:dyDescent="0.3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8" customHeight="1" x14ac:dyDescent="0.3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8" customHeight="1" x14ac:dyDescent="0.3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8" customHeight="1" x14ac:dyDescent="0.3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8" customHeight="1" x14ac:dyDescent="0.3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8" customHeight="1" x14ac:dyDescent="0.3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8" customHeight="1" x14ac:dyDescent="0.3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8" customHeight="1" x14ac:dyDescent="0.3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8" customHeight="1" x14ac:dyDescent="0.3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8" customHeight="1" x14ac:dyDescent="0.3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8" customHeight="1" x14ac:dyDescent="0.3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8" customHeight="1" x14ac:dyDescent="0.3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8" customHeight="1" x14ac:dyDescent="0.3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8" customHeight="1" x14ac:dyDescent="0.3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8" customHeight="1" x14ac:dyDescent="0.3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8" customHeight="1" x14ac:dyDescent="0.3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8" customHeight="1" x14ac:dyDescent="0.3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8" customHeight="1" x14ac:dyDescent="0.3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8" customHeight="1" x14ac:dyDescent="0.3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8" customHeight="1" x14ac:dyDescent="0.3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8" customHeight="1" x14ac:dyDescent="0.3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8" customHeight="1" x14ac:dyDescent="0.3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8" customHeight="1" x14ac:dyDescent="0.3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8" customHeight="1" x14ac:dyDescent="0.3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8" customHeight="1" x14ac:dyDescent="0.3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8" customHeight="1" x14ac:dyDescent="0.3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8" customHeight="1" x14ac:dyDescent="0.3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8" customHeight="1" x14ac:dyDescent="0.3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8" customHeight="1" x14ac:dyDescent="0.3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8" customHeight="1" x14ac:dyDescent="0.3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8" customHeight="1" x14ac:dyDescent="0.3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8" customHeight="1" x14ac:dyDescent="0.3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8" customHeight="1" x14ac:dyDescent="0.3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8" customHeight="1" x14ac:dyDescent="0.3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8" customHeight="1" x14ac:dyDescent="0.3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8" customHeight="1" x14ac:dyDescent="0.3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8" customHeight="1" x14ac:dyDescent="0.3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8" customHeight="1" x14ac:dyDescent="0.3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8" customHeight="1" x14ac:dyDescent="0.3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8" customHeight="1" x14ac:dyDescent="0.3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8" customHeight="1" x14ac:dyDescent="0.3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8" customHeight="1" x14ac:dyDescent="0.3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8" customHeight="1" x14ac:dyDescent="0.3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8" customHeight="1" x14ac:dyDescent="0.3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8" customHeight="1" x14ac:dyDescent="0.3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8" customHeight="1" x14ac:dyDescent="0.3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8" customHeight="1" x14ac:dyDescent="0.3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8" customHeight="1" x14ac:dyDescent="0.3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8" customHeight="1" x14ac:dyDescent="0.3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8" customHeight="1" x14ac:dyDescent="0.3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8" customHeight="1" x14ac:dyDescent="0.3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8" customHeight="1" x14ac:dyDescent="0.3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8" customHeight="1" x14ac:dyDescent="0.3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8" customHeight="1" x14ac:dyDescent="0.3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8" customHeight="1" x14ac:dyDescent="0.3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8" customHeight="1" x14ac:dyDescent="0.3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8" customHeight="1" x14ac:dyDescent="0.3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8" customHeight="1" x14ac:dyDescent="0.3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8" customHeight="1" x14ac:dyDescent="0.3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8" customHeight="1" x14ac:dyDescent="0.3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8" customHeight="1" x14ac:dyDescent="0.3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8" customHeight="1" x14ac:dyDescent="0.3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8" customHeight="1" x14ac:dyDescent="0.3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8" customHeight="1" x14ac:dyDescent="0.3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8" customHeight="1" x14ac:dyDescent="0.3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8" customHeight="1" x14ac:dyDescent="0.3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8" customHeight="1" x14ac:dyDescent="0.3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8" customHeight="1" x14ac:dyDescent="0.3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8" customHeight="1" x14ac:dyDescent="0.3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8" customHeight="1" x14ac:dyDescent="0.3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8" customHeight="1" x14ac:dyDescent="0.3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8" customHeight="1" x14ac:dyDescent="0.3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8" customHeight="1" x14ac:dyDescent="0.3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8" customHeight="1" x14ac:dyDescent="0.3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8" customHeight="1" x14ac:dyDescent="0.3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8" customHeight="1" x14ac:dyDescent="0.3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8" customHeight="1" x14ac:dyDescent="0.3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8" customHeight="1" x14ac:dyDescent="0.3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8" customHeight="1" x14ac:dyDescent="0.3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8" customHeight="1" x14ac:dyDescent="0.3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8" customHeight="1" x14ac:dyDescent="0.3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8" customHeight="1" x14ac:dyDescent="0.3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8" customHeight="1" x14ac:dyDescent="0.3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8" customHeight="1" x14ac:dyDescent="0.3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8" customHeight="1" x14ac:dyDescent="0.3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8" customHeight="1" x14ac:dyDescent="0.3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8" customHeight="1" x14ac:dyDescent="0.3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8" customHeight="1" x14ac:dyDescent="0.3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8" customHeight="1" x14ac:dyDescent="0.3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8" customHeight="1" x14ac:dyDescent="0.3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8" customHeight="1" x14ac:dyDescent="0.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8" customHeight="1" x14ac:dyDescent="0.3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8" customHeight="1" x14ac:dyDescent="0.3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8" customHeight="1" x14ac:dyDescent="0.3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8" customHeight="1" x14ac:dyDescent="0.3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8" customHeight="1" x14ac:dyDescent="0.3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8" customHeight="1" x14ac:dyDescent="0.3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8" customHeight="1" x14ac:dyDescent="0.3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8" customHeight="1" x14ac:dyDescent="0.3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8" customHeight="1" x14ac:dyDescent="0.3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8" customHeight="1" x14ac:dyDescent="0.3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8" customHeight="1" x14ac:dyDescent="0.3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8" customHeight="1" x14ac:dyDescent="0.3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8" customHeight="1" x14ac:dyDescent="0.3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8" customHeight="1" x14ac:dyDescent="0.3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8" customHeight="1" x14ac:dyDescent="0.3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8" customHeight="1" x14ac:dyDescent="0.3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8" customHeight="1" x14ac:dyDescent="0.3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8" customHeight="1" x14ac:dyDescent="0.3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8" customHeight="1" x14ac:dyDescent="0.3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8" customHeight="1" x14ac:dyDescent="0.3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8" customHeight="1" x14ac:dyDescent="0.3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8" customHeight="1" x14ac:dyDescent="0.3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8" customHeight="1" x14ac:dyDescent="0.3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8" customHeight="1" x14ac:dyDescent="0.3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8" customHeight="1" x14ac:dyDescent="0.3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8" customHeight="1" x14ac:dyDescent="0.3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8" customHeight="1" x14ac:dyDescent="0.3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8" customHeight="1" x14ac:dyDescent="0.3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8" customHeight="1" x14ac:dyDescent="0.3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8" customHeight="1" x14ac:dyDescent="0.3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8" customHeight="1" x14ac:dyDescent="0.3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8" customHeight="1" x14ac:dyDescent="0.3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8" customHeight="1" x14ac:dyDescent="0.3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8" customHeight="1" x14ac:dyDescent="0.3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8" customHeight="1" x14ac:dyDescent="0.3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8" customHeight="1" x14ac:dyDescent="0.3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8" customHeight="1" x14ac:dyDescent="0.3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8" customHeight="1" x14ac:dyDescent="0.3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8" customHeight="1" x14ac:dyDescent="0.3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8" customHeight="1" x14ac:dyDescent="0.3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8" customHeight="1" x14ac:dyDescent="0.3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8" customHeight="1" x14ac:dyDescent="0.3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8" customHeight="1" x14ac:dyDescent="0.3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8" customHeight="1" x14ac:dyDescent="0.3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8" customHeight="1" x14ac:dyDescent="0.3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8" customHeight="1" x14ac:dyDescent="0.3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8" customHeight="1" x14ac:dyDescent="0.3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8" customHeight="1" x14ac:dyDescent="0.3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8" customHeight="1" x14ac:dyDescent="0.3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8" customHeight="1" x14ac:dyDescent="0.3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8" customHeight="1" x14ac:dyDescent="0.3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8" customHeight="1" x14ac:dyDescent="0.3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8" customHeight="1" x14ac:dyDescent="0.3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8" customHeight="1" x14ac:dyDescent="0.3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8" customHeight="1" x14ac:dyDescent="0.3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8" customHeight="1" x14ac:dyDescent="0.3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8" customHeight="1" x14ac:dyDescent="0.3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8" customHeight="1" x14ac:dyDescent="0.3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8" customHeight="1" x14ac:dyDescent="0.3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8" customHeight="1" x14ac:dyDescent="0.3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8" customHeight="1" x14ac:dyDescent="0.3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8" customHeight="1" x14ac:dyDescent="0.3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8" customHeight="1" x14ac:dyDescent="0.3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8" customHeight="1" x14ac:dyDescent="0.3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8" customHeight="1" x14ac:dyDescent="0.3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8" customHeight="1" x14ac:dyDescent="0.3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8" customHeight="1" x14ac:dyDescent="0.3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8" customHeight="1" x14ac:dyDescent="0.3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8" customHeight="1" x14ac:dyDescent="0.3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8" customHeight="1" x14ac:dyDescent="0.3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8" customHeight="1" x14ac:dyDescent="0.3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8" customHeight="1" x14ac:dyDescent="0.3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8" customHeight="1" x14ac:dyDescent="0.3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8" customHeight="1" x14ac:dyDescent="0.3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8" customHeight="1" x14ac:dyDescent="0.3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8" customHeight="1" x14ac:dyDescent="0.3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8" customHeight="1" x14ac:dyDescent="0.3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8" customHeight="1" x14ac:dyDescent="0.3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8" customHeight="1" x14ac:dyDescent="0.3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8" customHeight="1" x14ac:dyDescent="0.3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8" customHeight="1" x14ac:dyDescent="0.3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8" customHeight="1" x14ac:dyDescent="0.3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8" customHeight="1" x14ac:dyDescent="0.3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8" customHeight="1" x14ac:dyDescent="0.3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8" customHeight="1" x14ac:dyDescent="0.3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8" customHeight="1" x14ac:dyDescent="0.3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8" customHeight="1" x14ac:dyDescent="0.3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8" customHeight="1" x14ac:dyDescent="0.3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8" customHeight="1" x14ac:dyDescent="0.3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8" customHeight="1" x14ac:dyDescent="0.3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8" customHeight="1" x14ac:dyDescent="0.3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8" customHeight="1" x14ac:dyDescent="0.3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8" customHeight="1" x14ac:dyDescent="0.3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8" customHeight="1" x14ac:dyDescent="0.3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8" customHeight="1" x14ac:dyDescent="0.3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8" customHeight="1" x14ac:dyDescent="0.3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8" customHeight="1" x14ac:dyDescent="0.3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8" customHeight="1" x14ac:dyDescent="0.3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8" customHeight="1" x14ac:dyDescent="0.3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8" customHeight="1" x14ac:dyDescent="0.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8" customHeight="1" x14ac:dyDescent="0.3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8" customHeight="1" x14ac:dyDescent="0.3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8" customHeight="1" x14ac:dyDescent="0.3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8" customHeight="1" x14ac:dyDescent="0.3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8" customHeight="1" x14ac:dyDescent="0.3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8" customHeight="1" x14ac:dyDescent="0.3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8" customHeight="1" x14ac:dyDescent="0.3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8" customHeight="1" x14ac:dyDescent="0.3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8" customHeight="1" x14ac:dyDescent="0.3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8" customHeight="1" x14ac:dyDescent="0.3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8" customHeight="1" x14ac:dyDescent="0.3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8" customHeight="1" x14ac:dyDescent="0.3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8" customHeight="1" x14ac:dyDescent="0.3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8" customHeight="1" x14ac:dyDescent="0.3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8" customHeight="1" x14ac:dyDescent="0.3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8" customHeight="1" x14ac:dyDescent="0.3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8" customHeight="1" x14ac:dyDescent="0.3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8" customHeight="1" x14ac:dyDescent="0.3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8" customHeight="1" x14ac:dyDescent="0.3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8" customHeight="1" x14ac:dyDescent="0.3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8" customHeight="1" x14ac:dyDescent="0.3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8" customHeight="1" x14ac:dyDescent="0.3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8" customHeight="1" x14ac:dyDescent="0.3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8" customHeight="1" x14ac:dyDescent="0.3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8" customHeight="1" x14ac:dyDescent="0.3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8" customHeight="1" x14ac:dyDescent="0.3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8" customHeight="1" x14ac:dyDescent="0.3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8" customHeight="1" x14ac:dyDescent="0.3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8" customHeight="1" x14ac:dyDescent="0.3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8" customHeight="1" x14ac:dyDescent="0.3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8" customHeight="1" x14ac:dyDescent="0.3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8" customHeight="1" x14ac:dyDescent="0.3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8" customHeight="1" x14ac:dyDescent="0.3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8" customHeight="1" x14ac:dyDescent="0.3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8" customHeight="1" x14ac:dyDescent="0.3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8" customHeight="1" x14ac:dyDescent="0.3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8" customHeight="1" x14ac:dyDescent="0.3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8" customHeight="1" x14ac:dyDescent="0.3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8" customHeight="1" x14ac:dyDescent="0.3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8" customHeight="1" x14ac:dyDescent="0.3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8" customHeight="1" x14ac:dyDescent="0.3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8" customHeight="1" x14ac:dyDescent="0.3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8" customHeight="1" x14ac:dyDescent="0.3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8" customHeight="1" x14ac:dyDescent="0.3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8" customHeight="1" x14ac:dyDescent="0.3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8" customHeight="1" x14ac:dyDescent="0.3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8" customHeight="1" x14ac:dyDescent="0.3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8" customHeight="1" x14ac:dyDescent="0.3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8" customHeight="1" x14ac:dyDescent="0.3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8" customHeight="1" x14ac:dyDescent="0.3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8" customHeight="1" x14ac:dyDescent="0.3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8" customHeight="1" x14ac:dyDescent="0.3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8" customHeight="1" x14ac:dyDescent="0.3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8" customHeight="1" x14ac:dyDescent="0.3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8" customHeight="1" x14ac:dyDescent="0.3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8" customHeight="1" x14ac:dyDescent="0.3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8" customHeight="1" x14ac:dyDescent="0.3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8" customHeight="1" x14ac:dyDescent="0.3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8" customHeight="1" x14ac:dyDescent="0.3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8" customHeight="1" x14ac:dyDescent="0.3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8" customHeight="1" x14ac:dyDescent="0.3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8" customHeight="1" x14ac:dyDescent="0.3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8" customHeight="1" x14ac:dyDescent="0.3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8" customHeight="1" x14ac:dyDescent="0.3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8" customHeight="1" x14ac:dyDescent="0.3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8" customHeight="1" x14ac:dyDescent="0.3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8" customHeight="1" x14ac:dyDescent="0.3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8" customHeight="1" x14ac:dyDescent="0.3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8" customHeight="1" x14ac:dyDescent="0.3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8" customHeight="1" x14ac:dyDescent="0.3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8" customHeight="1" x14ac:dyDescent="0.3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8" customHeight="1" x14ac:dyDescent="0.3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8" customHeight="1" x14ac:dyDescent="0.3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8" customHeight="1" x14ac:dyDescent="0.3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8" customHeight="1" x14ac:dyDescent="0.3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8" customHeight="1" x14ac:dyDescent="0.3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8" customHeight="1" x14ac:dyDescent="0.3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8" customHeight="1" x14ac:dyDescent="0.3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8" customHeight="1" x14ac:dyDescent="0.3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8" customHeight="1" x14ac:dyDescent="0.3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8" customHeight="1" x14ac:dyDescent="0.3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8" customHeight="1" x14ac:dyDescent="0.3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8" customHeight="1" x14ac:dyDescent="0.3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8" customHeight="1" x14ac:dyDescent="0.3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8" customHeight="1" x14ac:dyDescent="0.3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8" customHeight="1" x14ac:dyDescent="0.3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8" customHeight="1" x14ac:dyDescent="0.3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8" customHeight="1" x14ac:dyDescent="0.3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8" customHeight="1" x14ac:dyDescent="0.3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8" customHeight="1" x14ac:dyDescent="0.3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8" customHeight="1" x14ac:dyDescent="0.3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8" customHeight="1" x14ac:dyDescent="0.3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8" customHeight="1" x14ac:dyDescent="0.3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8" customHeight="1" x14ac:dyDescent="0.3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8" customHeight="1" x14ac:dyDescent="0.3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8" customHeight="1" x14ac:dyDescent="0.3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8" customHeight="1" x14ac:dyDescent="0.3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8" customHeight="1" x14ac:dyDescent="0.3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8" customHeight="1" x14ac:dyDescent="0.3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8" customHeight="1" x14ac:dyDescent="0.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8" customHeight="1" x14ac:dyDescent="0.3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8" customHeight="1" x14ac:dyDescent="0.3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8" customHeight="1" x14ac:dyDescent="0.3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8" customHeight="1" x14ac:dyDescent="0.3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8" customHeight="1" x14ac:dyDescent="0.3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8" customHeight="1" x14ac:dyDescent="0.3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8" customHeight="1" x14ac:dyDescent="0.3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8" customHeight="1" x14ac:dyDescent="0.3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8" customHeight="1" x14ac:dyDescent="0.3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8" customHeight="1" x14ac:dyDescent="0.3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8" customHeight="1" x14ac:dyDescent="0.3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8" customHeight="1" x14ac:dyDescent="0.3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8" customHeight="1" x14ac:dyDescent="0.3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8" customHeight="1" x14ac:dyDescent="0.3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8" customHeight="1" x14ac:dyDescent="0.3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8" customHeight="1" x14ac:dyDescent="0.3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8" customHeight="1" x14ac:dyDescent="0.3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8" customHeight="1" x14ac:dyDescent="0.3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8" customHeight="1" x14ac:dyDescent="0.3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8" customHeight="1" x14ac:dyDescent="0.3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8" customHeight="1" x14ac:dyDescent="0.3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8" customHeight="1" x14ac:dyDescent="0.3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8" customHeight="1" x14ac:dyDescent="0.3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8" customHeight="1" x14ac:dyDescent="0.3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8" customHeight="1" x14ac:dyDescent="0.3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8" customHeight="1" x14ac:dyDescent="0.3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8" customHeight="1" x14ac:dyDescent="0.3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8" customHeight="1" x14ac:dyDescent="0.3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8" customHeight="1" x14ac:dyDescent="0.3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8" customHeight="1" x14ac:dyDescent="0.3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8" customHeight="1" x14ac:dyDescent="0.3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8" customHeight="1" x14ac:dyDescent="0.3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8" customHeight="1" x14ac:dyDescent="0.3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8" customHeight="1" x14ac:dyDescent="0.3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8" customHeight="1" x14ac:dyDescent="0.3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8" customHeight="1" x14ac:dyDescent="0.3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8" customHeight="1" x14ac:dyDescent="0.3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8" customHeight="1" x14ac:dyDescent="0.3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8" customHeight="1" x14ac:dyDescent="0.3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8" customHeight="1" x14ac:dyDescent="0.3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8" customHeight="1" x14ac:dyDescent="0.3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8" customHeight="1" x14ac:dyDescent="0.3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8" customHeight="1" x14ac:dyDescent="0.3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8" customHeight="1" x14ac:dyDescent="0.3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8" customHeight="1" x14ac:dyDescent="0.3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8" customHeight="1" x14ac:dyDescent="0.3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8" customHeight="1" x14ac:dyDescent="0.3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8" customHeight="1" x14ac:dyDescent="0.3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8" customHeight="1" x14ac:dyDescent="0.3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8" customHeight="1" x14ac:dyDescent="0.3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8" customHeight="1" x14ac:dyDescent="0.3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8" customHeight="1" x14ac:dyDescent="0.3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8" customHeight="1" x14ac:dyDescent="0.3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8" customHeight="1" x14ac:dyDescent="0.3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8" customHeight="1" x14ac:dyDescent="0.3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8" customHeight="1" x14ac:dyDescent="0.3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8" customHeight="1" x14ac:dyDescent="0.3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8" customHeight="1" x14ac:dyDescent="0.3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8" customHeight="1" x14ac:dyDescent="0.3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8" customHeight="1" x14ac:dyDescent="0.3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8" customHeight="1" x14ac:dyDescent="0.3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8" customHeight="1" x14ac:dyDescent="0.3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8" customHeight="1" x14ac:dyDescent="0.3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8" customHeight="1" x14ac:dyDescent="0.3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8" customHeight="1" x14ac:dyDescent="0.3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8" customHeight="1" x14ac:dyDescent="0.3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8" customHeight="1" x14ac:dyDescent="0.3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8" customHeight="1" x14ac:dyDescent="0.3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8" customHeight="1" x14ac:dyDescent="0.3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8" customHeight="1" x14ac:dyDescent="0.3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8" customHeight="1" x14ac:dyDescent="0.3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8" customHeight="1" x14ac:dyDescent="0.3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8" customHeight="1" x14ac:dyDescent="0.3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8" customHeight="1" x14ac:dyDescent="0.3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8" customHeight="1" x14ac:dyDescent="0.3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8" customHeight="1" x14ac:dyDescent="0.3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8" customHeight="1" x14ac:dyDescent="0.3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8" customHeight="1" x14ac:dyDescent="0.3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8" customHeight="1" x14ac:dyDescent="0.3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8" customHeight="1" x14ac:dyDescent="0.3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8" customHeight="1" x14ac:dyDescent="0.3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8" customHeight="1" x14ac:dyDescent="0.3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8" customHeight="1" x14ac:dyDescent="0.3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8" customHeight="1" x14ac:dyDescent="0.3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8" customHeight="1" x14ac:dyDescent="0.3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8" customHeight="1" x14ac:dyDescent="0.3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8" customHeight="1" x14ac:dyDescent="0.3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8" customHeight="1" x14ac:dyDescent="0.3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8" customHeight="1" x14ac:dyDescent="0.3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8" customHeight="1" x14ac:dyDescent="0.3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8" customHeight="1" x14ac:dyDescent="0.3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8" customHeight="1" x14ac:dyDescent="0.3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8" customHeight="1" x14ac:dyDescent="0.3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8" customHeight="1" x14ac:dyDescent="0.3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8" customHeight="1" x14ac:dyDescent="0.3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8" customHeight="1" x14ac:dyDescent="0.3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8" customHeight="1" x14ac:dyDescent="0.3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8" customHeight="1" x14ac:dyDescent="0.3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8" customHeight="1" x14ac:dyDescent="0.3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8" customHeight="1" x14ac:dyDescent="0.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8" customHeight="1" x14ac:dyDescent="0.3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8" customHeight="1" x14ac:dyDescent="0.3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8" customHeight="1" x14ac:dyDescent="0.3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8" customHeight="1" x14ac:dyDescent="0.3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8" customHeight="1" x14ac:dyDescent="0.3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8" customHeight="1" x14ac:dyDescent="0.3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8" customHeight="1" x14ac:dyDescent="0.3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8" customHeight="1" x14ac:dyDescent="0.3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8" customHeight="1" x14ac:dyDescent="0.3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8" customHeight="1" x14ac:dyDescent="0.3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8" customHeight="1" x14ac:dyDescent="0.3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8" customHeight="1" x14ac:dyDescent="0.3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8" customHeight="1" x14ac:dyDescent="0.3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8" customHeight="1" x14ac:dyDescent="0.3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8" customHeight="1" x14ac:dyDescent="0.3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8" customHeight="1" x14ac:dyDescent="0.3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8" customHeight="1" x14ac:dyDescent="0.3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8" customHeight="1" x14ac:dyDescent="0.3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8" customHeight="1" x14ac:dyDescent="0.3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8" customHeight="1" x14ac:dyDescent="0.3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8" customHeight="1" x14ac:dyDescent="0.3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8" customHeight="1" x14ac:dyDescent="0.3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8" customHeight="1" x14ac:dyDescent="0.3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8" customHeight="1" x14ac:dyDescent="0.3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8" customHeight="1" x14ac:dyDescent="0.3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8" customHeight="1" x14ac:dyDescent="0.3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8" customHeight="1" x14ac:dyDescent="0.3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8" customHeight="1" x14ac:dyDescent="0.3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8" customHeight="1" x14ac:dyDescent="0.3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8" customHeight="1" x14ac:dyDescent="0.3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8" customHeight="1" x14ac:dyDescent="0.3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8" customHeight="1" x14ac:dyDescent="0.3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8" customHeight="1" x14ac:dyDescent="0.3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8" customHeight="1" x14ac:dyDescent="0.3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8" customHeight="1" x14ac:dyDescent="0.3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8" customHeight="1" x14ac:dyDescent="0.3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8" customHeight="1" x14ac:dyDescent="0.3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8" customHeight="1" x14ac:dyDescent="0.3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8" customHeight="1" x14ac:dyDescent="0.3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8" customHeight="1" x14ac:dyDescent="0.3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8" customHeight="1" x14ac:dyDescent="0.3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8" customHeight="1" x14ac:dyDescent="0.3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8" customHeight="1" x14ac:dyDescent="0.3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8" customHeight="1" x14ac:dyDescent="0.3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8" customHeight="1" x14ac:dyDescent="0.3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8" customHeight="1" x14ac:dyDescent="0.3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8" customHeight="1" x14ac:dyDescent="0.3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8" customHeight="1" x14ac:dyDescent="0.3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8" customHeight="1" x14ac:dyDescent="0.3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8" customHeight="1" x14ac:dyDescent="0.3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8" customHeight="1" x14ac:dyDescent="0.3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8" customHeight="1" x14ac:dyDescent="0.3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8" customHeight="1" x14ac:dyDescent="0.3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8" customHeight="1" x14ac:dyDescent="0.3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8" customHeight="1" x14ac:dyDescent="0.3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8" customHeight="1" x14ac:dyDescent="0.3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8" customHeight="1" x14ac:dyDescent="0.3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8" customHeight="1" x14ac:dyDescent="0.3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8" customHeight="1" x14ac:dyDescent="0.3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8" customHeight="1" x14ac:dyDescent="0.3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8" customHeight="1" x14ac:dyDescent="0.3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8" customHeight="1" x14ac:dyDescent="0.3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8" customHeight="1" x14ac:dyDescent="0.3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8" customHeight="1" x14ac:dyDescent="0.3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8" customHeight="1" x14ac:dyDescent="0.3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8" customHeight="1" x14ac:dyDescent="0.3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8" customHeight="1" x14ac:dyDescent="0.3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8" customHeight="1" x14ac:dyDescent="0.3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8" customHeight="1" x14ac:dyDescent="0.3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8" customHeight="1" x14ac:dyDescent="0.3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8" customHeight="1" x14ac:dyDescent="0.3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8" customHeight="1" x14ac:dyDescent="0.3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8" customHeight="1" x14ac:dyDescent="0.3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8" customHeight="1" x14ac:dyDescent="0.3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8" customHeight="1" x14ac:dyDescent="0.3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8" customHeight="1" x14ac:dyDescent="0.3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8" customHeight="1" x14ac:dyDescent="0.3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8" customHeight="1" x14ac:dyDescent="0.3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8" customHeight="1" x14ac:dyDescent="0.3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8" customHeight="1" x14ac:dyDescent="0.3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8" customHeight="1" x14ac:dyDescent="0.3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8" customHeight="1" x14ac:dyDescent="0.3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8" customHeight="1" x14ac:dyDescent="0.3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8" customHeight="1" x14ac:dyDescent="0.3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8" customHeight="1" x14ac:dyDescent="0.3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8" customHeight="1" x14ac:dyDescent="0.3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8" customHeight="1" x14ac:dyDescent="0.3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8" customHeight="1" x14ac:dyDescent="0.3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8" customHeight="1" x14ac:dyDescent="0.3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8" customHeight="1" x14ac:dyDescent="0.3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8" customHeight="1" x14ac:dyDescent="0.3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8" customHeight="1" x14ac:dyDescent="0.3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8" customHeight="1" x14ac:dyDescent="0.3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8" customHeight="1" x14ac:dyDescent="0.3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8" customHeight="1" x14ac:dyDescent="0.3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8" customHeight="1" x14ac:dyDescent="0.3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8" customHeight="1" x14ac:dyDescent="0.3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8" customHeight="1" x14ac:dyDescent="0.3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8" customHeight="1" x14ac:dyDescent="0.3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8" customHeight="1" x14ac:dyDescent="0.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8" customHeight="1" x14ac:dyDescent="0.3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8" customHeight="1" x14ac:dyDescent="0.3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8" customHeight="1" x14ac:dyDescent="0.3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8" customHeight="1" x14ac:dyDescent="0.3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8" customHeight="1" x14ac:dyDescent="0.3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8" customHeight="1" x14ac:dyDescent="0.3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8" customHeight="1" x14ac:dyDescent="0.3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8" customHeight="1" x14ac:dyDescent="0.3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8" customHeight="1" x14ac:dyDescent="0.3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8" customHeight="1" x14ac:dyDescent="0.3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8" customHeight="1" x14ac:dyDescent="0.3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8" customHeight="1" x14ac:dyDescent="0.3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8" customHeight="1" x14ac:dyDescent="0.3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8" customHeight="1" x14ac:dyDescent="0.3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8" customHeight="1" x14ac:dyDescent="0.3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8" customHeight="1" x14ac:dyDescent="0.3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8" customHeight="1" x14ac:dyDescent="0.3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8" customHeight="1" x14ac:dyDescent="0.3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8" customHeight="1" x14ac:dyDescent="0.3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8" customHeight="1" x14ac:dyDescent="0.3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8" customHeight="1" x14ac:dyDescent="0.3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8" customHeight="1" x14ac:dyDescent="0.3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8" customHeight="1" x14ac:dyDescent="0.3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8" customHeight="1" x14ac:dyDescent="0.3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8" customHeight="1" x14ac:dyDescent="0.3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8" customHeight="1" x14ac:dyDescent="0.3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8" customHeight="1" x14ac:dyDescent="0.3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8" customHeight="1" x14ac:dyDescent="0.3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8" customHeight="1" x14ac:dyDescent="0.3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8" customHeight="1" x14ac:dyDescent="0.3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8" customHeight="1" x14ac:dyDescent="0.3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8" customHeight="1" x14ac:dyDescent="0.3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8" customHeight="1" x14ac:dyDescent="0.3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8" customHeight="1" x14ac:dyDescent="0.3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8" customHeight="1" x14ac:dyDescent="0.3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8" customHeight="1" x14ac:dyDescent="0.3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8" customHeight="1" x14ac:dyDescent="0.3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8" customHeight="1" x14ac:dyDescent="0.3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8" customHeight="1" x14ac:dyDescent="0.3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8" customHeight="1" x14ac:dyDescent="0.3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8" customHeight="1" x14ac:dyDescent="0.3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8" customHeight="1" x14ac:dyDescent="0.3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8" customHeight="1" x14ac:dyDescent="0.3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8" customHeight="1" x14ac:dyDescent="0.3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8" customHeight="1" x14ac:dyDescent="0.3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8" customHeight="1" x14ac:dyDescent="0.3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8" customHeight="1" x14ac:dyDescent="0.3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8" customHeight="1" x14ac:dyDescent="0.3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8" customHeight="1" x14ac:dyDescent="0.3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8" customHeight="1" x14ac:dyDescent="0.3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8" customHeight="1" x14ac:dyDescent="0.3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8" customHeight="1" x14ac:dyDescent="0.3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8" customHeight="1" x14ac:dyDescent="0.3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8" customHeight="1" x14ac:dyDescent="0.3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8" customHeight="1" x14ac:dyDescent="0.3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8" customHeight="1" x14ac:dyDescent="0.3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8" customHeight="1" x14ac:dyDescent="0.3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8" customHeight="1" x14ac:dyDescent="0.3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8" customHeight="1" x14ac:dyDescent="0.3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8" customHeight="1" x14ac:dyDescent="0.3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8" customHeight="1" x14ac:dyDescent="0.3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8" customHeight="1" x14ac:dyDescent="0.3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8" customHeight="1" x14ac:dyDescent="0.3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8" customHeight="1" x14ac:dyDescent="0.3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8" customHeight="1" x14ac:dyDescent="0.3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8" customHeight="1" x14ac:dyDescent="0.3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8" customHeight="1" x14ac:dyDescent="0.3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8" customHeight="1" x14ac:dyDescent="0.3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8" customHeight="1" x14ac:dyDescent="0.3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8" customHeight="1" x14ac:dyDescent="0.3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8" customHeight="1" x14ac:dyDescent="0.3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8" customHeight="1" x14ac:dyDescent="0.3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8" customHeight="1" x14ac:dyDescent="0.3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8" customHeight="1" x14ac:dyDescent="0.3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8" customHeight="1" x14ac:dyDescent="0.3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8" customHeight="1" x14ac:dyDescent="0.3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8" customHeight="1" x14ac:dyDescent="0.3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8" customHeight="1" x14ac:dyDescent="0.3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8" customHeight="1" x14ac:dyDescent="0.3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8" customHeight="1" x14ac:dyDescent="0.3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8" customHeight="1" x14ac:dyDescent="0.3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8" customHeight="1" x14ac:dyDescent="0.3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8" customHeight="1" x14ac:dyDescent="0.3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8" customHeight="1" x14ac:dyDescent="0.3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8" customHeight="1" x14ac:dyDescent="0.3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8" customHeight="1" x14ac:dyDescent="0.3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8" customHeight="1" x14ac:dyDescent="0.3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8" customHeight="1" x14ac:dyDescent="0.3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8" customHeight="1" x14ac:dyDescent="0.3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8" customHeight="1" x14ac:dyDescent="0.3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8" customHeight="1" x14ac:dyDescent="0.3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8" customHeight="1" x14ac:dyDescent="0.3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8" customHeight="1" x14ac:dyDescent="0.3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8" customHeight="1" x14ac:dyDescent="0.3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8" customHeight="1" x14ac:dyDescent="0.3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8" customHeight="1" x14ac:dyDescent="0.3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8" customHeight="1" x14ac:dyDescent="0.3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8" customHeight="1" x14ac:dyDescent="0.3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8" customHeight="1" x14ac:dyDescent="0.3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8" customHeight="1" x14ac:dyDescent="0.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8" customHeight="1" x14ac:dyDescent="0.3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8" customHeight="1" x14ac:dyDescent="0.3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8" customHeight="1" x14ac:dyDescent="0.3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8" customHeight="1" x14ac:dyDescent="0.3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8" customHeight="1" x14ac:dyDescent="0.3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8" customHeight="1" x14ac:dyDescent="0.3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8" customHeight="1" x14ac:dyDescent="0.3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8" customHeight="1" x14ac:dyDescent="0.3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8" customHeight="1" x14ac:dyDescent="0.3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8" customHeight="1" x14ac:dyDescent="0.3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8" customHeight="1" x14ac:dyDescent="0.3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8" customHeight="1" x14ac:dyDescent="0.3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8" customHeight="1" x14ac:dyDescent="0.3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8" customHeight="1" x14ac:dyDescent="0.3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8" customHeight="1" x14ac:dyDescent="0.3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8" customHeight="1" x14ac:dyDescent="0.3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8" customHeight="1" x14ac:dyDescent="0.3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8" customHeight="1" x14ac:dyDescent="0.3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8" customHeight="1" x14ac:dyDescent="0.3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8" customHeight="1" x14ac:dyDescent="0.3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8" customHeight="1" x14ac:dyDescent="0.3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8" customHeight="1" x14ac:dyDescent="0.3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8" customHeight="1" x14ac:dyDescent="0.3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8" customHeight="1" x14ac:dyDescent="0.3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8" customHeight="1" x14ac:dyDescent="0.3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8" customHeight="1" x14ac:dyDescent="0.3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8" customHeight="1" x14ac:dyDescent="0.3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8" customHeight="1" x14ac:dyDescent="0.3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8" customHeight="1" x14ac:dyDescent="0.3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8" customHeight="1" x14ac:dyDescent="0.3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8" customHeight="1" x14ac:dyDescent="0.3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8" customHeight="1" x14ac:dyDescent="0.3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8" customHeight="1" x14ac:dyDescent="0.3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8" customHeight="1" x14ac:dyDescent="0.3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8" customHeight="1" x14ac:dyDescent="0.3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8" customHeight="1" x14ac:dyDescent="0.3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8" customHeight="1" x14ac:dyDescent="0.3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8" customHeight="1" x14ac:dyDescent="0.3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8" customHeight="1" x14ac:dyDescent="0.3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8" customHeight="1" x14ac:dyDescent="0.3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8" customHeight="1" x14ac:dyDescent="0.3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8" customHeight="1" x14ac:dyDescent="0.3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8" customHeight="1" x14ac:dyDescent="0.3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8" customHeight="1" x14ac:dyDescent="0.3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8" customHeight="1" x14ac:dyDescent="0.3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8" customHeight="1" x14ac:dyDescent="0.3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8" customHeight="1" x14ac:dyDescent="0.3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8" customHeight="1" x14ac:dyDescent="0.3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8" customHeight="1" x14ac:dyDescent="0.3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8" customHeight="1" x14ac:dyDescent="0.3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8" customHeight="1" x14ac:dyDescent="0.3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8" customHeight="1" x14ac:dyDescent="0.3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8" customHeight="1" x14ac:dyDescent="0.3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8" customHeight="1" x14ac:dyDescent="0.3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8" customHeight="1" x14ac:dyDescent="0.3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8" customHeight="1" x14ac:dyDescent="0.3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8" customHeight="1" x14ac:dyDescent="0.3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8" customHeight="1" x14ac:dyDescent="0.3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8" customHeight="1" x14ac:dyDescent="0.3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8" customHeight="1" x14ac:dyDescent="0.3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8" customHeight="1" x14ac:dyDescent="0.3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8" customHeight="1" x14ac:dyDescent="0.3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8" customHeight="1" x14ac:dyDescent="0.3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8" customHeight="1" x14ac:dyDescent="0.3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8" customHeight="1" x14ac:dyDescent="0.3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8" customHeight="1" x14ac:dyDescent="0.3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8" customHeight="1" x14ac:dyDescent="0.3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8" customHeight="1" x14ac:dyDescent="0.3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8" customHeight="1" x14ac:dyDescent="0.3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8" customHeight="1" x14ac:dyDescent="0.3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8" customHeight="1" x14ac:dyDescent="0.3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8" customHeight="1" x14ac:dyDescent="0.3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8" customHeight="1" x14ac:dyDescent="0.3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8" customHeight="1" x14ac:dyDescent="0.3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8" customHeight="1" x14ac:dyDescent="0.3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8" customHeight="1" x14ac:dyDescent="0.3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8" customHeight="1" x14ac:dyDescent="0.3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8" customHeight="1" x14ac:dyDescent="0.3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8" customHeight="1" x14ac:dyDescent="0.3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8" customHeight="1" x14ac:dyDescent="0.3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8" customHeight="1" x14ac:dyDescent="0.3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8" customHeight="1" x14ac:dyDescent="0.3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8" customHeight="1" x14ac:dyDescent="0.3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8" customHeight="1" x14ac:dyDescent="0.3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8" customHeight="1" x14ac:dyDescent="0.3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8" customHeight="1" x14ac:dyDescent="0.3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8" customHeight="1" x14ac:dyDescent="0.3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8" customHeight="1" x14ac:dyDescent="0.3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8" customHeight="1" x14ac:dyDescent="0.3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8" customHeight="1" x14ac:dyDescent="0.3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8" customHeight="1" x14ac:dyDescent="0.3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8" customHeight="1" x14ac:dyDescent="0.3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8" customHeight="1" x14ac:dyDescent="0.3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8" customHeight="1" x14ac:dyDescent="0.3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8" customHeight="1" x14ac:dyDescent="0.3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8" customHeight="1" x14ac:dyDescent="0.3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8" customHeight="1" x14ac:dyDescent="0.3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8" customHeight="1" x14ac:dyDescent="0.3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8" customHeight="1" x14ac:dyDescent="0.3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8" customHeight="1" x14ac:dyDescent="0.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8" customHeight="1" x14ac:dyDescent="0.3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8" customHeight="1" x14ac:dyDescent="0.3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8" customHeight="1" x14ac:dyDescent="0.3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8" customHeight="1" x14ac:dyDescent="0.3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8" customHeight="1" x14ac:dyDescent="0.3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8" customHeight="1" x14ac:dyDescent="0.3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8" customHeight="1" x14ac:dyDescent="0.3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8" customHeight="1" x14ac:dyDescent="0.3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8" customHeight="1" x14ac:dyDescent="0.3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8" customHeight="1" x14ac:dyDescent="0.3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8" customHeight="1" x14ac:dyDescent="0.3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8" customHeight="1" x14ac:dyDescent="0.3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8" customHeight="1" x14ac:dyDescent="0.3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8" customHeight="1" x14ac:dyDescent="0.3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8" customHeight="1" x14ac:dyDescent="0.3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8" customHeight="1" x14ac:dyDescent="0.3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8" customHeight="1" x14ac:dyDescent="0.3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8" customHeight="1" x14ac:dyDescent="0.3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8" customHeight="1" x14ac:dyDescent="0.3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8" customHeight="1" x14ac:dyDescent="0.3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8" customHeight="1" x14ac:dyDescent="0.3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8" customHeight="1" x14ac:dyDescent="0.3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8" customHeight="1" x14ac:dyDescent="0.3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8" customHeight="1" x14ac:dyDescent="0.3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8" customHeight="1" x14ac:dyDescent="0.3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8" customHeight="1" x14ac:dyDescent="0.3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8" customHeight="1" x14ac:dyDescent="0.3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8" customHeight="1" x14ac:dyDescent="0.3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8" customHeight="1" x14ac:dyDescent="0.3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8" customHeight="1" x14ac:dyDescent="0.3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8" customHeight="1" x14ac:dyDescent="0.3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8" customHeight="1" x14ac:dyDescent="0.3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8" customHeight="1" x14ac:dyDescent="0.3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8" customHeight="1" x14ac:dyDescent="0.3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8" customHeight="1" x14ac:dyDescent="0.3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8" customHeight="1" x14ac:dyDescent="0.3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8" customHeight="1" x14ac:dyDescent="0.3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8" customHeight="1" x14ac:dyDescent="0.3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8" customHeight="1" x14ac:dyDescent="0.3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8" customHeight="1" x14ac:dyDescent="0.3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8" customHeight="1" x14ac:dyDescent="0.3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8" customHeight="1" x14ac:dyDescent="0.3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8" customHeight="1" x14ac:dyDescent="0.3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8" customHeight="1" x14ac:dyDescent="0.3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8" customHeight="1" x14ac:dyDescent="0.3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8" customHeight="1" x14ac:dyDescent="0.3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8" customHeight="1" x14ac:dyDescent="0.3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8" customHeight="1" x14ac:dyDescent="0.3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8" customHeight="1" x14ac:dyDescent="0.3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8" customHeight="1" x14ac:dyDescent="0.3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8" customHeight="1" x14ac:dyDescent="0.3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8" customHeight="1" x14ac:dyDescent="0.3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8" customHeight="1" x14ac:dyDescent="0.3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8" customHeight="1" x14ac:dyDescent="0.3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8" customHeight="1" x14ac:dyDescent="0.3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8" customHeight="1" x14ac:dyDescent="0.3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8" customHeight="1" x14ac:dyDescent="0.3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8" customHeight="1" x14ac:dyDescent="0.3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8" customHeight="1" x14ac:dyDescent="0.3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8" customHeight="1" x14ac:dyDescent="0.3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8" customHeight="1" x14ac:dyDescent="0.3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8" customHeight="1" x14ac:dyDescent="0.3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8" customHeight="1" x14ac:dyDescent="0.3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8" customHeight="1" x14ac:dyDescent="0.3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8" customHeight="1" x14ac:dyDescent="0.3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9">
    <mergeCell ref="C59:G59"/>
    <mergeCell ref="C208:G213"/>
    <mergeCell ref="A1:K2"/>
    <mergeCell ref="E13:G13"/>
    <mergeCell ref="E14:G14"/>
    <mergeCell ref="F18:G18"/>
    <mergeCell ref="F19:G19"/>
    <mergeCell ref="F21:G21"/>
    <mergeCell ref="B60:G63"/>
  </mergeCells>
  <conditionalFormatting sqref="C3">
    <cfRule type="containsText" dxfId="36" priority="1" operator="containsText" text="Boulons et Platines">
      <formula>NOT(ISERROR(SEARCH(("Boulons et Platines"),(C3))))</formula>
    </cfRule>
  </conditionalFormatting>
  <conditionalFormatting sqref="F3">
    <cfRule type="containsText" dxfId="35" priority="2" operator="containsText" text="Boulons et Platines">
      <formula>NOT(ISERROR(SEARCH(("Boulons et Platines"),(F3))))</formula>
    </cfRule>
  </conditionalFormatting>
  <dataValidations count="8">
    <dataValidation type="list" allowBlank="1" showErrorMessage="1" sqref="F15 F17" xr:uid="{00000000-0002-0000-0900-000000000000}">
      <formula1>$A$197:$A$198</formula1>
    </dataValidation>
    <dataValidation type="list" allowBlank="1" showErrorMessage="1" sqref="C17" xr:uid="{00000000-0002-0000-0900-000001000000}">
      <formula1>$A$169:$A$175</formula1>
    </dataValidation>
    <dataValidation type="list" allowBlank="1" showErrorMessage="1" sqref="C21" xr:uid="{00000000-0002-0000-0900-000002000000}">
      <formula1>$A$180:$A$181</formula1>
    </dataValidation>
    <dataValidation type="list" allowBlank="1" showErrorMessage="1" sqref="C13" xr:uid="{00000000-0002-0000-0900-000003000000}">
      <formula1>$A$160:$A$161</formula1>
    </dataValidation>
    <dataValidation type="list" allowBlank="1" showErrorMessage="1" sqref="F19" xr:uid="{00000000-0002-0000-0900-000004000000}">
      <formula1>$A$193:$A$195</formula1>
    </dataValidation>
    <dataValidation type="list" allowBlank="1" showErrorMessage="1" sqref="F21" xr:uid="{00000000-0002-0000-0900-000005000000}">
      <formula1>$A$203:$A$207</formula1>
    </dataValidation>
    <dataValidation type="list" allowBlank="1" showErrorMessage="1" sqref="C15" xr:uid="{00000000-0002-0000-0900-000007000000}">
      <formula1>#REF!</formula1>
    </dataValidation>
    <dataValidation type="list" allowBlank="1" showErrorMessage="1" sqref="C19" xr:uid="{00000000-0002-0000-0900-000009000000}">
      <formula1>$A$177:$A$178</formula1>
    </dataValidation>
  </dataValidations>
  <pageMargins left="0.9055118110236221" right="0.51181102362204722" top="0.55118110236220474" bottom="1.1417322834645669" header="0" footer="0"/>
  <pageSetup paperSize="9" orientation="landscape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ErrorMessage="1" xr:uid="{00000000-0002-0000-0900-000006000000}">
          <x14:formula1>
            <xm:f>'Infos Clients'!$B$2:$B$10</xm:f>
          </x14:formula1>
          <xm:sqref>F10</xm:sqref>
        </x14:dataValidation>
        <x14:dataValidation type="list" allowBlank="1" showErrorMessage="1" xr:uid="{00000000-0002-0000-0900-000008000000}">
          <x14:formula1>
            <xm:f>'Infos Clients'!$A$19:$A$20</xm:f>
          </x14:formula1>
          <xm:sqref>F9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FFC000"/>
    <pageSetUpPr fitToPage="1"/>
  </sheetPr>
  <dimension ref="A1:Z1000"/>
  <sheetViews>
    <sheetView topLeftCell="A5" workbookViewId="0">
      <selection sqref="A1:K2"/>
    </sheetView>
  </sheetViews>
  <sheetFormatPr baseColWidth="10" defaultColWidth="14.44140625" defaultRowHeight="15" customHeight="1" x14ac:dyDescent="0.3"/>
  <cols>
    <col min="1" max="1" width="29.33203125" customWidth="1"/>
    <col min="2" max="2" width="27.109375" customWidth="1"/>
    <col min="3" max="3" width="26.6640625" customWidth="1"/>
    <col min="4" max="4" width="22.6640625" customWidth="1"/>
    <col min="5" max="5" width="25.33203125" customWidth="1"/>
    <col min="6" max="6" width="18.109375" customWidth="1"/>
    <col min="7" max="7" width="30.6640625" customWidth="1"/>
    <col min="8" max="8" width="23.88671875" customWidth="1"/>
    <col min="9" max="12" width="18.88671875" customWidth="1"/>
    <col min="13" max="13" width="14.44140625" customWidth="1"/>
    <col min="14" max="14" width="18.33203125" customWidth="1"/>
    <col min="15" max="15" width="14.5546875" customWidth="1"/>
    <col min="16" max="26" width="11.44140625" customWidth="1"/>
  </cols>
  <sheetData>
    <row r="1" spans="1:26" ht="18" customHeight="1" x14ac:dyDescent="0.35">
      <c r="A1" s="1161" t="s">
        <v>294</v>
      </c>
      <c r="B1" s="1085"/>
      <c r="C1" s="1085"/>
      <c r="D1" s="1085"/>
      <c r="E1" s="1085"/>
      <c r="F1" s="1085"/>
      <c r="G1" s="1085"/>
      <c r="H1" s="1085"/>
      <c r="I1" s="1085"/>
      <c r="J1" s="1085"/>
      <c r="K1" s="1086"/>
      <c r="L1" s="468"/>
      <c r="M1" s="468"/>
      <c r="N1" s="468"/>
      <c r="O1" s="468"/>
      <c r="P1" s="468"/>
      <c r="Q1" s="468"/>
      <c r="R1" s="468"/>
      <c r="S1" s="468"/>
      <c r="T1" s="468"/>
      <c r="U1" s="468"/>
      <c r="V1" s="468"/>
      <c r="W1" s="468"/>
      <c r="X1" s="468"/>
      <c r="Y1" s="468"/>
      <c r="Z1" s="468"/>
    </row>
    <row r="2" spans="1:26" ht="18" customHeight="1" x14ac:dyDescent="0.35">
      <c r="A2" s="1087"/>
      <c r="B2" s="1088"/>
      <c r="C2" s="1088"/>
      <c r="D2" s="1088"/>
      <c r="E2" s="1088"/>
      <c r="F2" s="1088"/>
      <c r="G2" s="1088"/>
      <c r="H2" s="1088"/>
      <c r="I2" s="1088"/>
      <c r="J2" s="1088"/>
      <c r="K2" s="1089"/>
      <c r="L2" s="468"/>
      <c r="M2" s="468"/>
      <c r="N2" s="468"/>
      <c r="O2" s="468"/>
      <c r="P2" s="468"/>
      <c r="Q2" s="468"/>
      <c r="R2" s="468"/>
      <c r="S2" s="468"/>
      <c r="T2" s="468"/>
      <c r="U2" s="468"/>
      <c r="V2" s="468"/>
      <c r="W2" s="468"/>
      <c r="X2" s="468"/>
      <c r="Y2" s="468"/>
      <c r="Z2" s="468"/>
    </row>
    <row r="3" spans="1:26" ht="21" customHeight="1" x14ac:dyDescent="0.35">
      <c r="A3" s="1162"/>
      <c r="B3" s="1163" t="str">
        <f>VLOOKUP($F$10,'Infos Clients'!$B$2:$G$10,2)</f>
        <v>#VALUE!</v>
      </c>
      <c r="C3" s="1086"/>
      <c r="D3" s="468"/>
      <c r="E3" s="468"/>
      <c r="F3" s="468"/>
      <c r="G3" s="468"/>
      <c r="H3" s="468"/>
      <c r="I3" s="468"/>
      <c r="J3" s="468"/>
      <c r="K3" s="468"/>
      <c r="L3" s="468"/>
      <c r="M3" s="468"/>
      <c r="N3" s="468"/>
      <c r="O3" s="468"/>
      <c r="P3" s="468"/>
      <c r="Q3" s="468"/>
      <c r="R3" s="468"/>
      <c r="S3" s="468"/>
      <c r="T3" s="468"/>
      <c r="U3" s="468"/>
      <c r="V3" s="468"/>
      <c r="W3" s="468"/>
      <c r="X3" s="468"/>
      <c r="Y3" s="468"/>
      <c r="Z3" s="468"/>
    </row>
    <row r="4" spans="1:26" ht="19.5" customHeight="1" x14ac:dyDescent="0.35">
      <c r="A4" s="1108"/>
      <c r="B4" s="1091"/>
      <c r="C4" s="1092"/>
      <c r="D4" s="468"/>
      <c r="E4" s="468"/>
      <c r="F4" s="468"/>
      <c r="G4" s="468"/>
      <c r="H4" s="468"/>
      <c r="I4" s="468"/>
      <c r="J4" s="468"/>
      <c r="K4" s="468"/>
      <c r="L4" s="468"/>
      <c r="M4" s="468"/>
      <c r="N4" s="468"/>
      <c r="O4" s="468"/>
      <c r="P4" s="468"/>
      <c r="Q4" s="468"/>
      <c r="R4" s="468"/>
      <c r="S4" s="468"/>
      <c r="T4" s="468"/>
      <c r="U4" s="468"/>
      <c r="V4" s="468"/>
      <c r="W4" s="468"/>
      <c r="X4" s="468"/>
      <c r="Y4" s="468"/>
      <c r="Z4" s="468"/>
    </row>
    <row r="5" spans="1:26" ht="18" customHeight="1" x14ac:dyDescent="0.35">
      <c r="A5" s="468"/>
      <c r="B5" s="1091"/>
      <c r="C5" s="1092"/>
      <c r="D5" s="468"/>
      <c r="E5" s="468"/>
      <c r="F5" s="468"/>
      <c r="G5" s="468"/>
      <c r="H5" s="468"/>
      <c r="I5" s="468"/>
      <c r="J5" s="468"/>
      <c r="K5" s="468"/>
      <c r="L5" s="468"/>
      <c r="M5" s="468"/>
      <c r="N5" s="468"/>
      <c r="O5" s="468"/>
      <c r="P5" s="468"/>
      <c r="Q5" s="468"/>
      <c r="R5" s="468"/>
      <c r="S5" s="468"/>
      <c r="T5" s="468"/>
      <c r="U5" s="468"/>
      <c r="V5" s="468"/>
      <c r="W5" s="468"/>
      <c r="X5" s="468"/>
      <c r="Y5" s="468"/>
      <c r="Z5" s="468"/>
    </row>
    <row r="6" spans="1:26" ht="18" customHeight="1" x14ac:dyDescent="0.35">
      <c r="A6" s="468"/>
      <c r="B6" s="1091"/>
      <c r="C6" s="1092"/>
      <c r="D6" s="468"/>
      <c r="E6" s="468"/>
      <c r="F6" s="468"/>
      <c r="G6" s="468"/>
      <c r="H6" s="468"/>
      <c r="I6" s="468"/>
      <c r="J6" s="468"/>
      <c r="K6" s="468"/>
      <c r="L6" s="468"/>
      <c r="M6" s="468"/>
      <c r="N6" s="468"/>
      <c r="O6" s="468"/>
      <c r="P6" s="468"/>
      <c r="Q6" s="468"/>
      <c r="R6" s="468"/>
      <c r="S6" s="468"/>
      <c r="T6" s="468"/>
      <c r="U6" s="468"/>
      <c r="V6" s="468"/>
      <c r="W6" s="468"/>
      <c r="X6" s="468"/>
      <c r="Y6" s="468"/>
      <c r="Z6" s="468"/>
    </row>
    <row r="7" spans="1:26" ht="18" customHeight="1" x14ac:dyDescent="0.35">
      <c r="A7" s="468"/>
      <c r="B7" s="1087"/>
      <c r="C7" s="1089"/>
      <c r="D7" s="468"/>
      <c r="E7" s="468"/>
      <c r="F7" s="468"/>
      <c r="G7" s="468"/>
      <c r="H7" s="468"/>
      <c r="I7" s="468"/>
      <c r="J7" s="468"/>
      <c r="K7" s="468"/>
      <c r="L7" s="468"/>
      <c r="M7" s="468"/>
      <c r="N7" s="468"/>
      <c r="O7" s="468"/>
      <c r="P7" s="468"/>
      <c r="Q7" s="468"/>
      <c r="R7" s="468"/>
      <c r="S7" s="468"/>
      <c r="T7" s="468"/>
      <c r="U7" s="468"/>
      <c r="V7" s="468"/>
      <c r="W7" s="468"/>
      <c r="X7" s="468"/>
      <c r="Y7" s="468"/>
      <c r="Z7" s="468"/>
    </row>
    <row r="8" spans="1:26" ht="18" customHeight="1" x14ac:dyDescent="0.35">
      <c r="A8" s="468"/>
      <c r="B8" s="468"/>
      <c r="C8" s="468"/>
      <c r="D8" s="468"/>
      <c r="E8" s="468"/>
      <c r="F8" s="468"/>
      <c r="G8" s="468"/>
      <c r="H8" s="468"/>
      <c r="I8" s="468"/>
      <c r="J8" s="468"/>
      <c r="K8" s="468"/>
      <c r="L8" s="468"/>
      <c r="M8" s="468"/>
      <c r="N8" s="468"/>
      <c r="O8" s="468"/>
      <c r="P8" s="468"/>
      <c r="Q8" s="468"/>
      <c r="R8" s="468"/>
      <c r="S8" s="468"/>
      <c r="T8" s="468"/>
      <c r="U8" s="468"/>
      <c r="V8" s="468"/>
      <c r="W8" s="468"/>
      <c r="X8" s="468"/>
      <c r="Y8" s="468"/>
      <c r="Z8" s="468"/>
    </row>
    <row r="9" spans="1:26" ht="18" customHeight="1" x14ac:dyDescent="0.35">
      <c r="A9" s="468"/>
      <c r="B9" s="468" t="s">
        <v>1</v>
      </c>
      <c r="C9" s="20"/>
      <c r="D9" s="468"/>
      <c r="E9" s="469" t="s">
        <v>2</v>
      </c>
      <c r="F9" s="22"/>
      <c r="G9" s="468"/>
      <c r="H9" s="468"/>
      <c r="I9" s="468"/>
      <c r="J9" s="468"/>
      <c r="K9" s="468"/>
      <c r="L9" s="468"/>
      <c r="M9" s="468"/>
      <c r="N9" s="468"/>
      <c r="O9" s="468"/>
      <c r="P9" s="468"/>
      <c r="Q9" s="468"/>
      <c r="R9" s="468"/>
      <c r="S9" s="468"/>
      <c r="T9" s="468"/>
      <c r="U9" s="468"/>
      <c r="V9" s="468"/>
      <c r="W9" s="468"/>
      <c r="X9" s="468"/>
      <c r="Y9" s="468"/>
      <c r="Z9" s="468"/>
    </row>
    <row r="10" spans="1:26" ht="18" customHeight="1" x14ac:dyDescent="0.35">
      <c r="A10" s="468"/>
      <c r="B10" s="468" t="s">
        <v>4</v>
      </c>
      <c r="C10" s="23"/>
      <c r="D10" s="468"/>
      <c r="E10" s="469" t="s">
        <v>5</v>
      </c>
      <c r="F10" s="470" t="s">
        <v>6</v>
      </c>
      <c r="G10" s="468"/>
      <c r="H10" s="468"/>
      <c r="I10" s="468"/>
      <c r="J10" s="468"/>
      <c r="K10" s="468"/>
      <c r="L10" s="468"/>
      <c r="M10" s="468"/>
      <c r="N10" s="468"/>
      <c r="O10" s="468"/>
      <c r="P10" s="468"/>
      <c r="Q10" s="468"/>
      <c r="R10" s="468"/>
      <c r="S10" s="468"/>
      <c r="T10" s="468"/>
      <c r="U10" s="468"/>
      <c r="V10" s="468"/>
      <c r="W10" s="468"/>
      <c r="X10" s="468"/>
      <c r="Y10" s="468"/>
      <c r="Z10" s="468"/>
    </row>
    <row r="11" spans="1:26" ht="18" customHeight="1" x14ac:dyDescent="0.35">
      <c r="A11" s="468"/>
      <c r="B11" s="468" t="s">
        <v>138</v>
      </c>
      <c r="C11" s="23"/>
      <c r="D11" s="468"/>
      <c r="E11" s="469" t="s">
        <v>8</v>
      </c>
      <c r="F11" s="25"/>
      <c r="G11" s="468"/>
      <c r="H11" s="468"/>
      <c r="I11" s="468"/>
      <c r="J11" s="468"/>
      <c r="K11" s="468"/>
      <c r="L11" s="468"/>
      <c r="M11" s="468"/>
      <c r="N11" s="468"/>
      <c r="O11" s="468"/>
      <c r="P11" s="468"/>
      <c r="Q11" s="468"/>
      <c r="R11" s="468"/>
      <c r="S11" s="468"/>
      <c r="T11" s="468"/>
      <c r="U11" s="468"/>
      <c r="V11" s="468"/>
      <c r="W11" s="468"/>
      <c r="X11" s="468"/>
      <c r="Y11" s="468"/>
      <c r="Z11" s="468"/>
    </row>
    <row r="12" spans="1:26" ht="18" customHeight="1" x14ac:dyDescent="0.35">
      <c r="A12" s="468"/>
      <c r="B12" s="468"/>
      <c r="C12" s="469"/>
      <c r="D12" s="468"/>
      <c r="E12" s="468"/>
      <c r="F12" s="468"/>
      <c r="G12" s="468"/>
      <c r="H12" s="468"/>
      <c r="I12" s="468"/>
      <c r="J12" s="468"/>
      <c r="K12" s="468"/>
      <c r="L12" s="468"/>
      <c r="M12" s="468"/>
      <c r="N12" s="468"/>
      <c r="O12" s="468"/>
      <c r="P12" s="468"/>
      <c r="Q12" s="468"/>
      <c r="R12" s="468"/>
      <c r="S12" s="468"/>
      <c r="T12" s="468"/>
      <c r="U12" s="468"/>
      <c r="V12" s="468"/>
      <c r="W12" s="468"/>
      <c r="X12" s="468"/>
      <c r="Y12" s="468"/>
      <c r="Z12" s="468"/>
    </row>
    <row r="13" spans="1:26" ht="18" customHeight="1" x14ac:dyDescent="0.35">
      <c r="A13" s="468"/>
      <c r="B13" s="471" t="s">
        <v>9</v>
      </c>
      <c r="C13" s="470" t="s">
        <v>10</v>
      </c>
      <c r="D13" s="468"/>
      <c r="E13" s="471" t="s">
        <v>23</v>
      </c>
      <c r="F13" s="23" t="s">
        <v>20</v>
      </c>
      <c r="G13" s="468"/>
      <c r="H13" s="468"/>
      <c r="I13" s="468"/>
      <c r="J13" s="468"/>
      <c r="K13" s="468"/>
      <c r="L13" s="468"/>
      <c r="M13" s="468"/>
      <c r="N13" s="468"/>
      <c r="O13" s="468"/>
      <c r="P13" s="468"/>
      <c r="Q13" s="468"/>
      <c r="R13" s="468"/>
      <c r="S13" s="468"/>
      <c r="T13" s="468"/>
      <c r="U13" s="468"/>
      <c r="V13" s="468"/>
      <c r="W13" s="468"/>
      <c r="X13" s="468"/>
      <c r="Y13" s="468"/>
      <c r="Z13" s="468"/>
    </row>
    <row r="14" spans="1:26" ht="18" customHeight="1" x14ac:dyDescent="0.35">
      <c r="A14" s="468"/>
      <c r="B14" s="471"/>
      <c r="C14" s="469"/>
      <c r="D14" s="468"/>
      <c r="E14" s="471" t="s">
        <v>26</v>
      </c>
      <c r="F14" s="23" t="s">
        <v>27</v>
      </c>
      <c r="G14" s="468"/>
      <c r="H14" s="468"/>
      <c r="I14" s="468"/>
      <c r="J14" s="468"/>
      <c r="K14" s="468"/>
      <c r="L14" s="468"/>
      <c r="M14" s="468"/>
      <c r="N14" s="468"/>
      <c r="O14" s="468"/>
      <c r="P14" s="468"/>
      <c r="Q14" s="468"/>
      <c r="R14" s="468"/>
      <c r="S14" s="468"/>
      <c r="T14" s="468"/>
      <c r="U14" s="468"/>
      <c r="V14" s="468"/>
      <c r="W14" s="468"/>
      <c r="X14" s="468"/>
      <c r="Y14" s="468"/>
      <c r="Z14" s="468"/>
    </row>
    <row r="15" spans="1:26" ht="18" customHeight="1" x14ac:dyDescent="0.35">
      <c r="A15" s="468"/>
      <c r="B15" s="471"/>
      <c r="C15" s="469"/>
      <c r="D15" s="468"/>
      <c r="E15" s="471" t="s">
        <v>211</v>
      </c>
      <c r="F15" s="444" t="s">
        <v>20</v>
      </c>
      <c r="G15" s="468"/>
      <c r="H15" s="468"/>
      <c r="I15" s="468"/>
      <c r="J15" s="468"/>
      <c r="K15" s="468"/>
      <c r="L15" s="468"/>
      <c r="M15" s="468"/>
      <c r="N15" s="468"/>
      <c r="O15" s="468"/>
      <c r="P15" s="468"/>
      <c r="Q15" s="468"/>
      <c r="R15" s="468"/>
      <c r="S15" s="468"/>
      <c r="T15" s="468"/>
      <c r="U15" s="468"/>
      <c r="V15" s="468"/>
      <c r="W15" s="468"/>
      <c r="X15" s="468"/>
      <c r="Y15" s="468"/>
      <c r="Z15" s="468"/>
    </row>
    <row r="16" spans="1:26" ht="18" customHeight="1" x14ac:dyDescent="0.35">
      <c r="A16" s="468"/>
      <c r="B16" s="468"/>
      <c r="C16" s="469"/>
      <c r="D16" s="468"/>
      <c r="E16" s="472"/>
      <c r="F16" s="472"/>
      <c r="G16" s="472"/>
      <c r="H16" s="468"/>
      <c r="I16" s="468"/>
      <c r="J16" s="468"/>
      <c r="K16" s="468"/>
      <c r="L16" s="468"/>
      <c r="M16" s="468"/>
      <c r="N16" s="468"/>
      <c r="O16" s="468"/>
      <c r="P16" s="468"/>
      <c r="Q16" s="468"/>
      <c r="R16" s="468"/>
      <c r="S16" s="468"/>
      <c r="T16" s="468"/>
      <c r="U16" s="468"/>
      <c r="V16" s="468"/>
      <c r="W16" s="468"/>
      <c r="X16" s="468"/>
      <c r="Y16" s="468"/>
      <c r="Z16" s="468"/>
    </row>
    <row r="17" spans="1:26" ht="18" customHeight="1" x14ac:dyDescent="0.35">
      <c r="A17" s="468"/>
      <c r="B17" s="471" t="s">
        <v>17</v>
      </c>
      <c r="C17" s="23" t="s">
        <v>18</v>
      </c>
      <c r="D17" s="468"/>
      <c r="E17" s="473" t="s">
        <v>256</v>
      </c>
      <c r="F17" s="474">
        <f>ROUNDUP(C92,0)</f>
        <v>0</v>
      </c>
      <c r="G17" s="468"/>
      <c r="H17" s="468"/>
      <c r="I17" s="468"/>
      <c r="J17" s="468"/>
      <c r="K17" s="468"/>
      <c r="L17" s="468"/>
      <c r="M17" s="468"/>
      <c r="N17" s="468"/>
      <c r="O17" s="468"/>
      <c r="P17" s="468"/>
      <c r="Q17" s="468"/>
      <c r="R17" s="468"/>
      <c r="S17" s="468"/>
      <c r="T17" s="468"/>
      <c r="U17" s="468"/>
      <c r="V17" s="468"/>
      <c r="W17" s="468"/>
      <c r="X17" s="468"/>
      <c r="Y17" s="468"/>
      <c r="Z17" s="468"/>
    </row>
    <row r="18" spans="1:26" ht="18" hidden="1" customHeight="1" x14ac:dyDescent="0.35">
      <c r="A18" s="468"/>
      <c r="B18" s="468"/>
      <c r="C18" s="469"/>
      <c r="D18" s="468"/>
      <c r="E18" s="473" t="s">
        <v>271</v>
      </c>
      <c r="F18" s="475">
        <f>((SUM(M46:M76)+SUM(O46:O76))/0.78)/0.85</f>
        <v>0</v>
      </c>
      <c r="G18" s="468"/>
      <c r="H18" s="468"/>
      <c r="I18" s="468"/>
      <c r="J18" s="468"/>
      <c r="K18" s="468"/>
      <c r="L18" s="468"/>
      <c r="M18" s="468"/>
      <c r="N18" s="468"/>
      <c r="O18" s="468"/>
      <c r="P18" s="468"/>
      <c r="Q18" s="468"/>
      <c r="R18" s="468"/>
      <c r="S18" s="468"/>
      <c r="T18" s="468"/>
      <c r="U18" s="468"/>
      <c r="V18" s="468"/>
      <c r="W18" s="468"/>
      <c r="X18" s="468"/>
      <c r="Y18" s="468"/>
      <c r="Z18" s="468"/>
    </row>
    <row r="19" spans="1:26" ht="18" customHeight="1" x14ac:dyDescent="0.35">
      <c r="A19" s="468"/>
      <c r="B19" s="471" t="s">
        <v>21</v>
      </c>
      <c r="C19" s="23" t="s">
        <v>108</v>
      </c>
      <c r="D19" s="468"/>
      <c r="E19" s="476"/>
      <c r="F19" s="469"/>
      <c r="G19" s="477"/>
      <c r="H19" s="468"/>
      <c r="I19" s="468"/>
      <c r="J19" s="468"/>
      <c r="K19" s="468"/>
      <c r="L19" s="468"/>
      <c r="M19" s="468"/>
      <c r="N19" s="468"/>
      <c r="O19" s="468"/>
      <c r="P19" s="468"/>
      <c r="Q19" s="468"/>
      <c r="R19" s="468"/>
      <c r="S19" s="468"/>
      <c r="T19" s="468"/>
      <c r="U19" s="468"/>
      <c r="V19" s="468"/>
      <c r="W19" s="468"/>
      <c r="X19" s="468"/>
      <c r="Y19" s="468"/>
      <c r="Z19" s="468"/>
    </row>
    <row r="20" spans="1:26" ht="18" customHeight="1" x14ac:dyDescent="0.35">
      <c r="A20" s="468"/>
      <c r="B20" s="471"/>
      <c r="C20" s="468"/>
      <c r="D20" s="468"/>
      <c r="E20" s="477"/>
      <c r="F20" s="477"/>
      <c r="G20" s="477"/>
      <c r="H20" s="468"/>
      <c r="I20" s="468"/>
      <c r="J20" s="468"/>
      <c r="K20" s="468"/>
      <c r="L20" s="468"/>
      <c r="M20" s="468"/>
      <c r="N20" s="468"/>
      <c r="O20" s="468"/>
      <c r="P20" s="468"/>
      <c r="Q20" s="468"/>
      <c r="R20" s="468"/>
      <c r="S20" s="468"/>
      <c r="T20" s="468"/>
      <c r="U20" s="468"/>
      <c r="V20" s="468"/>
      <c r="W20" s="468"/>
      <c r="X20" s="468"/>
      <c r="Y20" s="468"/>
      <c r="Z20" s="468"/>
    </row>
    <row r="21" spans="1:26" ht="18" customHeight="1" x14ac:dyDescent="0.35">
      <c r="A21" s="468"/>
      <c r="B21" s="471"/>
      <c r="C21" s="468"/>
      <c r="D21" s="468"/>
      <c r="E21" s="477"/>
      <c r="F21" s="477"/>
      <c r="G21" s="477"/>
      <c r="H21" s="468"/>
      <c r="I21" s="468"/>
      <c r="J21" s="468"/>
      <c r="K21" s="468"/>
      <c r="L21" s="468"/>
      <c r="M21" s="468"/>
      <c r="N21" s="468"/>
      <c r="O21" s="468"/>
      <c r="P21" s="468"/>
      <c r="Q21" s="468"/>
      <c r="R21" s="468"/>
      <c r="S21" s="468"/>
      <c r="T21" s="468"/>
      <c r="U21" s="468"/>
      <c r="V21" s="468"/>
      <c r="W21" s="468"/>
      <c r="X21" s="468"/>
      <c r="Y21" s="468"/>
      <c r="Z21" s="468"/>
    </row>
    <row r="22" spans="1:26" ht="37.5" hidden="1" customHeight="1" x14ac:dyDescent="0.85">
      <c r="A22" s="468"/>
      <c r="B22" s="1164">
        <f>IF(F10="Bovis","Attention retirer 2 mm aux dimensions transmises",0)</f>
        <v>0</v>
      </c>
      <c r="C22" s="1100"/>
      <c r="D22" s="1100"/>
      <c r="E22" s="1101"/>
      <c r="F22" s="478"/>
      <c r="G22" s="478"/>
      <c r="H22" s="468"/>
      <c r="I22" s="468"/>
      <c r="J22" s="468"/>
      <c r="K22" s="468"/>
      <c r="L22" s="468"/>
      <c r="M22" s="468"/>
      <c r="N22" s="479"/>
      <c r="O22" s="468"/>
      <c r="P22" s="468"/>
      <c r="Q22" s="468"/>
      <c r="R22" s="468"/>
      <c r="S22" s="468"/>
      <c r="T22" s="468"/>
      <c r="U22" s="468"/>
      <c r="V22" s="468"/>
      <c r="W22" s="468"/>
      <c r="X22" s="468"/>
      <c r="Y22" s="468"/>
      <c r="Z22" s="468"/>
    </row>
    <row r="23" spans="1:26" ht="18" customHeight="1" x14ac:dyDescent="0.35">
      <c r="A23" s="480"/>
      <c r="B23" s="481"/>
      <c r="C23" s="482"/>
      <c r="D23" s="482"/>
      <c r="E23" s="483"/>
      <c r="F23" s="483"/>
      <c r="G23" s="483"/>
      <c r="H23" s="482"/>
      <c r="I23" s="482"/>
      <c r="J23" s="482"/>
      <c r="K23" s="484"/>
      <c r="L23" s="468"/>
      <c r="M23" s="468"/>
      <c r="N23" s="468"/>
      <c r="O23" s="468"/>
      <c r="P23" s="468"/>
      <c r="Q23" s="468"/>
      <c r="R23" s="468"/>
      <c r="S23" s="468"/>
      <c r="T23" s="468"/>
      <c r="U23" s="468"/>
      <c r="V23" s="468"/>
      <c r="W23" s="468"/>
      <c r="X23" s="468"/>
      <c r="Y23" s="468"/>
      <c r="Z23" s="468"/>
    </row>
    <row r="24" spans="1:26" ht="18" customHeight="1" x14ac:dyDescent="0.4">
      <c r="A24" s="485" t="str">
        <f>IF(B25="Aucun","Dimensions intérieures utiles","Dimensions de l'œuvre")</f>
        <v>Dimensions de l'œuvre</v>
      </c>
      <c r="B24" s="486" t="s">
        <v>28</v>
      </c>
      <c r="C24" s="486" t="s">
        <v>29</v>
      </c>
      <c r="D24" s="486" t="s">
        <v>30</v>
      </c>
      <c r="E24" s="487"/>
      <c r="F24" s="468"/>
      <c r="G24" s="485" t="str">
        <f>IF(H25="Aucun","Dimensions intérieures utiles","Dimensions de l'œuvre")</f>
        <v>Dimensions de l'œuvre</v>
      </c>
      <c r="H24" s="486" t="s">
        <v>28</v>
      </c>
      <c r="I24" s="486" t="s">
        <v>29</v>
      </c>
      <c r="J24" s="486" t="s">
        <v>30</v>
      </c>
      <c r="K24" s="487"/>
      <c r="L24" s="468"/>
      <c r="M24" s="468"/>
      <c r="N24" s="468"/>
      <c r="O24" s="468"/>
      <c r="P24" s="468"/>
      <c r="Q24" s="468"/>
      <c r="R24" s="468"/>
      <c r="S24" s="468"/>
      <c r="T24" s="468"/>
      <c r="U24" s="468"/>
      <c r="V24" s="468"/>
      <c r="W24" s="468"/>
      <c r="X24" s="468"/>
      <c r="Y24" s="468"/>
      <c r="Z24" s="468"/>
    </row>
    <row r="25" spans="1:26" ht="18" customHeight="1" x14ac:dyDescent="0.4">
      <c r="A25" s="488"/>
      <c r="B25" s="35"/>
      <c r="C25" s="35"/>
      <c r="D25" s="35"/>
      <c r="E25" s="489"/>
      <c r="F25" s="468"/>
      <c r="G25" s="488"/>
      <c r="H25" s="35"/>
      <c r="I25" s="35"/>
      <c r="J25" s="35"/>
      <c r="K25" s="489"/>
      <c r="L25" s="468"/>
      <c r="M25" s="468"/>
      <c r="N25" s="468"/>
      <c r="O25" s="468"/>
      <c r="P25" s="468"/>
      <c r="Q25" s="468"/>
      <c r="R25" s="468"/>
      <c r="S25" s="468"/>
      <c r="T25" s="468"/>
      <c r="U25" s="468"/>
      <c r="V25" s="468"/>
      <c r="W25" s="468"/>
      <c r="X25" s="468"/>
      <c r="Y25" s="468"/>
      <c r="Z25" s="468"/>
    </row>
    <row r="26" spans="1:26" ht="18" customHeight="1" x14ac:dyDescent="0.35">
      <c r="A26" s="490" t="s">
        <v>31</v>
      </c>
      <c r="B26" s="35" t="s">
        <v>16</v>
      </c>
      <c r="C26" s="491"/>
      <c r="D26" s="492"/>
      <c r="E26" s="489"/>
      <c r="F26" s="468"/>
      <c r="G26" s="490" t="s">
        <v>31</v>
      </c>
      <c r="H26" s="35" t="s">
        <v>16</v>
      </c>
      <c r="I26" s="491"/>
      <c r="J26" s="492"/>
      <c r="K26" s="489"/>
      <c r="L26" s="468"/>
      <c r="M26" s="468"/>
      <c r="N26" s="468"/>
      <c r="O26" s="468"/>
      <c r="P26" s="468"/>
      <c r="Q26" s="468"/>
      <c r="R26" s="468"/>
      <c r="S26" s="468"/>
      <c r="T26" s="468"/>
      <c r="U26" s="468"/>
      <c r="V26" s="468"/>
      <c r="W26" s="468"/>
      <c r="X26" s="468"/>
      <c r="Y26" s="468"/>
      <c r="Z26" s="468"/>
    </row>
    <row r="27" spans="1:26" ht="18" customHeight="1" x14ac:dyDescent="0.35">
      <c r="A27" s="493"/>
      <c r="B27" s="494" t="s">
        <v>33</v>
      </c>
      <c r="C27" s="494" t="s">
        <v>28</v>
      </c>
      <c r="D27" s="494" t="s">
        <v>29</v>
      </c>
      <c r="E27" s="489" t="s">
        <v>34</v>
      </c>
      <c r="F27" s="468"/>
      <c r="G27" s="493"/>
      <c r="H27" s="494" t="s">
        <v>33</v>
      </c>
      <c r="I27" s="494" t="s">
        <v>28</v>
      </c>
      <c r="J27" s="494" t="s">
        <v>29</v>
      </c>
      <c r="K27" s="489" t="s">
        <v>34</v>
      </c>
      <c r="L27" s="468"/>
      <c r="M27" s="468"/>
      <c r="N27" s="468"/>
      <c r="O27" s="468"/>
      <c r="P27" s="468"/>
      <c r="Q27" s="468"/>
      <c r="R27" s="468"/>
      <c r="S27" s="468"/>
      <c r="T27" s="468"/>
      <c r="U27" s="468"/>
      <c r="V27" s="468"/>
      <c r="W27" s="468"/>
      <c r="X27" s="468"/>
      <c r="Y27" s="468"/>
      <c r="Z27" s="468"/>
    </row>
    <row r="28" spans="1:26" ht="18" customHeight="1" x14ac:dyDescent="0.35">
      <c r="A28" s="490" t="s">
        <v>35</v>
      </c>
      <c r="B28" s="35"/>
      <c r="C28" s="494"/>
      <c r="D28" s="494"/>
      <c r="E28" s="489"/>
      <c r="F28" s="468"/>
      <c r="G28" s="490" t="s">
        <v>35</v>
      </c>
      <c r="H28" s="35"/>
      <c r="I28" s="494"/>
      <c r="J28" s="494"/>
      <c r="K28" s="489"/>
      <c r="L28" s="468"/>
      <c r="M28" s="468"/>
      <c r="N28" s="468"/>
      <c r="O28" s="468"/>
      <c r="P28" s="468"/>
      <c r="Q28" s="468"/>
      <c r="R28" s="468"/>
      <c r="S28" s="468"/>
      <c r="T28" s="468"/>
      <c r="U28" s="468"/>
      <c r="V28" s="468"/>
      <c r="W28" s="468"/>
      <c r="X28" s="468"/>
      <c r="Y28" s="468"/>
      <c r="Z28" s="468"/>
    </row>
    <row r="29" spans="1:26" ht="18" customHeight="1" x14ac:dyDescent="0.35">
      <c r="A29" s="490" t="s">
        <v>36</v>
      </c>
      <c r="B29" s="35"/>
      <c r="C29" s="494"/>
      <c r="D29" s="494"/>
      <c r="E29" s="489"/>
      <c r="F29" s="468"/>
      <c r="G29" s="490" t="s">
        <v>36</v>
      </c>
      <c r="H29" s="35"/>
      <c r="I29" s="494"/>
      <c r="J29" s="494"/>
      <c r="K29" s="489"/>
      <c r="L29" s="468"/>
      <c r="M29" s="468"/>
      <c r="N29" s="468"/>
      <c r="O29" s="468"/>
      <c r="P29" s="468"/>
      <c r="Q29" s="468"/>
      <c r="R29" s="468"/>
      <c r="S29" s="468"/>
      <c r="T29" s="468"/>
      <c r="U29" s="468"/>
      <c r="V29" s="468"/>
      <c r="W29" s="468"/>
      <c r="X29" s="468"/>
      <c r="Y29" s="468"/>
      <c r="Z29" s="468"/>
    </row>
    <row r="30" spans="1:26" ht="18" customHeight="1" x14ac:dyDescent="0.35">
      <c r="A30" s="179" t="s">
        <v>37</v>
      </c>
      <c r="B30" s="492">
        <f>+IF(B25=0,0,IF(B25&gt;70,12,6))</f>
        <v>0</v>
      </c>
      <c r="C30" s="494"/>
      <c r="D30" s="494"/>
      <c r="E30" s="492">
        <f>IF(B25&gt;300,6,IF(B25&gt;250,5,IF(B25&gt;200,4,IF(B25&gt;150,3,IF(B23&gt;120,3,2)))))</f>
        <v>2</v>
      </c>
      <c r="F30" s="495"/>
      <c r="G30" s="179" t="s">
        <v>37</v>
      </c>
      <c r="H30" s="492">
        <f>+IF(H25=0,0,IF(H25&gt;70,12,6))</f>
        <v>0</v>
      </c>
      <c r="I30" s="494"/>
      <c r="J30" s="494"/>
      <c r="K30" s="492">
        <f>IF(H25&gt;300,6,IF(H25&gt;250,5,IF(H25&gt;200,4,IF(H25&gt;150,3,IF(H23&gt;120,3,2)))))</f>
        <v>2</v>
      </c>
      <c r="L30" s="468"/>
      <c r="M30" s="468"/>
      <c r="N30" s="468"/>
      <c r="O30" s="468"/>
      <c r="P30" s="468"/>
      <c r="Q30" s="468"/>
      <c r="R30" s="468"/>
      <c r="S30" s="468"/>
      <c r="T30" s="468"/>
      <c r="U30" s="468"/>
      <c r="V30" s="468"/>
      <c r="W30" s="468"/>
      <c r="X30" s="468"/>
      <c r="Y30" s="468"/>
      <c r="Z30" s="468"/>
    </row>
    <row r="31" spans="1:26" ht="18" customHeight="1" x14ac:dyDescent="0.35">
      <c r="A31" s="490" t="s">
        <v>39</v>
      </c>
      <c r="B31" s="207"/>
      <c r="C31" s="494"/>
      <c r="D31" s="207"/>
      <c r="E31" s="489"/>
      <c r="F31" s="468"/>
      <c r="G31" s="490" t="s">
        <v>39</v>
      </c>
      <c r="H31" s="207"/>
      <c r="I31" s="494"/>
      <c r="J31" s="181"/>
      <c r="K31" s="489"/>
      <c r="L31" s="468"/>
      <c r="M31" s="468"/>
      <c r="N31" s="468"/>
      <c r="O31" s="468"/>
      <c r="P31" s="468"/>
      <c r="Q31" s="468"/>
      <c r="R31" s="468"/>
      <c r="S31" s="468"/>
      <c r="T31" s="468"/>
      <c r="U31" s="468"/>
      <c r="V31" s="468"/>
      <c r="W31" s="468"/>
      <c r="X31" s="468"/>
      <c r="Y31" s="468"/>
      <c r="Z31" s="468"/>
    </row>
    <row r="32" spans="1:26" ht="18" customHeight="1" x14ac:dyDescent="0.35">
      <c r="A32" s="490" t="s">
        <v>40</v>
      </c>
      <c r="B32" s="207"/>
      <c r="C32" s="207"/>
      <c r="D32" s="207"/>
      <c r="E32" s="489"/>
      <c r="F32" s="468"/>
      <c r="G32" s="490" t="s">
        <v>40</v>
      </c>
      <c r="H32" s="207"/>
      <c r="I32" s="207"/>
      <c r="J32" s="207"/>
      <c r="K32" s="489"/>
      <c r="L32" s="468"/>
      <c r="M32" s="468"/>
      <c r="N32" s="468"/>
      <c r="O32" s="468"/>
      <c r="P32" s="468"/>
      <c r="Q32" s="468"/>
      <c r="R32" s="468"/>
      <c r="S32" s="468"/>
      <c r="T32" s="468"/>
      <c r="U32" s="468"/>
      <c r="V32" s="468"/>
      <c r="W32" s="468"/>
      <c r="X32" s="468"/>
      <c r="Y32" s="468"/>
      <c r="Z32" s="468"/>
    </row>
    <row r="33" spans="1:26" ht="18" customHeight="1" x14ac:dyDescent="0.35">
      <c r="A33" s="496" t="s">
        <v>41</v>
      </c>
      <c r="B33" s="355"/>
      <c r="C33" s="355"/>
      <c r="D33" s="355"/>
      <c r="E33" s="497"/>
      <c r="F33" s="468"/>
      <c r="G33" s="496" t="s">
        <v>41</v>
      </c>
      <c r="H33" s="355"/>
      <c r="I33" s="355"/>
      <c r="J33" s="355"/>
      <c r="K33" s="497"/>
      <c r="L33" s="468"/>
      <c r="M33" s="468"/>
      <c r="N33" s="468"/>
      <c r="O33" s="468"/>
      <c r="P33" s="468"/>
      <c r="Q33" s="468"/>
      <c r="R33" s="468"/>
      <c r="S33" s="468"/>
      <c r="T33" s="468"/>
      <c r="U33" s="468"/>
      <c r="V33" s="468"/>
      <c r="W33" s="468"/>
      <c r="X33" s="468"/>
      <c r="Y33" s="468"/>
      <c r="Z33" s="468"/>
    </row>
    <row r="34" spans="1:26" ht="18" customHeight="1" x14ac:dyDescent="0.35">
      <c r="A34" s="498" t="s">
        <v>142</v>
      </c>
      <c r="B34" s="468">
        <f>IF(B25=0,0,B25+VLOOKUP(B26,$A$112:$L$117,2))</f>
        <v>0</v>
      </c>
      <c r="C34" s="468">
        <f>IF(C25=0,0,C25+VLOOKUP(B26,$A$112:$L$117,3))</f>
        <v>0</v>
      </c>
      <c r="D34" s="499">
        <f>IF(D25=0,0,D25+VLOOKUP(B26,$A$112:$L$117,4))</f>
        <v>0</v>
      </c>
      <c r="E34" s="468"/>
      <c r="F34" s="468"/>
      <c r="G34" s="500" t="s">
        <v>142</v>
      </c>
      <c r="H34" s="482">
        <f>IF(H25=0,0,H25+VLOOKUP(H26,$A$112:$L$117,2))</f>
        <v>0</v>
      </c>
      <c r="I34" s="482">
        <f>IF(I25=0,0,I25+VLOOKUP(H26,$A$112:$L$117,3))</f>
        <v>0</v>
      </c>
      <c r="J34" s="484">
        <f>IF(J25=0,0,J25+VLOOKUP(H26,$A$112:$L$117,4))</f>
        <v>0</v>
      </c>
      <c r="K34" s="468"/>
      <c r="L34" s="468"/>
      <c r="M34" s="468"/>
      <c r="N34" s="468"/>
      <c r="O34" s="468"/>
      <c r="P34" s="468"/>
      <c r="Q34" s="468"/>
      <c r="R34" s="468"/>
      <c r="S34" s="468"/>
      <c r="T34" s="468"/>
      <c r="U34" s="468"/>
      <c r="V34" s="468"/>
      <c r="W34" s="468"/>
      <c r="X34" s="468"/>
      <c r="Y34" s="468"/>
      <c r="Z34" s="468"/>
    </row>
    <row r="35" spans="1:26" ht="21" customHeight="1" x14ac:dyDescent="0.35">
      <c r="A35" s="501" t="s">
        <v>295</v>
      </c>
      <c r="B35" s="502">
        <f>B34+IF(H34=0,0,1.5+H34)</f>
        <v>0</v>
      </c>
      <c r="C35" s="502">
        <f t="shared" ref="C35:D35" si="0">MAX(C34,I34)</f>
        <v>0</v>
      </c>
      <c r="D35" s="503">
        <f t="shared" si="0"/>
        <v>0</v>
      </c>
      <c r="E35" s="504"/>
      <c r="F35" s="504"/>
      <c r="G35" s="505" t="s">
        <v>296</v>
      </c>
      <c r="H35" s="506">
        <f>IF(B35=0,0,B35+3)</f>
        <v>0</v>
      </c>
      <c r="I35" s="506">
        <f>IF(C35=0,0,C35+3.8)</f>
        <v>0</v>
      </c>
      <c r="J35" s="507">
        <f>IF(D35=0,0,D35+3)</f>
        <v>0</v>
      </c>
      <c r="K35" s="504"/>
      <c r="L35" s="504"/>
      <c r="M35" s="504"/>
      <c r="N35" s="504"/>
      <c r="O35" s="504"/>
      <c r="P35" s="504"/>
      <c r="Q35" s="504"/>
      <c r="R35" s="504"/>
      <c r="S35" s="504"/>
      <c r="T35" s="504"/>
      <c r="U35" s="504"/>
      <c r="V35" s="504"/>
      <c r="W35" s="504"/>
      <c r="X35" s="504"/>
      <c r="Y35" s="504"/>
      <c r="Z35" s="504"/>
    </row>
    <row r="36" spans="1:26" ht="18" customHeight="1" x14ac:dyDescent="0.35">
      <c r="A36" s="471"/>
      <c r="B36" s="468"/>
      <c r="C36" s="468"/>
      <c r="D36" s="468"/>
      <c r="E36" s="468"/>
      <c r="F36" s="468"/>
      <c r="G36" s="468"/>
      <c r="H36" s="468"/>
      <c r="I36" s="468"/>
      <c r="J36" s="468"/>
      <c r="K36" s="468"/>
      <c r="L36" s="468"/>
      <c r="M36" s="468"/>
      <c r="N36" s="468"/>
      <c r="O36" s="468"/>
      <c r="P36" s="468"/>
      <c r="Q36" s="468"/>
      <c r="R36" s="468"/>
      <c r="S36" s="468"/>
      <c r="T36" s="468"/>
      <c r="U36" s="468"/>
      <c r="V36" s="468"/>
      <c r="W36" s="468"/>
      <c r="X36" s="468"/>
      <c r="Y36" s="468"/>
      <c r="Z36" s="468"/>
    </row>
    <row r="37" spans="1:26" ht="18" customHeight="1" x14ac:dyDescent="0.35">
      <c r="A37" s="500" t="s">
        <v>45</v>
      </c>
      <c r="B37" s="508">
        <f>Q84</f>
        <v>0</v>
      </c>
      <c r="C37" s="509" t="s">
        <v>46</v>
      </c>
      <c r="D37" s="65" t="s">
        <v>47</v>
      </c>
      <c r="E37" s="468"/>
      <c r="F37" s="468"/>
      <c r="G37" s="471"/>
      <c r="H37" s="468"/>
      <c r="I37" s="468"/>
      <c r="J37" s="468"/>
      <c r="K37" s="468"/>
      <c r="L37" s="468"/>
      <c r="M37" s="468"/>
      <c r="N37" s="468"/>
      <c r="O37" s="468"/>
      <c r="P37" s="468"/>
      <c r="Q37" s="468"/>
      <c r="R37" s="468"/>
      <c r="S37" s="468"/>
      <c r="T37" s="468"/>
      <c r="U37" s="468"/>
      <c r="V37" s="468"/>
      <c r="W37" s="468"/>
      <c r="X37" s="468"/>
      <c r="Y37" s="468"/>
      <c r="Z37" s="468"/>
    </row>
    <row r="38" spans="1:26" ht="18" customHeight="1" x14ac:dyDescent="0.35">
      <c r="A38" s="510" t="s">
        <v>48</v>
      </c>
      <c r="B38" s="511">
        <f>D86</f>
        <v>0</v>
      </c>
      <c r="C38" s="512" t="s">
        <v>49</v>
      </c>
      <c r="D38" s="69">
        <f>R84</f>
        <v>0</v>
      </c>
      <c r="E38" s="513"/>
      <c r="F38" s="468"/>
      <c r="G38" s="468"/>
      <c r="H38" s="468"/>
      <c r="I38" s="468"/>
      <c r="J38" s="468"/>
      <c r="K38" s="468"/>
      <c r="L38" s="514"/>
      <c r="M38" s="514"/>
      <c r="N38" s="515"/>
      <c r="O38" s="514"/>
      <c r="P38" s="468"/>
      <c r="Q38" s="468"/>
      <c r="R38" s="468"/>
      <c r="S38" s="468"/>
      <c r="T38" s="468"/>
      <c r="U38" s="468"/>
      <c r="V38" s="468"/>
      <c r="W38" s="468"/>
      <c r="X38" s="468"/>
      <c r="Y38" s="468"/>
      <c r="Z38" s="468"/>
    </row>
    <row r="39" spans="1:26" ht="18" hidden="1" customHeight="1" x14ac:dyDescent="0.35">
      <c r="A39" s="468"/>
      <c r="B39" s="468"/>
      <c r="C39" s="513"/>
      <c r="D39" s="513"/>
      <c r="E39" s="513"/>
      <c r="F39" s="468"/>
      <c r="G39" s="468"/>
      <c r="H39" s="468"/>
      <c r="I39" s="468"/>
      <c r="J39" s="468"/>
      <c r="K39" s="468"/>
      <c r="L39" s="514"/>
      <c r="M39" s="514"/>
      <c r="N39" s="515"/>
      <c r="O39" s="514"/>
      <c r="P39" s="468"/>
      <c r="Q39" s="468" t="s">
        <v>157</v>
      </c>
      <c r="R39" s="477" t="s">
        <v>52</v>
      </c>
      <c r="S39" s="468"/>
      <c r="T39" s="468"/>
      <c r="U39" s="468"/>
      <c r="V39" s="468"/>
      <c r="W39" s="468"/>
      <c r="X39" s="468"/>
      <c r="Y39" s="468"/>
      <c r="Z39" s="468"/>
    </row>
    <row r="40" spans="1:26" ht="18" hidden="1" customHeight="1" x14ac:dyDescent="0.35">
      <c r="A40" s="516" t="s">
        <v>181</v>
      </c>
      <c r="B40" s="517">
        <f>IF(B35=0,0,"Dessus/Dessous")</f>
        <v>0</v>
      </c>
      <c r="C40" s="518">
        <f>IF(B35=0,0,H35)</f>
        <v>0</v>
      </c>
      <c r="D40" s="518">
        <f>IF(B35=0,0,C35)</f>
        <v>0</v>
      </c>
      <c r="E40" s="518">
        <f>IF(B35=0,0,"Peuplier 15 mm")</f>
        <v>0</v>
      </c>
      <c r="F40" s="487">
        <f>IF(B35=0,0,2)</f>
        <v>0</v>
      </c>
      <c r="G40" s="468"/>
      <c r="H40" s="468"/>
      <c r="I40" s="468"/>
      <c r="J40" s="519">
        <f t="shared" ref="J40:J42" si="1">IF(C40=0,0,(C40/100)*(D40/100)*F40)</f>
        <v>0</v>
      </c>
      <c r="K40" s="519">
        <f t="shared" ref="K40:K42" si="2">J40/0.8</f>
        <v>0</v>
      </c>
      <c r="L40" s="514">
        <f>IF(E40=0,0,VLOOKUP(E40,'Prix Matiere'!$A$4:$J$65,10))</f>
        <v>0</v>
      </c>
      <c r="M40" s="514">
        <f t="shared" ref="M40:M42" si="3">L40*K40-IF($F$15="Non",K40*0.75,0)</f>
        <v>0</v>
      </c>
      <c r="N40" s="479">
        <f t="shared" ref="N40:N42" si="4">IF(J40=0,0,IF($D$26="Oui",(7.0924*J40)+15,(6.0924*J40)+10))</f>
        <v>0</v>
      </c>
      <c r="O40" s="514">
        <f>N40*MinuteMO</f>
        <v>0</v>
      </c>
      <c r="P40" s="468"/>
      <c r="Q40" s="520">
        <f>IF(J40=0,0,J40*VLOOKUP(E40,'Prix Matiere'!$A$4:$L$60,12))</f>
        <v>0</v>
      </c>
      <c r="R40" s="468">
        <f>IF(J40=0,0,Q40*VLOOKUP(E40,'Prix Matiere'!$A$4:$L$60,11))</f>
        <v>0</v>
      </c>
      <c r="S40" s="468"/>
      <c r="T40" s="468"/>
      <c r="U40" s="468"/>
      <c r="V40" s="468"/>
      <c r="W40" s="468"/>
      <c r="X40" s="468"/>
      <c r="Y40" s="468"/>
      <c r="Z40" s="468"/>
    </row>
    <row r="41" spans="1:26" ht="18" hidden="1" customHeight="1" x14ac:dyDescent="0.35">
      <c r="A41" s="493"/>
      <c r="B41" s="494">
        <f>IF(B35=0,0,"Bouts")</f>
        <v>0</v>
      </c>
      <c r="C41" s="521">
        <f>IF(B35=0,0,D35)</f>
        <v>0</v>
      </c>
      <c r="D41" s="521">
        <f>D40</f>
        <v>0</v>
      </c>
      <c r="E41" s="521">
        <f>IF(B35=0,0,"Peuplier 15 mm")</f>
        <v>0</v>
      </c>
      <c r="F41" s="489">
        <f>IF(B35=0,0,2)</f>
        <v>0</v>
      </c>
      <c r="G41" s="468"/>
      <c r="H41" s="468"/>
      <c r="I41" s="468"/>
      <c r="J41" s="519">
        <f t="shared" si="1"/>
        <v>0</v>
      </c>
      <c r="K41" s="519">
        <f t="shared" si="2"/>
        <v>0</v>
      </c>
      <c r="L41" s="514">
        <f>IF(E41=0,0,VLOOKUP(E41,'Prix Matiere'!$A$4:$J$65,10))</f>
        <v>0</v>
      </c>
      <c r="M41" s="514">
        <f t="shared" si="3"/>
        <v>0</v>
      </c>
      <c r="N41" s="479">
        <f t="shared" si="4"/>
        <v>0</v>
      </c>
      <c r="O41" s="514">
        <f>N41*MinuteMO</f>
        <v>0</v>
      </c>
      <c r="P41" s="468"/>
      <c r="Q41" s="520">
        <f>IF(J41=0,0,J41*VLOOKUP(E41,'Prix Matiere'!$A$4:$L$60,12))</f>
        <v>0</v>
      </c>
      <c r="R41" s="468">
        <f>IF(J41=0,0,Q41*VLOOKUP(E41,'Prix Matiere'!$A$4:$L$60,11))</f>
        <v>0</v>
      </c>
      <c r="S41" s="468"/>
      <c r="T41" s="468"/>
      <c r="U41" s="468"/>
      <c r="V41" s="468"/>
      <c r="W41" s="468"/>
      <c r="X41" s="468"/>
      <c r="Y41" s="468"/>
      <c r="Z41" s="468"/>
    </row>
    <row r="42" spans="1:26" ht="18" hidden="1" customHeight="1" x14ac:dyDescent="0.35">
      <c r="A42" s="522"/>
      <c r="B42" s="523">
        <f>IF(B35=0,0,"GC")</f>
        <v>0</v>
      </c>
      <c r="C42" s="524">
        <f>IF(B35=0,0,C40)</f>
        <v>0</v>
      </c>
      <c r="D42" s="524">
        <f>IF(B35=0,0,J35)</f>
        <v>0</v>
      </c>
      <c r="E42" s="524">
        <f>IF(B35=0,0,"Peuplier 15 mm")</f>
        <v>0</v>
      </c>
      <c r="F42" s="497">
        <f>IF(B35=0,0,2)</f>
        <v>0</v>
      </c>
      <c r="G42" s="468"/>
      <c r="H42" s="468"/>
      <c r="I42" s="468"/>
      <c r="J42" s="519">
        <f t="shared" si="1"/>
        <v>0</v>
      </c>
      <c r="K42" s="519">
        <f t="shared" si="2"/>
        <v>0</v>
      </c>
      <c r="L42" s="514">
        <f>IF(E42=0,0,VLOOKUP(E42,'Prix Matiere'!$A$4:$J$65,10))</f>
        <v>0</v>
      </c>
      <c r="M42" s="514">
        <f t="shared" si="3"/>
        <v>0</v>
      </c>
      <c r="N42" s="479">
        <f t="shared" si="4"/>
        <v>0</v>
      </c>
      <c r="O42" s="514">
        <f>N42*MinuteMO</f>
        <v>0</v>
      </c>
      <c r="P42" s="468"/>
      <c r="Q42" s="520">
        <f>IF(J42=0,0,J42*VLOOKUP(E42,'Prix Matiere'!$A$4:$L$60,12))</f>
        <v>0</v>
      </c>
      <c r="R42" s="468">
        <f>IF(J42=0,0,Q42*VLOOKUP(E42,'Prix Matiere'!$A$4:$L$60,11))</f>
        <v>0</v>
      </c>
      <c r="S42" s="468"/>
      <c r="T42" s="468"/>
      <c r="U42" s="468"/>
      <c r="V42" s="468"/>
      <c r="W42" s="468"/>
      <c r="X42" s="468"/>
      <c r="Y42" s="468"/>
      <c r="Z42" s="468"/>
    </row>
    <row r="43" spans="1:26" ht="18" hidden="1" customHeight="1" x14ac:dyDescent="0.35">
      <c r="A43" s="468"/>
      <c r="B43" s="468"/>
      <c r="C43" s="468"/>
      <c r="D43" s="468"/>
      <c r="E43" s="468"/>
      <c r="F43" s="468"/>
      <c r="G43" s="468"/>
      <c r="H43" s="468"/>
      <c r="I43" s="468"/>
      <c r="J43" s="468"/>
      <c r="K43" s="468"/>
      <c r="L43" s="514"/>
      <c r="M43" s="468"/>
      <c r="N43" s="479"/>
      <c r="O43" s="514"/>
      <c r="P43" s="468"/>
      <c r="Q43" s="520"/>
      <c r="R43" s="468">
        <f>IF(J43=0,0,Q43*VLOOKUP(E43,'Prix Matiere'!$A$4:$L$60,11))</f>
        <v>0</v>
      </c>
      <c r="S43" s="468"/>
      <c r="T43" s="468"/>
      <c r="U43" s="468"/>
      <c r="V43" s="468"/>
      <c r="W43" s="468"/>
      <c r="X43" s="468"/>
      <c r="Y43" s="468"/>
      <c r="Z43" s="468"/>
    </row>
    <row r="44" spans="1:26" ht="18" hidden="1" customHeight="1" x14ac:dyDescent="0.35">
      <c r="A44" s="471" t="s">
        <v>158</v>
      </c>
      <c r="B44" s="468"/>
      <c r="C44" s="468"/>
      <c r="D44" s="468"/>
      <c r="E44" s="468"/>
      <c r="F44" s="468"/>
      <c r="G44" s="468"/>
      <c r="H44" s="468"/>
      <c r="I44" s="468"/>
      <c r="J44" s="468"/>
      <c r="K44" s="468"/>
      <c r="L44" s="514"/>
      <c r="M44" s="514"/>
      <c r="N44" s="479"/>
      <c r="O44" s="514"/>
      <c r="P44" s="468"/>
      <c r="Q44" s="520">
        <f>IF(J44=0,0,J44*VLOOKUP(E44,'Prix Matiere'!$A$4:$L$60,12))</f>
        <v>0</v>
      </c>
      <c r="R44" s="468">
        <f>IF(J44=0,0,Q44*VLOOKUP(E44,'Prix Matiere'!$A$4:$L$60,11))</f>
        <v>0</v>
      </c>
      <c r="S44" s="468"/>
      <c r="T44" s="468"/>
      <c r="U44" s="468"/>
      <c r="V44" s="468"/>
      <c r="W44" s="468"/>
      <c r="X44" s="468"/>
      <c r="Y44" s="468"/>
      <c r="Z44" s="468"/>
    </row>
    <row r="45" spans="1:26" ht="18" hidden="1" customHeight="1" x14ac:dyDescent="0.35">
      <c r="A45" s="468"/>
      <c r="B45" s="468"/>
      <c r="C45" s="468"/>
      <c r="D45" s="468"/>
      <c r="E45" s="468"/>
      <c r="F45" s="468"/>
      <c r="G45" s="468"/>
      <c r="H45" s="468"/>
      <c r="I45" s="468"/>
      <c r="J45" s="468"/>
      <c r="K45" s="468"/>
      <c r="L45" s="514"/>
      <c r="M45" s="514"/>
      <c r="N45" s="479"/>
      <c r="O45" s="514"/>
      <c r="P45" s="468"/>
      <c r="Q45" s="520"/>
      <c r="R45" s="468">
        <f>IF(J45=0,0,Q45*VLOOKUP(E45,'Prix Matiere'!$A$4:$L$60,11))</f>
        <v>0</v>
      </c>
      <c r="S45" s="468"/>
      <c r="T45" s="468"/>
      <c r="U45" s="468"/>
      <c r="V45" s="468"/>
      <c r="W45" s="468"/>
      <c r="X45" s="468"/>
      <c r="Y45" s="468"/>
      <c r="Z45" s="468"/>
    </row>
    <row r="46" spans="1:26" ht="18" hidden="1" customHeight="1" x14ac:dyDescent="0.35">
      <c r="A46" s="468"/>
      <c r="B46" s="494">
        <f>IF(B26="Aucun",0,"Dessus")</f>
        <v>0</v>
      </c>
      <c r="C46" s="521">
        <f>IF(B26="Aucun",0,VLOOKUP(B26,$A$112:$L$117,2)+B25)</f>
        <v>0</v>
      </c>
      <c r="D46" s="521">
        <f>IF(B26="Aucun",0,C25+VLOOKUP(B26,$A$112:$L$117,5))</f>
        <v>0</v>
      </c>
      <c r="E46" s="521">
        <f>VLOOKUP(B26,$A$112:$L$117,9)</f>
        <v>0</v>
      </c>
      <c r="F46" s="494">
        <f>IF(B26="Aucun",0,1)</f>
        <v>0</v>
      </c>
      <c r="G46" s="468"/>
      <c r="H46" s="468"/>
      <c r="I46" s="468"/>
      <c r="J46" s="468">
        <f t="shared" ref="J46:J59" si="5">IF(C46=0,0,(C46/100)*(D46/100)*F46)</f>
        <v>0</v>
      </c>
      <c r="K46" s="468">
        <f t="shared" ref="K46:K59" si="6">J46/0.8</f>
        <v>0</v>
      </c>
      <c r="L46" s="514">
        <f>IF(E46=0,0,VLOOKUP(E46,'Prix Matiere'!$A$4:$J$65,10))</f>
        <v>0</v>
      </c>
      <c r="M46" s="514">
        <f t="shared" ref="M46:M59" si="7">L46*K46</f>
        <v>0</v>
      </c>
      <c r="N46" s="479">
        <f t="shared" ref="N46:N58" si="8">IF(J46=0,0,4.7283*J46+2)</f>
        <v>0</v>
      </c>
      <c r="O46" s="514">
        <f t="shared" ref="O46:O59" si="9">N46*MinuteMO</f>
        <v>0</v>
      </c>
      <c r="P46" s="468"/>
      <c r="Q46" s="520">
        <f>IF(J46=0,0,J46*VLOOKUP(E46,'Prix Matiere'!$A$4:$L$60,12))</f>
        <v>0</v>
      </c>
      <c r="R46" s="468">
        <f>IF(J46=0,0,Q46*VLOOKUP(E46,'Prix Matiere'!$A$4:$L$60,11))</f>
        <v>0</v>
      </c>
      <c r="S46" s="468"/>
      <c r="T46" s="468"/>
      <c r="U46" s="468"/>
      <c r="V46" s="468"/>
      <c r="W46" s="468"/>
      <c r="X46" s="468"/>
      <c r="Y46" s="468"/>
      <c r="Z46" s="468"/>
    </row>
    <row r="47" spans="1:26" ht="18" hidden="1" customHeight="1" x14ac:dyDescent="0.35">
      <c r="A47" s="468"/>
      <c r="B47" s="494">
        <f>IF(B26="Aucun",0,"Extrémité")</f>
        <v>0</v>
      </c>
      <c r="C47" s="521">
        <f>IF(B26="Aucun",0,IF(B25&lt;60,10,IF(B25&lt;80,15,20)))</f>
        <v>0</v>
      </c>
      <c r="D47" s="521">
        <f t="shared" ref="D47:D50" si="10">D46</f>
        <v>0</v>
      </c>
      <c r="E47" s="521">
        <f>VLOOKUP(B26,$A$112:$L$117,9)</f>
        <v>0</v>
      </c>
      <c r="F47" s="494">
        <f>IF(B26="Aucun",0,2)</f>
        <v>0</v>
      </c>
      <c r="G47" s="468"/>
      <c r="H47" s="468"/>
      <c r="I47" s="468"/>
      <c r="J47" s="468">
        <f t="shared" si="5"/>
        <v>0</v>
      </c>
      <c r="K47" s="468">
        <f t="shared" si="6"/>
        <v>0</v>
      </c>
      <c r="L47" s="514">
        <f>IF(E47=0,0,VLOOKUP(E47,'Prix Matiere'!$A$4:$J$65,10))</f>
        <v>0</v>
      </c>
      <c r="M47" s="514">
        <f t="shared" si="7"/>
        <v>0</v>
      </c>
      <c r="N47" s="479">
        <f t="shared" si="8"/>
        <v>0</v>
      </c>
      <c r="O47" s="514">
        <f t="shared" si="9"/>
        <v>0</v>
      </c>
      <c r="P47" s="468"/>
      <c r="Q47" s="520">
        <f>IF(J47=0,0,J47*VLOOKUP(E47,'Prix Matiere'!$A$4:$L$60,12))</f>
        <v>0</v>
      </c>
      <c r="R47" s="468">
        <f>IF(J47=0,0,Q47*VLOOKUP(E47,'Prix Matiere'!$A$4:$L$60,11))</f>
        <v>0</v>
      </c>
      <c r="S47" s="468"/>
      <c r="T47" s="468"/>
      <c r="U47" s="468"/>
      <c r="V47" s="468"/>
      <c r="W47" s="468"/>
      <c r="X47" s="468"/>
      <c r="Y47" s="468"/>
      <c r="Z47" s="468"/>
    </row>
    <row r="48" spans="1:26" ht="18" hidden="1" customHeight="1" x14ac:dyDescent="0.35">
      <c r="A48" s="468"/>
      <c r="B48" s="494">
        <f>IF(B26="Aucun",0,A30)</f>
        <v>0</v>
      </c>
      <c r="C48" s="521">
        <f>B30</f>
        <v>0</v>
      </c>
      <c r="D48" s="521">
        <f t="shared" si="10"/>
        <v>0</v>
      </c>
      <c r="E48" s="521">
        <f>IF(B26="Aucun",0,IF(B48="Ethafoam 50 mm","Ethafoam 50 mm","Agglocelle 50 mm"))</f>
        <v>0</v>
      </c>
      <c r="F48" s="494">
        <f>E30</f>
        <v>2</v>
      </c>
      <c r="G48" s="468"/>
      <c r="H48" s="468"/>
      <c r="I48" s="468"/>
      <c r="J48" s="468">
        <f t="shared" si="5"/>
        <v>0</v>
      </c>
      <c r="K48" s="468">
        <f t="shared" si="6"/>
        <v>0</v>
      </c>
      <c r="L48" s="514">
        <f>IF(E48=0,0,VLOOKUP(E48,'Prix Matiere'!$A$4:$J$65,10))</f>
        <v>0</v>
      </c>
      <c r="M48" s="514">
        <f t="shared" si="7"/>
        <v>0</v>
      </c>
      <c r="N48" s="479">
        <f t="shared" si="8"/>
        <v>0</v>
      </c>
      <c r="O48" s="514">
        <f t="shared" si="9"/>
        <v>0</v>
      </c>
      <c r="P48" s="468"/>
      <c r="Q48" s="520">
        <f>IF(J48=0,0,J48*VLOOKUP(E48,'Prix Matiere'!$A$4:$L$60,12))</f>
        <v>0</v>
      </c>
      <c r="R48" s="468">
        <f>IF(J48=0,0,Q48*VLOOKUP(E48,'Prix Matiere'!$A$4:$L$60,11))</f>
        <v>0</v>
      </c>
      <c r="S48" s="468"/>
      <c r="T48" s="468"/>
      <c r="U48" s="468"/>
      <c r="V48" s="468"/>
      <c r="W48" s="468"/>
      <c r="X48" s="468"/>
      <c r="Y48" s="468"/>
      <c r="Z48" s="468"/>
    </row>
    <row r="49" spans="1:26" ht="18" hidden="1" customHeight="1" x14ac:dyDescent="0.35">
      <c r="A49" s="468"/>
      <c r="B49" s="494">
        <f>IF(B26="Aucun",0,"Milieu")</f>
        <v>0</v>
      </c>
      <c r="C49" s="521">
        <f>(C46-((C47*F47)+(C48*F48)))/(F48-1)</f>
        <v>0</v>
      </c>
      <c r="D49" s="521">
        <f t="shared" si="10"/>
        <v>0</v>
      </c>
      <c r="E49" s="521">
        <f>VLOOKUP(B26,$A$112:$L$117,9)</f>
        <v>0</v>
      </c>
      <c r="F49" s="494">
        <f>IF(B26="Aucun",0,F48-1)</f>
        <v>0</v>
      </c>
      <c r="G49" s="468"/>
      <c r="H49" s="468"/>
      <c r="I49" s="468"/>
      <c r="J49" s="468">
        <f t="shared" si="5"/>
        <v>0</v>
      </c>
      <c r="K49" s="468">
        <f t="shared" si="6"/>
        <v>0</v>
      </c>
      <c r="L49" s="514">
        <f>IF(E49=0,0,VLOOKUP(E49,'Prix Matiere'!$A$4:$J$65,10))</f>
        <v>0</v>
      </c>
      <c r="M49" s="514">
        <f t="shared" si="7"/>
        <v>0</v>
      </c>
      <c r="N49" s="479">
        <f t="shared" si="8"/>
        <v>0</v>
      </c>
      <c r="O49" s="514">
        <f t="shared" si="9"/>
        <v>0</v>
      </c>
      <c r="P49" s="468"/>
      <c r="Q49" s="520">
        <f>IF(J49=0,0,J49*VLOOKUP(E49,'Prix Matiere'!$A$4:$L$60,12))</f>
        <v>0</v>
      </c>
      <c r="R49" s="468">
        <f>IF(J49=0,0,Q49*VLOOKUP(E49,'Prix Matiere'!$A$4:$L$60,11))</f>
        <v>0</v>
      </c>
      <c r="S49" s="468"/>
      <c r="T49" s="468"/>
      <c r="U49" s="468"/>
      <c r="V49" s="468"/>
      <c r="W49" s="468"/>
      <c r="X49" s="468"/>
      <c r="Y49" s="468"/>
      <c r="Z49" s="468"/>
    </row>
    <row r="50" spans="1:26" ht="18" hidden="1" customHeight="1" x14ac:dyDescent="0.35">
      <c r="A50" s="468"/>
      <c r="B50" s="494">
        <f>IF(B26="Aucun",0,"Bouts avec passage de main")</f>
        <v>0</v>
      </c>
      <c r="C50" s="521">
        <f>IF(B26="Aucun",0,(D25-IF(D25&gt;120,30,15))/(F50/2))</f>
        <v>0</v>
      </c>
      <c r="D50" s="521">
        <f t="shared" si="10"/>
        <v>0</v>
      </c>
      <c r="E50" s="521">
        <f>VLOOKUP(B26,$A$112:$L$117,9)</f>
        <v>0</v>
      </c>
      <c r="F50" s="494">
        <f>IF(B26="Aucun",0,IF(D25&gt;120,6,4))</f>
        <v>0</v>
      </c>
      <c r="G50" s="468"/>
      <c r="H50" s="468"/>
      <c r="I50" s="468"/>
      <c r="J50" s="468">
        <f t="shared" si="5"/>
        <v>0</v>
      </c>
      <c r="K50" s="468">
        <f t="shared" si="6"/>
        <v>0</v>
      </c>
      <c r="L50" s="514">
        <f>IF(E50=0,0,VLOOKUP(E50,'Prix Matiere'!$A$4:$J$65,10))</f>
        <v>0</v>
      </c>
      <c r="M50" s="514">
        <f t="shared" si="7"/>
        <v>0</v>
      </c>
      <c r="N50" s="479">
        <f t="shared" si="8"/>
        <v>0</v>
      </c>
      <c r="O50" s="514">
        <f t="shared" si="9"/>
        <v>0</v>
      </c>
      <c r="P50" s="468"/>
      <c r="Q50" s="520">
        <f>IF(J50=0,0,J50*VLOOKUP(E50,'Prix Matiere'!$A$4:$L$60,12))</f>
        <v>0</v>
      </c>
      <c r="R50" s="468">
        <f>IF(J50=0,0,Q50*VLOOKUP(E50,'Prix Matiere'!$A$4:$L$60,11))</f>
        <v>0</v>
      </c>
      <c r="S50" s="468"/>
      <c r="T50" s="468"/>
      <c r="U50" s="468"/>
      <c r="V50" s="468"/>
      <c r="W50" s="468"/>
      <c r="X50" s="468"/>
      <c r="Y50" s="468"/>
      <c r="Z50" s="468"/>
    </row>
    <row r="51" spans="1:26" ht="18" hidden="1" customHeight="1" x14ac:dyDescent="0.35">
      <c r="A51" s="468"/>
      <c r="B51" s="494">
        <f>IF(B26="Aucun",0,"Fond")</f>
        <v>0</v>
      </c>
      <c r="C51" s="521">
        <f>IF(B26="Aucun",0,B25+VLOOKUP(B26,$A$112:$L$117,6))</f>
        <v>0</v>
      </c>
      <c r="D51" s="521">
        <f>IF(B26="Sous verre 2 faces",D25+VLOOKUP(B26,$A$112:$L$117,6),B29)</f>
        <v>0</v>
      </c>
      <c r="E51" s="521">
        <f>VLOOKUP(B26,$A$112:$L$117,8)</f>
        <v>0</v>
      </c>
      <c r="F51" s="494">
        <f>VLOOKUP(B26,A112:L117,7)</f>
        <v>0</v>
      </c>
      <c r="G51" s="468"/>
      <c r="H51" s="468"/>
      <c r="I51" s="468"/>
      <c r="J51" s="468">
        <f t="shared" si="5"/>
        <v>0</v>
      </c>
      <c r="K51" s="468">
        <f t="shared" si="6"/>
        <v>0</v>
      </c>
      <c r="L51" s="514">
        <f>IF(E51=0,0,VLOOKUP(E51,'Prix Matiere'!$A$4:$J$65,10))</f>
        <v>0</v>
      </c>
      <c r="M51" s="514">
        <f t="shared" si="7"/>
        <v>0</v>
      </c>
      <c r="N51" s="479">
        <f t="shared" si="8"/>
        <v>0</v>
      </c>
      <c r="O51" s="514">
        <f t="shared" si="9"/>
        <v>0</v>
      </c>
      <c r="P51" s="468"/>
      <c r="Q51" s="520">
        <f>IF(J51=0,0,J51*VLOOKUP(E51,'Prix Matiere'!$A$4:$L$60,12))</f>
        <v>0</v>
      </c>
      <c r="R51" s="468">
        <f>IF(J51=0,0,Q51*VLOOKUP(E51,'Prix Matiere'!$A$4:$L$60,11))</f>
        <v>0</v>
      </c>
      <c r="S51" s="468"/>
      <c r="T51" s="468"/>
      <c r="U51" s="468"/>
      <c r="V51" s="468"/>
      <c r="W51" s="468"/>
      <c r="X51" s="468"/>
      <c r="Y51" s="468"/>
      <c r="Z51" s="468"/>
    </row>
    <row r="52" spans="1:26" ht="18" hidden="1" customHeight="1" x14ac:dyDescent="0.35">
      <c r="A52" s="468"/>
      <c r="B52" s="494">
        <f>IF(B26="Aucun",0,"Remplis de fond")</f>
        <v>0</v>
      </c>
      <c r="C52" s="521">
        <f>IF(B26="Aucun",0,IF(B26="Sous verre 2 faces",0,D25-D51*2+VLOOKUP(B26,$A$112:$L$117,6)))</f>
        <v>0</v>
      </c>
      <c r="D52" s="521">
        <f>IF(B26="Sous verre 2 faces",0,B29)</f>
        <v>0</v>
      </c>
      <c r="E52" s="521">
        <f>IF(C52=0,0,VLOOKUP(B26,$A$112:$L$117,8))</f>
        <v>0</v>
      </c>
      <c r="F52" s="494">
        <f>IF(B26="Aucun",0,IF(B26="Sous verre 2 faces",0,2))</f>
        <v>0</v>
      </c>
      <c r="G52" s="468"/>
      <c r="H52" s="468"/>
      <c r="I52" s="468"/>
      <c r="J52" s="468">
        <f t="shared" si="5"/>
        <v>0</v>
      </c>
      <c r="K52" s="468">
        <f t="shared" si="6"/>
        <v>0</v>
      </c>
      <c r="L52" s="514">
        <f>IF(E52=0,0,VLOOKUP(E52,'Prix Matiere'!$A$4:$J$65,10))</f>
        <v>0</v>
      </c>
      <c r="M52" s="514">
        <f t="shared" si="7"/>
        <v>0</v>
      </c>
      <c r="N52" s="479">
        <f t="shared" si="8"/>
        <v>0</v>
      </c>
      <c r="O52" s="514">
        <f t="shared" si="9"/>
        <v>0</v>
      </c>
      <c r="P52" s="468"/>
      <c r="Q52" s="520">
        <f>IF(J52=0,0,J52*VLOOKUP(E52,'Prix Matiere'!$A$4:$L$60,12))</f>
        <v>0</v>
      </c>
      <c r="R52" s="468">
        <f>IF(J52=0,0,Q52*VLOOKUP(E52,'Prix Matiere'!$A$4:$L$60,11))</f>
        <v>0</v>
      </c>
      <c r="S52" s="468"/>
      <c r="T52" s="468"/>
      <c r="U52" s="468"/>
      <c r="V52" s="468"/>
      <c r="W52" s="468"/>
      <c r="X52" s="468"/>
      <c r="Y52" s="468"/>
      <c r="Z52" s="468"/>
    </row>
    <row r="53" spans="1:26" ht="18" hidden="1" customHeight="1" x14ac:dyDescent="0.35">
      <c r="A53" s="468"/>
      <c r="B53" s="494">
        <f>IF(B26="Aucun",0,"Dessus")</f>
        <v>0</v>
      </c>
      <c r="C53" s="521">
        <f>IF(B26="Aucun",0,B25+VLOOKUP(B26,$A$112:$L$117,10))</f>
        <v>0</v>
      </c>
      <c r="D53" s="521">
        <f>IF(B26="Sous verre 2 faces",D25+VLOOKUP(B26,$A$112:$L$117,10),IF(B26="Sous verre / bandes de mousse",D25+VLOOKUP(B26,$A$112:$L$117,10),B28))</f>
        <v>0</v>
      </c>
      <c r="E53" s="521">
        <f>VLOOKUP(B26,$A$112:$L$117,9)</f>
        <v>0</v>
      </c>
      <c r="F53" s="494">
        <f>VLOOKUP(B26,A112:L117,11)</f>
        <v>0</v>
      </c>
      <c r="G53" s="468"/>
      <c r="H53" s="468"/>
      <c r="I53" s="468"/>
      <c r="J53" s="468">
        <f t="shared" si="5"/>
        <v>0</v>
      </c>
      <c r="K53" s="468">
        <f t="shared" si="6"/>
        <v>0</v>
      </c>
      <c r="L53" s="514">
        <f>IF(E53=0,0,VLOOKUP(E53,'Prix Matiere'!$A$4:$J$65,10))</f>
        <v>0</v>
      </c>
      <c r="M53" s="514">
        <f t="shared" si="7"/>
        <v>0</v>
      </c>
      <c r="N53" s="479">
        <f t="shared" si="8"/>
        <v>0</v>
      </c>
      <c r="O53" s="514">
        <f t="shared" si="9"/>
        <v>0</v>
      </c>
      <c r="P53" s="468"/>
      <c r="Q53" s="520">
        <f>IF(J53=0,0,J53*VLOOKUP(E53,'Prix Matiere'!$A$4:$L$60,12))</f>
        <v>0</v>
      </c>
      <c r="R53" s="468">
        <f>IF(J53=0,0,Q53*VLOOKUP(E53,'Prix Matiere'!$A$4:$L$60,11))</f>
        <v>0</v>
      </c>
      <c r="S53" s="468"/>
      <c r="T53" s="468"/>
      <c r="U53" s="468"/>
      <c r="V53" s="468"/>
      <c r="W53" s="468"/>
      <c r="X53" s="468"/>
      <c r="Y53" s="468"/>
      <c r="Z53" s="468"/>
    </row>
    <row r="54" spans="1:26" ht="18" hidden="1" customHeight="1" x14ac:dyDescent="0.35">
      <c r="A54" s="468"/>
      <c r="B54" s="494">
        <f>IF(B26="Aucun",0,"Remplis de dessus")</f>
        <v>0</v>
      </c>
      <c r="C54" s="521">
        <f>IF(B26="Aucun",0,IF(B26="Sous verre 2 faces",0,IF(B26="Sous verre / bandes de mousse",0,D25-2*D53+VLOOKUP(B26,$A$112:$L$117,10))))</f>
        <v>0</v>
      </c>
      <c r="D54" s="521">
        <f>IF(B26="Sous verre / bandes de mousse",0,IF(B26="Sous verre 2 faces",0,B28))</f>
        <v>0</v>
      </c>
      <c r="E54" s="521">
        <f>IF(C54=0,0,VLOOKUP(B26,$A$112:$L$117,9))</f>
        <v>0</v>
      </c>
      <c r="F54" s="494">
        <f>IF(B26="Aucun",0,IF(B26="Sous verre 2 faces",0,IF(B26="Sous verre / bandes de mousse",0,2)))</f>
        <v>0</v>
      </c>
      <c r="G54" s="468"/>
      <c r="H54" s="468"/>
      <c r="I54" s="468"/>
      <c r="J54" s="468">
        <f t="shared" si="5"/>
        <v>0</v>
      </c>
      <c r="K54" s="468">
        <f t="shared" si="6"/>
        <v>0</v>
      </c>
      <c r="L54" s="514">
        <f>IF(E54=0,0,VLOOKUP(E54,'Prix Matiere'!$A$4:$J$65,10))</f>
        <v>0</v>
      </c>
      <c r="M54" s="514">
        <f t="shared" si="7"/>
        <v>0</v>
      </c>
      <c r="N54" s="479">
        <f t="shared" si="8"/>
        <v>0</v>
      </c>
      <c r="O54" s="514">
        <f t="shared" si="9"/>
        <v>0</v>
      </c>
      <c r="P54" s="468"/>
      <c r="Q54" s="520">
        <f>IF(J54=0,0,J54*VLOOKUP(E54,'Prix Matiere'!$A$4:$L$60,12))</f>
        <v>0</v>
      </c>
      <c r="R54" s="468">
        <f>IF(J54=0,0,Q54*VLOOKUP(E54,'Prix Matiere'!$A$4:$L$60,11))</f>
        <v>0</v>
      </c>
      <c r="S54" s="468"/>
      <c r="T54" s="468"/>
      <c r="U54" s="468"/>
      <c r="V54" s="468"/>
      <c r="W54" s="468"/>
      <c r="X54" s="468"/>
      <c r="Y54" s="468"/>
      <c r="Z54" s="468"/>
    </row>
    <row r="55" spans="1:26" ht="18" hidden="1" customHeight="1" x14ac:dyDescent="0.35">
      <c r="A55" s="468"/>
      <c r="B55" s="494">
        <f>IF(B26="Aucun",0,"Rattrapage 1")</f>
        <v>0</v>
      </c>
      <c r="C55" s="521">
        <f>IF(B31=0,0,B25+0.2)</f>
        <v>0</v>
      </c>
      <c r="D55" s="521">
        <f>IF(B31=0,0,B31)</f>
        <v>0</v>
      </c>
      <c r="E55" s="521">
        <f t="shared" ref="E55:E56" si="11">IF(C55=0,0,CONCATENATE("PU ",$D$31*10," mm"))</f>
        <v>0</v>
      </c>
      <c r="F55" s="494">
        <f>IF(B31=0,0,2)</f>
        <v>0</v>
      </c>
      <c r="G55" s="468"/>
      <c r="H55" s="468"/>
      <c r="I55" s="468"/>
      <c r="J55" s="468">
        <f t="shared" si="5"/>
        <v>0</v>
      </c>
      <c r="K55" s="468">
        <f t="shared" si="6"/>
        <v>0</v>
      </c>
      <c r="L55" s="514">
        <f>IF(E55=0,0,VLOOKUP(E55,'Prix Matiere'!$A$4:$J$65,10))</f>
        <v>0</v>
      </c>
      <c r="M55" s="514">
        <f t="shared" si="7"/>
        <v>0</v>
      </c>
      <c r="N55" s="479">
        <f t="shared" si="8"/>
        <v>0</v>
      </c>
      <c r="O55" s="514">
        <f t="shared" si="9"/>
        <v>0</v>
      </c>
      <c r="P55" s="468"/>
      <c r="Q55" s="520">
        <f>IF(J55=0,0,J55*VLOOKUP(E55,'Prix Matiere'!$A$4:$L$60,12))</f>
        <v>0</v>
      </c>
      <c r="R55" s="468">
        <f>IF(J55=0,0,Q55*VLOOKUP(E55,'Prix Matiere'!$A$4:$L$60,11))</f>
        <v>0</v>
      </c>
      <c r="S55" s="468"/>
      <c r="T55" s="468"/>
      <c r="U55" s="468"/>
      <c r="V55" s="468"/>
      <c r="W55" s="468"/>
      <c r="X55" s="468"/>
      <c r="Y55" s="468"/>
      <c r="Z55" s="468"/>
    </row>
    <row r="56" spans="1:26" ht="18" hidden="1" customHeight="1" x14ac:dyDescent="0.35">
      <c r="A56" s="468"/>
      <c r="B56" s="494">
        <f>IF(B26="Aucun",0,"Rattrapage 2")</f>
        <v>0</v>
      </c>
      <c r="C56" s="521">
        <f>IF(B31=0,0,D25+0.2-2*D55)</f>
        <v>0</v>
      </c>
      <c r="D56" s="521">
        <f>IF(B31=0,0,D55)</f>
        <v>0</v>
      </c>
      <c r="E56" s="521">
        <f t="shared" si="11"/>
        <v>0</v>
      </c>
      <c r="F56" s="494">
        <f>IF(B31=0,0,2)</f>
        <v>0</v>
      </c>
      <c r="G56" s="468"/>
      <c r="H56" s="468"/>
      <c r="I56" s="468"/>
      <c r="J56" s="468">
        <f t="shared" si="5"/>
        <v>0</v>
      </c>
      <c r="K56" s="468">
        <f t="shared" si="6"/>
        <v>0</v>
      </c>
      <c r="L56" s="514">
        <f>IF(E56=0,0,VLOOKUP(E56,'Prix Matiere'!$A$4:$J$65,10))</f>
        <v>0</v>
      </c>
      <c r="M56" s="514">
        <f t="shared" si="7"/>
        <v>0</v>
      </c>
      <c r="N56" s="479">
        <f t="shared" si="8"/>
        <v>0</v>
      </c>
      <c r="O56" s="514">
        <f t="shared" si="9"/>
        <v>0</v>
      </c>
      <c r="P56" s="468"/>
      <c r="Q56" s="520">
        <f>IF(J56=0,0,J56*VLOOKUP(E56,'Prix Matiere'!$A$4:$L$60,12))</f>
        <v>0</v>
      </c>
      <c r="R56" s="468">
        <f>IF(J56=0,0,Q56*VLOOKUP(E56,'Prix Matiere'!$A$4:$L$60,11))</f>
        <v>0</v>
      </c>
      <c r="S56" s="468"/>
      <c r="T56" s="468"/>
      <c r="U56" s="468"/>
      <c r="V56" s="468"/>
      <c r="W56" s="468"/>
      <c r="X56" s="468"/>
      <c r="Y56" s="468"/>
      <c r="Z56" s="468"/>
    </row>
    <row r="57" spans="1:26" ht="18" hidden="1" customHeight="1" x14ac:dyDescent="0.35">
      <c r="A57" s="468"/>
      <c r="B57" s="494">
        <f>IF(B26="Aucun",0,"Remplissage 1")</f>
        <v>0</v>
      </c>
      <c r="C57" s="521">
        <f t="shared" ref="C57:D57" si="12">IF(B32=0,0,B32)</f>
        <v>0</v>
      </c>
      <c r="D57" s="521">
        <f t="shared" si="12"/>
        <v>0</v>
      </c>
      <c r="E57" s="521">
        <f>IF(C57=0,0,CONCATENATE("PU ",$D$32*10," mm"))</f>
        <v>0</v>
      </c>
      <c r="F57" s="494">
        <f t="shared" ref="F57:F58" si="13">IF(B32=0,0,1)</f>
        <v>0</v>
      </c>
      <c r="G57" s="468"/>
      <c r="H57" s="468"/>
      <c r="I57" s="468"/>
      <c r="J57" s="468">
        <f t="shared" si="5"/>
        <v>0</v>
      </c>
      <c r="K57" s="468">
        <f t="shared" si="6"/>
        <v>0</v>
      </c>
      <c r="L57" s="514">
        <f>IF(E57=0,0,VLOOKUP(E57,'Prix Matiere'!$A$4:$J$65,10))</f>
        <v>0</v>
      </c>
      <c r="M57" s="514">
        <f t="shared" si="7"/>
        <v>0</v>
      </c>
      <c r="N57" s="479">
        <f t="shared" si="8"/>
        <v>0</v>
      </c>
      <c r="O57" s="514">
        <f t="shared" si="9"/>
        <v>0</v>
      </c>
      <c r="P57" s="468"/>
      <c r="Q57" s="520">
        <f>IF(J57=0,0,J57*VLOOKUP(E57,'Prix Matiere'!$A$4:$L$60,12))</f>
        <v>0</v>
      </c>
      <c r="R57" s="468">
        <f>IF(J57=0,0,Q57*VLOOKUP(E57,'Prix Matiere'!$A$4:$L$60,11))</f>
        <v>0</v>
      </c>
      <c r="S57" s="468"/>
      <c r="T57" s="468"/>
      <c r="U57" s="468"/>
      <c r="V57" s="468"/>
      <c r="W57" s="468"/>
      <c r="X57" s="468"/>
      <c r="Y57" s="468"/>
      <c r="Z57" s="468"/>
    </row>
    <row r="58" spans="1:26" ht="18" hidden="1" customHeight="1" x14ac:dyDescent="0.35">
      <c r="A58" s="468"/>
      <c r="B58" s="494">
        <f>IF(B26="Aucun",0,"Remplissage 2")</f>
        <v>0</v>
      </c>
      <c r="C58" s="521">
        <f t="shared" ref="C58:D58" si="14">IF(B33=0,0,B33)</f>
        <v>0</v>
      </c>
      <c r="D58" s="521">
        <f t="shared" si="14"/>
        <v>0</v>
      </c>
      <c r="E58" s="521">
        <f>IF(C58=0,0,CONCATENATE("PU ",$D$33*10," mm"))</f>
        <v>0</v>
      </c>
      <c r="F58" s="494">
        <f t="shared" si="13"/>
        <v>0</v>
      </c>
      <c r="G58" s="468"/>
      <c r="H58" s="468"/>
      <c r="I58" s="468"/>
      <c r="J58" s="468">
        <f t="shared" si="5"/>
        <v>0</v>
      </c>
      <c r="K58" s="468">
        <f t="shared" si="6"/>
        <v>0</v>
      </c>
      <c r="L58" s="514">
        <f>IF(E58=0,0,VLOOKUP(E58,'Prix Matiere'!$A$4:$J$65,10))</f>
        <v>0</v>
      </c>
      <c r="M58" s="514">
        <f t="shared" si="7"/>
        <v>0</v>
      </c>
      <c r="N58" s="479">
        <f t="shared" si="8"/>
        <v>0</v>
      </c>
      <c r="O58" s="514">
        <f t="shared" si="9"/>
        <v>0</v>
      </c>
      <c r="P58" s="468"/>
      <c r="Q58" s="520">
        <f>IF(J58=0,0,J58*VLOOKUP(E58,'Prix Matiere'!$A$4:$L$60,12))</f>
        <v>0</v>
      </c>
      <c r="R58" s="468">
        <f>IF(J58=0,0,Q58*VLOOKUP(E58,'Prix Matiere'!$A$4:$L$60,11))</f>
        <v>0</v>
      </c>
      <c r="S58" s="468"/>
      <c r="T58" s="468"/>
      <c r="U58" s="468"/>
      <c r="V58" s="468"/>
      <c r="W58" s="468"/>
      <c r="X58" s="468"/>
      <c r="Y58" s="468"/>
      <c r="Z58" s="468"/>
    </row>
    <row r="59" spans="1:26" ht="18" hidden="1" customHeight="1" x14ac:dyDescent="0.35">
      <c r="A59" s="468"/>
      <c r="B59" s="494">
        <f>IF(B26="Aucun",0,"Carton")</f>
        <v>0</v>
      </c>
      <c r="C59" s="521">
        <f>IF(F59=0,0,B25+VLOOKUP(B26,$A$112:$L$117,10))</f>
        <v>0</v>
      </c>
      <c r="D59" s="521">
        <f>IF(E59=0,0,D25+VLOOKUP(B26,$A$112:$L$117,10))</f>
        <v>0</v>
      </c>
      <c r="E59" s="521">
        <f>IF(C59=0,0,"Carton")</f>
        <v>0</v>
      </c>
      <c r="F59" s="494">
        <f>VLOOKUP(B26,A112:L117,12)</f>
        <v>0</v>
      </c>
      <c r="G59" s="468"/>
      <c r="H59" s="468"/>
      <c r="I59" s="468"/>
      <c r="J59" s="468">
        <f t="shared" si="5"/>
        <v>0</v>
      </c>
      <c r="K59" s="468">
        <f t="shared" si="6"/>
        <v>0</v>
      </c>
      <c r="L59" s="514">
        <f>IF(E59=0,0,Carton)</f>
        <v>0</v>
      </c>
      <c r="M59" s="514">
        <f t="shared" si="7"/>
        <v>0</v>
      </c>
      <c r="N59" s="479">
        <f>IF(J59=0,0,1+(3*J59))</f>
        <v>0</v>
      </c>
      <c r="O59" s="514">
        <f t="shared" si="9"/>
        <v>0</v>
      </c>
      <c r="P59" s="468"/>
      <c r="Q59" s="520">
        <f>IF(J59=0,0,J59*VLOOKUP(E59,'Prix Matiere'!$A$4:$L$60,12))</f>
        <v>0</v>
      </c>
      <c r="R59" s="468">
        <f>IF(J59=0,0,Q59*VLOOKUP(E59,'Prix Matiere'!$A$4:$L$60,11))</f>
        <v>0</v>
      </c>
      <c r="S59" s="468"/>
      <c r="T59" s="468"/>
      <c r="U59" s="468"/>
      <c r="V59" s="468"/>
      <c r="W59" s="468"/>
      <c r="X59" s="468"/>
      <c r="Y59" s="468"/>
      <c r="Z59" s="468"/>
    </row>
    <row r="60" spans="1:26" ht="18" hidden="1" customHeight="1" x14ac:dyDescent="0.35">
      <c r="A60" s="468"/>
      <c r="B60" s="468"/>
      <c r="C60" s="468"/>
      <c r="D60" s="468"/>
      <c r="E60" s="468"/>
      <c r="F60" s="468"/>
      <c r="G60" s="468"/>
      <c r="H60" s="468"/>
      <c r="I60" s="468"/>
      <c r="J60" s="468"/>
      <c r="K60" s="468"/>
      <c r="L60" s="514"/>
      <c r="M60" s="468"/>
      <c r="N60" s="479"/>
      <c r="O60" s="514"/>
      <c r="P60" s="468"/>
      <c r="Q60" s="520"/>
      <c r="R60" s="468">
        <f>IF(J60=0,0,Q60*VLOOKUP(E60,'Prix Matiere'!$A$4:$L$60,11))</f>
        <v>0</v>
      </c>
      <c r="S60" s="468"/>
      <c r="T60" s="468"/>
      <c r="U60" s="468"/>
      <c r="V60" s="468"/>
      <c r="W60" s="468"/>
      <c r="X60" s="468"/>
      <c r="Y60" s="468"/>
      <c r="Z60" s="468"/>
    </row>
    <row r="61" spans="1:26" ht="18" hidden="1" customHeight="1" x14ac:dyDescent="0.35">
      <c r="A61" s="471" t="s">
        <v>159</v>
      </c>
      <c r="B61" s="468"/>
      <c r="C61" s="468"/>
      <c r="D61" s="468"/>
      <c r="E61" s="468"/>
      <c r="F61" s="468"/>
      <c r="G61" s="468"/>
      <c r="H61" s="468"/>
      <c r="I61" s="468"/>
      <c r="J61" s="468"/>
      <c r="K61" s="468"/>
      <c r="L61" s="514"/>
      <c r="M61" s="514"/>
      <c r="N61" s="479"/>
      <c r="O61" s="514"/>
      <c r="P61" s="468"/>
      <c r="Q61" s="520">
        <f>IF(J61=0,0,J61*VLOOKUP(E61,'Prix Matiere'!$A$4:$L$60,12))</f>
        <v>0</v>
      </c>
      <c r="R61" s="468">
        <f>IF(J61=0,0,Q61*VLOOKUP(E61,'Prix Matiere'!$A$4:$L$60,11))</f>
        <v>0</v>
      </c>
      <c r="S61" s="468"/>
      <c r="T61" s="468"/>
      <c r="U61" s="468"/>
      <c r="V61" s="468"/>
      <c r="W61" s="468"/>
      <c r="X61" s="468"/>
      <c r="Y61" s="468"/>
      <c r="Z61" s="468"/>
    </row>
    <row r="62" spans="1:26" ht="18" hidden="1" customHeight="1" x14ac:dyDescent="0.35">
      <c r="A62" s="468"/>
      <c r="B62" s="468"/>
      <c r="C62" s="468"/>
      <c r="D62" s="468"/>
      <c r="E62" s="468"/>
      <c r="F62" s="468"/>
      <c r="G62" s="468"/>
      <c r="H62" s="468"/>
      <c r="I62" s="468"/>
      <c r="J62" s="468"/>
      <c r="K62" s="468"/>
      <c r="L62" s="514"/>
      <c r="M62" s="514"/>
      <c r="N62" s="479"/>
      <c r="O62" s="514"/>
      <c r="P62" s="468"/>
      <c r="Q62" s="520"/>
      <c r="R62" s="468">
        <f>IF(J62=0,0,Q62*VLOOKUP(E62,'Prix Matiere'!$A$4:$L$60,11))</f>
        <v>0</v>
      </c>
      <c r="S62" s="468"/>
      <c r="T62" s="468"/>
      <c r="U62" s="468"/>
      <c r="V62" s="468"/>
      <c r="W62" s="468"/>
      <c r="X62" s="468"/>
      <c r="Y62" s="468"/>
      <c r="Z62" s="468"/>
    </row>
    <row r="63" spans="1:26" ht="18" hidden="1" customHeight="1" x14ac:dyDescent="0.35">
      <c r="A63" s="468"/>
      <c r="B63" s="494">
        <f>IF(H26="Aucun",0,"Dessus")</f>
        <v>0</v>
      </c>
      <c r="C63" s="521">
        <f>IF(H26="Aucun",0,VLOOKUP(H26,$A$112:$L$117,2)+H25)</f>
        <v>0</v>
      </c>
      <c r="D63" s="521">
        <f>IF(H26="Aucun",0,I25+VLOOKUP(H26,$A$112:$L$117,5))</f>
        <v>0</v>
      </c>
      <c r="E63" s="521">
        <f>VLOOKUP(H26,$A$112:$L$117,9)</f>
        <v>0</v>
      </c>
      <c r="F63" s="494">
        <f>IF(H26="Aucun",0,1)</f>
        <v>0</v>
      </c>
      <c r="G63" s="468"/>
      <c r="H63" s="468"/>
      <c r="I63" s="468"/>
      <c r="J63" s="468">
        <f t="shared" ref="J63:J76" si="15">IF(C63=0,0,(C63/100)*(D63/100)*F63)</f>
        <v>0</v>
      </c>
      <c r="K63" s="468">
        <f t="shared" ref="K63:K76" si="16">J63/0.8</f>
        <v>0</v>
      </c>
      <c r="L63" s="514">
        <f>IF(E63=0,0,VLOOKUP(E63,'Prix Matiere'!$A$4:$J$65,10))</f>
        <v>0</v>
      </c>
      <c r="M63" s="514">
        <f t="shared" ref="M63:M76" si="17">L63*K63</f>
        <v>0</v>
      </c>
      <c r="N63" s="479">
        <f t="shared" ref="N63:N75" si="18">IF(J63=0,0,4.7283*J63+2)</f>
        <v>0</v>
      </c>
      <c r="O63" s="514">
        <f t="shared" ref="O63:O76" si="19">N63*MinuteMO</f>
        <v>0</v>
      </c>
      <c r="P63" s="468"/>
      <c r="Q63" s="520">
        <f>IF(J63=0,0,J63*VLOOKUP(E63,'Prix Matiere'!$A$4:$L$60,12))</f>
        <v>0</v>
      </c>
      <c r="R63" s="468">
        <f>IF(J63=0,0,Q63*VLOOKUP(E63,'Prix Matiere'!$A$4:$L$60,11))</f>
        <v>0</v>
      </c>
      <c r="S63" s="468"/>
      <c r="T63" s="468"/>
      <c r="U63" s="468"/>
      <c r="V63" s="468"/>
      <c r="W63" s="468"/>
      <c r="X63" s="468"/>
      <c r="Y63" s="468"/>
      <c r="Z63" s="468"/>
    </row>
    <row r="64" spans="1:26" ht="18" hidden="1" customHeight="1" x14ac:dyDescent="0.35">
      <c r="A64" s="468"/>
      <c r="B64" s="494">
        <f>IF(H26="Aucun",0,"Extrémité")</f>
        <v>0</v>
      </c>
      <c r="C64" s="521">
        <f>IF(H26="Aucun",0,IF(H25&lt;60,10,IF(H25&lt;80,15,20)))</f>
        <v>0</v>
      </c>
      <c r="D64" s="521">
        <f t="shared" ref="D64:D67" si="20">D63</f>
        <v>0</v>
      </c>
      <c r="E64" s="521">
        <f>VLOOKUP(H26,$A$112:$L$117,9)</f>
        <v>0</v>
      </c>
      <c r="F64" s="494">
        <f>IF(H26="Aucun",0,2)</f>
        <v>0</v>
      </c>
      <c r="G64" s="468"/>
      <c r="H64" s="468"/>
      <c r="I64" s="468"/>
      <c r="J64" s="468">
        <f t="shared" si="15"/>
        <v>0</v>
      </c>
      <c r="K64" s="468">
        <f t="shared" si="16"/>
        <v>0</v>
      </c>
      <c r="L64" s="514">
        <f>IF(E64=0,0,VLOOKUP(E64,'Prix Matiere'!$A$4:$J$65,10))</f>
        <v>0</v>
      </c>
      <c r="M64" s="514">
        <f t="shared" si="17"/>
        <v>0</v>
      </c>
      <c r="N64" s="479">
        <f t="shared" si="18"/>
        <v>0</v>
      </c>
      <c r="O64" s="514">
        <f t="shared" si="19"/>
        <v>0</v>
      </c>
      <c r="P64" s="468"/>
      <c r="Q64" s="520">
        <f>IF(J64=0,0,J64*VLOOKUP(E64,'Prix Matiere'!$A$4:$L$60,12))</f>
        <v>0</v>
      </c>
      <c r="R64" s="468">
        <f>IF(J64=0,0,Q64*VLOOKUP(E64,'Prix Matiere'!$A$4:$L$60,11))</f>
        <v>0</v>
      </c>
      <c r="S64" s="468"/>
      <c r="T64" s="468"/>
      <c r="U64" s="468"/>
      <c r="V64" s="468"/>
      <c r="W64" s="468"/>
      <c r="X64" s="468"/>
      <c r="Y64" s="468"/>
      <c r="Z64" s="468"/>
    </row>
    <row r="65" spans="1:26" ht="18" hidden="1" customHeight="1" x14ac:dyDescent="0.35">
      <c r="A65" s="468"/>
      <c r="B65" s="494">
        <f>IF(H26="Aucun",0,G30)</f>
        <v>0</v>
      </c>
      <c r="C65" s="521">
        <f>H30</f>
        <v>0</v>
      </c>
      <c r="D65" s="521">
        <f t="shared" si="20"/>
        <v>0</v>
      </c>
      <c r="E65" s="521">
        <f>IF(H26="Aucun",0,IF(B65="Ethafoam 50 mm","Ethafoam 50 mm","Agglocelle 50 mm"))</f>
        <v>0</v>
      </c>
      <c r="F65" s="494">
        <f>K30</f>
        <v>2</v>
      </c>
      <c r="G65" s="468"/>
      <c r="H65" s="468"/>
      <c r="I65" s="468"/>
      <c r="J65" s="468">
        <f t="shared" si="15"/>
        <v>0</v>
      </c>
      <c r="K65" s="468">
        <f t="shared" si="16"/>
        <v>0</v>
      </c>
      <c r="L65" s="514">
        <f>IF(E65=0,0,VLOOKUP(E65,'Prix Matiere'!$A$4:$J$65,10))</f>
        <v>0</v>
      </c>
      <c r="M65" s="514">
        <f t="shared" si="17"/>
        <v>0</v>
      </c>
      <c r="N65" s="479">
        <f t="shared" si="18"/>
        <v>0</v>
      </c>
      <c r="O65" s="514">
        <f t="shared" si="19"/>
        <v>0</v>
      </c>
      <c r="P65" s="468"/>
      <c r="Q65" s="520">
        <f>IF(J65=0,0,J65*VLOOKUP(E65,'Prix Matiere'!$A$4:$L$60,12))</f>
        <v>0</v>
      </c>
      <c r="R65" s="468">
        <f>IF(J65=0,0,Q65*VLOOKUP(E65,'Prix Matiere'!$A$4:$L$60,11))</f>
        <v>0</v>
      </c>
      <c r="S65" s="468"/>
      <c r="T65" s="468"/>
      <c r="U65" s="468"/>
      <c r="V65" s="468"/>
      <c r="W65" s="468"/>
      <c r="X65" s="468"/>
      <c r="Y65" s="468"/>
      <c r="Z65" s="468"/>
    </row>
    <row r="66" spans="1:26" ht="18" hidden="1" customHeight="1" x14ac:dyDescent="0.35">
      <c r="A66" s="468"/>
      <c r="B66" s="494">
        <f>IF(H26="Aucun",0,"Milieu")</f>
        <v>0</v>
      </c>
      <c r="C66" s="521">
        <f>(C63-((C64*F64)+(C65*F65)))/(F65-1)</f>
        <v>0</v>
      </c>
      <c r="D66" s="521">
        <f t="shared" si="20"/>
        <v>0</v>
      </c>
      <c r="E66" s="521">
        <f>VLOOKUP(H26,$A$112:$L$117,9)</f>
        <v>0</v>
      </c>
      <c r="F66" s="494">
        <f>IF(H26="Aucun",0,F65-1)</f>
        <v>0</v>
      </c>
      <c r="G66" s="468"/>
      <c r="H66" s="468"/>
      <c r="I66" s="468"/>
      <c r="J66" s="468">
        <f t="shared" si="15"/>
        <v>0</v>
      </c>
      <c r="K66" s="468">
        <f t="shared" si="16"/>
        <v>0</v>
      </c>
      <c r="L66" s="514">
        <f>IF(E66=0,0,VLOOKUP(E66,'Prix Matiere'!$A$4:$J$65,10))</f>
        <v>0</v>
      </c>
      <c r="M66" s="514">
        <f t="shared" si="17"/>
        <v>0</v>
      </c>
      <c r="N66" s="479">
        <f t="shared" si="18"/>
        <v>0</v>
      </c>
      <c r="O66" s="514">
        <f t="shared" si="19"/>
        <v>0</v>
      </c>
      <c r="P66" s="468"/>
      <c r="Q66" s="520">
        <f>IF(J66=0,0,J66*VLOOKUP(E66,'Prix Matiere'!$A$4:$L$60,12))</f>
        <v>0</v>
      </c>
      <c r="R66" s="468">
        <f>IF(J66=0,0,Q66*VLOOKUP(E66,'Prix Matiere'!$A$4:$L$60,11))</f>
        <v>0</v>
      </c>
      <c r="S66" s="468"/>
      <c r="T66" s="468"/>
      <c r="U66" s="468"/>
      <c r="V66" s="468"/>
      <c r="W66" s="468"/>
      <c r="X66" s="468"/>
      <c r="Y66" s="468"/>
      <c r="Z66" s="468"/>
    </row>
    <row r="67" spans="1:26" ht="18" hidden="1" customHeight="1" x14ac:dyDescent="0.35">
      <c r="A67" s="468"/>
      <c r="B67" s="494">
        <f>IF(H26="Aucun",0,"Bouts avec passage de main")</f>
        <v>0</v>
      </c>
      <c r="C67" s="521">
        <f>IF(H26="Aucun",0,(J25-IF(J25&gt;120,30,15))/(F67/2))</f>
        <v>0</v>
      </c>
      <c r="D67" s="521">
        <f t="shared" si="20"/>
        <v>0</v>
      </c>
      <c r="E67" s="521">
        <f>VLOOKUP(H26,$A$112:$L$117,9)</f>
        <v>0</v>
      </c>
      <c r="F67" s="494">
        <f>IF(H26="Aucun",0,IF(J25&gt;120,6,4))</f>
        <v>0</v>
      </c>
      <c r="G67" s="468"/>
      <c r="H67" s="468"/>
      <c r="I67" s="468"/>
      <c r="J67" s="468">
        <f t="shared" si="15"/>
        <v>0</v>
      </c>
      <c r="K67" s="468">
        <f t="shared" si="16"/>
        <v>0</v>
      </c>
      <c r="L67" s="514">
        <f>IF(E67=0,0,VLOOKUP(E67,'Prix Matiere'!$A$4:$J$65,10))</f>
        <v>0</v>
      </c>
      <c r="M67" s="514">
        <f t="shared" si="17"/>
        <v>0</v>
      </c>
      <c r="N67" s="479">
        <f t="shared" si="18"/>
        <v>0</v>
      </c>
      <c r="O67" s="514">
        <f t="shared" si="19"/>
        <v>0</v>
      </c>
      <c r="P67" s="468"/>
      <c r="Q67" s="520">
        <f>IF(J67=0,0,J67*VLOOKUP(E67,'Prix Matiere'!$A$4:$L$60,12))</f>
        <v>0</v>
      </c>
      <c r="R67" s="468">
        <f>IF(J67=0,0,Q67*VLOOKUP(E67,'Prix Matiere'!$A$4:$L$60,11))</f>
        <v>0</v>
      </c>
      <c r="S67" s="468"/>
      <c r="T67" s="468"/>
      <c r="U67" s="468"/>
      <c r="V67" s="468"/>
      <c r="W67" s="468"/>
      <c r="X67" s="468"/>
      <c r="Y67" s="468"/>
      <c r="Z67" s="468"/>
    </row>
    <row r="68" spans="1:26" ht="18" hidden="1" customHeight="1" x14ac:dyDescent="0.35">
      <c r="A68" s="468"/>
      <c r="B68" s="494">
        <f>IF(H26="Aucun",0,"Fond")</f>
        <v>0</v>
      </c>
      <c r="C68" s="521">
        <f>IF(H26="Aucun",0,H25+VLOOKUP(H26,$A$112:$L$117,6))</f>
        <v>0</v>
      </c>
      <c r="D68" s="521">
        <f>IF(H26="Sous verre 2 faces",J25+VLOOKUP(H26,$A$112:$L$117,6),H29)</f>
        <v>0</v>
      </c>
      <c r="E68" s="521">
        <f>VLOOKUP(H26,$A$112:$L$117,8)</f>
        <v>0</v>
      </c>
      <c r="F68" s="494">
        <f>VLOOKUP(H26,$A$112:$L$117,7)</f>
        <v>0</v>
      </c>
      <c r="G68" s="468"/>
      <c r="H68" s="468"/>
      <c r="I68" s="468"/>
      <c r="J68" s="468">
        <f t="shared" si="15"/>
        <v>0</v>
      </c>
      <c r="K68" s="468">
        <f t="shared" si="16"/>
        <v>0</v>
      </c>
      <c r="L68" s="514">
        <f>IF(E68=0,0,VLOOKUP(E68,'Prix Matiere'!$A$4:$J$65,10))</f>
        <v>0</v>
      </c>
      <c r="M68" s="514">
        <f t="shared" si="17"/>
        <v>0</v>
      </c>
      <c r="N68" s="479">
        <f t="shared" si="18"/>
        <v>0</v>
      </c>
      <c r="O68" s="514">
        <f t="shared" si="19"/>
        <v>0</v>
      </c>
      <c r="P68" s="468"/>
      <c r="Q68" s="520">
        <f>IF(J68=0,0,J68*VLOOKUP(E68,'Prix Matiere'!$A$4:$L$60,12))</f>
        <v>0</v>
      </c>
      <c r="R68" s="468">
        <f>IF(J68=0,0,Q68*VLOOKUP(E68,'Prix Matiere'!$A$4:$L$60,11))</f>
        <v>0</v>
      </c>
      <c r="S68" s="468"/>
      <c r="T68" s="468"/>
      <c r="U68" s="468"/>
      <c r="V68" s="468"/>
      <c r="W68" s="468"/>
      <c r="X68" s="468"/>
      <c r="Y68" s="468"/>
      <c r="Z68" s="468"/>
    </row>
    <row r="69" spans="1:26" ht="18" hidden="1" customHeight="1" x14ac:dyDescent="0.35">
      <c r="A69" s="468"/>
      <c r="B69" s="494">
        <f>IF(H26="Aucun",0,"Remplis de fond")</f>
        <v>0</v>
      </c>
      <c r="C69" s="521">
        <f>IF(H26="Aucun",0,IF(H26="Sous verre 2 faces",0,J25-D68*2+VLOOKUP(H26,$A$112:$L$117,6)))</f>
        <v>0</v>
      </c>
      <c r="D69" s="521">
        <f>IF(H26="Sous verre 2 faces",0,H29)</f>
        <v>0</v>
      </c>
      <c r="E69" s="521">
        <f>IF(C69=0,0,VLOOKUP(H26,$A$112:$L$117,8))</f>
        <v>0</v>
      </c>
      <c r="F69" s="494">
        <f>IF(H26="Aucun",0,IF(H26="Sous verre 2 faces",0,2))</f>
        <v>0</v>
      </c>
      <c r="G69" s="468"/>
      <c r="H69" s="468"/>
      <c r="I69" s="468"/>
      <c r="J69" s="468">
        <f t="shared" si="15"/>
        <v>0</v>
      </c>
      <c r="K69" s="468">
        <f t="shared" si="16"/>
        <v>0</v>
      </c>
      <c r="L69" s="514">
        <f>IF(E69=0,0,VLOOKUP(E69,'Prix Matiere'!$A$4:$J$65,10))</f>
        <v>0</v>
      </c>
      <c r="M69" s="514">
        <f t="shared" si="17"/>
        <v>0</v>
      </c>
      <c r="N69" s="479">
        <f t="shared" si="18"/>
        <v>0</v>
      </c>
      <c r="O69" s="514">
        <f t="shared" si="19"/>
        <v>0</v>
      </c>
      <c r="P69" s="468"/>
      <c r="Q69" s="520">
        <f>IF(J69=0,0,J69*VLOOKUP(E69,'Prix Matiere'!$A$4:$L$60,12))</f>
        <v>0</v>
      </c>
      <c r="R69" s="468">
        <f>IF(J69=0,0,Q69*VLOOKUP(E69,'Prix Matiere'!$A$4:$L$60,11))</f>
        <v>0</v>
      </c>
      <c r="S69" s="468"/>
      <c r="T69" s="468"/>
      <c r="U69" s="468"/>
      <c r="V69" s="468"/>
      <c r="W69" s="468"/>
      <c r="X69" s="468"/>
      <c r="Y69" s="468"/>
      <c r="Z69" s="468"/>
    </row>
    <row r="70" spans="1:26" ht="18" hidden="1" customHeight="1" x14ac:dyDescent="0.35">
      <c r="A70" s="468"/>
      <c r="B70" s="494">
        <f>IF(H26="Aucun",0,"Dessus")</f>
        <v>0</v>
      </c>
      <c r="C70" s="521">
        <f>IF(H26="Aucun",0,H25+VLOOKUP(H26,$A$112:$L$117,10))</f>
        <v>0</v>
      </c>
      <c r="D70" s="521">
        <f>IF(H26="Sous verre 2 faces",H28+VLOOKUP(H26,$A$112:$L$117,10),IF(H26="Sous verre / bandes de mousse",H28+VLOOKUP(H26,$A$112:$L$117,10),H28))</f>
        <v>0</v>
      </c>
      <c r="E70" s="521">
        <f>VLOOKUP(H26,$A$112:$L$117,9)</f>
        <v>0</v>
      </c>
      <c r="F70" s="494">
        <f>VLOOKUP(H26,$A$112:$L$117,11)</f>
        <v>0</v>
      </c>
      <c r="G70" s="468"/>
      <c r="H70" s="468"/>
      <c r="I70" s="468"/>
      <c r="J70" s="468">
        <f t="shared" si="15"/>
        <v>0</v>
      </c>
      <c r="K70" s="468">
        <f t="shared" si="16"/>
        <v>0</v>
      </c>
      <c r="L70" s="514">
        <f>IF(E70=0,0,VLOOKUP(E70,'Prix Matiere'!$A$4:$J$65,10))</f>
        <v>0</v>
      </c>
      <c r="M70" s="514">
        <f t="shared" si="17"/>
        <v>0</v>
      </c>
      <c r="N70" s="479">
        <f t="shared" si="18"/>
        <v>0</v>
      </c>
      <c r="O70" s="514">
        <f t="shared" si="19"/>
        <v>0</v>
      </c>
      <c r="P70" s="468"/>
      <c r="Q70" s="520">
        <f>IF(J70=0,0,J70*VLOOKUP(E70,'Prix Matiere'!$A$4:$L$60,12))</f>
        <v>0</v>
      </c>
      <c r="R70" s="468">
        <f>IF(J70=0,0,Q70*VLOOKUP(E70,'Prix Matiere'!$A$4:$L$60,11))</f>
        <v>0</v>
      </c>
      <c r="S70" s="468"/>
      <c r="T70" s="468"/>
      <c r="U70" s="468"/>
      <c r="V70" s="468"/>
      <c r="W70" s="468"/>
      <c r="X70" s="468"/>
      <c r="Y70" s="468"/>
      <c r="Z70" s="468"/>
    </row>
    <row r="71" spans="1:26" ht="18" hidden="1" customHeight="1" x14ac:dyDescent="0.35">
      <c r="A71" s="468"/>
      <c r="B71" s="494">
        <f>IF(H26="Aucun",0,"Remplis de dessus")</f>
        <v>0</v>
      </c>
      <c r="C71" s="521">
        <f>IF(H26="Aucun",0,IF(H26="Sous verre 2 faces",0,IF(H26="Sous verre / bandes de mousse",0,J25-2*D70+VLOOKUP(H26,$A$112:$L$117,10))))</f>
        <v>0</v>
      </c>
      <c r="D71" s="521">
        <f>IF(H26="Sous verre / bandes de mousse",0,IF(H26="Sous verre 2 faces",0,H28))</f>
        <v>0</v>
      </c>
      <c r="E71" s="521">
        <f>IF(C71=0,0,VLOOKUP(H26,$A$112:$L$117,9))</f>
        <v>0</v>
      </c>
      <c r="F71" s="494">
        <f>IF(H26="Aucun",0,IF(H26="Sous verre 2 faces",0,IF(H26="Sous verre / bandes de mousse",0,2)))</f>
        <v>0</v>
      </c>
      <c r="G71" s="468"/>
      <c r="H71" s="468"/>
      <c r="I71" s="468"/>
      <c r="J71" s="468">
        <f t="shared" si="15"/>
        <v>0</v>
      </c>
      <c r="K71" s="468">
        <f t="shared" si="16"/>
        <v>0</v>
      </c>
      <c r="L71" s="514">
        <f>IF(E71=0,0,VLOOKUP(E71,'Prix Matiere'!$A$4:$J$65,10))</f>
        <v>0</v>
      </c>
      <c r="M71" s="514">
        <f t="shared" si="17"/>
        <v>0</v>
      </c>
      <c r="N71" s="479">
        <f t="shared" si="18"/>
        <v>0</v>
      </c>
      <c r="O71" s="514">
        <f t="shared" si="19"/>
        <v>0</v>
      </c>
      <c r="P71" s="468"/>
      <c r="Q71" s="520">
        <f>IF(J71=0,0,J71*VLOOKUP(E71,'Prix Matiere'!$A$4:$L$60,12))</f>
        <v>0</v>
      </c>
      <c r="R71" s="468">
        <f>IF(J71=0,0,Q71*VLOOKUP(E71,'Prix Matiere'!$A$4:$L$60,11))</f>
        <v>0</v>
      </c>
      <c r="S71" s="468"/>
      <c r="T71" s="468"/>
      <c r="U71" s="468"/>
      <c r="V71" s="468"/>
      <c r="W71" s="468"/>
      <c r="X71" s="468"/>
      <c r="Y71" s="468"/>
      <c r="Z71" s="468"/>
    </row>
    <row r="72" spans="1:26" ht="18" hidden="1" customHeight="1" x14ac:dyDescent="0.35">
      <c r="A72" s="468"/>
      <c r="B72" s="494">
        <f>IF(H26="Aucun",0,"Rattrapage 1")</f>
        <v>0</v>
      </c>
      <c r="C72" s="521">
        <f>IF(H31=0,0,H25+0.2)</f>
        <v>0</v>
      </c>
      <c r="D72" s="521">
        <f>IF(H31=0,0,H31)</f>
        <v>0</v>
      </c>
      <c r="E72" s="521">
        <f t="shared" ref="E72:E73" si="21">IF(C72=0,0,CONCATENATE("PU ",$J$31*10," mm"))</f>
        <v>0</v>
      </c>
      <c r="F72" s="494">
        <f>IF(H31=0,0,2)</f>
        <v>0</v>
      </c>
      <c r="G72" s="468"/>
      <c r="H72" s="468"/>
      <c r="I72" s="468"/>
      <c r="J72" s="468">
        <f t="shared" si="15"/>
        <v>0</v>
      </c>
      <c r="K72" s="468">
        <f t="shared" si="16"/>
        <v>0</v>
      </c>
      <c r="L72" s="514">
        <f>IF(E72=0,0,VLOOKUP(E72,'Prix Matiere'!$A$4:$J$65,10))</f>
        <v>0</v>
      </c>
      <c r="M72" s="514">
        <f t="shared" si="17"/>
        <v>0</v>
      </c>
      <c r="N72" s="479">
        <f t="shared" si="18"/>
        <v>0</v>
      </c>
      <c r="O72" s="514">
        <f t="shared" si="19"/>
        <v>0</v>
      </c>
      <c r="P72" s="468"/>
      <c r="Q72" s="520">
        <f>IF(J72=0,0,J72*VLOOKUP(E72,'Prix Matiere'!$A$4:$L$60,12))</f>
        <v>0</v>
      </c>
      <c r="R72" s="468">
        <f>IF(J72=0,0,Q72*VLOOKUP(E72,'Prix Matiere'!$A$4:$L$60,11))</f>
        <v>0</v>
      </c>
      <c r="S72" s="468"/>
      <c r="T72" s="468"/>
      <c r="U72" s="468"/>
      <c r="V72" s="468"/>
      <c r="W72" s="468"/>
      <c r="X72" s="468"/>
      <c r="Y72" s="468"/>
      <c r="Z72" s="468"/>
    </row>
    <row r="73" spans="1:26" ht="18" hidden="1" customHeight="1" x14ac:dyDescent="0.35">
      <c r="A73" s="468"/>
      <c r="B73" s="494">
        <f>IF(H26="Aucun",0,"Rattrapage 2")</f>
        <v>0</v>
      </c>
      <c r="C73" s="521">
        <f>IF(H31=0,0,J25+0.2-2*D72)</f>
        <v>0</v>
      </c>
      <c r="D73" s="521">
        <f>IF(H31=0,0,D72)</f>
        <v>0</v>
      </c>
      <c r="E73" s="521">
        <f t="shared" si="21"/>
        <v>0</v>
      </c>
      <c r="F73" s="494">
        <f>IF(H31=0,0,2)</f>
        <v>0</v>
      </c>
      <c r="G73" s="468"/>
      <c r="H73" s="468"/>
      <c r="I73" s="468"/>
      <c r="J73" s="468">
        <f t="shared" si="15"/>
        <v>0</v>
      </c>
      <c r="K73" s="468">
        <f t="shared" si="16"/>
        <v>0</v>
      </c>
      <c r="L73" s="514">
        <f>IF(E73=0,0,VLOOKUP(E73,'Prix Matiere'!$A$4:$J$65,10))</f>
        <v>0</v>
      </c>
      <c r="M73" s="514">
        <f t="shared" si="17"/>
        <v>0</v>
      </c>
      <c r="N73" s="479">
        <f t="shared" si="18"/>
        <v>0</v>
      </c>
      <c r="O73" s="514">
        <f t="shared" si="19"/>
        <v>0</v>
      </c>
      <c r="P73" s="468"/>
      <c r="Q73" s="520">
        <f>IF(J73=0,0,J73*VLOOKUP(E73,'Prix Matiere'!$A$4:$L$60,12))</f>
        <v>0</v>
      </c>
      <c r="R73" s="468">
        <f>IF(J73=0,0,Q73*VLOOKUP(E73,'Prix Matiere'!$A$4:$L$60,11))</f>
        <v>0</v>
      </c>
      <c r="S73" s="468"/>
      <c r="T73" s="468"/>
      <c r="U73" s="468"/>
      <c r="V73" s="468"/>
      <c r="W73" s="468"/>
      <c r="X73" s="468"/>
      <c r="Y73" s="468"/>
      <c r="Z73" s="468"/>
    </row>
    <row r="74" spans="1:26" ht="18" hidden="1" customHeight="1" x14ac:dyDescent="0.35">
      <c r="A74" s="468"/>
      <c r="B74" s="494">
        <f>IF(H26="Aucun",0,"Remplissage 1")</f>
        <v>0</v>
      </c>
      <c r="C74" s="521">
        <f t="shared" ref="C74:C75" si="22">IF(H32=0,0,H32)</f>
        <v>0</v>
      </c>
      <c r="D74" s="521">
        <f t="shared" ref="D74:D75" si="23">IF(H32=0,0,I32)</f>
        <v>0</v>
      </c>
      <c r="E74" s="521">
        <f>IF(C74=0,0,CONCATENATE("PU ",$J$32*10," mm"))</f>
        <v>0</v>
      </c>
      <c r="F74" s="494">
        <f t="shared" ref="F74:F75" si="24">IF(H32=0,0,1)</f>
        <v>0</v>
      </c>
      <c r="G74" s="468"/>
      <c r="H74" s="468"/>
      <c r="I74" s="468"/>
      <c r="J74" s="468">
        <f t="shared" si="15"/>
        <v>0</v>
      </c>
      <c r="K74" s="468">
        <f t="shared" si="16"/>
        <v>0</v>
      </c>
      <c r="L74" s="514">
        <f>IF(E74=0,0,VLOOKUP(E74,'Prix Matiere'!$A$4:$J$65,10))</f>
        <v>0</v>
      </c>
      <c r="M74" s="514">
        <f t="shared" si="17"/>
        <v>0</v>
      </c>
      <c r="N74" s="479">
        <f t="shared" si="18"/>
        <v>0</v>
      </c>
      <c r="O74" s="514">
        <f t="shared" si="19"/>
        <v>0</v>
      </c>
      <c r="P74" s="468"/>
      <c r="Q74" s="520">
        <f>IF(J74=0,0,J74*VLOOKUP(E74,'Prix Matiere'!$A$4:$L$60,12))</f>
        <v>0</v>
      </c>
      <c r="R74" s="468">
        <f>IF(J74=0,0,Q74*VLOOKUP(E74,'Prix Matiere'!$A$4:$L$60,11))</f>
        <v>0</v>
      </c>
      <c r="S74" s="468"/>
      <c r="T74" s="468"/>
      <c r="U74" s="468"/>
      <c r="V74" s="468"/>
      <c r="W74" s="468"/>
      <c r="X74" s="468"/>
      <c r="Y74" s="468"/>
      <c r="Z74" s="468"/>
    </row>
    <row r="75" spans="1:26" ht="18" hidden="1" customHeight="1" x14ac:dyDescent="0.35">
      <c r="A75" s="468"/>
      <c r="B75" s="494">
        <f>IF(H26="Aucun",0,"Remplissage 2")</f>
        <v>0</v>
      </c>
      <c r="C75" s="521">
        <f t="shared" si="22"/>
        <v>0</v>
      </c>
      <c r="D75" s="521">
        <f t="shared" si="23"/>
        <v>0</v>
      </c>
      <c r="E75" s="521">
        <f>IF(C75=0,0,CONCATENATE("PU ",$J$33*10," mm"))</f>
        <v>0</v>
      </c>
      <c r="F75" s="494">
        <f t="shared" si="24"/>
        <v>0</v>
      </c>
      <c r="G75" s="468"/>
      <c r="H75" s="468"/>
      <c r="I75" s="468"/>
      <c r="J75" s="468">
        <f t="shared" si="15"/>
        <v>0</v>
      </c>
      <c r="K75" s="468">
        <f t="shared" si="16"/>
        <v>0</v>
      </c>
      <c r="L75" s="514">
        <f>IF(E75=0,0,VLOOKUP(E75,'Prix Matiere'!$A$4:$J$65,10))</f>
        <v>0</v>
      </c>
      <c r="M75" s="514">
        <f t="shared" si="17"/>
        <v>0</v>
      </c>
      <c r="N75" s="479">
        <f t="shared" si="18"/>
        <v>0</v>
      </c>
      <c r="O75" s="514">
        <f t="shared" si="19"/>
        <v>0</v>
      </c>
      <c r="P75" s="468"/>
      <c r="Q75" s="520">
        <f>IF(J75=0,0,J75*VLOOKUP(E75,'Prix Matiere'!$A$4:$L$60,12))</f>
        <v>0</v>
      </c>
      <c r="R75" s="468">
        <f>IF(J75=0,0,Q75*VLOOKUP(E75,'Prix Matiere'!$A$4:$L$60,11))</f>
        <v>0</v>
      </c>
      <c r="S75" s="468"/>
      <c r="T75" s="468"/>
      <c r="U75" s="468"/>
      <c r="V75" s="468"/>
      <c r="W75" s="468"/>
      <c r="X75" s="468"/>
      <c r="Y75" s="468"/>
      <c r="Z75" s="468"/>
    </row>
    <row r="76" spans="1:26" ht="18" hidden="1" customHeight="1" x14ac:dyDescent="0.35">
      <c r="A76" s="468"/>
      <c r="B76" s="494">
        <f>IF(H26="Aucun",0,"Carton")</f>
        <v>0</v>
      </c>
      <c r="C76" s="521">
        <f>IF(F76=0,0,H25+VLOOKUP(H26,$A$112:$L$117,10))</f>
        <v>0</v>
      </c>
      <c r="D76" s="521">
        <f>IF(E76=0,0,J25+VLOOKUP(H26,$A$112:$L$117,10))</f>
        <v>0</v>
      </c>
      <c r="E76" s="521">
        <f>IF(C76=0,0,"Carton")</f>
        <v>0</v>
      </c>
      <c r="F76" s="494">
        <f>VLOOKUP(H26,$A$112:$L$117,12)</f>
        <v>0</v>
      </c>
      <c r="G76" s="468"/>
      <c r="H76" s="468"/>
      <c r="I76" s="468"/>
      <c r="J76" s="468">
        <f t="shared" si="15"/>
        <v>0</v>
      </c>
      <c r="K76" s="468">
        <f t="shared" si="16"/>
        <v>0</v>
      </c>
      <c r="L76" s="514">
        <f>IF(E76=0,0,Carton)</f>
        <v>0</v>
      </c>
      <c r="M76" s="514">
        <f t="shared" si="17"/>
        <v>0</v>
      </c>
      <c r="N76" s="479">
        <f>IF(J76=0,0,1+(3*J76))</f>
        <v>0</v>
      </c>
      <c r="O76" s="514">
        <f t="shared" si="19"/>
        <v>0</v>
      </c>
      <c r="P76" s="468"/>
      <c r="Q76" s="520">
        <f>IF(J76=0,0,J76*VLOOKUP(E76,'Prix Matiere'!$A$4:$L$60,12))</f>
        <v>0</v>
      </c>
      <c r="R76" s="468">
        <f>IF(J76=0,0,Q76*VLOOKUP(E76,'Prix Matiere'!$A$4:$L$60,11))</f>
        <v>0</v>
      </c>
      <c r="S76" s="468"/>
      <c r="T76" s="468"/>
      <c r="U76" s="468"/>
      <c r="V76" s="468"/>
      <c r="W76" s="468"/>
      <c r="X76" s="468"/>
      <c r="Y76" s="468"/>
      <c r="Z76" s="468"/>
    </row>
    <row r="77" spans="1:26" ht="18" hidden="1" customHeight="1" x14ac:dyDescent="0.35">
      <c r="A77" s="468"/>
      <c r="B77" s="468"/>
      <c r="C77" s="513"/>
      <c r="D77" s="513"/>
      <c r="E77" s="513"/>
      <c r="F77" s="468"/>
      <c r="G77" s="468"/>
      <c r="H77" s="468"/>
      <c r="I77" s="468"/>
      <c r="J77" s="468"/>
      <c r="K77" s="468"/>
      <c r="L77" s="514"/>
      <c r="M77" s="514"/>
      <c r="N77" s="479"/>
      <c r="O77" s="514"/>
      <c r="P77" s="468"/>
      <c r="Q77" s="468"/>
      <c r="R77" s="468">
        <f>IF(J77=0,0,Q77*VLOOKUP(E77,'Prix Matiere'!$A$4:$L$60,11))</f>
        <v>0</v>
      </c>
      <c r="S77" s="468"/>
      <c r="T77" s="468"/>
      <c r="U77" s="468"/>
      <c r="V77" s="468"/>
      <c r="W77" s="468"/>
      <c r="X77" s="468"/>
      <c r="Y77" s="468"/>
      <c r="Z77" s="468"/>
    </row>
    <row r="78" spans="1:26" ht="18" hidden="1" customHeight="1" x14ac:dyDescent="0.35">
      <c r="A78" s="468"/>
      <c r="B78" s="468"/>
      <c r="C78" s="513"/>
      <c r="D78" s="513"/>
      <c r="E78" s="513"/>
      <c r="F78" s="468"/>
      <c r="G78" s="468"/>
      <c r="H78" s="468"/>
      <c r="I78" s="468"/>
      <c r="J78" s="468"/>
      <c r="K78" s="468"/>
      <c r="L78" s="514"/>
      <c r="M78" s="514"/>
      <c r="N78" s="479"/>
      <c r="O78" s="514"/>
      <c r="P78" s="468"/>
      <c r="Q78" s="468"/>
      <c r="R78" s="468">
        <f>IF(J78=0,0,Q78*VLOOKUP(E78,'Prix Matiere'!$A$4:$L$60,11))</f>
        <v>0</v>
      </c>
      <c r="S78" s="468"/>
      <c r="T78" s="468"/>
      <c r="U78" s="468"/>
      <c r="V78" s="468"/>
      <c r="W78" s="468"/>
      <c r="X78" s="468"/>
      <c r="Y78" s="468"/>
      <c r="Z78" s="468"/>
    </row>
    <row r="79" spans="1:26" ht="18" hidden="1" customHeight="1" x14ac:dyDescent="0.35">
      <c r="A79" s="468"/>
      <c r="B79" s="468"/>
      <c r="C79" s="468"/>
      <c r="D79" s="468"/>
      <c r="E79" s="468"/>
      <c r="F79" s="468"/>
      <c r="G79" s="468"/>
      <c r="H79" s="468"/>
      <c r="I79" s="468"/>
      <c r="J79" s="468"/>
      <c r="K79" s="468"/>
      <c r="L79" s="514"/>
      <c r="M79" s="514"/>
      <c r="N79" s="479"/>
      <c r="O79" s="514"/>
      <c r="P79" s="468"/>
      <c r="Q79" s="468"/>
      <c r="R79" s="468">
        <f>IF(J79=0,0,Q79*VLOOKUP(E79,'Prix Matiere'!$A$4:$L$60,11))</f>
        <v>0</v>
      </c>
      <c r="S79" s="468"/>
      <c r="T79" s="468"/>
      <c r="U79" s="468"/>
      <c r="V79" s="468"/>
      <c r="W79" s="468"/>
      <c r="X79" s="468"/>
      <c r="Y79" s="468"/>
      <c r="Z79" s="468"/>
    </row>
    <row r="80" spans="1:26" ht="19.5" hidden="1" customHeight="1" x14ac:dyDescent="0.35">
      <c r="A80" s="468" t="s">
        <v>23</v>
      </c>
      <c r="B80" s="468">
        <f>IF($F$13="Oui","Tyvek",0)</f>
        <v>0</v>
      </c>
      <c r="C80" s="468"/>
      <c r="D80" s="468"/>
      <c r="E80" s="468"/>
      <c r="F80" s="468"/>
      <c r="G80" s="468"/>
      <c r="H80" s="468"/>
      <c r="I80" s="468"/>
      <c r="J80" s="468"/>
      <c r="K80" s="519">
        <f>IF(B80="Tyvek",SUM(K63:K75)+SUM(K46:K58)/0.7,0)</f>
        <v>0</v>
      </c>
      <c r="L80" s="514">
        <f>IF(B80=0,0,VLOOKUP(B80,'Prix Matiere'!$A$4:$J$65,10))</f>
        <v>0</v>
      </c>
      <c r="M80" s="514">
        <f>K80*L80</f>
        <v>0</v>
      </c>
      <c r="N80" s="479">
        <f>IF(K80=0,0,7*K80+2)</f>
        <v>0</v>
      </c>
      <c r="O80" s="514">
        <f>N80*MinuteMO</f>
        <v>0</v>
      </c>
      <c r="P80" s="468"/>
      <c r="Q80" s="468"/>
      <c r="R80" s="468">
        <f>IF(J80=0,0,Q80*VLOOKUP(E80,'Prix Matiere'!$A$4:$L$60,11))</f>
        <v>0</v>
      </c>
      <c r="S80" s="468"/>
      <c r="T80" s="468"/>
      <c r="U80" s="468"/>
      <c r="V80" s="468"/>
      <c r="W80" s="468"/>
      <c r="X80" s="468"/>
      <c r="Y80" s="468"/>
      <c r="Z80" s="468"/>
    </row>
    <row r="81" spans="1:26" ht="18" hidden="1" customHeight="1" x14ac:dyDescent="0.35">
      <c r="A81" s="468" t="s">
        <v>72</v>
      </c>
      <c r="B81" s="468" t="str">
        <f>C17</f>
        <v>Vis bois</v>
      </c>
      <c r="C81" s="468"/>
      <c r="D81" s="468"/>
      <c r="E81" s="468"/>
      <c r="F81" s="468"/>
      <c r="G81" s="468"/>
      <c r="H81" s="468"/>
      <c r="I81" s="468"/>
      <c r="J81" s="468"/>
      <c r="K81" s="468"/>
      <c r="L81" s="514"/>
      <c r="M81" s="514">
        <f>IF(B81="Vis bois",0,20)</f>
        <v>0</v>
      </c>
      <c r="N81" s="479">
        <f>IF(B81="Vis bois",0,30)</f>
        <v>0</v>
      </c>
      <c r="O81" s="514">
        <f>N81*MinuteMO</f>
        <v>0</v>
      </c>
      <c r="P81" s="468"/>
      <c r="Q81" s="468"/>
      <c r="R81" s="468">
        <f>IF(J81=0,0,Q81*VLOOKUP(E81,'Prix Matiere'!$A$4:$L$60,11))</f>
        <v>0</v>
      </c>
      <c r="S81" s="468"/>
      <c r="T81" s="468"/>
      <c r="U81" s="468"/>
      <c r="V81" s="468"/>
      <c r="W81" s="468"/>
      <c r="X81" s="468"/>
      <c r="Y81" s="468"/>
      <c r="Z81" s="468"/>
    </row>
    <row r="82" spans="1:26" ht="18" hidden="1" customHeight="1" x14ac:dyDescent="0.35">
      <c r="A82" s="468" t="s">
        <v>21</v>
      </c>
      <c r="B82" s="468" t="str">
        <f>C19</f>
        <v>Métal x 2 sur bouts</v>
      </c>
      <c r="C82" s="468"/>
      <c r="D82" s="468"/>
      <c r="E82" s="468"/>
      <c r="F82" s="468"/>
      <c r="G82" s="468"/>
      <c r="H82" s="468"/>
      <c r="I82" s="468"/>
      <c r="J82" s="468"/>
      <c r="K82" s="468"/>
      <c r="L82" s="514"/>
      <c r="M82" s="514">
        <f>IF(B82="Métal x 4 sur GC",4*2,IF(B82="Métal x 2 sur bouts",2*2,0))</f>
        <v>4</v>
      </c>
      <c r="N82" s="479">
        <f>IF(B82="Métal x 4 sur GC",4*3,IF(B82="Métal x 2 sur bouts",2*3,0))</f>
        <v>6</v>
      </c>
      <c r="O82" s="514">
        <f>N82*MinuteMO</f>
        <v>5.0999999999999996</v>
      </c>
      <c r="P82" s="468"/>
      <c r="Q82" s="468"/>
      <c r="R82" s="468">
        <f>IF(J82=0,0,Q82*VLOOKUP(E82,'Prix Matiere'!$A$4:$L$60,11))</f>
        <v>0</v>
      </c>
      <c r="S82" s="468"/>
      <c r="T82" s="468"/>
      <c r="U82" s="468"/>
      <c r="V82" s="468"/>
      <c r="W82" s="468"/>
      <c r="X82" s="468"/>
      <c r="Y82" s="468"/>
      <c r="Z82" s="468"/>
    </row>
    <row r="83" spans="1:26" ht="18" hidden="1" customHeight="1" x14ac:dyDescent="0.35">
      <c r="A83" s="468"/>
      <c r="B83" s="468"/>
      <c r="C83" s="468"/>
      <c r="D83" s="468"/>
      <c r="E83" s="468"/>
      <c r="F83" s="468"/>
      <c r="G83" s="468"/>
      <c r="H83" s="468"/>
      <c r="I83" s="468"/>
      <c r="J83" s="468"/>
      <c r="K83" s="468"/>
      <c r="L83" s="514"/>
      <c r="M83" s="468"/>
      <c r="N83" s="479"/>
      <c r="O83" s="514"/>
      <c r="P83" s="468"/>
      <c r="Q83" s="468"/>
      <c r="R83" s="468"/>
      <c r="S83" s="468"/>
      <c r="T83" s="468"/>
      <c r="U83" s="468"/>
      <c r="V83" s="468"/>
      <c r="W83" s="468"/>
      <c r="X83" s="468"/>
      <c r="Y83" s="468"/>
      <c r="Z83" s="468"/>
    </row>
    <row r="84" spans="1:26" ht="18" hidden="1" customHeight="1" x14ac:dyDescent="0.35">
      <c r="A84" s="468"/>
      <c r="B84" s="468"/>
      <c r="C84" s="468"/>
      <c r="D84" s="468"/>
      <c r="E84" s="468"/>
      <c r="F84" s="468"/>
      <c r="G84" s="468"/>
      <c r="H84" s="468"/>
      <c r="I84" s="468"/>
      <c r="J84" s="468"/>
      <c r="K84" s="468"/>
      <c r="L84" s="514">
        <f>IF(E84=0,0,VLOOKUP(E84,'Prix Matiere'!$A$4:$J$65,10))</f>
        <v>0</v>
      </c>
      <c r="M84" s="525">
        <f t="shared" ref="M84:N84" si="25">SUM(M38:M83)</f>
        <v>4</v>
      </c>
      <c r="N84" s="526">
        <f t="shared" si="25"/>
        <v>6</v>
      </c>
      <c r="O84" s="514">
        <f>N84*MinuteMO</f>
        <v>5.0999999999999996</v>
      </c>
      <c r="P84" s="468"/>
      <c r="Q84" s="520">
        <f t="shared" ref="Q84:R84" si="26">SUM(Q40:Q83)</f>
        <v>0</v>
      </c>
      <c r="R84" s="520">
        <f t="shared" si="26"/>
        <v>0</v>
      </c>
      <c r="S84" s="468"/>
      <c r="T84" s="468"/>
      <c r="U84" s="468"/>
      <c r="V84" s="468"/>
      <c r="W84" s="468"/>
      <c r="X84" s="468"/>
      <c r="Y84" s="468"/>
      <c r="Z84" s="468"/>
    </row>
    <row r="85" spans="1:26" ht="18" hidden="1" customHeight="1" x14ac:dyDescent="0.35">
      <c r="A85" s="468"/>
      <c r="B85" s="480" t="s">
        <v>73</v>
      </c>
      <c r="C85" s="527">
        <f>IF($F$9=0,0,M84)</f>
        <v>0</v>
      </c>
      <c r="D85" s="484"/>
      <c r="E85" s="528" t="s">
        <v>74</v>
      </c>
      <c r="F85" s="529" t="str">
        <f>CONCATENATE(ROUNDUP(SUM(K40:K42),2)," m²")</f>
        <v>0 m²</v>
      </c>
      <c r="G85" s="530">
        <f>(SUM(M40:M42))</f>
        <v>0</v>
      </c>
      <c r="H85" s="468"/>
      <c r="I85" s="468"/>
      <c r="J85" s="468"/>
      <c r="K85" s="468"/>
      <c r="L85" s="468"/>
      <c r="M85" s="468"/>
      <c r="N85" s="468"/>
      <c r="O85" s="468"/>
      <c r="P85" s="468"/>
      <c r="Q85" s="468"/>
      <c r="R85" s="468"/>
      <c r="S85" s="468"/>
      <c r="T85" s="468"/>
      <c r="U85" s="468"/>
      <c r="V85" s="468"/>
      <c r="W85" s="468"/>
      <c r="X85" s="468"/>
      <c r="Y85" s="468"/>
      <c r="Z85" s="468"/>
    </row>
    <row r="86" spans="1:26" ht="18" hidden="1" customHeight="1" x14ac:dyDescent="0.35">
      <c r="A86" s="468"/>
      <c r="B86" s="531" t="s">
        <v>75</v>
      </c>
      <c r="C86" s="514">
        <f>IF($F$9=0,0,O84)</f>
        <v>0</v>
      </c>
      <c r="D86" s="532">
        <f>IF($F$9=0,0,N84)</f>
        <v>0</v>
      </c>
      <c r="E86" s="533"/>
      <c r="F86" s="534"/>
      <c r="G86" s="535"/>
      <c r="H86" s="468"/>
      <c r="I86" s="468"/>
      <c r="J86" s="468"/>
      <c r="K86" s="468"/>
      <c r="L86" s="468"/>
      <c r="M86" s="468"/>
      <c r="N86" s="468"/>
      <c r="O86" s="468"/>
      <c r="P86" s="468"/>
      <c r="Q86" s="468"/>
      <c r="R86" s="468"/>
      <c r="S86" s="468"/>
      <c r="T86" s="468"/>
      <c r="U86" s="468"/>
      <c r="V86" s="468"/>
      <c r="W86" s="468"/>
      <c r="X86" s="468"/>
      <c r="Y86" s="468"/>
      <c r="Z86" s="468"/>
    </row>
    <row r="87" spans="1:26" ht="18" hidden="1" customHeight="1" x14ac:dyDescent="0.35">
      <c r="A87" s="468"/>
      <c r="B87" s="531" t="s">
        <v>77</v>
      </c>
      <c r="C87" s="514">
        <f>IF($F$9=0,0,((C85+C86)/Frais_Généraux)-(C85+C86))</f>
        <v>0</v>
      </c>
      <c r="D87" s="499"/>
      <c r="E87" s="533"/>
      <c r="F87" s="534"/>
      <c r="G87" s="535"/>
      <c r="H87" s="468"/>
      <c r="I87" s="468"/>
      <c r="J87" s="468"/>
      <c r="K87" s="468"/>
      <c r="L87" s="468"/>
      <c r="M87" s="468"/>
      <c r="N87" s="468"/>
      <c r="O87" s="468"/>
      <c r="P87" s="468"/>
      <c r="Q87" s="468"/>
      <c r="R87" s="468"/>
      <c r="S87" s="468"/>
      <c r="T87" s="468"/>
      <c r="U87" s="468"/>
      <c r="V87" s="468"/>
      <c r="W87" s="468"/>
      <c r="X87" s="468"/>
      <c r="Y87" s="468"/>
      <c r="Z87" s="468"/>
    </row>
    <row r="88" spans="1:26" ht="18" hidden="1" customHeight="1" x14ac:dyDescent="0.35">
      <c r="A88" s="468"/>
      <c r="B88" s="531" t="s">
        <v>79</v>
      </c>
      <c r="C88" s="514">
        <f>IF($F$9=0,0,SUM(C85:C87))</f>
        <v>0</v>
      </c>
      <c r="D88" s="499"/>
      <c r="E88" s="533" t="s">
        <v>80</v>
      </c>
      <c r="F88" s="534" t="str">
        <f>CONCATENATE(ROUNDUP(SUM(K46:K58)+SUM(K63:K75),2)," m²")</f>
        <v>0 m²</v>
      </c>
      <c r="G88" s="535">
        <f>(SUM(M46:M58)+SUM(M63:M75))</f>
        <v>0</v>
      </c>
      <c r="H88" s="468"/>
      <c r="I88" s="468"/>
      <c r="J88" s="468"/>
      <c r="K88" s="468"/>
      <c r="L88" s="468"/>
      <c r="M88" s="468"/>
      <c r="N88" s="468"/>
      <c r="O88" s="468"/>
      <c r="P88" s="468"/>
      <c r="Q88" s="468"/>
      <c r="R88" s="468"/>
      <c r="S88" s="468"/>
      <c r="T88" s="468"/>
      <c r="U88" s="468"/>
      <c r="V88" s="468"/>
      <c r="W88" s="468"/>
      <c r="X88" s="468"/>
      <c r="Y88" s="468"/>
      <c r="Z88" s="468"/>
    </row>
    <row r="89" spans="1:26" ht="18" hidden="1" customHeight="1" x14ac:dyDescent="0.35">
      <c r="A89" s="468"/>
      <c r="B89" s="531" t="s">
        <v>81</v>
      </c>
      <c r="C89" s="514">
        <f>IF($F$9=0,0,(C88/(1-Marge)-C88))</f>
        <v>0</v>
      </c>
      <c r="D89" s="536">
        <f>C88+C89</f>
        <v>0</v>
      </c>
      <c r="E89" s="533" t="s">
        <v>82</v>
      </c>
      <c r="F89" s="534" t="str">
        <f>CONCATENATE(ROUNDUP(K59+K76,2)," m²")</f>
        <v>0 m²</v>
      </c>
      <c r="G89" s="535">
        <f>(M59+M76)</f>
        <v>0</v>
      </c>
      <c r="H89" s="468"/>
      <c r="I89" s="468"/>
      <c r="J89" s="468"/>
      <c r="K89" s="468"/>
      <c r="L89" s="468"/>
      <c r="M89" s="468"/>
      <c r="N89" s="468"/>
      <c r="O89" s="468"/>
      <c r="P89" s="468"/>
      <c r="Q89" s="468"/>
      <c r="R89" s="468"/>
      <c r="S89" s="468"/>
      <c r="T89" s="468"/>
      <c r="U89" s="468"/>
      <c r="V89" s="468"/>
      <c r="W89" s="468"/>
      <c r="X89" s="468"/>
      <c r="Y89" s="468"/>
      <c r="Z89" s="468"/>
    </row>
    <row r="90" spans="1:26" ht="18" hidden="1" customHeight="1" x14ac:dyDescent="0.35">
      <c r="A90" s="468"/>
      <c r="B90" s="531" t="s">
        <v>83</v>
      </c>
      <c r="C90" s="514">
        <f>IF($F$10="BOVIS",((C88+C89)*(1+C91))-(C88+C89),((C88+C89)*(1+D90))-(C88+C89))</f>
        <v>0</v>
      </c>
      <c r="D90" s="22"/>
      <c r="E90" s="533"/>
      <c r="F90" s="534"/>
      <c r="G90" s="535"/>
      <c r="H90" s="468"/>
      <c r="I90" s="468"/>
      <c r="J90" s="468"/>
      <c r="K90" s="468"/>
      <c r="L90" s="468"/>
      <c r="M90" s="468"/>
      <c r="N90" s="468"/>
      <c r="O90" s="468"/>
      <c r="P90" s="468"/>
      <c r="Q90" s="468"/>
      <c r="R90" s="468"/>
      <c r="S90" s="468"/>
      <c r="T90" s="468"/>
      <c r="U90" s="468"/>
      <c r="V90" s="468"/>
      <c r="W90" s="468"/>
      <c r="X90" s="468"/>
      <c r="Y90" s="468"/>
      <c r="Z90" s="468"/>
    </row>
    <row r="91" spans="1:26" ht="18" hidden="1" customHeight="1" x14ac:dyDescent="0.35">
      <c r="A91" s="468"/>
      <c r="B91" s="531"/>
      <c r="C91" s="537">
        <f>IF($F$10="BOVIS",0.03,0)</f>
        <v>0</v>
      </c>
      <c r="D91" s="538"/>
      <c r="E91" s="533"/>
      <c r="F91" s="534"/>
      <c r="G91" s="535"/>
      <c r="H91" s="468"/>
      <c r="I91" s="468"/>
      <c r="J91" s="468"/>
      <c r="K91" s="468"/>
      <c r="L91" s="468"/>
      <c r="M91" s="468"/>
      <c r="N91" s="468"/>
      <c r="O91" s="468"/>
      <c r="P91" s="468"/>
      <c r="Q91" s="468"/>
      <c r="R91" s="468"/>
      <c r="S91" s="468"/>
      <c r="T91" s="468"/>
      <c r="U91" s="468"/>
      <c r="V91" s="468"/>
      <c r="W91" s="468"/>
      <c r="X91" s="468"/>
      <c r="Y91" s="468"/>
      <c r="Z91" s="468"/>
    </row>
    <row r="92" spans="1:26" ht="18" hidden="1" customHeight="1" x14ac:dyDescent="0.35">
      <c r="A92" s="468"/>
      <c r="B92" s="539" t="s">
        <v>84</v>
      </c>
      <c r="C92" s="540">
        <f>SUM(C88:C91)</f>
        <v>0</v>
      </c>
      <c r="D92" s="541"/>
      <c r="E92" s="542" t="s">
        <v>85</v>
      </c>
      <c r="F92" s="543"/>
      <c r="G92" s="544">
        <f>C85-SUM(G85:G89)</f>
        <v>0</v>
      </c>
      <c r="H92" s="468"/>
      <c r="I92" s="468"/>
      <c r="J92" s="468"/>
      <c r="K92" s="468"/>
      <c r="L92" s="468"/>
      <c r="M92" s="468"/>
      <c r="N92" s="468"/>
      <c r="O92" s="468"/>
      <c r="P92" s="468"/>
      <c r="Q92" s="468"/>
      <c r="R92" s="468"/>
      <c r="S92" s="468"/>
      <c r="T92" s="468"/>
      <c r="U92" s="468"/>
      <c r="V92" s="468"/>
      <c r="W92" s="468"/>
      <c r="X92" s="468"/>
      <c r="Y92" s="468"/>
      <c r="Z92" s="468"/>
    </row>
    <row r="93" spans="1:26" ht="18" hidden="1" customHeight="1" x14ac:dyDescent="0.35">
      <c r="A93" s="545"/>
      <c r="B93" s="545"/>
      <c r="C93" s="545"/>
      <c r="D93" s="545"/>
      <c r="E93" s="545"/>
      <c r="F93" s="469"/>
      <c r="G93" s="545"/>
      <c r="H93" s="545"/>
      <c r="I93" s="545"/>
      <c r="J93" s="545"/>
      <c r="K93" s="545"/>
      <c r="L93" s="545"/>
      <c r="M93" s="545"/>
      <c r="N93" s="545"/>
      <c r="O93" s="545"/>
      <c r="P93" s="468"/>
      <c r="Q93" s="468"/>
      <c r="R93" s="468"/>
      <c r="S93" s="468"/>
      <c r="T93" s="468"/>
      <c r="U93" s="468"/>
      <c r="V93" s="468"/>
      <c r="W93" s="468"/>
      <c r="X93" s="468"/>
      <c r="Y93" s="468"/>
      <c r="Z93" s="468"/>
    </row>
    <row r="94" spans="1:26" ht="18" hidden="1" customHeight="1" x14ac:dyDescent="0.35">
      <c r="A94" s="468"/>
      <c r="B94" s="468"/>
      <c r="C94" s="468"/>
      <c r="D94" s="468"/>
      <c r="E94" s="468"/>
      <c r="F94" s="468"/>
      <c r="G94" s="468"/>
      <c r="H94" s="468"/>
      <c r="I94" s="468"/>
      <c r="J94" s="468"/>
      <c r="K94" s="468"/>
      <c r="L94" s="468"/>
      <c r="M94" s="468"/>
      <c r="N94" s="468"/>
      <c r="O94" s="468"/>
      <c r="P94" s="468"/>
      <c r="Q94" s="468"/>
      <c r="R94" s="468"/>
      <c r="S94" s="468"/>
      <c r="T94" s="468"/>
      <c r="U94" s="468"/>
      <c r="V94" s="468"/>
      <c r="W94" s="468"/>
      <c r="X94" s="468"/>
      <c r="Y94" s="468"/>
      <c r="Z94" s="468"/>
    </row>
    <row r="95" spans="1:26" ht="18" hidden="1" customHeight="1" x14ac:dyDescent="0.35">
      <c r="A95" s="546" t="s">
        <v>10</v>
      </c>
      <c r="B95" s="546" t="s">
        <v>10</v>
      </c>
      <c r="C95" s="546" t="s">
        <v>10</v>
      </c>
      <c r="D95" s="547">
        <v>1.5</v>
      </c>
      <c r="E95" s="545"/>
      <c r="F95" s="545"/>
      <c r="G95" s="545"/>
      <c r="H95" s="545"/>
      <c r="I95" s="545"/>
      <c r="J95" s="545"/>
      <c r="K95" s="545"/>
      <c r="L95" s="545"/>
      <c r="M95" s="545"/>
      <c r="N95" s="545"/>
      <c r="O95" s="545"/>
      <c r="P95" s="545"/>
      <c r="Q95" s="468"/>
      <c r="R95" s="468"/>
      <c r="S95" s="468"/>
      <c r="T95" s="468"/>
      <c r="U95" s="468"/>
      <c r="V95" s="468"/>
      <c r="W95" s="468"/>
      <c r="X95" s="468"/>
      <c r="Y95" s="468"/>
      <c r="Z95" s="468"/>
    </row>
    <row r="96" spans="1:26" ht="18" hidden="1" customHeight="1" x14ac:dyDescent="0.35">
      <c r="A96" s="468"/>
      <c r="B96" s="468"/>
      <c r="C96" s="468"/>
      <c r="D96" s="468"/>
      <c r="E96" s="468"/>
      <c r="F96" s="468"/>
      <c r="G96" s="468"/>
      <c r="H96" s="468"/>
      <c r="I96" s="468"/>
      <c r="J96" s="468"/>
      <c r="K96" s="468"/>
      <c r="L96" s="468"/>
      <c r="M96" s="468"/>
      <c r="N96" s="468"/>
      <c r="O96" s="468"/>
      <c r="P96" s="468"/>
      <c r="Q96" s="468"/>
      <c r="R96" s="468"/>
      <c r="S96" s="468"/>
      <c r="T96" s="468"/>
      <c r="U96" s="468"/>
      <c r="V96" s="468"/>
      <c r="W96" s="468"/>
      <c r="X96" s="468"/>
      <c r="Y96" s="468"/>
      <c r="Z96" s="468"/>
    </row>
    <row r="97" spans="1:26" ht="18" hidden="1" customHeight="1" x14ac:dyDescent="0.35">
      <c r="A97" s="548" t="s">
        <v>107</v>
      </c>
      <c r="B97" s="549">
        <v>1</v>
      </c>
      <c r="C97" s="545"/>
      <c r="D97" s="545"/>
      <c r="E97" s="545"/>
      <c r="F97" s="545"/>
      <c r="G97" s="545"/>
      <c r="H97" s="545"/>
      <c r="I97" s="545"/>
      <c r="J97" s="545"/>
      <c r="K97" s="545"/>
      <c r="L97" s="545"/>
      <c r="M97" s="545"/>
      <c r="N97" s="545"/>
      <c r="O97" s="545"/>
      <c r="P97" s="545"/>
      <c r="Q97" s="468"/>
      <c r="R97" s="468"/>
      <c r="S97" s="468"/>
      <c r="T97" s="468"/>
      <c r="U97" s="468"/>
      <c r="V97" s="468"/>
      <c r="W97" s="468"/>
      <c r="X97" s="468"/>
      <c r="Y97" s="468"/>
      <c r="Z97" s="468"/>
    </row>
    <row r="98" spans="1:26" ht="18" hidden="1" customHeight="1" x14ac:dyDescent="0.35">
      <c r="A98" s="550" t="s">
        <v>18</v>
      </c>
      <c r="B98" s="551">
        <v>0</v>
      </c>
      <c r="C98" s="545"/>
      <c r="D98" s="545"/>
      <c r="E98" s="545"/>
      <c r="F98" s="545"/>
      <c r="G98" s="545"/>
      <c r="H98" s="545"/>
      <c r="I98" s="545"/>
      <c r="J98" s="545"/>
      <c r="K98" s="545"/>
      <c r="L98" s="545"/>
      <c r="M98" s="545"/>
      <c r="N98" s="545"/>
      <c r="O98" s="545"/>
      <c r="P98" s="545"/>
      <c r="Q98" s="468"/>
      <c r="R98" s="468"/>
      <c r="S98" s="468"/>
      <c r="T98" s="468"/>
      <c r="U98" s="468"/>
      <c r="V98" s="468"/>
      <c r="W98" s="468"/>
      <c r="X98" s="468"/>
      <c r="Y98" s="468"/>
      <c r="Z98" s="468"/>
    </row>
    <row r="99" spans="1:26" ht="18" hidden="1" customHeight="1" x14ac:dyDescent="0.35">
      <c r="A99" s="545"/>
      <c r="B99" s="545"/>
      <c r="C99" s="545"/>
      <c r="D99" s="545"/>
      <c r="E99" s="545"/>
      <c r="F99" s="545"/>
      <c r="G99" s="545"/>
      <c r="H99" s="545"/>
      <c r="I99" s="545"/>
      <c r="J99" s="545"/>
      <c r="K99" s="545"/>
      <c r="L99" s="545"/>
      <c r="M99" s="545"/>
      <c r="N99" s="545"/>
      <c r="O99" s="545"/>
      <c r="P99" s="545"/>
      <c r="Q99" s="468"/>
      <c r="R99" s="468"/>
      <c r="S99" s="468"/>
      <c r="T99" s="468"/>
      <c r="U99" s="468"/>
      <c r="V99" s="468"/>
      <c r="W99" s="468"/>
      <c r="X99" s="468"/>
      <c r="Y99" s="468"/>
      <c r="Z99" s="468"/>
    </row>
    <row r="100" spans="1:26" ht="18" hidden="1" customHeight="1" x14ac:dyDescent="0.35">
      <c r="A100" s="545"/>
      <c r="B100" s="545"/>
      <c r="C100" s="545"/>
      <c r="D100" s="545"/>
      <c r="E100" s="545"/>
      <c r="F100" s="545"/>
      <c r="G100" s="545"/>
      <c r="H100" s="545"/>
      <c r="I100" s="545"/>
      <c r="J100" s="545"/>
      <c r="K100" s="545"/>
      <c r="L100" s="545"/>
      <c r="M100" s="545"/>
      <c r="N100" s="545"/>
      <c r="O100" s="545"/>
      <c r="P100" s="545"/>
      <c r="Q100" s="468"/>
      <c r="R100" s="468"/>
      <c r="S100" s="468"/>
      <c r="T100" s="468"/>
      <c r="U100" s="468"/>
      <c r="V100" s="468"/>
      <c r="W100" s="468"/>
      <c r="X100" s="468"/>
      <c r="Y100" s="468"/>
      <c r="Z100" s="468"/>
    </row>
    <row r="101" spans="1:26" ht="18" hidden="1" customHeight="1" x14ac:dyDescent="0.35">
      <c r="A101" s="552" t="s">
        <v>20</v>
      </c>
      <c r="B101" s="549"/>
      <c r="C101" s="545"/>
      <c r="D101" s="545"/>
      <c r="E101" s="545"/>
      <c r="F101" s="545"/>
      <c r="G101" s="545"/>
      <c r="H101" s="545"/>
      <c r="I101" s="545"/>
      <c r="J101" s="545"/>
      <c r="K101" s="545"/>
      <c r="L101" s="545"/>
      <c r="M101" s="545"/>
      <c r="N101" s="545"/>
      <c r="O101" s="545"/>
      <c r="P101" s="545"/>
      <c r="Q101" s="468"/>
      <c r="R101" s="468"/>
      <c r="S101" s="468"/>
      <c r="T101" s="468"/>
      <c r="U101" s="468"/>
      <c r="V101" s="468"/>
      <c r="W101" s="468"/>
      <c r="X101" s="468"/>
      <c r="Y101" s="468"/>
      <c r="Z101" s="468"/>
    </row>
    <row r="102" spans="1:26" ht="18" hidden="1" customHeight="1" x14ac:dyDescent="0.35">
      <c r="A102" s="553" t="s">
        <v>108</v>
      </c>
      <c r="B102" s="554">
        <v>2</v>
      </c>
      <c r="C102" s="545"/>
      <c r="D102" s="545"/>
      <c r="E102" s="545"/>
      <c r="F102" s="545"/>
      <c r="G102" s="545"/>
      <c r="H102" s="545"/>
      <c r="I102" s="545"/>
      <c r="J102" s="545"/>
      <c r="K102" s="545"/>
      <c r="L102" s="545"/>
      <c r="M102" s="545"/>
      <c r="N102" s="545"/>
      <c r="O102" s="545"/>
      <c r="P102" s="545"/>
      <c r="Q102" s="468"/>
      <c r="R102" s="468"/>
      <c r="S102" s="468"/>
      <c r="T102" s="468"/>
      <c r="U102" s="468"/>
      <c r="V102" s="468"/>
      <c r="W102" s="468"/>
      <c r="X102" s="468"/>
      <c r="Y102" s="468"/>
      <c r="Z102" s="468"/>
    </row>
    <row r="103" spans="1:26" ht="18" hidden="1" customHeight="1" x14ac:dyDescent="0.35">
      <c r="A103" s="555" t="s">
        <v>109</v>
      </c>
      <c r="B103" s="551">
        <v>0</v>
      </c>
      <c r="C103" s="545"/>
      <c r="D103" s="545"/>
      <c r="E103" s="545"/>
      <c r="F103" s="545"/>
      <c r="G103" s="545"/>
      <c r="H103" s="545"/>
      <c r="I103" s="545"/>
      <c r="J103" s="545"/>
      <c r="K103" s="545"/>
      <c r="L103" s="545"/>
      <c r="M103" s="545"/>
      <c r="N103" s="545"/>
      <c r="O103" s="545"/>
      <c r="P103" s="545"/>
      <c r="Q103" s="468"/>
      <c r="R103" s="468"/>
      <c r="S103" s="468"/>
      <c r="T103" s="468"/>
      <c r="U103" s="468"/>
      <c r="V103" s="468"/>
      <c r="W103" s="468"/>
      <c r="X103" s="468"/>
      <c r="Y103" s="468"/>
      <c r="Z103" s="468"/>
    </row>
    <row r="104" spans="1:26" ht="18" hidden="1" customHeight="1" x14ac:dyDescent="0.35">
      <c r="A104" s="545"/>
      <c r="B104" s="545"/>
      <c r="C104" s="545"/>
      <c r="D104" s="545"/>
      <c r="E104" s="545"/>
      <c r="F104" s="545"/>
      <c r="G104" s="545"/>
      <c r="H104" s="545"/>
      <c r="I104" s="545"/>
      <c r="J104" s="545"/>
      <c r="K104" s="545"/>
      <c r="L104" s="545"/>
      <c r="M104" s="545"/>
      <c r="N104" s="545"/>
      <c r="O104" s="545"/>
      <c r="P104" s="545"/>
      <c r="Q104" s="468"/>
      <c r="R104" s="468"/>
      <c r="S104" s="468"/>
      <c r="T104" s="468"/>
      <c r="U104" s="468"/>
      <c r="V104" s="468"/>
      <c r="W104" s="468"/>
      <c r="X104" s="468"/>
      <c r="Y104" s="468"/>
      <c r="Z104" s="468"/>
    </row>
    <row r="105" spans="1:26" ht="18" hidden="1" customHeight="1" x14ac:dyDescent="0.35">
      <c r="A105" s="545"/>
      <c r="B105" s="545"/>
      <c r="C105" s="545"/>
      <c r="D105" s="545"/>
      <c r="E105" s="545"/>
      <c r="F105" s="545"/>
      <c r="G105" s="545"/>
      <c r="H105" s="545"/>
      <c r="I105" s="545"/>
      <c r="J105" s="545"/>
      <c r="K105" s="545"/>
      <c r="L105" s="545"/>
      <c r="M105" s="545"/>
      <c r="N105" s="545"/>
      <c r="O105" s="545"/>
      <c r="P105" s="545"/>
      <c r="Q105" s="468"/>
      <c r="R105" s="468"/>
      <c r="S105" s="468"/>
      <c r="T105" s="468"/>
      <c r="U105" s="468"/>
      <c r="V105" s="468"/>
      <c r="W105" s="468"/>
      <c r="X105" s="468"/>
      <c r="Y105" s="468"/>
      <c r="Z105" s="468"/>
    </row>
    <row r="106" spans="1:26" ht="18" hidden="1" customHeight="1" x14ac:dyDescent="0.35">
      <c r="A106" s="552" t="s">
        <v>16</v>
      </c>
      <c r="B106" s="545"/>
      <c r="C106" s="545"/>
      <c r="D106" s="545"/>
      <c r="E106" s="545"/>
      <c r="F106" s="545"/>
      <c r="G106" s="545"/>
      <c r="H106" s="545"/>
      <c r="I106" s="545"/>
      <c r="J106" s="545"/>
      <c r="K106" s="545"/>
      <c r="L106" s="545"/>
      <c r="M106" s="545"/>
      <c r="N106" s="545"/>
      <c r="O106" s="545"/>
      <c r="P106" s="545"/>
      <c r="Q106" s="468"/>
      <c r="R106" s="468"/>
      <c r="S106" s="468"/>
      <c r="T106" s="468"/>
      <c r="U106" s="468"/>
      <c r="V106" s="468"/>
      <c r="W106" s="468"/>
      <c r="X106" s="468"/>
      <c r="Y106" s="468"/>
      <c r="Z106" s="468"/>
    </row>
    <row r="107" spans="1:26" ht="18" hidden="1" customHeight="1" x14ac:dyDescent="0.35">
      <c r="A107" s="553" t="s">
        <v>113</v>
      </c>
      <c r="B107" s="545"/>
      <c r="C107" s="545"/>
      <c r="D107" s="545"/>
      <c r="E107" s="545"/>
      <c r="F107" s="545"/>
      <c r="G107" s="545"/>
      <c r="H107" s="545"/>
      <c r="I107" s="545"/>
      <c r="J107" s="545"/>
      <c r="K107" s="545"/>
      <c r="L107" s="545"/>
      <c r="M107" s="545"/>
      <c r="N107" s="545"/>
      <c r="O107" s="545"/>
      <c r="P107" s="545"/>
      <c r="Q107" s="468"/>
      <c r="R107" s="468"/>
      <c r="S107" s="468"/>
      <c r="T107" s="468"/>
      <c r="U107" s="468"/>
      <c r="V107" s="468"/>
      <c r="W107" s="468"/>
      <c r="X107" s="468"/>
      <c r="Y107" s="468"/>
      <c r="Z107" s="468"/>
    </row>
    <row r="108" spans="1:26" ht="18" hidden="1" customHeight="1" x14ac:dyDescent="0.35">
      <c r="A108" s="555" t="s">
        <v>37</v>
      </c>
      <c r="B108" s="545"/>
      <c r="C108" s="545"/>
      <c r="D108" s="545"/>
      <c r="E108" s="545"/>
      <c r="F108" s="545"/>
      <c r="G108" s="545"/>
      <c r="H108" s="545"/>
      <c r="I108" s="545"/>
      <c r="J108" s="545"/>
      <c r="K108" s="545"/>
      <c r="L108" s="545"/>
      <c r="M108" s="545"/>
      <c r="N108" s="545"/>
      <c r="O108" s="545"/>
      <c r="P108" s="545"/>
      <c r="Q108" s="468"/>
      <c r="R108" s="468"/>
      <c r="S108" s="468"/>
      <c r="T108" s="468"/>
      <c r="U108" s="468"/>
      <c r="V108" s="468"/>
      <c r="W108" s="468"/>
      <c r="X108" s="468"/>
      <c r="Y108" s="468"/>
      <c r="Z108" s="468"/>
    </row>
    <row r="109" spans="1:26" ht="18" hidden="1" customHeight="1" x14ac:dyDescent="0.35">
      <c r="A109" s="545"/>
      <c r="B109" s="545"/>
      <c r="C109" s="545"/>
      <c r="D109" s="545"/>
      <c r="E109" s="545"/>
      <c r="F109" s="545"/>
      <c r="G109" s="545"/>
      <c r="H109" s="545"/>
      <c r="I109" s="545"/>
      <c r="J109" s="545"/>
      <c r="K109" s="545"/>
      <c r="L109" s="545"/>
      <c r="M109" s="545"/>
      <c r="N109" s="545"/>
      <c r="O109" s="545"/>
      <c r="P109" s="545"/>
      <c r="Q109" s="468"/>
      <c r="R109" s="468"/>
      <c r="S109" s="468"/>
      <c r="T109" s="468"/>
      <c r="U109" s="468"/>
      <c r="V109" s="468"/>
      <c r="W109" s="468"/>
      <c r="X109" s="468"/>
      <c r="Y109" s="468"/>
      <c r="Z109" s="468"/>
    </row>
    <row r="110" spans="1:26" ht="18" hidden="1" customHeight="1" x14ac:dyDescent="0.35">
      <c r="A110" s="480"/>
      <c r="B110" s="556" t="s">
        <v>114</v>
      </c>
      <c r="C110" s="556" t="s">
        <v>115</v>
      </c>
      <c r="D110" s="556" t="s">
        <v>116</v>
      </c>
      <c r="E110" s="556" t="s">
        <v>117</v>
      </c>
      <c r="F110" s="556" t="s">
        <v>118</v>
      </c>
      <c r="G110" s="556" t="s">
        <v>119</v>
      </c>
      <c r="H110" s="556" t="s">
        <v>120</v>
      </c>
      <c r="I110" s="556" t="s">
        <v>121</v>
      </c>
      <c r="J110" s="556" t="s">
        <v>122</v>
      </c>
      <c r="K110" s="556" t="s">
        <v>123</v>
      </c>
      <c r="L110" s="549" t="s">
        <v>82</v>
      </c>
      <c r="M110" s="545"/>
      <c r="N110" s="545"/>
      <c r="O110" s="545"/>
      <c r="P110" s="545"/>
      <c r="Q110" s="468"/>
      <c r="R110" s="468"/>
      <c r="S110" s="468"/>
      <c r="T110" s="468"/>
      <c r="U110" s="468"/>
      <c r="V110" s="468"/>
      <c r="W110" s="468"/>
      <c r="X110" s="468"/>
      <c r="Y110" s="468"/>
      <c r="Z110" s="468"/>
    </row>
    <row r="111" spans="1:26" ht="18" hidden="1" customHeight="1" x14ac:dyDescent="0.35">
      <c r="A111" s="557">
        <v>1</v>
      </c>
      <c r="B111" s="545">
        <v>2</v>
      </c>
      <c r="C111" s="545">
        <v>3</v>
      </c>
      <c r="D111" s="545">
        <v>4</v>
      </c>
      <c r="E111" s="545">
        <v>5</v>
      </c>
      <c r="F111" s="545">
        <v>6</v>
      </c>
      <c r="G111" s="545">
        <v>7</v>
      </c>
      <c r="H111" s="545">
        <v>8</v>
      </c>
      <c r="I111" s="545">
        <v>9</v>
      </c>
      <c r="J111" s="545">
        <v>10</v>
      </c>
      <c r="K111" s="545">
        <v>11</v>
      </c>
      <c r="L111" s="554">
        <v>12</v>
      </c>
      <c r="M111" s="545"/>
      <c r="N111" s="545"/>
      <c r="O111" s="545"/>
      <c r="P111" s="545"/>
      <c r="Q111" s="468"/>
      <c r="R111" s="468"/>
      <c r="S111" s="468"/>
      <c r="T111" s="468"/>
      <c r="U111" s="468"/>
      <c r="V111" s="468"/>
      <c r="W111" s="468"/>
      <c r="X111" s="468"/>
      <c r="Y111" s="468"/>
      <c r="Z111" s="468"/>
    </row>
    <row r="112" spans="1:26" ht="18" hidden="1" customHeight="1" x14ac:dyDescent="0.35">
      <c r="A112" s="557" t="s">
        <v>16</v>
      </c>
      <c r="B112" s="545">
        <v>0</v>
      </c>
      <c r="C112" s="545">
        <v>0</v>
      </c>
      <c r="D112" s="545">
        <v>0</v>
      </c>
      <c r="E112" s="545">
        <v>0</v>
      </c>
      <c r="F112" s="545">
        <v>0</v>
      </c>
      <c r="G112" s="545">
        <v>0</v>
      </c>
      <c r="H112" s="545">
        <v>0</v>
      </c>
      <c r="I112" s="545">
        <v>0</v>
      </c>
      <c r="J112" s="545">
        <v>0</v>
      </c>
      <c r="K112" s="545">
        <v>0</v>
      </c>
      <c r="L112" s="554">
        <v>0</v>
      </c>
      <c r="M112" s="545"/>
      <c r="N112" s="545"/>
      <c r="O112" s="545"/>
      <c r="P112" s="545"/>
      <c r="Q112" s="468"/>
      <c r="R112" s="468"/>
      <c r="S112" s="468"/>
      <c r="T112" s="468"/>
      <c r="U112" s="468"/>
      <c r="V112" s="468"/>
      <c r="W112" s="468"/>
      <c r="X112" s="468"/>
      <c r="Y112" s="468"/>
      <c r="Z112" s="468"/>
    </row>
    <row r="113" spans="1:26" ht="18" hidden="1" customHeight="1" x14ac:dyDescent="0.35">
      <c r="A113" s="557" t="s">
        <v>32</v>
      </c>
      <c r="B113" s="545">
        <f t="shared" ref="B113:B117" si="27">IF($F$14="PU 50 mm",10.2,6.2)</f>
        <v>10.199999999999999</v>
      </c>
      <c r="C113" s="545">
        <f t="shared" ref="C113:C117" si="28">IF($F$14="PU 50 mm",11,7)</f>
        <v>11</v>
      </c>
      <c r="D113" s="545">
        <f t="shared" ref="D113:D117" si="29">IF($F$14="PU 50 mm",10.2,6.2)</f>
        <v>10.199999999999999</v>
      </c>
      <c r="E113" s="545">
        <f>IF($F$14="PU 50 mm",11,7)</f>
        <v>11</v>
      </c>
      <c r="F113" s="545">
        <v>0.2</v>
      </c>
      <c r="G113" s="545">
        <f>2</f>
        <v>2</v>
      </c>
      <c r="H113" s="545" t="str">
        <f t="shared" ref="H113:I113" si="30">IF($F$14="PU 50 mm","PU 50 mm","PU 30 mm")</f>
        <v>PU 50 mm</v>
      </c>
      <c r="I113" s="545" t="str">
        <f t="shared" si="30"/>
        <v>PU 50 mm</v>
      </c>
      <c r="J113" s="545">
        <v>-0.5</v>
      </c>
      <c r="K113" s="545">
        <v>2</v>
      </c>
      <c r="L113" s="554">
        <v>1</v>
      </c>
      <c r="M113" s="545"/>
      <c r="N113" s="545"/>
      <c r="O113" s="545"/>
      <c r="P113" s="545"/>
      <c r="Q113" s="468"/>
      <c r="R113" s="468"/>
      <c r="S113" s="468"/>
      <c r="T113" s="468"/>
      <c r="U113" s="468"/>
      <c r="V113" s="468"/>
      <c r="W113" s="468"/>
      <c r="X113" s="468"/>
      <c r="Y113" s="468"/>
      <c r="Z113" s="468"/>
    </row>
    <row r="114" spans="1:26" ht="18" hidden="1" customHeight="1" x14ac:dyDescent="0.35">
      <c r="A114" s="557" t="s">
        <v>129</v>
      </c>
      <c r="B114" s="545">
        <f t="shared" si="27"/>
        <v>10.199999999999999</v>
      </c>
      <c r="C114" s="545">
        <f t="shared" si="28"/>
        <v>11</v>
      </c>
      <c r="D114" s="545">
        <f t="shared" si="29"/>
        <v>10.199999999999999</v>
      </c>
      <c r="E114" s="545">
        <f>IF($F$14="PU 50 mm",5.2,3.2)</f>
        <v>5.2</v>
      </c>
      <c r="F114" s="545">
        <v>0.2</v>
      </c>
      <c r="G114" s="545">
        <v>2</v>
      </c>
      <c r="H114" s="545" t="str">
        <f t="shared" ref="H114:I114" si="31">IF($F$14="PU 50 mm","PU 50 mm","PU 30 mm")</f>
        <v>PU 50 mm</v>
      </c>
      <c r="I114" s="545" t="str">
        <f t="shared" si="31"/>
        <v>PU 50 mm</v>
      </c>
      <c r="J114" s="545">
        <f>IF($F$14="PU 50 mm",9.5,5.5)</f>
        <v>9.5</v>
      </c>
      <c r="K114" s="545">
        <v>2</v>
      </c>
      <c r="L114" s="554">
        <v>1</v>
      </c>
      <c r="M114" s="545"/>
      <c r="N114" s="545"/>
      <c r="O114" s="545"/>
      <c r="P114" s="545"/>
      <c r="Q114" s="468"/>
      <c r="R114" s="468"/>
      <c r="S114" s="468"/>
      <c r="T114" s="468"/>
      <c r="U114" s="468"/>
      <c r="V114" s="468"/>
      <c r="W114" s="468"/>
      <c r="X114" s="468"/>
      <c r="Y114" s="468"/>
      <c r="Z114" s="468"/>
    </row>
    <row r="115" spans="1:26" ht="18" hidden="1" customHeight="1" x14ac:dyDescent="0.35">
      <c r="A115" s="557" t="s">
        <v>130</v>
      </c>
      <c r="B115" s="545">
        <f t="shared" si="27"/>
        <v>10.199999999999999</v>
      </c>
      <c r="C115" s="545">
        <f t="shared" si="28"/>
        <v>11</v>
      </c>
      <c r="D115" s="545">
        <f t="shared" si="29"/>
        <v>10.199999999999999</v>
      </c>
      <c r="E115" s="545">
        <f>IF($F$14="PU 50 mm",6,4)</f>
        <v>6</v>
      </c>
      <c r="F115" s="545">
        <f>IF($F$14="PU 50 mm",10.2,6.2)</f>
        <v>10.199999999999999</v>
      </c>
      <c r="G115" s="545">
        <v>2</v>
      </c>
      <c r="H115" s="545" t="str">
        <f>IF($F$14="PU 50 mm","Ethafoam 50 mm","Ethafoam 30 mm")</f>
        <v>Ethafoam 50 mm</v>
      </c>
      <c r="I115" s="545" t="str">
        <f>IF($F$14="PU 50 mm","PU 50 mm","PU 30 mm")</f>
        <v>PU 50 mm</v>
      </c>
      <c r="J115" s="545">
        <v>-0.5</v>
      </c>
      <c r="K115" s="545">
        <v>2</v>
      </c>
      <c r="L115" s="554">
        <v>1</v>
      </c>
      <c r="M115" s="545"/>
      <c r="N115" s="545"/>
      <c r="O115" s="545"/>
      <c r="P115" s="545"/>
      <c r="Q115" s="468"/>
      <c r="R115" s="468"/>
      <c r="S115" s="468"/>
      <c r="T115" s="468"/>
      <c r="U115" s="468"/>
      <c r="V115" s="468"/>
      <c r="W115" s="468"/>
      <c r="X115" s="468"/>
      <c r="Y115" s="468"/>
      <c r="Z115" s="468"/>
    </row>
    <row r="116" spans="1:26" ht="18" hidden="1" customHeight="1" x14ac:dyDescent="0.35">
      <c r="A116" s="557" t="s">
        <v>131</v>
      </c>
      <c r="B116" s="545">
        <f t="shared" si="27"/>
        <v>10.199999999999999</v>
      </c>
      <c r="C116" s="545">
        <f t="shared" si="28"/>
        <v>11</v>
      </c>
      <c r="D116" s="545">
        <f t="shared" si="29"/>
        <v>10.199999999999999</v>
      </c>
      <c r="E116" s="545">
        <f t="shared" ref="E116:E117" si="32">IF($F$14="PU 50 mm",11,7)</f>
        <v>11</v>
      </c>
      <c r="F116" s="545">
        <v>0.2</v>
      </c>
      <c r="G116" s="545">
        <v>2</v>
      </c>
      <c r="H116" s="545" t="str">
        <f t="shared" ref="H116:I116" si="33">IF($F$14="PU 50 mm","PU 50 mm","PU 30 mm")</f>
        <v>PU 50 mm</v>
      </c>
      <c r="I116" s="545" t="str">
        <f t="shared" si="33"/>
        <v>PU 50 mm</v>
      </c>
      <c r="J116" s="545">
        <v>-0.5</v>
      </c>
      <c r="K116" s="545">
        <v>1</v>
      </c>
      <c r="L116" s="554">
        <v>1</v>
      </c>
      <c r="M116" s="545"/>
      <c r="N116" s="545"/>
      <c r="O116" s="545"/>
      <c r="P116" s="545"/>
      <c r="Q116" s="468"/>
      <c r="R116" s="468"/>
      <c r="S116" s="468"/>
      <c r="T116" s="468"/>
      <c r="U116" s="468"/>
      <c r="V116" s="468"/>
      <c r="W116" s="468"/>
      <c r="X116" s="468"/>
      <c r="Y116" s="468"/>
      <c r="Z116" s="468"/>
    </row>
    <row r="117" spans="1:26" ht="18" hidden="1" customHeight="1" x14ac:dyDescent="0.35">
      <c r="A117" s="550" t="s">
        <v>132</v>
      </c>
      <c r="B117" s="558">
        <f t="shared" si="27"/>
        <v>10.199999999999999</v>
      </c>
      <c r="C117" s="558">
        <f t="shared" si="28"/>
        <v>11</v>
      </c>
      <c r="D117" s="558">
        <f t="shared" si="29"/>
        <v>10.199999999999999</v>
      </c>
      <c r="E117" s="558">
        <f t="shared" si="32"/>
        <v>11</v>
      </c>
      <c r="F117" s="558">
        <v>0.2</v>
      </c>
      <c r="G117" s="558">
        <v>1</v>
      </c>
      <c r="H117" s="558" t="str">
        <f t="shared" ref="H117:I117" si="34">IF($F$14="PU 50 mm","PU 50 mm","PU 30 mm")</f>
        <v>PU 50 mm</v>
      </c>
      <c r="I117" s="558" t="str">
        <f t="shared" si="34"/>
        <v>PU 50 mm</v>
      </c>
      <c r="J117" s="558">
        <v>-0.5</v>
      </c>
      <c r="K117" s="558">
        <v>1</v>
      </c>
      <c r="L117" s="551">
        <v>1</v>
      </c>
      <c r="M117" s="545"/>
      <c r="N117" s="545"/>
      <c r="O117" s="545"/>
      <c r="P117" s="545"/>
      <c r="Q117" s="468"/>
      <c r="R117" s="468"/>
      <c r="S117" s="468"/>
      <c r="T117" s="468"/>
      <c r="U117" s="468"/>
      <c r="V117" s="468"/>
      <c r="W117" s="468"/>
      <c r="X117" s="468"/>
      <c r="Y117" s="468"/>
      <c r="Z117" s="468"/>
    </row>
    <row r="118" spans="1:26" ht="18" hidden="1" customHeight="1" x14ac:dyDescent="0.35">
      <c r="A118" s="468"/>
      <c r="B118" s="468"/>
      <c r="C118" s="468"/>
      <c r="D118" s="468"/>
      <c r="E118" s="468"/>
      <c r="F118" s="468"/>
      <c r="G118" s="468"/>
      <c r="H118" s="468"/>
      <c r="I118" s="468"/>
      <c r="J118" s="468"/>
      <c r="K118" s="468"/>
      <c r="L118" s="468"/>
      <c r="M118" s="468"/>
      <c r="N118" s="468"/>
      <c r="O118" s="468"/>
      <c r="P118" s="468"/>
      <c r="Q118" s="468"/>
      <c r="R118" s="468"/>
      <c r="S118" s="468"/>
      <c r="T118" s="468"/>
      <c r="U118" s="468"/>
      <c r="V118" s="468"/>
      <c r="W118" s="468"/>
      <c r="X118" s="468"/>
      <c r="Y118" s="468"/>
      <c r="Z118" s="468"/>
    </row>
    <row r="119" spans="1:26" ht="18" hidden="1" customHeight="1" x14ac:dyDescent="0.35">
      <c r="A119" s="552" t="s">
        <v>20</v>
      </c>
      <c r="B119" s="545"/>
      <c r="C119" s="545"/>
      <c r="D119" s="545"/>
      <c r="E119" s="545"/>
      <c r="F119" s="545"/>
      <c r="G119" s="545"/>
      <c r="H119" s="545"/>
      <c r="I119" s="545"/>
      <c r="J119" s="545"/>
      <c r="K119" s="545"/>
      <c r="L119" s="545"/>
      <c r="M119" s="545"/>
      <c r="N119" s="545"/>
      <c r="O119" s="545"/>
      <c r="P119" s="545"/>
      <c r="Q119" s="468"/>
      <c r="R119" s="468"/>
      <c r="S119" s="468"/>
      <c r="T119" s="468"/>
      <c r="U119" s="468"/>
      <c r="V119" s="468"/>
      <c r="W119" s="468"/>
      <c r="X119" s="468"/>
      <c r="Y119" s="468"/>
      <c r="Z119" s="468"/>
    </row>
    <row r="120" spans="1:26" ht="18" hidden="1" customHeight="1" x14ac:dyDescent="0.35">
      <c r="A120" s="555" t="s">
        <v>14</v>
      </c>
      <c r="B120" s="468"/>
      <c r="C120" s="468"/>
      <c r="D120" s="468"/>
      <c r="E120" s="468"/>
      <c r="F120" s="468"/>
      <c r="G120" s="468"/>
      <c r="H120" s="468"/>
      <c r="I120" s="468"/>
      <c r="J120" s="468"/>
      <c r="K120" s="468"/>
      <c r="L120" s="468"/>
      <c r="M120" s="468"/>
      <c r="N120" s="468"/>
      <c r="O120" s="468"/>
      <c r="P120" s="468"/>
      <c r="Q120" s="468"/>
      <c r="R120" s="468"/>
      <c r="S120" s="468"/>
      <c r="T120" s="468"/>
      <c r="U120" s="468"/>
      <c r="V120" s="468"/>
      <c r="W120" s="468"/>
      <c r="X120" s="468"/>
      <c r="Y120" s="468"/>
      <c r="Z120" s="468"/>
    </row>
    <row r="121" spans="1:26" ht="18" hidden="1" customHeight="1" x14ac:dyDescent="0.35">
      <c r="A121" s="468"/>
      <c r="B121" s="468"/>
      <c r="C121" s="468"/>
      <c r="D121" s="468"/>
      <c r="E121" s="468"/>
      <c r="F121" s="468"/>
      <c r="G121" s="468"/>
      <c r="H121" s="468"/>
      <c r="I121" s="468"/>
      <c r="J121" s="468"/>
      <c r="K121" s="468"/>
      <c r="L121" s="468"/>
      <c r="M121" s="468"/>
      <c r="N121" s="468"/>
      <c r="O121" s="468"/>
      <c r="P121" s="468"/>
      <c r="Q121" s="468"/>
      <c r="R121" s="468"/>
      <c r="S121" s="468"/>
      <c r="T121" s="468"/>
      <c r="U121" s="468"/>
      <c r="V121" s="468"/>
      <c r="W121" s="468"/>
      <c r="X121" s="468"/>
      <c r="Y121" s="468"/>
      <c r="Z121" s="468"/>
    </row>
    <row r="122" spans="1:26" ht="18" hidden="1" customHeight="1" x14ac:dyDescent="0.35">
      <c r="A122" s="468" t="s">
        <v>105</v>
      </c>
      <c r="B122" s="468"/>
      <c r="C122" s="468"/>
      <c r="D122" s="468"/>
      <c r="E122" s="468"/>
      <c r="F122" s="468"/>
      <c r="G122" s="468"/>
      <c r="H122" s="468"/>
      <c r="I122" s="468"/>
      <c r="J122" s="468"/>
      <c r="K122" s="468"/>
      <c r="L122" s="468"/>
      <c r="M122" s="468"/>
      <c r="N122" s="468"/>
      <c r="O122" s="468"/>
      <c r="P122" s="468"/>
      <c r="Q122" s="468"/>
      <c r="R122" s="468"/>
      <c r="S122" s="468"/>
      <c r="T122" s="468"/>
      <c r="U122" s="468"/>
      <c r="V122" s="468"/>
      <c r="W122" s="468"/>
      <c r="X122" s="468"/>
      <c r="Y122" s="468"/>
      <c r="Z122" s="468"/>
    </row>
    <row r="123" spans="1:26" ht="18" hidden="1" customHeight="1" x14ac:dyDescent="0.35">
      <c r="A123" s="545" t="s">
        <v>27</v>
      </c>
      <c r="B123" s="545"/>
      <c r="C123" s="545"/>
      <c r="D123" s="545"/>
      <c r="E123" s="545"/>
      <c r="F123" s="545"/>
      <c r="G123" s="545"/>
      <c r="H123" s="545"/>
      <c r="I123" s="545"/>
      <c r="J123" s="545"/>
      <c r="K123" s="545"/>
      <c r="L123" s="545"/>
      <c r="M123" s="545"/>
      <c r="N123" s="545"/>
      <c r="O123" s="545"/>
      <c r="P123" s="545"/>
      <c r="Q123" s="468"/>
      <c r="R123" s="468"/>
      <c r="S123" s="468"/>
      <c r="T123" s="468"/>
      <c r="U123" s="468"/>
      <c r="V123" s="468"/>
      <c r="W123" s="468"/>
      <c r="X123" s="468"/>
      <c r="Y123" s="468"/>
      <c r="Z123" s="468"/>
    </row>
    <row r="124" spans="1:26" ht="18" hidden="1" customHeight="1" x14ac:dyDescent="0.35">
      <c r="A124" s="468"/>
      <c r="B124" s="468"/>
      <c r="C124" s="468"/>
      <c r="D124" s="468"/>
      <c r="E124" s="468"/>
      <c r="F124" s="468"/>
      <c r="G124" s="468"/>
      <c r="H124" s="468"/>
      <c r="I124" s="468"/>
      <c r="J124" s="468"/>
      <c r="K124" s="468"/>
      <c r="L124" s="468"/>
      <c r="M124" s="468"/>
      <c r="N124" s="468"/>
      <c r="O124" s="468"/>
      <c r="P124" s="468"/>
      <c r="Q124" s="468"/>
      <c r="R124" s="468"/>
      <c r="S124" s="468"/>
      <c r="T124" s="468"/>
      <c r="U124" s="468"/>
      <c r="V124" s="468"/>
      <c r="W124" s="468"/>
      <c r="X124" s="468"/>
      <c r="Y124" s="468"/>
      <c r="Z124" s="468"/>
    </row>
    <row r="125" spans="1:26" ht="18" hidden="1" customHeight="1" x14ac:dyDescent="0.35">
      <c r="A125" s="468"/>
      <c r="B125" s="468"/>
      <c r="C125" s="468"/>
      <c r="D125" s="468"/>
      <c r="E125" s="468"/>
      <c r="F125" s="468"/>
      <c r="G125" s="468"/>
      <c r="H125" s="468"/>
      <c r="I125" s="468"/>
      <c r="J125" s="468"/>
      <c r="K125" s="468"/>
      <c r="L125" s="468"/>
      <c r="M125" s="468"/>
      <c r="N125" s="468"/>
      <c r="O125" s="468"/>
      <c r="P125" s="468"/>
      <c r="Q125" s="468"/>
      <c r="R125" s="468"/>
      <c r="S125" s="468"/>
      <c r="T125" s="468"/>
      <c r="U125" s="468"/>
      <c r="V125" s="468"/>
      <c r="W125" s="468"/>
      <c r="X125" s="468"/>
      <c r="Y125" s="468"/>
      <c r="Z125" s="468"/>
    </row>
    <row r="126" spans="1:26" ht="18" customHeight="1" x14ac:dyDescent="0.35">
      <c r="A126" s="468"/>
      <c r="B126" s="468"/>
      <c r="C126" s="468"/>
      <c r="D126" s="468"/>
      <c r="E126" s="468"/>
      <c r="F126" s="468"/>
      <c r="G126" s="468"/>
      <c r="H126" s="468"/>
      <c r="I126" s="468"/>
      <c r="J126" s="468"/>
      <c r="K126" s="468"/>
      <c r="L126" s="468"/>
      <c r="M126" s="468"/>
      <c r="N126" s="468"/>
      <c r="O126" s="468"/>
      <c r="P126" s="468"/>
      <c r="Q126" s="468"/>
      <c r="R126" s="468"/>
      <c r="S126" s="468"/>
      <c r="T126" s="468"/>
      <c r="U126" s="468"/>
      <c r="V126" s="468"/>
      <c r="W126" s="468"/>
      <c r="X126" s="468"/>
      <c r="Y126" s="468"/>
      <c r="Z126" s="468"/>
    </row>
    <row r="127" spans="1:26" ht="18" customHeight="1" x14ac:dyDescent="0.35">
      <c r="A127" s="468"/>
      <c r="B127" s="468"/>
      <c r="C127" s="468"/>
      <c r="D127" s="468"/>
      <c r="E127" s="468"/>
      <c r="F127" s="468"/>
      <c r="G127" s="468"/>
      <c r="H127" s="468"/>
      <c r="I127" s="468"/>
      <c r="J127" s="468"/>
      <c r="K127" s="468"/>
      <c r="L127" s="468"/>
      <c r="M127" s="468"/>
      <c r="N127" s="468"/>
      <c r="O127" s="468"/>
      <c r="P127" s="468"/>
      <c r="Q127" s="468"/>
      <c r="R127" s="468"/>
      <c r="S127" s="468"/>
      <c r="T127" s="468"/>
      <c r="U127" s="468"/>
      <c r="V127" s="468"/>
      <c r="W127" s="468"/>
      <c r="X127" s="468"/>
      <c r="Y127" s="468"/>
      <c r="Z127" s="468"/>
    </row>
    <row r="128" spans="1:26" ht="18" customHeight="1" x14ac:dyDescent="0.35">
      <c r="A128" s="468"/>
      <c r="B128" s="468"/>
      <c r="C128" s="468"/>
      <c r="D128" s="468"/>
      <c r="E128" s="468"/>
      <c r="F128" s="468"/>
      <c r="G128" s="468"/>
      <c r="H128" s="468"/>
      <c r="I128" s="468"/>
      <c r="J128" s="468"/>
      <c r="K128" s="468"/>
      <c r="L128" s="468"/>
      <c r="M128" s="468"/>
      <c r="N128" s="468"/>
      <c r="O128" s="468"/>
      <c r="P128" s="468"/>
      <c r="Q128" s="468"/>
      <c r="R128" s="468"/>
      <c r="S128" s="468"/>
      <c r="T128" s="468"/>
      <c r="U128" s="468"/>
      <c r="V128" s="468"/>
      <c r="W128" s="468"/>
      <c r="X128" s="468"/>
      <c r="Y128" s="468"/>
      <c r="Z128" s="468"/>
    </row>
    <row r="129" spans="1:26" ht="18" customHeight="1" x14ac:dyDescent="0.35">
      <c r="A129" s="468"/>
      <c r="B129" s="468"/>
      <c r="C129" s="468"/>
      <c r="D129" s="468"/>
      <c r="E129" s="468"/>
      <c r="F129" s="468"/>
      <c r="G129" s="468"/>
      <c r="H129" s="468"/>
      <c r="I129" s="468"/>
      <c r="J129" s="468"/>
      <c r="K129" s="468"/>
      <c r="L129" s="468"/>
      <c r="M129" s="468"/>
      <c r="N129" s="468"/>
      <c r="O129" s="468"/>
      <c r="P129" s="468"/>
      <c r="Q129" s="468"/>
      <c r="R129" s="468"/>
      <c r="S129" s="468"/>
      <c r="T129" s="468"/>
      <c r="U129" s="468"/>
      <c r="V129" s="468"/>
      <c r="W129" s="468"/>
      <c r="X129" s="468"/>
      <c r="Y129" s="468"/>
      <c r="Z129" s="468"/>
    </row>
    <row r="130" spans="1:26" ht="18" customHeight="1" x14ac:dyDescent="0.35">
      <c r="A130" s="468"/>
      <c r="B130" s="468"/>
      <c r="C130" s="468"/>
      <c r="D130" s="468"/>
      <c r="E130" s="468"/>
      <c r="F130" s="468"/>
      <c r="G130" s="468"/>
      <c r="H130" s="468"/>
      <c r="I130" s="468"/>
      <c r="J130" s="468"/>
      <c r="K130" s="468"/>
      <c r="L130" s="468"/>
      <c r="M130" s="468"/>
      <c r="N130" s="468"/>
      <c r="O130" s="468"/>
      <c r="P130" s="468"/>
      <c r="Q130" s="468"/>
      <c r="R130" s="468"/>
      <c r="S130" s="468"/>
      <c r="T130" s="468"/>
      <c r="U130" s="468"/>
      <c r="V130" s="468"/>
      <c r="W130" s="468"/>
      <c r="X130" s="468"/>
      <c r="Y130" s="468"/>
      <c r="Z130" s="468"/>
    </row>
    <row r="131" spans="1:26" ht="18" customHeight="1" x14ac:dyDescent="0.35">
      <c r="A131" s="468"/>
      <c r="B131" s="468"/>
      <c r="C131" s="468"/>
      <c r="D131" s="468"/>
      <c r="E131" s="468"/>
      <c r="F131" s="468"/>
      <c r="G131" s="468"/>
      <c r="H131" s="468"/>
      <c r="I131" s="468"/>
      <c r="J131" s="468"/>
      <c r="K131" s="468"/>
      <c r="L131" s="468"/>
      <c r="M131" s="468"/>
      <c r="N131" s="468"/>
      <c r="O131" s="468"/>
      <c r="P131" s="468"/>
      <c r="Q131" s="468"/>
      <c r="R131" s="468"/>
      <c r="S131" s="468"/>
      <c r="T131" s="468"/>
      <c r="U131" s="468"/>
      <c r="V131" s="468"/>
      <c r="W131" s="468"/>
      <c r="X131" s="468"/>
      <c r="Y131" s="468"/>
      <c r="Z131" s="468"/>
    </row>
    <row r="132" spans="1:26" ht="18" customHeight="1" x14ac:dyDescent="0.35">
      <c r="A132" s="468"/>
      <c r="B132" s="468"/>
      <c r="C132" s="468"/>
      <c r="D132" s="468"/>
      <c r="E132" s="468"/>
      <c r="F132" s="468"/>
      <c r="G132" s="468"/>
      <c r="H132" s="468"/>
      <c r="I132" s="468"/>
      <c r="J132" s="468"/>
      <c r="K132" s="468"/>
      <c r="L132" s="468"/>
      <c r="M132" s="468"/>
      <c r="N132" s="468"/>
      <c r="O132" s="468"/>
      <c r="P132" s="468"/>
      <c r="Q132" s="468"/>
      <c r="R132" s="468"/>
      <c r="S132" s="468"/>
      <c r="T132" s="468"/>
      <c r="U132" s="468"/>
      <c r="V132" s="468"/>
      <c r="W132" s="468"/>
      <c r="X132" s="468"/>
      <c r="Y132" s="468"/>
      <c r="Z132" s="468"/>
    </row>
    <row r="133" spans="1:26" ht="18" customHeight="1" x14ac:dyDescent="0.35">
      <c r="A133" s="468"/>
      <c r="B133" s="468"/>
      <c r="C133" s="468"/>
      <c r="D133" s="468"/>
      <c r="E133" s="468"/>
      <c r="F133" s="468"/>
      <c r="G133" s="468"/>
      <c r="H133" s="468"/>
      <c r="I133" s="468"/>
      <c r="J133" s="468"/>
      <c r="K133" s="468"/>
      <c r="L133" s="468"/>
      <c r="M133" s="468"/>
      <c r="N133" s="468"/>
      <c r="O133" s="468"/>
      <c r="P133" s="468"/>
      <c r="Q133" s="468"/>
      <c r="R133" s="468"/>
      <c r="S133" s="468"/>
      <c r="T133" s="468"/>
      <c r="U133" s="468"/>
      <c r="V133" s="468"/>
      <c r="W133" s="468"/>
      <c r="X133" s="468"/>
      <c r="Y133" s="468"/>
      <c r="Z133" s="468"/>
    </row>
    <row r="134" spans="1:26" ht="18" customHeight="1" x14ac:dyDescent="0.35">
      <c r="A134" s="468"/>
      <c r="B134" s="468"/>
      <c r="C134" s="468"/>
      <c r="D134" s="468"/>
      <c r="E134" s="468"/>
      <c r="F134" s="468"/>
      <c r="G134" s="468"/>
      <c r="H134" s="468"/>
      <c r="I134" s="468"/>
      <c r="J134" s="468"/>
      <c r="K134" s="468"/>
      <c r="L134" s="468"/>
      <c r="M134" s="468"/>
      <c r="N134" s="468"/>
      <c r="O134" s="468"/>
      <c r="P134" s="468"/>
      <c r="Q134" s="468"/>
      <c r="R134" s="468"/>
      <c r="S134" s="468"/>
      <c r="T134" s="468"/>
      <c r="U134" s="468"/>
      <c r="V134" s="468"/>
      <c r="W134" s="468"/>
      <c r="X134" s="468"/>
      <c r="Y134" s="468"/>
      <c r="Z134" s="468"/>
    </row>
    <row r="135" spans="1:26" ht="18" customHeight="1" x14ac:dyDescent="0.35">
      <c r="A135" s="468"/>
      <c r="B135" s="468"/>
      <c r="C135" s="468"/>
      <c r="D135" s="468"/>
      <c r="E135" s="468"/>
      <c r="F135" s="468"/>
      <c r="G135" s="468"/>
      <c r="H135" s="468"/>
      <c r="I135" s="468"/>
      <c r="J135" s="468"/>
      <c r="K135" s="468"/>
      <c r="L135" s="468"/>
      <c r="M135" s="468"/>
      <c r="N135" s="468"/>
      <c r="O135" s="468"/>
      <c r="P135" s="468"/>
      <c r="Q135" s="468"/>
      <c r="R135" s="468"/>
      <c r="S135" s="468"/>
      <c r="T135" s="468"/>
      <c r="U135" s="468"/>
      <c r="V135" s="468"/>
      <c r="W135" s="468"/>
      <c r="X135" s="468"/>
      <c r="Y135" s="468"/>
      <c r="Z135" s="468"/>
    </row>
    <row r="136" spans="1:26" ht="18" customHeight="1" x14ac:dyDescent="0.35">
      <c r="A136" s="468"/>
      <c r="B136" s="468"/>
      <c r="C136" s="468"/>
      <c r="D136" s="468"/>
      <c r="E136" s="468"/>
      <c r="F136" s="468"/>
      <c r="G136" s="468"/>
      <c r="H136" s="468"/>
      <c r="I136" s="468"/>
      <c r="J136" s="468"/>
      <c r="K136" s="468"/>
      <c r="L136" s="468"/>
      <c r="M136" s="468"/>
      <c r="N136" s="468"/>
      <c r="O136" s="468"/>
      <c r="P136" s="468"/>
      <c r="Q136" s="468"/>
      <c r="R136" s="468"/>
      <c r="S136" s="468"/>
      <c r="T136" s="468"/>
      <c r="U136" s="468"/>
      <c r="V136" s="468"/>
      <c r="W136" s="468"/>
      <c r="X136" s="468"/>
      <c r="Y136" s="468"/>
      <c r="Z136" s="468"/>
    </row>
    <row r="137" spans="1:26" ht="18" customHeight="1" x14ac:dyDescent="0.35">
      <c r="A137" s="468"/>
      <c r="B137" s="468"/>
      <c r="C137" s="468"/>
      <c r="D137" s="468"/>
      <c r="E137" s="468"/>
      <c r="F137" s="468"/>
      <c r="G137" s="468"/>
      <c r="H137" s="468"/>
      <c r="I137" s="468"/>
      <c r="J137" s="468"/>
      <c r="K137" s="468"/>
      <c r="L137" s="468"/>
      <c r="M137" s="468"/>
      <c r="N137" s="468"/>
      <c r="O137" s="468"/>
      <c r="P137" s="468"/>
      <c r="Q137" s="468"/>
      <c r="R137" s="468"/>
      <c r="S137" s="468"/>
      <c r="T137" s="468"/>
      <c r="U137" s="468"/>
      <c r="V137" s="468"/>
      <c r="W137" s="468"/>
      <c r="X137" s="468"/>
      <c r="Y137" s="468"/>
      <c r="Z137" s="468"/>
    </row>
    <row r="138" spans="1:26" ht="18" customHeight="1" x14ac:dyDescent="0.35">
      <c r="A138" s="468"/>
      <c r="B138" s="468"/>
      <c r="C138" s="468"/>
      <c r="D138" s="468"/>
      <c r="E138" s="468"/>
      <c r="F138" s="468"/>
      <c r="G138" s="468"/>
      <c r="H138" s="468"/>
      <c r="I138" s="468"/>
      <c r="J138" s="468"/>
      <c r="K138" s="468"/>
      <c r="L138" s="468"/>
      <c r="M138" s="468"/>
      <c r="N138" s="468"/>
      <c r="O138" s="468"/>
      <c r="P138" s="468"/>
      <c r="Q138" s="468"/>
      <c r="R138" s="468"/>
      <c r="S138" s="468"/>
      <c r="T138" s="468"/>
      <c r="U138" s="468"/>
      <c r="V138" s="468"/>
      <c r="W138" s="468"/>
      <c r="X138" s="468"/>
      <c r="Y138" s="468"/>
      <c r="Z138" s="468"/>
    </row>
    <row r="139" spans="1:26" ht="18" customHeight="1" x14ac:dyDescent="0.35">
      <c r="A139" s="468"/>
      <c r="B139" s="468"/>
      <c r="C139" s="468"/>
      <c r="D139" s="468"/>
      <c r="E139" s="468"/>
      <c r="F139" s="468"/>
      <c r="G139" s="468"/>
      <c r="H139" s="468"/>
      <c r="I139" s="468"/>
      <c r="J139" s="468"/>
      <c r="K139" s="468"/>
      <c r="L139" s="468"/>
      <c r="M139" s="468"/>
      <c r="N139" s="468"/>
      <c r="O139" s="468"/>
      <c r="P139" s="468"/>
      <c r="Q139" s="468"/>
      <c r="R139" s="468"/>
      <c r="S139" s="468"/>
      <c r="T139" s="468"/>
      <c r="U139" s="468"/>
      <c r="V139" s="468"/>
      <c r="W139" s="468"/>
      <c r="X139" s="468"/>
      <c r="Y139" s="468"/>
      <c r="Z139" s="468"/>
    </row>
    <row r="140" spans="1:26" ht="18" customHeight="1" x14ac:dyDescent="0.35">
      <c r="A140" s="468"/>
      <c r="B140" s="468"/>
      <c r="C140" s="468"/>
      <c r="D140" s="468"/>
      <c r="E140" s="468"/>
      <c r="F140" s="468"/>
      <c r="G140" s="468"/>
      <c r="H140" s="468"/>
      <c r="I140" s="468"/>
      <c r="J140" s="468"/>
      <c r="K140" s="468"/>
      <c r="L140" s="468"/>
      <c r="M140" s="468"/>
      <c r="N140" s="468"/>
      <c r="O140" s="468"/>
      <c r="P140" s="468"/>
      <c r="Q140" s="468"/>
      <c r="R140" s="468"/>
      <c r="S140" s="468"/>
      <c r="T140" s="468"/>
      <c r="U140" s="468"/>
      <c r="V140" s="468"/>
      <c r="W140" s="468"/>
      <c r="X140" s="468"/>
      <c r="Y140" s="468"/>
      <c r="Z140" s="468"/>
    </row>
    <row r="141" spans="1:26" ht="18" customHeight="1" x14ac:dyDescent="0.35">
      <c r="A141" s="468"/>
      <c r="B141" s="468"/>
      <c r="C141" s="468"/>
      <c r="D141" s="468"/>
      <c r="E141" s="468"/>
      <c r="F141" s="468"/>
      <c r="G141" s="468"/>
      <c r="H141" s="468"/>
      <c r="I141" s="468"/>
      <c r="J141" s="468"/>
      <c r="K141" s="468"/>
      <c r="L141" s="468"/>
      <c r="M141" s="468"/>
      <c r="N141" s="468"/>
      <c r="O141" s="468"/>
      <c r="P141" s="468"/>
      <c r="Q141" s="468"/>
      <c r="R141" s="468"/>
      <c r="S141" s="468"/>
      <c r="T141" s="468"/>
      <c r="U141" s="468"/>
      <c r="V141" s="468"/>
      <c r="W141" s="468"/>
      <c r="X141" s="468"/>
      <c r="Y141" s="468"/>
      <c r="Z141" s="468"/>
    </row>
    <row r="142" spans="1:26" ht="18" customHeight="1" x14ac:dyDescent="0.35">
      <c r="A142" s="468"/>
      <c r="B142" s="468"/>
      <c r="C142" s="468"/>
      <c r="D142" s="468"/>
      <c r="E142" s="468"/>
      <c r="F142" s="468"/>
      <c r="G142" s="468"/>
      <c r="H142" s="468"/>
      <c r="I142" s="468"/>
      <c r="J142" s="468"/>
      <c r="K142" s="468"/>
      <c r="L142" s="468"/>
      <c r="M142" s="468"/>
      <c r="N142" s="468"/>
      <c r="O142" s="468"/>
      <c r="P142" s="468"/>
      <c r="Q142" s="468"/>
      <c r="R142" s="468"/>
      <c r="S142" s="468"/>
      <c r="T142" s="468"/>
      <c r="U142" s="468"/>
      <c r="V142" s="468"/>
      <c r="W142" s="468"/>
      <c r="X142" s="468"/>
      <c r="Y142" s="468"/>
      <c r="Z142" s="468"/>
    </row>
    <row r="143" spans="1:26" ht="18" customHeight="1" x14ac:dyDescent="0.35">
      <c r="A143" s="468"/>
      <c r="B143" s="468"/>
      <c r="C143" s="468"/>
      <c r="D143" s="468"/>
      <c r="E143" s="468"/>
      <c r="F143" s="468"/>
      <c r="G143" s="468"/>
      <c r="H143" s="468"/>
      <c r="I143" s="468"/>
      <c r="J143" s="468"/>
      <c r="K143" s="468"/>
      <c r="L143" s="468"/>
      <c r="M143" s="468"/>
      <c r="N143" s="468"/>
      <c r="O143" s="468"/>
      <c r="P143" s="468"/>
      <c r="Q143" s="468"/>
      <c r="R143" s="468"/>
      <c r="S143" s="468"/>
      <c r="T143" s="468"/>
      <c r="U143" s="468"/>
      <c r="V143" s="468"/>
      <c r="W143" s="468"/>
      <c r="X143" s="468"/>
      <c r="Y143" s="468"/>
      <c r="Z143" s="468"/>
    </row>
    <row r="144" spans="1:26" ht="18" customHeight="1" x14ac:dyDescent="0.35">
      <c r="A144" s="468"/>
      <c r="B144" s="468"/>
      <c r="C144" s="468"/>
      <c r="D144" s="468"/>
      <c r="E144" s="468"/>
      <c r="F144" s="468"/>
      <c r="G144" s="468"/>
      <c r="H144" s="468"/>
      <c r="I144" s="468"/>
      <c r="J144" s="468"/>
      <c r="K144" s="468"/>
      <c r="L144" s="468"/>
      <c r="M144" s="468"/>
      <c r="N144" s="468"/>
      <c r="O144" s="468"/>
      <c r="P144" s="468"/>
      <c r="Q144" s="468"/>
      <c r="R144" s="468"/>
      <c r="S144" s="468"/>
      <c r="T144" s="468"/>
      <c r="U144" s="468"/>
      <c r="V144" s="468"/>
      <c r="W144" s="468"/>
      <c r="X144" s="468"/>
      <c r="Y144" s="468"/>
      <c r="Z144" s="468"/>
    </row>
    <row r="145" spans="1:26" ht="18" customHeight="1" x14ac:dyDescent="0.35">
      <c r="A145" s="468"/>
      <c r="B145" s="468"/>
      <c r="C145" s="468"/>
      <c r="D145" s="468"/>
      <c r="E145" s="468"/>
      <c r="F145" s="468"/>
      <c r="G145" s="468"/>
      <c r="H145" s="468"/>
      <c r="I145" s="468"/>
      <c r="J145" s="468"/>
      <c r="K145" s="468"/>
      <c r="L145" s="468"/>
      <c r="M145" s="468"/>
      <c r="N145" s="468"/>
      <c r="O145" s="468"/>
      <c r="P145" s="468"/>
      <c r="Q145" s="468"/>
      <c r="R145" s="468"/>
      <c r="S145" s="468"/>
      <c r="T145" s="468"/>
      <c r="U145" s="468"/>
      <c r="V145" s="468"/>
      <c r="W145" s="468"/>
      <c r="X145" s="468"/>
      <c r="Y145" s="468"/>
      <c r="Z145" s="468"/>
    </row>
    <row r="146" spans="1:26" ht="18" customHeight="1" x14ac:dyDescent="0.35">
      <c r="A146" s="468"/>
      <c r="B146" s="468"/>
      <c r="C146" s="468"/>
      <c r="D146" s="468"/>
      <c r="E146" s="468"/>
      <c r="F146" s="468"/>
      <c r="G146" s="468"/>
      <c r="H146" s="468"/>
      <c r="I146" s="468"/>
      <c r="J146" s="468"/>
      <c r="K146" s="468"/>
      <c r="L146" s="468"/>
      <c r="M146" s="468"/>
      <c r="N146" s="468"/>
      <c r="O146" s="468"/>
      <c r="P146" s="468"/>
      <c r="Q146" s="468"/>
      <c r="R146" s="468"/>
      <c r="S146" s="468"/>
      <c r="T146" s="468"/>
      <c r="U146" s="468"/>
      <c r="V146" s="468"/>
      <c r="W146" s="468"/>
      <c r="X146" s="468"/>
      <c r="Y146" s="468"/>
      <c r="Z146" s="468"/>
    </row>
    <row r="147" spans="1:26" ht="18" customHeight="1" x14ac:dyDescent="0.35">
      <c r="A147" s="468"/>
      <c r="B147" s="468"/>
      <c r="C147" s="468"/>
      <c r="D147" s="468"/>
      <c r="E147" s="468"/>
      <c r="F147" s="468"/>
      <c r="G147" s="468"/>
      <c r="H147" s="468"/>
      <c r="I147" s="468"/>
      <c r="J147" s="468"/>
      <c r="K147" s="468"/>
      <c r="L147" s="468"/>
      <c r="M147" s="468"/>
      <c r="N147" s="468"/>
      <c r="O147" s="468"/>
      <c r="P147" s="468"/>
      <c r="Q147" s="468"/>
      <c r="R147" s="468"/>
      <c r="S147" s="468"/>
      <c r="T147" s="468"/>
      <c r="U147" s="468"/>
      <c r="V147" s="468"/>
      <c r="W147" s="468"/>
      <c r="X147" s="468"/>
      <c r="Y147" s="468"/>
      <c r="Z147" s="468"/>
    </row>
    <row r="148" spans="1:26" ht="18" customHeight="1" x14ac:dyDescent="0.35">
      <c r="A148" s="468"/>
      <c r="B148" s="468"/>
      <c r="C148" s="468"/>
      <c r="D148" s="468"/>
      <c r="E148" s="468"/>
      <c r="F148" s="468"/>
      <c r="G148" s="468"/>
      <c r="H148" s="468"/>
      <c r="I148" s="468"/>
      <c r="J148" s="468"/>
      <c r="K148" s="468"/>
      <c r="L148" s="468"/>
      <c r="M148" s="468"/>
      <c r="N148" s="468"/>
      <c r="O148" s="468"/>
      <c r="P148" s="468"/>
      <c r="Q148" s="468"/>
      <c r="R148" s="468"/>
      <c r="S148" s="468"/>
      <c r="T148" s="468"/>
      <c r="U148" s="468"/>
      <c r="V148" s="468"/>
      <c r="W148" s="468"/>
      <c r="X148" s="468"/>
      <c r="Y148" s="468"/>
      <c r="Z148" s="468"/>
    </row>
    <row r="149" spans="1:26" ht="18" customHeight="1" x14ac:dyDescent="0.35">
      <c r="A149" s="468"/>
      <c r="B149" s="468"/>
      <c r="C149" s="468"/>
      <c r="D149" s="468"/>
      <c r="E149" s="468"/>
      <c r="F149" s="468"/>
      <c r="G149" s="468"/>
      <c r="H149" s="468"/>
      <c r="I149" s="468"/>
      <c r="J149" s="468"/>
      <c r="K149" s="468"/>
      <c r="L149" s="468"/>
      <c r="M149" s="468"/>
      <c r="N149" s="468"/>
      <c r="O149" s="468"/>
      <c r="P149" s="468"/>
      <c r="Q149" s="468"/>
      <c r="R149" s="468"/>
      <c r="S149" s="468"/>
      <c r="T149" s="468"/>
      <c r="U149" s="468"/>
      <c r="V149" s="468"/>
      <c r="W149" s="468"/>
      <c r="X149" s="468"/>
      <c r="Y149" s="468"/>
      <c r="Z149" s="468"/>
    </row>
    <row r="150" spans="1:26" ht="18" customHeight="1" x14ac:dyDescent="0.35">
      <c r="A150" s="468"/>
      <c r="B150" s="468"/>
      <c r="C150" s="468"/>
      <c r="D150" s="468"/>
      <c r="E150" s="468"/>
      <c r="F150" s="468"/>
      <c r="G150" s="468"/>
      <c r="H150" s="468"/>
      <c r="I150" s="468"/>
      <c r="J150" s="468"/>
      <c r="K150" s="468"/>
      <c r="L150" s="468"/>
      <c r="M150" s="468"/>
      <c r="N150" s="468"/>
      <c r="O150" s="468"/>
      <c r="P150" s="468"/>
      <c r="Q150" s="468"/>
      <c r="R150" s="468"/>
      <c r="S150" s="468"/>
      <c r="T150" s="468"/>
      <c r="U150" s="468"/>
      <c r="V150" s="468"/>
      <c r="W150" s="468"/>
      <c r="X150" s="468"/>
      <c r="Y150" s="468"/>
      <c r="Z150" s="468"/>
    </row>
    <row r="151" spans="1:26" ht="18" customHeight="1" x14ac:dyDescent="0.35">
      <c r="A151" s="468"/>
      <c r="B151" s="468"/>
      <c r="C151" s="468"/>
      <c r="D151" s="468"/>
      <c r="E151" s="468"/>
      <c r="F151" s="468"/>
      <c r="G151" s="468"/>
      <c r="H151" s="468"/>
      <c r="I151" s="468"/>
      <c r="J151" s="468"/>
      <c r="K151" s="468"/>
      <c r="L151" s="468"/>
      <c r="M151" s="468"/>
      <c r="N151" s="468"/>
      <c r="O151" s="468"/>
      <c r="P151" s="468"/>
      <c r="Q151" s="468"/>
      <c r="R151" s="468"/>
      <c r="S151" s="468"/>
      <c r="T151" s="468"/>
      <c r="U151" s="468"/>
      <c r="V151" s="468"/>
      <c r="W151" s="468"/>
      <c r="X151" s="468"/>
      <c r="Y151" s="468"/>
      <c r="Z151" s="468"/>
    </row>
    <row r="152" spans="1:26" ht="18" customHeight="1" x14ac:dyDescent="0.35">
      <c r="A152" s="468"/>
      <c r="B152" s="468"/>
      <c r="C152" s="468"/>
      <c r="D152" s="468"/>
      <c r="E152" s="468"/>
      <c r="F152" s="468"/>
      <c r="G152" s="468"/>
      <c r="H152" s="468"/>
      <c r="I152" s="468"/>
      <c r="J152" s="468"/>
      <c r="K152" s="468"/>
      <c r="L152" s="468"/>
      <c r="M152" s="468"/>
      <c r="N152" s="468"/>
      <c r="O152" s="468"/>
      <c r="P152" s="468"/>
      <c r="Q152" s="468"/>
      <c r="R152" s="468"/>
      <c r="S152" s="468"/>
      <c r="T152" s="468"/>
      <c r="U152" s="468"/>
      <c r="V152" s="468"/>
      <c r="W152" s="468"/>
      <c r="X152" s="468"/>
      <c r="Y152" s="468"/>
      <c r="Z152" s="468"/>
    </row>
    <row r="153" spans="1:26" ht="18" customHeight="1" x14ac:dyDescent="0.35">
      <c r="A153" s="468"/>
      <c r="B153" s="468"/>
      <c r="C153" s="468"/>
      <c r="D153" s="468"/>
      <c r="E153" s="468"/>
      <c r="F153" s="468"/>
      <c r="G153" s="468"/>
      <c r="H153" s="468"/>
      <c r="I153" s="468"/>
      <c r="J153" s="468"/>
      <c r="K153" s="468"/>
      <c r="L153" s="468"/>
      <c r="M153" s="468"/>
      <c r="N153" s="468"/>
      <c r="O153" s="468"/>
      <c r="P153" s="468"/>
      <c r="Q153" s="468"/>
      <c r="R153" s="468"/>
      <c r="S153" s="468"/>
      <c r="T153" s="468"/>
      <c r="U153" s="468"/>
      <c r="V153" s="468"/>
      <c r="W153" s="468"/>
      <c r="X153" s="468"/>
      <c r="Y153" s="468"/>
      <c r="Z153" s="468"/>
    </row>
    <row r="154" spans="1:26" ht="18" customHeight="1" x14ac:dyDescent="0.35">
      <c r="A154" s="468"/>
      <c r="B154" s="468"/>
      <c r="C154" s="468"/>
      <c r="D154" s="468"/>
      <c r="E154" s="468"/>
      <c r="F154" s="468"/>
      <c r="G154" s="468"/>
      <c r="H154" s="468"/>
      <c r="I154" s="468"/>
      <c r="J154" s="468"/>
      <c r="K154" s="468"/>
      <c r="L154" s="468"/>
      <c r="M154" s="468"/>
      <c r="N154" s="468"/>
      <c r="O154" s="468"/>
      <c r="P154" s="468"/>
      <c r="Q154" s="468"/>
      <c r="R154" s="468"/>
      <c r="S154" s="468"/>
      <c r="T154" s="468"/>
      <c r="U154" s="468"/>
      <c r="V154" s="468"/>
      <c r="W154" s="468"/>
      <c r="X154" s="468"/>
      <c r="Y154" s="468"/>
      <c r="Z154" s="468"/>
    </row>
    <row r="155" spans="1:26" ht="18" customHeight="1" x14ac:dyDescent="0.35">
      <c r="A155" s="468"/>
      <c r="B155" s="468"/>
      <c r="C155" s="468"/>
      <c r="D155" s="468"/>
      <c r="E155" s="468"/>
      <c r="F155" s="468"/>
      <c r="G155" s="468"/>
      <c r="H155" s="468"/>
      <c r="I155" s="468"/>
      <c r="J155" s="468"/>
      <c r="K155" s="468"/>
      <c r="L155" s="468"/>
      <c r="M155" s="468"/>
      <c r="N155" s="468"/>
      <c r="O155" s="468"/>
      <c r="P155" s="468"/>
      <c r="Q155" s="468"/>
      <c r="R155" s="468"/>
      <c r="S155" s="468"/>
      <c r="T155" s="468"/>
      <c r="U155" s="468"/>
      <c r="V155" s="468"/>
      <c r="W155" s="468"/>
      <c r="X155" s="468"/>
      <c r="Y155" s="468"/>
      <c r="Z155" s="468"/>
    </row>
    <row r="156" spans="1:26" ht="18" customHeight="1" x14ac:dyDescent="0.35">
      <c r="A156" s="468"/>
      <c r="B156" s="468"/>
      <c r="C156" s="468"/>
      <c r="D156" s="468"/>
      <c r="E156" s="468"/>
      <c r="F156" s="468"/>
      <c r="G156" s="468"/>
      <c r="H156" s="468"/>
      <c r="I156" s="468"/>
      <c r="J156" s="468"/>
      <c r="K156" s="468"/>
      <c r="L156" s="468"/>
      <c r="M156" s="468"/>
      <c r="N156" s="468"/>
      <c r="O156" s="468"/>
      <c r="P156" s="468"/>
      <c r="Q156" s="468"/>
      <c r="R156" s="468"/>
      <c r="S156" s="468"/>
      <c r="T156" s="468"/>
      <c r="U156" s="468"/>
      <c r="V156" s="468"/>
      <c r="W156" s="468"/>
      <c r="X156" s="468"/>
      <c r="Y156" s="468"/>
      <c r="Z156" s="468"/>
    </row>
    <row r="157" spans="1:26" ht="18" customHeight="1" x14ac:dyDescent="0.35">
      <c r="A157" s="468"/>
      <c r="B157" s="468"/>
      <c r="C157" s="468"/>
      <c r="D157" s="468"/>
      <c r="E157" s="468"/>
      <c r="F157" s="468"/>
      <c r="G157" s="468"/>
      <c r="H157" s="468"/>
      <c r="I157" s="468"/>
      <c r="J157" s="468"/>
      <c r="K157" s="468"/>
      <c r="L157" s="468"/>
      <c r="M157" s="468"/>
      <c r="N157" s="468"/>
      <c r="O157" s="468"/>
      <c r="P157" s="468"/>
      <c r="Q157" s="468"/>
      <c r="R157" s="468"/>
      <c r="S157" s="468"/>
      <c r="T157" s="468"/>
      <c r="U157" s="468"/>
      <c r="V157" s="468"/>
      <c r="W157" s="468"/>
      <c r="X157" s="468"/>
      <c r="Y157" s="468"/>
      <c r="Z157" s="468"/>
    </row>
    <row r="158" spans="1:26" ht="18" customHeight="1" x14ac:dyDescent="0.35">
      <c r="A158" s="468"/>
      <c r="B158" s="468"/>
      <c r="C158" s="468"/>
      <c r="D158" s="468"/>
      <c r="E158" s="468"/>
      <c r="F158" s="468"/>
      <c r="G158" s="468"/>
      <c r="H158" s="468"/>
      <c r="I158" s="468"/>
      <c r="J158" s="468"/>
      <c r="K158" s="468"/>
      <c r="L158" s="468"/>
      <c r="M158" s="468"/>
      <c r="N158" s="468"/>
      <c r="O158" s="468"/>
      <c r="P158" s="468"/>
      <c r="Q158" s="468"/>
      <c r="R158" s="468"/>
      <c r="S158" s="468"/>
      <c r="T158" s="468"/>
      <c r="U158" s="468"/>
      <c r="V158" s="468"/>
      <c r="W158" s="468"/>
      <c r="X158" s="468"/>
      <c r="Y158" s="468"/>
      <c r="Z158" s="468"/>
    </row>
    <row r="159" spans="1:26" ht="18" customHeight="1" x14ac:dyDescent="0.35">
      <c r="A159" s="468"/>
      <c r="B159" s="468"/>
      <c r="C159" s="468"/>
      <c r="D159" s="468"/>
      <c r="E159" s="468"/>
      <c r="F159" s="468"/>
      <c r="G159" s="468"/>
      <c r="H159" s="468"/>
      <c r="I159" s="468"/>
      <c r="J159" s="468"/>
      <c r="K159" s="468"/>
      <c r="L159" s="468"/>
      <c r="M159" s="468"/>
      <c r="N159" s="468"/>
      <c r="O159" s="468"/>
      <c r="P159" s="468"/>
      <c r="Q159" s="468"/>
      <c r="R159" s="468"/>
      <c r="S159" s="468"/>
      <c r="T159" s="468"/>
      <c r="U159" s="468"/>
      <c r="V159" s="468"/>
      <c r="W159" s="468"/>
      <c r="X159" s="468"/>
      <c r="Y159" s="468"/>
      <c r="Z159" s="468"/>
    </row>
    <row r="160" spans="1:26" ht="18" customHeight="1" x14ac:dyDescent="0.35">
      <c r="A160" s="468"/>
      <c r="B160" s="468"/>
      <c r="C160" s="468"/>
      <c r="D160" s="468"/>
      <c r="E160" s="468"/>
      <c r="F160" s="468"/>
      <c r="G160" s="468"/>
      <c r="H160" s="468"/>
      <c r="I160" s="468"/>
      <c r="J160" s="468"/>
      <c r="K160" s="468"/>
      <c r="L160" s="468"/>
      <c r="M160" s="468"/>
      <c r="N160" s="468"/>
      <c r="O160" s="468"/>
      <c r="P160" s="468"/>
      <c r="Q160" s="468"/>
      <c r="R160" s="468"/>
      <c r="S160" s="468"/>
      <c r="T160" s="468"/>
      <c r="U160" s="468"/>
      <c r="V160" s="468"/>
      <c r="W160" s="468"/>
      <c r="X160" s="468"/>
      <c r="Y160" s="468"/>
      <c r="Z160" s="468"/>
    </row>
    <row r="161" spans="1:26" ht="18" customHeight="1" x14ac:dyDescent="0.35">
      <c r="A161" s="468"/>
      <c r="B161" s="468"/>
      <c r="C161" s="468"/>
      <c r="D161" s="468"/>
      <c r="E161" s="468"/>
      <c r="F161" s="468"/>
      <c r="G161" s="468"/>
      <c r="H161" s="468"/>
      <c r="I161" s="468"/>
      <c r="J161" s="468"/>
      <c r="K161" s="468"/>
      <c r="L161" s="468"/>
      <c r="M161" s="468"/>
      <c r="N161" s="468"/>
      <c r="O161" s="468"/>
      <c r="P161" s="468"/>
      <c r="Q161" s="468"/>
      <c r="R161" s="468"/>
      <c r="S161" s="468"/>
      <c r="T161" s="468"/>
      <c r="U161" s="468"/>
      <c r="V161" s="468"/>
      <c r="W161" s="468"/>
      <c r="X161" s="468"/>
      <c r="Y161" s="468"/>
      <c r="Z161" s="468"/>
    </row>
    <row r="162" spans="1:26" ht="18" customHeight="1" x14ac:dyDescent="0.35">
      <c r="A162" s="468"/>
      <c r="B162" s="468"/>
      <c r="C162" s="468"/>
      <c r="D162" s="468"/>
      <c r="E162" s="468"/>
      <c r="F162" s="468"/>
      <c r="G162" s="468"/>
      <c r="H162" s="468"/>
      <c r="I162" s="468"/>
      <c r="J162" s="468"/>
      <c r="K162" s="468"/>
      <c r="L162" s="468"/>
      <c r="M162" s="468"/>
      <c r="N162" s="468"/>
      <c r="O162" s="468"/>
      <c r="P162" s="468"/>
      <c r="Q162" s="468"/>
      <c r="R162" s="468"/>
      <c r="S162" s="468"/>
      <c r="T162" s="468"/>
      <c r="U162" s="468"/>
      <c r="V162" s="468"/>
      <c r="W162" s="468"/>
      <c r="X162" s="468"/>
      <c r="Y162" s="468"/>
      <c r="Z162" s="468"/>
    </row>
    <row r="163" spans="1:26" ht="18" customHeight="1" x14ac:dyDescent="0.35">
      <c r="A163" s="468"/>
      <c r="B163" s="468"/>
      <c r="C163" s="468"/>
      <c r="D163" s="468"/>
      <c r="E163" s="468"/>
      <c r="F163" s="468"/>
      <c r="G163" s="468"/>
      <c r="H163" s="468"/>
      <c r="I163" s="468"/>
      <c r="J163" s="468"/>
      <c r="K163" s="468"/>
      <c r="L163" s="468"/>
      <c r="M163" s="468"/>
      <c r="N163" s="468"/>
      <c r="O163" s="468"/>
      <c r="P163" s="468"/>
      <c r="Q163" s="468"/>
      <c r="R163" s="468"/>
      <c r="S163" s="468"/>
      <c r="T163" s="468"/>
      <c r="U163" s="468"/>
      <c r="V163" s="468"/>
      <c r="W163" s="468"/>
      <c r="X163" s="468"/>
      <c r="Y163" s="468"/>
      <c r="Z163" s="468"/>
    </row>
    <row r="164" spans="1:26" ht="18" customHeight="1" x14ac:dyDescent="0.35">
      <c r="A164" s="468"/>
      <c r="B164" s="468"/>
      <c r="C164" s="468"/>
      <c r="D164" s="468"/>
      <c r="E164" s="468"/>
      <c r="F164" s="468"/>
      <c r="G164" s="468"/>
      <c r="H164" s="468"/>
      <c r="I164" s="468"/>
      <c r="J164" s="468"/>
      <c r="K164" s="468"/>
      <c r="L164" s="468"/>
      <c r="M164" s="468"/>
      <c r="N164" s="468"/>
      <c r="O164" s="468"/>
      <c r="P164" s="468"/>
      <c r="Q164" s="468"/>
      <c r="R164" s="468"/>
      <c r="S164" s="468"/>
      <c r="T164" s="468"/>
      <c r="U164" s="468"/>
      <c r="V164" s="468"/>
      <c r="W164" s="468"/>
      <c r="X164" s="468"/>
      <c r="Y164" s="468"/>
      <c r="Z164" s="468"/>
    </row>
    <row r="165" spans="1:26" ht="18" customHeight="1" x14ac:dyDescent="0.35">
      <c r="A165" s="468"/>
      <c r="B165" s="468"/>
      <c r="C165" s="468"/>
      <c r="D165" s="468"/>
      <c r="E165" s="468"/>
      <c r="F165" s="468"/>
      <c r="G165" s="468"/>
      <c r="H165" s="468"/>
      <c r="I165" s="468"/>
      <c r="J165" s="468"/>
      <c r="K165" s="468"/>
      <c r="L165" s="468"/>
      <c r="M165" s="468"/>
      <c r="N165" s="468"/>
      <c r="O165" s="468"/>
      <c r="P165" s="468"/>
      <c r="Q165" s="468"/>
      <c r="R165" s="468"/>
      <c r="S165" s="468"/>
      <c r="T165" s="468"/>
      <c r="U165" s="468"/>
      <c r="V165" s="468"/>
      <c r="W165" s="468"/>
      <c r="X165" s="468"/>
      <c r="Y165" s="468"/>
      <c r="Z165" s="468"/>
    </row>
    <row r="166" spans="1:26" ht="18" customHeight="1" x14ac:dyDescent="0.35">
      <c r="A166" s="468"/>
      <c r="B166" s="468"/>
      <c r="C166" s="468"/>
      <c r="D166" s="468"/>
      <c r="E166" s="468"/>
      <c r="F166" s="468"/>
      <c r="G166" s="468"/>
      <c r="H166" s="468"/>
      <c r="I166" s="468"/>
      <c r="J166" s="468"/>
      <c r="K166" s="468"/>
      <c r="L166" s="468"/>
      <c r="M166" s="468"/>
      <c r="N166" s="468"/>
      <c r="O166" s="468"/>
      <c r="P166" s="468"/>
      <c r="Q166" s="468"/>
      <c r="R166" s="468"/>
      <c r="S166" s="468"/>
      <c r="T166" s="468"/>
      <c r="U166" s="468"/>
      <c r="V166" s="468"/>
      <c r="W166" s="468"/>
      <c r="X166" s="468"/>
      <c r="Y166" s="468"/>
      <c r="Z166" s="468"/>
    </row>
    <row r="167" spans="1:26" ht="18" customHeight="1" x14ac:dyDescent="0.35">
      <c r="A167" s="468"/>
      <c r="B167" s="468"/>
      <c r="C167" s="468"/>
      <c r="D167" s="468"/>
      <c r="E167" s="468"/>
      <c r="F167" s="468"/>
      <c r="G167" s="468"/>
      <c r="H167" s="468"/>
      <c r="I167" s="468"/>
      <c r="J167" s="468"/>
      <c r="K167" s="468"/>
      <c r="L167" s="468"/>
      <c r="M167" s="468"/>
      <c r="N167" s="468"/>
      <c r="O167" s="468"/>
      <c r="P167" s="468"/>
      <c r="Q167" s="468"/>
      <c r="R167" s="468"/>
      <c r="S167" s="468"/>
      <c r="T167" s="468"/>
      <c r="U167" s="468"/>
      <c r="V167" s="468"/>
      <c r="W167" s="468"/>
      <c r="X167" s="468"/>
      <c r="Y167" s="468"/>
      <c r="Z167" s="468"/>
    </row>
    <row r="168" spans="1:26" ht="18" customHeight="1" x14ac:dyDescent="0.35">
      <c r="A168" s="468"/>
      <c r="B168" s="468"/>
      <c r="C168" s="468"/>
      <c r="D168" s="468"/>
      <c r="E168" s="468"/>
      <c r="F168" s="468"/>
      <c r="G168" s="468"/>
      <c r="H168" s="468"/>
      <c r="I168" s="468"/>
      <c r="J168" s="468"/>
      <c r="K168" s="468"/>
      <c r="L168" s="468"/>
      <c r="M168" s="468"/>
      <c r="N168" s="468"/>
      <c r="O168" s="468"/>
      <c r="P168" s="468"/>
      <c r="Q168" s="468"/>
      <c r="R168" s="468"/>
      <c r="S168" s="468"/>
      <c r="T168" s="468"/>
      <c r="U168" s="468"/>
      <c r="V168" s="468"/>
      <c r="W168" s="468"/>
      <c r="X168" s="468"/>
      <c r="Y168" s="468"/>
      <c r="Z168" s="468"/>
    </row>
    <row r="169" spans="1:26" ht="18" customHeight="1" x14ac:dyDescent="0.35">
      <c r="A169" s="468"/>
      <c r="B169" s="468"/>
      <c r="C169" s="468"/>
      <c r="D169" s="468"/>
      <c r="E169" s="468"/>
      <c r="F169" s="468"/>
      <c r="G169" s="468"/>
      <c r="H169" s="468"/>
      <c r="I169" s="468"/>
      <c r="J169" s="468"/>
      <c r="K169" s="468"/>
      <c r="L169" s="468"/>
      <c r="M169" s="468"/>
      <c r="N169" s="468"/>
      <c r="O169" s="468"/>
      <c r="P169" s="468"/>
      <c r="Q169" s="468"/>
      <c r="R169" s="468"/>
      <c r="S169" s="468"/>
      <c r="T169" s="468"/>
      <c r="U169" s="468"/>
      <c r="V169" s="468"/>
      <c r="W169" s="468"/>
      <c r="X169" s="468"/>
      <c r="Y169" s="468"/>
      <c r="Z169" s="468"/>
    </row>
    <row r="170" spans="1:26" ht="18" customHeight="1" x14ac:dyDescent="0.35">
      <c r="A170" s="468"/>
      <c r="B170" s="468"/>
      <c r="C170" s="468"/>
      <c r="D170" s="468"/>
      <c r="E170" s="468"/>
      <c r="F170" s="468"/>
      <c r="G170" s="468"/>
      <c r="H170" s="468"/>
      <c r="I170" s="468"/>
      <c r="J170" s="468"/>
      <c r="K170" s="468"/>
      <c r="L170" s="468"/>
      <c r="M170" s="468"/>
      <c r="N170" s="468"/>
      <c r="O170" s="468"/>
      <c r="P170" s="468"/>
      <c r="Q170" s="468"/>
      <c r="R170" s="468"/>
      <c r="S170" s="468"/>
      <c r="T170" s="468"/>
      <c r="U170" s="468"/>
      <c r="V170" s="468"/>
      <c r="W170" s="468"/>
      <c r="X170" s="468"/>
      <c r="Y170" s="468"/>
      <c r="Z170" s="468"/>
    </row>
    <row r="171" spans="1:26" ht="18" customHeight="1" x14ac:dyDescent="0.35">
      <c r="A171" s="468"/>
      <c r="B171" s="468"/>
      <c r="C171" s="468"/>
      <c r="D171" s="468"/>
      <c r="E171" s="468"/>
      <c r="F171" s="468"/>
      <c r="G171" s="468"/>
      <c r="H171" s="468"/>
      <c r="I171" s="468"/>
      <c r="J171" s="468"/>
      <c r="K171" s="468"/>
      <c r="L171" s="468"/>
      <c r="M171" s="468"/>
      <c r="N171" s="468"/>
      <c r="O171" s="468"/>
      <c r="P171" s="468"/>
      <c r="Q171" s="468"/>
      <c r="R171" s="468"/>
      <c r="S171" s="468"/>
      <c r="T171" s="468"/>
      <c r="U171" s="468"/>
      <c r="V171" s="468"/>
      <c r="W171" s="468"/>
      <c r="X171" s="468"/>
      <c r="Y171" s="468"/>
      <c r="Z171" s="468"/>
    </row>
    <row r="172" spans="1:26" ht="18" customHeight="1" x14ac:dyDescent="0.35">
      <c r="A172" s="468"/>
      <c r="B172" s="468"/>
      <c r="C172" s="468"/>
      <c r="D172" s="468"/>
      <c r="E172" s="468"/>
      <c r="F172" s="468"/>
      <c r="G172" s="468"/>
      <c r="H172" s="468"/>
      <c r="I172" s="468"/>
      <c r="J172" s="468"/>
      <c r="K172" s="468"/>
      <c r="L172" s="468"/>
      <c r="M172" s="468"/>
      <c r="N172" s="468"/>
      <c r="O172" s="468"/>
      <c r="P172" s="468"/>
      <c r="Q172" s="468"/>
      <c r="R172" s="468"/>
      <c r="S172" s="468"/>
      <c r="T172" s="468"/>
      <c r="U172" s="468"/>
      <c r="V172" s="468"/>
      <c r="W172" s="468"/>
      <c r="X172" s="468"/>
      <c r="Y172" s="468"/>
      <c r="Z172" s="468"/>
    </row>
    <row r="173" spans="1:26" ht="18" customHeight="1" x14ac:dyDescent="0.35">
      <c r="A173" s="468"/>
      <c r="B173" s="468"/>
      <c r="C173" s="468"/>
      <c r="D173" s="468"/>
      <c r="E173" s="468"/>
      <c r="F173" s="468"/>
      <c r="G173" s="468"/>
      <c r="H173" s="468"/>
      <c r="I173" s="468"/>
      <c r="J173" s="468"/>
      <c r="K173" s="468"/>
      <c r="L173" s="468"/>
      <c r="M173" s="468"/>
      <c r="N173" s="468"/>
      <c r="O173" s="468"/>
      <c r="P173" s="468"/>
      <c r="Q173" s="468"/>
      <c r="R173" s="468"/>
      <c r="S173" s="468"/>
      <c r="T173" s="468"/>
      <c r="U173" s="468"/>
      <c r="V173" s="468"/>
      <c r="W173" s="468"/>
      <c r="X173" s="468"/>
      <c r="Y173" s="468"/>
      <c r="Z173" s="468"/>
    </row>
    <row r="174" spans="1:26" ht="18" customHeight="1" x14ac:dyDescent="0.35">
      <c r="A174" s="468"/>
      <c r="B174" s="468"/>
      <c r="C174" s="468"/>
      <c r="D174" s="468"/>
      <c r="E174" s="468"/>
      <c r="F174" s="468"/>
      <c r="G174" s="468"/>
      <c r="H174" s="468"/>
      <c r="I174" s="468"/>
      <c r="J174" s="468"/>
      <c r="K174" s="468"/>
      <c r="L174" s="468"/>
      <c r="M174" s="468"/>
      <c r="N174" s="468"/>
      <c r="O174" s="468"/>
      <c r="P174" s="468"/>
      <c r="Q174" s="468"/>
      <c r="R174" s="468"/>
      <c r="S174" s="468"/>
      <c r="T174" s="468"/>
      <c r="U174" s="468"/>
      <c r="V174" s="468"/>
      <c r="W174" s="468"/>
      <c r="X174" s="468"/>
      <c r="Y174" s="468"/>
      <c r="Z174" s="468"/>
    </row>
    <row r="175" spans="1:26" ht="18" customHeight="1" x14ac:dyDescent="0.35">
      <c r="A175" s="468"/>
      <c r="B175" s="468"/>
      <c r="C175" s="468"/>
      <c r="D175" s="468"/>
      <c r="E175" s="468"/>
      <c r="F175" s="468"/>
      <c r="G175" s="468"/>
      <c r="H175" s="468"/>
      <c r="I175" s="468"/>
      <c r="J175" s="468"/>
      <c r="K175" s="468"/>
      <c r="L175" s="468"/>
      <c r="M175" s="468"/>
      <c r="N175" s="468"/>
      <c r="O175" s="468"/>
      <c r="P175" s="468"/>
      <c r="Q175" s="468"/>
      <c r="R175" s="468"/>
      <c r="S175" s="468"/>
      <c r="T175" s="468"/>
      <c r="U175" s="468"/>
      <c r="V175" s="468"/>
      <c r="W175" s="468"/>
      <c r="X175" s="468"/>
      <c r="Y175" s="468"/>
      <c r="Z175" s="468"/>
    </row>
    <row r="176" spans="1:26" ht="18" customHeight="1" x14ac:dyDescent="0.35">
      <c r="A176" s="468"/>
      <c r="B176" s="468"/>
      <c r="C176" s="468"/>
      <c r="D176" s="468"/>
      <c r="E176" s="468"/>
      <c r="F176" s="468"/>
      <c r="G176" s="468"/>
      <c r="H176" s="468"/>
      <c r="I176" s="468"/>
      <c r="J176" s="468"/>
      <c r="K176" s="468"/>
      <c r="L176" s="468"/>
      <c r="M176" s="468"/>
      <c r="N176" s="468"/>
      <c r="O176" s="468"/>
      <c r="P176" s="468"/>
      <c r="Q176" s="468"/>
      <c r="R176" s="468"/>
      <c r="S176" s="468"/>
      <c r="T176" s="468"/>
      <c r="U176" s="468"/>
      <c r="V176" s="468"/>
      <c r="W176" s="468"/>
      <c r="X176" s="468"/>
      <c r="Y176" s="468"/>
      <c r="Z176" s="468"/>
    </row>
    <row r="177" spans="1:26" ht="18" customHeight="1" x14ac:dyDescent="0.35">
      <c r="A177" s="468"/>
      <c r="B177" s="468"/>
      <c r="C177" s="468"/>
      <c r="D177" s="468"/>
      <c r="E177" s="468"/>
      <c r="F177" s="468"/>
      <c r="G177" s="468"/>
      <c r="H177" s="468"/>
      <c r="I177" s="468"/>
      <c r="J177" s="468"/>
      <c r="K177" s="468"/>
      <c r="L177" s="468"/>
      <c r="M177" s="468"/>
      <c r="N177" s="468"/>
      <c r="O177" s="468"/>
      <c r="P177" s="468"/>
      <c r="Q177" s="468"/>
      <c r="R177" s="468"/>
      <c r="S177" s="468"/>
      <c r="T177" s="468"/>
      <c r="U177" s="468"/>
      <c r="V177" s="468"/>
      <c r="W177" s="468"/>
      <c r="X177" s="468"/>
      <c r="Y177" s="468"/>
      <c r="Z177" s="468"/>
    </row>
    <row r="178" spans="1:26" ht="18" customHeight="1" x14ac:dyDescent="0.35">
      <c r="A178" s="468"/>
      <c r="B178" s="468"/>
      <c r="C178" s="468"/>
      <c r="D178" s="468"/>
      <c r="E178" s="468"/>
      <c r="F178" s="468"/>
      <c r="G178" s="468"/>
      <c r="H178" s="468"/>
      <c r="I178" s="468"/>
      <c r="J178" s="468"/>
      <c r="K178" s="468"/>
      <c r="L178" s="468"/>
      <c r="M178" s="468"/>
      <c r="N178" s="468"/>
      <c r="O178" s="468"/>
      <c r="P178" s="468"/>
      <c r="Q178" s="468"/>
      <c r="R178" s="468"/>
      <c r="S178" s="468"/>
      <c r="T178" s="468"/>
      <c r="U178" s="468"/>
      <c r="V178" s="468"/>
      <c r="W178" s="468"/>
      <c r="X178" s="468"/>
      <c r="Y178" s="468"/>
      <c r="Z178" s="468"/>
    </row>
    <row r="179" spans="1:26" ht="18" customHeight="1" x14ac:dyDescent="0.35">
      <c r="A179" s="468"/>
      <c r="B179" s="468"/>
      <c r="C179" s="468"/>
      <c r="D179" s="468"/>
      <c r="E179" s="468"/>
      <c r="F179" s="468"/>
      <c r="G179" s="468"/>
      <c r="H179" s="468"/>
      <c r="I179" s="468"/>
      <c r="J179" s="468"/>
      <c r="K179" s="468"/>
      <c r="L179" s="468"/>
      <c r="M179" s="468"/>
      <c r="N179" s="468"/>
      <c r="O179" s="468"/>
      <c r="P179" s="468"/>
      <c r="Q179" s="468"/>
      <c r="R179" s="468"/>
      <c r="S179" s="468"/>
      <c r="T179" s="468"/>
      <c r="U179" s="468"/>
      <c r="V179" s="468"/>
      <c r="W179" s="468"/>
      <c r="X179" s="468"/>
      <c r="Y179" s="468"/>
      <c r="Z179" s="468"/>
    </row>
    <row r="180" spans="1:26" ht="18" customHeight="1" x14ac:dyDescent="0.35">
      <c r="A180" s="468"/>
      <c r="B180" s="468"/>
      <c r="C180" s="468"/>
      <c r="D180" s="468"/>
      <c r="E180" s="468"/>
      <c r="F180" s="468"/>
      <c r="G180" s="468"/>
      <c r="H180" s="468"/>
      <c r="I180" s="468"/>
      <c r="J180" s="468"/>
      <c r="K180" s="468"/>
      <c r="L180" s="468"/>
      <c r="M180" s="468"/>
      <c r="N180" s="468"/>
      <c r="O180" s="468"/>
      <c r="P180" s="468"/>
      <c r="Q180" s="468"/>
      <c r="R180" s="468"/>
      <c r="S180" s="468"/>
      <c r="T180" s="468"/>
      <c r="U180" s="468"/>
      <c r="V180" s="468"/>
      <c r="W180" s="468"/>
      <c r="X180" s="468"/>
      <c r="Y180" s="468"/>
      <c r="Z180" s="468"/>
    </row>
    <row r="181" spans="1:26" ht="18" customHeight="1" x14ac:dyDescent="0.35">
      <c r="A181" s="468"/>
      <c r="B181" s="468"/>
      <c r="C181" s="468"/>
      <c r="D181" s="468"/>
      <c r="E181" s="468"/>
      <c r="F181" s="468"/>
      <c r="G181" s="468"/>
      <c r="H181" s="468"/>
      <c r="I181" s="468"/>
      <c r="J181" s="468"/>
      <c r="K181" s="468"/>
      <c r="L181" s="468"/>
      <c r="M181" s="468"/>
      <c r="N181" s="468"/>
      <c r="O181" s="468"/>
      <c r="P181" s="468"/>
      <c r="Q181" s="468"/>
      <c r="R181" s="468"/>
      <c r="S181" s="468"/>
      <c r="T181" s="468"/>
      <c r="U181" s="468"/>
      <c r="V181" s="468"/>
      <c r="W181" s="468"/>
      <c r="X181" s="468"/>
      <c r="Y181" s="468"/>
      <c r="Z181" s="468"/>
    </row>
    <row r="182" spans="1:26" ht="18" customHeight="1" x14ac:dyDescent="0.35">
      <c r="A182" s="468"/>
      <c r="B182" s="468"/>
      <c r="C182" s="468"/>
      <c r="D182" s="468"/>
      <c r="E182" s="468"/>
      <c r="F182" s="468"/>
      <c r="G182" s="468"/>
      <c r="H182" s="468"/>
      <c r="I182" s="468"/>
      <c r="J182" s="468"/>
      <c r="K182" s="468"/>
      <c r="L182" s="468"/>
      <c r="M182" s="468"/>
      <c r="N182" s="468"/>
      <c r="O182" s="468"/>
      <c r="P182" s="468"/>
      <c r="Q182" s="468"/>
      <c r="R182" s="468"/>
      <c r="S182" s="468"/>
      <c r="T182" s="468"/>
      <c r="U182" s="468"/>
      <c r="V182" s="468"/>
      <c r="W182" s="468"/>
      <c r="X182" s="468"/>
      <c r="Y182" s="468"/>
      <c r="Z182" s="468"/>
    </row>
    <row r="183" spans="1:26" ht="18" customHeight="1" x14ac:dyDescent="0.35">
      <c r="A183" s="468"/>
      <c r="B183" s="468"/>
      <c r="C183" s="468"/>
      <c r="D183" s="468"/>
      <c r="E183" s="468"/>
      <c r="F183" s="468"/>
      <c r="G183" s="468"/>
      <c r="H183" s="468"/>
      <c r="I183" s="468"/>
      <c r="J183" s="468"/>
      <c r="K183" s="468"/>
      <c r="L183" s="468"/>
      <c r="M183" s="468"/>
      <c r="N183" s="468"/>
      <c r="O183" s="468"/>
      <c r="P183" s="468"/>
      <c r="Q183" s="468"/>
      <c r="R183" s="468"/>
      <c r="S183" s="468"/>
      <c r="T183" s="468"/>
      <c r="U183" s="468"/>
      <c r="V183" s="468"/>
      <c r="W183" s="468"/>
      <c r="X183" s="468"/>
      <c r="Y183" s="468"/>
      <c r="Z183" s="468"/>
    </row>
    <row r="184" spans="1:26" ht="18" customHeight="1" x14ac:dyDescent="0.35">
      <c r="A184" s="468"/>
      <c r="B184" s="468"/>
      <c r="C184" s="468"/>
      <c r="D184" s="468"/>
      <c r="E184" s="468"/>
      <c r="F184" s="468"/>
      <c r="G184" s="468"/>
      <c r="H184" s="468"/>
      <c r="I184" s="468"/>
      <c r="J184" s="468"/>
      <c r="K184" s="468"/>
      <c r="L184" s="468"/>
      <c r="M184" s="468"/>
      <c r="N184" s="468"/>
      <c r="O184" s="468"/>
      <c r="P184" s="468"/>
      <c r="Q184" s="468"/>
      <c r="R184" s="468"/>
      <c r="S184" s="468"/>
      <c r="T184" s="468"/>
      <c r="U184" s="468"/>
      <c r="V184" s="468"/>
      <c r="W184" s="468"/>
      <c r="X184" s="468"/>
      <c r="Y184" s="468"/>
      <c r="Z184" s="468"/>
    </row>
    <row r="185" spans="1:26" ht="18" customHeight="1" x14ac:dyDescent="0.35">
      <c r="A185" s="468"/>
      <c r="B185" s="468"/>
      <c r="C185" s="468"/>
      <c r="D185" s="468"/>
      <c r="E185" s="468"/>
      <c r="F185" s="468"/>
      <c r="G185" s="468"/>
      <c r="H185" s="468"/>
      <c r="I185" s="468"/>
      <c r="J185" s="468"/>
      <c r="K185" s="468"/>
      <c r="L185" s="468"/>
      <c r="M185" s="468"/>
      <c r="N185" s="468"/>
      <c r="O185" s="468"/>
      <c r="P185" s="468"/>
      <c r="Q185" s="468"/>
      <c r="R185" s="468"/>
      <c r="S185" s="468"/>
      <c r="T185" s="468"/>
      <c r="U185" s="468"/>
      <c r="V185" s="468"/>
      <c r="W185" s="468"/>
      <c r="X185" s="468"/>
      <c r="Y185" s="468"/>
      <c r="Z185" s="468"/>
    </row>
    <row r="186" spans="1:26" ht="18" customHeight="1" x14ac:dyDescent="0.35">
      <c r="A186" s="468"/>
      <c r="B186" s="468"/>
      <c r="C186" s="468"/>
      <c r="D186" s="468"/>
      <c r="E186" s="468"/>
      <c r="F186" s="468"/>
      <c r="G186" s="468"/>
      <c r="H186" s="468"/>
      <c r="I186" s="468"/>
      <c r="J186" s="468"/>
      <c r="K186" s="468"/>
      <c r="L186" s="468"/>
      <c r="M186" s="468"/>
      <c r="N186" s="468"/>
      <c r="O186" s="468"/>
      <c r="P186" s="468"/>
      <c r="Q186" s="468"/>
      <c r="R186" s="468"/>
      <c r="S186" s="468"/>
      <c r="T186" s="468"/>
      <c r="U186" s="468"/>
      <c r="V186" s="468"/>
      <c r="W186" s="468"/>
      <c r="X186" s="468"/>
      <c r="Y186" s="468"/>
      <c r="Z186" s="468"/>
    </row>
    <row r="187" spans="1:26" ht="18" customHeight="1" x14ac:dyDescent="0.35">
      <c r="A187" s="468"/>
      <c r="B187" s="468"/>
      <c r="C187" s="468"/>
      <c r="D187" s="468"/>
      <c r="E187" s="468"/>
      <c r="F187" s="468"/>
      <c r="G187" s="468"/>
      <c r="H187" s="468"/>
      <c r="I187" s="468"/>
      <c r="J187" s="468"/>
      <c r="K187" s="468"/>
      <c r="L187" s="468"/>
      <c r="M187" s="468"/>
      <c r="N187" s="468"/>
      <c r="O187" s="468"/>
      <c r="P187" s="468"/>
      <c r="Q187" s="468"/>
      <c r="R187" s="468"/>
      <c r="S187" s="468"/>
      <c r="T187" s="468"/>
      <c r="U187" s="468"/>
      <c r="V187" s="468"/>
      <c r="W187" s="468"/>
      <c r="X187" s="468"/>
      <c r="Y187" s="468"/>
      <c r="Z187" s="468"/>
    </row>
    <row r="188" spans="1:26" ht="18" customHeight="1" x14ac:dyDescent="0.35">
      <c r="A188" s="468"/>
      <c r="B188" s="468"/>
      <c r="C188" s="468"/>
      <c r="D188" s="468"/>
      <c r="E188" s="468"/>
      <c r="F188" s="468"/>
      <c r="G188" s="468"/>
      <c r="H188" s="468"/>
      <c r="I188" s="468"/>
      <c r="J188" s="468"/>
      <c r="K188" s="468"/>
      <c r="L188" s="468"/>
      <c r="M188" s="468"/>
      <c r="N188" s="468"/>
      <c r="O188" s="468"/>
      <c r="P188" s="468"/>
      <c r="Q188" s="468"/>
      <c r="R188" s="468"/>
      <c r="S188" s="468"/>
      <c r="T188" s="468"/>
      <c r="U188" s="468"/>
      <c r="V188" s="468"/>
      <c r="W188" s="468"/>
      <c r="X188" s="468"/>
      <c r="Y188" s="468"/>
      <c r="Z188" s="468"/>
    </row>
    <row r="189" spans="1:26" ht="18" customHeight="1" x14ac:dyDescent="0.35">
      <c r="A189" s="468"/>
      <c r="B189" s="468"/>
      <c r="C189" s="468"/>
      <c r="D189" s="468"/>
      <c r="E189" s="468"/>
      <c r="F189" s="468"/>
      <c r="G189" s="468"/>
      <c r="H189" s="468"/>
      <c r="I189" s="468"/>
      <c r="J189" s="468"/>
      <c r="K189" s="468"/>
      <c r="L189" s="468"/>
      <c r="M189" s="468"/>
      <c r="N189" s="468"/>
      <c r="O189" s="468"/>
      <c r="P189" s="468"/>
      <c r="Q189" s="468"/>
      <c r="R189" s="468"/>
      <c r="S189" s="468"/>
      <c r="T189" s="468"/>
      <c r="U189" s="468"/>
      <c r="V189" s="468"/>
      <c r="W189" s="468"/>
      <c r="X189" s="468"/>
      <c r="Y189" s="468"/>
      <c r="Z189" s="468"/>
    </row>
    <row r="190" spans="1:26" ht="18" customHeight="1" x14ac:dyDescent="0.35">
      <c r="A190" s="468"/>
      <c r="B190" s="468"/>
      <c r="C190" s="468"/>
      <c r="D190" s="468"/>
      <c r="E190" s="468"/>
      <c r="F190" s="468"/>
      <c r="G190" s="468"/>
      <c r="H190" s="468"/>
      <c r="I190" s="468"/>
      <c r="J190" s="468"/>
      <c r="K190" s="468"/>
      <c r="L190" s="468"/>
      <c r="M190" s="468"/>
      <c r="N190" s="468"/>
      <c r="O190" s="468"/>
      <c r="P190" s="468"/>
      <c r="Q190" s="468"/>
      <c r="R190" s="468"/>
      <c r="S190" s="468"/>
      <c r="T190" s="468"/>
      <c r="U190" s="468"/>
      <c r="V190" s="468"/>
      <c r="W190" s="468"/>
      <c r="X190" s="468"/>
      <c r="Y190" s="468"/>
      <c r="Z190" s="468"/>
    </row>
    <row r="191" spans="1:26" ht="18" customHeight="1" x14ac:dyDescent="0.35">
      <c r="A191" s="468"/>
      <c r="B191" s="468"/>
      <c r="C191" s="468"/>
      <c r="D191" s="468"/>
      <c r="E191" s="468"/>
      <c r="F191" s="468"/>
      <c r="G191" s="468"/>
      <c r="H191" s="468"/>
      <c r="I191" s="468"/>
      <c r="J191" s="468"/>
      <c r="K191" s="468"/>
      <c r="L191" s="468"/>
      <c r="M191" s="468"/>
      <c r="N191" s="468"/>
      <c r="O191" s="468"/>
      <c r="P191" s="468"/>
      <c r="Q191" s="468"/>
      <c r="R191" s="468"/>
      <c r="S191" s="468"/>
      <c r="T191" s="468"/>
      <c r="U191" s="468"/>
      <c r="V191" s="468"/>
      <c r="W191" s="468"/>
      <c r="X191" s="468"/>
      <c r="Y191" s="468"/>
      <c r="Z191" s="468"/>
    </row>
    <row r="192" spans="1:26" ht="18" customHeight="1" x14ac:dyDescent="0.35">
      <c r="A192" s="468"/>
      <c r="B192" s="468"/>
      <c r="C192" s="468"/>
      <c r="D192" s="468"/>
      <c r="E192" s="468"/>
      <c r="F192" s="468"/>
      <c r="G192" s="468"/>
      <c r="H192" s="468"/>
      <c r="I192" s="468"/>
      <c r="J192" s="468"/>
      <c r="K192" s="468"/>
      <c r="L192" s="468"/>
      <c r="M192" s="468"/>
      <c r="N192" s="468"/>
      <c r="O192" s="468"/>
      <c r="P192" s="468"/>
      <c r="Q192" s="468"/>
      <c r="R192" s="468"/>
      <c r="S192" s="468"/>
      <c r="T192" s="468"/>
      <c r="U192" s="468"/>
      <c r="V192" s="468"/>
      <c r="W192" s="468"/>
      <c r="X192" s="468"/>
      <c r="Y192" s="468"/>
      <c r="Z192" s="468"/>
    </row>
    <row r="193" spans="1:26" ht="18" customHeight="1" x14ac:dyDescent="0.35">
      <c r="A193" s="468"/>
      <c r="B193" s="468"/>
      <c r="C193" s="468"/>
      <c r="D193" s="468"/>
      <c r="E193" s="468"/>
      <c r="F193" s="468"/>
      <c r="G193" s="468"/>
      <c r="H193" s="468"/>
      <c r="I193" s="468"/>
      <c r="J193" s="468"/>
      <c r="K193" s="468"/>
      <c r="L193" s="468"/>
      <c r="M193" s="468"/>
      <c r="N193" s="468"/>
      <c r="O193" s="468"/>
      <c r="P193" s="468"/>
      <c r="Q193" s="468"/>
      <c r="R193" s="468"/>
      <c r="S193" s="468"/>
      <c r="T193" s="468"/>
      <c r="U193" s="468"/>
      <c r="V193" s="468"/>
      <c r="W193" s="468"/>
      <c r="X193" s="468"/>
      <c r="Y193" s="468"/>
      <c r="Z193" s="468"/>
    </row>
    <row r="194" spans="1:26" ht="18" customHeight="1" x14ac:dyDescent="0.35">
      <c r="A194" s="468"/>
      <c r="B194" s="468"/>
      <c r="C194" s="468"/>
      <c r="D194" s="468"/>
      <c r="E194" s="468"/>
      <c r="F194" s="468"/>
      <c r="G194" s="468"/>
      <c r="H194" s="468"/>
      <c r="I194" s="468"/>
      <c r="J194" s="468"/>
      <c r="K194" s="468"/>
      <c r="L194" s="468"/>
      <c r="M194" s="468"/>
      <c r="N194" s="468"/>
      <c r="O194" s="468"/>
      <c r="P194" s="468"/>
      <c r="Q194" s="468"/>
      <c r="R194" s="468"/>
      <c r="S194" s="468"/>
      <c r="T194" s="468"/>
      <c r="U194" s="468"/>
      <c r="V194" s="468"/>
      <c r="W194" s="468"/>
      <c r="X194" s="468"/>
      <c r="Y194" s="468"/>
      <c r="Z194" s="468"/>
    </row>
    <row r="195" spans="1:26" ht="18" customHeight="1" x14ac:dyDescent="0.35">
      <c r="A195" s="468"/>
      <c r="B195" s="468"/>
      <c r="C195" s="468"/>
      <c r="D195" s="468"/>
      <c r="E195" s="468"/>
      <c r="F195" s="468"/>
      <c r="G195" s="468"/>
      <c r="H195" s="468"/>
      <c r="I195" s="468"/>
      <c r="J195" s="468"/>
      <c r="K195" s="468"/>
      <c r="L195" s="468"/>
      <c r="M195" s="468"/>
      <c r="N195" s="468"/>
      <c r="O195" s="468"/>
      <c r="P195" s="468"/>
      <c r="Q195" s="468"/>
      <c r="R195" s="468"/>
      <c r="S195" s="468"/>
      <c r="T195" s="468"/>
      <c r="U195" s="468"/>
      <c r="V195" s="468"/>
      <c r="W195" s="468"/>
      <c r="X195" s="468"/>
      <c r="Y195" s="468"/>
      <c r="Z195" s="468"/>
    </row>
    <row r="196" spans="1:26" ht="18" customHeight="1" x14ac:dyDescent="0.35">
      <c r="A196" s="468"/>
      <c r="B196" s="468"/>
      <c r="C196" s="468"/>
      <c r="D196" s="468"/>
      <c r="E196" s="468"/>
      <c r="F196" s="468"/>
      <c r="G196" s="468"/>
      <c r="H196" s="468"/>
      <c r="I196" s="468"/>
      <c r="J196" s="468"/>
      <c r="K196" s="468"/>
      <c r="L196" s="468"/>
      <c r="M196" s="468"/>
      <c r="N196" s="468"/>
      <c r="O196" s="468"/>
      <c r="P196" s="468"/>
      <c r="Q196" s="468"/>
      <c r="R196" s="468"/>
      <c r="S196" s="468"/>
      <c r="T196" s="468"/>
      <c r="U196" s="468"/>
      <c r="V196" s="468"/>
      <c r="W196" s="468"/>
      <c r="X196" s="468"/>
      <c r="Y196" s="468"/>
      <c r="Z196" s="468"/>
    </row>
    <row r="197" spans="1:26" ht="18" customHeight="1" x14ac:dyDescent="0.35">
      <c r="A197" s="468"/>
      <c r="B197" s="468"/>
      <c r="C197" s="468"/>
      <c r="D197" s="468"/>
      <c r="E197" s="468"/>
      <c r="F197" s="468"/>
      <c r="G197" s="468"/>
      <c r="H197" s="468"/>
      <c r="I197" s="468"/>
      <c r="J197" s="468"/>
      <c r="K197" s="468"/>
      <c r="L197" s="468"/>
      <c r="M197" s="468"/>
      <c r="N197" s="468"/>
      <c r="O197" s="468"/>
      <c r="P197" s="468"/>
      <c r="Q197" s="468"/>
      <c r="R197" s="468"/>
      <c r="S197" s="468"/>
      <c r="T197" s="468"/>
      <c r="U197" s="468"/>
      <c r="V197" s="468"/>
      <c r="W197" s="468"/>
      <c r="X197" s="468"/>
      <c r="Y197" s="468"/>
      <c r="Z197" s="468"/>
    </row>
    <row r="198" spans="1:26" ht="18" customHeight="1" x14ac:dyDescent="0.35">
      <c r="A198" s="468"/>
      <c r="B198" s="468"/>
      <c r="C198" s="468"/>
      <c r="D198" s="468"/>
      <c r="E198" s="468"/>
      <c r="F198" s="468"/>
      <c r="G198" s="468"/>
      <c r="H198" s="468"/>
      <c r="I198" s="468"/>
      <c r="J198" s="468"/>
      <c r="K198" s="468"/>
      <c r="L198" s="468"/>
      <c r="M198" s="468"/>
      <c r="N198" s="468"/>
      <c r="O198" s="468"/>
      <c r="P198" s="468"/>
      <c r="Q198" s="468"/>
      <c r="R198" s="468"/>
      <c r="S198" s="468"/>
      <c r="T198" s="468"/>
      <c r="U198" s="468"/>
      <c r="V198" s="468"/>
      <c r="W198" s="468"/>
      <c r="X198" s="468"/>
      <c r="Y198" s="468"/>
      <c r="Z198" s="468"/>
    </row>
    <row r="199" spans="1:26" ht="18" customHeight="1" x14ac:dyDescent="0.35">
      <c r="A199" s="468"/>
      <c r="B199" s="468"/>
      <c r="C199" s="468"/>
      <c r="D199" s="468"/>
      <c r="E199" s="468"/>
      <c r="F199" s="468"/>
      <c r="G199" s="468"/>
      <c r="H199" s="468"/>
      <c r="I199" s="468"/>
      <c r="J199" s="468"/>
      <c r="K199" s="468"/>
      <c r="L199" s="468"/>
      <c r="M199" s="468"/>
      <c r="N199" s="468"/>
      <c r="O199" s="468"/>
      <c r="P199" s="468"/>
      <c r="Q199" s="468"/>
      <c r="R199" s="468"/>
      <c r="S199" s="468"/>
      <c r="T199" s="468"/>
      <c r="U199" s="468"/>
      <c r="V199" s="468"/>
      <c r="W199" s="468"/>
      <c r="X199" s="468"/>
      <c r="Y199" s="468"/>
      <c r="Z199" s="468"/>
    </row>
    <row r="200" spans="1:26" ht="18" customHeight="1" x14ac:dyDescent="0.35">
      <c r="A200" s="468"/>
      <c r="B200" s="468"/>
      <c r="C200" s="468"/>
      <c r="D200" s="468"/>
      <c r="E200" s="468"/>
      <c r="F200" s="468"/>
      <c r="G200" s="468"/>
      <c r="H200" s="468"/>
      <c r="I200" s="468"/>
      <c r="J200" s="468"/>
      <c r="K200" s="468"/>
      <c r="L200" s="468"/>
      <c r="M200" s="468"/>
      <c r="N200" s="468"/>
      <c r="O200" s="468"/>
      <c r="P200" s="468"/>
      <c r="Q200" s="468"/>
      <c r="R200" s="468"/>
      <c r="S200" s="468"/>
      <c r="T200" s="468"/>
      <c r="U200" s="468"/>
      <c r="V200" s="468"/>
      <c r="W200" s="468"/>
      <c r="X200" s="468"/>
      <c r="Y200" s="468"/>
      <c r="Z200" s="468"/>
    </row>
    <row r="201" spans="1:26" ht="18" customHeight="1" x14ac:dyDescent="0.35">
      <c r="A201" s="468"/>
      <c r="B201" s="468"/>
      <c r="C201" s="468"/>
      <c r="D201" s="468"/>
      <c r="E201" s="468"/>
      <c r="F201" s="468"/>
      <c r="G201" s="468"/>
      <c r="H201" s="468"/>
      <c r="I201" s="468"/>
      <c r="J201" s="468"/>
      <c r="K201" s="468"/>
      <c r="L201" s="468"/>
      <c r="M201" s="468"/>
      <c r="N201" s="468"/>
      <c r="O201" s="468"/>
      <c r="P201" s="468"/>
      <c r="Q201" s="468"/>
      <c r="R201" s="468"/>
      <c r="S201" s="468"/>
      <c r="T201" s="468"/>
      <c r="U201" s="468"/>
      <c r="V201" s="468"/>
      <c r="W201" s="468"/>
      <c r="X201" s="468"/>
      <c r="Y201" s="468"/>
      <c r="Z201" s="468"/>
    </row>
    <row r="202" spans="1:26" ht="18" customHeight="1" x14ac:dyDescent="0.35">
      <c r="A202" s="468"/>
      <c r="B202" s="468"/>
      <c r="C202" s="468"/>
      <c r="D202" s="468"/>
      <c r="E202" s="468"/>
      <c r="F202" s="468"/>
      <c r="G202" s="468"/>
      <c r="H202" s="468"/>
      <c r="I202" s="468"/>
      <c r="J202" s="468"/>
      <c r="K202" s="468"/>
      <c r="L202" s="468"/>
      <c r="M202" s="468"/>
      <c r="N202" s="468"/>
      <c r="O202" s="468"/>
      <c r="P202" s="468"/>
      <c r="Q202" s="468"/>
      <c r="R202" s="468"/>
      <c r="S202" s="468"/>
      <c r="T202" s="468"/>
      <c r="U202" s="468"/>
      <c r="V202" s="468"/>
      <c r="W202" s="468"/>
      <c r="X202" s="468"/>
      <c r="Y202" s="468"/>
      <c r="Z202" s="468"/>
    </row>
    <row r="203" spans="1:26" ht="18" customHeight="1" x14ac:dyDescent="0.35">
      <c r="A203" s="468"/>
      <c r="B203" s="468"/>
      <c r="C203" s="468"/>
      <c r="D203" s="468"/>
      <c r="E203" s="468"/>
      <c r="F203" s="468"/>
      <c r="G203" s="468"/>
      <c r="H203" s="468"/>
      <c r="I203" s="468"/>
      <c r="J203" s="468"/>
      <c r="K203" s="468"/>
      <c r="L203" s="468"/>
      <c r="M203" s="468"/>
      <c r="N203" s="468"/>
      <c r="O203" s="468"/>
      <c r="P203" s="468"/>
      <c r="Q203" s="468"/>
      <c r="R203" s="468"/>
      <c r="S203" s="468"/>
      <c r="T203" s="468"/>
      <c r="U203" s="468"/>
      <c r="V203" s="468"/>
      <c r="W203" s="468"/>
      <c r="X203" s="468"/>
      <c r="Y203" s="468"/>
      <c r="Z203" s="468"/>
    </row>
    <row r="204" spans="1:26" ht="18" customHeight="1" x14ac:dyDescent="0.35">
      <c r="A204" s="468"/>
      <c r="B204" s="468"/>
      <c r="C204" s="468"/>
      <c r="D204" s="468"/>
      <c r="E204" s="468"/>
      <c r="F204" s="468"/>
      <c r="G204" s="468"/>
      <c r="H204" s="468"/>
      <c r="I204" s="468"/>
      <c r="J204" s="468"/>
      <c r="K204" s="468"/>
      <c r="L204" s="468"/>
      <c r="M204" s="468"/>
      <c r="N204" s="468"/>
      <c r="O204" s="468"/>
      <c r="P204" s="468"/>
      <c r="Q204" s="468"/>
      <c r="R204" s="468"/>
      <c r="S204" s="468"/>
      <c r="T204" s="468"/>
      <c r="U204" s="468"/>
      <c r="V204" s="468"/>
      <c r="W204" s="468"/>
      <c r="X204" s="468"/>
      <c r="Y204" s="468"/>
      <c r="Z204" s="468"/>
    </row>
    <row r="205" spans="1:26" ht="18" customHeight="1" x14ac:dyDescent="0.35">
      <c r="A205" s="468"/>
      <c r="B205" s="468"/>
      <c r="C205" s="468"/>
      <c r="D205" s="468"/>
      <c r="E205" s="468"/>
      <c r="F205" s="468"/>
      <c r="G205" s="468"/>
      <c r="H205" s="468"/>
      <c r="I205" s="468"/>
      <c r="J205" s="468"/>
      <c r="K205" s="468"/>
      <c r="L205" s="468"/>
      <c r="M205" s="468"/>
      <c r="N205" s="468"/>
      <c r="O205" s="468"/>
      <c r="P205" s="468"/>
      <c r="Q205" s="468"/>
      <c r="R205" s="468"/>
      <c r="S205" s="468"/>
      <c r="T205" s="468"/>
      <c r="U205" s="468"/>
      <c r="V205" s="468"/>
      <c r="W205" s="468"/>
      <c r="X205" s="468"/>
      <c r="Y205" s="468"/>
      <c r="Z205" s="468"/>
    </row>
    <row r="206" spans="1:26" ht="18" customHeight="1" x14ac:dyDescent="0.35">
      <c r="A206" s="468"/>
      <c r="B206" s="468"/>
      <c r="C206" s="468"/>
      <c r="D206" s="468"/>
      <c r="E206" s="468"/>
      <c r="F206" s="468"/>
      <c r="G206" s="468"/>
      <c r="H206" s="468"/>
      <c r="I206" s="468"/>
      <c r="J206" s="468"/>
      <c r="K206" s="468"/>
      <c r="L206" s="468"/>
      <c r="M206" s="468"/>
      <c r="N206" s="468"/>
      <c r="O206" s="468"/>
      <c r="P206" s="468"/>
      <c r="Q206" s="468"/>
      <c r="R206" s="468"/>
      <c r="S206" s="468"/>
      <c r="T206" s="468"/>
      <c r="U206" s="468"/>
      <c r="V206" s="468"/>
      <c r="W206" s="468"/>
      <c r="X206" s="468"/>
      <c r="Y206" s="468"/>
      <c r="Z206" s="468"/>
    </row>
    <row r="207" spans="1:26" ht="18" customHeight="1" x14ac:dyDescent="0.35">
      <c r="A207" s="468"/>
      <c r="B207" s="468"/>
      <c r="C207" s="468"/>
      <c r="D207" s="468"/>
      <c r="E207" s="468"/>
      <c r="F207" s="468"/>
      <c r="G207" s="468"/>
      <c r="H207" s="468"/>
      <c r="I207" s="468"/>
      <c r="J207" s="468"/>
      <c r="K207" s="468"/>
      <c r="L207" s="468"/>
      <c r="M207" s="468"/>
      <c r="N207" s="468"/>
      <c r="O207" s="468"/>
      <c r="P207" s="468"/>
      <c r="Q207" s="468"/>
      <c r="R207" s="468"/>
      <c r="S207" s="468"/>
      <c r="T207" s="468"/>
      <c r="U207" s="468"/>
      <c r="V207" s="468"/>
      <c r="W207" s="468"/>
      <c r="X207" s="468"/>
      <c r="Y207" s="468"/>
      <c r="Z207" s="468"/>
    </row>
    <row r="208" spans="1:26" ht="18" customHeight="1" x14ac:dyDescent="0.35">
      <c r="A208" s="468"/>
      <c r="B208" s="468"/>
      <c r="C208" s="468"/>
      <c r="D208" s="468"/>
      <c r="E208" s="468"/>
      <c r="F208" s="468"/>
      <c r="G208" s="468"/>
      <c r="H208" s="468"/>
      <c r="I208" s="468"/>
      <c r="J208" s="468"/>
      <c r="K208" s="468"/>
      <c r="L208" s="468"/>
      <c r="M208" s="468"/>
      <c r="N208" s="468"/>
      <c r="O208" s="468"/>
      <c r="P208" s="468"/>
      <c r="Q208" s="468"/>
      <c r="R208" s="468"/>
      <c r="S208" s="468"/>
      <c r="T208" s="468"/>
      <c r="U208" s="468"/>
      <c r="V208" s="468"/>
      <c r="W208" s="468"/>
      <c r="X208" s="468"/>
      <c r="Y208" s="468"/>
      <c r="Z208" s="468"/>
    </row>
    <row r="209" spans="1:26" ht="18" customHeight="1" x14ac:dyDescent="0.35">
      <c r="A209" s="468"/>
      <c r="B209" s="468"/>
      <c r="C209" s="468"/>
      <c r="D209" s="468"/>
      <c r="E209" s="468"/>
      <c r="F209" s="468"/>
      <c r="G209" s="468"/>
      <c r="H209" s="468"/>
      <c r="I209" s="468"/>
      <c r="J209" s="468"/>
      <c r="K209" s="468"/>
      <c r="L209" s="468"/>
      <c r="M209" s="468"/>
      <c r="N209" s="468"/>
      <c r="O209" s="468"/>
      <c r="P209" s="468"/>
      <c r="Q209" s="468"/>
      <c r="R209" s="468"/>
      <c r="S209" s="468"/>
      <c r="T209" s="468"/>
      <c r="U209" s="468"/>
      <c r="V209" s="468"/>
      <c r="W209" s="468"/>
      <c r="X209" s="468"/>
      <c r="Y209" s="468"/>
      <c r="Z209" s="468"/>
    </row>
    <row r="210" spans="1:26" ht="18" customHeight="1" x14ac:dyDescent="0.35">
      <c r="A210" s="468"/>
      <c r="B210" s="468"/>
      <c r="C210" s="468"/>
      <c r="D210" s="468"/>
      <c r="E210" s="468"/>
      <c r="F210" s="468"/>
      <c r="G210" s="468"/>
      <c r="H210" s="468"/>
      <c r="I210" s="468"/>
      <c r="J210" s="468"/>
      <c r="K210" s="468"/>
      <c r="L210" s="468"/>
      <c r="M210" s="468"/>
      <c r="N210" s="468"/>
      <c r="O210" s="468"/>
      <c r="P210" s="468"/>
      <c r="Q210" s="468"/>
      <c r="R210" s="468"/>
      <c r="S210" s="468"/>
      <c r="T210" s="468"/>
      <c r="U210" s="468"/>
      <c r="V210" s="468"/>
      <c r="W210" s="468"/>
      <c r="X210" s="468"/>
      <c r="Y210" s="468"/>
      <c r="Z210" s="468"/>
    </row>
    <row r="211" spans="1:26" ht="18" customHeight="1" x14ac:dyDescent="0.35">
      <c r="A211" s="468"/>
      <c r="B211" s="468"/>
      <c r="C211" s="468"/>
      <c r="D211" s="468"/>
      <c r="E211" s="468"/>
      <c r="F211" s="468"/>
      <c r="G211" s="468"/>
      <c r="H211" s="468"/>
      <c r="I211" s="468"/>
      <c r="J211" s="468"/>
      <c r="K211" s="468"/>
      <c r="L211" s="468"/>
      <c r="M211" s="468"/>
      <c r="N211" s="468"/>
      <c r="O211" s="468"/>
      <c r="P211" s="468"/>
      <c r="Q211" s="468"/>
      <c r="R211" s="468"/>
      <c r="S211" s="468"/>
      <c r="T211" s="468"/>
      <c r="U211" s="468"/>
      <c r="V211" s="468"/>
      <c r="W211" s="468"/>
      <c r="X211" s="468"/>
      <c r="Y211" s="468"/>
      <c r="Z211" s="468"/>
    </row>
    <row r="212" spans="1:26" ht="18" customHeight="1" x14ac:dyDescent="0.35">
      <c r="A212" s="468"/>
      <c r="B212" s="468"/>
      <c r="C212" s="468"/>
      <c r="D212" s="468"/>
      <c r="E212" s="468"/>
      <c r="F212" s="468"/>
      <c r="G212" s="468"/>
      <c r="H212" s="468"/>
      <c r="I212" s="468"/>
      <c r="J212" s="468"/>
      <c r="K212" s="468"/>
      <c r="L212" s="468"/>
      <c r="M212" s="468"/>
      <c r="N212" s="468"/>
      <c r="O212" s="468"/>
      <c r="P212" s="468"/>
      <c r="Q212" s="468"/>
      <c r="R212" s="468"/>
      <c r="S212" s="468"/>
      <c r="T212" s="468"/>
      <c r="U212" s="468"/>
      <c r="V212" s="468"/>
      <c r="W212" s="468"/>
      <c r="X212" s="468"/>
      <c r="Y212" s="468"/>
      <c r="Z212" s="468"/>
    </row>
    <row r="213" spans="1:26" ht="18" customHeight="1" x14ac:dyDescent="0.35">
      <c r="A213" s="468"/>
      <c r="B213" s="468"/>
      <c r="C213" s="468"/>
      <c r="D213" s="468"/>
      <c r="E213" s="468"/>
      <c r="F213" s="468"/>
      <c r="G213" s="468"/>
      <c r="H213" s="468"/>
      <c r="I213" s="468"/>
      <c r="J213" s="468"/>
      <c r="K213" s="468"/>
      <c r="L213" s="468"/>
      <c r="M213" s="468"/>
      <c r="N213" s="468"/>
      <c r="O213" s="468"/>
      <c r="P213" s="468"/>
      <c r="Q213" s="468"/>
      <c r="R213" s="468"/>
      <c r="S213" s="468"/>
      <c r="T213" s="468"/>
      <c r="U213" s="468"/>
      <c r="V213" s="468"/>
      <c r="W213" s="468"/>
      <c r="X213" s="468"/>
      <c r="Y213" s="468"/>
      <c r="Z213" s="468"/>
    </row>
    <row r="214" spans="1:26" ht="18" customHeight="1" x14ac:dyDescent="0.35">
      <c r="A214" s="468"/>
      <c r="B214" s="468"/>
      <c r="C214" s="468"/>
      <c r="D214" s="468"/>
      <c r="E214" s="468"/>
      <c r="F214" s="468"/>
      <c r="G214" s="468"/>
      <c r="H214" s="468"/>
      <c r="I214" s="468"/>
      <c r="J214" s="468"/>
      <c r="K214" s="468"/>
      <c r="L214" s="468"/>
      <c r="M214" s="468"/>
      <c r="N214" s="468"/>
      <c r="O214" s="468"/>
      <c r="P214" s="468"/>
      <c r="Q214" s="468"/>
      <c r="R214" s="468"/>
      <c r="S214" s="468"/>
      <c r="T214" s="468"/>
      <c r="U214" s="468"/>
      <c r="V214" s="468"/>
      <c r="W214" s="468"/>
      <c r="X214" s="468"/>
      <c r="Y214" s="468"/>
      <c r="Z214" s="468"/>
    </row>
    <row r="215" spans="1:26" ht="18" customHeight="1" x14ac:dyDescent="0.35">
      <c r="A215" s="468"/>
      <c r="B215" s="468"/>
      <c r="C215" s="468"/>
      <c r="D215" s="468"/>
      <c r="E215" s="468"/>
      <c r="F215" s="468"/>
      <c r="G215" s="468"/>
      <c r="H215" s="468"/>
      <c r="I215" s="468"/>
      <c r="J215" s="468"/>
      <c r="K215" s="468"/>
      <c r="L215" s="468"/>
      <c r="M215" s="468"/>
      <c r="N215" s="468"/>
      <c r="O215" s="468"/>
      <c r="P215" s="468"/>
      <c r="Q215" s="468"/>
      <c r="R215" s="468"/>
      <c r="S215" s="468"/>
      <c r="T215" s="468"/>
      <c r="U215" s="468"/>
      <c r="V215" s="468"/>
      <c r="W215" s="468"/>
      <c r="X215" s="468"/>
      <c r="Y215" s="468"/>
      <c r="Z215" s="468"/>
    </row>
    <row r="216" spans="1:26" ht="18" customHeight="1" x14ac:dyDescent="0.35">
      <c r="A216" s="468"/>
      <c r="B216" s="468"/>
      <c r="C216" s="468"/>
      <c r="D216" s="468"/>
      <c r="E216" s="468"/>
      <c r="F216" s="468"/>
      <c r="G216" s="468"/>
      <c r="H216" s="468"/>
      <c r="I216" s="468"/>
      <c r="J216" s="468"/>
      <c r="K216" s="468"/>
      <c r="L216" s="468"/>
      <c r="M216" s="468"/>
      <c r="N216" s="468"/>
      <c r="O216" s="468"/>
      <c r="P216" s="468"/>
      <c r="Q216" s="468"/>
      <c r="R216" s="468"/>
      <c r="S216" s="468"/>
      <c r="T216" s="468"/>
      <c r="U216" s="468"/>
      <c r="V216" s="468"/>
      <c r="W216" s="468"/>
      <c r="X216" s="468"/>
      <c r="Y216" s="468"/>
      <c r="Z216" s="468"/>
    </row>
    <row r="217" spans="1:26" ht="18" customHeight="1" x14ac:dyDescent="0.35">
      <c r="A217" s="468"/>
      <c r="B217" s="468"/>
      <c r="C217" s="468"/>
      <c r="D217" s="468"/>
      <c r="E217" s="468"/>
      <c r="F217" s="468"/>
      <c r="G217" s="468"/>
      <c r="H217" s="468"/>
      <c r="I217" s="468"/>
      <c r="J217" s="468"/>
      <c r="K217" s="468"/>
      <c r="L217" s="468"/>
      <c r="M217" s="468"/>
      <c r="N217" s="468"/>
      <c r="O217" s="468"/>
      <c r="P217" s="468"/>
      <c r="Q217" s="468"/>
      <c r="R217" s="468"/>
      <c r="S217" s="468"/>
      <c r="T217" s="468"/>
      <c r="U217" s="468"/>
      <c r="V217" s="468"/>
      <c r="W217" s="468"/>
      <c r="X217" s="468"/>
      <c r="Y217" s="468"/>
      <c r="Z217" s="468"/>
    </row>
    <row r="218" spans="1:26" ht="18" customHeight="1" x14ac:dyDescent="0.35">
      <c r="A218" s="468"/>
      <c r="B218" s="468"/>
      <c r="C218" s="468"/>
      <c r="D218" s="468"/>
      <c r="E218" s="468"/>
      <c r="F218" s="468"/>
      <c r="G218" s="468"/>
      <c r="H218" s="468"/>
      <c r="I218" s="468"/>
      <c r="J218" s="468"/>
      <c r="K218" s="468"/>
      <c r="L218" s="468"/>
      <c r="M218" s="468"/>
      <c r="N218" s="468"/>
      <c r="O218" s="468"/>
      <c r="P218" s="468"/>
      <c r="Q218" s="468"/>
      <c r="R218" s="468"/>
      <c r="S218" s="468"/>
      <c r="T218" s="468"/>
      <c r="U218" s="468"/>
      <c r="V218" s="468"/>
      <c r="W218" s="468"/>
      <c r="X218" s="468"/>
      <c r="Y218" s="468"/>
      <c r="Z218" s="468"/>
    </row>
    <row r="219" spans="1:26" ht="18" customHeight="1" x14ac:dyDescent="0.35">
      <c r="A219" s="468"/>
      <c r="B219" s="468"/>
      <c r="C219" s="468"/>
      <c r="D219" s="468"/>
      <c r="E219" s="468"/>
      <c r="F219" s="468"/>
      <c r="G219" s="468"/>
      <c r="H219" s="468"/>
      <c r="I219" s="468"/>
      <c r="J219" s="468"/>
      <c r="K219" s="468"/>
      <c r="L219" s="468"/>
      <c r="M219" s="468"/>
      <c r="N219" s="468"/>
      <c r="O219" s="468"/>
      <c r="P219" s="468"/>
      <c r="Q219" s="468"/>
      <c r="R219" s="468"/>
      <c r="S219" s="468"/>
      <c r="T219" s="468"/>
      <c r="U219" s="468"/>
      <c r="V219" s="468"/>
      <c r="W219" s="468"/>
      <c r="X219" s="468"/>
      <c r="Y219" s="468"/>
      <c r="Z219" s="468"/>
    </row>
    <row r="220" spans="1:26" ht="18" customHeight="1" x14ac:dyDescent="0.35">
      <c r="A220" s="468"/>
      <c r="B220" s="468"/>
      <c r="C220" s="468"/>
      <c r="D220" s="468"/>
      <c r="E220" s="468"/>
      <c r="F220" s="468"/>
      <c r="G220" s="468"/>
      <c r="H220" s="468"/>
      <c r="I220" s="468"/>
      <c r="J220" s="468"/>
      <c r="K220" s="468"/>
      <c r="L220" s="468"/>
      <c r="M220" s="468"/>
      <c r="N220" s="468"/>
      <c r="O220" s="468"/>
      <c r="P220" s="468"/>
      <c r="Q220" s="468"/>
      <c r="R220" s="468"/>
      <c r="S220" s="468"/>
      <c r="T220" s="468"/>
      <c r="U220" s="468"/>
      <c r="V220" s="468"/>
      <c r="W220" s="468"/>
      <c r="X220" s="468"/>
      <c r="Y220" s="468"/>
      <c r="Z220" s="468"/>
    </row>
    <row r="221" spans="1:26" ht="18" customHeight="1" x14ac:dyDescent="0.35">
      <c r="A221" s="468"/>
      <c r="B221" s="468"/>
      <c r="C221" s="468"/>
      <c r="D221" s="468"/>
      <c r="E221" s="468"/>
      <c r="F221" s="468"/>
      <c r="G221" s="468"/>
      <c r="H221" s="468"/>
      <c r="I221" s="468"/>
      <c r="J221" s="468"/>
      <c r="K221" s="468"/>
      <c r="L221" s="468"/>
      <c r="M221" s="468"/>
      <c r="N221" s="468"/>
      <c r="O221" s="468"/>
      <c r="P221" s="468"/>
      <c r="Q221" s="468"/>
      <c r="R221" s="468"/>
      <c r="S221" s="468"/>
      <c r="T221" s="468"/>
      <c r="U221" s="468"/>
      <c r="V221" s="468"/>
      <c r="W221" s="468"/>
      <c r="X221" s="468"/>
      <c r="Y221" s="468"/>
      <c r="Z221" s="468"/>
    </row>
    <row r="222" spans="1:26" ht="18" customHeight="1" x14ac:dyDescent="0.35">
      <c r="A222" s="468"/>
      <c r="B222" s="468"/>
      <c r="C222" s="468"/>
      <c r="D222" s="468"/>
      <c r="E222" s="468"/>
      <c r="F222" s="468"/>
      <c r="G222" s="468"/>
      <c r="H222" s="468"/>
      <c r="I222" s="468"/>
      <c r="J222" s="468"/>
      <c r="K222" s="468"/>
      <c r="L222" s="468"/>
      <c r="M222" s="468"/>
      <c r="N222" s="468"/>
      <c r="O222" s="468"/>
      <c r="P222" s="468"/>
      <c r="Q222" s="468"/>
      <c r="R222" s="468"/>
      <c r="S222" s="468"/>
      <c r="T222" s="468"/>
      <c r="U222" s="468"/>
      <c r="V222" s="468"/>
      <c r="W222" s="468"/>
      <c r="X222" s="468"/>
      <c r="Y222" s="468"/>
      <c r="Z222" s="468"/>
    </row>
    <row r="223" spans="1:26" ht="18" customHeight="1" x14ac:dyDescent="0.35">
      <c r="A223" s="468"/>
      <c r="B223" s="468"/>
      <c r="C223" s="468"/>
      <c r="D223" s="468"/>
      <c r="E223" s="468"/>
      <c r="F223" s="468"/>
      <c r="G223" s="468"/>
      <c r="H223" s="468"/>
      <c r="I223" s="468"/>
      <c r="J223" s="468"/>
      <c r="K223" s="468"/>
      <c r="L223" s="468"/>
      <c r="M223" s="468"/>
      <c r="N223" s="468"/>
      <c r="O223" s="468"/>
      <c r="P223" s="468"/>
      <c r="Q223" s="468"/>
      <c r="R223" s="468"/>
      <c r="S223" s="468"/>
      <c r="T223" s="468"/>
      <c r="U223" s="468"/>
      <c r="V223" s="468"/>
      <c r="W223" s="468"/>
      <c r="X223" s="468"/>
      <c r="Y223" s="468"/>
      <c r="Z223" s="468"/>
    </row>
    <row r="224" spans="1:26" ht="18" customHeight="1" x14ac:dyDescent="0.35">
      <c r="A224" s="468"/>
      <c r="B224" s="468"/>
      <c r="C224" s="468"/>
      <c r="D224" s="468"/>
      <c r="E224" s="468"/>
      <c r="F224" s="468"/>
      <c r="G224" s="468"/>
      <c r="H224" s="468"/>
      <c r="I224" s="468"/>
      <c r="J224" s="468"/>
      <c r="K224" s="468"/>
      <c r="L224" s="468"/>
      <c r="M224" s="468"/>
      <c r="N224" s="468"/>
      <c r="O224" s="468"/>
      <c r="P224" s="468"/>
      <c r="Q224" s="468"/>
      <c r="R224" s="468"/>
      <c r="S224" s="468"/>
      <c r="T224" s="468"/>
      <c r="U224" s="468"/>
      <c r="V224" s="468"/>
      <c r="W224" s="468"/>
      <c r="X224" s="468"/>
      <c r="Y224" s="468"/>
      <c r="Z224" s="468"/>
    </row>
    <row r="225" spans="1:26" ht="18" customHeight="1" x14ac:dyDescent="0.35">
      <c r="A225" s="468"/>
      <c r="B225" s="468"/>
      <c r="C225" s="468"/>
      <c r="D225" s="468"/>
      <c r="E225" s="468"/>
      <c r="F225" s="468"/>
      <c r="G225" s="468"/>
      <c r="H225" s="468"/>
      <c r="I225" s="468"/>
      <c r="J225" s="468"/>
      <c r="K225" s="468"/>
      <c r="L225" s="468"/>
      <c r="M225" s="468"/>
      <c r="N225" s="468"/>
      <c r="O225" s="468"/>
      <c r="P225" s="468"/>
      <c r="Q225" s="468"/>
      <c r="R225" s="468"/>
      <c r="S225" s="468"/>
      <c r="T225" s="468"/>
      <c r="U225" s="468"/>
      <c r="V225" s="468"/>
      <c r="W225" s="468"/>
      <c r="X225" s="468"/>
      <c r="Y225" s="468"/>
      <c r="Z225" s="468"/>
    </row>
    <row r="226" spans="1:26" ht="18" customHeight="1" x14ac:dyDescent="0.35">
      <c r="A226" s="468"/>
      <c r="B226" s="468"/>
      <c r="C226" s="468"/>
      <c r="D226" s="468"/>
      <c r="E226" s="468"/>
      <c r="F226" s="468"/>
      <c r="G226" s="468"/>
      <c r="H226" s="468"/>
      <c r="I226" s="468"/>
      <c r="J226" s="468"/>
      <c r="K226" s="468"/>
      <c r="L226" s="468"/>
      <c r="M226" s="468"/>
      <c r="N226" s="468"/>
      <c r="O226" s="468"/>
      <c r="P226" s="468"/>
      <c r="Q226" s="468"/>
      <c r="R226" s="468"/>
      <c r="S226" s="468"/>
      <c r="T226" s="468"/>
      <c r="U226" s="468"/>
      <c r="V226" s="468"/>
      <c r="W226" s="468"/>
      <c r="X226" s="468"/>
      <c r="Y226" s="468"/>
      <c r="Z226" s="468"/>
    </row>
    <row r="227" spans="1:26" ht="18" customHeight="1" x14ac:dyDescent="0.35">
      <c r="A227" s="468"/>
      <c r="B227" s="468"/>
      <c r="C227" s="468"/>
      <c r="D227" s="468"/>
      <c r="E227" s="468"/>
      <c r="F227" s="468"/>
      <c r="G227" s="468"/>
      <c r="H227" s="468"/>
      <c r="I227" s="468"/>
      <c r="J227" s="468"/>
      <c r="K227" s="468"/>
      <c r="L227" s="468"/>
      <c r="M227" s="468"/>
      <c r="N227" s="468"/>
      <c r="O227" s="468"/>
      <c r="P227" s="468"/>
      <c r="Q227" s="468"/>
      <c r="R227" s="468"/>
      <c r="S227" s="468"/>
      <c r="T227" s="468"/>
      <c r="U227" s="468"/>
      <c r="V227" s="468"/>
      <c r="W227" s="468"/>
      <c r="X227" s="468"/>
      <c r="Y227" s="468"/>
      <c r="Z227" s="468"/>
    </row>
    <row r="228" spans="1:26" ht="18" customHeight="1" x14ac:dyDescent="0.35">
      <c r="A228" s="468"/>
      <c r="B228" s="468"/>
      <c r="C228" s="468"/>
      <c r="D228" s="468"/>
      <c r="E228" s="468"/>
      <c r="F228" s="468"/>
      <c r="G228" s="468"/>
      <c r="H228" s="468"/>
      <c r="I228" s="468"/>
      <c r="J228" s="468"/>
      <c r="K228" s="468"/>
      <c r="L228" s="468"/>
      <c r="M228" s="468"/>
      <c r="N228" s="468"/>
      <c r="O228" s="468"/>
      <c r="P228" s="468"/>
      <c r="Q228" s="468"/>
      <c r="R228" s="468"/>
      <c r="S228" s="468"/>
      <c r="T228" s="468"/>
      <c r="U228" s="468"/>
      <c r="V228" s="468"/>
      <c r="W228" s="468"/>
      <c r="X228" s="468"/>
      <c r="Y228" s="468"/>
      <c r="Z228" s="468"/>
    </row>
    <row r="229" spans="1:26" ht="18" customHeight="1" x14ac:dyDescent="0.35">
      <c r="A229" s="468"/>
      <c r="B229" s="468"/>
      <c r="C229" s="468"/>
      <c r="D229" s="468"/>
      <c r="E229" s="468"/>
      <c r="F229" s="468"/>
      <c r="G229" s="468"/>
      <c r="H229" s="468"/>
      <c r="I229" s="468"/>
      <c r="J229" s="468"/>
      <c r="K229" s="468"/>
      <c r="L229" s="468"/>
      <c r="M229" s="468"/>
      <c r="N229" s="468"/>
      <c r="O229" s="468"/>
      <c r="P229" s="468"/>
      <c r="Q229" s="468"/>
      <c r="R229" s="468"/>
      <c r="S229" s="468"/>
      <c r="T229" s="468"/>
      <c r="U229" s="468"/>
      <c r="V229" s="468"/>
      <c r="W229" s="468"/>
      <c r="X229" s="468"/>
      <c r="Y229" s="468"/>
      <c r="Z229" s="468"/>
    </row>
    <row r="230" spans="1:26" ht="18" customHeight="1" x14ac:dyDescent="0.35">
      <c r="A230" s="468"/>
      <c r="B230" s="468"/>
      <c r="C230" s="468"/>
      <c r="D230" s="468"/>
      <c r="E230" s="468"/>
      <c r="F230" s="468"/>
      <c r="G230" s="468"/>
      <c r="H230" s="468"/>
      <c r="I230" s="468"/>
      <c r="J230" s="468"/>
      <c r="K230" s="468"/>
      <c r="L230" s="468"/>
      <c r="M230" s="468"/>
      <c r="N230" s="468"/>
      <c r="O230" s="468"/>
      <c r="P230" s="468"/>
      <c r="Q230" s="468"/>
      <c r="R230" s="468"/>
      <c r="S230" s="468"/>
      <c r="T230" s="468"/>
      <c r="U230" s="468"/>
      <c r="V230" s="468"/>
      <c r="W230" s="468"/>
      <c r="X230" s="468"/>
      <c r="Y230" s="468"/>
      <c r="Z230" s="468"/>
    </row>
    <row r="231" spans="1:26" ht="18" customHeight="1" x14ac:dyDescent="0.35">
      <c r="A231" s="468"/>
      <c r="B231" s="468"/>
      <c r="C231" s="468"/>
      <c r="D231" s="468"/>
      <c r="E231" s="468"/>
      <c r="F231" s="468"/>
      <c r="G231" s="468"/>
      <c r="H231" s="468"/>
      <c r="I231" s="468"/>
      <c r="J231" s="468"/>
      <c r="K231" s="468"/>
      <c r="L231" s="468"/>
      <c r="M231" s="468"/>
      <c r="N231" s="468"/>
      <c r="O231" s="468"/>
      <c r="P231" s="468"/>
      <c r="Q231" s="468"/>
      <c r="R231" s="468"/>
      <c r="S231" s="468"/>
      <c r="T231" s="468"/>
      <c r="U231" s="468"/>
      <c r="V231" s="468"/>
      <c r="W231" s="468"/>
      <c r="X231" s="468"/>
      <c r="Y231" s="468"/>
      <c r="Z231" s="468"/>
    </row>
    <row r="232" spans="1:26" ht="18" customHeight="1" x14ac:dyDescent="0.35">
      <c r="A232" s="468"/>
      <c r="B232" s="468"/>
      <c r="C232" s="468"/>
      <c r="D232" s="468"/>
      <c r="E232" s="468"/>
      <c r="F232" s="468"/>
      <c r="G232" s="468"/>
      <c r="H232" s="468"/>
      <c r="I232" s="468"/>
      <c r="J232" s="468"/>
      <c r="K232" s="468"/>
      <c r="L232" s="468"/>
      <c r="M232" s="468"/>
      <c r="N232" s="468"/>
      <c r="O232" s="468"/>
      <c r="P232" s="468"/>
      <c r="Q232" s="468"/>
      <c r="R232" s="468"/>
      <c r="S232" s="468"/>
      <c r="T232" s="468"/>
      <c r="U232" s="468"/>
      <c r="V232" s="468"/>
      <c r="W232" s="468"/>
      <c r="X232" s="468"/>
      <c r="Y232" s="468"/>
      <c r="Z232" s="468"/>
    </row>
    <row r="233" spans="1:26" ht="18" customHeight="1" x14ac:dyDescent="0.35">
      <c r="A233" s="468"/>
      <c r="B233" s="468"/>
      <c r="C233" s="468"/>
      <c r="D233" s="468"/>
      <c r="E233" s="468"/>
      <c r="F233" s="468"/>
      <c r="G233" s="468"/>
      <c r="H233" s="468"/>
      <c r="I233" s="468"/>
      <c r="J233" s="468"/>
      <c r="K233" s="468"/>
      <c r="L233" s="468"/>
      <c r="M233" s="468"/>
      <c r="N233" s="468"/>
      <c r="O233" s="468"/>
      <c r="P233" s="468"/>
      <c r="Q233" s="468"/>
      <c r="R233" s="468"/>
      <c r="S233" s="468"/>
      <c r="T233" s="468"/>
      <c r="U233" s="468"/>
      <c r="V233" s="468"/>
      <c r="W233" s="468"/>
      <c r="X233" s="468"/>
      <c r="Y233" s="468"/>
      <c r="Z233" s="468"/>
    </row>
    <row r="234" spans="1:26" ht="18" customHeight="1" x14ac:dyDescent="0.35">
      <c r="A234" s="468"/>
      <c r="B234" s="468"/>
      <c r="C234" s="468"/>
      <c r="D234" s="468"/>
      <c r="E234" s="468"/>
      <c r="F234" s="468"/>
      <c r="G234" s="468"/>
      <c r="H234" s="468"/>
      <c r="I234" s="468"/>
      <c r="J234" s="468"/>
      <c r="K234" s="468"/>
      <c r="L234" s="468"/>
      <c r="M234" s="468"/>
      <c r="N234" s="468"/>
      <c r="O234" s="468"/>
      <c r="P234" s="468"/>
      <c r="Q234" s="468"/>
      <c r="R234" s="468"/>
      <c r="S234" s="468"/>
      <c r="T234" s="468"/>
      <c r="U234" s="468"/>
      <c r="V234" s="468"/>
      <c r="W234" s="468"/>
      <c r="X234" s="468"/>
      <c r="Y234" s="468"/>
      <c r="Z234" s="468"/>
    </row>
    <row r="235" spans="1:26" ht="18" customHeight="1" x14ac:dyDescent="0.35">
      <c r="A235" s="468"/>
      <c r="B235" s="468"/>
      <c r="C235" s="468"/>
      <c r="D235" s="468"/>
      <c r="E235" s="468"/>
      <c r="F235" s="468"/>
      <c r="G235" s="468"/>
      <c r="H235" s="468"/>
      <c r="I235" s="468"/>
      <c r="J235" s="468"/>
      <c r="K235" s="468"/>
      <c r="L235" s="468"/>
      <c r="M235" s="468"/>
      <c r="N235" s="468"/>
      <c r="O235" s="468"/>
      <c r="P235" s="468"/>
      <c r="Q235" s="468"/>
      <c r="R235" s="468"/>
      <c r="S235" s="468"/>
      <c r="T235" s="468"/>
      <c r="U235" s="468"/>
      <c r="V235" s="468"/>
      <c r="W235" s="468"/>
      <c r="X235" s="468"/>
      <c r="Y235" s="468"/>
      <c r="Z235" s="468"/>
    </row>
    <row r="236" spans="1:26" ht="18" customHeight="1" x14ac:dyDescent="0.35">
      <c r="A236" s="468"/>
      <c r="B236" s="468"/>
      <c r="C236" s="468"/>
      <c r="D236" s="468"/>
      <c r="E236" s="468"/>
      <c r="F236" s="468"/>
      <c r="G236" s="468"/>
      <c r="H236" s="468"/>
      <c r="I236" s="468"/>
      <c r="J236" s="468"/>
      <c r="K236" s="468"/>
      <c r="L236" s="468"/>
      <c r="M236" s="468"/>
      <c r="N236" s="468"/>
      <c r="O236" s="468"/>
      <c r="P236" s="468"/>
      <c r="Q236" s="468"/>
      <c r="R236" s="468"/>
      <c r="S236" s="468"/>
      <c r="T236" s="468"/>
      <c r="U236" s="468"/>
      <c r="V236" s="468"/>
      <c r="W236" s="468"/>
      <c r="X236" s="468"/>
      <c r="Y236" s="468"/>
      <c r="Z236" s="468"/>
    </row>
    <row r="237" spans="1:26" ht="18" customHeight="1" x14ac:dyDescent="0.35">
      <c r="A237" s="468"/>
      <c r="B237" s="468"/>
      <c r="C237" s="468"/>
      <c r="D237" s="468"/>
      <c r="E237" s="468"/>
      <c r="F237" s="468"/>
      <c r="G237" s="468"/>
      <c r="H237" s="468"/>
      <c r="I237" s="468"/>
      <c r="J237" s="468"/>
      <c r="K237" s="468"/>
      <c r="L237" s="468"/>
      <c r="M237" s="468"/>
      <c r="N237" s="468"/>
      <c r="O237" s="468"/>
      <c r="P237" s="468"/>
      <c r="Q237" s="468"/>
      <c r="R237" s="468"/>
      <c r="S237" s="468"/>
      <c r="T237" s="468"/>
      <c r="U237" s="468"/>
      <c r="V237" s="468"/>
      <c r="W237" s="468"/>
      <c r="X237" s="468"/>
      <c r="Y237" s="468"/>
      <c r="Z237" s="468"/>
    </row>
    <row r="238" spans="1:26" ht="18" customHeight="1" x14ac:dyDescent="0.35">
      <c r="A238" s="468"/>
      <c r="B238" s="468"/>
      <c r="C238" s="468"/>
      <c r="D238" s="468"/>
      <c r="E238" s="468"/>
      <c r="F238" s="468"/>
      <c r="G238" s="468"/>
      <c r="H238" s="468"/>
      <c r="I238" s="468"/>
      <c r="J238" s="468"/>
      <c r="K238" s="468"/>
      <c r="L238" s="468"/>
      <c r="M238" s="468"/>
      <c r="N238" s="468"/>
      <c r="O238" s="468"/>
      <c r="P238" s="468"/>
      <c r="Q238" s="468"/>
      <c r="R238" s="468"/>
      <c r="S238" s="468"/>
      <c r="T238" s="468"/>
      <c r="U238" s="468"/>
      <c r="V238" s="468"/>
      <c r="W238" s="468"/>
      <c r="X238" s="468"/>
      <c r="Y238" s="468"/>
      <c r="Z238" s="468"/>
    </row>
    <row r="239" spans="1:26" ht="18" customHeight="1" x14ac:dyDescent="0.35">
      <c r="A239" s="468"/>
      <c r="B239" s="468"/>
      <c r="C239" s="468"/>
      <c r="D239" s="468"/>
      <c r="E239" s="468"/>
      <c r="F239" s="468"/>
      <c r="G239" s="468"/>
      <c r="H239" s="468"/>
      <c r="I239" s="468"/>
      <c r="J239" s="468"/>
      <c r="K239" s="468"/>
      <c r="L239" s="468"/>
      <c r="M239" s="468"/>
      <c r="N239" s="468"/>
      <c r="O239" s="468"/>
      <c r="P239" s="468"/>
      <c r="Q239" s="468"/>
      <c r="R239" s="468"/>
      <c r="S239" s="468"/>
      <c r="T239" s="468"/>
      <c r="U239" s="468"/>
      <c r="V239" s="468"/>
      <c r="W239" s="468"/>
      <c r="X239" s="468"/>
      <c r="Y239" s="468"/>
      <c r="Z239" s="468"/>
    </row>
    <row r="240" spans="1:26" ht="18" customHeight="1" x14ac:dyDescent="0.35">
      <c r="A240" s="468"/>
      <c r="B240" s="468"/>
      <c r="C240" s="468"/>
      <c r="D240" s="468"/>
      <c r="E240" s="468"/>
      <c r="F240" s="468"/>
      <c r="G240" s="468"/>
      <c r="H240" s="468"/>
      <c r="I240" s="468"/>
      <c r="J240" s="468"/>
      <c r="K240" s="468"/>
      <c r="L240" s="468"/>
      <c r="M240" s="468"/>
      <c r="N240" s="468"/>
      <c r="O240" s="468"/>
      <c r="P240" s="468"/>
      <c r="Q240" s="468"/>
      <c r="R240" s="468"/>
      <c r="S240" s="468"/>
      <c r="T240" s="468"/>
      <c r="U240" s="468"/>
      <c r="V240" s="468"/>
      <c r="W240" s="468"/>
      <c r="X240" s="468"/>
      <c r="Y240" s="468"/>
      <c r="Z240" s="468"/>
    </row>
    <row r="241" spans="1:26" ht="18" customHeight="1" x14ac:dyDescent="0.35">
      <c r="A241" s="468"/>
      <c r="B241" s="468"/>
      <c r="C241" s="468"/>
      <c r="D241" s="468"/>
      <c r="E241" s="468"/>
      <c r="F241" s="468"/>
      <c r="G241" s="468"/>
      <c r="H241" s="468"/>
      <c r="I241" s="468"/>
      <c r="J241" s="468"/>
      <c r="K241" s="468"/>
      <c r="L241" s="468"/>
      <c r="M241" s="468"/>
      <c r="N241" s="468"/>
      <c r="O241" s="468"/>
      <c r="P241" s="468"/>
      <c r="Q241" s="468"/>
      <c r="R241" s="468"/>
      <c r="S241" s="468"/>
      <c r="T241" s="468"/>
      <c r="U241" s="468"/>
      <c r="V241" s="468"/>
      <c r="W241" s="468"/>
      <c r="X241" s="468"/>
      <c r="Y241" s="468"/>
      <c r="Z241" s="468"/>
    </row>
    <row r="242" spans="1:26" ht="18" customHeight="1" x14ac:dyDescent="0.35">
      <c r="A242" s="468"/>
      <c r="B242" s="468"/>
      <c r="C242" s="468"/>
      <c r="D242" s="468"/>
      <c r="E242" s="468"/>
      <c r="F242" s="468"/>
      <c r="G242" s="468"/>
      <c r="H242" s="468"/>
      <c r="I242" s="468"/>
      <c r="J242" s="468"/>
      <c r="K242" s="468"/>
      <c r="L242" s="468"/>
      <c r="M242" s="468"/>
      <c r="N242" s="468"/>
      <c r="O242" s="468"/>
      <c r="P242" s="468"/>
      <c r="Q242" s="468"/>
      <c r="R242" s="468"/>
      <c r="S242" s="468"/>
      <c r="T242" s="468"/>
      <c r="U242" s="468"/>
      <c r="V242" s="468"/>
      <c r="W242" s="468"/>
      <c r="X242" s="468"/>
      <c r="Y242" s="468"/>
      <c r="Z242" s="468"/>
    </row>
    <row r="243" spans="1:26" ht="18" customHeight="1" x14ac:dyDescent="0.35">
      <c r="A243" s="468"/>
      <c r="B243" s="468"/>
      <c r="C243" s="468"/>
      <c r="D243" s="468"/>
      <c r="E243" s="468"/>
      <c r="F243" s="468"/>
      <c r="G243" s="468"/>
      <c r="H243" s="468"/>
      <c r="I243" s="468"/>
      <c r="J243" s="468"/>
      <c r="K243" s="468"/>
      <c r="L243" s="468"/>
      <c r="M243" s="468"/>
      <c r="N243" s="468"/>
      <c r="O243" s="468"/>
      <c r="P243" s="468"/>
      <c r="Q243" s="468"/>
      <c r="R243" s="468"/>
      <c r="S243" s="468"/>
      <c r="T243" s="468"/>
      <c r="U243" s="468"/>
      <c r="V243" s="468"/>
      <c r="W243" s="468"/>
      <c r="X243" s="468"/>
      <c r="Y243" s="468"/>
      <c r="Z243" s="468"/>
    </row>
    <row r="244" spans="1:26" ht="18" customHeight="1" x14ac:dyDescent="0.35">
      <c r="A244" s="468"/>
      <c r="B244" s="468"/>
      <c r="C244" s="468"/>
      <c r="D244" s="468"/>
      <c r="E244" s="468"/>
      <c r="F244" s="468"/>
      <c r="G244" s="468"/>
      <c r="H244" s="468"/>
      <c r="I244" s="468"/>
      <c r="J244" s="468"/>
      <c r="K244" s="468"/>
      <c r="L244" s="468"/>
      <c r="M244" s="468"/>
      <c r="N244" s="468"/>
      <c r="O244" s="468"/>
      <c r="P244" s="468"/>
      <c r="Q244" s="468"/>
      <c r="R244" s="468"/>
      <c r="S244" s="468"/>
      <c r="T244" s="468"/>
      <c r="U244" s="468"/>
      <c r="V244" s="468"/>
      <c r="W244" s="468"/>
      <c r="X244" s="468"/>
      <c r="Y244" s="468"/>
      <c r="Z244" s="468"/>
    </row>
    <row r="245" spans="1:26" ht="18" customHeight="1" x14ac:dyDescent="0.35">
      <c r="A245" s="468"/>
      <c r="B245" s="468"/>
      <c r="C245" s="468"/>
      <c r="D245" s="468"/>
      <c r="E245" s="468"/>
      <c r="F245" s="468"/>
      <c r="G245" s="468"/>
      <c r="H245" s="468"/>
      <c r="I245" s="468"/>
      <c r="J245" s="468"/>
      <c r="K245" s="468"/>
      <c r="L245" s="468"/>
      <c r="M245" s="468"/>
      <c r="N245" s="468"/>
      <c r="O245" s="468"/>
      <c r="P245" s="468"/>
      <c r="Q245" s="468"/>
      <c r="R245" s="468"/>
      <c r="S245" s="468"/>
      <c r="T245" s="468"/>
      <c r="U245" s="468"/>
      <c r="V245" s="468"/>
      <c r="W245" s="468"/>
      <c r="X245" s="468"/>
      <c r="Y245" s="468"/>
      <c r="Z245" s="468"/>
    </row>
    <row r="246" spans="1:26" ht="18" customHeight="1" x14ac:dyDescent="0.35">
      <c r="A246" s="468"/>
      <c r="B246" s="468"/>
      <c r="C246" s="468"/>
      <c r="D246" s="468"/>
      <c r="E246" s="468"/>
      <c r="F246" s="468"/>
      <c r="G246" s="468"/>
      <c r="H246" s="468"/>
      <c r="I246" s="468"/>
      <c r="J246" s="468"/>
      <c r="K246" s="468"/>
      <c r="L246" s="468"/>
      <c r="M246" s="468"/>
      <c r="N246" s="468"/>
      <c r="O246" s="468"/>
      <c r="P246" s="468"/>
      <c r="Q246" s="468"/>
      <c r="R246" s="468"/>
      <c r="S246" s="468"/>
      <c r="T246" s="468"/>
      <c r="U246" s="468"/>
      <c r="V246" s="468"/>
      <c r="W246" s="468"/>
      <c r="X246" s="468"/>
      <c r="Y246" s="468"/>
      <c r="Z246" s="468"/>
    </row>
    <row r="247" spans="1:26" ht="18" customHeight="1" x14ac:dyDescent="0.35">
      <c r="A247" s="468"/>
      <c r="B247" s="468"/>
      <c r="C247" s="468"/>
      <c r="D247" s="468"/>
      <c r="E247" s="468"/>
      <c r="F247" s="468"/>
      <c r="G247" s="468"/>
      <c r="H247" s="468"/>
      <c r="I247" s="468"/>
      <c r="J247" s="468"/>
      <c r="K247" s="468"/>
      <c r="L247" s="468"/>
      <c r="M247" s="468"/>
      <c r="N247" s="468"/>
      <c r="O247" s="468"/>
      <c r="P247" s="468"/>
      <c r="Q247" s="468"/>
      <c r="R247" s="468"/>
      <c r="S247" s="468"/>
      <c r="T247" s="468"/>
      <c r="U247" s="468"/>
      <c r="V247" s="468"/>
      <c r="W247" s="468"/>
      <c r="X247" s="468"/>
      <c r="Y247" s="468"/>
      <c r="Z247" s="468"/>
    </row>
    <row r="248" spans="1:26" ht="18" customHeight="1" x14ac:dyDescent="0.35">
      <c r="A248" s="468"/>
      <c r="B248" s="468"/>
      <c r="C248" s="468"/>
      <c r="D248" s="468"/>
      <c r="E248" s="468"/>
      <c r="F248" s="468"/>
      <c r="G248" s="468"/>
      <c r="H248" s="468"/>
      <c r="I248" s="468"/>
      <c r="J248" s="468"/>
      <c r="K248" s="468"/>
      <c r="L248" s="468"/>
      <c r="M248" s="468"/>
      <c r="N248" s="468"/>
      <c r="O248" s="468"/>
      <c r="P248" s="468"/>
      <c r="Q248" s="468"/>
      <c r="R248" s="468"/>
      <c r="S248" s="468"/>
      <c r="T248" s="468"/>
      <c r="U248" s="468"/>
      <c r="V248" s="468"/>
      <c r="W248" s="468"/>
      <c r="X248" s="468"/>
      <c r="Y248" s="468"/>
      <c r="Z248" s="468"/>
    </row>
    <row r="249" spans="1:26" ht="18" customHeight="1" x14ac:dyDescent="0.35">
      <c r="A249" s="468"/>
      <c r="B249" s="468"/>
      <c r="C249" s="468"/>
      <c r="D249" s="468"/>
      <c r="E249" s="468"/>
      <c r="F249" s="468"/>
      <c r="G249" s="468"/>
      <c r="H249" s="468"/>
      <c r="I249" s="468"/>
      <c r="J249" s="468"/>
      <c r="K249" s="468"/>
      <c r="L249" s="468"/>
      <c r="M249" s="468"/>
      <c r="N249" s="468"/>
      <c r="O249" s="468"/>
      <c r="P249" s="468"/>
      <c r="Q249" s="468"/>
      <c r="R249" s="468"/>
      <c r="S249" s="468"/>
      <c r="T249" s="468"/>
      <c r="U249" s="468"/>
      <c r="V249" s="468"/>
      <c r="W249" s="468"/>
      <c r="X249" s="468"/>
      <c r="Y249" s="468"/>
      <c r="Z249" s="468"/>
    </row>
    <row r="250" spans="1:26" ht="18" customHeight="1" x14ac:dyDescent="0.35">
      <c r="A250" s="468"/>
      <c r="B250" s="468"/>
      <c r="C250" s="468"/>
      <c r="D250" s="468"/>
      <c r="E250" s="468"/>
      <c r="F250" s="468"/>
      <c r="G250" s="468"/>
      <c r="H250" s="468"/>
      <c r="I250" s="468"/>
      <c r="J250" s="468"/>
      <c r="K250" s="468"/>
      <c r="L250" s="468"/>
      <c r="M250" s="468"/>
      <c r="N250" s="468"/>
      <c r="O250" s="468"/>
      <c r="P250" s="468"/>
      <c r="Q250" s="468"/>
      <c r="R250" s="468"/>
      <c r="S250" s="468"/>
      <c r="T250" s="468"/>
      <c r="U250" s="468"/>
      <c r="V250" s="468"/>
      <c r="W250" s="468"/>
      <c r="X250" s="468"/>
      <c r="Y250" s="468"/>
      <c r="Z250" s="468"/>
    </row>
    <row r="251" spans="1:26" ht="18" customHeight="1" x14ac:dyDescent="0.35">
      <c r="A251" s="468"/>
      <c r="B251" s="468"/>
      <c r="C251" s="468"/>
      <c r="D251" s="468"/>
      <c r="E251" s="468"/>
      <c r="F251" s="468"/>
      <c r="G251" s="468"/>
      <c r="H251" s="468"/>
      <c r="I251" s="468"/>
      <c r="J251" s="468"/>
      <c r="K251" s="468"/>
      <c r="L251" s="468"/>
      <c r="M251" s="468"/>
      <c r="N251" s="468"/>
      <c r="O251" s="468"/>
      <c r="P251" s="468"/>
      <c r="Q251" s="468"/>
      <c r="R251" s="468"/>
      <c r="S251" s="468"/>
      <c r="T251" s="468"/>
      <c r="U251" s="468"/>
      <c r="V251" s="468"/>
      <c r="W251" s="468"/>
      <c r="X251" s="468"/>
      <c r="Y251" s="468"/>
      <c r="Z251" s="468"/>
    </row>
    <row r="252" spans="1:26" ht="18" customHeight="1" x14ac:dyDescent="0.35">
      <c r="A252" s="468"/>
      <c r="B252" s="468"/>
      <c r="C252" s="468"/>
      <c r="D252" s="468"/>
      <c r="E252" s="468"/>
      <c r="F252" s="468"/>
      <c r="G252" s="468"/>
      <c r="H252" s="468"/>
      <c r="I252" s="468"/>
      <c r="J252" s="468"/>
      <c r="K252" s="468"/>
      <c r="L252" s="468"/>
      <c r="M252" s="468"/>
      <c r="N252" s="468"/>
      <c r="O252" s="468"/>
      <c r="P252" s="468"/>
      <c r="Q252" s="468"/>
      <c r="R252" s="468"/>
      <c r="S252" s="468"/>
      <c r="T252" s="468"/>
      <c r="U252" s="468"/>
      <c r="V252" s="468"/>
      <c r="W252" s="468"/>
      <c r="X252" s="468"/>
      <c r="Y252" s="468"/>
      <c r="Z252" s="468"/>
    </row>
    <row r="253" spans="1:26" ht="18" customHeight="1" x14ac:dyDescent="0.35">
      <c r="A253" s="468"/>
      <c r="B253" s="468"/>
      <c r="C253" s="468"/>
      <c r="D253" s="468"/>
      <c r="E253" s="468"/>
      <c r="F253" s="468"/>
      <c r="G253" s="468"/>
      <c r="H253" s="468"/>
      <c r="I253" s="468"/>
      <c r="J253" s="468"/>
      <c r="K253" s="468"/>
      <c r="L253" s="468"/>
      <c r="M253" s="468"/>
      <c r="N253" s="468"/>
      <c r="O253" s="468"/>
      <c r="P253" s="468"/>
      <c r="Q253" s="468"/>
      <c r="R253" s="468"/>
      <c r="S253" s="468"/>
      <c r="T253" s="468"/>
      <c r="U253" s="468"/>
      <c r="V253" s="468"/>
      <c r="W253" s="468"/>
      <c r="X253" s="468"/>
      <c r="Y253" s="468"/>
      <c r="Z253" s="468"/>
    </row>
    <row r="254" spans="1:26" ht="18" customHeight="1" x14ac:dyDescent="0.35">
      <c r="A254" s="468"/>
      <c r="B254" s="468"/>
      <c r="C254" s="468"/>
      <c r="D254" s="468"/>
      <c r="E254" s="468"/>
      <c r="F254" s="468"/>
      <c r="G254" s="468"/>
      <c r="H254" s="468"/>
      <c r="I254" s="468"/>
      <c r="J254" s="468"/>
      <c r="K254" s="468"/>
      <c r="L254" s="468"/>
      <c r="M254" s="468"/>
      <c r="N254" s="468"/>
      <c r="O254" s="468"/>
      <c r="P254" s="468"/>
      <c r="Q254" s="468"/>
      <c r="R254" s="468"/>
      <c r="S254" s="468"/>
      <c r="T254" s="468"/>
      <c r="U254" s="468"/>
      <c r="V254" s="468"/>
      <c r="W254" s="468"/>
      <c r="X254" s="468"/>
      <c r="Y254" s="468"/>
      <c r="Z254" s="468"/>
    </row>
    <row r="255" spans="1:26" ht="18" customHeight="1" x14ac:dyDescent="0.35">
      <c r="A255" s="468"/>
      <c r="B255" s="468"/>
      <c r="C255" s="468"/>
      <c r="D255" s="468"/>
      <c r="E255" s="468"/>
      <c r="F255" s="468"/>
      <c r="G255" s="468"/>
      <c r="H255" s="468"/>
      <c r="I255" s="468"/>
      <c r="J255" s="468"/>
      <c r="K255" s="468"/>
      <c r="L255" s="468"/>
      <c r="M255" s="468"/>
      <c r="N255" s="468"/>
      <c r="O255" s="468"/>
      <c r="P255" s="468"/>
      <c r="Q255" s="468"/>
      <c r="R255" s="468"/>
      <c r="S255" s="468"/>
      <c r="T255" s="468"/>
      <c r="U255" s="468"/>
      <c r="V255" s="468"/>
      <c r="W255" s="468"/>
      <c r="X255" s="468"/>
      <c r="Y255" s="468"/>
      <c r="Z255" s="468"/>
    </row>
    <row r="256" spans="1:26" ht="18" customHeight="1" x14ac:dyDescent="0.35">
      <c r="A256" s="468"/>
      <c r="B256" s="468"/>
      <c r="C256" s="468"/>
      <c r="D256" s="468"/>
      <c r="E256" s="468"/>
      <c r="F256" s="468"/>
      <c r="G256" s="468"/>
      <c r="H256" s="468"/>
      <c r="I256" s="468"/>
      <c r="J256" s="468"/>
      <c r="K256" s="468"/>
      <c r="L256" s="468"/>
      <c r="M256" s="468"/>
      <c r="N256" s="468"/>
      <c r="O256" s="468"/>
      <c r="P256" s="468"/>
      <c r="Q256" s="468"/>
      <c r="R256" s="468"/>
      <c r="S256" s="468"/>
      <c r="T256" s="468"/>
      <c r="U256" s="468"/>
      <c r="V256" s="468"/>
      <c r="W256" s="468"/>
      <c r="X256" s="468"/>
      <c r="Y256" s="468"/>
      <c r="Z256" s="468"/>
    </row>
    <row r="257" spans="1:26" ht="18" customHeight="1" x14ac:dyDescent="0.35">
      <c r="A257" s="468"/>
      <c r="B257" s="468"/>
      <c r="C257" s="468"/>
      <c r="D257" s="468"/>
      <c r="E257" s="468"/>
      <c r="F257" s="468"/>
      <c r="G257" s="468"/>
      <c r="H257" s="468"/>
      <c r="I257" s="468"/>
      <c r="J257" s="468"/>
      <c r="K257" s="468"/>
      <c r="L257" s="468"/>
      <c r="M257" s="468"/>
      <c r="N257" s="468"/>
      <c r="O257" s="468"/>
      <c r="P257" s="468"/>
      <c r="Q257" s="468"/>
      <c r="R257" s="468"/>
      <c r="S257" s="468"/>
      <c r="T257" s="468"/>
      <c r="U257" s="468"/>
      <c r="V257" s="468"/>
      <c r="W257" s="468"/>
      <c r="X257" s="468"/>
      <c r="Y257" s="468"/>
      <c r="Z257" s="468"/>
    </row>
    <row r="258" spans="1:26" ht="18" customHeight="1" x14ac:dyDescent="0.35">
      <c r="A258" s="468"/>
      <c r="B258" s="468"/>
      <c r="C258" s="468"/>
      <c r="D258" s="468"/>
      <c r="E258" s="468"/>
      <c r="F258" s="468"/>
      <c r="G258" s="468"/>
      <c r="H258" s="468"/>
      <c r="I258" s="468"/>
      <c r="J258" s="468"/>
      <c r="K258" s="468"/>
      <c r="L258" s="468"/>
      <c r="M258" s="468"/>
      <c r="N258" s="468"/>
      <c r="O258" s="468"/>
      <c r="P258" s="468"/>
      <c r="Q258" s="468"/>
      <c r="R258" s="468"/>
      <c r="S258" s="468"/>
      <c r="T258" s="468"/>
      <c r="U258" s="468"/>
      <c r="V258" s="468"/>
      <c r="W258" s="468"/>
      <c r="X258" s="468"/>
      <c r="Y258" s="468"/>
      <c r="Z258" s="468"/>
    </row>
    <row r="259" spans="1:26" ht="18" customHeight="1" x14ac:dyDescent="0.35">
      <c r="A259" s="468"/>
      <c r="B259" s="468"/>
      <c r="C259" s="468"/>
      <c r="D259" s="468"/>
      <c r="E259" s="468"/>
      <c r="F259" s="468"/>
      <c r="G259" s="468"/>
      <c r="H259" s="468"/>
      <c r="I259" s="468"/>
      <c r="J259" s="468"/>
      <c r="K259" s="468"/>
      <c r="L259" s="468"/>
      <c r="M259" s="468"/>
      <c r="N259" s="468"/>
      <c r="O259" s="468"/>
      <c r="P259" s="468"/>
      <c r="Q259" s="468"/>
      <c r="R259" s="468"/>
      <c r="S259" s="468"/>
      <c r="T259" s="468"/>
      <c r="U259" s="468"/>
      <c r="V259" s="468"/>
      <c r="W259" s="468"/>
      <c r="X259" s="468"/>
      <c r="Y259" s="468"/>
      <c r="Z259" s="468"/>
    </row>
    <row r="260" spans="1:26" ht="18" customHeight="1" x14ac:dyDescent="0.35">
      <c r="A260" s="468"/>
      <c r="B260" s="468"/>
      <c r="C260" s="468"/>
      <c r="D260" s="468"/>
      <c r="E260" s="468"/>
      <c r="F260" s="468"/>
      <c r="G260" s="468"/>
      <c r="H260" s="468"/>
      <c r="I260" s="468"/>
      <c r="J260" s="468"/>
      <c r="K260" s="468"/>
      <c r="L260" s="468"/>
      <c r="M260" s="468"/>
      <c r="N260" s="468"/>
      <c r="O260" s="468"/>
      <c r="P260" s="468"/>
      <c r="Q260" s="468"/>
      <c r="R260" s="468"/>
      <c r="S260" s="468"/>
      <c r="T260" s="468"/>
      <c r="U260" s="468"/>
      <c r="V260" s="468"/>
      <c r="W260" s="468"/>
      <c r="X260" s="468"/>
      <c r="Y260" s="468"/>
      <c r="Z260" s="468"/>
    </row>
    <row r="261" spans="1:26" ht="18" customHeight="1" x14ac:dyDescent="0.35">
      <c r="A261" s="468"/>
      <c r="B261" s="468"/>
      <c r="C261" s="468"/>
      <c r="D261" s="468"/>
      <c r="E261" s="468"/>
      <c r="F261" s="468"/>
      <c r="G261" s="468"/>
      <c r="H261" s="468"/>
      <c r="I261" s="468"/>
      <c r="J261" s="468"/>
      <c r="K261" s="468"/>
      <c r="L261" s="468"/>
      <c r="M261" s="468"/>
      <c r="N261" s="468"/>
      <c r="O261" s="468"/>
      <c r="P261" s="468"/>
      <c r="Q261" s="468"/>
      <c r="R261" s="468"/>
      <c r="S261" s="468"/>
      <c r="T261" s="468"/>
      <c r="U261" s="468"/>
      <c r="V261" s="468"/>
      <c r="W261" s="468"/>
      <c r="X261" s="468"/>
      <c r="Y261" s="468"/>
      <c r="Z261" s="468"/>
    </row>
    <row r="262" spans="1:26" ht="18" customHeight="1" x14ac:dyDescent="0.35">
      <c r="A262" s="468"/>
      <c r="B262" s="468"/>
      <c r="C262" s="468"/>
      <c r="D262" s="468"/>
      <c r="E262" s="468"/>
      <c r="F262" s="468"/>
      <c r="G262" s="468"/>
      <c r="H262" s="468"/>
      <c r="I262" s="468"/>
      <c r="J262" s="468"/>
      <c r="K262" s="468"/>
      <c r="L262" s="468"/>
      <c r="M262" s="468"/>
      <c r="N262" s="468"/>
      <c r="O262" s="468"/>
      <c r="P262" s="468"/>
      <c r="Q262" s="468"/>
      <c r="R262" s="468"/>
      <c r="S262" s="468"/>
      <c r="T262" s="468"/>
      <c r="U262" s="468"/>
      <c r="V262" s="468"/>
      <c r="W262" s="468"/>
      <c r="X262" s="468"/>
      <c r="Y262" s="468"/>
      <c r="Z262" s="468"/>
    </row>
    <row r="263" spans="1:26" ht="18" customHeight="1" x14ac:dyDescent="0.35">
      <c r="A263" s="468"/>
      <c r="B263" s="468"/>
      <c r="C263" s="468"/>
      <c r="D263" s="468"/>
      <c r="E263" s="468"/>
      <c r="F263" s="468"/>
      <c r="G263" s="468"/>
      <c r="H263" s="468"/>
      <c r="I263" s="468"/>
      <c r="J263" s="468"/>
      <c r="K263" s="468"/>
      <c r="L263" s="468"/>
      <c r="M263" s="468"/>
      <c r="N263" s="468"/>
      <c r="O263" s="468"/>
      <c r="P263" s="468"/>
      <c r="Q263" s="468"/>
      <c r="R263" s="468"/>
      <c r="S263" s="468"/>
      <c r="T263" s="468"/>
      <c r="U263" s="468"/>
      <c r="V263" s="468"/>
      <c r="W263" s="468"/>
      <c r="X263" s="468"/>
      <c r="Y263" s="468"/>
      <c r="Z263" s="468"/>
    </row>
    <row r="264" spans="1:26" ht="18" customHeight="1" x14ac:dyDescent="0.35">
      <c r="A264" s="468"/>
      <c r="B264" s="468"/>
      <c r="C264" s="468"/>
      <c r="D264" s="468"/>
      <c r="E264" s="468"/>
      <c r="F264" s="468"/>
      <c r="G264" s="468"/>
      <c r="H264" s="468"/>
      <c r="I264" s="468"/>
      <c r="J264" s="468"/>
      <c r="K264" s="468"/>
      <c r="L264" s="468"/>
      <c r="M264" s="468"/>
      <c r="N264" s="468"/>
      <c r="O264" s="468"/>
      <c r="P264" s="468"/>
      <c r="Q264" s="468"/>
      <c r="R264" s="468"/>
      <c r="S264" s="468"/>
      <c r="T264" s="468"/>
      <c r="U264" s="468"/>
      <c r="V264" s="468"/>
      <c r="W264" s="468"/>
      <c r="X264" s="468"/>
      <c r="Y264" s="468"/>
      <c r="Z264" s="468"/>
    </row>
    <row r="265" spans="1:26" ht="18" customHeight="1" x14ac:dyDescent="0.35">
      <c r="A265" s="468"/>
      <c r="B265" s="468"/>
      <c r="C265" s="468"/>
      <c r="D265" s="468"/>
      <c r="E265" s="468"/>
      <c r="F265" s="468"/>
      <c r="G265" s="468"/>
      <c r="H265" s="468"/>
      <c r="I265" s="468"/>
      <c r="J265" s="468"/>
      <c r="K265" s="468"/>
      <c r="L265" s="468"/>
      <c r="M265" s="468"/>
      <c r="N265" s="468"/>
      <c r="O265" s="468"/>
      <c r="P265" s="468"/>
      <c r="Q265" s="468"/>
      <c r="R265" s="468"/>
      <c r="S265" s="468"/>
      <c r="T265" s="468"/>
      <c r="U265" s="468"/>
      <c r="V265" s="468"/>
      <c r="W265" s="468"/>
      <c r="X265" s="468"/>
      <c r="Y265" s="468"/>
      <c r="Z265" s="468"/>
    </row>
    <row r="266" spans="1:26" ht="18" customHeight="1" x14ac:dyDescent="0.35">
      <c r="A266" s="468"/>
      <c r="B266" s="468"/>
      <c r="C266" s="468"/>
      <c r="D266" s="468"/>
      <c r="E266" s="468"/>
      <c r="F266" s="468"/>
      <c r="G266" s="468"/>
      <c r="H266" s="468"/>
      <c r="I266" s="468"/>
      <c r="J266" s="468"/>
      <c r="K266" s="468"/>
      <c r="L266" s="468"/>
      <c r="M266" s="468"/>
      <c r="N266" s="468"/>
      <c r="O266" s="468"/>
      <c r="P266" s="468"/>
      <c r="Q266" s="468"/>
      <c r="R266" s="468"/>
      <c r="S266" s="468"/>
      <c r="T266" s="468"/>
      <c r="U266" s="468"/>
      <c r="V266" s="468"/>
      <c r="W266" s="468"/>
      <c r="X266" s="468"/>
      <c r="Y266" s="468"/>
      <c r="Z266" s="468"/>
    </row>
    <row r="267" spans="1:26" ht="18" customHeight="1" x14ac:dyDescent="0.35">
      <c r="A267" s="468"/>
      <c r="B267" s="468"/>
      <c r="C267" s="468"/>
      <c r="D267" s="468"/>
      <c r="E267" s="468"/>
      <c r="F267" s="468"/>
      <c r="G267" s="468"/>
      <c r="H267" s="468"/>
      <c r="I267" s="468"/>
      <c r="J267" s="468"/>
      <c r="K267" s="468"/>
      <c r="L267" s="468"/>
      <c r="M267" s="468"/>
      <c r="N267" s="468"/>
      <c r="O267" s="468"/>
      <c r="P267" s="468"/>
      <c r="Q267" s="468"/>
      <c r="R267" s="468"/>
      <c r="S267" s="468"/>
      <c r="T267" s="468"/>
      <c r="U267" s="468"/>
      <c r="V267" s="468"/>
      <c r="W267" s="468"/>
      <c r="X267" s="468"/>
      <c r="Y267" s="468"/>
      <c r="Z267" s="468"/>
    </row>
    <row r="268" spans="1:26" ht="18" customHeight="1" x14ac:dyDescent="0.35">
      <c r="A268" s="468"/>
      <c r="B268" s="468"/>
      <c r="C268" s="468"/>
      <c r="D268" s="468"/>
      <c r="E268" s="468"/>
      <c r="F268" s="468"/>
      <c r="G268" s="468"/>
      <c r="H268" s="468"/>
      <c r="I268" s="468"/>
      <c r="J268" s="468"/>
      <c r="K268" s="468"/>
      <c r="L268" s="468"/>
      <c r="M268" s="468"/>
      <c r="N268" s="468"/>
      <c r="O268" s="468"/>
      <c r="P268" s="468"/>
      <c r="Q268" s="468"/>
      <c r="R268" s="468"/>
      <c r="S268" s="468"/>
      <c r="T268" s="468"/>
      <c r="U268" s="468"/>
      <c r="V268" s="468"/>
      <c r="W268" s="468"/>
      <c r="X268" s="468"/>
      <c r="Y268" s="468"/>
      <c r="Z268" s="468"/>
    </row>
    <row r="269" spans="1:26" ht="18" customHeight="1" x14ac:dyDescent="0.35">
      <c r="A269" s="468"/>
      <c r="B269" s="468"/>
      <c r="C269" s="468"/>
      <c r="D269" s="468"/>
      <c r="E269" s="468"/>
      <c r="F269" s="468"/>
      <c r="G269" s="468"/>
      <c r="H269" s="468"/>
      <c r="I269" s="468"/>
      <c r="J269" s="468"/>
      <c r="K269" s="468"/>
      <c r="L269" s="468"/>
      <c r="M269" s="468"/>
      <c r="N269" s="468"/>
      <c r="O269" s="468"/>
      <c r="P269" s="468"/>
      <c r="Q269" s="468"/>
      <c r="R269" s="468"/>
      <c r="S269" s="468"/>
      <c r="T269" s="468"/>
      <c r="U269" s="468"/>
      <c r="V269" s="468"/>
      <c r="W269" s="468"/>
      <c r="X269" s="468"/>
      <c r="Y269" s="468"/>
      <c r="Z269" s="468"/>
    </row>
    <row r="270" spans="1:26" ht="18" customHeight="1" x14ac:dyDescent="0.35">
      <c r="A270" s="468"/>
      <c r="B270" s="468"/>
      <c r="C270" s="468"/>
      <c r="D270" s="468"/>
      <c r="E270" s="468"/>
      <c r="F270" s="468"/>
      <c r="G270" s="468"/>
      <c r="H270" s="468"/>
      <c r="I270" s="468"/>
      <c r="J270" s="468"/>
      <c r="K270" s="468"/>
      <c r="L270" s="468"/>
      <c r="M270" s="468"/>
      <c r="N270" s="468"/>
      <c r="O270" s="468"/>
      <c r="P270" s="468"/>
      <c r="Q270" s="468"/>
      <c r="R270" s="468"/>
      <c r="S270" s="468"/>
      <c r="T270" s="468"/>
      <c r="U270" s="468"/>
      <c r="V270" s="468"/>
      <c r="W270" s="468"/>
      <c r="X270" s="468"/>
      <c r="Y270" s="468"/>
      <c r="Z270" s="468"/>
    </row>
    <row r="271" spans="1:26" ht="18" customHeight="1" x14ac:dyDescent="0.35">
      <c r="A271" s="468"/>
      <c r="B271" s="468"/>
      <c r="C271" s="468"/>
      <c r="D271" s="468"/>
      <c r="E271" s="468"/>
      <c r="F271" s="468"/>
      <c r="G271" s="468"/>
      <c r="H271" s="468"/>
      <c r="I271" s="468"/>
      <c r="J271" s="468"/>
      <c r="K271" s="468"/>
      <c r="L271" s="468"/>
      <c r="M271" s="468"/>
      <c r="N271" s="468"/>
      <c r="O271" s="468"/>
      <c r="P271" s="468"/>
      <c r="Q271" s="468"/>
      <c r="R271" s="468"/>
      <c r="S271" s="468"/>
      <c r="T271" s="468"/>
      <c r="U271" s="468"/>
      <c r="V271" s="468"/>
      <c r="W271" s="468"/>
      <c r="X271" s="468"/>
      <c r="Y271" s="468"/>
      <c r="Z271" s="468"/>
    </row>
    <row r="272" spans="1:26" ht="18" customHeight="1" x14ac:dyDescent="0.35">
      <c r="A272" s="468"/>
      <c r="B272" s="468"/>
      <c r="C272" s="468"/>
      <c r="D272" s="468"/>
      <c r="E272" s="468"/>
      <c r="F272" s="468"/>
      <c r="G272" s="468"/>
      <c r="H272" s="468"/>
      <c r="I272" s="468"/>
      <c r="J272" s="468"/>
      <c r="K272" s="468"/>
      <c r="L272" s="468"/>
      <c r="M272" s="468"/>
      <c r="N272" s="468"/>
      <c r="O272" s="468"/>
      <c r="P272" s="468"/>
      <c r="Q272" s="468"/>
      <c r="R272" s="468"/>
      <c r="S272" s="468"/>
      <c r="T272" s="468"/>
      <c r="U272" s="468"/>
      <c r="V272" s="468"/>
      <c r="W272" s="468"/>
      <c r="X272" s="468"/>
      <c r="Y272" s="468"/>
      <c r="Z272" s="468"/>
    </row>
    <row r="273" spans="1:26" ht="18" customHeight="1" x14ac:dyDescent="0.35">
      <c r="A273" s="468"/>
      <c r="B273" s="468"/>
      <c r="C273" s="468"/>
      <c r="D273" s="468"/>
      <c r="E273" s="468"/>
      <c r="F273" s="468"/>
      <c r="G273" s="468"/>
      <c r="H273" s="468"/>
      <c r="I273" s="468"/>
      <c r="J273" s="468"/>
      <c r="K273" s="468"/>
      <c r="L273" s="468"/>
      <c r="M273" s="468"/>
      <c r="N273" s="468"/>
      <c r="O273" s="468"/>
      <c r="P273" s="468"/>
      <c r="Q273" s="468"/>
      <c r="R273" s="468"/>
      <c r="S273" s="468"/>
      <c r="T273" s="468"/>
      <c r="U273" s="468"/>
      <c r="V273" s="468"/>
      <c r="W273" s="468"/>
      <c r="X273" s="468"/>
      <c r="Y273" s="468"/>
      <c r="Z273" s="468"/>
    </row>
    <row r="274" spans="1:26" ht="18" customHeight="1" x14ac:dyDescent="0.35">
      <c r="A274" s="468"/>
      <c r="B274" s="468"/>
      <c r="C274" s="468"/>
      <c r="D274" s="468"/>
      <c r="E274" s="468"/>
      <c r="F274" s="468"/>
      <c r="G274" s="468"/>
      <c r="H274" s="468"/>
      <c r="I274" s="468"/>
      <c r="J274" s="468"/>
      <c r="K274" s="468"/>
      <c r="L274" s="468"/>
      <c r="M274" s="468"/>
      <c r="N274" s="468"/>
      <c r="O274" s="468"/>
      <c r="P274" s="468"/>
      <c r="Q274" s="468"/>
      <c r="R274" s="468"/>
      <c r="S274" s="468"/>
      <c r="T274" s="468"/>
      <c r="U274" s="468"/>
      <c r="V274" s="468"/>
      <c r="W274" s="468"/>
      <c r="X274" s="468"/>
      <c r="Y274" s="468"/>
      <c r="Z274" s="468"/>
    </row>
    <row r="275" spans="1:26" ht="18" customHeight="1" x14ac:dyDescent="0.35">
      <c r="A275" s="468"/>
      <c r="B275" s="468"/>
      <c r="C275" s="468"/>
      <c r="D275" s="468"/>
      <c r="E275" s="468"/>
      <c r="F275" s="468"/>
      <c r="G275" s="468"/>
      <c r="H275" s="468"/>
      <c r="I275" s="468"/>
      <c r="J275" s="468"/>
      <c r="K275" s="468"/>
      <c r="L275" s="468"/>
      <c r="M275" s="468"/>
      <c r="N275" s="468"/>
      <c r="O275" s="468"/>
      <c r="P275" s="468"/>
      <c r="Q275" s="468"/>
      <c r="R275" s="468"/>
      <c r="S275" s="468"/>
      <c r="T275" s="468"/>
      <c r="U275" s="468"/>
      <c r="V275" s="468"/>
      <c r="W275" s="468"/>
      <c r="X275" s="468"/>
      <c r="Y275" s="468"/>
      <c r="Z275" s="468"/>
    </row>
    <row r="276" spans="1:26" ht="18" customHeight="1" x14ac:dyDescent="0.35">
      <c r="A276" s="468"/>
      <c r="B276" s="468"/>
      <c r="C276" s="468"/>
      <c r="D276" s="468"/>
      <c r="E276" s="468"/>
      <c r="F276" s="468"/>
      <c r="G276" s="468"/>
      <c r="H276" s="468"/>
      <c r="I276" s="468"/>
      <c r="J276" s="468"/>
      <c r="K276" s="468"/>
      <c r="L276" s="468"/>
      <c r="M276" s="468"/>
      <c r="N276" s="468"/>
      <c r="O276" s="468"/>
      <c r="P276" s="468"/>
      <c r="Q276" s="468"/>
      <c r="R276" s="468"/>
      <c r="S276" s="468"/>
      <c r="T276" s="468"/>
      <c r="U276" s="468"/>
      <c r="V276" s="468"/>
      <c r="W276" s="468"/>
      <c r="X276" s="468"/>
      <c r="Y276" s="468"/>
      <c r="Z276" s="468"/>
    </row>
    <row r="277" spans="1:26" ht="18" customHeight="1" x14ac:dyDescent="0.35">
      <c r="A277" s="468"/>
      <c r="B277" s="468"/>
      <c r="C277" s="468"/>
      <c r="D277" s="468"/>
      <c r="E277" s="468"/>
      <c r="F277" s="468"/>
      <c r="G277" s="468"/>
      <c r="H277" s="468"/>
      <c r="I277" s="468"/>
      <c r="J277" s="468"/>
      <c r="K277" s="468"/>
      <c r="L277" s="468"/>
      <c r="M277" s="468"/>
      <c r="N277" s="468"/>
      <c r="O277" s="468"/>
      <c r="P277" s="468"/>
      <c r="Q277" s="468"/>
      <c r="R277" s="468"/>
      <c r="S277" s="468"/>
      <c r="T277" s="468"/>
      <c r="U277" s="468"/>
      <c r="V277" s="468"/>
      <c r="W277" s="468"/>
      <c r="X277" s="468"/>
      <c r="Y277" s="468"/>
      <c r="Z277" s="468"/>
    </row>
    <row r="278" spans="1:26" ht="18" customHeight="1" x14ac:dyDescent="0.35">
      <c r="A278" s="468"/>
      <c r="B278" s="468"/>
      <c r="C278" s="468"/>
      <c r="D278" s="468"/>
      <c r="E278" s="468"/>
      <c r="F278" s="468"/>
      <c r="G278" s="468"/>
      <c r="H278" s="468"/>
      <c r="I278" s="468"/>
      <c r="J278" s="468"/>
      <c r="K278" s="468"/>
      <c r="L278" s="468"/>
      <c r="M278" s="468"/>
      <c r="N278" s="468"/>
      <c r="O278" s="468"/>
      <c r="P278" s="468"/>
      <c r="Q278" s="468"/>
      <c r="R278" s="468"/>
      <c r="S278" s="468"/>
      <c r="T278" s="468"/>
      <c r="U278" s="468"/>
      <c r="V278" s="468"/>
      <c r="W278" s="468"/>
      <c r="X278" s="468"/>
      <c r="Y278" s="468"/>
      <c r="Z278" s="468"/>
    </row>
    <row r="279" spans="1:26" ht="18" customHeight="1" x14ac:dyDescent="0.35">
      <c r="A279" s="468"/>
      <c r="B279" s="468"/>
      <c r="C279" s="468"/>
      <c r="D279" s="468"/>
      <c r="E279" s="468"/>
      <c r="F279" s="468"/>
      <c r="G279" s="468"/>
      <c r="H279" s="468"/>
      <c r="I279" s="468"/>
      <c r="J279" s="468"/>
      <c r="K279" s="468"/>
      <c r="L279" s="468"/>
      <c r="M279" s="468"/>
      <c r="N279" s="468"/>
      <c r="O279" s="468"/>
      <c r="P279" s="468"/>
      <c r="Q279" s="468"/>
      <c r="R279" s="468"/>
      <c r="S279" s="468"/>
      <c r="T279" s="468"/>
      <c r="U279" s="468"/>
      <c r="V279" s="468"/>
      <c r="W279" s="468"/>
      <c r="X279" s="468"/>
      <c r="Y279" s="468"/>
      <c r="Z279" s="468"/>
    </row>
    <row r="280" spans="1:26" ht="18" customHeight="1" x14ac:dyDescent="0.35">
      <c r="A280" s="468"/>
      <c r="B280" s="468"/>
      <c r="C280" s="468"/>
      <c r="D280" s="468"/>
      <c r="E280" s="468"/>
      <c r="F280" s="468"/>
      <c r="G280" s="468"/>
      <c r="H280" s="468"/>
      <c r="I280" s="468"/>
      <c r="J280" s="468"/>
      <c r="K280" s="468"/>
      <c r="L280" s="468"/>
      <c r="M280" s="468"/>
      <c r="N280" s="468"/>
      <c r="O280" s="468"/>
      <c r="P280" s="468"/>
      <c r="Q280" s="468"/>
      <c r="R280" s="468"/>
      <c r="S280" s="468"/>
      <c r="T280" s="468"/>
      <c r="U280" s="468"/>
      <c r="V280" s="468"/>
      <c r="W280" s="468"/>
      <c r="X280" s="468"/>
      <c r="Y280" s="468"/>
      <c r="Z280" s="468"/>
    </row>
    <row r="281" spans="1:26" ht="18" customHeight="1" x14ac:dyDescent="0.35">
      <c r="A281" s="468"/>
      <c r="B281" s="468"/>
      <c r="C281" s="468"/>
      <c r="D281" s="468"/>
      <c r="E281" s="468"/>
      <c r="F281" s="468"/>
      <c r="G281" s="468"/>
      <c r="H281" s="468"/>
      <c r="I281" s="468"/>
      <c r="J281" s="468"/>
      <c r="K281" s="468"/>
      <c r="L281" s="468"/>
      <c r="M281" s="468"/>
      <c r="N281" s="468"/>
      <c r="O281" s="468"/>
      <c r="P281" s="468"/>
      <c r="Q281" s="468"/>
      <c r="R281" s="468"/>
      <c r="S281" s="468"/>
      <c r="T281" s="468"/>
      <c r="U281" s="468"/>
      <c r="V281" s="468"/>
      <c r="W281" s="468"/>
      <c r="X281" s="468"/>
      <c r="Y281" s="468"/>
      <c r="Z281" s="468"/>
    </row>
    <row r="282" spans="1:26" ht="18" customHeight="1" x14ac:dyDescent="0.35">
      <c r="A282" s="468"/>
      <c r="B282" s="468"/>
      <c r="C282" s="468"/>
      <c r="D282" s="468"/>
      <c r="E282" s="468"/>
      <c r="F282" s="468"/>
      <c r="G282" s="468"/>
      <c r="H282" s="468"/>
      <c r="I282" s="468"/>
      <c r="J282" s="468"/>
      <c r="K282" s="468"/>
      <c r="L282" s="468"/>
      <c r="M282" s="468"/>
      <c r="N282" s="468"/>
      <c r="O282" s="468"/>
      <c r="P282" s="468"/>
      <c r="Q282" s="468"/>
      <c r="R282" s="468"/>
      <c r="S282" s="468"/>
      <c r="T282" s="468"/>
      <c r="U282" s="468"/>
      <c r="V282" s="468"/>
      <c r="W282" s="468"/>
      <c r="X282" s="468"/>
      <c r="Y282" s="468"/>
      <c r="Z282" s="468"/>
    </row>
    <row r="283" spans="1:26" ht="18" customHeight="1" x14ac:dyDescent="0.35">
      <c r="A283" s="468"/>
      <c r="B283" s="468"/>
      <c r="C283" s="468"/>
      <c r="D283" s="468"/>
      <c r="E283" s="468"/>
      <c r="F283" s="468"/>
      <c r="G283" s="468"/>
      <c r="H283" s="468"/>
      <c r="I283" s="468"/>
      <c r="J283" s="468"/>
      <c r="K283" s="468"/>
      <c r="L283" s="468"/>
      <c r="M283" s="468"/>
      <c r="N283" s="468"/>
      <c r="O283" s="468"/>
      <c r="P283" s="468"/>
      <c r="Q283" s="468"/>
      <c r="R283" s="468"/>
      <c r="S283" s="468"/>
      <c r="T283" s="468"/>
      <c r="U283" s="468"/>
      <c r="V283" s="468"/>
      <c r="W283" s="468"/>
      <c r="X283" s="468"/>
      <c r="Y283" s="468"/>
      <c r="Z283" s="468"/>
    </row>
    <row r="284" spans="1:26" ht="18" customHeight="1" x14ac:dyDescent="0.35">
      <c r="A284" s="468"/>
      <c r="B284" s="468"/>
      <c r="C284" s="468"/>
      <c r="D284" s="468"/>
      <c r="E284" s="468"/>
      <c r="F284" s="468"/>
      <c r="G284" s="468"/>
      <c r="H284" s="468"/>
      <c r="I284" s="468"/>
      <c r="J284" s="468"/>
      <c r="K284" s="468"/>
      <c r="L284" s="468"/>
      <c r="M284" s="468"/>
      <c r="N284" s="468"/>
      <c r="O284" s="468"/>
      <c r="P284" s="468"/>
      <c r="Q284" s="468"/>
      <c r="R284" s="468"/>
      <c r="S284" s="468"/>
      <c r="T284" s="468"/>
      <c r="U284" s="468"/>
      <c r="V284" s="468"/>
      <c r="W284" s="468"/>
      <c r="X284" s="468"/>
      <c r="Y284" s="468"/>
      <c r="Z284" s="468"/>
    </row>
    <row r="285" spans="1:26" ht="18" customHeight="1" x14ac:dyDescent="0.35">
      <c r="A285" s="468"/>
      <c r="B285" s="468"/>
      <c r="C285" s="468"/>
      <c r="D285" s="468"/>
      <c r="E285" s="468"/>
      <c r="F285" s="468"/>
      <c r="G285" s="468"/>
      <c r="H285" s="468"/>
      <c r="I285" s="468"/>
      <c r="J285" s="468"/>
      <c r="K285" s="468"/>
      <c r="L285" s="468"/>
      <c r="M285" s="468"/>
      <c r="N285" s="468"/>
      <c r="O285" s="468"/>
      <c r="P285" s="468"/>
      <c r="Q285" s="468"/>
      <c r="R285" s="468"/>
      <c r="S285" s="468"/>
      <c r="T285" s="468"/>
      <c r="U285" s="468"/>
      <c r="V285" s="468"/>
      <c r="W285" s="468"/>
      <c r="X285" s="468"/>
      <c r="Y285" s="468"/>
      <c r="Z285" s="468"/>
    </row>
    <row r="286" spans="1:26" ht="18" customHeight="1" x14ac:dyDescent="0.35">
      <c r="A286" s="468"/>
      <c r="B286" s="468"/>
      <c r="C286" s="468"/>
      <c r="D286" s="468"/>
      <c r="E286" s="468"/>
      <c r="F286" s="468"/>
      <c r="G286" s="468"/>
      <c r="H286" s="468"/>
      <c r="I286" s="468"/>
      <c r="J286" s="468"/>
      <c r="K286" s="468"/>
      <c r="L286" s="468"/>
      <c r="M286" s="468"/>
      <c r="N286" s="468"/>
      <c r="O286" s="468"/>
      <c r="P286" s="468"/>
      <c r="Q286" s="468"/>
      <c r="R286" s="468"/>
      <c r="S286" s="468"/>
      <c r="T286" s="468"/>
      <c r="U286" s="468"/>
      <c r="V286" s="468"/>
      <c r="W286" s="468"/>
      <c r="X286" s="468"/>
      <c r="Y286" s="468"/>
      <c r="Z286" s="468"/>
    </row>
    <row r="287" spans="1:26" ht="18" customHeight="1" x14ac:dyDescent="0.35">
      <c r="A287" s="468"/>
      <c r="B287" s="468"/>
      <c r="C287" s="468"/>
      <c r="D287" s="468"/>
      <c r="E287" s="468"/>
      <c r="F287" s="468"/>
      <c r="G287" s="468"/>
      <c r="H287" s="468"/>
      <c r="I287" s="468"/>
      <c r="J287" s="468"/>
      <c r="K287" s="468"/>
      <c r="L287" s="468"/>
      <c r="M287" s="468"/>
      <c r="N287" s="468"/>
      <c r="O287" s="468"/>
      <c r="P287" s="468"/>
      <c r="Q287" s="468"/>
      <c r="R287" s="468"/>
      <c r="S287" s="468"/>
      <c r="T287" s="468"/>
      <c r="U287" s="468"/>
      <c r="V287" s="468"/>
      <c r="W287" s="468"/>
      <c r="X287" s="468"/>
      <c r="Y287" s="468"/>
      <c r="Z287" s="468"/>
    </row>
    <row r="288" spans="1:26" ht="18" customHeight="1" x14ac:dyDescent="0.35">
      <c r="A288" s="468"/>
      <c r="B288" s="468"/>
      <c r="C288" s="468"/>
      <c r="D288" s="468"/>
      <c r="E288" s="468"/>
      <c r="F288" s="468"/>
      <c r="G288" s="468"/>
      <c r="H288" s="468"/>
      <c r="I288" s="468"/>
      <c r="J288" s="468"/>
      <c r="K288" s="468"/>
      <c r="L288" s="468"/>
      <c r="M288" s="468"/>
      <c r="N288" s="468"/>
      <c r="O288" s="468"/>
      <c r="P288" s="468"/>
      <c r="Q288" s="468"/>
      <c r="R288" s="468"/>
      <c r="S288" s="468"/>
      <c r="T288" s="468"/>
      <c r="U288" s="468"/>
      <c r="V288" s="468"/>
      <c r="W288" s="468"/>
      <c r="X288" s="468"/>
      <c r="Y288" s="468"/>
      <c r="Z288" s="468"/>
    </row>
    <row r="289" spans="1:26" ht="18" customHeight="1" x14ac:dyDescent="0.35">
      <c r="A289" s="468"/>
      <c r="B289" s="468"/>
      <c r="C289" s="468"/>
      <c r="D289" s="468"/>
      <c r="E289" s="468"/>
      <c r="F289" s="468"/>
      <c r="G289" s="468"/>
      <c r="H289" s="468"/>
      <c r="I289" s="468"/>
      <c r="J289" s="468"/>
      <c r="K289" s="468"/>
      <c r="L289" s="468"/>
      <c r="M289" s="468"/>
      <c r="N289" s="468"/>
      <c r="O289" s="468"/>
      <c r="P289" s="468"/>
      <c r="Q289" s="468"/>
      <c r="R289" s="468"/>
      <c r="S289" s="468"/>
      <c r="T289" s="468"/>
      <c r="U289" s="468"/>
      <c r="V289" s="468"/>
      <c r="W289" s="468"/>
      <c r="X289" s="468"/>
      <c r="Y289" s="468"/>
      <c r="Z289" s="468"/>
    </row>
    <row r="290" spans="1:26" ht="18" customHeight="1" x14ac:dyDescent="0.35">
      <c r="A290" s="468"/>
      <c r="B290" s="468"/>
      <c r="C290" s="468"/>
      <c r="D290" s="468"/>
      <c r="E290" s="468"/>
      <c r="F290" s="468"/>
      <c r="G290" s="468"/>
      <c r="H290" s="468"/>
      <c r="I290" s="468"/>
      <c r="J290" s="468"/>
      <c r="K290" s="468"/>
      <c r="L290" s="468"/>
      <c r="M290" s="468"/>
      <c r="N290" s="468"/>
      <c r="O290" s="468"/>
      <c r="P290" s="468"/>
      <c r="Q290" s="468"/>
      <c r="R290" s="468"/>
      <c r="S290" s="468"/>
      <c r="T290" s="468"/>
      <c r="U290" s="468"/>
      <c r="V290" s="468"/>
      <c r="W290" s="468"/>
      <c r="X290" s="468"/>
      <c r="Y290" s="468"/>
      <c r="Z290" s="468"/>
    </row>
    <row r="291" spans="1:26" ht="18" customHeight="1" x14ac:dyDescent="0.35">
      <c r="A291" s="468"/>
      <c r="B291" s="468"/>
      <c r="C291" s="468"/>
      <c r="D291" s="468"/>
      <c r="E291" s="468"/>
      <c r="F291" s="468"/>
      <c r="G291" s="468"/>
      <c r="H291" s="468"/>
      <c r="I291" s="468"/>
      <c r="J291" s="468"/>
      <c r="K291" s="468"/>
      <c r="L291" s="468"/>
      <c r="M291" s="468"/>
      <c r="N291" s="468"/>
      <c r="O291" s="468"/>
      <c r="P291" s="468"/>
      <c r="Q291" s="468"/>
      <c r="R291" s="468"/>
      <c r="S291" s="468"/>
      <c r="T291" s="468"/>
      <c r="U291" s="468"/>
      <c r="V291" s="468"/>
      <c r="W291" s="468"/>
      <c r="X291" s="468"/>
      <c r="Y291" s="468"/>
      <c r="Z291" s="468"/>
    </row>
    <row r="292" spans="1:26" ht="18" customHeight="1" x14ac:dyDescent="0.35">
      <c r="A292" s="468"/>
      <c r="B292" s="468"/>
      <c r="C292" s="468"/>
      <c r="D292" s="468"/>
      <c r="E292" s="468"/>
      <c r="F292" s="468"/>
      <c r="G292" s="468"/>
      <c r="H292" s="468"/>
      <c r="I292" s="468"/>
      <c r="J292" s="468"/>
      <c r="K292" s="468"/>
      <c r="L292" s="468"/>
      <c r="M292" s="468"/>
      <c r="N292" s="468"/>
      <c r="O292" s="468"/>
      <c r="P292" s="468"/>
      <c r="Q292" s="468"/>
      <c r="R292" s="468"/>
      <c r="S292" s="468"/>
      <c r="T292" s="468"/>
      <c r="U292" s="468"/>
      <c r="V292" s="468"/>
      <c r="W292" s="468"/>
      <c r="X292" s="468"/>
      <c r="Y292" s="468"/>
      <c r="Z292" s="468"/>
    </row>
    <row r="293" spans="1:26" ht="18" customHeight="1" x14ac:dyDescent="0.35">
      <c r="A293" s="468"/>
      <c r="B293" s="468"/>
      <c r="C293" s="468"/>
      <c r="D293" s="468"/>
      <c r="E293" s="468"/>
      <c r="F293" s="468"/>
      <c r="G293" s="468"/>
      <c r="H293" s="468"/>
      <c r="I293" s="468"/>
      <c r="J293" s="468"/>
      <c r="K293" s="468"/>
      <c r="L293" s="468"/>
      <c r="M293" s="468"/>
      <c r="N293" s="468"/>
      <c r="O293" s="468"/>
      <c r="P293" s="468"/>
      <c r="Q293" s="468"/>
      <c r="R293" s="468"/>
      <c r="S293" s="468"/>
      <c r="T293" s="468"/>
      <c r="U293" s="468"/>
      <c r="V293" s="468"/>
      <c r="W293" s="468"/>
      <c r="X293" s="468"/>
      <c r="Y293" s="468"/>
      <c r="Z293" s="468"/>
    </row>
    <row r="294" spans="1:26" ht="18" customHeight="1" x14ac:dyDescent="0.35">
      <c r="A294" s="468"/>
      <c r="B294" s="468"/>
      <c r="C294" s="468"/>
      <c r="D294" s="468"/>
      <c r="E294" s="468"/>
      <c r="F294" s="468"/>
      <c r="G294" s="468"/>
      <c r="H294" s="468"/>
      <c r="I294" s="468"/>
      <c r="J294" s="468"/>
      <c r="K294" s="468"/>
      <c r="L294" s="468"/>
      <c r="M294" s="468"/>
      <c r="N294" s="468"/>
      <c r="O294" s="468"/>
      <c r="P294" s="468"/>
      <c r="Q294" s="468"/>
      <c r="R294" s="468"/>
      <c r="S294" s="468"/>
      <c r="T294" s="468"/>
      <c r="U294" s="468"/>
      <c r="V294" s="468"/>
      <c r="W294" s="468"/>
      <c r="X294" s="468"/>
      <c r="Y294" s="468"/>
      <c r="Z294" s="468"/>
    </row>
    <row r="295" spans="1:26" ht="18" customHeight="1" x14ac:dyDescent="0.35">
      <c r="A295" s="468"/>
      <c r="B295" s="468"/>
      <c r="C295" s="468"/>
      <c r="D295" s="468"/>
      <c r="E295" s="468"/>
      <c r="F295" s="468"/>
      <c r="G295" s="468"/>
      <c r="H295" s="468"/>
      <c r="I295" s="468"/>
      <c r="J295" s="468"/>
      <c r="K295" s="468"/>
      <c r="L295" s="468"/>
      <c r="M295" s="468"/>
      <c r="N295" s="468"/>
      <c r="O295" s="468"/>
      <c r="P295" s="468"/>
      <c r="Q295" s="468"/>
      <c r="R295" s="468"/>
      <c r="S295" s="468"/>
      <c r="T295" s="468"/>
      <c r="U295" s="468"/>
      <c r="V295" s="468"/>
      <c r="W295" s="468"/>
      <c r="X295" s="468"/>
      <c r="Y295" s="468"/>
      <c r="Z295" s="468"/>
    </row>
    <row r="296" spans="1:26" ht="18" customHeight="1" x14ac:dyDescent="0.35">
      <c r="A296" s="468"/>
      <c r="B296" s="468"/>
      <c r="C296" s="468"/>
      <c r="D296" s="468"/>
      <c r="E296" s="468"/>
      <c r="F296" s="468"/>
      <c r="G296" s="468"/>
      <c r="H296" s="468"/>
      <c r="I296" s="468"/>
      <c r="J296" s="468"/>
      <c r="K296" s="468"/>
      <c r="L296" s="468"/>
      <c r="M296" s="468"/>
      <c r="N296" s="468"/>
      <c r="O296" s="468"/>
      <c r="P296" s="468"/>
      <c r="Q296" s="468"/>
      <c r="R296" s="468"/>
      <c r="S296" s="468"/>
      <c r="T296" s="468"/>
      <c r="U296" s="468"/>
      <c r="V296" s="468"/>
      <c r="W296" s="468"/>
      <c r="X296" s="468"/>
      <c r="Y296" s="468"/>
      <c r="Z296" s="468"/>
    </row>
    <row r="297" spans="1:26" ht="18" customHeight="1" x14ac:dyDescent="0.35">
      <c r="A297" s="468"/>
      <c r="B297" s="468"/>
      <c r="C297" s="468"/>
      <c r="D297" s="468"/>
      <c r="E297" s="468"/>
      <c r="F297" s="468"/>
      <c r="G297" s="468"/>
      <c r="H297" s="468"/>
      <c r="I297" s="468"/>
      <c r="J297" s="468"/>
      <c r="K297" s="468"/>
      <c r="L297" s="468"/>
      <c r="M297" s="468"/>
      <c r="N297" s="468"/>
      <c r="O297" s="468"/>
      <c r="P297" s="468"/>
      <c r="Q297" s="468"/>
      <c r="R297" s="468"/>
      <c r="S297" s="468"/>
      <c r="T297" s="468"/>
      <c r="U297" s="468"/>
      <c r="V297" s="468"/>
      <c r="W297" s="468"/>
      <c r="X297" s="468"/>
      <c r="Y297" s="468"/>
      <c r="Z297" s="468"/>
    </row>
    <row r="298" spans="1:26" ht="18" customHeight="1" x14ac:dyDescent="0.35">
      <c r="A298" s="468"/>
      <c r="B298" s="468"/>
      <c r="C298" s="468"/>
      <c r="D298" s="468"/>
      <c r="E298" s="468"/>
      <c r="F298" s="468"/>
      <c r="G298" s="468"/>
      <c r="H298" s="468"/>
      <c r="I298" s="468"/>
      <c r="J298" s="468"/>
      <c r="K298" s="468"/>
      <c r="L298" s="468"/>
      <c r="M298" s="468"/>
      <c r="N298" s="468"/>
      <c r="O298" s="468"/>
      <c r="P298" s="468"/>
      <c r="Q298" s="468"/>
      <c r="R298" s="468"/>
      <c r="S298" s="468"/>
      <c r="T298" s="468"/>
      <c r="U298" s="468"/>
      <c r="V298" s="468"/>
      <c r="W298" s="468"/>
      <c r="X298" s="468"/>
      <c r="Y298" s="468"/>
      <c r="Z298" s="468"/>
    </row>
    <row r="299" spans="1:26" ht="18" customHeight="1" x14ac:dyDescent="0.35">
      <c r="A299" s="468"/>
      <c r="B299" s="468"/>
      <c r="C299" s="468"/>
      <c r="D299" s="468"/>
      <c r="E299" s="468"/>
      <c r="F299" s="468"/>
      <c r="G299" s="468"/>
      <c r="H299" s="468"/>
      <c r="I299" s="468"/>
      <c r="J299" s="468"/>
      <c r="K299" s="468"/>
      <c r="L299" s="468"/>
      <c r="M299" s="468"/>
      <c r="N299" s="468"/>
      <c r="O299" s="468"/>
      <c r="P299" s="468"/>
      <c r="Q299" s="468"/>
      <c r="R299" s="468"/>
      <c r="S299" s="468"/>
      <c r="T299" s="468"/>
      <c r="U299" s="468"/>
      <c r="V299" s="468"/>
      <c r="W299" s="468"/>
      <c r="X299" s="468"/>
      <c r="Y299" s="468"/>
      <c r="Z299" s="468"/>
    </row>
    <row r="300" spans="1:26" ht="18" customHeight="1" x14ac:dyDescent="0.35">
      <c r="A300" s="468"/>
      <c r="B300" s="468"/>
      <c r="C300" s="468"/>
      <c r="D300" s="468"/>
      <c r="E300" s="468"/>
      <c r="F300" s="468"/>
      <c r="G300" s="468"/>
      <c r="H300" s="468"/>
      <c r="I300" s="468"/>
      <c r="J300" s="468"/>
      <c r="K300" s="468"/>
      <c r="L300" s="468"/>
      <c r="M300" s="468"/>
      <c r="N300" s="468"/>
      <c r="O300" s="468"/>
      <c r="P300" s="468"/>
      <c r="Q300" s="468"/>
      <c r="R300" s="468"/>
      <c r="S300" s="468"/>
      <c r="T300" s="468"/>
      <c r="U300" s="468"/>
      <c r="V300" s="468"/>
      <c r="W300" s="468"/>
      <c r="X300" s="468"/>
      <c r="Y300" s="468"/>
      <c r="Z300" s="468"/>
    </row>
    <row r="301" spans="1:26" ht="18" customHeight="1" x14ac:dyDescent="0.35">
      <c r="A301" s="468"/>
      <c r="B301" s="468"/>
      <c r="C301" s="468"/>
      <c r="D301" s="468"/>
      <c r="E301" s="468"/>
      <c r="F301" s="468"/>
      <c r="G301" s="468"/>
      <c r="H301" s="468"/>
      <c r="I301" s="468"/>
      <c r="J301" s="468"/>
      <c r="K301" s="468"/>
      <c r="L301" s="468"/>
      <c r="M301" s="468"/>
      <c r="N301" s="468"/>
      <c r="O301" s="468"/>
      <c r="P301" s="468"/>
      <c r="Q301" s="468"/>
      <c r="R301" s="468"/>
      <c r="S301" s="468"/>
      <c r="T301" s="468"/>
      <c r="U301" s="468"/>
      <c r="V301" s="468"/>
      <c r="W301" s="468"/>
      <c r="X301" s="468"/>
      <c r="Y301" s="468"/>
      <c r="Z301" s="468"/>
    </row>
    <row r="302" spans="1:26" ht="18" customHeight="1" x14ac:dyDescent="0.35">
      <c r="A302" s="468"/>
      <c r="B302" s="468"/>
      <c r="C302" s="468"/>
      <c r="D302" s="468"/>
      <c r="E302" s="468"/>
      <c r="F302" s="468"/>
      <c r="G302" s="468"/>
      <c r="H302" s="468"/>
      <c r="I302" s="468"/>
      <c r="J302" s="468"/>
      <c r="K302" s="468"/>
      <c r="L302" s="468"/>
      <c r="M302" s="468"/>
      <c r="N302" s="468"/>
      <c r="O302" s="468"/>
      <c r="P302" s="468"/>
      <c r="Q302" s="468"/>
      <c r="R302" s="468"/>
      <c r="S302" s="468"/>
      <c r="T302" s="468"/>
      <c r="U302" s="468"/>
      <c r="V302" s="468"/>
      <c r="W302" s="468"/>
      <c r="X302" s="468"/>
      <c r="Y302" s="468"/>
      <c r="Z302" s="468"/>
    </row>
    <row r="303" spans="1:26" ht="18" customHeight="1" x14ac:dyDescent="0.35">
      <c r="A303" s="468"/>
      <c r="B303" s="468"/>
      <c r="C303" s="468"/>
      <c r="D303" s="468"/>
      <c r="E303" s="468"/>
      <c r="F303" s="468"/>
      <c r="G303" s="468"/>
      <c r="H303" s="468"/>
      <c r="I303" s="468"/>
      <c r="J303" s="468"/>
      <c r="K303" s="468"/>
      <c r="L303" s="468"/>
      <c r="M303" s="468"/>
      <c r="N303" s="468"/>
      <c r="O303" s="468"/>
      <c r="P303" s="468"/>
      <c r="Q303" s="468"/>
      <c r="R303" s="468"/>
      <c r="S303" s="468"/>
      <c r="T303" s="468"/>
      <c r="U303" s="468"/>
      <c r="V303" s="468"/>
      <c r="W303" s="468"/>
      <c r="X303" s="468"/>
      <c r="Y303" s="468"/>
      <c r="Z303" s="468"/>
    </row>
    <row r="304" spans="1:26" ht="18" customHeight="1" x14ac:dyDescent="0.35">
      <c r="A304" s="468"/>
      <c r="B304" s="468"/>
      <c r="C304" s="468"/>
      <c r="D304" s="468"/>
      <c r="E304" s="468"/>
      <c r="F304" s="468"/>
      <c r="G304" s="468"/>
      <c r="H304" s="468"/>
      <c r="I304" s="468"/>
      <c r="J304" s="468"/>
      <c r="K304" s="468"/>
      <c r="L304" s="468"/>
      <c r="M304" s="468"/>
      <c r="N304" s="468"/>
      <c r="O304" s="468"/>
      <c r="P304" s="468"/>
      <c r="Q304" s="468"/>
      <c r="R304" s="468"/>
      <c r="S304" s="468"/>
      <c r="T304" s="468"/>
      <c r="U304" s="468"/>
      <c r="V304" s="468"/>
      <c r="W304" s="468"/>
      <c r="X304" s="468"/>
      <c r="Y304" s="468"/>
      <c r="Z304" s="468"/>
    </row>
    <row r="305" spans="1:26" ht="18" customHeight="1" x14ac:dyDescent="0.35">
      <c r="A305" s="468"/>
      <c r="B305" s="468"/>
      <c r="C305" s="468"/>
      <c r="D305" s="468"/>
      <c r="E305" s="468"/>
      <c r="F305" s="468"/>
      <c r="G305" s="468"/>
      <c r="H305" s="468"/>
      <c r="I305" s="468"/>
      <c r="J305" s="468"/>
      <c r="K305" s="468"/>
      <c r="L305" s="468"/>
      <c r="M305" s="468"/>
      <c r="N305" s="468"/>
      <c r="O305" s="468"/>
      <c r="P305" s="468"/>
      <c r="Q305" s="468"/>
      <c r="R305" s="468"/>
      <c r="S305" s="468"/>
      <c r="T305" s="468"/>
      <c r="U305" s="468"/>
      <c r="V305" s="468"/>
      <c r="W305" s="468"/>
      <c r="X305" s="468"/>
      <c r="Y305" s="468"/>
      <c r="Z305" s="468"/>
    </row>
    <row r="306" spans="1:26" ht="18" customHeight="1" x14ac:dyDescent="0.35">
      <c r="A306" s="468"/>
      <c r="B306" s="468"/>
      <c r="C306" s="468"/>
      <c r="D306" s="468"/>
      <c r="E306" s="468"/>
      <c r="F306" s="468"/>
      <c r="G306" s="468"/>
      <c r="H306" s="468"/>
      <c r="I306" s="468"/>
      <c r="J306" s="468"/>
      <c r="K306" s="468"/>
      <c r="L306" s="468"/>
      <c r="M306" s="468"/>
      <c r="N306" s="468"/>
      <c r="O306" s="468"/>
      <c r="P306" s="468"/>
      <c r="Q306" s="468"/>
      <c r="R306" s="468"/>
      <c r="S306" s="468"/>
      <c r="T306" s="468"/>
      <c r="U306" s="468"/>
      <c r="V306" s="468"/>
      <c r="W306" s="468"/>
      <c r="X306" s="468"/>
      <c r="Y306" s="468"/>
      <c r="Z306" s="468"/>
    </row>
    <row r="307" spans="1:26" ht="18" customHeight="1" x14ac:dyDescent="0.35">
      <c r="A307" s="468"/>
      <c r="B307" s="468"/>
      <c r="C307" s="468"/>
      <c r="D307" s="468"/>
      <c r="E307" s="468"/>
      <c r="F307" s="468"/>
      <c r="G307" s="468"/>
      <c r="H307" s="468"/>
      <c r="I307" s="468"/>
      <c r="J307" s="468"/>
      <c r="K307" s="468"/>
      <c r="L307" s="468"/>
      <c r="M307" s="468"/>
      <c r="N307" s="468"/>
      <c r="O307" s="468"/>
      <c r="P307" s="468"/>
      <c r="Q307" s="468"/>
      <c r="R307" s="468"/>
      <c r="S307" s="468"/>
      <c r="T307" s="468"/>
      <c r="U307" s="468"/>
      <c r="V307" s="468"/>
      <c r="W307" s="468"/>
      <c r="X307" s="468"/>
      <c r="Y307" s="468"/>
      <c r="Z307" s="468"/>
    </row>
    <row r="308" spans="1:26" ht="18" customHeight="1" x14ac:dyDescent="0.35">
      <c r="A308" s="468"/>
      <c r="B308" s="468"/>
      <c r="C308" s="468"/>
      <c r="D308" s="468"/>
      <c r="E308" s="468"/>
      <c r="F308" s="468"/>
      <c r="G308" s="468"/>
      <c r="H308" s="468"/>
      <c r="I308" s="468"/>
      <c r="J308" s="468"/>
      <c r="K308" s="468"/>
      <c r="L308" s="468"/>
      <c r="M308" s="468"/>
      <c r="N308" s="468"/>
      <c r="O308" s="468"/>
      <c r="P308" s="468"/>
      <c r="Q308" s="468"/>
      <c r="R308" s="468"/>
      <c r="S308" s="468"/>
      <c r="T308" s="468"/>
      <c r="U308" s="468"/>
      <c r="V308" s="468"/>
      <c r="W308" s="468"/>
      <c r="X308" s="468"/>
      <c r="Y308" s="468"/>
      <c r="Z308" s="468"/>
    </row>
    <row r="309" spans="1:26" ht="18" customHeight="1" x14ac:dyDescent="0.35">
      <c r="A309" s="468"/>
      <c r="B309" s="468"/>
      <c r="C309" s="468"/>
      <c r="D309" s="468"/>
      <c r="E309" s="468"/>
      <c r="F309" s="468"/>
      <c r="G309" s="468"/>
      <c r="H309" s="468"/>
      <c r="I309" s="468"/>
      <c r="J309" s="468"/>
      <c r="K309" s="468"/>
      <c r="L309" s="468"/>
      <c r="M309" s="468"/>
      <c r="N309" s="468"/>
      <c r="O309" s="468"/>
      <c r="P309" s="468"/>
      <c r="Q309" s="468"/>
      <c r="R309" s="468"/>
      <c r="S309" s="468"/>
      <c r="T309" s="468"/>
      <c r="U309" s="468"/>
      <c r="V309" s="468"/>
      <c r="W309" s="468"/>
      <c r="X309" s="468"/>
      <c r="Y309" s="468"/>
      <c r="Z309" s="468"/>
    </row>
    <row r="310" spans="1:26" ht="18" customHeight="1" x14ac:dyDescent="0.35">
      <c r="A310" s="468"/>
      <c r="B310" s="468"/>
      <c r="C310" s="468"/>
      <c r="D310" s="468"/>
      <c r="E310" s="468"/>
      <c r="F310" s="468"/>
      <c r="G310" s="468"/>
      <c r="H310" s="468"/>
      <c r="I310" s="468"/>
      <c r="J310" s="468"/>
      <c r="K310" s="468"/>
      <c r="L310" s="468"/>
      <c r="M310" s="468"/>
      <c r="N310" s="468"/>
      <c r="O310" s="468"/>
      <c r="P310" s="468"/>
      <c r="Q310" s="468"/>
      <c r="R310" s="468"/>
      <c r="S310" s="468"/>
      <c r="T310" s="468"/>
      <c r="U310" s="468"/>
      <c r="V310" s="468"/>
      <c r="W310" s="468"/>
      <c r="X310" s="468"/>
      <c r="Y310" s="468"/>
      <c r="Z310" s="468"/>
    </row>
    <row r="311" spans="1:26" ht="18" customHeight="1" x14ac:dyDescent="0.35">
      <c r="A311" s="468"/>
      <c r="B311" s="468"/>
      <c r="C311" s="468"/>
      <c r="D311" s="468"/>
      <c r="E311" s="468"/>
      <c r="F311" s="468"/>
      <c r="G311" s="468"/>
      <c r="H311" s="468"/>
      <c r="I311" s="468"/>
      <c r="J311" s="468"/>
      <c r="K311" s="468"/>
      <c r="L311" s="468"/>
      <c r="M311" s="468"/>
      <c r="N311" s="468"/>
      <c r="O311" s="468"/>
      <c r="P311" s="468"/>
      <c r="Q311" s="468"/>
      <c r="R311" s="468"/>
      <c r="S311" s="468"/>
      <c r="T311" s="468"/>
      <c r="U311" s="468"/>
      <c r="V311" s="468"/>
      <c r="W311" s="468"/>
      <c r="X311" s="468"/>
      <c r="Y311" s="468"/>
      <c r="Z311" s="468"/>
    </row>
    <row r="312" spans="1:26" ht="18" customHeight="1" x14ac:dyDescent="0.35">
      <c r="A312" s="468"/>
      <c r="B312" s="468"/>
      <c r="C312" s="468"/>
      <c r="D312" s="468"/>
      <c r="E312" s="468"/>
      <c r="F312" s="468"/>
      <c r="G312" s="468"/>
      <c r="H312" s="468"/>
      <c r="I312" s="468"/>
      <c r="J312" s="468"/>
      <c r="K312" s="468"/>
      <c r="L312" s="468"/>
      <c r="M312" s="468"/>
      <c r="N312" s="468"/>
      <c r="O312" s="468"/>
      <c r="P312" s="468"/>
      <c r="Q312" s="468"/>
      <c r="R312" s="468"/>
      <c r="S312" s="468"/>
      <c r="T312" s="468"/>
      <c r="U312" s="468"/>
      <c r="V312" s="468"/>
      <c r="W312" s="468"/>
      <c r="X312" s="468"/>
      <c r="Y312" s="468"/>
      <c r="Z312" s="468"/>
    </row>
    <row r="313" spans="1:26" ht="18" customHeight="1" x14ac:dyDescent="0.35">
      <c r="A313" s="468"/>
      <c r="B313" s="468"/>
      <c r="C313" s="468"/>
      <c r="D313" s="468"/>
      <c r="E313" s="468"/>
      <c r="F313" s="468"/>
      <c r="G313" s="468"/>
      <c r="H313" s="468"/>
      <c r="I313" s="468"/>
      <c r="J313" s="468"/>
      <c r="K313" s="468"/>
      <c r="L313" s="468"/>
      <c r="M313" s="468"/>
      <c r="N313" s="468"/>
      <c r="O313" s="468"/>
      <c r="P313" s="468"/>
      <c r="Q313" s="468"/>
      <c r="R313" s="468"/>
      <c r="S313" s="468"/>
      <c r="T313" s="468"/>
      <c r="U313" s="468"/>
      <c r="V313" s="468"/>
      <c r="W313" s="468"/>
      <c r="X313" s="468"/>
      <c r="Y313" s="468"/>
      <c r="Z313" s="468"/>
    </row>
    <row r="314" spans="1:26" ht="18" customHeight="1" x14ac:dyDescent="0.35">
      <c r="A314" s="468"/>
      <c r="B314" s="468"/>
      <c r="C314" s="468"/>
      <c r="D314" s="468"/>
      <c r="E314" s="468"/>
      <c r="F314" s="468"/>
      <c r="G314" s="468"/>
      <c r="H314" s="468"/>
      <c r="I314" s="468"/>
      <c r="J314" s="468"/>
      <c r="K314" s="468"/>
      <c r="L314" s="468"/>
      <c r="M314" s="468"/>
      <c r="N314" s="468"/>
      <c r="O314" s="468"/>
      <c r="P314" s="468"/>
      <c r="Q314" s="468"/>
      <c r="R314" s="468"/>
      <c r="S314" s="468"/>
      <c r="T314" s="468"/>
      <c r="U314" s="468"/>
      <c r="V314" s="468"/>
      <c r="W314" s="468"/>
      <c r="X314" s="468"/>
      <c r="Y314" s="468"/>
      <c r="Z314" s="468"/>
    </row>
    <row r="315" spans="1:26" ht="18" customHeight="1" x14ac:dyDescent="0.35">
      <c r="A315" s="468"/>
      <c r="B315" s="468"/>
      <c r="C315" s="468"/>
      <c r="D315" s="468"/>
      <c r="E315" s="468"/>
      <c r="F315" s="468"/>
      <c r="G315" s="468"/>
      <c r="H315" s="468"/>
      <c r="I315" s="468"/>
      <c r="J315" s="468"/>
      <c r="K315" s="468"/>
      <c r="L315" s="468"/>
      <c r="M315" s="468"/>
      <c r="N315" s="468"/>
      <c r="O315" s="468"/>
      <c r="P315" s="468"/>
      <c r="Q315" s="468"/>
      <c r="R315" s="468"/>
      <c r="S315" s="468"/>
      <c r="T315" s="468"/>
      <c r="U315" s="468"/>
      <c r="V315" s="468"/>
      <c r="W315" s="468"/>
      <c r="X315" s="468"/>
      <c r="Y315" s="468"/>
      <c r="Z315" s="468"/>
    </row>
    <row r="316" spans="1:26" ht="18" customHeight="1" x14ac:dyDescent="0.35">
      <c r="A316" s="468"/>
      <c r="B316" s="468"/>
      <c r="C316" s="468"/>
      <c r="D316" s="468"/>
      <c r="E316" s="468"/>
      <c r="F316" s="468"/>
      <c r="G316" s="468"/>
      <c r="H316" s="468"/>
      <c r="I316" s="468"/>
      <c r="J316" s="468"/>
      <c r="K316" s="468"/>
      <c r="L316" s="468"/>
      <c r="M316" s="468"/>
      <c r="N316" s="468"/>
      <c r="O316" s="468"/>
      <c r="P316" s="468"/>
      <c r="Q316" s="468"/>
      <c r="R316" s="468"/>
      <c r="S316" s="468"/>
      <c r="T316" s="468"/>
      <c r="U316" s="468"/>
      <c r="V316" s="468"/>
      <c r="W316" s="468"/>
      <c r="X316" s="468"/>
      <c r="Y316" s="468"/>
      <c r="Z316" s="468"/>
    </row>
    <row r="317" spans="1:26" ht="18" customHeight="1" x14ac:dyDescent="0.35">
      <c r="A317" s="468"/>
      <c r="B317" s="468"/>
      <c r="C317" s="468"/>
      <c r="D317" s="468"/>
      <c r="E317" s="468"/>
      <c r="F317" s="468"/>
      <c r="G317" s="468"/>
      <c r="H317" s="468"/>
      <c r="I317" s="468"/>
      <c r="J317" s="468"/>
      <c r="K317" s="468"/>
      <c r="L317" s="468"/>
      <c r="M317" s="468"/>
      <c r="N317" s="468"/>
      <c r="O317" s="468"/>
      <c r="P317" s="468"/>
      <c r="Q317" s="468"/>
      <c r="R317" s="468"/>
      <c r="S317" s="468"/>
      <c r="T317" s="468"/>
      <c r="U317" s="468"/>
      <c r="V317" s="468"/>
      <c r="W317" s="468"/>
      <c r="X317" s="468"/>
      <c r="Y317" s="468"/>
      <c r="Z317" s="468"/>
    </row>
    <row r="318" spans="1:26" ht="18" customHeight="1" x14ac:dyDescent="0.35">
      <c r="A318" s="468"/>
      <c r="B318" s="468"/>
      <c r="C318" s="468"/>
      <c r="D318" s="468"/>
      <c r="E318" s="468"/>
      <c r="F318" s="468"/>
      <c r="G318" s="468"/>
      <c r="H318" s="468"/>
      <c r="I318" s="468"/>
      <c r="J318" s="468"/>
      <c r="K318" s="468"/>
      <c r="L318" s="468"/>
      <c r="M318" s="468"/>
      <c r="N318" s="468"/>
      <c r="O318" s="468"/>
      <c r="P318" s="468"/>
      <c r="Q318" s="468"/>
      <c r="R318" s="468"/>
      <c r="S318" s="468"/>
      <c r="T318" s="468"/>
      <c r="U318" s="468"/>
      <c r="V318" s="468"/>
      <c r="W318" s="468"/>
      <c r="X318" s="468"/>
      <c r="Y318" s="468"/>
      <c r="Z318" s="468"/>
    </row>
    <row r="319" spans="1:26" ht="18" customHeight="1" x14ac:dyDescent="0.35">
      <c r="A319" s="468"/>
      <c r="B319" s="468"/>
      <c r="C319" s="468"/>
      <c r="D319" s="468"/>
      <c r="E319" s="468"/>
      <c r="F319" s="468"/>
      <c r="G319" s="468"/>
      <c r="H319" s="468"/>
      <c r="I319" s="468"/>
      <c r="J319" s="468"/>
      <c r="K319" s="468"/>
      <c r="L319" s="468"/>
      <c r="M319" s="468"/>
      <c r="N319" s="468"/>
      <c r="O319" s="468"/>
      <c r="P319" s="468"/>
      <c r="Q319" s="468"/>
      <c r="R319" s="468"/>
      <c r="S319" s="468"/>
      <c r="T319" s="468"/>
      <c r="U319" s="468"/>
      <c r="V319" s="468"/>
      <c r="W319" s="468"/>
      <c r="X319" s="468"/>
      <c r="Y319" s="468"/>
      <c r="Z319" s="468"/>
    </row>
    <row r="320" spans="1:26" ht="18" customHeight="1" x14ac:dyDescent="0.35">
      <c r="A320" s="468"/>
      <c r="B320" s="468"/>
      <c r="C320" s="468"/>
      <c r="D320" s="468"/>
      <c r="E320" s="468"/>
      <c r="F320" s="468"/>
      <c r="G320" s="468"/>
      <c r="H320" s="468"/>
      <c r="I320" s="468"/>
      <c r="J320" s="468"/>
      <c r="K320" s="468"/>
      <c r="L320" s="468"/>
      <c r="M320" s="468"/>
      <c r="N320" s="468"/>
      <c r="O320" s="468"/>
      <c r="P320" s="468"/>
      <c r="Q320" s="468"/>
      <c r="R320" s="468"/>
      <c r="S320" s="468"/>
      <c r="T320" s="468"/>
      <c r="U320" s="468"/>
      <c r="V320" s="468"/>
      <c r="W320" s="468"/>
      <c r="X320" s="468"/>
      <c r="Y320" s="468"/>
      <c r="Z320" s="468"/>
    </row>
    <row r="321" spans="1:26" ht="18" customHeight="1" x14ac:dyDescent="0.35">
      <c r="A321" s="468"/>
      <c r="B321" s="468"/>
      <c r="C321" s="468"/>
      <c r="D321" s="468"/>
      <c r="E321" s="468"/>
      <c r="F321" s="468"/>
      <c r="G321" s="468"/>
      <c r="H321" s="468"/>
      <c r="I321" s="468"/>
      <c r="J321" s="468"/>
      <c r="K321" s="468"/>
      <c r="L321" s="468"/>
      <c r="M321" s="468"/>
      <c r="N321" s="468"/>
      <c r="O321" s="468"/>
      <c r="P321" s="468"/>
      <c r="Q321" s="468"/>
      <c r="R321" s="468"/>
      <c r="S321" s="468"/>
      <c r="T321" s="468"/>
      <c r="U321" s="468"/>
      <c r="V321" s="468"/>
      <c r="W321" s="468"/>
      <c r="X321" s="468"/>
      <c r="Y321" s="468"/>
      <c r="Z321" s="468"/>
    </row>
    <row r="322" spans="1:26" ht="18" customHeight="1" x14ac:dyDescent="0.35">
      <c r="A322" s="468"/>
      <c r="B322" s="468"/>
      <c r="C322" s="468"/>
      <c r="D322" s="468"/>
      <c r="E322" s="468"/>
      <c r="F322" s="468"/>
      <c r="G322" s="468"/>
      <c r="H322" s="468"/>
      <c r="I322" s="468"/>
      <c r="J322" s="468"/>
      <c r="K322" s="468"/>
      <c r="L322" s="468"/>
      <c r="M322" s="468"/>
      <c r="N322" s="468"/>
      <c r="O322" s="468"/>
      <c r="P322" s="468"/>
      <c r="Q322" s="468"/>
      <c r="R322" s="468"/>
      <c r="S322" s="468"/>
      <c r="T322" s="468"/>
      <c r="U322" s="468"/>
      <c r="V322" s="468"/>
      <c r="W322" s="468"/>
      <c r="X322" s="468"/>
      <c r="Y322" s="468"/>
      <c r="Z322" s="468"/>
    </row>
    <row r="323" spans="1:26" ht="18" customHeight="1" x14ac:dyDescent="0.35">
      <c r="A323" s="468"/>
      <c r="B323" s="468"/>
      <c r="C323" s="468"/>
      <c r="D323" s="468"/>
      <c r="E323" s="468"/>
      <c r="F323" s="468"/>
      <c r="G323" s="468"/>
      <c r="H323" s="468"/>
      <c r="I323" s="468"/>
      <c r="J323" s="468"/>
      <c r="K323" s="468"/>
      <c r="L323" s="468"/>
      <c r="M323" s="468"/>
      <c r="N323" s="468"/>
      <c r="O323" s="468"/>
      <c r="P323" s="468"/>
      <c r="Q323" s="468"/>
      <c r="R323" s="468"/>
      <c r="S323" s="468"/>
      <c r="T323" s="468"/>
      <c r="U323" s="468"/>
      <c r="V323" s="468"/>
      <c r="W323" s="468"/>
      <c r="X323" s="468"/>
      <c r="Y323" s="468"/>
      <c r="Z323" s="468"/>
    </row>
    <row r="324" spans="1:26" ht="18" customHeight="1" x14ac:dyDescent="0.35">
      <c r="A324" s="468"/>
      <c r="B324" s="468"/>
      <c r="C324" s="468"/>
      <c r="D324" s="468"/>
      <c r="E324" s="468"/>
      <c r="F324" s="468"/>
      <c r="G324" s="468"/>
      <c r="H324" s="468"/>
      <c r="I324" s="468"/>
      <c r="J324" s="468"/>
      <c r="K324" s="468"/>
      <c r="L324" s="468"/>
      <c r="M324" s="468"/>
      <c r="N324" s="468"/>
      <c r="O324" s="468"/>
      <c r="P324" s="468"/>
      <c r="Q324" s="468"/>
      <c r="R324" s="468"/>
      <c r="S324" s="468"/>
      <c r="T324" s="468"/>
      <c r="U324" s="468"/>
      <c r="V324" s="468"/>
      <c r="W324" s="468"/>
      <c r="X324" s="468"/>
      <c r="Y324" s="468"/>
      <c r="Z324" s="468"/>
    </row>
    <row r="325" spans="1:26" ht="18" customHeight="1" x14ac:dyDescent="0.35">
      <c r="A325" s="468"/>
      <c r="B325" s="468"/>
      <c r="C325" s="468"/>
      <c r="D325" s="468"/>
      <c r="E325" s="468"/>
      <c r="F325" s="468"/>
      <c r="G325" s="468"/>
      <c r="H325" s="468"/>
      <c r="I325" s="468"/>
      <c r="J325" s="468"/>
      <c r="K325" s="468"/>
      <c r="L325" s="468"/>
      <c r="M325" s="468"/>
      <c r="N325" s="468"/>
      <c r="O325" s="468"/>
      <c r="P325" s="468"/>
      <c r="Q325" s="468"/>
      <c r="R325" s="468"/>
      <c r="S325" s="468"/>
      <c r="T325" s="468"/>
      <c r="U325" s="468"/>
      <c r="V325" s="468"/>
      <c r="W325" s="468"/>
      <c r="X325" s="468"/>
      <c r="Y325" s="468"/>
      <c r="Z325" s="468"/>
    </row>
    <row r="326" spans="1:26" ht="18" customHeight="1" x14ac:dyDescent="0.35">
      <c r="A326" s="468"/>
      <c r="B326" s="468"/>
      <c r="C326" s="468"/>
      <c r="D326" s="468"/>
      <c r="E326" s="468"/>
      <c r="F326" s="468"/>
      <c r="G326" s="468"/>
      <c r="H326" s="468"/>
      <c r="I326" s="468"/>
      <c r="J326" s="468"/>
      <c r="K326" s="468"/>
      <c r="L326" s="468"/>
      <c r="M326" s="468"/>
      <c r="N326" s="468"/>
      <c r="O326" s="468"/>
      <c r="P326" s="468"/>
      <c r="Q326" s="468"/>
      <c r="R326" s="468"/>
      <c r="S326" s="468"/>
      <c r="T326" s="468"/>
      <c r="U326" s="468"/>
      <c r="V326" s="468"/>
      <c r="W326" s="468"/>
      <c r="X326" s="468"/>
      <c r="Y326" s="468"/>
      <c r="Z326" s="468"/>
    </row>
    <row r="327" spans="1:26" ht="18" customHeight="1" x14ac:dyDescent="0.35">
      <c r="A327" s="468"/>
      <c r="B327" s="468"/>
      <c r="C327" s="468"/>
      <c r="D327" s="468"/>
      <c r="E327" s="468"/>
      <c r="F327" s="468"/>
      <c r="G327" s="468"/>
      <c r="H327" s="468"/>
      <c r="I327" s="468"/>
      <c r="J327" s="468"/>
      <c r="K327" s="468"/>
      <c r="L327" s="468"/>
      <c r="M327" s="468"/>
      <c r="N327" s="468"/>
      <c r="O327" s="468"/>
      <c r="P327" s="468"/>
      <c r="Q327" s="468"/>
      <c r="R327" s="468"/>
      <c r="S327" s="468"/>
      <c r="T327" s="468"/>
      <c r="U327" s="468"/>
      <c r="V327" s="468"/>
      <c r="W327" s="468"/>
      <c r="X327" s="468"/>
      <c r="Y327" s="468"/>
      <c r="Z327" s="468"/>
    </row>
    <row r="328" spans="1:26" ht="18" customHeight="1" x14ac:dyDescent="0.35">
      <c r="A328" s="468"/>
      <c r="B328" s="468"/>
      <c r="C328" s="468"/>
      <c r="D328" s="468"/>
      <c r="E328" s="468"/>
      <c r="F328" s="468"/>
      <c r="G328" s="468"/>
      <c r="H328" s="468"/>
      <c r="I328" s="468"/>
      <c r="J328" s="468"/>
      <c r="K328" s="468"/>
      <c r="L328" s="468"/>
      <c r="M328" s="468"/>
      <c r="N328" s="468"/>
      <c r="O328" s="468"/>
      <c r="P328" s="468"/>
      <c r="Q328" s="468"/>
      <c r="R328" s="468"/>
      <c r="S328" s="468"/>
      <c r="T328" s="468"/>
      <c r="U328" s="468"/>
      <c r="V328" s="468"/>
      <c r="W328" s="468"/>
      <c r="X328" s="468"/>
      <c r="Y328" s="468"/>
      <c r="Z328" s="468"/>
    </row>
    <row r="329" spans="1:26" ht="18" customHeight="1" x14ac:dyDescent="0.35">
      <c r="A329" s="468"/>
      <c r="B329" s="468"/>
      <c r="C329" s="468"/>
      <c r="D329" s="468"/>
      <c r="E329" s="468"/>
      <c r="F329" s="468"/>
      <c r="G329" s="468"/>
      <c r="H329" s="468"/>
      <c r="I329" s="468"/>
      <c r="J329" s="468"/>
      <c r="K329" s="468"/>
      <c r="L329" s="468"/>
      <c r="M329" s="468"/>
      <c r="N329" s="468"/>
      <c r="O329" s="468"/>
      <c r="P329" s="468"/>
      <c r="Q329" s="468"/>
      <c r="R329" s="468"/>
      <c r="S329" s="468"/>
      <c r="T329" s="468"/>
      <c r="U329" s="468"/>
      <c r="V329" s="468"/>
      <c r="W329" s="468"/>
      <c r="X329" s="468"/>
      <c r="Y329" s="468"/>
      <c r="Z329" s="468"/>
    </row>
    <row r="330" spans="1:26" ht="18" customHeight="1" x14ac:dyDescent="0.35">
      <c r="A330" s="468"/>
      <c r="B330" s="468"/>
      <c r="C330" s="468"/>
      <c r="D330" s="468"/>
      <c r="E330" s="468"/>
      <c r="F330" s="468"/>
      <c r="G330" s="468"/>
      <c r="H330" s="468"/>
      <c r="I330" s="468"/>
      <c r="J330" s="468"/>
      <c r="K330" s="468"/>
      <c r="L330" s="468"/>
      <c r="M330" s="468"/>
      <c r="N330" s="468"/>
      <c r="O330" s="468"/>
      <c r="P330" s="468"/>
      <c r="Q330" s="468"/>
      <c r="R330" s="468"/>
      <c r="S330" s="468"/>
      <c r="T330" s="468"/>
      <c r="U330" s="468"/>
      <c r="V330" s="468"/>
      <c r="W330" s="468"/>
      <c r="X330" s="468"/>
      <c r="Y330" s="468"/>
      <c r="Z330" s="468"/>
    </row>
    <row r="331" spans="1:26" ht="18" customHeight="1" x14ac:dyDescent="0.35">
      <c r="A331" s="468"/>
      <c r="B331" s="468"/>
      <c r="C331" s="468"/>
      <c r="D331" s="468"/>
      <c r="E331" s="468"/>
      <c r="F331" s="468"/>
      <c r="G331" s="468"/>
      <c r="H331" s="468"/>
      <c r="I331" s="468"/>
      <c r="J331" s="468"/>
      <c r="K331" s="468"/>
      <c r="L331" s="468"/>
      <c r="M331" s="468"/>
      <c r="N331" s="468"/>
      <c r="O331" s="468"/>
      <c r="P331" s="468"/>
      <c r="Q331" s="468"/>
      <c r="R331" s="468"/>
      <c r="S331" s="468"/>
      <c r="T331" s="468"/>
      <c r="U331" s="468"/>
      <c r="V331" s="468"/>
      <c r="W331" s="468"/>
      <c r="X331" s="468"/>
      <c r="Y331" s="468"/>
      <c r="Z331" s="468"/>
    </row>
    <row r="332" spans="1:26" ht="18" customHeight="1" x14ac:dyDescent="0.35">
      <c r="A332" s="468"/>
      <c r="B332" s="468"/>
      <c r="C332" s="468"/>
      <c r="D332" s="468"/>
      <c r="E332" s="468"/>
      <c r="F332" s="468"/>
      <c r="G332" s="468"/>
      <c r="H332" s="468"/>
      <c r="I332" s="468"/>
      <c r="J332" s="468"/>
      <c r="K332" s="468"/>
      <c r="L332" s="468"/>
      <c r="M332" s="468"/>
      <c r="N332" s="468"/>
      <c r="O332" s="468"/>
      <c r="P332" s="468"/>
      <c r="Q332" s="468"/>
      <c r="R332" s="468"/>
      <c r="S332" s="468"/>
      <c r="T332" s="468"/>
      <c r="U332" s="468"/>
      <c r="V332" s="468"/>
      <c r="W332" s="468"/>
      <c r="X332" s="468"/>
      <c r="Y332" s="468"/>
      <c r="Z332" s="468"/>
    </row>
    <row r="333" spans="1:26" ht="18" customHeight="1" x14ac:dyDescent="0.35">
      <c r="A333" s="468"/>
      <c r="B333" s="468"/>
      <c r="C333" s="468"/>
      <c r="D333" s="468"/>
      <c r="E333" s="468"/>
      <c r="F333" s="468"/>
      <c r="G333" s="468"/>
      <c r="H333" s="468"/>
      <c r="I333" s="468"/>
      <c r="J333" s="468"/>
      <c r="K333" s="468"/>
      <c r="L333" s="468"/>
      <c r="M333" s="468"/>
      <c r="N333" s="468"/>
      <c r="O333" s="468"/>
      <c r="P333" s="468"/>
      <c r="Q333" s="468"/>
      <c r="R333" s="468"/>
      <c r="S333" s="468"/>
      <c r="T333" s="468"/>
      <c r="U333" s="468"/>
      <c r="V333" s="468"/>
      <c r="W333" s="468"/>
      <c r="X333" s="468"/>
      <c r="Y333" s="468"/>
      <c r="Z333" s="468"/>
    </row>
    <row r="334" spans="1:26" ht="18" customHeight="1" x14ac:dyDescent="0.35">
      <c r="A334" s="468"/>
      <c r="B334" s="468"/>
      <c r="C334" s="468"/>
      <c r="D334" s="468"/>
      <c r="E334" s="468"/>
      <c r="F334" s="468"/>
      <c r="G334" s="468"/>
      <c r="H334" s="468"/>
      <c r="I334" s="468"/>
      <c r="J334" s="468"/>
      <c r="K334" s="468"/>
      <c r="L334" s="468"/>
      <c r="M334" s="468"/>
      <c r="N334" s="468"/>
      <c r="O334" s="468"/>
      <c r="P334" s="468"/>
      <c r="Q334" s="468"/>
      <c r="R334" s="468"/>
      <c r="S334" s="468"/>
      <c r="T334" s="468"/>
      <c r="U334" s="468"/>
      <c r="V334" s="468"/>
      <c r="W334" s="468"/>
      <c r="X334" s="468"/>
      <c r="Y334" s="468"/>
      <c r="Z334" s="468"/>
    </row>
    <row r="335" spans="1:26" ht="18" customHeight="1" x14ac:dyDescent="0.35">
      <c r="A335" s="468"/>
      <c r="B335" s="468"/>
      <c r="C335" s="468"/>
      <c r="D335" s="468"/>
      <c r="E335" s="468"/>
      <c r="F335" s="468"/>
      <c r="G335" s="468"/>
      <c r="H335" s="468"/>
      <c r="I335" s="468"/>
      <c r="J335" s="468"/>
      <c r="K335" s="468"/>
      <c r="L335" s="468"/>
      <c r="M335" s="468"/>
      <c r="N335" s="468"/>
      <c r="O335" s="468"/>
      <c r="P335" s="468"/>
      <c r="Q335" s="468"/>
      <c r="R335" s="468"/>
      <c r="S335" s="468"/>
      <c r="T335" s="468"/>
      <c r="U335" s="468"/>
      <c r="V335" s="468"/>
      <c r="W335" s="468"/>
      <c r="X335" s="468"/>
      <c r="Y335" s="468"/>
      <c r="Z335" s="468"/>
    </row>
    <row r="336" spans="1:26" ht="18" customHeight="1" x14ac:dyDescent="0.35">
      <c r="A336" s="468"/>
      <c r="B336" s="468"/>
      <c r="C336" s="468"/>
      <c r="D336" s="468"/>
      <c r="E336" s="468"/>
      <c r="F336" s="468"/>
      <c r="G336" s="468"/>
      <c r="H336" s="468"/>
      <c r="I336" s="468"/>
      <c r="J336" s="468"/>
      <c r="K336" s="468"/>
      <c r="L336" s="468"/>
      <c r="M336" s="468"/>
      <c r="N336" s="468"/>
      <c r="O336" s="468"/>
      <c r="P336" s="468"/>
      <c r="Q336" s="468"/>
      <c r="R336" s="468"/>
      <c r="S336" s="468"/>
      <c r="T336" s="468"/>
      <c r="U336" s="468"/>
      <c r="V336" s="468"/>
      <c r="W336" s="468"/>
      <c r="X336" s="468"/>
      <c r="Y336" s="468"/>
      <c r="Z336" s="468"/>
    </row>
    <row r="337" spans="1:26" ht="18" customHeight="1" x14ac:dyDescent="0.35">
      <c r="A337" s="468"/>
      <c r="B337" s="468"/>
      <c r="C337" s="468"/>
      <c r="D337" s="468"/>
      <c r="E337" s="468"/>
      <c r="F337" s="468"/>
      <c r="G337" s="468"/>
      <c r="H337" s="468"/>
      <c r="I337" s="468"/>
      <c r="J337" s="468"/>
      <c r="K337" s="468"/>
      <c r="L337" s="468"/>
      <c r="M337" s="468"/>
      <c r="N337" s="468"/>
      <c r="O337" s="468"/>
      <c r="P337" s="468"/>
      <c r="Q337" s="468"/>
      <c r="R337" s="468"/>
      <c r="S337" s="468"/>
      <c r="T337" s="468"/>
      <c r="U337" s="468"/>
      <c r="V337" s="468"/>
      <c r="W337" s="468"/>
      <c r="X337" s="468"/>
      <c r="Y337" s="468"/>
      <c r="Z337" s="468"/>
    </row>
    <row r="338" spans="1:26" ht="18" customHeight="1" x14ac:dyDescent="0.35">
      <c r="A338" s="468"/>
      <c r="B338" s="468"/>
      <c r="C338" s="468"/>
      <c r="D338" s="468"/>
      <c r="E338" s="468"/>
      <c r="F338" s="468"/>
      <c r="G338" s="468"/>
      <c r="H338" s="468"/>
      <c r="I338" s="468"/>
      <c r="J338" s="468"/>
      <c r="K338" s="468"/>
      <c r="L338" s="468"/>
      <c r="M338" s="468"/>
      <c r="N338" s="468"/>
      <c r="O338" s="468"/>
      <c r="P338" s="468"/>
      <c r="Q338" s="468"/>
      <c r="R338" s="468"/>
      <c r="S338" s="468"/>
      <c r="T338" s="468"/>
      <c r="U338" s="468"/>
      <c r="V338" s="468"/>
      <c r="W338" s="468"/>
      <c r="X338" s="468"/>
      <c r="Y338" s="468"/>
      <c r="Z338" s="468"/>
    </row>
    <row r="339" spans="1:26" ht="18" customHeight="1" x14ac:dyDescent="0.35">
      <c r="A339" s="468"/>
      <c r="B339" s="468"/>
      <c r="C339" s="468"/>
      <c r="D339" s="468"/>
      <c r="E339" s="468"/>
      <c r="F339" s="468"/>
      <c r="G339" s="468"/>
      <c r="H339" s="468"/>
      <c r="I339" s="468"/>
      <c r="J339" s="468"/>
      <c r="K339" s="468"/>
      <c r="L339" s="468"/>
      <c r="M339" s="468"/>
      <c r="N339" s="468"/>
      <c r="O339" s="468"/>
      <c r="P339" s="468"/>
      <c r="Q339" s="468"/>
      <c r="R339" s="468"/>
      <c r="S339" s="468"/>
      <c r="T339" s="468"/>
      <c r="U339" s="468"/>
      <c r="V339" s="468"/>
      <c r="W339" s="468"/>
      <c r="X339" s="468"/>
      <c r="Y339" s="468"/>
      <c r="Z339" s="468"/>
    </row>
    <row r="340" spans="1:26" ht="18" customHeight="1" x14ac:dyDescent="0.35">
      <c r="A340" s="468"/>
      <c r="B340" s="468"/>
      <c r="C340" s="468"/>
      <c r="D340" s="468"/>
      <c r="E340" s="468"/>
      <c r="F340" s="468"/>
      <c r="G340" s="468"/>
      <c r="H340" s="468"/>
      <c r="I340" s="468"/>
      <c r="J340" s="468"/>
      <c r="K340" s="468"/>
      <c r="L340" s="468"/>
      <c r="M340" s="468"/>
      <c r="N340" s="468"/>
      <c r="O340" s="468"/>
      <c r="P340" s="468"/>
      <c r="Q340" s="468"/>
      <c r="R340" s="468"/>
      <c r="S340" s="468"/>
      <c r="T340" s="468"/>
      <c r="U340" s="468"/>
      <c r="V340" s="468"/>
      <c r="W340" s="468"/>
      <c r="X340" s="468"/>
      <c r="Y340" s="468"/>
      <c r="Z340" s="468"/>
    </row>
    <row r="341" spans="1:26" ht="18" customHeight="1" x14ac:dyDescent="0.35">
      <c r="A341" s="468"/>
      <c r="B341" s="468"/>
      <c r="C341" s="468"/>
      <c r="D341" s="468"/>
      <c r="E341" s="468"/>
      <c r="F341" s="468"/>
      <c r="G341" s="468"/>
      <c r="H341" s="468"/>
      <c r="I341" s="468"/>
      <c r="J341" s="468"/>
      <c r="K341" s="468"/>
      <c r="L341" s="468"/>
      <c r="M341" s="468"/>
      <c r="N341" s="468"/>
      <c r="O341" s="468"/>
      <c r="P341" s="468"/>
      <c r="Q341" s="468"/>
      <c r="R341" s="468"/>
      <c r="S341" s="468"/>
      <c r="T341" s="468"/>
      <c r="U341" s="468"/>
      <c r="V341" s="468"/>
      <c r="W341" s="468"/>
      <c r="X341" s="468"/>
      <c r="Y341" s="468"/>
      <c r="Z341" s="468"/>
    </row>
    <row r="342" spans="1:26" ht="18" customHeight="1" x14ac:dyDescent="0.35">
      <c r="A342" s="468"/>
      <c r="B342" s="468"/>
      <c r="C342" s="468"/>
      <c r="D342" s="468"/>
      <c r="E342" s="468"/>
      <c r="F342" s="468"/>
      <c r="G342" s="468"/>
      <c r="H342" s="468"/>
      <c r="I342" s="468"/>
      <c r="J342" s="468"/>
      <c r="K342" s="468"/>
      <c r="L342" s="468"/>
      <c r="M342" s="468"/>
      <c r="N342" s="468"/>
      <c r="O342" s="468"/>
      <c r="P342" s="468"/>
      <c r="Q342" s="468"/>
      <c r="R342" s="468"/>
      <c r="S342" s="468"/>
      <c r="T342" s="468"/>
      <c r="U342" s="468"/>
      <c r="V342" s="468"/>
      <c r="W342" s="468"/>
      <c r="X342" s="468"/>
      <c r="Y342" s="468"/>
      <c r="Z342" s="468"/>
    </row>
    <row r="343" spans="1:26" ht="18" customHeight="1" x14ac:dyDescent="0.35">
      <c r="A343" s="468"/>
      <c r="B343" s="468"/>
      <c r="C343" s="468"/>
      <c r="D343" s="468"/>
      <c r="E343" s="468"/>
      <c r="F343" s="468"/>
      <c r="G343" s="468"/>
      <c r="H343" s="468"/>
      <c r="I343" s="468"/>
      <c r="J343" s="468"/>
      <c r="K343" s="468"/>
      <c r="L343" s="468"/>
      <c r="M343" s="468"/>
      <c r="N343" s="468"/>
      <c r="O343" s="468"/>
      <c r="P343" s="468"/>
      <c r="Q343" s="468"/>
      <c r="R343" s="468"/>
      <c r="S343" s="468"/>
      <c r="T343" s="468"/>
      <c r="U343" s="468"/>
      <c r="V343" s="468"/>
      <c r="W343" s="468"/>
      <c r="X343" s="468"/>
      <c r="Y343" s="468"/>
      <c r="Z343" s="468"/>
    </row>
    <row r="344" spans="1:26" ht="18" customHeight="1" x14ac:dyDescent="0.35">
      <c r="A344" s="468"/>
      <c r="B344" s="468"/>
      <c r="C344" s="468"/>
      <c r="D344" s="468"/>
      <c r="E344" s="468"/>
      <c r="F344" s="468"/>
      <c r="G344" s="468"/>
      <c r="H344" s="468"/>
      <c r="I344" s="468"/>
      <c r="J344" s="468"/>
      <c r="K344" s="468"/>
      <c r="L344" s="468"/>
      <c r="M344" s="468"/>
      <c r="N344" s="468"/>
      <c r="O344" s="468"/>
      <c r="P344" s="468"/>
      <c r="Q344" s="468"/>
      <c r="R344" s="468"/>
      <c r="S344" s="468"/>
      <c r="T344" s="468"/>
      <c r="U344" s="468"/>
      <c r="V344" s="468"/>
      <c r="W344" s="468"/>
      <c r="X344" s="468"/>
      <c r="Y344" s="468"/>
      <c r="Z344" s="468"/>
    </row>
    <row r="345" spans="1:26" ht="18" customHeight="1" x14ac:dyDescent="0.35">
      <c r="A345" s="468"/>
      <c r="B345" s="468"/>
      <c r="C345" s="468"/>
      <c r="D345" s="468"/>
      <c r="E345" s="468"/>
      <c r="F345" s="468"/>
      <c r="G345" s="468"/>
      <c r="H345" s="468"/>
      <c r="I345" s="468"/>
      <c r="J345" s="468"/>
      <c r="K345" s="468"/>
      <c r="L345" s="468"/>
      <c r="M345" s="468"/>
      <c r="N345" s="468"/>
      <c r="O345" s="468"/>
      <c r="P345" s="468"/>
      <c r="Q345" s="468"/>
      <c r="R345" s="468"/>
      <c r="S345" s="468"/>
      <c r="T345" s="468"/>
      <c r="U345" s="468"/>
      <c r="V345" s="468"/>
      <c r="W345" s="468"/>
      <c r="X345" s="468"/>
      <c r="Y345" s="468"/>
      <c r="Z345" s="468"/>
    </row>
    <row r="346" spans="1:26" ht="18" customHeight="1" x14ac:dyDescent="0.35">
      <c r="A346" s="468"/>
      <c r="B346" s="468"/>
      <c r="C346" s="468"/>
      <c r="D346" s="468"/>
      <c r="E346" s="468"/>
      <c r="F346" s="468"/>
      <c r="G346" s="468"/>
      <c r="H346" s="468"/>
      <c r="I346" s="468"/>
      <c r="J346" s="468"/>
      <c r="K346" s="468"/>
      <c r="L346" s="468"/>
      <c r="M346" s="468"/>
      <c r="N346" s="468"/>
      <c r="O346" s="468"/>
      <c r="P346" s="468"/>
      <c r="Q346" s="468"/>
      <c r="R346" s="468"/>
      <c r="S346" s="468"/>
      <c r="T346" s="468"/>
      <c r="U346" s="468"/>
      <c r="V346" s="468"/>
      <c r="W346" s="468"/>
      <c r="X346" s="468"/>
      <c r="Y346" s="468"/>
      <c r="Z346" s="468"/>
    </row>
    <row r="347" spans="1:26" ht="18" customHeight="1" x14ac:dyDescent="0.35">
      <c r="A347" s="468"/>
      <c r="B347" s="468"/>
      <c r="C347" s="468"/>
      <c r="D347" s="468"/>
      <c r="E347" s="468"/>
      <c r="F347" s="468"/>
      <c r="G347" s="468"/>
      <c r="H347" s="468"/>
      <c r="I347" s="468"/>
      <c r="J347" s="468"/>
      <c r="K347" s="468"/>
      <c r="L347" s="468"/>
      <c r="M347" s="468"/>
      <c r="N347" s="468"/>
      <c r="O347" s="468"/>
      <c r="P347" s="468"/>
      <c r="Q347" s="468"/>
      <c r="R347" s="468"/>
      <c r="S347" s="468"/>
      <c r="T347" s="468"/>
      <c r="U347" s="468"/>
      <c r="V347" s="468"/>
      <c r="W347" s="468"/>
      <c r="X347" s="468"/>
      <c r="Y347" s="468"/>
      <c r="Z347" s="468"/>
    </row>
    <row r="348" spans="1:26" ht="18" customHeight="1" x14ac:dyDescent="0.35">
      <c r="A348" s="468"/>
      <c r="B348" s="468"/>
      <c r="C348" s="468"/>
      <c r="D348" s="468"/>
      <c r="E348" s="468"/>
      <c r="F348" s="468"/>
      <c r="G348" s="468"/>
      <c r="H348" s="468"/>
      <c r="I348" s="468"/>
      <c r="J348" s="468"/>
      <c r="K348" s="468"/>
      <c r="L348" s="468"/>
      <c r="M348" s="468"/>
      <c r="N348" s="468"/>
      <c r="O348" s="468"/>
      <c r="P348" s="468"/>
      <c r="Q348" s="468"/>
      <c r="R348" s="468"/>
      <c r="S348" s="468"/>
      <c r="T348" s="468"/>
      <c r="U348" s="468"/>
      <c r="V348" s="468"/>
      <c r="W348" s="468"/>
      <c r="X348" s="468"/>
      <c r="Y348" s="468"/>
      <c r="Z348" s="468"/>
    </row>
    <row r="349" spans="1:26" ht="18" customHeight="1" x14ac:dyDescent="0.35">
      <c r="A349" s="468"/>
      <c r="B349" s="468"/>
      <c r="C349" s="468"/>
      <c r="D349" s="468"/>
      <c r="E349" s="468"/>
      <c r="F349" s="468"/>
      <c r="G349" s="468"/>
      <c r="H349" s="468"/>
      <c r="I349" s="468"/>
      <c r="J349" s="468"/>
      <c r="K349" s="468"/>
      <c r="L349" s="468"/>
      <c r="M349" s="468"/>
      <c r="N349" s="468"/>
      <c r="O349" s="468"/>
      <c r="P349" s="468"/>
      <c r="Q349" s="468"/>
      <c r="R349" s="468"/>
      <c r="S349" s="468"/>
      <c r="T349" s="468"/>
      <c r="U349" s="468"/>
      <c r="V349" s="468"/>
      <c r="W349" s="468"/>
      <c r="X349" s="468"/>
      <c r="Y349" s="468"/>
      <c r="Z349" s="468"/>
    </row>
    <row r="350" spans="1:26" ht="18" customHeight="1" x14ac:dyDescent="0.35">
      <c r="A350" s="468"/>
      <c r="B350" s="468"/>
      <c r="C350" s="468"/>
      <c r="D350" s="468"/>
      <c r="E350" s="468"/>
      <c r="F350" s="468"/>
      <c r="G350" s="468"/>
      <c r="H350" s="468"/>
      <c r="I350" s="468"/>
      <c r="J350" s="468"/>
      <c r="K350" s="468"/>
      <c r="L350" s="468"/>
      <c r="M350" s="468"/>
      <c r="N350" s="468"/>
      <c r="O350" s="468"/>
      <c r="P350" s="468"/>
      <c r="Q350" s="468"/>
      <c r="R350" s="468"/>
      <c r="S350" s="468"/>
      <c r="T350" s="468"/>
      <c r="U350" s="468"/>
      <c r="V350" s="468"/>
      <c r="W350" s="468"/>
      <c r="X350" s="468"/>
      <c r="Y350" s="468"/>
      <c r="Z350" s="468"/>
    </row>
    <row r="351" spans="1:26" ht="18" customHeight="1" x14ac:dyDescent="0.35">
      <c r="A351" s="468"/>
      <c r="B351" s="468"/>
      <c r="C351" s="468"/>
      <c r="D351" s="468"/>
      <c r="E351" s="468"/>
      <c r="F351" s="468"/>
      <c r="G351" s="468"/>
      <c r="H351" s="468"/>
      <c r="I351" s="468"/>
      <c r="J351" s="468"/>
      <c r="K351" s="468"/>
      <c r="L351" s="468"/>
      <c r="M351" s="468"/>
      <c r="N351" s="468"/>
      <c r="O351" s="468"/>
      <c r="P351" s="468"/>
      <c r="Q351" s="468"/>
      <c r="R351" s="468"/>
      <c r="S351" s="468"/>
      <c r="T351" s="468"/>
      <c r="U351" s="468"/>
      <c r="V351" s="468"/>
      <c r="W351" s="468"/>
      <c r="X351" s="468"/>
      <c r="Y351" s="468"/>
      <c r="Z351" s="468"/>
    </row>
    <row r="352" spans="1:26" ht="18" customHeight="1" x14ac:dyDescent="0.35">
      <c r="A352" s="468"/>
      <c r="B352" s="468"/>
      <c r="C352" s="468"/>
      <c r="D352" s="468"/>
      <c r="E352" s="468"/>
      <c r="F352" s="468"/>
      <c r="G352" s="468"/>
      <c r="H352" s="468"/>
      <c r="I352" s="468"/>
      <c r="J352" s="468"/>
      <c r="K352" s="468"/>
      <c r="L352" s="468"/>
      <c r="M352" s="468"/>
      <c r="N352" s="468"/>
      <c r="O352" s="468"/>
      <c r="P352" s="468"/>
      <c r="Q352" s="468"/>
      <c r="R352" s="468"/>
      <c r="S352" s="468"/>
      <c r="T352" s="468"/>
      <c r="U352" s="468"/>
      <c r="V352" s="468"/>
      <c r="W352" s="468"/>
      <c r="X352" s="468"/>
      <c r="Y352" s="468"/>
      <c r="Z352" s="468"/>
    </row>
    <row r="353" spans="1:26" ht="18" customHeight="1" x14ac:dyDescent="0.35">
      <c r="A353" s="468"/>
      <c r="B353" s="468"/>
      <c r="C353" s="468"/>
      <c r="D353" s="468"/>
      <c r="E353" s="468"/>
      <c r="F353" s="468"/>
      <c r="G353" s="468"/>
      <c r="H353" s="468"/>
      <c r="I353" s="468"/>
      <c r="J353" s="468"/>
      <c r="K353" s="468"/>
      <c r="L353" s="468"/>
      <c r="M353" s="468"/>
      <c r="N353" s="468"/>
      <c r="O353" s="468"/>
      <c r="P353" s="468"/>
      <c r="Q353" s="468"/>
      <c r="R353" s="468"/>
      <c r="S353" s="468"/>
      <c r="T353" s="468"/>
      <c r="U353" s="468"/>
      <c r="V353" s="468"/>
      <c r="W353" s="468"/>
      <c r="X353" s="468"/>
      <c r="Y353" s="468"/>
      <c r="Z353" s="468"/>
    </row>
    <row r="354" spans="1:26" ht="18" customHeight="1" x14ac:dyDescent="0.35">
      <c r="A354" s="468"/>
      <c r="B354" s="468"/>
      <c r="C354" s="468"/>
      <c r="D354" s="468"/>
      <c r="E354" s="468"/>
      <c r="F354" s="468"/>
      <c r="G354" s="468"/>
      <c r="H354" s="468"/>
      <c r="I354" s="468"/>
      <c r="J354" s="468"/>
      <c r="K354" s="468"/>
      <c r="L354" s="468"/>
      <c r="M354" s="468"/>
      <c r="N354" s="468"/>
      <c r="O354" s="468"/>
      <c r="P354" s="468"/>
      <c r="Q354" s="468"/>
      <c r="R354" s="468"/>
      <c r="S354" s="468"/>
      <c r="T354" s="468"/>
      <c r="U354" s="468"/>
      <c r="V354" s="468"/>
      <c r="W354" s="468"/>
      <c r="X354" s="468"/>
      <c r="Y354" s="468"/>
      <c r="Z354" s="468"/>
    </row>
    <row r="355" spans="1:26" ht="18" customHeight="1" x14ac:dyDescent="0.35">
      <c r="A355" s="468"/>
      <c r="B355" s="468"/>
      <c r="C355" s="468"/>
      <c r="D355" s="468"/>
      <c r="E355" s="468"/>
      <c r="F355" s="468"/>
      <c r="G355" s="468"/>
      <c r="H355" s="468"/>
      <c r="I355" s="468"/>
      <c r="J355" s="468"/>
      <c r="K355" s="468"/>
      <c r="L355" s="468"/>
      <c r="M355" s="468"/>
      <c r="N355" s="468"/>
      <c r="O355" s="468"/>
      <c r="P355" s="468"/>
      <c r="Q355" s="468"/>
      <c r="R355" s="468"/>
      <c r="S355" s="468"/>
      <c r="T355" s="468"/>
      <c r="U355" s="468"/>
      <c r="V355" s="468"/>
      <c r="W355" s="468"/>
      <c r="X355" s="468"/>
      <c r="Y355" s="468"/>
      <c r="Z355" s="468"/>
    </row>
    <row r="356" spans="1:26" ht="18" customHeight="1" x14ac:dyDescent="0.35">
      <c r="A356" s="468"/>
      <c r="B356" s="468"/>
      <c r="C356" s="468"/>
      <c r="D356" s="468"/>
      <c r="E356" s="468"/>
      <c r="F356" s="468"/>
      <c r="G356" s="468"/>
      <c r="H356" s="468"/>
      <c r="I356" s="468"/>
      <c r="J356" s="468"/>
      <c r="K356" s="468"/>
      <c r="L356" s="468"/>
      <c r="M356" s="468"/>
      <c r="N356" s="468"/>
      <c r="O356" s="468"/>
      <c r="P356" s="468"/>
      <c r="Q356" s="468"/>
      <c r="R356" s="468"/>
      <c r="S356" s="468"/>
      <c r="T356" s="468"/>
      <c r="U356" s="468"/>
      <c r="V356" s="468"/>
      <c r="W356" s="468"/>
      <c r="X356" s="468"/>
      <c r="Y356" s="468"/>
      <c r="Z356" s="468"/>
    </row>
    <row r="357" spans="1:26" ht="18" customHeight="1" x14ac:dyDescent="0.35">
      <c r="A357" s="468"/>
      <c r="B357" s="468"/>
      <c r="C357" s="468"/>
      <c r="D357" s="468"/>
      <c r="E357" s="468"/>
      <c r="F357" s="468"/>
      <c r="G357" s="468"/>
      <c r="H357" s="468"/>
      <c r="I357" s="468"/>
      <c r="J357" s="468"/>
      <c r="K357" s="468"/>
      <c r="L357" s="468"/>
      <c r="M357" s="468"/>
      <c r="N357" s="468"/>
      <c r="O357" s="468"/>
      <c r="P357" s="468"/>
      <c r="Q357" s="468"/>
      <c r="R357" s="468"/>
      <c r="S357" s="468"/>
      <c r="T357" s="468"/>
      <c r="U357" s="468"/>
      <c r="V357" s="468"/>
      <c r="W357" s="468"/>
      <c r="X357" s="468"/>
      <c r="Y357" s="468"/>
      <c r="Z357" s="468"/>
    </row>
    <row r="358" spans="1:26" ht="18" customHeight="1" x14ac:dyDescent="0.35">
      <c r="A358" s="468"/>
      <c r="B358" s="468"/>
      <c r="C358" s="468"/>
      <c r="D358" s="468"/>
      <c r="E358" s="468"/>
      <c r="F358" s="468"/>
      <c r="G358" s="468"/>
      <c r="H358" s="468"/>
      <c r="I358" s="468"/>
      <c r="J358" s="468"/>
      <c r="K358" s="468"/>
      <c r="L358" s="468"/>
      <c r="M358" s="468"/>
      <c r="N358" s="468"/>
      <c r="O358" s="468"/>
      <c r="P358" s="468"/>
      <c r="Q358" s="468"/>
      <c r="R358" s="468"/>
      <c r="S358" s="468"/>
      <c r="T358" s="468"/>
      <c r="U358" s="468"/>
      <c r="V358" s="468"/>
      <c r="W358" s="468"/>
      <c r="X358" s="468"/>
      <c r="Y358" s="468"/>
      <c r="Z358" s="468"/>
    </row>
    <row r="359" spans="1:26" ht="18" customHeight="1" x14ac:dyDescent="0.35">
      <c r="A359" s="468"/>
      <c r="B359" s="468"/>
      <c r="C359" s="468"/>
      <c r="D359" s="468"/>
      <c r="E359" s="468"/>
      <c r="F359" s="468"/>
      <c r="G359" s="468"/>
      <c r="H359" s="468"/>
      <c r="I359" s="468"/>
      <c r="J359" s="468"/>
      <c r="K359" s="468"/>
      <c r="L359" s="468"/>
      <c r="M359" s="468"/>
      <c r="N359" s="468"/>
      <c r="O359" s="468"/>
      <c r="P359" s="468"/>
      <c r="Q359" s="468"/>
      <c r="R359" s="468"/>
      <c r="S359" s="468"/>
      <c r="T359" s="468"/>
      <c r="U359" s="468"/>
      <c r="V359" s="468"/>
      <c r="W359" s="468"/>
      <c r="X359" s="468"/>
      <c r="Y359" s="468"/>
      <c r="Z359" s="468"/>
    </row>
    <row r="360" spans="1:26" ht="18" customHeight="1" x14ac:dyDescent="0.35">
      <c r="A360" s="468"/>
      <c r="B360" s="468"/>
      <c r="C360" s="468"/>
      <c r="D360" s="468"/>
      <c r="E360" s="468"/>
      <c r="F360" s="468"/>
      <c r="G360" s="468"/>
      <c r="H360" s="468"/>
      <c r="I360" s="468"/>
      <c r="J360" s="468"/>
      <c r="K360" s="468"/>
      <c r="L360" s="468"/>
      <c r="M360" s="468"/>
      <c r="N360" s="468"/>
      <c r="O360" s="468"/>
      <c r="P360" s="468"/>
      <c r="Q360" s="468"/>
      <c r="R360" s="468"/>
      <c r="S360" s="468"/>
      <c r="T360" s="468"/>
      <c r="U360" s="468"/>
      <c r="V360" s="468"/>
      <c r="W360" s="468"/>
      <c r="X360" s="468"/>
      <c r="Y360" s="468"/>
      <c r="Z360" s="468"/>
    </row>
    <row r="361" spans="1:26" ht="18" customHeight="1" x14ac:dyDescent="0.35">
      <c r="A361" s="468"/>
      <c r="B361" s="468"/>
      <c r="C361" s="468"/>
      <c r="D361" s="468"/>
      <c r="E361" s="468"/>
      <c r="F361" s="468"/>
      <c r="G361" s="468"/>
      <c r="H361" s="468"/>
      <c r="I361" s="468"/>
      <c r="J361" s="468"/>
      <c r="K361" s="468"/>
      <c r="L361" s="468"/>
      <c r="M361" s="468"/>
      <c r="N361" s="468"/>
      <c r="O361" s="468"/>
      <c r="P361" s="468"/>
      <c r="Q361" s="468"/>
      <c r="R361" s="468"/>
      <c r="S361" s="468"/>
      <c r="T361" s="468"/>
      <c r="U361" s="468"/>
      <c r="V361" s="468"/>
      <c r="W361" s="468"/>
      <c r="X361" s="468"/>
      <c r="Y361" s="468"/>
      <c r="Z361" s="468"/>
    </row>
    <row r="362" spans="1:26" ht="18" customHeight="1" x14ac:dyDescent="0.35">
      <c r="A362" s="468"/>
      <c r="B362" s="468"/>
      <c r="C362" s="468"/>
      <c r="D362" s="468"/>
      <c r="E362" s="468"/>
      <c r="F362" s="468"/>
      <c r="G362" s="468"/>
      <c r="H362" s="468"/>
      <c r="I362" s="468"/>
      <c r="J362" s="468"/>
      <c r="K362" s="468"/>
      <c r="L362" s="468"/>
      <c r="M362" s="468"/>
      <c r="N362" s="468"/>
      <c r="O362" s="468"/>
      <c r="P362" s="468"/>
      <c r="Q362" s="468"/>
      <c r="R362" s="468"/>
      <c r="S362" s="468"/>
      <c r="T362" s="468"/>
      <c r="U362" s="468"/>
      <c r="V362" s="468"/>
      <c r="W362" s="468"/>
      <c r="X362" s="468"/>
      <c r="Y362" s="468"/>
      <c r="Z362" s="468"/>
    </row>
    <row r="363" spans="1:26" ht="18" customHeight="1" x14ac:dyDescent="0.35">
      <c r="A363" s="468"/>
      <c r="B363" s="468"/>
      <c r="C363" s="468"/>
      <c r="D363" s="468"/>
      <c r="E363" s="468"/>
      <c r="F363" s="468"/>
      <c r="G363" s="468"/>
      <c r="H363" s="468"/>
      <c r="I363" s="468"/>
      <c r="J363" s="468"/>
      <c r="K363" s="468"/>
      <c r="L363" s="468"/>
      <c r="M363" s="468"/>
      <c r="N363" s="468"/>
      <c r="O363" s="468"/>
      <c r="P363" s="468"/>
      <c r="Q363" s="468"/>
      <c r="R363" s="468"/>
      <c r="S363" s="468"/>
      <c r="T363" s="468"/>
      <c r="U363" s="468"/>
      <c r="V363" s="468"/>
      <c r="W363" s="468"/>
      <c r="X363" s="468"/>
      <c r="Y363" s="468"/>
      <c r="Z363" s="468"/>
    </row>
    <row r="364" spans="1:26" ht="18" customHeight="1" x14ac:dyDescent="0.35">
      <c r="A364" s="468"/>
      <c r="B364" s="468"/>
      <c r="C364" s="468"/>
      <c r="D364" s="468"/>
      <c r="E364" s="468"/>
      <c r="F364" s="468"/>
      <c r="G364" s="468"/>
      <c r="H364" s="468"/>
      <c r="I364" s="468"/>
      <c r="J364" s="468"/>
      <c r="K364" s="468"/>
      <c r="L364" s="468"/>
      <c r="M364" s="468"/>
      <c r="N364" s="468"/>
      <c r="O364" s="468"/>
      <c r="P364" s="468"/>
      <c r="Q364" s="468"/>
      <c r="R364" s="468"/>
      <c r="S364" s="468"/>
      <c r="T364" s="468"/>
      <c r="U364" s="468"/>
      <c r="V364" s="468"/>
      <c r="W364" s="468"/>
      <c r="X364" s="468"/>
      <c r="Y364" s="468"/>
      <c r="Z364" s="468"/>
    </row>
    <row r="365" spans="1:26" ht="18" customHeight="1" x14ac:dyDescent="0.35">
      <c r="A365" s="468"/>
      <c r="B365" s="468"/>
      <c r="C365" s="468"/>
      <c r="D365" s="468"/>
      <c r="E365" s="468"/>
      <c r="F365" s="468"/>
      <c r="G365" s="468"/>
      <c r="H365" s="468"/>
      <c r="I365" s="468"/>
      <c r="J365" s="468"/>
      <c r="K365" s="468"/>
      <c r="L365" s="468"/>
      <c r="M365" s="468"/>
      <c r="N365" s="468"/>
      <c r="O365" s="468"/>
      <c r="P365" s="468"/>
      <c r="Q365" s="468"/>
      <c r="R365" s="468"/>
      <c r="S365" s="468"/>
      <c r="T365" s="468"/>
      <c r="U365" s="468"/>
      <c r="V365" s="468"/>
      <c r="W365" s="468"/>
      <c r="X365" s="468"/>
      <c r="Y365" s="468"/>
      <c r="Z365" s="468"/>
    </row>
    <row r="366" spans="1:26" ht="18" customHeight="1" x14ac:dyDescent="0.35">
      <c r="A366" s="468"/>
      <c r="B366" s="468"/>
      <c r="C366" s="468"/>
      <c r="D366" s="468"/>
      <c r="E366" s="468"/>
      <c r="F366" s="468"/>
      <c r="G366" s="468"/>
      <c r="H366" s="468"/>
      <c r="I366" s="468"/>
      <c r="J366" s="468"/>
      <c r="K366" s="468"/>
      <c r="L366" s="468"/>
      <c r="M366" s="468"/>
      <c r="N366" s="468"/>
      <c r="O366" s="468"/>
      <c r="P366" s="468"/>
      <c r="Q366" s="468"/>
      <c r="R366" s="468"/>
      <c r="S366" s="468"/>
      <c r="T366" s="468"/>
      <c r="U366" s="468"/>
      <c r="V366" s="468"/>
      <c r="W366" s="468"/>
      <c r="X366" s="468"/>
      <c r="Y366" s="468"/>
      <c r="Z366" s="468"/>
    </row>
    <row r="367" spans="1:26" ht="18" customHeight="1" x14ac:dyDescent="0.35">
      <c r="A367" s="468"/>
      <c r="B367" s="468"/>
      <c r="C367" s="468"/>
      <c r="D367" s="468"/>
      <c r="E367" s="468"/>
      <c r="F367" s="468"/>
      <c r="G367" s="468"/>
      <c r="H367" s="468"/>
      <c r="I367" s="468"/>
      <c r="J367" s="468"/>
      <c r="K367" s="468"/>
      <c r="L367" s="468"/>
      <c r="M367" s="468"/>
      <c r="N367" s="468"/>
      <c r="O367" s="468"/>
      <c r="P367" s="468"/>
      <c r="Q367" s="468"/>
      <c r="R367" s="468"/>
      <c r="S367" s="468"/>
      <c r="T367" s="468"/>
      <c r="U367" s="468"/>
      <c r="V367" s="468"/>
      <c r="W367" s="468"/>
      <c r="X367" s="468"/>
      <c r="Y367" s="468"/>
      <c r="Z367" s="468"/>
    </row>
    <row r="368" spans="1:26" ht="18" customHeight="1" x14ac:dyDescent="0.35">
      <c r="A368" s="468"/>
      <c r="B368" s="468"/>
      <c r="C368" s="468"/>
      <c r="D368" s="468"/>
      <c r="E368" s="468"/>
      <c r="F368" s="468"/>
      <c r="G368" s="468"/>
      <c r="H368" s="468"/>
      <c r="I368" s="468"/>
      <c r="J368" s="468"/>
      <c r="K368" s="468"/>
      <c r="L368" s="468"/>
      <c r="M368" s="468"/>
      <c r="N368" s="468"/>
      <c r="O368" s="468"/>
      <c r="P368" s="468"/>
      <c r="Q368" s="468"/>
      <c r="R368" s="468"/>
      <c r="S368" s="468"/>
      <c r="T368" s="468"/>
      <c r="U368" s="468"/>
      <c r="V368" s="468"/>
      <c r="W368" s="468"/>
      <c r="X368" s="468"/>
      <c r="Y368" s="468"/>
      <c r="Z368" s="468"/>
    </row>
    <row r="369" spans="1:26" ht="18" customHeight="1" x14ac:dyDescent="0.35">
      <c r="A369" s="468"/>
      <c r="B369" s="468"/>
      <c r="C369" s="468"/>
      <c r="D369" s="468"/>
      <c r="E369" s="468"/>
      <c r="F369" s="468"/>
      <c r="G369" s="468"/>
      <c r="H369" s="468"/>
      <c r="I369" s="468"/>
      <c r="J369" s="468"/>
      <c r="K369" s="468"/>
      <c r="L369" s="468"/>
      <c r="M369" s="468"/>
      <c r="N369" s="468"/>
      <c r="O369" s="468"/>
      <c r="P369" s="468"/>
      <c r="Q369" s="468"/>
      <c r="R369" s="468"/>
      <c r="S369" s="468"/>
      <c r="T369" s="468"/>
      <c r="U369" s="468"/>
      <c r="V369" s="468"/>
      <c r="W369" s="468"/>
      <c r="X369" s="468"/>
      <c r="Y369" s="468"/>
      <c r="Z369" s="468"/>
    </row>
    <row r="370" spans="1:26" ht="18" customHeight="1" x14ac:dyDescent="0.35">
      <c r="A370" s="468"/>
      <c r="B370" s="468"/>
      <c r="C370" s="468"/>
      <c r="D370" s="468"/>
      <c r="E370" s="468"/>
      <c r="F370" s="468"/>
      <c r="G370" s="468"/>
      <c r="H370" s="468"/>
      <c r="I370" s="468"/>
      <c r="J370" s="468"/>
      <c r="K370" s="468"/>
      <c r="L370" s="468"/>
      <c r="M370" s="468"/>
      <c r="N370" s="468"/>
      <c r="O370" s="468"/>
      <c r="P370" s="468"/>
      <c r="Q370" s="468"/>
      <c r="R370" s="468"/>
      <c r="S370" s="468"/>
      <c r="T370" s="468"/>
      <c r="U370" s="468"/>
      <c r="V370" s="468"/>
      <c r="W370" s="468"/>
      <c r="X370" s="468"/>
      <c r="Y370" s="468"/>
      <c r="Z370" s="468"/>
    </row>
    <row r="371" spans="1:26" ht="18" customHeight="1" x14ac:dyDescent="0.35">
      <c r="A371" s="468"/>
      <c r="B371" s="468"/>
      <c r="C371" s="468"/>
      <c r="D371" s="468"/>
      <c r="E371" s="468"/>
      <c r="F371" s="468"/>
      <c r="G371" s="468"/>
      <c r="H371" s="468"/>
      <c r="I371" s="468"/>
      <c r="J371" s="468"/>
      <c r="K371" s="468"/>
      <c r="L371" s="468"/>
      <c r="M371" s="468"/>
      <c r="N371" s="468"/>
      <c r="O371" s="468"/>
      <c r="P371" s="468"/>
      <c r="Q371" s="468"/>
      <c r="R371" s="468"/>
      <c r="S371" s="468"/>
      <c r="T371" s="468"/>
      <c r="U371" s="468"/>
      <c r="V371" s="468"/>
      <c r="W371" s="468"/>
      <c r="X371" s="468"/>
      <c r="Y371" s="468"/>
      <c r="Z371" s="468"/>
    </row>
    <row r="372" spans="1:26" ht="18" customHeight="1" x14ac:dyDescent="0.35">
      <c r="A372" s="468"/>
      <c r="B372" s="468"/>
      <c r="C372" s="468"/>
      <c r="D372" s="468"/>
      <c r="E372" s="468"/>
      <c r="F372" s="468"/>
      <c r="G372" s="468"/>
      <c r="H372" s="468"/>
      <c r="I372" s="468"/>
      <c r="J372" s="468"/>
      <c r="K372" s="468"/>
      <c r="L372" s="468"/>
      <c r="M372" s="468"/>
      <c r="N372" s="468"/>
      <c r="O372" s="468"/>
      <c r="P372" s="468"/>
      <c r="Q372" s="468"/>
      <c r="R372" s="468"/>
      <c r="S372" s="468"/>
      <c r="T372" s="468"/>
      <c r="U372" s="468"/>
      <c r="V372" s="468"/>
      <c r="W372" s="468"/>
      <c r="X372" s="468"/>
      <c r="Y372" s="468"/>
      <c r="Z372" s="468"/>
    </row>
    <row r="373" spans="1:26" ht="18" customHeight="1" x14ac:dyDescent="0.35">
      <c r="A373" s="468"/>
      <c r="B373" s="468"/>
      <c r="C373" s="468"/>
      <c r="D373" s="468"/>
      <c r="E373" s="468"/>
      <c r="F373" s="468"/>
      <c r="G373" s="468"/>
      <c r="H373" s="468"/>
      <c r="I373" s="468"/>
      <c r="J373" s="468"/>
      <c r="K373" s="468"/>
      <c r="L373" s="468"/>
      <c r="M373" s="468"/>
      <c r="N373" s="468"/>
      <c r="O373" s="468"/>
      <c r="P373" s="468"/>
      <c r="Q373" s="468"/>
      <c r="R373" s="468"/>
      <c r="S373" s="468"/>
      <c r="T373" s="468"/>
      <c r="U373" s="468"/>
      <c r="V373" s="468"/>
      <c r="W373" s="468"/>
      <c r="X373" s="468"/>
      <c r="Y373" s="468"/>
      <c r="Z373" s="468"/>
    </row>
    <row r="374" spans="1:26" ht="18" customHeight="1" x14ac:dyDescent="0.35">
      <c r="A374" s="468"/>
      <c r="B374" s="468"/>
      <c r="C374" s="468"/>
      <c r="D374" s="468"/>
      <c r="E374" s="468"/>
      <c r="F374" s="468"/>
      <c r="G374" s="468"/>
      <c r="H374" s="468"/>
      <c r="I374" s="468"/>
      <c r="J374" s="468"/>
      <c r="K374" s="468"/>
      <c r="L374" s="468"/>
      <c r="M374" s="468"/>
      <c r="N374" s="468"/>
      <c r="O374" s="468"/>
      <c r="P374" s="468"/>
      <c r="Q374" s="468"/>
      <c r="R374" s="468"/>
      <c r="S374" s="468"/>
      <c r="T374" s="468"/>
      <c r="U374" s="468"/>
      <c r="V374" s="468"/>
      <c r="W374" s="468"/>
      <c r="X374" s="468"/>
      <c r="Y374" s="468"/>
      <c r="Z374" s="468"/>
    </row>
    <row r="375" spans="1:26" ht="18" customHeight="1" x14ac:dyDescent="0.35">
      <c r="A375" s="468"/>
      <c r="B375" s="468"/>
      <c r="C375" s="468"/>
      <c r="D375" s="468"/>
      <c r="E375" s="468"/>
      <c r="F375" s="468"/>
      <c r="G375" s="468"/>
      <c r="H375" s="468"/>
      <c r="I375" s="468"/>
      <c r="J375" s="468"/>
      <c r="K375" s="468"/>
      <c r="L375" s="468"/>
      <c r="M375" s="468"/>
      <c r="N375" s="468"/>
      <c r="O375" s="468"/>
      <c r="P375" s="468"/>
      <c r="Q375" s="468"/>
      <c r="R375" s="468"/>
      <c r="S375" s="468"/>
      <c r="T375" s="468"/>
      <c r="U375" s="468"/>
      <c r="V375" s="468"/>
      <c r="W375" s="468"/>
      <c r="X375" s="468"/>
      <c r="Y375" s="468"/>
      <c r="Z375" s="468"/>
    </row>
    <row r="376" spans="1:26" ht="18" customHeight="1" x14ac:dyDescent="0.35">
      <c r="A376" s="468"/>
      <c r="B376" s="468"/>
      <c r="C376" s="468"/>
      <c r="D376" s="468"/>
      <c r="E376" s="468"/>
      <c r="F376" s="468"/>
      <c r="G376" s="468"/>
      <c r="H376" s="468"/>
      <c r="I376" s="468"/>
      <c r="J376" s="468"/>
      <c r="K376" s="468"/>
      <c r="L376" s="468"/>
      <c r="M376" s="468"/>
      <c r="N376" s="468"/>
      <c r="O376" s="468"/>
      <c r="P376" s="468"/>
      <c r="Q376" s="468"/>
      <c r="R376" s="468"/>
      <c r="S376" s="468"/>
      <c r="T376" s="468"/>
      <c r="U376" s="468"/>
      <c r="V376" s="468"/>
      <c r="W376" s="468"/>
      <c r="X376" s="468"/>
      <c r="Y376" s="468"/>
      <c r="Z376" s="468"/>
    </row>
    <row r="377" spans="1:26" ht="18" customHeight="1" x14ac:dyDescent="0.35">
      <c r="A377" s="468"/>
      <c r="B377" s="468"/>
      <c r="C377" s="468"/>
      <c r="D377" s="468"/>
      <c r="E377" s="468"/>
      <c r="F377" s="468"/>
      <c r="G377" s="468"/>
      <c r="H377" s="468"/>
      <c r="I377" s="468"/>
      <c r="J377" s="468"/>
      <c r="K377" s="468"/>
      <c r="L377" s="468"/>
      <c r="M377" s="468"/>
      <c r="N377" s="468"/>
      <c r="O377" s="468"/>
      <c r="P377" s="468"/>
      <c r="Q377" s="468"/>
      <c r="R377" s="468"/>
      <c r="S377" s="468"/>
      <c r="T377" s="468"/>
      <c r="U377" s="468"/>
      <c r="V377" s="468"/>
      <c r="W377" s="468"/>
      <c r="X377" s="468"/>
      <c r="Y377" s="468"/>
      <c r="Z377" s="468"/>
    </row>
    <row r="378" spans="1:26" ht="18" customHeight="1" x14ac:dyDescent="0.35">
      <c r="A378" s="468"/>
      <c r="B378" s="468"/>
      <c r="C378" s="468"/>
      <c r="D378" s="468"/>
      <c r="E378" s="468"/>
      <c r="F378" s="468"/>
      <c r="G378" s="468"/>
      <c r="H378" s="468"/>
      <c r="I378" s="468"/>
      <c r="J378" s="468"/>
      <c r="K378" s="468"/>
      <c r="L378" s="468"/>
      <c r="M378" s="468"/>
      <c r="N378" s="468"/>
      <c r="O378" s="468"/>
      <c r="P378" s="468"/>
      <c r="Q378" s="468"/>
      <c r="R378" s="468"/>
      <c r="S378" s="468"/>
      <c r="T378" s="468"/>
      <c r="U378" s="468"/>
      <c r="V378" s="468"/>
      <c r="W378" s="468"/>
      <c r="X378" s="468"/>
      <c r="Y378" s="468"/>
      <c r="Z378" s="468"/>
    </row>
    <row r="379" spans="1:26" ht="18" customHeight="1" x14ac:dyDescent="0.35">
      <c r="A379" s="468"/>
      <c r="B379" s="468"/>
      <c r="C379" s="468"/>
      <c r="D379" s="468"/>
      <c r="E379" s="468"/>
      <c r="F379" s="468"/>
      <c r="G379" s="468"/>
      <c r="H379" s="468"/>
      <c r="I379" s="468"/>
      <c r="J379" s="468"/>
      <c r="K379" s="468"/>
      <c r="L379" s="468"/>
      <c r="M379" s="468"/>
      <c r="N379" s="468"/>
      <c r="O379" s="468"/>
      <c r="P379" s="468"/>
      <c r="Q379" s="468"/>
      <c r="R379" s="468"/>
      <c r="S379" s="468"/>
      <c r="T379" s="468"/>
      <c r="U379" s="468"/>
      <c r="V379" s="468"/>
      <c r="W379" s="468"/>
      <c r="X379" s="468"/>
      <c r="Y379" s="468"/>
      <c r="Z379" s="468"/>
    </row>
    <row r="380" spans="1:26" ht="18" customHeight="1" x14ac:dyDescent="0.35">
      <c r="A380" s="468"/>
      <c r="B380" s="468"/>
      <c r="C380" s="468"/>
      <c r="D380" s="468"/>
      <c r="E380" s="468"/>
      <c r="F380" s="468"/>
      <c r="G380" s="468"/>
      <c r="H380" s="468"/>
      <c r="I380" s="468"/>
      <c r="J380" s="468"/>
      <c r="K380" s="468"/>
      <c r="L380" s="468"/>
      <c r="M380" s="468"/>
      <c r="N380" s="468"/>
      <c r="O380" s="468"/>
      <c r="P380" s="468"/>
      <c r="Q380" s="468"/>
      <c r="R380" s="468"/>
      <c r="S380" s="468"/>
      <c r="T380" s="468"/>
      <c r="U380" s="468"/>
      <c r="V380" s="468"/>
      <c r="W380" s="468"/>
      <c r="X380" s="468"/>
      <c r="Y380" s="468"/>
      <c r="Z380" s="468"/>
    </row>
    <row r="381" spans="1:26" ht="18" customHeight="1" x14ac:dyDescent="0.35">
      <c r="A381" s="468"/>
      <c r="B381" s="468"/>
      <c r="C381" s="468"/>
      <c r="D381" s="468"/>
      <c r="E381" s="468"/>
      <c r="F381" s="468"/>
      <c r="G381" s="468"/>
      <c r="H381" s="468"/>
      <c r="I381" s="468"/>
      <c r="J381" s="468"/>
      <c r="K381" s="468"/>
      <c r="L381" s="468"/>
      <c r="M381" s="468"/>
      <c r="N381" s="468"/>
      <c r="O381" s="468"/>
      <c r="P381" s="468"/>
      <c r="Q381" s="468"/>
      <c r="R381" s="468"/>
      <c r="S381" s="468"/>
      <c r="T381" s="468"/>
      <c r="U381" s="468"/>
      <c r="V381" s="468"/>
      <c r="W381" s="468"/>
      <c r="X381" s="468"/>
      <c r="Y381" s="468"/>
      <c r="Z381" s="468"/>
    </row>
    <row r="382" spans="1:26" ht="18" customHeight="1" x14ac:dyDescent="0.35">
      <c r="A382" s="468"/>
      <c r="B382" s="468"/>
      <c r="C382" s="468"/>
      <c r="D382" s="468"/>
      <c r="E382" s="468"/>
      <c r="F382" s="468"/>
      <c r="G382" s="468"/>
      <c r="H382" s="468"/>
      <c r="I382" s="468"/>
      <c r="J382" s="468"/>
      <c r="K382" s="468"/>
      <c r="L382" s="468"/>
      <c r="M382" s="468"/>
      <c r="N382" s="468"/>
      <c r="O382" s="468"/>
      <c r="P382" s="468"/>
      <c r="Q382" s="468"/>
      <c r="R382" s="468"/>
      <c r="S382" s="468"/>
      <c r="T382" s="468"/>
      <c r="U382" s="468"/>
      <c r="V382" s="468"/>
      <c r="W382" s="468"/>
      <c r="X382" s="468"/>
      <c r="Y382" s="468"/>
      <c r="Z382" s="468"/>
    </row>
    <row r="383" spans="1:26" ht="18" customHeight="1" x14ac:dyDescent="0.35">
      <c r="A383" s="468"/>
      <c r="B383" s="468"/>
      <c r="C383" s="468"/>
      <c r="D383" s="468"/>
      <c r="E383" s="468"/>
      <c r="F383" s="468"/>
      <c r="G383" s="468"/>
      <c r="H383" s="468"/>
      <c r="I383" s="468"/>
      <c r="J383" s="468"/>
      <c r="K383" s="468"/>
      <c r="L383" s="468"/>
      <c r="M383" s="468"/>
      <c r="N383" s="468"/>
      <c r="O383" s="468"/>
      <c r="P383" s="468"/>
      <c r="Q383" s="468"/>
      <c r="R383" s="468"/>
      <c r="S383" s="468"/>
      <c r="T383" s="468"/>
      <c r="U383" s="468"/>
      <c r="V383" s="468"/>
      <c r="W383" s="468"/>
      <c r="X383" s="468"/>
      <c r="Y383" s="468"/>
      <c r="Z383" s="468"/>
    </row>
    <row r="384" spans="1:26" ht="18" customHeight="1" x14ac:dyDescent="0.35">
      <c r="A384" s="468"/>
      <c r="B384" s="468"/>
      <c r="C384" s="468"/>
      <c r="D384" s="468"/>
      <c r="E384" s="468"/>
      <c r="F384" s="468"/>
      <c r="G384" s="468"/>
      <c r="H384" s="468"/>
      <c r="I384" s="468"/>
      <c r="J384" s="468"/>
      <c r="K384" s="468"/>
      <c r="L384" s="468"/>
      <c r="M384" s="468"/>
      <c r="N384" s="468"/>
      <c r="O384" s="468"/>
      <c r="P384" s="468"/>
      <c r="Q384" s="468"/>
      <c r="R384" s="468"/>
      <c r="S384" s="468"/>
      <c r="T384" s="468"/>
      <c r="U384" s="468"/>
      <c r="V384" s="468"/>
      <c r="W384" s="468"/>
      <c r="X384" s="468"/>
      <c r="Y384" s="468"/>
      <c r="Z384" s="468"/>
    </row>
    <row r="385" spans="1:26" ht="18" customHeight="1" x14ac:dyDescent="0.35">
      <c r="A385" s="468"/>
      <c r="B385" s="468"/>
      <c r="C385" s="468"/>
      <c r="D385" s="468"/>
      <c r="E385" s="468"/>
      <c r="F385" s="468"/>
      <c r="G385" s="468"/>
      <c r="H385" s="468"/>
      <c r="I385" s="468"/>
      <c r="J385" s="468"/>
      <c r="K385" s="468"/>
      <c r="L385" s="468"/>
      <c r="M385" s="468"/>
      <c r="N385" s="468"/>
      <c r="O385" s="468"/>
      <c r="P385" s="468"/>
      <c r="Q385" s="468"/>
      <c r="R385" s="468"/>
      <c r="S385" s="468"/>
      <c r="T385" s="468"/>
      <c r="U385" s="468"/>
      <c r="V385" s="468"/>
      <c r="W385" s="468"/>
      <c r="X385" s="468"/>
      <c r="Y385" s="468"/>
      <c r="Z385" s="468"/>
    </row>
    <row r="386" spans="1:26" ht="18" customHeight="1" x14ac:dyDescent="0.35">
      <c r="A386" s="468"/>
      <c r="B386" s="468"/>
      <c r="C386" s="468"/>
      <c r="D386" s="468"/>
      <c r="E386" s="468"/>
      <c r="F386" s="468"/>
      <c r="G386" s="468"/>
      <c r="H386" s="468"/>
      <c r="I386" s="468"/>
      <c r="J386" s="468"/>
      <c r="K386" s="468"/>
      <c r="L386" s="468"/>
      <c r="M386" s="468"/>
      <c r="N386" s="468"/>
      <c r="O386" s="468"/>
      <c r="P386" s="468"/>
      <c r="Q386" s="468"/>
      <c r="R386" s="468"/>
      <c r="S386" s="468"/>
      <c r="T386" s="468"/>
      <c r="U386" s="468"/>
      <c r="V386" s="468"/>
      <c r="W386" s="468"/>
      <c r="X386" s="468"/>
      <c r="Y386" s="468"/>
      <c r="Z386" s="468"/>
    </row>
    <row r="387" spans="1:26" ht="18" customHeight="1" x14ac:dyDescent="0.35">
      <c r="A387" s="468"/>
      <c r="B387" s="468"/>
      <c r="C387" s="468"/>
      <c r="D387" s="468"/>
      <c r="E387" s="468"/>
      <c r="F387" s="468"/>
      <c r="G387" s="468"/>
      <c r="H387" s="468"/>
      <c r="I387" s="468"/>
      <c r="J387" s="468"/>
      <c r="K387" s="468"/>
      <c r="L387" s="468"/>
      <c r="M387" s="468"/>
      <c r="N387" s="468"/>
      <c r="O387" s="468"/>
      <c r="P387" s="468"/>
      <c r="Q387" s="468"/>
      <c r="R387" s="468"/>
      <c r="S387" s="468"/>
      <c r="T387" s="468"/>
      <c r="U387" s="468"/>
      <c r="V387" s="468"/>
      <c r="W387" s="468"/>
      <c r="X387" s="468"/>
      <c r="Y387" s="468"/>
      <c r="Z387" s="468"/>
    </row>
    <row r="388" spans="1:26" ht="18" customHeight="1" x14ac:dyDescent="0.35">
      <c r="A388" s="468"/>
      <c r="B388" s="468"/>
      <c r="C388" s="468"/>
      <c r="D388" s="468"/>
      <c r="E388" s="468"/>
      <c r="F388" s="468"/>
      <c r="G388" s="468"/>
      <c r="H388" s="468"/>
      <c r="I388" s="468"/>
      <c r="J388" s="468"/>
      <c r="K388" s="468"/>
      <c r="L388" s="468"/>
      <c r="M388" s="468"/>
      <c r="N388" s="468"/>
      <c r="O388" s="468"/>
      <c r="P388" s="468"/>
      <c r="Q388" s="468"/>
      <c r="R388" s="468"/>
      <c r="S388" s="468"/>
      <c r="T388" s="468"/>
      <c r="U388" s="468"/>
      <c r="V388" s="468"/>
      <c r="W388" s="468"/>
      <c r="X388" s="468"/>
      <c r="Y388" s="468"/>
      <c r="Z388" s="468"/>
    </row>
    <row r="389" spans="1:26" ht="18" customHeight="1" x14ac:dyDescent="0.35">
      <c r="A389" s="468"/>
      <c r="B389" s="468"/>
      <c r="C389" s="468"/>
      <c r="D389" s="468"/>
      <c r="E389" s="468"/>
      <c r="F389" s="468"/>
      <c r="G389" s="468"/>
      <c r="H389" s="468"/>
      <c r="I389" s="468"/>
      <c r="J389" s="468"/>
      <c r="K389" s="468"/>
      <c r="L389" s="468"/>
      <c r="M389" s="468"/>
      <c r="N389" s="468"/>
      <c r="O389" s="468"/>
      <c r="P389" s="468"/>
      <c r="Q389" s="468"/>
      <c r="R389" s="468"/>
      <c r="S389" s="468"/>
      <c r="T389" s="468"/>
      <c r="U389" s="468"/>
      <c r="V389" s="468"/>
      <c r="W389" s="468"/>
      <c r="X389" s="468"/>
      <c r="Y389" s="468"/>
      <c r="Z389" s="468"/>
    </row>
    <row r="390" spans="1:26" ht="18" customHeight="1" x14ac:dyDescent="0.35">
      <c r="A390" s="468"/>
      <c r="B390" s="468"/>
      <c r="C390" s="468"/>
      <c r="D390" s="468"/>
      <c r="E390" s="468"/>
      <c r="F390" s="468"/>
      <c r="G390" s="468"/>
      <c r="H390" s="468"/>
      <c r="I390" s="468"/>
      <c r="J390" s="468"/>
      <c r="K390" s="468"/>
      <c r="L390" s="468"/>
      <c r="M390" s="468"/>
      <c r="N390" s="468"/>
      <c r="O390" s="468"/>
      <c r="P390" s="468"/>
      <c r="Q390" s="468"/>
      <c r="R390" s="468"/>
      <c r="S390" s="468"/>
      <c r="T390" s="468"/>
      <c r="U390" s="468"/>
      <c r="V390" s="468"/>
      <c r="W390" s="468"/>
      <c r="X390" s="468"/>
      <c r="Y390" s="468"/>
      <c r="Z390" s="468"/>
    </row>
    <row r="391" spans="1:26" ht="18" customHeight="1" x14ac:dyDescent="0.35">
      <c r="A391" s="468"/>
      <c r="B391" s="468"/>
      <c r="C391" s="468"/>
      <c r="D391" s="468"/>
      <c r="E391" s="468"/>
      <c r="F391" s="468"/>
      <c r="G391" s="468"/>
      <c r="H391" s="468"/>
      <c r="I391" s="468"/>
      <c r="J391" s="468"/>
      <c r="K391" s="468"/>
      <c r="L391" s="468"/>
      <c r="M391" s="468"/>
      <c r="N391" s="468"/>
      <c r="O391" s="468"/>
      <c r="P391" s="468"/>
      <c r="Q391" s="468"/>
      <c r="R391" s="468"/>
      <c r="S391" s="468"/>
      <c r="T391" s="468"/>
      <c r="U391" s="468"/>
      <c r="V391" s="468"/>
      <c r="W391" s="468"/>
      <c r="X391" s="468"/>
      <c r="Y391" s="468"/>
      <c r="Z391" s="468"/>
    </row>
    <row r="392" spans="1:26" ht="18" customHeight="1" x14ac:dyDescent="0.35">
      <c r="A392" s="468"/>
      <c r="B392" s="468"/>
      <c r="C392" s="468"/>
      <c r="D392" s="468"/>
      <c r="E392" s="468"/>
      <c r="F392" s="468"/>
      <c r="G392" s="468"/>
      <c r="H392" s="468"/>
      <c r="I392" s="468"/>
      <c r="J392" s="468"/>
      <c r="K392" s="468"/>
      <c r="L392" s="468"/>
      <c r="M392" s="468"/>
      <c r="N392" s="468"/>
      <c r="O392" s="468"/>
      <c r="P392" s="468"/>
      <c r="Q392" s="468"/>
      <c r="R392" s="468"/>
      <c r="S392" s="468"/>
      <c r="T392" s="468"/>
      <c r="U392" s="468"/>
      <c r="V392" s="468"/>
      <c r="W392" s="468"/>
      <c r="X392" s="468"/>
      <c r="Y392" s="468"/>
      <c r="Z392" s="468"/>
    </row>
    <row r="393" spans="1:26" ht="18" customHeight="1" x14ac:dyDescent="0.35">
      <c r="A393" s="468"/>
      <c r="B393" s="468"/>
      <c r="C393" s="468"/>
      <c r="D393" s="468"/>
      <c r="E393" s="468"/>
      <c r="F393" s="468"/>
      <c r="G393" s="468"/>
      <c r="H393" s="468"/>
      <c r="I393" s="468"/>
      <c r="J393" s="468"/>
      <c r="K393" s="468"/>
      <c r="L393" s="468"/>
      <c r="M393" s="468"/>
      <c r="N393" s="468"/>
      <c r="O393" s="468"/>
      <c r="P393" s="468"/>
      <c r="Q393" s="468"/>
      <c r="R393" s="468"/>
      <c r="S393" s="468"/>
      <c r="T393" s="468"/>
      <c r="U393" s="468"/>
      <c r="V393" s="468"/>
      <c r="W393" s="468"/>
      <c r="X393" s="468"/>
      <c r="Y393" s="468"/>
      <c r="Z393" s="468"/>
    </row>
    <row r="394" spans="1:26" ht="18" customHeight="1" x14ac:dyDescent="0.35">
      <c r="A394" s="468"/>
      <c r="B394" s="468"/>
      <c r="C394" s="468"/>
      <c r="D394" s="468"/>
      <c r="E394" s="468"/>
      <c r="F394" s="468"/>
      <c r="G394" s="468"/>
      <c r="H394" s="468"/>
      <c r="I394" s="468"/>
      <c r="J394" s="468"/>
      <c r="K394" s="468"/>
      <c r="L394" s="468"/>
      <c r="M394" s="468"/>
      <c r="N394" s="468"/>
      <c r="O394" s="468"/>
      <c r="P394" s="468"/>
      <c r="Q394" s="468"/>
      <c r="R394" s="468"/>
      <c r="S394" s="468"/>
      <c r="T394" s="468"/>
      <c r="U394" s="468"/>
      <c r="V394" s="468"/>
      <c r="W394" s="468"/>
      <c r="X394" s="468"/>
      <c r="Y394" s="468"/>
      <c r="Z394" s="468"/>
    </row>
    <row r="395" spans="1:26" ht="18" customHeight="1" x14ac:dyDescent="0.35">
      <c r="A395" s="468"/>
      <c r="B395" s="468"/>
      <c r="C395" s="468"/>
      <c r="D395" s="468"/>
      <c r="E395" s="468"/>
      <c r="F395" s="468"/>
      <c r="G395" s="468"/>
      <c r="H395" s="468"/>
      <c r="I395" s="468"/>
      <c r="J395" s="468"/>
      <c r="K395" s="468"/>
      <c r="L395" s="468"/>
      <c r="M395" s="468"/>
      <c r="N395" s="468"/>
      <c r="O395" s="468"/>
      <c r="P395" s="468"/>
      <c r="Q395" s="468"/>
      <c r="R395" s="468"/>
      <c r="S395" s="468"/>
      <c r="T395" s="468"/>
      <c r="U395" s="468"/>
      <c r="V395" s="468"/>
      <c r="W395" s="468"/>
      <c r="X395" s="468"/>
      <c r="Y395" s="468"/>
      <c r="Z395" s="468"/>
    </row>
    <row r="396" spans="1:26" ht="18" customHeight="1" x14ac:dyDescent="0.35">
      <c r="A396" s="468"/>
      <c r="B396" s="468"/>
      <c r="C396" s="468"/>
      <c r="D396" s="468"/>
      <c r="E396" s="468"/>
      <c r="F396" s="468"/>
      <c r="G396" s="468"/>
      <c r="H396" s="468"/>
      <c r="I396" s="468"/>
      <c r="J396" s="468"/>
      <c r="K396" s="468"/>
      <c r="L396" s="468"/>
      <c r="M396" s="468"/>
      <c r="N396" s="468"/>
      <c r="O396" s="468"/>
      <c r="P396" s="468"/>
      <c r="Q396" s="468"/>
      <c r="R396" s="468"/>
      <c r="S396" s="468"/>
      <c r="T396" s="468"/>
      <c r="U396" s="468"/>
      <c r="V396" s="468"/>
      <c r="W396" s="468"/>
      <c r="X396" s="468"/>
      <c r="Y396" s="468"/>
      <c r="Z396" s="468"/>
    </row>
    <row r="397" spans="1:26" ht="18" customHeight="1" x14ac:dyDescent="0.35">
      <c r="A397" s="468"/>
      <c r="B397" s="468"/>
      <c r="C397" s="468"/>
      <c r="D397" s="468"/>
      <c r="E397" s="468"/>
      <c r="F397" s="468"/>
      <c r="G397" s="468"/>
      <c r="H397" s="468"/>
      <c r="I397" s="468"/>
      <c r="J397" s="468"/>
      <c r="K397" s="468"/>
      <c r="L397" s="468"/>
      <c r="M397" s="468"/>
      <c r="N397" s="468"/>
      <c r="O397" s="468"/>
      <c r="P397" s="468"/>
      <c r="Q397" s="468"/>
      <c r="R397" s="468"/>
      <c r="S397" s="468"/>
      <c r="T397" s="468"/>
      <c r="U397" s="468"/>
      <c r="V397" s="468"/>
      <c r="W397" s="468"/>
      <c r="X397" s="468"/>
      <c r="Y397" s="468"/>
      <c r="Z397" s="468"/>
    </row>
    <row r="398" spans="1:26" ht="18" customHeight="1" x14ac:dyDescent="0.35">
      <c r="A398" s="468"/>
      <c r="B398" s="468"/>
      <c r="C398" s="468"/>
      <c r="D398" s="468"/>
      <c r="E398" s="468"/>
      <c r="F398" s="468"/>
      <c r="G398" s="468"/>
      <c r="H398" s="468"/>
      <c r="I398" s="468"/>
      <c r="J398" s="468"/>
      <c r="K398" s="468"/>
      <c r="L398" s="468"/>
      <c r="M398" s="468"/>
      <c r="N398" s="468"/>
      <c r="O398" s="468"/>
      <c r="P398" s="468"/>
      <c r="Q398" s="468"/>
      <c r="R398" s="468"/>
      <c r="S398" s="468"/>
      <c r="T398" s="468"/>
      <c r="U398" s="468"/>
      <c r="V398" s="468"/>
      <c r="W398" s="468"/>
      <c r="X398" s="468"/>
      <c r="Y398" s="468"/>
      <c r="Z398" s="468"/>
    </row>
    <row r="399" spans="1:26" ht="18" customHeight="1" x14ac:dyDescent="0.35">
      <c r="A399" s="468"/>
      <c r="B399" s="468"/>
      <c r="C399" s="468"/>
      <c r="D399" s="468"/>
      <c r="E399" s="468"/>
      <c r="F399" s="468"/>
      <c r="G399" s="468"/>
      <c r="H399" s="468"/>
      <c r="I399" s="468"/>
      <c r="J399" s="468"/>
      <c r="K399" s="468"/>
      <c r="L399" s="468"/>
      <c r="M399" s="468"/>
      <c r="N399" s="468"/>
      <c r="O399" s="468"/>
      <c r="P399" s="468"/>
      <c r="Q399" s="468"/>
      <c r="R399" s="468"/>
      <c r="S399" s="468"/>
      <c r="T399" s="468"/>
      <c r="U399" s="468"/>
      <c r="V399" s="468"/>
      <c r="W399" s="468"/>
      <c r="X399" s="468"/>
      <c r="Y399" s="468"/>
      <c r="Z399" s="468"/>
    </row>
    <row r="400" spans="1:26" ht="18" customHeight="1" x14ac:dyDescent="0.35">
      <c r="A400" s="468"/>
      <c r="B400" s="468"/>
      <c r="C400" s="468"/>
      <c r="D400" s="468"/>
      <c r="E400" s="468"/>
      <c r="F400" s="468"/>
      <c r="G400" s="468"/>
      <c r="H400" s="468"/>
      <c r="I400" s="468"/>
      <c r="J400" s="468"/>
      <c r="K400" s="468"/>
      <c r="L400" s="468"/>
      <c r="M400" s="468"/>
      <c r="N400" s="468"/>
      <c r="O400" s="468"/>
      <c r="P400" s="468"/>
      <c r="Q400" s="468"/>
      <c r="R400" s="468"/>
      <c r="S400" s="468"/>
      <c r="T400" s="468"/>
      <c r="U400" s="468"/>
      <c r="V400" s="468"/>
      <c r="W400" s="468"/>
      <c r="X400" s="468"/>
      <c r="Y400" s="468"/>
      <c r="Z400" s="468"/>
    </row>
    <row r="401" spans="1:26" ht="18" customHeight="1" x14ac:dyDescent="0.35">
      <c r="A401" s="468"/>
      <c r="B401" s="468"/>
      <c r="C401" s="468"/>
      <c r="D401" s="468"/>
      <c r="E401" s="468"/>
      <c r="F401" s="468"/>
      <c r="G401" s="468"/>
      <c r="H401" s="468"/>
      <c r="I401" s="468"/>
      <c r="J401" s="468"/>
      <c r="K401" s="468"/>
      <c r="L401" s="468"/>
      <c r="M401" s="468"/>
      <c r="N401" s="468"/>
      <c r="O401" s="468"/>
      <c r="P401" s="468"/>
      <c r="Q401" s="468"/>
      <c r="R401" s="468"/>
      <c r="S401" s="468"/>
      <c r="T401" s="468"/>
      <c r="U401" s="468"/>
      <c r="V401" s="468"/>
      <c r="W401" s="468"/>
      <c r="X401" s="468"/>
      <c r="Y401" s="468"/>
      <c r="Z401" s="468"/>
    </row>
    <row r="402" spans="1:26" ht="18" customHeight="1" x14ac:dyDescent="0.35">
      <c r="A402" s="468"/>
      <c r="B402" s="468"/>
      <c r="C402" s="468"/>
      <c r="D402" s="468"/>
      <c r="E402" s="468"/>
      <c r="F402" s="468"/>
      <c r="G402" s="468"/>
      <c r="H402" s="468"/>
      <c r="I402" s="468"/>
      <c r="J402" s="468"/>
      <c r="K402" s="468"/>
      <c r="L402" s="468"/>
      <c r="M402" s="468"/>
      <c r="N402" s="468"/>
      <c r="O402" s="468"/>
      <c r="P402" s="468"/>
      <c r="Q402" s="468"/>
      <c r="R402" s="468"/>
      <c r="S402" s="468"/>
      <c r="T402" s="468"/>
      <c r="U402" s="468"/>
      <c r="V402" s="468"/>
      <c r="W402" s="468"/>
      <c r="X402" s="468"/>
      <c r="Y402" s="468"/>
      <c r="Z402" s="468"/>
    </row>
    <row r="403" spans="1:26" ht="18" customHeight="1" x14ac:dyDescent="0.35">
      <c r="A403" s="468"/>
      <c r="B403" s="468"/>
      <c r="C403" s="468"/>
      <c r="D403" s="468"/>
      <c r="E403" s="468"/>
      <c r="F403" s="468"/>
      <c r="G403" s="468"/>
      <c r="H403" s="468"/>
      <c r="I403" s="468"/>
      <c r="J403" s="468"/>
      <c r="K403" s="468"/>
      <c r="L403" s="468"/>
      <c r="M403" s="468"/>
      <c r="N403" s="468"/>
      <c r="O403" s="468"/>
      <c r="P403" s="468"/>
      <c r="Q403" s="468"/>
      <c r="R403" s="468"/>
      <c r="S403" s="468"/>
      <c r="T403" s="468"/>
      <c r="U403" s="468"/>
      <c r="V403" s="468"/>
      <c r="W403" s="468"/>
      <c r="X403" s="468"/>
      <c r="Y403" s="468"/>
      <c r="Z403" s="468"/>
    </row>
    <row r="404" spans="1:26" ht="18" customHeight="1" x14ac:dyDescent="0.35">
      <c r="A404" s="468"/>
      <c r="B404" s="468"/>
      <c r="C404" s="468"/>
      <c r="D404" s="468"/>
      <c r="E404" s="468"/>
      <c r="F404" s="468"/>
      <c r="G404" s="468"/>
      <c r="H404" s="468"/>
      <c r="I404" s="468"/>
      <c r="J404" s="468"/>
      <c r="K404" s="468"/>
      <c r="L404" s="468"/>
      <c r="M404" s="468"/>
      <c r="N404" s="468"/>
      <c r="O404" s="468"/>
      <c r="P404" s="468"/>
      <c r="Q404" s="468"/>
      <c r="R404" s="468"/>
      <c r="S404" s="468"/>
      <c r="T404" s="468"/>
      <c r="U404" s="468"/>
      <c r="V404" s="468"/>
      <c r="W404" s="468"/>
      <c r="X404" s="468"/>
      <c r="Y404" s="468"/>
      <c r="Z404" s="468"/>
    </row>
    <row r="405" spans="1:26" ht="18" customHeight="1" x14ac:dyDescent="0.35">
      <c r="A405" s="468"/>
      <c r="B405" s="468"/>
      <c r="C405" s="468"/>
      <c r="D405" s="468"/>
      <c r="E405" s="468"/>
      <c r="F405" s="468"/>
      <c r="G405" s="468"/>
      <c r="H405" s="468"/>
      <c r="I405" s="468"/>
      <c r="J405" s="468"/>
      <c r="K405" s="468"/>
      <c r="L405" s="468"/>
      <c r="M405" s="468"/>
      <c r="N405" s="468"/>
      <c r="O405" s="468"/>
      <c r="P405" s="468"/>
      <c r="Q405" s="468"/>
      <c r="R405" s="468"/>
      <c r="S405" s="468"/>
      <c r="T405" s="468"/>
      <c r="U405" s="468"/>
      <c r="V405" s="468"/>
      <c r="W405" s="468"/>
      <c r="X405" s="468"/>
      <c r="Y405" s="468"/>
      <c r="Z405" s="468"/>
    </row>
    <row r="406" spans="1:26" ht="18" customHeight="1" x14ac:dyDescent="0.35">
      <c r="A406" s="468"/>
      <c r="B406" s="468"/>
      <c r="C406" s="468"/>
      <c r="D406" s="468"/>
      <c r="E406" s="468"/>
      <c r="F406" s="468"/>
      <c r="G406" s="468"/>
      <c r="H406" s="468"/>
      <c r="I406" s="468"/>
      <c r="J406" s="468"/>
      <c r="K406" s="468"/>
      <c r="L406" s="468"/>
      <c r="M406" s="468"/>
      <c r="N406" s="468"/>
      <c r="O406" s="468"/>
      <c r="P406" s="468"/>
      <c r="Q406" s="468"/>
      <c r="R406" s="468"/>
      <c r="S406" s="468"/>
      <c r="T406" s="468"/>
      <c r="U406" s="468"/>
      <c r="V406" s="468"/>
      <c r="W406" s="468"/>
      <c r="X406" s="468"/>
      <c r="Y406" s="468"/>
      <c r="Z406" s="468"/>
    </row>
    <row r="407" spans="1:26" ht="18" customHeight="1" x14ac:dyDescent="0.35">
      <c r="A407" s="468"/>
      <c r="B407" s="468"/>
      <c r="C407" s="468"/>
      <c r="D407" s="468"/>
      <c r="E407" s="468"/>
      <c r="F407" s="468"/>
      <c r="G407" s="468"/>
      <c r="H407" s="468"/>
      <c r="I407" s="468"/>
      <c r="J407" s="468"/>
      <c r="K407" s="468"/>
      <c r="L407" s="468"/>
      <c r="M407" s="468"/>
      <c r="N407" s="468"/>
      <c r="O407" s="468"/>
      <c r="P407" s="468"/>
      <c r="Q407" s="468"/>
      <c r="R407" s="468"/>
      <c r="S407" s="468"/>
      <c r="T407" s="468"/>
      <c r="U407" s="468"/>
      <c r="V407" s="468"/>
      <c r="W407" s="468"/>
      <c r="X407" s="468"/>
      <c r="Y407" s="468"/>
      <c r="Z407" s="468"/>
    </row>
    <row r="408" spans="1:26" ht="18" customHeight="1" x14ac:dyDescent="0.35">
      <c r="A408" s="468"/>
      <c r="B408" s="468"/>
      <c r="C408" s="468"/>
      <c r="D408" s="468"/>
      <c r="E408" s="468"/>
      <c r="F408" s="468"/>
      <c r="G408" s="468"/>
      <c r="H408" s="468"/>
      <c r="I408" s="468"/>
      <c r="J408" s="468"/>
      <c r="K408" s="468"/>
      <c r="L408" s="468"/>
      <c r="M408" s="468"/>
      <c r="N408" s="468"/>
      <c r="O408" s="468"/>
      <c r="P408" s="468"/>
      <c r="Q408" s="468"/>
      <c r="R408" s="468"/>
      <c r="S408" s="468"/>
      <c r="T408" s="468"/>
      <c r="U408" s="468"/>
      <c r="V408" s="468"/>
      <c r="W408" s="468"/>
      <c r="X408" s="468"/>
      <c r="Y408" s="468"/>
      <c r="Z408" s="468"/>
    </row>
    <row r="409" spans="1:26" ht="18" customHeight="1" x14ac:dyDescent="0.35">
      <c r="A409" s="468"/>
      <c r="B409" s="468"/>
      <c r="C409" s="468"/>
      <c r="D409" s="468"/>
      <c r="E409" s="468"/>
      <c r="F409" s="468"/>
      <c r="G409" s="468"/>
      <c r="H409" s="468"/>
      <c r="I409" s="468"/>
      <c r="J409" s="468"/>
      <c r="K409" s="468"/>
      <c r="L409" s="468"/>
      <c r="M409" s="468"/>
      <c r="N409" s="468"/>
      <c r="O409" s="468"/>
      <c r="P409" s="468"/>
      <c r="Q409" s="468"/>
      <c r="R409" s="468"/>
      <c r="S409" s="468"/>
      <c r="T409" s="468"/>
      <c r="U409" s="468"/>
      <c r="V409" s="468"/>
      <c r="W409" s="468"/>
      <c r="X409" s="468"/>
      <c r="Y409" s="468"/>
      <c r="Z409" s="468"/>
    </row>
    <row r="410" spans="1:26" ht="18" customHeight="1" x14ac:dyDescent="0.35">
      <c r="A410" s="468"/>
      <c r="B410" s="468"/>
      <c r="C410" s="468"/>
      <c r="D410" s="468"/>
      <c r="E410" s="468"/>
      <c r="F410" s="468"/>
      <c r="G410" s="468"/>
      <c r="H410" s="468"/>
      <c r="I410" s="468"/>
      <c r="J410" s="468"/>
      <c r="K410" s="468"/>
      <c r="L410" s="468"/>
      <c r="M410" s="468"/>
      <c r="N410" s="468"/>
      <c r="O410" s="468"/>
      <c r="P410" s="468"/>
      <c r="Q410" s="468"/>
      <c r="R410" s="468"/>
      <c r="S410" s="468"/>
      <c r="T410" s="468"/>
      <c r="U410" s="468"/>
      <c r="V410" s="468"/>
      <c r="W410" s="468"/>
      <c r="X410" s="468"/>
      <c r="Y410" s="468"/>
      <c r="Z410" s="468"/>
    </row>
    <row r="411" spans="1:26" ht="18" customHeight="1" x14ac:dyDescent="0.35">
      <c r="A411" s="468"/>
      <c r="B411" s="468"/>
      <c r="C411" s="468"/>
      <c r="D411" s="468"/>
      <c r="E411" s="468"/>
      <c r="F411" s="468"/>
      <c r="G411" s="468"/>
      <c r="H411" s="468"/>
      <c r="I411" s="468"/>
      <c r="J411" s="468"/>
      <c r="K411" s="468"/>
      <c r="L411" s="468"/>
      <c r="M411" s="468"/>
      <c r="N411" s="468"/>
      <c r="O411" s="468"/>
      <c r="P411" s="468"/>
      <c r="Q411" s="468"/>
      <c r="R411" s="468"/>
      <c r="S411" s="468"/>
      <c r="T411" s="468"/>
      <c r="U411" s="468"/>
      <c r="V411" s="468"/>
      <c r="W411" s="468"/>
      <c r="X411" s="468"/>
      <c r="Y411" s="468"/>
      <c r="Z411" s="468"/>
    </row>
    <row r="412" spans="1:26" ht="18" customHeight="1" x14ac:dyDescent="0.35">
      <c r="A412" s="468"/>
      <c r="B412" s="468"/>
      <c r="C412" s="468"/>
      <c r="D412" s="468"/>
      <c r="E412" s="468"/>
      <c r="F412" s="468"/>
      <c r="G412" s="468"/>
      <c r="H412" s="468"/>
      <c r="I412" s="468"/>
      <c r="J412" s="468"/>
      <c r="K412" s="468"/>
      <c r="L412" s="468"/>
      <c r="M412" s="468"/>
      <c r="N412" s="468"/>
      <c r="O412" s="468"/>
      <c r="P412" s="468"/>
      <c r="Q412" s="468"/>
      <c r="R412" s="468"/>
      <c r="S412" s="468"/>
      <c r="T412" s="468"/>
      <c r="U412" s="468"/>
      <c r="V412" s="468"/>
      <c r="W412" s="468"/>
      <c r="X412" s="468"/>
      <c r="Y412" s="468"/>
      <c r="Z412" s="468"/>
    </row>
    <row r="413" spans="1:26" ht="18" customHeight="1" x14ac:dyDescent="0.35">
      <c r="A413" s="468"/>
      <c r="B413" s="468"/>
      <c r="C413" s="468"/>
      <c r="D413" s="468"/>
      <c r="E413" s="468"/>
      <c r="F413" s="468"/>
      <c r="G413" s="468"/>
      <c r="H413" s="468"/>
      <c r="I413" s="468"/>
      <c r="J413" s="468"/>
      <c r="K413" s="468"/>
      <c r="L413" s="468"/>
      <c r="M413" s="468"/>
      <c r="N413" s="468"/>
      <c r="O413" s="468"/>
      <c r="P413" s="468"/>
      <c r="Q413" s="468"/>
      <c r="R413" s="468"/>
      <c r="S413" s="468"/>
      <c r="T413" s="468"/>
      <c r="U413" s="468"/>
      <c r="V413" s="468"/>
      <c r="W413" s="468"/>
      <c r="X413" s="468"/>
      <c r="Y413" s="468"/>
      <c r="Z413" s="468"/>
    </row>
    <row r="414" spans="1:26" ht="18" customHeight="1" x14ac:dyDescent="0.35">
      <c r="A414" s="468"/>
      <c r="B414" s="468"/>
      <c r="C414" s="468"/>
      <c r="D414" s="468"/>
      <c r="E414" s="468"/>
      <c r="F414" s="468"/>
      <c r="G414" s="468"/>
      <c r="H414" s="468"/>
      <c r="I414" s="468"/>
      <c r="J414" s="468"/>
      <c r="K414" s="468"/>
      <c r="L414" s="468"/>
      <c r="M414" s="468"/>
      <c r="N414" s="468"/>
      <c r="O414" s="468"/>
      <c r="P414" s="468"/>
      <c r="Q414" s="468"/>
      <c r="R414" s="468"/>
      <c r="S414" s="468"/>
      <c r="T414" s="468"/>
      <c r="U414" s="468"/>
      <c r="V414" s="468"/>
      <c r="W414" s="468"/>
      <c r="X414" s="468"/>
      <c r="Y414" s="468"/>
      <c r="Z414" s="468"/>
    </row>
    <row r="415" spans="1:26" ht="18" customHeight="1" x14ac:dyDescent="0.35">
      <c r="A415" s="468"/>
      <c r="B415" s="468"/>
      <c r="C415" s="468"/>
      <c r="D415" s="468"/>
      <c r="E415" s="468"/>
      <c r="F415" s="468"/>
      <c r="G415" s="468"/>
      <c r="H415" s="468"/>
      <c r="I415" s="468"/>
      <c r="J415" s="468"/>
      <c r="K415" s="468"/>
      <c r="L415" s="468"/>
      <c r="M415" s="468"/>
      <c r="N415" s="468"/>
      <c r="O415" s="468"/>
      <c r="P415" s="468"/>
      <c r="Q415" s="468"/>
      <c r="R415" s="468"/>
      <c r="S415" s="468"/>
      <c r="T415" s="468"/>
      <c r="U415" s="468"/>
      <c r="V415" s="468"/>
      <c r="W415" s="468"/>
      <c r="X415" s="468"/>
      <c r="Y415" s="468"/>
      <c r="Z415" s="468"/>
    </row>
    <row r="416" spans="1:26" ht="18" customHeight="1" x14ac:dyDescent="0.35">
      <c r="A416" s="468"/>
      <c r="B416" s="468"/>
      <c r="C416" s="468"/>
      <c r="D416" s="468"/>
      <c r="E416" s="468"/>
      <c r="F416" s="468"/>
      <c r="G416" s="468"/>
      <c r="H416" s="468"/>
      <c r="I416" s="468"/>
      <c r="J416" s="468"/>
      <c r="K416" s="468"/>
      <c r="L416" s="468"/>
      <c r="M416" s="468"/>
      <c r="N416" s="468"/>
      <c r="O416" s="468"/>
      <c r="P416" s="468"/>
      <c r="Q416" s="468"/>
      <c r="R416" s="468"/>
      <c r="S416" s="468"/>
      <c r="T416" s="468"/>
      <c r="U416" s="468"/>
      <c r="V416" s="468"/>
      <c r="W416" s="468"/>
      <c r="X416" s="468"/>
      <c r="Y416" s="468"/>
      <c r="Z416" s="468"/>
    </row>
    <row r="417" spans="1:26" ht="18" customHeight="1" x14ac:dyDescent="0.35">
      <c r="A417" s="468"/>
      <c r="B417" s="468"/>
      <c r="C417" s="468"/>
      <c r="D417" s="468"/>
      <c r="E417" s="468"/>
      <c r="F417" s="468"/>
      <c r="G417" s="468"/>
      <c r="H417" s="468"/>
      <c r="I417" s="468"/>
      <c r="J417" s="468"/>
      <c r="K417" s="468"/>
      <c r="L417" s="468"/>
      <c r="M417" s="468"/>
      <c r="N417" s="468"/>
      <c r="O417" s="468"/>
      <c r="P417" s="468"/>
      <c r="Q417" s="468"/>
      <c r="R417" s="468"/>
      <c r="S417" s="468"/>
      <c r="T417" s="468"/>
      <c r="U417" s="468"/>
      <c r="V417" s="468"/>
      <c r="W417" s="468"/>
      <c r="X417" s="468"/>
      <c r="Y417" s="468"/>
      <c r="Z417" s="468"/>
    </row>
    <row r="418" spans="1:26" ht="18" customHeight="1" x14ac:dyDescent="0.35">
      <c r="A418" s="468"/>
      <c r="B418" s="468"/>
      <c r="C418" s="468"/>
      <c r="D418" s="468"/>
      <c r="E418" s="468"/>
      <c r="F418" s="468"/>
      <c r="G418" s="468"/>
      <c r="H418" s="468"/>
      <c r="I418" s="468"/>
      <c r="J418" s="468"/>
      <c r="K418" s="468"/>
      <c r="L418" s="468"/>
      <c r="M418" s="468"/>
      <c r="N418" s="468"/>
      <c r="O418" s="468"/>
      <c r="P418" s="468"/>
      <c r="Q418" s="468"/>
      <c r="R418" s="468"/>
      <c r="S418" s="468"/>
      <c r="T418" s="468"/>
      <c r="U418" s="468"/>
      <c r="V418" s="468"/>
      <c r="W418" s="468"/>
      <c r="X418" s="468"/>
      <c r="Y418" s="468"/>
      <c r="Z418" s="468"/>
    </row>
    <row r="419" spans="1:26" ht="18" customHeight="1" x14ac:dyDescent="0.35">
      <c r="A419" s="468"/>
      <c r="B419" s="468"/>
      <c r="C419" s="468"/>
      <c r="D419" s="468"/>
      <c r="E419" s="468"/>
      <c r="F419" s="468"/>
      <c r="G419" s="468"/>
      <c r="H419" s="468"/>
      <c r="I419" s="468"/>
      <c r="J419" s="468"/>
      <c r="K419" s="468"/>
      <c r="L419" s="468"/>
      <c r="M419" s="468"/>
      <c r="N419" s="468"/>
      <c r="O419" s="468"/>
      <c r="P419" s="468"/>
      <c r="Q419" s="468"/>
      <c r="R419" s="468"/>
      <c r="S419" s="468"/>
      <c r="T419" s="468"/>
      <c r="U419" s="468"/>
      <c r="V419" s="468"/>
      <c r="W419" s="468"/>
      <c r="X419" s="468"/>
      <c r="Y419" s="468"/>
      <c r="Z419" s="468"/>
    </row>
    <row r="420" spans="1:26" ht="18" customHeight="1" x14ac:dyDescent="0.35">
      <c r="A420" s="468"/>
      <c r="B420" s="468"/>
      <c r="C420" s="468"/>
      <c r="D420" s="468"/>
      <c r="E420" s="468"/>
      <c r="F420" s="468"/>
      <c r="G420" s="468"/>
      <c r="H420" s="468"/>
      <c r="I420" s="468"/>
      <c r="J420" s="468"/>
      <c r="K420" s="468"/>
      <c r="L420" s="468"/>
      <c r="M420" s="468"/>
      <c r="N420" s="468"/>
      <c r="O420" s="468"/>
      <c r="P420" s="468"/>
      <c r="Q420" s="468"/>
      <c r="R420" s="468"/>
      <c r="S420" s="468"/>
      <c r="T420" s="468"/>
      <c r="U420" s="468"/>
      <c r="V420" s="468"/>
      <c r="W420" s="468"/>
      <c r="X420" s="468"/>
      <c r="Y420" s="468"/>
      <c r="Z420" s="468"/>
    </row>
    <row r="421" spans="1:26" ht="18" customHeight="1" x14ac:dyDescent="0.35">
      <c r="A421" s="468"/>
      <c r="B421" s="468"/>
      <c r="C421" s="468"/>
      <c r="D421" s="468"/>
      <c r="E421" s="468"/>
      <c r="F421" s="468"/>
      <c r="G421" s="468"/>
      <c r="H421" s="468"/>
      <c r="I421" s="468"/>
      <c r="J421" s="468"/>
      <c r="K421" s="468"/>
      <c r="L421" s="468"/>
      <c r="M421" s="468"/>
      <c r="N421" s="468"/>
      <c r="O421" s="468"/>
      <c r="P421" s="468"/>
      <c r="Q421" s="468"/>
      <c r="R421" s="468"/>
      <c r="S421" s="468"/>
      <c r="T421" s="468"/>
      <c r="U421" s="468"/>
      <c r="V421" s="468"/>
      <c r="W421" s="468"/>
      <c r="X421" s="468"/>
      <c r="Y421" s="468"/>
      <c r="Z421" s="468"/>
    </row>
    <row r="422" spans="1:26" ht="18" customHeight="1" x14ac:dyDescent="0.35">
      <c r="A422" s="468"/>
      <c r="B422" s="468"/>
      <c r="C422" s="468"/>
      <c r="D422" s="468"/>
      <c r="E422" s="468"/>
      <c r="F422" s="468"/>
      <c r="G422" s="468"/>
      <c r="H422" s="468"/>
      <c r="I422" s="468"/>
      <c r="J422" s="468"/>
      <c r="K422" s="468"/>
      <c r="L422" s="468"/>
      <c r="M422" s="468"/>
      <c r="N422" s="468"/>
      <c r="O422" s="468"/>
      <c r="P422" s="468"/>
      <c r="Q422" s="468"/>
      <c r="R422" s="468"/>
      <c r="S422" s="468"/>
      <c r="T422" s="468"/>
      <c r="U422" s="468"/>
      <c r="V422" s="468"/>
      <c r="W422" s="468"/>
      <c r="X422" s="468"/>
      <c r="Y422" s="468"/>
      <c r="Z422" s="468"/>
    </row>
    <row r="423" spans="1:26" ht="18" customHeight="1" x14ac:dyDescent="0.35">
      <c r="A423" s="468"/>
      <c r="B423" s="468"/>
      <c r="C423" s="468"/>
      <c r="D423" s="468"/>
      <c r="E423" s="468"/>
      <c r="F423" s="468"/>
      <c r="G423" s="468"/>
      <c r="H423" s="468"/>
      <c r="I423" s="468"/>
      <c r="J423" s="468"/>
      <c r="K423" s="468"/>
      <c r="L423" s="468"/>
      <c r="M423" s="468"/>
      <c r="N423" s="468"/>
      <c r="O423" s="468"/>
      <c r="P423" s="468"/>
      <c r="Q423" s="468"/>
      <c r="R423" s="468"/>
      <c r="S423" s="468"/>
      <c r="T423" s="468"/>
      <c r="U423" s="468"/>
      <c r="V423" s="468"/>
      <c r="W423" s="468"/>
      <c r="X423" s="468"/>
      <c r="Y423" s="468"/>
      <c r="Z423" s="468"/>
    </row>
    <row r="424" spans="1:26" ht="18" customHeight="1" x14ac:dyDescent="0.35">
      <c r="A424" s="468"/>
      <c r="B424" s="468"/>
      <c r="C424" s="468"/>
      <c r="D424" s="468"/>
      <c r="E424" s="468"/>
      <c r="F424" s="468"/>
      <c r="G424" s="468"/>
      <c r="H424" s="468"/>
      <c r="I424" s="468"/>
      <c r="J424" s="468"/>
      <c r="K424" s="468"/>
      <c r="L424" s="468"/>
      <c r="M424" s="468"/>
      <c r="N424" s="468"/>
      <c r="O424" s="468"/>
      <c r="P424" s="468"/>
      <c r="Q424" s="468"/>
      <c r="R424" s="468"/>
      <c r="S424" s="468"/>
      <c r="T424" s="468"/>
      <c r="U424" s="468"/>
      <c r="V424" s="468"/>
      <c r="W424" s="468"/>
      <c r="X424" s="468"/>
      <c r="Y424" s="468"/>
      <c r="Z424" s="468"/>
    </row>
    <row r="425" spans="1:26" ht="18" customHeight="1" x14ac:dyDescent="0.35">
      <c r="A425" s="468"/>
      <c r="B425" s="468"/>
      <c r="C425" s="468"/>
      <c r="D425" s="468"/>
      <c r="E425" s="468"/>
      <c r="F425" s="468"/>
      <c r="G425" s="468"/>
      <c r="H425" s="468"/>
      <c r="I425" s="468"/>
      <c r="J425" s="468"/>
      <c r="K425" s="468"/>
      <c r="L425" s="468"/>
      <c r="M425" s="468"/>
      <c r="N425" s="468"/>
      <c r="O425" s="468"/>
      <c r="P425" s="468"/>
      <c r="Q425" s="468"/>
      <c r="R425" s="468"/>
      <c r="S425" s="468"/>
      <c r="T425" s="468"/>
      <c r="U425" s="468"/>
      <c r="V425" s="468"/>
      <c r="W425" s="468"/>
      <c r="X425" s="468"/>
      <c r="Y425" s="468"/>
      <c r="Z425" s="468"/>
    </row>
    <row r="426" spans="1:26" ht="18" customHeight="1" x14ac:dyDescent="0.35">
      <c r="A426" s="468"/>
      <c r="B426" s="468"/>
      <c r="C426" s="468"/>
      <c r="D426" s="468"/>
      <c r="E426" s="468"/>
      <c r="F426" s="468"/>
      <c r="G426" s="468"/>
      <c r="H426" s="468"/>
      <c r="I426" s="468"/>
      <c r="J426" s="468"/>
      <c r="K426" s="468"/>
      <c r="L426" s="468"/>
      <c r="M426" s="468"/>
      <c r="N426" s="468"/>
      <c r="O426" s="468"/>
      <c r="P426" s="468"/>
      <c r="Q426" s="468"/>
      <c r="R426" s="468"/>
      <c r="S426" s="468"/>
      <c r="T426" s="468"/>
      <c r="U426" s="468"/>
      <c r="V426" s="468"/>
      <c r="W426" s="468"/>
      <c r="X426" s="468"/>
      <c r="Y426" s="468"/>
      <c r="Z426" s="468"/>
    </row>
    <row r="427" spans="1:26" ht="18" customHeight="1" x14ac:dyDescent="0.35">
      <c r="A427" s="468"/>
      <c r="B427" s="468"/>
      <c r="C427" s="468"/>
      <c r="D427" s="468"/>
      <c r="E427" s="468"/>
      <c r="F427" s="468"/>
      <c r="G427" s="468"/>
      <c r="H427" s="468"/>
      <c r="I427" s="468"/>
      <c r="J427" s="468"/>
      <c r="K427" s="468"/>
      <c r="L427" s="468"/>
      <c r="M427" s="468"/>
      <c r="N427" s="468"/>
      <c r="O427" s="468"/>
      <c r="P427" s="468"/>
      <c r="Q427" s="468"/>
      <c r="R427" s="468"/>
      <c r="S427" s="468"/>
      <c r="T427" s="468"/>
      <c r="U427" s="468"/>
      <c r="V427" s="468"/>
      <c r="W427" s="468"/>
      <c r="X427" s="468"/>
      <c r="Y427" s="468"/>
      <c r="Z427" s="468"/>
    </row>
    <row r="428" spans="1:26" ht="18" customHeight="1" x14ac:dyDescent="0.35">
      <c r="A428" s="468"/>
      <c r="B428" s="468"/>
      <c r="C428" s="468"/>
      <c r="D428" s="468"/>
      <c r="E428" s="468"/>
      <c r="F428" s="468"/>
      <c r="G428" s="468"/>
      <c r="H428" s="468"/>
      <c r="I428" s="468"/>
      <c r="J428" s="468"/>
      <c r="K428" s="468"/>
      <c r="L428" s="468"/>
      <c r="M428" s="468"/>
      <c r="N428" s="468"/>
      <c r="O428" s="468"/>
      <c r="P428" s="468"/>
      <c r="Q428" s="468"/>
      <c r="R428" s="468"/>
      <c r="S428" s="468"/>
      <c r="T428" s="468"/>
      <c r="U428" s="468"/>
      <c r="V428" s="468"/>
      <c r="W428" s="468"/>
      <c r="X428" s="468"/>
      <c r="Y428" s="468"/>
      <c r="Z428" s="468"/>
    </row>
    <row r="429" spans="1:26" ht="18" customHeight="1" x14ac:dyDescent="0.35">
      <c r="A429" s="468"/>
      <c r="B429" s="468"/>
      <c r="C429" s="468"/>
      <c r="D429" s="468"/>
      <c r="E429" s="468"/>
      <c r="F429" s="468"/>
      <c r="G429" s="468"/>
      <c r="H429" s="468"/>
      <c r="I429" s="468"/>
      <c r="J429" s="468"/>
      <c r="K429" s="468"/>
      <c r="L429" s="468"/>
      <c r="M429" s="468"/>
      <c r="N429" s="468"/>
      <c r="O429" s="468"/>
      <c r="P429" s="468"/>
      <c r="Q429" s="468"/>
      <c r="R429" s="468"/>
      <c r="S429" s="468"/>
      <c r="T429" s="468"/>
      <c r="U429" s="468"/>
      <c r="V429" s="468"/>
      <c r="W429" s="468"/>
      <c r="X429" s="468"/>
      <c r="Y429" s="468"/>
      <c r="Z429" s="468"/>
    </row>
    <row r="430" spans="1:26" ht="18" customHeight="1" x14ac:dyDescent="0.35">
      <c r="A430" s="468"/>
      <c r="B430" s="468"/>
      <c r="C430" s="468"/>
      <c r="D430" s="468"/>
      <c r="E430" s="468"/>
      <c r="F430" s="468"/>
      <c r="G430" s="468"/>
      <c r="H430" s="468"/>
      <c r="I430" s="468"/>
      <c r="J430" s="468"/>
      <c r="K430" s="468"/>
      <c r="L430" s="468"/>
      <c r="M430" s="468"/>
      <c r="N430" s="468"/>
      <c r="O430" s="468"/>
      <c r="P430" s="468"/>
      <c r="Q430" s="468"/>
      <c r="R430" s="468"/>
      <c r="S430" s="468"/>
      <c r="T430" s="468"/>
      <c r="U430" s="468"/>
      <c r="V430" s="468"/>
      <c r="W430" s="468"/>
      <c r="X430" s="468"/>
      <c r="Y430" s="468"/>
      <c r="Z430" s="468"/>
    </row>
    <row r="431" spans="1:26" ht="18" customHeight="1" x14ac:dyDescent="0.35">
      <c r="A431" s="468"/>
      <c r="B431" s="468"/>
      <c r="C431" s="468"/>
      <c r="D431" s="468"/>
      <c r="E431" s="468"/>
      <c r="F431" s="468"/>
      <c r="G431" s="468"/>
      <c r="H431" s="468"/>
      <c r="I431" s="468"/>
      <c r="J431" s="468"/>
      <c r="K431" s="468"/>
      <c r="L431" s="468"/>
      <c r="M431" s="468"/>
      <c r="N431" s="468"/>
      <c r="O431" s="468"/>
      <c r="P431" s="468"/>
      <c r="Q431" s="468"/>
      <c r="R431" s="468"/>
      <c r="S431" s="468"/>
      <c r="T431" s="468"/>
      <c r="U431" s="468"/>
      <c r="V431" s="468"/>
      <c r="W431" s="468"/>
      <c r="X431" s="468"/>
      <c r="Y431" s="468"/>
      <c r="Z431" s="468"/>
    </row>
    <row r="432" spans="1:26" ht="18" customHeight="1" x14ac:dyDescent="0.35">
      <c r="A432" s="468"/>
      <c r="B432" s="468"/>
      <c r="C432" s="468"/>
      <c r="D432" s="468"/>
      <c r="E432" s="468"/>
      <c r="F432" s="468"/>
      <c r="G432" s="468"/>
      <c r="H432" s="468"/>
      <c r="I432" s="468"/>
      <c r="J432" s="468"/>
      <c r="K432" s="468"/>
      <c r="L432" s="468"/>
      <c r="M432" s="468"/>
      <c r="N432" s="468"/>
      <c r="O432" s="468"/>
      <c r="P432" s="468"/>
      <c r="Q432" s="468"/>
      <c r="R432" s="468"/>
      <c r="S432" s="468"/>
      <c r="T432" s="468"/>
      <c r="U432" s="468"/>
      <c r="V432" s="468"/>
      <c r="W432" s="468"/>
      <c r="X432" s="468"/>
      <c r="Y432" s="468"/>
      <c r="Z432" s="468"/>
    </row>
    <row r="433" spans="1:26" ht="18" customHeight="1" x14ac:dyDescent="0.35">
      <c r="A433" s="468"/>
      <c r="B433" s="468"/>
      <c r="C433" s="468"/>
      <c r="D433" s="468"/>
      <c r="E433" s="468"/>
      <c r="F433" s="468"/>
      <c r="G433" s="468"/>
      <c r="H433" s="468"/>
      <c r="I433" s="468"/>
      <c r="J433" s="468"/>
      <c r="K433" s="468"/>
      <c r="L433" s="468"/>
      <c r="M433" s="468"/>
      <c r="N433" s="468"/>
      <c r="O433" s="468"/>
      <c r="P433" s="468"/>
      <c r="Q433" s="468"/>
      <c r="R433" s="468"/>
      <c r="S433" s="468"/>
      <c r="T433" s="468"/>
      <c r="U433" s="468"/>
      <c r="V433" s="468"/>
      <c r="W433" s="468"/>
      <c r="X433" s="468"/>
      <c r="Y433" s="468"/>
      <c r="Z433" s="468"/>
    </row>
    <row r="434" spans="1:26" ht="18" customHeight="1" x14ac:dyDescent="0.35">
      <c r="A434" s="468"/>
      <c r="B434" s="468"/>
      <c r="C434" s="468"/>
      <c r="D434" s="468"/>
      <c r="E434" s="468"/>
      <c r="F434" s="468"/>
      <c r="G434" s="468"/>
      <c r="H434" s="468"/>
      <c r="I434" s="468"/>
      <c r="J434" s="468"/>
      <c r="K434" s="468"/>
      <c r="L434" s="468"/>
      <c r="M434" s="468"/>
      <c r="N434" s="468"/>
      <c r="O434" s="468"/>
      <c r="P434" s="468"/>
      <c r="Q434" s="468"/>
      <c r="R434" s="468"/>
      <c r="S434" s="468"/>
      <c r="T434" s="468"/>
      <c r="U434" s="468"/>
      <c r="V434" s="468"/>
      <c r="W434" s="468"/>
      <c r="X434" s="468"/>
      <c r="Y434" s="468"/>
      <c r="Z434" s="468"/>
    </row>
    <row r="435" spans="1:26" ht="18" customHeight="1" x14ac:dyDescent="0.35">
      <c r="A435" s="468"/>
      <c r="B435" s="468"/>
      <c r="C435" s="468"/>
      <c r="D435" s="468"/>
      <c r="E435" s="468"/>
      <c r="F435" s="468"/>
      <c r="G435" s="468"/>
      <c r="H435" s="468"/>
      <c r="I435" s="468"/>
      <c r="J435" s="468"/>
      <c r="K435" s="468"/>
      <c r="L435" s="468"/>
      <c r="M435" s="468"/>
      <c r="N435" s="468"/>
      <c r="O435" s="468"/>
      <c r="P435" s="468"/>
      <c r="Q435" s="468"/>
      <c r="R435" s="468"/>
      <c r="S435" s="468"/>
      <c r="T435" s="468"/>
      <c r="U435" s="468"/>
      <c r="V435" s="468"/>
      <c r="W435" s="468"/>
      <c r="X435" s="468"/>
      <c r="Y435" s="468"/>
      <c r="Z435" s="468"/>
    </row>
    <row r="436" spans="1:26" ht="18" customHeight="1" x14ac:dyDescent="0.35">
      <c r="A436" s="468"/>
      <c r="B436" s="468"/>
      <c r="C436" s="468"/>
      <c r="D436" s="468"/>
      <c r="E436" s="468"/>
      <c r="F436" s="468"/>
      <c r="G436" s="468"/>
      <c r="H436" s="468"/>
      <c r="I436" s="468"/>
      <c r="J436" s="468"/>
      <c r="K436" s="468"/>
      <c r="L436" s="468"/>
      <c r="M436" s="468"/>
      <c r="N436" s="468"/>
      <c r="O436" s="468"/>
      <c r="P436" s="468"/>
      <c r="Q436" s="468"/>
      <c r="R436" s="468"/>
      <c r="S436" s="468"/>
      <c r="T436" s="468"/>
      <c r="U436" s="468"/>
      <c r="V436" s="468"/>
      <c r="W436" s="468"/>
      <c r="X436" s="468"/>
      <c r="Y436" s="468"/>
      <c r="Z436" s="468"/>
    </row>
    <row r="437" spans="1:26" ht="18" customHeight="1" x14ac:dyDescent="0.35">
      <c r="A437" s="468"/>
      <c r="B437" s="468"/>
      <c r="C437" s="468"/>
      <c r="D437" s="468"/>
      <c r="E437" s="468"/>
      <c r="F437" s="468"/>
      <c r="G437" s="468"/>
      <c r="H437" s="468"/>
      <c r="I437" s="468"/>
      <c r="J437" s="468"/>
      <c r="K437" s="468"/>
      <c r="L437" s="468"/>
      <c r="M437" s="468"/>
      <c r="N437" s="468"/>
      <c r="O437" s="468"/>
      <c r="P437" s="468"/>
      <c r="Q437" s="468"/>
      <c r="R437" s="468"/>
      <c r="S437" s="468"/>
      <c r="T437" s="468"/>
      <c r="U437" s="468"/>
      <c r="V437" s="468"/>
      <c r="W437" s="468"/>
      <c r="X437" s="468"/>
      <c r="Y437" s="468"/>
      <c r="Z437" s="468"/>
    </row>
    <row r="438" spans="1:26" ht="18" customHeight="1" x14ac:dyDescent="0.35">
      <c r="A438" s="468"/>
      <c r="B438" s="468"/>
      <c r="C438" s="468"/>
      <c r="D438" s="468"/>
      <c r="E438" s="468"/>
      <c r="F438" s="468"/>
      <c r="G438" s="468"/>
      <c r="H438" s="468"/>
      <c r="I438" s="468"/>
      <c r="J438" s="468"/>
      <c r="K438" s="468"/>
      <c r="L438" s="468"/>
      <c r="M438" s="468"/>
      <c r="N438" s="468"/>
      <c r="O438" s="468"/>
      <c r="P438" s="468"/>
      <c r="Q438" s="468"/>
      <c r="R438" s="468"/>
      <c r="S438" s="468"/>
      <c r="T438" s="468"/>
      <c r="U438" s="468"/>
      <c r="V438" s="468"/>
      <c r="W438" s="468"/>
      <c r="X438" s="468"/>
      <c r="Y438" s="468"/>
      <c r="Z438" s="468"/>
    </row>
    <row r="439" spans="1:26" ht="18" customHeight="1" x14ac:dyDescent="0.35">
      <c r="A439" s="468"/>
      <c r="B439" s="468"/>
      <c r="C439" s="468"/>
      <c r="D439" s="468"/>
      <c r="E439" s="468"/>
      <c r="F439" s="468"/>
      <c r="G439" s="468"/>
      <c r="H439" s="468"/>
      <c r="I439" s="468"/>
      <c r="J439" s="468"/>
      <c r="K439" s="468"/>
      <c r="L439" s="468"/>
      <c r="M439" s="468"/>
      <c r="N439" s="468"/>
      <c r="O439" s="468"/>
      <c r="P439" s="468"/>
      <c r="Q439" s="468"/>
      <c r="R439" s="468"/>
      <c r="S439" s="468"/>
      <c r="T439" s="468"/>
      <c r="U439" s="468"/>
      <c r="V439" s="468"/>
      <c r="W439" s="468"/>
      <c r="X439" s="468"/>
      <c r="Y439" s="468"/>
      <c r="Z439" s="468"/>
    </row>
    <row r="440" spans="1:26" ht="18" customHeight="1" x14ac:dyDescent="0.35">
      <c r="A440" s="468"/>
      <c r="B440" s="468"/>
      <c r="C440" s="468"/>
      <c r="D440" s="468"/>
      <c r="E440" s="468"/>
      <c r="F440" s="468"/>
      <c r="G440" s="468"/>
      <c r="H440" s="468"/>
      <c r="I440" s="468"/>
      <c r="J440" s="468"/>
      <c r="K440" s="468"/>
      <c r="L440" s="468"/>
      <c r="M440" s="468"/>
      <c r="N440" s="468"/>
      <c r="O440" s="468"/>
      <c r="P440" s="468"/>
      <c r="Q440" s="468"/>
      <c r="R440" s="468"/>
      <c r="S440" s="468"/>
      <c r="T440" s="468"/>
      <c r="U440" s="468"/>
      <c r="V440" s="468"/>
      <c r="W440" s="468"/>
      <c r="X440" s="468"/>
      <c r="Y440" s="468"/>
      <c r="Z440" s="468"/>
    </row>
    <row r="441" spans="1:26" ht="18" customHeight="1" x14ac:dyDescent="0.35">
      <c r="A441" s="468"/>
      <c r="B441" s="468"/>
      <c r="C441" s="468"/>
      <c r="D441" s="468"/>
      <c r="E441" s="468"/>
      <c r="F441" s="468"/>
      <c r="G441" s="468"/>
      <c r="H441" s="468"/>
      <c r="I441" s="468"/>
      <c r="J441" s="468"/>
      <c r="K441" s="468"/>
      <c r="L441" s="468"/>
      <c r="M441" s="468"/>
      <c r="N441" s="468"/>
      <c r="O441" s="468"/>
      <c r="P441" s="468"/>
      <c r="Q441" s="468"/>
      <c r="R441" s="468"/>
      <c r="S441" s="468"/>
      <c r="T441" s="468"/>
      <c r="U441" s="468"/>
      <c r="V441" s="468"/>
      <c r="W441" s="468"/>
      <c r="X441" s="468"/>
      <c r="Y441" s="468"/>
      <c r="Z441" s="468"/>
    </row>
    <row r="442" spans="1:26" ht="18" customHeight="1" x14ac:dyDescent="0.35">
      <c r="A442" s="468"/>
      <c r="B442" s="468"/>
      <c r="C442" s="468"/>
      <c r="D442" s="468"/>
      <c r="E442" s="468"/>
      <c r="F442" s="468"/>
      <c r="G442" s="468"/>
      <c r="H442" s="468"/>
      <c r="I442" s="468"/>
      <c r="J442" s="468"/>
      <c r="K442" s="468"/>
      <c r="L442" s="468"/>
      <c r="M442" s="468"/>
      <c r="N442" s="468"/>
      <c r="O442" s="468"/>
      <c r="P442" s="468"/>
      <c r="Q442" s="468"/>
      <c r="R442" s="468"/>
      <c r="S442" s="468"/>
      <c r="T442" s="468"/>
      <c r="U442" s="468"/>
      <c r="V442" s="468"/>
      <c r="W442" s="468"/>
      <c r="X442" s="468"/>
      <c r="Y442" s="468"/>
      <c r="Z442" s="468"/>
    </row>
    <row r="443" spans="1:26" ht="18" customHeight="1" x14ac:dyDescent="0.35">
      <c r="A443" s="468"/>
      <c r="B443" s="468"/>
      <c r="C443" s="468"/>
      <c r="D443" s="468"/>
      <c r="E443" s="468"/>
      <c r="F443" s="468"/>
      <c r="G443" s="468"/>
      <c r="H443" s="468"/>
      <c r="I443" s="468"/>
      <c r="J443" s="468"/>
      <c r="K443" s="468"/>
      <c r="L443" s="468"/>
      <c r="M443" s="468"/>
      <c r="N443" s="468"/>
      <c r="O443" s="468"/>
      <c r="P443" s="468"/>
      <c r="Q443" s="468"/>
      <c r="R443" s="468"/>
      <c r="S443" s="468"/>
      <c r="T443" s="468"/>
      <c r="U443" s="468"/>
      <c r="V443" s="468"/>
      <c r="W443" s="468"/>
      <c r="X443" s="468"/>
      <c r="Y443" s="468"/>
      <c r="Z443" s="468"/>
    </row>
    <row r="444" spans="1:26" ht="18" customHeight="1" x14ac:dyDescent="0.35">
      <c r="A444" s="468"/>
      <c r="B444" s="468"/>
      <c r="C444" s="468"/>
      <c r="D444" s="468"/>
      <c r="E444" s="468"/>
      <c r="F444" s="468"/>
      <c r="G444" s="468"/>
      <c r="H444" s="468"/>
      <c r="I444" s="468"/>
      <c r="J444" s="468"/>
      <c r="K444" s="468"/>
      <c r="L444" s="468"/>
      <c r="M444" s="468"/>
      <c r="N444" s="468"/>
      <c r="O444" s="468"/>
      <c r="P444" s="468"/>
      <c r="Q444" s="468"/>
      <c r="R444" s="468"/>
      <c r="S444" s="468"/>
      <c r="T444" s="468"/>
      <c r="U444" s="468"/>
      <c r="V444" s="468"/>
      <c r="W444" s="468"/>
      <c r="X444" s="468"/>
      <c r="Y444" s="468"/>
      <c r="Z444" s="468"/>
    </row>
    <row r="445" spans="1:26" ht="18" customHeight="1" x14ac:dyDescent="0.35">
      <c r="A445" s="468"/>
      <c r="B445" s="468"/>
      <c r="C445" s="468"/>
      <c r="D445" s="468"/>
      <c r="E445" s="468"/>
      <c r="F445" s="468"/>
      <c r="G445" s="468"/>
      <c r="H445" s="468"/>
      <c r="I445" s="468"/>
      <c r="J445" s="468"/>
      <c r="K445" s="468"/>
      <c r="L445" s="468"/>
      <c r="M445" s="468"/>
      <c r="N445" s="468"/>
      <c r="O445" s="468"/>
      <c r="P445" s="468"/>
      <c r="Q445" s="468"/>
      <c r="R445" s="468"/>
      <c r="S445" s="468"/>
      <c r="T445" s="468"/>
      <c r="U445" s="468"/>
      <c r="V445" s="468"/>
      <c r="W445" s="468"/>
      <c r="X445" s="468"/>
      <c r="Y445" s="468"/>
      <c r="Z445" s="468"/>
    </row>
    <row r="446" spans="1:26" ht="18" customHeight="1" x14ac:dyDescent="0.35">
      <c r="A446" s="468"/>
      <c r="B446" s="468"/>
      <c r="C446" s="468"/>
      <c r="D446" s="468"/>
      <c r="E446" s="468"/>
      <c r="F446" s="468"/>
      <c r="G446" s="468"/>
      <c r="H446" s="468"/>
      <c r="I446" s="468"/>
      <c r="J446" s="468"/>
      <c r="K446" s="468"/>
      <c r="L446" s="468"/>
      <c r="M446" s="468"/>
      <c r="N446" s="468"/>
      <c r="O446" s="468"/>
      <c r="P446" s="468"/>
      <c r="Q446" s="468"/>
      <c r="R446" s="468"/>
      <c r="S446" s="468"/>
      <c r="T446" s="468"/>
      <c r="U446" s="468"/>
      <c r="V446" s="468"/>
      <c r="W446" s="468"/>
      <c r="X446" s="468"/>
      <c r="Y446" s="468"/>
      <c r="Z446" s="468"/>
    </row>
    <row r="447" spans="1:26" ht="18" customHeight="1" x14ac:dyDescent="0.35">
      <c r="A447" s="468"/>
      <c r="B447" s="468"/>
      <c r="C447" s="468"/>
      <c r="D447" s="468"/>
      <c r="E447" s="468"/>
      <c r="F447" s="468"/>
      <c r="G447" s="468"/>
      <c r="H447" s="468"/>
      <c r="I447" s="468"/>
      <c r="J447" s="468"/>
      <c r="K447" s="468"/>
      <c r="L447" s="468"/>
      <c r="M447" s="468"/>
      <c r="N447" s="468"/>
      <c r="O447" s="468"/>
      <c r="P447" s="468"/>
      <c r="Q447" s="468"/>
      <c r="R447" s="468"/>
      <c r="S447" s="468"/>
      <c r="T447" s="468"/>
      <c r="U447" s="468"/>
      <c r="V447" s="468"/>
      <c r="W447" s="468"/>
      <c r="X447" s="468"/>
      <c r="Y447" s="468"/>
      <c r="Z447" s="468"/>
    </row>
    <row r="448" spans="1:26" ht="18" customHeight="1" x14ac:dyDescent="0.35">
      <c r="A448" s="468"/>
      <c r="B448" s="468"/>
      <c r="C448" s="468"/>
      <c r="D448" s="468"/>
      <c r="E448" s="468"/>
      <c r="F448" s="468"/>
      <c r="G448" s="468"/>
      <c r="H448" s="468"/>
      <c r="I448" s="468"/>
      <c r="J448" s="468"/>
      <c r="K448" s="468"/>
      <c r="L448" s="468"/>
      <c r="M448" s="468"/>
      <c r="N448" s="468"/>
      <c r="O448" s="468"/>
      <c r="P448" s="468"/>
      <c r="Q448" s="468"/>
      <c r="R448" s="468"/>
      <c r="S448" s="468"/>
      <c r="T448" s="468"/>
      <c r="U448" s="468"/>
      <c r="V448" s="468"/>
      <c r="W448" s="468"/>
      <c r="X448" s="468"/>
      <c r="Y448" s="468"/>
      <c r="Z448" s="468"/>
    </row>
    <row r="449" spans="1:26" ht="18" customHeight="1" x14ac:dyDescent="0.35">
      <c r="A449" s="468"/>
      <c r="B449" s="468"/>
      <c r="C449" s="468"/>
      <c r="D449" s="468"/>
      <c r="E449" s="468"/>
      <c r="F449" s="468"/>
      <c r="G449" s="468"/>
      <c r="H449" s="468"/>
      <c r="I449" s="468"/>
      <c r="J449" s="468"/>
      <c r="K449" s="468"/>
      <c r="L449" s="468"/>
      <c r="M449" s="468"/>
      <c r="N449" s="468"/>
      <c r="O449" s="468"/>
      <c r="P449" s="468"/>
      <c r="Q449" s="468"/>
      <c r="R449" s="468"/>
      <c r="S449" s="468"/>
      <c r="T449" s="468"/>
      <c r="U449" s="468"/>
      <c r="V449" s="468"/>
      <c r="W449" s="468"/>
      <c r="X449" s="468"/>
      <c r="Y449" s="468"/>
      <c r="Z449" s="468"/>
    </row>
    <row r="450" spans="1:26" ht="18" customHeight="1" x14ac:dyDescent="0.35">
      <c r="A450" s="468"/>
      <c r="B450" s="468"/>
      <c r="C450" s="468"/>
      <c r="D450" s="468"/>
      <c r="E450" s="468"/>
      <c r="F450" s="468"/>
      <c r="G450" s="468"/>
      <c r="H450" s="468"/>
      <c r="I450" s="468"/>
      <c r="J450" s="468"/>
      <c r="K450" s="468"/>
      <c r="L450" s="468"/>
      <c r="M450" s="468"/>
      <c r="N450" s="468"/>
      <c r="O450" s="468"/>
      <c r="P450" s="468"/>
      <c r="Q450" s="468"/>
      <c r="R450" s="468"/>
      <c r="S450" s="468"/>
      <c r="T450" s="468"/>
      <c r="U450" s="468"/>
      <c r="V450" s="468"/>
      <c r="W450" s="468"/>
      <c r="X450" s="468"/>
      <c r="Y450" s="468"/>
      <c r="Z450" s="468"/>
    </row>
    <row r="451" spans="1:26" ht="18" customHeight="1" x14ac:dyDescent="0.35">
      <c r="A451" s="468"/>
      <c r="B451" s="468"/>
      <c r="C451" s="468"/>
      <c r="D451" s="468"/>
      <c r="E451" s="468"/>
      <c r="F451" s="468"/>
      <c r="G451" s="468"/>
      <c r="H451" s="468"/>
      <c r="I451" s="468"/>
      <c r="J451" s="468"/>
      <c r="K451" s="468"/>
      <c r="L451" s="468"/>
      <c r="M451" s="468"/>
      <c r="N451" s="468"/>
      <c r="O451" s="468"/>
      <c r="P451" s="468"/>
      <c r="Q451" s="468"/>
      <c r="R451" s="468"/>
      <c r="S451" s="468"/>
      <c r="T451" s="468"/>
      <c r="U451" s="468"/>
      <c r="V451" s="468"/>
      <c r="W451" s="468"/>
      <c r="X451" s="468"/>
      <c r="Y451" s="468"/>
      <c r="Z451" s="468"/>
    </row>
    <row r="452" spans="1:26" ht="18" customHeight="1" x14ac:dyDescent="0.35">
      <c r="A452" s="468"/>
      <c r="B452" s="468"/>
      <c r="C452" s="468"/>
      <c r="D452" s="468"/>
      <c r="E452" s="468"/>
      <c r="F452" s="468"/>
      <c r="G452" s="468"/>
      <c r="H452" s="468"/>
      <c r="I452" s="468"/>
      <c r="J452" s="468"/>
      <c r="K452" s="468"/>
      <c r="L452" s="468"/>
      <c r="M452" s="468"/>
      <c r="N452" s="468"/>
      <c r="O452" s="468"/>
      <c r="P452" s="468"/>
      <c r="Q452" s="468"/>
      <c r="R452" s="468"/>
      <c r="S452" s="468"/>
      <c r="T452" s="468"/>
      <c r="U452" s="468"/>
      <c r="V452" s="468"/>
      <c r="W452" s="468"/>
      <c r="X452" s="468"/>
      <c r="Y452" s="468"/>
      <c r="Z452" s="468"/>
    </row>
    <row r="453" spans="1:26" ht="18" customHeight="1" x14ac:dyDescent="0.35">
      <c r="A453" s="468"/>
      <c r="B453" s="468"/>
      <c r="C453" s="468"/>
      <c r="D453" s="468"/>
      <c r="E453" s="468"/>
      <c r="F453" s="468"/>
      <c r="G453" s="468"/>
      <c r="H453" s="468"/>
      <c r="I453" s="468"/>
      <c r="J453" s="468"/>
      <c r="K453" s="468"/>
      <c r="L453" s="468"/>
      <c r="M453" s="468"/>
      <c r="N453" s="468"/>
      <c r="O453" s="468"/>
      <c r="P453" s="468"/>
      <c r="Q453" s="468"/>
      <c r="R453" s="468"/>
      <c r="S453" s="468"/>
      <c r="T453" s="468"/>
      <c r="U453" s="468"/>
      <c r="V453" s="468"/>
      <c r="W453" s="468"/>
      <c r="X453" s="468"/>
      <c r="Y453" s="468"/>
      <c r="Z453" s="468"/>
    </row>
    <row r="454" spans="1:26" ht="18" customHeight="1" x14ac:dyDescent="0.35">
      <c r="A454" s="468"/>
      <c r="B454" s="468"/>
      <c r="C454" s="468"/>
      <c r="D454" s="468"/>
      <c r="E454" s="468"/>
      <c r="F454" s="468"/>
      <c r="G454" s="468"/>
      <c r="H454" s="468"/>
      <c r="I454" s="468"/>
      <c r="J454" s="468"/>
      <c r="K454" s="468"/>
      <c r="L454" s="468"/>
      <c r="M454" s="468"/>
      <c r="N454" s="468"/>
      <c r="O454" s="468"/>
      <c r="P454" s="468"/>
      <c r="Q454" s="468"/>
      <c r="R454" s="468"/>
      <c r="S454" s="468"/>
      <c r="T454" s="468"/>
      <c r="U454" s="468"/>
      <c r="V454" s="468"/>
      <c r="W454" s="468"/>
      <c r="X454" s="468"/>
      <c r="Y454" s="468"/>
      <c r="Z454" s="468"/>
    </row>
    <row r="455" spans="1:26" ht="18" customHeight="1" x14ac:dyDescent="0.35">
      <c r="A455" s="468"/>
      <c r="B455" s="468"/>
      <c r="C455" s="468"/>
      <c r="D455" s="468"/>
      <c r="E455" s="468"/>
      <c r="F455" s="468"/>
      <c r="G455" s="468"/>
      <c r="H455" s="468"/>
      <c r="I455" s="468"/>
      <c r="J455" s="468"/>
      <c r="K455" s="468"/>
      <c r="L455" s="468"/>
      <c r="M455" s="468"/>
      <c r="N455" s="468"/>
      <c r="O455" s="468"/>
      <c r="P455" s="468"/>
      <c r="Q455" s="468"/>
      <c r="R455" s="468"/>
      <c r="S455" s="468"/>
      <c r="T455" s="468"/>
      <c r="U455" s="468"/>
      <c r="V455" s="468"/>
      <c r="W455" s="468"/>
      <c r="X455" s="468"/>
      <c r="Y455" s="468"/>
      <c r="Z455" s="468"/>
    </row>
    <row r="456" spans="1:26" ht="18" customHeight="1" x14ac:dyDescent="0.35">
      <c r="A456" s="468"/>
      <c r="B456" s="468"/>
      <c r="C456" s="468"/>
      <c r="D456" s="468"/>
      <c r="E456" s="468"/>
      <c r="F456" s="468"/>
      <c r="G456" s="468"/>
      <c r="H456" s="468"/>
      <c r="I456" s="468"/>
      <c r="J456" s="468"/>
      <c r="K456" s="468"/>
      <c r="L456" s="468"/>
      <c r="M456" s="468"/>
      <c r="N456" s="468"/>
      <c r="O456" s="468"/>
      <c r="P456" s="468"/>
      <c r="Q456" s="468"/>
      <c r="R456" s="468"/>
      <c r="S456" s="468"/>
      <c r="T456" s="468"/>
      <c r="U456" s="468"/>
      <c r="V456" s="468"/>
      <c r="W456" s="468"/>
      <c r="X456" s="468"/>
      <c r="Y456" s="468"/>
      <c r="Z456" s="468"/>
    </row>
    <row r="457" spans="1:26" ht="18" customHeight="1" x14ac:dyDescent="0.35">
      <c r="A457" s="468"/>
      <c r="B457" s="468"/>
      <c r="C457" s="468"/>
      <c r="D457" s="468"/>
      <c r="E457" s="468"/>
      <c r="F457" s="468"/>
      <c r="G457" s="468"/>
      <c r="H457" s="468"/>
      <c r="I457" s="468"/>
      <c r="J457" s="468"/>
      <c r="K457" s="468"/>
      <c r="L457" s="468"/>
      <c r="M457" s="468"/>
      <c r="N457" s="468"/>
      <c r="O457" s="468"/>
      <c r="P457" s="468"/>
      <c r="Q457" s="468"/>
      <c r="R457" s="468"/>
      <c r="S457" s="468"/>
      <c r="T457" s="468"/>
      <c r="U457" s="468"/>
      <c r="V457" s="468"/>
      <c r="W457" s="468"/>
      <c r="X457" s="468"/>
      <c r="Y457" s="468"/>
      <c r="Z457" s="468"/>
    </row>
    <row r="458" spans="1:26" ht="18" customHeight="1" x14ac:dyDescent="0.35">
      <c r="A458" s="468"/>
      <c r="B458" s="468"/>
      <c r="C458" s="468"/>
      <c r="D458" s="468"/>
      <c r="E458" s="468"/>
      <c r="F458" s="468"/>
      <c r="G458" s="468"/>
      <c r="H458" s="468"/>
      <c r="I458" s="468"/>
      <c r="J458" s="468"/>
      <c r="K458" s="468"/>
      <c r="L458" s="468"/>
      <c r="M458" s="468"/>
      <c r="N458" s="468"/>
      <c r="O458" s="468"/>
      <c r="P458" s="468"/>
      <c r="Q458" s="468"/>
      <c r="R458" s="468"/>
      <c r="S458" s="468"/>
      <c r="T458" s="468"/>
      <c r="U458" s="468"/>
      <c r="V458" s="468"/>
      <c r="W458" s="468"/>
      <c r="X458" s="468"/>
      <c r="Y458" s="468"/>
      <c r="Z458" s="468"/>
    </row>
    <row r="459" spans="1:26" ht="18" customHeight="1" x14ac:dyDescent="0.35">
      <c r="A459" s="468"/>
      <c r="B459" s="468"/>
      <c r="C459" s="468"/>
      <c r="D459" s="468"/>
      <c r="E459" s="468"/>
      <c r="F459" s="468"/>
      <c r="G459" s="468"/>
      <c r="H459" s="468"/>
      <c r="I459" s="468"/>
      <c r="J459" s="468"/>
      <c r="K459" s="468"/>
      <c r="L459" s="468"/>
      <c r="M459" s="468"/>
      <c r="N459" s="468"/>
      <c r="O459" s="468"/>
      <c r="P459" s="468"/>
      <c r="Q459" s="468"/>
      <c r="R459" s="468"/>
      <c r="S459" s="468"/>
      <c r="T459" s="468"/>
      <c r="U459" s="468"/>
      <c r="V459" s="468"/>
      <c r="W459" s="468"/>
      <c r="X459" s="468"/>
      <c r="Y459" s="468"/>
      <c r="Z459" s="468"/>
    </row>
    <row r="460" spans="1:26" ht="18" customHeight="1" x14ac:dyDescent="0.35">
      <c r="A460" s="468"/>
      <c r="B460" s="468"/>
      <c r="C460" s="468"/>
      <c r="D460" s="468"/>
      <c r="E460" s="468"/>
      <c r="F460" s="468"/>
      <c r="G460" s="468"/>
      <c r="H460" s="468"/>
      <c r="I460" s="468"/>
      <c r="J460" s="468"/>
      <c r="K460" s="468"/>
      <c r="L460" s="468"/>
      <c r="M460" s="468"/>
      <c r="N460" s="468"/>
      <c r="O460" s="468"/>
      <c r="P460" s="468"/>
      <c r="Q460" s="468"/>
      <c r="R460" s="468"/>
      <c r="S460" s="468"/>
      <c r="T460" s="468"/>
      <c r="U460" s="468"/>
      <c r="V460" s="468"/>
      <c r="W460" s="468"/>
      <c r="X460" s="468"/>
      <c r="Y460" s="468"/>
      <c r="Z460" s="468"/>
    </row>
    <row r="461" spans="1:26" ht="18" customHeight="1" x14ac:dyDescent="0.35">
      <c r="A461" s="468"/>
      <c r="B461" s="468"/>
      <c r="C461" s="468"/>
      <c r="D461" s="468"/>
      <c r="E461" s="468"/>
      <c r="F461" s="468"/>
      <c r="G461" s="468"/>
      <c r="H461" s="468"/>
      <c r="I461" s="468"/>
      <c r="J461" s="468"/>
      <c r="K461" s="468"/>
      <c r="L461" s="468"/>
      <c r="M461" s="468"/>
      <c r="N461" s="468"/>
      <c r="O461" s="468"/>
      <c r="P461" s="468"/>
      <c r="Q461" s="468"/>
      <c r="R461" s="468"/>
      <c r="S461" s="468"/>
      <c r="T461" s="468"/>
      <c r="U461" s="468"/>
      <c r="V461" s="468"/>
      <c r="W461" s="468"/>
      <c r="X461" s="468"/>
      <c r="Y461" s="468"/>
      <c r="Z461" s="468"/>
    </row>
    <row r="462" spans="1:26" ht="18" customHeight="1" x14ac:dyDescent="0.35">
      <c r="A462" s="468"/>
      <c r="B462" s="468"/>
      <c r="C462" s="468"/>
      <c r="D462" s="468"/>
      <c r="E462" s="468"/>
      <c r="F462" s="468"/>
      <c r="G462" s="468"/>
      <c r="H462" s="468"/>
      <c r="I462" s="468"/>
      <c r="J462" s="468"/>
      <c r="K462" s="468"/>
      <c r="L462" s="468"/>
      <c r="M462" s="468"/>
      <c r="N462" s="468"/>
      <c r="O462" s="468"/>
      <c r="P462" s="468"/>
      <c r="Q462" s="468"/>
      <c r="R462" s="468"/>
      <c r="S462" s="468"/>
      <c r="T462" s="468"/>
      <c r="U462" s="468"/>
      <c r="V462" s="468"/>
      <c r="W462" s="468"/>
      <c r="X462" s="468"/>
      <c r="Y462" s="468"/>
      <c r="Z462" s="468"/>
    </row>
    <row r="463" spans="1:26" ht="18" customHeight="1" x14ac:dyDescent="0.35">
      <c r="A463" s="468"/>
      <c r="B463" s="468"/>
      <c r="C463" s="468"/>
      <c r="D463" s="468"/>
      <c r="E463" s="468"/>
      <c r="F463" s="468"/>
      <c r="G463" s="468"/>
      <c r="H463" s="468"/>
      <c r="I463" s="468"/>
      <c r="J463" s="468"/>
      <c r="K463" s="468"/>
      <c r="L463" s="468"/>
      <c r="M463" s="468"/>
      <c r="N463" s="468"/>
      <c r="O463" s="468"/>
      <c r="P463" s="468"/>
      <c r="Q463" s="468"/>
      <c r="R463" s="468"/>
      <c r="S463" s="468"/>
      <c r="T463" s="468"/>
      <c r="U463" s="468"/>
      <c r="V463" s="468"/>
      <c r="W463" s="468"/>
      <c r="X463" s="468"/>
      <c r="Y463" s="468"/>
      <c r="Z463" s="468"/>
    </row>
    <row r="464" spans="1:26" ht="18" customHeight="1" x14ac:dyDescent="0.35">
      <c r="A464" s="468"/>
      <c r="B464" s="468"/>
      <c r="C464" s="468"/>
      <c r="D464" s="468"/>
      <c r="E464" s="468"/>
      <c r="F464" s="468"/>
      <c r="G464" s="468"/>
      <c r="H464" s="468"/>
      <c r="I464" s="468"/>
      <c r="J464" s="468"/>
      <c r="K464" s="468"/>
      <c r="L464" s="468"/>
      <c r="M464" s="468"/>
      <c r="N464" s="468"/>
      <c r="O464" s="468"/>
      <c r="P464" s="468"/>
      <c r="Q464" s="468"/>
      <c r="R464" s="468"/>
      <c r="S464" s="468"/>
      <c r="T464" s="468"/>
      <c r="U464" s="468"/>
      <c r="V464" s="468"/>
      <c r="W464" s="468"/>
      <c r="X464" s="468"/>
      <c r="Y464" s="468"/>
      <c r="Z464" s="468"/>
    </row>
    <row r="465" spans="1:26" ht="18" customHeight="1" x14ac:dyDescent="0.35">
      <c r="A465" s="468"/>
      <c r="B465" s="468"/>
      <c r="C465" s="468"/>
      <c r="D465" s="468"/>
      <c r="E465" s="468"/>
      <c r="F465" s="468"/>
      <c r="G465" s="468"/>
      <c r="H465" s="468"/>
      <c r="I465" s="468"/>
      <c r="J465" s="468"/>
      <c r="K465" s="468"/>
      <c r="L465" s="468"/>
      <c r="M465" s="468"/>
      <c r="N465" s="468"/>
      <c r="O465" s="468"/>
      <c r="P465" s="468"/>
      <c r="Q465" s="468"/>
      <c r="R465" s="468"/>
      <c r="S465" s="468"/>
      <c r="T465" s="468"/>
      <c r="U465" s="468"/>
      <c r="V465" s="468"/>
      <c r="W465" s="468"/>
      <c r="X465" s="468"/>
      <c r="Y465" s="468"/>
      <c r="Z465" s="468"/>
    </row>
    <row r="466" spans="1:26" ht="18" customHeight="1" x14ac:dyDescent="0.35">
      <c r="A466" s="468"/>
      <c r="B466" s="468"/>
      <c r="C466" s="468"/>
      <c r="D466" s="468"/>
      <c r="E466" s="468"/>
      <c r="F466" s="468"/>
      <c r="G466" s="468"/>
      <c r="H466" s="468"/>
      <c r="I466" s="468"/>
      <c r="J466" s="468"/>
      <c r="K466" s="468"/>
      <c r="L466" s="468"/>
      <c r="M466" s="468"/>
      <c r="N466" s="468"/>
      <c r="O466" s="468"/>
      <c r="P466" s="468"/>
      <c r="Q466" s="468"/>
      <c r="R466" s="468"/>
      <c r="S466" s="468"/>
      <c r="T466" s="468"/>
      <c r="U466" s="468"/>
      <c r="V466" s="468"/>
      <c r="W466" s="468"/>
      <c r="X466" s="468"/>
      <c r="Y466" s="468"/>
      <c r="Z466" s="468"/>
    </row>
    <row r="467" spans="1:26" ht="18" customHeight="1" x14ac:dyDescent="0.35">
      <c r="A467" s="468"/>
      <c r="B467" s="468"/>
      <c r="C467" s="468"/>
      <c r="D467" s="468"/>
      <c r="E467" s="468"/>
      <c r="F467" s="468"/>
      <c r="G467" s="468"/>
      <c r="H467" s="468"/>
      <c r="I467" s="468"/>
      <c r="J467" s="468"/>
      <c r="K467" s="468"/>
      <c r="L467" s="468"/>
      <c r="M467" s="468"/>
      <c r="N467" s="468"/>
      <c r="O467" s="468"/>
      <c r="P467" s="468"/>
      <c r="Q467" s="468"/>
      <c r="R467" s="468"/>
      <c r="S467" s="468"/>
      <c r="T467" s="468"/>
      <c r="U467" s="468"/>
      <c r="V467" s="468"/>
      <c r="W467" s="468"/>
      <c r="X467" s="468"/>
      <c r="Y467" s="468"/>
      <c r="Z467" s="468"/>
    </row>
    <row r="468" spans="1:26" ht="18" customHeight="1" x14ac:dyDescent="0.35">
      <c r="A468" s="468"/>
      <c r="B468" s="468"/>
      <c r="C468" s="468"/>
      <c r="D468" s="468"/>
      <c r="E468" s="468"/>
      <c r="F468" s="468"/>
      <c r="G468" s="468"/>
      <c r="H468" s="468"/>
      <c r="I468" s="468"/>
      <c r="J468" s="468"/>
      <c r="K468" s="468"/>
      <c r="L468" s="468"/>
      <c r="M468" s="468"/>
      <c r="N468" s="468"/>
      <c r="O468" s="468"/>
      <c r="P468" s="468"/>
      <c r="Q468" s="468"/>
      <c r="R468" s="468"/>
      <c r="S468" s="468"/>
      <c r="T468" s="468"/>
      <c r="U468" s="468"/>
      <c r="V468" s="468"/>
      <c r="W468" s="468"/>
      <c r="X468" s="468"/>
      <c r="Y468" s="468"/>
      <c r="Z468" s="468"/>
    </row>
    <row r="469" spans="1:26" ht="18" customHeight="1" x14ac:dyDescent="0.35">
      <c r="A469" s="468"/>
      <c r="B469" s="468"/>
      <c r="C469" s="468"/>
      <c r="D469" s="468"/>
      <c r="E469" s="468"/>
      <c r="F469" s="468"/>
      <c r="G469" s="468"/>
      <c r="H469" s="468"/>
      <c r="I469" s="468"/>
      <c r="J469" s="468"/>
      <c r="K469" s="468"/>
      <c r="L469" s="468"/>
      <c r="M469" s="468"/>
      <c r="N469" s="468"/>
      <c r="O469" s="468"/>
      <c r="P469" s="468"/>
      <c r="Q469" s="468"/>
      <c r="R469" s="468"/>
      <c r="S469" s="468"/>
      <c r="T469" s="468"/>
      <c r="U469" s="468"/>
      <c r="V469" s="468"/>
      <c r="W469" s="468"/>
      <c r="X469" s="468"/>
      <c r="Y469" s="468"/>
      <c r="Z469" s="468"/>
    </row>
    <row r="470" spans="1:26" ht="18" customHeight="1" x14ac:dyDescent="0.35">
      <c r="A470" s="468"/>
      <c r="B470" s="468"/>
      <c r="C470" s="468"/>
      <c r="D470" s="468"/>
      <c r="E470" s="468"/>
      <c r="F470" s="468"/>
      <c r="G470" s="468"/>
      <c r="H470" s="468"/>
      <c r="I470" s="468"/>
      <c r="J470" s="468"/>
      <c r="K470" s="468"/>
      <c r="L470" s="468"/>
      <c r="M470" s="468"/>
      <c r="N470" s="468"/>
      <c r="O470" s="468"/>
      <c r="P470" s="468"/>
      <c r="Q470" s="468"/>
      <c r="R470" s="468"/>
      <c r="S470" s="468"/>
      <c r="T470" s="468"/>
      <c r="U470" s="468"/>
      <c r="V470" s="468"/>
      <c r="W470" s="468"/>
      <c r="X470" s="468"/>
      <c r="Y470" s="468"/>
      <c r="Z470" s="468"/>
    </row>
    <row r="471" spans="1:26" ht="18" customHeight="1" x14ac:dyDescent="0.35">
      <c r="A471" s="468"/>
      <c r="B471" s="468"/>
      <c r="C471" s="468"/>
      <c r="D471" s="468"/>
      <c r="E471" s="468"/>
      <c r="F471" s="468"/>
      <c r="G471" s="468"/>
      <c r="H471" s="468"/>
      <c r="I471" s="468"/>
      <c r="J471" s="468"/>
      <c r="K471" s="468"/>
      <c r="L471" s="468"/>
      <c r="M471" s="468"/>
      <c r="N471" s="468"/>
      <c r="O471" s="468"/>
      <c r="P471" s="468"/>
      <c r="Q471" s="468"/>
      <c r="R471" s="468"/>
      <c r="S471" s="468"/>
      <c r="T471" s="468"/>
      <c r="U471" s="468"/>
      <c r="V471" s="468"/>
      <c r="W471" s="468"/>
      <c r="X471" s="468"/>
      <c r="Y471" s="468"/>
      <c r="Z471" s="468"/>
    </row>
    <row r="472" spans="1:26" ht="18" customHeight="1" x14ac:dyDescent="0.35">
      <c r="A472" s="468"/>
      <c r="B472" s="468"/>
      <c r="C472" s="468"/>
      <c r="D472" s="468"/>
      <c r="E472" s="468"/>
      <c r="F472" s="468"/>
      <c r="G472" s="468"/>
      <c r="H472" s="468"/>
      <c r="I472" s="468"/>
      <c r="J472" s="468"/>
      <c r="K472" s="468"/>
      <c r="L472" s="468"/>
      <c r="M472" s="468"/>
      <c r="N472" s="468"/>
      <c r="O472" s="468"/>
      <c r="P472" s="468"/>
      <c r="Q472" s="468"/>
      <c r="R472" s="468"/>
      <c r="S472" s="468"/>
      <c r="T472" s="468"/>
      <c r="U472" s="468"/>
      <c r="V472" s="468"/>
      <c r="W472" s="468"/>
      <c r="X472" s="468"/>
      <c r="Y472" s="468"/>
      <c r="Z472" s="468"/>
    </row>
    <row r="473" spans="1:26" ht="18" customHeight="1" x14ac:dyDescent="0.35">
      <c r="A473" s="468"/>
      <c r="B473" s="468"/>
      <c r="C473" s="468"/>
      <c r="D473" s="468"/>
      <c r="E473" s="468"/>
      <c r="F473" s="468"/>
      <c r="G473" s="468"/>
      <c r="H473" s="468"/>
      <c r="I473" s="468"/>
      <c r="J473" s="468"/>
      <c r="K473" s="468"/>
      <c r="L473" s="468"/>
      <c r="M473" s="468"/>
      <c r="N473" s="468"/>
      <c r="O473" s="468"/>
      <c r="P473" s="468"/>
      <c r="Q473" s="468"/>
      <c r="R473" s="468"/>
      <c r="S473" s="468"/>
      <c r="T473" s="468"/>
      <c r="U473" s="468"/>
      <c r="V473" s="468"/>
      <c r="W473" s="468"/>
      <c r="X473" s="468"/>
      <c r="Y473" s="468"/>
      <c r="Z473" s="468"/>
    </row>
    <row r="474" spans="1:26" ht="18" customHeight="1" x14ac:dyDescent="0.35">
      <c r="A474" s="468"/>
      <c r="B474" s="468"/>
      <c r="C474" s="468"/>
      <c r="D474" s="468"/>
      <c r="E474" s="468"/>
      <c r="F474" s="468"/>
      <c r="G474" s="468"/>
      <c r="H474" s="468"/>
      <c r="I474" s="468"/>
      <c r="J474" s="468"/>
      <c r="K474" s="468"/>
      <c r="L474" s="468"/>
      <c r="M474" s="468"/>
      <c r="N474" s="468"/>
      <c r="O474" s="468"/>
      <c r="P474" s="468"/>
      <c r="Q474" s="468"/>
      <c r="R474" s="468"/>
      <c r="S474" s="468"/>
      <c r="T474" s="468"/>
      <c r="U474" s="468"/>
      <c r="V474" s="468"/>
      <c r="W474" s="468"/>
      <c r="X474" s="468"/>
      <c r="Y474" s="468"/>
      <c r="Z474" s="468"/>
    </row>
    <row r="475" spans="1:26" ht="18" customHeight="1" x14ac:dyDescent="0.35">
      <c r="A475" s="468"/>
      <c r="B475" s="468"/>
      <c r="C475" s="468"/>
      <c r="D475" s="468"/>
      <c r="E475" s="468"/>
      <c r="F475" s="468"/>
      <c r="G475" s="468"/>
      <c r="H475" s="468"/>
      <c r="I475" s="468"/>
      <c r="J475" s="468"/>
      <c r="K475" s="468"/>
      <c r="L475" s="468"/>
      <c r="M475" s="468"/>
      <c r="N475" s="468"/>
      <c r="O475" s="468"/>
      <c r="P475" s="468"/>
      <c r="Q475" s="468"/>
      <c r="R475" s="468"/>
      <c r="S475" s="468"/>
      <c r="T475" s="468"/>
      <c r="U475" s="468"/>
      <c r="V475" s="468"/>
      <c r="W475" s="468"/>
      <c r="X475" s="468"/>
      <c r="Y475" s="468"/>
      <c r="Z475" s="468"/>
    </row>
    <row r="476" spans="1:26" ht="18" customHeight="1" x14ac:dyDescent="0.35">
      <c r="A476" s="468"/>
      <c r="B476" s="468"/>
      <c r="C476" s="468"/>
      <c r="D476" s="468"/>
      <c r="E476" s="468"/>
      <c r="F476" s="468"/>
      <c r="G476" s="468"/>
      <c r="H476" s="468"/>
      <c r="I476" s="468"/>
      <c r="J476" s="468"/>
      <c r="K476" s="468"/>
      <c r="L476" s="468"/>
      <c r="M476" s="468"/>
      <c r="N476" s="468"/>
      <c r="O476" s="468"/>
      <c r="P476" s="468"/>
      <c r="Q476" s="468"/>
      <c r="R476" s="468"/>
      <c r="S476" s="468"/>
      <c r="T476" s="468"/>
      <c r="U476" s="468"/>
      <c r="V476" s="468"/>
      <c r="W476" s="468"/>
      <c r="X476" s="468"/>
      <c r="Y476" s="468"/>
      <c r="Z476" s="468"/>
    </row>
    <row r="477" spans="1:26" ht="18" customHeight="1" x14ac:dyDescent="0.35">
      <c r="A477" s="468"/>
      <c r="B477" s="468"/>
      <c r="C477" s="468"/>
      <c r="D477" s="468"/>
      <c r="E477" s="468"/>
      <c r="F477" s="468"/>
      <c r="G477" s="468"/>
      <c r="H477" s="468"/>
      <c r="I477" s="468"/>
      <c r="J477" s="468"/>
      <c r="K477" s="468"/>
      <c r="L477" s="468"/>
      <c r="M477" s="468"/>
      <c r="N477" s="468"/>
      <c r="O477" s="468"/>
      <c r="P477" s="468"/>
      <c r="Q477" s="468"/>
      <c r="R477" s="468"/>
      <c r="S477" s="468"/>
      <c r="T477" s="468"/>
      <c r="U477" s="468"/>
      <c r="V477" s="468"/>
      <c r="W477" s="468"/>
      <c r="X477" s="468"/>
      <c r="Y477" s="468"/>
      <c r="Z477" s="468"/>
    </row>
    <row r="478" spans="1:26" ht="18" customHeight="1" x14ac:dyDescent="0.35">
      <c r="A478" s="468"/>
      <c r="B478" s="468"/>
      <c r="C478" s="468"/>
      <c r="D478" s="468"/>
      <c r="E478" s="468"/>
      <c r="F478" s="468"/>
      <c r="G478" s="468"/>
      <c r="H478" s="468"/>
      <c r="I478" s="468"/>
      <c r="J478" s="468"/>
      <c r="K478" s="468"/>
      <c r="L478" s="468"/>
      <c r="M478" s="468"/>
      <c r="N478" s="468"/>
      <c r="O478" s="468"/>
      <c r="P478" s="468"/>
      <c r="Q478" s="468"/>
      <c r="R478" s="468"/>
      <c r="S478" s="468"/>
      <c r="T478" s="468"/>
      <c r="U478" s="468"/>
      <c r="V478" s="468"/>
      <c r="W478" s="468"/>
      <c r="X478" s="468"/>
      <c r="Y478" s="468"/>
      <c r="Z478" s="468"/>
    </row>
    <row r="479" spans="1:26" ht="18" customHeight="1" x14ac:dyDescent="0.35">
      <c r="A479" s="468"/>
      <c r="B479" s="468"/>
      <c r="C479" s="468"/>
      <c r="D479" s="468"/>
      <c r="E479" s="468"/>
      <c r="F479" s="468"/>
      <c r="G479" s="468"/>
      <c r="H479" s="468"/>
      <c r="I479" s="468"/>
      <c r="J479" s="468"/>
      <c r="K479" s="468"/>
      <c r="L479" s="468"/>
      <c r="M479" s="468"/>
      <c r="N479" s="468"/>
      <c r="O479" s="468"/>
      <c r="P479" s="468"/>
      <c r="Q479" s="468"/>
      <c r="R479" s="468"/>
      <c r="S479" s="468"/>
      <c r="T479" s="468"/>
      <c r="U479" s="468"/>
      <c r="V479" s="468"/>
      <c r="W479" s="468"/>
      <c r="X479" s="468"/>
      <c r="Y479" s="468"/>
      <c r="Z479" s="468"/>
    </row>
    <row r="480" spans="1:26" ht="18" customHeight="1" x14ac:dyDescent="0.35">
      <c r="A480" s="468"/>
      <c r="B480" s="468"/>
      <c r="C480" s="468"/>
      <c r="D480" s="468"/>
      <c r="E480" s="468"/>
      <c r="F480" s="468"/>
      <c r="G480" s="468"/>
      <c r="H480" s="468"/>
      <c r="I480" s="468"/>
      <c r="J480" s="468"/>
      <c r="K480" s="468"/>
      <c r="L480" s="468"/>
      <c r="M480" s="468"/>
      <c r="N480" s="468"/>
      <c r="O480" s="468"/>
      <c r="P480" s="468"/>
      <c r="Q480" s="468"/>
      <c r="R480" s="468"/>
      <c r="S480" s="468"/>
      <c r="T480" s="468"/>
      <c r="U480" s="468"/>
      <c r="V480" s="468"/>
      <c r="W480" s="468"/>
      <c r="X480" s="468"/>
      <c r="Y480" s="468"/>
      <c r="Z480" s="468"/>
    </row>
    <row r="481" spans="1:26" ht="18" customHeight="1" x14ac:dyDescent="0.35">
      <c r="A481" s="468"/>
      <c r="B481" s="468"/>
      <c r="C481" s="468"/>
      <c r="D481" s="468"/>
      <c r="E481" s="468"/>
      <c r="F481" s="468"/>
      <c r="G481" s="468"/>
      <c r="H481" s="468"/>
      <c r="I481" s="468"/>
      <c r="J481" s="468"/>
      <c r="K481" s="468"/>
      <c r="L481" s="468"/>
      <c r="M481" s="468"/>
      <c r="N481" s="468"/>
      <c r="O481" s="468"/>
      <c r="P481" s="468"/>
      <c r="Q481" s="468"/>
      <c r="R481" s="468"/>
      <c r="S481" s="468"/>
      <c r="T481" s="468"/>
      <c r="U481" s="468"/>
      <c r="V481" s="468"/>
      <c r="W481" s="468"/>
      <c r="X481" s="468"/>
      <c r="Y481" s="468"/>
      <c r="Z481" s="468"/>
    </row>
    <row r="482" spans="1:26" ht="18" customHeight="1" x14ac:dyDescent="0.35">
      <c r="A482" s="468"/>
      <c r="B482" s="468"/>
      <c r="C482" s="468"/>
      <c r="D482" s="468"/>
      <c r="E482" s="468"/>
      <c r="F482" s="468"/>
      <c r="G482" s="468"/>
      <c r="H482" s="468"/>
      <c r="I482" s="468"/>
      <c r="J482" s="468"/>
      <c r="K482" s="468"/>
      <c r="L482" s="468"/>
      <c r="M482" s="468"/>
      <c r="N482" s="468"/>
      <c r="O482" s="468"/>
      <c r="P482" s="468"/>
      <c r="Q482" s="468"/>
      <c r="R482" s="468"/>
      <c r="S482" s="468"/>
      <c r="T482" s="468"/>
      <c r="U482" s="468"/>
      <c r="V482" s="468"/>
      <c r="W482" s="468"/>
      <c r="X482" s="468"/>
      <c r="Y482" s="468"/>
      <c r="Z482" s="468"/>
    </row>
    <row r="483" spans="1:26" ht="18" customHeight="1" x14ac:dyDescent="0.35">
      <c r="A483" s="468"/>
      <c r="B483" s="468"/>
      <c r="C483" s="468"/>
      <c r="D483" s="468"/>
      <c r="E483" s="468"/>
      <c r="F483" s="468"/>
      <c r="G483" s="468"/>
      <c r="H483" s="468"/>
      <c r="I483" s="468"/>
      <c r="J483" s="468"/>
      <c r="K483" s="468"/>
      <c r="L483" s="468"/>
      <c r="M483" s="468"/>
      <c r="N483" s="468"/>
      <c r="O483" s="468"/>
      <c r="P483" s="468"/>
      <c r="Q483" s="468"/>
      <c r="R483" s="468"/>
      <c r="S483" s="468"/>
      <c r="T483" s="468"/>
      <c r="U483" s="468"/>
      <c r="V483" s="468"/>
      <c r="W483" s="468"/>
      <c r="X483" s="468"/>
      <c r="Y483" s="468"/>
      <c r="Z483" s="468"/>
    </row>
    <row r="484" spans="1:26" ht="18" customHeight="1" x14ac:dyDescent="0.35">
      <c r="A484" s="468"/>
      <c r="B484" s="468"/>
      <c r="C484" s="468"/>
      <c r="D484" s="468"/>
      <c r="E484" s="468"/>
      <c r="F484" s="468"/>
      <c r="G484" s="468"/>
      <c r="H484" s="468"/>
      <c r="I484" s="468"/>
      <c r="J484" s="468"/>
      <c r="K484" s="468"/>
      <c r="L484" s="468"/>
      <c r="M484" s="468"/>
      <c r="N484" s="468"/>
      <c r="O484" s="468"/>
      <c r="P484" s="468"/>
      <c r="Q484" s="468"/>
      <c r="R484" s="468"/>
      <c r="S484" s="468"/>
      <c r="T484" s="468"/>
      <c r="U484" s="468"/>
      <c r="V484" s="468"/>
      <c r="W484" s="468"/>
      <c r="X484" s="468"/>
      <c r="Y484" s="468"/>
      <c r="Z484" s="468"/>
    </row>
    <row r="485" spans="1:26" ht="18" customHeight="1" x14ac:dyDescent="0.35">
      <c r="A485" s="468"/>
      <c r="B485" s="468"/>
      <c r="C485" s="468"/>
      <c r="D485" s="468"/>
      <c r="E485" s="468"/>
      <c r="F485" s="468"/>
      <c r="G485" s="468"/>
      <c r="H485" s="468"/>
      <c r="I485" s="468"/>
      <c r="J485" s="468"/>
      <c r="K485" s="468"/>
      <c r="L485" s="468"/>
      <c r="M485" s="468"/>
      <c r="N485" s="468"/>
      <c r="O485" s="468"/>
      <c r="P485" s="468"/>
      <c r="Q485" s="468"/>
      <c r="R485" s="468"/>
      <c r="S485" s="468"/>
      <c r="T485" s="468"/>
      <c r="U485" s="468"/>
      <c r="V485" s="468"/>
      <c r="W485" s="468"/>
      <c r="X485" s="468"/>
      <c r="Y485" s="468"/>
      <c r="Z485" s="468"/>
    </row>
    <row r="486" spans="1:26" ht="18" customHeight="1" x14ac:dyDescent="0.35">
      <c r="A486" s="468"/>
      <c r="B486" s="468"/>
      <c r="C486" s="468"/>
      <c r="D486" s="468"/>
      <c r="E486" s="468"/>
      <c r="F486" s="468"/>
      <c r="G486" s="468"/>
      <c r="H486" s="468"/>
      <c r="I486" s="468"/>
      <c r="J486" s="468"/>
      <c r="K486" s="468"/>
      <c r="L486" s="468"/>
      <c r="M486" s="468"/>
      <c r="N486" s="468"/>
      <c r="O486" s="468"/>
      <c r="P486" s="468"/>
      <c r="Q486" s="468"/>
      <c r="R486" s="468"/>
      <c r="S486" s="468"/>
      <c r="T486" s="468"/>
      <c r="U486" s="468"/>
      <c r="V486" s="468"/>
      <c r="W486" s="468"/>
      <c r="X486" s="468"/>
      <c r="Y486" s="468"/>
      <c r="Z486" s="468"/>
    </row>
    <row r="487" spans="1:26" ht="18" customHeight="1" x14ac:dyDescent="0.35">
      <c r="A487" s="468"/>
      <c r="B487" s="468"/>
      <c r="C487" s="468"/>
      <c r="D487" s="468"/>
      <c r="E487" s="468"/>
      <c r="F487" s="468"/>
      <c r="G487" s="468"/>
      <c r="H487" s="468"/>
      <c r="I487" s="468"/>
      <c r="J487" s="468"/>
      <c r="K487" s="468"/>
      <c r="L487" s="468"/>
      <c r="M487" s="468"/>
      <c r="N487" s="468"/>
      <c r="O487" s="468"/>
      <c r="P487" s="468"/>
      <c r="Q487" s="468"/>
      <c r="R487" s="468"/>
      <c r="S487" s="468"/>
      <c r="T487" s="468"/>
      <c r="U487" s="468"/>
      <c r="V487" s="468"/>
      <c r="W487" s="468"/>
      <c r="X487" s="468"/>
      <c r="Y487" s="468"/>
      <c r="Z487" s="468"/>
    </row>
    <row r="488" spans="1:26" ht="18" customHeight="1" x14ac:dyDescent="0.35">
      <c r="A488" s="468"/>
      <c r="B488" s="468"/>
      <c r="C488" s="468"/>
      <c r="D488" s="468"/>
      <c r="E488" s="468"/>
      <c r="F488" s="468"/>
      <c r="G488" s="468"/>
      <c r="H488" s="468"/>
      <c r="I488" s="468"/>
      <c r="J488" s="468"/>
      <c r="K488" s="468"/>
      <c r="L488" s="468"/>
      <c r="M488" s="468"/>
      <c r="N488" s="468"/>
      <c r="O488" s="468"/>
      <c r="P488" s="468"/>
      <c r="Q488" s="468"/>
      <c r="R488" s="468"/>
      <c r="S488" s="468"/>
      <c r="T488" s="468"/>
      <c r="U488" s="468"/>
      <c r="V488" s="468"/>
      <c r="W488" s="468"/>
      <c r="X488" s="468"/>
      <c r="Y488" s="468"/>
      <c r="Z488" s="468"/>
    </row>
    <row r="489" spans="1:26" ht="18" customHeight="1" x14ac:dyDescent="0.35">
      <c r="A489" s="468"/>
      <c r="B489" s="468"/>
      <c r="C489" s="468"/>
      <c r="D489" s="468"/>
      <c r="E489" s="468"/>
      <c r="F489" s="468"/>
      <c r="G489" s="468"/>
      <c r="H489" s="468"/>
      <c r="I489" s="468"/>
      <c r="J489" s="468"/>
      <c r="K489" s="468"/>
      <c r="L489" s="468"/>
      <c r="M489" s="468"/>
      <c r="N489" s="468"/>
      <c r="O489" s="468"/>
      <c r="P489" s="468"/>
      <c r="Q489" s="468"/>
      <c r="R489" s="468"/>
      <c r="S489" s="468"/>
      <c r="T489" s="468"/>
      <c r="U489" s="468"/>
      <c r="V489" s="468"/>
      <c r="W489" s="468"/>
      <c r="X489" s="468"/>
      <c r="Y489" s="468"/>
      <c r="Z489" s="468"/>
    </row>
    <row r="490" spans="1:26" ht="18" customHeight="1" x14ac:dyDescent="0.35">
      <c r="A490" s="468"/>
      <c r="B490" s="468"/>
      <c r="C490" s="468"/>
      <c r="D490" s="468"/>
      <c r="E490" s="468"/>
      <c r="F490" s="468"/>
      <c r="G490" s="468"/>
      <c r="H490" s="468"/>
      <c r="I490" s="468"/>
      <c r="J490" s="468"/>
      <c r="K490" s="468"/>
      <c r="L490" s="468"/>
      <c r="M490" s="468"/>
      <c r="N490" s="468"/>
      <c r="O490" s="468"/>
      <c r="P490" s="468"/>
      <c r="Q490" s="468"/>
      <c r="R490" s="468"/>
      <c r="S490" s="468"/>
      <c r="T490" s="468"/>
      <c r="U490" s="468"/>
      <c r="V490" s="468"/>
      <c r="W490" s="468"/>
      <c r="X490" s="468"/>
      <c r="Y490" s="468"/>
      <c r="Z490" s="468"/>
    </row>
    <row r="491" spans="1:26" ht="18" customHeight="1" x14ac:dyDescent="0.35">
      <c r="A491" s="468"/>
      <c r="B491" s="468"/>
      <c r="C491" s="468"/>
      <c r="D491" s="468"/>
      <c r="E491" s="468"/>
      <c r="F491" s="468"/>
      <c r="G491" s="468"/>
      <c r="H491" s="468"/>
      <c r="I491" s="468"/>
      <c r="J491" s="468"/>
      <c r="K491" s="468"/>
      <c r="L491" s="468"/>
      <c r="M491" s="468"/>
      <c r="N491" s="468"/>
      <c r="O491" s="468"/>
      <c r="P491" s="468"/>
      <c r="Q491" s="468"/>
      <c r="R491" s="468"/>
      <c r="S491" s="468"/>
      <c r="T491" s="468"/>
      <c r="U491" s="468"/>
      <c r="V491" s="468"/>
      <c r="W491" s="468"/>
      <c r="X491" s="468"/>
      <c r="Y491" s="468"/>
      <c r="Z491" s="468"/>
    </row>
    <row r="492" spans="1:26" ht="18" customHeight="1" x14ac:dyDescent="0.35">
      <c r="A492" s="468"/>
      <c r="B492" s="468"/>
      <c r="C492" s="468"/>
      <c r="D492" s="468"/>
      <c r="E492" s="468"/>
      <c r="F492" s="468"/>
      <c r="G492" s="468"/>
      <c r="H492" s="468"/>
      <c r="I492" s="468"/>
      <c r="J492" s="468"/>
      <c r="K492" s="468"/>
      <c r="L492" s="468"/>
      <c r="M492" s="468"/>
      <c r="N492" s="468"/>
      <c r="O492" s="468"/>
      <c r="P492" s="468"/>
      <c r="Q492" s="468"/>
      <c r="R492" s="468"/>
      <c r="S492" s="468"/>
      <c r="T492" s="468"/>
      <c r="U492" s="468"/>
      <c r="V492" s="468"/>
      <c r="W492" s="468"/>
      <c r="X492" s="468"/>
      <c r="Y492" s="468"/>
      <c r="Z492" s="468"/>
    </row>
    <row r="493" spans="1:26" ht="18" customHeight="1" x14ac:dyDescent="0.35">
      <c r="A493" s="468"/>
      <c r="B493" s="468"/>
      <c r="C493" s="468"/>
      <c r="D493" s="468"/>
      <c r="E493" s="468"/>
      <c r="F493" s="468"/>
      <c r="G493" s="468"/>
      <c r="H493" s="468"/>
      <c r="I493" s="468"/>
      <c r="J493" s="468"/>
      <c r="K493" s="468"/>
      <c r="L493" s="468"/>
      <c r="M493" s="468"/>
      <c r="N493" s="468"/>
      <c r="O493" s="468"/>
      <c r="P493" s="468"/>
      <c r="Q493" s="468"/>
      <c r="R493" s="468"/>
      <c r="S493" s="468"/>
      <c r="T493" s="468"/>
      <c r="U493" s="468"/>
      <c r="V493" s="468"/>
      <c r="W493" s="468"/>
      <c r="X493" s="468"/>
      <c r="Y493" s="468"/>
      <c r="Z493" s="468"/>
    </row>
    <row r="494" spans="1:26" ht="18" customHeight="1" x14ac:dyDescent="0.35">
      <c r="A494" s="468"/>
      <c r="B494" s="468"/>
      <c r="C494" s="468"/>
      <c r="D494" s="468"/>
      <c r="E494" s="468"/>
      <c r="F494" s="468"/>
      <c r="G494" s="468"/>
      <c r="H494" s="468"/>
      <c r="I494" s="468"/>
      <c r="J494" s="468"/>
      <c r="K494" s="468"/>
      <c r="L494" s="468"/>
      <c r="M494" s="468"/>
      <c r="N494" s="468"/>
      <c r="O494" s="468"/>
      <c r="P494" s="468"/>
      <c r="Q494" s="468"/>
      <c r="R494" s="468"/>
      <c r="S494" s="468"/>
      <c r="T494" s="468"/>
      <c r="U494" s="468"/>
      <c r="V494" s="468"/>
      <c r="W494" s="468"/>
      <c r="X494" s="468"/>
      <c r="Y494" s="468"/>
      <c r="Z494" s="468"/>
    </row>
    <row r="495" spans="1:26" ht="18" customHeight="1" x14ac:dyDescent="0.35">
      <c r="A495" s="468"/>
      <c r="B495" s="468"/>
      <c r="C495" s="468"/>
      <c r="D495" s="468"/>
      <c r="E495" s="468"/>
      <c r="F495" s="468"/>
      <c r="G495" s="468"/>
      <c r="H495" s="468"/>
      <c r="I495" s="468"/>
      <c r="J495" s="468"/>
      <c r="K495" s="468"/>
      <c r="L495" s="468"/>
      <c r="M495" s="468"/>
      <c r="N495" s="468"/>
      <c r="O495" s="468"/>
      <c r="P495" s="468"/>
      <c r="Q495" s="468"/>
      <c r="R495" s="468"/>
      <c r="S495" s="468"/>
      <c r="T495" s="468"/>
      <c r="U495" s="468"/>
      <c r="V495" s="468"/>
      <c r="W495" s="468"/>
      <c r="X495" s="468"/>
      <c r="Y495" s="468"/>
      <c r="Z495" s="468"/>
    </row>
    <row r="496" spans="1:26" ht="18" customHeight="1" x14ac:dyDescent="0.35">
      <c r="A496" s="468"/>
      <c r="B496" s="468"/>
      <c r="C496" s="468"/>
      <c r="D496" s="468"/>
      <c r="E496" s="468"/>
      <c r="F496" s="468"/>
      <c r="G496" s="468"/>
      <c r="H496" s="468"/>
      <c r="I496" s="468"/>
      <c r="J496" s="468"/>
      <c r="K496" s="468"/>
      <c r="L496" s="468"/>
      <c r="M496" s="468"/>
      <c r="N496" s="468"/>
      <c r="O496" s="468"/>
      <c r="P496" s="468"/>
      <c r="Q496" s="468"/>
      <c r="R496" s="468"/>
      <c r="S496" s="468"/>
      <c r="T496" s="468"/>
      <c r="U496" s="468"/>
      <c r="V496" s="468"/>
      <c r="W496" s="468"/>
      <c r="X496" s="468"/>
      <c r="Y496" s="468"/>
      <c r="Z496" s="468"/>
    </row>
    <row r="497" spans="1:26" ht="18" customHeight="1" x14ac:dyDescent="0.35">
      <c r="A497" s="468"/>
      <c r="B497" s="468"/>
      <c r="C497" s="468"/>
      <c r="D497" s="468"/>
      <c r="E497" s="468"/>
      <c r="F497" s="468"/>
      <c r="G497" s="468"/>
      <c r="H497" s="468"/>
      <c r="I497" s="468"/>
      <c r="J497" s="468"/>
      <c r="K497" s="468"/>
      <c r="L497" s="468"/>
      <c r="M497" s="468"/>
      <c r="N497" s="468"/>
      <c r="O497" s="468"/>
      <c r="P497" s="468"/>
      <c r="Q497" s="468"/>
      <c r="R497" s="468"/>
      <c r="S497" s="468"/>
      <c r="T497" s="468"/>
      <c r="U497" s="468"/>
      <c r="V497" s="468"/>
      <c r="W497" s="468"/>
      <c r="X497" s="468"/>
      <c r="Y497" s="468"/>
      <c r="Z497" s="468"/>
    </row>
    <row r="498" spans="1:26" ht="18" customHeight="1" x14ac:dyDescent="0.35">
      <c r="A498" s="468"/>
      <c r="B498" s="468"/>
      <c r="C498" s="468"/>
      <c r="D498" s="468"/>
      <c r="E498" s="468"/>
      <c r="F498" s="468"/>
      <c r="G498" s="468"/>
      <c r="H498" s="468"/>
      <c r="I498" s="468"/>
      <c r="J498" s="468"/>
      <c r="K498" s="468"/>
      <c r="L498" s="468"/>
      <c r="M498" s="468"/>
      <c r="N498" s="468"/>
      <c r="O498" s="468"/>
      <c r="P498" s="468"/>
      <c r="Q498" s="468"/>
      <c r="R498" s="468"/>
      <c r="S498" s="468"/>
      <c r="T498" s="468"/>
      <c r="U498" s="468"/>
      <c r="V498" s="468"/>
      <c r="W498" s="468"/>
      <c r="X498" s="468"/>
      <c r="Y498" s="468"/>
      <c r="Z498" s="468"/>
    </row>
    <row r="499" spans="1:26" ht="18" customHeight="1" x14ac:dyDescent="0.35">
      <c r="A499" s="468"/>
      <c r="B499" s="468"/>
      <c r="C499" s="468"/>
      <c r="D499" s="468"/>
      <c r="E499" s="468"/>
      <c r="F499" s="468"/>
      <c r="G499" s="468"/>
      <c r="H499" s="468"/>
      <c r="I499" s="468"/>
      <c r="J499" s="468"/>
      <c r="K499" s="468"/>
      <c r="L499" s="468"/>
      <c r="M499" s="468"/>
      <c r="N499" s="468"/>
      <c r="O499" s="468"/>
      <c r="P499" s="468"/>
      <c r="Q499" s="468"/>
      <c r="R499" s="468"/>
      <c r="S499" s="468"/>
      <c r="T499" s="468"/>
      <c r="U499" s="468"/>
      <c r="V499" s="468"/>
      <c r="W499" s="468"/>
      <c r="X499" s="468"/>
      <c r="Y499" s="468"/>
      <c r="Z499" s="468"/>
    </row>
    <row r="500" spans="1:26" ht="18" customHeight="1" x14ac:dyDescent="0.35">
      <c r="A500" s="468"/>
      <c r="B500" s="468"/>
      <c r="C500" s="468"/>
      <c r="D500" s="468"/>
      <c r="E500" s="468"/>
      <c r="F500" s="468"/>
      <c r="G500" s="468"/>
      <c r="H500" s="468"/>
      <c r="I500" s="468"/>
      <c r="J500" s="468"/>
      <c r="K500" s="468"/>
      <c r="L500" s="468"/>
      <c r="M500" s="468"/>
      <c r="N500" s="468"/>
      <c r="O500" s="468"/>
      <c r="P500" s="468"/>
      <c r="Q500" s="468"/>
      <c r="R500" s="468"/>
      <c r="S500" s="468"/>
      <c r="T500" s="468"/>
      <c r="U500" s="468"/>
      <c r="V500" s="468"/>
      <c r="W500" s="468"/>
      <c r="X500" s="468"/>
      <c r="Y500" s="468"/>
      <c r="Z500" s="468"/>
    </row>
    <row r="501" spans="1:26" ht="18" customHeight="1" x14ac:dyDescent="0.35">
      <c r="A501" s="468"/>
      <c r="B501" s="468"/>
      <c r="C501" s="468"/>
      <c r="D501" s="468"/>
      <c r="E501" s="468"/>
      <c r="F501" s="468"/>
      <c r="G501" s="468"/>
      <c r="H501" s="468"/>
      <c r="I501" s="468"/>
      <c r="J501" s="468"/>
      <c r="K501" s="468"/>
      <c r="L501" s="468"/>
      <c r="M501" s="468"/>
      <c r="N501" s="468"/>
      <c r="O501" s="468"/>
      <c r="P501" s="468"/>
      <c r="Q501" s="468"/>
      <c r="R501" s="468"/>
      <c r="S501" s="468"/>
      <c r="T501" s="468"/>
      <c r="U501" s="468"/>
      <c r="V501" s="468"/>
      <c r="W501" s="468"/>
      <c r="X501" s="468"/>
      <c r="Y501" s="468"/>
      <c r="Z501" s="468"/>
    </row>
    <row r="502" spans="1:26" ht="18" customHeight="1" x14ac:dyDescent="0.35">
      <c r="A502" s="468"/>
      <c r="B502" s="468"/>
      <c r="C502" s="468"/>
      <c r="D502" s="468"/>
      <c r="E502" s="468"/>
      <c r="F502" s="468"/>
      <c r="G502" s="468"/>
      <c r="H502" s="468"/>
      <c r="I502" s="468"/>
      <c r="J502" s="468"/>
      <c r="K502" s="468"/>
      <c r="L502" s="468"/>
      <c r="M502" s="468"/>
      <c r="N502" s="468"/>
      <c r="O502" s="468"/>
      <c r="P502" s="468"/>
      <c r="Q502" s="468"/>
      <c r="R502" s="468"/>
      <c r="S502" s="468"/>
      <c r="T502" s="468"/>
      <c r="U502" s="468"/>
      <c r="V502" s="468"/>
      <c r="W502" s="468"/>
      <c r="X502" s="468"/>
      <c r="Y502" s="468"/>
      <c r="Z502" s="468"/>
    </row>
    <row r="503" spans="1:26" ht="18" customHeight="1" x14ac:dyDescent="0.35">
      <c r="A503" s="468"/>
      <c r="B503" s="468"/>
      <c r="C503" s="468"/>
      <c r="D503" s="468"/>
      <c r="E503" s="468"/>
      <c r="F503" s="468"/>
      <c r="G503" s="468"/>
      <c r="H503" s="468"/>
      <c r="I503" s="468"/>
      <c r="J503" s="468"/>
      <c r="K503" s="468"/>
      <c r="L503" s="468"/>
      <c r="M503" s="468"/>
      <c r="N503" s="468"/>
      <c r="O503" s="468"/>
      <c r="P503" s="468"/>
      <c r="Q503" s="468"/>
      <c r="R503" s="468"/>
      <c r="S503" s="468"/>
      <c r="T503" s="468"/>
      <c r="U503" s="468"/>
      <c r="V503" s="468"/>
      <c r="W503" s="468"/>
      <c r="X503" s="468"/>
      <c r="Y503" s="468"/>
      <c r="Z503" s="468"/>
    </row>
    <row r="504" spans="1:26" ht="18" customHeight="1" x14ac:dyDescent="0.35">
      <c r="A504" s="468"/>
      <c r="B504" s="468"/>
      <c r="C504" s="468"/>
      <c r="D504" s="468"/>
      <c r="E504" s="468"/>
      <c r="F504" s="468"/>
      <c r="G504" s="468"/>
      <c r="H504" s="468"/>
      <c r="I504" s="468"/>
      <c r="J504" s="468"/>
      <c r="K504" s="468"/>
      <c r="L504" s="468"/>
      <c r="M504" s="468"/>
      <c r="N504" s="468"/>
      <c r="O504" s="468"/>
      <c r="P504" s="468"/>
      <c r="Q504" s="468"/>
      <c r="R504" s="468"/>
      <c r="S504" s="468"/>
      <c r="T504" s="468"/>
      <c r="U504" s="468"/>
      <c r="V504" s="468"/>
      <c r="W504" s="468"/>
      <c r="X504" s="468"/>
      <c r="Y504" s="468"/>
      <c r="Z504" s="468"/>
    </row>
    <row r="505" spans="1:26" ht="18" customHeight="1" x14ac:dyDescent="0.35">
      <c r="A505" s="468"/>
      <c r="B505" s="468"/>
      <c r="C505" s="468"/>
      <c r="D505" s="468"/>
      <c r="E505" s="468"/>
      <c r="F505" s="468"/>
      <c r="G505" s="468"/>
      <c r="H505" s="468"/>
      <c r="I505" s="468"/>
      <c r="J505" s="468"/>
      <c r="K505" s="468"/>
      <c r="L505" s="468"/>
      <c r="M505" s="468"/>
      <c r="N505" s="468"/>
      <c r="O505" s="468"/>
      <c r="P505" s="468"/>
      <c r="Q505" s="468"/>
      <c r="R505" s="468"/>
      <c r="S505" s="468"/>
      <c r="T505" s="468"/>
      <c r="U505" s="468"/>
      <c r="V505" s="468"/>
      <c r="W505" s="468"/>
      <c r="X505" s="468"/>
      <c r="Y505" s="468"/>
      <c r="Z505" s="468"/>
    </row>
    <row r="506" spans="1:26" ht="18" customHeight="1" x14ac:dyDescent="0.35">
      <c r="A506" s="468"/>
      <c r="B506" s="468"/>
      <c r="C506" s="468"/>
      <c r="D506" s="468"/>
      <c r="E506" s="468"/>
      <c r="F506" s="468"/>
      <c r="G506" s="468"/>
      <c r="H506" s="468"/>
      <c r="I506" s="468"/>
      <c r="J506" s="468"/>
      <c r="K506" s="468"/>
      <c r="L506" s="468"/>
      <c r="M506" s="468"/>
      <c r="N506" s="468"/>
      <c r="O506" s="468"/>
      <c r="P506" s="468"/>
      <c r="Q506" s="468"/>
      <c r="R506" s="468"/>
      <c r="S506" s="468"/>
      <c r="T506" s="468"/>
      <c r="U506" s="468"/>
      <c r="V506" s="468"/>
      <c r="W506" s="468"/>
      <c r="X506" s="468"/>
      <c r="Y506" s="468"/>
      <c r="Z506" s="468"/>
    </row>
    <row r="507" spans="1:26" ht="18" customHeight="1" x14ac:dyDescent="0.35">
      <c r="A507" s="468"/>
      <c r="B507" s="468"/>
      <c r="C507" s="468"/>
      <c r="D507" s="468"/>
      <c r="E507" s="468"/>
      <c r="F507" s="468"/>
      <c r="G507" s="468"/>
      <c r="H507" s="468"/>
      <c r="I507" s="468"/>
      <c r="J507" s="468"/>
      <c r="K507" s="468"/>
      <c r="L507" s="468"/>
      <c r="M507" s="468"/>
      <c r="N507" s="468"/>
      <c r="O507" s="468"/>
      <c r="P507" s="468"/>
      <c r="Q507" s="468"/>
      <c r="R507" s="468"/>
      <c r="S507" s="468"/>
      <c r="T507" s="468"/>
      <c r="U507" s="468"/>
      <c r="V507" s="468"/>
      <c r="W507" s="468"/>
      <c r="X507" s="468"/>
      <c r="Y507" s="468"/>
      <c r="Z507" s="468"/>
    </row>
    <row r="508" spans="1:26" ht="18" customHeight="1" x14ac:dyDescent="0.35">
      <c r="A508" s="468"/>
      <c r="B508" s="468"/>
      <c r="C508" s="468"/>
      <c r="D508" s="468"/>
      <c r="E508" s="468"/>
      <c r="F508" s="468"/>
      <c r="G508" s="468"/>
      <c r="H508" s="468"/>
      <c r="I508" s="468"/>
      <c r="J508" s="468"/>
      <c r="K508" s="468"/>
      <c r="L508" s="468"/>
      <c r="M508" s="468"/>
      <c r="N508" s="468"/>
      <c r="O508" s="468"/>
      <c r="P508" s="468"/>
      <c r="Q508" s="468"/>
      <c r="R508" s="468"/>
      <c r="S508" s="468"/>
      <c r="T508" s="468"/>
      <c r="U508" s="468"/>
      <c r="V508" s="468"/>
      <c r="W508" s="468"/>
      <c r="X508" s="468"/>
      <c r="Y508" s="468"/>
      <c r="Z508" s="468"/>
    </row>
    <row r="509" spans="1:26" ht="18" customHeight="1" x14ac:dyDescent="0.35">
      <c r="A509" s="468"/>
      <c r="B509" s="468"/>
      <c r="C509" s="468"/>
      <c r="D509" s="468"/>
      <c r="E509" s="468"/>
      <c r="F509" s="468"/>
      <c r="G509" s="468"/>
      <c r="H509" s="468"/>
      <c r="I509" s="468"/>
      <c r="J509" s="468"/>
      <c r="K509" s="468"/>
      <c r="L509" s="468"/>
      <c r="M509" s="468"/>
      <c r="N509" s="468"/>
      <c r="O509" s="468"/>
      <c r="P509" s="468"/>
      <c r="Q509" s="468"/>
      <c r="R509" s="468"/>
      <c r="S509" s="468"/>
      <c r="T509" s="468"/>
      <c r="U509" s="468"/>
      <c r="V509" s="468"/>
      <c r="W509" s="468"/>
      <c r="X509" s="468"/>
      <c r="Y509" s="468"/>
      <c r="Z509" s="468"/>
    </row>
    <row r="510" spans="1:26" ht="18" customHeight="1" x14ac:dyDescent="0.35">
      <c r="A510" s="468"/>
      <c r="B510" s="468"/>
      <c r="C510" s="468"/>
      <c r="D510" s="468"/>
      <c r="E510" s="468"/>
      <c r="F510" s="468"/>
      <c r="G510" s="468"/>
      <c r="H510" s="468"/>
      <c r="I510" s="468"/>
      <c r="J510" s="468"/>
      <c r="K510" s="468"/>
      <c r="L510" s="468"/>
      <c r="M510" s="468"/>
      <c r="N510" s="468"/>
      <c r="O510" s="468"/>
      <c r="P510" s="468"/>
      <c r="Q510" s="468"/>
      <c r="R510" s="468"/>
      <c r="S510" s="468"/>
      <c r="T510" s="468"/>
      <c r="U510" s="468"/>
      <c r="V510" s="468"/>
      <c r="W510" s="468"/>
      <c r="X510" s="468"/>
      <c r="Y510" s="468"/>
      <c r="Z510" s="468"/>
    </row>
    <row r="511" spans="1:26" ht="18" customHeight="1" x14ac:dyDescent="0.35">
      <c r="A511" s="468"/>
      <c r="B511" s="468"/>
      <c r="C511" s="468"/>
      <c r="D511" s="468"/>
      <c r="E511" s="468"/>
      <c r="F511" s="468"/>
      <c r="G511" s="468"/>
      <c r="H511" s="468"/>
      <c r="I511" s="468"/>
      <c r="J511" s="468"/>
      <c r="K511" s="468"/>
      <c r="L511" s="468"/>
      <c r="M511" s="468"/>
      <c r="N511" s="468"/>
      <c r="O511" s="468"/>
      <c r="P511" s="468"/>
      <c r="Q511" s="468"/>
      <c r="R511" s="468"/>
      <c r="S511" s="468"/>
      <c r="T511" s="468"/>
      <c r="U511" s="468"/>
      <c r="V511" s="468"/>
      <c r="W511" s="468"/>
      <c r="X511" s="468"/>
      <c r="Y511" s="468"/>
      <c r="Z511" s="468"/>
    </row>
    <row r="512" spans="1:26" ht="18" customHeight="1" x14ac:dyDescent="0.35">
      <c r="A512" s="468"/>
      <c r="B512" s="468"/>
      <c r="C512" s="468"/>
      <c r="D512" s="468"/>
      <c r="E512" s="468"/>
      <c r="F512" s="468"/>
      <c r="G512" s="468"/>
      <c r="H512" s="468"/>
      <c r="I512" s="468"/>
      <c r="J512" s="468"/>
      <c r="K512" s="468"/>
      <c r="L512" s="468"/>
      <c r="M512" s="468"/>
      <c r="N512" s="468"/>
      <c r="O512" s="468"/>
      <c r="P512" s="468"/>
      <c r="Q512" s="468"/>
      <c r="R512" s="468"/>
      <c r="S512" s="468"/>
      <c r="T512" s="468"/>
      <c r="U512" s="468"/>
      <c r="V512" s="468"/>
      <c r="W512" s="468"/>
      <c r="X512" s="468"/>
      <c r="Y512" s="468"/>
      <c r="Z512" s="468"/>
    </row>
    <row r="513" spans="1:26" ht="18" customHeight="1" x14ac:dyDescent="0.35">
      <c r="A513" s="468"/>
      <c r="B513" s="468"/>
      <c r="C513" s="468"/>
      <c r="D513" s="468"/>
      <c r="E513" s="468"/>
      <c r="F513" s="468"/>
      <c r="G513" s="468"/>
      <c r="H513" s="468"/>
      <c r="I513" s="468"/>
      <c r="J513" s="468"/>
      <c r="K513" s="468"/>
      <c r="L513" s="468"/>
      <c r="M513" s="468"/>
      <c r="N513" s="468"/>
      <c r="O513" s="468"/>
      <c r="P513" s="468"/>
      <c r="Q513" s="468"/>
      <c r="R513" s="468"/>
      <c r="S513" s="468"/>
      <c r="T513" s="468"/>
      <c r="U513" s="468"/>
      <c r="V513" s="468"/>
      <c r="W513" s="468"/>
      <c r="X513" s="468"/>
      <c r="Y513" s="468"/>
      <c r="Z513" s="468"/>
    </row>
    <row r="514" spans="1:26" ht="18" customHeight="1" x14ac:dyDescent="0.35">
      <c r="A514" s="468"/>
      <c r="B514" s="468"/>
      <c r="C514" s="468"/>
      <c r="D514" s="468"/>
      <c r="E514" s="468"/>
      <c r="F514" s="468"/>
      <c r="G514" s="468"/>
      <c r="H514" s="468"/>
      <c r="I514" s="468"/>
      <c r="J514" s="468"/>
      <c r="K514" s="468"/>
      <c r="L514" s="468"/>
      <c r="M514" s="468"/>
      <c r="N514" s="468"/>
      <c r="O514" s="468"/>
      <c r="P514" s="468"/>
      <c r="Q514" s="468"/>
      <c r="R514" s="468"/>
      <c r="S514" s="468"/>
      <c r="T514" s="468"/>
      <c r="U514" s="468"/>
      <c r="V514" s="468"/>
      <c r="W514" s="468"/>
      <c r="X514" s="468"/>
      <c r="Y514" s="468"/>
      <c r="Z514" s="468"/>
    </row>
    <row r="515" spans="1:26" ht="18" customHeight="1" x14ac:dyDescent="0.35">
      <c r="A515" s="468"/>
      <c r="B515" s="468"/>
      <c r="C515" s="468"/>
      <c r="D515" s="468"/>
      <c r="E515" s="468"/>
      <c r="F515" s="468"/>
      <c r="G515" s="468"/>
      <c r="H515" s="468"/>
      <c r="I515" s="468"/>
      <c r="J515" s="468"/>
      <c r="K515" s="468"/>
      <c r="L515" s="468"/>
      <c r="M515" s="468"/>
      <c r="N515" s="468"/>
      <c r="O515" s="468"/>
      <c r="P515" s="468"/>
      <c r="Q515" s="468"/>
      <c r="R515" s="468"/>
      <c r="S515" s="468"/>
      <c r="T515" s="468"/>
      <c r="U515" s="468"/>
      <c r="V515" s="468"/>
      <c r="W515" s="468"/>
      <c r="X515" s="468"/>
      <c r="Y515" s="468"/>
      <c r="Z515" s="468"/>
    </row>
    <row r="516" spans="1:26" ht="18" customHeight="1" x14ac:dyDescent="0.35">
      <c r="A516" s="468"/>
      <c r="B516" s="468"/>
      <c r="C516" s="468"/>
      <c r="D516" s="468"/>
      <c r="E516" s="468"/>
      <c r="F516" s="468"/>
      <c r="G516" s="468"/>
      <c r="H516" s="468"/>
      <c r="I516" s="468"/>
      <c r="J516" s="468"/>
      <c r="K516" s="468"/>
      <c r="L516" s="468"/>
      <c r="M516" s="468"/>
      <c r="N516" s="468"/>
      <c r="O516" s="468"/>
      <c r="P516" s="468"/>
      <c r="Q516" s="468"/>
      <c r="R516" s="468"/>
      <c r="S516" s="468"/>
      <c r="T516" s="468"/>
      <c r="U516" s="468"/>
      <c r="V516" s="468"/>
      <c r="W516" s="468"/>
      <c r="X516" s="468"/>
      <c r="Y516" s="468"/>
      <c r="Z516" s="468"/>
    </row>
    <row r="517" spans="1:26" ht="18" customHeight="1" x14ac:dyDescent="0.35">
      <c r="A517" s="468"/>
      <c r="B517" s="468"/>
      <c r="C517" s="468"/>
      <c r="D517" s="468"/>
      <c r="E517" s="468"/>
      <c r="F517" s="468"/>
      <c r="G517" s="468"/>
      <c r="H517" s="468"/>
      <c r="I517" s="468"/>
      <c r="J517" s="468"/>
      <c r="K517" s="468"/>
      <c r="L517" s="468"/>
      <c r="M517" s="468"/>
      <c r="N517" s="468"/>
      <c r="O517" s="468"/>
      <c r="P517" s="468"/>
      <c r="Q517" s="468"/>
      <c r="R517" s="468"/>
      <c r="S517" s="468"/>
      <c r="T517" s="468"/>
      <c r="U517" s="468"/>
      <c r="V517" s="468"/>
      <c r="W517" s="468"/>
      <c r="X517" s="468"/>
      <c r="Y517" s="468"/>
      <c r="Z517" s="468"/>
    </row>
    <row r="518" spans="1:26" ht="18" customHeight="1" x14ac:dyDescent="0.35">
      <c r="A518" s="468"/>
      <c r="B518" s="468"/>
      <c r="C518" s="468"/>
      <c r="D518" s="468"/>
      <c r="E518" s="468"/>
      <c r="F518" s="468"/>
      <c r="G518" s="468"/>
      <c r="H518" s="468"/>
      <c r="I518" s="468"/>
      <c r="J518" s="468"/>
      <c r="K518" s="468"/>
      <c r="L518" s="468"/>
      <c r="M518" s="468"/>
      <c r="N518" s="468"/>
      <c r="O518" s="468"/>
      <c r="P518" s="468"/>
      <c r="Q518" s="468"/>
      <c r="R518" s="468"/>
      <c r="S518" s="468"/>
      <c r="T518" s="468"/>
      <c r="U518" s="468"/>
      <c r="V518" s="468"/>
      <c r="W518" s="468"/>
      <c r="X518" s="468"/>
      <c r="Y518" s="468"/>
      <c r="Z518" s="468"/>
    </row>
    <row r="519" spans="1:26" ht="18" customHeight="1" x14ac:dyDescent="0.35">
      <c r="A519" s="468"/>
      <c r="B519" s="468"/>
      <c r="C519" s="468"/>
      <c r="D519" s="468"/>
      <c r="E519" s="468"/>
      <c r="F519" s="468"/>
      <c r="G519" s="468"/>
      <c r="H519" s="468"/>
      <c r="I519" s="468"/>
      <c r="J519" s="468"/>
      <c r="K519" s="468"/>
      <c r="L519" s="468"/>
      <c r="M519" s="468"/>
      <c r="N519" s="468"/>
      <c r="O519" s="468"/>
      <c r="P519" s="468"/>
      <c r="Q519" s="468"/>
      <c r="R519" s="468"/>
      <c r="S519" s="468"/>
      <c r="T519" s="468"/>
      <c r="U519" s="468"/>
      <c r="V519" s="468"/>
      <c r="W519" s="468"/>
      <c r="X519" s="468"/>
      <c r="Y519" s="468"/>
      <c r="Z519" s="468"/>
    </row>
    <row r="520" spans="1:26" ht="18" customHeight="1" x14ac:dyDescent="0.35">
      <c r="A520" s="468"/>
      <c r="B520" s="468"/>
      <c r="C520" s="468"/>
      <c r="D520" s="468"/>
      <c r="E520" s="468"/>
      <c r="F520" s="468"/>
      <c r="G520" s="468"/>
      <c r="H520" s="468"/>
      <c r="I520" s="468"/>
      <c r="J520" s="468"/>
      <c r="K520" s="468"/>
      <c r="L520" s="468"/>
      <c r="M520" s="468"/>
      <c r="N520" s="468"/>
      <c r="O520" s="468"/>
      <c r="P520" s="468"/>
      <c r="Q520" s="468"/>
      <c r="R520" s="468"/>
      <c r="S520" s="468"/>
      <c r="T520" s="468"/>
      <c r="U520" s="468"/>
      <c r="V520" s="468"/>
      <c r="W520" s="468"/>
      <c r="X520" s="468"/>
      <c r="Y520" s="468"/>
      <c r="Z520" s="468"/>
    </row>
    <row r="521" spans="1:26" ht="18" customHeight="1" x14ac:dyDescent="0.35">
      <c r="A521" s="468"/>
      <c r="B521" s="468"/>
      <c r="C521" s="468"/>
      <c r="D521" s="468"/>
      <c r="E521" s="468"/>
      <c r="F521" s="468"/>
      <c r="G521" s="468"/>
      <c r="H521" s="468"/>
      <c r="I521" s="468"/>
      <c r="J521" s="468"/>
      <c r="K521" s="468"/>
      <c r="L521" s="468"/>
      <c r="M521" s="468"/>
      <c r="N521" s="468"/>
      <c r="O521" s="468"/>
      <c r="P521" s="468"/>
      <c r="Q521" s="468"/>
      <c r="R521" s="468"/>
      <c r="S521" s="468"/>
      <c r="T521" s="468"/>
      <c r="U521" s="468"/>
      <c r="V521" s="468"/>
      <c r="W521" s="468"/>
      <c r="X521" s="468"/>
      <c r="Y521" s="468"/>
      <c r="Z521" s="468"/>
    </row>
    <row r="522" spans="1:26" ht="18" customHeight="1" x14ac:dyDescent="0.35">
      <c r="A522" s="468"/>
      <c r="B522" s="468"/>
      <c r="C522" s="468"/>
      <c r="D522" s="468"/>
      <c r="E522" s="468"/>
      <c r="F522" s="468"/>
      <c r="G522" s="468"/>
      <c r="H522" s="468"/>
      <c r="I522" s="468"/>
      <c r="J522" s="468"/>
      <c r="K522" s="468"/>
      <c r="L522" s="468"/>
      <c r="M522" s="468"/>
      <c r="N522" s="468"/>
      <c r="O522" s="468"/>
      <c r="P522" s="468"/>
      <c r="Q522" s="468"/>
      <c r="R522" s="468"/>
      <c r="S522" s="468"/>
      <c r="T522" s="468"/>
      <c r="U522" s="468"/>
      <c r="V522" s="468"/>
      <c r="W522" s="468"/>
      <c r="X522" s="468"/>
      <c r="Y522" s="468"/>
      <c r="Z522" s="468"/>
    </row>
    <row r="523" spans="1:26" ht="18" customHeight="1" x14ac:dyDescent="0.35">
      <c r="A523" s="468"/>
      <c r="B523" s="468"/>
      <c r="C523" s="468"/>
      <c r="D523" s="468"/>
      <c r="E523" s="468"/>
      <c r="F523" s="468"/>
      <c r="G523" s="468"/>
      <c r="H523" s="468"/>
      <c r="I523" s="468"/>
      <c r="J523" s="468"/>
      <c r="K523" s="468"/>
      <c r="L523" s="468"/>
      <c r="M523" s="468"/>
      <c r="N523" s="468"/>
      <c r="O523" s="468"/>
      <c r="P523" s="468"/>
      <c r="Q523" s="468"/>
      <c r="R523" s="468"/>
      <c r="S523" s="468"/>
      <c r="T523" s="468"/>
      <c r="U523" s="468"/>
      <c r="V523" s="468"/>
      <c r="W523" s="468"/>
      <c r="X523" s="468"/>
      <c r="Y523" s="468"/>
      <c r="Z523" s="468"/>
    </row>
    <row r="524" spans="1:26" ht="18" customHeight="1" x14ac:dyDescent="0.35">
      <c r="A524" s="468"/>
      <c r="B524" s="468"/>
      <c r="C524" s="468"/>
      <c r="D524" s="468"/>
      <c r="E524" s="468"/>
      <c r="F524" s="468"/>
      <c r="G524" s="468"/>
      <c r="H524" s="468"/>
      <c r="I524" s="468"/>
      <c r="J524" s="468"/>
      <c r="K524" s="468"/>
      <c r="L524" s="468"/>
      <c r="M524" s="468"/>
      <c r="N524" s="468"/>
      <c r="O524" s="468"/>
      <c r="P524" s="468"/>
      <c r="Q524" s="468"/>
      <c r="R524" s="468"/>
      <c r="S524" s="468"/>
      <c r="T524" s="468"/>
      <c r="U524" s="468"/>
      <c r="V524" s="468"/>
      <c r="W524" s="468"/>
      <c r="X524" s="468"/>
      <c r="Y524" s="468"/>
      <c r="Z524" s="468"/>
    </row>
    <row r="525" spans="1:26" ht="18" customHeight="1" x14ac:dyDescent="0.35">
      <c r="A525" s="468"/>
      <c r="B525" s="468"/>
      <c r="C525" s="468"/>
      <c r="D525" s="468"/>
      <c r="E525" s="468"/>
      <c r="F525" s="468"/>
      <c r="G525" s="468"/>
      <c r="H525" s="468"/>
      <c r="I525" s="468"/>
      <c r="J525" s="468"/>
      <c r="K525" s="468"/>
      <c r="L525" s="468"/>
      <c r="M525" s="468"/>
      <c r="N525" s="468"/>
      <c r="O525" s="468"/>
      <c r="P525" s="468"/>
      <c r="Q525" s="468"/>
      <c r="R525" s="468"/>
      <c r="S525" s="468"/>
      <c r="T525" s="468"/>
      <c r="U525" s="468"/>
      <c r="V525" s="468"/>
      <c r="W525" s="468"/>
      <c r="X525" s="468"/>
      <c r="Y525" s="468"/>
      <c r="Z525" s="468"/>
    </row>
    <row r="526" spans="1:26" ht="18" customHeight="1" x14ac:dyDescent="0.35">
      <c r="A526" s="468"/>
      <c r="B526" s="468"/>
      <c r="C526" s="468"/>
      <c r="D526" s="468"/>
      <c r="E526" s="468"/>
      <c r="F526" s="468"/>
      <c r="G526" s="468"/>
      <c r="H526" s="468"/>
      <c r="I526" s="468"/>
      <c r="J526" s="468"/>
      <c r="K526" s="468"/>
      <c r="L526" s="468"/>
      <c r="M526" s="468"/>
      <c r="N526" s="468"/>
      <c r="O526" s="468"/>
      <c r="P526" s="468"/>
      <c r="Q526" s="468"/>
      <c r="R526" s="468"/>
      <c r="S526" s="468"/>
      <c r="T526" s="468"/>
      <c r="U526" s="468"/>
      <c r="V526" s="468"/>
      <c r="W526" s="468"/>
      <c r="X526" s="468"/>
      <c r="Y526" s="468"/>
      <c r="Z526" s="468"/>
    </row>
    <row r="527" spans="1:26" ht="18" customHeight="1" x14ac:dyDescent="0.35">
      <c r="A527" s="468"/>
      <c r="B527" s="468"/>
      <c r="C527" s="468"/>
      <c r="D527" s="468"/>
      <c r="E527" s="468"/>
      <c r="F527" s="468"/>
      <c r="G527" s="468"/>
      <c r="H527" s="468"/>
      <c r="I527" s="468"/>
      <c r="J527" s="468"/>
      <c r="K527" s="468"/>
      <c r="L527" s="468"/>
      <c r="M527" s="468"/>
      <c r="N527" s="468"/>
      <c r="O527" s="468"/>
      <c r="P527" s="468"/>
      <c r="Q527" s="468"/>
      <c r="R527" s="468"/>
      <c r="S527" s="468"/>
      <c r="T527" s="468"/>
      <c r="U527" s="468"/>
      <c r="V527" s="468"/>
      <c r="W527" s="468"/>
      <c r="X527" s="468"/>
      <c r="Y527" s="468"/>
      <c r="Z527" s="468"/>
    </row>
    <row r="528" spans="1:26" ht="18" customHeight="1" x14ac:dyDescent="0.35">
      <c r="A528" s="468"/>
      <c r="B528" s="468"/>
      <c r="C528" s="468"/>
      <c r="D528" s="468"/>
      <c r="E528" s="468"/>
      <c r="F528" s="468"/>
      <c r="G528" s="468"/>
      <c r="H528" s="468"/>
      <c r="I528" s="468"/>
      <c r="J528" s="468"/>
      <c r="K528" s="468"/>
      <c r="L528" s="468"/>
      <c r="M528" s="468"/>
      <c r="N528" s="468"/>
      <c r="O528" s="468"/>
      <c r="P528" s="468"/>
      <c r="Q528" s="468"/>
      <c r="R528" s="468"/>
      <c r="S528" s="468"/>
      <c r="T528" s="468"/>
      <c r="U528" s="468"/>
      <c r="V528" s="468"/>
      <c r="W528" s="468"/>
      <c r="X528" s="468"/>
      <c r="Y528" s="468"/>
      <c r="Z528" s="468"/>
    </row>
    <row r="529" spans="1:26" ht="18" customHeight="1" x14ac:dyDescent="0.35">
      <c r="A529" s="468"/>
      <c r="B529" s="468"/>
      <c r="C529" s="468"/>
      <c r="D529" s="468"/>
      <c r="E529" s="468"/>
      <c r="F529" s="468"/>
      <c r="G529" s="468"/>
      <c r="H529" s="468"/>
      <c r="I529" s="468"/>
      <c r="J529" s="468"/>
      <c r="K529" s="468"/>
      <c r="L529" s="468"/>
      <c r="M529" s="468"/>
      <c r="N529" s="468"/>
      <c r="O529" s="468"/>
      <c r="P529" s="468"/>
      <c r="Q529" s="468"/>
      <c r="R529" s="468"/>
      <c r="S529" s="468"/>
      <c r="T529" s="468"/>
      <c r="U529" s="468"/>
      <c r="V529" s="468"/>
      <c r="W529" s="468"/>
      <c r="X529" s="468"/>
      <c r="Y529" s="468"/>
      <c r="Z529" s="468"/>
    </row>
    <row r="530" spans="1:26" ht="18" customHeight="1" x14ac:dyDescent="0.35">
      <c r="A530" s="468"/>
      <c r="B530" s="468"/>
      <c r="C530" s="468"/>
      <c r="D530" s="468"/>
      <c r="E530" s="468"/>
      <c r="F530" s="468"/>
      <c r="G530" s="468"/>
      <c r="H530" s="468"/>
      <c r="I530" s="468"/>
      <c r="J530" s="468"/>
      <c r="K530" s="468"/>
      <c r="L530" s="468"/>
      <c r="M530" s="468"/>
      <c r="N530" s="468"/>
      <c r="O530" s="468"/>
      <c r="P530" s="468"/>
      <c r="Q530" s="468"/>
      <c r="R530" s="468"/>
      <c r="S530" s="468"/>
      <c r="T530" s="468"/>
      <c r="U530" s="468"/>
      <c r="V530" s="468"/>
      <c r="W530" s="468"/>
      <c r="X530" s="468"/>
      <c r="Y530" s="468"/>
      <c r="Z530" s="468"/>
    </row>
    <row r="531" spans="1:26" ht="18" customHeight="1" x14ac:dyDescent="0.35">
      <c r="A531" s="468"/>
      <c r="B531" s="468"/>
      <c r="C531" s="468"/>
      <c r="D531" s="468"/>
      <c r="E531" s="468"/>
      <c r="F531" s="468"/>
      <c r="G531" s="468"/>
      <c r="H531" s="468"/>
      <c r="I531" s="468"/>
      <c r="J531" s="468"/>
      <c r="K531" s="468"/>
      <c r="L531" s="468"/>
      <c r="M531" s="468"/>
      <c r="N531" s="468"/>
      <c r="O531" s="468"/>
      <c r="P531" s="468"/>
      <c r="Q531" s="468"/>
      <c r="R531" s="468"/>
      <c r="S531" s="468"/>
      <c r="T531" s="468"/>
      <c r="U531" s="468"/>
      <c r="V531" s="468"/>
      <c r="W531" s="468"/>
      <c r="X531" s="468"/>
      <c r="Y531" s="468"/>
      <c r="Z531" s="468"/>
    </row>
    <row r="532" spans="1:26" ht="18" customHeight="1" x14ac:dyDescent="0.35">
      <c r="A532" s="468"/>
      <c r="B532" s="468"/>
      <c r="C532" s="468"/>
      <c r="D532" s="468"/>
      <c r="E532" s="468"/>
      <c r="F532" s="468"/>
      <c r="G532" s="468"/>
      <c r="H532" s="468"/>
      <c r="I532" s="468"/>
      <c r="J532" s="468"/>
      <c r="K532" s="468"/>
      <c r="L532" s="468"/>
      <c r="M532" s="468"/>
      <c r="N532" s="468"/>
      <c r="O532" s="468"/>
      <c r="P532" s="468"/>
      <c r="Q532" s="468"/>
      <c r="R532" s="468"/>
      <c r="S532" s="468"/>
      <c r="T532" s="468"/>
      <c r="U532" s="468"/>
      <c r="V532" s="468"/>
      <c r="W532" s="468"/>
      <c r="X532" s="468"/>
      <c r="Y532" s="468"/>
      <c r="Z532" s="468"/>
    </row>
    <row r="533" spans="1:26" ht="18" customHeight="1" x14ac:dyDescent="0.35">
      <c r="A533" s="468"/>
      <c r="B533" s="468"/>
      <c r="C533" s="468"/>
      <c r="D533" s="468"/>
      <c r="E533" s="468"/>
      <c r="F533" s="468"/>
      <c r="G533" s="468"/>
      <c r="H533" s="468"/>
      <c r="I533" s="468"/>
      <c r="J533" s="468"/>
      <c r="K533" s="468"/>
      <c r="L533" s="468"/>
      <c r="M533" s="468"/>
      <c r="N533" s="468"/>
      <c r="O533" s="468"/>
      <c r="P533" s="468"/>
      <c r="Q533" s="468"/>
      <c r="R533" s="468"/>
      <c r="S533" s="468"/>
      <c r="T533" s="468"/>
      <c r="U533" s="468"/>
      <c r="V533" s="468"/>
      <c r="W533" s="468"/>
      <c r="X533" s="468"/>
      <c r="Y533" s="468"/>
      <c r="Z533" s="468"/>
    </row>
    <row r="534" spans="1:26" ht="18" customHeight="1" x14ac:dyDescent="0.35">
      <c r="A534" s="468"/>
      <c r="B534" s="468"/>
      <c r="C534" s="468"/>
      <c r="D534" s="468"/>
      <c r="E534" s="468"/>
      <c r="F534" s="468"/>
      <c r="G534" s="468"/>
      <c r="H534" s="468"/>
      <c r="I534" s="468"/>
      <c r="J534" s="468"/>
      <c r="K534" s="468"/>
      <c r="L534" s="468"/>
      <c r="M534" s="468"/>
      <c r="N534" s="468"/>
      <c r="O534" s="468"/>
      <c r="P534" s="468"/>
      <c r="Q534" s="468"/>
      <c r="R534" s="468"/>
      <c r="S534" s="468"/>
      <c r="T534" s="468"/>
      <c r="U534" s="468"/>
      <c r="V534" s="468"/>
      <c r="W534" s="468"/>
      <c r="X534" s="468"/>
      <c r="Y534" s="468"/>
      <c r="Z534" s="468"/>
    </row>
    <row r="535" spans="1:26" ht="18" customHeight="1" x14ac:dyDescent="0.35">
      <c r="A535" s="468"/>
      <c r="B535" s="468"/>
      <c r="C535" s="468"/>
      <c r="D535" s="468"/>
      <c r="E535" s="468"/>
      <c r="F535" s="468"/>
      <c r="G535" s="468"/>
      <c r="H535" s="468"/>
      <c r="I535" s="468"/>
      <c r="J535" s="468"/>
      <c r="K535" s="468"/>
      <c r="L535" s="468"/>
      <c r="M535" s="468"/>
      <c r="N535" s="468"/>
      <c r="O535" s="468"/>
      <c r="P535" s="468"/>
      <c r="Q535" s="468"/>
      <c r="R535" s="468"/>
      <c r="S535" s="468"/>
      <c r="T535" s="468"/>
      <c r="U535" s="468"/>
      <c r="V535" s="468"/>
      <c r="W535" s="468"/>
      <c r="X535" s="468"/>
      <c r="Y535" s="468"/>
      <c r="Z535" s="468"/>
    </row>
    <row r="536" spans="1:26" ht="18" customHeight="1" x14ac:dyDescent="0.35">
      <c r="A536" s="468"/>
      <c r="B536" s="468"/>
      <c r="C536" s="468"/>
      <c r="D536" s="468"/>
      <c r="E536" s="468"/>
      <c r="F536" s="468"/>
      <c r="G536" s="468"/>
      <c r="H536" s="468"/>
      <c r="I536" s="468"/>
      <c r="J536" s="468"/>
      <c r="K536" s="468"/>
      <c r="L536" s="468"/>
      <c r="M536" s="468"/>
      <c r="N536" s="468"/>
      <c r="O536" s="468"/>
      <c r="P536" s="468"/>
      <c r="Q536" s="468"/>
      <c r="R536" s="468"/>
      <c r="S536" s="468"/>
      <c r="T536" s="468"/>
      <c r="U536" s="468"/>
      <c r="V536" s="468"/>
      <c r="W536" s="468"/>
      <c r="X536" s="468"/>
      <c r="Y536" s="468"/>
      <c r="Z536" s="468"/>
    </row>
    <row r="537" spans="1:26" ht="18" customHeight="1" x14ac:dyDescent="0.35">
      <c r="A537" s="468"/>
      <c r="B537" s="468"/>
      <c r="C537" s="468"/>
      <c r="D537" s="468"/>
      <c r="E537" s="468"/>
      <c r="F537" s="468"/>
      <c r="G537" s="468"/>
      <c r="H537" s="468"/>
      <c r="I537" s="468"/>
      <c r="J537" s="468"/>
      <c r="K537" s="468"/>
      <c r="L537" s="468"/>
      <c r="M537" s="468"/>
      <c r="N537" s="468"/>
      <c r="O537" s="468"/>
      <c r="P537" s="468"/>
      <c r="Q537" s="468"/>
      <c r="R537" s="468"/>
      <c r="S537" s="468"/>
      <c r="T537" s="468"/>
      <c r="U537" s="468"/>
      <c r="V537" s="468"/>
      <c r="W537" s="468"/>
      <c r="X537" s="468"/>
      <c r="Y537" s="468"/>
      <c r="Z537" s="468"/>
    </row>
    <row r="538" spans="1:26" ht="18" customHeight="1" x14ac:dyDescent="0.35">
      <c r="A538" s="468"/>
      <c r="B538" s="468"/>
      <c r="C538" s="468"/>
      <c r="D538" s="468"/>
      <c r="E538" s="468"/>
      <c r="F538" s="468"/>
      <c r="G538" s="468"/>
      <c r="H538" s="468"/>
      <c r="I538" s="468"/>
      <c r="J538" s="468"/>
      <c r="K538" s="468"/>
      <c r="L538" s="468"/>
      <c r="M538" s="468"/>
      <c r="N538" s="468"/>
      <c r="O538" s="468"/>
      <c r="P538" s="468"/>
      <c r="Q538" s="468"/>
      <c r="R538" s="468"/>
      <c r="S538" s="468"/>
      <c r="T538" s="468"/>
      <c r="U538" s="468"/>
      <c r="V538" s="468"/>
      <c r="W538" s="468"/>
      <c r="X538" s="468"/>
      <c r="Y538" s="468"/>
      <c r="Z538" s="468"/>
    </row>
    <row r="539" spans="1:26" ht="18" customHeight="1" x14ac:dyDescent="0.35">
      <c r="A539" s="468"/>
      <c r="B539" s="468"/>
      <c r="C539" s="468"/>
      <c r="D539" s="468"/>
      <c r="E539" s="468"/>
      <c r="F539" s="468"/>
      <c r="G539" s="468"/>
      <c r="H539" s="468"/>
      <c r="I539" s="468"/>
      <c r="J539" s="468"/>
      <c r="K539" s="468"/>
      <c r="L539" s="468"/>
      <c r="M539" s="468"/>
      <c r="N539" s="468"/>
      <c r="O539" s="468"/>
      <c r="P539" s="468"/>
      <c r="Q539" s="468"/>
      <c r="R539" s="468"/>
      <c r="S539" s="468"/>
      <c r="T539" s="468"/>
      <c r="U539" s="468"/>
      <c r="V539" s="468"/>
      <c r="W539" s="468"/>
      <c r="X539" s="468"/>
      <c r="Y539" s="468"/>
      <c r="Z539" s="468"/>
    </row>
    <row r="540" spans="1:26" ht="18" customHeight="1" x14ac:dyDescent="0.35">
      <c r="A540" s="468"/>
      <c r="B540" s="468"/>
      <c r="C540" s="468"/>
      <c r="D540" s="468"/>
      <c r="E540" s="468"/>
      <c r="F540" s="468"/>
      <c r="G540" s="468"/>
      <c r="H540" s="468"/>
      <c r="I540" s="468"/>
      <c r="J540" s="468"/>
      <c r="K540" s="468"/>
      <c r="L540" s="468"/>
      <c r="M540" s="468"/>
      <c r="N540" s="468"/>
      <c r="O540" s="468"/>
      <c r="P540" s="468"/>
      <c r="Q540" s="468"/>
      <c r="R540" s="468"/>
      <c r="S540" s="468"/>
      <c r="T540" s="468"/>
      <c r="U540" s="468"/>
      <c r="V540" s="468"/>
      <c r="W540" s="468"/>
      <c r="X540" s="468"/>
      <c r="Y540" s="468"/>
      <c r="Z540" s="468"/>
    </row>
    <row r="541" spans="1:26" ht="18" customHeight="1" x14ac:dyDescent="0.35">
      <c r="A541" s="468"/>
      <c r="B541" s="468"/>
      <c r="C541" s="468"/>
      <c r="D541" s="468"/>
      <c r="E541" s="468"/>
      <c r="F541" s="468"/>
      <c r="G541" s="468"/>
      <c r="H541" s="468"/>
      <c r="I541" s="468"/>
      <c r="J541" s="468"/>
      <c r="K541" s="468"/>
      <c r="L541" s="468"/>
      <c r="M541" s="468"/>
      <c r="N541" s="468"/>
      <c r="O541" s="468"/>
      <c r="P541" s="468"/>
      <c r="Q541" s="468"/>
      <c r="R541" s="468"/>
      <c r="S541" s="468"/>
      <c r="T541" s="468"/>
      <c r="U541" s="468"/>
      <c r="V541" s="468"/>
      <c r="W541" s="468"/>
      <c r="X541" s="468"/>
      <c r="Y541" s="468"/>
      <c r="Z541" s="468"/>
    </row>
    <row r="542" spans="1:26" ht="18" customHeight="1" x14ac:dyDescent="0.35">
      <c r="A542" s="468"/>
      <c r="B542" s="468"/>
      <c r="C542" s="468"/>
      <c r="D542" s="468"/>
      <c r="E542" s="468"/>
      <c r="F542" s="468"/>
      <c r="G542" s="468"/>
      <c r="H542" s="468"/>
      <c r="I542" s="468"/>
      <c r="J542" s="468"/>
      <c r="K542" s="468"/>
      <c r="L542" s="468"/>
      <c r="M542" s="468"/>
      <c r="N542" s="468"/>
      <c r="O542" s="468"/>
      <c r="P542" s="468"/>
      <c r="Q542" s="468"/>
      <c r="R542" s="468"/>
      <c r="S542" s="468"/>
      <c r="T542" s="468"/>
      <c r="U542" s="468"/>
      <c r="V542" s="468"/>
      <c r="W542" s="468"/>
      <c r="X542" s="468"/>
      <c r="Y542" s="468"/>
      <c r="Z542" s="468"/>
    </row>
    <row r="543" spans="1:26" ht="18" customHeight="1" x14ac:dyDescent="0.35">
      <c r="A543" s="468"/>
      <c r="B543" s="468"/>
      <c r="C543" s="468"/>
      <c r="D543" s="468"/>
      <c r="E543" s="468"/>
      <c r="F543" s="468"/>
      <c r="G543" s="468"/>
      <c r="H543" s="468"/>
      <c r="I543" s="468"/>
      <c r="J543" s="468"/>
      <c r="K543" s="468"/>
      <c r="L543" s="468"/>
      <c r="M543" s="468"/>
      <c r="N543" s="468"/>
      <c r="O543" s="468"/>
      <c r="P543" s="468"/>
      <c r="Q543" s="468"/>
      <c r="R543" s="468"/>
      <c r="S543" s="468"/>
      <c r="T543" s="468"/>
      <c r="U543" s="468"/>
      <c r="V543" s="468"/>
      <c r="W543" s="468"/>
      <c r="X543" s="468"/>
      <c r="Y543" s="468"/>
      <c r="Z543" s="468"/>
    </row>
    <row r="544" spans="1:26" ht="18" customHeight="1" x14ac:dyDescent="0.35">
      <c r="A544" s="468"/>
      <c r="B544" s="468"/>
      <c r="C544" s="468"/>
      <c r="D544" s="468"/>
      <c r="E544" s="468"/>
      <c r="F544" s="468"/>
      <c r="G544" s="468"/>
      <c r="H544" s="468"/>
      <c r="I544" s="468"/>
      <c r="J544" s="468"/>
      <c r="K544" s="468"/>
      <c r="L544" s="468"/>
      <c r="M544" s="468"/>
      <c r="N544" s="468"/>
      <c r="O544" s="468"/>
      <c r="P544" s="468"/>
      <c r="Q544" s="468"/>
      <c r="R544" s="468"/>
      <c r="S544" s="468"/>
      <c r="T544" s="468"/>
      <c r="U544" s="468"/>
      <c r="V544" s="468"/>
      <c r="W544" s="468"/>
      <c r="X544" s="468"/>
      <c r="Y544" s="468"/>
      <c r="Z544" s="468"/>
    </row>
    <row r="545" spans="1:26" ht="18" customHeight="1" x14ac:dyDescent="0.35">
      <c r="A545" s="468"/>
      <c r="B545" s="468"/>
      <c r="C545" s="468"/>
      <c r="D545" s="468"/>
      <c r="E545" s="468"/>
      <c r="F545" s="468"/>
      <c r="G545" s="468"/>
      <c r="H545" s="468"/>
      <c r="I545" s="468"/>
      <c r="J545" s="468"/>
      <c r="K545" s="468"/>
      <c r="L545" s="468"/>
      <c r="M545" s="468"/>
      <c r="N545" s="468"/>
      <c r="O545" s="468"/>
      <c r="P545" s="468"/>
      <c r="Q545" s="468"/>
      <c r="R545" s="468"/>
      <c r="S545" s="468"/>
      <c r="T545" s="468"/>
      <c r="U545" s="468"/>
      <c r="V545" s="468"/>
      <c r="W545" s="468"/>
      <c r="X545" s="468"/>
      <c r="Y545" s="468"/>
      <c r="Z545" s="468"/>
    </row>
    <row r="546" spans="1:26" ht="18" customHeight="1" x14ac:dyDescent="0.35">
      <c r="A546" s="468"/>
      <c r="B546" s="468"/>
      <c r="C546" s="468"/>
      <c r="D546" s="468"/>
      <c r="E546" s="468"/>
      <c r="F546" s="468"/>
      <c r="G546" s="468"/>
      <c r="H546" s="468"/>
      <c r="I546" s="468"/>
      <c r="J546" s="468"/>
      <c r="K546" s="468"/>
      <c r="L546" s="468"/>
      <c r="M546" s="468"/>
      <c r="N546" s="468"/>
      <c r="O546" s="468"/>
      <c r="P546" s="468"/>
      <c r="Q546" s="468"/>
      <c r="R546" s="468"/>
      <c r="S546" s="468"/>
      <c r="T546" s="468"/>
      <c r="U546" s="468"/>
      <c r="V546" s="468"/>
      <c r="W546" s="468"/>
      <c r="X546" s="468"/>
      <c r="Y546" s="468"/>
      <c r="Z546" s="468"/>
    </row>
    <row r="547" spans="1:26" ht="18" customHeight="1" x14ac:dyDescent="0.35">
      <c r="A547" s="468"/>
      <c r="B547" s="468"/>
      <c r="C547" s="468"/>
      <c r="D547" s="468"/>
      <c r="E547" s="468"/>
      <c r="F547" s="468"/>
      <c r="G547" s="468"/>
      <c r="H547" s="468"/>
      <c r="I547" s="468"/>
      <c r="J547" s="468"/>
      <c r="K547" s="468"/>
      <c r="L547" s="468"/>
      <c r="M547" s="468"/>
      <c r="N547" s="468"/>
      <c r="O547" s="468"/>
      <c r="P547" s="468"/>
      <c r="Q547" s="468"/>
      <c r="R547" s="468"/>
      <c r="S547" s="468"/>
      <c r="T547" s="468"/>
      <c r="U547" s="468"/>
      <c r="V547" s="468"/>
      <c r="W547" s="468"/>
      <c r="X547" s="468"/>
      <c r="Y547" s="468"/>
      <c r="Z547" s="468"/>
    </row>
    <row r="548" spans="1:26" ht="18" customHeight="1" x14ac:dyDescent="0.35">
      <c r="A548" s="468"/>
      <c r="B548" s="468"/>
      <c r="C548" s="468"/>
      <c r="D548" s="468"/>
      <c r="E548" s="468"/>
      <c r="F548" s="468"/>
      <c r="G548" s="468"/>
      <c r="H548" s="468"/>
      <c r="I548" s="468"/>
      <c r="J548" s="468"/>
      <c r="K548" s="468"/>
      <c r="L548" s="468"/>
      <c r="M548" s="468"/>
      <c r="N548" s="468"/>
      <c r="O548" s="468"/>
      <c r="P548" s="468"/>
      <c r="Q548" s="468"/>
      <c r="R548" s="468"/>
      <c r="S548" s="468"/>
      <c r="T548" s="468"/>
      <c r="U548" s="468"/>
      <c r="V548" s="468"/>
      <c r="W548" s="468"/>
      <c r="X548" s="468"/>
      <c r="Y548" s="468"/>
      <c r="Z548" s="468"/>
    </row>
    <row r="549" spans="1:26" ht="18" customHeight="1" x14ac:dyDescent="0.35">
      <c r="A549" s="468"/>
      <c r="B549" s="468"/>
      <c r="C549" s="468"/>
      <c r="D549" s="468"/>
      <c r="E549" s="468"/>
      <c r="F549" s="468"/>
      <c r="G549" s="468"/>
      <c r="H549" s="468"/>
      <c r="I549" s="468"/>
      <c r="J549" s="468"/>
      <c r="K549" s="468"/>
      <c r="L549" s="468"/>
      <c r="M549" s="468"/>
      <c r="N549" s="468"/>
      <c r="O549" s="468"/>
      <c r="P549" s="468"/>
      <c r="Q549" s="468"/>
      <c r="R549" s="468"/>
      <c r="S549" s="468"/>
      <c r="T549" s="468"/>
      <c r="U549" s="468"/>
      <c r="V549" s="468"/>
      <c r="W549" s="468"/>
      <c r="X549" s="468"/>
      <c r="Y549" s="468"/>
      <c r="Z549" s="468"/>
    </row>
    <row r="550" spans="1:26" ht="18" customHeight="1" x14ac:dyDescent="0.35">
      <c r="A550" s="468"/>
      <c r="B550" s="468"/>
      <c r="C550" s="468"/>
      <c r="D550" s="468"/>
      <c r="E550" s="468"/>
      <c r="F550" s="468"/>
      <c r="G550" s="468"/>
      <c r="H550" s="468"/>
      <c r="I550" s="468"/>
      <c r="J550" s="468"/>
      <c r="K550" s="468"/>
      <c r="L550" s="468"/>
      <c r="M550" s="468"/>
      <c r="N550" s="468"/>
      <c r="O550" s="468"/>
      <c r="P550" s="468"/>
      <c r="Q550" s="468"/>
      <c r="R550" s="468"/>
      <c r="S550" s="468"/>
      <c r="T550" s="468"/>
      <c r="U550" s="468"/>
      <c r="V550" s="468"/>
      <c r="W550" s="468"/>
      <c r="X550" s="468"/>
      <c r="Y550" s="468"/>
      <c r="Z550" s="468"/>
    </row>
    <row r="551" spans="1:26" ht="18" customHeight="1" x14ac:dyDescent="0.35">
      <c r="A551" s="468"/>
      <c r="B551" s="468"/>
      <c r="C551" s="468"/>
      <c r="D551" s="468"/>
      <c r="E551" s="468"/>
      <c r="F551" s="468"/>
      <c r="G551" s="468"/>
      <c r="H551" s="468"/>
      <c r="I551" s="468"/>
      <c r="J551" s="468"/>
      <c r="K551" s="468"/>
      <c r="L551" s="468"/>
      <c r="M551" s="468"/>
      <c r="N551" s="468"/>
      <c r="O551" s="468"/>
      <c r="P551" s="468"/>
      <c r="Q551" s="468"/>
      <c r="R551" s="468"/>
      <c r="S551" s="468"/>
      <c r="T551" s="468"/>
      <c r="U551" s="468"/>
      <c r="V551" s="468"/>
      <c r="W551" s="468"/>
      <c r="X551" s="468"/>
      <c r="Y551" s="468"/>
      <c r="Z551" s="468"/>
    </row>
    <row r="552" spans="1:26" ht="18" customHeight="1" x14ac:dyDescent="0.35">
      <c r="A552" s="468"/>
      <c r="B552" s="468"/>
      <c r="C552" s="468"/>
      <c r="D552" s="468"/>
      <c r="E552" s="468"/>
      <c r="F552" s="468"/>
      <c r="G552" s="468"/>
      <c r="H552" s="468"/>
      <c r="I552" s="468"/>
      <c r="J552" s="468"/>
      <c r="K552" s="468"/>
      <c r="L552" s="468"/>
      <c r="M552" s="468"/>
      <c r="N552" s="468"/>
      <c r="O552" s="468"/>
      <c r="P552" s="468"/>
      <c r="Q552" s="468"/>
      <c r="R552" s="468"/>
      <c r="S552" s="468"/>
      <c r="T552" s="468"/>
      <c r="U552" s="468"/>
      <c r="V552" s="468"/>
      <c r="W552" s="468"/>
      <c r="X552" s="468"/>
      <c r="Y552" s="468"/>
      <c r="Z552" s="468"/>
    </row>
    <row r="553" spans="1:26" ht="18" customHeight="1" x14ac:dyDescent="0.35">
      <c r="A553" s="468"/>
      <c r="B553" s="468"/>
      <c r="C553" s="468"/>
      <c r="D553" s="468"/>
      <c r="E553" s="468"/>
      <c r="F553" s="468"/>
      <c r="G553" s="468"/>
      <c r="H553" s="468"/>
      <c r="I553" s="468"/>
      <c r="J553" s="468"/>
      <c r="K553" s="468"/>
      <c r="L553" s="468"/>
      <c r="M553" s="468"/>
      <c r="N553" s="468"/>
      <c r="O553" s="468"/>
      <c r="P553" s="468"/>
      <c r="Q553" s="468"/>
      <c r="R553" s="468"/>
      <c r="S553" s="468"/>
      <c r="T553" s="468"/>
      <c r="U553" s="468"/>
      <c r="V553" s="468"/>
      <c r="W553" s="468"/>
      <c r="X553" s="468"/>
      <c r="Y553" s="468"/>
      <c r="Z553" s="468"/>
    </row>
    <row r="554" spans="1:26" ht="18" customHeight="1" x14ac:dyDescent="0.35">
      <c r="A554" s="468"/>
      <c r="B554" s="468"/>
      <c r="C554" s="468"/>
      <c r="D554" s="468"/>
      <c r="E554" s="468"/>
      <c r="F554" s="468"/>
      <c r="G554" s="468"/>
      <c r="H554" s="468"/>
      <c r="I554" s="468"/>
      <c r="J554" s="468"/>
      <c r="K554" s="468"/>
      <c r="L554" s="468"/>
      <c r="M554" s="468"/>
      <c r="N554" s="468"/>
      <c r="O554" s="468"/>
      <c r="P554" s="468"/>
      <c r="Q554" s="468"/>
      <c r="R554" s="468"/>
      <c r="S554" s="468"/>
      <c r="T554" s="468"/>
      <c r="U554" s="468"/>
      <c r="V554" s="468"/>
      <c r="W554" s="468"/>
      <c r="X554" s="468"/>
      <c r="Y554" s="468"/>
      <c r="Z554" s="468"/>
    </row>
    <row r="555" spans="1:26" ht="18" customHeight="1" x14ac:dyDescent="0.35">
      <c r="A555" s="468"/>
      <c r="B555" s="468"/>
      <c r="C555" s="468"/>
      <c r="D555" s="468"/>
      <c r="E555" s="468"/>
      <c r="F555" s="468"/>
      <c r="G555" s="468"/>
      <c r="H555" s="468"/>
      <c r="I555" s="468"/>
      <c r="J555" s="468"/>
      <c r="K555" s="468"/>
      <c r="L555" s="468"/>
      <c r="M555" s="468"/>
      <c r="N555" s="468"/>
      <c r="O555" s="468"/>
      <c r="P555" s="468"/>
      <c r="Q555" s="468"/>
      <c r="R555" s="468"/>
      <c r="S555" s="468"/>
      <c r="T555" s="468"/>
      <c r="U555" s="468"/>
      <c r="V555" s="468"/>
      <c r="W555" s="468"/>
      <c r="X555" s="468"/>
      <c r="Y555" s="468"/>
      <c r="Z555" s="468"/>
    </row>
    <row r="556" spans="1:26" ht="18" customHeight="1" x14ac:dyDescent="0.35">
      <c r="A556" s="468"/>
      <c r="B556" s="468"/>
      <c r="C556" s="468"/>
      <c r="D556" s="468"/>
      <c r="E556" s="468"/>
      <c r="F556" s="468"/>
      <c r="G556" s="468"/>
      <c r="H556" s="468"/>
      <c r="I556" s="468"/>
      <c r="J556" s="468"/>
      <c r="K556" s="468"/>
      <c r="L556" s="468"/>
      <c r="M556" s="468"/>
      <c r="N556" s="468"/>
      <c r="O556" s="468"/>
      <c r="P556" s="468"/>
      <c r="Q556" s="468"/>
      <c r="R556" s="468"/>
      <c r="S556" s="468"/>
      <c r="T556" s="468"/>
      <c r="U556" s="468"/>
      <c r="V556" s="468"/>
      <c r="W556" s="468"/>
      <c r="X556" s="468"/>
      <c r="Y556" s="468"/>
      <c r="Z556" s="468"/>
    </row>
    <row r="557" spans="1:26" ht="18" customHeight="1" x14ac:dyDescent="0.35">
      <c r="A557" s="468"/>
      <c r="B557" s="468"/>
      <c r="C557" s="468"/>
      <c r="D557" s="468"/>
      <c r="E557" s="468"/>
      <c r="F557" s="468"/>
      <c r="G557" s="468"/>
      <c r="H557" s="468"/>
      <c r="I557" s="468"/>
      <c r="J557" s="468"/>
      <c r="K557" s="468"/>
      <c r="L557" s="468"/>
      <c r="M557" s="468"/>
      <c r="N557" s="468"/>
      <c r="O557" s="468"/>
      <c r="P557" s="468"/>
      <c r="Q557" s="468"/>
      <c r="R557" s="468"/>
      <c r="S557" s="468"/>
      <c r="T557" s="468"/>
      <c r="U557" s="468"/>
      <c r="V557" s="468"/>
      <c r="W557" s="468"/>
      <c r="X557" s="468"/>
      <c r="Y557" s="468"/>
      <c r="Z557" s="468"/>
    </row>
    <row r="558" spans="1:26" ht="18" customHeight="1" x14ac:dyDescent="0.35">
      <c r="A558" s="468"/>
      <c r="B558" s="468"/>
      <c r="C558" s="468"/>
      <c r="D558" s="468"/>
      <c r="E558" s="468"/>
      <c r="F558" s="468"/>
      <c r="G558" s="468"/>
      <c r="H558" s="468"/>
      <c r="I558" s="468"/>
      <c r="J558" s="468"/>
      <c r="K558" s="468"/>
      <c r="L558" s="468"/>
      <c r="M558" s="468"/>
      <c r="N558" s="468"/>
      <c r="O558" s="468"/>
      <c r="P558" s="468"/>
      <c r="Q558" s="468"/>
      <c r="R558" s="468"/>
      <c r="S558" s="468"/>
      <c r="T558" s="468"/>
      <c r="U558" s="468"/>
      <c r="V558" s="468"/>
      <c r="W558" s="468"/>
      <c r="X558" s="468"/>
      <c r="Y558" s="468"/>
      <c r="Z558" s="468"/>
    </row>
    <row r="559" spans="1:26" ht="18" customHeight="1" x14ac:dyDescent="0.35">
      <c r="A559" s="468"/>
      <c r="B559" s="468"/>
      <c r="C559" s="468"/>
      <c r="D559" s="468"/>
      <c r="E559" s="468"/>
      <c r="F559" s="468"/>
      <c r="G559" s="468"/>
      <c r="H559" s="468"/>
      <c r="I559" s="468"/>
      <c r="J559" s="468"/>
      <c r="K559" s="468"/>
      <c r="L559" s="468"/>
      <c r="M559" s="468"/>
      <c r="N559" s="468"/>
      <c r="O559" s="468"/>
      <c r="P559" s="468"/>
      <c r="Q559" s="468"/>
      <c r="R559" s="468"/>
      <c r="S559" s="468"/>
      <c r="T559" s="468"/>
      <c r="U559" s="468"/>
      <c r="V559" s="468"/>
      <c r="W559" s="468"/>
      <c r="X559" s="468"/>
      <c r="Y559" s="468"/>
      <c r="Z559" s="468"/>
    </row>
    <row r="560" spans="1:26" ht="18" customHeight="1" x14ac:dyDescent="0.35">
      <c r="A560" s="468"/>
      <c r="B560" s="468"/>
      <c r="C560" s="468"/>
      <c r="D560" s="468"/>
      <c r="E560" s="468"/>
      <c r="F560" s="468"/>
      <c r="G560" s="468"/>
      <c r="H560" s="468"/>
      <c r="I560" s="468"/>
      <c r="J560" s="468"/>
      <c r="K560" s="468"/>
      <c r="L560" s="468"/>
      <c r="M560" s="468"/>
      <c r="N560" s="468"/>
      <c r="O560" s="468"/>
      <c r="P560" s="468"/>
      <c r="Q560" s="468"/>
      <c r="R560" s="468"/>
      <c r="S560" s="468"/>
      <c r="T560" s="468"/>
      <c r="U560" s="468"/>
      <c r="V560" s="468"/>
      <c r="W560" s="468"/>
      <c r="X560" s="468"/>
      <c r="Y560" s="468"/>
      <c r="Z560" s="468"/>
    </row>
    <row r="561" spans="1:26" ht="18" customHeight="1" x14ac:dyDescent="0.35">
      <c r="A561" s="468"/>
      <c r="B561" s="468"/>
      <c r="C561" s="468"/>
      <c r="D561" s="468"/>
      <c r="E561" s="468"/>
      <c r="F561" s="468"/>
      <c r="G561" s="468"/>
      <c r="H561" s="468"/>
      <c r="I561" s="468"/>
      <c r="J561" s="468"/>
      <c r="K561" s="468"/>
      <c r="L561" s="468"/>
      <c r="M561" s="468"/>
      <c r="N561" s="468"/>
      <c r="O561" s="468"/>
      <c r="P561" s="468"/>
      <c r="Q561" s="468"/>
      <c r="R561" s="468"/>
      <c r="S561" s="468"/>
      <c r="T561" s="468"/>
      <c r="U561" s="468"/>
      <c r="V561" s="468"/>
      <c r="W561" s="468"/>
      <c r="X561" s="468"/>
      <c r="Y561" s="468"/>
      <c r="Z561" s="468"/>
    </row>
    <row r="562" spans="1:26" ht="18" customHeight="1" x14ac:dyDescent="0.35">
      <c r="A562" s="468"/>
      <c r="B562" s="468"/>
      <c r="C562" s="468"/>
      <c r="D562" s="468"/>
      <c r="E562" s="468"/>
      <c r="F562" s="468"/>
      <c r="G562" s="468"/>
      <c r="H562" s="468"/>
      <c r="I562" s="468"/>
      <c r="J562" s="468"/>
      <c r="K562" s="468"/>
      <c r="L562" s="468"/>
      <c r="M562" s="468"/>
      <c r="N562" s="468"/>
      <c r="O562" s="468"/>
      <c r="P562" s="468"/>
      <c r="Q562" s="468"/>
      <c r="R562" s="468"/>
      <c r="S562" s="468"/>
      <c r="T562" s="468"/>
      <c r="U562" s="468"/>
      <c r="V562" s="468"/>
      <c r="W562" s="468"/>
      <c r="X562" s="468"/>
      <c r="Y562" s="468"/>
      <c r="Z562" s="468"/>
    </row>
    <row r="563" spans="1:26" ht="18" customHeight="1" x14ac:dyDescent="0.35">
      <c r="A563" s="468"/>
      <c r="B563" s="468"/>
      <c r="C563" s="468"/>
      <c r="D563" s="468"/>
      <c r="E563" s="468"/>
      <c r="F563" s="468"/>
      <c r="G563" s="468"/>
      <c r="H563" s="468"/>
      <c r="I563" s="468"/>
      <c r="J563" s="468"/>
      <c r="K563" s="468"/>
      <c r="L563" s="468"/>
      <c r="M563" s="468"/>
      <c r="N563" s="468"/>
      <c r="O563" s="468"/>
      <c r="P563" s="468"/>
      <c r="Q563" s="468"/>
      <c r="R563" s="468"/>
      <c r="S563" s="468"/>
      <c r="T563" s="468"/>
      <c r="U563" s="468"/>
      <c r="V563" s="468"/>
      <c r="W563" s="468"/>
      <c r="X563" s="468"/>
      <c r="Y563" s="468"/>
      <c r="Z563" s="468"/>
    </row>
    <row r="564" spans="1:26" ht="18" customHeight="1" x14ac:dyDescent="0.35">
      <c r="A564" s="468"/>
      <c r="B564" s="468"/>
      <c r="C564" s="468"/>
      <c r="D564" s="468"/>
      <c r="E564" s="468"/>
      <c r="F564" s="468"/>
      <c r="G564" s="468"/>
      <c r="H564" s="468"/>
      <c r="I564" s="468"/>
      <c r="J564" s="468"/>
      <c r="K564" s="468"/>
      <c r="L564" s="468"/>
      <c r="M564" s="468"/>
      <c r="N564" s="468"/>
      <c r="O564" s="468"/>
      <c r="P564" s="468"/>
      <c r="Q564" s="468"/>
      <c r="R564" s="468"/>
      <c r="S564" s="468"/>
      <c r="T564" s="468"/>
      <c r="U564" s="468"/>
      <c r="V564" s="468"/>
      <c r="W564" s="468"/>
      <c r="X564" s="468"/>
      <c r="Y564" s="468"/>
      <c r="Z564" s="468"/>
    </row>
    <row r="565" spans="1:26" ht="18" customHeight="1" x14ac:dyDescent="0.35">
      <c r="A565" s="468"/>
      <c r="B565" s="468"/>
      <c r="C565" s="468"/>
      <c r="D565" s="468"/>
      <c r="E565" s="468"/>
      <c r="F565" s="468"/>
      <c r="G565" s="468"/>
      <c r="H565" s="468"/>
      <c r="I565" s="468"/>
      <c r="J565" s="468"/>
      <c r="K565" s="468"/>
      <c r="L565" s="468"/>
      <c r="M565" s="468"/>
      <c r="N565" s="468"/>
      <c r="O565" s="468"/>
      <c r="P565" s="468"/>
      <c r="Q565" s="468"/>
      <c r="R565" s="468"/>
      <c r="S565" s="468"/>
      <c r="T565" s="468"/>
      <c r="U565" s="468"/>
      <c r="V565" s="468"/>
      <c r="W565" s="468"/>
      <c r="X565" s="468"/>
      <c r="Y565" s="468"/>
      <c r="Z565" s="468"/>
    </row>
    <row r="566" spans="1:26" ht="18" customHeight="1" x14ac:dyDescent="0.35">
      <c r="A566" s="468"/>
      <c r="B566" s="468"/>
      <c r="C566" s="468"/>
      <c r="D566" s="468"/>
      <c r="E566" s="468"/>
      <c r="F566" s="468"/>
      <c r="G566" s="468"/>
      <c r="H566" s="468"/>
      <c r="I566" s="468"/>
      <c r="J566" s="468"/>
      <c r="K566" s="468"/>
      <c r="L566" s="468"/>
      <c r="M566" s="468"/>
      <c r="N566" s="468"/>
      <c r="O566" s="468"/>
      <c r="P566" s="468"/>
      <c r="Q566" s="468"/>
      <c r="R566" s="468"/>
      <c r="S566" s="468"/>
      <c r="T566" s="468"/>
      <c r="U566" s="468"/>
      <c r="V566" s="468"/>
      <c r="W566" s="468"/>
      <c r="X566" s="468"/>
      <c r="Y566" s="468"/>
      <c r="Z566" s="468"/>
    </row>
    <row r="567" spans="1:26" ht="18" customHeight="1" x14ac:dyDescent="0.35">
      <c r="A567" s="468"/>
      <c r="B567" s="468"/>
      <c r="C567" s="468"/>
      <c r="D567" s="468"/>
      <c r="E567" s="468"/>
      <c r="F567" s="468"/>
      <c r="G567" s="468"/>
      <c r="H567" s="468"/>
      <c r="I567" s="468"/>
      <c r="J567" s="468"/>
      <c r="K567" s="468"/>
      <c r="L567" s="468"/>
      <c r="M567" s="468"/>
      <c r="N567" s="468"/>
      <c r="O567" s="468"/>
      <c r="P567" s="468"/>
      <c r="Q567" s="468"/>
      <c r="R567" s="468"/>
      <c r="S567" s="468"/>
      <c r="T567" s="468"/>
      <c r="U567" s="468"/>
      <c r="V567" s="468"/>
      <c r="W567" s="468"/>
      <c r="X567" s="468"/>
      <c r="Y567" s="468"/>
      <c r="Z567" s="468"/>
    </row>
    <row r="568" spans="1:26" ht="18" customHeight="1" x14ac:dyDescent="0.35">
      <c r="A568" s="468"/>
      <c r="B568" s="468"/>
      <c r="C568" s="468"/>
      <c r="D568" s="468"/>
      <c r="E568" s="468"/>
      <c r="F568" s="468"/>
      <c r="G568" s="468"/>
      <c r="H568" s="468"/>
      <c r="I568" s="468"/>
      <c r="J568" s="468"/>
      <c r="K568" s="468"/>
      <c r="L568" s="468"/>
      <c r="M568" s="468"/>
      <c r="N568" s="468"/>
      <c r="O568" s="468"/>
      <c r="P568" s="468"/>
      <c r="Q568" s="468"/>
      <c r="R568" s="468"/>
      <c r="S568" s="468"/>
      <c r="T568" s="468"/>
      <c r="U568" s="468"/>
      <c r="V568" s="468"/>
      <c r="W568" s="468"/>
      <c r="X568" s="468"/>
      <c r="Y568" s="468"/>
      <c r="Z568" s="468"/>
    </row>
    <row r="569" spans="1:26" ht="18" customHeight="1" x14ac:dyDescent="0.35">
      <c r="A569" s="468"/>
      <c r="B569" s="468"/>
      <c r="C569" s="468"/>
      <c r="D569" s="468"/>
      <c r="E569" s="468"/>
      <c r="F569" s="468"/>
      <c r="G569" s="468"/>
      <c r="H569" s="468"/>
      <c r="I569" s="468"/>
      <c r="J569" s="468"/>
      <c r="K569" s="468"/>
      <c r="L569" s="468"/>
      <c r="M569" s="468"/>
      <c r="N569" s="468"/>
      <c r="O569" s="468"/>
      <c r="P569" s="468"/>
      <c r="Q569" s="468"/>
      <c r="R569" s="468"/>
      <c r="S569" s="468"/>
      <c r="T569" s="468"/>
      <c r="U569" s="468"/>
      <c r="V569" s="468"/>
      <c r="W569" s="468"/>
      <c r="X569" s="468"/>
      <c r="Y569" s="468"/>
      <c r="Z569" s="468"/>
    </row>
    <row r="570" spans="1:26" ht="18" customHeight="1" x14ac:dyDescent="0.35">
      <c r="A570" s="468"/>
      <c r="B570" s="468"/>
      <c r="C570" s="468"/>
      <c r="D570" s="468"/>
      <c r="E570" s="468"/>
      <c r="F570" s="468"/>
      <c r="G570" s="468"/>
      <c r="H570" s="468"/>
      <c r="I570" s="468"/>
      <c r="J570" s="468"/>
      <c r="K570" s="468"/>
      <c r="L570" s="468"/>
      <c r="M570" s="468"/>
      <c r="N570" s="468"/>
      <c r="O570" s="468"/>
      <c r="P570" s="468"/>
      <c r="Q570" s="468"/>
      <c r="R570" s="468"/>
      <c r="S570" s="468"/>
      <c r="T570" s="468"/>
      <c r="U570" s="468"/>
      <c r="V570" s="468"/>
      <c r="W570" s="468"/>
      <c r="X570" s="468"/>
      <c r="Y570" s="468"/>
      <c r="Z570" s="468"/>
    </row>
    <row r="571" spans="1:26" ht="18" customHeight="1" x14ac:dyDescent="0.35">
      <c r="A571" s="468"/>
      <c r="B571" s="468"/>
      <c r="C571" s="468"/>
      <c r="D571" s="468"/>
      <c r="E571" s="468"/>
      <c r="F571" s="468"/>
      <c r="G571" s="468"/>
      <c r="H571" s="468"/>
      <c r="I571" s="468"/>
      <c r="J571" s="468"/>
      <c r="K571" s="468"/>
      <c r="L571" s="468"/>
      <c r="M571" s="468"/>
      <c r="N571" s="468"/>
      <c r="O571" s="468"/>
      <c r="P571" s="468"/>
      <c r="Q571" s="468"/>
      <c r="R571" s="468"/>
      <c r="S571" s="468"/>
      <c r="T571" s="468"/>
      <c r="U571" s="468"/>
      <c r="V571" s="468"/>
      <c r="W571" s="468"/>
      <c r="X571" s="468"/>
      <c r="Y571" s="468"/>
      <c r="Z571" s="468"/>
    </row>
    <row r="572" spans="1:26" ht="18" customHeight="1" x14ac:dyDescent="0.35">
      <c r="A572" s="468"/>
      <c r="B572" s="468"/>
      <c r="C572" s="468"/>
      <c r="D572" s="468"/>
      <c r="E572" s="468"/>
      <c r="F572" s="468"/>
      <c r="G572" s="468"/>
      <c r="H572" s="468"/>
      <c r="I572" s="468"/>
      <c r="J572" s="468"/>
      <c r="K572" s="468"/>
      <c r="L572" s="468"/>
      <c r="M572" s="468"/>
      <c r="N572" s="468"/>
      <c r="O572" s="468"/>
      <c r="P572" s="468"/>
      <c r="Q572" s="468"/>
      <c r="R572" s="468"/>
      <c r="S572" s="468"/>
      <c r="T572" s="468"/>
      <c r="U572" s="468"/>
      <c r="V572" s="468"/>
      <c r="W572" s="468"/>
      <c r="X572" s="468"/>
      <c r="Y572" s="468"/>
      <c r="Z572" s="468"/>
    </row>
    <row r="573" spans="1:26" ht="18" customHeight="1" x14ac:dyDescent="0.35">
      <c r="A573" s="468"/>
      <c r="B573" s="468"/>
      <c r="C573" s="468"/>
      <c r="D573" s="468"/>
      <c r="E573" s="468"/>
      <c r="F573" s="468"/>
      <c r="G573" s="468"/>
      <c r="H573" s="468"/>
      <c r="I573" s="468"/>
      <c r="J573" s="468"/>
      <c r="K573" s="468"/>
      <c r="L573" s="468"/>
      <c r="M573" s="468"/>
      <c r="N573" s="468"/>
      <c r="O573" s="468"/>
      <c r="P573" s="468"/>
      <c r="Q573" s="468"/>
      <c r="R573" s="468"/>
      <c r="S573" s="468"/>
      <c r="T573" s="468"/>
      <c r="U573" s="468"/>
      <c r="V573" s="468"/>
      <c r="W573" s="468"/>
      <c r="X573" s="468"/>
      <c r="Y573" s="468"/>
      <c r="Z573" s="468"/>
    </row>
    <row r="574" spans="1:26" ht="18" customHeight="1" x14ac:dyDescent="0.35">
      <c r="A574" s="468"/>
      <c r="B574" s="468"/>
      <c r="C574" s="468"/>
      <c r="D574" s="468"/>
      <c r="E574" s="468"/>
      <c r="F574" s="468"/>
      <c r="G574" s="468"/>
      <c r="H574" s="468"/>
      <c r="I574" s="468"/>
      <c r="J574" s="468"/>
      <c r="K574" s="468"/>
      <c r="L574" s="468"/>
      <c r="M574" s="468"/>
      <c r="N574" s="468"/>
      <c r="O574" s="468"/>
      <c r="P574" s="468"/>
      <c r="Q574" s="468"/>
      <c r="R574" s="468"/>
      <c r="S574" s="468"/>
      <c r="T574" s="468"/>
      <c r="U574" s="468"/>
      <c r="V574" s="468"/>
      <c r="W574" s="468"/>
      <c r="X574" s="468"/>
      <c r="Y574" s="468"/>
      <c r="Z574" s="468"/>
    </row>
    <row r="575" spans="1:26" ht="18" customHeight="1" x14ac:dyDescent="0.35">
      <c r="A575" s="468"/>
      <c r="B575" s="468"/>
      <c r="C575" s="468"/>
      <c r="D575" s="468"/>
      <c r="E575" s="468"/>
      <c r="F575" s="468"/>
      <c r="G575" s="468"/>
      <c r="H575" s="468"/>
      <c r="I575" s="468"/>
      <c r="J575" s="468"/>
      <c r="K575" s="468"/>
      <c r="L575" s="468"/>
      <c r="M575" s="468"/>
      <c r="N575" s="468"/>
      <c r="O575" s="468"/>
      <c r="P575" s="468"/>
      <c r="Q575" s="468"/>
      <c r="R575" s="468"/>
      <c r="S575" s="468"/>
      <c r="T575" s="468"/>
      <c r="U575" s="468"/>
      <c r="V575" s="468"/>
      <c r="W575" s="468"/>
      <c r="X575" s="468"/>
      <c r="Y575" s="468"/>
      <c r="Z575" s="468"/>
    </row>
    <row r="576" spans="1:26" ht="18" customHeight="1" x14ac:dyDescent="0.35">
      <c r="A576" s="468"/>
      <c r="B576" s="468"/>
      <c r="C576" s="468"/>
      <c r="D576" s="468"/>
      <c r="E576" s="468"/>
      <c r="F576" s="468"/>
      <c r="G576" s="468"/>
      <c r="H576" s="468"/>
      <c r="I576" s="468"/>
      <c r="J576" s="468"/>
      <c r="K576" s="468"/>
      <c r="L576" s="468"/>
      <c r="M576" s="468"/>
      <c r="N576" s="468"/>
      <c r="O576" s="468"/>
      <c r="P576" s="468"/>
      <c r="Q576" s="468"/>
      <c r="R576" s="468"/>
      <c r="S576" s="468"/>
      <c r="T576" s="468"/>
      <c r="U576" s="468"/>
      <c r="V576" s="468"/>
      <c r="W576" s="468"/>
      <c r="X576" s="468"/>
      <c r="Y576" s="468"/>
      <c r="Z576" s="468"/>
    </row>
    <row r="577" spans="1:26" ht="18" customHeight="1" x14ac:dyDescent="0.35">
      <c r="A577" s="468"/>
      <c r="B577" s="468"/>
      <c r="C577" s="468"/>
      <c r="D577" s="468"/>
      <c r="E577" s="468"/>
      <c r="F577" s="468"/>
      <c r="G577" s="468"/>
      <c r="H577" s="468"/>
      <c r="I577" s="468"/>
      <c r="J577" s="468"/>
      <c r="K577" s="468"/>
      <c r="L577" s="468"/>
      <c r="M577" s="468"/>
      <c r="N577" s="468"/>
      <c r="O577" s="468"/>
      <c r="P577" s="468"/>
      <c r="Q577" s="468"/>
      <c r="R577" s="468"/>
      <c r="S577" s="468"/>
      <c r="T577" s="468"/>
      <c r="U577" s="468"/>
      <c r="V577" s="468"/>
      <c r="W577" s="468"/>
      <c r="X577" s="468"/>
      <c r="Y577" s="468"/>
      <c r="Z577" s="468"/>
    </row>
    <row r="578" spans="1:26" ht="18" customHeight="1" x14ac:dyDescent="0.35">
      <c r="A578" s="468"/>
      <c r="B578" s="468"/>
      <c r="C578" s="468"/>
      <c r="D578" s="468"/>
      <c r="E578" s="468"/>
      <c r="F578" s="468"/>
      <c r="G578" s="468"/>
      <c r="H578" s="468"/>
      <c r="I578" s="468"/>
      <c r="J578" s="468"/>
      <c r="K578" s="468"/>
      <c r="L578" s="468"/>
      <c r="M578" s="468"/>
      <c r="N578" s="468"/>
      <c r="O578" s="468"/>
      <c r="P578" s="468"/>
      <c r="Q578" s="468"/>
      <c r="R578" s="468"/>
      <c r="S578" s="468"/>
      <c r="T578" s="468"/>
      <c r="U578" s="468"/>
      <c r="V578" s="468"/>
      <c r="W578" s="468"/>
      <c r="X578" s="468"/>
      <c r="Y578" s="468"/>
      <c r="Z578" s="468"/>
    </row>
    <row r="579" spans="1:26" ht="18" customHeight="1" x14ac:dyDescent="0.35">
      <c r="A579" s="468"/>
      <c r="B579" s="468"/>
      <c r="C579" s="468"/>
      <c r="D579" s="468"/>
      <c r="E579" s="468"/>
      <c r="F579" s="468"/>
      <c r="G579" s="468"/>
      <c r="H579" s="468"/>
      <c r="I579" s="468"/>
      <c r="J579" s="468"/>
      <c r="K579" s="468"/>
      <c r="L579" s="468"/>
      <c r="M579" s="468"/>
      <c r="N579" s="468"/>
      <c r="O579" s="468"/>
      <c r="P579" s="468"/>
      <c r="Q579" s="468"/>
      <c r="R579" s="468"/>
      <c r="S579" s="468"/>
      <c r="T579" s="468"/>
      <c r="U579" s="468"/>
      <c r="V579" s="468"/>
      <c r="W579" s="468"/>
      <c r="X579" s="468"/>
      <c r="Y579" s="468"/>
      <c r="Z579" s="468"/>
    </row>
    <row r="580" spans="1:26" ht="18" customHeight="1" x14ac:dyDescent="0.35">
      <c r="A580" s="468"/>
      <c r="B580" s="468"/>
      <c r="C580" s="468"/>
      <c r="D580" s="468"/>
      <c r="E580" s="468"/>
      <c r="F580" s="468"/>
      <c r="G580" s="468"/>
      <c r="H580" s="468"/>
      <c r="I580" s="468"/>
      <c r="J580" s="468"/>
      <c r="K580" s="468"/>
      <c r="L580" s="468"/>
      <c r="M580" s="468"/>
      <c r="N580" s="468"/>
      <c r="O580" s="468"/>
      <c r="P580" s="468"/>
      <c r="Q580" s="468"/>
      <c r="R580" s="468"/>
      <c r="S580" s="468"/>
      <c r="T580" s="468"/>
      <c r="U580" s="468"/>
      <c r="V580" s="468"/>
      <c r="W580" s="468"/>
      <c r="X580" s="468"/>
      <c r="Y580" s="468"/>
      <c r="Z580" s="468"/>
    </row>
    <row r="581" spans="1:26" ht="18" customHeight="1" x14ac:dyDescent="0.35">
      <c r="A581" s="468"/>
      <c r="B581" s="468"/>
      <c r="C581" s="468"/>
      <c r="D581" s="468"/>
      <c r="E581" s="468"/>
      <c r="F581" s="468"/>
      <c r="G581" s="468"/>
      <c r="H581" s="468"/>
      <c r="I581" s="468"/>
      <c r="J581" s="468"/>
      <c r="K581" s="468"/>
      <c r="L581" s="468"/>
      <c r="M581" s="468"/>
      <c r="N581" s="468"/>
      <c r="O581" s="468"/>
      <c r="P581" s="468"/>
      <c r="Q581" s="468"/>
      <c r="R581" s="468"/>
      <c r="S581" s="468"/>
      <c r="T581" s="468"/>
      <c r="U581" s="468"/>
      <c r="V581" s="468"/>
      <c r="W581" s="468"/>
      <c r="X581" s="468"/>
      <c r="Y581" s="468"/>
      <c r="Z581" s="468"/>
    </row>
    <row r="582" spans="1:26" ht="18" customHeight="1" x14ac:dyDescent="0.35">
      <c r="A582" s="468"/>
      <c r="B582" s="468"/>
      <c r="C582" s="468"/>
      <c r="D582" s="468"/>
      <c r="E582" s="468"/>
      <c r="F582" s="468"/>
      <c r="G582" s="468"/>
      <c r="H582" s="468"/>
      <c r="I582" s="468"/>
      <c r="J582" s="468"/>
      <c r="K582" s="468"/>
      <c r="L582" s="468"/>
      <c r="M582" s="468"/>
      <c r="N582" s="468"/>
      <c r="O582" s="468"/>
      <c r="P582" s="468"/>
      <c r="Q582" s="468"/>
      <c r="R582" s="468"/>
      <c r="S582" s="468"/>
      <c r="T582" s="468"/>
      <c r="U582" s="468"/>
      <c r="V582" s="468"/>
      <c r="W582" s="468"/>
      <c r="X582" s="468"/>
      <c r="Y582" s="468"/>
      <c r="Z582" s="468"/>
    </row>
    <row r="583" spans="1:26" ht="18" customHeight="1" x14ac:dyDescent="0.35">
      <c r="A583" s="468"/>
      <c r="B583" s="468"/>
      <c r="C583" s="468"/>
      <c r="D583" s="468"/>
      <c r="E583" s="468"/>
      <c r="F583" s="468"/>
      <c r="G583" s="468"/>
      <c r="H583" s="468"/>
      <c r="I583" s="468"/>
      <c r="J583" s="468"/>
      <c r="K583" s="468"/>
      <c r="L583" s="468"/>
      <c r="M583" s="468"/>
      <c r="N583" s="468"/>
      <c r="O583" s="468"/>
      <c r="P583" s="468"/>
      <c r="Q583" s="468"/>
      <c r="R583" s="468"/>
      <c r="S583" s="468"/>
      <c r="T583" s="468"/>
      <c r="U583" s="468"/>
      <c r="V583" s="468"/>
      <c r="W583" s="468"/>
      <c r="X583" s="468"/>
      <c r="Y583" s="468"/>
      <c r="Z583" s="468"/>
    </row>
    <row r="584" spans="1:26" ht="18" customHeight="1" x14ac:dyDescent="0.35">
      <c r="A584" s="468"/>
      <c r="B584" s="468"/>
      <c r="C584" s="468"/>
      <c r="D584" s="468"/>
      <c r="E584" s="468"/>
      <c r="F584" s="468"/>
      <c r="G584" s="468"/>
      <c r="H584" s="468"/>
      <c r="I584" s="468"/>
      <c r="J584" s="468"/>
      <c r="K584" s="468"/>
      <c r="L584" s="468"/>
      <c r="M584" s="468"/>
      <c r="N584" s="468"/>
      <c r="O584" s="468"/>
      <c r="P584" s="468"/>
      <c r="Q584" s="468"/>
      <c r="R584" s="468"/>
      <c r="S584" s="468"/>
      <c r="T584" s="468"/>
      <c r="U584" s="468"/>
      <c r="V584" s="468"/>
      <c r="W584" s="468"/>
      <c r="X584" s="468"/>
      <c r="Y584" s="468"/>
      <c r="Z584" s="468"/>
    </row>
    <row r="585" spans="1:26" ht="18" customHeight="1" x14ac:dyDescent="0.35">
      <c r="A585" s="468"/>
      <c r="B585" s="468"/>
      <c r="C585" s="468"/>
      <c r="D585" s="468"/>
      <c r="E585" s="468"/>
      <c r="F585" s="468"/>
      <c r="G585" s="468"/>
      <c r="H585" s="468"/>
      <c r="I585" s="468"/>
      <c r="J585" s="468"/>
      <c r="K585" s="468"/>
      <c r="L585" s="468"/>
      <c r="M585" s="468"/>
      <c r="N585" s="468"/>
      <c r="O585" s="468"/>
      <c r="P585" s="468"/>
      <c r="Q585" s="468"/>
      <c r="R585" s="468"/>
      <c r="S585" s="468"/>
      <c r="T585" s="468"/>
      <c r="U585" s="468"/>
      <c r="V585" s="468"/>
      <c r="W585" s="468"/>
      <c r="X585" s="468"/>
      <c r="Y585" s="468"/>
      <c r="Z585" s="468"/>
    </row>
    <row r="586" spans="1:26" ht="18" customHeight="1" x14ac:dyDescent="0.35">
      <c r="A586" s="468"/>
      <c r="B586" s="468"/>
      <c r="C586" s="468"/>
      <c r="D586" s="468"/>
      <c r="E586" s="468"/>
      <c r="F586" s="468"/>
      <c r="G586" s="468"/>
      <c r="H586" s="468"/>
      <c r="I586" s="468"/>
      <c r="J586" s="468"/>
      <c r="K586" s="468"/>
      <c r="L586" s="468"/>
      <c r="M586" s="468"/>
      <c r="N586" s="468"/>
      <c r="O586" s="468"/>
      <c r="P586" s="468"/>
      <c r="Q586" s="468"/>
      <c r="R586" s="468"/>
      <c r="S586" s="468"/>
      <c r="T586" s="468"/>
      <c r="U586" s="468"/>
      <c r="V586" s="468"/>
      <c r="W586" s="468"/>
      <c r="X586" s="468"/>
      <c r="Y586" s="468"/>
      <c r="Z586" s="468"/>
    </row>
    <row r="587" spans="1:26" ht="18" customHeight="1" x14ac:dyDescent="0.35">
      <c r="A587" s="468"/>
      <c r="B587" s="468"/>
      <c r="C587" s="468"/>
      <c r="D587" s="468"/>
      <c r="E587" s="468"/>
      <c r="F587" s="468"/>
      <c r="G587" s="468"/>
      <c r="H587" s="468"/>
      <c r="I587" s="468"/>
      <c r="J587" s="468"/>
      <c r="K587" s="468"/>
      <c r="L587" s="468"/>
      <c r="M587" s="468"/>
      <c r="N587" s="468"/>
      <c r="O587" s="468"/>
      <c r="P587" s="468"/>
      <c r="Q587" s="468"/>
      <c r="R587" s="468"/>
      <c r="S587" s="468"/>
      <c r="T587" s="468"/>
      <c r="U587" s="468"/>
      <c r="V587" s="468"/>
      <c r="W587" s="468"/>
      <c r="X587" s="468"/>
      <c r="Y587" s="468"/>
      <c r="Z587" s="468"/>
    </row>
    <row r="588" spans="1:26" ht="18" customHeight="1" x14ac:dyDescent="0.35">
      <c r="A588" s="468"/>
      <c r="B588" s="468"/>
      <c r="C588" s="468"/>
      <c r="D588" s="468"/>
      <c r="E588" s="468"/>
      <c r="F588" s="468"/>
      <c r="G588" s="468"/>
      <c r="H588" s="468"/>
      <c r="I588" s="468"/>
      <c r="J588" s="468"/>
      <c r="K588" s="468"/>
      <c r="L588" s="468"/>
      <c r="M588" s="468"/>
      <c r="N588" s="468"/>
      <c r="O588" s="468"/>
      <c r="P588" s="468"/>
      <c r="Q588" s="468"/>
      <c r="R588" s="468"/>
      <c r="S588" s="468"/>
      <c r="T588" s="468"/>
      <c r="U588" s="468"/>
      <c r="V588" s="468"/>
      <c r="W588" s="468"/>
      <c r="X588" s="468"/>
      <c r="Y588" s="468"/>
      <c r="Z588" s="468"/>
    </row>
    <row r="589" spans="1:26" ht="18" customHeight="1" x14ac:dyDescent="0.35">
      <c r="A589" s="468"/>
      <c r="B589" s="468"/>
      <c r="C589" s="468"/>
      <c r="D589" s="468"/>
      <c r="E589" s="468"/>
      <c r="F589" s="468"/>
      <c r="G589" s="468"/>
      <c r="H589" s="468"/>
      <c r="I589" s="468"/>
      <c r="J589" s="468"/>
      <c r="K589" s="468"/>
      <c r="L589" s="468"/>
      <c r="M589" s="468"/>
      <c r="N589" s="468"/>
      <c r="O589" s="468"/>
      <c r="P589" s="468"/>
      <c r="Q589" s="468"/>
      <c r="R589" s="468"/>
      <c r="S589" s="468"/>
      <c r="T589" s="468"/>
      <c r="U589" s="468"/>
      <c r="V589" s="468"/>
      <c r="W589" s="468"/>
      <c r="X589" s="468"/>
      <c r="Y589" s="468"/>
      <c r="Z589" s="468"/>
    </row>
    <row r="590" spans="1:26" ht="18" customHeight="1" x14ac:dyDescent="0.35">
      <c r="A590" s="468"/>
      <c r="B590" s="468"/>
      <c r="C590" s="468"/>
      <c r="D590" s="468"/>
      <c r="E590" s="468"/>
      <c r="F590" s="468"/>
      <c r="G590" s="468"/>
      <c r="H590" s="468"/>
      <c r="I590" s="468"/>
      <c r="J590" s="468"/>
      <c r="K590" s="468"/>
      <c r="L590" s="468"/>
      <c r="M590" s="468"/>
      <c r="N590" s="468"/>
      <c r="O590" s="468"/>
      <c r="P590" s="468"/>
      <c r="Q590" s="468"/>
      <c r="R590" s="468"/>
      <c r="S590" s="468"/>
      <c r="T590" s="468"/>
      <c r="U590" s="468"/>
      <c r="V590" s="468"/>
      <c r="W590" s="468"/>
      <c r="X590" s="468"/>
      <c r="Y590" s="468"/>
      <c r="Z590" s="468"/>
    </row>
    <row r="591" spans="1:26" ht="18" customHeight="1" x14ac:dyDescent="0.35">
      <c r="A591" s="468"/>
      <c r="B591" s="468"/>
      <c r="C591" s="468"/>
      <c r="D591" s="468"/>
      <c r="E591" s="468"/>
      <c r="F591" s="468"/>
      <c r="G591" s="468"/>
      <c r="H591" s="468"/>
      <c r="I591" s="468"/>
      <c r="J591" s="468"/>
      <c r="K591" s="468"/>
      <c r="L591" s="468"/>
      <c r="M591" s="468"/>
      <c r="N591" s="468"/>
      <c r="O591" s="468"/>
      <c r="P591" s="468"/>
      <c r="Q591" s="468"/>
      <c r="R591" s="468"/>
      <c r="S591" s="468"/>
      <c r="T591" s="468"/>
      <c r="U591" s="468"/>
      <c r="V591" s="468"/>
      <c r="W591" s="468"/>
      <c r="X591" s="468"/>
      <c r="Y591" s="468"/>
      <c r="Z591" s="468"/>
    </row>
    <row r="592" spans="1:26" ht="18" customHeight="1" x14ac:dyDescent="0.35">
      <c r="A592" s="468"/>
      <c r="B592" s="468"/>
      <c r="C592" s="468"/>
      <c r="D592" s="468"/>
      <c r="E592" s="468"/>
      <c r="F592" s="468"/>
      <c r="G592" s="468"/>
      <c r="H592" s="468"/>
      <c r="I592" s="468"/>
      <c r="J592" s="468"/>
      <c r="K592" s="468"/>
      <c r="L592" s="468"/>
      <c r="M592" s="468"/>
      <c r="N592" s="468"/>
      <c r="O592" s="468"/>
      <c r="P592" s="468"/>
      <c r="Q592" s="468"/>
      <c r="R592" s="468"/>
      <c r="S592" s="468"/>
      <c r="T592" s="468"/>
      <c r="U592" s="468"/>
      <c r="V592" s="468"/>
      <c r="W592" s="468"/>
      <c r="X592" s="468"/>
      <c r="Y592" s="468"/>
      <c r="Z592" s="468"/>
    </row>
    <row r="593" spans="1:26" ht="18" customHeight="1" x14ac:dyDescent="0.35">
      <c r="A593" s="468"/>
      <c r="B593" s="468"/>
      <c r="C593" s="468"/>
      <c r="D593" s="468"/>
      <c r="E593" s="468"/>
      <c r="F593" s="468"/>
      <c r="G593" s="468"/>
      <c r="H593" s="468"/>
      <c r="I593" s="468"/>
      <c r="J593" s="468"/>
      <c r="K593" s="468"/>
      <c r="L593" s="468"/>
      <c r="M593" s="468"/>
      <c r="N593" s="468"/>
      <c r="O593" s="468"/>
      <c r="P593" s="468"/>
      <c r="Q593" s="468"/>
      <c r="R593" s="468"/>
      <c r="S593" s="468"/>
      <c r="T593" s="468"/>
      <c r="U593" s="468"/>
      <c r="V593" s="468"/>
      <c r="W593" s="468"/>
      <c r="X593" s="468"/>
      <c r="Y593" s="468"/>
      <c r="Z593" s="468"/>
    </row>
    <row r="594" spans="1:26" ht="18" customHeight="1" x14ac:dyDescent="0.35">
      <c r="A594" s="468"/>
      <c r="B594" s="468"/>
      <c r="C594" s="468"/>
      <c r="D594" s="468"/>
      <c r="E594" s="468"/>
      <c r="F594" s="468"/>
      <c r="G594" s="468"/>
      <c r="H594" s="468"/>
      <c r="I594" s="468"/>
      <c r="J594" s="468"/>
      <c r="K594" s="468"/>
      <c r="L594" s="468"/>
      <c r="M594" s="468"/>
      <c r="N594" s="468"/>
      <c r="O594" s="468"/>
      <c r="P594" s="468"/>
      <c r="Q594" s="468"/>
      <c r="R594" s="468"/>
      <c r="S594" s="468"/>
      <c r="T594" s="468"/>
      <c r="U594" s="468"/>
      <c r="V594" s="468"/>
      <c r="W594" s="468"/>
      <c r="X594" s="468"/>
      <c r="Y594" s="468"/>
      <c r="Z594" s="468"/>
    </row>
    <row r="595" spans="1:26" ht="18" customHeight="1" x14ac:dyDescent="0.35">
      <c r="A595" s="468"/>
      <c r="B595" s="468"/>
      <c r="C595" s="468"/>
      <c r="D595" s="468"/>
      <c r="E595" s="468"/>
      <c r="F595" s="468"/>
      <c r="G595" s="468"/>
      <c r="H595" s="468"/>
      <c r="I595" s="468"/>
      <c r="J595" s="468"/>
      <c r="K595" s="468"/>
      <c r="L595" s="468"/>
      <c r="M595" s="468"/>
      <c r="N595" s="468"/>
      <c r="O595" s="468"/>
      <c r="P595" s="468"/>
      <c r="Q595" s="468"/>
      <c r="R595" s="468"/>
      <c r="S595" s="468"/>
      <c r="T595" s="468"/>
      <c r="U595" s="468"/>
      <c r="V595" s="468"/>
      <c r="W595" s="468"/>
      <c r="X595" s="468"/>
      <c r="Y595" s="468"/>
      <c r="Z595" s="468"/>
    </row>
    <row r="596" spans="1:26" ht="18" customHeight="1" x14ac:dyDescent="0.35">
      <c r="A596" s="468"/>
      <c r="B596" s="468"/>
      <c r="C596" s="468"/>
      <c r="D596" s="468"/>
      <c r="E596" s="468"/>
      <c r="F596" s="468"/>
      <c r="G596" s="468"/>
      <c r="H596" s="468"/>
      <c r="I596" s="468"/>
      <c r="J596" s="468"/>
      <c r="K596" s="468"/>
      <c r="L596" s="468"/>
      <c r="M596" s="468"/>
      <c r="N596" s="468"/>
      <c r="O596" s="468"/>
      <c r="P596" s="468"/>
      <c r="Q596" s="468"/>
      <c r="R596" s="468"/>
      <c r="S596" s="468"/>
      <c r="T596" s="468"/>
      <c r="U596" s="468"/>
      <c r="V596" s="468"/>
      <c r="W596" s="468"/>
      <c r="X596" s="468"/>
      <c r="Y596" s="468"/>
      <c r="Z596" s="468"/>
    </row>
    <row r="597" spans="1:26" ht="18" customHeight="1" x14ac:dyDescent="0.35">
      <c r="A597" s="468"/>
      <c r="B597" s="468"/>
      <c r="C597" s="468"/>
      <c r="D597" s="468"/>
      <c r="E597" s="468"/>
      <c r="F597" s="468"/>
      <c r="G597" s="468"/>
      <c r="H597" s="468"/>
      <c r="I597" s="468"/>
      <c r="J597" s="468"/>
      <c r="K597" s="468"/>
      <c r="L597" s="468"/>
      <c r="M597" s="468"/>
      <c r="N597" s="468"/>
      <c r="O597" s="468"/>
      <c r="P597" s="468"/>
      <c r="Q597" s="468"/>
      <c r="R597" s="468"/>
      <c r="S597" s="468"/>
      <c r="T597" s="468"/>
      <c r="U597" s="468"/>
      <c r="V597" s="468"/>
      <c r="W597" s="468"/>
      <c r="X597" s="468"/>
      <c r="Y597" s="468"/>
      <c r="Z597" s="468"/>
    </row>
    <row r="598" spans="1:26" ht="18" customHeight="1" x14ac:dyDescent="0.35">
      <c r="A598" s="468"/>
      <c r="B598" s="468"/>
      <c r="C598" s="468"/>
      <c r="D598" s="468"/>
      <c r="E598" s="468"/>
      <c r="F598" s="468"/>
      <c r="G598" s="468"/>
      <c r="H598" s="468"/>
      <c r="I598" s="468"/>
      <c r="J598" s="468"/>
      <c r="K598" s="468"/>
      <c r="L598" s="468"/>
      <c r="M598" s="468"/>
      <c r="N598" s="468"/>
      <c r="O598" s="468"/>
      <c r="P598" s="468"/>
      <c r="Q598" s="468"/>
      <c r="R598" s="468"/>
      <c r="S598" s="468"/>
      <c r="T598" s="468"/>
      <c r="U598" s="468"/>
      <c r="V598" s="468"/>
      <c r="W598" s="468"/>
      <c r="X598" s="468"/>
      <c r="Y598" s="468"/>
      <c r="Z598" s="468"/>
    </row>
    <row r="599" spans="1:26" ht="18" customHeight="1" x14ac:dyDescent="0.35">
      <c r="A599" s="468"/>
      <c r="B599" s="468"/>
      <c r="C599" s="468"/>
      <c r="D599" s="468"/>
      <c r="E599" s="468"/>
      <c r="F599" s="468"/>
      <c r="G599" s="468"/>
      <c r="H599" s="468"/>
      <c r="I599" s="468"/>
      <c r="J599" s="468"/>
      <c r="K599" s="468"/>
      <c r="L599" s="468"/>
      <c r="M599" s="468"/>
      <c r="N599" s="468"/>
      <c r="O599" s="468"/>
      <c r="P599" s="468"/>
      <c r="Q599" s="468"/>
      <c r="R599" s="468"/>
      <c r="S599" s="468"/>
      <c r="T599" s="468"/>
      <c r="U599" s="468"/>
      <c r="V599" s="468"/>
      <c r="W599" s="468"/>
      <c r="X599" s="468"/>
      <c r="Y599" s="468"/>
      <c r="Z599" s="468"/>
    </row>
    <row r="600" spans="1:26" ht="18" customHeight="1" x14ac:dyDescent="0.35">
      <c r="A600" s="468"/>
      <c r="B600" s="468"/>
      <c r="C600" s="468"/>
      <c r="D600" s="468"/>
      <c r="E600" s="468"/>
      <c r="F600" s="468"/>
      <c r="G600" s="468"/>
      <c r="H600" s="468"/>
      <c r="I600" s="468"/>
      <c r="J600" s="468"/>
      <c r="K600" s="468"/>
      <c r="L600" s="468"/>
      <c r="M600" s="468"/>
      <c r="N600" s="468"/>
      <c r="O600" s="468"/>
      <c r="P600" s="468"/>
      <c r="Q600" s="468"/>
      <c r="R600" s="468"/>
      <c r="S600" s="468"/>
      <c r="T600" s="468"/>
      <c r="U600" s="468"/>
      <c r="V600" s="468"/>
      <c r="W600" s="468"/>
      <c r="X600" s="468"/>
      <c r="Y600" s="468"/>
      <c r="Z600" s="468"/>
    </row>
    <row r="601" spans="1:26" ht="18" customHeight="1" x14ac:dyDescent="0.35">
      <c r="A601" s="468"/>
      <c r="B601" s="468"/>
      <c r="C601" s="468"/>
      <c r="D601" s="468"/>
      <c r="E601" s="468"/>
      <c r="F601" s="468"/>
      <c r="G601" s="468"/>
      <c r="H601" s="468"/>
      <c r="I601" s="468"/>
      <c r="J601" s="468"/>
      <c r="K601" s="468"/>
      <c r="L601" s="468"/>
      <c r="M601" s="468"/>
      <c r="N601" s="468"/>
      <c r="O601" s="468"/>
      <c r="P601" s="468"/>
      <c r="Q601" s="468"/>
      <c r="R601" s="468"/>
      <c r="S601" s="468"/>
      <c r="T601" s="468"/>
      <c r="U601" s="468"/>
      <c r="V601" s="468"/>
      <c r="W601" s="468"/>
      <c r="X601" s="468"/>
      <c r="Y601" s="468"/>
      <c r="Z601" s="468"/>
    </row>
    <row r="602" spans="1:26" ht="18" customHeight="1" x14ac:dyDescent="0.35">
      <c r="A602" s="468"/>
      <c r="B602" s="468"/>
      <c r="C602" s="468"/>
      <c r="D602" s="468"/>
      <c r="E602" s="468"/>
      <c r="F602" s="468"/>
      <c r="G602" s="468"/>
      <c r="H602" s="468"/>
      <c r="I602" s="468"/>
      <c r="J602" s="468"/>
      <c r="K602" s="468"/>
      <c r="L602" s="468"/>
      <c r="M602" s="468"/>
      <c r="N602" s="468"/>
      <c r="O602" s="468"/>
      <c r="P602" s="468"/>
      <c r="Q602" s="468"/>
      <c r="R602" s="468"/>
      <c r="S602" s="468"/>
      <c r="T602" s="468"/>
      <c r="U602" s="468"/>
      <c r="V602" s="468"/>
      <c r="W602" s="468"/>
      <c r="X602" s="468"/>
      <c r="Y602" s="468"/>
      <c r="Z602" s="468"/>
    </row>
    <row r="603" spans="1:26" ht="18" customHeight="1" x14ac:dyDescent="0.35">
      <c r="A603" s="468"/>
      <c r="B603" s="468"/>
      <c r="C603" s="468"/>
      <c r="D603" s="468"/>
      <c r="E603" s="468"/>
      <c r="F603" s="468"/>
      <c r="G603" s="468"/>
      <c r="H603" s="468"/>
      <c r="I603" s="468"/>
      <c r="J603" s="468"/>
      <c r="K603" s="468"/>
      <c r="L603" s="468"/>
      <c r="M603" s="468"/>
      <c r="N603" s="468"/>
      <c r="O603" s="468"/>
      <c r="P603" s="468"/>
      <c r="Q603" s="468"/>
      <c r="R603" s="468"/>
      <c r="S603" s="468"/>
      <c r="T603" s="468"/>
      <c r="U603" s="468"/>
      <c r="V603" s="468"/>
      <c r="W603" s="468"/>
      <c r="X603" s="468"/>
      <c r="Y603" s="468"/>
      <c r="Z603" s="468"/>
    </row>
    <row r="604" spans="1:26" ht="18" customHeight="1" x14ac:dyDescent="0.35">
      <c r="A604" s="468"/>
      <c r="B604" s="468"/>
      <c r="C604" s="468"/>
      <c r="D604" s="468"/>
      <c r="E604" s="468"/>
      <c r="F604" s="468"/>
      <c r="G604" s="468"/>
      <c r="H604" s="468"/>
      <c r="I604" s="468"/>
      <c r="J604" s="468"/>
      <c r="K604" s="468"/>
      <c r="L604" s="468"/>
      <c r="M604" s="468"/>
      <c r="N604" s="468"/>
      <c r="O604" s="468"/>
      <c r="P604" s="468"/>
      <c r="Q604" s="468"/>
      <c r="R604" s="468"/>
      <c r="S604" s="468"/>
      <c r="T604" s="468"/>
      <c r="U604" s="468"/>
      <c r="V604" s="468"/>
      <c r="W604" s="468"/>
      <c r="X604" s="468"/>
      <c r="Y604" s="468"/>
      <c r="Z604" s="468"/>
    </row>
    <row r="605" spans="1:26" ht="18" customHeight="1" x14ac:dyDescent="0.35">
      <c r="A605" s="468"/>
      <c r="B605" s="468"/>
      <c r="C605" s="468"/>
      <c r="D605" s="468"/>
      <c r="E605" s="468"/>
      <c r="F605" s="468"/>
      <c r="G605" s="468"/>
      <c r="H605" s="468"/>
      <c r="I605" s="468"/>
      <c r="J605" s="468"/>
      <c r="K605" s="468"/>
      <c r="L605" s="468"/>
      <c r="M605" s="468"/>
      <c r="N605" s="468"/>
      <c r="O605" s="468"/>
      <c r="P605" s="468"/>
      <c r="Q605" s="468"/>
      <c r="R605" s="468"/>
      <c r="S605" s="468"/>
      <c r="T605" s="468"/>
      <c r="U605" s="468"/>
      <c r="V605" s="468"/>
      <c r="W605" s="468"/>
      <c r="X605" s="468"/>
      <c r="Y605" s="468"/>
      <c r="Z605" s="468"/>
    </row>
    <row r="606" spans="1:26" ht="18" customHeight="1" x14ac:dyDescent="0.35">
      <c r="A606" s="468"/>
      <c r="B606" s="468"/>
      <c r="C606" s="468"/>
      <c r="D606" s="468"/>
      <c r="E606" s="468"/>
      <c r="F606" s="468"/>
      <c r="G606" s="468"/>
      <c r="H606" s="468"/>
      <c r="I606" s="468"/>
      <c r="J606" s="468"/>
      <c r="K606" s="468"/>
      <c r="L606" s="468"/>
      <c r="M606" s="468"/>
      <c r="N606" s="468"/>
      <c r="O606" s="468"/>
      <c r="P606" s="468"/>
      <c r="Q606" s="468"/>
      <c r="R606" s="468"/>
      <c r="S606" s="468"/>
      <c r="T606" s="468"/>
      <c r="U606" s="468"/>
      <c r="V606" s="468"/>
      <c r="W606" s="468"/>
      <c r="X606" s="468"/>
      <c r="Y606" s="468"/>
      <c r="Z606" s="468"/>
    </row>
    <row r="607" spans="1:26" ht="18" customHeight="1" x14ac:dyDescent="0.35">
      <c r="A607" s="468"/>
      <c r="B607" s="468"/>
      <c r="C607" s="468"/>
      <c r="D607" s="468"/>
      <c r="E607" s="468"/>
      <c r="F607" s="468"/>
      <c r="G607" s="468"/>
      <c r="H607" s="468"/>
      <c r="I607" s="468"/>
      <c r="J607" s="468"/>
      <c r="K607" s="468"/>
      <c r="L607" s="468"/>
      <c r="M607" s="468"/>
      <c r="N607" s="468"/>
      <c r="O607" s="468"/>
      <c r="P607" s="468"/>
      <c r="Q607" s="468"/>
      <c r="R607" s="468"/>
      <c r="S607" s="468"/>
      <c r="T607" s="468"/>
      <c r="U607" s="468"/>
      <c r="V607" s="468"/>
      <c r="W607" s="468"/>
      <c r="X607" s="468"/>
      <c r="Y607" s="468"/>
      <c r="Z607" s="468"/>
    </row>
    <row r="608" spans="1:26" ht="18" customHeight="1" x14ac:dyDescent="0.35">
      <c r="A608" s="468"/>
      <c r="B608" s="468"/>
      <c r="C608" s="468"/>
      <c r="D608" s="468"/>
      <c r="E608" s="468"/>
      <c r="F608" s="468"/>
      <c r="G608" s="468"/>
      <c r="H608" s="468"/>
      <c r="I608" s="468"/>
      <c r="J608" s="468"/>
      <c r="K608" s="468"/>
      <c r="L608" s="468"/>
      <c r="M608" s="468"/>
      <c r="N608" s="468"/>
      <c r="O608" s="468"/>
      <c r="P608" s="468"/>
      <c r="Q608" s="468"/>
      <c r="R608" s="468"/>
      <c r="S608" s="468"/>
      <c r="T608" s="468"/>
      <c r="U608" s="468"/>
      <c r="V608" s="468"/>
      <c r="W608" s="468"/>
      <c r="X608" s="468"/>
      <c r="Y608" s="468"/>
      <c r="Z608" s="468"/>
    </row>
    <row r="609" spans="1:26" ht="18" customHeight="1" x14ac:dyDescent="0.35">
      <c r="A609" s="468"/>
      <c r="B609" s="468"/>
      <c r="C609" s="468"/>
      <c r="D609" s="468"/>
      <c r="E609" s="468"/>
      <c r="F609" s="468"/>
      <c r="G609" s="468"/>
      <c r="H609" s="468"/>
      <c r="I609" s="468"/>
      <c r="J609" s="468"/>
      <c r="K609" s="468"/>
      <c r="L609" s="468"/>
      <c r="M609" s="468"/>
      <c r="N609" s="468"/>
      <c r="O609" s="468"/>
      <c r="P609" s="468"/>
      <c r="Q609" s="468"/>
      <c r="R609" s="468"/>
      <c r="S609" s="468"/>
      <c r="T609" s="468"/>
      <c r="U609" s="468"/>
      <c r="V609" s="468"/>
      <c r="W609" s="468"/>
      <c r="X609" s="468"/>
      <c r="Y609" s="468"/>
      <c r="Z609" s="468"/>
    </row>
    <row r="610" spans="1:26" ht="18" customHeight="1" x14ac:dyDescent="0.35">
      <c r="A610" s="468"/>
      <c r="B610" s="468"/>
      <c r="C610" s="468"/>
      <c r="D610" s="468"/>
      <c r="E610" s="468"/>
      <c r="F610" s="468"/>
      <c r="G610" s="468"/>
      <c r="H610" s="468"/>
      <c r="I610" s="468"/>
      <c r="J610" s="468"/>
      <c r="K610" s="468"/>
      <c r="L610" s="468"/>
      <c r="M610" s="468"/>
      <c r="N610" s="468"/>
      <c r="O610" s="468"/>
      <c r="P610" s="468"/>
      <c r="Q610" s="468"/>
      <c r="R610" s="468"/>
      <c r="S610" s="468"/>
      <c r="T610" s="468"/>
      <c r="U610" s="468"/>
      <c r="V610" s="468"/>
      <c r="W610" s="468"/>
      <c r="X610" s="468"/>
      <c r="Y610" s="468"/>
      <c r="Z610" s="468"/>
    </row>
    <row r="611" spans="1:26" ht="18" customHeight="1" x14ac:dyDescent="0.35">
      <c r="A611" s="468"/>
      <c r="B611" s="468"/>
      <c r="C611" s="468"/>
      <c r="D611" s="468"/>
      <c r="E611" s="468"/>
      <c r="F611" s="468"/>
      <c r="G611" s="468"/>
      <c r="H611" s="468"/>
      <c r="I611" s="468"/>
      <c r="J611" s="468"/>
      <c r="K611" s="468"/>
      <c r="L611" s="468"/>
      <c r="M611" s="468"/>
      <c r="N611" s="468"/>
      <c r="O611" s="468"/>
      <c r="P611" s="468"/>
      <c r="Q611" s="468"/>
      <c r="R611" s="468"/>
      <c r="S611" s="468"/>
      <c r="T611" s="468"/>
      <c r="U611" s="468"/>
      <c r="V611" s="468"/>
      <c r="W611" s="468"/>
      <c r="X611" s="468"/>
      <c r="Y611" s="468"/>
      <c r="Z611" s="468"/>
    </row>
    <row r="612" spans="1:26" ht="18" customHeight="1" x14ac:dyDescent="0.35">
      <c r="A612" s="468"/>
      <c r="B612" s="468"/>
      <c r="C612" s="468"/>
      <c r="D612" s="468"/>
      <c r="E612" s="468"/>
      <c r="F612" s="468"/>
      <c r="G612" s="468"/>
      <c r="H612" s="468"/>
      <c r="I612" s="468"/>
      <c r="J612" s="468"/>
      <c r="K612" s="468"/>
      <c r="L612" s="468"/>
      <c r="M612" s="468"/>
      <c r="N612" s="468"/>
      <c r="O612" s="468"/>
      <c r="P612" s="468"/>
      <c r="Q612" s="468"/>
      <c r="R612" s="468"/>
      <c r="S612" s="468"/>
      <c r="T612" s="468"/>
      <c r="U612" s="468"/>
      <c r="V612" s="468"/>
      <c r="W612" s="468"/>
      <c r="X612" s="468"/>
      <c r="Y612" s="468"/>
      <c r="Z612" s="468"/>
    </row>
    <row r="613" spans="1:26" ht="18" customHeight="1" x14ac:dyDescent="0.35">
      <c r="A613" s="468"/>
      <c r="B613" s="468"/>
      <c r="C613" s="468"/>
      <c r="D613" s="468"/>
      <c r="E613" s="468"/>
      <c r="F613" s="468"/>
      <c r="G613" s="468"/>
      <c r="H613" s="468"/>
      <c r="I613" s="468"/>
      <c r="J613" s="468"/>
      <c r="K613" s="468"/>
      <c r="L613" s="468"/>
      <c r="M613" s="468"/>
      <c r="N613" s="468"/>
      <c r="O613" s="468"/>
      <c r="P613" s="468"/>
      <c r="Q613" s="468"/>
      <c r="R613" s="468"/>
      <c r="S613" s="468"/>
      <c r="T613" s="468"/>
      <c r="U613" s="468"/>
      <c r="V613" s="468"/>
      <c r="W613" s="468"/>
      <c r="X613" s="468"/>
      <c r="Y613" s="468"/>
      <c r="Z613" s="468"/>
    </row>
    <row r="614" spans="1:26" ht="18" customHeight="1" x14ac:dyDescent="0.35">
      <c r="A614" s="468"/>
      <c r="B614" s="468"/>
      <c r="C614" s="468"/>
      <c r="D614" s="468"/>
      <c r="E614" s="468"/>
      <c r="F614" s="468"/>
      <c r="G614" s="468"/>
      <c r="H614" s="468"/>
      <c r="I614" s="468"/>
      <c r="J614" s="468"/>
      <c r="K614" s="468"/>
      <c r="L614" s="468"/>
      <c r="M614" s="468"/>
      <c r="N614" s="468"/>
      <c r="O614" s="468"/>
      <c r="P614" s="468"/>
      <c r="Q614" s="468"/>
      <c r="R614" s="468"/>
      <c r="S614" s="468"/>
      <c r="T614" s="468"/>
      <c r="U614" s="468"/>
      <c r="V614" s="468"/>
      <c r="W614" s="468"/>
      <c r="X614" s="468"/>
      <c r="Y614" s="468"/>
      <c r="Z614" s="468"/>
    </row>
    <row r="615" spans="1:26" ht="18" customHeight="1" x14ac:dyDescent="0.35">
      <c r="A615" s="468"/>
      <c r="B615" s="468"/>
      <c r="C615" s="468"/>
      <c r="D615" s="468"/>
      <c r="E615" s="468"/>
      <c r="F615" s="468"/>
      <c r="G615" s="468"/>
      <c r="H615" s="468"/>
      <c r="I615" s="468"/>
      <c r="J615" s="468"/>
      <c r="K615" s="468"/>
      <c r="L615" s="468"/>
      <c r="M615" s="468"/>
      <c r="N615" s="468"/>
      <c r="O615" s="468"/>
      <c r="P615" s="468"/>
      <c r="Q615" s="468"/>
      <c r="R615" s="468"/>
      <c r="S615" s="468"/>
      <c r="T615" s="468"/>
      <c r="U615" s="468"/>
      <c r="V615" s="468"/>
      <c r="W615" s="468"/>
      <c r="X615" s="468"/>
      <c r="Y615" s="468"/>
      <c r="Z615" s="468"/>
    </row>
    <row r="616" spans="1:26" ht="18" customHeight="1" x14ac:dyDescent="0.35">
      <c r="A616" s="468"/>
      <c r="B616" s="468"/>
      <c r="C616" s="468"/>
      <c r="D616" s="468"/>
      <c r="E616" s="468"/>
      <c r="F616" s="468"/>
      <c r="G616" s="468"/>
      <c r="H616" s="468"/>
      <c r="I616" s="468"/>
      <c r="J616" s="468"/>
      <c r="K616" s="468"/>
      <c r="L616" s="468"/>
      <c r="M616" s="468"/>
      <c r="N616" s="468"/>
      <c r="O616" s="468"/>
      <c r="P616" s="468"/>
      <c r="Q616" s="468"/>
      <c r="R616" s="468"/>
      <c r="S616" s="468"/>
      <c r="T616" s="468"/>
      <c r="U616" s="468"/>
      <c r="V616" s="468"/>
      <c r="W616" s="468"/>
      <c r="X616" s="468"/>
      <c r="Y616" s="468"/>
      <c r="Z616" s="468"/>
    </row>
    <row r="617" spans="1:26" ht="18" customHeight="1" x14ac:dyDescent="0.35">
      <c r="A617" s="468"/>
      <c r="B617" s="468"/>
      <c r="C617" s="468"/>
      <c r="D617" s="468"/>
      <c r="E617" s="468"/>
      <c r="F617" s="468"/>
      <c r="G617" s="468"/>
      <c r="H617" s="468"/>
      <c r="I617" s="468"/>
      <c r="J617" s="468"/>
      <c r="K617" s="468"/>
      <c r="L617" s="468"/>
      <c r="M617" s="468"/>
      <c r="N617" s="468"/>
      <c r="O617" s="468"/>
      <c r="P617" s="468"/>
      <c r="Q617" s="468"/>
      <c r="R617" s="468"/>
      <c r="S617" s="468"/>
      <c r="T617" s="468"/>
      <c r="U617" s="468"/>
      <c r="V617" s="468"/>
      <c r="W617" s="468"/>
      <c r="X617" s="468"/>
      <c r="Y617" s="468"/>
      <c r="Z617" s="468"/>
    </row>
    <row r="618" spans="1:26" ht="18" customHeight="1" x14ac:dyDescent="0.35">
      <c r="A618" s="468"/>
      <c r="B618" s="468"/>
      <c r="C618" s="468"/>
      <c r="D618" s="468"/>
      <c r="E618" s="468"/>
      <c r="F618" s="468"/>
      <c r="G618" s="468"/>
      <c r="H618" s="468"/>
      <c r="I618" s="468"/>
      <c r="J618" s="468"/>
      <c r="K618" s="468"/>
      <c r="L618" s="468"/>
      <c r="M618" s="468"/>
      <c r="N618" s="468"/>
      <c r="O618" s="468"/>
      <c r="P618" s="468"/>
      <c r="Q618" s="468"/>
      <c r="R618" s="468"/>
      <c r="S618" s="468"/>
      <c r="T618" s="468"/>
      <c r="U618" s="468"/>
      <c r="V618" s="468"/>
      <c r="W618" s="468"/>
      <c r="X618" s="468"/>
      <c r="Y618" s="468"/>
      <c r="Z618" s="468"/>
    </row>
    <row r="619" spans="1:26" ht="18" customHeight="1" x14ac:dyDescent="0.35">
      <c r="A619" s="468"/>
      <c r="B619" s="468"/>
      <c r="C619" s="468"/>
      <c r="D619" s="468"/>
      <c r="E619" s="468"/>
      <c r="F619" s="468"/>
      <c r="G619" s="468"/>
      <c r="H619" s="468"/>
      <c r="I619" s="468"/>
      <c r="J619" s="468"/>
      <c r="K619" s="468"/>
      <c r="L619" s="468"/>
      <c r="M619" s="468"/>
      <c r="N619" s="468"/>
      <c r="O619" s="468"/>
      <c r="P619" s="468"/>
      <c r="Q619" s="468"/>
      <c r="R619" s="468"/>
      <c r="S619" s="468"/>
      <c r="T619" s="468"/>
      <c r="U619" s="468"/>
      <c r="V619" s="468"/>
      <c r="W619" s="468"/>
      <c r="X619" s="468"/>
      <c r="Y619" s="468"/>
      <c r="Z619" s="468"/>
    </row>
    <row r="620" spans="1:26" ht="18" customHeight="1" x14ac:dyDescent="0.35">
      <c r="A620" s="468"/>
      <c r="B620" s="468"/>
      <c r="C620" s="468"/>
      <c r="D620" s="468"/>
      <c r="E620" s="468"/>
      <c r="F620" s="468"/>
      <c r="G620" s="468"/>
      <c r="H620" s="468"/>
      <c r="I620" s="468"/>
      <c r="J620" s="468"/>
      <c r="K620" s="468"/>
      <c r="L620" s="468"/>
      <c r="M620" s="468"/>
      <c r="N620" s="468"/>
      <c r="O620" s="468"/>
      <c r="P620" s="468"/>
      <c r="Q620" s="468"/>
      <c r="R620" s="468"/>
      <c r="S620" s="468"/>
      <c r="T620" s="468"/>
      <c r="U620" s="468"/>
      <c r="V620" s="468"/>
      <c r="W620" s="468"/>
      <c r="X620" s="468"/>
      <c r="Y620" s="468"/>
      <c r="Z620" s="468"/>
    </row>
    <row r="621" spans="1:26" ht="18" customHeight="1" x14ac:dyDescent="0.35">
      <c r="A621" s="468"/>
      <c r="B621" s="468"/>
      <c r="C621" s="468"/>
      <c r="D621" s="468"/>
      <c r="E621" s="468"/>
      <c r="F621" s="468"/>
      <c r="G621" s="468"/>
      <c r="H621" s="468"/>
      <c r="I621" s="468"/>
      <c r="J621" s="468"/>
      <c r="K621" s="468"/>
      <c r="L621" s="468"/>
      <c r="M621" s="468"/>
      <c r="N621" s="468"/>
      <c r="O621" s="468"/>
      <c r="P621" s="468"/>
      <c r="Q621" s="468"/>
      <c r="R621" s="468"/>
      <c r="S621" s="468"/>
      <c r="T621" s="468"/>
      <c r="U621" s="468"/>
      <c r="V621" s="468"/>
      <c r="W621" s="468"/>
      <c r="X621" s="468"/>
      <c r="Y621" s="468"/>
      <c r="Z621" s="468"/>
    </row>
    <row r="622" spans="1:26" ht="18" customHeight="1" x14ac:dyDescent="0.35">
      <c r="A622" s="468"/>
      <c r="B622" s="468"/>
      <c r="C622" s="468"/>
      <c r="D622" s="468"/>
      <c r="E622" s="468"/>
      <c r="F622" s="468"/>
      <c r="G622" s="468"/>
      <c r="H622" s="468"/>
      <c r="I622" s="468"/>
      <c r="J622" s="468"/>
      <c r="K622" s="468"/>
      <c r="L622" s="468"/>
      <c r="M622" s="468"/>
      <c r="N622" s="468"/>
      <c r="O622" s="468"/>
      <c r="P622" s="468"/>
      <c r="Q622" s="468"/>
      <c r="R622" s="468"/>
      <c r="S622" s="468"/>
      <c r="T622" s="468"/>
      <c r="U622" s="468"/>
      <c r="V622" s="468"/>
      <c r="W622" s="468"/>
      <c r="X622" s="468"/>
      <c r="Y622" s="468"/>
      <c r="Z622" s="468"/>
    </row>
    <row r="623" spans="1:26" ht="18" customHeight="1" x14ac:dyDescent="0.35">
      <c r="A623" s="468"/>
      <c r="B623" s="468"/>
      <c r="C623" s="468"/>
      <c r="D623" s="468"/>
      <c r="E623" s="468"/>
      <c r="F623" s="468"/>
      <c r="G623" s="468"/>
      <c r="H623" s="468"/>
      <c r="I623" s="468"/>
      <c r="J623" s="468"/>
      <c r="K623" s="468"/>
      <c r="L623" s="468"/>
      <c r="M623" s="468"/>
      <c r="N623" s="468"/>
      <c r="O623" s="468"/>
      <c r="P623" s="468"/>
      <c r="Q623" s="468"/>
      <c r="R623" s="468"/>
      <c r="S623" s="468"/>
      <c r="T623" s="468"/>
      <c r="U623" s="468"/>
      <c r="V623" s="468"/>
      <c r="W623" s="468"/>
      <c r="X623" s="468"/>
      <c r="Y623" s="468"/>
      <c r="Z623" s="468"/>
    </row>
    <row r="624" spans="1:26" ht="18" customHeight="1" x14ac:dyDescent="0.35">
      <c r="A624" s="468"/>
      <c r="B624" s="468"/>
      <c r="C624" s="468"/>
      <c r="D624" s="468"/>
      <c r="E624" s="468"/>
      <c r="F624" s="468"/>
      <c r="G624" s="468"/>
      <c r="H624" s="468"/>
      <c r="I624" s="468"/>
      <c r="J624" s="468"/>
      <c r="K624" s="468"/>
      <c r="L624" s="468"/>
      <c r="M624" s="468"/>
      <c r="N624" s="468"/>
      <c r="O624" s="468"/>
      <c r="P624" s="468"/>
      <c r="Q624" s="468"/>
      <c r="R624" s="468"/>
      <c r="S624" s="468"/>
      <c r="T624" s="468"/>
      <c r="U624" s="468"/>
      <c r="V624" s="468"/>
      <c r="W624" s="468"/>
      <c r="X624" s="468"/>
      <c r="Y624" s="468"/>
      <c r="Z624" s="468"/>
    </row>
    <row r="625" spans="1:26" ht="18" customHeight="1" x14ac:dyDescent="0.35">
      <c r="A625" s="468"/>
      <c r="B625" s="468"/>
      <c r="C625" s="468"/>
      <c r="D625" s="468"/>
      <c r="E625" s="468"/>
      <c r="F625" s="468"/>
      <c r="G625" s="468"/>
      <c r="H625" s="468"/>
      <c r="I625" s="468"/>
      <c r="J625" s="468"/>
      <c r="K625" s="468"/>
      <c r="L625" s="468"/>
      <c r="M625" s="468"/>
      <c r="N625" s="468"/>
      <c r="O625" s="468"/>
      <c r="P625" s="468"/>
      <c r="Q625" s="468"/>
      <c r="R625" s="468"/>
      <c r="S625" s="468"/>
      <c r="T625" s="468"/>
      <c r="U625" s="468"/>
      <c r="V625" s="468"/>
      <c r="W625" s="468"/>
      <c r="X625" s="468"/>
      <c r="Y625" s="468"/>
      <c r="Z625" s="468"/>
    </row>
    <row r="626" spans="1:26" ht="18" customHeight="1" x14ac:dyDescent="0.35">
      <c r="A626" s="468"/>
      <c r="B626" s="468"/>
      <c r="C626" s="468"/>
      <c r="D626" s="468"/>
      <c r="E626" s="468"/>
      <c r="F626" s="468"/>
      <c r="G626" s="468"/>
      <c r="H626" s="468"/>
      <c r="I626" s="468"/>
      <c r="J626" s="468"/>
      <c r="K626" s="468"/>
      <c r="L626" s="468"/>
      <c r="M626" s="468"/>
      <c r="N626" s="468"/>
      <c r="O626" s="468"/>
      <c r="P626" s="468"/>
      <c r="Q626" s="468"/>
      <c r="R626" s="468"/>
      <c r="S626" s="468"/>
      <c r="T626" s="468"/>
      <c r="U626" s="468"/>
      <c r="V626" s="468"/>
      <c r="W626" s="468"/>
      <c r="X626" s="468"/>
      <c r="Y626" s="468"/>
      <c r="Z626" s="468"/>
    </row>
    <row r="627" spans="1:26" ht="18" customHeight="1" x14ac:dyDescent="0.35">
      <c r="A627" s="468"/>
      <c r="B627" s="468"/>
      <c r="C627" s="468"/>
      <c r="D627" s="468"/>
      <c r="E627" s="468"/>
      <c r="F627" s="468"/>
      <c r="G627" s="468"/>
      <c r="H627" s="468"/>
      <c r="I627" s="468"/>
      <c r="J627" s="468"/>
      <c r="K627" s="468"/>
      <c r="L627" s="468"/>
      <c r="M627" s="468"/>
      <c r="N627" s="468"/>
      <c r="O627" s="468"/>
      <c r="P627" s="468"/>
      <c r="Q627" s="468"/>
      <c r="R627" s="468"/>
      <c r="S627" s="468"/>
      <c r="T627" s="468"/>
      <c r="U627" s="468"/>
      <c r="V627" s="468"/>
      <c r="W627" s="468"/>
      <c r="X627" s="468"/>
      <c r="Y627" s="468"/>
      <c r="Z627" s="468"/>
    </row>
    <row r="628" spans="1:26" ht="18" customHeight="1" x14ac:dyDescent="0.35">
      <c r="A628" s="468"/>
      <c r="B628" s="468"/>
      <c r="C628" s="468"/>
      <c r="D628" s="468"/>
      <c r="E628" s="468"/>
      <c r="F628" s="468"/>
      <c r="G628" s="468"/>
      <c r="H628" s="468"/>
      <c r="I628" s="468"/>
      <c r="J628" s="468"/>
      <c r="K628" s="468"/>
      <c r="L628" s="468"/>
      <c r="M628" s="468"/>
      <c r="N628" s="468"/>
      <c r="O628" s="468"/>
      <c r="P628" s="468"/>
      <c r="Q628" s="468"/>
      <c r="R628" s="468"/>
      <c r="S628" s="468"/>
      <c r="T628" s="468"/>
      <c r="U628" s="468"/>
      <c r="V628" s="468"/>
      <c r="W628" s="468"/>
      <c r="X628" s="468"/>
      <c r="Y628" s="468"/>
      <c r="Z628" s="468"/>
    </row>
    <row r="629" spans="1:26" ht="18" customHeight="1" x14ac:dyDescent="0.35">
      <c r="A629" s="468"/>
      <c r="B629" s="468"/>
      <c r="C629" s="468"/>
      <c r="D629" s="468"/>
      <c r="E629" s="468"/>
      <c r="F629" s="468"/>
      <c r="G629" s="468"/>
      <c r="H629" s="468"/>
      <c r="I629" s="468"/>
      <c r="J629" s="468"/>
      <c r="K629" s="468"/>
      <c r="L629" s="468"/>
      <c r="M629" s="468"/>
      <c r="N629" s="468"/>
      <c r="O629" s="468"/>
      <c r="P629" s="468"/>
      <c r="Q629" s="468"/>
      <c r="R629" s="468"/>
      <c r="S629" s="468"/>
      <c r="T629" s="468"/>
      <c r="U629" s="468"/>
      <c r="V629" s="468"/>
      <c r="W629" s="468"/>
      <c r="X629" s="468"/>
      <c r="Y629" s="468"/>
      <c r="Z629" s="468"/>
    </row>
    <row r="630" spans="1:26" ht="18" customHeight="1" x14ac:dyDescent="0.35">
      <c r="A630" s="468"/>
      <c r="B630" s="468"/>
      <c r="C630" s="468"/>
      <c r="D630" s="468"/>
      <c r="E630" s="468"/>
      <c r="F630" s="468"/>
      <c r="G630" s="468"/>
      <c r="H630" s="468"/>
      <c r="I630" s="468"/>
      <c r="J630" s="468"/>
      <c r="K630" s="468"/>
      <c r="L630" s="468"/>
      <c r="M630" s="468"/>
      <c r="N630" s="468"/>
      <c r="O630" s="468"/>
      <c r="P630" s="468"/>
      <c r="Q630" s="468"/>
      <c r="R630" s="468"/>
      <c r="S630" s="468"/>
      <c r="T630" s="468"/>
      <c r="U630" s="468"/>
      <c r="V630" s="468"/>
      <c r="W630" s="468"/>
      <c r="X630" s="468"/>
      <c r="Y630" s="468"/>
      <c r="Z630" s="468"/>
    </row>
    <row r="631" spans="1:26" ht="18" customHeight="1" x14ac:dyDescent="0.35">
      <c r="A631" s="468"/>
      <c r="B631" s="468"/>
      <c r="C631" s="468"/>
      <c r="D631" s="468"/>
      <c r="E631" s="468"/>
      <c r="F631" s="468"/>
      <c r="G631" s="468"/>
      <c r="H631" s="468"/>
      <c r="I631" s="468"/>
      <c r="J631" s="468"/>
      <c r="K631" s="468"/>
      <c r="L631" s="468"/>
      <c r="M631" s="468"/>
      <c r="N631" s="468"/>
      <c r="O631" s="468"/>
      <c r="P631" s="468"/>
      <c r="Q631" s="468"/>
      <c r="R631" s="468"/>
      <c r="S631" s="468"/>
      <c r="T631" s="468"/>
      <c r="U631" s="468"/>
      <c r="V631" s="468"/>
      <c r="W631" s="468"/>
      <c r="X631" s="468"/>
      <c r="Y631" s="468"/>
      <c r="Z631" s="468"/>
    </row>
    <row r="632" spans="1:26" ht="18" customHeight="1" x14ac:dyDescent="0.35">
      <c r="A632" s="468"/>
      <c r="B632" s="468"/>
      <c r="C632" s="468"/>
      <c r="D632" s="468"/>
      <c r="E632" s="468"/>
      <c r="F632" s="468"/>
      <c r="G632" s="468"/>
      <c r="H632" s="468"/>
      <c r="I632" s="468"/>
      <c r="J632" s="468"/>
      <c r="K632" s="468"/>
      <c r="L632" s="468"/>
      <c r="M632" s="468"/>
      <c r="N632" s="468"/>
      <c r="O632" s="468"/>
      <c r="P632" s="468"/>
      <c r="Q632" s="468"/>
      <c r="R632" s="468"/>
      <c r="S632" s="468"/>
      <c r="T632" s="468"/>
      <c r="U632" s="468"/>
      <c r="V632" s="468"/>
      <c r="W632" s="468"/>
      <c r="X632" s="468"/>
      <c r="Y632" s="468"/>
      <c r="Z632" s="468"/>
    </row>
    <row r="633" spans="1:26" ht="18" customHeight="1" x14ac:dyDescent="0.35">
      <c r="A633" s="468"/>
      <c r="B633" s="468"/>
      <c r="C633" s="468"/>
      <c r="D633" s="468"/>
      <c r="E633" s="468"/>
      <c r="F633" s="468"/>
      <c r="G633" s="468"/>
      <c r="H633" s="468"/>
      <c r="I633" s="468"/>
      <c r="J633" s="468"/>
      <c r="K633" s="468"/>
      <c r="L633" s="468"/>
      <c r="M633" s="468"/>
      <c r="N633" s="468"/>
      <c r="O633" s="468"/>
      <c r="P633" s="468"/>
      <c r="Q633" s="468"/>
      <c r="R633" s="468"/>
      <c r="S633" s="468"/>
      <c r="T633" s="468"/>
      <c r="U633" s="468"/>
      <c r="V633" s="468"/>
      <c r="W633" s="468"/>
      <c r="X633" s="468"/>
      <c r="Y633" s="468"/>
      <c r="Z633" s="468"/>
    </row>
    <row r="634" spans="1:26" ht="18" customHeight="1" x14ac:dyDescent="0.35">
      <c r="A634" s="468"/>
      <c r="B634" s="468"/>
      <c r="C634" s="468"/>
      <c r="D634" s="468"/>
      <c r="E634" s="468"/>
      <c r="F634" s="468"/>
      <c r="G634" s="468"/>
      <c r="H634" s="468"/>
      <c r="I634" s="468"/>
      <c r="J634" s="468"/>
      <c r="K634" s="468"/>
      <c r="L634" s="468"/>
      <c r="M634" s="468"/>
      <c r="N634" s="468"/>
      <c r="O634" s="468"/>
      <c r="P634" s="468"/>
      <c r="Q634" s="468"/>
      <c r="R634" s="468"/>
      <c r="S634" s="468"/>
      <c r="T634" s="468"/>
      <c r="U634" s="468"/>
      <c r="V634" s="468"/>
      <c r="W634" s="468"/>
      <c r="X634" s="468"/>
      <c r="Y634" s="468"/>
      <c r="Z634" s="468"/>
    </row>
    <row r="635" spans="1:26" ht="18" customHeight="1" x14ac:dyDescent="0.35">
      <c r="A635" s="468"/>
      <c r="B635" s="468"/>
      <c r="C635" s="468"/>
      <c r="D635" s="468"/>
      <c r="E635" s="468"/>
      <c r="F635" s="468"/>
      <c r="G635" s="468"/>
      <c r="H635" s="468"/>
      <c r="I635" s="468"/>
      <c r="J635" s="468"/>
      <c r="K635" s="468"/>
      <c r="L635" s="468"/>
      <c r="M635" s="468"/>
      <c r="N635" s="468"/>
      <c r="O635" s="468"/>
      <c r="P635" s="468"/>
      <c r="Q635" s="468"/>
      <c r="R635" s="468"/>
      <c r="S635" s="468"/>
      <c r="T635" s="468"/>
      <c r="U635" s="468"/>
      <c r="V635" s="468"/>
      <c r="W635" s="468"/>
      <c r="X635" s="468"/>
      <c r="Y635" s="468"/>
      <c r="Z635" s="468"/>
    </row>
    <row r="636" spans="1:26" ht="18" customHeight="1" x14ac:dyDescent="0.35">
      <c r="A636" s="468"/>
      <c r="B636" s="468"/>
      <c r="C636" s="468"/>
      <c r="D636" s="468"/>
      <c r="E636" s="468"/>
      <c r="F636" s="468"/>
      <c r="G636" s="468"/>
      <c r="H636" s="468"/>
      <c r="I636" s="468"/>
      <c r="J636" s="468"/>
      <c r="K636" s="468"/>
      <c r="L636" s="468"/>
      <c r="M636" s="468"/>
      <c r="N636" s="468"/>
      <c r="O636" s="468"/>
      <c r="P636" s="468"/>
      <c r="Q636" s="468"/>
      <c r="R636" s="468"/>
      <c r="S636" s="468"/>
      <c r="T636" s="468"/>
      <c r="U636" s="468"/>
      <c r="V636" s="468"/>
      <c r="W636" s="468"/>
      <c r="X636" s="468"/>
      <c r="Y636" s="468"/>
      <c r="Z636" s="468"/>
    </row>
    <row r="637" spans="1:26" ht="18" customHeight="1" x14ac:dyDescent="0.35">
      <c r="A637" s="468"/>
      <c r="B637" s="468"/>
      <c r="C637" s="468"/>
      <c r="D637" s="468"/>
      <c r="E637" s="468"/>
      <c r="F637" s="468"/>
      <c r="G637" s="468"/>
      <c r="H637" s="468"/>
      <c r="I637" s="468"/>
      <c r="J637" s="468"/>
      <c r="K637" s="468"/>
      <c r="L637" s="468"/>
      <c r="M637" s="468"/>
      <c r="N637" s="468"/>
      <c r="O637" s="468"/>
      <c r="P637" s="468"/>
      <c r="Q637" s="468"/>
      <c r="R637" s="468"/>
      <c r="S637" s="468"/>
      <c r="T637" s="468"/>
      <c r="U637" s="468"/>
      <c r="V637" s="468"/>
      <c r="W637" s="468"/>
      <c r="X637" s="468"/>
      <c r="Y637" s="468"/>
      <c r="Z637" s="468"/>
    </row>
    <row r="638" spans="1:26" ht="18" customHeight="1" x14ac:dyDescent="0.35">
      <c r="A638" s="468"/>
      <c r="B638" s="468"/>
      <c r="C638" s="468"/>
      <c r="D638" s="468"/>
      <c r="E638" s="468"/>
      <c r="F638" s="468"/>
      <c r="G638" s="468"/>
      <c r="H638" s="468"/>
      <c r="I638" s="468"/>
      <c r="J638" s="468"/>
      <c r="K638" s="468"/>
      <c r="L638" s="468"/>
      <c r="M638" s="468"/>
      <c r="N638" s="468"/>
      <c r="O638" s="468"/>
      <c r="P638" s="468"/>
      <c r="Q638" s="468"/>
      <c r="R638" s="468"/>
      <c r="S638" s="468"/>
      <c r="T638" s="468"/>
      <c r="U638" s="468"/>
      <c r="V638" s="468"/>
      <c r="W638" s="468"/>
      <c r="X638" s="468"/>
      <c r="Y638" s="468"/>
      <c r="Z638" s="468"/>
    </row>
    <row r="639" spans="1:26" ht="18" customHeight="1" x14ac:dyDescent="0.35">
      <c r="A639" s="468"/>
      <c r="B639" s="468"/>
      <c r="C639" s="468"/>
      <c r="D639" s="468"/>
      <c r="E639" s="468"/>
      <c r="F639" s="468"/>
      <c r="G639" s="468"/>
      <c r="H639" s="468"/>
      <c r="I639" s="468"/>
      <c r="J639" s="468"/>
      <c r="K639" s="468"/>
      <c r="L639" s="468"/>
      <c r="M639" s="468"/>
      <c r="N639" s="468"/>
      <c r="O639" s="468"/>
      <c r="P639" s="468"/>
      <c r="Q639" s="468"/>
      <c r="R639" s="468"/>
      <c r="S639" s="468"/>
      <c r="T639" s="468"/>
      <c r="U639" s="468"/>
      <c r="V639" s="468"/>
      <c r="W639" s="468"/>
      <c r="X639" s="468"/>
      <c r="Y639" s="468"/>
      <c r="Z639" s="468"/>
    </row>
    <row r="640" spans="1:26" ht="18" customHeight="1" x14ac:dyDescent="0.35">
      <c r="A640" s="468"/>
      <c r="B640" s="468"/>
      <c r="C640" s="468"/>
      <c r="D640" s="468"/>
      <c r="E640" s="468"/>
      <c r="F640" s="468"/>
      <c r="G640" s="468"/>
      <c r="H640" s="468"/>
      <c r="I640" s="468"/>
      <c r="J640" s="468"/>
      <c r="K640" s="468"/>
      <c r="L640" s="468"/>
      <c r="M640" s="468"/>
      <c r="N640" s="468"/>
      <c r="O640" s="468"/>
      <c r="P640" s="468"/>
      <c r="Q640" s="468"/>
      <c r="R640" s="468"/>
      <c r="S640" s="468"/>
      <c r="T640" s="468"/>
      <c r="U640" s="468"/>
      <c r="V640" s="468"/>
      <c r="W640" s="468"/>
      <c r="X640" s="468"/>
      <c r="Y640" s="468"/>
      <c r="Z640" s="468"/>
    </row>
    <row r="641" spans="1:26" ht="18" customHeight="1" x14ac:dyDescent="0.35">
      <c r="A641" s="468"/>
      <c r="B641" s="468"/>
      <c r="C641" s="468"/>
      <c r="D641" s="468"/>
      <c r="E641" s="468"/>
      <c r="F641" s="468"/>
      <c r="G641" s="468"/>
      <c r="H641" s="468"/>
      <c r="I641" s="468"/>
      <c r="J641" s="468"/>
      <c r="K641" s="468"/>
      <c r="L641" s="468"/>
      <c r="M641" s="468"/>
      <c r="N641" s="468"/>
      <c r="O641" s="468"/>
      <c r="P641" s="468"/>
      <c r="Q641" s="468"/>
      <c r="R641" s="468"/>
      <c r="S641" s="468"/>
      <c r="T641" s="468"/>
      <c r="U641" s="468"/>
      <c r="V641" s="468"/>
      <c r="W641" s="468"/>
      <c r="X641" s="468"/>
      <c r="Y641" s="468"/>
      <c r="Z641" s="468"/>
    </row>
    <row r="642" spans="1:26" ht="18" customHeight="1" x14ac:dyDescent="0.35">
      <c r="A642" s="468"/>
      <c r="B642" s="468"/>
      <c r="C642" s="468"/>
      <c r="D642" s="468"/>
      <c r="E642" s="468"/>
      <c r="F642" s="468"/>
      <c r="G642" s="468"/>
      <c r="H642" s="468"/>
      <c r="I642" s="468"/>
      <c r="J642" s="468"/>
      <c r="K642" s="468"/>
      <c r="L642" s="468"/>
      <c r="M642" s="468"/>
      <c r="N642" s="468"/>
      <c r="O642" s="468"/>
      <c r="P642" s="468"/>
      <c r="Q642" s="468"/>
      <c r="R642" s="468"/>
      <c r="S642" s="468"/>
      <c r="T642" s="468"/>
      <c r="U642" s="468"/>
      <c r="V642" s="468"/>
      <c r="W642" s="468"/>
      <c r="X642" s="468"/>
      <c r="Y642" s="468"/>
      <c r="Z642" s="468"/>
    </row>
    <row r="643" spans="1:26" ht="18" customHeight="1" x14ac:dyDescent="0.35">
      <c r="A643" s="468"/>
      <c r="B643" s="468"/>
      <c r="C643" s="468"/>
      <c r="D643" s="468"/>
      <c r="E643" s="468"/>
      <c r="F643" s="468"/>
      <c r="G643" s="468"/>
      <c r="H643" s="468"/>
      <c r="I643" s="468"/>
      <c r="J643" s="468"/>
      <c r="K643" s="468"/>
      <c r="L643" s="468"/>
      <c r="M643" s="468"/>
      <c r="N643" s="468"/>
      <c r="O643" s="468"/>
      <c r="P643" s="468"/>
      <c r="Q643" s="468"/>
      <c r="R643" s="468"/>
      <c r="S643" s="468"/>
      <c r="T643" s="468"/>
      <c r="U643" s="468"/>
      <c r="V643" s="468"/>
      <c r="W643" s="468"/>
      <c r="X643" s="468"/>
      <c r="Y643" s="468"/>
      <c r="Z643" s="468"/>
    </row>
    <row r="644" spans="1:26" ht="18" customHeight="1" x14ac:dyDescent="0.35">
      <c r="A644" s="468"/>
      <c r="B644" s="468"/>
      <c r="C644" s="468"/>
      <c r="D644" s="468"/>
      <c r="E644" s="468"/>
      <c r="F644" s="468"/>
      <c r="G644" s="468"/>
      <c r="H644" s="468"/>
      <c r="I644" s="468"/>
      <c r="J644" s="468"/>
      <c r="K644" s="468"/>
      <c r="L644" s="468"/>
      <c r="M644" s="468"/>
      <c r="N644" s="468"/>
      <c r="O644" s="468"/>
      <c r="P644" s="468"/>
      <c r="Q644" s="468"/>
      <c r="R644" s="468"/>
      <c r="S644" s="468"/>
      <c r="T644" s="468"/>
      <c r="U644" s="468"/>
      <c r="V644" s="468"/>
      <c r="W644" s="468"/>
      <c r="X644" s="468"/>
      <c r="Y644" s="468"/>
      <c r="Z644" s="468"/>
    </row>
    <row r="645" spans="1:26" ht="18" customHeight="1" x14ac:dyDescent="0.35">
      <c r="A645" s="468"/>
      <c r="B645" s="468"/>
      <c r="C645" s="468"/>
      <c r="D645" s="468"/>
      <c r="E645" s="468"/>
      <c r="F645" s="468"/>
      <c r="G645" s="468"/>
      <c r="H645" s="468"/>
      <c r="I645" s="468"/>
      <c r="J645" s="468"/>
      <c r="K645" s="468"/>
      <c r="L645" s="468"/>
      <c r="M645" s="468"/>
      <c r="N645" s="468"/>
      <c r="O645" s="468"/>
      <c r="P645" s="468"/>
      <c r="Q645" s="468"/>
      <c r="R645" s="468"/>
      <c r="S645" s="468"/>
      <c r="T645" s="468"/>
      <c r="U645" s="468"/>
      <c r="V645" s="468"/>
      <c r="W645" s="468"/>
      <c r="X645" s="468"/>
      <c r="Y645" s="468"/>
      <c r="Z645" s="468"/>
    </row>
    <row r="646" spans="1:26" ht="18" customHeight="1" x14ac:dyDescent="0.35">
      <c r="A646" s="468"/>
      <c r="B646" s="468"/>
      <c r="C646" s="468"/>
      <c r="D646" s="468"/>
      <c r="E646" s="468"/>
      <c r="F646" s="468"/>
      <c r="G646" s="468"/>
      <c r="H646" s="468"/>
      <c r="I646" s="468"/>
      <c r="J646" s="468"/>
      <c r="K646" s="468"/>
      <c r="L646" s="468"/>
      <c r="M646" s="468"/>
      <c r="N646" s="468"/>
      <c r="O646" s="468"/>
      <c r="P646" s="468"/>
      <c r="Q646" s="468"/>
      <c r="R646" s="468"/>
      <c r="S646" s="468"/>
      <c r="T646" s="468"/>
      <c r="U646" s="468"/>
      <c r="V646" s="468"/>
      <c r="W646" s="468"/>
      <c r="X646" s="468"/>
      <c r="Y646" s="468"/>
      <c r="Z646" s="468"/>
    </row>
    <row r="647" spans="1:26" ht="18" customHeight="1" x14ac:dyDescent="0.35">
      <c r="A647" s="468"/>
      <c r="B647" s="468"/>
      <c r="C647" s="468"/>
      <c r="D647" s="468"/>
      <c r="E647" s="468"/>
      <c r="F647" s="468"/>
      <c r="G647" s="468"/>
      <c r="H647" s="468"/>
      <c r="I647" s="468"/>
      <c r="J647" s="468"/>
      <c r="K647" s="468"/>
      <c r="L647" s="468"/>
      <c r="M647" s="468"/>
      <c r="N647" s="468"/>
      <c r="O647" s="468"/>
      <c r="P647" s="468"/>
      <c r="Q647" s="468"/>
      <c r="R647" s="468"/>
      <c r="S647" s="468"/>
      <c r="T647" s="468"/>
      <c r="U647" s="468"/>
      <c r="V647" s="468"/>
      <c r="W647" s="468"/>
      <c r="X647" s="468"/>
      <c r="Y647" s="468"/>
      <c r="Z647" s="468"/>
    </row>
    <row r="648" spans="1:26" ht="18" customHeight="1" x14ac:dyDescent="0.35">
      <c r="A648" s="468"/>
      <c r="B648" s="468"/>
      <c r="C648" s="468"/>
      <c r="D648" s="468"/>
      <c r="E648" s="468"/>
      <c r="F648" s="468"/>
      <c r="G648" s="468"/>
      <c r="H648" s="468"/>
      <c r="I648" s="468"/>
      <c r="J648" s="468"/>
      <c r="K648" s="468"/>
      <c r="L648" s="468"/>
      <c r="M648" s="468"/>
      <c r="N648" s="468"/>
      <c r="O648" s="468"/>
      <c r="P648" s="468"/>
      <c r="Q648" s="468"/>
      <c r="R648" s="468"/>
      <c r="S648" s="468"/>
      <c r="T648" s="468"/>
      <c r="U648" s="468"/>
      <c r="V648" s="468"/>
      <c r="W648" s="468"/>
      <c r="X648" s="468"/>
      <c r="Y648" s="468"/>
      <c r="Z648" s="468"/>
    </row>
    <row r="649" spans="1:26" ht="18" customHeight="1" x14ac:dyDescent="0.35">
      <c r="A649" s="468"/>
      <c r="B649" s="468"/>
      <c r="C649" s="468"/>
      <c r="D649" s="468"/>
      <c r="E649" s="468"/>
      <c r="F649" s="468"/>
      <c r="G649" s="468"/>
      <c r="H649" s="468"/>
      <c r="I649" s="468"/>
      <c r="J649" s="468"/>
      <c r="K649" s="468"/>
      <c r="L649" s="468"/>
      <c r="M649" s="468"/>
      <c r="N649" s="468"/>
      <c r="O649" s="468"/>
      <c r="P649" s="468"/>
      <c r="Q649" s="468"/>
      <c r="R649" s="468"/>
      <c r="S649" s="468"/>
      <c r="T649" s="468"/>
      <c r="U649" s="468"/>
      <c r="V649" s="468"/>
      <c r="W649" s="468"/>
      <c r="X649" s="468"/>
      <c r="Y649" s="468"/>
      <c r="Z649" s="468"/>
    </row>
    <row r="650" spans="1:26" ht="18" customHeight="1" x14ac:dyDescent="0.35">
      <c r="A650" s="468"/>
      <c r="B650" s="468"/>
      <c r="C650" s="468"/>
      <c r="D650" s="468"/>
      <c r="E650" s="468"/>
      <c r="F650" s="468"/>
      <c r="G650" s="468"/>
      <c r="H650" s="468"/>
      <c r="I650" s="468"/>
      <c r="J650" s="468"/>
      <c r="K650" s="468"/>
      <c r="L650" s="468"/>
      <c r="M650" s="468"/>
      <c r="N650" s="468"/>
      <c r="O650" s="468"/>
      <c r="P650" s="468"/>
      <c r="Q650" s="468"/>
      <c r="R650" s="468"/>
      <c r="S650" s="468"/>
      <c r="T650" s="468"/>
      <c r="U650" s="468"/>
      <c r="V650" s="468"/>
      <c r="W650" s="468"/>
      <c r="X650" s="468"/>
      <c r="Y650" s="468"/>
      <c r="Z650" s="468"/>
    </row>
    <row r="651" spans="1:26" ht="18" customHeight="1" x14ac:dyDescent="0.35">
      <c r="A651" s="468"/>
      <c r="B651" s="468"/>
      <c r="C651" s="468"/>
      <c r="D651" s="468"/>
      <c r="E651" s="468"/>
      <c r="F651" s="468"/>
      <c r="G651" s="468"/>
      <c r="H651" s="468"/>
      <c r="I651" s="468"/>
      <c r="J651" s="468"/>
      <c r="K651" s="468"/>
      <c r="L651" s="468"/>
      <c r="M651" s="468"/>
      <c r="N651" s="468"/>
      <c r="O651" s="468"/>
      <c r="P651" s="468"/>
      <c r="Q651" s="468"/>
      <c r="R651" s="468"/>
      <c r="S651" s="468"/>
      <c r="T651" s="468"/>
      <c r="U651" s="468"/>
      <c r="V651" s="468"/>
      <c r="W651" s="468"/>
      <c r="X651" s="468"/>
      <c r="Y651" s="468"/>
      <c r="Z651" s="468"/>
    </row>
    <row r="652" spans="1:26" ht="18" customHeight="1" x14ac:dyDescent="0.35">
      <c r="A652" s="468"/>
      <c r="B652" s="468"/>
      <c r="C652" s="468"/>
      <c r="D652" s="468"/>
      <c r="E652" s="468"/>
      <c r="F652" s="468"/>
      <c r="G652" s="468"/>
      <c r="H652" s="468"/>
      <c r="I652" s="468"/>
      <c r="J652" s="468"/>
      <c r="K652" s="468"/>
      <c r="L652" s="468"/>
      <c r="M652" s="468"/>
      <c r="N652" s="468"/>
      <c r="O652" s="468"/>
      <c r="P652" s="468"/>
      <c r="Q652" s="468"/>
      <c r="R652" s="468"/>
      <c r="S652" s="468"/>
      <c r="T652" s="468"/>
      <c r="U652" s="468"/>
      <c r="V652" s="468"/>
      <c r="W652" s="468"/>
      <c r="X652" s="468"/>
      <c r="Y652" s="468"/>
      <c r="Z652" s="468"/>
    </row>
    <row r="653" spans="1:26" ht="18" customHeight="1" x14ac:dyDescent="0.35">
      <c r="A653" s="468"/>
      <c r="B653" s="468"/>
      <c r="C653" s="468"/>
      <c r="D653" s="468"/>
      <c r="E653" s="468"/>
      <c r="F653" s="468"/>
      <c r="G653" s="468"/>
      <c r="H653" s="468"/>
      <c r="I653" s="468"/>
      <c r="J653" s="468"/>
      <c r="K653" s="468"/>
      <c r="L653" s="468"/>
      <c r="M653" s="468"/>
      <c r="N653" s="468"/>
      <c r="O653" s="468"/>
      <c r="P653" s="468"/>
      <c r="Q653" s="468"/>
      <c r="R653" s="468"/>
      <c r="S653" s="468"/>
      <c r="T653" s="468"/>
      <c r="U653" s="468"/>
      <c r="V653" s="468"/>
      <c r="W653" s="468"/>
      <c r="X653" s="468"/>
      <c r="Y653" s="468"/>
      <c r="Z653" s="468"/>
    </row>
    <row r="654" spans="1:26" ht="18" customHeight="1" x14ac:dyDescent="0.35">
      <c r="A654" s="468"/>
      <c r="B654" s="468"/>
      <c r="C654" s="468"/>
      <c r="D654" s="468"/>
      <c r="E654" s="468"/>
      <c r="F654" s="468"/>
      <c r="G654" s="468"/>
      <c r="H654" s="468"/>
      <c r="I654" s="468"/>
      <c r="J654" s="468"/>
      <c r="K654" s="468"/>
      <c r="L654" s="468"/>
      <c r="M654" s="468"/>
      <c r="N654" s="468"/>
      <c r="O654" s="468"/>
      <c r="P654" s="468"/>
      <c r="Q654" s="468"/>
      <c r="R654" s="468"/>
      <c r="S654" s="468"/>
      <c r="T654" s="468"/>
      <c r="U654" s="468"/>
      <c r="V654" s="468"/>
      <c r="W654" s="468"/>
      <c r="X654" s="468"/>
      <c r="Y654" s="468"/>
      <c r="Z654" s="468"/>
    </row>
    <row r="655" spans="1:26" ht="18" customHeight="1" x14ac:dyDescent="0.35">
      <c r="A655" s="468"/>
      <c r="B655" s="468"/>
      <c r="C655" s="468"/>
      <c r="D655" s="468"/>
      <c r="E655" s="468"/>
      <c r="F655" s="468"/>
      <c r="G655" s="468"/>
      <c r="H655" s="468"/>
      <c r="I655" s="468"/>
      <c r="J655" s="468"/>
      <c r="K655" s="468"/>
      <c r="L655" s="468"/>
      <c r="M655" s="468"/>
      <c r="N655" s="468"/>
      <c r="O655" s="468"/>
      <c r="P655" s="468"/>
      <c r="Q655" s="468"/>
      <c r="R655" s="468"/>
      <c r="S655" s="468"/>
      <c r="T655" s="468"/>
      <c r="U655" s="468"/>
      <c r="V655" s="468"/>
      <c r="W655" s="468"/>
      <c r="X655" s="468"/>
      <c r="Y655" s="468"/>
      <c r="Z655" s="468"/>
    </row>
    <row r="656" spans="1:26" ht="18" customHeight="1" x14ac:dyDescent="0.35">
      <c r="A656" s="468"/>
      <c r="B656" s="468"/>
      <c r="C656" s="468"/>
      <c r="D656" s="468"/>
      <c r="E656" s="468"/>
      <c r="F656" s="468"/>
      <c r="G656" s="468"/>
      <c r="H656" s="468"/>
      <c r="I656" s="468"/>
      <c r="J656" s="468"/>
      <c r="K656" s="468"/>
      <c r="L656" s="468"/>
      <c r="M656" s="468"/>
      <c r="N656" s="468"/>
      <c r="O656" s="468"/>
      <c r="P656" s="468"/>
      <c r="Q656" s="468"/>
      <c r="R656" s="468"/>
      <c r="S656" s="468"/>
      <c r="T656" s="468"/>
      <c r="U656" s="468"/>
      <c r="V656" s="468"/>
      <c r="W656" s="468"/>
      <c r="X656" s="468"/>
      <c r="Y656" s="468"/>
      <c r="Z656" s="468"/>
    </row>
    <row r="657" spans="1:26" ht="18" customHeight="1" x14ac:dyDescent="0.35">
      <c r="A657" s="468"/>
      <c r="B657" s="468"/>
      <c r="C657" s="468"/>
      <c r="D657" s="468"/>
      <c r="E657" s="468"/>
      <c r="F657" s="468"/>
      <c r="G657" s="468"/>
      <c r="H657" s="468"/>
      <c r="I657" s="468"/>
      <c r="J657" s="468"/>
      <c r="K657" s="468"/>
      <c r="L657" s="468"/>
      <c r="M657" s="468"/>
      <c r="N657" s="468"/>
      <c r="O657" s="468"/>
      <c r="P657" s="468"/>
      <c r="Q657" s="468"/>
      <c r="R657" s="468"/>
      <c r="S657" s="468"/>
      <c r="T657" s="468"/>
      <c r="U657" s="468"/>
      <c r="V657" s="468"/>
      <c r="W657" s="468"/>
      <c r="X657" s="468"/>
      <c r="Y657" s="468"/>
      <c r="Z657" s="468"/>
    </row>
    <row r="658" spans="1:26" ht="18" customHeight="1" x14ac:dyDescent="0.35">
      <c r="A658" s="468"/>
      <c r="B658" s="468"/>
      <c r="C658" s="468"/>
      <c r="D658" s="468"/>
      <c r="E658" s="468"/>
      <c r="F658" s="468"/>
      <c r="G658" s="468"/>
      <c r="H658" s="468"/>
      <c r="I658" s="468"/>
      <c r="J658" s="468"/>
      <c r="K658" s="468"/>
      <c r="L658" s="468"/>
      <c r="M658" s="468"/>
      <c r="N658" s="468"/>
      <c r="O658" s="468"/>
      <c r="P658" s="468"/>
      <c r="Q658" s="468"/>
      <c r="R658" s="468"/>
      <c r="S658" s="468"/>
      <c r="T658" s="468"/>
      <c r="U658" s="468"/>
      <c r="V658" s="468"/>
      <c r="W658" s="468"/>
      <c r="X658" s="468"/>
      <c r="Y658" s="468"/>
      <c r="Z658" s="468"/>
    </row>
    <row r="659" spans="1:26" ht="18" customHeight="1" x14ac:dyDescent="0.35">
      <c r="A659" s="468"/>
      <c r="B659" s="468"/>
      <c r="C659" s="468"/>
      <c r="D659" s="468"/>
      <c r="E659" s="468"/>
      <c r="F659" s="468"/>
      <c r="G659" s="468"/>
      <c r="H659" s="468"/>
      <c r="I659" s="468"/>
      <c r="J659" s="468"/>
      <c r="K659" s="468"/>
      <c r="L659" s="468"/>
      <c r="M659" s="468"/>
      <c r="N659" s="468"/>
      <c r="O659" s="468"/>
      <c r="P659" s="468"/>
      <c r="Q659" s="468"/>
      <c r="R659" s="468"/>
      <c r="S659" s="468"/>
      <c r="T659" s="468"/>
      <c r="U659" s="468"/>
      <c r="V659" s="468"/>
      <c r="W659" s="468"/>
      <c r="X659" s="468"/>
      <c r="Y659" s="468"/>
      <c r="Z659" s="468"/>
    </row>
    <row r="660" spans="1:26" ht="18" customHeight="1" x14ac:dyDescent="0.35">
      <c r="A660" s="468"/>
      <c r="B660" s="468"/>
      <c r="C660" s="468"/>
      <c r="D660" s="468"/>
      <c r="E660" s="468"/>
      <c r="F660" s="468"/>
      <c r="G660" s="468"/>
      <c r="H660" s="468"/>
      <c r="I660" s="468"/>
      <c r="J660" s="468"/>
      <c r="K660" s="468"/>
      <c r="L660" s="468"/>
      <c r="M660" s="468"/>
      <c r="N660" s="468"/>
      <c r="O660" s="468"/>
      <c r="P660" s="468"/>
      <c r="Q660" s="468"/>
      <c r="R660" s="468"/>
      <c r="S660" s="468"/>
      <c r="T660" s="468"/>
      <c r="U660" s="468"/>
      <c r="V660" s="468"/>
      <c r="W660" s="468"/>
      <c r="X660" s="468"/>
      <c r="Y660" s="468"/>
      <c r="Z660" s="468"/>
    </row>
    <row r="661" spans="1:26" ht="18" customHeight="1" x14ac:dyDescent="0.35">
      <c r="A661" s="468"/>
      <c r="B661" s="468"/>
      <c r="C661" s="468"/>
      <c r="D661" s="468"/>
      <c r="E661" s="468"/>
      <c r="F661" s="468"/>
      <c r="G661" s="468"/>
      <c r="H661" s="468"/>
      <c r="I661" s="468"/>
      <c r="J661" s="468"/>
      <c r="K661" s="468"/>
      <c r="L661" s="468"/>
      <c r="M661" s="468"/>
      <c r="N661" s="468"/>
      <c r="O661" s="468"/>
      <c r="P661" s="468"/>
      <c r="Q661" s="468"/>
      <c r="R661" s="468"/>
      <c r="S661" s="468"/>
      <c r="T661" s="468"/>
      <c r="U661" s="468"/>
      <c r="V661" s="468"/>
      <c r="W661" s="468"/>
      <c r="X661" s="468"/>
      <c r="Y661" s="468"/>
      <c r="Z661" s="468"/>
    </row>
    <row r="662" spans="1:26" ht="18" customHeight="1" x14ac:dyDescent="0.35">
      <c r="A662" s="468"/>
      <c r="B662" s="468"/>
      <c r="C662" s="468"/>
      <c r="D662" s="468"/>
      <c r="E662" s="468"/>
      <c r="F662" s="468"/>
      <c r="G662" s="468"/>
      <c r="H662" s="468"/>
      <c r="I662" s="468"/>
      <c r="J662" s="468"/>
      <c r="K662" s="468"/>
      <c r="L662" s="468"/>
      <c r="M662" s="468"/>
      <c r="N662" s="468"/>
      <c r="O662" s="468"/>
      <c r="P662" s="468"/>
      <c r="Q662" s="468"/>
      <c r="R662" s="468"/>
      <c r="S662" s="468"/>
      <c r="T662" s="468"/>
      <c r="U662" s="468"/>
      <c r="V662" s="468"/>
      <c r="W662" s="468"/>
      <c r="X662" s="468"/>
      <c r="Y662" s="468"/>
      <c r="Z662" s="468"/>
    </row>
    <row r="663" spans="1:26" ht="18" customHeight="1" x14ac:dyDescent="0.35">
      <c r="A663" s="468"/>
      <c r="B663" s="468"/>
      <c r="C663" s="468"/>
      <c r="D663" s="468"/>
      <c r="E663" s="468"/>
      <c r="F663" s="468"/>
      <c r="G663" s="468"/>
      <c r="H663" s="468"/>
      <c r="I663" s="468"/>
      <c r="J663" s="468"/>
      <c r="K663" s="468"/>
      <c r="L663" s="468"/>
      <c r="M663" s="468"/>
      <c r="N663" s="468"/>
      <c r="O663" s="468"/>
      <c r="P663" s="468"/>
      <c r="Q663" s="468"/>
      <c r="R663" s="468"/>
      <c r="S663" s="468"/>
      <c r="T663" s="468"/>
      <c r="U663" s="468"/>
      <c r="V663" s="468"/>
      <c r="W663" s="468"/>
      <c r="X663" s="468"/>
      <c r="Y663" s="468"/>
      <c r="Z663" s="468"/>
    </row>
    <row r="664" spans="1:26" ht="18" customHeight="1" x14ac:dyDescent="0.35">
      <c r="A664" s="468"/>
      <c r="B664" s="468"/>
      <c r="C664" s="468"/>
      <c r="D664" s="468"/>
      <c r="E664" s="468"/>
      <c r="F664" s="468"/>
      <c r="G664" s="468"/>
      <c r="H664" s="468"/>
      <c r="I664" s="468"/>
      <c r="J664" s="468"/>
      <c r="K664" s="468"/>
      <c r="L664" s="468"/>
      <c r="M664" s="468"/>
      <c r="N664" s="468"/>
      <c r="O664" s="468"/>
      <c r="P664" s="468"/>
      <c r="Q664" s="468"/>
      <c r="R664" s="468"/>
      <c r="S664" s="468"/>
      <c r="T664" s="468"/>
      <c r="U664" s="468"/>
      <c r="V664" s="468"/>
      <c r="W664" s="468"/>
      <c r="X664" s="468"/>
      <c r="Y664" s="468"/>
      <c r="Z664" s="468"/>
    </row>
    <row r="665" spans="1:26" ht="18" customHeight="1" x14ac:dyDescent="0.35">
      <c r="A665" s="468"/>
      <c r="B665" s="468"/>
      <c r="C665" s="468"/>
      <c r="D665" s="468"/>
      <c r="E665" s="468"/>
      <c r="F665" s="468"/>
      <c r="G665" s="468"/>
      <c r="H665" s="468"/>
      <c r="I665" s="468"/>
      <c r="J665" s="468"/>
      <c r="K665" s="468"/>
      <c r="L665" s="468"/>
      <c r="M665" s="468"/>
      <c r="N665" s="468"/>
      <c r="O665" s="468"/>
      <c r="P665" s="468"/>
      <c r="Q665" s="468"/>
      <c r="R665" s="468"/>
      <c r="S665" s="468"/>
      <c r="T665" s="468"/>
      <c r="U665" s="468"/>
      <c r="V665" s="468"/>
      <c r="W665" s="468"/>
      <c r="X665" s="468"/>
      <c r="Y665" s="468"/>
      <c r="Z665" s="468"/>
    </row>
    <row r="666" spans="1:26" ht="18" customHeight="1" x14ac:dyDescent="0.35">
      <c r="A666" s="468"/>
      <c r="B666" s="468"/>
      <c r="C666" s="468"/>
      <c r="D666" s="468"/>
      <c r="E666" s="468"/>
      <c r="F666" s="468"/>
      <c r="G666" s="468"/>
      <c r="H666" s="468"/>
      <c r="I666" s="468"/>
      <c r="J666" s="468"/>
      <c r="K666" s="468"/>
      <c r="L666" s="468"/>
      <c r="M666" s="468"/>
      <c r="N666" s="468"/>
      <c r="O666" s="468"/>
      <c r="P666" s="468"/>
      <c r="Q666" s="468"/>
      <c r="R666" s="468"/>
      <c r="S666" s="468"/>
      <c r="T666" s="468"/>
      <c r="U666" s="468"/>
      <c r="V666" s="468"/>
      <c r="W666" s="468"/>
      <c r="X666" s="468"/>
      <c r="Y666" s="468"/>
      <c r="Z666" s="468"/>
    </row>
    <row r="667" spans="1:26" ht="18" customHeight="1" x14ac:dyDescent="0.35">
      <c r="A667" s="468"/>
      <c r="B667" s="468"/>
      <c r="C667" s="468"/>
      <c r="D667" s="468"/>
      <c r="E667" s="468"/>
      <c r="F667" s="468"/>
      <c r="G667" s="468"/>
      <c r="H667" s="468"/>
      <c r="I667" s="468"/>
      <c r="J667" s="468"/>
      <c r="K667" s="468"/>
      <c r="L667" s="468"/>
      <c r="M667" s="468"/>
      <c r="N667" s="468"/>
      <c r="O667" s="468"/>
      <c r="P667" s="468"/>
      <c r="Q667" s="468"/>
      <c r="R667" s="468"/>
      <c r="S667" s="468"/>
      <c r="T667" s="468"/>
      <c r="U667" s="468"/>
      <c r="V667" s="468"/>
      <c r="W667" s="468"/>
      <c r="X667" s="468"/>
      <c r="Y667" s="468"/>
      <c r="Z667" s="468"/>
    </row>
    <row r="668" spans="1:26" ht="18" customHeight="1" x14ac:dyDescent="0.35">
      <c r="A668" s="468"/>
      <c r="B668" s="468"/>
      <c r="C668" s="468"/>
      <c r="D668" s="468"/>
      <c r="E668" s="468"/>
      <c r="F668" s="468"/>
      <c r="G668" s="468"/>
      <c r="H668" s="468"/>
      <c r="I668" s="468"/>
      <c r="J668" s="468"/>
      <c r="K668" s="468"/>
      <c r="L668" s="468"/>
      <c r="M668" s="468"/>
      <c r="N668" s="468"/>
      <c r="O668" s="468"/>
      <c r="P668" s="468"/>
      <c r="Q668" s="468"/>
      <c r="R668" s="468"/>
      <c r="S668" s="468"/>
      <c r="T668" s="468"/>
      <c r="U668" s="468"/>
      <c r="V668" s="468"/>
      <c r="W668" s="468"/>
      <c r="X668" s="468"/>
      <c r="Y668" s="468"/>
      <c r="Z668" s="468"/>
    </row>
    <row r="669" spans="1:26" ht="18" customHeight="1" x14ac:dyDescent="0.35">
      <c r="A669" s="468"/>
      <c r="B669" s="468"/>
      <c r="C669" s="468"/>
      <c r="D669" s="468"/>
      <c r="E669" s="468"/>
      <c r="F669" s="468"/>
      <c r="G669" s="468"/>
      <c r="H669" s="468"/>
      <c r="I669" s="468"/>
      <c r="J669" s="468"/>
      <c r="K669" s="468"/>
      <c r="L669" s="468"/>
      <c r="M669" s="468"/>
      <c r="N669" s="468"/>
      <c r="O669" s="468"/>
      <c r="P669" s="468"/>
      <c r="Q669" s="468"/>
      <c r="R669" s="468"/>
      <c r="S669" s="468"/>
      <c r="T669" s="468"/>
      <c r="U669" s="468"/>
      <c r="V669" s="468"/>
      <c r="W669" s="468"/>
      <c r="X669" s="468"/>
      <c r="Y669" s="468"/>
      <c r="Z669" s="468"/>
    </row>
    <row r="670" spans="1:26" ht="18" customHeight="1" x14ac:dyDescent="0.35">
      <c r="A670" s="468"/>
      <c r="B670" s="468"/>
      <c r="C670" s="468"/>
      <c r="D670" s="468"/>
      <c r="E670" s="468"/>
      <c r="F670" s="468"/>
      <c r="G670" s="468"/>
      <c r="H670" s="468"/>
      <c r="I670" s="468"/>
      <c r="J670" s="468"/>
      <c r="K670" s="468"/>
      <c r="L670" s="468"/>
      <c r="M670" s="468"/>
      <c r="N670" s="468"/>
      <c r="O670" s="468"/>
      <c r="P670" s="468"/>
      <c r="Q670" s="468"/>
      <c r="R670" s="468"/>
      <c r="S670" s="468"/>
      <c r="T670" s="468"/>
      <c r="U670" s="468"/>
      <c r="V670" s="468"/>
      <c r="W670" s="468"/>
      <c r="X670" s="468"/>
      <c r="Y670" s="468"/>
      <c r="Z670" s="468"/>
    </row>
    <row r="671" spans="1:26" ht="18" customHeight="1" x14ac:dyDescent="0.35">
      <c r="A671" s="468"/>
      <c r="B671" s="468"/>
      <c r="C671" s="468"/>
      <c r="D671" s="468"/>
      <c r="E671" s="468"/>
      <c r="F671" s="468"/>
      <c r="G671" s="468"/>
      <c r="H671" s="468"/>
      <c r="I671" s="468"/>
      <c r="J671" s="468"/>
      <c r="K671" s="468"/>
      <c r="L671" s="468"/>
      <c r="M671" s="468"/>
      <c r="N671" s="468"/>
      <c r="O671" s="468"/>
      <c r="P671" s="468"/>
      <c r="Q671" s="468"/>
      <c r="R671" s="468"/>
      <c r="S671" s="468"/>
      <c r="T671" s="468"/>
      <c r="U671" s="468"/>
      <c r="V671" s="468"/>
      <c r="W671" s="468"/>
      <c r="X671" s="468"/>
      <c r="Y671" s="468"/>
      <c r="Z671" s="468"/>
    </row>
    <row r="672" spans="1:26" ht="18" customHeight="1" x14ac:dyDescent="0.35">
      <c r="A672" s="468"/>
      <c r="B672" s="468"/>
      <c r="C672" s="468"/>
      <c r="D672" s="468"/>
      <c r="E672" s="468"/>
      <c r="F672" s="468"/>
      <c r="G672" s="468"/>
      <c r="H672" s="468"/>
      <c r="I672" s="468"/>
      <c r="J672" s="468"/>
      <c r="K672" s="468"/>
      <c r="L672" s="468"/>
      <c r="M672" s="468"/>
      <c r="N672" s="468"/>
      <c r="O672" s="468"/>
      <c r="P672" s="468"/>
      <c r="Q672" s="468"/>
      <c r="R672" s="468"/>
      <c r="S672" s="468"/>
      <c r="T672" s="468"/>
      <c r="U672" s="468"/>
      <c r="V672" s="468"/>
      <c r="W672" s="468"/>
      <c r="X672" s="468"/>
      <c r="Y672" s="468"/>
      <c r="Z672" s="468"/>
    </row>
    <row r="673" spans="1:26" ht="18" customHeight="1" x14ac:dyDescent="0.35">
      <c r="A673" s="468"/>
      <c r="B673" s="468"/>
      <c r="C673" s="468"/>
      <c r="D673" s="468"/>
      <c r="E673" s="468"/>
      <c r="F673" s="468"/>
      <c r="G673" s="468"/>
      <c r="H673" s="468"/>
      <c r="I673" s="468"/>
      <c r="J673" s="468"/>
      <c r="K673" s="468"/>
      <c r="L673" s="468"/>
      <c r="M673" s="468"/>
      <c r="N673" s="468"/>
      <c r="O673" s="468"/>
      <c r="P673" s="468"/>
      <c r="Q673" s="468"/>
      <c r="R673" s="468"/>
      <c r="S673" s="468"/>
      <c r="T673" s="468"/>
      <c r="U673" s="468"/>
      <c r="V673" s="468"/>
      <c r="W673" s="468"/>
      <c r="X673" s="468"/>
      <c r="Y673" s="468"/>
      <c r="Z673" s="468"/>
    </row>
    <row r="674" spans="1:26" ht="18" customHeight="1" x14ac:dyDescent="0.35">
      <c r="A674" s="468"/>
      <c r="B674" s="468"/>
      <c r="C674" s="468"/>
      <c r="D674" s="468"/>
      <c r="E674" s="468"/>
      <c r="F674" s="468"/>
      <c r="G674" s="468"/>
      <c r="H674" s="468"/>
      <c r="I674" s="468"/>
      <c r="J674" s="468"/>
      <c r="K674" s="468"/>
      <c r="L674" s="468"/>
      <c r="M674" s="468"/>
      <c r="N674" s="468"/>
      <c r="O674" s="468"/>
      <c r="P674" s="468"/>
      <c r="Q674" s="468"/>
      <c r="R674" s="468"/>
      <c r="S674" s="468"/>
      <c r="T674" s="468"/>
      <c r="U674" s="468"/>
      <c r="V674" s="468"/>
      <c r="W674" s="468"/>
      <c r="X674" s="468"/>
      <c r="Y674" s="468"/>
      <c r="Z674" s="468"/>
    </row>
    <row r="675" spans="1:26" ht="18" customHeight="1" x14ac:dyDescent="0.35">
      <c r="A675" s="468"/>
      <c r="B675" s="468"/>
      <c r="C675" s="468"/>
      <c r="D675" s="468"/>
      <c r="E675" s="468"/>
      <c r="F675" s="468"/>
      <c r="G675" s="468"/>
      <c r="H675" s="468"/>
      <c r="I675" s="468"/>
      <c r="J675" s="468"/>
      <c r="K675" s="468"/>
      <c r="L675" s="468"/>
      <c r="M675" s="468"/>
      <c r="N675" s="468"/>
      <c r="O675" s="468"/>
      <c r="P675" s="468"/>
      <c r="Q675" s="468"/>
      <c r="R675" s="468"/>
      <c r="S675" s="468"/>
      <c r="T675" s="468"/>
      <c r="U675" s="468"/>
      <c r="V675" s="468"/>
      <c r="W675" s="468"/>
      <c r="X675" s="468"/>
      <c r="Y675" s="468"/>
      <c r="Z675" s="468"/>
    </row>
    <row r="676" spans="1:26" ht="18" customHeight="1" x14ac:dyDescent="0.35">
      <c r="A676" s="468"/>
      <c r="B676" s="468"/>
      <c r="C676" s="468"/>
      <c r="D676" s="468"/>
      <c r="E676" s="468"/>
      <c r="F676" s="468"/>
      <c r="G676" s="468"/>
      <c r="H676" s="468"/>
      <c r="I676" s="468"/>
      <c r="J676" s="468"/>
      <c r="K676" s="468"/>
      <c r="L676" s="468"/>
      <c r="M676" s="468"/>
      <c r="N676" s="468"/>
      <c r="O676" s="468"/>
      <c r="P676" s="468"/>
      <c r="Q676" s="468"/>
      <c r="R676" s="468"/>
      <c r="S676" s="468"/>
      <c r="T676" s="468"/>
      <c r="U676" s="468"/>
      <c r="V676" s="468"/>
      <c r="W676" s="468"/>
      <c r="X676" s="468"/>
      <c r="Y676" s="468"/>
      <c r="Z676" s="468"/>
    </row>
    <row r="677" spans="1:26" ht="18" customHeight="1" x14ac:dyDescent="0.35">
      <c r="A677" s="468"/>
      <c r="B677" s="468"/>
      <c r="C677" s="468"/>
      <c r="D677" s="468"/>
      <c r="E677" s="468"/>
      <c r="F677" s="468"/>
      <c r="G677" s="468"/>
      <c r="H677" s="468"/>
      <c r="I677" s="468"/>
      <c r="J677" s="468"/>
      <c r="K677" s="468"/>
      <c r="L677" s="468"/>
      <c r="M677" s="468"/>
      <c r="N677" s="468"/>
      <c r="O677" s="468"/>
      <c r="P677" s="468"/>
      <c r="Q677" s="468"/>
      <c r="R677" s="468"/>
      <c r="S677" s="468"/>
      <c r="T677" s="468"/>
      <c r="U677" s="468"/>
      <c r="V677" s="468"/>
      <c r="W677" s="468"/>
      <c r="X677" s="468"/>
      <c r="Y677" s="468"/>
      <c r="Z677" s="468"/>
    </row>
    <row r="678" spans="1:26" ht="18" customHeight="1" x14ac:dyDescent="0.35">
      <c r="A678" s="468"/>
      <c r="B678" s="468"/>
      <c r="C678" s="468"/>
      <c r="D678" s="468"/>
      <c r="E678" s="468"/>
      <c r="F678" s="468"/>
      <c r="G678" s="468"/>
      <c r="H678" s="468"/>
      <c r="I678" s="468"/>
      <c r="J678" s="468"/>
      <c r="K678" s="468"/>
      <c r="L678" s="468"/>
      <c r="M678" s="468"/>
      <c r="N678" s="468"/>
      <c r="O678" s="468"/>
      <c r="P678" s="468"/>
      <c r="Q678" s="468"/>
      <c r="R678" s="468"/>
      <c r="S678" s="468"/>
      <c r="T678" s="468"/>
      <c r="U678" s="468"/>
      <c r="V678" s="468"/>
      <c r="W678" s="468"/>
      <c r="X678" s="468"/>
      <c r="Y678" s="468"/>
      <c r="Z678" s="468"/>
    </row>
    <row r="679" spans="1:26" ht="18" customHeight="1" x14ac:dyDescent="0.35">
      <c r="A679" s="468"/>
      <c r="B679" s="468"/>
      <c r="C679" s="468"/>
      <c r="D679" s="468"/>
      <c r="E679" s="468"/>
      <c r="F679" s="468"/>
      <c r="G679" s="468"/>
      <c r="H679" s="468"/>
      <c r="I679" s="468"/>
      <c r="J679" s="468"/>
      <c r="K679" s="468"/>
      <c r="L679" s="468"/>
      <c r="M679" s="468"/>
      <c r="N679" s="468"/>
      <c r="O679" s="468"/>
      <c r="P679" s="468"/>
      <c r="Q679" s="468"/>
      <c r="R679" s="468"/>
      <c r="S679" s="468"/>
      <c r="T679" s="468"/>
      <c r="U679" s="468"/>
      <c r="V679" s="468"/>
      <c r="W679" s="468"/>
      <c r="X679" s="468"/>
      <c r="Y679" s="468"/>
      <c r="Z679" s="468"/>
    </row>
    <row r="680" spans="1:26" ht="18" customHeight="1" x14ac:dyDescent="0.35">
      <c r="A680" s="468"/>
      <c r="B680" s="468"/>
      <c r="C680" s="468"/>
      <c r="D680" s="468"/>
      <c r="E680" s="468"/>
      <c r="F680" s="468"/>
      <c r="G680" s="468"/>
      <c r="H680" s="468"/>
      <c r="I680" s="468"/>
      <c r="J680" s="468"/>
      <c r="K680" s="468"/>
      <c r="L680" s="468"/>
      <c r="M680" s="468"/>
      <c r="N680" s="468"/>
      <c r="O680" s="468"/>
      <c r="P680" s="468"/>
      <c r="Q680" s="468"/>
      <c r="R680" s="468"/>
      <c r="S680" s="468"/>
      <c r="T680" s="468"/>
      <c r="U680" s="468"/>
      <c r="V680" s="468"/>
      <c r="W680" s="468"/>
      <c r="X680" s="468"/>
      <c r="Y680" s="468"/>
      <c r="Z680" s="468"/>
    </row>
    <row r="681" spans="1:26" ht="18" customHeight="1" x14ac:dyDescent="0.35">
      <c r="A681" s="468"/>
      <c r="B681" s="468"/>
      <c r="C681" s="468"/>
      <c r="D681" s="468"/>
      <c r="E681" s="468"/>
      <c r="F681" s="468"/>
      <c r="G681" s="468"/>
      <c r="H681" s="468"/>
      <c r="I681" s="468"/>
      <c r="J681" s="468"/>
      <c r="K681" s="468"/>
      <c r="L681" s="468"/>
      <c r="M681" s="468"/>
      <c r="N681" s="468"/>
      <c r="O681" s="468"/>
      <c r="P681" s="468"/>
      <c r="Q681" s="468"/>
      <c r="R681" s="468"/>
      <c r="S681" s="468"/>
      <c r="T681" s="468"/>
      <c r="U681" s="468"/>
      <c r="V681" s="468"/>
      <c r="W681" s="468"/>
      <c r="X681" s="468"/>
      <c r="Y681" s="468"/>
      <c r="Z681" s="468"/>
    </row>
    <row r="682" spans="1:26" ht="18" customHeight="1" x14ac:dyDescent="0.35">
      <c r="A682" s="468"/>
      <c r="B682" s="468"/>
      <c r="C682" s="468"/>
      <c r="D682" s="468"/>
      <c r="E682" s="468"/>
      <c r="F682" s="468"/>
      <c r="G682" s="468"/>
      <c r="H682" s="468"/>
      <c r="I682" s="468"/>
      <c r="J682" s="468"/>
      <c r="K682" s="468"/>
      <c r="L682" s="468"/>
      <c r="M682" s="468"/>
      <c r="N682" s="468"/>
      <c r="O682" s="468"/>
      <c r="P682" s="468"/>
      <c r="Q682" s="468"/>
      <c r="R682" s="468"/>
      <c r="S682" s="468"/>
      <c r="T682" s="468"/>
      <c r="U682" s="468"/>
      <c r="V682" s="468"/>
      <c r="W682" s="468"/>
      <c r="X682" s="468"/>
      <c r="Y682" s="468"/>
      <c r="Z682" s="468"/>
    </row>
    <row r="683" spans="1:26" ht="18" customHeight="1" x14ac:dyDescent="0.35">
      <c r="A683" s="468"/>
      <c r="B683" s="468"/>
      <c r="C683" s="468"/>
      <c r="D683" s="468"/>
      <c r="E683" s="468"/>
      <c r="F683" s="468"/>
      <c r="G683" s="468"/>
      <c r="H683" s="468"/>
      <c r="I683" s="468"/>
      <c r="J683" s="468"/>
      <c r="K683" s="468"/>
      <c r="L683" s="468"/>
      <c r="M683" s="468"/>
      <c r="N683" s="468"/>
      <c r="O683" s="468"/>
      <c r="P683" s="468"/>
      <c r="Q683" s="468"/>
      <c r="R683" s="468"/>
      <c r="S683" s="468"/>
      <c r="T683" s="468"/>
      <c r="U683" s="468"/>
      <c r="V683" s="468"/>
      <c r="W683" s="468"/>
      <c r="X683" s="468"/>
      <c r="Y683" s="468"/>
      <c r="Z683" s="468"/>
    </row>
    <row r="684" spans="1:26" ht="18" customHeight="1" x14ac:dyDescent="0.35">
      <c r="A684" s="468"/>
      <c r="B684" s="468"/>
      <c r="C684" s="468"/>
      <c r="D684" s="468"/>
      <c r="E684" s="468"/>
      <c r="F684" s="468"/>
      <c r="G684" s="468"/>
      <c r="H684" s="468"/>
      <c r="I684" s="468"/>
      <c r="J684" s="468"/>
      <c r="K684" s="468"/>
      <c r="L684" s="468"/>
      <c r="M684" s="468"/>
      <c r="N684" s="468"/>
      <c r="O684" s="468"/>
      <c r="P684" s="468"/>
      <c r="Q684" s="468"/>
      <c r="R684" s="468"/>
      <c r="S684" s="468"/>
      <c r="T684" s="468"/>
      <c r="U684" s="468"/>
      <c r="V684" s="468"/>
      <c r="W684" s="468"/>
      <c r="X684" s="468"/>
      <c r="Y684" s="468"/>
      <c r="Z684" s="468"/>
    </row>
    <row r="685" spans="1:26" ht="18" customHeight="1" x14ac:dyDescent="0.35">
      <c r="A685" s="468"/>
      <c r="B685" s="468"/>
      <c r="C685" s="468"/>
      <c r="D685" s="468"/>
      <c r="E685" s="468"/>
      <c r="F685" s="468"/>
      <c r="G685" s="468"/>
      <c r="H685" s="468"/>
      <c r="I685" s="468"/>
      <c r="J685" s="468"/>
      <c r="K685" s="468"/>
      <c r="L685" s="468"/>
      <c r="M685" s="468"/>
      <c r="N685" s="468"/>
      <c r="O685" s="468"/>
      <c r="P685" s="468"/>
      <c r="Q685" s="468"/>
      <c r="R685" s="468"/>
      <c r="S685" s="468"/>
      <c r="T685" s="468"/>
      <c r="U685" s="468"/>
      <c r="V685" s="468"/>
      <c r="W685" s="468"/>
      <c r="X685" s="468"/>
      <c r="Y685" s="468"/>
      <c r="Z685" s="468"/>
    </row>
    <row r="686" spans="1:26" ht="18" customHeight="1" x14ac:dyDescent="0.35">
      <c r="A686" s="468"/>
      <c r="B686" s="468"/>
      <c r="C686" s="468"/>
      <c r="D686" s="468"/>
      <c r="E686" s="468"/>
      <c r="F686" s="468"/>
      <c r="G686" s="468"/>
      <c r="H686" s="468"/>
      <c r="I686" s="468"/>
      <c r="J686" s="468"/>
      <c r="K686" s="468"/>
      <c r="L686" s="468"/>
      <c r="M686" s="468"/>
      <c r="N686" s="468"/>
      <c r="O686" s="468"/>
      <c r="P686" s="468"/>
      <c r="Q686" s="468"/>
      <c r="R686" s="468"/>
      <c r="S686" s="468"/>
      <c r="T686" s="468"/>
      <c r="U686" s="468"/>
      <c r="V686" s="468"/>
      <c r="W686" s="468"/>
      <c r="X686" s="468"/>
      <c r="Y686" s="468"/>
      <c r="Z686" s="468"/>
    </row>
    <row r="687" spans="1:26" ht="18" customHeight="1" x14ac:dyDescent="0.35">
      <c r="A687" s="468"/>
      <c r="B687" s="468"/>
      <c r="C687" s="468"/>
      <c r="D687" s="468"/>
      <c r="E687" s="468"/>
      <c r="F687" s="468"/>
      <c r="G687" s="468"/>
      <c r="H687" s="468"/>
      <c r="I687" s="468"/>
      <c r="J687" s="468"/>
      <c r="K687" s="468"/>
      <c r="L687" s="468"/>
      <c r="M687" s="468"/>
      <c r="N687" s="468"/>
      <c r="O687" s="468"/>
      <c r="P687" s="468"/>
      <c r="Q687" s="468"/>
      <c r="R687" s="468"/>
      <c r="S687" s="468"/>
      <c r="T687" s="468"/>
      <c r="U687" s="468"/>
      <c r="V687" s="468"/>
      <c r="W687" s="468"/>
      <c r="X687" s="468"/>
      <c r="Y687" s="468"/>
      <c r="Z687" s="468"/>
    </row>
    <row r="688" spans="1:26" ht="18" customHeight="1" x14ac:dyDescent="0.35">
      <c r="A688" s="468"/>
      <c r="B688" s="468"/>
      <c r="C688" s="468"/>
      <c r="D688" s="468"/>
      <c r="E688" s="468"/>
      <c r="F688" s="468"/>
      <c r="G688" s="468"/>
      <c r="H688" s="468"/>
      <c r="I688" s="468"/>
      <c r="J688" s="468"/>
      <c r="K688" s="468"/>
      <c r="L688" s="468"/>
      <c r="M688" s="468"/>
      <c r="N688" s="468"/>
      <c r="O688" s="468"/>
      <c r="P688" s="468"/>
      <c r="Q688" s="468"/>
      <c r="R688" s="468"/>
      <c r="S688" s="468"/>
      <c r="T688" s="468"/>
      <c r="U688" s="468"/>
      <c r="V688" s="468"/>
      <c r="W688" s="468"/>
      <c r="X688" s="468"/>
      <c r="Y688" s="468"/>
      <c r="Z688" s="468"/>
    </row>
    <row r="689" spans="1:26" ht="18" customHeight="1" x14ac:dyDescent="0.35">
      <c r="A689" s="468"/>
      <c r="B689" s="468"/>
      <c r="C689" s="468"/>
      <c r="D689" s="468"/>
      <c r="E689" s="468"/>
      <c r="F689" s="468"/>
      <c r="G689" s="468"/>
      <c r="H689" s="468"/>
      <c r="I689" s="468"/>
      <c r="J689" s="468"/>
      <c r="K689" s="468"/>
      <c r="L689" s="468"/>
      <c r="M689" s="468"/>
      <c r="N689" s="468"/>
      <c r="O689" s="468"/>
      <c r="P689" s="468"/>
      <c r="Q689" s="468"/>
      <c r="R689" s="468"/>
      <c r="S689" s="468"/>
      <c r="T689" s="468"/>
      <c r="U689" s="468"/>
      <c r="V689" s="468"/>
      <c r="W689" s="468"/>
      <c r="X689" s="468"/>
      <c r="Y689" s="468"/>
      <c r="Z689" s="468"/>
    </row>
    <row r="690" spans="1:26" ht="18" customHeight="1" x14ac:dyDescent="0.35">
      <c r="A690" s="468"/>
      <c r="B690" s="468"/>
      <c r="C690" s="468"/>
      <c r="D690" s="468"/>
      <c r="E690" s="468"/>
      <c r="F690" s="468"/>
      <c r="G690" s="468"/>
      <c r="H690" s="468"/>
      <c r="I690" s="468"/>
      <c r="J690" s="468"/>
      <c r="K690" s="468"/>
      <c r="L690" s="468"/>
      <c r="M690" s="468"/>
      <c r="N690" s="468"/>
      <c r="O690" s="468"/>
      <c r="P690" s="468"/>
      <c r="Q690" s="468"/>
      <c r="R690" s="468"/>
      <c r="S690" s="468"/>
      <c r="T690" s="468"/>
      <c r="U690" s="468"/>
      <c r="V690" s="468"/>
      <c r="W690" s="468"/>
      <c r="X690" s="468"/>
      <c r="Y690" s="468"/>
      <c r="Z690" s="468"/>
    </row>
    <row r="691" spans="1:26" ht="18" customHeight="1" x14ac:dyDescent="0.35">
      <c r="A691" s="468"/>
      <c r="B691" s="468"/>
      <c r="C691" s="468"/>
      <c r="D691" s="468"/>
      <c r="E691" s="468"/>
      <c r="F691" s="468"/>
      <c r="G691" s="468"/>
      <c r="H691" s="468"/>
      <c r="I691" s="468"/>
      <c r="J691" s="468"/>
      <c r="K691" s="468"/>
      <c r="L691" s="468"/>
      <c r="M691" s="468"/>
      <c r="N691" s="468"/>
      <c r="O691" s="468"/>
      <c r="P691" s="468"/>
      <c r="Q691" s="468"/>
      <c r="R691" s="468"/>
      <c r="S691" s="468"/>
      <c r="T691" s="468"/>
      <c r="U691" s="468"/>
      <c r="V691" s="468"/>
      <c r="W691" s="468"/>
      <c r="X691" s="468"/>
      <c r="Y691" s="468"/>
      <c r="Z691" s="468"/>
    </row>
    <row r="692" spans="1:26" ht="18" customHeight="1" x14ac:dyDescent="0.35">
      <c r="A692" s="468"/>
      <c r="B692" s="468"/>
      <c r="C692" s="468"/>
      <c r="D692" s="468"/>
      <c r="E692" s="468"/>
      <c r="F692" s="468"/>
      <c r="G692" s="468"/>
      <c r="H692" s="468"/>
      <c r="I692" s="468"/>
      <c r="J692" s="468"/>
      <c r="K692" s="468"/>
      <c r="L692" s="468"/>
      <c r="M692" s="468"/>
      <c r="N692" s="468"/>
      <c r="O692" s="468"/>
      <c r="P692" s="468"/>
      <c r="Q692" s="468"/>
      <c r="R692" s="468"/>
      <c r="S692" s="468"/>
      <c r="T692" s="468"/>
      <c r="U692" s="468"/>
      <c r="V692" s="468"/>
      <c r="W692" s="468"/>
      <c r="X692" s="468"/>
      <c r="Y692" s="468"/>
      <c r="Z692" s="468"/>
    </row>
    <row r="693" spans="1:26" ht="18" customHeight="1" x14ac:dyDescent="0.35">
      <c r="A693" s="468"/>
      <c r="B693" s="468"/>
      <c r="C693" s="468"/>
      <c r="D693" s="468"/>
      <c r="E693" s="468"/>
      <c r="F693" s="468"/>
      <c r="G693" s="468"/>
      <c r="H693" s="468"/>
      <c r="I693" s="468"/>
      <c r="J693" s="468"/>
      <c r="K693" s="468"/>
      <c r="L693" s="468"/>
      <c r="M693" s="468"/>
      <c r="N693" s="468"/>
      <c r="O693" s="468"/>
      <c r="P693" s="468"/>
      <c r="Q693" s="468"/>
      <c r="R693" s="468"/>
      <c r="S693" s="468"/>
      <c r="T693" s="468"/>
      <c r="U693" s="468"/>
      <c r="V693" s="468"/>
      <c r="W693" s="468"/>
      <c r="X693" s="468"/>
      <c r="Y693" s="468"/>
      <c r="Z693" s="468"/>
    </row>
    <row r="694" spans="1:26" ht="18" customHeight="1" x14ac:dyDescent="0.35">
      <c r="A694" s="468"/>
      <c r="B694" s="468"/>
      <c r="C694" s="468"/>
      <c r="D694" s="468"/>
      <c r="E694" s="468"/>
      <c r="F694" s="468"/>
      <c r="G694" s="468"/>
      <c r="H694" s="468"/>
      <c r="I694" s="468"/>
      <c r="J694" s="468"/>
      <c r="K694" s="468"/>
      <c r="L694" s="468"/>
      <c r="M694" s="468"/>
      <c r="N694" s="468"/>
      <c r="O694" s="468"/>
      <c r="P694" s="468"/>
      <c r="Q694" s="468"/>
      <c r="R694" s="468"/>
      <c r="S694" s="468"/>
      <c r="T694" s="468"/>
      <c r="U694" s="468"/>
      <c r="V694" s="468"/>
      <c r="W694" s="468"/>
      <c r="X694" s="468"/>
      <c r="Y694" s="468"/>
      <c r="Z694" s="468"/>
    </row>
    <row r="695" spans="1:26" ht="18" customHeight="1" x14ac:dyDescent="0.35">
      <c r="A695" s="468"/>
      <c r="B695" s="468"/>
      <c r="C695" s="468"/>
      <c r="D695" s="468"/>
      <c r="E695" s="468"/>
      <c r="F695" s="468"/>
      <c r="G695" s="468"/>
      <c r="H695" s="468"/>
      <c r="I695" s="468"/>
      <c r="J695" s="468"/>
      <c r="K695" s="468"/>
      <c r="L695" s="468"/>
      <c r="M695" s="468"/>
      <c r="N695" s="468"/>
      <c r="O695" s="468"/>
      <c r="P695" s="468"/>
      <c r="Q695" s="468"/>
      <c r="R695" s="468"/>
      <c r="S695" s="468"/>
      <c r="T695" s="468"/>
      <c r="U695" s="468"/>
      <c r="V695" s="468"/>
      <c r="W695" s="468"/>
      <c r="X695" s="468"/>
      <c r="Y695" s="468"/>
      <c r="Z695" s="468"/>
    </row>
    <row r="696" spans="1:26" ht="18" customHeight="1" x14ac:dyDescent="0.35">
      <c r="A696" s="468"/>
      <c r="B696" s="468"/>
      <c r="C696" s="468"/>
      <c r="D696" s="468"/>
      <c r="E696" s="468"/>
      <c r="F696" s="468"/>
      <c r="G696" s="468"/>
      <c r="H696" s="468"/>
      <c r="I696" s="468"/>
      <c r="J696" s="468"/>
      <c r="K696" s="468"/>
      <c r="L696" s="468"/>
      <c r="M696" s="468"/>
      <c r="N696" s="468"/>
      <c r="O696" s="468"/>
      <c r="P696" s="468"/>
      <c r="Q696" s="468"/>
      <c r="R696" s="468"/>
      <c r="S696" s="468"/>
      <c r="T696" s="468"/>
      <c r="U696" s="468"/>
      <c r="V696" s="468"/>
      <c r="W696" s="468"/>
      <c r="X696" s="468"/>
      <c r="Y696" s="468"/>
      <c r="Z696" s="468"/>
    </row>
    <row r="697" spans="1:26" ht="18" customHeight="1" x14ac:dyDescent="0.35">
      <c r="A697" s="468"/>
      <c r="B697" s="468"/>
      <c r="C697" s="468"/>
      <c r="D697" s="468"/>
      <c r="E697" s="468"/>
      <c r="F697" s="468"/>
      <c r="G697" s="468"/>
      <c r="H697" s="468"/>
      <c r="I697" s="468"/>
      <c r="J697" s="468"/>
      <c r="K697" s="468"/>
      <c r="L697" s="468"/>
      <c r="M697" s="468"/>
      <c r="N697" s="468"/>
      <c r="O697" s="468"/>
      <c r="P697" s="468"/>
      <c r="Q697" s="468"/>
      <c r="R697" s="468"/>
      <c r="S697" s="468"/>
      <c r="T697" s="468"/>
      <c r="U697" s="468"/>
      <c r="V697" s="468"/>
      <c r="W697" s="468"/>
      <c r="X697" s="468"/>
      <c r="Y697" s="468"/>
      <c r="Z697" s="468"/>
    </row>
    <row r="698" spans="1:26" ht="18" customHeight="1" x14ac:dyDescent="0.35">
      <c r="A698" s="468"/>
      <c r="B698" s="468"/>
      <c r="C698" s="468"/>
      <c r="D698" s="468"/>
      <c r="E698" s="468"/>
      <c r="F698" s="468"/>
      <c r="G698" s="468"/>
      <c r="H698" s="468"/>
      <c r="I698" s="468"/>
      <c r="J698" s="468"/>
      <c r="K698" s="468"/>
      <c r="L698" s="468"/>
      <c r="M698" s="468"/>
      <c r="N698" s="468"/>
      <c r="O698" s="468"/>
      <c r="P698" s="468"/>
      <c r="Q698" s="468"/>
      <c r="R698" s="468"/>
      <c r="S698" s="468"/>
      <c r="T698" s="468"/>
      <c r="U698" s="468"/>
      <c r="V698" s="468"/>
      <c r="W698" s="468"/>
      <c r="X698" s="468"/>
      <c r="Y698" s="468"/>
      <c r="Z698" s="468"/>
    </row>
    <row r="699" spans="1:26" ht="18" customHeight="1" x14ac:dyDescent="0.35">
      <c r="A699" s="468"/>
      <c r="B699" s="468"/>
      <c r="C699" s="468"/>
      <c r="D699" s="468"/>
      <c r="E699" s="468"/>
      <c r="F699" s="468"/>
      <c r="G699" s="468"/>
      <c r="H699" s="468"/>
      <c r="I699" s="468"/>
      <c r="J699" s="468"/>
      <c r="K699" s="468"/>
      <c r="L699" s="468"/>
      <c r="M699" s="468"/>
      <c r="N699" s="468"/>
      <c r="O699" s="468"/>
      <c r="P699" s="468"/>
      <c r="Q699" s="468"/>
      <c r="R699" s="468"/>
      <c r="S699" s="468"/>
      <c r="T699" s="468"/>
      <c r="U699" s="468"/>
      <c r="V699" s="468"/>
      <c r="W699" s="468"/>
      <c r="X699" s="468"/>
      <c r="Y699" s="468"/>
      <c r="Z699" s="468"/>
    </row>
    <row r="700" spans="1:26" ht="18" customHeight="1" x14ac:dyDescent="0.35">
      <c r="A700" s="468"/>
      <c r="B700" s="468"/>
      <c r="C700" s="468"/>
      <c r="D700" s="468"/>
      <c r="E700" s="468"/>
      <c r="F700" s="468"/>
      <c r="G700" s="468"/>
      <c r="H700" s="468"/>
      <c r="I700" s="468"/>
      <c r="J700" s="468"/>
      <c r="K700" s="468"/>
      <c r="L700" s="468"/>
      <c r="M700" s="468"/>
      <c r="N700" s="468"/>
      <c r="O700" s="468"/>
      <c r="P700" s="468"/>
      <c r="Q700" s="468"/>
      <c r="R700" s="468"/>
      <c r="S700" s="468"/>
      <c r="T700" s="468"/>
      <c r="U700" s="468"/>
      <c r="V700" s="468"/>
      <c r="W700" s="468"/>
      <c r="X700" s="468"/>
      <c r="Y700" s="468"/>
      <c r="Z700" s="468"/>
    </row>
    <row r="701" spans="1:26" ht="18" customHeight="1" x14ac:dyDescent="0.35">
      <c r="A701" s="468"/>
      <c r="B701" s="468"/>
      <c r="C701" s="468"/>
      <c r="D701" s="468"/>
      <c r="E701" s="468"/>
      <c r="F701" s="468"/>
      <c r="G701" s="468"/>
      <c r="H701" s="468"/>
      <c r="I701" s="468"/>
      <c r="J701" s="468"/>
      <c r="K701" s="468"/>
      <c r="L701" s="468"/>
      <c r="M701" s="468"/>
      <c r="N701" s="468"/>
      <c r="O701" s="468"/>
      <c r="P701" s="468"/>
      <c r="Q701" s="468"/>
      <c r="R701" s="468"/>
      <c r="S701" s="468"/>
      <c r="T701" s="468"/>
      <c r="U701" s="468"/>
      <c r="V701" s="468"/>
      <c r="W701" s="468"/>
      <c r="X701" s="468"/>
      <c r="Y701" s="468"/>
      <c r="Z701" s="468"/>
    </row>
    <row r="702" spans="1:26" ht="18" customHeight="1" x14ac:dyDescent="0.35">
      <c r="A702" s="468"/>
      <c r="B702" s="468"/>
      <c r="C702" s="468"/>
      <c r="D702" s="468"/>
      <c r="E702" s="468"/>
      <c r="F702" s="468"/>
      <c r="G702" s="468"/>
      <c r="H702" s="468"/>
      <c r="I702" s="468"/>
      <c r="J702" s="468"/>
      <c r="K702" s="468"/>
      <c r="L702" s="468"/>
      <c r="M702" s="468"/>
      <c r="N702" s="468"/>
      <c r="O702" s="468"/>
      <c r="P702" s="468"/>
      <c r="Q702" s="468"/>
      <c r="R702" s="468"/>
      <c r="S702" s="468"/>
      <c r="T702" s="468"/>
      <c r="U702" s="468"/>
      <c r="V702" s="468"/>
      <c r="W702" s="468"/>
      <c r="X702" s="468"/>
      <c r="Y702" s="468"/>
      <c r="Z702" s="468"/>
    </row>
    <row r="703" spans="1:26" ht="18" customHeight="1" x14ac:dyDescent="0.35">
      <c r="A703" s="468"/>
      <c r="B703" s="468"/>
      <c r="C703" s="468"/>
      <c r="D703" s="468"/>
      <c r="E703" s="468"/>
      <c r="F703" s="468"/>
      <c r="G703" s="468"/>
      <c r="H703" s="468"/>
      <c r="I703" s="468"/>
      <c r="J703" s="468"/>
      <c r="K703" s="468"/>
      <c r="L703" s="468"/>
      <c r="M703" s="468"/>
      <c r="N703" s="468"/>
      <c r="O703" s="468"/>
      <c r="P703" s="468"/>
      <c r="Q703" s="468"/>
      <c r="R703" s="468"/>
      <c r="S703" s="468"/>
      <c r="T703" s="468"/>
      <c r="U703" s="468"/>
      <c r="V703" s="468"/>
      <c r="W703" s="468"/>
      <c r="X703" s="468"/>
      <c r="Y703" s="468"/>
      <c r="Z703" s="468"/>
    </row>
    <row r="704" spans="1:26" ht="18" customHeight="1" x14ac:dyDescent="0.35">
      <c r="A704" s="468"/>
      <c r="B704" s="468"/>
      <c r="C704" s="468"/>
      <c r="D704" s="468"/>
      <c r="E704" s="468"/>
      <c r="F704" s="468"/>
      <c r="G704" s="468"/>
      <c r="H704" s="468"/>
      <c r="I704" s="468"/>
      <c r="J704" s="468"/>
      <c r="K704" s="468"/>
      <c r="L704" s="468"/>
      <c r="M704" s="468"/>
      <c r="N704" s="468"/>
      <c r="O704" s="468"/>
      <c r="P704" s="468"/>
      <c r="Q704" s="468"/>
      <c r="R704" s="468"/>
      <c r="S704" s="468"/>
      <c r="T704" s="468"/>
      <c r="U704" s="468"/>
      <c r="V704" s="468"/>
      <c r="W704" s="468"/>
      <c r="X704" s="468"/>
      <c r="Y704" s="468"/>
      <c r="Z704" s="468"/>
    </row>
    <row r="705" spans="1:26" ht="18" customHeight="1" x14ac:dyDescent="0.35">
      <c r="A705" s="468"/>
      <c r="B705" s="468"/>
      <c r="C705" s="468"/>
      <c r="D705" s="468"/>
      <c r="E705" s="468"/>
      <c r="F705" s="468"/>
      <c r="G705" s="468"/>
      <c r="H705" s="468"/>
      <c r="I705" s="468"/>
      <c r="J705" s="468"/>
      <c r="K705" s="468"/>
      <c r="L705" s="468"/>
      <c r="M705" s="468"/>
      <c r="N705" s="468"/>
      <c r="O705" s="468"/>
      <c r="P705" s="468"/>
      <c r="Q705" s="468"/>
      <c r="R705" s="468"/>
      <c r="S705" s="468"/>
      <c r="T705" s="468"/>
      <c r="U705" s="468"/>
      <c r="V705" s="468"/>
      <c r="W705" s="468"/>
      <c r="X705" s="468"/>
      <c r="Y705" s="468"/>
      <c r="Z705" s="468"/>
    </row>
    <row r="706" spans="1:26" ht="18" customHeight="1" x14ac:dyDescent="0.35">
      <c r="A706" s="468"/>
      <c r="B706" s="468"/>
      <c r="C706" s="468"/>
      <c r="D706" s="468"/>
      <c r="E706" s="468"/>
      <c r="F706" s="468"/>
      <c r="G706" s="468"/>
      <c r="H706" s="468"/>
      <c r="I706" s="468"/>
      <c r="J706" s="468"/>
      <c r="K706" s="468"/>
      <c r="L706" s="468"/>
      <c r="M706" s="468"/>
      <c r="N706" s="468"/>
      <c r="O706" s="468"/>
      <c r="P706" s="468"/>
      <c r="Q706" s="468"/>
      <c r="R706" s="468"/>
      <c r="S706" s="468"/>
      <c r="T706" s="468"/>
      <c r="U706" s="468"/>
      <c r="V706" s="468"/>
      <c r="W706" s="468"/>
      <c r="X706" s="468"/>
      <c r="Y706" s="468"/>
      <c r="Z706" s="468"/>
    </row>
    <row r="707" spans="1:26" ht="18" customHeight="1" x14ac:dyDescent="0.35">
      <c r="A707" s="468"/>
      <c r="B707" s="468"/>
      <c r="C707" s="468"/>
      <c r="D707" s="468"/>
      <c r="E707" s="468"/>
      <c r="F707" s="468"/>
      <c r="G707" s="468"/>
      <c r="H707" s="468"/>
      <c r="I707" s="468"/>
      <c r="J707" s="468"/>
      <c r="K707" s="468"/>
      <c r="L707" s="468"/>
      <c r="M707" s="468"/>
      <c r="N707" s="468"/>
      <c r="O707" s="468"/>
      <c r="P707" s="468"/>
      <c r="Q707" s="468"/>
      <c r="R707" s="468"/>
      <c r="S707" s="468"/>
      <c r="T707" s="468"/>
      <c r="U707" s="468"/>
      <c r="V707" s="468"/>
      <c r="W707" s="468"/>
      <c r="X707" s="468"/>
      <c r="Y707" s="468"/>
      <c r="Z707" s="468"/>
    </row>
    <row r="708" spans="1:26" ht="18" customHeight="1" x14ac:dyDescent="0.35">
      <c r="A708" s="468"/>
      <c r="B708" s="468"/>
      <c r="C708" s="468"/>
      <c r="D708" s="468"/>
      <c r="E708" s="468"/>
      <c r="F708" s="468"/>
      <c r="G708" s="468"/>
      <c r="H708" s="468"/>
      <c r="I708" s="468"/>
      <c r="J708" s="468"/>
      <c r="K708" s="468"/>
      <c r="L708" s="468"/>
      <c r="M708" s="468"/>
      <c r="N708" s="468"/>
      <c r="O708" s="468"/>
      <c r="P708" s="468"/>
      <c r="Q708" s="468"/>
      <c r="R708" s="468"/>
      <c r="S708" s="468"/>
      <c r="T708" s="468"/>
      <c r="U708" s="468"/>
      <c r="V708" s="468"/>
      <c r="W708" s="468"/>
      <c r="X708" s="468"/>
      <c r="Y708" s="468"/>
      <c r="Z708" s="468"/>
    </row>
    <row r="709" spans="1:26" ht="18" customHeight="1" x14ac:dyDescent="0.35">
      <c r="A709" s="468"/>
      <c r="B709" s="468"/>
      <c r="C709" s="468"/>
      <c r="D709" s="468"/>
      <c r="E709" s="468"/>
      <c r="F709" s="468"/>
      <c r="G709" s="468"/>
      <c r="H709" s="468"/>
      <c r="I709" s="468"/>
      <c r="J709" s="468"/>
      <c r="K709" s="468"/>
      <c r="L709" s="468"/>
      <c r="M709" s="468"/>
      <c r="N709" s="468"/>
      <c r="O709" s="468"/>
      <c r="P709" s="468"/>
      <c r="Q709" s="468"/>
      <c r="R709" s="468"/>
      <c r="S709" s="468"/>
      <c r="T709" s="468"/>
      <c r="U709" s="468"/>
      <c r="V709" s="468"/>
      <c r="W709" s="468"/>
      <c r="X709" s="468"/>
      <c r="Y709" s="468"/>
      <c r="Z709" s="468"/>
    </row>
    <row r="710" spans="1:26" ht="18" customHeight="1" x14ac:dyDescent="0.35">
      <c r="A710" s="468"/>
      <c r="B710" s="468"/>
      <c r="C710" s="468"/>
      <c r="D710" s="468"/>
      <c r="E710" s="468"/>
      <c r="F710" s="468"/>
      <c r="G710" s="468"/>
      <c r="H710" s="468"/>
      <c r="I710" s="468"/>
      <c r="J710" s="468"/>
      <c r="K710" s="468"/>
      <c r="L710" s="468"/>
      <c r="M710" s="468"/>
      <c r="N710" s="468"/>
      <c r="O710" s="468"/>
      <c r="P710" s="468"/>
      <c r="Q710" s="468"/>
      <c r="R710" s="468"/>
      <c r="S710" s="468"/>
      <c r="T710" s="468"/>
      <c r="U710" s="468"/>
      <c r="V710" s="468"/>
      <c r="W710" s="468"/>
      <c r="X710" s="468"/>
      <c r="Y710" s="468"/>
      <c r="Z710" s="468"/>
    </row>
    <row r="711" spans="1:26" ht="18" customHeight="1" x14ac:dyDescent="0.35">
      <c r="A711" s="468"/>
      <c r="B711" s="468"/>
      <c r="C711" s="468"/>
      <c r="D711" s="468"/>
      <c r="E711" s="468"/>
      <c r="F711" s="468"/>
      <c r="G711" s="468"/>
      <c r="H711" s="468"/>
      <c r="I711" s="468"/>
      <c r="J711" s="468"/>
      <c r="K711" s="468"/>
      <c r="L711" s="468"/>
      <c r="M711" s="468"/>
      <c r="N711" s="468"/>
      <c r="O711" s="468"/>
      <c r="P711" s="468"/>
      <c r="Q711" s="468"/>
      <c r="R711" s="468"/>
      <c r="S711" s="468"/>
      <c r="T711" s="468"/>
      <c r="U711" s="468"/>
      <c r="V711" s="468"/>
      <c r="W711" s="468"/>
      <c r="X711" s="468"/>
      <c r="Y711" s="468"/>
      <c r="Z711" s="468"/>
    </row>
    <row r="712" spans="1:26" ht="18" customHeight="1" x14ac:dyDescent="0.35">
      <c r="A712" s="468"/>
      <c r="B712" s="468"/>
      <c r="C712" s="468"/>
      <c r="D712" s="468"/>
      <c r="E712" s="468"/>
      <c r="F712" s="468"/>
      <c r="G712" s="468"/>
      <c r="H712" s="468"/>
      <c r="I712" s="468"/>
      <c r="J712" s="468"/>
      <c r="K712" s="468"/>
      <c r="L712" s="468"/>
      <c r="M712" s="468"/>
      <c r="N712" s="468"/>
      <c r="O712" s="468"/>
      <c r="P712" s="468"/>
      <c r="Q712" s="468"/>
      <c r="R712" s="468"/>
      <c r="S712" s="468"/>
      <c r="T712" s="468"/>
      <c r="U712" s="468"/>
      <c r="V712" s="468"/>
      <c r="W712" s="468"/>
      <c r="X712" s="468"/>
      <c r="Y712" s="468"/>
      <c r="Z712" s="468"/>
    </row>
    <row r="713" spans="1:26" ht="18" customHeight="1" x14ac:dyDescent="0.35">
      <c r="A713" s="468"/>
      <c r="B713" s="468"/>
      <c r="C713" s="468"/>
      <c r="D713" s="468"/>
      <c r="E713" s="468"/>
      <c r="F713" s="468"/>
      <c r="G713" s="468"/>
      <c r="H713" s="468"/>
      <c r="I713" s="468"/>
      <c r="J713" s="468"/>
      <c r="K713" s="468"/>
      <c r="L713" s="468"/>
      <c r="M713" s="468"/>
      <c r="N713" s="468"/>
      <c r="O713" s="468"/>
      <c r="P713" s="468"/>
      <c r="Q713" s="468"/>
      <c r="R713" s="468"/>
      <c r="S713" s="468"/>
      <c r="T713" s="468"/>
      <c r="U713" s="468"/>
      <c r="V713" s="468"/>
      <c r="W713" s="468"/>
      <c r="X713" s="468"/>
      <c r="Y713" s="468"/>
      <c r="Z713" s="468"/>
    </row>
    <row r="714" spans="1:26" ht="18" customHeight="1" x14ac:dyDescent="0.35">
      <c r="A714" s="468"/>
      <c r="B714" s="468"/>
      <c r="C714" s="468"/>
      <c r="D714" s="468"/>
      <c r="E714" s="468"/>
      <c r="F714" s="468"/>
      <c r="G714" s="468"/>
      <c r="H714" s="468"/>
      <c r="I714" s="468"/>
      <c r="J714" s="468"/>
      <c r="K714" s="468"/>
      <c r="L714" s="468"/>
      <c r="M714" s="468"/>
      <c r="N714" s="468"/>
      <c r="O714" s="468"/>
      <c r="P714" s="468"/>
      <c r="Q714" s="468"/>
      <c r="R714" s="468"/>
      <c r="S714" s="468"/>
      <c r="T714" s="468"/>
      <c r="U714" s="468"/>
      <c r="V714" s="468"/>
      <c r="W714" s="468"/>
      <c r="X714" s="468"/>
      <c r="Y714" s="468"/>
      <c r="Z714" s="468"/>
    </row>
    <row r="715" spans="1:26" ht="18" customHeight="1" x14ac:dyDescent="0.35">
      <c r="A715" s="468"/>
      <c r="B715" s="468"/>
      <c r="C715" s="468"/>
      <c r="D715" s="468"/>
      <c r="E715" s="468"/>
      <c r="F715" s="468"/>
      <c r="G715" s="468"/>
      <c r="H715" s="468"/>
      <c r="I715" s="468"/>
      <c r="J715" s="468"/>
      <c r="K715" s="468"/>
      <c r="L715" s="468"/>
      <c r="M715" s="468"/>
      <c r="N715" s="468"/>
      <c r="O715" s="468"/>
      <c r="P715" s="468"/>
      <c r="Q715" s="468"/>
      <c r="R715" s="468"/>
      <c r="S715" s="468"/>
      <c r="T715" s="468"/>
      <c r="U715" s="468"/>
      <c r="V715" s="468"/>
      <c r="W715" s="468"/>
      <c r="X715" s="468"/>
      <c r="Y715" s="468"/>
      <c r="Z715" s="468"/>
    </row>
    <row r="716" spans="1:26" ht="18" customHeight="1" x14ac:dyDescent="0.35">
      <c r="A716" s="468"/>
      <c r="B716" s="468"/>
      <c r="C716" s="468"/>
      <c r="D716" s="468"/>
      <c r="E716" s="468"/>
      <c r="F716" s="468"/>
      <c r="G716" s="468"/>
      <c r="H716" s="468"/>
      <c r="I716" s="468"/>
      <c r="J716" s="468"/>
      <c r="K716" s="468"/>
      <c r="L716" s="468"/>
      <c r="M716" s="468"/>
      <c r="N716" s="468"/>
      <c r="O716" s="468"/>
      <c r="P716" s="468"/>
      <c r="Q716" s="468"/>
      <c r="R716" s="468"/>
      <c r="S716" s="468"/>
      <c r="T716" s="468"/>
      <c r="U716" s="468"/>
      <c r="V716" s="468"/>
      <c r="W716" s="468"/>
      <c r="X716" s="468"/>
      <c r="Y716" s="468"/>
      <c r="Z716" s="468"/>
    </row>
    <row r="717" spans="1:26" ht="18" customHeight="1" x14ac:dyDescent="0.35">
      <c r="A717" s="468"/>
      <c r="B717" s="468"/>
      <c r="C717" s="468"/>
      <c r="D717" s="468"/>
      <c r="E717" s="468"/>
      <c r="F717" s="468"/>
      <c r="G717" s="468"/>
      <c r="H717" s="468"/>
      <c r="I717" s="468"/>
      <c r="J717" s="468"/>
      <c r="K717" s="468"/>
      <c r="L717" s="468"/>
      <c r="M717" s="468"/>
      <c r="N717" s="468"/>
      <c r="O717" s="468"/>
      <c r="P717" s="468"/>
      <c r="Q717" s="468"/>
      <c r="R717" s="468"/>
      <c r="S717" s="468"/>
      <c r="T717" s="468"/>
      <c r="U717" s="468"/>
      <c r="V717" s="468"/>
      <c r="W717" s="468"/>
      <c r="X717" s="468"/>
      <c r="Y717" s="468"/>
      <c r="Z717" s="468"/>
    </row>
    <row r="718" spans="1:26" ht="18" customHeight="1" x14ac:dyDescent="0.35">
      <c r="A718" s="468"/>
      <c r="B718" s="468"/>
      <c r="C718" s="468"/>
      <c r="D718" s="468"/>
      <c r="E718" s="468"/>
      <c r="F718" s="468"/>
      <c r="G718" s="468"/>
      <c r="H718" s="468"/>
      <c r="I718" s="468"/>
      <c r="J718" s="468"/>
      <c r="K718" s="468"/>
      <c r="L718" s="468"/>
      <c r="M718" s="468"/>
      <c r="N718" s="468"/>
      <c r="O718" s="468"/>
      <c r="P718" s="468"/>
      <c r="Q718" s="468"/>
      <c r="R718" s="468"/>
      <c r="S718" s="468"/>
      <c r="T718" s="468"/>
      <c r="U718" s="468"/>
      <c r="V718" s="468"/>
      <c r="W718" s="468"/>
      <c r="X718" s="468"/>
      <c r="Y718" s="468"/>
      <c r="Z718" s="468"/>
    </row>
    <row r="719" spans="1:26" ht="18" customHeight="1" x14ac:dyDescent="0.35">
      <c r="A719" s="468"/>
      <c r="B719" s="468"/>
      <c r="C719" s="468"/>
      <c r="D719" s="468"/>
      <c r="E719" s="468"/>
      <c r="F719" s="468"/>
      <c r="G719" s="468"/>
      <c r="H719" s="468"/>
      <c r="I719" s="468"/>
      <c r="J719" s="468"/>
      <c r="K719" s="468"/>
      <c r="L719" s="468"/>
      <c r="M719" s="468"/>
      <c r="N719" s="468"/>
      <c r="O719" s="468"/>
      <c r="P719" s="468"/>
      <c r="Q719" s="468"/>
      <c r="R719" s="468"/>
      <c r="S719" s="468"/>
      <c r="T719" s="468"/>
      <c r="U719" s="468"/>
      <c r="V719" s="468"/>
      <c r="W719" s="468"/>
      <c r="X719" s="468"/>
      <c r="Y719" s="468"/>
      <c r="Z719" s="468"/>
    </row>
    <row r="720" spans="1:26" ht="18" customHeight="1" x14ac:dyDescent="0.35">
      <c r="A720" s="468"/>
      <c r="B720" s="468"/>
      <c r="C720" s="468"/>
      <c r="D720" s="468"/>
      <c r="E720" s="468"/>
      <c r="F720" s="468"/>
      <c r="G720" s="468"/>
      <c r="H720" s="468"/>
      <c r="I720" s="468"/>
      <c r="J720" s="468"/>
      <c r="K720" s="468"/>
      <c r="L720" s="468"/>
      <c r="M720" s="468"/>
      <c r="N720" s="468"/>
      <c r="O720" s="468"/>
      <c r="P720" s="468"/>
      <c r="Q720" s="468"/>
      <c r="R720" s="468"/>
      <c r="S720" s="468"/>
      <c r="T720" s="468"/>
      <c r="U720" s="468"/>
      <c r="V720" s="468"/>
      <c r="W720" s="468"/>
      <c r="X720" s="468"/>
      <c r="Y720" s="468"/>
      <c r="Z720" s="468"/>
    </row>
    <row r="721" spans="1:26" ht="18" customHeight="1" x14ac:dyDescent="0.35">
      <c r="A721" s="468"/>
      <c r="B721" s="468"/>
      <c r="C721" s="468"/>
      <c r="D721" s="468"/>
      <c r="E721" s="468"/>
      <c r="F721" s="468"/>
      <c r="G721" s="468"/>
      <c r="H721" s="468"/>
      <c r="I721" s="468"/>
      <c r="J721" s="468"/>
      <c r="K721" s="468"/>
      <c r="L721" s="468"/>
      <c r="M721" s="468"/>
      <c r="N721" s="468"/>
      <c r="O721" s="468"/>
      <c r="P721" s="468"/>
      <c r="Q721" s="468"/>
      <c r="R721" s="468"/>
      <c r="S721" s="468"/>
      <c r="T721" s="468"/>
      <c r="U721" s="468"/>
      <c r="V721" s="468"/>
      <c r="W721" s="468"/>
      <c r="X721" s="468"/>
      <c r="Y721" s="468"/>
      <c r="Z721" s="468"/>
    </row>
    <row r="722" spans="1:26" ht="18" customHeight="1" x14ac:dyDescent="0.35">
      <c r="A722" s="468"/>
      <c r="B722" s="468"/>
      <c r="C722" s="468"/>
      <c r="D722" s="468"/>
      <c r="E722" s="468"/>
      <c r="F722" s="468"/>
      <c r="G722" s="468"/>
      <c r="H722" s="468"/>
      <c r="I722" s="468"/>
      <c r="J722" s="468"/>
      <c r="K722" s="468"/>
      <c r="L722" s="468"/>
      <c r="M722" s="468"/>
      <c r="N722" s="468"/>
      <c r="O722" s="468"/>
      <c r="P722" s="468"/>
      <c r="Q722" s="468"/>
      <c r="R722" s="468"/>
      <c r="S722" s="468"/>
      <c r="T722" s="468"/>
      <c r="U722" s="468"/>
      <c r="V722" s="468"/>
      <c r="W722" s="468"/>
      <c r="X722" s="468"/>
      <c r="Y722" s="468"/>
      <c r="Z722" s="468"/>
    </row>
    <row r="723" spans="1:26" ht="18" customHeight="1" x14ac:dyDescent="0.35">
      <c r="A723" s="468"/>
      <c r="B723" s="468"/>
      <c r="C723" s="468"/>
      <c r="D723" s="468"/>
      <c r="E723" s="468"/>
      <c r="F723" s="468"/>
      <c r="G723" s="468"/>
      <c r="H723" s="468"/>
      <c r="I723" s="468"/>
      <c r="J723" s="468"/>
      <c r="K723" s="468"/>
      <c r="L723" s="468"/>
      <c r="M723" s="468"/>
      <c r="N723" s="468"/>
      <c r="O723" s="468"/>
      <c r="P723" s="468"/>
      <c r="Q723" s="468"/>
      <c r="R723" s="468"/>
      <c r="S723" s="468"/>
      <c r="T723" s="468"/>
      <c r="U723" s="468"/>
      <c r="V723" s="468"/>
      <c r="W723" s="468"/>
      <c r="X723" s="468"/>
      <c r="Y723" s="468"/>
      <c r="Z723" s="468"/>
    </row>
    <row r="724" spans="1:26" ht="18" customHeight="1" x14ac:dyDescent="0.35">
      <c r="A724" s="468"/>
      <c r="B724" s="468"/>
      <c r="C724" s="468"/>
      <c r="D724" s="468"/>
      <c r="E724" s="468"/>
      <c r="F724" s="468"/>
      <c r="G724" s="468"/>
      <c r="H724" s="468"/>
      <c r="I724" s="468"/>
      <c r="J724" s="468"/>
      <c r="K724" s="468"/>
      <c r="L724" s="468"/>
      <c r="M724" s="468"/>
      <c r="N724" s="468"/>
      <c r="O724" s="468"/>
      <c r="P724" s="468"/>
      <c r="Q724" s="468"/>
      <c r="R724" s="468"/>
      <c r="S724" s="468"/>
      <c r="T724" s="468"/>
      <c r="U724" s="468"/>
      <c r="V724" s="468"/>
      <c r="W724" s="468"/>
      <c r="X724" s="468"/>
      <c r="Y724" s="468"/>
      <c r="Z724" s="468"/>
    </row>
    <row r="725" spans="1:26" ht="18" customHeight="1" x14ac:dyDescent="0.35">
      <c r="A725" s="468"/>
      <c r="B725" s="468"/>
      <c r="C725" s="468"/>
      <c r="D725" s="468"/>
      <c r="E725" s="468"/>
      <c r="F725" s="468"/>
      <c r="G725" s="468"/>
      <c r="H725" s="468"/>
      <c r="I725" s="468"/>
      <c r="J725" s="468"/>
      <c r="K725" s="468"/>
      <c r="L725" s="468"/>
      <c r="M725" s="468"/>
      <c r="N725" s="468"/>
      <c r="O725" s="468"/>
      <c r="P725" s="468"/>
      <c r="Q725" s="468"/>
      <c r="R725" s="468"/>
      <c r="S725" s="468"/>
      <c r="T725" s="468"/>
      <c r="U725" s="468"/>
      <c r="V725" s="468"/>
      <c r="W725" s="468"/>
      <c r="X725" s="468"/>
      <c r="Y725" s="468"/>
      <c r="Z725" s="468"/>
    </row>
    <row r="726" spans="1:26" ht="18" customHeight="1" x14ac:dyDescent="0.35">
      <c r="A726" s="468"/>
      <c r="B726" s="468"/>
      <c r="C726" s="468"/>
      <c r="D726" s="468"/>
      <c r="E726" s="468"/>
      <c r="F726" s="468"/>
      <c r="G726" s="468"/>
      <c r="H726" s="468"/>
      <c r="I726" s="468"/>
      <c r="J726" s="468"/>
      <c r="K726" s="468"/>
      <c r="L726" s="468"/>
      <c r="M726" s="468"/>
      <c r="N726" s="468"/>
      <c r="O726" s="468"/>
      <c r="P726" s="468"/>
      <c r="Q726" s="468"/>
      <c r="R726" s="468"/>
      <c r="S726" s="468"/>
      <c r="T726" s="468"/>
      <c r="U726" s="468"/>
      <c r="V726" s="468"/>
      <c r="W726" s="468"/>
      <c r="X726" s="468"/>
      <c r="Y726" s="468"/>
      <c r="Z726" s="468"/>
    </row>
    <row r="727" spans="1:26" ht="18" customHeight="1" x14ac:dyDescent="0.35">
      <c r="A727" s="468"/>
      <c r="B727" s="468"/>
      <c r="C727" s="468"/>
      <c r="D727" s="468"/>
      <c r="E727" s="468"/>
      <c r="F727" s="468"/>
      <c r="G727" s="468"/>
      <c r="H727" s="468"/>
      <c r="I727" s="468"/>
      <c r="J727" s="468"/>
      <c r="K727" s="468"/>
      <c r="L727" s="468"/>
      <c r="M727" s="468"/>
      <c r="N727" s="468"/>
      <c r="O727" s="468"/>
      <c r="P727" s="468"/>
      <c r="Q727" s="468"/>
      <c r="R727" s="468"/>
      <c r="S727" s="468"/>
      <c r="T727" s="468"/>
      <c r="U727" s="468"/>
      <c r="V727" s="468"/>
      <c r="W727" s="468"/>
      <c r="X727" s="468"/>
      <c r="Y727" s="468"/>
      <c r="Z727" s="468"/>
    </row>
    <row r="728" spans="1:26" ht="18" customHeight="1" x14ac:dyDescent="0.35">
      <c r="A728" s="468"/>
      <c r="B728" s="468"/>
      <c r="C728" s="468"/>
      <c r="D728" s="468"/>
      <c r="E728" s="468"/>
      <c r="F728" s="468"/>
      <c r="G728" s="468"/>
      <c r="H728" s="468"/>
      <c r="I728" s="468"/>
      <c r="J728" s="468"/>
      <c r="K728" s="468"/>
      <c r="L728" s="468"/>
      <c r="M728" s="468"/>
      <c r="N728" s="468"/>
      <c r="O728" s="468"/>
      <c r="P728" s="468"/>
      <c r="Q728" s="468"/>
      <c r="R728" s="468"/>
      <c r="S728" s="468"/>
      <c r="T728" s="468"/>
      <c r="U728" s="468"/>
      <c r="V728" s="468"/>
      <c r="W728" s="468"/>
      <c r="X728" s="468"/>
      <c r="Y728" s="468"/>
      <c r="Z728" s="468"/>
    </row>
    <row r="729" spans="1:26" ht="18" customHeight="1" x14ac:dyDescent="0.35">
      <c r="A729" s="468"/>
      <c r="B729" s="468"/>
      <c r="C729" s="468"/>
      <c r="D729" s="468"/>
      <c r="E729" s="468"/>
      <c r="F729" s="468"/>
      <c r="G729" s="468"/>
      <c r="H729" s="468"/>
      <c r="I729" s="468"/>
      <c r="J729" s="468"/>
      <c r="K729" s="468"/>
      <c r="L729" s="468"/>
      <c r="M729" s="468"/>
      <c r="N729" s="468"/>
      <c r="O729" s="468"/>
      <c r="P729" s="468"/>
      <c r="Q729" s="468"/>
      <c r="R729" s="468"/>
      <c r="S729" s="468"/>
      <c r="T729" s="468"/>
      <c r="U729" s="468"/>
      <c r="V729" s="468"/>
      <c r="W729" s="468"/>
      <c r="X729" s="468"/>
      <c r="Y729" s="468"/>
      <c r="Z729" s="468"/>
    </row>
    <row r="730" spans="1:26" ht="18" customHeight="1" x14ac:dyDescent="0.35">
      <c r="A730" s="468"/>
      <c r="B730" s="468"/>
      <c r="C730" s="468"/>
      <c r="D730" s="468"/>
      <c r="E730" s="468"/>
      <c r="F730" s="468"/>
      <c r="G730" s="468"/>
      <c r="H730" s="468"/>
      <c r="I730" s="468"/>
      <c r="J730" s="468"/>
      <c r="K730" s="468"/>
      <c r="L730" s="468"/>
      <c r="M730" s="468"/>
      <c r="N730" s="468"/>
      <c r="O730" s="468"/>
      <c r="P730" s="468"/>
      <c r="Q730" s="468"/>
      <c r="R730" s="468"/>
      <c r="S730" s="468"/>
      <c r="T730" s="468"/>
      <c r="U730" s="468"/>
      <c r="V730" s="468"/>
      <c r="W730" s="468"/>
      <c r="X730" s="468"/>
      <c r="Y730" s="468"/>
      <c r="Z730" s="468"/>
    </row>
    <row r="731" spans="1:26" ht="18" customHeight="1" x14ac:dyDescent="0.35">
      <c r="A731" s="468"/>
      <c r="B731" s="468"/>
      <c r="C731" s="468"/>
      <c r="D731" s="468"/>
      <c r="E731" s="468"/>
      <c r="F731" s="468"/>
      <c r="G731" s="468"/>
      <c r="H731" s="468"/>
      <c r="I731" s="468"/>
      <c r="J731" s="468"/>
      <c r="K731" s="468"/>
      <c r="L731" s="468"/>
      <c r="M731" s="468"/>
      <c r="N731" s="468"/>
      <c r="O731" s="468"/>
      <c r="P731" s="468"/>
      <c r="Q731" s="468"/>
      <c r="R731" s="468"/>
      <c r="S731" s="468"/>
      <c r="T731" s="468"/>
      <c r="U731" s="468"/>
      <c r="V731" s="468"/>
      <c r="W731" s="468"/>
      <c r="X731" s="468"/>
      <c r="Y731" s="468"/>
      <c r="Z731" s="468"/>
    </row>
    <row r="732" spans="1:26" ht="18" customHeight="1" x14ac:dyDescent="0.35">
      <c r="A732" s="468"/>
      <c r="B732" s="468"/>
      <c r="C732" s="468"/>
      <c r="D732" s="468"/>
      <c r="E732" s="468"/>
      <c r="F732" s="468"/>
      <c r="G732" s="468"/>
      <c r="H732" s="468"/>
      <c r="I732" s="468"/>
      <c r="J732" s="468"/>
      <c r="K732" s="468"/>
      <c r="L732" s="468"/>
      <c r="M732" s="468"/>
      <c r="N732" s="468"/>
      <c r="O732" s="468"/>
      <c r="P732" s="468"/>
      <c r="Q732" s="468"/>
      <c r="R732" s="468"/>
      <c r="S732" s="468"/>
      <c r="T732" s="468"/>
      <c r="U732" s="468"/>
      <c r="V732" s="468"/>
      <c r="W732" s="468"/>
      <c r="X732" s="468"/>
      <c r="Y732" s="468"/>
      <c r="Z732" s="468"/>
    </row>
    <row r="733" spans="1:26" ht="18" customHeight="1" x14ac:dyDescent="0.35">
      <c r="A733" s="468"/>
      <c r="B733" s="468"/>
      <c r="C733" s="468"/>
      <c r="D733" s="468"/>
      <c r="E733" s="468"/>
      <c r="F733" s="468"/>
      <c r="G733" s="468"/>
      <c r="H733" s="468"/>
      <c r="I733" s="468"/>
      <c r="J733" s="468"/>
      <c r="K733" s="468"/>
      <c r="L733" s="468"/>
      <c r="M733" s="468"/>
      <c r="N733" s="468"/>
      <c r="O733" s="468"/>
      <c r="P733" s="468"/>
      <c r="Q733" s="468"/>
      <c r="R733" s="468"/>
      <c r="S733" s="468"/>
      <c r="T733" s="468"/>
      <c r="U733" s="468"/>
      <c r="V733" s="468"/>
      <c r="W733" s="468"/>
      <c r="X733" s="468"/>
      <c r="Y733" s="468"/>
      <c r="Z733" s="468"/>
    </row>
    <row r="734" spans="1:26" ht="18" customHeight="1" x14ac:dyDescent="0.35">
      <c r="A734" s="468"/>
      <c r="B734" s="468"/>
      <c r="C734" s="468"/>
      <c r="D734" s="468"/>
      <c r="E734" s="468"/>
      <c r="F734" s="468"/>
      <c r="G734" s="468"/>
      <c r="H734" s="468"/>
      <c r="I734" s="468"/>
      <c r="J734" s="468"/>
      <c r="K734" s="468"/>
      <c r="L734" s="468"/>
      <c r="M734" s="468"/>
      <c r="N734" s="468"/>
      <c r="O734" s="468"/>
      <c r="P734" s="468"/>
      <c r="Q734" s="468"/>
      <c r="R734" s="468"/>
      <c r="S734" s="468"/>
      <c r="T734" s="468"/>
      <c r="U734" s="468"/>
      <c r="V734" s="468"/>
      <c r="W734" s="468"/>
      <c r="X734" s="468"/>
      <c r="Y734" s="468"/>
      <c r="Z734" s="468"/>
    </row>
    <row r="735" spans="1:26" ht="18" customHeight="1" x14ac:dyDescent="0.35">
      <c r="A735" s="468"/>
      <c r="B735" s="468"/>
      <c r="C735" s="468"/>
      <c r="D735" s="468"/>
      <c r="E735" s="468"/>
      <c r="F735" s="468"/>
      <c r="G735" s="468"/>
      <c r="H735" s="468"/>
      <c r="I735" s="468"/>
      <c r="J735" s="468"/>
      <c r="K735" s="468"/>
      <c r="L735" s="468"/>
      <c r="M735" s="468"/>
      <c r="N735" s="468"/>
      <c r="O735" s="468"/>
      <c r="P735" s="468"/>
      <c r="Q735" s="468"/>
      <c r="R735" s="468"/>
      <c r="S735" s="468"/>
      <c r="T735" s="468"/>
      <c r="U735" s="468"/>
      <c r="V735" s="468"/>
      <c r="W735" s="468"/>
      <c r="X735" s="468"/>
      <c r="Y735" s="468"/>
      <c r="Z735" s="468"/>
    </row>
    <row r="736" spans="1:26" ht="18" customHeight="1" x14ac:dyDescent="0.35">
      <c r="A736" s="468"/>
      <c r="B736" s="468"/>
      <c r="C736" s="468"/>
      <c r="D736" s="468"/>
      <c r="E736" s="468"/>
      <c r="F736" s="468"/>
      <c r="G736" s="468"/>
      <c r="H736" s="468"/>
      <c r="I736" s="468"/>
      <c r="J736" s="468"/>
      <c r="K736" s="468"/>
      <c r="L736" s="468"/>
      <c r="M736" s="468"/>
      <c r="N736" s="468"/>
      <c r="O736" s="468"/>
      <c r="P736" s="468"/>
      <c r="Q736" s="468"/>
      <c r="R736" s="468"/>
      <c r="S736" s="468"/>
      <c r="T736" s="468"/>
      <c r="U736" s="468"/>
      <c r="V736" s="468"/>
      <c r="W736" s="468"/>
      <c r="X736" s="468"/>
      <c r="Y736" s="468"/>
      <c r="Z736" s="468"/>
    </row>
    <row r="737" spans="1:26" ht="18" customHeight="1" x14ac:dyDescent="0.35">
      <c r="A737" s="468"/>
      <c r="B737" s="468"/>
      <c r="C737" s="468"/>
      <c r="D737" s="468"/>
      <c r="E737" s="468"/>
      <c r="F737" s="468"/>
      <c r="G737" s="468"/>
      <c r="H737" s="468"/>
      <c r="I737" s="468"/>
      <c r="J737" s="468"/>
      <c r="K737" s="468"/>
      <c r="L737" s="468"/>
      <c r="M737" s="468"/>
      <c r="N737" s="468"/>
      <c r="O737" s="468"/>
      <c r="P737" s="468"/>
      <c r="Q737" s="468"/>
      <c r="R737" s="468"/>
      <c r="S737" s="468"/>
      <c r="T737" s="468"/>
      <c r="U737" s="468"/>
      <c r="V737" s="468"/>
      <c r="W737" s="468"/>
      <c r="X737" s="468"/>
      <c r="Y737" s="468"/>
      <c r="Z737" s="468"/>
    </row>
    <row r="738" spans="1:26" ht="18" customHeight="1" x14ac:dyDescent="0.35">
      <c r="A738" s="468"/>
      <c r="B738" s="468"/>
      <c r="C738" s="468"/>
      <c r="D738" s="468"/>
      <c r="E738" s="468"/>
      <c r="F738" s="468"/>
      <c r="G738" s="468"/>
      <c r="H738" s="468"/>
      <c r="I738" s="468"/>
      <c r="J738" s="468"/>
      <c r="K738" s="468"/>
      <c r="L738" s="468"/>
      <c r="M738" s="468"/>
      <c r="N738" s="468"/>
      <c r="O738" s="468"/>
      <c r="P738" s="468"/>
      <c r="Q738" s="468"/>
      <c r="R738" s="468"/>
      <c r="S738" s="468"/>
      <c r="T738" s="468"/>
      <c r="U738" s="468"/>
      <c r="V738" s="468"/>
      <c r="W738" s="468"/>
      <c r="X738" s="468"/>
      <c r="Y738" s="468"/>
      <c r="Z738" s="468"/>
    </row>
    <row r="739" spans="1:26" ht="18" customHeight="1" x14ac:dyDescent="0.35">
      <c r="A739" s="468"/>
      <c r="B739" s="468"/>
      <c r="C739" s="468"/>
      <c r="D739" s="468"/>
      <c r="E739" s="468"/>
      <c r="F739" s="468"/>
      <c r="G739" s="468"/>
      <c r="H739" s="468"/>
      <c r="I739" s="468"/>
      <c r="J739" s="468"/>
      <c r="K739" s="468"/>
      <c r="L739" s="468"/>
      <c r="M739" s="468"/>
      <c r="N739" s="468"/>
      <c r="O739" s="468"/>
      <c r="P739" s="468"/>
      <c r="Q739" s="468"/>
      <c r="R739" s="468"/>
      <c r="S739" s="468"/>
      <c r="T739" s="468"/>
      <c r="U739" s="468"/>
      <c r="V739" s="468"/>
      <c r="W739" s="468"/>
      <c r="X739" s="468"/>
      <c r="Y739" s="468"/>
      <c r="Z739" s="468"/>
    </row>
    <row r="740" spans="1:26" ht="18" customHeight="1" x14ac:dyDescent="0.35">
      <c r="A740" s="468"/>
      <c r="B740" s="468"/>
      <c r="C740" s="468"/>
      <c r="D740" s="468"/>
      <c r="E740" s="468"/>
      <c r="F740" s="468"/>
      <c r="G740" s="468"/>
      <c r="H740" s="468"/>
      <c r="I740" s="468"/>
      <c r="J740" s="468"/>
      <c r="K740" s="468"/>
      <c r="L740" s="468"/>
      <c r="M740" s="468"/>
      <c r="N740" s="468"/>
      <c r="O740" s="468"/>
      <c r="P740" s="468"/>
      <c r="Q740" s="468"/>
      <c r="R740" s="468"/>
      <c r="S740" s="468"/>
      <c r="T740" s="468"/>
      <c r="U740" s="468"/>
      <c r="V740" s="468"/>
      <c r="W740" s="468"/>
      <c r="X740" s="468"/>
      <c r="Y740" s="468"/>
      <c r="Z740" s="468"/>
    </row>
    <row r="741" spans="1:26" ht="18" customHeight="1" x14ac:dyDescent="0.35">
      <c r="A741" s="468"/>
      <c r="B741" s="468"/>
      <c r="C741" s="468"/>
      <c r="D741" s="468"/>
      <c r="E741" s="468"/>
      <c r="F741" s="468"/>
      <c r="G741" s="468"/>
      <c r="H741" s="468"/>
      <c r="I741" s="468"/>
      <c r="J741" s="468"/>
      <c r="K741" s="468"/>
      <c r="L741" s="468"/>
      <c r="M741" s="468"/>
      <c r="N741" s="468"/>
      <c r="O741" s="468"/>
      <c r="P741" s="468"/>
      <c r="Q741" s="468"/>
      <c r="R741" s="468"/>
      <c r="S741" s="468"/>
      <c r="T741" s="468"/>
      <c r="U741" s="468"/>
      <c r="V741" s="468"/>
      <c r="W741" s="468"/>
      <c r="X741" s="468"/>
      <c r="Y741" s="468"/>
      <c r="Z741" s="468"/>
    </row>
    <row r="742" spans="1:26" ht="18" customHeight="1" x14ac:dyDescent="0.35">
      <c r="A742" s="468"/>
      <c r="B742" s="468"/>
      <c r="C742" s="468"/>
      <c r="D742" s="468"/>
      <c r="E742" s="468"/>
      <c r="F742" s="468"/>
      <c r="G742" s="468"/>
      <c r="H742" s="468"/>
      <c r="I742" s="468"/>
      <c r="J742" s="468"/>
      <c r="K742" s="468"/>
      <c r="L742" s="468"/>
      <c r="M742" s="468"/>
      <c r="N742" s="468"/>
      <c r="O742" s="468"/>
      <c r="P742" s="468"/>
      <c r="Q742" s="468"/>
      <c r="R742" s="468"/>
      <c r="S742" s="468"/>
      <c r="T742" s="468"/>
      <c r="U742" s="468"/>
      <c r="V742" s="468"/>
      <c r="W742" s="468"/>
      <c r="X742" s="468"/>
      <c r="Y742" s="468"/>
      <c r="Z742" s="468"/>
    </row>
    <row r="743" spans="1:26" ht="18" customHeight="1" x14ac:dyDescent="0.35">
      <c r="A743" s="468"/>
      <c r="B743" s="468"/>
      <c r="C743" s="468"/>
      <c r="D743" s="468"/>
      <c r="E743" s="468"/>
      <c r="F743" s="468"/>
      <c r="G743" s="468"/>
      <c r="H743" s="468"/>
      <c r="I743" s="468"/>
      <c r="J743" s="468"/>
      <c r="K743" s="468"/>
      <c r="L743" s="468"/>
      <c r="M743" s="468"/>
      <c r="N743" s="468"/>
      <c r="O743" s="468"/>
      <c r="P743" s="468"/>
      <c r="Q743" s="468"/>
      <c r="R743" s="468"/>
      <c r="S743" s="468"/>
      <c r="T743" s="468"/>
      <c r="U743" s="468"/>
      <c r="V743" s="468"/>
      <c r="W743" s="468"/>
      <c r="X743" s="468"/>
      <c r="Y743" s="468"/>
      <c r="Z743" s="468"/>
    </row>
    <row r="744" spans="1:26" ht="18" customHeight="1" x14ac:dyDescent="0.35">
      <c r="A744" s="468"/>
      <c r="B744" s="468"/>
      <c r="C744" s="468"/>
      <c r="D744" s="468"/>
      <c r="E744" s="468"/>
      <c r="F744" s="468"/>
      <c r="G744" s="468"/>
      <c r="H744" s="468"/>
      <c r="I744" s="468"/>
      <c r="J744" s="468"/>
      <c r="K744" s="468"/>
      <c r="L744" s="468"/>
      <c r="M744" s="468"/>
      <c r="N744" s="468"/>
      <c r="O744" s="468"/>
      <c r="P744" s="468"/>
      <c r="Q744" s="468"/>
      <c r="R744" s="468"/>
      <c r="S744" s="468"/>
      <c r="T744" s="468"/>
      <c r="U744" s="468"/>
      <c r="V744" s="468"/>
      <c r="W744" s="468"/>
      <c r="X744" s="468"/>
      <c r="Y744" s="468"/>
      <c r="Z744" s="468"/>
    </row>
    <row r="745" spans="1:26" ht="18" customHeight="1" x14ac:dyDescent="0.35">
      <c r="A745" s="468"/>
      <c r="B745" s="468"/>
      <c r="C745" s="468"/>
      <c r="D745" s="468"/>
      <c r="E745" s="468"/>
      <c r="F745" s="468"/>
      <c r="G745" s="468"/>
      <c r="H745" s="468"/>
      <c r="I745" s="468"/>
      <c r="J745" s="468"/>
      <c r="K745" s="468"/>
      <c r="L745" s="468"/>
      <c r="M745" s="468"/>
      <c r="N745" s="468"/>
      <c r="O745" s="468"/>
      <c r="P745" s="468"/>
      <c r="Q745" s="468"/>
      <c r="R745" s="468"/>
      <c r="S745" s="468"/>
      <c r="T745" s="468"/>
      <c r="U745" s="468"/>
      <c r="V745" s="468"/>
      <c r="W745" s="468"/>
      <c r="X745" s="468"/>
      <c r="Y745" s="468"/>
      <c r="Z745" s="468"/>
    </row>
    <row r="746" spans="1:26" ht="18" customHeight="1" x14ac:dyDescent="0.35">
      <c r="A746" s="468"/>
      <c r="B746" s="468"/>
      <c r="C746" s="468"/>
      <c r="D746" s="468"/>
      <c r="E746" s="468"/>
      <c r="F746" s="468"/>
      <c r="G746" s="468"/>
      <c r="H746" s="468"/>
      <c r="I746" s="468"/>
      <c r="J746" s="468"/>
      <c r="K746" s="468"/>
      <c r="L746" s="468"/>
      <c r="M746" s="468"/>
      <c r="N746" s="468"/>
      <c r="O746" s="468"/>
      <c r="P746" s="468"/>
      <c r="Q746" s="468"/>
      <c r="R746" s="468"/>
      <c r="S746" s="468"/>
      <c r="T746" s="468"/>
      <c r="U746" s="468"/>
      <c r="V746" s="468"/>
      <c r="W746" s="468"/>
      <c r="X746" s="468"/>
      <c r="Y746" s="468"/>
      <c r="Z746" s="468"/>
    </row>
    <row r="747" spans="1:26" ht="18" customHeight="1" x14ac:dyDescent="0.35">
      <c r="A747" s="468"/>
      <c r="B747" s="468"/>
      <c r="C747" s="468"/>
      <c r="D747" s="468"/>
      <c r="E747" s="468"/>
      <c r="F747" s="468"/>
      <c r="G747" s="468"/>
      <c r="H747" s="468"/>
      <c r="I747" s="468"/>
      <c r="J747" s="468"/>
      <c r="K747" s="468"/>
      <c r="L747" s="468"/>
      <c r="M747" s="468"/>
      <c r="N747" s="468"/>
      <c r="O747" s="468"/>
      <c r="P747" s="468"/>
      <c r="Q747" s="468"/>
      <c r="R747" s="468"/>
      <c r="S747" s="468"/>
      <c r="T747" s="468"/>
      <c r="U747" s="468"/>
      <c r="V747" s="468"/>
      <c r="W747" s="468"/>
      <c r="X747" s="468"/>
      <c r="Y747" s="468"/>
      <c r="Z747" s="468"/>
    </row>
    <row r="748" spans="1:26" ht="18" customHeight="1" x14ac:dyDescent="0.35">
      <c r="A748" s="468"/>
      <c r="B748" s="468"/>
      <c r="C748" s="468"/>
      <c r="D748" s="468"/>
      <c r="E748" s="468"/>
      <c r="F748" s="468"/>
      <c r="G748" s="468"/>
      <c r="H748" s="468"/>
      <c r="I748" s="468"/>
      <c r="J748" s="468"/>
      <c r="K748" s="468"/>
      <c r="L748" s="468"/>
      <c r="M748" s="468"/>
      <c r="N748" s="468"/>
      <c r="O748" s="468"/>
      <c r="P748" s="468"/>
      <c r="Q748" s="468"/>
      <c r="R748" s="468"/>
      <c r="S748" s="468"/>
      <c r="T748" s="468"/>
      <c r="U748" s="468"/>
      <c r="V748" s="468"/>
      <c r="W748" s="468"/>
      <c r="X748" s="468"/>
      <c r="Y748" s="468"/>
      <c r="Z748" s="468"/>
    </row>
    <row r="749" spans="1:26" ht="18" customHeight="1" x14ac:dyDescent="0.35">
      <c r="A749" s="468"/>
      <c r="B749" s="468"/>
      <c r="C749" s="468"/>
      <c r="D749" s="468"/>
      <c r="E749" s="468"/>
      <c r="F749" s="468"/>
      <c r="G749" s="468"/>
      <c r="H749" s="468"/>
      <c r="I749" s="468"/>
      <c r="J749" s="468"/>
      <c r="K749" s="468"/>
      <c r="L749" s="468"/>
      <c r="M749" s="468"/>
      <c r="N749" s="468"/>
      <c r="O749" s="468"/>
      <c r="P749" s="468"/>
      <c r="Q749" s="468"/>
      <c r="R749" s="468"/>
      <c r="S749" s="468"/>
      <c r="T749" s="468"/>
      <c r="U749" s="468"/>
      <c r="V749" s="468"/>
      <c r="W749" s="468"/>
      <c r="X749" s="468"/>
      <c r="Y749" s="468"/>
      <c r="Z749" s="468"/>
    </row>
    <row r="750" spans="1:26" ht="18" customHeight="1" x14ac:dyDescent="0.35">
      <c r="A750" s="468"/>
      <c r="B750" s="468"/>
      <c r="C750" s="468"/>
      <c r="D750" s="468"/>
      <c r="E750" s="468"/>
      <c r="F750" s="468"/>
      <c r="G750" s="468"/>
      <c r="H750" s="468"/>
      <c r="I750" s="468"/>
      <c r="J750" s="468"/>
      <c r="K750" s="468"/>
      <c r="L750" s="468"/>
      <c r="M750" s="468"/>
      <c r="N750" s="468"/>
      <c r="O750" s="468"/>
      <c r="P750" s="468"/>
      <c r="Q750" s="468"/>
      <c r="R750" s="468"/>
      <c r="S750" s="468"/>
      <c r="T750" s="468"/>
      <c r="U750" s="468"/>
      <c r="V750" s="468"/>
      <c r="W750" s="468"/>
      <c r="X750" s="468"/>
      <c r="Y750" s="468"/>
      <c r="Z750" s="468"/>
    </row>
    <row r="751" spans="1:26" ht="18" customHeight="1" x14ac:dyDescent="0.35">
      <c r="A751" s="468"/>
      <c r="B751" s="468"/>
      <c r="C751" s="468"/>
      <c r="D751" s="468"/>
      <c r="E751" s="468"/>
      <c r="F751" s="468"/>
      <c r="G751" s="468"/>
      <c r="H751" s="468"/>
      <c r="I751" s="468"/>
      <c r="J751" s="468"/>
      <c r="K751" s="468"/>
      <c r="L751" s="468"/>
      <c r="M751" s="468"/>
      <c r="N751" s="468"/>
      <c r="O751" s="468"/>
      <c r="P751" s="468"/>
      <c r="Q751" s="468"/>
      <c r="R751" s="468"/>
      <c r="S751" s="468"/>
      <c r="T751" s="468"/>
      <c r="U751" s="468"/>
      <c r="V751" s="468"/>
      <c r="W751" s="468"/>
      <c r="X751" s="468"/>
      <c r="Y751" s="468"/>
      <c r="Z751" s="468"/>
    </row>
    <row r="752" spans="1:26" ht="18" customHeight="1" x14ac:dyDescent="0.35">
      <c r="A752" s="468"/>
      <c r="B752" s="468"/>
      <c r="C752" s="468"/>
      <c r="D752" s="468"/>
      <c r="E752" s="468"/>
      <c r="F752" s="468"/>
      <c r="G752" s="468"/>
      <c r="H752" s="468"/>
      <c r="I752" s="468"/>
      <c r="J752" s="468"/>
      <c r="K752" s="468"/>
      <c r="L752" s="468"/>
      <c r="M752" s="468"/>
      <c r="N752" s="468"/>
      <c r="O752" s="468"/>
      <c r="P752" s="468"/>
      <c r="Q752" s="468"/>
      <c r="R752" s="468"/>
      <c r="S752" s="468"/>
      <c r="T752" s="468"/>
      <c r="U752" s="468"/>
      <c r="V752" s="468"/>
      <c r="W752" s="468"/>
      <c r="X752" s="468"/>
      <c r="Y752" s="468"/>
      <c r="Z752" s="468"/>
    </row>
    <row r="753" spans="1:26" ht="18" customHeight="1" x14ac:dyDescent="0.35">
      <c r="A753" s="468"/>
      <c r="B753" s="468"/>
      <c r="C753" s="468"/>
      <c r="D753" s="468"/>
      <c r="E753" s="468"/>
      <c r="F753" s="468"/>
      <c r="G753" s="468"/>
      <c r="H753" s="468"/>
      <c r="I753" s="468"/>
      <c r="J753" s="468"/>
      <c r="K753" s="468"/>
      <c r="L753" s="468"/>
      <c r="M753" s="468"/>
      <c r="N753" s="468"/>
      <c r="O753" s="468"/>
      <c r="P753" s="468"/>
      <c r="Q753" s="468"/>
      <c r="R753" s="468"/>
      <c r="S753" s="468"/>
      <c r="T753" s="468"/>
      <c r="U753" s="468"/>
      <c r="V753" s="468"/>
      <c r="W753" s="468"/>
      <c r="X753" s="468"/>
      <c r="Y753" s="468"/>
      <c r="Z753" s="468"/>
    </row>
    <row r="754" spans="1:26" ht="18" customHeight="1" x14ac:dyDescent="0.35">
      <c r="A754" s="468"/>
      <c r="B754" s="468"/>
      <c r="C754" s="468"/>
      <c r="D754" s="468"/>
      <c r="E754" s="468"/>
      <c r="F754" s="468"/>
      <c r="G754" s="468"/>
      <c r="H754" s="468"/>
      <c r="I754" s="468"/>
      <c r="J754" s="468"/>
      <c r="K754" s="468"/>
      <c r="L754" s="468"/>
      <c r="M754" s="468"/>
      <c r="N754" s="468"/>
      <c r="O754" s="468"/>
      <c r="P754" s="468"/>
      <c r="Q754" s="468"/>
      <c r="R754" s="468"/>
      <c r="S754" s="468"/>
      <c r="T754" s="468"/>
      <c r="U754" s="468"/>
      <c r="V754" s="468"/>
      <c r="W754" s="468"/>
      <c r="X754" s="468"/>
      <c r="Y754" s="468"/>
      <c r="Z754" s="468"/>
    </row>
    <row r="755" spans="1:26" ht="18" customHeight="1" x14ac:dyDescent="0.35">
      <c r="A755" s="468"/>
      <c r="B755" s="468"/>
      <c r="C755" s="468"/>
      <c r="D755" s="468"/>
      <c r="E755" s="468"/>
      <c r="F755" s="468"/>
      <c r="G755" s="468"/>
      <c r="H755" s="468"/>
      <c r="I755" s="468"/>
      <c r="J755" s="468"/>
      <c r="K755" s="468"/>
      <c r="L755" s="468"/>
      <c r="M755" s="468"/>
      <c r="N755" s="468"/>
      <c r="O755" s="468"/>
      <c r="P755" s="468"/>
      <c r="Q755" s="468"/>
      <c r="R755" s="468"/>
      <c r="S755" s="468"/>
      <c r="T755" s="468"/>
      <c r="U755" s="468"/>
      <c r="V755" s="468"/>
      <c r="W755" s="468"/>
      <c r="X755" s="468"/>
      <c r="Y755" s="468"/>
      <c r="Z755" s="468"/>
    </row>
    <row r="756" spans="1:26" ht="18" customHeight="1" x14ac:dyDescent="0.35">
      <c r="A756" s="468"/>
      <c r="B756" s="468"/>
      <c r="C756" s="468"/>
      <c r="D756" s="468"/>
      <c r="E756" s="468"/>
      <c r="F756" s="468"/>
      <c r="G756" s="468"/>
      <c r="H756" s="468"/>
      <c r="I756" s="468"/>
      <c r="J756" s="468"/>
      <c r="K756" s="468"/>
      <c r="L756" s="468"/>
      <c r="M756" s="468"/>
      <c r="N756" s="468"/>
      <c r="O756" s="468"/>
      <c r="P756" s="468"/>
      <c r="Q756" s="468"/>
      <c r="R756" s="468"/>
      <c r="S756" s="468"/>
      <c r="T756" s="468"/>
      <c r="U756" s="468"/>
      <c r="V756" s="468"/>
      <c r="W756" s="468"/>
      <c r="X756" s="468"/>
      <c r="Y756" s="468"/>
      <c r="Z756" s="468"/>
    </row>
    <row r="757" spans="1:26" ht="18" customHeight="1" x14ac:dyDescent="0.35">
      <c r="A757" s="468"/>
      <c r="B757" s="468"/>
      <c r="C757" s="468"/>
      <c r="D757" s="468"/>
      <c r="E757" s="468"/>
      <c r="F757" s="468"/>
      <c r="G757" s="468"/>
      <c r="H757" s="468"/>
      <c r="I757" s="468"/>
      <c r="J757" s="468"/>
      <c r="K757" s="468"/>
      <c r="L757" s="468"/>
      <c r="M757" s="468"/>
      <c r="N757" s="468"/>
      <c r="O757" s="468"/>
      <c r="P757" s="468"/>
      <c r="Q757" s="468"/>
      <c r="R757" s="468"/>
      <c r="S757" s="468"/>
      <c r="T757" s="468"/>
      <c r="U757" s="468"/>
      <c r="V757" s="468"/>
      <c r="W757" s="468"/>
      <c r="X757" s="468"/>
      <c r="Y757" s="468"/>
      <c r="Z757" s="468"/>
    </row>
    <row r="758" spans="1:26" ht="18" customHeight="1" x14ac:dyDescent="0.35">
      <c r="A758" s="468"/>
      <c r="B758" s="468"/>
      <c r="C758" s="468"/>
      <c r="D758" s="468"/>
      <c r="E758" s="468"/>
      <c r="F758" s="468"/>
      <c r="G758" s="468"/>
      <c r="H758" s="468"/>
      <c r="I758" s="468"/>
      <c r="J758" s="468"/>
      <c r="K758" s="468"/>
      <c r="L758" s="468"/>
      <c r="M758" s="468"/>
      <c r="N758" s="468"/>
      <c r="O758" s="468"/>
      <c r="P758" s="468"/>
      <c r="Q758" s="468"/>
      <c r="R758" s="468"/>
      <c r="S758" s="468"/>
      <c r="T758" s="468"/>
      <c r="U758" s="468"/>
      <c r="V758" s="468"/>
      <c r="W758" s="468"/>
      <c r="X758" s="468"/>
      <c r="Y758" s="468"/>
      <c r="Z758" s="468"/>
    </row>
    <row r="759" spans="1:26" ht="18" customHeight="1" x14ac:dyDescent="0.35">
      <c r="A759" s="468"/>
      <c r="B759" s="468"/>
      <c r="C759" s="468"/>
      <c r="D759" s="468"/>
      <c r="E759" s="468"/>
      <c r="F759" s="468"/>
      <c r="G759" s="468"/>
      <c r="H759" s="468"/>
      <c r="I759" s="468"/>
      <c r="J759" s="468"/>
      <c r="K759" s="468"/>
      <c r="L759" s="468"/>
      <c r="M759" s="468"/>
      <c r="N759" s="468"/>
      <c r="O759" s="468"/>
      <c r="P759" s="468"/>
      <c r="Q759" s="468"/>
      <c r="R759" s="468"/>
      <c r="S759" s="468"/>
      <c r="T759" s="468"/>
      <c r="U759" s="468"/>
      <c r="V759" s="468"/>
      <c r="W759" s="468"/>
      <c r="X759" s="468"/>
      <c r="Y759" s="468"/>
      <c r="Z759" s="468"/>
    </row>
    <row r="760" spans="1:26" ht="18" customHeight="1" x14ac:dyDescent="0.35">
      <c r="A760" s="468"/>
      <c r="B760" s="468"/>
      <c r="C760" s="468"/>
      <c r="D760" s="468"/>
      <c r="E760" s="468"/>
      <c r="F760" s="468"/>
      <c r="G760" s="468"/>
      <c r="H760" s="468"/>
      <c r="I760" s="468"/>
      <c r="J760" s="468"/>
      <c r="K760" s="468"/>
      <c r="L760" s="468"/>
      <c r="M760" s="468"/>
      <c r="N760" s="468"/>
      <c r="O760" s="468"/>
      <c r="P760" s="468"/>
      <c r="Q760" s="468"/>
      <c r="R760" s="468"/>
      <c r="S760" s="468"/>
      <c r="T760" s="468"/>
      <c r="U760" s="468"/>
      <c r="V760" s="468"/>
      <c r="W760" s="468"/>
      <c r="X760" s="468"/>
      <c r="Y760" s="468"/>
      <c r="Z760" s="468"/>
    </row>
    <row r="761" spans="1:26" ht="18" customHeight="1" x14ac:dyDescent="0.35">
      <c r="A761" s="468"/>
      <c r="B761" s="468"/>
      <c r="C761" s="468"/>
      <c r="D761" s="468"/>
      <c r="E761" s="468"/>
      <c r="F761" s="468"/>
      <c r="G761" s="468"/>
      <c r="H761" s="468"/>
      <c r="I761" s="468"/>
      <c r="J761" s="468"/>
      <c r="K761" s="468"/>
      <c r="L761" s="468"/>
      <c r="M761" s="468"/>
      <c r="N761" s="468"/>
      <c r="O761" s="468"/>
      <c r="P761" s="468"/>
      <c r="Q761" s="468"/>
      <c r="R761" s="468"/>
      <c r="S761" s="468"/>
      <c r="T761" s="468"/>
      <c r="U761" s="468"/>
      <c r="V761" s="468"/>
      <c r="W761" s="468"/>
      <c r="X761" s="468"/>
      <c r="Y761" s="468"/>
      <c r="Z761" s="468"/>
    </row>
    <row r="762" spans="1:26" ht="18" customHeight="1" x14ac:dyDescent="0.35">
      <c r="A762" s="468"/>
      <c r="B762" s="468"/>
      <c r="C762" s="468"/>
      <c r="D762" s="468"/>
      <c r="E762" s="468"/>
      <c r="F762" s="468"/>
      <c r="G762" s="468"/>
      <c r="H762" s="468"/>
      <c r="I762" s="468"/>
      <c r="J762" s="468"/>
      <c r="K762" s="468"/>
      <c r="L762" s="468"/>
      <c r="M762" s="468"/>
      <c r="N762" s="468"/>
      <c r="O762" s="468"/>
      <c r="P762" s="468"/>
      <c r="Q762" s="468"/>
      <c r="R762" s="468"/>
      <c r="S762" s="468"/>
      <c r="T762" s="468"/>
      <c r="U762" s="468"/>
      <c r="V762" s="468"/>
      <c r="W762" s="468"/>
      <c r="X762" s="468"/>
      <c r="Y762" s="468"/>
      <c r="Z762" s="468"/>
    </row>
    <row r="763" spans="1:26" ht="18" customHeight="1" x14ac:dyDescent="0.35">
      <c r="A763" s="468"/>
      <c r="B763" s="468"/>
      <c r="C763" s="468"/>
      <c r="D763" s="468"/>
      <c r="E763" s="468"/>
      <c r="F763" s="468"/>
      <c r="G763" s="468"/>
      <c r="H763" s="468"/>
      <c r="I763" s="468"/>
      <c r="J763" s="468"/>
      <c r="K763" s="468"/>
      <c r="L763" s="468"/>
      <c r="M763" s="468"/>
      <c r="N763" s="468"/>
      <c r="O763" s="468"/>
      <c r="P763" s="468"/>
      <c r="Q763" s="468"/>
      <c r="R763" s="468"/>
      <c r="S763" s="468"/>
      <c r="T763" s="468"/>
      <c r="U763" s="468"/>
      <c r="V763" s="468"/>
      <c r="W763" s="468"/>
      <c r="X763" s="468"/>
      <c r="Y763" s="468"/>
      <c r="Z763" s="468"/>
    </row>
    <row r="764" spans="1:26" ht="18" customHeight="1" x14ac:dyDescent="0.35">
      <c r="A764" s="468"/>
      <c r="B764" s="468"/>
      <c r="C764" s="468"/>
      <c r="D764" s="468"/>
      <c r="E764" s="468"/>
      <c r="F764" s="468"/>
      <c r="G764" s="468"/>
      <c r="H764" s="468"/>
      <c r="I764" s="468"/>
      <c r="J764" s="468"/>
      <c r="K764" s="468"/>
      <c r="L764" s="468"/>
      <c r="M764" s="468"/>
      <c r="N764" s="468"/>
      <c r="O764" s="468"/>
      <c r="P764" s="468"/>
      <c r="Q764" s="468"/>
      <c r="R764" s="468"/>
      <c r="S764" s="468"/>
      <c r="T764" s="468"/>
      <c r="U764" s="468"/>
      <c r="V764" s="468"/>
      <c r="W764" s="468"/>
      <c r="X764" s="468"/>
      <c r="Y764" s="468"/>
      <c r="Z764" s="468"/>
    </row>
    <row r="765" spans="1:26" ht="18" customHeight="1" x14ac:dyDescent="0.35">
      <c r="A765" s="468"/>
      <c r="B765" s="468"/>
      <c r="C765" s="468"/>
      <c r="D765" s="468"/>
      <c r="E765" s="468"/>
      <c r="F765" s="468"/>
      <c r="G765" s="468"/>
      <c r="H765" s="468"/>
      <c r="I765" s="468"/>
      <c r="J765" s="468"/>
      <c r="K765" s="468"/>
      <c r="L765" s="468"/>
      <c r="M765" s="468"/>
      <c r="N765" s="468"/>
      <c r="O765" s="468"/>
      <c r="P765" s="468"/>
      <c r="Q765" s="468"/>
      <c r="R765" s="468"/>
      <c r="S765" s="468"/>
      <c r="T765" s="468"/>
      <c r="U765" s="468"/>
      <c r="V765" s="468"/>
      <c r="W765" s="468"/>
      <c r="X765" s="468"/>
      <c r="Y765" s="468"/>
      <c r="Z765" s="468"/>
    </row>
    <row r="766" spans="1:26" ht="18" customHeight="1" x14ac:dyDescent="0.35">
      <c r="A766" s="468"/>
      <c r="B766" s="468"/>
      <c r="C766" s="468"/>
      <c r="D766" s="468"/>
      <c r="E766" s="468"/>
      <c r="F766" s="468"/>
      <c r="G766" s="468"/>
      <c r="H766" s="468"/>
      <c r="I766" s="468"/>
      <c r="J766" s="468"/>
      <c r="K766" s="468"/>
      <c r="L766" s="468"/>
      <c r="M766" s="468"/>
      <c r="N766" s="468"/>
      <c r="O766" s="468"/>
      <c r="P766" s="468"/>
      <c r="Q766" s="468"/>
      <c r="R766" s="468"/>
      <c r="S766" s="468"/>
      <c r="T766" s="468"/>
      <c r="U766" s="468"/>
      <c r="V766" s="468"/>
      <c r="W766" s="468"/>
      <c r="X766" s="468"/>
      <c r="Y766" s="468"/>
      <c r="Z766" s="468"/>
    </row>
    <row r="767" spans="1:26" ht="18" customHeight="1" x14ac:dyDescent="0.35">
      <c r="A767" s="468"/>
      <c r="B767" s="468"/>
      <c r="C767" s="468"/>
      <c r="D767" s="468"/>
      <c r="E767" s="468"/>
      <c r="F767" s="468"/>
      <c r="G767" s="468"/>
      <c r="H767" s="468"/>
      <c r="I767" s="468"/>
      <c r="J767" s="468"/>
      <c r="K767" s="468"/>
      <c r="L767" s="468"/>
      <c r="M767" s="468"/>
      <c r="N767" s="468"/>
      <c r="O767" s="468"/>
      <c r="P767" s="468"/>
      <c r="Q767" s="468"/>
      <c r="R767" s="468"/>
      <c r="S767" s="468"/>
      <c r="T767" s="468"/>
      <c r="U767" s="468"/>
      <c r="V767" s="468"/>
      <c r="W767" s="468"/>
      <c r="X767" s="468"/>
      <c r="Y767" s="468"/>
      <c r="Z767" s="468"/>
    </row>
    <row r="768" spans="1:26" ht="18" customHeight="1" x14ac:dyDescent="0.35">
      <c r="A768" s="468"/>
      <c r="B768" s="468"/>
      <c r="C768" s="468"/>
      <c r="D768" s="468"/>
      <c r="E768" s="468"/>
      <c r="F768" s="468"/>
      <c r="G768" s="468"/>
      <c r="H768" s="468"/>
      <c r="I768" s="468"/>
      <c r="J768" s="468"/>
      <c r="K768" s="468"/>
      <c r="L768" s="468"/>
      <c r="M768" s="468"/>
      <c r="N768" s="468"/>
      <c r="O768" s="468"/>
      <c r="P768" s="468"/>
      <c r="Q768" s="468"/>
      <c r="R768" s="468"/>
      <c r="S768" s="468"/>
      <c r="T768" s="468"/>
      <c r="U768" s="468"/>
      <c r="V768" s="468"/>
      <c r="W768" s="468"/>
      <c r="X768" s="468"/>
      <c r="Y768" s="468"/>
      <c r="Z768" s="468"/>
    </row>
    <row r="769" spans="1:26" ht="18" customHeight="1" x14ac:dyDescent="0.35">
      <c r="A769" s="468"/>
      <c r="B769" s="468"/>
      <c r="C769" s="468"/>
      <c r="D769" s="468"/>
      <c r="E769" s="468"/>
      <c r="F769" s="468"/>
      <c r="G769" s="468"/>
      <c r="H769" s="468"/>
      <c r="I769" s="468"/>
      <c r="J769" s="468"/>
      <c r="K769" s="468"/>
      <c r="L769" s="468"/>
      <c r="M769" s="468"/>
      <c r="N769" s="468"/>
      <c r="O769" s="468"/>
      <c r="P769" s="468"/>
      <c r="Q769" s="468"/>
      <c r="R769" s="468"/>
      <c r="S769" s="468"/>
      <c r="T769" s="468"/>
      <c r="U769" s="468"/>
      <c r="V769" s="468"/>
      <c r="W769" s="468"/>
      <c r="X769" s="468"/>
      <c r="Y769" s="468"/>
      <c r="Z769" s="468"/>
    </row>
    <row r="770" spans="1:26" ht="18" customHeight="1" x14ac:dyDescent="0.35">
      <c r="A770" s="468"/>
      <c r="B770" s="468"/>
      <c r="C770" s="468"/>
      <c r="D770" s="468"/>
      <c r="E770" s="468"/>
      <c r="F770" s="468"/>
      <c r="G770" s="468"/>
      <c r="H770" s="468"/>
      <c r="I770" s="468"/>
      <c r="J770" s="468"/>
      <c r="K770" s="468"/>
      <c r="L770" s="468"/>
      <c r="M770" s="468"/>
      <c r="N770" s="468"/>
      <c r="O770" s="468"/>
      <c r="P770" s="468"/>
      <c r="Q770" s="468"/>
      <c r="R770" s="468"/>
      <c r="S770" s="468"/>
      <c r="T770" s="468"/>
      <c r="U770" s="468"/>
      <c r="V770" s="468"/>
      <c r="W770" s="468"/>
      <c r="X770" s="468"/>
      <c r="Y770" s="468"/>
      <c r="Z770" s="468"/>
    </row>
    <row r="771" spans="1:26" ht="18" customHeight="1" x14ac:dyDescent="0.35">
      <c r="A771" s="468"/>
      <c r="B771" s="468"/>
      <c r="C771" s="468"/>
      <c r="D771" s="468"/>
      <c r="E771" s="468"/>
      <c r="F771" s="468"/>
      <c r="G771" s="468"/>
      <c r="H771" s="468"/>
      <c r="I771" s="468"/>
      <c r="J771" s="468"/>
      <c r="K771" s="468"/>
      <c r="L771" s="468"/>
      <c r="M771" s="468"/>
      <c r="N771" s="468"/>
      <c r="O771" s="468"/>
      <c r="P771" s="468"/>
      <c r="Q771" s="468"/>
      <c r="R771" s="468"/>
      <c r="S771" s="468"/>
      <c r="T771" s="468"/>
      <c r="U771" s="468"/>
      <c r="V771" s="468"/>
      <c r="W771" s="468"/>
      <c r="X771" s="468"/>
      <c r="Y771" s="468"/>
      <c r="Z771" s="468"/>
    </row>
    <row r="772" spans="1:26" ht="18" customHeight="1" x14ac:dyDescent="0.35">
      <c r="A772" s="468"/>
      <c r="B772" s="468"/>
      <c r="C772" s="468"/>
      <c r="D772" s="468"/>
      <c r="E772" s="468"/>
      <c r="F772" s="468"/>
      <c r="G772" s="468"/>
      <c r="H772" s="468"/>
      <c r="I772" s="468"/>
      <c r="J772" s="468"/>
      <c r="K772" s="468"/>
      <c r="L772" s="468"/>
      <c r="M772" s="468"/>
      <c r="N772" s="468"/>
      <c r="O772" s="468"/>
      <c r="P772" s="468"/>
      <c r="Q772" s="468"/>
      <c r="R772" s="468"/>
      <c r="S772" s="468"/>
      <c r="T772" s="468"/>
      <c r="U772" s="468"/>
      <c r="V772" s="468"/>
      <c r="W772" s="468"/>
      <c r="X772" s="468"/>
      <c r="Y772" s="468"/>
      <c r="Z772" s="468"/>
    </row>
    <row r="773" spans="1:26" ht="18" customHeight="1" x14ac:dyDescent="0.35">
      <c r="A773" s="468"/>
      <c r="B773" s="468"/>
      <c r="C773" s="468"/>
      <c r="D773" s="468"/>
      <c r="E773" s="468"/>
      <c r="F773" s="468"/>
      <c r="G773" s="468"/>
      <c r="H773" s="468"/>
      <c r="I773" s="468"/>
      <c r="J773" s="468"/>
      <c r="K773" s="468"/>
      <c r="L773" s="468"/>
      <c r="M773" s="468"/>
      <c r="N773" s="468"/>
      <c r="O773" s="468"/>
      <c r="P773" s="468"/>
      <c r="Q773" s="468"/>
      <c r="R773" s="468"/>
      <c r="S773" s="468"/>
      <c r="T773" s="468"/>
      <c r="U773" s="468"/>
      <c r="V773" s="468"/>
      <c r="W773" s="468"/>
      <c r="X773" s="468"/>
      <c r="Y773" s="468"/>
      <c r="Z773" s="468"/>
    </row>
    <row r="774" spans="1:26" ht="18" customHeight="1" x14ac:dyDescent="0.35">
      <c r="A774" s="468"/>
      <c r="B774" s="468"/>
      <c r="C774" s="468"/>
      <c r="D774" s="468"/>
      <c r="E774" s="468"/>
      <c r="F774" s="468"/>
      <c r="G774" s="468"/>
      <c r="H774" s="468"/>
      <c r="I774" s="468"/>
      <c r="J774" s="468"/>
      <c r="K774" s="468"/>
      <c r="L774" s="468"/>
      <c r="M774" s="468"/>
      <c r="N774" s="468"/>
      <c r="O774" s="468"/>
      <c r="P774" s="468"/>
      <c r="Q774" s="468"/>
      <c r="R774" s="468"/>
      <c r="S774" s="468"/>
      <c r="T774" s="468"/>
      <c r="U774" s="468"/>
      <c r="V774" s="468"/>
      <c r="W774" s="468"/>
      <c r="X774" s="468"/>
      <c r="Y774" s="468"/>
      <c r="Z774" s="468"/>
    </row>
    <row r="775" spans="1:26" ht="18" customHeight="1" x14ac:dyDescent="0.35">
      <c r="A775" s="468"/>
      <c r="B775" s="468"/>
      <c r="C775" s="468"/>
      <c r="D775" s="468"/>
      <c r="E775" s="468"/>
      <c r="F775" s="468"/>
      <c r="G775" s="468"/>
      <c r="H775" s="468"/>
      <c r="I775" s="468"/>
      <c r="J775" s="468"/>
      <c r="K775" s="468"/>
      <c r="L775" s="468"/>
      <c r="M775" s="468"/>
      <c r="N775" s="468"/>
      <c r="O775" s="468"/>
      <c r="P775" s="468"/>
      <c r="Q775" s="468"/>
      <c r="R775" s="468"/>
      <c r="S775" s="468"/>
      <c r="T775" s="468"/>
      <c r="U775" s="468"/>
      <c r="V775" s="468"/>
      <c r="W775" s="468"/>
      <c r="X775" s="468"/>
      <c r="Y775" s="468"/>
      <c r="Z775" s="468"/>
    </row>
    <row r="776" spans="1:26" ht="18" customHeight="1" x14ac:dyDescent="0.35">
      <c r="A776" s="468"/>
      <c r="B776" s="468"/>
      <c r="C776" s="468"/>
      <c r="D776" s="468"/>
      <c r="E776" s="468"/>
      <c r="F776" s="468"/>
      <c r="G776" s="468"/>
      <c r="H776" s="468"/>
      <c r="I776" s="468"/>
      <c r="J776" s="468"/>
      <c r="K776" s="468"/>
      <c r="L776" s="468"/>
      <c r="M776" s="468"/>
      <c r="N776" s="468"/>
      <c r="O776" s="468"/>
      <c r="P776" s="468"/>
      <c r="Q776" s="468"/>
      <c r="R776" s="468"/>
      <c r="S776" s="468"/>
      <c r="T776" s="468"/>
      <c r="U776" s="468"/>
      <c r="V776" s="468"/>
      <c r="W776" s="468"/>
      <c r="X776" s="468"/>
      <c r="Y776" s="468"/>
      <c r="Z776" s="468"/>
    </row>
    <row r="777" spans="1:26" ht="18" customHeight="1" x14ac:dyDescent="0.35">
      <c r="A777" s="468"/>
      <c r="B777" s="468"/>
      <c r="C777" s="468"/>
      <c r="D777" s="468"/>
      <c r="E777" s="468"/>
      <c r="F777" s="468"/>
      <c r="G777" s="468"/>
      <c r="H777" s="468"/>
      <c r="I777" s="468"/>
      <c r="J777" s="468"/>
      <c r="K777" s="468"/>
      <c r="L777" s="468"/>
      <c r="M777" s="468"/>
      <c r="N777" s="468"/>
      <c r="O777" s="468"/>
      <c r="P777" s="468"/>
      <c r="Q777" s="468"/>
      <c r="R777" s="468"/>
      <c r="S777" s="468"/>
      <c r="T777" s="468"/>
      <c r="U777" s="468"/>
      <c r="V777" s="468"/>
      <c r="W777" s="468"/>
      <c r="X777" s="468"/>
      <c r="Y777" s="468"/>
      <c r="Z777" s="468"/>
    </row>
    <row r="778" spans="1:26" ht="18" customHeight="1" x14ac:dyDescent="0.35">
      <c r="A778" s="468"/>
      <c r="B778" s="468"/>
      <c r="C778" s="468"/>
      <c r="D778" s="468"/>
      <c r="E778" s="468"/>
      <c r="F778" s="468"/>
      <c r="G778" s="468"/>
      <c r="H778" s="468"/>
      <c r="I778" s="468"/>
      <c r="J778" s="468"/>
      <c r="K778" s="468"/>
      <c r="L778" s="468"/>
      <c r="M778" s="468"/>
      <c r="N778" s="468"/>
      <c r="O778" s="468"/>
      <c r="P778" s="468"/>
      <c r="Q778" s="468"/>
      <c r="R778" s="468"/>
      <c r="S778" s="468"/>
      <c r="T778" s="468"/>
      <c r="U778" s="468"/>
      <c r="V778" s="468"/>
      <c r="W778" s="468"/>
      <c r="X778" s="468"/>
      <c r="Y778" s="468"/>
      <c r="Z778" s="468"/>
    </row>
    <row r="779" spans="1:26" ht="18" customHeight="1" x14ac:dyDescent="0.35">
      <c r="A779" s="468"/>
      <c r="B779" s="468"/>
      <c r="C779" s="468"/>
      <c r="D779" s="468"/>
      <c r="E779" s="468"/>
      <c r="F779" s="468"/>
      <c r="G779" s="468"/>
      <c r="H779" s="468"/>
      <c r="I779" s="468"/>
      <c r="J779" s="468"/>
      <c r="K779" s="468"/>
      <c r="L779" s="468"/>
      <c r="M779" s="468"/>
      <c r="N779" s="468"/>
      <c r="O779" s="468"/>
      <c r="P779" s="468"/>
      <c r="Q779" s="468"/>
      <c r="R779" s="468"/>
      <c r="S779" s="468"/>
      <c r="T779" s="468"/>
      <c r="U779" s="468"/>
      <c r="V779" s="468"/>
      <c r="W779" s="468"/>
      <c r="X779" s="468"/>
      <c r="Y779" s="468"/>
      <c r="Z779" s="468"/>
    </row>
    <row r="780" spans="1:26" ht="18" customHeight="1" x14ac:dyDescent="0.35">
      <c r="A780" s="468"/>
      <c r="B780" s="468"/>
      <c r="C780" s="468"/>
      <c r="D780" s="468"/>
      <c r="E780" s="468"/>
      <c r="F780" s="468"/>
      <c r="G780" s="468"/>
      <c r="H780" s="468"/>
      <c r="I780" s="468"/>
      <c r="J780" s="468"/>
      <c r="K780" s="468"/>
      <c r="L780" s="468"/>
      <c r="M780" s="468"/>
      <c r="N780" s="468"/>
      <c r="O780" s="468"/>
      <c r="P780" s="468"/>
      <c r="Q780" s="468"/>
      <c r="R780" s="468"/>
      <c r="S780" s="468"/>
      <c r="T780" s="468"/>
      <c r="U780" s="468"/>
      <c r="V780" s="468"/>
      <c r="W780" s="468"/>
      <c r="X780" s="468"/>
      <c r="Y780" s="468"/>
      <c r="Z780" s="468"/>
    </row>
    <row r="781" spans="1:26" ht="18" customHeight="1" x14ac:dyDescent="0.35">
      <c r="A781" s="468"/>
      <c r="B781" s="468"/>
      <c r="C781" s="468"/>
      <c r="D781" s="468"/>
      <c r="E781" s="468"/>
      <c r="F781" s="468"/>
      <c r="G781" s="468"/>
      <c r="H781" s="468"/>
      <c r="I781" s="468"/>
      <c r="J781" s="468"/>
      <c r="K781" s="468"/>
      <c r="L781" s="468"/>
      <c r="M781" s="468"/>
      <c r="N781" s="468"/>
      <c r="O781" s="468"/>
      <c r="P781" s="468"/>
      <c r="Q781" s="468"/>
      <c r="R781" s="468"/>
      <c r="S781" s="468"/>
      <c r="T781" s="468"/>
      <c r="U781" s="468"/>
      <c r="V781" s="468"/>
      <c r="W781" s="468"/>
      <c r="X781" s="468"/>
      <c r="Y781" s="468"/>
      <c r="Z781" s="468"/>
    </row>
    <row r="782" spans="1:26" ht="18" customHeight="1" x14ac:dyDescent="0.35">
      <c r="A782" s="468"/>
      <c r="B782" s="468"/>
      <c r="C782" s="468"/>
      <c r="D782" s="468"/>
      <c r="E782" s="468"/>
      <c r="F782" s="468"/>
      <c r="G782" s="468"/>
      <c r="H782" s="468"/>
      <c r="I782" s="468"/>
      <c r="J782" s="468"/>
      <c r="K782" s="468"/>
      <c r="L782" s="468"/>
      <c r="M782" s="468"/>
      <c r="N782" s="468"/>
      <c r="O782" s="468"/>
      <c r="P782" s="468"/>
      <c r="Q782" s="468"/>
      <c r="R782" s="468"/>
      <c r="S782" s="468"/>
      <c r="T782" s="468"/>
      <c r="U782" s="468"/>
      <c r="V782" s="468"/>
      <c r="W782" s="468"/>
      <c r="X782" s="468"/>
      <c r="Y782" s="468"/>
      <c r="Z782" s="468"/>
    </row>
    <row r="783" spans="1:26" ht="18" customHeight="1" x14ac:dyDescent="0.35">
      <c r="A783" s="468"/>
      <c r="B783" s="468"/>
      <c r="C783" s="468"/>
      <c r="D783" s="468"/>
      <c r="E783" s="468"/>
      <c r="F783" s="468"/>
      <c r="G783" s="468"/>
      <c r="H783" s="468"/>
      <c r="I783" s="468"/>
      <c r="J783" s="468"/>
      <c r="K783" s="468"/>
      <c r="L783" s="468"/>
      <c r="M783" s="468"/>
      <c r="N783" s="468"/>
      <c r="O783" s="468"/>
      <c r="P783" s="468"/>
      <c r="Q783" s="468"/>
      <c r="R783" s="468"/>
      <c r="S783" s="468"/>
      <c r="T783" s="468"/>
      <c r="U783" s="468"/>
      <c r="V783" s="468"/>
      <c r="W783" s="468"/>
      <c r="X783" s="468"/>
      <c r="Y783" s="468"/>
      <c r="Z783" s="468"/>
    </row>
    <row r="784" spans="1:26" ht="18" customHeight="1" x14ac:dyDescent="0.35">
      <c r="A784" s="468"/>
      <c r="B784" s="468"/>
      <c r="C784" s="468"/>
      <c r="D784" s="468"/>
      <c r="E784" s="468"/>
      <c r="F784" s="468"/>
      <c r="G784" s="468"/>
      <c r="H784" s="468"/>
      <c r="I784" s="468"/>
      <c r="J784" s="468"/>
      <c r="K784" s="468"/>
      <c r="L784" s="468"/>
      <c r="M784" s="468"/>
      <c r="N784" s="468"/>
      <c r="O784" s="468"/>
      <c r="P784" s="468"/>
      <c r="Q784" s="468"/>
      <c r="R784" s="468"/>
      <c r="S784" s="468"/>
      <c r="T784" s="468"/>
      <c r="U784" s="468"/>
      <c r="V784" s="468"/>
      <c r="W784" s="468"/>
      <c r="X784" s="468"/>
      <c r="Y784" s="468"/>
      <c r="Z784" s="468"/>
    </row>
    <row r="785" spans="1:26" ht="18" customHeight="1" x14ac:dyDescent="0.35">
      <c r="A785" s="468"/>
      <c r="B785" s="468"/>
      <c r="C785" s="468"/>
      <c r="D785" s="468"/>
      <c r="E785" s="468"/>
      <c r="F785" s="468"/>
      <c r="G785" s="468"/>
      <c r="H785" s="468"/>
      <c r="I785" s="468"/>
      <c r="J785" s="468"/>
      <c r="K785" s="468"/>
      <c r="L785" s="468"/>
      <c r="M785" s="468"/>
      <c r="N785" s="468"/>
      <c r="O785" s="468"/>
      <c r="P785" s="468"/>
      <c r="Q785" s="468"/>
      <c r="R785" s="468"/>
      <c r="S785" s="468"/>
      <c r="T785" s="468"/>
      <c r="U785" s="468"/>
      <c r="V785" s="468"/>
      <c r="W785" s="468"/>
      <c r="X785" s="468"/>
      <c r="Y785" s="468"/>
      <c r="Z785" s="468"/>
    </row>
    <row r="786" spans="1:26" ht="18" customHeight="1" x14ac:dyDescent="0.35">
      <c r="A786" s="468"/>
      <c r="B786" s="468"/>
      <c r="C786" s="468"/>
      <c r="D786" s="468"/>
      <c r="E786" s="468"/>
      <c r="F786" s="468"/>
      <c r="G786" s="468"/>
      <c r="H786" s="468"/>
      <c r="I786" s="468"/>
      <c r="J786" s="468"/>
      <c r="K786" s="468"/>
      <c r="L786" s="468"/>
      <c r="M786" s="468"/>
      <c r="N786" s="468"/>
      <c r="O786" s="468"/>
      <c r="P786" s="468"/>
      <c r="Q786" s="468"/>
      <c r="R786" s="468"/>
      <c r="S786" s="468"/>
      <c r="T786" s="468"/>
      <c r="U786" s="468"/>
      <c r="V786" s="468"/>
      <c r="W786" s="468"/>
      <c r="X786" s="468"/>
      <c r="Y786" s="468"/>
      <c r="Z786" s="468"/>
    </row>
    <row r="787" spans="1:26" ht="18" customHeight="1" x14ac:dyDescent="0.35">
      <c r="A787" s="468"/>
      <c r="B787" s="468"/>
      <c r="C787" s="468"/>
      <c r="D787" s="468"/>
      <c r="E787" s="468"/>
      <c r="F787" s="468"/>
      <c r="G787" s="468"/>
      <c r="H787" s="468"/>
      <c r="I787" s="468"/>
      <c r="J787" s="468"/>
      <c r="K787" s="468"/>
      <c r="L787" s="468"/>
      <c r="M787" s="468"/>
      <c r="N787" s="468"/>
      <c r="O787" s="468"/>
      <c r="P787" s="468"/>
      <c r="Q787" s="468"/>
      <c r="R787" s="468"/>
      <c r="S787" s="468"/>
      <c r="T787" s="468"/>
      <c r="U787" s="468"/>
      <c r="V787" s="468"/>
      <c r="W787" s="468"/>
      <c r="X787" s="468"/>
      <c r="Y787" s="468"/>
      <c r="Z787" s="468"/>
    </row>
    <row r="788" spans="1:26" ht="18" customHeight="1" x14ac:dyDescent="0.35">
      <c r="A788" s="468"/>
      <c r="B788" s="468"/>
      <c r="C788" s="468"/>
      <c r="D788" s="468"/>
      <c r="E788" s="468"/>
      <c r="F788" s="468"/>
      <c r="G788" s="468"/>
      <c r="H788" s="468"/>
      <c r="I788" s="468"/>
      <c r="J788" s="468"/>
      <c r="K788" s="468"/>
      <c r="L788" s="468"/>
      <c r="M788" s="468"/>
      <c r="N788" s="468"/>
      <c r="O788" s="468"/>
      <c r="P788" s="468"/>
      <c r="Q788" s="468"/>
      <c r="R788" s="468"/>
      <c r="S788" s="468"/>
      <c r="T788" s="468"/>
      <c r="U788" s="468"/>
      <c r="V788" s="468"/>
      <c r="W788" s="468"/>
      <c r="X788" s="468"/>
      <c r="Y788" s="468"/>
      <c r="Z788" s="468"/>
    </row>
    <row r="789" spans="1:26" ht="18" customHeight="1" x14ac:dyDescent="0.35">
      <c r="A789" s="468"/>
      <c r="B789" s="468"/>
      <c r="C789" s="468"/>
      <c r="D789" s="468"/>
      <c r="E789" s="468"/>
      <c r="F789" s="468"/>
      <c r="G789" s="468"/>
      <c r="H789" s="468"/>
      <c r="I789" s="468"/>
      <c r="J789" s="468"/>
      <c r="K789" s="468"/>
      <c r="L789" s="468"/>
      <c r="M789" s="468"/>
      <c r="N789" s="468"/>
      <c r="O789" s="468"/>
      <c r="P789" s="468"/>
      <c r="Q789" s="468"/>
      <c r="R789" s="468"/>
      <c r="S789" s="468"/>
      <c r="T789" s="468"/>
      <c r="U789" s="468"/>
      <c r="V789" s="468"/>
      <c r="W789" s="468"/>
      <c r="X789" s="468"/>
      <c r="Y789" s="468"/>
      <c r="Z789" s="468"/>
    </row>
    <row r="790" spans="1:26" ht="18" customHeight="1" x14ac:dyDescent="0.35">
      <c r="A790" s="468"/>
      <c r="B790" s="468"/>
      <c r="C790" s="468"/>
      <c r="D790" s="468"/>
      <c r="E790" s="468"/>
      <c r="F790" s="468"/>
      <c r="G790" s="468"/>
      <c r="H790" s="468"/>
      <c r="I790" s="468"/>
      <c r="J790" s="468"/>
      <c r="K790" s="468"/>
      <c r="L790" s="468"/>
      <c r="M790" s="468"/>
      <c r="N790" s="468"/>
      <c r="O790" s="468"/>
      <c r="P790" s="468"/>
      <c r="Q790" s="468"/>
      <c r="R790" s="468"/>
      <c r="S790" s="468"/>
      <c r="T790" s="468"/>
      <c r="U790" s="468"/>
      <c r="V790" s="468"/>
      <c r="W790" s="468"/>
      <c r="X790" s="468"/>
      <c r="Y790" s="468"/>
      <c r="Z790" s="468"/>
    </row>
    <row r="791" spans="1:26" ht="18" customHeight="1" x14ac:dyDescent="0.35">
      <c r="A791" s="468"/>
      <c r="B791" s="468"/>
      <c r="C791" s="468"/>
      <c r="D791" s="468"/>
      <c r="E791" s="468"/>
      <c r="F791" s="468"/>
      <c r="G791" s="468"/>
      <c r="H791" s="468"/>
      <c r="I791" s="468"/>
      <c r="J791" s="468"/>
      <c r="K791" s="468"/>
      <c r="L791" s="468"/>
      <c r="M791" s="468"/>
      <c r="N791" s="468"/>
      <c r="O791" s="468"/>
      <c r="P791" s="468"/>
      <c r="Q791" s="468"/>
      <c r="R791" s="468"/>
      <c r="S791" s="468"/>
      <c r="T791" s="468"/>
      <c r="U791" s="468"/>
      <c r="V791" s="468"/>
      <c r="W791" s="468"/>
      <c r="X791" s="468"/>
      <c r="Y791" s="468"/>
      <c r="Z791" s="468"/>
    </row>
    <row r="792" spans="1:26" ht="18" customHeight="1" x14ac:dyDescent="0.35">
      <c r="A792" s="468"/>
      <c r="B792" s="468"/>
      <c r="C792" s="468"/>
      <c r="D792" s="468"/>
      <c r="E792" s="468"/>
      <c r="F792" s="468"/>
      <c r="G792" s="468"/>
      <c r="H792" s="468"/>
      <c r="I792" s="468"/>
      <c r="J792" s="468"/>
      <c r="K792" s="468"/>
      <c r="L792" s="468"/>
      <c r="M792" s="468"/>
      <c r="N792" s="468"/>
      <c r="O792" s="468"/>
      <c r="P792" s="468"/>
      <c r="Q792" s="468"/>
      <c r="R792" s="468"/>
      <c r="S792" s="468"/>
      <c r="T792" s="468"/>
      <c r="U792" s="468"/>
      <c r="V792" s="468"/>
      <c r="W792" s="468"/>
      <c r="X792" s="468"/>
      <c r="Y792" s="468"/>
      <c r="Z792" s="468"/>
    </row>
    <row r="793" spans="1:26" ht="18" customHeight="1" x14ac:dyDescent="0.35">
      <c r="A793" s="468"/>
      <c r="B793" s="468"/>
      <c r="C793" s="468"/>
      <c r="D793" s="468"/>
      <c r="E793" s="468"/>
      <c r="F793" s="468"/>
      <c r="G793" s="468"/>
      <c r="H793" s="468"/>
      <c r="I793" s="468"/>
      <c r="J793" s="468"/>
      <c r="K793" s="468"/>
      <c r="L793" s="468"/>
      <c r="M793" s="468"/>
      <c r="N793" s="468"/>
      <c r="O793" s="468"/>
      <c r="P793" s="468"/>
      <c r="Q793" s="468"/>
      <c r="R793" s="468"/>
      <c r="S793" s="468"/>
      <c r="T793" s="468"/>
      <c r="U793" s="468"/>
      <c r="V793" s="468"/>
      <c r="W793" s="468"/>
      <c r="X793" s="468"/>
      <c r="Y793" s="468"/>
      <c r="Z793" s="468"/>
    </row>
    <row r="794" spans="1:26" ht="18" customHeight="1" x14ac:dyDescent="0.35">
      <c r="A794" s="468"/>
      <c r="B794" s="468"/>
      <c r="C794" s="468"/>
      <c r="D794" s="468"/>
      <c r="E794" s="468"/>
      <c r="F794" s="468"/>
      <c r="G794" s="468"/>
      <c r="H794" s="468"/>
      <c r="I794" s="468"/>
      <c r="J794" s="468"/>
      <c r="K794" s="468"/>
      <c r="L794" s="468"/>
      <c r="M794" s="468"/>
      <c r="N794" s="468"/>
      <c r="O794" s="468"/>
      <c r="P794" s="468"/>
      <c r="Q794" s="468"/>
      <c r="R794" s="468"/>
      <c r="S794" s="468"/>
      <c r="T794" s="468"/>
      <c r="U794" s="468"/>
      <c r="V794" s="468"/>
      <c r="W794" s="468"/>
      <c r="X794" s="468"/>
      <c r="Y794" s="468"/>
      <c r="Z794" s="468"/>
    </row>
    <row r="795" spans="1:26" ht="18" customHeight="1" x14ac:dyDescent="0.35">
      <c r="A795" s="468"/>
      <c r="B795" s="468"/>
      <c r="C795" s="468"/>
      <c r="D795" s="468"/>
      <c r="E795" s="468"/>
      <c r="F795" s="468"/>
      <c r="G795" s="468"/>
      <c r="H795" s="468"/>
      <c r="I795" s="468"/>
      <c r="J795" s="468"/>
      <c r="K795" s="468"/>
      <c r="L795" s="468"/>
      <c r="M795" s="468"/>
      <c r="N795" s="468"/>
      <c r="O795" s="468"/>
      <c r="P795" s="468"/>
      <c r="Q795" s="468"/>
      <c r="R795" s="468"/>
      <c r="S795" s="468"/>
      <c r="T795" s="468"/>
      <c r="U795" s="468"/>
      <c r="V795" s="468"/>
      <c r="W795" s="468"/>
      <c r="X795" s="468"/>
      <c r="Y795" s="468"/>
      <c r="Z795" s="468"/>
    </row>
    <row r="796" spans="1:26" ht="18" customHeight="1" x14ac:dyDescent="0.35">
      <c r="A796" s="468"/>
      <c r="B796" s="468"/>
      <c r="C796" s="468"/>
      <c r="D796" s="468"/>
      <c r="E796" s="468"/>
      <c r="F796" s="468"/>
      <c r="G796" s="468"/>
      <c r="H796" s="468"/>
      <c r="I796" s="468"/>
      <c r="J796" s="468"/>
      <c r="K796" s="468"/>
      <c r="L796" s="468"/>
      <c r="M796" s="468"/>
      <c r="N796" s="468"/>
      <c r="O796" s="468"/>
      <c r="P796" s="468"/>
      <c r="Q796" s="468"/>
      <c r="R796" s="468"/>
      <c r="S796" s="468"/>
      <c r="T796" s="468"/>
      <c r="U796" s="468"/>
      <c r="V796" s="468"/>
      <c r="W796" s="468"/>
      <c r="X796" s="468"/>
      <c r="Y796" s="468"/>
      <c r="Z796" s="468"/>
    </row>
    <row r="797" spans="1:26" ht="18" customHeight="1" x14ac:dyDescent="0.35">
      <c r="A797" s="468"/>
      <c r="B797" s="468"/>
      <c r="C797" s="468"/>
      <c r="D797" s="468"/>
      <c r="E797" s="468"/>
      <c r="F797" s="468"/>
      <c r="G797" s="468"/>
      <c r="H797" s="468"/>
      <c r="I797" s="468"/>
      <c r="J797" s="468"/>
      <c r="K797" s="468"/>
      <c r="L797" s="468"/>
      <c r="M797" s="468"/>
      <c r="N797" s="468"/>
      <c r="O797" s="468"/>
      <c r="P797" s="468"/>
      <c r="Q797" s="468"/>
      <c r="R797" s="468"/>
      <c r="S797" s="468"/>
      <c r="T797" s="468"/>
      <c r="U797" s="468"/>
      <c r="V797" s="468"/>
      <c r="W797" s="468"/>
      <c r="X797" s="468"/>
      <c r="Y797" s="468"/>
      <c r="Z797" s="468"/>
    </row>
    <row r="798" spans="1:26" ht="18" customHeight="1" x14ac:dyDescent="0.35">
      <c r="A798" s="468"/>
      <c r="B798" s="468"/>
      <c r="C798" s="468"/>
      <c r="D798" s="468"/>
      <c r="E798" s="468"/>
      <c r="F798" s="468"/>
      <c r="G798" s="468"/>
      <c r="H798" s="468"/>
      <c r="I798" s="468"/>
      <c r="J798" s="468"/>
      <c r="K798" s="468"/>
      <c r="L798" s="468"/>
      <c r="M798" s="468"/>
      <c r="N798" s="468"/>
      <c r="O798" s="468"/>
      <c r="P798" s="468"/>
      <c r="Q798" s="468"/>
      <c r="R798" s="468"/>
      <c r="S798" s="468"/>
      <c r="T798" s="468"/>
      <c r="U798" s="468"/>
      <c r="V798" s="468"/>
      <c r="W798" s="468"/>
      <c r="X798" s="468"/>
      <c r="Y798" s="468"/>
      <c r="Z798" s="468"/>
    </row>
    <row r="799" spans="1:26" ht="18" customHeight="1" x14ac:dyDescent="0.35">
      <c r="A799" s="468"/>
      <c r="B799" s="468"/>
      <c r="C799" s="468"/>
      <c r="D799" s="468"/>
      <c r="E799" s="468"/>
      <c r="F799" s="468"/>
      <c r="G799" s="468"/>
      <c r="H799" s="468"/>
      <c r="I799" s="468"/>
      <c r="J799" s="468"/>
      <c r="K799" s="468"/>
      <c r="L799" s="468"/>
      <c r="M799" s="468"/>
      <c r="N799" s="468"/>
      <c r="O799" s="468"/>
      <c r="P799" s="468"/>
      <c r="Q799" s="468"/>
      <c r="R799" s="468"/>
      <c r="S799" s="468"/>
      <c r="T799" s="468"/>
      <c r="U799" s="468"/>
      <c r="V799" s="468"/>
      <c r="W799" s="468"/>
      <c r="X799" s="468"/>
      <c r="Y799" s="468"/>
      <c r="Z799" s="468"/>
    </row>
    <row r="800" spans="1:26" ht="18" customHeight="1" x14ac:dyDescent="0.35">
      <c r="A800" s="468"/>
      <c r="B800" s="468"/>
      <c r="C800" s="468"/>
      <c r="D800" s="468"/>
      <c r="E800" s="468"/>
      <c r="F800" s="468"/>
      <c r="G800" s="468"/>
      <c r="H800" s="468"/>
      <c r="I800" s="468"/>
      <c r="J800" s="468"/>
      <c r="K800" s="468"/>
      <c r="L800" s="468"/>
      <c r="M800" s="468"/>
      <c r="N800" s="468"/>
      <c r="O800" s="468"/>
      <c r="P800" s="468"/>
      <c r="Q800" s="468"/>
      <c r="R800" s="468"/>
      <c r="S800" s="468"/>
      <c r="T800" s="468"/>
      <c r="U800" s="468"/>
      <c r="V800" s="468"/>
      <c r="W800" s="468"/>
      <c r="X800" s="468"/>
      <c r="Y800" s="468"/>
      <c r="Z800" s="468"/>
    </row>
    <row r="801" spans="1:26" ht="18" customHeight="1" x14ac:dyDescent="0.35">
      <c r="A801" s="468"/>
      <c r="B801" s="468"/>
      <c r="C801" s="468"/>
      <c r="D801" s="468"/>
      <c r="E801" s="468"/>
      <c r="F801" s="468"/>
      <c r="G801" s="468"/>
      <c r="H801" s="468"/>
      <c r="I801" s="468"/>
      <c r="J801" s="468"/>
      <c r="K801" s="468"/>
      <c r="L801" s="468"/>
      <c r="M801" s="468"/>
      <c r="N801" s="468"/>
      <c r="O801" s="468"/>
      <c r="P801" s="468"/>
      <c r="Q801" s="468"/>
      <c r="R801" s="468"/>
      <c r="S801" s="468"/>
      <c r="T801" s="468"/>
      <c r="U801" s="468"/>
      <c r="V801" s="468"/>
      <c r="W801" s="468"/>
      <c r="X801" s="468"/>
      <c r="Y801" s="468"/>
      <c r="Z801" s="468"/>
    </row>
    <row r="802" spans="1:26" ht="18" customHeight="1" x14ac:dyDescent="0.35">
      <c r="A802" s="468"/>
      <c r="B802" s="468"/>
      <c r="C802" s="468"/>
      <c r="D802" s="468"/>
      <c r="E802" s="468"/>
      <c r="F802" s="468"/>
      <c r="G802" s="468"/>
      <c r="H802" s="468"/>
      <c r="I802" s="468"/>
      <c r="J802" s="468"/>
      <c r="K802" s="468"/>
      <c r="L802" s="468"/>
      <c r="M802" s="468"/>
      <c r="N802" s="468"/>
      <c r="O802" s="468"/>
      <c r="P802" s="468"/>
      <c r="Q802" s="468"/>
      <c r="R802" s="468"/>
      <c r="S802" s="468"/>
      <c r="T802" s="468"/>
      <c r="U802" s="468"/>
      <c r="V802" s="468"/>
      <c r="W802" s="468"/>
      <c r="X802" s="468"/>
      <c r="Y802" s="468"/>
      <c r="Z802" s="468"/>
    </row>
    <row r="803" spans="1:26" ht="18" customHeight="1" x14ac:dyDescent="0.35">
      <c r="A803" s="468"/>
      <c r="B803" s="468"/>
      <c r="C803" s="468"/>
      <c r="D803" s="468"/>
      <c r="E803" s="468"/>
      <c r="F803" s="468"/>
      <c r="G803" s="468"/>
      <c r="H803" s="468"/>
      <c r="I803" s="468"/>
      <c r="J803" s="468"/>
      <c r="K803" s="468"/>
      <c r="L803" s="468"/>
      <c r="M803" s="468"/>
      <c r="N803" s="468"/>
      <c r="O803" s="468"/>
      <c r="P803" s="468"/>
      <c r="Q803" s="468"/>
      <c r="R803" s="468"/>
      <c r="S803" s="468"/>
      <c r="T803" s="468"/>
      <c r="U803" s="468"/>
      <c r="V803" s="468"/>
      <c r="W803" s="468"/>
      <c r="X803" s="468"/>
      <c r="Y803" s="468"/>
      <c r="Z803" s="468"/>
    </row>
    <row r="804" spans="1:26" ht="18" customHeight="1" x14ac:dyDescent="0.35">
      <c r="A804" s="468"/>
      <c r="B804" s="468"/>
      <c r="C804" s="468"/>
      <c r="D804" s="468"/>
      <c r="E804" s="468"/>
      <c r="F804" s="468"/>
      <c r="G804" s="468"/>
      <c r="H804" s="468"/>
      <c r="I804" s="468"/>
      <c r="J804" s="468"/>
      <c r="K804" s="468"/>
      <c r="L804" s="468"/>
      <c r="M804" s="468"/>
      <c r="N804" s="468"/>
      <c r="O804" s="468"/>
      <c r="P804" s="468"/>
      <c r="Q804" s="468"/>
      <c r="R804" s="468"/>
      <c r="S804" s="468"/>
      <c r="T804" s="468"/>
      <c r="U804" s="468"/>
      <c r="V804" s="468"/>
      <c r="W804" s="468"/>
      <c r="X804" s="468"/>
      <c r="Y804" s="468"/>
      <c r="Z804" s="468"/>
    </row>
    <row r="805" spans="1:26" ht="18" customHeight="1" x14ac:dyDescent="0.35">
      <c r="A805" s="468"/>
      <c r="B805" s="468"/>
      <c r="C805" s="468"/>
      <c r="D805" s="468"/>
      <c r="E805" s="468"/>
      <c r="F805" s="468"/>
      <c r="G805" s="468"/>
      <c r="H805" s="468"/>
      <c r="I805" s="468"/>
      <c r="J805" s="468"/>
      <c r="K805" s="468"/>
      <c r="L805" s="468"/>
      <c r="M805" s="468"/>
      <c r="N805" s="468"/>
      <c r="O805" s="468"/>
      <c r="P805" s="468"/>
      <c r="Q805" s="468"/>
      <c r="R805" s="468"/>
      <c r="S805" s="468"/>
      <c r="T805" s="468"/>
      <c r="U805" s="468"/>
      <c r="V805" s="468"/>
      <c r="W805" s="468"/>
      <c r="X805" s="468"/>
      <c r="Y805" s="468"/>
      <c r="Z805" s="468"/>
    </row>
    <row r="806" spans="1:26" ht="18" customHeight="1" x14ac:dyDescent="0.35">
      <c r="A806" s="468"/>
      <c r="B806" s="468"/>
      <c r="C806" s="468"/>
      <c r="D806" s="468"/>
      <c r="E806" s="468"/>
      <c r="F806" s="468"/>
      <c r="G806" s="468"/>
      <c r="H806" s="468"/>
      <c r="I806" s="468"/>
      <c r="J806" s="468"/>
      <c r="K806" s="468"/>
      <c r="L806" s="468"/>
      <c r="M806" s="468"/>
      <c r="N806" s="468"/>
      <c r="O806" s="468"/>
      <c r="P806" s="468"/>
      <c r="Q806" s="468"/>
      <c r="R806" s="468"/>
      <c r="S806" s="468"/>
      <c r="T806" s="468"/>
      <c r="U806" s="468"/>
      <c r="V806" s="468"/>
      <c r="W806" s="468"/>
      <c r="X806" s="468"/>
      <c r="Y806" s="468"/>
      <c r="Z806" s="468"/>
    </row>
    <row r="807" spans="1:26" ht="18" customHeight="1" x14ac:dyDescent="0.35">
      <c r="A807" s="468"/>
      <c r="B807" s="468"/>
      <c r="C807" s="468"/>
      <c r="D807" s="468"/>
      <c r="E807" s="468"/>
      <c r="F807" s="468"/>
      <c r="G807" s="468"/>
      <c r="H807" s="468"/>
      <c r="I807" s="468"/>
      <c r="J807" s="468"/>
      <c r="K807" s="468"/>
      <c r="L807" s="468"/>
      <c r="M807" s="468"/>
      <c r="N807" s="468"/>
      <c r="O807" s="468"/>
      <c r="P807" s="468"/>
      <c r="Q807" s="468"/>
      <c r="R807" s="468"/>
      <c r="S807" s="468"/>
      <c r="T807" s="468"/>
      <c r="U807" s="468"/>
      <c r="V807" s="468"/>
      <c r="W807" s="468"/>
      <c r="X807" s="468"/>
      <c r="Y807" s="468"/>
      <c r="Z807" s="468"/>
    </row>
    <row r="808" spans="1:26" ht="18" customHeight="1" x14ac:dyDescent="0.35">
      <c r="A808" s="468"/>
      <c r="B808" s="468"/>
      <c r="C808" s="468"/>
      <c r="D808" s="468"/>
      <c r="E808" s="468"/>
      <c r="F808" s="468"/>
      <c r="G808" s="468"/>
      <c r="H808" s="468"/>
      <c r="I808" s="468"/>
      <c r="J808" s="468"/>
      <c r="K808" s="468"/>
      <c r="L808" s="468"/>
      <c r="M808" s="468"/>
      <c r="N808" s="468"/>
      <c r="O808" s="468"/>
      <c r="P808" s="468"/>
      <c r="Q808" s="468"/>
      <c r="R808" s="468"/>
      <c r="S808" s="468"/>
      <c r="T808" s="468"/>
      <c r="U808" s="468"/>
      <c r="V808" s="468"/>
      <c r="W808" s="468"/>
      <c r="X808" s="468"/>
      <c r="Y808" s="468"/>
      <c r="Z808" s="468"/>
    </row>
    <row r="809" spans="1:26" ht="18" customHeight="1" x14ac:dyDescent="0.35">
      <c r="A809" s="468"/>
      <c r="B809" s="468"/>
      <c r="C809" s="468"/>
      <c r="D809" s="468"/>
      <c r="E809" s="468"/>
      <c r="F809" s="468"/>
      <c r="G809" s="468"/>
      <c r="H809" s="468"/>
      <c r="I809" s="468"/>
      <c r="J809" s="468"/>
      <c r="K809" s="468"/>
      <c r="L809" s="468"/>
      <c r="M809" s="468"/>
      <c r="N809" s="468"/>
      <c r="O809" s="468"/>
      <c r="P809" s="468"/>
      <c r="Q809" s="468"/>
      <c r="R809" s="468"/>
      <c r="S809" s="468"/>
      <c r="T809" s="468"/>
      <c r="U809" s="468"/>
      <c r="V809" s="468"/>
      <c r="W809" s="468"/>
      <c r="X809" s="468"/>
      <c r="Y809" s="468"/>
      <c r="Z809" s="468"/>
    </row>
    <row r="810" spans="1:26" ht="18" customHeight="1" x14ac:dyDescent="0.35">
      <c r="A810" s="468"/>
      <c r="B810" s="468"/>
      <c r="C810" s="468"/>
      <c r="D810" s="468"/>
      <c r="E810" s="468"/>
      <c r="F810" s="468"/>
      <c r="G810" s="468"/>
      <c r="H810" s="468"/>
      <c r="I810" s="468"/>
      <c r="J810" s="468"/>
      <c r="K810" s="468"/>
      <c r="L810" s="468"/>
      <c r="M810" s="468"/>
      <c r="N810" s="468"/>
      <c r="O810" s="468"/>
      <c r="P810" s="468"/>
      <c r="Q810" s="468"/>
      <c r="R810" s="468"/>
      <c r="S810" s="468"/>
      <c r="T810" s="468"/>
      <c r="U810" s="468"/>
      <c r="V810" s="468"/>
      <c r="W810" s="468"/>
      <c r="X810" s="468"/>
      <c r="Y810" s="468"/>
      <c r="Z810" s="468"/>
    </row>
    <row r="811" spans="1:26" ht="18" customHeight="1" x14ac:dyDescent="0.35">
      <c r="A811" s="468"/>
      <c r="B811" s="468"/>
      <c r="C811" s="468"/>
      <c r="D811" s="468"/>
      <c r="E811" s="468"/>
      <c r="F811" s="468"/>
      <c r="G811" s="468"/>
      <c r="H811" s="468"/>
      <c r="I811" s="468"/>
      <c r="J811" s="468"/>
      <c r="K811" s="468"/>
      <c r="L811" s="468"/>
      <c r="M811" s="468"/>
      <c r="N811" s="468"/>
      <c r="O811" s="468"/>
      <c r="P811" s="468"/>
      <c r="Q811" s="468"/>
      <c r="R811" s="468"/>
      <c r="S811" s="468"/>
      <c r="T811" s="468"/>
      <c r="U811" s="468"/>
      <c r="V811" s="468"/>
      <c r="W811" s="468"/>
      <c r="X811" s="468"/>
      <c r="Y811" s="468"/>
      <c r="Z811" s="468"/>
    </row>
    <row r="812" spans="1:26" ht="18" customHeight="1" x14ac:dyDescent="0.35">
      <c r="A812" s="468"/>
      <c r="B812" s="468"/>
      <c r="C812" s="468"/>
      <c r="D812" s="468"/>
      <c r="E812" s="468"/>
      <c r="F812" s="468"/>
      <c r="G812" s="468"/>
      <c r="H812" s="468"/>
      <c r="I812" s="468"/>
      <c r="J812" s="468"/>
      <c r="K812" s="468"/>
      <c r="L812" s="468"/>
      <c r="M812" s="468"/>
      <c r="N812" s="468"/>
      <c r="O812" s="468"/>
      <c r="P812" s="468"/>
      <c r="Q812" s="468"/>
      <c r="R812" s="468"/>
      <c r="S812" s="468"/>
      <c r="T812" s="468"/>
      <c r="U812" s="468"/>
      <c r="V812" s="468"/>
      <c r="W812" s="468"/>
      <c r="X812" s="468"/>
      <c r="Y812" s="468"/>
      <c r="Z812" s="468"/>
    </row>
    <row r="813" spans="1:26" ht="18" customHeight="1" x14ac:dyDescent="0.35">
      <c r="A813" s="468"/>
      <c r="B813" s="468"/>
      <c r="C813" s="468"/>
      <c r="D813" s="468"/>
      <c r="E813" s="468"/>
      <c r="F813" s="468"/>
      <c r="G813" s="468"/>
      <c r="H813" s="468"/>
      <c r="I813" s="468"/>
      <c r="J813" s="468"/>
      <c r="K813" s="468"/>
      <c r="L813" s="468"/>
      <c r="M813" s="468"/>
      <c r="N813" s="468"/>
      <c r="O813" s="468"/>
      <c r="P813" s="468"/>
      <c r="Q813" s="468"/>
      <c r="R813" s="468"/>
      <c r="S813" s="468"/>
      <c r="T813" s="468"/>
      <c r="U813" s="468"/>
      <c r="V813" s="468"/>
      <c r="W813" s="468"/>
      <c r="X813" s="468"/>
      <c r="Y813" s="468"/>
      <c r="Z813" s="468"/>
    </row>
    <row r="814" spans="1:26" ht="18" customHeight="1" x14ac:dyDescent="0.35">
      <c r="A814" s="468"/>
      <c r="B814" s="468"/>
      <c r="C814" s="468"/>
      <c r="D814" s="468"/>
      <c r="E814" s="468"/>
      <c r="F814" s="468"/>
      <c r="G814" s="468"/>
      <c r="H814" s="468"/>
      <c r="I814" s="468"/>
      <c r="J814" s="468"/>
      <c r="K814" s="468"/>
      <c r="L814" s="468"/>
      <c r="M814" s="468"/>
      <c r="N814" s="468"/>
      <c r="O814" s="468"/>
      <c r="P814" s="468"/>
      <c r="Q814" s="468"/>
      <c r="R814" s="468"/>
      <c r="S814" s="468"/>
      <c r="T814" s="468"/>
      <c r="U814" s="468"/>
      <c r="V814" s="468"/>
      <c r="W814" s="468"/>
      <c r="X814" s="468"/>
      <c r="Y814" s="468"/>
      <c r="Z814" s="468"/>
    </row>
    <row r="815" spans="1:26" ht="18" customHeight="1" x14ac:dyDescent="0.35">
      <c r="A815" s="468"/>
      <c r="B815" s="468"/>
      <c r="C815" s="468"/>
      <c r="D815" s="468"/>
      <c r="E815" s="468"/>
      <c r="F815" s="468"/>
      <c r="G815" s="468"/>
      <c r="H815" s="468"/>
      <c r="I815" s="468"/>
      <c r="J815" s="468"/>
      <c r="K815" s="468"/>
      <c r="L815" s="468"/>
      <c r="M815" s="468"/>
      <c r="N815" s="468"/>
      <c r="O815" s="468"/>
      <c r="P815" s="468"/>
      <c r="Q815" s="468"/>
      <c r="R815" s="468"/>
      <c r="S815" s="468"/>
      <c r="T815" s="468"/>
      <c r="U815" s="468"/>
      <c r="V815" s="468"/>
      <c r="W815" s="468"/>
      <c r="X815" s="468"/>
      <c r="Y815" s="468"/>
      <c r="Z815" s="468"/>
    </row>
    <row r="816" spans="1:26" ht="18" customHeight="1" x14ac:dyDescent="0.35">
      <c r="A816" s="468"/>
      <c r="B816" s="468"/>
      <c r="C816" s="468"/>
      <c r="D816" s="468"/>
      <c r="E816" s="468"/>
      <c r="F816" s="468"/>
      <c r="G816" s="468"/>
      <c r="H816" s="468"/>
      <c r="I816" s="468"/>
      <c r="J816" s="468"/>
      <c r="K816" s="468"/>
      <c r="L816" s="468"/>
      <c r="M816" s="468"/>
      <c r="N816" s="468"/>
      <c r="O816" s="468"/>
      <c r="P816" s="468"/>
      <c r="Q816" s="468"/>
      <c r="R816" s="468"/>
      <c r="S816" s="468"/>
      <c r="T816" s="468"/>
      <c r="U816" s="468"/>
      <c r="V816" s="468"/>
      <c r="W816" s="468"/>
      <c r="X816" s="468"/>
      <c r="Y816" s="468"/>
      <c r="Z816" s="468"/>
    </row>
    <row r="817" spans="1:26" ht="18" customHeight="1" x14ac:dyDescent="0.35">
      <c r="A817" s="468"/>
      <c r="B817" s="468"/>
      <c r="C817" s="468"/>
      <c r="D817" s="468"/>
      <c r="E817" s="468"/>
      <c r="F817" s="468"/>
      <c r="G817" s="468"/>
      <c r="H817" s="468"/>
      <c r="I817" s="468"/>
      <c r="J817" s="468"/>
      <c r="K817" s="468"/>
      <c r="L817" s="468"/>
      <c r="M817" s="468"/>
      <c r="N817" s="468"/>
      <c r="O817" s="468"/>
      <c r="P817" s="468"/>
      <c r="Q817" s="468"/>
      <c r="R817" s="468"/>
      <c r="S817" s="468"/>
      <c r="T817" s="468"/>
      <c r="U817" s="468"/>
      <c r="V817" s="468"/>
      <c r="W817" s="468"/>
      <c r="X817" s="468"/>
      <c r="Y817" s="468"/>
      <c r="Z817" s="468"/>
    </row>
    <row r="818" spans="1:26" ht="18" customHeight="1" x14ac:dyDescent="0.35">
      <c r="A818" s="468"/>
      <c r="B818" s="468"/>
      <c r="C818" s="468"/>
      <c r="D818" s="468"/>
      <c r="E818" s="468"/>
      <c r="F818" s="468"/>
      <c r="G818" s="468"/>
      <c r="H818" s="468"/>
      <c r="I818" s="468"/>
      <c r="J818" s="468"/>
      <c r="K818" s="468"/>
      <c r="L818" s="468"/>
      <c r="M818" s="468"/>
      <c r="N818" s="468"/>
      <c r="O818" s="468"/>
      <c r="P818" s="468"/>
      <c r="Q818" s="468"/>
      <c r="R818" s="468"/>
      <c r="S818" s="468"/>
      <c r="T818" s="468"/>
      <c r="U818" s="468"/>
      <c r="V818" s="468"/>
      <c r="W818" s="468"/>
      <c r="X818" s="468"/>
      <c r="Y818" s="468"/>
      <c r="Z818" s="468"/>
    </row>
    <row r="819" spans="1:26" ht="18" customHeight="1" x14ac:dyDescent="0.35">
      <c r="A819" s="468"/>
      <c r="B819" s="468"/>
      <c r="C819" s="468"/>
      <c r="D819" s="468"/>
      <c r="E819" s="468"/>
      <c r="F819" s="468"/>
      <c r="G819" s="468"/>
      <c r="H819" s="468"/>
      <c r="I819" s="468"/>
      <c r="J819" s="468"/>
      <c r="K819" s="468"/>
      <c r="L819" s="468"/>
      <c r="M819" s="468"/>
      <c r="N819" s="468"/>
      <c r="O819" s="468"/>
      <c r="P819" s="468"/>
      <c r="Q819" s="468"/>
      <c r="R819" s="468"/>
      <c r="S819" s="468"/>
      <c r="T819" s="468"/>
      <c r="U819" s="468"/>
      <c r="V819" s="468"/>
      <c r="W819" s="468"/>
      <c r="X819" s="468"/>
      <c r="Y819" s="468"/>
      <c r="Z819" s="468"/>
    </row>
    <row r="820" spans="1:26" ht="18" customHeight="1" x14ac:dyDescent="0.35">
      <c r="A820" s="468"/>
      <c r="B820" s="468"/>
      <c r="C820" s="468"/>
      <c r="D820" s="468"/>
      <c r="E820" s="468"/>
      <c r="F820" s="468"/>
      <c r="G820" s="468"/>
      <c r="H820" s="468"/>
      <c r="I820" s="468"/>
      <c r="J820" s="468"/>
      <c r="K820" s="468"/>
      <c r="L820" s="468"/>
      <c r="M820" s="468"/>
      <c r="N820" s="468"/>
      <c r="O820" s="468"/>
      <c r="P820" s="468"/>
      <c r="Q820" s="468"/>
      <c r="R820" s="468"/>
      <c r="S820" s="468"/>
      <c r="T820" s="468"/>
      <c r="U820" s="468"/>
      <c r="V820" s="468"/>
      <c r="W820" s="468"/>
      <c r="X820" s="468"/>
      <c r="Y820" s="468"/>
      <c r="Z820" s="468"/>
    </row>
    <row r="821" spans="1:26" ht="18" customHeight="1" x14ac:dyDescent="0.35">
      <c r="A821" s="468"/>
      <c r="B821" s="468"/>
      <c r="C821" s="468"/>
      <c r="D821" s="468"/>
      <c r="E821" s="468"/>
      <c r="F821" s="468"/>
      <c r="G821" s="468"/>
      <c r="H821" s="468"/>
      <c r="I821" s="468"/>
      <c r="J821" s="468"/>
      <c r="K821" s="468"/>
      <c r="L821" s="468"/>
      <c r="M821" s="468"/>
      <c r="N821" s="468"/>
      <c r="O821" s="468"/>
      <c r="P821" s="468"/>
      <c r="Q821" s="468"/>
      <c r="R821" s="468"/>
      <c r="S821" s="468"/>
      <c r="T821" s="468"/>
      <c r="U821" s="468"/>
      <c r="V821" s="468"/>
      <c r="W821" s="468"/>
      <c r="X821" s="468"/>
      <c r="Y821" s="468"/>
      <c r="Z821" s="468"/>
    </row>
    <row r="822" spans="1:26" ht="18" customHeight="1" x14ac:dyDescent="0.35">
      <c r="A822" s="468"/>
      <c r="B822" s="468"/>
      <c r="C822" s="468"/>
      <c r="D822" s="468"/>
      <c r="E822" s="468"/>
      <c r="F822" s="468"/>
      <c r="G822" s="468"/>
      <c r="H822" s="468"/>
      <c r="I822" s="468"/>
      <c r="J822" s="468"/>
      <c r="K822" s="468"/>
      <c r="L822" s="468"/>
      <c r="M822" s="468"/>
      <c r="N822" s="468"/>
      <c r="O822" s="468"/>
      <c r="P822" s="468"/>
      <c r="Q822" s="468"/>
      <c r="R822" s="468"/>
      <c r="S822" s="468"/>
      <c r="T822" s="468"/>
      <c r="U822" s="468"/>
      <c r="V822" s="468"/>
      <c r="W822" s="468"/>
      <c r="X822" s="468"/>
      <c r="Y822" s="468"/>
      <c r="Z822" s="468"/>
    </row>
    <row r="823" spans="1:26" ht="18" customHeight="1" x14ac:dyDescent="0.35">
      <c r="A823" s="468"/>
      <c r="B823" s="468"/>
      <c r="C823" s="468"/>
      <c r="D823" s="468"/>
      <c r="E823" s="468"/>
      <c r="F823" s="468"/>
      <c r="G823" s="468"/>
      <c r="H823" s="468"/>
      <c r="I823" s="468"/>
      <c r="J823" s="468"/>
      <c r="K823" s="468"/>
      <c r="L823" s="468"/>
      <c r="M823" s="468"/>
      <c r="N823" s="468"/>
      <c r="O823" s="468"/>
      <c r="P823" s="468"/>
      <c r="Q823" s="468"/>
      <c r="R823" s="468"/>
      <c r="S823" s="468"/>
      <c r="T823" s="468"/>
      <c r="U823" s="468"/>
      <c r="V823" s="468"/>
      <c r="W823" s="468"/>
      <c r="X823" s="468"/>
      <c r="Y823" s="468"/>
      <c r="Z823" s="468"/>
    </row>
    <row r="824" spans="1:26" ht="18" customHeight="1" x14ac:dyDescent="0.35">
      <c r="A824" s="468"/>
      <c r="B824" s="468"/>
      <c r="C824" s="468"/>
      <c r="D824" s="468"/>
      <c r="E824" s="468"/>
      <c r="F824" s="468"/>
      <c r="G824" s="468"/>
      <c r="H824" s="468"/>
      <c r="I824" s="468"/>
      <c r="J824" s="468"/>
      <c r="K824" s="468"/>
      <c r="L824" s="468"/>
      <c r="M824" s="468"/>
      <c r="N824" s="468"/>
      <c r="O824" s="468"/>
      <c r="P824" s="468"/>
      <c r="Q824" s="468"/>
      <c r="R824" s="468"/>
      <c r="S824" s="468"/>
      <c r="T824" s="468"/>
      <c r="U824" s="468"/>
      <c r="V824" s="468"/>
      <c r="W824" s="468"/>
      <c r="X824" s="468"/>
      <c r="Y824" s="468"/>
      <c r="Z824" s="468"/>
    </row>
    <row r="825" spans="1:26" ht="18" customHeight="1" x14ac:dyDescent="0.35">
      <c r="A825" s="468"/>
      <c r="B825" s="468"/>
      <c r="C825" s="468"/>
      <c r="D825" s="468"/>
      <c r="E825" s="468"/>
      <c r="F825" s="468"/>
      <c r="G825" s="468"/>
      <c r="H825" s="468"/>
      <c r="I825" s="468"/>
      <c r="J825" s="468"/>
      <c r="K825" s="468"/>
      <c r="L825" s="468"/>
      <c r="M825" s="468"/>
      <c r="N825" s="468"/>
      <c r="O825" s="468"/>
      <c r="P825" s="468"/>
      <c r="Q825" s="468"/>
      <c r="R825" s="468"/>
      <c r="S825" s="468"/>
      <c r="T825" s="468"/>
      <c r="U825" s="468"/>
      <c r="V825" s="468"/>
      <c r="W825" s="468"/>
      <c r="X825" s="468"/>
      <c r="Y825" s="468"/>
      <c r="Z825" s="468"/>
    </row>
    <row r="826" spans="1:26" ht="18" customHeight="1" x14ac:dyDescent="0.35">
      <c r="A826" s="468"/>
      <c r="B826" s="468"/>
      <c r="C826" s="468"/>
      <c r="D826" s="468"/>
      <c r="E826" s="468"/>
      <c r="F826" s="468"/>
      <c r="G826" s="468"/>
      <c r="H826" s="468"/>
      <c r="I826" s="468"/>
      <c r="J826" s="468"/>
      <c r="K826" s="468"/>
      <c r="L826" s="468"/>
      <c r="M826" s="468"/>
      <c r="N826" s="468"/>
      <c r="O826" s="468"/>
      <c r="P826" s="468"/>
      <c r="Q826" s="468"/>
      <c r="R826" s="468"/>
      <c r="S826" s="468"/>
      <c r="T826" s="468"/>
      <c r="U826" s="468"/>
      <c r="V826" s="468"/>
      <c r="W826" s="468"/>
      <c r="X826" s="468"/>
      <c r="Y826" s="468"/>
      <c r="Z826" s="468"/>
    </row>
    <row r="827" spans="1:26" ht="18" customHeight="1" x14ac:dyDescent="0.35">
      <c r="A827" s="468"/>
      <c r="B827" s="468"/>
      <c r="C827" s="468"/>
      <c r="D827" s="468"/>
      <c r="E827" s="468"/>
      <c r="F827" s="468"/>
      <c r="G827" s="468"/>
      <c r="H827" s="468"/>
      <c r="I827" s="468"/>
      <c r="J827" s="468"/>
      <c r="K827" s="468"/>
      <c r="L827" s="468"/>
      <c r="M827" s="468"/>
      <c r="N827" s="468"/>
      <c r="O827" s="468"/>
      <c r="P827" s="468"/>
      <c r="Q827" s="468"/>
      <c r="R827" s="468"/>
      <c r="S827" s="468"/>
      <c r="T827" s="468"/>
      <c r="U827" s="468"/>
      <c r="V827" s="468"/>
      <c r="W827" s="468"/>
      <c r="X827" s="468"/>
      <c r="Y827" s="468"/>
      <c r="Z827" s="468"/>
    </row>
    <row r="828" spans="1:26" ht="18" customHeight="1" x14ac:dyDescent="0.35">
      <c r="A828" s="468"/>
      <c r="B828" s="468"/>
      <c r="C828" s="468"/>
      <c r="D828" s="468"/>
      <c r="E828" s="468"/>
      <c r="F828" s="468"/>
      <c r="G828" s="468"/>
      <c r="H828" s="468"/>
      <c r="I828" s="468"/>
      <c r="J828" s="468"/>
      <c r="K828" s="468"/>
      <c r="L828" s="468"/>
      <c r="M828" s="468"/>
      <c r="N828" s="468"/>
      <c r="O828" s="468"/>
      <c r="P828" s="468"/>
      <c r="Q828" s="468"/>
      <c r="R828" s="468"/>
      <c r="S828" s="468"/>
      <c r="T828" s="468"/>
      <c r="U828" s="468"/>
      <c r="V828" s="468"/>
      <c r="W828" s="468"/>
      <c r="X828" s="468"/>
      <c r="Y828" s="468"/>
      <c r="Z828" s="468"/>
    </row>
    <row r="829" spans="1:26" ht="18" customHeight="1" x14ac:dyDescent="0.35">
      <c r="A829" s="468"/>
      <c r="B829" s="468"/>
      <c r="C829" s="468"/>
      <c r="D829" s="468"/>
      <c r="E829" s="468"/>
      <c r="F829" s="468"/>
      <c r="G829" s="468"/>
      <c r="H829" s="468"/>
      <c r="I829" s="468"/>
      <c r="J829" s="468"/>
      <c r="K829" s="468"/>
      <c r="L829" s="468"/>
      <c r="M829" s="468"/>
      <c r="N829" s="468"/>
      <c r="O829" s="468"/>
      <c r="P829" s="468"/>
      <c r="Q829" s="468"/>
      <c r="R829" s="468"/>
      <c r="S829" s="468"/>
      <c r="T829" s="468"/>
      <c r="U829" s="468"/>
      <c r="V829" s="468"/>
      <c r="W829" s="468"/>
      <c r="X829" s="468"/>
      <c r="Y829" s="468"/>
      <c r="Z829" s="468"/>
    </row>
    <row r="830" spans="1:26" ht="18" customHeight="1" x14ac:dyDescent="0.35">
      <c r="A830" s="468"/>
      <c r="B830" s="468"/>
      <c r="C830" s="468"/>
      <c r="D830" s="468"/>
      <c r="E830" s="468"/>
      <c r="F830" s="468"/>
      <c r="G830" s="468"/>
      <c r="H830" s="468"/>
      <c r="I830" s="468"/>
      <c r="J830" s="468"/>
      <c r="K830" s="468"/>
      <c r="L830" s="468"/>
      <c r="M830" s="468"/>
      <c r="N830" s="468"/>
      <c r="O830" s="468"/>
      <c r="P830" s="468"/>
      <c r="Q830" s="468"/>
      <c r="R830" s="468"/>
      <c r="S830" s="468"/>
      <c r="T830" s="468"/>
      <c r="U830" s="468"/>
      <c r="V830" s="468"/>
      <c r="W830" s="468"/>
      <c r="X830" s="468"/>
      <c r="Y830" s="468"/>
      <c r="Z830" s="468"/>
    </row>
    <row r="831" spans="1:26" ht="18" customHeight="1" x14ac:dyDescent="0.35">
      <c r="A831" s="468"/>
      <c r="B831" s="468"/>
      <c r="C831" s="468"/>
      <c r="D831" s="468"/>
      <c r="E831" s="468"/>
      <c r="F831" s="468"/>
      <c r="G831" s="468"/>
      <c r="H831" s="468"/>
      <c r="I831" s="468"/>
      <c r="J831" s="468"/>
      <c r="K831" s="468"/>
      <c r="L831" s="468"/>
      <c r="M831" s="468"/>
      <c r="N831" s="468"/>
      <c r="O831" s="468"/>
      <c r="P831" s="468"/>
      <c r="Q831" s="468"/>
      <c r="R831" s="468"/>
      <c r="S831" s="468"/>
      <c r="T831" s="468"/>
      <c r="U831" s="468"/>
      <c r="V831" s="468"/>
      <c r="W831" s="468"/>
      <c r="X831" s="468"/>
      <c r="Y831" s="468"/>
      <c r="Z831" s="468"/>
    </row>
    <row r="832" spans="1:26" ht="18" customHeight="1" x14ac:dyDescent="0.35">
      <c r="A832" s="468"/>
      <c r="B832" s="468"/>
      <c r="C832" s="468"/>
      <c r="D832" s="468"/>
      <c r="E832" s="468"/>
      <c r="F832" s="468"/>
      <c r="G832" s="468"/>
      <c r="H832" s="468"/>
      <c r="I832" s="468"/>
      <c r="J832" s="468"/>
      <c r="K832" s="468"/>
      <c r="L832" s="468"/>
      <c r="M832" s="468"/>
      <c r="N832" s="468"/>
      <c r="O832" s="468"/>
      <c r="P832" s="468"/>
      <c r="Q832" s="468"/>
      <c r="R832" s="468"/>
      <c r="S832" s="468"/>
      <c r="T832" s="468"/>
      <c r="U832" s="468"/>
      <c r="V832" s="468"/>
      <c r="W832" s="468"/>
      <c r="X832" s="468"/>
      <c r="Y832" s="468"/>
      <c r="Z832" s="468"/>
    </row>
    <row r="833" spans="1:26" ht="18" customHeight="1" x14ac:dyDescent="0.35">
      <c r="A833" s="468"/>
      <c r="B833" s="468"/>
      <c r="C833" s="468"/>
      <c r="D833" s="468"/>
      <c r="E833" s="468"/>
      <c r="F833" s="468"/>
      <c r="G833" s="468"/>
      <c r="H833" s="468"/>
      <c r="I833" s="468"/>
      <c r="J833" s="468"/>
      <c r="K833" s="468"/>
      <c r="L833" s="468"/>
      <c r="M833" s="468"/>
      <c r="N833" s="468"/>
      <c r="O833" s="468"/>
      <c r="P833" s="468"/>
      <c r="Q833" s="468"/>
      <c r="R833" s="468"/>
      <c r="S833" s="468"/>
      <c r="T833" s="468"/>
      <c r="U833" s="468"/>
      <c r="V833" s="468"/>
      <c r="W833" s="468"/>
      <c r="X833" s="468"/>
      <c r="Y833" s="468"/>
      <c r="Z833" s="468"/>
    </row>
    <row r="834" spans="1:26" ht="18" customHeight="1" x14ac:dyDescent="0.35">
      <c r="A834" s="468"/>
      <c r="B834" s="468"/>
      <c r="C834" s="468"/>
      <c r="D834" s="468"/>
      <c r="E834" s="468"/>
      <c r="F834" s="468"/>
      <c r="G834" s="468"/>
      <c r="H834" s="468"/>
      <c r="I834" s="468"/>
      <c r="J834" s="468"/>
      <c r="K834" s="468"/>
      <c r="L834" s="468"/>
      <c r="M834" s="468"/>
      <c r="N834" s="468"/>
      <c r="O834" s="468"/>
      <c r="P834" s="468"/>
      <c r="Q834" s="468"/>
      <c r="R834" s="468"/>
      <c r="S834" s="468"/>
      <c r="T834" s="468"/>
      <c r="U834" s="468"/>
      <c r="V834" s="468"/>
      <c r="W834" s="468"/>
      <c r="X834" s="468"/>
      <c r="Y834" s="468"/>
      <c r="Z834" s="468"/>
    </row>
    <row r="835" spans="1:26" ht="18" customHeight="1" x14ac:dyDescent="0.35">
      <c r="A835" s="468"/>
      <c r="B835" s="468"/>
      <c r="C835" s="468"/>
      <c r="D835" s="468"/>
      <c r="E835" s="468"/>
      <c r="F835" s="468"/>
      <c r="G835" s="468"/>
      <c r="H835" s="468"/>
      <c r="I835" s="468"/>
      <c r="J835" s="468"/>
      <c r="K835" s="468"/>
      <c r="L835" s="468"/>
      <c r="M835" s="468"/>
      <c r="N835" s="468"/>
      <c r="O835" s="468"/>
      <c r="P835" s="468"/>
      <c r="Q835" s="468"/>
      <c r="R835" s="468"/>
      <c r="S835" s="468"/>
      <c r="T835" s="468"/>
      <c r="U835" s="468"/>
      <c r="V835" s="468"/>
      <c r="W835" s="468"/>
      <c r="X835" s="468"/>
      <c r="Y835" s="468"/>
      <c r="Z835" s="468"/>
    </row>
    <row r="836" spans="1:26" ht="18" customHeight="1" x14ac:dyDescent="0.35">
      <c r="A836" s="468"/>
      <c r="B836" s="468"/>
      <c r="C836" s="468"/>
      <c r="D836" s="468"/>
      <c r="E836" s="468"/>
      <c r="F836" s="468"/>
      <c r="G836" s="468"/>
      <c r="H836" s="468"/>
      <c r="I836" s="468"/>
      <c r="J836" s="468"/>
      <c r="K836" s="468"/>
      <c r="L836" s="468"/>
      <c r="M836" s="468"/>
      <c r="N836" s="468"/>
      <c r="O836" s="468"/>
      <c r="P836" s="468"/>
      <c r="Q836" s="468"/>
      <c r="R836" s="468"/>
      <c r="S836" s="468"/>
      <c r="T836" s="468"/>
      <c r="U836" s="468"/>
      <c r="V836" s="468"/>
      <c r="W836" s="468"/>
      <c r="X836" s="468"/>
      <c r="Y836" s="468"/>
      <c r="Z836" s="468"/>
    </row>
    <row r="837" spans="1:26" ht="18" customHeight="1" x14ac:dyDescent="0.35">
      <c r="A837" s="468"/>
      <c r="B837" s="468"/>
      <c r="C837" s="468"/>
      <c r="D837" s="468"/>
      <c r="E837" s="468"/>
      <c r="F837" s="468"/>
      <c r="G837" s="468"/>
      <c r="H837" s="468"/>
      <c r="I837" s="468"/>
      <c r="J837" s="468"/>
      <c r="K837" s="468"/>
      <c r="L837" s="468"/>
      <c r="M837" s="468"/>
      <c r="N837" s="468"/>
      <c r="O837" s="468"/>
      <c r="P837" s="468"/>
      <c r="Q837" s="468"/>
      <c r="R837" s="468"/>
      <c r="S837" s="468"/>
      <c r="T837" s="468"/>
      <c r="U837" s="468"/>
      <c r="V837" s="468"/>
      <c r="W837" s="468"/>
      <c r="X837" s="468"/>
      <c r="Y837" s="468"/>
      <c r="Z837" s="468"/>
    </row>
    <row r="838" spans="1:26" ht="18" customHeight="1" x14ac:dyDescent="0.35">
      <c r="A838" s="468"/>
      <c r="B838" s="468"/>
      <c r="C838" s="468"/>
      <c r="D838" s="468"/>
      <c r="E838" s="468"/>
      <c r="F838" s="468"/>
      <c r="G838" s="468"/>
      <c r="H838" s="468"/>
      <c r="I838" s="468"/>
      <c r="J838" s="468"/>
      <c r="K838" s="468"/>
      <c r="L838" s="468"/>
      <c r="M838" s="468"/>
      <c r="N838" s="468"/>
      <c r="O838" s="468"/>
      <c r="P838" s="468"/>
      <c r="Q838" s="468"/>
      <c r="R838" s="468"/>
      <c r="S838" s="468"/>
      <c r="T838" s="468"/>
      <c r="U838" s="468"/>
      <c r="V838" s="468"/>
      <c r="W838" s="468"/>
      <c r="X838" s="468"/>
      <c r="Y838" s="468"/>
      <c r="Z838" s="468"/>
    </row>
    <row r="839" spans="1:26" ht="18" customHeight="1" x14ac:dyDescent="0.35">
      <c r="A839" s="468"/>
      <c r="B839" s="468"/>
      <c r="C839" s="468"/>
      <c r="D839" s="468"/>
      <c r="E839" s="468"/>
      <c r="F839" s="468"/>
      <c r="G839" s="468"/>
      <c r="H839" s="468"/>
      <c r="I839" s="468"/>
      <c r="J839" s="468"/>
      <c r="K839" s="468"/>
      <c r="L839" s="468"/>
      <c r="M839" s="468"/>
      <c r="N839" s="468"/>
      <c r="O839" s="468"/>
      <c r="P839" s="468"/>
      <c r="Q839" s="468"/>
      <c r="R839" s="468"/>
      <c r="S839" s="468"/>
      <c r="T839" s="468"/>
      <c r="U839" s="468"/>
      <c r="V839" s="468"/>
      <c r="W839" s="468"/>
      <c r="X839" s="468"/>
      <c r="Y839" s="468"/>
      <c r="Z839" s="468"/>
    </row>
    <row r="840" spans="1:26" ht="18" customHeight="1" x14ac:dyDescent="0.35">
      <c r="A840" s="468"/>
      <c r="B840" s="468"/>
      <c r="C840" s="468"/>
      <c r="D840" s="468"/>
      <c r="E840" s="468"/>
      <c r="F840" s="468"/>
      <c r="G840" s="468"/>
      <c r="H840" s="468"/>
      <c r="I840" s="468"/>
      <c r="J840" s="468"/>
      <c r="K840" s="468"/>
      <c r="L840" s="468"/>
      <c r="M840" s="468"/>
      <c r="N840" s="468"/>
      <c r="O840" s="468"/>
      <c r="P840" s="468"/>
      <c r="Q840" s="468"/>
      <c r="R840" s="468"/>
      <c r="S840" s="468"/>
      <c r="T840" s="468"/>
      <c r="U840" s="468"/>
      <c r="V840" s="468"/>
      <c r="W840" s="468"/>
      <c r="X840" s="468"/>
      <c r="Y840" s="468"/>
      <c r="Z840" s="468"/>
    </row>
    <row r="841" spans="1:26" ht="18" customHeight="1" x14ac:dyDescent="0.35">
      <c r="A841" s="468"/>
      <c r="B841" s="468"/>
      <c r="C841" s="468"/>
      <c r="D841" s="468"/>
      <c r="E841" s="468"/>
      <c r="F841" s="468"/>
      <c r="G841" s="468"/>
      <c r="H841" s="468"/>
      <c r="I841" s="468"/>
      <c r="J841" s="468"/>
      <c r="K841" s="468"/>
      <c r="L841" s="468"/>
      <c r="M841" s="468"/>
      <c r="N841" s="468"/>
      <c r="O841" s="468"/>
      <c r="P841" s="468"/>
      <c r="Q841" s="468"/>
      <c r="R841" s="468"/>
      <c r="S841" s="468"/>
      <c r="T841" s="468"/>
      <c r="U841" s="468"/>
      <c r="V841" s="468"/>
      <c r="W841" s="468"/>
      <c r="X841" s="468"/>
      <c r="Y841" s="468"/>
      <c r="Z841" s="468"/>
    </row>
    <row r="842" spans="1:26" ht="18" customHeight="1" x14ac:dyDescent="0.35">
      <c r="A842" s="468"/>
      <c r="B842" s="468"/>
      <c r="C842" s="468"/>
      <c r="D842" s="468"/>
      <c r="E842" s="468"/>
      <c r="F842" s="468"/>
      <c r="G842" s="468"/>
      <c r="H842" s="468"/>
      <c r="I842" s="468"/>
      <c r="J842" s="468"/>
      <c r="K842" s="468"/>
      <c r="L842" s="468"/>
      <c r="M842" s="468"/>
      <c r="N842" s="468"/>
      <c r="O842" s="468"/>
      <c r="P842" s="468"/>
      <c r="Q842" s="468"/>
      <c r="R842" s="468"/>
      <c r="S842" s="468"/>
      <c r="T842" s="468"/>
      <c r="U842" s="468"/>
      <c r="V842" s="468"/>
      <c r="W842" s="468"/>
      <c r="X842" s="468"/>
      <c r="Y842" s="468"/>
      <c r="Z842" s="468"/>
    </row>
    <row r="843" spans="1:26" ht="18" customHeight="1" x14ac:dyDescent="0.35">
      <c r="A843" s="468"/>
      <c r="B843" s="468"/>
      <c r="C843" s="468"/>
      <c r="D843" s="468"/>
      <c r="E843" s="468"/>
      <c r="F843" s="468"/>
      <c r="G843" s="468"/>
      <c r="H843" s="468"/>
      <c r="I843" s="468"/>
      <c r="J843" s="468"/>
      <c r="K843" s="468"/>
      <c r="L843" s="468"/>
      <c r="M843" s="468"/>
      <c r="N843" s="468"/>
      <c r="O843" s="468"/>
      <c r="P843" s="468"/>
      <c r="Q843" s="468"/>
      <c r="R843" s="468"/>
      <c r="S843" s="468"/>
      <c r="T843" s="468"/>
      <c r="U843" s="468"/>
      <c r="V843" s="468"/>
      <c r="W843" s="468"/>
      <c r="X843" s="468"/>
      <c r="Y843" s="468"/>
      <c r="Z843" s="468"/>
    </row>
    <row r="844" spans="1:26" ht="18" customHeight="1" x14ac:dyDescent="0.35">
      <c r="A844" s="468"/>
      <c r="B844" s="468"/>
      <c r="C844" s="468"/>
      <c r="D844" s="468"/>
      <c r="E844" s="468"/>
      <c r="F844" s="468"/>
      <c r="G844" s="468"/>
      <c r="H844" s="468"/>
      <c r="I844" s="468"/>
      <c r="J844" s="468"/>
      <c r="K844" s="468"/>
      <c r="L844" s="468"/>
      <c r="M844" s="468"/>
      <c r="N844" s="468"/>
      <c r="O844" s="468"/>
      <c r="P844" s="468"/>
      <c r="Q844" s="468"/>
      <c r="R844" s="468"/>
      <c r="S844" s="468"/>
      <c r="T844" s="468"/>
      <c r="U844" s="468"/>
      <c r="V844" s="468"/>
      <c r="W844" s="468"/>
      <c r="X844" s="468"/>
      <c r="Y844" s="468"/>
      <c r="Z844" s="468"/>
    </row>
    <row r="845" spans="1:26" ht="18" customHeight="1" x14ac:dyDescent="0.35">
      <c r="A845" s="468"/>
      <c r="B845" s="468"/>
      <c r="C845" s="468"/>
      <c r="D845" s="468"/>
      <c r="E845" s="468"/>
      <c r="F845" s="468"/>
      <c r="G845" s="468"/>
      <c r="H845" s="468"/>
      <c r="I845" s="468"/>
      <c r="J845" s="468"/>
      <c r="K845" s="468"/>
      <c r="L845" s="468"/>
      <c r="M845" s="468"/>
      <c r="N845" s="468"/>
      <c r="O845" s="468"/>
      <c r="P845" s="468"/>
      <c r="Q845" s="468"/>
      <c r="R845" s="468"/>
      <c r="S845" s="468"/>
      <c r="T845" s="468"/>
      <c r="U845" s="468"/>
      <c r="V845" s="468"/>
      <c r="W845" s="468"/>
      <c r="X845" s="468"/>
      <c r="Y845" s="468"/>
      <c r="Z845" s="468"/>
    </row>
    <row r="846" spans="1:26" ht="18" customHeight="1" x14ac:dyDescent="0.35">
      <c r="A846" s="468"/>
      <c r="B846" s="468"/>
      <c r="C846" s="468"/>
      <c r="D846" s="468"/>
      <c r="E846" s="468"/>
      <c r="F846" s="468"/>
      <c r="G846" s="468"/>
      <c r="H846" s="468"/>
      <c r="I846" s="468"/>
      <c r="J846" s="468"/>
      <c r="K846" s="468"/>
      <c r="L846" s="468"/>
      <c r="M846" s="468"/>
      <c r="N846" s="468"/>
      <c r="O846" s="468"/>
      <c r="P846" s="468"/>
      <c r="Q846" s="468"/>
      <c r="R846" s="468"/>
      <c r="S846" s="468"/>
      <c r="T846" s="468"/>
      <c r="U846" s="468"/>
      <c r="V846" s="468"/>
      <c r="W846" s="468"/>
      <c r="X846" s="468"/>
      <c r="Y846" s="468"/>
      <c r="Z846" s="468"/>
    </row>
    <row r="847" spans="1:26" ht="18" customHeight="1" x14ac:dyDescent="0.35">
      <c r="A847" s="468"/>
      <c r="B847" s="468"/>
      <c r="C847" s="468"/>
      <c r="D847" s="468"/>
      <c r="E847" s="468"/>
      <c r="F847" s="468"/>
      <c r="G847" s="468"/>
      <c r="H847" s="468"/>
      <c r="I847" s="468"/>
      <c r="J847" s="468"/>
      <c r="K847" s="468"/>
      <c r="L847" s="468"/>
      <c r="M847" s="468"/>
      <c r="N847" s="468"/>
      <c r="O847" s="468"/>
      <c r="P847" s="468"/>
      <c r="Q847" s="468"/>
      <c r="R847" s="468"/>
      <c r="S847" s="468"/>
      <c r="T847" s="468"/>
      <c r="U847" s="468"/>
      <c r="V847" s="468"/>
      <c r="W847" s="468"/>
      <c r="X847" s="468"/>
      <c r="Y847" s="468"/>
      <c r="Z847" s="468"/>
    </row>
    <row r="848" spans="1:26" ht="18" customHeight="1" x14ac:dyDescent="0.35">
      <c r="A848" s="468"/>
      <c r="B848" s="468"/>
      <c r="C848" s="468"/>
      <c r="D848" s="468"/>
      <c r="E848" s="468"/>
      <c r="F848" s="468"/>
      <c r="G848" s="468"/>
      <c r="H848" s="468"/>
      <c r="I848" s="468"/>
      <c r="J848" s="468"/>
      <c r="K848" s="468"/>
      <c r="L848" s="468"/>
      <c r="M848" s="468"/>
      <c r="N848" s="468"/>
      <c r="O848" s="468"/>
      <c r="P848" s="468"/>
      <c r="Q848" s="468"/>
      <c r="R848" s="468"/>
      <c r="S848" s="468"/>
      <c r="T848" s="468"/>
      <c r="U848" s="468"/>
      <c r="V848" s="468"/>
      <c r="W848" s="468"/>
      <c r="X848" s="468"/>
      <c r="Y848" s="468"/>
      <c r="Z848" s="468"/>
    </row>
    <row r="849" spans="1:26" ht="18" customHeight="1" x14ac:dyDescent="0.35">
      <c r="A849" s="468"/>
      <c r="B849" s="468"/>
      <c r="C849" s="468"/>
      <c r="D849" s="468"/>
      <c r="E849" s="468"/>
      <c r="F849" s="468"/>
      <c r="G849" s="468"/>
      <c r="H849" s="468"/>
      <c r="I849" s="468"/>
      <c r="J849" s="468"/>
      <c r="K849" s="468"/>
      <c r="L849" s="468"/>
      <c r="M849" s="468"/>
      <c r="N849" s="468"/>
      <c r="O849" s="468"/>
      <c r="P849" s="468"/>
      <c r="Q849" s="468"/>
      <c r="R849" s="468"/>
      <c r="S849" s="468"/>
      <c r="T849" s="468"/>
      <c r="U849" s="468"/>
      <c r="V849" s="468"/>
      <c r="W849" s="468"/>
      <c r="X849" s="468"/>
      <c r="Y849" s="468"/>
      <c r="Z849" s="468"/>
    </row>
    <row r="850" spans="1:26" ht="18" customHeight="1" x14ac:dyDescent="0.35">
      <c r="A850" s="468"/>
      <c r="B850" s="468"/>
      <c r="C850" s="468"/>
      <c r="D850" s="468"/>
      <c r="E850" s="468"/>
      <c r="F850" s="468"/>
      <c r="G850" s="468"/>
      <c r="H850" s="468"/>
      <c r="I850" s="468"/>
      <c r="J850" s="468"/>
      <c r="K850" s="468"/>
      <c r="L850" s="468"/>
      <c r="M850" s="468"/>
      <c r="N850" s="468"/>
      <c r="O850" s="468"/>
      <c r="P850" s="468"/>
      <c r="Q850" s="468"/>
      <c r="R850" s="468"/>
      <c r="S850" s="468"/>
      <c r="T850" s="468"/>
      <c r="U850" s="468"/>
      <c r="V850" s="468"/>
      <c r="W850" s="468"/>
      <c r="X850" s="468"/>
      <c r="Y850" s="468"/>
      <c r="Z850" s="468"/>
    </row>
    <row r="851" spans="1:26" ht="18" customHeight="1" x14ac:dyDescent="0.35">
      <c r="A851" s="468"/>
      <c r="B851" s="468"/>
      <c r="C851" s="468"/>
      <c r="D851" s="468"/>
      <c r="E851" s="468"/>
      <c r="F851" s="468"/>
      <c r="G851" s="468"/>
      <c r="H851" s="468"/>
      <c r="I851" s="468"/>
      <c r="J851" s="468"/>
      <c r="K851" s="468"/>
      <c r="L851" s="468"/>
      <c r="M851" s="468"/>
      <c r="N851" s="468"/>
      <c r="O851" s="468"/>
      <c r="P851" s="468"/>
      <c r="Q851" s="468"/>
      <c r="R851" s="468"/>
      <c r="S851" s="468"/>
      <c r="T851" s="468"/>
      <c r="U851" s="468"/>
      <c r="V851" s="468"/>
      <c r="W851" s="468"/>
      <c r="X851" s="468"/>
      <c r="Y851" s="468"/>
      <c r="Z851" s="468"/>
    </row>
    <row r="852" spans="1:26" ht="18" customHeight="1" x14ac:dyDescent="0.35">
      <c r="A852" s="468"/>
      <c r="B852" s="468"/>
      <c r="C852" s="468"/>
      <c r="D852" s="468"/>
      <c r="E852" s="468"/>
      <c r="F852" s="468"/>
      <c r="G852" s="468"/>
      <c r="H852" s="468"/>
      <c r="I852" s="468"/>
      <c r="J852" s="468"/>
      <c r="K852" s="468"/>
      <c r="L852" s="468"/>
      <c r="M852" s="468"/>
      <c r="N852" s="468"/>
      <c r="O852" s="468"/>
      <c r="P852" s="468"/>
      <c r="Q852" s="468"/>
      <c r="R852" s="468"/>
      <c r="S852" s="468"/>
      <c r="T852" s="468"/>
      <c r="U852" s="468"/>
      <c r="V852" s="468"/>
      <c r="W852" s="468"/>
      <c r="X852" s="468"/>
      <c r="Y852" s="468"/>
      <c r="Z852" s="468"/>
    </row>
    <row r="853" spans="1:26" ht="18" customHeight="1" x14ac:dyDescent="0.35">
      <c r="A853" s="468"/>
      <c r="B853" s="468"/>
      <c r="C853" s="468"/>
      <c r="D853" s="468"/>
      <c r="E853" s="468"/>
      <c r="F853" s="468"/>
      <c r="G853" s="468"/>
      <c r="H853" s="468"/>
      <c r="I853" s="468"/>
      <c r="J853" s="468"/>
      <c r="K853" s="468"/>
      <c r="L853" s="468"/>
      <c r="M853" s="468"/>
      <c r="N853" s="468"/>
      <c r="O853" s="468"/>
      <c r="P853" s="468"/>
      <c r="Q853" s="468"/>
      <c r="R853" s="468"/>
      <c r="S853" s="468"/>
      <c r="T853" s="468"/>
      <c r="U853" s="468"/>
      <c r="V853" s="468"/>
      <c r="W853" s="468"/>
      <c r="X853" s="468"/>
      <c r="Y853" s="468"/>
      <c r="Z853" s="468"/>
    </row>
    <row r="854" spans="1:26" ht="18" customHeight="1" x14ac:dyDescent="0.35">
      <c r="A854" s="468"/>
      <c r="B854" s="468"/>
      <c r="C854" s="468"/>
      <c r="D854" s="468"/>
      <c r="E854" s="468"/>
      <c r="F854" s="468"/>
      <c r="G854" s="468"/>
      <c r="H854" s="468"/>
      <c r="I854" s="468"/>
      <c r="J854" s="468"/>
      <c r="K854" s="468"/>
      <c r="L854" s="468"/>
      <c r="M854" s="468"/>
      <c r="N854" s="468"/>
      <c r="O854" s="468"/>
      <c r="P854" s="468"/>
      <c r="Q854" s="468"/>
      <c r="R854" s="468"/>
      <c r="S854" s="468"/>
      <c r="T854" s="468"/>
      <c r="U854" s="468"/>
      <c r="V854" s="468"/>
      <c r="W854" s="468"/>
      <c r="X854" s="468"/>
      <c r="Y854" s="468"/>
      <c r="Z854" s="468"/>
    </row>
    <row r="855" spans="1:26" ht="18" customHeight="1" x14ac:dyDescent="0.35">
      <c r="A855" s="468"/>
      <c r="B855" s="468"/>
      <c r="C855" s="468"/>
      <c r="D855" s="468"/>
      <c r="E855" s="468"/>
      <c r="F855" s="468"/>
      <c r="G855" s="468"/>
      <c r="H855" s="468"/>
      <c r="I855" s="468"/>
      <c r="J855" s="468"/>
      <c r="K855" s="468"/>
      <c r="L855" s="468"/>
      <c r="M855" s="468"/>
      <c r="N855" s="468"/>
      <c r="O855" s="468"/>
      <c r="P855" s="468"/>
      <c r="Q855" s="468"/>
      <c r="R855" s="468"/>
      <c r="S855" s="468"/>
      <c r="T855" s="468"/>
      <c r="U855" s="468"/>
      <c r="V855" s="468"/>
      <c r="W855" s="468"/>
      <c r="X855" s="468"/>
      <c r="Y855" s="468"/>
      <c r="Z855" s="468"/>
    </row>
    <row r="856" spans="1:26" ht="18" customHeight="1" x14ac:dyDescent="0.35">
      <c r="A856" s="468"/>
      <c r="B856" s="468"/>
      <c r="C856" s="468"/>
      <c r="D856" s="468"/>
      <c r="E856" s="468"/>
      <c r="F856" s="468"/>
      <c r="G856" s="468"/>
      <c r="H856" s="468"/>
      <c r="I856" s="468"/>
      <c r="J856" s="468"/>
      <c r="K856" s="468"/>
      <c r="L856" s="468"/>
      <c r="M856" s="468"/>
      <c r="N856" s="468"/>
      <c r="O856" s="468"/>
      <c r="P856" s="468"/>
      <c r="Q856" s="468"/>
      <c r="R856" s="468"/>
      <c r="S856" s="468"/>
      <c r="T856" s="468"/>
      <c r="U856" s="468"/>
      <c r="V856" s="468"/>
      <c r="W856" s="468"/>
      <c r="X856" s="468"/>
      <c r="Y856" s="468"/>
      <c r="Z856" s="468"/>
    </row>
    <row r="857" spans="1:26" ht="18" customHeight="1" x14ac:dyDescent="0.35">
      <c r="A857" s="468"/>
      <c r="B857" s="468"/>
      <c r="C857" s="468"/>
      <c r="D857" s="468"/>
      <c r="E857" s="468"/>
      <c r="F857" s="468"/>
      <c r="G857" s="468"/>
      <c r="H857" s="468"/>
      <c r="I857" s="468"/>
      <c r="J857" s="468"/>
      <c r="K857" s="468"/>
      <c r="L857" s="468"/>
      <c r="M857" s="468"/>
      <c r="N857" s="468"/>
      <c r="O857" s="468"/>
      <c r="P857" s="468"/>
      <c r="Q857" s="468"/>
      <c r="R857" s="468"/>
      <c r="S857" s="468"/>
      <c r="T857" s="468"/>
      <c r="U857" s="468"/>
      <c r="V857" s="468"/>
      <c r="W857" s="468"/>
      <c r="X857" s="468"/>
      <c r="Y857" s="468"/>
      <c r="Z857" s="468"/>
    </row>
    <row r="858" spans="1:26" ht="18" customHeight="1" x14ac:dyDescent="0.35">
      <c r="A858" s="468"/>
      <c r="B858" s="468"/>
      <c r="C858" s="468"/>
      <c r="D858" s="468"/>
      <c r="E858" s="468"/>
      <c r="F858" s="468"/>
      <c r="G858" s="468"/>
      <c r="H858" s="468"/>
      <c r="I858" s="468"/>
      <c r="J858" s="468"/>
      <c r="K858" s="468"/>
      <c r="L858" s="468"/>
      <c r="M858" s="468"/>
      <c r="N858" s="468"/>
      <c r="O858" s="468"/>
      <c r="P858" s="468"/>
      <c r="Q858" s="468"/>
      <c r="R858" s="468"/>
      <c r="S858" s="468"/>
      <c r="T858" s="468"/>
      <c r="U858" s="468"/>
      <c r="V858" s="468"/>
      <c r="W858" s="468"/>
      <c r="X858" s="468"/>
      <c r="Y858" s="468"/>
      <c r="Z858" s="468"/>
    </row>
    <row r="859" spans="1:26" ht="18" customHeight="1" x14ac:dyDescent="0.35">
      <c r="A859" s="468"/>
      <c r="B859" s="468"/>
      <c r="C859" s="468"/>
      <c r="D859" s="468"/>
      <c r="E859" s="468"/>
      <c r="F859" s="468"/>
      <c r="G859" s="468"/>
      <c r="H859" s="468"/>
      <c r="I859" s="468"/>
      <c r="J859" s="468"/>
      <c r="K859" s="468"/>
      <c r="L859" s="468"/>
      <c r="M859" s="468"/>
      <c r="N859" s="468"/>
      <c r="O859" s="468"/>
      <c r="P859" s="468"/>
      <c r="Q859" s="468"/>
      <c r="R859" s="468"/>
      <c r="S859" s="468"/>
      <c r="T859" s="468"/>
      <c r="U859" s="468"/>
      <c r="V859" s="468"/>
      <c r="W859" s="468"/>
      <c r="X859" s="468"/>
      <c r="Y859" s="468"/>
      <c r="Z859" s="468"/>
    </row>
    <row r="860" spans="1:26" ht="18" customHeight="1" x14ac:dyDescent="0.35">
      <c r="A860" s="468"/>
      <c r="B860" s="468"/>
      <c r="C860" s="468"/>
      <c r="D860" s="468"/>
      <c r="E860" s="468"/>
      <c r="F860" s="468"/>
      <c r="G860" s="468"/>
      <c r="H860" s="468"/>
      <c r="I860" s="468"/>
      <c r="J860" s="468"/>
      <c r="K860" s="468"/>
      <c r="L860" s="468"/>
      <c r="M860" s="468"/>
      <c r="N860" s="468"/>
      <c r="O860" s="468"/>
      <c r="P860" s="468"/>
      <c r="Q860" s="468"/>
      <c r="R860" s="468"/>
      <c r="S860" s="468"/>
      <c r="T860" s="468"/>
      <c r="U860" s="468"/>
      <c r="V860" s="468"/>
      <c r="W860" s="468"/>
      <c r="X860" s="468"/>
      <c r="Y860" s="468"/>
      <c r="Z860" s="468"/>
    </row>
    <row r="861" spans="1:26" ht="18" customHeight="1" x14ac:dyDescent="0.35">
      <c r="A861" s="468"/>
      <c r="B861" s="468"/>
      <c r="C861" s="468"/>
      <c r="D861" s="468"/>
      <c r="E861" s="468"/>
      <c r="F861" s="468"/>
      <c r="G861" s="468"/>
      <c r="H861" s="468"/>
      <c r="I861" s="468"/>
      <c r="J861" s="468"/>
      <c r="K861" s="468"/>
      <c r="L861" s="468"/>
      <c r="M861" s="468"/>
      <c r="N861" s="468"/>
      <c r="O861" s="468"/>
      <c r="P861" s="468"/>
      <c r="Q861" s="468"/>
      <c r="R861" s="468"/>
      <c r="S861" s="468"/>
      <c r="T861" s="468"/>
      <c r="U861" s="468"/>
      <c r="V861" s="468"/>
      <c r="W861" s="468"/>
      <c r="X861" s="468"/>
      <c r="Y861" s="468"/>
      <c r="Z861" s="468"/>
    </row>
    <row r="862" spans="1:26" ht="18" customHeight="1" x14ac:dyDescent="0.35">
      <c r="A862" s="468"/>
      <c r="B862" s="468"/>
      <c r="C862" s="468"/>
      <c r="D862" s="468"/>
      <c r="E862" s="468"/>
      <c r="F862" s="468"/>
      <c r="G862" s="468"/>
      <c r="H862" s="468"/>
      <c r="I862" s="468"/>
      <c r="J862" s="468"/>
      <c r="K862" s="468"/>
      <c r="L862" s="468"/>
      <c r="M862" s="468"/>
      <c r="N862" s="468"/>
      <c r="O862" s="468"/>
      <c r="P862" s="468"/>
      <c r="Q862" s="468"/>
      <c r="R862" s="468"/>
      <c r="S862" s="468"/>
      <c r="T862" s="468"/>
      <c r="U862" s="468"/>
      <c r="V862" s="468"/>
      <c r="W862" s="468"/>
      <c r="X862" s="468"/>
      <c r="Y862" s="468"/>
      <c r="Z862" s="468"/>
    </row>
    <row r="863" spans="1:26" ht="18" customHeight="1" x14ac:dyDescent="0.35">
      <c r="A863" s="468"/>
      <c r="B863" s="468"/>
      <c r="C863" s="468"/>
      <c r="D863" s="468"/>
      <c r="E863" s="468"/>
      <c r="F863" s="468"/>
      <c r="G863" s="468"/>
      <c r="H863" s="468"/>
      <c r="I863" s="468"/>
      <c r="J863" s="468"/>
      <c r="K863" s="468"/>
      <c r="L863" s="468"/>
      <c r="M863" s="468"/>
      <c r="N863" s="468"/>
      <c r="O863" s="468"/>
      <c r="P863" s="468"/>
      <c r="Q863" s="468"/>
      <c r="R863" s="468"/>
      <c r="S863" s="468"/>
      <c r="T863" s="468"/>
      <c r="U863" s="468"/>
      <c r="V863" s="468"/>
      <c r="W863" s="468"/>
      <c r="X863" s="468"/>
      <c r="Y863" s="468"/>
      <c r="Z863" s="468"/>
    </row>
    <row r="864" spans="1:26" ht="18" customHeight="1" x14ac:dyDescent="0.35">
      <c r="A864" s="468"/>
      <c r="B864" s="468"/>
      <c r="C864" s="468"/>
      <c r="D864" s="468"/>
      <c r="E864" s="468"/>
      <c r="F864" s="468"/>
      <c r="G864" s="468"/>
      <c r="H864" s="468"/>
      <c r="I864" s="468"/>
      <c r="J864" s="468"/>
      <c r="K864" s="468"/>
      <c r="L864" s="468"/>
      <c r="M864" s="468"/>
      <c r="N864" s="468"/>
      <c r="O864" s="468"/>
      <c r="P864" s="468"/>
      <c r="Q864" s="468"/>
      <c r="R864" s="468"/>
      <c r="S864" s="468"/>
      <c r="T864" s="468"/>
      <c r="U864" s="468"/>
      <c r="V864" s="468"/>
      <c r="W864" s="468"/>
      <c r="X864" s="468"/>
      <c r="Y864" s="468"/>
      <c r="Z864" s="468"/>
    </row>
    <row r="865" spans="1:26" ht="18" customHeight="1" x14ac:dyDescent="0.35">
      <c r="A865" s="468"/>
      <c r="B865" s="468"/>
      <c r="C865" s="468"/>
      <c r="D865" s="468"/>
      <c r="E865" s="468"/>
      <c r="F865" s="468"/>
      <c r="G865" s="468"/>
      <c r="H865" s="468"/>
      <c r="I865" s="468"/>
      <c r="J865" s="468"/>
      <c r="K865" s="468"/>
      <c r="L865" s="468"/>
      <c r="M865" s="468"/>
      <c r="N865" s="468"/>
      <c r="O865" s="468"/>
      <c r="P865" s="468"/>
      <c r="Q865" s="468"/>
      <c r="R865" s="468"/>
      <c r="S865" s="468"/>
      <c r="T865" s="468"/>
      <c r="U865" s="468"/>
      <c r="V865" s="468"/>
      <c r="W865" s="468"/>
      <c r="X865" s="468"/>
      <c r="Y865" s="468"/>
      <c r="Z865" s="468"/>
    </row>
    <row r="866" spans="1:26" ht="18" customHeight="1" x14ac:dyDescent="0.35">
      <c r="A866" s="468"/>
      <c r="B866" s="468"/>
      <c r="C866" s="468"/>
      <c r="D866" s="468"/>
      <c r="E866" s="468"/>
      <c r="F866" s="468"/>
      <c r="G866" s="468"/>
      <c r="H866" s="468"/>
      <c r="I866" s="468"/>
      <c r="J866" s="468"/>
      <c r="K866" s="468"/>
      <c r="L866" s="468"/>
      <c r="M866" s="468"/>
      <c r="N866" s="468"/>
      <c r="O866" s="468"/>
      <c r="P866" s="468"/>
      <c r="Q866" s="468"/>
      <c r="R866" s="468"/>
      <c r="S866" s="468"/>
      <c r="T866" s="468"/>
      <c r="U866" s="468"/>
      <c r="V866" s="468"/>
      <c r="W866" s="468"/>
      <c r="X866" s="468"/>
      <c r="Y866" s="468"/>
      <c r="Z866" s="468"/>
    </row>
    <row r="867" spans="1:26" ht="18" customHeight="1" x14ac:dyDescent="0.35">
      <c r="A867" s="468"/>
      <c r="B867" s="468"/>
      <c r="C867" s="468"/>
      <c r="D867" s="468"/>
      <c r="E867" s="468"/>
      <c r="F867" s="468"/>
      <c r="G867" s="468"/>
      <c r="H867" s="468"/>
      <c r="I867" s="468"/>
      <c r="J867" s="468"/>
      <c r="K867" s="468"/>
      <c r="L867" s="468"/>
      <c r="M867" s="468"/>
      <c r="N867" s="468"/>
      <c r="O867" s="468"/>
      <c r="P867" s="468"/>
      <c r="Q867" s="468"/>
      <c r="R867" s="468"/>
      <c r="S867" s="468"/>
      <c r="T867" s="468"/>
      <c r="U867" s="468"/>
      <c r="V867" s="468"/>
      <c r="W867" s="468"/>
      <c r="X867" s="468"/>
      <c r="Y867" s="468"/>
      <c r="Z867" s="468"/>
    </row>
    <row r="868" spans="1:26" ht="18" customHeight="1" x14ac:dyDescent="0.35">
      <c r="A868" s="468"/>
      <c r="B868" s="468"/>
      <c r="C868" s="468"/>
      <c r="D868" s="468"/>
      <c r="E868" s="468"/>
      <c r="F868" s="468"/>
      <c r="G868" s="468"/>
      <c r="H868" s="468"/>
      <c r="I868" s="468"/>
      <c r="J868" s="468"/>
      <c r="K868" s="468"/>
      <c r="L868" s="468"/>
      <c r="M868" s="468"/>
      <c r="N868" s="468"/>
      <c r="O868" s="468"/>
      <c r="P868" s="468"/>
      <c r="Q868" s="468"/>
      <c r="R868" s="468"/>
      <c r="S868" s="468"/>
      <c r="T868" s="468"/>
      <c r="U868" s="468"/>
      <c r="V868" s="468"/>
      <c r="W868" s="468"/>
      <c r="X868" s="468"/>
      <c r="Y868" s="468"/>
      <c r="Z868" s="468"/>
    </row>
    <row r="869" spans="1:26" ht="18" customHeight="1" x14ac:dyDescent="0.35">
      <c r="A869" s="468"/>
      <c r="B869" s="468"/>
      <c r="C869" s="468"/>
      <c r="D869" s="468"/>
      <c r="E869" s="468"/>
      <c r="F869" s="468"/>
      <c r="G869" s="468"/>
      <c r="H869" s="468"/>
      <c r="I869" s="468"/>
      <c r="J869" s="468"/>
      <c r="K869" s="468"/>
      <c r="L869" s="468"/>
      <c r="M869" s="468"/>
      <c r="N869" s="468"/>
      <c r="O869" s="468"/>
      <c r="P869" s="468"/>
      <c r="Q869" s="468"/>
      <c r="R869" s="468"/>
      <c r="S869" s="468"/>
      <c r="T869" s="468"/>
      <c r="U869" s="468"/>
      <c r="V869" s="468"/>
      <c r="W869" s="468"/>
      <c r="X869" s="468"/>
      <c r="Y869" s="468"/>
      <c r="Z869" s="468"/>
    </row>
    <row r="870" spans="1:26" ht="18" customHeight="1" x14ac:dyDescent="0.35">
      <c r="A870" s="468"/>
      <c r="B870" s="468"/>
      <c r="C870" s="468"/>
      <c r="D870" s="468"/>
      <c r="E870" s="468"/>
      <c r="F870" s="468"/>
      <c r="G870" s="468"/>
      <c r="H870" s="468"/>
      <c r="I870" s="468"/>
      <c r="J870" s="468"/>
      <c r="K870" s="468"/>
      <c r="L870" s="468"/>
      <c r="M870" s="468"/>
      <c r="N870" s="468"/>
      <c r="O870" s="468"/>
      <c r="P870" s="468"/>
      <c r="Q870" s="468"/>
      <c r="R870" s="468"/>
      <c r="S870" s="468"/>
      <c r="T870" s="468"/>
      <c r="U870" s="468"/>
      <c r="V870" s="468"/>
      <c r="W870" s="468"/>
      <c r="X870" s="468"/>
      <c r="Y870" s="468"/>
      <c r="Z870" s="468"/>
    </row>
    <row r="871" spans="1:26" ht="18" customHeight="1" x14ac:dyDescent="0.35">
      <c r="A871" s="468"/>
      <c r="B871" s="468"/>
      <c r="C871" s="468"/>
      <c r="D871" s="468"/>
      <c r="E871" s="468"/>
      <c r="F871" s="468"/>
      <c r="G871" s="468"/>
      <c r="H871" s="468"/>
      <c r="I871" s="468"/>
      <c r="J871" s="468"/>
      <c r="K871" s="468"/>
      <c r="L871" s="468"/>
      <c r="M871" s="468"/>
      <c r="N871" s="468"/>
      <c r="O871" s="468"/>
      <c r="P871" s="468"/>
      <c r="Q871" s="468"/>
      <c r="R871" s="468"/>
      <c r="S871" s="468"/>
      <c r="T871" s="468"/>
      <c r="U871" s="468"/>
      <c r="V871" s="468"/>
      <c r="W871" s="468"/>
      <c r="X871" s="468"/>
      <c r="Y871" s="468"/>
      <c r="Z871" s="468"/>
    </row>
    <row r="872" spans="1:26" ht="18" customHeight="1" x14ac:dyDescent="0.35">
      <c r="A872" s="468"/>
      <c r="B872" s="468"/>
      <c r="C872" s="468"/>
      <c r="D872" s="468"/>
      <c r="E872" s="468"/>
      <c r="F872" s="468"/>
      <c r="G872" s="468"/>
      <c r="H872" s="468"/>
      <c r="I872" s="468"/>
      <c r="J872" s="468"/>
      <c r="K872" s="468"/>
      <c r="L872" s="468"/>
      <c r="M872" s="468"/>
      <c r="N872" s="468"/>
      <c r="O872" s="468"/>
      <c r="P872" s="468"/>
      <c r="Q872" s="468"/>
      <c r="R872" s="468"/>
      <c r="S872" s="468"/>
      <c r="T872" s="468"/>
      <c r="U872" s="468"/>
      <c r="V872" s="468"/>
      <c r="W872" s="468"/>
      <c r="X872" s="468"/>
      <c r="Y872" s="468"/>
      <c r="Z872" s="468"/>
    </row>
    <row r="873" spans="1:26" ht="18" customHeight="1" x14ac:dyDescent="0.35">
      <c r="A873" s="468"/>
      <c r="B873" s="468"/>
      <c r="C873" s="468"/>
      <c r="D873" s="468"/>
      <c r="E873" s="468"/>
      <c r="F873" s="468"/>
      <c r="G873" s="468"/>
      <c r="H873" s="468"/>
      <c r="I873" s="468"/>
      <c r="J873" s="468"/>
      <c r="K873" s="468"/>
      <c r="L873" s="468"/>
      <c r="M873" s="468"/>
      <c r="N873" s="468"/>
      <c r="O873" s="468"/>
      <c r="P873" s="468"/>
      <c r="Q873" s="468"/>
      <c r="R873" s="468"/>
      <c r="S873" s="468"/>
      <c r="T873" s="468"/>
      <c r="U873" s="468"/>
      <c r="V873" s="468"/>
      <c r="W873" s="468"/>
      <c r="X873" s="468"/>
      <c r="Y873" s="468"/>
      <c r="Z873" s="468"/>
    </row>
    <row r="874" spans="1:26" ht="18" customHeight="1" x14ac:dyDescent="0.35">
      <c r="A874" s="468"/>
      <c r="B874" s="468"/>
      <c r="C874" s="468"/>
      <c r="D874" s="468"/>
      <c r="E874" s="468"/>
      <c r="F874" s="468"/>
      <c r="G874" s="468"/>
      <c r="H874" s="468"/>
      <c r="I874" s="468"/>
      <c r="J874" s="468"/>
      <c r="K874" s="468"/>
      <c r="L874" s="468"/>
      <c r="M874" s="468"/>
      <c r="N874" s="468"/>
      <c r="O874" s="468"/>
      <c r="P874" s="468"/>
      <c r="Q874" s="468"/>
      <c r="R874" s="468"/>
      <c r="S874" s="468"/>
      <c r="T874" s="468"/>
      <c r="U874" s="468"/>
      <c r="V874" s="468"/>
      <c r="W874" s="468"/>
      <c r="X874" s="468"/>
      <c r="Y874" s="468"/>
      <c r="Z874" s="468"/>
    </row>
    <row r="875" spans="1:26" ht="18" customHeight="1" x14ac:dyDescent="0.35">
      <c r="A875" s="468"/>
      <c r="B875" s="468"/>
      <c r="C875" s="468"/>
      <c r="D875" s="468"/>
      <c r="E875" s="468"/>
      <c r="F875" s="468"/>
      <c r="G875" s="468"/>
      <c r="H875" s="468"/>
      <c r="I875" s="468"/>
      <c r="J875" s="468"/>
      <c r="K875" s="468"/>
      <c r="L875" s="468"/>
      <c r="M875" s="468"/>
      <c r="N875" s="468"/>
      <c r="O875" s="468"/>
      <c r="P875" s="468"/>
      <c r="Q875" s="468"/>
      <c r="R875" s="468"/>
      <c r="S875" s="468"/>
      <c r="T875" s="468"/>
      <c r="U875" s="468"/>
      <c r="V875" s="468"/>
      <c r="W875" s="468"/>
      <c r="X875" s="468"/>
      <c r="Y875" s="468"/>
      <c r="Z875" s="468"/>
    </row>
    <row r="876" spans="1:26" ht="18" customHeight="1" x14ac:dyDescent="0.35">
      <c r="A876" s="468"/>
      <c r="B876" s="468"/>
      <c r="C876" s="468"/>
      <c r="D876" s="468"/>
      <c r="E876" s="468"/>
      <c r="F876" s="468"/>
      <c r="G876" s="468"/>
      <c r="H876" s="468"/>
      <c r="I876" s="468"/>
      <c r="J876" s="468"/>
      <c r="K876" s="468"/>
      <c r="L876" s="468"/>
      <c r="M876" s="468"/>
      <c r="N876" s="468"/>
      <c r="O876" s="468"/>
      <c r="P876" s="468"/>
      <c r="Q876" s="468"/>
      <c r="R876" s="468"/>
      <c r="S876" s="468"/>
      <c r="T876" s="468"/>
      <c r="U876" s="468"/>
      <c r="V876" s="468"/>
      <c r="W876" s="468"/>
      <c r="X876" s="468"/>
      <c r="Y876" s="468"/>
      <c r="Z876" s="468"/>
    </row>
    <row r="877" spans="1:26" ht="18" customHeight="1" x14ac:dyDescent="0.35">
      <c r="A877" s="468"/>
      <c r="B877" s="468"/>
      <c r="C877" s="468"/>
      <c r="D877" s="468"/>
      <c r="E877" s="468"/>
      <c r="F877" s="468"/>
      <c r="G877" s="468"/>
      <c r="H877" s="468"/>
      <c r="I877" s="468"/>
      <c r="J877" s="468"/>
      <c r="K877" s="468"/>
      <c r="L877" s="468"/>
      <c r="M877" s="468"/>
      <c r="N877" s="468"/>
      <c r="O877" s="468"/>
      <c r="P877" s="468"/>
      <c r="Q877" s="468"/>
      <c r="R877" s="468"/>
      <c r="S877" s="468"/>
      <c r="T877" s="468"/>
      <c r="U877" s="468"/>
      <c r="V877" s="468"/>
      <c r="W877" s="468"/>
      <c r="X877" s="468"/>
      <c r="Y877" s="468"/>
      <c r="Z877" s="468"/>
    </row>
    <row r="878" spans="1:26" ht="18" customHeight="1" x14ac:dyDescent="0.35">
      <c r="A878" s="468"/>
      <c r="B878" s="468"/>
      <c r="C878" s="468"/>
      <c r="D878" s="468"/>
      <c r="E878" s="468"/>
      <c r="F878" s="468"/>
      <c r="G878" s="468"/>
      <c r="H878" s="468"/>
      <c r="I878" s="468"/>
      <c r="J878" s="468"/>
      <c r="K878" s="468"/>
      <c r="L878" s="468"/>
      <c r="M878" s="468"/>
      <c r="N878" s="468"/>
      <c r="O878" s="468"/>
      <c r="P878" s="468"/>
      <c r="Q878" s="468"/>
      <c r="R878" s="468"/>
      <c r="S878" s="468"/>
      <c r="T878" s="468"/>
      <c r="U878" s="468"/>
      <c r="V878" s="468"/>
      <c r="W878" s="468"/>
      <c r="X878" s="468"/>
      <c r="Y878" s="468"/>
      <c r="Z878" s="468"/>
    </row>
    <row r="879" spans="1:26" ht="18" customHeight="1" x14ac:dyDescent="0.35">
      <c r="A879" s="468"/>
      <c r="B879" s="468"/>
      <c r="C879" s="468"/>
      <c r="D879" s="468"/>
      <c r="E879" s="468"/>
      <c r="F879" s="468"/>
      <c r="G879" s="468"/>
      <c r="H879" s="468"/>
      <c r="I879" s="468"/>
      <c r="J879" s="468"/>
      <c r="K879" s="468"/>
      <c r="L879" s="468"/>
      <c r="M879" s="468"/>
      <c r="N879" s="468"/>
      <c r="O879" s="468"/>
      <c r="P879" s="468"/>
      <c r="Q879" s="468"/>
      <c r="R879" s="468"/>
      <c r="S879" s="468"/>
      <c r="T879" s="468"/>
      <c r="U879" s="468"/>
      <c r="V879" s="468"/>
      <c r="W879" s="468"/>
      <c r="X879" s="468"/>
      <c r="Y879" s="468"/>
      <c r="Z879" s="468"/>
    </row>
    <row r="880" spans="1:26" ht="18" customHeight="1" x14ac:dyDescent="0.35">
      <c r="A880" s="468"/>
      <c r="B880" s="468"/>
      <c r="C880" s="468"/>
      <c r="D880" s="468"/>
      <c r="E880" s="468"/>
      <c r="F880" s="468"/>
      <c r="G880" s="468"/>
      <c r="H880" s="468"/>
      <c r="I880" s="468"/>
      <c r="J880" s="468"/>
      <c r="K880" s="468"/>
      <c r="L880" s="468"/>
      <c r="M880" s="468"/>
      <c r="N880" s="468"/>
      <c r="O880" s="468"/>
      <c r="P880" s="468"/>
      <c r="Q880" s="468"/>
      <c r="R880" s="468"/>
      <c r="S880" s="468"/>
      <c r="T880" s="468"/>
      <c r="U880" s="468"/>
      <c r="V880" s="468"/>
      <c r="W880" s="468"/>
      <c r="X880" s="468"/>
      <c r="Y880" s="468"/>
      <c r="Z880" s="468"/>
    </row>
    <row r="881" spans="1:26" ht="18" customHeight="1" x14ac:dyDescent="0.35">
      <c r="A881" s="468"/>
      <c r="B881" s="468"/>
      <c r="C881" s="468"/>
      <c r="D881" s="468"/>
      <c r="E881" s="468"/>
      <c r="F881" s="468"/>
      <c r="G881" s="468"/>
      <c r="H881" s="468"/>
      <c r="I881" s="468"/>
      <c r="J881" s="468"/>
      <c r="K881" s="468"/>
      <c r="L881" s="468"/>
      <c r="M881" s="468"/>
      <c r="N881" s="468"/>
      <c r="O881" s="468"/>
      <c r="P881" s="468"/>
      <c r="Q881" s="468"/>
      <c r="R881" s="468"/>
      <c r="S881" s="468"/>
      <c r="T881" s="468"/>
      <c r="U881" s="468"/>
      <c r="V881" s="468"/>
      <c r="W881" s="468"/>
      <c r="X881" s="468"/>
      <c r="Y881" s="468"/>
      <c r="Z881" s="468"/>
    </row>
    <row r="882" spans="1:26" ht="18" customHeight="1" x14ac:dyDescent="0.35">
      <c r="A882" s="468"/>
      <c r="B882" s="468"/>
      <c r="C882" s="468"/>
      <c r="D882" s="468"/>
      <c r="E882" s="468"/>
      <c r="F882" s="468"/>
      <c r="G882" s="468"/>
      <c r="H882" s="468"/>
      <c r="I882" s="468"/>
      <c r="J882" s="468"/>
      <c r="K882" s="468"/>
      <c r="L882" s="468"/>
      <c r="M882" s="468"/>
      <c r="N882" s="468"/>
      <c r="O882" s="468"/>
      <c r="P882" s="468"/>
      <c r="Q882" s="468"/>
      <c r="R882" s="468"/>
      <c r="S882" s="468"/>
      <c r="T882" s="468"/>
      <c r="U882" s="468"/>
      <c r="V882" s="468"/>
      <c r="W882" s="468"/>
      <c r="X882" s="468"/>
      <c r="Y882" s="468"/>
      <c r="Z882" s="468"/>
    </row>
    <row r="883" spans="1:26" ht="18" customHeight="1" x14ac:dyDescent="0.35">
      <c r="A883" s="468"/>
      <c r="B883" s="468"/>
      <c r="C883" s="468"/>
      <c r="D883" s="468"/>
      <c r="E883" s="468"/>
      <c r="F883" s="468"/>
      <c r="G883" s="468"/>
      <c r="H883" s="468"/>
      <c r="I883" s="468"/>
      <c r="J883" s="468"/>
      <c r="K883" s="468"/>
      <c r="L883" s="468"/>
      <c r="M883" s="468"/>
      <c r="N883" s="468"/>
      <c r="O883" s="468"/>
      <c r="P883" s="468"/>
      <c r="Q883" s="468"/>
      <c r="R883" s="468"/>
      <c r="S883" s="468"/>
      <c r="T883" s="468"/>
      <c r="U883" s="468"/>
      <c r="V883" s="468"/>
      <c r="W883" s="468"/>
      <c r="X883" s="468"/>
      <c r="Y883" s="468"/>
      <c r="Z883" s="468"/>
    </row>
    <row r="884" spans="1:26" ht="18" customHeight="1" x14ac:dyDescent="0.35">
      <c r="A884" s="468"/>
      <c r="B884" s="468"/>
      <c r="C884" s="468"/>
      <c r="D884" s="468"/>
      <c r="E884" s="468"/>
      <c r="F884" s="468"/>
      <c r="G884" s="468"/>
      <c r="H884" s="468"/>
      <c r="I884" s="468"/>
      <c r="J884" s="468"/>
      <c r="K884" s="468"/>
      <c r="L884" s="468"/>
      <c r="M884" s="468"/>
      <c r="N884" s="468"/>
      <c r="O884" s="468"/>
      <c r="P884" s="468"/>
      <c r="Q884" s="468"/>
      <c r="R884" s="468"/>
      <c r="S884" s="468"/>
      <c r="T884" s="468"/>
      <c r="U884" s="468"/>
      <c r="V884" s="468"/>
      <c r="W884" s="468"/>
      <c r="X884" s="468"/>
      <c r="Y884" s="468"/>
      <c r="Z884" s="468"/>
    </row>
    <row r="885" spans="1:26" ht="18" customHeight="1" x14ac:dyDescent="0.35">
      <c r="A885" s="468"/>
      <c r="B885" s="468"/>
      <c r="C885" s="468"/>
      <c r="D885" s="468"/>
      <c r="E885" s="468"/>
      <c r="F885" s="468"/>
      <c r="G885" s="468"/>
      <c r="H885" s="468"/>
      <c r="I885" s="468"/>
      <c r="J885" s="468"/>
      <c r="K885" s="468"/>
      <c r="L885" s="468"/>
      <c r="M885" s="468"/>
      <c r="N885" s="468"/>
      <c r="O885" s="468"/>
      <c r="P885" s="468"/>
      <c r="Q885" s="468"/>
      <c r="R885" s="468"/>
      <c r="S885" s="468"/>
      <c r="T885" s="468"/>
      <c r="U885" s="468"/>
      <c r="V885" s="468"/>
      <c r="W885" s="468"/>
      <c r="X885" s="468"/>
      <c r="Y885" s="468"/>
      <c r="Z885" s="468"/>
    </row>
    <row r="886" spans="1:26" ht="18" customHeight="1" x14ac:dyDescent="0.35">
      <c r="A886" s="468"/>
      <c r="B886" s="468"/>
      <c r="C886" s="468"/>
      <c r="D886" s="468"/>
      <c r="E886" s="468"/>
      <c r="F886" s="468"/>
      <c r="G886" s="468"/>
      <c r="H886" s="468"/>
      <c r="I886" s="468"/>
      <c r="J886" s="468"/>
      <c r="K886" s="468"/>
      <c r="L886" s="468"/>
      <c r="M886" s="468"/>
      <c r="N886" s="468"/>
      <c r="O886" s="468"/>
      <c r="P886" s="468"/>
      <c r="Q886" s="468"/>
      <c r="R886" s="468"/>
      <c r="S886" s="468"/>
      <c r="T886" s="468"/>
      <c r="U886" s="468"/>
      <c r="V886" s="468"/>
      <c r="W886" s="468"/>
      <c r="X886" s="468"/>
      <c r="Y886" s="468"/>
      <c r="Z886" s="468"/>
    </row>
    <row r="887" spans="1:26" ht="18" customHeight="1" x14ac:dyDescent="0.35">
      <c r="A887" s="468"/>
      <c r="B887" s="468"/>
      <c r="C887" s="468"/>
      <c r="D887" s="468"/>
      <c r="E887" s="468"/>
      <c r="F887" s="468"/>
      <c r="G887" s="468"/>
      <c r="H887" s="468"/>
      <c r="I887" s="468"/>
      <c r="J887" s="468"/>
      <c r="K887" s="468"/>
      <c r="L887" s="468"/>
      <c r="M887" s="468"/>
      <c r="N887" s="468"/>
      <c r="O887" s="468"/>
      <c r="P887" s="468"/>
      <c r="Q887" s="468"/>
      <c r="R887" s="468"/>
      <c r="S887" s="468"/>
      <c r="T887" s="468"/>
      <c r="U887" s="468"/>
      <c r="V887" s="468"/>
      <c r="W887" s="468"/>
      <c r="X887" s="468"/>
      <c r="Y887" s="468"/>
      <c r="Z887" s="468"/>
    </row>
    <row r="888" spans="1:26" ht="18" customHeight="1" x14ac:dyDescent="0.35">
      <c r="A888" s="468"/>
      <c r="B888" s="468"/>
      <c r="C888" s="468"/>
      <c r="D888" s="468"/>
      <c r="E888" s="468"/>
      <c r="F888" s="468"/>
      <c r="G888" s="468"/>
      <c r="H888" s="468"/>
      <c r="I888" s="468"/>
      <c r="J888" s="468"/>
      <c r="K888" s="468"/>
      <c r="L888" s="468"/>
      <c r="M888" s="468"/>
      <c r="N888" s="468"/>
      <c r="O888" s="468"/>
      <c r="P888" s="468"/>
      <c r="Q888" s="468"/>
      <c r="R888" s="468"/>
      <c r="S888" s="468"/>
      <c r="T888" s="468"/>
      <c r="U888" s="468"/>
      <c r="V888" s="468"/>
      <c r="W888" s="468"/>
      <c r="X888" s="468"/>
      <c r="Y888" s="468"/>
      <c r="Z888" s="468"/>
    </row>
    <row r="889" spans="1:26" ht="18" customHeight="1" x14ac:dyDescent="0.35">
      <c r="A889" s="468"/>
      <c r="B889" s="468"/>
      <c r="C889" s="468"/>
      <c r="D889" s="468"/>
      <c r="E889" s="468"/>
      <c r="F889" s="468"/>
      <c r="G889" s="468"/>
      <c r="H889" s="468"/>
      <c r="I889" s="468"/>
      <c r="J889" s="468"/>
      <c r="K889" s="468"/>
      <c r="L889" s="468"/>
      <c r="M889" s="468"/>
      <c r="N889" s="468"/>
      <c r="O889" s="468"/>
      <c r="P889" s="468"/>
      <c r="Q889" s="468"/>
      <c r="R889" s="468"/>
      <c r="S889" s="468"/>
      <c r="T889" s="468"/>
      <c r="U889" s="468"/>
      <c r="V889" s="468"/>
      <c r="W889" s="468"/>
      <c r="X889" s="468"/>
      <c r="Y889" s="468"/>
      <c r="Z889" s="468"/>
    </row>
    <row r="890" spans="1:26" ht="18" customHeight="1" x14ac:dyDescent="0.35">
      <c r="A890" s="468"/>
      <c r="B890" s="468"/>
      <c r="C890" s="468"/>
      <c r="D890" s="468"/>
      <c r="E890" s="468"/>
      <c r="F890" s="468"/>
      <c r="G890" s="468"/>
      <c r="H890" s="468"/>
      <c r="I890" s="468"/>
      <c r="J890" s="468"/>
      <c r="K890" s="468"/>
      <c r="L890" s="468"/>
      <c r="M890" s="468"/>
      <c r="N890" s="468"/>
      <c r="O890" s="468"/>
      <c r="P890" s="468"/>
      <c r="Q890" s="468"/>
      <c r="R890" s="468"/>
      <c r="S890" s="468"/>
      <c r="T890" s="468"/>
      <c r="U890" s="468"/>
      <c r="V890" s="468"/>
      <c r="W890" s="468"/>
      <c r="X890" s="468"/>
      <c r="Y890" s="468"/>
      <c r="Z890" s="468"/>
    </row>
    <row r="891" spans="1:26" ht="18" customHeight="1" x14ac:dyDescent="0.35">
      <c r="A891" s="468"/>
      <c r="B891" s="468"/>
      <c r="C891" s="468"/>
      <c r="D891" s="468"/>
      <c r="E891" s="468"/>
      <c r="F891" s="468"/>
      <c r="G891" s="468"/>
      <c r="H891" s="468"/>
      <c r="I891" s="468"/>
      <c r="J891" s="468"/>
      <c r="K891" s="468"/>
      <c r="L891" s="468"/>
      <c r="M891" s="468"/>
      <c r="N891" s="468"/>
      <c r="O891" s="468"/>
      <c r="P891" s="468"/>
      <c r="Q891" s="468"/>
      <c r="R891" s="468"/>
      <c r="S891" s="468"/>
      <c r="T891" s="468"/>
      <c r="U891" s="468"/>
      <c r="V891" s="468"/>
      <c r="W891" s="468"/>
      <c r="X891" s="468"/>
      <c r="Y891" s="468"/>
      <c r="Z891" s="468"/>
    </row>
    <row r="892" spans="1:26" ht="18" customHeight="1" x14ac:dyDescent="0.35">
      <c r="A892" s="468"/>
      <c r="B892" s="468"/>
      <c r="C892" s="468"/>
      <c r="D892" s="468"/>
      <c r="E892" s="468"/>
      <c r="F892" s="468"/>
      <c r="G892" s="468"/>
      <c r="H892" s="468"/>
      <c r="I892" s="468"/>
      <c r="J892" s="468"/>
      <c r="K892" s="468"/>
      <c r="L892" s="468"/>
      <c r="M892" s="468"/>
      <c r="N892" s="468"/>
      <c r="O892" s="468"/>
      <c r="P892" s="468"/>
      <c r="Q892" s="468"/>
      <c r="R892" s="468"/>
      <c r="S892" s="468"/>
      <c r="T892" s="468"/>
      <c r="U892" s="468"/>
      <c r="V892" s="468"/>
      <c r="W892" s="468"/>
      <c r="X892" s="468"/>
      <c r="Y892" s="468"/>
      <c r="Z892" s="468"/>
    </row>
    <row r="893" spans="1:26" ht="18" customHeight="1" x14ac:dyDescent="0.35">
      <c r="A893" s="468"/>
      <c r="B893" s="468"/>
      <c r="C893" s="468"/>
      <c r="D893" s="468"/>
      <c r="E893" s="468"/>
      <c r="F893" s="468"/>
      <c r="G893" s="468"/>
      <c r="H893" s="468"/>
      <c r="I893" s="468"/>
      <c r="J893" s="468"/>
      <c r="K893" s="468"/>
      <c r="L893" s="468"/>
      <c r="M893" s="468"/>
      <c r="N893" s="468"/>
      <c r="O893" s="468"/>
      <c r="P893" s="468"/>
      <c r="Q893" s="468"/>
      <c r="R893" s="468"/>
      <c r="S893" s="468"/>
      <c r="T893" s="468"/>
      <c r="U893" s="468"/>
      <c r="V893" s="468"/>
      <c r="W893" s="468"/>
      <c r="X893" s="468"/>
      <c r="Y893" s="468"/>
      <c r="Z893" s="468"/>
    </row>
    <row r="894" spans="1:26" ht="18" customHeight="1" x14ac:dyDescent="0.35">
      <c r="A894" s="468"/>
      <c r="B894" s="468"/>
      <c r="C894" s="468"/>
      <c r="D894" s="468"/>
      <c r="E894" s="468"/>
      <c r="F894" s="468"/>
      <c r="G894" s="468"/>
      <c r="H894" s="468"/>
      <c r="I894" s="468"/>
      <c r="J894" s="468"/>
      <c r="K894" s="468"/>
      <c r="L894" s="468"/>
      <c r="M894" s="468"/>
      <c r="N894" s="468"/>
      <c r="O894" s="468"/>
      <c r="P894" s="468"/>
      <c r="Q894" s="468"/>
      <c r="R894" s="468"/>
      <c r="S894" s="468"/>
      <c r="T894" s="468"/>
      <c r="U894" s="468"/>
      <c r="V894" s="468"/>
      <c r="W894" s="468"/>
      <c r="X894" s="468"/>
      <c r="Y894" s="468"/>
      <c r="Z894" s="468"/>
    </row>
    <row r="895" spans="1:26" ht="18" customHeight="1" x14ac:dyDescent="0.35">
      <c r="A895" s="468"/>
      <c r="B895" s="468"/>
      <c r="C895" s="468"/>
      <c r="D895" s="468"/>
      <c r="E895" s="468"/>
      <c r="F895" s="468"/>
      <c r="G895" s="468"/>
      <c r="H895" s="468"/>
      <c r="I895" s="468"/>
      <c r="J895" s="468"/>
      <c r="K895" s="468"/>
      <c r="L895" s="468"/>
      <c r="M895" s="468"/>
      <c r="N895" s="468"/>
      <c r="O895" s="468"/>
      <c r="P895" s="468"/>
      <c r="Q895" s="468"/>
      <c r="R895" s="468"/>
      <c r="S895" s="468"/>
      <c r="T895" s="468"/>
      <c r="U895" s="468"/>
      <c r="V895" s="468"/>
      <c r="W895" s="468"/>
      <c r="X895" s="468"/>
      <c r="Y895" s="468"/>
      <c r="Z895" s="468"/>
    </row>
    <row r="896" spans="1:26" ht="18" customHeight="1" x14ac:dyDescent="0.35">
      <c r="A896" s="468"/>
      <c r="B896" s="468"/>
      <c r="C896" s="468"/>
      <c r="D896" s="468"/>
      <c r="E896" s="468"/>
      <c r="F896" s="468"/>
      <c r="G896" s="468"/>
      <c r="H896" s="468"/>
      <c r="I896" s="468"/>
      <c r="J896" s="468"/>
      <c r="K896" s="468"/>
      <c r="L896" s="468"/>
      <c r="M896" s="468"/>
      <c r="N896" s="468"/>
      <c r="O896" s="468"/>
      <c r="P896" s="468"/>
      <c r="Q896" s="468"/>
      <c r="R896" s="468"/>
      <c r="S896" s="468"/>
      <c r="T896" s="468"/>
      <c r="U896" s="468"/>
      <c r="V896" s="468"/>
      <c r="W896" s="468"/>
      <c r="X896" s="468"/>
      <c r="Y896" s="468"/>
      <c r="Z896" s="468"/>
    </row>
    <row r="897" spans="1:26" ht="18" customHeight="1" x14ac:dyDescent="0.35">
      <c r="A897" s="468"/>
      <c r="B897" s="468"/>
      <c r="C897" s="468"/>
      <c r="D897" s="468"/>
      <c r="E897" s="468"/>
      <c r="F897" s="468"/>
      <c r="G897" s="468"/>
      <c r="H897" s="468"/>
      <c r="I897" s="468"/>
      <c r="J897" s="468"/>
      <c r="K897" s="468"/>
      <c r="L897" s="468"/>
      <c r="M897" s="468"/>
      <c r="N897" s="468"/>
      <c r="O897" s="468"/>
      <c r="P897" s="468"/>
      <c r="Q897" s="468"/>
      <c r="R897" s="468"/>
      <c r="S897" s="468"/>
      <c r="T897" s="468"/>
      <c r="U897" s="468"/>
      <c r="V897" s="468"/>
      <c r="W897" s="468"/>
      <c r="X897" s="468"/>
      <c r="Y897" s="468"/>
      <c r="Z897" s="468"/>
    </row>
    <row r="898" spans="1:26" ht="18" customHeight="1" x14ac:dyDescent="0.35">
      <c r="A898" s="468"/>
      <c r="B898" s="468"/>
      <c r="C898" s="468"/>
      <c r="D898" s="468"/>
      <c r="E898" s="468"/>
      <c r="F898" s="468"/>
      <c r="G898" s="468"/>
      <c r="H898" s="468"/>
      <c r="I898" s="468"/>
      <c r="J898" s="468"/>
      <c r="K898" s="468"/>
      <c r="L898" s="468"/>
      <c r="M898" s="468"/>
      <c r="N898" s="468"/>
      <c r="O898" s="468"/>
      <c r="P898" s="468"/>
      <c r="Q898" s="468"/>
      <c r="R898" s="468"/>
      <c r="S898" s="468"/>
      <c r="T898" s="468"/>
      <c r="U898" s="468"/>
      <c r="V898" s="468"/>
      <c r="W898" s="468"/>
      <c r="X898" s="468"/>
      <c r="Y898" s="468"/>
      <c r="Z898" s="468"/>
    </row>
    <row r="899" spans="1:26" ht="18" customHeight="1" x14ac:dyDescent="0.35">
      <c r="A899" s="468"/>
      <c r="B899" s="468"/>
      <c r="C899" s="468"/>
      <c r="D899" s="468"/>
      <c r="E899" s="468"/>
      <c r="F899" s="468"/>
      <c r="G899" s="468"/>
      <c r="H899" s="468"/>
      <c r="I899" s="468"/>
      <c r="J899" s="468"/>
      <c r="K899" s="468"/>
      <c r="L899" s="468"/>
      <c r="M899" s="468"/>
      <c r="N899" s="468"/>
      <c r="O899" s="468"/>
      <c r="P899" s="468"/>
      <c r="Q899" s="468"/>
      <c r="R899" s="468"/>
      <c r="S899" s="468"/>
      <c r="T899" s="468"/>
      <c r="U899" s="468"/>
      <c r="V899" s="468"/>
      <c r="W899" s="468"/>
      <c r="X899" s="468"/>
      <c r="Y899" s="468"/>
      <c r="Z899" s="468"/>
    </row>
    <row r="900" spans="1:26" ht="18" customHeight="1" x14ac:dyDescent="0.35">
      <c r="A900" s="468"/>
      <c r="B900" s="468"/>
      <c r="C900" s="468"/>
      <c r="D900" s="468"/>
      <c r="E900" s="468"/>
      <c r="F900" s="468"/>
      <c r="G900" s="468"/>
      <c r="H900" s="468"/>
      <c r="I900" s="468"/>
      <c r="J900" s="468"/>
      <c r="K900" s="468"/>
      <c r="L900" s="468"/>
      <c r="M900" s="468"/>
      <c r="N900" s="468"/>
      <c r="O900" s="468"/>
      <c r="P900" s="468"/>
      <c r="Q900" s="468"/>
      <c r="R900" s="468"/>
      <c r="S900" s="468"/>
      <c r="T900" s="468"/>
      <c r="U900" s="468"/>
      <c r="V900" s="468"/>
      <c r="W900" s="468"/>
      <c r="X900" s="468"/>
      <c r="Y900" s="468"/>
      <c r="Z900" s="468"/>
    </row>
    <row r="901" spans="1:26" ht="18" customHeight="1" x14ac:dyDescent="0.35">
      <c r="A901" s="468"/>
      <c r="B901" s="468"/>
      <c r="C901" s="468"/>
      <c r="D901" s="468"/>
      <c r="E901" s="468"/>
      <c r="F901" s="468"/>
      <c r="G901" s="468"/>
      <c r="H901" s="468"/>
      <c r="I901" s="468"/>
      <c r="J901" s="468"/>
      <c r="K901" s="468"/>
      <c r="L901" s="468"/>
      <c r="M901" s="468"/>
      <c r="N901" s="468"/>
      <c r="O901" s="468"/>
      <c r="P901" s="468"/>
      <c r="Q901" s="468"/>
      <c r="R901" s="468"/>
      <c r="S901" s="468"/>
      <c r="T901" s="468"/>
      <c r="U901" s="468"/>
      <c r="V901" s="468"/>
      <c r="W901" s="468"/>
      <c r="X901" s="468"/>
      <c r="Y901" s="468"/>
      <c r="Z901" s="468"/>
    </row>
    <row r="902" spans="1:26" ht="18" customHeight="1" x14ac:dyDescent="0.35">
      <c r="A902" s="468"/>
      <c r="B902" s="468"/>
      <c r="C902" s="468"/>
      <c r="D902" s="468"/>
      <c r="E902" s="468"/>
      <c r="F902" s="468"/>
      <c r="G902" s="468"/>
      <c r="H902" s="468"/>
      <c r="I902" s="468"/>
      <c r="J902" s="468"/>
      <c r="K902" s="468"/>
      <c r="L902" s="468"/>
      <c r="M902" s="468"/>
      <c r="N902" s="468"/>
      <c r="O902" s="468"/>
      <c r="P902" s="468"/>
      <c r="Q902" s="468"/>
      <c r="R902" s="468"/>
      <c r="S902" s="468"/>
      <c r="T902" s="468"/>
      <c r="U902" s="468"/>
      <c r="V902" s="468"/>
      <c r="W902" s="468"/>
      <c r="X902" s="468"/>
      <c r="Y902" s="468"/>
      <c r="Z902" s="468"/>
    </row>
    <row r="903" spans="1:26" ht="18" customHeight="1" x14ac:dyDescent="0.35">
      <c r="A903" s="468"/>
      <c r="B903" s="468"/>
      <c r="C903" s="468"/>
      <c r="D903" s="468"/>
      <c r="E903" s="468"/>
      <c r="F903" s="468"/>
      <c r="G903" s="468"/>
      <c r="H903" s="468"/>
      <c r="I903" s="468"/>
      <c r="J903" s="468"/>
      <c r="K903" s="468"/>
      <c r="L903" s="468"/>
      <c r="M903" s="468"/>
      <c r="N903" s="468"/>
      <c r="O903" s="468"/>
      <c r="P903" s="468"/>
      <c r="Q903" s="468"/>
      <c r="R903" s="468"/>
      <c r="S903" s="468"/>
      <c r="T903" s="468"/>
      <c r="U903" s="468"/>
      <c r="V903" s="468"/>
      <c r="W903" s="468"/>
      <c r="X903" s="468"/>
      <c r="Y903" s="468"/>
      <c r="Z903" s="468"/>
    </row>
    <row r="904" spans="1:26" ht="18" customHeight="1" x14ac:dyDescent="0.35">
      <c r="A904" s="468"/>
      <c r="B904" s="468"/>
      <c r="C904" s="468"/>
      <c r="D904" s="468"/>
      <c r="E904" s="468"/>
      <c r="F904" s="468"/>
      <c r="G904" s="468"/>
      <c r="H904" s="468"/>
      <c r="I904" s="468"/>
      <c r="J904" s="468"/>
      <c r="K904" s="468"/>
      <c r="L904" s="468"/>
      <c r="M904" s="468"/>
      <c r="N904" s="468"/>
      <c r="O904" s="468"/>
      <c r="P904" s="468"/>
      <c r="Q904" s="468"/>
      <c r="R904" s="468"/>
      <c r="S904" s="468"/>
      <c r="T904" s="468"/>
      <c r="U904" s="468"/>
      <c r="V904" s="468"/>
      <c r="W904" s="468"/>
      <c r="X904" s="468"/>
      <c r="Y904" s="468"/>
      <c r="Z904" s="468"/>
    </row>
    <row r="905" spans="1:26" ht="18" customHeight="1" x14ac:dyDescent="0.35">
      <c r="A905" s="468"/>
      <c r="B905" s="468"/>
      <c r="C905" s="468"/>
      <c r="D905" s="468"/>
      <c r="E905" s="468"/>
      <c r="F905" s="468"/>
      <c r="G905" s="468"/>
      <c r="H905" s="468"/>
      <c r="I905" s="468"/>
      <c r="J905" s="468"/>
      <c r="K905" s="468"/>
      <c r="L905" s="468"/>
      <c r="M905" s="468"/>
      <c r="N905" s="468"/>
      <c r="O905" s="468"/>
      <c r="P905" s="468"/>
      <c r="Q905" s="468"/>
      <c r="R905" s="468"/>
      <c r="S905" s="468"/>
      <c r="T905" s="468"/>
      <c r="U905" s="468"/>
      <c r="V905" s="468"/>
      <c r="W905" s="468"/>
      <c r="X905" s="468"/>
      <c r="Y905" s="468"/>
      <c r="Z905" s="468"/>
    </row>
    <row r="906" spans="1:26" ht="18" customHeight="1" x14ac:dyDescent="0.35">
      <c r="A906" s="468"/>
      <c r="B906" s="468"/>
      <c r="C906" s="468"/>
      <c r="D906" s="468"/>
      <c r="E906" s="468"/>
      <c r="F906" s="468"/>
      <c r="G906" s="468"/>
      <c r="H906" s="468"/>
      <c r="I906" s="468"/>
      <c r="J906" s="468"/>
      <c r="K906" s="468"/>
      <c r="L906" s="468"/>
      <c r="M906" s="468"/>
      <c r="N906" s="468"/>
      <c r="O906" s="468"/>
      <c r="P906" s="468"/>
      <c r="Q906" s="468"/>
      <c r="R906" s="468"/>
      <c r="S906" s="468"/>
      <c r="T906" s="468"/>
      <c r="U906" s="468"/>
      <c r="V906" s="468"/>
      <c r="W906" s="468"/>
      <c r="X906" s="468"/>
      <c r="Y906" s="468"/>
      <c r="Z906" s="468"/>
    </row>
    <row r="907" spans="1:26" ht="18" customHeight="1" x14ac:dyDescent="0.35">
      <c r="A907" s="468"/>
      <c r="B907" s="468"/>
      <c r="C907" s="468"/>
      <c r="D907" s="468"/>
      <c r="E907" s="468"/>
      <c r="F907" s="468"/>
      <c r="G907" s="468"/>
      <c r="H907" s="468"/>
      <c r="I907" s="468"/>
      <c r="J907" s="468"/>
      <c r="K907" s="468"/>
      <c r="L907" s="468"/>
      <c r="M907" s="468"/>
      <c r="N907" s="468"/>
      <c r="O907" s="468"/>
      <c r="P907" s="468"/>
      <c r="Q907" s="468"/>
      <c r="R907" s="468"/>
      <c r="S907" s="468"/>
      <c r="T907" s="468"/>
      <c r="U907" s="468"/>
      <c r="V907" s="468"/>
      <c r="W907" s="468"/>
      <c r="X907" s="468"/>
      <c r="Y907" s="468"/>
      <c r="Z907" s="468"/>
    </row>
    <row r="908" spans="1:26" ht="18" customHeight="1" x14ac:dyDescent="0.35">
      <c r="A908" s="468"/>
      <c r="B908" s="468"/>
      <c r="C908" s="468"/>
      <c r="D908" s="468"/>
      <c r="E908" s="468"/>
      <c r="F908" s="468"/>
      <c r="G908" s="468"/>
      <c r="H908" s="468"/>
      <c r="I908" s="468"/>
      <c r="J908" s="468"/>
      <c r="K908" s="468"/>
      <c r="L908" s="468"/>
      <c r="M908" s="468"/>
      <c r="N908" s="468"/>
      <c r="O908" s="468"/>
      <c r="P908" s="468"/>
      <c r="Q908" s="468"/>
      <c r="R908" s="468"/>
      <c r="S908" s="468"/>
      <c r="T908" s="468"/>
      <c r="U908" s="468"/>
      <c r="V908" s="468"/>
      <c r="W908" s="468"/>
      <c r="X908" s="468"/>
      <c r="Y908" s="468"/>
      <c r="Z908" s="468"/>
    </row>
    <row r="909" spans="1:26" ht="18" customHeight="1" x14ac:dyDescent="0.35">
      <c r="A909" s="468"/>
      <c r="B909" s="468"/>
      <c r="C909" s="468"/>
      <c r="D909" s="468"/>
      <c r="E909" s="468"/>
      <c r="F909" s="468"/>
      <c r="G909" s="468"/>
      <c r="H909" s="468"/>
      <c r="I909" s="468"/>
      <c r="J909" s="468"/>
      <c r="K909" s="468"/>
      <c r="L909" s="468"/>
      <c r="M909" s="468"/>
      <c r="N909" s="468"/>
      <c r="O909" s="468"/>
      <c r="P909" s="468"/>
      <c r="Q909" s="468"/>
      <c r="R909" s="468"/>
      <c r="S909" s="468"/>
      <c r="T909" s="468"/>
      <c r="U909" s="468"/>
      <c r="V909" s="468"/>
      <c r="W909" s="468"/>
      <c r="X909" s="468"/>
      <c r="Y909" s="468"/>
      <c r="Z909" s="468"/>
    </row>
    <row r="910" spans="1:26" ht="18" customHeight="1" x14ac:dyDescent="0.35">
      <c r="A910" s="468"/>
      <c r="B910" s="468"/>
      <c r="C910" s="468"/>
      <c r="D910" s="468"/>
      <c r="E910" s="468"/>
      <c r="F910" s="468"/>
      <c r="G910" s="468"/>
      <c r="H910" s="468"/>
      <c r="I910" s="468"/>
      <c r="J910" s="468"/>
      <c r="K910" s="468"/>
      <c r="L910" s="468"/>
      <c r="M910" s="468"/>
      <c r="N910" s="468"/>
      <c r="O910" s="468"/>
      <c r="P910" s="468"/>
      <c r="Q910" s="468"/>
      <c r="R910" s="468"/>
      <c r="S910" s="468"/>
      <c r="T910" s="468"/>
      <c r="U910" s="468"/>
      <c r="V910" s="468"/>
      <c r="W910" s="468"/>
      <c r="X910" s="468"/>
      <c r="Y910" s="468"/>
      <c r="Z910" s="468"/>
    </row>
    <row r="911" spans="1:26" ht="18" customHeight="1" x14ac:dyDescent="0.35">
      <c r="A911" s="468"/>
      <c r="B911" s="468"/>
      <c r="C911" s="468"/>
      <c r="D911" s="468"/>
      <c r="E911" s="468"/>
      <c r="F911" s="468"/>
      <c r="G911" s="468"/>
      <c r="H911" s="468"/>
      <c r="I911" s="468"/>
      <c r="J911" s="468"/>
      <c r="K911" s="468"/>
      <c r="L911" s="468"/>
      <c r="M911" s="468"/>
      <c r="N911" s="468"/>
      <c r="O911" s="468"/>
      <c r="P911" s="468"/>
      <c r="Q911" s="468"/>
      <c r="R911" s="468"/>
      <c r="S911" s="468"/>
      <c r="T911" s="468"/>
      <c r="U911" s="468"/>
      <c r="V911" s="468"/>
      <c r="W911" s="468"/>
      <c r="X911" s="468"/>
      <c r="Y911" s="468"/>
      <c r="Z911" s="468"/>
    </row>
    <row r="912" spans="1:26" ht="18" customHeight="1" x14ac:dyDescent="0.35">
      <c r="A912" s="468"/>
      <c r="B912" s="468"/>
      <c r="C912" s="468"/>
      <c r="D912" s="468"/>
      <c r="E912" s="468"/>
      <c r="F912" s="468"/>
      <c r="G912" s="468"/>
      <c r="H912" s="468"/>
      <c r="I912" s="468"/>
      <c r="J912" s="468"/>
      <c r="K912" s="468"/>
      <c r="L912" s="468"/>
      <c r="M912" s="468"/>
      <c r="N912" s="468"/>
      <c r="O912" s="468"/>
      <c r="P912" s="468"/>
      <c r="Q912" s="468"/>
      <c r="R912" s="468"/>
      <c r="S912" s="468"/>
      <c r="T912" s="468"/>
      <c r="U912" s="468"/>
      <c r="V912" s="468"/>
      <c r="W912" s="468"/>
      <c r="X912" s="468"/>
      <c r="Y912" s="468"/>
      <c r="Z912" s="468"/>
    </row>
    <row r="913" spans="1:26" ht="18" customHeight="1" x14ac:dyDescent="0.35">
      <c r="A913" s="468"/>
      <c r="B913" s="468"/>
      <c r="C913" s="468"/>
      <c r="D913" s="468"/>
      <c r="E913" s="468"/>
      <c r="F913" s="468"/>
      <c r="G913" s="468"/>
      <c r="H913" s="468"/>
      <c r="I913" s="468"/>
      <c r="J913" s="468"/>
      <c r="K913" s="468"/>
      <c r="L913" s="468"/>
      <c r="M913" s="468"/>
      <c r="N913" s="468"/>
      <c r="O913" s="468"/>
      <c r="P913" s="468"/>
      <c r="Q913" s="468"/>
      <c r="R913" s="468"/>
      <c r="S913" s="468"/>
      <c r="T913" s="468"/>
      <c r="U913" s="468"/>
      <c r="V913" s="468"/>
      <c r="W913" s="468"/>
      <c r="X913" s="468"/>
      <c r="Y913" s="468"/>
      <c r="Z913" s="468"/>
    </row>
    <row r="914" spans="1:26" ht="18" customHeight="1" x14ac:dyDescent="0.35">
      <c r="A914" s="468"/>
      <c r="B914" s="468"/>
      <c r="C914" s="468"/>
      <c r="D914" s="468"/>
      <c r="E914" s="468"/>
      <c r="F914" s="468"/>
      <c r="G914" s="468"/>
      <c r="H914" s="468"/>
      <c r="I914" s="468"/>
      <c r="J914" s="468"/>
      <c r="K914" s="468"/>
      <c r="L914" s="468"/>
      <c r="M914" s="468"/>
      <c r="N914" s="468"/>
      <c r="O914" s="468"/>
      <c r="P914" s="468"/>
      <c r="Q914" s="468"/>
      <c r="R914" s="468"/>
      <c r="S914" s="468"/>
      <c r="T914" s="468"/>
      <c r="U914" s="468"/>
      <c r="V914" s="468"/>
      <c r="W914" s="468"/>
      <c r="X914" s="468"/>
      <c r="Y914" s="468"/>
      <c r="Z914" s="468"/>
    </row>
    <row r="915" spans="1:26" ht="18" customHeight="1" x14ac:dyDescent="0.35">
      <c r="A915" s="468"/>
      <c r="B915" s="468"/>
      <c r="C915" s="468"/>
      <c r="D915" s="468"/>
      <c r="E915" s="468"/>
      <c r="F915" s="468"/>
      <c r="G915" s="468"/>
      <c r="H915" s="468"/>
      <c r="I915" s="468"/>
      <c r="J915" s="468"/>
      <c r="K915" s="468"/>
      <c r="L915" s="468"/>
      <c r="M915" s="468"/>
      <c r="N915" s="468"/>
      <c r="O915" s="468"/>
      <c r="P915" s="468"/>
      <c r="Q915" s="468"/>
      <c r="R915" s="468"/>
      <c r="S915" s="468"/>
      <c r="T915" s="468"/>
      <c r="U915" s="468"/>
      <c r="V915" s="468"/>
      <c r="W915" s="468"/>
      <c r="X915" s="468"/>
      <c r="Y915" s="468"/>
      <c r="Z915" s="468"/>
    </row>
    <row r="916" spans="1:26" ht="18" customHeight="1" x14ac:dyDescent="0.35">
      <c r="A916" s="468"/>
      <c r="B916" s="468"/>
      <c r="C916" s="468"/>
      <c r="D916" s="468"/>
      <c r="E916" s="468"/>
      <c r="F916" s="468"/>
      <c r="G916" s="468"/>
      <c r="H916" s="468"/>
      <c r="I916" s="468"/>
      <c r="J916" s="468"/>
      <c r="K916" s="468"/>
      <c r="L916" s="468"/>
      <c r="M916" s="468"/>
      <c r="N916" s="468"/>
      <c r="O916" s="468"/>
      <c r="P916" s="468"/>
      <c r="Q916" s="468"/>
      <c r="R916" s="468"/>
      <c r="S916" s="468"/>
      <c r="T916" s="468"/>
      <c r="U916" s="468"/>
      <c r="V916" s="468"/>
      <c r="W916" s="468"/>
      <c r="X916" s="468"/>
      <c r="Y916" s="468"/>
      <c r="Z916" s="468"/>
    </row>
    <row r="917" spans="1:26" ht="18" customHeight="1" x14ac:dyDescent="0.35">
      <c r="A917" s="468"/>
      <c r="B917" s="468"/>
      <c r="C917" s="468"/>
      <c r="D917" s="468"/>
      <c r="E917" s="468"/>
      <c r="F917" s="468"/>
      <c r="G917" s="468"/>
      <c r="H917" s="468"/>
      <c r="I917" s="468"/>
      <c r="J917" s="468"/>
      <c r="K917" s="468"/>
      <c r="L917" s="468"/>
      <c r="M917" s="468"/>
      <c r="N917" s="468"/>
      <c r="O917" s="468"/>
      <c r="P917" s="468"/>
      <c r="Q917" s="468"/>
      <c r="R917" s="468"/>
      <c r="S917" s="468"/>
      <c r="T917" s="468"/>
      <c r="U917" s="468"/>
      <c r="V917" s="468"/>
      <c r="W917" s="468"/>
      <c r="X917" s="468"/>
      <c r="Y917" s="468"/>
      <c r="Z917" s="468"/>
    </row>
    <row r="918" spans="1:26" ht="18" customHeight="1" x14ac:dyDescent="0.35">
      <c r="A918" s="468"/>
      <c r="B918" s="468"/>
      <c r="C918" s="468"/>
      <c r="D918" s="468"/>
      <c r="E918" s="468"/>
      <c r="F918" s="468"/>
      <c r="G918" s="468"/>
      <c r="H918" s="468"/>
      <c r="I918" s="468"/>
      <c r="J918" s="468"/>
      <c r="K918" s="468"/>
      <c r="L918" s="468"/>
      <c r="M918" s="468"/>
      <c r="N918" s="468"/>
      <c r="O918" s="468"/>
      <c r="P918" s="468"/>
      <c r="Q918" s="468"/>
      <c r="R918" s="468"/>
      <c r="S918" s="468"/>
      <c r="T918" s="468"/>
      <c r="U918" s="468"/>
      <c r="V918" s="468"/>
      <c r="W918" s="468"/>
      <c r="X918" s="468"/>
      <c r="Y918" s="468"/>
      <c r="Z918" s="468"/>
    </row>
    <row r="919" spans="1:26" ht="18" customHeight="1" x14ac:dyDescent="0.35">
      <c r="A919" s="468"/>
      <c r="B919" s="468"/>
      <c r="C919" s="468"/>
      <c r="D919" s="468"/>
      <c r="E919" s="468"/>
      <c r="F919" s="468"/>
      <c r="G919" s="468"/>
      <c r="H919" s="468"/>
      <c r="I919" s="468"/>
      <c r="J919" s="468"/>
      <c r="K919" s="468"/>
      <c r="L919" s="468"/>
      <c r="M919" s="468"/>
      <c r="N919" s="468"/>
      <c r="O919" s="468"/>
      <c r="P919" s="468"/>
      <c r="Q919" s="468"/>
      <c r="R919" s="468"/>
      <c r="S919" s="468"/>
      <c r="T919" s="468"/>
      <c r="U919" s="468"/>
      <c r="V919" s="468"/>
      <c r="W919" s="468"/>
      <c r="X919" s="468"/>
      <c r="Y919" s="468"/>
      <c r="Z919" s="468"/>
    </row>
    <row r="920" spans="1:26" ht="18" customHeight="1" x14ac:dyDescent="0.35">
      <c r="A920" s="468"/>
      <c r="B920" s="468"/>
      <c r="C920" s="468"/>
      <c r="D920" s="468"/>
      <c r="E920" s="468"/>
      <c r="F920" s="468"/>
      <c r="G920" s="468"/>
      <c r="H920" s="468"/>
      <c r="I920" s="468"/>
      <c r="J920" s="468"/>
      <c r="K920" s="468"/>
      <c r="L920" s="468"/>
      <c r="M920" s="468"/>
      <c r="N920" s="468"/>
      <c r="O920" s="468"/>
      <c r="P920" s="468"/>
      <c r="Q920" s="468"/>
      <c r="R920" s="468"/>
      <c r="S920" s="468"/>
      <c r="T920" s="468"/>
      <c r="U920" s="468"/>
      <c r="V920" s="468"/>
      <c r="W920" s="468"/>
      <c r="X920" s="468"/>
      <c r="Y920" s="468"/>
      <c r="Z920" s="468"/>
    </row>
    <row r="921" spans="1:26" ht="18" customHeight="1" x14ac:dyDescent="0.35">
      <c r="A921" s="468"/>
      <c r="B921" s="468"/>
      <c r="C921" s="468"/>
      <c r="D921" s="468"/>
      <c r="E921" s="468"/>
      <c r="F921" s="468"/>
      <c r="G921" s="468"/>
      <c r="H921" s="468"/>
      <c r="I921" s="468"/>
      <c r="J921" s="468"/>
      <c r="K921" s="468"/>
      <c r="L921" s="468"/>
      <c r="M921" s="468"/>
      <c r="N921" s="468"/>
      <c r="O921" s="468"/>
      <c r="P921" s="468"/>
      <c r="Q921" s="468"/>
      <c r="R921" s="468"/>
      <c r="S921" s="468"/>
      <c r="T921" s="468"/>
      <c r="U921" s="468"/>
      <c r="V921" s="468"/>
      <c r="W921" s="468"/>
      <c r="X921" s="468"/>
      <c r="Y921" s="468"/>
      <c r="Z921" s="468"/>
    </row>
    <row r="922" spans="1:26" ht="18" customHeight="1" x14ac:dyDescent="0.35">
      <c r="A922" s="468"/>
      <c r="B922" s="468"/>
      <c r="C922" s="468"/>
      <c r="D922" s="468"/>
      <c r="E922" s="468"/>
      <c r="F922" s="468"/>
      <c r="G922" s="468"/>
      <c r="H922" s="468"/>
      <c r="I922" s="468"/>
      <c r="J922" s="468"/>
      <c r="K922" s="468"/>
      <c r="L922" s="468"/>
      <c r="M922" s="468"/>
      <c r="N922" s="468"/>
      <c r="O922" s="468"/>
      <c r="P922" s="468"/>
      <c r="Q922" s="468"/>
      <c r="R922" s="468"/>
      <c r="S922" s="468"/>
      <c r="T922" s="468"/>
      <c r="U922" s="468"/>
      <c r="V922" s="468"/>
      <c r="W922" s="468"/>
      <c r="X922" s="468"/>
      <c r="Y922" s="468"/>
      <c r="Z922" s="468"/>
    </row>
    <row r="923" spans="1:26" ht="18" customHeight="1" x14ac:dyDescent="0.35">
      <c r="A923" s="468"/>
      <c r="B923" s="468"/>
      <c r="C923" s="468"/>
      <c r="D923" s="468"/>
      <c r="E923" s="468"/>
      <c r="F923" s="468"/>
      <c r="G923" s="468"/>
      <c r="H923" s="468"/>
      <c r="I923" s="468"/>
      <c r="J923" s="468"/>
      <c r="K923" s="468"/>
      <c r="L923" s="468"/>
      <c r="M923" s="468"/>
      <c r="N923" s="468"/>
      <c r="O923" s="468"/>
      <c r="P923" s="468"/>
      <c r="Q923" s="468"/>
      <c r="R923" s="468"/>
      <c r="S923" s="468"/>
      <c r="T923" s="468"/>
      <c r="U923" s="468"/>
      <c r="V923" s="468"/>
      <c r="W923" s="468"/>
      <c r="X923" s="468"/>
      <c r="Y923" s="468"/>
      <c r="Z923" s="468"/>
    </row>
    <row r="924" spans="1:26" ht="18" customHeight="1" x14ac:dyDescent="0.35">
      <c r="A924" s="468"/>
      <c r="B924" s="468"/>
      <c r="C924" s="468"/>
      <c r="D924" s="468"/>
      <c r="E924" s="468"/>
      <c r="F924" s="468"/>
      <c r="G924" s="468"/>
      <c r="H924" s="468"/>
      <c r="I924" s="468"/>
      <c r="J924" s="468"/>
      <c r="K924" s="468"/>
      <c r="L924" s="468"/>
      <c r="M924" s="468"/>
      <c r="N924" s="468"/>
      <c r="O924" s="468"/>
      <c r="P924" s="468"/>
      <c r="Q924" s="468"/>
      <c r="R924" s="468"/>
      <c r="S924" s="468"/>
      <c r="T924" s="468"/>
      <c r="U924" s="468"/>
      <c r="V924" s="468"/>
      <c r="W924" s="468"/>
      <c r="X924" s="468"/>
      <c r="Y924" s="468"/>
      <c r="Z924" s="468"/>
    </row>
    <row r="925" spans="1:26" ht="18" customHeight="1" x14ac:dyDescent="0.35">
      <c r="A925" s="468"/>
      <c r="B925" s="468"/>
      <c r="C925" s="468"/>
      <c r="D925" s="468"/>
      <c r="E925" s="468"/>
      <c r="F925" s="468"/>
      <c r="G925" s="468"/>
      <c r="H925" s="468"/>
      <c r="I925" s="468"/>
      <c r="J925" s="468"/>
      <c r="K925" s="468"/>
      <c r="L925" s="468"/>
      <c r="M925" s="468"/>
      <c r="N925" s="468"/>
      <c r="O925" s="468"/>
      <c r="P925" s="468"/>
      <c r="Q925" s="468"/>
      <c r="R925" s="468"/>
      <c r="S925" s="468"/>
      <c r="T925" s="468"/>
      <c r="U925" s="468"/>
      <c r="V925" s="468"/>
      <c r="W925" s="468"/>
      <c r="X925" s="468"/>
      <c r="Y925" s="468"/>
      <c r="Z925" s="468"/>
    </row>
    <row r="926" spans="1:26" ht="18" customHeight="1" x14ac:dyDescent="0.35">
      <c r="A926" s="468"/>
      <c r="B926" s="468"/>
      <c r="C926" s="468"/>
      <c r="D926" s="468"/>
      <c r="E926" s="468"/>
      <c r="F926" s="468"/>
      <c r="G926" s="468"/>
      <c r="H926" s="468"/>
      <c r="I926" s="468"/>
      <c r="J926" s="468"/>
      <c r="K926" s="468"/>
      <c r="L926" s="468"/>
      <c r="M926" s="468"/>
      <c r="N926" s="468"/>
      <c r="O926" s="468"/>
      <c r="P926" s="468"/>
      <c r="Q926" s="468"/>
      <c r="R926" s="468"/>
      <c r="S926" s="468"/>
      <c r="T926" s="468"/>
      <c r="U926" s="468"/>
      <c r="V926" s="468"/>
      <c r="W926" s="468"/>
      <c r="X926" s="468"/>
      <c r="Y926" s="468"/>
      <c r="Z926" s="468"/>
    </row>
    <row r="927" spans="1:26" ht="18" customHeight="1" x14ac:dyDescent="0.35">
      <c r="A927" s="468"/>
      <c r="B927" s="468"/>
      <c r="C927" s="468"/>
      <c r="D927" s="468"/>
      <c r="E927" s="468"/>
      <c r="F927" s="468"/>
      <c r="G927" s="468"/>
      <c r="H927" s="468"/>
      <c r="I927" s="468"/>
      <c r="J927" s="468"/>
      <c r="K927" s="468"/>
      <c r="L927" s="468"/>
      <c r="M927" s="468"/>
      <c r="N927" s="468"/>
      <c r="O927" s="468"/>
      <c r="P927" s="468"/>
      <c r="Q927" s="468"/>
      <c r="R927" s="468"/>
      <c r="S927" s="468"/>
      <c r="T927" s="468"/>
      <c r="U927" s="468"/>
      <c r="V927" s="468"/>
      <c r="W927" s="468"/>
      <c r="X927" s="468"/>
      <c r="Y927" s="468"/>
      <c r="Z927" s="468"/>
    </row>
    <row r="928" spans="1:26" ht="18" customHeight="1" x14ac:dyDescent="0.35">
      <c r="A928" s="468"/>
      <c r="B928" s="468"/>
      <c r="C928" s="468"/>
      <c r="D928" s="468"/>
      <c r="E928" s="468"/>
      <c r="F928" s="468"/>
      <c r="G928" s="468"/>
      <c r="H928" s="468"/>
      <c r="I928" s="468"/>
      <c r="J928" s="468"/>
      <c r="K928" s="468"/>
      <c r="L928" s="468"/>
      <c r="M928" s="468"/>
      <c r="N928" s="468"/>
      <c r="O928" s="468"/>
      <c r="P928" s="468"/>
      <c r="Q928" s="468"/>
      <c r="R928" s="468"/>
      <c r="S928" s="468"/>
      <c r="T928" s="468"/>
      <c r="U928" s="468"/>
      <c r="V928" s="468"/>
      <c r="W928" s="468"/>
      <c r="X928" s="468"/>
      <c r="Y928" s="468"/>
      <c r="Z928" s="468"/>
    </row>
    <row r="929" spans="1:26" ht="18" customHeight="1" x14ac:dyDescent="0.35">
      <c r="A929" s="468"/>
      <c r="B929" s="468"/>
      <c r="C929" s="468"/>
      <c r="D929" s="468"/>
      <c r="E929" s="468"/>
      <c r="F929" s="468"/>
      <c r="G929" s="468"/>
      <c r="H929" s="468"/>
      <c r="I929" s="468"/>
      <c r="J929" s="468"/>
      <c r="K929" s="468"/>
      <c r="L929" s="468"/>
      <c r="M929" s="468"/>
      <c r="N929" s="468"/>
      <c r="O929" s="468"/>
      <c r="P929" s="468"/>
      <c r="Q929" s="468"/>
      <c r="R929" s="468"/>
      <c r="S929" s="468"/>
      <c r="T929" s="468"/>
      <c r="U929" s="468"/>
      <c r="V929" s="468"/>
      <c r="W929" s="468"/>
      <c r="X929" s="468"/>
      <c r="Y929" s="468"/>
      <c r="Z929" s="468"/>
    </row>
    <row r="930" spans="1:26" ht="18" customHeight="1" x14ac:dyDescent="0.35">
      <c r="A930" s="468"/>
      <c r="B930" s="468"/>
      <c r="C930" s="468"/>
      <c r="D930" s="468"/>
      <c r="E930" s="468"/>
      <c r="F930" s="468"/>
      <c r="G930" s="468"/>
      <c r="H930" s="468"/>
      <c r="I930" s="468"/>
      <c r="J930" s="468"/>
      <c r="K930" s="468"/>
      <c r="L930" s="468"/>
      <c r="M930" s="468"/>
      <c r="N930" s="468"/>
      <c r="O930" s="468"/>
      <c r="P930" s="468"/>
      <c r="Q930" s="468"/>
      <c r="R930" s="468"/>
      <c r="S930" s="468"/>
      <c r="T930" s="468"/>
      <c r="U930" s="468"/>
      <c r="V930" s="468"/>
      <c r="W930" s="468"/>
      <c r="X930" s="468"/>
      <c r="Y930" s="468"/>
      <c r="Z930" s="468"/>
    </row>
    <row r="931" spans="1:26" ht="18" customHeight="1" x14ac:dyDescent="0.35">
      <c r="A931" s="468"/>
      <c r="B931" s="468"/>
      <c r="C931" s="468"/>
      <c r="D931" s="468"/>
      <c r="E931" s="468"/>
      <c r="F931" s="468"/>
      <c r="G931" s="468"/>
      <c r="H931" s="468"/>
      <c r="I931" s="468"/>
      <c r="J931" s="468"/>
      <c r="K931" s="468"/>
      <c r="L931" s="468"/>
      <c r="M931" s="468"/>
      <c r="N931" s="468"/>
      <c r="O931" s="468"/>
      <c r="P931" s="468"/>
      <c r="Q931" s="468"/>
      <c r="R931" s="468"/>
      <c r="S931" s="468"/>
      <c r="T931" s="468"/>
      <c r="U931" s="468"/>
      <c r="V931" s="468"/>
      <c r="W931" s="468"/>
      <c r="X931" s="468"/>
      <c r="Y931" s="468"/>
      <c r="Z931" s="468"/>
    </row>
    <row r="932" spans="1:26" ht="18" customHeight="1" x14ac:dyDescent="0.35">
      <c r="A932" s="468"/>
      <c r="B932" s="468"/>
      <c r="C932" s="468"/>
      <c r="D932" s="468"/>
      <c r="E932" s="468"/>
      <c r="F932" s="468"/>
      <c r="G932" s="468"/>
      <c r="H932" s="468"/>
      <c r="I932" s="468"/>
      <c r="J932" s="468"/>
      <c r="K932" s="468"/>
      <c r="L932" s="468"/>
      <c r="M932" s="468"/>
      <c r="N932" s="468"/>
      <c r="O932" s="468"/>
      <c r="P932" s="468"/>
      <c r="Q932" s="468"/>
      <c r="R932" s="468"/>
      <c r="S932" s="468"/>
      <c r="T932" s="468"/>
      <c r="U932" s="468"/>
      <c r="V932" s="468"/>
      <c r="W932" s="468"/>
      <c r="X932" s="468"/>
      <c r="Y932" s="468"/>
      <c r="Z932" s="468"/>
    </row>
    <row r="933" spans="1:26" ht="18" customHeight="1" x14ac:dyDescent="0.35">
      <c r="A933" s="468"/>
      <c r="B933" s="468"/>
      <c r="C933" s="468"/>
      <c r="D933" s="468"/>
      <c r="E933" s="468"/>
      <c r="F933" s="468"/>
      <c r="G933" s="468"/>
      <c r="H933" s="468"/>
      <c r="I933" s="468"/>
      <c r="J933" s="468"/>
      <c r="K933" s="468"/>
      <c r="L933" s="468"/>
      <c r="M933" s="468"/>
      <c r="N933" s="468"/>
      <c r="O933" s="468"/>
      <c r="P933" s="468"/>
      <c r="Q933" s="468"/>
      <c r="R933" s="468"/>
      <c r="S933" s="468"/>
      <c r="T933" s="468"/>
      <c r="U933" s="468"/>
      <c r="V933" s="468"/>
      <c r="W933" s="468"/>
      <c r="X933" s="468"/>
      <c r="Y933" s="468"/>
      <c r="Z933" s="468"/>
    </row>
    <row r="934" spans="1:26" ht="18" customHeight="1" x14ac:dyDescent="0.35">
      <c r="A934" s="468"/>
      <c r="B934" s="468"/>
      <c r="C934" s="468"/>
      <c r="D934" s="468"/>
      <c r="E934" s="468"/>
      <c r="F934" s="468"/>
      <c r="G934" s="468"/>
      <c r="H934" s="468"/>
      <c r="I934" s="468"/>
      <c r="J934" s="468"/>
      <c r="K934" s="468"/>
      <c r="L934" s="468"/>
      <c r="M934" s="468"/>
      <c r="N934" s="468"/>
      <c r="O934" s="468"/>
      <c r="P934" s="468"/>
      <c r="Q934" s="468"/>
      <c r="R934" s="468"/>
      <c r="S934" s="468"/>
      <c r="T934" s="468"/>
      <c r="U934" s="468"/>
      <c r="V934" s="468"/>
      <c r="W934" s="468"/>
      <c r="X934" s="468"/>
      <c r="Y934" s="468"/>
      <c r="Z934" s="468"/>
    </row>
    <row r="935" spans="1:26" ht="18" customHeight="1" x14ac:dyDescent="0.35">
      <c r="A935" s="468"/>
      <c r="B935" s="468"/>
      <c r="C935" s="468"/>
      <c r="D935" s="468"/>
      <c r="E935" s="468"/>
      <c r="F935" s="468"/>
      <c r="G935" s="468"/>
      <c r="H935" s="468"/>
      <c r="I935" s="468"/>
      <c r="J935" s="468"/>
      <c r="K935" s="468"/>
      <c r="L935" s="468"/>
      <c r="M935" s="468"/>
      <c r="N935" s="468"/>
      <c r="O935" s="468"/>
      <c r="P935" s="468"/>
      <c r="Q935" s="468"/>
      <c r="R935" s="468"/>
      <c r="S935" s="468"/>
      <c r="T935" s="468"/>
      <c r="U935" s="468"/>
      <c r="V935" s="468"/>
      <c r="W935" s="468"/>
      <c r="X935" s="468"/>
      <c r="Y935" s="468"/>
      <c r="Z935" s="468"/>
    </row>
    <row r="936" spans="1:26" ht="18" customHeight="1" x14ac:dyDescent="0.35">
      <c r="A936" s="468"/>
      <c r="B936" s="468"/>
      <c r="C936" s="468"/>
      <c r="D936" s="468"/>
      <c r="E936" s="468"/>
      <c r="F936" s="468"/>
      <c r="G936" s="468"/>
      <c r="H936" s="468"/>
      <c r="I936" s="468"/>
      <c r="J936" s="468"/>
      <c r="K936" s="468"/>
      <c r="L936" s="468"/>
      <c r="M936" s="468"/>
      <c r="N936" s="468"/>
      <c r="O936" s="468"/>
      <c r="P936" s="468"/>
      <c r="Q936" s="468"/>
      <c r="R936" s="468"/>
      <c r="S936" s="468"/>
      <c r="T936" s="468"/>
      <c r="U936" s="468"/>
      <c r="V936" s="468"/>
      <c r="W936" s="468"/>
      <c r="X936" s="468"/>
      <c r="Y936" s="468"/>
      <c r="Z936" s="468"/>
    </row>
    <row r="937" spans="1:26" ht="18" customHeight="1" x14ac:dyDescent="0.35">
      <c r="A937" s="468"/>
      <c r="B937" s="468"/>
      <c r="C937" s="468"/>
      <c r="D937" s="468"/>
      <c r="E937" s="468"/>
      <c r="F937" s="468"/>
      <c r="G937" s="468"/>
      <c r="H937" s="468"/>
      <c r="I937" s="468"/>
      <c r="J937" s="468"/>
      <c r="K937" s="468"/>
      <c r="L937" s="468"/>
      <c r="M937" s="468"/>
      <c r="N937" s="468"/>
      <c r="O937" s="468"/>
      <c r="P937" s="468"/>
      <c r="Q937" s="468"/>
      <c r="R937" s="468"/>
      <c r="S937" s="468"/>
      <c r="T937" s="468"/>
      <c r="U937" s="468"/>
      <c r="V937" s="468"/>
      <c r="W937" s="468"/>
      <c r="X937" s="468"/>
      <c r="Y937" s="468"/>
      <c r="Z937" s="468"/>
    </row>
    <row r="938" spans="1:26" ht="18" customHeight="1" x14ac:dyDescent="0.35">
      <c r="A938" s="468"/>
      <c r="B938" s="468"/>
      <c r="C938" s="468"/>
      <c r="D938" s="468"/>
      <c r="E938" s="468"/>
      <c r="F938" s="468"/>
      <c r="G938" s="468"/>
      <c r="H938" s="468"/>
      <c r="I938" s="468"/>
      <c r="J938" s="468"/>
      <c r="K938" s="468"/>
      <c r="L938" s="468"/>
      <c r="M938" s="468"/>
      <c r="N938" s="468"/>
      <c r="O938" s="468"/>
      <c r="P938" s="468"/>
      <c r="Q938" s="468"/>
      <c r="R938" s="468"/>
      <c r="S938" s="468"/>
      <c r="T938" s="468"/>
      <c r="U938" s="468"/>
      <c r="V938" s="468"/>
      <c r="W938" s="468"/>
      <c r="X938" s="468"/>
      <c r="Y938" s="468"/>
      <c r="Z938" s="468"/>
    </row>
    <row r="939" spans="1:26" ht="18" customHeight="1" x14ac:dyDescent="0.35">
      <c r="A939" s="468"/>
      <c r="B939" s="468"/>
      <c r="C939" s="468"/>
      <c r="D939" s="468"/>
      <c r="E939" s="468"/>
      <c r="F939" s="468"/>
      <c r="G939" s="468"/>
      <c r="H939" s="468"/>
      <c r="I939" s="468"/>
      <c r="J939" s="468"/>
      <c r="K939" s="468"/>
      <c r="L939" s="468"/>
      <c r="M939" s="468"/>
      <c r="N939" s="468"/>
      <c r="O939" s="468"/>
      <c r="P939" s="468"/>
      <c r="Q939" s="468"/>
      <c r="R939" s="468"/>
      <c r="S939" s="468"/>
      <c r="T939" s="468"/>
      <c r="U939" s="468"/>
      <c r="V939" s="468"/>
      <c r="W939" s="468"/>
      <c r="X939" s="468"/>
      <c r="Y939" s="468"/>
      <c r="Z939" s="468"/>
    </row>
    <row r="940" spans="1:26" ht="18" customHeight="1" x14ac:dyDescent="0.35">
      <c r="A940" s="468"/>
      <c r="B940" s="468"/>
      <c r="C940" s="468"/>
      <c r="D940" s="468"/>
      <c r="E940" s="468"/>
      <c r="F940" s="468"/>
      <c r="G940" s="468"/>
      <c r="H940" s="468"/>
      <c r="I940" s="468"/>
      <c r="J940" s="468"/>
      <c r="K940" s="468"/>
      <c r="L940" s="468"/>
      <c r="M940" s="468"/>
      <c r="N940" s="468"/>
      <c r="O940" s="468"/>
      <c r="P940" s="468"/>
      <c r="Q940" s="468"/>
      <c r="R940" s="468"/>
      <c r="S940" s="468"/>
      <c r="T940" s="468"/>
      <c r="U940" s="468"/>
      <c r="V940" s="468"/>
      <c r="W940" s="468"/>
      <c r="X940" s="468"/>
      <c r="Y940" s="468"/>
      <c r="Z940" s="468"/>
    </row>
    <row r="941" spans="1:26" ht="18" customHeight="1" x14ac:dyDescent="0.35">
      <c r="A941" s="468"/>
      <c r="B941" s="468"/>
      <c r="C941" s="468"/>
      <c r="D941" s="468"/>
      <c r="E941" s="468"/>
      <c r="F941" s="468"/>
      <c r="G941" s="468"/>
      <c r="H941" s="468"/>
      <c r="I941" s="468"/>
      <c r="J941" s="468"/>
      <c r="K941" s="468"/>
      <c r="L941" s="468"/>
      <c r="M941" s="468"/>
      <c r="N941" s="468"/>
      <c r="O941" s="468"/>
      <c r="P941" s="468"/>
      <c r="Q941" s="468"/>
      <c r="R941" s="468"/>
      <c r="S941" s="468"/>
      <c r="T941" s="468"/>
      <c r="U941" s="468"/>
      <c r="V941" s="468"/>
      <c r="W941" s="468"/>
      <c r="X941" s="468"/>
      <c r="Y941" s="468"/>
      <c r="Z941" s="468"/>
    </row>
    <row r="942" spans="1:26" ht="18" customHeight="1" x14ac:dyDescent="0.35">
      <c r="A942" s="468"/>
      <c r="B942" s="468"/>
      <c r="C942" s="468"/>
      <c r="D942" s="468"/>
      <c r="E942" s="468"/>
      <c r="F942" s="468"/>
      <c r="G942" s="468"/>
      <c r="H942" s="468"/>
      <c r="I942" s="468"/>
      <c r="J942" s="468"/>
      <c r="K942" s="468"/>
      <c r="L942" s="468"/>
      <c r="M942" s="468"/>
      <c r="N942" s="468"/>
      <c r="O942" s="468"/>
      <c r="P942" s="468"/>
      <c r="Q942" s="468"/>
      <c r="R942" s="468"/>
      <c r="S942" s="468"/>
      <c r="T942" s="468"/>
      <c r="U942" s="468"/>
      <c r="V942" s="468"/>
      <c r="W942" s="468"/>
      <c r="X942" s="468"/>
      <c r="Y942" s="468"/>
      <c r="Z942" s="468"/>
    </row>
    <row r="943" spans="1:26" ht="18" customHeight="1" x14ac:dyDescent="0.35">
      <c r="A943" s="468"/>
      <c r="B943" s="468"/>
      <c r="C943" s="468"/>
      <c r="D943" s="468"/>
      <c r="E943" s="468"/>
      <c r="F943" s="468"/>
      <c r="G943" s="468"/>
      <c r="H943" s="468"/>
      <c r="I943" s="468"/>
      <c r="J943" s="468"/>
      <c r="K943" s="468"/>
      <c r="L943" s="468"/>
      <c r="M943" s="468"/>
      <c r="N943" s="468"/>
      <c r="O943" s="468"/>
      <c r="P943" s="468"/>
      <c r="Q943" s="468"/>
      <c r="R943" s="468"/>
      <c r="S943" s="468"/>
      <c r="T943" s="468"/>
      <c r="U943" s="468"/>
      <c r="V943" s="468"/>
      <c r="W943" s="468"/>
      <c r="X943" s="468"/>
      <c r="Y943" s="468"/>
      <c r="Z943" s="468"/>
    </row>
    <row r="944" spans="1:26" ht="18" customHeight="1" x14ac:dyDescent="0.35">
      <c r="A944" s="468"/>
      <c r="B944" s="468"/>
      <c r="C944" s="468"/>
      <c r="D944" s="468"/>
      <c r="E944" s="468"/>
      <c r="F944" s="468"/>
      <c r="G944" s="468"/>
      <c r="H944" s="468"/>
      <c r="I944" s="468"/>
      <c r="J944" s="468"/>
      <c r="K944" s="468"/>
      <c r="L944" s="468"/>
      <c r="M944" s="468"/>
      <c r="N944" s="468"/>
      <c r="O944" s="468"/>
      <c r="P944" s="468"/>
      <c r="Q944" s="468"/>
      <c r="R944" s="468"/>
      <c r="S944" s="468"/>
      <c r="T944" s="468"/>
      <c r="U944" s="468"/>
      <c r="V944" s="468"/>
      <c r="W944" s="468"/>
      <c r="X944" s="468"/>
      <c r="Y944" s="468"/>
      <c r="Z944" s="468"/>
    </row>
    <row r="945" spans="1:26" ht="18" customHeight="1" x14ac:dyDescent="0.35">
      <c r="A945" s="468"/>
      <c r="B945" s="468"/>
      <c r="C945" s="468"/>
      <c r="D945" s="468"/>
      <c r="E945" s="468"/>
      <c r="F945" s="468"/>
      <c r="G945" s="468"/>
      <c r="H945" s="468"/>
      <c r="I945" s="468"/>
      <c r="J945" s="468"/>
      <c r="K945" s="468"/>
      <c r="L945" s="468"/>
      <c r="M945" s="468"/>
      <c r="N945" s="468"/>
      <c r="O945" s="468"/>
      <c r="P945" s="468"/>
      <c r="Q945" s="468"/>
      <c r="R945" s="468"/>
      <c r="S945" s="468"/>
      <c r="T945" s="468"/>
      <c r="U945" s="468"/>
      <c r="V945" s="468"/>
      <c r="W945" s="468"/>
      <c r="X945" s="468"/>
      <c r="Y945" s="468"/>
      <c r="Z945" s="468"/>
    </row>
    <row r="946" spans="1:26" ht="18" customHeight="1" x14ac:dyDescent="0.35">
      <c r="A946" s="468"/>
      <c r="B946" s="468"/>
      <c r="C946" s="468"/>
      <c r="D946" s="468"/>
      <c r="E946" s="468"/>
      <c r="F946" s="468"/>
      <c r="G946" s="468"/>
      <c r="H946" s="468"/>
      <c r="I946" s="468"/>
      <c r="J946" s="468"/>
      <c r="K946" s="468"/>
      <c r="L946" s="468"/>
      <c r="M946" s="468"/>
      <c r="N946" s="468"/>
      <c r="O946" s="468"/>
      <c r="P946" s="468"/>
      <c r="Q946" s="468"/>
      <c r="R946" s="468"/>
      <c r="S946" s="468"/>
      <c r="T946" s="468"/>
      <c r="U946" s="468"/>
      <c r="V946" s="468"/>
      <c r="W946" s="468"/>
      <c r="X946" s="468"/>
      <c r="Y946" s="468"/>
      <c r="Z946" s="468"/>
    </row>
    <row r="947" spans="1:26" ht="18" customHeight="1" x14ac:dyDescent="0.35">
      <c r="A947" s="468"/>
      <c r="B947" s="468"/>
      <c r="C947" s="468"/>
      <c r="D947" s="468"/>
      <c r="E947" s="468"/>
      <c r="F947" s="468"/>
      <c r="G947" s="468"/>
      <c r="H947" s="468"/>
      <c r="I947" s="468"/>
      <c r="J947" s="468"/>
      <c r="K947" s="468"/>
      <c r="L947" s="468"/>
      <c r="M947" s="468"/>
      <c r="N947" s="468"/>
      <c r="O947" s="468"/>
      <c r="P947" s="468"/>
      <c r="Q947" s="468"/>
      <c r="R947" s="468"/>
      <c r="S947" s="468"/>
      <c r="T947" s="468"/>
      <c r="U947" s="468"/>
      <c r="V947" s="468"/>
      <c r="W947" s="468"/>
      <c r="X947" s="468"/>
      <c r="Y947" s="468"/>
      <c r="Z947" s="468"/>
    </row>
    <row r="948" spans="1:26" ht="18" customHeight="1" x14ac:dyDescent="0.35">
      <c r="A948" s="468"/>
      <c r="B948" s="468"/>
      <c r="C948" s="468"/>
      <c r="D948" s="468"/>
      <c r="E948" s="468"/>
      <c r="F948" s="468"/>
      <c r="G948" s="468"/>
      <c r="H948" s="468"/>
      <c r="I948" s="468"/>
      <c r="J948" s="468"/>
      <c r="K948" s="468"/>
      <c r="L948" s="468"/>
      <c r="M948" s="468"/>
      <c r="N948" s="468"/>
      <c r="O948" s="468"/>
      <c r="P948" s="468"/>
      <c r="Q948" s="468"/>
      <c r="R948" s="468"/>
      <c r="S948" s="468"/>
      <c r="T948" s="468"/>
      <c r="U948" s="468"/>
      <c r="V948" s="468"/>
      <c r="W948" s="468"/>
      <c r="X948" s="468"/>
      <c r="Y948" s="468"/>
      <c r="Z948" s="468"/>
    </row>
    <row r="949" spans="1:26" ht="18" customHeight="1" x14ac:dyDescent="0.35">
      <c r="A949" s="468"/>
      <c r="B949" s="468"/>
      <c r="C949" s="468"/>
      <c r="D949" s="468"/>
      <c r="E949" s="468"/>
      <c r="F949" s="468"/>
      <c r="G949" s="468"/>
      <c r="H949" s="468"/>
      <c r="I949" s="468"/>
      <c r="J949" s="468"/>
      <c r="K949" s="468"/>
      <c r="L949" s="468"/>
      <c r="M949" s="468"/>
      <c r="N949" s="468"/>
      <c r="O949" s="468"/>
      <c r="P949" s="468"/>
      <c r="Q949" s="468"/>
      <c r="R949" s="468"/>
      <c r="S949" s="468"/>
      <c r="T949" s="468"/>
      <c r="U949" s="468"/>
      <c r="V949" s="468"/>
      <c r="W949" s="468"/>
      <c r="X949" s="468"/>
      <c r="Y949" s="468"/>
      <c r="Z949" s="468"/>
    </row>
    <row r="950" spans="1:26" ht="18" customHeight="1" x14ac:dyDescent="0.35">
      <c r="A950" s="468"/>
      <c r="B950" s="468"/>
      <c r="C950" s="468"/>
      <c r="D950" s="468"/>
      <c r="E950" s="468"/>
      <c r="F950" s="468"/>
      <c r="G950" s="468"/>
      <c r="H950" s="468"/>
      <c r="I950" s="468"/>
      <c r="J950" s="468"/>
      <c r="K950" s="468"/>
      <c r="L950" s="468"/>
      <c r="M950" s="468"/>
      <c r="N950" s="468"/>
      <c r="O950" s="468"/>
      <c r="P950" s="468"/>
      <c r="Q950" s="468"/>
      <c r="R950" s="468"/>
      <c r="S950" s="468"/>
      <c r="T950" s="468"/>
      <c r="U950" s="468"/>
      <c r="V950" s="468"/>
      <c r="W950" s="468"/>
      <c r="X950" s="468"/>
      <c r="Y950" s="468"/>
      <c r="Z950" s="468"/>
    </row>
    <row r="951" spans="1:26" ht="18" customHeight="1" x14ac:dyDescent="0.35">
      <c r="A951" s="468"/>
      <c r="B951" s="468"/>
      <c r="C951" s="468"/>
      <c r="D951" s="468"/>
      <c r="E951" s="468"/>
      <c r="F951" s="468"/>
      <c r="G951" s="468"/>
      <c r="H951" s="468"/>
      <c r="I951" s="468"/>
      <c r="J951" s="468"/>
      <c r="K951" s="468"/>
      <c r="L951" s="468"/>
      <c r="M951" s="468"/>
      <c r="N951" s="468"/>
      <c r="O951" s="468"/>
      <c r="P951" s="468"/>
      <c r="Q951" s="468"/>
      <c r="R951" s="468"/>
      <c r="S951" s="468"/>
      <c r="T951" s="468"/>
      <c r="U951" s="468"/>
      <c r="V951" s="468"/>
      <c r="W951" s="468"/>
      <c r="X951" s="468"/>
      <c r="Y951" s="468"/>
      <c r="Z951" s="468"/>
    </row>
    <row r="952" spans="1:26" ht="18" customHeight="1" x14ac:dyDescent="0.35">
      <c r="A952" s="468"/>
      <c r="B952" s="468"/>
      <c r="C952" s="468"/>
      <c r="D952" s="468"/>
      <c r="E952" s="468"/>
      <c r="F952" s="468"/>
      <c r="G952" s="468"/>
      <c r="H952" s="468"/>
      <c r="I952" s="468"/>
      <c r="J952" s="468"/>
      <c r="K952" s="468"/>
      <c r="L952" s="468"/>
      <c r="M952" s="468"/>
      <c r="N952" s="468"/>
      <c r="O952" s="468"/>
      <c r="P952" s="468"/>
      <c r="Q952" s="468"/>
      <c r="R952" s="468"/>
      <c r="S952" s="468"/>
      <c r="T952" s="468"/>
      <c r="U952" s="468"/>
      <c r="V952" s="468"/>
      <c r="W952" s="468"/>
      <c r="X952" s="468"/>
      <c r="Y952" s="468"/>
      <c r="Z952" s="468"/>
    </row>
    <row r="953" spans="1:26" ht="18" customHeight="1" x14ac:dyDescent="0.35">
      <c r="A953" s="468"/>
      <c r="B953" s="468"/>
      <c r="C953" s="468"/>
      <c r="D953" s="468"/>
      <c r="E953" s="468"/>
      <c r="F953" s="468"/>
      <c r="G953" s="468"/>
      <c r="H953" s="468"/>
      <c r="I953" s="468"/>
      <c r="J953" s="468"/>
      <c r="K953" s="468"/>
      <c r="L953" s="468"/>
      <c r="M953" s="468"/>
      <c r="N953" s="468"/>
      <c r="O953" s="468"/>
      <c r="P953" s="468"/>
      <c r="Q953" s="468"/>
      <c r="R953" s="468"/>
      <c r="S953" s="468"/>
      <c r="T953" s="468"/>
      <c r="U953" s="468"/>
      <c r="V953" s="468"/>
      <c r="W953" s="468"/>
      <c r="X953" s="468"/>
      <c r="Y953" s="468"/>
      <c r="Z953" s="468"/>
    </row>
    <row r="954" spans="1:26" ht="18" customHeight="1" x14ac:dyDescent="0.35">
      <c r="A954" s="468"/>
      <c r="B954" s="468"/>
      <c r="C954" s="468"/>
      <c r="D954" s="468"/>
      <c r="E954" s="468"/>
      <c r="F954" s="468"/>
      <c r="G954" s="468"/>
      <c r="H954" s="468"/>
      <c r="I954" s="468"/>
      <c r="J954" s="468"/>
      <c r="K954" s="468"/>
      <c r="L954" s="468"/>
      <c r="M954" s="468"/>
      <c r="N954" s="468"/>
      <c r="O954" s="468"/>
      <c r="P954" s="468"/>
      <c r="Q954" s="468"/>
      <c r="R954" s="468"/>
      <c r="S954" s="468"/>
      <c r="T954" s="468"/>
      <c r="U954" s="468"/>
      <c r="V954" s="468"/>
      <c r="W954" s="468"/>
      <c r="X954" s="468"/>
      <c r="Y954" s="468"/>
      <c r="Z954" s="468"/>
    </row>
    <row r="955" spans="1:26" ht="18" customHeight="1" x14ac:dyDescent="0.35">
      <c r="A955" s="468"/>
      <c r="B955" s="468"/>
      <c r="C955" s="468"/>
      <c r="D955" s="468"/>
      <c r="E955" s="468"/>
      <c r="F955" s="468"/>
      <c r="G955" s="468"/>
      <c r="H955" s="468"/>
      <c r="I955" s="468"/>
      <c r="J955" s="468"/>
      <c r="K955" s="468"/>
      <c r="L955" s="468"/>
      <c r="M955" s="468"/>
      <c r="N955" s="468"/>
      <c r="O955" s="468"/>
      <c r="P955" s="468"/>
      <c r="Q955" s="468"/>
      <c r="R955" s="468"/>
      <c r="S955" s="468"/>
      <c r="T955" s="468"/>
      <c r="U955" s="468"/>
      <c r="V955" s="468"/>
      <c r="W955" s="468"/>
      <c r="X955" s="468"/>
      <c r="Y955" s="468"/>
      <c r="Z955" s="468"/>
    </row>
    <row r="956" spans="1:26" ht="18" customHeight="1" x14ac:dyDescent="0.35">
      <c r="A956" s="468"/>
      <c r="B956" s="468"/>
      <c r="C956" s="468"/>
      <c r="D956" s="468"/>
      <c r="E956" s="468"/>
      <c r="F956" s="468"/>
      <c r="G956" s="468"/>
      <c r="H956" s="468"/>
      <c r="I956" s="468"/>
      <c r="J956" s="468"/>
      <c r="K956" s="468"/>
      <c r="L956" s="468"/>
      <c r="M956" s="468"/>
      <c r="N956" s="468"/>
      <c r="O956" s="468"/>
      <c r="P956" s="468"/>
      <c r="Q956" s="468"/>
      <c r="R956" s="468"/>
      <c r="S956" s="468"/>
      <c r="T956" s="468"/>
      <c r="U956" s="468"/>
      <c r="V956" s="468"/>
      <c r="W956" s="468"/>
      <c r="X956" s="468"/>
      <c r="Y956" s="468"/>
      <c r="Z956" s="468"/>
    </row>
    <row r="957" spans="1:26" ht="18" customHeight="1" x14ac:dyDescent="0.35">
      <c r="A957" s="468"/>
      <c r="B957" s="468"/>
      <c r="C957" s="468"/>
      <c r="D957" s="468"/>
      <c r="E957" s="468"/>
      <c r="F957" s="468"/>
      <c r="G957" s="468"/>
      <c r="H957" s="468"/>
      <c r="I957" s="468"/>
      <c r="J957" s="468"/>
      <c r="K957" s="468"/>
      <c r="L957" s="468"/>
      <c r="M957" s="468"/>
      <c r="N957" s="468"/>
      <c r="O957" s="468"/>
      <c r="P957" s="468"/>
      <c r="Q957" s="468"/>
      <c r="R957" s="468"/>
      <c r="S957" s="468"/>
      <c r="T957" s="468"/>
      <c r="U957" s="468"/>
      <c r="V957" s="468"/>
      <c r="W957" s="468"/>
      <c r="X957" s="468"/>
      <c r="Y957" s="468"/>
      <c r="Z957" s="468"/>
    </row>
    <row r="958" spans="1:26" ht="18" customHeight="1" x14ac:dyDescent="0.35">
      <c r="A958" s="468"/>
      <c r="B958" s="468"/>
      <c r="C958" s="468"/>
      <c r="D958" s="468"/>
      <c r="E958" s="468"/>
      <c r="F958" s="468"/>
      <c r="G958" s="468"/>
      <c r="H958" s="468"/>
      <c r="I958" s="468"/>
      <c r="J958" s="468"/>
      <c r="K958" s="468"/>
      <c r="L958" s="468"/>
      <c r="M958" s="468"/>
      <c r="N958" s="468"/>
      <c r="O958" s="468"/>
      <c r="P958" s="468"/>
      <c r="Q958" s="468"/>
      <c r="R958" s="468"/>
      <c r="S958" s="468"/>
      <c r="T958" s="468"/>
      <c r="U958" s="468"/>
      <c r="V958" s="468"/>
      <c r="W958" s="468"/>
      <c r="X958" s="468"/>
      <c r="Y958" s="468"/>
      <c r="Z958" s="468"/>
    </row>
    <row r="959" spans="1:26" ht="18" customHeight="1" x14ac:dyDescent="0.35">
      <c r="A959" s="468"/>
      <c r="B959" s="468"/>
      <c r="C959" s="468"/>
      <c r="D959" s="468"/>
      <c r="E959" s="468"/>
      <c r="F959" s="468"/>
      <c r="G959" s="468"/>
      <c r="H959" s="468"/>
      <c r="I959" s="468"/>
      <c r="J959" s="468"/>
      <c r="K959" s="468"/>
      <c r="L959" s="468"/>
      <c r="M959" s="468"/>
      <c r="N959" s="468"/>
      <c r="O959" s="468"/>
      <c r="P959" s="468"/>
      <c r="Q959" s="468"/>
      <c r="R959" s="468"/>
      <c r="S959" s="468"/>
      <c r="T959" s="468"/>
      <c r="U959" s="468"/>
      <c r="V959" s="468"/>
      <c r="W959" s="468"/>
      <c r="X959" s="468"/>
      <c r="Y959" s="468"/>
      <c r="Z959" s="468"/>
    </row>
    <row r="960" spans="1:26" ht="18" customHeight="1" x14ac:dyDescent="0.35">
      <c r="A960" s="468"/>
      <c r="B960" s="468"/>
      <c r="C960" s="468"/>
      <c r="D960" s="468"/>
      <c r="E960" s="468"/>
      <c r="F960" s="468"/>
      <c r="G960" s="468"/>
      <c r="H960" s="468"/>
      <c r="I960" s="468"/>
      <c r="J960" s="468"/>
      <c r="K960" s="468"/>
      <c r="L960" s="468"/>
      <c r="M960" s="468"/>
      <c r="N960" s="468"/>
      <c r="O960" s="468"/>
      <c r="P960" s="468"/>
      <c r="Q960" s="468"/>
      <c r="R960" s="468"/>
      <c r="S960" s="468"/>
      <c r="T960" s="468"/>
      <c r="U960" s="468"/>
      <c r="V960" s="468"/>
      <c r="W960" s="468"/>
      <c r="X960" s="468"/>
      <c r="Y960" s="468"/>
      <c r="Z960" s="468"/>
    </row>
    <row r="961" spans="1:26" ht="18" customHeight="1" x14ac:dyDescent="0.35">
      <c r="A961" s="468"/>
      <c r="B961" s="468"/>
      <c r="C961" s="468"/>
      <c r="D961" s="468"/>
      <c r="E961" s="468"/>
      <c r="F961" s="468"/>
      <c r="G961" s="468"/>
      <c r="H961" s="468"/>
      <c r="I961" s="468"/>
      <c r="J961" s="468"/>
      <c r="K961" s="468"/>
      <c r="L961" s="468"/>
      <c r="M961" s="468"/>
      <c r="N961" s="468"/>
      <c r="O961" s="468"/>
      <c r="P961" s="468"/>
      <c r="Q961" s="468"/>
      <c r="R961" s="468"/>
      <c r="S961" s="468"/>
      <c r="T961" s="468"/>
      <c r="U961" s="468"/>
      <c r="V961" s="468"/>
      <c r="W961" s="468"/>
      <c r="X961" s="468"/>
      <c r="Y961" s="468"/>
      <c r="Z961" s="468"/>
    </row>
    <row r="962" spans="1:26" ht="18" customHeight="1" x14ac:dyDescent="0.35">
      <c r="A962" s="468"/>
      <c r="B962" s="468"/>
      <c r="C962" s="468"/>
      <c r="D962" s="468"/>
      <c r="E962" s="468"/>
      <c r="F962" s="468"/>
      <c r="G962" s="468"/>
      <c r="H962" s="468"/>
      <c r="I962" s="468"/>
      <c r="J962" s="468"/>
      <c r="K962" s="468"/>
      <c r="L962" s="468"/>
      <c r="M962" s="468"/>
      <c r="N962" s="468"/>
      <c r="O962" s="468"/>
      <c r="P962" s="468"/>
      <c r="Q962" s="468"/>
      <c r="R962" s="468"/>
      <c r="S962" s="468"/>
      <c r="T962" s="468"/>
      <c r="U962" s="468"/>
      <c r="V962" s="468"/>
      <c r="W962" s="468"/>
      <c r="X962" s="468"/>
      <c r="Y962" s="468"/>
      <c r="Z962" s="468"/>
    </row>
    <row r="963" spans="1:26" ht="18" customHeight="1" x14ac:dyDescent="0.35">
      <c r="A963" s="468"/>
      <c r="B963" s="468"/>
      <c r="C963" s="468"/>
      <c r="D963" s="468"/>
      <c r="E963" s="468"/>
      <c r="F963" s="468"/>
      <c r="G963" s="468"/>
      <c r="H963" s="468"/>
      <c r="I963" s="468"/>
      <c r="J963" s="468"/>
      <c r="K963" s="468"/>
      <c r="L963" s="468"/>
      <c r="M963" s="468"/>
      <c r="N963" s="468"/>
      <c r="O963" s="468"/>
      <c r="P963" s="468"/>
      <c r="Q963" s="468"/>
      <c r="R963" s="468"/>
      <c r="S963" s="468"/>
      <c r="T963" s="468"/>
      <c r="U963" s="468"/>
      <c r="V963" s="468"/>
      <c r="W963" s="468"/>
      <c r="X963" s="468"/>
      <c r="Y963" s="468"/>
      <c r="Z963" s="468"/>
    </row>
    <row r="964" spans="1:26" ht="18" customHeight="1" x14ac:dyDescent="0.35">
      <c r="A964" s="468"/>
      <c r="B964" s="468"/>
      <c r="C964" s="468"/>
      <c r="D964" s="468"/>
      <c r="E964" s="468"/>
      <c r="F964" s="468"/>
      <c r="G964" s="468"/>
      <c r="H964" s="468"/>
      <c r="I964" s="468"/>
      <c r="J964" s="468"/>
      <c r="K964" s="468"/>
      <c r="L964" s="468"/>
      <c r="M964" s="468"/>
      <c r="N964" s="468"/>
      <c r="O964" s="468"/>
      <c r="P964" s="468"/>
      <c r="Q964" s="468"/>
      <c r="R964" s="468"/>
      <c r="S964" s="468"/>
      <c r="T964" s="468"/>
      <c r="U964" s="468"/>
      <c r="V964" s="468"/>
      <c r="W964" s="468"/>
      <c r="X964" s="468"/>
      <c r="Y964" s="468"/>
      <c r="Z964" s="468"/>
    </row>
    <row r="965" spans="1:26" ht="18" customHeight="1" x14ac:dyDescent="0.35">
      <c r="A965" s="468"/>
      <c r="B965" s="468"/>
      <c r="C965" s="468"/>
      <c r="D965" s="468"/>
      <c r="E965" s="468"/>
      <c r="F965" s="468"/>
      <c r="G965" s="468"/>
      <c r="H965" s="468"/>
      <c r="I965" s="468"/>
      <c r="J965" s="468"/>
      <c r="K965" s="468"/>
      <c r="L965" s="468"/>
      <c r="M965" s="468"/>
      <c r="N965" s="468"/>
      <c r="O965" s="468"/>
      <c r="P965" s="468"/>
      <c r="Q965" s="468"/>
      <c r="R965" s="468"/>
      <c r="S965" s="468"/>
      <c r="T965" s="468"/>
      <c r="U965" s="468"/>
      <c r="V965" s="468"/>
      <c r="W965" s="468"/>
      <c r="X965" s="468"/>
      <c r="Y965" s="468"/>
      <c r="Z965" s="468"/>
    </row>
    <row r="966" spans="1:26" ht="18" customHeight="1" x14ac:dyDescent="0.35">
      <c r="A966" s="468"/>
      <c r="B966" s="468"/>
      <c r="C966" s="468"/>
      <c r="D966" s="468"/>
      <c r="E966" s="468"/>
      <c r="F966" s="468"/>
      <c r="G966" s="468"/>
      <c r="H966" s="468"/>
      <c r="I966" s="468"/>
      <c r="J966" s="468"/>
      <c r="K966" s="468"/>
      <c r="L966" s="468"/>
      <c r="M966" s="468"/>
      <c r="N966" s="468"/>
      <c r="O966" s="468"/>
      <c r="P966" s="468"/>
      <c r="Q966" s="468"/>
      <c r="R966" s="468"/>
      <c r="S966" s="468"/>
      <c r="T966" s="468"/>
      <c r="U966" s="468"/>
      <c r="V966" s="468"/>
      <c r="W966" s="468"/>
      <c r="X966" s="468"/>
      <c r="Y966" s="468"/>
      <c r="Z966" s="468"/>
    </row>
    <row r="967" spans="1:26" ht="18" customHeight="1" x14ac:dyDescent="0.35">
      <c r="A967" s="468"/>
      <c r="B967" s="468"/>
      <c r="C967" s="468"/>
      <c r="D967" s="468"/>
      <c r="E967" s="468"/>
      <c r="F967" s="468"/>
      <c r="G967" s="468"/>
      <c r="H967" s="468"/>
      <c r="I967" s="468"/>
      <c r="J967" s="468"/>
      <c r="K967" s="468"/>
      <c r="L967" s="468"/>
      <c r="M967" s="468"/>
      <c r="N967" s="468"/>
      <c r="O967" s="468"/>
      <c r="P967" s="468"/>
      <c r="Q967" s="468"/>
      <c r="R967" s="468"/>
      <c r="S967" s="468"/>
      <c r="T967" s="468"/>
      <c r="U967" s="468"/>
      <c r="V967" s="468"/>
      <c r="W967" s="468"/>
      <c r="X967" s="468"/>
      <c r="Y967" s="468"/>
      <c r="Z967" s="468"/>
    </row>
    <row r="968" spans="1:26" ht="18" customHeight="1" x14ac:dyDescent="0.35">
      <c r="A968" s="468"/>
      <c r="B968" s="468"/>
      <c r="C968" s="468"/>
      <c r="D968" s="468"/>
      <c r="E968" s="468"/>
      <c r="F968" s="468"/>
      <c r="G968" s="468"/>
      <c r="H968" s="468"/>
      <c r="I968" s="468"/>
      <c r="J968" s="468"/>
      <c r="K968" s="468"/>
      <c r="L968" s="468"/>
      <c r="M968" s="468"/>
      <c r="N968" s="468"/>
      <c r="O968" s="468"/>
      <c r="P968" s="468"/>
      <c r="Q968" s="468"/>
      <c r="R968" s="468"/>
      <c r="S968" s="468"/>
      <c r="T968" s="468"/>
      <c r="U968" s="468"/>
      <c r="V968" s="468"/>
      <c r="W968" s="468"/>
      <c r="X968" s="468"/>
      <c r="Y968" s="468"/>
      <c r="Z968" s="468"/>
    </row>
    <row r="969" spans="1:26" ht="18" customHeight="1" x14ac:dyDescent="0.35">
      <c r="A969" s="468"/>
      <c r="B969" s="468"/>
      <c r="C969" s="468"/>
      <c r="D969" s="468"/>
      <c r="E969" s="468"/>
      <c r="F969" s="468"/>
      <c r="G969" s="468"/>
      <c r="H969" s="468"/>
      <c r="I969" s="468"/>
      <c r="J969" s="468"/>
      <c r="K969" s="468"/>
      <c r="L969" s="468"/>
      <c r="M969" s="468"/>
      <c r="N969" s="468"/>
      <c r="O969" s="468"/>
      <c r="P969" s="468"/>
      <c r="Q969" s="468"/>
      <c r="R969" s="468"/>
      <c r="S969" s="468"/>
      <c r="T969" s="468"/>
      <c r="U969" s="468"/>
      <c r="V969" s="468"/>
      <c r="W969" s="468"/>
      <c r="X969" s="468"/>
      <c r="Y969" s="468"/>
      <c r="Z969" s="468"/>
    </row>
    <row r="970" spans="1:26" ht="18" customHeight="1" x14ac:dyDescent="0.35">
      <c r="A970" s="468"/>
      <c r="B970" s="468"/>
      <c r="C970" s="468"/>
      <c r="D970" s="468"/>
      <c r="E970" s="468"/>
      <c r="F970" s="468"/>
      <c r="G970" s="468"/>
      <c r="H970" s="468"/>
      <c r="I970" s="468"/>
      <c r="J970" s="468"/>
      <c r="K970" s="468"/>
      <c r="L970" s="468"/>
      <c r="M970" s="468"/>
      <c r="N970" s="468"/>
      <c r="O970" s="468"/>
      <c r="P970" s="468"/>
      <c r="Q970" s="468"/>
      <c r="R970" s="468"/>
      <c r="S970" s="468"/>
      <c r="T970" s="468"/>
      <c r="U970" s="468"/>
      <c r="V970" s="468"/>
      <c r="W970" s="468"/>
      <c r="X970" s="468"/>
      <c r="Y970" s="468"/>
      <c r="Z970" s="468"/>
    </row>
    <row r="971" spans="1:26" ht="18" customHeight="1" x14ac:dyDescent="0.35">
      <c r="A971" s="468"/>
      <c r="B971" s="468"/>
      <c r="C971" s="468"/>
      <c r="D971" s="468"/>
      <c r="E971" s="468"/>
      <c r="F971" s="468"/>
      <c r="G971" s="468"/>
      <c r="H971" s="468"/>
      <c r="I971" s="468"/>
      <c r="J971" s="468"/>
      <c r="K971" s="468"/>
      <c r="L971" s="468"/>
      <c r="M971" s="468"/>
      <c r="N971" s="468"/>
      <c r="O971" s="468"/>
      <c r="P971" s="468"/>
      <c r="Q971" s="468"/>
      <c r="R971" s="468"/>
      <c r="S971" s="468"/>
      <c r="T971" s="468"/>
      <c r="U971" s="468"/>
      <c r="V971" s="468"/>
      <c r="W971" s="468"/>
      <c r="X971" s="468"/>
      <c r="Y971" s="468"/>
      <c r="Z971" s="468"/>
    </row>
    <row r="972" spans="1:26" ht="18" customHeight="1" x14ac:dyDescent="0.35">
      <c r="A972" s="468"/>
      <c r="B972" s="468"/>
      <c r="C972" s="468"/>
      <c r="D972" s="468"/>
      <c r="E972" s="468"/>
      <c r="F972" s="468"/>
      <c r="G972" s="468"/>
      <c r="H972" s="468"/>
      <c r="I972" s="468"/>
      <c r="J972" s="468"/>
      <c r="K972" s="468"/>
      <c r="L972" s="468"/>
      <c r="M972" s="468"/>
      <c r="N972" s="468"/>
      <c r="O972" s="468"/>
      <c r="P972" s="468"/>
      <c r="Q972" s="468"/>
      <c r="R972" s="468"/>
      <c r="S972" s="468"/>
      <c r="T972" s="468"/>
      <c r="U972" s="468"/>
      <c r="V972" s="468"/>
      <c r="W972" s="468"/>
      <c r="X972" s="468"/>
      <c r="Y972" s="468"/>
      <c r="Z972" s="468"/>
    </row>
    <row r="973" spans="1:26" ht="18" customHeight="1" x14ac:dyDescent="0.35">
      <c r="A973" s="468"/>
      <c r="B973" s="468"/>
      <c r="C973" s="468"/>
      <c r="D973" s="468"/>
      <c r="E973" s="468"/>
      <c r="F973" s="468"/>
      <c r="G973" s="468"/>
      <c r="H973" s="468"/>
      <c r="I973" s="468"/>
      <c r="J973" s="468"/>
      <c r="K973" s="468"/>
      <c r="L973" s="468"/>
      <c r="M973" s="468"/>
      <c r="N973" s="468"/>
      <c r="O973" s="468"/>
      <c r="P973" s="468"/>
      <c r="Q973" s="468"/>
      <c r="R973" s="468"/>
      <c r="S973" s="468"/>
      <c r="T973" s="468"/>
      <c r="U973" s="468"/>
      <c r="V973" s="468"/>
      <c r="W973" s="468"/>
      <c r="X973" s="468"/>
      <c r="Y973" s="468"/>
      <c r="Z973" s="468"/>
    </row>
    <row r="974" spans="1:26" ht="18" customHeight="1" x14ac:dyDescent="0.35">
      <c r="A974" s="468"/>
      <c r="B974" s="468"/>
      <c r="C974" s="468"/>
      <c r="D974" s="468"/>
      <c r="E974" s="468"/>
      <c r="F974" s="468"/>
      <c r="G974" s="468"/>
      <c r="H974" s="468"/>
      <c r="I974" s="468"/>
      <c r="J974" s="468"/>
      <c r="K974" s="468"/>
      <c r="L974" s="468"/>
      <c r="M974" s="468"/>
      <c r="N974" s="468"/>
      <c r="O974" s="468"/>
      <c r="P974" s="468"/>
      <c r="Q974" s="468"/>
      <c r="R974" s="468"/>
      <c r="S974" s="468"/>
      <c r="T974" s="468"/>
      <c r="U974" s="468"/>
      <c r="V974" s="468"/>
      <c r="W974" s="468"/>
      <c r="X974" s="468"/>
      <c r="Y974" s="468"/>
      <c r="Z974" s="468"/>
    </row>
    <row r="975" spans="1:26" ht="18" customHeight="1" x14ac:dyDescent="0.35">
      <c r="A975" s="468"/>
      <c r="B975" s="468"/>
      <c r="C975" s="468"/>
      <c r="D975" s="468"/>
      <c r="E975" s="468"/>
      <c r="F975" s="468"/>
      <c r="G975" s="468"/>
      <c r="H975" s="468"/>
      <c r="I975" s="468"/>
      <c r="J975" s="468"/>
      <c r="K975" s="468"/>
      <c r="L975" s="468"/>
      <c r="M975" s="468"/>
      <c r="N975" s="468"/>
      <c r="O975" s="468"/>
      <c r="P975" s="468"/>
      <c r="Q975" s="468"/>
      <c r="R975" s="468"/>
      <c r="S975" s="468"/>
      <c r="T975" s="468"/>
      <c r="U975" s="468"/>
      <c r="V975" s="468"/>
      <c r="W975" s="468"/>
      <c r="X975" s="468"/>
      <c r="Y975" s="468"/>
      <c r="Z975" s="468"/>
    </row>
    <row r="976" spans="1:26" ht="18" customHeight="1" x14ac:dyDescent="0.35">
      <c r="A976" s="468"/>
      <c r="B976" s="468"/>
      <c r="C976" s="468"/>
      <c r="D976" s="468"/>
      <c r="E976" s="468"/>
      <c r="F976" s="468"/>
      <c r="G976" s="468"/>
      <c r="H976" s="468"/>
      <c r="I976" s="468"/>
      <c r="J976" s="468"/>
      <c r="K976" s="468"/>
      <c r="L976" s="468"/>
      <c r="M976" s="468"/>
      <c r="N976" s="468"/>
      <c r="O976" s="468"/>
      <c r="P976" s="468"/>
      <c r="Q976" s="468"/>
      <c r="R976" s="468"/>
      <c r="S976" s="468"/>
      <c r="T976" s="468"/>
      <c r="U976" s="468"/>
      <c r="V976" s="468"/>
      <c r="W976" s="468"/>
      <c r="X976" s="468"/>
      <c r="Y976" s="468"/>
      <c r="Z976" s="468"/>
    </row>
    <row r="977" spans="1:26" ht="18" customHeight="1" x14ac:dyDescent="0.35">
      <c r="A977" s="468"/>
      <c r="B977" s="468"/>
      <c r="C977" s="468"/>
      <c r="D977" s="468"/>
      <c r="E977" s="468"/>
      <c r="F977" s="468"/>
      <c r="G977" s="468"/>
      <c r="H977" s="468"/>
      <c r="I977" s="468"/>
      <c r="J977" s="468"/>
      <c r="K977" s="468"/>
      <c r="L977" s="468"/>
      <c r="M977" s="468"/>
      <c r="N977" s="468"/>
      <c r="O977" s="468"/>
      <c r="P977" s="468"/>
      <c r="Q977" s="468"/>
      <c r="R977" s="468"/>
      <c r="S977" s="468"/>
      <c r="T977" s="468"/>
      <c r="U977" s="468"/>
      <c r="V977" s="468"/>
      <c r="W977" s="468"/>
      <c r="X977" s="468"/>
      <c r="Y977" s="468"/>
      <c r="Z977" s="468"/>
    </row>
    <row r="978" spans="1:26" ht="18" customHeight="1" x14ac:dyDescent="0.35">
      <c r="A978" s="468"/>
      <c r="B978" s="468"/>
      <c r="C978" s="468"/>
      <c r="D978" s="468"/>
      <c r="E978" s="468"/>
      <c r="F978" s="468"/>
      <c r="G978" s="468"/>
      <c r="H978" s="468"/>
      <c r="I978" s="468"/>
      <c r="J978" s="468"/>
      <c r="K978" s="468"/>
      <c r="L978" s="468"/>
      <c r="M978" s="468"/>
      <c r="N978" s="468"/>
      <c r="O978" s="468"/>
      <c r="P978" s="468"/>
      <c r="Q978" s="468"/>
      <c r="R978" s="468"/>
      <c r="S978" s="468"/>
      <c r="T978" s="468"/>
      <c r="U978" s="468"/>
      <c r="V978" s="468"/>
      <c r="W978" s="468"/>
      <c r="X978" s="468"/>
      <c r="Y978" s="468"/>
      <c r="Z978" s="468"/>
    </row>
    <row r="979" spans="1:26" ht="18" customHeight="1" x14ac:dyDescent="0.35">
      <c r="A979" s="468"/>
      <c r="B979" s="468"/>
      <c r="C979" s="468"/>
      <c r="D979" s="468"/>
      <c r="E979" s="468"/>
      <c r="F979" s="468"/>
      <c r="G979" s="468"/>
      <c r="H979" s="468"/>
      <c r="I979" s="468"/>
      <c r="J979" s="468"/>
      <c r="K979" s="468"/>
      <c r="L979" s="468"/>
      <c r="M979" s="468"/>
      <c r="N979" s="468"/>
      <c r="O979" s="468"/>
      <c r="P979" s="468"/>
      <c r="Q979" s="468"/>
      <c r="R979" s="468"/>
      <c r="S979" s="468"/>
      <c r="T979" s="468"/>
      <c r="U979" s="468"/>
      <c r="V979" s="468"/>
      <c r="W979" s="468"/>
      <c r="X979" s="468"/>
      <c r="Y979" s="468"/>
      <c r="Z979" s="468"/>
    </row>
    <row r="980" spans="1:26" ht="18" customHeight="1" x14ac:dyDescent="0.35">
      <c r="A980" s="468"/>
      <c r="B980" s="468"/>
      <c r="C980" s="468"/>
      <c r="D980" s="468"/>
      <c r="E980" s="468"/>
      <c r="F980" s="468"/>
      <c r="G980" s="468"/>
      <c r="H980" s="468"/>
      <c r="I980" s="468"/>
      <c r="J980" s="468"/>
      <c r="K980" s="468"/>
      <c r="L980" s="468"/>
      <c r="M980" s="468"/>
      <c r="N980" s="468"/>
      <c r="O980" s="468"/>
      <c r="P980" s="468"/>
      <c r="Q980" s="468"/>
      <c r="R980" s="468"/>
      <c r="S980" s="468"/>
      <c r="T980" s="468"/>
      <c r="U980" s="468"/>
      <c r="V980" s="468"/>
      <c r="W980" s="468"/>
      <c r="X980" s="468"/>
      <c r="Y980" s="468"/>
      <c r="Z980" s="468"/>
    </row>
    <row r="981" spans="1:26" ht="18" customHeight="1" x14ac:dyDescent="0.35">
      <c r="A981" s="468"/>
      <c r="B981" s="468"/>
      <c r="C981" s="468"/>
      <c r="D981" s="468"/>
      <c r="E981" s="468"/>
      <c r="F981" s="468"/>
      <c r="G981" s="468"/>
      <c r="H981" s="468"/>
      <c r="I981" s="468"/>
      <c r="J981" s="468"/>
      <c r="K981" s="468"/>
      <c r="L981" s="468"/>
      <c r="M981" s="468"/>
      <c r="N981" s="468"/>
      <c r="O981" s="468"/>
      <c r="P981" s="468"/>
      <c r="Q981" s="468"/>
      <c r="R981" s="468"/>
      <c r="S981" s="468"/>
      <c r="T981" s="468"/>
      <c r="U981" s="468"/>
      <c r="V981" s="468"/>
      <c r="W981" s="468"/>
      <c r="X981" s="468"/>
      <c r="Y981" s="468"/>
      <c r="Z981" s="468"/>
    </row>
    <row r="982" spans="1:26" ht="18" customHeight="1" x14ac:dyDescent="0.35">
      <c r="A982" s="468"/>
      <c r="B982" s="468"/>
      <c r="C982" s="468"/>
      <c r="D982" s="468"/>
      <c r="E982" s="468"/>
      <c r="F982" s="468"/>
      <c r="G982" s="468"/>
      <c r="H982" s="468"/>
      <c r="I982" s="468"/>
      <c r="J982" s="468"/>
      <c r="K982" s="468"/>
      <c r="L982" s="468"/>
      <c r="M982" s="468"/>
      <c r="N982" s="468"/>
      <c r="O982" s="468"/>
      <c r="P982" s="468"/>
      <c r="Q982" s="468"/>
      <c r="R982" s="468"/>
      <c r="S982" s="468"/>
      <c r="T982" s="468"/>
      <c r="U982" s="468"/>
      <c r="V982" s="468"/>
      <c r="W982" s="468"/>
      <c r="X982" s="468"/>
      <c r="Y982" s="468"/>
      <c r="Z982" s="468"/>
    </row>
    <row r="983" spans="1:26" ht="18" customHeight="1" x14ac:dyDescent="0.35">
      <c r="A983" s="468"/>
      <c r="B983" s="468"/>
      <c r="C983" s="468"/>
      <c r="D983" s="468"/>
      <c r="E983" s="468"/>
      <c r="F983" s="468"/>
      <c r="G983" s="468"/>
      <c r="H983" s="468"/>
      <c r="I983" s="468"/>
      <c r="J983" s="468"/>
      <c r="K983" s="468"/>
      <c r="L983" s="468"/>
      <c r="M983" s="468"/>
      <c r="N983" s="468"/>
      <c r="O983" s="468"/>
      <c r="P983" s="468"/>
      <c r="Q983" s="468"/>
      <c r="R983" s="468"/>
      <c r="S983" s="468"/>
      <c r="T983" s="468"/>
      <c r="U983" s="468"/>
      <c r="V983" s="468"/>
      <c r="W983" s="468"/>
      <c r="X983" s="468"/>
      <c r="Y983" s="468"/>
      <c r="Z983" s="468"/>
    </row>
    <row r="984" spans="1:26" ht="18" customHeight="1" x14ac:dyDescent="0.35">
      <c r="A984" s="468"/>
      <c r="B984" s="468"/>
      <c r="C984" s="468"/>
      <c r="D984" s="468"/>
      <c r="E984" s="468"/>
      <c r="F984" s="468"/>
      <c r="G984" s="468"/>
      <c r="H984" s="468"/>
      <c r="I984" s="468"/>
      <c r="J984" s="468"/>
      <c r="K984" s="468"/>
      <c r="L984" s="468"/>
      <c r="M984" s="468"/>
      <c r="N984" s="468"/>
      <c r="O984" s="468"/>
      <c r="P984" s="468"/>
      <c r="Q984" s="468"/>
      <c r="R984" s="468"/>
      <c r="S984" s="468"/>
      <c r="T984" s="468"/>
      <c r="U984" s="468"/>
      <c r="V984" s="468"/>
      <c r="W984" s="468"/>
      <c r="X984" s="468"/>
      <c r="Y984" s="468"/>
      <c r="Z984" s="468"/>
    </row>
    <row r="985" spans="1:26" ht="18" customHeight="1" x14ac:dyDescent="0.35">
      <c r="A985" s="468"/>
      <c r="B985" s="468"/>
      <c r="C985" s="468"/>
      <c r="D985" s="468"/>
      <c r="E985" s="468"/>
      <c r="F985" s="468"/>
      <c r="G985" s="468"/>
      <c r="H985" s="468"/>
      <c r="I985" s="468"/>
      <c r="J985" s="468"/>
      <c r="K985" s="468"/>
      <c r="L985" s="468"/>
      <c r="M985" s="468"/>
      <c r="N985" s="468"/>
      <c r="O985" s="468"/>
      <c r="P985" s="468"/>
      <c r="Q985" s="468"/>
      <c r="R985" s="468"/>
      <c r="S985" s="468"/>
      <c r="T985" s="468"/>
      <c r="U985" s="468"/>
      <c r="V985" s="468"/>
      <c r="W985" s="468"/>
      <c r="X985" s="468"/>
      <c r="Y985" s="468"/>
      <c r="Z985" s="468"/>
    </row>
    <row r="986" spans="1:26" ht="18" customHeight="1" x14ac:dyDescent="0.35">
      <c r="A986" s="468"/>
      <c r="B986" s="468"/>
      <c r="C986" s="468"/>
      <c r="D986" s="468"/>
      <c r="E986" s="468"/>
      <c r="F986" s="468"/>
      <c r="G986" s="468"/>
      <c r="H986" s="468"/>
      <c r="I986" s="468"/>
      <c r="J986" s="468"/>
      <c r="K986" s="468"/>
      <c r="L986" s="468"/>
      <c r="M986" s="468"/>
      <c r="N986" s="468"/>
      <c r="O986" s="468"/>
      <c r="P986" s="468"/>
      <c r="Q986" s="468"/>
      <c r="R986" s="468"/>
      <c r="S986" s="468"/>
      <c r="T986" s="468"/>
      <c r="U986" s="468"/>
      <c r="V986" s="468"/>
      <c r="W986" s="468"/>
      <c r="X986" s="468"/>
      <c r="Y986" s="468"/>
      <c r="Z986" s="468"/>
    </row>
    <row r="987" spans="1:26" ht="18" customHeight="1" x14ac:dyDescent="0.35">
      <c r="A987" s="468"/>
      <c r="B987" s="468"/>
      <c r="C987" s="468"/>
      <c r="D987" s="468"/>
      <c r="E987" s="468"/>
      <c r="F987" s="468"/>
      <c r="G987" s="468"/>
      <c r="H987" s="468"/>
      <c r="I987" s="468"/>
      <c r="J987" s="468"/>
      <c r="K987" s="468"/>
      <c r="L987" s="468"/>
      <c r="M987" s="468"/>
      <c r="N987" s="468"/>
      <c r="O987" s="468"/>
      <c r="P987" s="468"/>
      <c r="Q987" s="468"/>
      <c r="R987" s="468"/>
      <c r="S987" s="468"/>
      <c r="T987" s="468"/>
      <c r="U987" s="468"/>
      <c r="V987" s="468"/>
      <c r="W987" s="468"/>
      <c r="X987" s="468"/>
      <c r="Y987" s="468"/>
      <c r="Z987" s="468"/>
    </row>
    <row r="988" spans="1:26" ht="18" customHeight="1" x14ac:dyDescent="0.35">
      <c r="A988" s="468"/>
      <c r="B988" s="468"/>
      <c r="C988" s="468"/>
      <c r="D988" s="468"/>
      <c r="E988" s="468"/>
      <c r="F988" s="468"/>
      <c r="G988" s="468"/>
      <c r="H988" s="468"/>
      <c r="I988" s="468"/>
      <c r="J988" s="468"/>
      <c r="K988" s="468"/>
      <c r="L988" s="468"/>
      <c r="M988" s="468"/>
      <c r="N988" s="468"/>
      <c r="O988" s="468"/>
      <c r="P988" s="468"/>
      <c r="Q988" s="468"/>
      <c r="R988" s="468"/>
      <c r="S988" s="468"/>
      <c r="T988" s="468"/>
      <c r="U988" s="468"/>
      <c r="V988" s="468"/>
      <c r="W988" s="468"/>
      <c r="X988" s="468"/>
      <c r="Y988" s="468"/>
      <c r="Z988" s="468"/>
    </row>
    <row r="989" spans="1:26" ht="18" customHeight="1" x14ac:dyDescent="0.35">
      <c r="A989" s="468"/>
      <c r="B989" s="468"/>
      <c r="C989" s="468"/>
      <c r="D989" s="468"/>
      <c r="E989" s="468"/>
      <c r="F989" s="468"/>
      <c r="G989" s="468"/>
      <c r="H989" s="468"/>
      <c r="I989" s="468"/>
      <c r="J989" s="468"/>
      <c r="K989" s="468"/>
      <c r="L989" s="468"/>
      <c r="M989" s="468"/>
      <c r="N989" s="468"/>
      <c r="O989" s="468"/>
      <c r="P989" s="468"/>
      <c r="Q989" s="468"/>
      <c r="R989" s="468"/>
      <c r="S989" s="468"/>
      <c r="T989" s="468"/>
      <c r="U989" s="468"/>
      <c r="V989" s="468"/>
      <c r="W989" s="468"/>
      <c r="X989" s="468"/>
      <c r="Y989" s="468"/>
      <c r="Z989" s="468"/>
    </row>
    <row r="990" spans="1:26" ht="18" customHeight="1" x14ac:dyDescent="0.35">
      <c r="A990" s="468"/>
      <c r="B990" s="468"/>
      <c r="C990" s="468"/>
      <c r="D990" s="468"/>
      <c r="E990" s="468"/>
      <c r="F990" s="468"/>
      <c r="G990" s="468"/>
      <c r="H990" s="468"/>
      <c r="I990" s="468"/>
      <c r="J990" s="468"/>
      <c r="K990" s="468"/>
      <c r="L990" s="468"/>
      <c r="M990" s="468"/>
      <c r="N990" s="468"/>
      <c r="O990" s="468"/>
      <c r="P990" s="468"/>
      <c r="Q990" s="468"/>
      <c r="R990" s="468"/>
      <c r="S990" s="468"/>
      <c r="T990" s="468"/>
      <c r="U990" s="468"/>
      <c r="V990" s="468"/>
      <c r="W990" s="468"/>
      <c r="X990" s="468"/>
      <c r="Y990" s="468"/>
      <c r="Z990" s="468"/>
    </row>
    <row r="991" spans="1:26" ht="18" customHeight="1" x14ac:dyDescent="0.35">
      <c r="A991" s="468"/>
      <c r="B991" s="468"/>
      <c r="C991" s="468"/>
      <c r="D991" s="468"/>
      <c r="E991" s="468"/>
      <c r="F991" s="468"/>
      <c r="G991" s="468"/>
      <c r="H991" s="468"/>
      <c r="I991" s="468"/>
      <c r="J991" s="468"/>
      <c r="K991" s="468"/>
      <c r="L991" s="468"/>
      <c r="M991" s="468"/>
      <c r="N991" s="468"/>
      <c r="O991" s="468"/>
      <c r="P991" s="468"/>
      <c r="Q991" s="468"/>
      <c r="R991" s="468"/>
      <c r="S991" s="468"/>
      <c r="T991" s="468"/>
      <c r="U991" s="468"/>
      <c r="V991" s="468"/>
      <c r="W991" s="468"/>
      <c r="X991" s="468"/>
      <c r="Y991" s="468"/>
      <c r="Z991" s="468"/>
    </row>
    <row r="992" spans="1:26" ht="18" customHeight="1" x14ac:dyDescent="0.35">
      <c r="A992" s="468"/>
      <c r="B992" s="468"/>
      <c r="C992" s="468"/>
      <c r="D992" s="468"/>
      <c r="E992" s="468"/>
      <c r="F992" s="468"/>
      <c r="G992" s="468"/>
      <c r="H992" s="468"/>
      <c r="I992" s="468"/>
      <c r="J992" s="468"/>
      <c r="K992" s="468"/>
      <c r="L992" s="468"/>
      <c r="M992" s="468"/>
      <c r="N992" s="468"/>
      <c r="O992" s="468"/>
      <c r="P992" s="468"/>
      <c r="Q992" s="468"/>
      <c r="R992" s="468"/>
      <c r="S992" s="468"/>
      <c r="T992" s="468"/>
      <c r="U992" s="468"/>
      <c r="V992" s="468"/>
      <c r="W992" s="468"/>
      <c r="X992" s="468"/>
      <c r="Y992" s="468"/>
      <c r="Z992" s="468"/>
    </row>
    <row r="993" spans="1:26" ht="18" customHeight="1" x14ac:dyDescent="0.35">
      <c r="A993" s="468"/>
      <c r="B993" s="468"/>
      <c r="C993" s="468"/>
      <c r="D993" s="468"/>
      <c r="E993" s="468"/>
      <c r="F993" s="468"/>
      <c r="G993" s="468"/>
      <c r="H993" s="468"/>
      <c r="I993" s="468"/>
      <c r="J993" s="468"/>
      <c r="K993" s="468"/>
      <c r="L993" s="468"/>
      <c r="M993" s="468"/>
      <c r="N993" s="468"/>
      <c r="O993" s="468"/>
      <c r="P993" s="468"/>
      <c r="Q993" s="468"/>
      <c r="R993" s="468"/>
      <c r="S993" s="468"/>
      <c r="T993" s="468"/>
      <c r="U993" s="468"/>
      <c r="V993" s="468"/>
      <c r="W993" s="468"/>
      <c r="X993" s="468"/>
      <c r="Y993" s="468"/>
      <c r="Z993" s="468"/>
    </row>
    <row r="994" spans="1:26" ht="18" customHeight="1" x14ac:dyDescent="0.35">
      <c r="A994" s="468"/>
      <c r="B994" s="468"/>
      <c r="C994" s="468"/>
      <c r="D994" s="468"/>
      <c r="E994" s="468"/>
      <c r="F994" s="468"/>
      <c r="G994" s="468"/>
      <c r="H994" s="468"/>
      <c r="I994" s="468"/>
      <c r="J994" s="468"/>
      <c r="K994" s="468"/>
      <c r="L994" s="468"/>
      <c r="M994" s="468"/>
      <c r="N994" s="468"/>
      <c r="O994" s="468"/>
      <c r="P994" s="468"/>
      <c r="Q994" s="468"/>
      <c r="R994" s="468"/>
      <c r="S994" s="468"/>
      <c r="T994" s="468"/>
      <c r="U994" s="468"/>
      <c r="V994" s="468"/>
      <c r="W994" s="468"/>
      <c r="X994" s="468"/>
      <c r="Y994" s="468"/>
      <c r="Z994" s="468"/>
    </row>
    <row r="995" spans="1:26" ht="18" customHeight="1" x14ac:dyDescent="0.35">
      <c r="A995" s="468"/>
      <c r="B995" s="468"/>
      <c r="C995" s="468"/>
      <c r="D995" s="468"/>
      <c r="E995" s="468"/>
      <c r="F995" s="468"/>
      <c r="G995" s="468"/>
      <c r="H995" s="468"/>
      <c r="I995" s="468"/>
      <c r="J995" s="468"/>
      <c r="K995" s="468"/>
      <c r="L995" s="468"/>
      <c r="M995" s="468"/>
      <c r="N995" s="468"/>
      <c r="O995" s="468"/>
      <c r="P995" s="468"/>
      <c r="Q995" s="468"/>
      <c r="R995" s="468"/>
      <c r="S995" s="468"/>
      <c r="T995" s="468"/>
      <c r="U995" s="468"/>
      <c r="V995" s="468"/>
      <c r="W995" s="468"/>
      <c r="X995" s="468"/>
      <c r="Y995" s="468"/>
      <c r="Z995" s="468"/>
    </row>
    <row r="996" spans="1:26" ht="18" customHeight="1" x14ac:dyDescent="0.35">
      <c r="A996" s="468"/>
      <c r="B996" s="468"/>
      <c r="C996" s="468"/>
      <c r="D996" s="468"/>
      <c r="E996" s="468"/>
      <c r="F996" s="468"/>
      <c r="G996" s="468"/>
      <c r="H996" s="468"/>
      <c r="I996" s="468"/>
      <c r="J996" s="468"/>
      <c r="K996" s="468"/>
      <c r="L996" s="468"/>
      <c r="M996" s="468"/>
      <c r="N996" s="468"/>
      <c r="O996" s="468"/>
      <c r="P996" s="468"/>
      <c r="Q996" s="468"/>
      <c r="R996" s="468"/>
      <c r="S996" s="468"/>
      <c r="T996" s="468"/>
      <c r="U996" s="468"/>
      <c r="V996" s="468"/>
      <c r="W996" s="468"/>
      <c r="X996" s="468"/>
      <c r="Y996" s="468"/>
      <c r="Z996" s="468"/>
    </row>
    <row r="997" spans="1:26" ht="18" customHeight="1" x14ac:dyDescent="0.35">
      <c r="A997" s="468"/>
      <c r="B997" s="468"/>
      <c r="C997" s="468"/>
      <c r="D997" s="468"/>
      <c r="E997" s="468"/>
      <c r="F997" s="468"/>
      <c r="G997" s="468"/>
      <c r="H997" s="468"/>
      <c r="I997" s="468"/>
      <c r="J997" s="468"/>
      <c r="K997" s="468"/>
      <c r="L997" s="468"/>
      <c r="M997" s="468"/>
      <c r="N997" s="468"/>
      <c r="O997" s="468"/>
      <c r="P997" s="468"/>
      <c r="Q997" s="468"/>
      <c r="R997" s="468"/>
      <c r="S997" s="468"/>
      <c r="T997" s="468"/>
      <c r="U997" s="468"/>
      <c r="V997" s="468"/>
      <c r="W997" s="468"/>
      <c r="X997" s="468"/>
      <c r="Y997" s="468"/>
      <c r="Z997" s="468"/>
    </row>
    <row r="998" spans="1:26" ht="18" customHeight="1" x14ac:dyDescent="0.35">
      <c r="A998" s="468"/>
      <c r="B998" s="468"/>
      <c r="C998" s="468"/>
      <c r="D998" s="468"/>
      <c r="E998" s="468"/>
      <c r="F998" s="468"/>
      <c r="G998" s="468"/>
      <c r="H998" s="468"/>
      <c r="I998" s="468"/>
      <c r="J998" s="468"/>
      <c r="K998" s="468"/>
      <c r="L998" s="468"/>
      <c r="M998" s="468"/>
      <c r="N998" s="468"/>
      <c r="O998" s="468"/>
      <c r="P998" s="468"/>
      <c r="Q998" s="468"/>
      <c r="R998" s="468"/>
      <c r="S998" s="468"/>
      <c r="T998" s="468"/>
      <c r="U998" s="468"/>
      <c r="V998" s="468"/>
      <c r="W998" s="468"/>
      <c r="X998" s="468"/>
      <c r="Y998" s="468"/>
      <c r="Z998" s="468"/>
    </row>
    <row r="999" spans="1:26" ht="18" customHeight="1" x14ac:dyDescent="0.35">
      <c r="A999" s="468"/>
      <c r="B999" s="468"/>
      <c r="C999" s="468"/>
      <c r="D999" s="468"/>
      <c r="E999" s="468"/>
      <c r="F999" s="468"/>
      <c r="G999" s="468"/>
      <c r="H999" s="468"/>
      <c r="I999" s="468"/>
      <c r="J999" s="468"/>
      <c r="K999" s="468"/>
      <c r="L999" s="468"/>
      <c r="M999" s="468"/>
      <c r="N999" s="468"/>
      <c r="O999" s="468"/>
      <c r="P999" s="468"/>
      <c r="Q999" s="468"/>
      <c r="R999" s="468"/>
      <c r="S999" s="468"/>
      <c r="T999" s="468"/>
      <c r="U999" s="468"/>
      <c r="V999" s="468"/>
      <c r="W999" s="468"/>
      <c r="X999" s="468"/>
      <c r="Y999" s="468"/>
      <c r="Z999" s="468"/>
    </row>
    <row r="1000" spans="1:26" ht="18" customHeight="1" x14ac:dyDescent="0.35">
      <c r="A1000" s="468"/>
      <c r="B1000" s="468"/>
      <c r="C1000" s="468"/>
      <c r="D1000" s="468"/>
      <c r="E1000" s="468"/>
      <c r="F1000" s="468"/>
      <c r="G1000" s="468"/>
      <c r="H1000" s="468"/>
      <c r="I1000" s="468"/>
      <c r="J1000" s="468"/>
      <c r="K1000" s="468"/>
      <c r="L1000" s="468"/>
      <c r="M1000" s="468"/>
      <c r="N1000" s="468"/>
      <c r="O1000" s="468"/>
      <c r="P1000" s="468"/>
      <c r="Q1000" s="468"/>
      <c r="R1000" s="468"/>
      <c r="S1000" s="468"/>
      <c r="T1000" s="468"/>
      <c r="U1000" s="468"/>
      <c r="V1000" s="468"/>
      <c r="W1000" s="468"/>
      <c r="X1000" s="468"/>
      <c r="Y1000" s="468"/>
      <c r="Z1000" s="468"/>
    </row>
  </sheetData>
  <mergeCells count="4">
    <mergeCell ref="A1:K2"/>
    <mergeCell ref="A3:A4"/>
    <mergeCell ref="B3:C7"/>
    <mergeCell ref="B22:E22"/>
  </mergeCells>
  <dataValidations count="5">
    <dataValidation type="list" allowBlank="1" showErrorMessage="1" sqref="C19" xr:uid="{00000000-0002-0000-0A00-000000000000}">
      <formula1>$A$101:$A$103</formula1>
    </dataValidation>
    <dataValidation type="list" allowBlank="1" showErrorMessage="1" sqref="A30 G30" xr:uid="{00000000-0002-0000-0A00-000001000000}">
      <formula1>$A$106:$A$108</formula1>
    </dataValidation>
    <dataValidation type="list" allowBlank="1" showErrorMessage="1" sqref="B26 H26" xr:uid="{00000000-0002-0000-0A00-000002000000}">
      <formula1>$A$112:$A$117</formula1>
    </dataValidation>
    <dataValidation type="list" allowBlank="1" showErrorMessage="1" sqref="F14" xr:uid="{00000000-0002-0000-0A00-000005000000}">
      <formula1>$A$122:$A$123</formula1>
    </dataValidation>
    <dataValidation type="list" allowBlank="1" showErrorMessage="1" sqref="F13 F15" xr:uid="{00000000-0002-0000-0A00-000006000000}">
      <formula1>$A$119:$A$120</formula1>
    </dataValidation>
  </dataValidations>
  <pageMargins left="0.70866141732283472" right="0.51181102362204722" top="0.55118110236220474" bottom="0.55118110236220474" header="0" footer="0"/>
  <pageSetup paperSize="9" orientation="landscape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ErrorMessage="1" xr:uid="{00000000-0002-0000-0A00-000003000000}">
          <x14:formula1>
            <xm:f>'Infos Clients'!$B$2:$B$10</xm:f>
          </x14:formula1>
          <xm:sqref>F10</xm:sqref>
        </x14:dataValidation>
        <x14:dataValidation type="list" allowBlank="1" showErrorMessage="1" xr:uid="{00000000-0002-0000-0A00-000004000000}">
          <x14:formula1>
            <xm:f>'Infos Clients'!$A$19:$A$20</xm:f>
          </x14:formula1>
          <xm:sqref>F9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92D050"/>
    <pageSetUpPr fitToPage="1"/>
  </sheetPr>
  <dimension ref="A1:AG1000"/>
  <sheetViews>
    <sheetView tabSelected="1" topLeftCell="A94" zoomScale="60" zoomScaleNormal="60" workbookViewId="0">
      <selection activeCell="F33" sqref="F33"/>
    </sheetView>
  </sheetViews>
  <sheetFormatPr baseColWidth="10" defaultColWidth="14.44140625" defaultRowHeight="15" customHeight="1" x14ac:dyDescent="0.3"/>
  <cols>
    <col min="1" max="1" width="15.109375" customWidth="1"/>
    <col min="2" max="2" width="40" customWidth="1"/>
    <col min="3" max="3" width="30.5546875" customWidth="1"/>
    <col min="4" max="4" width="17.88671875" customWidth="1"/>
    <col min="5" max="5" width="23.5546875" customWidth="1"/>
    <col min="6" max="6" width="27" customWidth="1"/>
    <col min="7" max="7" width="17" customWidth="1"/>
    <col min="8" max="8" width="15.44140625" customWidth="1"/>
    <col min="9" max="9" width="17.5546875" bestFit="1" customWidth="1"/>
    <col min="10" max="10" width="25.88671875" bestFit="1" customWidth="1"/>
    <col min="11" max="11" width="17.109375" bestFit="1" customWidth="1"/>
    <col min="12" max="12" width="16" bestFit="1" customWidth="1"/>
    <col min="13" max="13" width="17.33203125" bestFit="1" customWidth="1"/>
    <col min="14" max="14" width="28.109375" bestFit="1" customWidth="1"/>
    <col min="15" max="15" width="14.5546875" customWidth="1"/>
    <col min="16" max="16" width="11.44140625" customWidth="1"/>
    <col min="17" max="17" width="12.109375" customWidth="1"/>
    <col min="18" max="19" width="11.44140625" customWidth="1"/>
    <col min="20" max="20" width="18.5546875" customWidth="1"/>
    <col min="21" max="33" width="11.44140625" customWidth="1"/>
  </cols>
  <sheetData>
    <row r="1" spans="1:33" ht="18" customHeight="1" x14ac:dyDescent="0.35">
      <c r="A1" s="1084" t="s">
        <v>297</v>
      </c>
      <c r="B1" s="1085"/>
      <c r="C1" s="1085"/>
      <c r="D1" s="1085"/>
      <c r="E1" s="1085"/>
      <c r="F1" s="1085"/>
      <c r="G1" s="1085"/>
      <c r="H1" s="1086"/>
      <c r="I1" s="559"/>
      <c r="J1" s="559"/>
      <c r="K1" s="559"/>
      <c r="L1" s="559"/>
      <c r="M1" s="559"/>
      <c r="N1" s="559"/>
      <c r="O1" s="559"/>
      <c r="P1" s="559"/>
      <c r="Q1" s="559"/>
      <c r="R1" s="559"/>
      <c r="S1" s="559"/>
      <c r="T1" s="559"/>
      <c r="U1" s="559"/>
      <c r="V1" s="559"/>
      <c r="W1" s="559"/>
      <c r="X1" s="559"/>
      <c r="Y1" s="559"/>
      <c r="Z1" s="559"/>
      <c r="AA1" s="559"/>
      <c r="AB1" s="559"/>
      <c r="AC1" s="559"/>
      <c r="AD1" s="559"/>
      <c r="AE1" s="559"/>
      <c r="AF1" s="559"/>
      <c r="AG1" s="559"/>
    </row>
    <row r="2" spans="1:33" ht="18" customHeight="1" x14ac:dyDescent="0.35">
      <c r="A2" s="1087"/>
      <c r="B2" s="1088"/>
      <c r="C2" s="1088"/>
      <c r="D2" s="1088"/>
      <c r="E2" s="1088"/>
      <c r="F2" s="1088"/>
      <c r="G2" s="1088"/>
      <c r="H2" s="1089"/>
      <c r="I2" s="559"/>
      <c r="J2" s="559"/>
      <c r="K2" s="559"/>
      <c r="L2" s="559"/>
      <c r="M2" s="559"/>
      <c r="N2" s="559"/>
      <c r="O2" s="559"/>
      <c r="P2" s="559"/>
      <c r="Q2" s="559"/>
      <c r="R2" s="559"/>
      <c r="S2" s="559"/>
      <c r="T2" s="559"/>
      <c r="U2" s="559"/>
      <c r="V2" s="559"/>
      <c r="W2" s="559"/>
      <c r="X2" s="559"/>
      <c r="Y2" s="559"/>
      <c r="Z2" s="559"/>
      <c r="AA2" s="559"/>
      <c r="AB2" s="559"/>
      <c r="AC2" s="559"/>
      <c r="AD2" s="559"/>
      <c r="AE2" s="559"/>
      <c r="AF2" s="559"/>
      <c r="AG2" s="559"/>
    </row>
    <row r="3" spans="1:33" ht="42.75" hidden="1" customHeight="1" x14ac:dyDescent="0.35">
      <c r="A3" s="559"/>
      <c r="B3" s="559"/>
      <c r="C3" s="560">
        <f>IF(C19="Boulons et platines","Boulons et Platines GC",0)</f>
        <v>0</v>
      </c>
      <c r="D3" s="560">
        <f>IF(C3="Boulons et Platines GC","Nbre de Trous",0)</f>
        <v>0</v>
      </c>
      <c r="E3" s="561">
        <f>IF(C3="Boulons et Platines GC","Dim du Bord",0)</f>
        <v>0</v>
      </c>
      <c r="F3" s="560">
        <f>IF(C19="Boulons et platines","Boulons et Platines CV",0)</f>
        <v>0</v>
      </c>
      <c r="G3" s="560">
        <f>IF(F3="Boulons et Platines CV","Nbre de Trous",0)</f>
        <v>0</v>
      </c>
      <c r="H3" s="561">
        <f>IF(F3="Boulons et Platines CV","Dim du Bord",0)</f>
        <v>0</v>
      </c>
      <c r="I3" s="559"/>
      <c r="J3" s="559"/>
      <c r="K3" s="559"/>
      <c r="L3" s="559"/>
      <c r="M3" s="559"/>
      <c r="N3" s="559"/>
      <c r="O3" s="559"/>
      <c r="P3" s="559"/>
      <c r="Q3" s="559"/>
      <c r="R3" s="559"/>
      <c r="S3" s="559"/>
      <c r="T3" s="559"/>
      <c r="U3" s="559"/>
      <c r="V3" s="559"/>
      <c r="W3" s="559"/>
      <c r="X3" s="559"/>
      <c r="Y3" s="559"/>
      <c r="Z3" s="559"/>
      <c r="AA3" s="559"/>
      <c r="AB3" s="559"/>
      <c r="AC3" s="559"/>
      <c r="AD3" s="559"/>
      <c r="AE3" s="559"/>
      <c r="AF3" s="559"/>
      <c r="AG3" s="559"/>
    </row>
    <row r="4" spans="1:33" ht="18.75" hidden="1" customHeight="1" x14ac:dyDescent="0.35">
      <c r="A4" s="559"/>
      <c r="B4" s="559"/>
      <c r="C4" s="562">
        <f>IF(C19="Vis bois",0,"Trous dans la Longueur")</f>
        <v>0</v>
      </c>
      <c r="D4" s="563">
        <f>IF(C4=0,0,IF(C50&lt;100,2,IF(C50&lt;150,3,IF(C50&lt;200,4,IF(C50&lt;250,5,IF(C50&lt;300,6,7))))))</f>
        <v>0</v>
      </c>
      <c r="E4" s="564">
        <f>IF(D4=0,0,IF(D4=2,0,IF(D4=3,0,(($C$50-32)/(D4-1))+16)))</f>
        <v>0</v>
      </c>
      <c r="F4" s="562">
        <f>IF(C19="Vis bois",0,"Trous dans la Longueur")</f>
        <v>0</v>
      </c>
      <c r="G4" s="563">
        <f>IF(F4=0,0,IF(C51&lt;100,2,IF(C51&lt;150,3,IF(C51&lt;200,4,IF(C51&lt;250,5,IF(C51&lt;300,6,7))))))</f>
        <v>0</v>
      </c>
      <c r="H4" s="564">
        <f>IF(G4=0,0,IF(G4=2,0,IF(G4=3,0,(($C$51-32)/(G4-1))+16)))</f>
        <v>0</v>
      </c>
      <c r="I4" s="559"/>
      <c r="J4" s="559"/>
      <c r="K4" s="559"/>
      <c r="L4" s="559"/>
      <c r="M4" s="559"/>
      <c r="N4" s="559"/>
      <c r="O4" s="559"/>
      <c r="P4" s="559"/>
      <c r="Q4" s="559"/>
      <c r="R4" s="559"/>
      <c r="S4" s="559"/>
      <c r="T4" s="559"/>
      <c r="U4" s="559"/>
      <c r="V4" s="559"/>
      <c r="W4" s="559"/>
      <c r="X4" s="559"/>
      <c r="Y4" s="559"/>
      <c r="Z4" s="559"/>
      <c r="AA4" s="559"/>
      <c r="AB4" s="559"/>
      <c r="AC4" s="559"/>
      <c r="AD4" s="559"/>
      <c r="AE4" s="559"/>
      <c r="AF4" s="559"/>
      <c r="AG4" s="559"/>
    </row>
    <row r="5" spans="1:33" ht="18" hidden="1" customHeight="1" x14ac:dyDescent="0.35">
      <c r="A5" s="559"/>
      <c r="B5" s="559"/>
      <c r="C5" s="565">
        <f>IF(D4=6,"2ème Trou",IF(D4=7,"2ème Trou",0))</f>
        <v>0</v>
      </c>
      <c r="D5" s="559"/>
      <c r="E5" s="564">
        <f>IF(C5=0,0,E4+E4-16)</f>
        <v>0</v>
      </c>
      <c r="F5" s="565">
        <f>IF(G4=6,"2ème Trou",IF(G4=7,"2ème Trou",0))</f>
        <v>0</v>
      </c>
      <c r="G5" s="559"/>
      <c r="H5" s="564">
        <f>IF(F5=0,0,H4+H4-16)</f>
        <v>0</v>
      </c>
      <c r="I5" s="559"/>
      <c r="J5" s="559"/>
      <c r="K5" s="559"/>
      <c r="L5" s="559"/>
      <c r="M5" s="559"/>
      <c r="N5" s="559"/>
      <c r="O5" s="559"/>
      <c r="P5" s="559"/>
      <c r="Q5" s="559"/>
      <c r="R5" s="559"/>
      <c r="S5" s="559"/>
      <c r="T5" s="559"/>
      <c r="U5" s="559"/>
      <c r="V5" s="559"/>
      <c r="W5" s="559"/>
      <c r="X5" s="559"/>
      <c r="Y5" s="559"/>
      <c r="Z5" s="559"/>
      <c r="AA5" s="559"/>
      <c r="AB5" s="559"/>
      <c r="AC5" s="559"/>
      <c r="AD5" s="559"/>
      <c r="AE5" s="559"/>
      <c r="AF5" s="559"/>
      <c r="AG5" s="559"/>
    </row>
    <row r="6" spans="1:33" ht="18" hidden="1" customHeight="1" x14ac:dyDescent="0.35">
      <c r="A6" s="559"/>
      <c r="B6" s="559"/>
      <c r="C6" s="562">
        <f>IF(C19="Vis bois",0,"Trous dans la Hauteur")</f>
        <v>0</v>
      </c>
      <c r="D6" s="563">
        <f>IF(C6=0,0,IF(D50&lt;100,2,IF(D50&lt;150,3,IF(D50&lt;200,4,IF(D50&lt;250,5,IF(D50&lt;310,6,7))))))</f>
        <v>0</v>
      </c>
      <c r="E6" s="564">
        <f>IF(D6=0,0,IF(D6=2,0,IF(D6=3,0,(($D$50-32)/(D6-1))+16)))</f>
        <v>0</v>
      </c>
      <c r="F6" s="562">
        <f>IF(C19="Vis bois",0,"Trous dans la Largeur")</f>
        <v>0</v>
      </c>
      <c r="G6" s="563">
        <f>IF(F6=0,0,IF(D51&lt;50,1,IF(D51&lt;100,2,IF(D51&lt;150,3,IF(D51&lt;200,4,IF(D51&lt;250,5,IF(D51&lt;310,6,7)))))))</f>
        <v>0</v>
      </c>
      <c r="H6" s="564">
        <f>IF(G6=0,0,IF(G6=1,0,IF(G6=2,0,IF(G6=3,0,(($D$51-32)/(G6-1))+16))))</f>
        <v>0</v>
      </c>
      <c r="I6" s="559"/>
      <c r="J6" s="559"/>
      <c r="K6" s="559"/>
      <c r="L6" s="559"/>
      <c r="M6" s="559"/>
      <c r="N6" s="559"/>
      <c r="O6" s="559"/>
      <c r="P6" s="559"/>
      <c r="Q6" s="559"/>
      <c r="R6" s="559"/>
      <c r="S6" s="559"/>
      <c r="T6" s="559"/>
      <c r="U6" s="559"/>
      <c r="V6" s="559"/>
      <c r="W6" s="559"/>
      <c r="X6" s="559"/>
      <c r="Y6" s="559"/>
      <c r="Z6" s="559"/>
      <c r="AA6" s="559"/>
      <c r="AB6" s="559"/>
      <c r="AC6" s="559"/>
      <c r="AD6" s="559"/>
      <c r="AE6" s="559"/>
      <c r="AF6" s="559"/>
      <c r="AG6" s="559"/>
    </row>
    <row r="7" spans="1:33" ht="18" hidden="1" customHeight="1" x14ac:dyDescent="0.35">
      <c r="A7" s="559"/>
      <c r="B7" s="559"/>
      <c r="C7" s="566">
        <f>IF(D6=6,"2ème Trou",IF(D6=7,"2ème Trou",0))</f>
        <v>0</v>
      </c>
      <c r="D7" s="567"/>
      <c r="E7" s="568">
        <f>IF(C7=0,0,E6+E6-16)</f>
        <v>0</v>
      </c>
      <c r="F7" s="566">
        <f>IF(G6=6,"2ème Trou",IF(G6=7,"2ème Trou",0))</f>
        <v>0</v>
      </c>
      <c r="G7" s="567"/>
      <c r="H7" s="568">
        <f>IF(F7=0,0,H6+H6-16)</f>
        <v>0</v>
      </c>
      <c r="I7" s="559"/>
      <c r="J7" s="559"/>
      <c r="K7" s="559"/>
      <c r="L7" s="559"/>
      <c r="M7" s="559"/>
      <c r="N7" s="559"/>
      <c r="O7" s="559"/>
      <c r="P7" s="559"/>
      <c r="Q7" s="559"/>
      <c r="R7" s="559"/>
      <c r="S7" s="559"/>
      <c r="T7" s="559"/>
      <c r="U7" s="559"/>
      <c r="V7" s="559"/>
      <c r="W7" s="559"/>
      <c r="X7" s="559"/>
      <c r="Y7" s="559"/>
      <c r="Z7" s="559"/>
      <c r="AA7" s="559"/>
      <c r="AB7" s="559"/>
      <c r="AC7" s="559"/>
      <c r="AD7" s="559"/>
      <c r="AE7" s="559"/>
      <c r="AF7" s="559"/>
      <c r="AG7" s="559"/>
    </row>
    <row r="8" spans="1:33" ht="18" customHeight="1" x14ac:dyDescent="0.35">
      <c r="A8" s="559"/>
      <c r="B8" s="559"/>
      <c r="C8" s="559"/>
      <c r="D8" s="559"/>
      <c r="E8" s="559"/>
      <c r="F8" s="559"/>
      <c r="G8" s="559"/>
      <c r="H8" s="559"/>
      <c r="I8" s="559"/>
      <c r="J8" s="559"/>
      <c r="K8" s="559"/>
      <c r="L8" s="559"/>
      <c r="M8" s="559"/>
      <c r="N8" s="559"/>
      <c r="O8" s="559"/>
      <c r="P8" s="559"/>
      <c r="Q8" s="559"/>
      <c r="R8" s="559"/>
      <c r="S8" s="559"/>
      <c r="T8" s="559"/>
      <c r="U8" s="559"/>
      <c r="V8" s="559"/>
      <c r="W8" s="559"/>
      <c r="X8" s="559"/>
      <c r="Y8" s="559"/>
      <c r="Z8" s="559"/>
      <c r="AA8" s="559"/>
      <c r="AB8" s="559"/>
      <c r="AC8" s="559"/>
      <c r="AD8" s="559"/>
      <c r="AE8" s="559"/>
      <c r="AF8" s="559"/>
      <c r="AG8" s="559"/>
    </row>
    <row r="9" spans="1:33" ht="18" customHeight="1" x14ac:dyDescent="0.35">
      <c r="A9" s="559"/>
      <c r="B9" s="559" t="s">
        <v>1</v>
      </c>
      <c r="C9" s="20"/>
      <c r="D9" s="559"/>
      <c r="E9" s="563" t="s">
        <v>2</v>
      </c>
      <c r="F9" s="22" t="s">
        <v>298</v>
      </c>
      <c r="G9" s="559"/>
      <c r="H9" s="559"/>
      <c r="I9" s="559"/>
      <c r="J9" s="559"/>
      <c r="K9" s="559"/>
      <c r="L9" s="559"/>
      <c r="M9" s="559"/>
      <c r="N9" s="559"/>
      <c r="O9" s="559"/>
      <c r="P9" s="559"/>
      <c r="Q9" s="559"/>
      <c r="R9" s="559"/>
      <c r="S9" s="559"/>
      <c r="T9" s="559"/>
      <c r="U9" s="559"/>
      <c r="V9" s="559"/>
      <c r="W9" s="559"/>
      <c r="X9" s="559"/>
      <c r="Y9" s="559"/>
      <c r="Z9" s="559"/>
      <c r="AA9" s="559"/>
      <c r="AB9" s="559"/>
      <c r="AC9" s="559"/>
      <c r="AD9" s="559"/>
      <c r="AE9" s="559"/>
      <c r="AF9" s="559"/>
      <c r="AG9" s="559"/>
    </row>
    <row r="10" spans="1:33" ht="18" customHeight="1" x14ac:dyDescent="0.35">
      <c r="A10" s="559"/>
      <c r="B10" s="559" t="s">
        <v>4</v>
      </c>
      <c r="C10" s="23"/>
      <c r="D10" s="559"/>
      <c r="E10" s="563" t="s">
        <v>5</v>
      </c>
      <c r="F10" s="569" t="s">
        <v>6</v>
      </c>
      <c r="G10" s="559"/>
      <c r="H10" s="570"/>
      <c r="I10" s="559"/>
      <c r="J10" s="559"/>
      <c r="K10" s="559"/>
      <c r="L10" s="559"/>
      <c r="M10" s="559"/>
      <c r="N10" s="559"/>
      <c r="O10" s="559"/>
      <c r="P10" s="559"/>
      <c r="Q10" s="559"/>
      <c r="R10" s="559"/>
      <c r="S10" s="559"/>
      <c r="T10" s="559"/>
      <c r="U10" s="559"/>
      <c r="V10" s="559"/>
      <c r="W10" s="559"/>
      <c r="X10" s="559"/>
      <c r="Y10" s="559"/>
      <c r="Z10" s="559"/>
      <c r="AA10" s="559"/>
      <c r="AB10" s="559"/>
      <c r="AC10" s="559"/>
      <c r="AD10" s="559"/>
      <c r="AE10" s="559"/>
      <c r="AF10" s="559"/>
      <c r="AG10" s="559"/>
    </row>
    <row r="11" spans="1:33" ht="19.5" customHeight="1" x14ac:dyDescent="0.35">
      <c r="A11" s="559"/>
      <c r="B11" s="559" t="s">
        <v>138</v>
      </c>
      <c r="C11" s="20"/>
      <c r="D11" s="559"/>
      <c r="E11" s="571" t="s">
        <v>8</v>
      </c>
      <c r="F11" s="25"/>
      <c r="G11" s="559"/>
      <c r="H11" s="559"/>
      <c r="I11" s="559"/>
      <c r="J11" s="572"/>
      <c r="K11" s="572"/>
      <c r="L11" s="572"/>
      <c r="M11" s="559"/>
      <c r="N11" s="559"/>
      <c r="O11" s="559"/>
      <c r="P11" s="559"/>
      <c r="Q11" s="559"/>
      <c r="R11" s="559"/>
      <c r="S11" s="559"/>
      <c r="T11" s="559"/>
      <c r="U11" s="559"/>
      <c r="V11" s="559"/>
      <c r="W11" s="559"/>
      <c r="X11" s="559"/>
      <c r="Y11" s="559"/>
      <c r="Z11" s="559"/>
      <c r="AA11" s="559"/>
      <c r="AB11" s="559"/>
      <c r="AC11" s="559"/>
      <c r="AD11" s="559"/>
      <c r="AE11" s="559"/>
      <c r="AF11" s="559"/>
      <c r="AG11" s="559"/>
    </row>
    <row r="12" spans="1:33" ht="19.5" customHeight="1" x14ac:dyDescent="0.35">
      <c r="A12" s="559"/>
      <c r="B12" s="559"/>
      <c r="C12" s="563"/>
      <c r="D12" s="559"/>
      <c r="E12" s="571"/>
      <c r="F12" s="559"/>
      <c r="G12" s="559"/>
      <c r="H12" s="559"/>
      <c r="I12" s="572"/>
      <c r="J12" s="572"/>
      <c r="K12" s="572"/>
      <c r="L12" s="572"/>
      <c r="M12" s="559"/>
      <c r="N12" s="559"/>
      <c r="O12" s="559"/>
      <c r="P12" s="559"/>
      <c r="Q12" s="559"/>
      <c r="R12" s="559"/>
      <c r="S12" s="559"/>
      <c r="T12" s="559"/>
      <c r="U12" s="559"/>
      <c r="V12" s="559"/>
      <c r="W12" s="559"/>
      <c r="X12" s="559"/>
      <c r="Y12" s="559"/>
      <c r="Z12" s="559"/>
      <c r="AA12" s="559"/>
      <c r="AB12" s="559"/>
      <c r="AC12" s="559"/>
      <c r="AD12" s="559"/>
      <c r="AE12" s="559"/>
      <c r="AF12" s="559"/>
      <c r="AG12" s="559"/>
    </row>
    <row r="13" spans="1:33" ht="18" customHeight="1" x14ac:dyDescent="0.4">
      <c r="A13" s="559"/>
      <c r="B13" s="573" t="s">
        <v>9</v>
      </c>
      <c r="C13" s="23" t="s">
        <v>10</v>
      </c>
      <c r="D13" s="559"/>
      <c r="E13" s="1167"/>
      <c r="F13" s="1100"/>
      <c r="G13" s="1101"/>
      <c r="H13" s="559"/>
      <c r="I13" s="572"/>
      <c r="J13" s="572"/>
      <c r="K13" s="572"/>
      <c r="L13" s="572"/>
      <c r="M13" s="559"/>
      <c r="N13" s="559"/>
      <c r="O13" s="559"/>
      <c r="P13" s="559"/>
      <c r="Q13" s="559"/>
      <c r="R13" s="559"/>
      <c r="S13" s="559"/>
      <c r="T13" s="559"/>
      <c r="U13" s="559"/>
      <c r="V13" s="559"/>
      <c r="W13" s="559"/>
      <c r="X13" s="559"/>
      <c r="Y13" s="559"/>
      <c r="Z13" s="559"/>
      <c r="AA13" s="559"/>
      <c r="AB13" s="559"/>
      <c r="AC13" s="559"/>
      <c r="AD13" s="559"/>
      <c r="AE13" s="559"/>
      <c r="AF13" s="559"/>
      <c r="AG13" s="559"/>
    </row>
    <row r="14" spans="1:33" ht="20.25" customHeight="1" x14ac:dyDescent="0.4">
      <c r="A14" s="559"/>
      <c r="B14" s="573"/>
      <c r="C14" s="563"/>
      <c r="D14" s="559"/>
      <c r="E14" s="1167"/>
      <c r="F14" s="1100"/>
      <c r="G14" s="1101"/>
      <c r="H14" s="559"/>
      <c r="I14" s="572"/>
      <c r="J14" s="572"/>
      <c r="K14" s="572"/>
      <c r="L14" s="572"/>
      <c r="M14" s="559"/>
      <c r="N14" s="559"/>
      <c r="O14" s="559"/>
      <c r="P14" s="559"/>
      <c r="Q14" s="559"/>
      <c r="R14" s="559"/>
      <c r="S14" s="559"/>
      <c r="T14" s="559"/>
      <c r="U14" s="559"/>
      <c r="V14" s="559"/>
      <c r="W14" s="559"/>
      <c r="X14" s="559"/>
      <c r="Y14" s="559"/>
      <c r="Z14" s="559"/>
      <c r="AA14" s="559"/>
      <c r="AB14" s="559"/>
      <c r="AC14" s="559"/>
      <c r="AD14" s="559"/>
      <c r="AE14" s="559"/>
      <c r="AF14" s="559"/>
      <c r="AG14" s="559"/>
    </row>
    <row r="15" spans="1:33" ht="19.5" customHeight="1" x14ac:dyDescent="0.35">
      <c r="A15" s="559"/>
      <c r="B15" s="573" t="s">
        <v>11</v>
      </c>
      <c r="C15" s="23" t="s">
        <v>12</v>
      </c>
      <c r="D15" s="559"/>
      <c r="E15" s="574" t="s">
        <v>13</v>
      </c>
      <c r="F15" s="23" t="s">
        <v>14</v>
      </c>
      <c r="G15" s="559"/>
      <c r="H15" s="559"/>
      <c r="I15" s="572"/>
      <c r="J15" s="572"/>
      <c r="K15" s="572"/>
      <c r="L15" s="572"/>
      <c r="M15" s="559"/>
      <c r="N15" s="559"/>
      <c r="O15" s="559"/>
      <c r="P15" s="559"/>
      <c r="Q15" s="559"/>
      <c r="R15" s="559"/>
      <c r="S15" s="559"/>
      <c r="T15" s="559"/>
      <c r="U15" s="559"/>
      <c r="V15" s="559"/>
      <c r="W15" s="559"/>
      <c r="X15" s="559"/>
      <c r="Y15" s="559"/>
      <c r="Z15" s="559"/>
      <c r="AA15" s="559"/>
      <c r="AB15" s="559"/>
      <c r="AC15" s="559"/>
      <c r="AD15" s="559"/>
      <c r="AE15" s="559"/>
      <c r="AF15" s="559"/>
      <c r="AG15" s="559"/>
    </row>
    <row r="16" spans="1:33" ht="19.5" customHeight="1" x14ac:dyDescent="0.35">
      <c r="A16" s="559"/>
      <c r="B16" s="559"/>
      <c r="C16" s="563"/>
      <c r="D16" s="559"/>
      <c r="E16" s="1090"/>
      <c r="F16" s="1085"/>
      <c r="G16" s="1086"/>
      <c r="H16" s="559"/>
      <c r="I16" s="572"/>
      <c r="J16" s="572"/>
      <c r="K16" s="572"/>
      <c r="L16" s="572"/>
      <c r="M16" s="559"/>
      <c r="N16" s="559"/>
      <c r="O16" s="559"/>
      <c r="P16" s="559"/>
      <c r="Q16" s="559"/>
      <c r="R16" s="559"/>
      <c r="S16" s="559"/>
      <c r="T16" s="559"/>
      <c r="U16" s="559"/>
      <c r="V16" s="559"/>
      <c r="W16" s="559"/>
      <c r="X16" s="559"/>
      <c r="Y16" s="559"/>
      <c r="Z16" s="559"/>
      <c r="AA16" s="559"/>
      <c r="AB16" s="559"/>
      <c r="AC16" s="559"/>
      <c r="AD16" s="559"/>
      <c r="AE16" s="559"/>
      <c r="AF16" s="559"/>
      <c r="AG16" s="559"/>
    </row>
    <row r="17" spans="1:33" ht="18" customHeight="1" x14ac:dyDescent="0.35">
      <c r="A17" s="559"/>
      <c r="B17" s="573" t="s">
        <v>15</v>
      </c>
      <c r="C17" s="23" t="s">
        <v>16</v>
      </c>
      <c r="D17" s="559"/>
      <c r="E17" s="1091"/>
      <c r="F17" s="1097"/>
      <c r="G17" s="1092"/>
      <c r="H17" s="559"/>
      <c r="I17" s="559"/>
      <c r="J17" s="559"/>
      <c r="K17" s="559"/>
      <c r="L17" s="559"/>
      <c r="M17" s="559"/>
      <c r="N17" s="559"/>
      <c r="O17" s="559"/>
      <c r="P17" s="559"/>
      <c r="Q17" s="559"/>
      <c r="R17" s="559"/>
      <c r="S17" s="559"/>
      <c r="T17" s="559"/>
      <c r="U17" s="559"/>
      <c r="V17" s="559"/>
      <c r="W17" s="559"/>
      <c r="X17" s="559"/>
      <c r="Y17" s="559"/>
      <c r="Z17" s="559"/>
      <c r="AA17" s="559"/>
      <c r="AB17" s="559"/>
      <c r="AC17" s="559"/>
      <c r="AD17" s="559"/>
      <c r="AE17" s="559"/>
      <c r="AF17" s="559"/>
      <c r="AG17" s="559"/>
    </row>
    <row r="18" spans="1:33" ht="18" customHeight="1" x14ac:dyDescent="0.35">
      <c r="A18" s="559"/>
      <c r="B18" s="559"/>
      <c r="C18" s="563"/>
      <c r="D18" s="559"/>
      <c r="E18" s="1087"/>
      <c r="F18" s="1088"/>
      <c r="G18" s="1089"/>
      <c r="H18" s="559"/>
      <c r="I18" s="559"/>
      <c r="J18" s="559"/>
      <c r="K18" s="559"/>
      <c r="L18" s="559"/>
      <c r="M18" s="559"/>
      <c r="N18" s="559"/>
      <c r="O18" s="559"/>
      <c r="P18" s="559"/>
      <c r="Q18" s="559"/>
      <c r="R18" s="559"/>
      <c r="S18" s="559"/>
      <c r="T18" s="559"/>
      <c r="U18" s="559"/>
      <c r="V18" s="559"/>
      <c r="W18" s="559"/>
      <c r="X18" s="559"/>
      <c r="Y18" s="559"/>
      <c r="Z18" s="559"/>
      <c r="AA18" s="559"/>
      <c r="AB18" s="559"/>
      <c r="AC18" s="559"/>
      <c r="AD18" s="559"/>
      <c r="AE18" s="559"/>
      <c r="AF18" s="559"/>
      <c r="AG18" s="559"/>
    </row>
    <row r="19" spans="1:33" ht="18" customHeight="1" x14ac:dyDescent="0.35">
      <c r="A19" s="559"/>
      <c r="B19" s="573" t="s">
        <v>17</v>
      </c>
      <c r="C19" s="23" t="s">
        <v>18</v>
      </c>
      <c r="D19" s="559"/>
      <c r="E19" s="574" t="s">
        <v>19</v>
      </c>
      <c r="F19" s="23" t="s">
        <v>20</v>
      </c>
      <c r="G19" s="559"/>
      <c r="H19" s="559"/>
      <c r="I19" s="559"/>
      <c r="J19" s="559"/>
      <c r="K19" s="559"/>
      <c r="L19" s="559"/>
      <c r="M19" s="559"/>
      <c r="N19" s="559"/>
      <c r="O19" s="559"/>
      <c r="P19" s="559"/>
      <c r="Q19" s="559"/>
      <c r="R19" s="559"/>
      <c r="S19" s="559"/>
      <c r="T19" s="559"/>
      <c r="U19" s="559"/>
      <c r="V19" s="559"/>
      <c r="W19" s="559"/>
      <c r="X19" s="559"/>
      <c r="Y19" s="559"/>
      <c r="Z19" s="559"/>
      <c r="AA19" s="559"/>
      <c r="AB19" s="559"/>
      <c r="AC19" s="559"/>
      <c r="AD19" s="559"/>
      <c r="AE19" s="559"/>
      <c r="AF19" s="559"/>
      <c r="AG19" s="559"/>
    </row>
    <row r="20" spans="1:33" ht="18" customHeight="1" x14ac:dyDescent="0.35">
      <c r="A20" s="559"/>
      <c r="B20" s="559"/>
      <c r="C20" s="563"/>
      <c r="D20" s="559"/>
      <c r="E20" s="573">
        <f>IF(F19="Oui","Type de Peinture",0)</f>
        <v>0</v>
      </c>
      <c r="F20" s="1168">
        <f>IF(F19="Non",0,VLOOKUP(F10,'[1]Infos Clients'!B2:E10,4))</f>
        <v>0</v>
      </c>
      <c r="G20" s="1101"/>
      <c r="H20" s="559"/>
      <c r="I20" s="559"/>
      <c r="J20" s="559"/>
      <c r="K20" s="559"/>
      <c r="L20" s="559"/>
      <c r="M20" s="559"/>
      <c r="N20" s="559"/>
      <c r="O20" s="559"/>
      <c r="P20" s="559"/>
      <c r="Q20" s="559"/>
      <c r="R20" s="559"/>
      <c r="S20" s="559"/>
      <c r="T20" s="559"/>
      <c r="U20" s="559"/>
      <c r="V20" s="559"/>
      <c r="W20" s="559"/>
      <c r="X20" s="559"/>
      <c r="Y20" s="559"/>
      <c r="Z20" s="559"/>
      <c r="AA20" s="559"/>
      <c r="AB20" s="559"/>
      <c r="AC20" s="559"/>
      <c r="AD20" s="559"/>
      <c r="AE20" s="559"/>
      <c r="AF20" s="559"/>
      <c r="AG20" s="559"/>
    </row>
    <row r="21" spans="1:33" ht="18" customHeight="1" x14ac:dyDescent="0.35">
      <c r="A21" s="559"/>
      <c r="B21" s="573" t="s">
        <v>21</v>
      </c>
      <c r="C21" s="23" t="str">
        <f>IF(F21="Skis","Bois","Non")</f>
        <v>Non</v>
      </c>
      <c r="D21" s="559"/>
      <c r="E21" s="574" t="s">
        <v>24</v>
      </c>
      <c r="F21" s="1157" t="s">
        <v>136</v>
      </c>
      <c r="G21" s="1158"/>
      <c r="H21" s="559"/>
      <c r="I21" s="559"/>
      <c r="J21" s="559"/>
      <c r="K21" s="559"/>
      <c r="L21" s="559"/>
      <c r="M21" s="559"/>
      <c r="N21" s="559"/>
      <c r="O21" s="559"/>
      <c r="P21" s="559"/>
      <c r="Q21" s="559"/>
      <c r="R21" s="559"/>
      <c r="S21" s="559"/>
      <c r="T21" s="559"/>
      <c r="U21" s="559"/>
      <c r="V21" s="559"/>
      <c r="W21" s="559"/>
      <c r="X21" s="559"/>
      <c r="Y21" s="559"/>
      <c r="Z21" s="559"/>
      <c r="AA21" s="559"/>
      <c r="AB21" s="559"/>
      <c r="AC21" s="559"/>
      <c r="AD21" s="559"/>
      <c r="AE21" s="559"/>
      <c r="AF21" s="559"/>
      <c r="AG21" s="559"/>
    </row>
    <row r="22" spans="1:33" ht="20.25" customHeight="1" x14ac:dyDescent="0.35">
      <c r="A22" s="559"/>
      <c r="B22" s="573"/>
      <c r="C22" s="563"/>
      <c r="D22" s="559"/>
      <c r="E22" s="575"/>
      <c r="F22" s="571"/>
      <c r="G22" s="571"/>
      <c r="H22" s="559"/>
      <c r="I22" s="559"/>
      <c r="J22" s="559"/>
      <c r="K22" s="559"/>
      <c r="L22" s="559"/>
      <c r="M22" s="559"/>
      <c r="N22" s="559"/>
      <c r="O22" s="559"/>
      <c r="P22" s="559"/>
      <c r="Q22" s="559"/>
      <c r="R22" s="559"/>
      <c r="S22" s="559"/>
      <c r="T22" s="559"/>
      <c r="U22" s="559"/>
      <c r="V22" s="559"/>
      <c r="W22" s="559"/>
      <c r="X22" s="559"/>
      <c r="Y22" s="559"/>
      <c r="Z22" s="559"/>
      <c r="AA22" s="559"/>
      <c r="AB22" s="559"/>
      <c r="AC22" s="559"/>
      <c r="AD22" s="559"/>
      <c r="AE22" s="559"/>
      <c r="AF22" s="559"/>
      <c r="AG22" s="559"/>
    </row>
    <row r="23" spans="1:33" ht="24" customHeight="1" x14ac:dyDescent="0.35">
      <c r="A23" s="559"/>
      <c r="B23" s="573" t="s">
        <v>246</v>
      </c>
      <c r="C23" s="23" t="s">
        <v>20</v>
      </c>
      <c r="D23" s="559"/>
      <c r="E23" s="576" t="s">
        <v>299</v>
      </c>
      <c r="F23" s="29" t="s">
        <v>16</v>
      </c>
      <c r="G23" s="571"/>
      <c r="H23" s="571"/>
      <c r="I23" s="559"/>
      <c r="J23" s="559"/>
      <c r="K23" s="559"/>
      <c r="L23" s="559"/>
      <c r="M23" s="559"/>
      <c r="N23" s="559"/>
      <c r="O23" s="559"/>
      <c r="P23" s="559"/>
      <c r="Q23" s="559"/>
      <c r="R23" s="559"/>
      <c r="S23" s="559"/>
      <c r="T23" s="559"/>
      <c r="U23" s="559"/>
      <c r="V23" s="559"/>
      <c r="W23" s="559"/>
      <c r="X23" s="559"/>
      <c r="Y23" s="559"/>
      <c r="Z23" s="559"/>
      <c r="AA23" s="559"/>
      <c r="AB23" s="559"/>
      <c r="AC23" s="559"/>
      <c r="AD23" s="559"/>
      <c r="AE23" s="559"/>
      <c r="AF23" s="559"/>
      <c r="AG23" s="559"/>
    </row>
    <row r="24" spans="1:33" ht="19.5" customHeight="1" x14ac:dyDescent="0.35">
      <c r="A24" s="559"/>
      <c r="B24" s="573"/>
      <c r="C24" s="559"/>
      <c r="D24" s="559"/>
      <c r="E24" s="571"/>
      <c r="F24" s="571"/>
      <c r="G24" s="571"/>
      <c r="H24" s="559"/>
      <c r="I24" s="1135" t="s">
        <v>300</v>
      </c>
      <c r="J24" s="1085"/>
      <c r="K24" s="1086"/>
      <c r="L24" s="559"/>
      <c r="M24" s="559"/>
      <c r="N24" s="559"/>
      <c r="O24" s="559"/>
      <c r="P24" s="559"/>
      <c r="Q24" s="559"/>
      <c r="R24" s="559"/>
      <c r="S24" s="559"/>
      <c r="T24" s="559"/>
      <c r="U24" s="559"/>
      <c r="V24" s="559"/>
      <c r="W24" s="559"/>
      <c r="X24" s="559"/>
      <c r="Y24" s="559"/>
      <c r="Z24" s="559"/>
      <c r="AA24" s="559"/>
      <c r="AB24" s="559"/>
      <c r="AC24" s="559"/>
      <c r="AD24" s="559"/>
      <c r="AE24" s="559"/>
      <c r="AF24" s="559"/>
      <c r="AG24" s="559"/>
    </row>
    <row r="25" spans="1:33" ht="21.75" customHeight="1" x14ac:dyDescent="0.35">
      <c r="A25" s="1169" t="str">
        <f>VLOOKUP('Objet 1'!F10,'Infos Clients'!B2:G10,2)</f>
        <v>#VALUE!</v>
      </c>
      <c r="B25" s="1086"/>
      <c r="C25" s="559"/>
      <c r="D25" s="1168" t="s">
        <v>301</v>
      </c>
      <c r="E25" s="1170"/>
      <c r="F25" s="577" t="str">
        <f>VLOOKUP(C33,A137:T150,20)</f>
        <v>GC + Couvercle</v>
      </c>
      <c r="G25" s="571"/>
      <c r="H25" s="559"/>
      <c r="I25" s="1091"/>
      <c r="J25" s="1097"/>
      <c r="K25" s="1092"/>
      <c r="L25" s="559"/>
      <c r="M25" s="559"/>
      <c r="N25" s="559"/>
      <c r="O25" s="559"/>
      <c r="P25" s="559"/>
      <c r="Q25" s="559"/>
      <c r="R25" s="559"/>
      <c r="S25" s="559"/>
      <c r="T25" s="559"/>
      <c r="U25" s="559"/>
      <c r="V25" s="559"/>
      <c r="W25" s="559"/>
      <c r="X25" s="559"/>
      <c r="Y25" s="559"/>
      <c r="Z25" s="559"/>
      <c r="AA25" s="559"/>
      <c r="AB25" s="559"/>
      <c r="AC25" s="559"/>
      <c r="AD25" s="559"/>
      <c r="AE25" s="559"/>
      <c r="AF25" s="559"/>
      <c r="AG25" s="559"/>
    </row>
    <row r="26" spans="1:33" ht="18.75" customHeight="1" x14ac:dyDescent="0.35">
      <c r="A26" s="1091"/>
      <c r="B26" s="1092"/>
      <c r="C26" s="578"/>
      <c r="D26" s="559"/>
      <c r="E26" s="571"/>
      <c r="F26" s="571"/>
      <c r="G26" s="571"/>
      <c r="H26" s="559"/>
      <c r="I26" s="1091"/>
      <c r="J26" s="1097"/>
      <c r="K26" s="1092"/>
      <c r="L26" s="559"/>
      <c r="M26" s="559"/>
      <c r="N26" s="559"/>
      <c r="O26" s="559"/>
      <c r="P26" s="559"/>
      <c r="Q26" s="559"/>
      <c r="R26" s="559"/>
      <c r="S26" s="559"/>
      <c r="T26" s="559"/>
      <c r="U26" s="559"/>
      <c r="V26" s="559"/>
      <c r="W26" s="559"/>
      <c r="X26" s="559"/>
      <c r="Y26" s="559"/>
      <c r="Z26" s="559"/>
      <c r="AA26" s="559"/>
      <c r="AB26" s="559"/>
      <c r="AC26" s="559"/>
      <c r="AD26" s="559"/>
      <c r="AE26" s="559"/>
      <c r="AF26" s="559"/>
      <c r="AG26" s="559"/>
    </row>
    <row r="27" spans="1:33" ht="18.75" customHeight="1" x14ac:dyDescent="0.35">
      <c r="A27" s="1091"/>
      <c r="B27" s="1092"/>
      <c r="C27" s="578"/>
      <c r="D27" s="559"/>
      <c r="E27" s="571"/>
      <c r="F27" s="571"/>
      <c r="G27" s="571"/>
      <c r="H27" s="559"/>
      <c r="I27" s="1091"/>
      <c r="J27" s="1097"/>
      <c r="K27" s="1092"/>
      <c r="L27" s="559"/>
      <c r="M27" s="559"/>
      <c r="N27" s="559"/>
      <c r="O27" s="559"/>
      <c r="P27" s="559"/>
      <c r="Q27" s="559"/>
      <c r="R27" s="559"/>
      <c r="S27" s="559"/>
      <c r="T27" s="559"/>
      <c r="U27" s="559"/>
      <c r="V27" s="559"/>
      <c r="W27" s="559"/>
      <c r="X27" s="559"/>
      <c r="Y27" s="559"/>
      <c r="Z27" s="559"/>
      <c r="AA27" s="559"/>
      <c r="AB27" s="559"/>
      <c r="AC27" s="559"/>
      <c r="AD27" s="559"/>
      <c r="AE27" s="559"/>
      <c r="AF27" s="559"/>
      <c r="AG27" s="559"/>
    </row>
    <row r="28" spans="1:33" ht="61.5" customHeight="1" x14ac:dyDescent="0.35">
      <c r="A28" s="1087"/>
      <c r="B28" s="1089"/>
      <c r="C28" s="1165" t="s">
        <v>302</v>
      </c>
      <c r="D28" s="1085"/>
      <c r="E28" s="1085"/>
      <c r="F28" s="1086"/>
      <c r="G28" s="571"/>
      <c r="H28" s="559"/>
      <c r="I28" s="1091"/>
      <c r="J28" s="1097"/>
      <c r="K28" s="1092"/>
      <c r="L28" s="559"/>
      <c r="M28" s="559"/>
      <c r="N28" s="559"/>
      <c r="O28" s="559"/>
      <c r="P28" s="559"/>
      <c r="Q28" s="559"/>
      <c r="R28" s="559"/>
      <c r="S28" s="559"/>
      <c r="T28" s="559"/>
      <c r="U28" s="559"/>
      <c r="V28" s="559"/>
      <c r="W28" s="559"/>
      <c r="X28" s="559"/>
      <c r="Y28" s="559"/>
      <c r="Z28" s="559"/>
      <c r="AA28" s="559"/>
      <c r="AB28" s="559"/>
      <c r="AC28" s="559"/>
      <c r="AD28" s="559"/>
      <c r="AE28" s="559"/>
      <c r="AF28" s="559"/>
      <c r="AG28" s="559"/>
    </row>
    <row r="29" spans="1:33" ht="18" customHeight="1" x14ac:dyDescent="0.35">
      <c r="A29" s="559"/>
      <c r="B29" s="573"/>
      <c r="C29" s="1087"/>
      <c r="D29" s="1088"/>
      <c r="E29" s="1088"/>
      <c r="F29" s="1089"/>
      <c r="G29" s="571"/>
      <c r="H29" s="559"/>
      <c r="I29" s="1087"/>
      <c r="J29" s="1088"/>
      <c r="K29" s="1089"/>
      <c r="L29" s="559"/>
      <c r="M29" s="559"/>
      <c r="N29" s="559"/>
      <c r="O29" s="559"/>
      <c r="P29" s="559"/>
      <c r="Q29" s="559"/>
      <c r="R29" s="559"/>
      <c r="S29" s="559"/>
      <c r="T29" s="559"/>
      <c r="U29" s="559"/>
      <c r="V29" s="559"/>
      <c r="W29" s="559"/>
      <c r="X29" s="559"/>
      <c r="Y29" s="559"/>
      <c r="Z29" s="559"/>
      <c r="AA29" s="559"/>
      <c r="AB29" s="559"/>
      <c r="AC29" s="559"/>
      <c r="AD29" s="559"/>
      <c r="AE29" s="559"/>
      <c r="AF29" s="559"/>
      <c r="AG29" s="559"/>
    </row>
    <row r="30" spans="1:33" ht="18" customHeight="1" x14ac:dyDescent="0.35">
      <c r="A30" s="559"/>
      <c r="B30" s="559"/>
      <c r="C30" s="579" t="s">
        <v>28</v>
      </c>
      <c r="D30" s="579" t="s">
        <v>29</v>
      </c>
      <c r="E30" s="580" t="s">
        <v>30</v>
      </c>
      <c r="F30" s="559"/>
      <c r="G30" s="559"/>
      <c r="H30" s="559"/>
      <c r="I30" s="559"/>
      <c r="J30" s="559"/>
      <c r="K30" s="559"/>
      <c r="L30" s="559"/>
      <c r="M30" s="559"/>
      <c r="N30" s="559"/>
      <c r="O30" s="559"/>
      <c r="P30" s="559"/>
      <c r="Q30" s="559"/>
      <c r="R30" s="559"/>
      <c r="S30" s="559"/>
      <c r="T30" s="559"/>
      <c r="U30" s="559"/>
      <c r="V30" s="559"/>
      <c r="W30" s="559"/>
      <c r="X30" s="559"/>
      <c r="Y30" s="559"/>
      <c r="Z30" s="559"/>
      <c r="AA30" s="559"/>
      <c r="AB30" s="559"/>
      <c r="AC30" s="559"/>
      <c r="AD30" s="559"/>
      <c r="AE30" s="559"/>
      <c r="AF30" s="559"/>
      <c r="AG30" s="559"/>
    </row>
    <row r="31" spans="1:33" ht="18" customHeight="1" x14ac:dyDescent="0.35">
      <c r="A31" s="559"/>
      <c r="B31" s="573" t="s">
        <v>303</v>
      </c>
      <c r="C31" s="581">
        <v>50</v>
      </c>
      <c r="D31" s="581">
        <v>30</v>
      </c>
      <c r="E31" s="581">
        <v>50</v>
      </c>
      <c r="F31" s="559"/>
      <c r="G31" s="559"/>
      <c r="H31" s="559"/>
      <c r="I31" s="559"/>
      <c r="J31" s="559" t="s">
        <v>142</v>
      </c>
      <c r="K31" s="559"/>
      <c r="L31" s="559"/>
      <c r="M31" s="559">
        <f>C31+VLOOKUP($C$33,$A$137:$S$150,2)</f>
        <v>60.2</v>
      </c>
      <c r="N31" s="559">
        <f>D31+VLOOKUP($C$33,$A$137:$S$150,3)</f>
        <v>40.200000000000003</v>
      </c>
      <c r="O31" s="559"/>
      <c r="P31" s="559"/>
      <c r="Q31" s="559"/>
      <c r="R31" s="559"/>
      <c r="S31" s="559"/>
      <c r="T31" s="559"/>
      <c r="U31" s="559"/>
      <c r="V31" s="559"/>
      <c r="W31" s="559"/>
      <c r="X31" s="559"/>
      <c r="Y31" s="559"/>
      <c r="Z31" s="559"/>
      <c r="AA31" s="559"/>
      <c r="AB31" s="559"/>
      <c r="AC31" s="559"/>
      <c r="AD31" s="559"/>
      <c r="AE31" s="559"/>
      <c r="AF31" s="559"/>
      <c r="AG31" s="559"/>
    </row>
    <row r="32" spans="1:33" ht="18" customHeight="1" x14ac:dyDescent="0.35">
      <c r="A32" s="559"/>
      <c r="B32" s="559"/>
      <c r="C32" s="559"/>
      <c r="D32" s="559"/>
      <c r="E32" s="559"/>
      <c r="F32" s="559"/>
      <c r="G32" s="559"/>
      <c r="H32" s="559"/>
      <c r="I32" s="559"/>
      <c r="J32" s="559"/>
      <c r="K32" s="559"/>
      <c r="L32" s="559"/>
      <c r="M32" s="559"/>
      <c r="N32" s="559"/>
      <c r="O32" s="559"/>
      <c r="P32" s="559"/>
      <c r="Q32" s="559"/>
      <c r="R32" s="559"/>
      <c r="S32" s="559"/>
      <c r="T32" s="559"/>
      <c r="U32" s="559"/>
      <c r="V32" s="559"/>
      <c r="W32" s="559"/>
      <c r="X32" s="559"/>
      <c r="Y32" s="559"/>
      <c r="Z32" s="559"/>
      <c r="AA32" s="559"/>
      <c r="AB32" s="559"/>
      <c r="AC32" s="559"/>
      <c r="AD32" s="559"/>
      <c r="AE32" s="559"/>
      <c r="AF32" s="559"/>
      <c r="AG32" s="559"/>
    </row>
    <row r="33" spans="1:33" ht="18" customHeight="1" x14ac:dyDescent="0.35">
      <c r="A33" s="559"/>
      <c r="B33" s="582" t="s">
        <v>31</v>
      </c>
      <c r="C33" s="583" t="s">
        <v>324</v>
      </c>
      <c r="D33" s="1171" t="str">
        <f>VLOOKUP(C33,'Objet 1'!$A$137:$M$150,13)</f>
        <v>Type de mousse</v>
      </c>
      <c r="E33" s="1172"/>
      <c r="F33" s="181" t="s">
        <v>347</v>
      </c>
      <c r="G33" s="584"/>
      <c r="H33" s="559"/>
      <c r="I33" s="559"/>
      <c r="J33" s="559"/>
      <c r="K33" s="559"/>
      <c r="L33" s="559"/>
      <c r="M33" s="559"/>
      <c r="N33" s="559"/>
      <c r="O33" s="559"/>
      <c r="P33" s="559"/>
      <c r="Q33" s="559"/>
      <c r="R33" s="559"/>
      <c r="S33" s="559"/>
      <c r="T33" s="559"/>
      <c r="U33" s="559"/>
      <c r="V33" s="559"/>
      <c r="W33" s="559"/>
      <c r="X33" s="559"/>
      <c r="Y33" s="559"/>
      <c r="Z33" s="559"/>
      <c r="AA33" s="559"/>
      <c r="AB33" s="559"/>
      <c r="AC33" s="559"/>
      <c r="AD33" s="559"/>
      <c r="AE33" s="559"/>
      <c r="AF33" s="559"/>
      <c r="AG33" s="559"/>
    </row>
    <row r="34" spans="1:33" ht="18" customHeight="1" x14ac:dyDescent="0.35">
      <c r="A34" s="559"/>
      <c r="B34" s="585"/>
      <c r="C34" s="586"/>
      <c r="D34" s="1171">
        <f>IF(C33="Mousse à ras + Guillotines verticales","Hauteur mousse à ras",0)</f>
        <v>0</v>
      </c>
      <c r="E34" s="1172"/>
      <c r="F34" s="579"/>
      <c r="G34" s="559"/>
      <c r="H34" s="559"/>
      <c r="I34" s="559"/>
      <c r="J34" s="559"/>
      <c r="K34" s="559"/>
      <c r="L34" s="559"/>
      <c r="M34" s="559"/>
      <c r="N34" s="559"/>
      <c r="O34" s="559"/>
      <c r="P34" s="559"/>
      <c r="Q34" s="559"/>
      <c r="R34" s="559"/>
      <c r="S34" s="559"/>
      <c r="T34" s="559"/>
      <c r="U34" s="559"/>
      <c r="V34" s="559"/>
      <c r="W34" s="559"/>
      <c r="X34" s="559"/>
      <c r="Y34" s="559"/>
      <c r="Z34" s="559"/>
      <c r="AA34" s="559"/>
      <c r="AB34" s="559"/>
      <c r="AC34" s="559"/>
      <c r="AD34" s="559"/>
      <c r="AE34" s="559"/>
      <c r="AF34" s="559"/>
      <c r="AG34" s="559"/>
    </row>
    <row r="35" spans="1:33" ht="18" customHeight="1" x14ac:dyDescent="0.35">
      <c r="A35" s="559"/>
      <c r="B35" s="587" t="s">
        <v>306</v>
      </c>
      <c r="C35" s="588" t="s">
        <v>16</v>
      </c>
      <c r="D35" s="1171">
        <f>VLOOKUP(C33,'Objet 1'!$A$137:$N$150,14)</f>
        <v>0</v>
      </c>
      <c r="E35" s="1172"/>
      <c r="F35" s="181" t="s">
        <v>307</v>
      </c>
      <c r="G35" s="589"/>
      <c r="H35" s="559"/>
      <c r="I35" s="559"/>
      <c r="J35" s="559"/>
      <c r="K35" s="559"/>
      <c r="L35" s="559"/>
      <c r="M35" s="559"/>
      <c r="N35" s="559"/>
      <c r="O35" s="559"/>
      <c r="P35" s="559"/>
      <c r="Q35" s="559"/>
      <c r="R35" s="559"/>
      <c r="S35" s="559"/>
      <c r="T35" s="559"/>
      <c r="U35" s="559"/>
      <c r="V35" s="559"/>
      <c r="W35" s="559"/>
      <c r="X35" s="559"/>
      <c r="Y35" s="559"/>
      <c r="Z35" s="559"/>
      <c r="AA35" s="559"/>
      <c r="AB35" s="559"/>
      <c r="AC35" s="559"/>
      <c r="AD35" s="559"/>
      <c r="AE35" s="559"/>
      <c r="AF35" s="559"/>
      <c r="AG35" s="559"/>
    </row>
    <row r="36" spans="1:33" ht="18" customHeight="1" x14ac:dyDescent="0.35">
      <c r="A36" s="559"/>
      <c r="B36" s="587" t="s">
        <v>308</v>
      </c>
      <c r="C36" s="588" t="s">
        <v>203</v>
      </c>
      <c r="D36" s="590"/>
      <c r="E36" s="591"/>
      <c r="F36" s="592"/>
      <c r="G36" s="589"/>
      <c r="H36" s="559"/>
      <c r="I36" s="559"/>
      <c r="J36" s="559"/>
      <c r="K36" s="559"/>
      <c r="L36" s="559"/>
      <c r="M36" s="559"/>
      <c r="N36" s="559"/>
      <c r="O36" s="559"/>
      <c r="P36" s="559"/>
      <c r="Q36" s="559"/>
      <c r="R36" s="559"/>
      <c r="S36" s="559"/>
      <c r="T36" s="559"/>
      <c r="U36" s="559"/>
      <c r="V36" s="559"/>
      <c r="W36" s="559"/>
      <c r="X36" s="559"/>
      <c r="Y36" s="559"/>
      <c r="Z36" s="559"/>
      <c r="AA36" s="559"/>
      <c r="AB36" s="559"/>
      <c r="AC36" s="559"/>
      <c r="AD36" s="559"/>
      <c r="AE36" s="559"/>
      <c r="AF36" s="559"/>
      <c r="AG36" s="559"/>
    </row>
    <row r="37" spans="1:33" ht="18" customHeight="1" x14ac:dyDescent="0.35">
      <c r="A37" s="559"/>
      <c r="B37" s="573"/>
      <c r="C37" s="593"/>
      <c r="D37" s="571"/>
      <c r="E37" s="594"/>
      <c r="F37" s="595"/>
      <c r="G37" s="559"/>
      <c r="H37" s="559"/>
      <c r="I37" s="559"/>
      <c r="J37" s="559"/>
      <c r="K37" s="559"/>
      <c r="L37" s="559"/>
      <c r="M37" s="559"/>
      <c r="N37" s="559"/>
      <c r="O37" s="559"/>
      <c r="P37" s="559"/>
      <c r="Q37" s="559"/>
      <c r="R37" s="559"/>
      <c r="S37" s="559"/>
      <c r="T37" s="559"/>
      <c r="U37" s="559"/>
      <c r="V37" s="559"/>
      <c r="W37" s="559"/>
      <c r="X37" s="559"/>
      <c r="Y37" s="559"/>
      <c r="Z37" s="559"/>
      <c r="AA37" s="559"/>
      <c r="AB37" s="559"/>
      <c r="AC37" s="559"/>
      <c r="AD37" s="559"/>
      <c r="AE37" s="559"/>
      <c r="AF37" s="559"/>
      <c r="AG37" s="559"/>
    </row>
    <row r="38" spans="1:33" ht="18" customHeight="1" x14ac:dyDescent="0.35">
      <c r="A38" s="559"/>
      <c r="B38" s="1166" t="str">
        <f>IF(C23="Oui"," Préciser les dimensions nécessaire cuvette"," ")</f>
        <v xml:space="preserve"> </v>
      </c>
      <c r="C38" s="1137"/>
      <c r="D38" s="596"/>
      <c r="E38" s="596"/>
      <c r="F38" s="596"/>
      <c r="G38" s="597"/>
      <c r="H38" s="559"/>
      <c r="I38" s="559"/>
      <c r="J38" s="559"/>
      <c r="K38" s="559"/>
      <c r="L38" s="559"/>
      <c r="M38" s="559"/>
      <c r="N38" s="559"/>
      <c r="O38" s="559"/>
      <c r="P38" s="559"/>
      <c r="Q38" s="559"/>
      <c r="R38" s="559"/>
      <c r="S38" s="559"/>
      <c r="T38" s="559"/>
      <c r="U38" s="559"/>
      <c r="V38" s="559"/>
      <c r="W38" s="559"/>
      <c r="X38" s="559"/>
      <c r="Y38" s="559"/>
      <c r="Z38" s="559"/>
      <c r="AA38" s="559"/>
      <c r="AB38" s="559"/>
      <c r="AC38" s="559"/>
      <c r="AD38" s="559"/>
      <c r="AE38" s="559"/>
      <c r="AF38" s="559"/>
      <c r="AG38" s="559"/>
    </row>
    <row r="39" spans="1:33" ht="18" customHeight="1" x14ac:dyDescent="0.35">
      <c r="A39" s="559"/>
      <c r="B39" s="598" t="s">
        <v>255</v>
      </c>
      <c r="C39" s="599"/>
      <c r="D39" s="600">
        <f>IF(C23="Non",0,IF(D38+5.5&lt;M31,M31-5.5,D38))</f>
        <v>0</v>
      </c>
      <c r="E39" s="600">
        <f>IF(C23="Non",0,IF(E38+5.5&lt;N31-5.5,N31-5.5,E38))</f>
        <v>0</v>
      </c>
      <c r="F39" s="600">
        <f>IF(C23="Non",0,F38)</f>
        <v>0</v>
      </c>
      <c r="G39" s="601"/>
      <c r="H39" s="559"/>
      <c r="I39" s="559"/>
      <c r="J39" s="559"/>
      <c r="K39" s="559"/>
      <c r="L39" s="559"/>
      <c r="M39" s="559"/>
      <c r="N39" s="559"/>
      <c r="O39" s="559"/>
      <c r="P39" s="559"/>
      <c r="Q39" s="559"/>
      <c r="R39" s="559"/>
      <c r="S39" s="559"/>
      <c r="T39" s="559"/>
      <c r="U39" s="559"/>
      <c r="V39" s="559"/>
      <c r="W39" s="559"/>
      <c r="X39" s="559"/>
      <c r="Y39" s="559"/>
      <c r="Z39" s="559"/>
      <c r="AA39" s="559"/>
      <c r="AB39" s="559"/>
      <c r="AC39" s="559"/>
      <c r="AD39" s="559"/>
      <c r="AE39" s="559"/>
      <c r="AF39" s="559"/>
      <c r="AG39" s="559"/>
    </row>
    <row r="40" spans="1:33" ht="18" customHeight="1" x14ac:dyDescent="0.35">
      <c r="A40" s="559"/>
      <c r="B40" s="602" t="str">
        <f>IF($C$23="Oui","dimensions extérieures de la cuvette"," " )</f>
        <v xml:space="preserve"> </v>
      </c>
      <c r="C40" s="603"/>
      <c r="D40" s="604">
        <f t="shared" ref="D40:E40" si="0">IF($C$23="Oui",D39+3,0)</f>
        <v>0</v>
      </c>
      <c r="E40" s="604">
        <f t="shared" si="0"/>
        <v>0</v>
      </c>
      <c r="F40" s="604">
        <f>IF($C$23="Oui",F38+1.2,0)</f>
        <v>0</v>
      </c>
      <c r="G40" s="605"/>
      <c r="H40" s="559"/>
      <c r="I40" s="559"/>
      <c r="J40" s="559"/>
      <c r="K40" s="559"/>
      <c r="L40" s="559"/>
      <c r="M40" s="559"/>
      <c r="N40" s="559"/>
      <c r="O40" s="559"/>
      <c r="P40" s="559"/>
      <c r="Q40" s="559"/>
      <c r="R40" s="559"/>
      <c r="S40" s="559"/>
      <c r="T40" s="559"/>
      <c r="U40" s="559"/>
      <c r="V40" s="559"/>
      <c r="W40" s="559"/>
      <c r="X40" s="559"/>
      <c r="Y40" s="559"/>
      <c r="Z40" s="559"/>
      <c r="AA40" s="559"/>
      <c r="AB40" s="559"/>
      <c r="AC40" s="559"/>
      <c r="AD40" s="559"/>
      <c r="AE40" s="559"/>
      <c r="AF40" s="559"/>
      <c r="AG40" s="559"/>
    </row>
    <row r="41" spans="1:33" ht="18" customHeight="1" x14ac:dyDescent="0.35">
      <c r="A41" s="559"/>
      <c r="B41" s="559"/>
      <c r="C41" s="559"/>
      <c r="D41" s="559"/>
      <c r="E41" s="559"/>
      <c r="F41" s="559"/>
      <c r="G41" s="559"/>
      <c r="H41" s="559"/>
      <c r="I41" s="559"/>
      <c r="J41" s="559"/>
      <c r="K41" s="559"/>
      <c r="L41" s="559"/>
      <c r="M41" s="559"/>
      <c r="N41" s="559"/>
      <c r="O41" s="559"/>
      <c r="P41" s="559"/>
      <c r="Q41" s="559"/>
      <c r="R41" s="559"/>
      <c r="S41" s="559"/>
      <c r="T41" s="559"/>
      <c r="U41" s="559"/>
      <c r="V41" s="559"/>
      <c r="W41" s="559"/>
      <c r="X41" s="559"/>
      <c r="Y41" s="559"/>
      <c r="Z41" s="559"/>
      <c r="AA41" s="559"/>
      <c r="AB41" s="559"/>
      <c r="AC41" s="559"/>
      <c r="AD41" s="559"/>
      <c r="AE41" s="559"/>
      <c r="AF41" s="559"/>
      <c r="AG41" s="559"/>
    </row>
    <row r="42" spans="1:33" ht="18" customHeight="1" x14ac:dyDescent="0.35">
      <c r="A42" s="559"/>
      <c r="B42" s="606" t="s">
        <v>42</v>
      </c>
      <c r="C42" s="607">
        <f>IF(M31&lt;D40+2.5,D40+2.5+VLOOKUP($C$17,$A$155:$S$161,2),M31+VLOOKUP($C$17,$A$155:$S$161,2))+IF(VLOOKUP($C$33,$A$137:$S$150,18)+VLOOKUP($C$17,$A$155:$S$161,18)=2,3,0)</f>
        <v>60.2</v>
      </c>
      <c r="D42" s="607">
        <f>IF(N31&lt;E40+2.5,E40+2.5+VLOOKUP($C$17,$A$155:$S$161,3),N31+VLOOKUP($C$17,$A$155:$S$161,3))+IF(VLOOKUP($C$33,$A$137:$S$150,19)+VLOOKUP($C$17,$A$155:$S$161,19)=2,3,0)</f>
        <v>40.200000000000003</v>
      </c>
      <c r="E42" s="608">
        <f>E31+VLOOKUP($C$33,$A$137:$S$150,4)+VLOOKUP($C$17,$A$155:$S$161,4)+VLOOKUP($C$35,$A$181:$B$187,2)+VLOOKUP($C$36,$A$189:$C$198,3)+IF($C$23="Oui",$F$40,0)</f>
        <v>60.5</v>
      </c>
      <c r="F42" s="559"/>
      <c r="G42" s="559"/>
      <c r="H42" s="559"/>
      <c r="I42" s="559"/>
      <c r="J42" s="559"/>
      <c r="K42" s="559"/>
      <c r="L42" s="559"/>
      <c r="M42" s="559"/>
      <c r="N42" s="559"/>
      <c r="O42" s="559"/>
      <c r="P42" s="559"/>
      <c r="Q42" s="559"/>
      <c r="R42" s="559"/>
      <c r="S42" s="559"/>
      <c r="T42" s="559"/>
      <c r="U42" s="559"/>
      <c r="V42" s="559"/>
      <c r="W42" s="559"/>
      <c r="X42" s="559"/>
      <c r="Y42" s="559"/>
      <c r="Z42" s="559"/>
      <c r="AA42" s="559"/>
      <c r="AB42" s="559"/>
      <c r="AC42" s="559"/>
      <c r="AD42" s="559"/>
      <c r="AE42" s="559"/>
      <c r="AF42" s="559"/>
      <c r="AG42" s="559"/>
    </row>
    <row r="43" spans="1:33" ht="18" customHeight="1" x14ac:dyDescent="0.35">
      <c r="A43" s="559"/>
      <c r="B43" s="573"/>
      <c r="C43" s="573"/>
      <c r="D43" s="573"/>
      <c r="E43" s="573"/>
      <c r="F43" s="559"/>
      <c r="G43" s="609" t="s">
        <v>256</v>
      </c>
      <c r="H43" s="610"/>
      <c r="I43" s="559"/>
      <c r="J43" s="559"/>
      <c r="K43" s="559"/>
      <c r="L43" s="559"/>
      <c r="M43" s="559"/>
      <c r="N43" s="559"/>
      <c r="O43" s="559"/>
      <c r="P43" s="559"/>
      <c r="Q43" s="559"/>
      <c r="R43" s="559"/>
      <c r="S43" s="559"/>
      <c r="T43" s="559"/>
      <c r="U43" s="559"/>
      <c r="V43" s="559"/>
      <c r="W43" s="559"/>
      <c r="X43" s="559"/>
      <c r="Y43" s="559"/>
      <c r="Z43" s="559"/>
      <c r="AA43" s="559"/>
      <c r="AB43" s="559"/>
      <c r="AC43" s="559"/>
      <c r="AD43" s="559"/>
      <c r="AE43" s="559"/>
      <c r="AF43" s="559"/>
      <c r="AG43" s="559"/>
    </row>
    <row r="44" spans="1:33" ht="18" customHeight="1" x14ac:dyDescent="0.35">
      <c r="A44" s="559"/>
      <c r="B44" s="606" t="s">
        <v>44</v>
      </c>
      <c r="C44" s="611">
        <f>C42+IF($C$21="Bois",4.4,0)+VLOOKUP($C$13,$A$174:$E$175,4)*2+VLOOKUP($C$15,$A$178:$D$179,4)*2</f>
        <v>67.400000000000006</v>
      </c>
      <c r="D44" s="611">
        <f>D42+VLOOKUP($C$13,$A$174:$E$175,4)*2+VLOOKUP($C$15,$A$178:$D$179,4)*2</f>
        <v>47.400000000000006</v>
      </c>
      <c r="E44" s="612">
        <f>E42+VLOOKUP($C$13,$A$174:$E$175,4)+VLOOKUP($C$13,$A$174:$E$175,5)+VLOOKUP($C$15,$A$178:$D$179,4)*2+IF(F21="Skis",2.1,10)</f>
        <v>77.7</v>
      </c>
      <c r="F44" s="559"/>
      <c r="G44" s="613">
        <f>C131</f>
        <v>311.78922893342065</v>
      </c>
      <c r="H44" s="614"/>
      <c r="I44" s="559"/>
      <c r="J44" s="559"/>
      <c r="K44" s="559"/>
      <c r="L44" s="559"/>
      <c r="M44" s="559"/>
      <c r="N44" s="559"/>
      <c r="O44" s="559"/>
      <c r="P44" s="559"/>
      <c r="Q44" s="559"/>
      <c r="R44" s="559"/>
      <c r="S44" s="559"/>
      <c r="T44" s="559"/>
      <c r="U44" s="559"/>
      <c r="V44" s="559"/>
      <c r="W44" s="559"/>
      <c r="X44" s="559"/>
      <c r="Y44" s="559"/>
      <c r="Z44" s="559"/>
      <c r="AA44" s="559"/>
      <c r="AB44" s="559"/>
      <c r="AC44" s="559"/>
      <c r="AD44" s="559"/>
      <c r="AE44" s="559"/>
      <c r="AF44" s="559"/>
      <c r="AG44" s="559"/>
    </row>
    <row r="45" spans="1:33" ht="18" customHeight="1" x14ac:dyDescent="0.35">
      <c r="A45" s="559"/>
      <c r="B45" s="573"/>
      <c r="C45" s="573"/>
      <c r="D45" s="573"/>
      <c r="E45" s="573"/>
      <c r="F45" s="559"/>
      <c r="G45" s="559"/>
      <c r="H45" s="559"/>
      <c r="I45" s="559"/>
      <c r="J45" s="559"/>
      <c r="K45" s="559"/>
      <c r="L45" s="559"/>
      <c r="M45" s="559"/>
      <c r="N45" s="559"/>
      <c r="O45" s="559"/>
      <c r="P45" s="559"/>
      <c r="Q45" s="559"/>
      <c r="R45" s="559"/>
      <c r="S45" s="559"/>
      <c r="T45" s="559"/>
      <c r="U45" s="559"/>
      <c r="V45" s="559"/>
      <c r="W45" s="559"/>
      <c r="X45" s="559"/>
      <c r="Y45" s="559"/>
      <c r="Z45" s="559"/>
      <c r="AA45" s="559"/>
      <c r="AB45" s="559"/>
      <c r="AC45" s="559"/>
      <c r="AD45" s="559"/>
      <c r="AE45" s="559"/>
      <c r="AF45" s="559"/>
      <c r="AG45" s="559"/>
    </row>
    <row r="46" spans="1:33" ht="18" x14ac:dyDescent="0.35">
      <c r="A46" s="559"/>
      <c r="B46" s="615" t="s">
        <v>45</v>
      </c>
      <c r="C46" s="616">
        <f>Q123</f>
        <v>0</v>
      </c>
      <c r="D46" s="608" t="s">
        <v>46</v>
      </c>
      <c r="E46" s="573"/>
      <c r="F46" s="559"/>
      <c r="G46" s="559"/>
      <c r="H46" s="559"/>
      <c r="I46" s="559"/>
      <c r="J46" s="559"/>
      <c r="K46" s="559"/>
      <c r="L46" s="559"/>
      <c r="M46" s="559"/>
      <c r="N46" s="559"/>
      <c r="O46" s="559"/>
      <c r="P46" s="559"/>
      <c r="Q46" s="559"/>
      <c r="R46" s="559"/>
      <c r="S46" s="559"/>
      <c r="T46" s="559"/>
      <c r="U46" s="559"/>
      <c r="V46" s="559"/>
      <c r="W46" s="559"/>
      <c r="X46" s="559"/>
      <c r="Y46" s="559"/>
      <c r="Z46" s="559"/>
      <c r="AA46" s="559"/>
      <c r="AB46" s="559"/>
      <c r="AC46" s="559"/>
      <c r="AD46" s="559"/>
      <c r="AE46" s="559"/>
      <c r="AF46" s="559"/>
      <c r="AG46" s="559"/>
    </row>
    <row r="47" spans="1:33" ht="18" x14ac:dyDescent="0.35">
      <c r="A47" s="559"/>
      <c r="B47" s="617" t="s">
        <v>48</v>
      </c>
      <c r="C47" s="618">
        <f>D125</f>
        <v>109.70841272413001</v>
      </c>
      <c r="D47" s="619" t="s">
        <v>49</v>
      </c>
      <c r="E47" s="573"/>
      <c r="F47" s="559"/>
      <c r="G47" s="559"/>
      <c r="H47" s="559"/>
      <c r="I47" s="559"/>
      <c r="J47" s="559"/>
      <c r="K47" s="559"/>
      <c r="L47" s="559"/>
      <c r="M47" s="559"/>
      <c r="N47" s="559"/>
      <c r="O47" s="559"/>
      <c r="P47" s="559"/>
      <c r="Q47" s="559"/>
      <c r="R47" s="559"/>
      <c r="S47" s="559"/>
      <c r="T47" s="559"/>
      <c r="U47" s="559"/>
      <c r="V47" s="559"/>
      <c r="W47" s="559"/>
      <c r="X47" s="559"/>
      <c r="Y47" s="559"/>
      <c r="Z47" s="559"/>
      <c r="AA47" s="559"/>
      <c r="AB47" s="559"/>
      <c r="AC47" s="559"/>
      <c r="AD47" s="559"/>
      <c r="AE47" s="559"/>
      <c r="AF47" s="559"/>
      <c r="AG47" s="559"/>
    </row>
    <row r="48" spans="1:33" ht="18" x14ac:dyDescent="0.35">
      <c r="A48" s="559"/>
      <c r="B48" s="559"/>
      <c r="C48" s="614"/>
      <c r="D48" s="559"/>
      <c r="E48" s="559"/>
      <c r="F48" s="559"/>
      <c r="G48" s="559"/>
      <c r="H48" s="559"/>
      <c r="I48" s="559"/>
      <c r="J48" s="559"/>
      <c r="K48" s="559"/>
      <c r="L48" s="559"/>
      <c r="M48" s="559"/>
      <c r="N48" s="559"/>
      <c r="O48" s="559"/>
      <c r="P48" s="559"/>
      <c r="Q48" s="559"/>
      <c r="R48" s="559"/>
      <c r="S48" s="559"/>
      <c r="T48" s="559"/>
      <c r="U48" s="559"/>
      <c r="V48" s="559"/>
      <c r="W48" s="559"/>
      <c r="X48" s="559"/>
      <c r="Y48" s="559"/>
      <c r="Z48" s="559"/>
      <c r="AA48" s="559"/>
      <c r="AB48" s="559"/>
      <c r="AC48" s="559"/>
      <c r="AD48" s="559"/>
      <c r="AE48" s="559"/>
      <c r="AF48" s="559"/>
      <c r="AG48" s="559"/>
    </row>
    <row r="49" spans="1:33" ht="18" x14ac:dyDescent="0.35">
      <c r="A49" s="559"/>
      <c r="B49" s="559"/>
      <c r="C49" s="559"/>
      <c r="D49" s="559"/>
      <c r="E49" s="559"/>
      <c r="F49" s="559" t="s">
        <v>34</v>
      </c>
      <c r="G49" s="559"/>
      <c r="H49" s="559"/>
      <c r="I49" s="559"/>
      <c r="J49" s="559"/>
      <c r="K49" s="559"/>
      <c r="L49" s="559"/>
      <c r="M49" s="559"/>
      <c r="N49" s="559"/>
      <c r="O49" s="559"/>
      <c r="P49" s="559"/>
      <c r="Q49" s="559" t="s">
        <v>157</v>
      </c>
      <c r="R49" s="559"/>
      <c r="S49" s="559"/>
      <c r="T49" s="559"/>
      <c r="U49" s="559"/>
      <c r="V49" s="559"/>
      <c r="W49" s="559"/>
      <c r="X49" s="559"/>
      <c r="Y49" s="559"/>
      <c r="Z49" s="559"/>
      <c r="AA49" s="559"/>
      <c r="AB49" s="559"/>
      <c r="AC49" s="559"/>
      <c r="AD49" s="559"/>
      <c r="AE49" s="559"/>
      <c r="AF49" s="559"/>
      <c r="AG49" s="559"/>
    </row>
    <row r="50" spans="1:33" ht="18" x14ac:dyDescent="0.35">
      <c r="A50" s="620" t="s">
        <v>53</v>
      </c>
      <c r="B50" s="621" t="str">
        <f>VLOOKUP($C$13,'Objet 1'!$A$174:$C$176,2)</f>
        <v>Peuplier 15 mm</v>
      </c>
      <c r="C50" s="621">
        <f>C42+2*(VLOOKUP(B50,$A$174:$E$175,4)+VLOOKUP($C$15,$A$178:$D$179,4))</f>
        <v>67.400000000000006</v>
      </c>
      <c r="D50" s="621">
        <f>E42+(VLOOKUP(B50,$A$174:$E$175,5)+VLOOKUP($C$15,$A$178:$D$179,4))</f>
        <v>64.099999999999994</v>
      </c>
      <c r="E50" s="622" t="str">
        <f t="shared" ref="E50:E53" si="1">B50</f>
        <v>Peuplier 15 mm</v>
      </c>
      <c r="F50" s="623">
        <v>2</v>
      </c>
      <c r="G50" s="559"/>
      <c r="H50" s="559"/>
      <c r="I50" s="559"/>
      <c r="J50" s="624">
        <f t="shared" ref="J50:J53" si="2">IF(C50=0,0,(C50/100)*(D50/100)*F50)</f>
        <v>0.86406799999999995</v>
      </c>
      <c r="K50" s="624">
        <f t="shared" ref="K50:K53" si="3">J50/0.8</f>
        <v>1.080085</v>
      </c>
      <c r="L50" s="71">
        <f>IF(E50=0,0,VLOOKUP(E50,'Prix Matiere'!$A$4:$J$65,10))</f>
        <v>16.895876288659796</v>
      </c>
      <c r="M50" s="625">
        <f t="shared" ref="M50:M53" si="4">L50*K50-IF($F$15="Non",K50*0.75,0)</f>
        <v>18.248982541237115</v>
      </c>
      <c r="N50" s="626">
        <f t="shared" ref="N50:N53" si="5">IF(J50=0,0,IF($F$15="Oui",(7.0924*J50)+15,(6.0924*J50)+10))</f>
        <v>21.128315883199999</v>
      </c>
      <c r="O50" s="625">
        <f t="shared" ref="O50:O53" si="6">N50*'Objet 1'!MinuteMO</f>
        <v>17.959068500719997</v>
      </c>
      <c r="P50" s="559"/>
      <c r="Q50" s="627" t="s">
        <v>663</v>
      </c>
      <c r="R50" s="559"/>
      <c r="S50" s="559"/>
      <c r="T50" s="559"/>
      <c r="U50" s="559"/>
      <c r="V50" s="559"/>
      <c r="W50" s="559"/>
      <c r="X50" s="559"/>
      <c r="Y50" s="559"/>
      <c r="Z50" s="559"/>
      <c r="AA50" s="559"/>
      <c r="AB50" s="559"/>
      <c r="AC50" s="559"/>
      <c r="AD50" s="559"/>
      <c r="AE50" s="559"/>
      <c r="AF50" s="559"/>
      <c r="AG50" s="559"/>
    </row>
    <row r="51" spans="1:33" ht="18" x14ac:dyDescent="0.35">
      <c r="A51" s="620" t="s">
        <v>175</v>
      </c>
      <c r="B51" s="621" t="str">
        <f>VLOOKUP($C$13,'Objet 1'!$A$174:$C$176,2)</f>
        <v>Peuplier 15 mm</v>
      </c>
      <c r="C51" s="621">
        <f>C50</f>
        <v>67.400000000000006</v>
      </c>
      <c r="D51" s="621">
        <f>D42+2*(VLOOKUP(B51,A174:E175,4)+VLOOKUP($C$15,A178:D179,4))+0.5</f>
        <v>47.900000000000006</v>
      </c>
      <c r="E51" s="622" t="str">
        <f t="shared" si="1"/>
        <v>Peuplier 15 mm</v>
      </c>
      <c r="F51" s="623">
        <v>1</v>
      </c>
      <c r="G51" s="559"/>
      <c r="H51" s="559"/>
      <c r="I51" s="559"/>
      <c r="J51" s="624">
        <f t="shared" si="2"/>
        <v>0.32284600000000002</v>
      </c>
      <c r="K51" s="624">
        <f t="shared" si="3"/>
        <v>0.40355750000000001</v>
      </c>
      <c r="L51" s="71">
        <f>IF(E51=0,0,VLOOKUP(E51,'Prix Matiere'!$A$4:$J$65,10))</f>
        <v>16.895876288659796</v>
      </c>
      <c r="M51" s="625">
        <f t="shared" si="4"/>
        <v>6.818457595360826</v>
      </c>
      <c r="N51" s="626">
        <f t="shared" si="5"/>
        <v>17.289752970399999</v>
      </c>
      <c r="O51" s="625">
        <f t="shared" si="6"/>
        <v>14.696290024839998</v>
      </c>
      <c r="P51" s="559"/>
      <c r="Q51" s="627" t="s">
        <v>663</v>
      </c>
      <c r="R51" s="559"/>
      <c r="S51" s="559"/>
      <c r="T51" s="559"/>
      <c r="U51" s="559"/>
      <c r="V51" s="559"/>
      <c r="W51" s="559"/>
      <c r="X51" s="559"/>
      <c r="Y51" s="559"/>
      <c r="Z51" s="559"/>
      <c r="AA51" s="559"/>
      <c r="AB51" s="559"/>
      <c r="AC51" s="559"/>
      <c r="AD51" s="559"/>
      <c r="AE51" s="559"/>
      <c r="AF51" s="559"/>
      <c r="AG51" s="559"/>
    </row>
    <row r="52" spans="1:33" ht="18" x14ac:dyDescent="0.35">
      <c r="A52" s="620" t="s">
        <v>176</v>
      </c>
      <c r="B52" s="621" t="str">
        <f>VLOOKUP($C$13,'Objet 1'!$A$174:$C$176,3)</f>
        <v>Peuplier 15 mm</v>
      </c>
      <c r="C52" s="621">
        <f t="shared" ref="C52:D52" si="7">C42</f>
        <v>60.2</v>
      </c>
      <c r="D52" s="621">
        <f t="shared" si="7"/>
        <v>40.200000000000003</v>
      </c>
      <c r="E52" s="622" t="str">
        <f t="shared" si="1"/>
        <v>Peuplier 15 mm</v>
      </c>
      <c r="F52" s="623">
        <v>1</v>
      </c>
      <c r="G52" s="559"/>
      <c r="H52" s="559"/>
      <c r="I52" s="559"/>
      <c r="J52" s="624">
        <f t="shared" si="2"/>
        <v>0.242004</v>
      </c>
      <c r="K52" s="624">
        <f t="shared" si="3"/>
        <v>0.30250499999999997</v>
      </c>
      <c r="L52" s="71">
        <f>IF(E52=0,0,VLOOKUP(E52,'Prix Matiere'!$A$4:$J$65,10))</f>
        <v>16.895876288659796</v>
      </c>
      <c r="M52" s="625">
        <f t="shared" si="4"/>
        <v>5.1110870567010309</v>
      </c>
      <c r="N52" s="626">
        <f t="shared" si="5"/>
        <v>16.716389169599999</v>
      </c>
      <c r="O52" s="625">
        <f t="shared" si="6"/>
        <v>14.208930794159999</v>
      </c>
      <c r="P52" s="559"/>
      <c r="Q52" s="627" t="s">
        <v>663</v>
      </c>
      <c r="R52" s="559"/>
      <c r="S52" s="559"/>
      <c r="T52" s="559"/>
      <c r="U52" s="559"/>
      <c r="V52" s="559"/>
      <c r="W52" s="559"/>
      <c r="X52" s="559"/>
      <c r="Y52" s="559"/>
      <c r="Z52" s="559"/>
      <c r="AA52" s="559"/>
      <c r="AB52" s="559"/>
      <c r="AC52" s="559"/>
      <c r="AD52" s="559"/>
      <c r="AE52" s="559"/>
      <c r="AF52" s="559"/>
      <c r="AG52" s="559"/>
    </row>
    <row r="53" spans="1:33" ht="18" x14ac:dyDescent="0.35">
      <c r="A53" s="620" t="s">
        <v>55</v>
      </c>
      <c r="B53" s="621" t="str">
        <f>VLOOKUP($C$13,'Objet 1'!$A$174:$C$176,2)</f>
        <v>Peuplier 15 mm</v>
      </c>
      <c r="C53" s="621">
        <f>D42</f>
        <v>40.200000000000003</v>
      </c>
      <c r="D53" s="621">
        <f>D50</f>
        <v>64.099999999999994</v>
      </c>
      <c r="E53" s="622" t="str">
        <f t="shared" si="1"/>
        <v>Peuplier 15 mm</v>
      </c>
      <c r="F53" s="623">
        <v>2</v>
      </c>
      <c r="G53" s="559"/>
      <c r="H53" s="559"/>
      <c r="I53" s="559"/>
      <c r="J53" s="624">
        <f t="shared" si="2"/>
        <v>0.51536399999999993</v>
      </c>
      <c r="K53" s="624">
        <f t="shared" si="3"/>
        <v>0.64420499999999992</v>
      </c>
      <c r="L53" s="71">
        <f>IF(E53=0,0,VLOOKUP(E53,'Prix Matiere'!$A$4:$J$65,10))</f>
        <v>16.895876288659796</v>
      </c>
      <c r="M53" s="625">
        <f t="shared" si="4"/>
        <v>10.884407984536082</v>
      </c>
      <c r="N53" s="626">
        <f t="shared" si="5"/>
        <v>18.655167633599998</v>
      </c>
      <c r="O53" s="625">
        <f t="shared" si="6"/>
        <v>15.856892488559998</v>
      </c>
      <c r="P53" s="559"/>
      <c r="Q53" s="627" t="s">
        <v>663</v>
      </c>
      <c r="R53" s="559"/>
      <c r="S53" s="559"/>
      <c r="T53" s="559"/>
      <c r="U53" s="559"/>
      <c r="V53" s="559"/>
      <c r="W53" s="559"/>
      <c r="X53" s="559"/>
      <c r="Y53" s="559"/>
      <c r="Z53" s="559"/>
      <c r="AA53" s="559"/>
      <c r="AB53" s="559"/>
      <c r="AC53" s="559"/>
      <c r="AD53" s="559"/>
      <c r="AE53" s="559"/>
      <c r="AF53" s="559"/>
      <c r="AG53" s="559"/>
    </row>
    <row r="54" spans="1:33" ht="18" x14ac:dyDescent="0.35">
      <c r="A54" s="559"/>
      <c r="B54" s="559"/>
      <c r="C54" s="559"/>
      <c r="D54" s="559"/>
      <c r="E54" s="559"/>
      <c r="F54" s="559"/>
      <c r="G54" s="559"/>
      <c r="H54" s="559"/>
      <c r="I54" s="559"/>
      <c r="J54" s="624"/>
      <c r="K54" s="624"/>
      <c r="L54" s="71">
        <f>IF(E54=0,0,VLOOKUP(E54,'Prix Matiere'!$A$4:$J$65,10))</f>
        <v>0</v>
      </c>
      <c r="M54" s="625"/>
      <c r="N54" s="626"/>
      <c r="O54" s="625"/>
      <c r="P54" s="559"/>
      <c r="Q54" s="627"/>
      <c r="R54" s="559"/>
      <c r="S54" s="559"/>
      <c r="T54" s="559"/>
      <c r="U54" s="559"/>
      <c r="V54" s="559"/>
      <c r="W54" s="559"/>
      <c r="X54" s="559"/>
      <c r="Y54" s="559"/>
      <c r="Z54" s="559"/>
      <c r="AA54" s="559"/>
      <c r="AB54" s="559"/>
      <c r="AC54" s="559"/>
      <c r="AD54" s="559"/>
      <c r="AE54" s="559"/>
      <c r="AF54" s="559"/>
      <c r="AG54" s="559"/>
    </row>
    <row r="55" spans="1:33" ht="18" x14ac:dyDescent="0.35">
      <c r="A55" s="559"/>
      <c r="B55" s="559"/>
      <c r="C55" s="559"/>
      <c r="D55" s="559"/>
      <c r="E55" s="559"/>
      <c r="F55" s="559"/>
      <c r="G55" s="559"/>
      <c r="H55" s="559"/>
      <c r="I55" s="559"/>
      <c r="J55" s="624"/>
      <c r="K55" s="624"/>
      <c r="L55" s="71">
        <f>IF(E55=0,0,VLOOKUP(E55,'Prix Matiere'!$A$4:$J$65,10))</f>
        <v>0</v>
      </c>
      <c r="M55" s="625"/>
      <c r="N55" s="626"/>
      <c r="O55" s="625"/>
      <c r="P55" s="559"/>
      <c r="Q55" s="627"/>
      <c r="R55" s="559"/>
      <c r="S55" s="559"/>
      <c r="T55" s="559"/>
      <c r="U55" s="559"/>
      <c r="V55" s="559"/>
      <c r="W55" s="559"/>
      <c r="X55" s="559"/>
      <c r="Y55" s="559"/>
      <c r="Z55" s="559"/>
      <c r="AA55" s="559"/>
      <c r="AB55" s="559"/>
      <c r="AC55" s="559"/>
      <c r="AD55" s="559"/>
      <c r="AE55" s="559"/>
      <c r="AF55" s="559"/>
      <c r="AG55" s="559"/>
    </row>
    <row r="56" spans="1:33" ht="18" x14ac:dyDescent="0.35">
      <c r="A56" s="573" t="s">
        <v>11</v>
      </c>
      <c r="B56" s="584" t="s">
        <v>56</v>
      </c>
      <c r="C56" s="621">
        <f>C50</f>
        <v>67.400000000000006</v>
      </c>
      <c r="D56" s="584">
        <f>IF(D50&gt;80,9.4,7)</f>
        <v>7</v>
      </c>
      <c r="E56" s="579" t="str">
        <f t="shared" ref="E56:E61" si="8">IF($C$15="Pin raboté 4 faces","Barres 21 R4F","Barres 19 mm")</f>
        <v>Barres 21 R4F</v>
      </c>
      <c r="F56" s="584">
        <v>4</v>
      </c>
      <c r="G56" s="559"/>
      <c r="H56" s="559"/>
      <c r="I56" s="559"/>
      <c r="J56" s="624">
        <f t="shared" ref="J56:J65" si="9">IF(C56=0,0,(C56/100)*(D56/100)*F56)</f>
        <v>0.18872000000000003</v>
      </c>
      <c r="K56" s="624">
        <f t="shared" ref="K56:K65" si="10">J56/0.8</f>
        <v>0.23590000000000003</v>
      </c>
      <c r="L56" s="71">
        <f>IF(E56=0,0,VLOOKUP(E56,'Prix Matiere'!$A$4:$J$65,10))</f>
        <v>18.969072164948454</v>
      </c>
      <c r="M56" s="625">
        <f t="shared" ref="M56:M65" si="11">L56*K56</f>
        <v>4.4748041237113405</v>
      </c>
      <c r="N56" s="626">
        <f t="shared" ref="N56:N65" si="12">IF(J56=0,0,1+(11*J56))</f>
        <v>3.0759200000000004</v>
      </c>
      <c r="O56" s="625">
        <f t="shared" ref="O56:O65" si="13">N56*'Objet 1'!MinuteMO</f>
        <v>2.6145320000000001</v>
      </c>
      <c r="P56" s="559"/>
      <c r="Q56" s="627" t="s">
        <v>663</v>
      </c>
      <c r="R56" s="559"/>
      <c r="S56" s="559"/>
      <c r="T56" s="559"/>
      <c r="U56" s="559"/>
      <c r="V56" s="559"/>
      <c r="W56" s="559"/>
      <c r="X56" s="559"/>
      <c r="Y56" s="559"/>
      <c r="Z56" s="559"/>
      <c r="AA56" s="559"/>
      <c r="AB56" s="559"/>
      <c r="AC56" s="559"/>
      <c r="AD56" s="559"/>
      <c r="AE56" s="559"/>
      <c r="AF56" s="559"/>
      <c r="AG56" s="559"/>
    </row>
    <row r="57" spans="1:33" ht="18" x14ac:dyDescent="0.35">
      <c r="A57" s="559"/>
      <c r="B57" s="584" t="s">
        <v>57</v>
      </c>
      <c r="C57" s="621">
        <f>D50-2*D56</f>
        <v>50.099999999999994</v>
      </c>
      <c r="D57" s="584">
        <f>D56</f>
        <v>7</v>
      </c>
      <c r="E57" s="579" t="str">
        <f t="shared" si="8"/>
        <v>Barres 21 R4F</v>
      </c>
      <c r="F57" s="584">
        <f>4</f>
        <v>4</v>
      </c>
      <c r="G57" s="559"/>
      <c r="H57" s="559"/>
      <c r="I57" s="559"/>
      <c r="J57" s="624">
        <f t="shared" si="9"/>
        <v>0.14027999999999999</v>
      </c>
      <c r="K57" s="624">
        <f t="shared" si="10"/>
        <v>0.17534999999999998</v>
      </c>
      <c r="L57" s="71">
        <f>IF(E57=0,0,VLOOKUP(E57,'Prix Matiere'!$A$4:$J$65,10))</f>
        <v>18.969072164948454</v>
      </c>
      <c r="M57" s="625">
        <f t="shared" si="11"/>
        <v>3.3262268041237109</v>
      </c>
      <c r="N57" s="626">
        <f t="shared" si="12"/>
        <v>2.5430799999999998</v>
      </c>
      <c r="O57" s="625">
        <f t="shared" si="13"/>
        <v>2.1616179999999998</v>
      </c>
      <c r="P57" s="559"/>
      <c r="Q57" s="627" t="s">
        <v>663</v>
      </c>
      <c r="R57" s="559"/>
      <c r="S57" s="559"/>
      <c r="T57" s="559"/>
      <c r="U57" s="559"/>
      <c r="V57" s="559"/>
      <c r="W57" s="559"/>
      <c r="X57" s="559"/>
      <c r="Y57" s="559"/>
      <c r="Z57" s="559"/>
      <c r="AA57" s="559"/>
      <c r="AB57" s="559"/>
      <c r="AC57" s="559"/>
      <c r="AD57" s="559"/>
      <c r="AE57" s="559"/>
      <c r="AF57" s="559"/>
      <c r="AG57" s="559"/>
    </row>
    <row r="58" spans="1:33" ht="18" x14ac:dyDescent="0.35">
      <c r="A58" s="559"/>
      <c r="B58" s="584" t="s">
        <v>177</v>
      </c>
      <c r="C58" s="621">
        <f>C56</f>
        <v>67.400000000000006</v>
      </c>
      <c r="D58" s="584">
        <f>IF($D$42&lt;80,7,9.4)</f>
        <v>7</v>
      </c>
      <c r="E58" s="579" t="str">
        <f t="shared" si="8"/>
        <v>Barres 21 R4F</v>
      </c>
      <c r="F58" s="584">
        <f t="shared" ref="F58:F59" si="14">IF(D58&lt;14.4,2,4)</f>
        <v>2</v>
      </c>
      <c r="G58" s="559"/>
      <c r="H58" s="559"/>
      <c r="I58" s="559"/>
      <c r="J58" s="624">
        <f t="shared" si="9"/>
        <v>9.4360000000000013E-2</v>
      </c>
      <c r="K58" s="624">
        <f t="shared" si="10"/>
        <v>0.11795000000000001</v>
      </c>
      <c r="L58" s="71">
        <f>IF(E58=0,0,VLOOKUP(E58,'Prix Matiere'!$A$4:$J$65,10))</f>
        <v>18.969072164948454</v>
      </c>
      <c r="M58" s="625">
        <f t="shared" si="11"/>
        <v>2.2374020618556703</v>
      </c>
      <c r="N58" s="626">
        <f t="shared" si="12"/>
        <v>2.03796</v>
      </c>
      <c r="O58" s="625">
        <f t="shared" si="13"/>
        <v>1.7322659999999999</v>
      </c>
      <c r="P58" s="559"/>
      <c r="Q58" s="627" t="s">
        <v>663</v>
      </c>
      <c r="R58" s="559"/>
      <c r="S58" s="559"/>
      <c r="T58" s="559"/>
      <c r="U58" s="559"/>
      <c r="V58" s="559"/>
      <c r="W58" s="559"/>
      <c r="X58" s="559"/>
      <c r="Y58" s="559"/>
      <c r="Z58" s="559"/>
      <c r="AA58" s="559"/>
      <c r="AB58" s="559"/>
      <c r="AC58" s="559"/>
      <c r="AD58" s="559"/>
      <c r="AE58" s="559"/>
      <c r="AF58" s="559"/>
      <c r="AG58" s="559"/>
    </row>
    <row r="59" spans="1:33" ht="18" x14ac:dyDescent="0.35">
      <c r="A59" s="559"/>
      <c r="B59" s="584" t="s">
        <v>178</v>
      </c>
      <c r="C59" s="621">
        <f>D51-2*D58</f>
        <v>33.900000000000006</v>
      </c>
      <c r="D59" s="584">
        <f>D58</f>
        <v>7</v>
      </c>
      <c r="E59" s="579" t="str">
        <f t="shared" si="8"/>
        <v>Barres 21 R4F</v>
      </c>
      <c r="F59" s="584">
        <f t="shared" si="14"/>
        <v>2</v>
      </c>
      <c r="G59" s="559"/>
      <c r="H59" s="559"/>
      <c r="I59" s="559"/>
      <c r="J59" s="624">
        <f t="shared" si="9"/>
        <v>4.7460000000000016E-2</v>
      </c>
      <c r="K59" s="624">
        <f t="shared" si="10"/>
        <v>5.9325000000000017E-2</v>
      </c>
      <c r="L59" s="71">
        <f>IF(E59=0,0,VLOOKUP(E59,'Prix Matiere'!$A$4:$J$65,10))</f>
        <v>18.969072164948454</v>
      </c>
      <c r="M59" s="625">
        <f t="shared" si="11"/>
        <v>1.1253402061855673</v>
      </c>
      <c r="N59" s="626">
        <f t="shared" si="12"/>
        <v>1.5220600000000002</v>
      </c>
      <c r="O59" s="625">
        <f t="shared" si="13"/>
        <v>1.2937510000000001</v>
      </c>
      <c r="P59" s="559"/>
      <c r="Q59" s="627" t="s">
        <v>663</v>
      </c>
      <c r="R59" s="559"/>
      <c r="S59" s="559"/>
      <c r="T59" s="559"/>
      <c r="U59" s="559"/>
      <c r="V59" s="559"/>
      <c r="W59" s="559"/>
      <c r="X59" s="559"/>
      <c r="Y59" s="559"/>
      <c r="Z59" s="559"/>
      <c r="AA59" s="559"/>
      <c r="AB59" s="559"/>
      <c r="AC59" s="559"/>
      <c r="AD59" s="559"/>
      <c r="AE59" s="559"/>
      <c r="AF59" s="559"/>
      <c r="AG59" s="559"/>
    </row>
    <row r="60" spans="1:33" ht="18" x14ac:dyDescent="0.35">
      <c r="A60" s="559"/>
      <c r="B60" s="584" t="s">
        <v>179</v>
      </c>
      <c r="C60" s="621">
        <f>C42</f>
        <v>60.2</v>
      </c>
      <c r="D60" s="584">
        <v>7</v>
      </c>
      <c r="E60" s="579" t="str">
        <f t="shared" si="8"/>
        <v>Barres 21 R4F</v>
      </c>
      <c r="F60" s="584">
        <f>IF(D42&gt;70,3,2)</f>
        <v>2</v>
      </c>
      <c r="G60" s="559"/>
      <c r="H60" s="559"/>
      <c r="I60" s="559"/>
      <c r="J60" s="624">
        <f t="shared" si="9"/>
        <v>8.4280000000000008E-2</v>
      </c>
      <c r="K60" s="624">
        <f t="shared" si="10"/>
        <v>0.10535</v>
      </c>
      <c r="L60" s="71">
        <f>IF(E60=0,0,VLOOKUP(E60,'Prix Matiere'!$A$4:$J$65,10))</f>
        <v>18.969072164948454</v>
      </c>
      <c r="M60" s="625">
        <f t="shared" si="11"/>
        <v>1.9983917525773196</v>
      </c>
      <c r="N60" s="626">
        <f t="shared" si="12"/>
        <v>1.9270800000000001</v>
      </c>
      <c r="O60" s="625">
        <f t="shared" si="13"/>
        <v>1.638018</v>
      </c>
      <c r="P60" s="559"/>
      <c r="Q60" s="627" t="s">
        <v>663</v>
      </c>
      <c r="R60" s="559"/>
      <c r="S60" s="559"/>
      <c r="T60" s="559"/>
      <c r="U60" s="559"/>
      <c r="V60" s="559"/>
      <c r="W60" s="559"/>
      <c r="X60" s="559"/>
      <c r="Y60" s="559"/>
      <c r="Z60" s="559"/>
      <c r="AA60" s="559"/>
      <c r="AB60" s="559"/>
      <c r="AC60" s="559"/>
      <c r="AD60" s="559"/>
      <c r="AE60" s="559"/>
      <c r="AF60" s="559"/>
      <c r="AG60" s="559"/>
    </row>
    <row r="61" spans="1:33" ht="18" x14ac:dyDescent="0.35">
      <c r="A61" s="559"/>
      <c r="B61" s="584" t="s">
        <v>180</v>
      </c>
      <c r="C61" s="621">
        <f>(D42-(D60*F60))/(F60-1)</f>
        <v>26.200000000000003</v>
      </c>
      <c r="D61" s="584">
        <v>7</v>
      </c>
      <c r="E61" s="579" t="str">
        <f t="shared" si="8"/>
        <v>Barres 21 R4F</v>
      </c>
      <c r="F61" s="584">
        <f>IF(F60=2,2,4)</f>
        <v>2</v>
      </c>
      <c r="G61" s="559"/>
      <c r="H61" s="559"/>
      <c r="I61" s="559"/>
      <c r="J61" s="624">
        <f t="shared" si="9"/>
        <v>3.6680000000000004E-2</v>
      </c>
      <c r="K61" s="624">
        <f t="shared" si="10"/>
        <v>4.5850000000000002E-2</v>
      </c>
      <c r="L61" s="71">
        <f>IF(E61=0,0,VLOOKUP(E61,'Prix Matiere'!$A$4:$J$65,10))</f>
        <v>18.969072164948454</v>
      </c>
      <c r="M61" s="625">
        <f t="shared" si="11"/>
        <v>0.86973195876288667</v>
      </c>
      <c r="N61" s="626">
        <f t="shared" si="12"/>
        <v>1.4034800000000001</v>
      </c>
      <c r="O61" s="625">
        <f t="shared" si="13"/>
        <v>1.192958</v>
      </c>
      <c r="P61" s="559"/>
      <c r="Q61" s="627" t="s">
        <v>663</v>
      </c>
      <c r="R61" s="559"/>
      <c r="S61" s="559"/>
      <c r="T61" s="559"/>
      <c r="U61" s="559"/>
      <c r="V61" s="559"/>
      <c r="W61" s="559"/>
      <c r="X61" s="559"/>
      <c r="Y61" s="559"/>
      <c r="Z61" s="559"/>
      <c r="AA61" s="559"/>
      <c r="AB61" s="559"/>
      <c r="AC61" s="559"/>
      <c r="AD61" s="559"/>
      <c r="AE61" s="559"/>
      <c r="AF61" s="559"/>
      <c r="AG61" s="559"/>
    </row>
    <row r="62" spans="1:33" ht="18" x14ac:dyDescent="0.35">
      <c r="A62" s="559"/>
      <c r="B62" s="584" t="str">
        <f>F21</f>
        <v>10 dessous en skis</v>
      </c>
      <c r="C62" s="621">
        <f>IF(B62="10 dessous en skis", (C56-70)/2,IF(B62="10 dessous en semelles",D51,C58-10))</f>
        <v>-1.2999999999999972</v>
      </c>
      <c r="D62" s="584">
        <f>IF($F$10="BOVIS",9.4,7)</f>
        <v>7</v>
      </c>
      <c r="E62" s="579" t="str">
        <f>IF(B62="skis","Barres 21 R4F","Semelles R4F")</f>
        <v>Semelles R4F</v>
      </c>
      <c r="F62" s="584">
        <f>IF(B62="10 dessous en skis",6,IF(B62="10 dessous en semelles",2,2))</f>
        <v>6</v>
      </c>
      <c r="G62" s="559"/>
      <c r="H62" s="559"/>
      <c r="I62" s="559"/>
      <c r="J62" s="624">
        <f t="shared" si="9"/>
        <v>-5.4599999999999883E-3</v>
      </c>
      <c r="K62" s="624">
        <f t="shared" si="10"/>
        <v>-6.8249999999999847E-3</v>
      </c>
      <c r="L62" s="71">
        <f>IF(E62=0,0,VLOOKUP(E62,'Prix Matiere'!$A$4:$J$65,10))</f>
        <v>63.319587628865982</v>
      </c>
      <c r="M62" s="625">
        <f t="shared" si="11"/>
        <v>-0.43215618556700935</v>
      </c>
      <c r="N62" s="626">
        <f t="shared" si="12"/>
        <v>0.93994000000000011</v>
      </c>
      <c r="O62" s="625">
        <f t="shared" si="13"/>
        <v>0.79894900000000002</v>
      </c>
      <c r="P62" s="559"/>
      <c r="Q62" s="627" t="s">
        <v>663</v>
      </c>
      <c r="R62" s="559"/>
      <c r="S62" s="559"/>
      <c r="T62" s="559"/>
      <c r="U62" s="559"/>
      <c r="V62" s="559"/>
      <c r="W62" s="559"/>
      <c r="X62" s="559"/>
      <c r="Y62" s="559"/>
      <c r="Z62" s="559"/>
      <c r="AA62" s="559"/>
      <c r="AB62" s="559"/>
      <c r="AC62" s="559"/>
      <c r="AD62" s="559"/>
      <c r="AE62" s="559"/>
      <c r="AF62" s="559"/>
      <c r="AG62" s="559"/>
    </row>
    <row r="63" spans="1:33" ht="18" x14ac:dyDescent="0.35">
      <c r="A63" s="559"/>
      <c r="B63" s="584" t="s">
        <v>59</v>
      </c>
      <c r="C63" s="621">
        <f>IF($D$53&lt;14.4,0,C53)</f>
        <v>40.200000000000003</v>
      </c>
      <c r="D63" s="584">
        <f>IF(D42&lt;14.4,0,D56)</f>
        <v>7</v>
      </c>
      <c r="E63" s="579" t="str">
        <f t="shared" ref="E63:E64" si="15">IF($C$15="Pin raboté 4 faces","Barres 21 R4F","Barres 19 mm")</f>
        <v>Barres 21 R4F</v>
      </c>
      <c r="F63" s="584">
        <f>IF(D42&lt;14.4,0,4)</f>
        <v>4</v>
      </c>
      <c r="G63" s="559"/>
      <c r="H63" s="559"/>
      <c r="I63" s="559"/>
      <c r="J63" s="624">
        <f t="shared" si="9"/>
        <v>0.11256000000000002</v>
      </c>
      <c r="K63" s="624">
        <f t="shared" si="10"/>
        <v>0.14070000000000002</v>
      </c>
      <c r="L63" s="71">
        <f>IF(E63=0,0,VLOOKUP(E63,'Prix Matiere'!$A$4:$J$65,10))</f>
        <v>18.969072164948454</v>
      </c>
      <c r="M63" s="625">
        <f t="shared" si="11"/>
        <v>2.6689484536082477</v>
      </c>
      <c r="N63" s="626">
        <f t="shared" si="12"/>
        <v>2.2381600000000001</v>
      </c>
      <c r="O63" s="625">
        <f t="shared" si="13"/>
        <v>1.902436</v>
      </c>
      <c r="P63" s="559"/>
      <c r="Q63" s="627" t="s">
        <v>663</v>
      </c>
      <c r="R63" s="559"/>
      <c r="S63" s="559"/>
      <c r="T63" s="559"/>
      <c r="U63" s="559"/>
      <c r="V63" s="559"/>
      <c r="W63" s="559"/>
      <c r="X63" s="559"/>
      <c r="Y63" s="559"/>
      <c r="Z63" s="559"/>
      <c r="AA63" s="559"/>
      <c r="AB63" s="559"/>
      <c r="AC63" s="559"/>
      <c r="AD63" s="559"/>
      <c r="AE63" s="559"/>
      <c r="AF63" s="559"/>
      <c r="AG63" s="559"/>
    </row>
    <row r="64" spans="1:33" ht="18" x14ac:dyDescent="0.35">
      <c r="A64" s="559"/>
      <c r="B64" s="584" t="s">
        <v>60</v>
      </c>
      <c r="C64" s="621">
        <f>IF(D42&lt;14.4,E43,D53-2*D63)</f>
        <v>50.099999999999994</v>
      </c>
      <c r="D64" s="584">
        <f>IF($D$42&lt;14.4,$D$42,IF($D$42&lt;20,5,7))</f>
        <v>7</v>
      </c>
      <c r="E64" s="579" t="str">
        <f t="shared" si="15"/>
        <v>Barres 21 R4F</v>
      </c>
      <c r="F64" s="584">
        <f>IF(D42&lt;14.4,2,4)</f>
        <v>4</v>
      </c>
      <c r="G64" s="559"/>
      <c r="H64" s="559"/>
      <c r="I64" s="559"/>
      <c r="J64" s="624">
        <f t="shared" si="9"/>
        <v>0.14027999999999999</v>
      </c>
      <c r="K64" s="624">
        <f t="shared" si="10"/>
        <v>0.17534999999999998</v>
      </c>
      <c r="L64" s="71">
        <f>IF(E64=0,0,VLOOKUP(E64,'Prix Matiere'!$A$4:$J$65,10))</f>
        <v>18.969072164948454</v>
      </c>
      <c r="M64" s="625">
        <f t="shared" si="11"/>
        <v>3.3262268041237109</v>
      </c>
      <c r="N64" s="626">
        <f t="shared" si="12"/>
        <v>2.5430799999999998</v>
      </c>
      <c r="O64" s="625">
        <f t="shared" si="13"/>
        <v>2.1616179999999998</v>
      </c>
      <c r="P64" s="559"/>
      <c r="Q64" s="627" t="s">
        <v>663</v>
      </c>
      <c r="R64" s="559"/>
      <c r="S64" s="559"/>
      <c r="T64" s="559"/>
      <c r="U64" s="559"/>
      <c r="V64" s="559"/>
      <c r="W64" s="559"/>
      <c r="X64" s="559"/>
      <c r="Y64" s="559"/>
      <c r="Z64" s="559"/>
      <c r="AA64" s="559"/>
      <c r="AB64" s="559"/>
      <c r="AC64" s="559"/>
      <c r="AD64" s="559"/>
      <c r="AE64" s="559"/>
      <c r="AF64" s="559"/>
      <c r="AG64" s="559"/>
    </row>
    <row r="65" spans="1:33" ht="18" x14ac:dyDescent="0.35">
      <c r="A65" s="559"/>
      <c r="B65" s="584">
        <f>IF(D42&lt;14.4,0,IF(C21="Bois","Poignées",IF(C21="Métal x 2 sur bouts","Supports poignées",0)))</f>
        <v>0</v>
      </c>
      <c r="C65" s="584">
        <f>IF(B65="Poignées",D42+VLOOKUP(C13,A174:D175,4)*2+4.2,IF(B65="Supports poignées",D42-2*D64,0))</f>
        <v>0</v>
      </c>
      <c r="D65" s="584">
        <f>IF(B65="Poignées",7,IF(B65="Supports poignées",9.4,0))</f>
        <v>0</v>
      </c>
      <c r="E65" s="579" t="s">
        <v>61</v>
      </c>
      <c r="F65" s="584">
        <f>IF(B65=0,0,2)</f>
        <v>0</v>
      </c>
      <c r="G65" s="559"/>
      <c r="H65" s="559"/>
      <c r="I65" s="559"/>
      <c r="J65" s="624">
        <f t="shared" si="9"/>
        <v>0</v>
      </c>
      <c r="K65" s="624">
        <f t="shared" si="10"/>
        <v>0</v>
      </c>
      <c r="L65" s="71">
        <f>IF(E65=0,0,VLOOKUP(E65,'Prix Matiere'!$A$4:$J$65,10))</f>
        <v>18.969072164948454</v>
      </c>
      <c r="M65" s="625">
        <f t="shared" si="11"/>
        <v>0</v>
      </c>
      <c r="N65" s="626">
        <f t="shared" si="12"/>
        <v>0</v>
      </c>
      <c r="O65" s="625">
        <f t="shared" si="13"/>
        <v>0</v>
      </c>
      <c r="P65" s="559"/>
      <c r="Q65" s="627">
        <v>0</v>
      </c>
      <c r="R65" s="559"/>
      <c r="S65" s="559"/>
      <c r="T65" s="559"/>
      <c r="U65" s="559"/>
      <c r="V65" s="559"/>
      <c r="W65" s="559"/>
      <c r="X65" s="559"/>
      <c r="Y65" s="559"/>
      <c r="Z65" s="559"/>
      <c r="AA65" s="559"/>
      <c r="AB65" s="559"/>
      <c r="AC65" s="559"/>
      <c r="AD65" s="559"/>
      <c r="AE65" s="559"/>
      <c r="AF65" s="559"/>
      <c r="AG65" s="559"/>
    </row>
    <row r="66" spans="1:33" ht="18" x14ac:dyDescent="0.35">
      <c r="A66" s="559"/>
      <c r="B66" s="559"/>
      <c r="C66" s="559"/>
      <c r="D66" s="559"/>
      <c r="E66" s="559"/>
      <c r="F66" s="559"/>
      <c r="G66" s="559"/>
      <c r="H66" s="559"/>
      <c r="I66" s="559"/>
      <c r="J66" s="624"/>
      <c r="K66" s="624"/>
      <c r="L66" s="71">
        <f>IF(E66=0,0,VLOOKUP(E66,'Prix Matiere'!$A$4:$J$65,10))</f>
        <v>0</v>
      </c>
      <c r="M66" s="625"/>
      <c r="N66" s="626"/>
      <c r="O66" s="625"/>
      <c r="P66" s="559"/>
      <c r="Q66" s="627"/>
      <c r="R66" s="559"/>
      <c r="S66" s="559"/>
      <c r="T66" s="559"/>
      <c r="U66" s="559"/>
      <c r="V66" s="559"/>
      <c r="W66" s="559"/>
      <c r="X66" s="559"/>
      <c r="Y66" s="559"/>
      <c r="Z66" s="559"/>
      <c r="AA66" s="559"/>
      <c r="AB66" s="559"/>
      <c r="AC66" s="559"/>
      <c r="AD66" s="559"/>
      <c r="AE66" s="559"/>
      <c r="AF66" s="559"/>
      <c r="AG66" s="559"/>
    </row>
    <row r="67" spans="1:33" ht="18" x14ac:dyDescent="0.35">
      <c r="A67" s="559"/>
      <c r="B67" s="559"/>
      <c r="C67" s="559"/>
      <c r="D67" s="559"/>
      <c r="E67" s="559"/>
      <c r="F67" s="559"/>
      <c r="G67" s="559"/>
      <c r="H67" s="559"/>
      <c r="I67" s="559"/>
      <c r="J67" s="624"/>
      <c r="K67" s="624"/>
      <c r="L67" s="71">
        <f>IF(E67=0,0,VLOOKUP(E67,'Prix Matiere'!$A$4:$J$65,10))</f>
        <v>0</v>
      </c>
      <c r="M67" s="625"/>
      <c r="N67" s="626"/>
      <c r="O67" s="625"/>
      <c r="P67" s="559"/>
      <c r="Q67" s="627"/>
      <c r="R67" s="559"/>
      <c r="S67" s="559"/>
      <c r="T67" s="559"/>
      <c r="U67" s="559"/>
      <c r="V67" s="559"/>
      <c r="W67" s="559"/>
      <c r="X67" s="559"/>
      <c r="Y67" s="559"/>
      <c r="Z67" s="559"/>
      <c r="AA67" s="559"/>
      <c r="AB67" s="559"/>
      <c r="AC67" s="559"/>
      <c r="AD67" s="559"/>
      <c r="AE67" s="559"/>
      <c r="AF67" s="559"/>
      <c r="AG67" s="559"/>
    </row>
    <row r="68" spans="1:33" ht="18" x14ac:dyDescent="0.35">
      <c r="A68" s="573" t="s">
        <v>62</v>
      </c>
      <c r="B68" s="584" t="s">
        <v>63</v>
      </c>
      <c r="C68" s="584">
        <f>IF(F68=0,0,C72+VLOOKUP($C$17,A155:S161,5))</f>
        <v>0</v>
      </c>
      <c r="D68" s="584">
        <f>IF(F68=0,0,E42-VLOOKUP($C$17,A155:S161,5))</f>
        <v>0</v>
      </c>
      <c r="E68" s="579">
        <f>VLOOKUP($C$17,A155:S161,6)</f>
        <v>0</v>
      </c>
      <c r="F68" s="584">
        <f>VLOOKUP($C$17,A155:S161,7)</f>
        <v>0</v>
      </c>
      <c r="G68" s="559"/>
      <c r="H68" s="559"/>
      <c r="I68" s="559"/>
      <c r="J68" s="624">
        <f t="shared" ref="J68:J70" si="16">IF(C68=0,0,(C68/100)*(D68/100)*F68)</f>
        <v>0</v>
      </c>
      <c r="K68" s="624">
        <f t="shared" ref="K68:K70" si="17">J68/0.8</f>
        <v>0</v>
      </c>
      <c r="L68" s="71">
        <f>IF(E68=0,0,VLOOKUP(E68,'Prix Matiere'!$A$4:$J$65,10))</f>
        <v>0</v>
      </c>
      <c r="M68" s="625">
        <f t="shared" ref="M68:M70" si="18">L68*K68</f>
        <v>0</v>
      </c>
      <c r="N68" s="626">
        <f t="shared" ref="N68:N70" si="19">IF(J68=0,0,(4.7283*J68)+3)</f>
        <v>0</v>
      </c>
      <c r="O68" s="625">
        <f t="shared" ref="O68:O70" si="20">N68*'Objet 1'!MinuteMO</f>
        <v>0</v>
      </c>
      <c r="P68" s="559"/>
      <c r="Q68" s="627">
        <v>0</v>
      </c>
      <c r="R68" s="559"/>
      <c r="S68" s="559"/>
      <c r="T68" s="559"/>
      <c r="U68" s="559"/>
      <c r="V68" s="559"/>
      <c r="W68" s="559"/>
      <c r="X68" s="559"/>
      <c r="Y68" s="559"/>
      <c r="Z68" s="559"/>
      <c r="AA68" s="559"/>
      <c r="AB68" s="559"/>
      <c r="AC68" s="559"/>
      <c r="AD68" s="559"/>
      <c r="AE68" s="559"/>
      <c r="AF68" s="559"/>
      <c r="AG68" s="559"/>
    </row>
    <row r="69" spans="1:33" ht="18" x14ac:dyDescent="0.35">
      <c r="A69" s="559"/>
      <c r="B69" s="584" t="s">
        <v>54</v>
      </c>
      <c r="C69" s="584">
        <f>IF(F69=0,0,C72+VLOOKUP($C$17,A155:S161,5))</f>
        <v>0</v>
      </c>
      <c r="D69" s="584">
        <f>IF(F69=0,0,D42)</f>
        <v>0</v>
      </c>
      <c r="E69" s="579">
        <f>IF($C$17="Aucun",0,VLOOKUP($C$17,A155:S161,6))</f>
        <v>0</v>
      </c>
      <c r="F69" s="584">
        <f>VLOOKUP($C$17,A155:S161,7)</f>
        <v>0</v>
      </c>
      <c r="G69" s="559"/>
      <c r="H69" s="559"/>
      <c r="I69" s="559"/>
      <c r="J69" s="624">
        <f t="shared" si="16"/>
        <v>0</v>
      </c>
      <c r="K69" s="624">
        <f t="shared" si="17"/>
        <v>0</v>
      </c>
      <c r="L69" s="71">
        <f>IF(E69=0,0,VLOOKUP(E69,'Prix Matiere'!$A$4:$J$65,10))</f>
        <v>0</v>
      </c>
      <c r="M69" s="625">
        <f t="shared" si="18"/>
        <v>0</v>
      </c>
      <c r="N69" s="626">
        <f t="shared" si="19"/>
        <v>0</v>
      </c>
      <c r="O69" s="625">
        <f t="shared" si="20"/>
        <v>0</v>
      </c>
      <c r="P69" s="559"/>
      <c r="Q69" s="627">
        <v>0</v>
      </c>
      <c r="R69" s="559"/>
      <c r="S69" s="559"/>
      <c r="T69" s="559"/>
      <c r="U69" s="559"/>
      <c r="V69" s="559"/>
      <c r="W69" s="559"/>
      <c r="X69" s="559"/>
      <c r="Y69" s="559"/>
      <c r="Z69" s="559"/>
      <c r="AA69" s="559"/>
      <c r="AB69" s="559"/>
      <c r="AC69" s="559"/>
      <c r="AD69" s="559"/>
      <c r="AE69" s="559"/>
      <c r="AF69" s="559"/>
      <c r="AG69" s="559"/>
    </row>
    <row r="70" spans="1:33" ht="18" x14ac:dyDescent="0.35">
      <c r="A70" s="559"/>
      <c r="B70" s="584" t="s">
        <v>55</v>
      </c>
      <c r="C70" s="584">
        <f>IF(F70=0,0,D68)</f>
        <v>0</v>
      </c>
      <c r="D70" s="584">
        <f>IF(F70=0,0,D72)</f>
        <v>0</v>
      </c>
      <c r="E70" s="579">
        <f>IF($C$17="Aucun",0,VLOOKUP($C$17,A155:S161,6))</f>
        <v>0</v>
      </c>
      <c r="F70" s="584">
        <f>VLOOKUP($C$17,A155:S161,7)</f>
        <v>0</v>
      </c>
      <c r="G70" s="559"/>
      <c r="H70" s="559"/>
      <c r="I70" s="559"/>
      <c r="J70" s="624">
        <f t="shared" si="16"/>
        <v>0</v>
      </c>
      <c r="K70" s="624">
        <f t="shared" si="17"/>
        <v>0</v>
      </c>
      <c r="L70" s="71">
        <f>IF(E70=0,0,VLOOKUP(E70,'Prix Matiere'!$A$4:$J$65,10))</f>
        <v>0</v>
      </c>
      <c r="M70" s="625">
        <f t="shared" si="18"/>
        <v>0</v>
      </c>
      <c r="N70" s="626">
        <f t="shared" si="19"/>
        <v>0</v>
      </c>
      <c r="O70" s="625">
        <f t="shared" si="20"/>
        <v>0</v>
      </c>
      <c r="P70" s="559"/>
      <c r="Q70" s="627">
        <v>0</v>
      </c>
      <c r="R70" s="559"/>
      <c r="S70" s="559"/>
      <c r="T70" s="559"/>
      <c r="U70" s="559"/>
      <c r="V70" s="559"/>
      <c r="W70" s="559"/>
      <c r="X70" s="559"/>
      <c r="Y70" s="559"/>
      <c r="Z70" s="559"/>
      <c r="AA70" s="559"/>
      <c r="AB70" s="559"/>
      <c r="AC70" s="559"/>
      <c r="AD70" s="559"/>
      <c r="AE70" s="559"/>
      <c r="AF70" s="559"/>
      <c r="AG70" s="559"/>
    </row>
    <row r="71" spans="1:33" ht="18" x14ac:dyDescent="0.35">
      <c r="A71" s="559"/>
      <c r="B71" s="559"/>
      <c r="C71" s="559"/>
      <c r="D71" s="559"/>
      <c r="E71" s="559"/>
      <c r="F71" s="559"/>
      <c r="G71" s="559"/>
      <c r="H71" s="559"/>
      <c r="I71" s="559"/>
      <c r="J71" s="624"/>
      <c r="K71" s="624"/>
      <c r="L71" s="71">
        <f>IF(E71=0,0,VLOOKUP(E71,'Prix Matiere'!$A$4:$J$65,10))</f>
        <v>0</v>
      </c>
      <c r="M71" s="625"/>
      <c r="N71" s="626"/>
      <c r="O71" s="625"/>
      <c r="P71" s="559"/>
      <c r="Q71" s="627"/>
      <c r="R71" s="559"/>
      <c r="S71" s="559"/>
      <c r="T71" s="559"/>
      <c r="U71" s="559"/>
      <c r="V71" s="559"/>
      <c r="W71" s="559"/>
      <c r="X71" s="559"/>
      <c r="Y71" s="559"/>
      <c r="Z71" s="559"/>
      <c r="AA71" s="559"/>
      <c r="AB71" s="559"/>
      <c r="AC71" s="559"/>
      <c r="AD71" s="559"/>
      <c r="AE71" s="559"/>
      <c r="AF71" s="559"/>
      <c r="AG71" s="559"/>
    </row>
    <row r="72" spans="1:33" ht="18" x14ac:dyDescent="0.35">
      <c r="A72" s="559"/>
      <c r="B72" s="559" t="s">
        <v>64</v>
      </c>
      <c r="C72" s="559">
        <f>C42-VLOOKUP($C$17,'Objet 1'!$A$155:$S$161,5)</f>
        <v>60.2</v>
      </c>
      <c r="D72" s="559">
        <f>D42-VLOOKUP($C$17,'Objet 1'!$A$155:$S$161,5)</f>
        <v>40.200000000000003</v>
      </c>
      <c r="E72" s="559">
        <f>E42-VLOOKUP($C$17,'Objet 1'!$A$155:$S$161,5)</f>
        <v>60.5</v>
      </c>
      <c r="F72" s="559"/>
      <c r="G72" s="559"/>
      <c r="H72" s="559"/>
      <c r="I72" s="559"/>
      <c r="J72" s="624"/>
      <c r="K72" s="624"/>
      <c r="L72" s="71"/>
      <c r="M72" s="625"/>
      <c r="N72" s="626"/>
      <c r="O72" s="625"/>
      <c r="P72" s="559"/>
      <c r="Q72" s="627">
        <f>IF(J72=0,0,J72*VLOOKUP(E72,'[1]Prix Matiere'!$A$4:$L$60,12))</f>
        <v>0</v>
      </c>
      <c r="R72" s="559"/>
      <c r="S72" s="559"/>
      <c r="T72" s="559"/>
      <c r="U72" s="559"/>
      <c r="V72" s="559"/>
      <c r="W72" s="559"/>
      <c r="X72" s="559"/>
      <c r="Y72" s="559"/>
      <c r="Z72" s="559"/>
      <c r="AA72" s="559"/>
      <c r="AB72" s="559"/>
      <c r="AC72" s="559"/>
      <c r="AD72" s="559"/>
      <c r="AE72" s="559"/>
      <c r="AF72" s="559"/>
      <c r="AG72" s="559"/>
    </row>
    <row r="73" spans="1:33" ht="18" x14ac:dyDescent="0.35">
      <c r="A73" s="559"/>
      <c r="B73" s="559"/>
      <c r="C73" s="559"/>
      <c r="D73" s="559"/>
      <c r="E73" s="559"/>
      <c r="F73" s="559"/>
      <c r="G73" s="559"/>
      <c r="H73" s="559"/>
      <c r="I73" s="559"/>
      <c r="J73" s="624"/>
      <c r="K73" s="624"/>
      <c r="L73" s="71">
        <f>IF(E73=0,0,VLOOKUP(E73,'Prix Matiere'!$A$4:$J$65,10))</f>
        <v>0</v>
      </c>
      <c r="M73" s="625"/>
      <c r="N73" s="626"/>
      <c r="O73" s="625"/>
      <c r="P73" s="559"/>
      <c r="Q73" s="627"/>
      <c r="R73" s="559"/>
      <c r="S73" s="559"/>
      <c r="T73" s="559"/>
      <c r="U73" s="559"/>
      <c r="V73" s="559"/>
      <c r="W73" s="559"/>
      <c r="X73" s="559"/>
      <c r="Y73" s="559"/>
      <c r="Z73" s="559"/>
      <c r="AA73" s="559"/>
      <c r="AB73" s="559"/>
      <c r="AC73" s="559"/>
      <c r="AD73" s="559"/>
      <c r="AE73" s="559"/>
      <c r="AF73" s="559"/>
      <c r="AG73" s="559"/>
    </row>
    <row r="74" spans="1:33" ht="18" x14ac:dyDescent="0.35">
      <c r="A74" s="573" t="s">
        <v>65</v>
      </c>
      <c r="B74" s="584" t="s">
        <v>63</v>
      </c>
      <c r="C74" s="584">
        <f>IF(F74=0,0,C78+VLOOKUP($C$17,A155:S161,8))</f>
        <v>0</v>
      </c>
      <c r="D74" s="584">
        <f>IF(F74=0,0,E78)</f>
        <v>0</v>
      </c>
      <c r="E74" s="579">
        <f>VLOOKUP($C$17,A155:S161,9)</f>
        <v>0</v>
      </c>
      <c r="F74" s="584">
        <f>VLOOKUP($C$17,A155:S161,10)</f>
        <v>0</v>
      </c>
      <c r="G74" s="559"/>
      <c r="H74" s="559"/>
      <c r="I74" s="559"/>
      <c r="J74" s="624">
        <f t="shared" ref="J74:J76" si="21">IF(C74=0,0,(C74/100)*(D74/100)*F74)</f>
        <v>0</v>
      </c>
      <c r="K74" s="624">
        <f t="shared" ref="K74:K76" si="22">J74/0.8</f>
        <v>0</v>
      </c>
      <c r="L74" s="71">
        <f>IF(E74=0,0,VLOOKUP(E74,'Prix Matiere'!$A$4:$J$65,10))</f>
        <v>0</v>
      </c>
      <c r="M74" s="625">
        <f t="shared" ref="M74:M76" si="23">L74*K74</f>
        <v>0</v>
      </c>
      <c r="N74" s="626">
        <f t="shared" ref="N74:N76" si="24">IF(J74=0,0,(3.94*J74)+5)</f>
        <v>0</v>
      </c>
      <c r="O74" s="625">
        <f t="shared" ref="O74:O76" si="25">N74*'Objet 1'!MinuteMO</f>
        <v>0</v>
      </c>
      <c r="P74" s="559"/>
      <c r="Q74" s="627" t="s">
        <v>663</v>
      </c>
      <c r="R74" s="559"/>
      <c r="S74" s="559"/>
      <c r="T74" s="559"/>
      <c r="U74" s="559"/>
      <c r="V74" s="559"/>
      <c r="W74" s="559"/>
      <c r="X74" s="559"/>
      <c r="Y74" s="559"/>
      <c r="Z74" s="559"/>
      <c r="AA74" s="559"/>
      <c r="AB74" s="559"/>
      <c r="AC74" s="559"/>
      <c r="AD74" s="559"/>
      <c r="AE74" s="559"/>
      <c r="AF74" s="559"/>
      <c r="AG74" s="559"/>
    </row>
    <row r="75" spans="1:33" ht="18" x14ac:dyDescent="0.35">
      <c r="A75" s="559"/>
      <c r="B75" s="584" t="s">
        <v>54</v>
      </c>
      <c r="C75" s="584">
        <f>IF(F75=0,0,C78+VLOOKUP($C$17,A155:S161,8))</f>
        <v>0</v>
      </c>
      <c r="D75" s="584">
        <f>IF(F75=0,0,D72)</f>
        <v>0</v>
      </c>
      <c r="E75" s="579">
        <f>VLOOKUP($C$17,A155:S161,9)</f>
        <v>0</v>
      </c>
      <c r="F75" s="584">
        <f>VLOOKUP($C$17,A155:S161,10)</f>
        <v>0</v>
      </c>
      <c r="G75" s="559"/>
      <c r="H75" s="559"/>
      <c r="I75" s="559"/>
      <c r="J75" s="624">
        <f t="shared" si="21"/>
        <v>0</v>
      </c>
      <c r="K75" s="624">
        <f t="shared" si="22"/>
        <v>0</v>
      </c>
      <c r="L75" s="71">
        <f>IF(E75=0,0,VLOOKUP(E75,'Prix Matiere'!$A$4:$J$65,10))</f>
        <v>0</v>
      </c>
      <c r="M75" s="625">
        <f t="shared" si="23"/>
        <v>0</v>
      </c>
      <c r="N75" s="626">
        <f t="shared" si="24"/>
        <v>0</v>
      </c>
      <c r="O75" s="625">
        <f t="shared" si="25"/>
        <v>0</v>
      </c>
      <c r="P75" s="559"/>
      <c r="Q75" s="627" t="s">
        <v>663</v>
      </c>
      <c r="R75" s="559"/>
      <c r="S75" s="559"/>
      <c r="T75" s="559"/>
      <c r="U75" s="559"/>
      <c r="V75" s="559"/>
      <c r="W75" s="559"/>
      <c r="X75" s="559"/>
      <c r="Y75" s="559"/>
      <c r="Z75" s="559"/>
      <c r="AA75" s="559"/>
      <c r="AB75" s="559"/>
      <c r="AC75" s="559"/>
      <c r="AD75" s="559"/>
      <c r="AE75" s="559"/>
      <c r="AF75" s="559"/>
      <c r="AG75" s="559"/>
    </row>
    <row r="76" spans="1:33" ht="18" x14ac:dyDescent="0.35">
      <c r="A76" s="559"/>
      <c r="B76" s="584" t="s">
        <v>55</v>
      </c>
      <c r="C76" s="584">
        <f>IF(F76=0,0,E78)</f>
        <v>0</v>
      </c>
      <c r="D76" s="584">
        <f>IF(F76=0,0,D78)</f>
        <v>0</v>
      </c>
      <c r="E76" s="579">
        <f>VLOOKUP($C$17,A155:S161,9)</f>
        <v>0</v>
      </c>
      <c r="F76" s="584">
        <f>VLOOKUP($C$17,A155:S161,10)</f>
        <v>0</v>
      </c>
      <c r="G76" s="559"/>
      <c r="H76" s="559"/>
      <c r="I76" s="559"/>
      <c r="J76" s="624">
        <f t="shared" si="21"/>
        <v>0</v>
      </c>
      <c r="K76" s="624">
        <f t="shared" si="22"/>
        <v>0</v>
      </c>
      <c r="L76" s="71">
        <f>IF(E76=0,0,VLOOKUP(E76,'Prix Matiere'!$A$4:$J$65,10))</f>
        <v>0</v>
      </c>
      <c r="M76" s="625">
        <f t="shared" si="23"/>
        <v>0</v>
      </c>
      <c r="N76" s="626">
        <f t="shared" si="24"/>
        <v>0</v>
      </c>
      <c r="O76" s="625">
        <f t="shared" si="25"/>
        <v>0</v>
      </c>
      <c r="P76" s="559"/>
      <c r="Q76" s="627" t="s">
        <v>663</v>
      </c>
      <c r="R76" s="559"/>
      <c r="S76" s="559"/>
      <c r="T76" s="559"/>
      <c r="U76" s="559"/>
      <c r="V76" s="559"/>
      <c r="W76" s="559"/>
      <c r="X76" s="559"/>
      <c r="Y76" s="559"/>
      <c r="Z76" s="559"/>
      <c r="AA76" s="559"/>
      <c r="AB76" s="559"/>
      <c r="AC76" s="559"/>
      <c r="AD76" s="559"/>
      <c r="AE76" s="559"/>
      <c r="AF76" s="559"/>
      <c r="AG76" s="559"/>
    </row>
    <row r="77" spans="1:33" ht="18" x14ac:dyDescent="0.35">
      <c r="A77" s="559"/>
      <c r="B77" s="559"/>
      <c r="C77" s="559"/>
      <c r="D77" s="559"/>
      <c r="E77" s="559"/>
      <c r="F77" s="559"/>
      <c r="G77" s="559"/>
      <c r="H77" s="559"/>
      <c r="I77" s="559"/>
      <c r="J77" s="624"/>
      <c r="K77" s="624"/>
      <c r="L77" s="71">
        <f>IF(E77=0,0,VLOOKUP(E77,'Prix Matiere'!$A$4:$J$65,10))</f>
        <v>0</v>
      </c>
      <c r="M77" s="625"/>
      <c r="N77" s="626"/>
      <c r="O77" s="625"/>
      <c r="P77" s="559"/>
      <c r="Q77" s="627"/>
      <c r="R77" s="559"/>
      <c r="S77" s="559"/>
      <c r="T77" s="559"/>
      <c r="U77" s="559"/>
      <c r="V77" s="559"/>
      <c r="W77" s="559"/>
      <c r="X77" s="559"/>
      <c r="Y77" s="559"/>
      <c r="Z77" s="559"/>
      <c r="AA77" s="559"/>
      <c r="AB77" s="559"/>
      <c r="AC77" s="559"/>
      <c r="AD77" s="559"/>
      <c r="AE77" s="559"/>
      <c r="AF77" s="559"/>
      <c r="AG77" s="559"/>
    </row>
    <row r="78" spans="1:33" ht="18" x14ac:dyDescent="0.35">
      <c r="A78" s="559"/>
      <c r="B78" s="559" t="s">
        <v>66</v>
      </c>
      <c r="C78" s="559">
        <f t="shared" ref="C78:E78" si="26">C72-VLOOKUP($C$17,$A$155:$I$161,8)</f>
        <v>60.2</v>
      </c>
      <c r="D78" s="559">
        <f t="shared" si="26"/>
        <v>40.200000000000003</v>
      </c>
      <c r="E78" s="559">
        <f t="shared" si="26"/>
        <v>60.5</v>
      </c>
      <c r="F78" s="559"/>
      <c r="G78" s="559"/>
      <c r="H78" s="559"/>
      <c r="I78" s="559"/>
      <c r="J78" s="624"/>
      <c r="K78" s="624"/>
      <c r="L78" s="71"/>
      <c r="M78" s="625"/>
      <c r="N78" s="626"/>
      <c r="O78" s="625"/>
      <c r="P78" s="559"/>
      <c r="Q78" s="627">
        <f>IF(J78=0,0,J78*VLOOKUP(E78,'[1]Prix Matiere'!$A$4:$L$60,12))</f>
        <v>0</v>
      </c>
      <c r="R78" s="559"/>
      <c r="S78" s="559"/>
      <c r="T78" s="559"/>
      <c r="U78" s="559"/>
      <c r="V78" s="559"/>
      <c r="W78" s="559"/>
      <c r="X78" s="559"/>
      <c r="Y78" s="559"/>
      <c r="Z78" s="559"/>
      <c r="AA78" s="559"/>
      <c r="AB78" s="559"/>
      <c r="AC78" s="559"/>
      <c r="AD78" s="559"/>
      <c r="AE78" s="559"/>
      <c r="AF78" s="559"/>
      <c r="AG78" s="559"/>
    </row>
    <row r="79" spans="1:33" ht="18" x14ac:dyDescent="0.35">
      <c r="A79" s="559"/>
      <c r="B79" s="559"/>
      <c r="C79" s="559"/>
      <c r="D79" s="559"/>
      <c r="E79" s="559"/>
      <c r="F79" s="559"/>
      <c r="G79" s="559"/>
      <c r="H79" s="559"/>
      <c r="I79" s="559"/>
      <c r="J79" s="624"/>
      <c r="K79" s="624"/>
      <c r="L79" s="71">
        <f>IF(E79=0,0,VLOOKUP(E79,'Prix Matiere'!$A$4:$J$65,10))</f>
        <v>0</v>
      </c>
      <c r="M79" s="625"/>
      <c r="N79" s="626"/>
      <c r="O79" s="625"/>
      <c r="P79" s="559"/>
      <c r="Q79" s="627"/>
      <c r="R79" s="559"/>
      <c r="S79" s="559"/>
      <c r="T79" s="559"/>
      <c r="U79" s="559"/>
      <c r="V79" s="559"/>
      <c r="W79" s="559"/>
      <c r="X79" s="559"/>
      <c r="Y79" s="559"/>
      <c r="Z79" s="559"/>
      <c r="AA79" s="559"/>
      <c r="AB79" s="559"/>
      <c r="AC79" s="559"/>
      <c r="AD79" s="559"/>
      <c r="AE79" s="559"/>
      <c r="AF79" s="559"/>
      <c r="AG79" s="559"/>
    </row>
    <row r="80" spans="1:33" ht="18" x14ac:dyDescent="0.35">
      <c r="A80" s="573" t="s">
        <v>67</v>
      </c>
      <c r="B80" s="584" t="s">
        <v>63</v>
      </c>
      <c r="C80" s="584">
        <f>IF(F80=0,0,E78)</f>
        <v>0</v>
      </c>
      <c r="D80" s="584">
        <f>IF(F80=0,0,10)</f>
        <v>0</v>
      </c>
      <c r="E80" s="579">
        <f>VLOOKUP($C$17,A155:S161,12)</f>
        <v>0</v>
      </c>
      <c r="F80" s="584">
        <f>VLOOKUP($C$17,$A$155:$S$161,13)*2</f>
        <v>0</v>
      </c>
      <c r="G80" s="559"/>
      <c r="H80" s="559"/>
      <c r="I80" s="559"/>
      <c r="J80" s="624">
        <f t="shared" ref="J80:J81" si="27">IF(C80=0,0,(C80/100)*(D80/100)*F80)</f>
        <v>0</v>
      </c>
      <c r="K80" s="624">
        <f t="shared" ref="K80:K81" si="28">J80/0.8</f>
        <v>0</v>
      </c>
      <c r="L80" s="71">
        <f>IF(E80=0,0,VLOOKUP(E80,'Prix Matiere'!$A$4:$J$65,10))</f>
        <v>0</v>
      </c>
      <c r="M80" s="625">
        <f t="shared" ref="M80:M81" si="29">L80*K80</f>
        <v>0</v>
      </c>
      <c r="N80" s="626">
        <f t="shared" ref="N80:N81" si="30">IF(J80=0,0,1+(6*J80))</f>
        <v>0</v>
      </c>
      <c r="O80" s="625">
        <f t="shared" ref="O80:O81" si="31">N80*'Objet 1'!MinuteMO</f>
        <v>0</v>
      </c>
      <c r="P80" s="559"/>
      <c r="Q80" s="627">
        <v>0</v>
      </c>
      <c r="R80" s="559"/>
      <c r="S80" s="559"/>
      <c r="T80" s="559"/>
      <c r="U80" s="559"/>
      <c r="V80" s="559"/>
      <c r="W80" s="559"/>
      <c r="X80" s="559"/>
      <c r="Y80" s="559"/>
      <c r="Z80" s="559"/>
      <c r="AA80" s="559"/>
      <c r="AB80" s="559"/>
      <c r="AC80" s="559"/>
      <c r="AD80" s="559"/>
      <c r="AE80" s="559"/>
      <c r="AF80" s="559"/>
      <c r="AG80" s="559"/>
    </row>
    <row r="81" spans="1:33" ht="18" x14ac:dyDescent="0.35">
      <c r="A81" s="559"/>
      <c r="B81" s="584" t="s">
        <v>54</v>
      </c>
      <c r="C81" s="584">
        <f>IF(F81=0,0,D78-VLOOKUP($C$17,'Objet 1'!A155:S161,11))</f>
        <v>0</v>
      </c>
      <c r="D81" s="584">
        <f>IF(F80=0,0,D80)</f>
        <v>0</v>
      </c>
      <c r="E81" s="579">
        <f>VLOOKUP($C$17,A155:S161,12)</f>
        <v>0</v>
      </c>
      <c r="F81" s="628">
        <f>VLOOKUP($C$17,$A$155:$S$161,13)</f>
        <v>0</v>
      </c>
      <c r="G81" s="559"/>
      <c r="H81" s="559"/>
      <c r="I81" s="559"/>
      <c r="J81" s="624">
        <f t="shared" si="27"/>
        <v>0</v>
      </c>
      <c r="K81" s="624">
        <f t="shared" si="28"/>
        <v>0</v>
      </c>
      <c r="L81" s="71">
        <f>IF(E81=0,0,VLOOKUP(E81,'Prix Matiere'!$A$4:$J$65,10))</f>
        <v>0</v>
      </c>
      <c r="M81" s="625">
        <f t="shared" si="29"/>
        <v>0</v>
      </c>
      <c r="N81" s="626">
        <f t="shared" si="30"/>
        <v>0</v>
      </c>
      <c r="O81" s="625">
        <f t="shared" si="31"/>
        <v>0</v>
      </c>
      <c r="P81" s="559"/>
      <c r="Q81" s="627">
        <v>0</v>
      </c>
      <c r="R81" s="559"/>
      <c r="S81" s="559"/>
      <c r="T81" s="559"/>
      <c r="U81" s="559"/>
      <c r="V81" s="559"/>
      <c r="W81" s="559"/>
      <c r="X81" s="559"/>
      <c r="Y81" s="559"/>
      <c r="Z81" s="559"/>
      <c r="AA81" s="559"/>
      <c r="AB81" s="559"/>
      <c r="AC81" s="559"/>
      <c r="AD81" s="559"/>
      <c r="AE81" s="559"/>
      <c r="AF81" s="559"/>
      <c r="AG81" s="559"/>
    </row>
    <row r="82" spans="1:33" ht="18" x14ac:dyDescent="0.35">
      <c r="A82" s="559"/>
      <c r="B82" s="559"/>
      <c r="C82" s="559"/>
      <c r="D82" s="559"/>
      <c r="E82" s="559"/>
      <c r="F82" s="559"/>
      <c r="G82" s="559"/>
      <c r="H82" s="559"/>
      <c r="I82" s="559"/>
      <c r="J82" s="624"/>
      <c r="K82" s="624"/>
      <c r="L82" s="71">
        <f>IF(E82=0,0,VLOOKUP(E82,'Prix Matiere'!$A$4:$J$65,10))</f>
        <v>0</v>
      </c>
      <c r="M82" s="625"/>
      <c r="N82" s="626"/>
      <c r="O82" s="625"/>
      <c r="P82" s="559"/>
      <c r="Q82" s="627"/>
      <c r="R82" s="559"/>
      <c r="S82" s="559"/>
      <c r="T82" s="559"/>
      <c r="U82" s="559"/>
      <c r="V82" s="559"/>
      <c r="W82" s="559"/>
      <c r="X82" s="559"/>
      <c r="Y82" s="559"/>
      <c r="Z82" s="559"/>
      <c r="AA82" s="559"/>
      <c r="AB82" s="559"/>
      <c r="AC82" s="559"/>
      <c r="AD82" s="559"/>
      <c r="AE82" s="559"/>
      <c r="AF82" s="559"/>
      <c r="AG82" s="559"/>
    </row>
    <row r="83" spans="1:33" ht="18" x14ac:dyDescent="0.35">
      <c r="A83" s="559"/>
      <c r="B83" s="559" t="s">
        <v>68</v>
      </c>
      <c r="C83" s="559">
        <f>C78-VLOOKUP($C$17,A155:S161,11)</f>
        <v>60.2</v>
      </c>
      <c r="D83" s="559">
        <f>D78-VLOOKUP($C$17,A155:S161,11)</f>
        <v>40.200000000000003</v>
      </c>
      <c r="E83" s="559">
        <f>E78-VLOOKUP($C$17,A155:S161,11)</f>
        <v>60.5</v>
      </c>
      <c r="F83" s="559"/>
      <c r="G83" s="559"/>
      <c r="H83" s="559"/>
      <c r="I83" s="559"/>
      <c r="J83" s="624">
        <f>IF(C83=0,0,(C83/100)*(D83/100)*F83)</f>
        <v>0</v>
      </c>
      <c r="K83" s="624">
        <f>J83/0.8</f>
        <v>0</v>
      </c>
      <c r="L83" s="71"/>
      <c r="M83" s="625"/>
      <c r="N83" s="626"/>
      <c r="O83" s="625"/>
      <c r="P83" s="559"/>
      <c r="Q83" s="627">
        <f>IF(J83=0,0,J83*VLOOKUP(E83,'[1]Prix Matiere'!$A$4:$L$60,12))</f>
        <v>0</v>
      </c>
      <c r="R83" s="559"/>
      <c r="S83" s="559"/>
      <c r="T83" s="559"/>
      <c r="U83" s="559"/>
      <c r="V83" s="559"/>
      <c r="W83" s="559"/>
      <c r="X83" s="559"/>
      <c r="Y83" s="559"/>
      <c r="Z83" s="559"/>
      <c r="AA83" s="559"/>
      <c r="AB83" s="559"/>
      <c r="AC83" s="559"/>
      <c r="AD83" s="559"/>
      <c r="AE83" s="559"/>
      <c r="AF83" s="559"/>
      <c r="AG83" s="559"/>
    </row>
    <row r="84" spans="1:33" ht="18" x14ac:dyDescent="0.35">
      <c r="A84" s="559"/>
      <c r="B84" s="559"/>
      <c r="C84" s="559"/>
      <c r="D84" s="559"/>
      <c r="E84" s="559"/>
      <c r="F84" s="559"/>
      <c r="G84" s="559"/>
      <c r="H84" s="559"/>
      <c r="I84" s="559"/>
      <c r="J84" s="624"/>
      <c r="K84" s="624"/>
      <c r="L84" s="71">
        <f>IF(E84=0,0,VLOOKUP(E84,'Prix Matiere'!$A$4:$J$65,10))</f>
        <v>0</v>
      </c>
      <c r="M84" s="625"/>
      <c r="N84" s="626"/>
      <c r="O84" s="625"/>
      <c r="P84" s="559"/>
      <c r="Q84" s="627"/>
      <c r="R84" s="559"/>
      <c r="S84" s="559"/>
      <c r="T84" s="559"/>
      <c r="U84" s="559"/>
      <c r="V84" s="559"/>
      <c r="W84" s="559"/>
      <c r="X84" s="559"/>
      <c r="Y84" s="559"/>
      <c r="Z84" s="559"/>
      <c r="AA84" s="559"/>
      <c r="AB84" s="559"/>
      <c r="AC84" s="559"/>
      <c r="AD84" s="559"/>
      <c r="AE84" s="559"/>
      <c r="AF84" s="559"/>
      <c r="AG84" s="559"/>
    </row>
    <row r="85" spans="1:33" ht="18" x14ac:dyDescent="0.35">
      <c r="A85" s="573" t="s">
        <v>69</v>
      </c>
      <c r="B85" s="584" t="s">
        <v>63</v>
      </c>
      <c r="C85" s="584">
        <f>IF(F85=0,0,C89+VLOOKUP($C$17,A155:S161,14))</f>
        <v>0</v>
      </c>
      <c r="D85" s="584">
        <f>IF(F85=0,0,E89)</f>
        <v>0</v>
      </c>
      <c r="E85" s="579">
        <f>VLOOKUP($C$17,A155:S161,15)</f>
        <v>0</v>
      </c>
      <c r="F85" s="628">
        <f>VLOOKUP($C$17,A155:S161,16)</f>
        <v>0</v>
      </c>
      <c r="G85" s="559"/>
      <c r="H85" s="559"/>
      <c r="I85" s="559"/>
      <c r="J85" s="624">
        <f t="shared" ref="J85:J87" si="32">IF(C85=0,0,(C85/100)*(D85/100)*F85)</f>
        <v>0</v>
      </c>
      <c r="K85" s="624">
        <f t="shared" ref="K85:K87" si="33">J85/0.8</f>
        <v>0</v>
      </c>
      <c r="L85" s="71">
        <f>IF(E85=0,0,VLOOKUP(E85,'Prix Matiere'!$A$4:$J$65,10))</f>
        <v>0</v>
      </c>
      <c r="M85" s="625">
        <f t="shared" ref="M85:M87" si="34">L85*K85</f>
        <v>0</v>
      </c>
      <c r="N85" s="626">
        <f t="shared" ref="N85:N87" si="35">IF(J85=0,0,(3.94*J85)+5)</f>
        <v>0</v>
      </c>
      <c r="O85" s="625">
        <f t="shared" ref="O85:O87" si="36">N85*'Objet 1'!MinuteMO</f>
        <v>0</v>
      </c>
      <c r="P85" s="559"/>
      <c r="Q85" s="627">
        <v>0</v>
      </c>
      <c r="R85" s="559"/>
      <c r="S85" s="559"/>
      <c r="T85" s="559"/>
      <c r="U85" s="559"/>
      <c r="V85" s="559"/>
      <c r="W85" s="559"/>
      <c r="X85" s="559"/>
      <c r="Y85" s="559"/>
      <c r="Z85" s="559"/>
      <c r="AA85" s="559"/>
      <c r="AB85" s="559"/>
      <c r="AC85" s="559"/>
      <c r="AD85" s="559"/>
      <c r="AE85" s="559"/>
      <c r="AF85" s="559"/>
      <c r="AG85" s="559"/>
    </row>
    <row r="86" spans="1:33" ht="18" x14ac:dyDescent="0.35">
      <c r="A86" s="559"/>
      <c r="B86" s="584" t="s">
        <v>54</v>
      </c>
      <c r="C86" s="584">
        <f>IF(F86=0,0,C89+VLOOKUP($C$17,A155:S161,14))</f>
        <v>0</v>
      </c>
      <c r="D86" s="584">
        <f>IF(F86=0,0,D83)</f>
        <v>0</v>
      </c>
      <c r="E86" s="579">
        <f>VLOOKUP($C$17,A155:S161,15)</f>
        <v>0</v>
      </c>
      <c r="F86" s="628">
        <f>VLOOKUP($C$17,A155:S161,16)</f>
        <v>0</v>
      </c>
      <c r="G86" s="559"/>
      <c r="H86" s="559"/>
      <c r="I86" s="559"/>
      <c r="J86" s="624">
        <f t="shared" si="32"/>
        <v>0</v>
      </c>
      <c r="K86" s="624">
        <f t="shared" si="33"/>
        <v>0</v>
      </c>
      <c r="L86" s="71">
        <f>IF(E86=0,0,VLOOKUP(E86,'Prix Matiere'!$A$4:$J$65,10))</f>
        <v>0</v>
      </c>
      <c r="M86" s="625">
        <f t="shared" si="34"/>
        <v>0</v>
      </c>
      <c r="N86" s="626">
        <f t="shared" si="35"/>
        <v>0</v>
      </c>
      <c r="O86" s="625">
        <f t="shared" si="36"/>
        <v>0</v>
      </c>
      <c r="P86" s="559"/>
      <c r="Q86" s="627">
        <v>0</v>
      </c>
      <c r="R86" s="559"/>
      <c r="S86" s="559"/>
      <c r="T86" s="559"/>
      <c r="U86" s="559"/>
      <c r="V86" s="559"/>
      <c r="W86" s="559"/>
      <c r="X86" s="559"/>
      <c r="Y86" s="559"/>
      <c r="Z86" s="559"/>
      <c r="AA86" s="559"/>
      <c r="AB86" s="559"/>
      <c r="AC86" s="559"/>
      <c r="AD86" s="559"/>
      <c r="AE86" s="559"/>
      <c r="AF86" s="559"/>
      <c r="AG86" s="559"/>
    </row>
    <row r="87" spans="1:33" ht="18" x14ac:dyDescent="0.35">
      <c r="A87" s="559"/>
      <c r="B87" s="584" t="s">
        <v>55</v>
      </c>
      <c r="C87" s="584">
        <f>IF(F87=0,0,E89)</f>
        <v>0</v>
      </c>
      <c r="D87" s="584">
        <f>IF(F87=0,0,D89)</f>
        <v>0</v>
      </c>
      <c r="E87" s="579">
        <f>VLOOKUP($C$17,A155:S161,15)</f>
        <v>0</v>
      </c>
      <c r="F87" s="628">
        <f>VLOOKUP($C$17,A155:S161,16)</f>
        <v>0</v>
      </c>
      <c r="G87" s="559"/>
      <c r="H87" s="559"/>
      <c r="I87" s="559"/>
      <c r="J87" s="624">
        <f t="shared" si="32"/>
        <v>0</v>
      </c>
      <c r="K87" s="624">
        <f t="shared" si="33"/>
        <v>0</v>
      </c>
      <c r="L87" s="71">
        <f>IF(E87=0,0,VLOOKUP(E87,'Prix Matiere'!$A$4:$J$65,10))</f>
        <v>0</v>
      </c>
      <c r="M87" s="625">
        <f t="shared" si="34"/>
        <v>0</v>
      </c>
      <c r="N87" s="626">
        <f t="shared" si="35"/>
        <v>0</v>
      </c>
      <c r="O87" s="625">
        <f t="shared" si="36"/>
        <v>0</v>
      </c>
      <c r="P87" s="559"/>
      <c r="Q87" s="627">
        <v>0</v>
      </c>
      <c r="R87" s="559"/>
      <c r="S87" s="559"/>
      <c r="T87" s="559"/>
      <c r="U87" s="559"/>
      <c r="V87" s="559"/>
      <c r="W87" s="559"/>
      <c r="X87" s="559"/>
      <c r="Y87" s="559"/>
      <c r="Z87" s="559"/>
      <c r="AA87" s="559"/>
      <c r="AB87" s="559"/>
      <c r="AC87" s="559"/>
      <c r="AD87" s="559"/>
      <c r="AE87" s="559"/>
      <c r="AF87" s="559"/>
      <c r="AG87" s="559"/>
    </row>
    <row r="88" spans="1:33" ht="18" x14ac:dyDescent="0.35">
      <c r="A88" s="559"/>
      <c r="B88" s="559"/>
      <c r="C88" s="559"/>
      <c r="D88" s="559"/>
      <c r="E88" s="559"/>
      <c r="F88" s="559"/>
      <c r="G88" s="559"/>
      <c r="H88" s="559"/>
      <c r="I88" s="559"/>
      <c r="J88" s="624"/>
      <c r="K88" s="624"/>
      <c r="L88" s="71">
        <f>IF(E88=0,0,VLOOKUP(E88,'Prix Matiere'!$A$4:$J$65,10))</f>
        <v>0</v>
      </c>
      <c r="M88" s="625"/>
      <c r="N88" s="626"/>
      <c r="O88" s="625"/>
      <c r="P88" s="559"/>
      <c r="Q88" s="627"/>
      <c r="R88" s="559"/>
      <c r="S88" s="559"/>
      <c r="T88" s="559"/>
      <c r="U88" s="559"/>
      <c r="V88" s="559"/>
      <c r="W88" s="559"/>
      <c r="X88" s="559"/>
      <c r="Y88" s="559"/>
      <c r="Z88" s="559"/>
      <c r="AA88" s="559"/>
      <c r="AB88" s="559"/>
      <c r="AC88" s="559"/>
      <c r="AD88" s="559"/>
      <c r="AE88" s="559"/>
      <c r="AF88" s="559"/>
      <c r="AG88" s="559"/>
    </row>
    <row r="89" spans="1:33" ht="18" x14ac:dyDescent="0.35">
      <c r="A89" s="559"/>
      <c r="B89" s="559" t="s">
        <v>66</v>
      </c>
      <c r="C89" s="559">
        <f>C83-VLOOKUP($C$17,A155:S161,14)</f>
        <v>60.2</v>
      </c>
      <c r="D89" s="559">
        <f>D83-VLOOKUP($C$17,A155:S161,14)</f>
        <v>40.200000000000003</v>
      </c>
      <c r="E89" s="559">
        <f>E83-VLOOKUP($C$17,A155:S161,14)</f>
        <v>60.5</v>
      </c>
      <c r="F89" s="559"/>
      <c r="G89" s="559"/>
      <c r="H89" s="559"/>
      <c r="I89" s="559"/>
      <c r="J89" s="624">
        <f>IF(C89=0,0,(C89/100)*(D89/100)*F89)</f>
        <v>0</v>
      </c>
      <c r="K89" s="624">
        <f>J89/0.8</f>
        <v>0</v>
      </c>
      <c r="L89" s="71"/>
      <c r="M89" s="625"/>
      <c r="N89" s="626"/>
      <c r="O89" s="625"/>
      <c r="P89" s="559"/>
      <c r="Q89" s="627">
        <f>IF(J89=0,0,J89*VLOOKUP(E89,'[1]Prix Matiere'!$A$4:$L$60,12))</f>
        <v>0</v>
      </c>
      <c r="R89" s="559"/>
      <c r="S89" s="559"/>
      <c r="T89" s="559"/>
      <c r="U89" s="559"/>
      <c r="V89" s="559"/>
      <c r="W89" s="559"/>
      <c r="X89" s="559"/>
      <c r="Y89" s="559"/>
      <c r="Z89" s="559"/>
      <c r="AA89" s="559"/>
      <c r="AB89" s="559"/>
      <c r="AC89" s="559"/>
      <c r="AD89" s="559"/>
      <c r="AE89" s="559"/>
      <c r="AF89" s="559"/>
      <c r="AG89" s="559"/>
    </row>
    <row r="90" spans="1:33" ht="18" x14ac:dyDescent="0.35">
      <c r="A90" s="559"/>
      <c r="B90" s="559"/>
      <c r="C90" s="559"/>
      <c r="D90" s="559"/>
      <c r="E90" s="559"/>
      <c r="F90" s="559"/>
      <c r="G90" s="559"/>
      <c r="H90" s="559"/>
      <c r="I90" s="559"/>
      <c r="J90" s="624"/>
      <c r="K90" s="624"/>
      <c r="L90" s="71">
        <f>IF(E90=0,0,VLOOKUP(E90,'Prix Matiere'!$A$4:$J$65,10))</f>
        <v>0</v>
      </c>
      <c r="M90" s="625"/>
      <c r="N90" s="626"/>
      <c r="O90" s="625"/>
      <c r="P90" s="559"/>
      <c r="Q90" s="627"/>
      <c r="R90" s="559"/>
      <c r="S90" s="559"/>
      <c r="T90" s="559"/>
      <c r="U90" s="559"/>
      <c r="V90" s="559"/>
      <c r="W90" s="559"/>
      <c r="X90" s="559"/>
      <c r="Y90" s="559"/>
      <c r="Z90" s="559"/>
      <c r="AA90" s="559"/>
      <c r="AB90" s="559"/>
      <c r="AC90" s="559"/>
      <c r="AD90" s="559"/>
      <c r="AE90" s="559"/>
      <c r="AF90" s="559"/>
      <c r="AG90" s="559"/>
    </row>
    <row r="91" spans="1:33" ht="18" x14ac:dyDescent="0.35">
      <c r="A91" s="573" t="s">
        <v>309</v>
      </c>
      <c r="B91" s="584">
        <f>IF(C91=0,0,"Peuplier 15 mm")</f>
        <v>0</v>
      </c>
      <c r="C91" s="584">
        <f>IF(VLOOKUP($C$33,A137:S150,18)+VLOOKUP($C$17,A155:S161,18)=2,D89,IF(VLOOKUP($C$33,A137:S150,19)+VLOOKUP($C$17,A155:S161,19)=2,C89,0))</f>
        <v>0</v>
      </c>
      <c r="D91" s="584">
        <f>IF(C91=0,0,E89)</f>
        <v>0</v>
      </c>
      <c r="E91" s="584">
        <f>B91</f>
        <v>0</v>
      </c>
      <c r="F91" s="584">
        <f>IF(C91=0,0,2)</f>
        <v>0</v>
      </c>
      <c r="G91" s="559"/>
      <c r="H91" s="559"/>
      <c r="I91" s="559"/>
      <c r="J91" s="624">
        <f>IF(C91=0,0,(C91/100)*(D91/100)*F91)</f>
        <v>0</v>
      </c>
      <c r="K91" s="624">
        <f>J91/0.8</f>
        <v>0</v>
      </c>
      <c r="L91" s="71">
        <f>IF(E91=0,0,VLOOKUP(E91,'Prix Matiere'!$A$4:$J$65,10))</f>
        <v>0</v>
      </c>
      <c r="M91" s="625">
        <f>L91*K91</f>
        <v>0</v>
      </c>
      <c r="N91" s="626">
        <f>IF(J91=0,0,(6.0924*J91)+10)</f>
        <v>0</v>
      </c>
      <c r="O91" s="625">
        <f>N91*'Objet 1'!MinuteMO</f>
        <v>0</v>
      </c>
      <c r="P91" s="559"/>
      <c r="Q91" s="627">
        <f>IF(J91=0,0,J91*VLOOKUP(E91,'[1]Prix Matiere'!$A$4:$L$60,12))</f>
        <v>0</v>
      </c>
      <c r="R91" s="559"/>
      <c r="S91" s="559"/>
      <c r="T91" s="559"/>
      <c r="U91" s="559"/>
      <c r="V91" s="559"/>
      <c r="W91" s="559"/>
      <c r="X91" s="559"/>
      <c r="Y91" s="559"/>
      <c r="Z91" s="559"/>
      <c r="AA91" s="559"/>
      <c r="AB91" s="559"/>
      <c r="AC91" s="559"/>
      <c r="AD91" s="559"/>
      <c r="AE91" s="559"/>
      <c r="AF91" s="559"/>
      <c r="AG91" s="559"/>
    </row>
    <row r="92" spans="1:33" ht="18" x14ac:dyDescent="0.35">
      <c r="A92" s="559"/>
      <c r="B92" s="559"/>
      <c r="C92" s="559"/>
      <c r="D92" s="559"/>
      <c r="E92" s="559"/>
      <c r="F92" s="559"/>
      <c r="G92" s="559"/>
      <c r="H92" s="559"/>
      <c r="I92" s="559"/>
      <c r="J92" s="624"/>
      <c r="K92" s="624"/>
      <c r="L92" s="71">
        <f>IF(E92=0,0,VLOOKUP(E92,'Prix Matiere'!$A$4:$J$65,10))</f>
        <v>0</v>
      </c>
      <c r="M92" s="625"/>
      <c r="N92" s="626"/>
      <c r="O92" s="625"/>
      <c r="P92" s="559"/>
      <c r="Q92" s="627"/>
      <c r="R92" s="559"/>
      <c r="S92" s="559"/>
      <c r="T92" s="559"/>
      <c r="U92" s="559"/>
      <c r="V92" s="559"/>
      <c r="W92" s="559"/>
      <c r="X92" s="559"/>
      <c r="Y92" s="559"/>
      <c r="Z92" s="559"/>
      <c r="AA92" s="559"/>
      <c r="AB92" s="559"/>
      <c r="AC92" s="559"/>
      <c r="AD92" s="559"/>
      <c r="AE92" s="559"/>
      <c r="AF92" s="559"/>
      <c r="AG92" s="559"/>
    </row>
    <row r="93" spans="1:33" ht="18" x14ac:dyDescent="0.35">
      <c r="A93" s="559"/>
      <c r="B93" s="559" t="s">
        <v>310</v>
      </c>
      <c r="C93" s="559">
        <f>IF(VLOOKUP($C$33,A137:S150,18)+VLOOKUP($C$17,A155:S161,18)=2,C89-3,IF(VLOOKUP($C$33,A137:S150,19)+VLOOKUP($C$17,A155:S161,19)=2,C89,C89))</f>
        <v>60.2</v>
      </c>
      <c r="D93" s="559">
        <f>IF(VLOOKUP($C$33,A137:S150,18)+VLOOKUP($C$17,A155:S161,18)=2,D89,IF(VLOOKUP($C$33,A137:S150,19)+VLOOKUP($C$17,A155:S161,19)=2,D89-3,D89))</f>
        <v>40.200000000000003</v>
      </c>
      <c r="E93" s="559">
        <f>E89</f>
        <v>60.5</v>
      </c>
      <c r="F93" s="559"/>
      <c r="G93" s="559"/>
      <c r="H93" s="559"/>
      <c r="I93" s="559"/>
      <c r="J93" s="624"/>
      <c r="K93" s="624"/>
      <c r="L93" s="71"/>
      <c r="M93" s="625"/>
      <c r="N93" s="626"/>
      <c r="O93" s="625"/>
      <c r="P93" s="559"/>
      <c r="Q93" s="627">
        <f>IF(J93=0,0,J93*VLOOKUP(E93,'[1]Prix Matiere'!$A$4:$L$60,12))</f>
        <v>0</v>
      </c>
      <c r="R93" s="559"/>
      <c r="S93" s="559"/>
      <c r="T93" s="559"/>
      <c r="U93" s="559"/>
      <c r="V93" s="559"/>
      <c r="W93" s="559"/>
      <c r="X93" s="559"/>
      <c r="Y93" s="559"/>
      <c r="Z93" s="559"/>
      <c r="AA93" s="559"/>
      <c r="AB93" s="559"/>
      <c r="AC93" s="559"/>
      <c r="AD93" s="559"/>
      <c r="AE93" s="559"/>
      <c r="AF93" s="559"/>
      <c r="AG93" s="559"/>
    </row>
    <row r="94" spans="1:33" ht="18" x14ac:dyDescent="0.35">
      <c r="A94" s="559"/>
      <c r="B94" s="559"/>
      <c r="C94" s="559"/>
      <c r="D94" s="559"/>
      <c r="E94" s="559"/>
      <c r="F94" s="559"/>
      <c r="G94" s="559"/>
      <c r="H94" s="559"/>
      <c r="I94" s="559"/>
      <c r="J94" s="624"/>
      <c r="K94" s="624"/>
      <c r="L94" s="71">
        <f>IF(E94=0,0,VLOOKUP(E94,'Prix Matiere'!$A$4:$J$65,10))</f>
        <v>0</v>
      </c>
      <c r="M94" s="625"/>
      <c r="N94" s="626"/>
      <c r="O94" s="625"/>
      <c r="P94" s="559"/>
      <c r="Q94" s="627"/>
      <c r="R94" s="559"/>
      <c r="S94" s="559"/>
      <c r="T94" s="559"/>
      <c r="U94" s="559"/>
      <c r="V94" s="559"/>
      <c r="W94" s="559"/>
      <c r="X94" s="559"/>
      <c r="Y94" s="559"/>
      <c r="Z94" s="559"/>
      <c r="AA94" s="559"/>
      <c r="AB94" s="559"/>
      <c r="AC94" s="559"/>
      <c r="AD94" s="559"/>
      <c r="AE94" s="559"/>
      <c r="AF94" s="559"/>
      <c r="AG94" s="559"/>
    </row>
    <row r="95" spans="1:33" ht="18" x14ac:dyDescent="0.35">
      <c r="A95" s="559"/>
      <c r="B95" s="560" t="s">
        <v>311</v>
      </c>
      <c r="C95" s="559"/>
      <c r="D95" s="559"/>
      <c r="E95" s="559"/>
      <c r="F95" s="559"/>
      <c r="G95" s="559"/>
      <c r="H95" s="559"/>
      <c r="I95" s="559"/>
      <c r="J95" s="624"/>
      <c r="K95" s="624"/>
      <c r="L95" s="71">
        <f>IF(E95=0,0,VLOOKUP(E95,'Prix Matiere'!$A$4:$J$65,10))</f>
        <v>0</v>
      </c>
      <c r="M95" s="625"/>
      <c r="N95" s="626"/>
      <c r="O95" s="625"/>
      <c r="P95" s="559"/>
      <c r="Q95" s="627"/>
      <c r="R95" s="559"/>
      <c r="S95" s="559"/>
      <c r="T95" s="559"/>
      <c r="U95" s="559"/>
      <c r="V95" s="559"/>
      <c r="W95" s="559"/>
      <c r="X95" s="559"/>
      <c r="Y95" s="559"/>
      <c r="Z95" s="559"/>
      <c r="AA95" s="559"/>
      <c r="AB95" s="559"/>
      <c r="AC95" s="559"/>
      <c r="AD95" s="559"/>
      <c r="AE95" s="559"/>
      <c r="AF95" s="559"/>
      <c r="AG95" s="559"/>
    </row>
    <row r="96" spans="1:33" ht="18" x14ac:dyDescent="0.35">
      <c r="A96" s="559"/>
      <c r="B96" s="629" t="str">
        <f>C33</f>
        <v>Ecrin horizontal</v>
      </c>
      <c r="C96" s="622"/>
      <c r="D96" s="630" t="s">
        <v>28</v>
      </c>
      <c r="E96" s="630" t="s">
        <v>33</v>
      </c>
      <c r="F96" s="631" t="s">
        <v>34</v>
      </c>
      <c r="G96" s="559"/>
      <c r="H96" s="559"/>
      <c r="I96" s="559"/>
      <c r="J96" s="624"/>
      <c r="K96" s="624"/>
      <c r="L96" s="71">
        <f>IF(E96=0,0,VLOOKUP(E96,'Prix Matiere'!$A$4:$J$65,10))</f>
        <v>5.3608247422680417</v>
      </c>
      <c r="M96" s="625"/>
      <c r="N96" s="626"/>
      <c r="O96" s="625"/>
      <c r="P96" s="559"/>
      <c r="Q96" s="627"/>
      <c r="R96" s="559"/>
      <c r="S96" s="559"/>
      <c r="T96" s="559"/>
      <c r="U96" s="559"/>
      <c r="V96" s="559"/>
      <c r="W96" s="559"/>
      <c r="X96" s="559"/>
      <c r="Y96" s="559"/>
      <c r="Z96" s="559"/>
      <c r="AA96" s="559"/>
      <c r="AB96" s="559"/>
      <c r="AC96" s="559"/>
      <c r="AD96" s="559"/>
      <c r="AE96" s="559"/>
      <c r="AF96" s="559"/>
      <c r="AG96" s="559"/>
    </row>
    <row r="97" spans="1:33" ht="18" x14ac:dyDescent="0.35">
      <c r="A97" s="559"/>
      <c r="B97" s="622" t="s">
        <v>22</v>
      </c>
      <c r="C97" s="584">
        <f>VLOOKUP($B$96,$A$228:$AG$241,2)</f>
        <v>0</v>
      </c>
      <c r="D97" s="631">
        <f>VLOOKUP($B$96,$A$228:$AG$241,3)</f>
        <v>0</v>
      </c>
      <c r="E97" s="631">
        <f>VLOOKUP($B$96,$A$228:$AG$241,4)</f>
        <v>0</v>
      </c>
      <c r="F97" s="631">
        <f>VLOOKUP($B$96,$A$228:$AG$241,5)</f>
        <v>0</v>
      </c>
      <c r="G97" s="559">
        <f t="shared" ref="G97:G99" si="37">IF(D97=0,0,"Barres 21 R4F")</f>
        <v>0</v>
      </c>
      <c r="H97" s="559"/>
      <c r="I97" s="559"/>
      <c r="J97" s="624">
        <f t="shared" ref="J97:J108" si="38">IF(D97=0,0,(D97/100)*(E97/100)*F97)</f>
        <v>0</v>
      </c>
      <c r="K97" s="624">
        <f t="shared" ref="K97:K108" si="39">J97/0.8</f>
        <v>0</v>
      </c>
      <c r="L97" s="71">
        <f>IF(J97=0,0,VLOOKUP(C97,'Prix Matiere'!$A$4:$J$65,10))</f>
        <v>0</v>
      </c>
      <c r="M97" s="625">
        <f t="shared" ref="M97:M108" si="40">L97*K97</f>
        <v>0</v>
      </c>
      <c r="N97" s="626">
        <f t="shared" ref="N97:N99" si="41">IF(J97=0,0,2+(6*J97))</f>
        <v>0</v>
      </c>
      <c r="O97" s="625">
        <f t="shared" ref="O97:O108" si="42">N97*'Objet 1'!MinuteMO</f>
        <v>0</v>
      </c>
      <c r="P97" s="559"/>
      <c r="Q97" s="627">
        <v>0</v>
      </c>
      <c r="R97" s="559"/>
      <c r="S97" s="559"/>
      <c r="T97" s="559"/>
      <c r="U97" s="559"/>
      <c r="V97" s="559"/>
      <c r="W97" s="559"/>
      <c r="X97" s="559"/>
      <c r="Y97" s="559"/>
      <c r="Z97" s="559"/>
      <c r="AA97" s="559"/>
      <c r="AB97" s="559"/>
      <c r="AC97" s="559"/>
      <c r="AD97" s="559"/>
      <c r="AE97" s="559"/>
      <c r="AF97" s="559"/>
      <c r="AG97" s="559"/>
    </row>
    <row r="98" spans="1:33" ht="18" x14ac:dyDescent="0.35">
      <c r="A98" s="559"/>
      <c r="B98" s="622"/>
      <c r="C98" s="584">
        <f>VLOOKUP($B$96,$A$228:$AG$241,6)</f>
        <v>0</v>
      </c>
      <c r="D98" s="631">
        <f>VLOOKUP($B$96,$A$228:$AG$241,7)</f>
        <v>0</v>
      </c>
      <c r="E98" s="631">
        <f>VLOOKUP($B$96,$A$228:$AG$241,8)</f>
        <v>0</v>
      </c>
      <c r="F98" s="631">
        <f>VLOOKUP($B$96,$A$228:$AG$241,9)</f>
        <v>0</v>
      </c>
      <c r="G98" s="559">
        <f t="shared" si="37"/>
        <v>0</v>
      </c>
      <c r="H98" s="559"/>
      <c r="I98" s="559"/>
      <c r="J98" s="624">
        <f t="shared" si="38"/>
        <v>0</v>
      </c>
      <c r="K98" s="624">
        <f t="shared" si="39"/>
        <v>0</v>
      </c>
      <c r="L98" s="71">
        <f>IF(J98=0,0,VLOOKUP(C98,'Prix Matiere'!$A$4:$J$65,10))</f>
        <v>0</v>
      </c>
      <c r="M98" s="625">
        <f t="shared" si="40"/>
        <v>0</v>
      </c>
      <c r="N98" s="626">
        <f t="shared" si="41"/>
        <v>0</v>
      </c>
      <c r="O98" s="625">
        <f t="shared" si="42"/>
        <v>0</v>
      </c>
      <c r="P98" s="559"/>
      <c r="Q98" s="627">
        <v>0</v>
      </c>
      <c r="R98" s="559"/>
      <c r="S98" s="559"/>
      <c r="T98" s="559"/>
      <c r="U98" s="559"/>
      <c r="V98" s="559"/>
      <c r="W98" s="559"/>
      <c r="X98" s="559"/>
      <c r="Y98" s="559"/>
      <c r="Z98" s="559"/>
      <c r="AA98" s="559"/>
      <c r="AB98" s="559"/>
      <c r="AC98" s="559"/>
      <c r="AD98" s="559"/>
      <c r="AE98" s="559"/>
      <c r="AF98" s="559"/>
      <c r="AG98" s="559"/>
    </row>
    <row r="99" spans="1:33" ht="18" x14ac:dyDescent="0.35">
      <c r="A99" s="559"/>
      <c r="B99" s="622"/>
      <c r="C99" s="584">
        <f>VLOOKUP($B$96,$A$228:$AG$241,10)</f>
        <v>0</v>
      </c>
      <c r="D99" s="631">
        <f>VLOOKUP($B$96,$A$228:$AG$241,11)</f>
        <v>0</v>
      </c>
      <c r="E99" s="631">
        <f>VLOOKUP($B$96,$A$228:$AG$241,12)</f>
        <v>0</v>
      </c>
      <c r="F99" s="631">
        <f>VLOOKUP($B$96,$A$228:$AG$241,13)</f>
        <v>0</v>
      </c>
      <c r="G99" s="559">
        <f t="shared" si="37"/>
        <v>0</v>
      </c>
      <c r="H99" s="559"/>
      <c r="I99" s="559"/>
      <c r="J99" s="624">
        <f t="shared" si="38"/>
        <v>0</v>
      </c>
      <c r="K99" s="624">
        <f t="shared" si="39"/>
        <v>0</v>
      </c>
      <c r="L99" s="71">
        <f>IF(J99=0,0,VLOOKUP(C99,'Prix Matiere'!$A$4:$J$65,10))</f>
        <v>0</v>
      </c>
      <c r="M99" s="625">
        <f t="shared" si="40"/>
        <v>0</v>
      </c>
      <c r="N99" s="626">
        <f t="shared" si="41"/>
        <v>0</v>
      </c>
      <c r="O99" s="625">
        <f t="shared" si="42"/>
        <v>0</v>
      </c>
      <c r="P99" s="559"/>
      <c r="Q99" s="627">
        <v>0</v>
      </c>
      <c r="R99" s="559"/>
      <c r="S99" s="559"/>
      <c r="T99" s="559"/>
      <c r="U99" s="559"/>
      <c r="V99" s="559"/>
      <c r="W99" s="559"/>
      <c r="X99" s="559"/>
      <c r="Y99" s="559"/>
      <c r="Z99" s="559"/>
      <c r="AA99" s="559"/>
      <c r="AB99" s="559"/>
      <c r="AC99" s="559"/>
      <c r="AD99" s="559"/>
      <c r="AE99" s="559"/>
      <c r="AF99" s="559"/>
      <c r="AG99" s="559"/>
    </row>
    <row r="100" spans="1:33" ht="18" x14ac:dyDescent="0.35">
      <c r="A100" s="559"/>
      <c r="B100" s="622" t="s">
        <v>80</v>
      </c>
      <c r="C100" s="584" t="str">
        <f>VLOOKUP($B$96,$A$228:$AG$241,14)</f>
        <v>PU 50 mm</v>
      </c>
      <c r="D100" s="631">
        <f>VLOOKUP($B$96,$A$228:$AG$241,15)</f>
        <v>59.900000000000006</v>
      </c>
      <c r="E100" s="631">
        <f>VLOOKUP($B$96,$A$228:$AG$241,16)</f>
        <v>39.900000000000006</v>
      </c>
      <c r="F100" s="631">
        <f>VLOOKUP($B$96,$A$228:$AG$241,17)</f>
        <v>11.1</v>
      </c>
      <c r="G100" s="559" t="str">
        <f t="shared" ref="G100:G107" si="43">C100</f>
        <v>PU 50 mm</v>
      </c>
      <c r="H100" s="559"/>
      <c r="I100" s="559"/>
      <c r="J100" s="624">
        <f t="shared" si="38"/>
        <v>2.6529111000000007</v>
      </c>
      <c r="K100" s="624">
        <f t="shared" si="39"/>
        <v>3.3161388750000009</v>
      </c>
      <c r="L100" s="71">
        <f>IF(J100=0,0,VLOOKUP(C100,'Prix Matiere'!$A$4:$J$65,10))</f>
        <v>9.5670103092783503</v>
      </c>
      <c r="M100" s="625">
        <f t="shared" si="40"/>
        <v>31.725534804123718</v>
      </c>
      <c r="N100" s="626">
        <f t="shared" ref="N100:N108" si="44">IF(J100=0,0,4.7283*J100+2)</f>
        <v>14.543759554130004</v>
      </c>
      <c r="O100" s="625">
        <f t="shared" si="42"/>
        <v>12.362195621010503</v>
      </c>
      <c r="P100" s="559"/>
      <c r="Q100" s="627" t="s">
        <v>663</v>
      </c>
      <c r="R100" s="559"/>
      <c r="S100" s="559"/>
      <c r="T100" s="559"/>
      <c r="U100" s="559"/>
      <c r="V100" s="559"/>
      <c r="W100" s="559"/>
      <c r="X100" s="559"/>
      <c r="Y100" s="559"/>
      <c r="Z100" s="559"/>
      <c r="AA100" s="559"/>
      <c r="AB100" s="559"/>
      <c r="AC100" s="559"/>
      <c r="AD100" s="559"/>
      <c r="AE100" s="559"/>
      <c r="AF100" s="559"/>
      <c r="AG100" s="559"/>
    </row>
    <row r="101" spans="1:33" ht="18" x14ac:dyDescent="0.35">
      <c r="A101" s="559"/>
      <c r="B101" s="622">
        <f>IF(B96="Mousse à ras + Guillotines verticales","Bandes de Longueur",0)</f>
        <v>0</v>
      </c>
      <c r="C101" s="584">
        <f>VLOOKUP($B$96,$A$228:$AG$241,18)</f>
        <v>0</v>
      </c>
      <c r="D101" s="631">
        <f>VLOOKUP($B$96,$A$228:$AG$241,19)</f>
        <v>0</v>
      </c>
      <c r="E101" s="631">
        <f>VLOOKUP($B$96,$A$228:$AG$241,20)</f>
        <v>0</v>
      </c>
      <c r="F101" s="631">
        <f>VLOOKUP($B$96,$A$228:$AG$241,21)</f>
        <v>0</v>
      </c>
      <c r="G101" s="559">
        <f t="shared" si="43"/>
        <v>0</v>
      </c>
      <c r="H101" s="559"/>
      <c r="I101" s="559"/>
      <c r="J101" s="624">
        <f t="shared" si="38"/>
        <v>0</v>
      </c>
      <c r="K101" s="624">
        <f t="shared" si="39"/>
        <v>0</v>
      </c>
      <c r="L101" s="71">
        <f>IF(J101=0,0,VLOOKUP(C101,'Prix Matiere'!$A$4:$J$65,10))</f>
        <v>0</v>
      </c>
      <c r="M101" s="625">
        <f t="shared" si="40"/>
        <v>0</v>
      </c>
      <c r="N101" s="626">
        <f t="shared" si="44"/>
        <v>0</v>
      </c>
      <c r="O101" s="625">
        <f t="shared" si="42"/>
        <v>0</v>
      </c>
      <c r="P101" s="559"/>
      <c r="Q101" s="627" t="s">
        <v>663</v>
      </c>
      <c r="R101" s="559"/>
      <c r="S101" s="559"/>
      <c r="T101" s="559"/>
      <c r="U101" s="559"/>
      <c r="V101" s="559"/>
      <c r="W101" s="559"/>
      <c r="X101" s="559"/>
      <c r="Y101" s="559"/>
      <c r="Z101" s="559"/>
      <c r="AA101" s="559"/>
      <c r="AB101" s="559"/>
      <c r="AC101" s="559"/>
      <c r="AD101" s="559"/>
      <c r="AE101" s="559"/>
      <c r="AF101" s="559"/>
      <c r="AG101" s="559"/>
    </row>
    <row r="102" spans="1:33" ht="18" x14ac:dyDescent="0.35">
      <c r="A102" s="559"/>
      <c r="B102" s="622">
        <f>IF(B96="Mousse à ras + Guillotines verticales","Bandes de Largeur",0)</f>
        <v>0</v>
      </c>
      <c r="C102" s="584">
        <f>VLOOKUP($B$96,$A$228:$AG$241,28)</f>
        <v>0</v>
      </c>
      <c r="D102" s="631">
        <f>VLOOKUP($B$96,$A$228:$AG$241,29)</f>
        <v>0</v>
      </c>
      <c r="E102" s="631">
        <f>VLOOKUP($B$96,$A$228:$AG$241,30)</f>
        <v>0</v>
      </c>
      <c r="F102" s="631">
        <f>VLOOKUP($B$96,$A$228:$AG$241,31)</f>
        <v>0</v>
      </c>
      <c r="G102" s="559">
        <f t="shared" si="43"/>
        <v>0</v>
      </c>
      <c r="H102" s="559"/>
      <c r="I102" s="559"/>
      <c r="J102" s="624">
        <f t="shared" si="38"/>
        <v>0</v>
      </c>
      <c r="K102" s="624">
        <f t="shared" si="39"/>
        <v>0</v>
      </c>
      <c r="L102" s="71">
        <f>IF(J102=0,0,VLOOKUP(C102,'Prix Matiere'!$A$4:$J$65,10))</f>
        <v>0</v>
      </c>
      <c r="M102" s="625">
        <f t="shared" si="40"/>
        <v>0</v>
      </c>
      <c r="N102" s="626">
        <f t="shared" si="44"/>
        <v>0</v>
      </c>
      <c r="O102" s="625">
        <f t="shared" si="42"/>
        <v>0</v>
      </c>
      <c r="P102" s="559"/>
      <c r="Q102" s="627" t="s">
        <v>663</v>
      </c>
      <c r="R102" s="559"/>
      <c r="S102" s="559"/>
      <c r="T102" s="559"/>
      <c r="U102" s="559"/>
      <c r="V102" s="559"/>
      <c r="W102" s="559"/>
      <c r="X102" s="559"/>
      <c r="Y102" s="559"/>
      <c r="Z102" s="559"/>
      <c r="AA102" s="559"/>
      <c r="AB102" s="559"/>
      <c r="AC102" s="559"/>
      <c r="AD102" s="559"/>
      <c r="AE102" s="559"/>
      <c r="AF102" s="559"/>
      <c r="AG102" s="559"/>
    </row>
    <row r="103" spans="1:33" ht="18" x14ac:dyDescent="0.35">
      <c r="A103" s="559"/>
      <c r="B103" s="584"/>
      <c r="C103" s="584" t="str">
        <f>VLOOKUP($B$96,$A$228:$AG$241,22)</f>
        <v>Stratocell 50 mm</v>
      </c>
      <c r="D103" s="631">
        <f>VLOOKUP($B$96,$A$228:$AG$241,25)</f>
        <v>60.2</v>
      </c>
      <c r="E103" s="631">
        <f>VLOOKUP($B$96,$A$228:$AG$241,26)</f>
        <v>40.200000000000003</v>
      </c>
      <c r="F103" s="631">
        <f>IF(C103="Aucun",0,1)</f>
        <v>1</v>
      </c>
      <c r="G103" s="559" t="str">
        <f t="shared" si="43"/>
        <v>Stratocell 50 mm</v>
      </c>
      <c r="H103" s="559"/>
      <c r="I103" s="559"/>
      <c r="J103" s="624">
        <f t="shared" si="38"/>
        <v>0.242004</v>
      </c>
      <c r="K103" s="624">
        <f t="shared" si="39"/>
        <v>0.30250499999999997</v>
      </c>
      <c r="L103" s="71">
        <f>IF(J103=0,0,VLOOKUP(C103,'Prix Matiere'!$A$4:$J$65,10))</f>
        <v>9.391752577319588</v>
      </c>
      <c r="M103" s="625">
        <f t="shared" si="40"/>
        <v>2.8410521134020619</v>
      </c>
      <c r="N103" s="626">
        <f t="shared" si="44"/>
        <v>3.1442675132</v>
      </c>
      <c r="O103" s="625">
        <f t="shared" si="42"/>
        <v>2.6726273862199998</v>
      </c>
      <c r="P103" s="559"/>
      <c r="Q103" s="627" t="s">
        <v>663</v>
      </c>
      <c r="R103" s="559"/>
      <c r="S103" s="559"/>
      <c r="T103" s="559"/>
      <c r="U103" s="559"/>
      <c r="V103" s="559"/>
      <c r="W103" s="559"/>
      <c r="X103" s="559"/>
      <c r="Y103" s="559"/>
      <c r="Z103" s="559"/>
      <c r="AA103" s="559"/>
      <c r="AB103" s="559"/>
      <c r="AC103" s="559"/>
      <c r="AD103" s="559"/>
      <c r="AE103" s="559"/>
      <c r="AF103" s="559"/>
      <c r="AG103" s="559"/>
    </row>
    <row r="104" spans="1:33" ht="18" x14ac:dyDescent="0.35">
      <c r="A104" s="559"/>
      <c r="B104" s="584"/>
      <c r="C104" s="584"/>
      <c r="D104" s="631"/>
      <c r="E104" s="631"/>
      <c r="F104" s="631"/>
      <c r="G104" s="559">
        <f t="shared" si="43"/>
        <v>0</v>
      </c>
      <c r="H104" s="559"/>
      <c r="I104" s="559"/>
      <c r="J104" s="624">
        <f t="shared" si="38"/>
        <v>0</v>
      </c>
      <c r="K104" s="624">
        <f t="shared" si="39"/>
        <v>0</v>
      </c>
      <c r="L104" s="71">
        <f>IF(J104=0,0,VLOOKUP(C104,'Prix Matiere'!$A$4:$J$65,10))</f>
        <v>0</v>
      </c>
      <c r="M104" s="625">
        <f t="shared" si="40"/>
        <v>0</v>
      </c>
      <c r="N104" s="626">
        <f t="shared" si="44"/>
        <v>0</v>
      </c>
      <c r="O104" s="625">
        <f t="shared" si="42"/>
        <v>0</v>
      </c>
      <c r="P104" s="559"/>
      <c r="Q104" s="627">
        <v>0</v>
      </c>
      <c r="R104" s="559"/>
      <c r="S104" s="559"/>
      <c r="T104" s="559"/>
      <c r="U104" s="559"/>
      <c r="V104" s="559"/>
      <c r="W104" s="559"/>
      <c r="X104" s="559"/>
      <c r="Y104" s="559"/>
      <c r="Z104" s="559"/>
      <c r="AA104" s="559"/>
      <c r="AB104" s="559"/>
      <c r="AC104" s="559"/>
      <c r="AD104" s="559"/>
      <c r="AE104" s="559"/>
      <c r="AF104" s="559"/>
      <c r="AG104" s="559"/>
    </row>
    <row r="105" spans="1:33" ht="18" x14ac:dyDescent="0.35">
      <c r="A105" s="559"/>
      <c r="B105" s="584"/>
      <c r="C105" s="584"/>
      <c r="D105" s="630"/>
      <c r="E105" s="630"/>
      <c r="F105" s="631"/>
      <c r="G105" s="559">
        <f t="shared" si="43"/>
        <v>0</v>
      </c>
      <c r="H105" s="559"/>
      <c r="I105" s="559"/>
      <c r="J105" s="624">
        <f t="shared" si="38"/>
        <v>0</v>
      </c>
      <c r="K105" s="624">
        <f t="shared" si="39"/>
        <v>0</v>
      </c>
      <c r="L105" s="71">
        <f>IF(J105=0,0,VLOOKUP(C105,'Prix Matiere'!$A$4:$J$65,10))</f>
        <v>0</v>
      </c>
      <c r="M105" s="625">
        <f t="shared" si="40"/>
        <v>0</v>
      </c>
      <c r="N105" s="626">
        <f t="shared" si="44"/>
        <v>0</v>
      </c>
      <c r="O105" s="625">
        <f t="shared" si="42"/>
        <v>0</v>
      </c>
      <c r="P105" s="559"/>
      <c r="Q105" s="627">
        <v>0</v>
      </c>
      <c r="R105" s="559"/>
      <c r="S105" s="559"/>
      <c r="T105" s="559"/>
      <c r="U105" s="559"/>
      <c r="V105" s="559"/>
      <c r="W105" s="559"/>
      <c r="X105" s="559"/>
      <c r="Y105" s="559"/>
      <c r="Z105" s="559"/>
      <c r="AA105" s="559"/>
      <c r="AB105" s="559"/>
      <c r="AC105" s="559"/>
      <c r="AD105" s="559"/>
      <c r="AE105" s="559"/>
      <c r="AF105" s="559"/>
      <c r="AG105" s="559"/>
    </row>
    <row r="106" spans="1:33" ht="18" x14ac:dyDescent="0.35">
      <c r="A106" s="559"/>
      <c r="B106" s="584"/>
      <c r="C106" s="584"/>
      <c r="D106" s="630"/>
      <c r="E106" s="630"/>
      <c r="F106" s="631"/>
      <c r="G106" s="559">
        <f t="shared" si="43"/>
        <v>0</v>
      </c>
      <c r="H106" s="559"/>
      <c r="I106" s="559"/>
      <c r="J106" s="624">
        <f t="shared" si="38"/>
        <v>0</v>
      </c>
      <c r="K106" s="624">
        <f t="shared" si="39"/>
        <v>0</v>
      </c>
      <c r="L106" s="71">
        <f>IF(J106=0,0,VLOOKUP(C106,'Prix Matiere'!$A$4:$J$65,10))</f>
        <v>0</v>
      </c>
      <c r="M106" s="625">
        <f t="shared" si="40"/>
        <v>0</v>
      </c>
      <c r="N106" s="626">
        <f t="shared" si="44"/>
        <v>0</v>
      </c>
      <c r="O106" s="625">
        <f t="shared" si="42"/>
        <v>0</v>
      </c>
      <c r="P106" s="559"/>
      <c r="Q106" s="627">
        <v>0</v>
      </c>
      <c r="R106" s="559"/>
      <c r="S106" s="559"/>
      <c r="T106" s="559"/>
      <c r="U106" s="559"/>
      <c r="V106" s="559"/>
      <c r="W106" s="559"/>
      <c r="X106" s="559"/>
      <c r="Y106" s="559"/>
      <c r="Z106" s="559"/>
      <c r="AA106" s="559"/>
      <c r="AB106" s="559"/>
      <c r="AC106" s="559"/>
      <c r="AD106" s="559"/>
      <c r="AE106" s="559"/>
      <c r="AF106" s="559"/>
      <c r="AG106" s="559"/>
    </row>
    <row r="107" spans="1:33" ht="18" x14ac:dyDescent="0.35">
      <c r="A107" s="559"/>
      <c r="B107" s="584"/>
      <c r="C107" s="584"/>
      <c r="D107" s="630"/>
      <c r="E107" s="630"/>
      <c r="F107" s="631"/>
      <c r="G107" s="559">
        <f t="shared" si="43"/>
        <v>0</v>
      </c>
      <c r="H107" s="559"/>
      <c r="I107" s="559"/>
      <c r="J107" s="624">
        <f t="shared" si="38"/>
        <v>0</v>
      </c>
      <c r="K107" s="624">
        <f t="shared" si="39"/>
        <v>0</v>
      </c>
      <c r="L107" s="71">
        <f>IF(J107=0,0,VLOOKUP(C107,'Prix Matiere'!$A$4:$J$65,10))</f>
        <v>0</v>
      </c>
      <c r="M107" s="625">
        <f t="shared" si="40"/>
        <v>0</v>
      </c>
      <c r="N107" s="626">
        <f t="shared" si="44"/>
        <v>0</v>
      </c>
      <c r="O107" s="625">
        <f t="shared" si="42"/>
        <v>0</v>
      </c>
      <c r="P107" s="559"/>
      <c r="Q107" s="627">
        <v>0</v>
      </c>
      <c r="R107" s="559"/>
      <c r="S107" s="559"/>
      <c r="T107" s="559"/>
      <c r="U107" s="559"/>
      <c r="V107" s="559"/>
      <c r="W107" s="559"/>
      <c r="X107" s="559"/>
      <c r="Y107" s="559"/>
      <c r="Z107" s="559"/>
      <c r="AA107" s="559"/>
      <c r="AB107" s="559"/>
      <c r="AC107" s="559"/>
      <c r="AD107" s="559"/>
      <c r="AE107" s="559"/>
      <c r="AF107" s="559"/>
      <c r="AG107" s="559"/>
    </row>
    <row r="108" spans="1:33" ht="18" x14ac:dyDescent="0.35">
      <c r="A108" s="559"/>
      <c r="B108" s="579" t="s">
        <v>176</v>
      </c>
      <c r="C108" s="584" t="str">
        <f>'Objet 1'!Plateau</f>
        <v>Aucun</v>
      </c>
      <c r="D108" s="630">
        <f>IF($C$108="Aucun",0,IF(C33="Mousse à ras + Guillotines verticales",'Objet 1'!Dimensions_intérieures_Cp_15_longueur-10.3,'Objet 1'!Dimensions_intérieures_Cp_15_longueur-0.3))</f>
        <v>0</v>
      </c>
      <c r="E108" s="630">
        <f>IF($C$108="Aucun",0,IF(C33="Mousse à ras + Guillotines verticales",'Objet 1'!Dimensions_intérieures_Cp_15_largeur-10.3,'Objet 1'!Dimensions_intérieures_Cp_15_largeur-0.3))</f>
        <v>0</v>
      </c>
      <c r="F108" s="631">
        <f>IF(C108="Aucun",0,1)</f>
        <v>0</v>
      </c>
      <c r="G108" s="559"/>
      <c r="H108" s="559"/>
      <c r="I108" s="559"/>
      <c r="J108" s="624">
        <f t="shared" si="38"/>
        <v>0</v>
      </c>
      <c r="K108" s="624">
        <f t="shared" si="39"/>
        <v>0</v>
      </c>
      <c r="L108" s="71">
        <f>IF(J108=0,0,VLOOKUP(C108,'Prix Matiere'!$A$4:$J$65,10))</f>
        <v>0</v>
      </c>
      <c r="M108" s="625">
        <f t="shared" si="40"/>
        <v>0</v>
      </c>
      <c r="N108" s="626">
        <f t="shared" si="44"/>
        <v>0</v>
      </c>
      <c r="O108" s="625">
        <f t="shared" si="42"/>
        <v>0</v>
      </c>
      <c r="P108" s="559"/>
      <c r="Q108" s="627">
        <f>IF(J108=0,0,J108*VLOOKUP(C108,A181:D187,4))</f>
        <v>0</v>
      </c>
      <c r="R108" s="559"/>
      <c r="S108" s="559"/>
      <c r="T108" s="559"/>
      <c r="U108" s="559"/>
      <c r="V108" s="559"/>
      <c r="W108" s="559"/>
      <c r="X108" s="559"/>
      <c r="Y108" s="559"/>
      <c r="Z108" s="559"/>
      <c r="AA108" s="559"/>
      <c r="AB108" s="559"/>
      <c r="AC108" s="559"/>
      <c r="AD108" s="559"/>
      <c r="AE108" s="559"/>
      <c r="AF108" s="559"/>
      <c r="AG108" s="559"/>
    </row>
    <row r="109" spans="1:33" ht="18" x14ac:dyDescent="0.35">
      <c r="A109" s="559"/>
      <c r="B109" s="559"/>
      <c r="C109" s="632"/>
      <c r="D109" s="632"/>
      <c r="E109" s="632"/>
      <c r="F109" s="559"/>
      <c r="G109" s="559"/>
      <c r="H109" s="559"/>
      <c r="I109" s="559"/>
      <c r="J109" s="624"/>
      <c r="K109" s="624"/>
      <c r="L109" s="71">
        <f>IF(J109=0,0,VLOOKUP(C109,'Prix Matiere'!$A$4:$J$65,10))</f>
        <v>0</v>
      </c>
      <c r="M109" s="625"/>
      <c r="N109" s="626"/>
      <c r="O109" s="625"/>
      <c r="P109" s="559"/>
      <c r="Q109" s="627">
        <f>IF(J109=0,0,J109*VLOOKUP(F109,'[1]Prix Matiere'!$A$4:$L$60,12))</f>
        <v>0</v>
      </c>
      <c r="R109" s="559"/>
      <c r="S109" s="559"/>
      <c r="T109" s="559"/>
      <c r="U109" s="559"/>
      <c r="V109" s="559"/>
      <c r="W109" s="559"/>
      <c r="X109" s="559"/>
      <c r="Y109" s="559"/>
      <c r="Z109" s="559"/>
      <c r="AA109" s="559"/>
      <c r="AB109" s="559"/>
      <c r="AC109" s="559"/>
      <c r="AD109" s="559"/>
      <c r="AE109" s="559"/>
      <c r="AF109" s="559"/>
      <c r="AG109" s="559"/>
    </row>
    <row r="110" spans="1:33" ht="18" x14ac:dyDescent="0.35">
      <c r="A110" s="573" t="str">
        <f>IF(F15="Oui","Cuvette",0)</f>
        <v>Cuvette</v>
      </c>
      <c r="B110" s="579">
        <f>IF($C$23="Non",0,"GC 15 mm")</f>
        <v>0</v>
      </c>
      <c r="C110" s="622">
        <f>IF($C$23="Oui",D39+3,0)</f>
        <v>0</v>
      </c>
      <c r="D110" s="622">
        <f>IF($C$23="Oui",F39,0)</f>
        <v>0</v>
      </c>
      <c r="E110" s="622">
        <f t="shared" ref="E110:E111" si="45">IF(C110=0,0,"Peuplier 15 mm")</f>
        <v>0</v>
      </c>
      <c r="F110" s="584">
        <f t="shared" ref="F110:F111" si="46">IF($C$23="Oui",2,0)</f>
        <v>0</v>
      </c>
      <c r="G110" s="559"/>
      <c r="H110" s="559"/>
      <c r="I110" s="559"/>
      <c r="J110" s="624">
        <f t="shared" ref="J110:J114" si="47">IF(D110=0,0,(C110/100)*(D110/100)*F110)</f>
        <v>0</v>
      </c>
      <c r="K110" s="624">
        <f t="shared" ref="K110:K114" si="48">J110/0.8</f>
        <v>0</v>
      </c>
      <c r="L110" s="71">
        <f>IF(J110=0,0,VLOOKUP(C110,'Prix Matiere'!$A$4:$J$65,10))</f>
        <v>0</v>
      </c>
      <c r="M110" s="625">
        <f t="shared" ref="M110:M112" si="49">L110*K110</f>
        <v>0</v>
      </c>
      <c r="N110" s="626">
        <f t="shared" ref="N110:N112" si="50">IF(J110=0,0,(6.0924*J110)+10)</f>
        <v>0</v>
      </c>
      <c r="O110" s="625">
        <f t="shared" ref="O110:O112" si="51">N110*'Objet 1'!MinuteMO</f>
        <v>0</v>
      </c>
      <c r="P110" s="559"/>
      <c r="Q110" s="627">
        <v>0</v>
      </c>
      <c r="R110" s="559"/>
      <c r="S110" s="559"/>
      <c r="T110" s="559"/>
      <c r="U110" s="559"/>
      <c r="V110" s="559"/>
      <c r="W110" s="559"/>
      <c r="X110" s="559"/>
      <c r="Y110" s="559"/>
      <c r="Z110" s="559"/>
      <c r="AA110" s="559"/>
      <c r="AB110" s="559"/>
      <c r="AC110" s="559"/>
      <c r="AD110" s="559"/>
      <c r="AE110" s="559"/>
      <c r="AF110" s="559"/>
      <c r="AG110" s="559"/>
    </row>
    <row r="111" spans="1:33" ht="18" x14ac:dyDescent="0.35">
      <c r="A111" s="559"/>
      <c r="B111" s="579">
        <f>IF($C$23="Non",0,"Bouts 15 mm")</f>
        <v>0</v>
      </c>
      <c r="C111" s="622">
        <f>IF($C$23="Oui",E39,0)</f>
        <v>0</v>
      </c>
      <c r="D111" s="622">
        <f>D110</f>
        <v>0</v>
      </c>
      <c r="E111" s="622">
        <f t="shared" si="45"/>
        <v>0</v>
      </c>
      <c r="F111" s="584">
        <f t="shared" si="46"/>
        <v>0</v>
      </c>
      <c r="G111" s="559"/>
      <c r="H111" s="559"/>
      <c r="I111" s="559"/>
      <c r="J111" s="624">
        <f t="shared" si="47"/>
        <v>0</v>
      </c>
      <c r="K111" s="624">
        <f t="shared" si="48"/>
        <v>0</v>
      </c>
      <c r="L111" s="71">
        <f>IF(J111=0,0,VLOOKUP(C111,'Prix Matiere'!$A$4:$J$65,10))</f>
        <v>0</v>
      </c>
      <c r="M111" s="625">
        <f t="shared" si="49"/>
        <v>0</v>
      </c>
      <c r="N111" s="626">
        <f t="shared" si="50"/>
        <v>0</v>
      </c>
      <c r="O111" s="625">
        <f t="shared" si="51"/>
        <v>0</v>
      </c>
      <c r="P111" s="559"/>
      <c r="Q111" s="627">
        <v>0</v>
      </c>
      <c r="R111" s="559"/>
      <c r="S111" s="559"/>
      <c r="T111" s="559"/>
      <c r="U111" s="559"/>
      <c r="V111" s="559"/>
      <c r="W111" s="559"/>
      <c r="X111" s="559"/>
      <c r="Y111" s="559"/>
      <c r="Z111" s="559"/>
      <c r="AA111" s="559"/>
      <c r="AB111" s="559"/>
      <c r="AC111" s="559"/>
      <c r="AD111" s="559"/>
      <c r="AE111" s="559"/>
      <c r="AF111" s="559"/>
      <c r="AG111" s="559"/>
    </row>
    <row r="112" spans="1:33" ht="18" x14ac:dyDescent="0.35">
      <c r="A112" s="559"/>
      <c r="B112" s="579">
        <f>IF($C$23="Non",0,"Fond cp 10 mm")</f>
        <v>0</v>
      </c>
      <c r="C112" s="622">
        <f>IF($C$23="Oui",C110,0)</f>
        <v>0</v>
      </c>
      <c r="D112" s="622">
        <f>IF($C$23="Oui",C111+3,0)</f>
        <v>0</v>
      </c>
      <c r="E112" s="622">
        <f>IF(C112=0,0,"Peuplier 10 mm")</f>
        <v>0</v>
      </c>
      <c r="F112" s="584">
        <f>IF($C$23="Oui",1,0)</f>
        <v>0</v>
      </c>
      <c r="G112" s="559"/>
      <c r="H112" s="559"/>
      <c r="I112" s="559"/>
      <c r="J112" s="624">
        <f t="shared" si="47"/>
        <v>0</v>
      </c>
      <c r="K112" s="624">
        <f t="shared" si="48"/>
        <v>0</v>
      </c>
      <c r="L112" s="71">
        <f>IF(J112=0,0,VLOOKUP(C112,'Prix Matiere'!$A$4:$J$65,10))</f>
        <v>0</v>
      </c>
      <c r="M112" s="625">
        <f t="shared" si="49"/>
        <v>0</v>
      </c>
      <c r="N112" s="626">
        <f t="shared" si="50"/>
        <v>0</v>
      </c>
      <c r="O112" s="625">
        <f t="shared" si="51"/>
        <v>0</v>
      </c>
      <c r="P112" s="559"/>
      <c r="Q112" s="627">
        <v>0</v>
      </c>
      <c r="R112" s="559"/>
      <c r="S112" s="559"/>
      <c r="T112" s="559"/>
      <c r="U112" s="559"/>
      <c r="V112" s="559"/>
      <c r="W112" s="559"/>
      <c r="X112" s="559"/>
      <c r="Y112" s="559"/>
      <c r="Z112" s="559"/>
      <c r="AA112" s="559"/>
      <c r="AB112" s="559"/>
      <c r="AC112" s="559"/>
      <c r="AD112" s="559"/>
      <c r="AE112" s="559"/>
      <c r="AF112" s="559"/>
      <c r="AG112" s="559"/>
    </row>
    <row r="113" spans="1:33" ht="18" x14ac:dyDescent="0.35">
      <c r="A113" s="559"/>
      <c r="B113" s="579"/>
      <c r="C113" s="622"/>
      <c r="D113" s="622"/>
      <c r="E113" s="622"/>
      <c r="F113" s="584"/>
      <c r="G113" s="559"/>
      <c r="H113" s="559"/>
      <c r="I113" s="559"/>
      <c r="J113" s="624">
        <f t="shared" si="47"/>
        <v>0</v>
      </c>
      <c r="K113" s="624">
        <f t="shared" si="48"/>
        <v>0</v>
      </c>
      <c r="L113" s="71">
        <f>IF(J113=0,0,VLOOKUP(C113,'Prix Matiere'!$A$4:$J$65,10))</f>
        <v>0</v>
      </c>
      <c r="M113" s="625"/>
      <c r="N113" s="626"/>
      <c r="O113" s="625"/>
      <c r="P113" s="559"/>
      <c r="Q113" s="627">
        <v>0</v>
      </c>
      <c r="R113" s="559"/>
      <c r="S113" s="559"/>
      <c r="T113" s="559"/>
      <c r="U113" s="559"/>
      <c r="V113" s="559"/>
      <c r="W113" s="559"/>
      <c r="X113" s="559"/>
      <c r="Y113" s="559"/>
      <c r="Z113" s="559"/>
      <c r="AA113" s="559"/>
      <c r="AB113" s="559"/>
      <c r="AC113" s="559"/>
      <c r="AD113" s="559"/>
      <c r="AE113" s="559"/>
      <c r="AF113" s="559"/>
      <c r="AG113" s="559"/>
    </row>
    <row r="114" spans="1:33" ht="18" x14ac:dyDescent="0.35">
      <c r="A114" s="559"/>
      <c r="B114" s="579">
        <f>IF($C$23="Non",0,"Mousse")</f>
        <v>0</v>
      </c>
      <c r="C114" s="622">
        <f t="shared" ref="C114:D114" si="52">IF($C$23="Oui",D39,0)</f>
        <v>0</v>
      </c>
      <c r="D114" s="622">
        <f t="shared" si="52"/>
        <v>0</v>
      </c>
      <c r="E114" s="622">
        <f>IF($C$23="Non",0,"PU 50 mm")</f>
        <v>0</v>
      </c>
      <c r="F114" s="633">
        <f>IF($C$23="Oui",F39/5,0)</f>
        <v>0</v>
      </c>
      <c r="G114" s="559"/>
      <c r="H114" s="559"/>
      <c r="I114" s="559"/>
      <c r="J114" s="624">
        <f t="shared" si="47"/>
        <v>0</v>
      </c>
      <c r="K114" s="624">
        <f t="shared" si="48"/>
        <v>0</v>
      </c>
      <c r="L114" s="71">
        <f>IF(J114=0,0,VLOOKUP(C114,'Prix Matiere'!$A$4:$J$65,10))</f>
        <v>0</v>
      </c>
      <c r="M114" s="625">
        <f>L114*K114</f>
        <v>0</v>
      </c>
      <c r="N114" s="626">
        <f>IF(J114=0,0,4.7283*J114+2)</f>
        <v>0</v>
      </c>
      <c r="O114" s="625">
        <f>N114*'Objet 1'!MinuteMO</f>
        <v>0</v>
      </c>
      <c r="P114" s="559"/>
      <c r="Q114" s="627">
        <v>0</v>
      </c>
      <c r="R114" s="559"/>
      <c r="S114" s="559"/>
      <c r="T114" s="559"/>
      <c r="U114" s="559"/>
      <c r="V114" s="559"/>
      <c r="W114" s="559"/>
      <c r="X114" s="559"/>
      <c r="Y114" s="559"/>
      <c r="Z114" s="559"/>
      <c r="AA114" s="559"/>
      <c r="AB114" s="559"/>
      <c r="AC114" s="559"/>
      <c r="AD114" s="559"/>
      <c r="AE114" s="559"/>
      <c r="AF114" s="559"/>
      <c r="AG114" s="559"/>
    </row>
    <row r="115" spans="1:33" ht="18" x14ac:dyDescent="0.35">
      <c r="A115" s="559"/>
      <c r="B115" s="559"/>
      <c r="C115" s="632"/>
      <c r="D115" s="632"/>
      <c r="E115" s="632"/>
      <c r="F115" s="559"/>
      <c r="G115" s="559"/>
      <c r="H115" s="559"/>
      <c r="I115" s="559"/>
      <c r="J115" s="559"/>
      <c r="K115" s="559"/>
      <c r="L115" s="71">
        <f>IF(E115=0,0,VLOOKUP(E115,'Prix Matiere'!$A$4:$J$65,10))</f>
        <v>0</v>
      </c>
      <c r="M115" s="625"/>
      <c r="N115" s="626"/>
      <c r="O115" s="625"/>
      <c r="P115" s="559"/>
      <c r="Q115" s="559"/>
      <c r="R115" s="559"/>
      <c r="S115" s="559"/>
      <c r="T115" s="559"/>
      <c r="U115" s="559"/>
      <c r="V115" s="559"/>
      <c r="W115" s="559"/>
      <c r="X115" s="559"/>
      <c r="Y115" s="559"/>
      <c r="Z115" s="559"/>
      <c r="AA115" s="559"/>
      <c r="AB115" s="559"/>
      <c r="AC115" s="559"/>
      <c r="AD115" s="559"/>
      <c r="AE115" s="559"/>
      <c r="AF115" s="559"/>
      <c r="AG115" s="559"/>
    </row>
    <row r="116" spans="1:33" ht="18" x14ac:dyDescent="0.35">
      <c r="A116" s="559"/>
      <c r="B116" s="559"/>
      <c r="C116" s="559"/>
      <c r="D116" s="559"/>
      <c r="E116" s="559"/>
      <c r="F116" s="559"/>
      <c r="G116" s="559"/>
      <c r="H116" s="559"/>
      <c r="I116" s="559"/>
      <c r="J116" s="559"/>
      <c r="K116" s="559"/>
      <c r="L116" s="559"/>
      <c r="M116" s="559"/>
      <c r="N116" s="626"/>
      <c r="O116" s="559"/>
      <c r="P116" s="559"/>
      <c r="Q116" s="559"/>
      <c r="R116" s="559"/>
      <c r="S116" s="559"/>
      <c r="T116" s="559"/>
      <c r="U116" s="559"/>
      <c r="V116" s="559"/>
      <c r="W116" s="559"/>
      <c r="X116" s="559"/>
      <c r="Y116" s="559"/>
      <c r="Z116" s="559"/>
      <c r="AA116" s="559"/>
      <c r="AB116" s="559"/>
      <c r="AC116" s="559"/>
      <c r="AD116" s="559"/>
      <c r="AE116" s="559"/>
      <c r="AF116" s="559"/>
      <c r="AG116" s="559"/>
    </row>
    <row r="117" spans="1:33" ht="18" x14ac:dyDescent="0.35">
      <c r="A117" s="559"/>
      <c r="B117" s="559"/>
      <c r="C117" s="559"/>
      <c r="D117" s="559"/>
      <c r="E117" s="559"/>
      <c r="F117" s="559"/>
      <c r="G117" s="559"/>
      <c r="H117" s="559"/>
      <c r="I117" s="559"/>
      <c r="J117" s="559"/>
      <c r="K117" s="559"/>
      <c r="L117" s="559"/>
      <c r="M117" s="559"/>
      <c r="N117" s="626"/>
      <c r="O117" s="559"/>
      <c r="P117" s="559"/>
      <c r="Q117" s="559"/>
      <c r="R117" s="559"/>
      <c r="S117" s="559"/>
      <c r="T117" s="559"/>
      <c r="U117" s="559"/>
      <c r="V117" s="559"/>
      <c r="W117" s="559"/>
      <c r="X117" s="559"/>
      <c r="Y117" s="559"/>
      <c r="Z117" s="559"/>
      <c r="AA117" s="559"/>
      <c r="AB117" s="559"/>
      <c r="AC117" s="559"/>
      <c r="AD117" s="559"/>
      <c r="AE117" s="559"/>
      <c r="AF117" s="559"/>
      <c r="AG117" s="559"/>
    </row>
    <row r="118" spans="1:33" ht="46.2" x14ac:dyDescent="0.3">
      <c r="A118" s="634" t="s">
        <v>299</v>
      </c>
      <c r="B118" s="635">
        <f>IF(F23="Aucun",0,F23)</f>
        <v>0</v>
      </c>
      <c r="C118" s="634"/>
      <c r="D118" s="634"/>
      <c r="E118" s="634"/>
      <c r="F118" s="634"/>
      <c r="G118" s="634"/>
      <c r="H118" s="634"/>
      <c r="I118" s="634"/>
      <c r="J118" s="634"/>
      <c r="K118" s="634"/>
      <c r="L118" s="636"/>
      <c r="M118" s="636">
        <f>IF(B118=0,0,40)</f>
        <v>0</v>
      </c>
      <c r="N118" s="637">
        <f>IF(M118=0,0,20)</f>
        <v>0</v>
      </c>
      <c r="O118" s="636">
        <f t="shared" ref="O118:O120" si="53">N118*'Objet 1'!MinuteMO</f>
        <v>0</v>
      </c>
      <c r="P118" s="634"/>
      <c r="Q118" s="634"/>
      <c r="R118" s="634"/>
      <c r="S118" s="634"/>
      <c r="T118" s="634"/>
      <c r="U118" s="634"/>
      <c r="V118" s="634"/>
      <c r="W118" s="634"/>
      <c r="X118" s="634"/>
      <c r="Y118" s="634"/>
      <c r="Z118" s="634"/>
      <c r="AA118" s="634"/>
      <c r="AB118" s="634"/>
      <c r="AC118" s="634"/>
      <c r="AD118" s="634"/>
      <c r="AE118" s="634"/>
      <c r="AF118" s="634"/>
      <c r="AG118" s="634"/>
    </row>
    <row r="119" spans="1:33" ht="18" x14ac:dyDescent="0.35">
      <c r="A119" s="559" t="s">
        <v>19</v>
      </c>
      <c r="B119" s="559">
        <f>IF(F19="Non",0,"Peinture")</f>
        <v>0</v>
      </c>
      <c r="C119" s="559"/>
      <c r="D119" s="559"/>
      <c r="E119" s="559"/>
      <c r="F119" s="559"/>
      <c r="G119" s="559"/>
      <c r="H119" s="559"/>
      <c r="I119" s="559"/>
      <c r="J119" s="559">
        <f>IF(B119=0,0,(((C44/100)*(D44/100))+((C44/100)*(E44/100))+((D44/100)*(E44/100)))*2)</f>
        <v>0</v>
      </c>
      <c r="K119" s="559">
        <f>J119*0.5</f>
        <v>0</v>
      </c>
      <c r="L119" s="625">
        <f>IF(B119=0,0,VLOOKUP(B119,'[1]Prix Matiere'!$A$4:$J$60,10))</f>
        <v>0</v>
      </c>
      <c r="M119" s="625">
        <f>K119*L119</f>
        <v>0</v>
      </c>
      <c r="N119" s="626">
        <f>IF(J119=0,0,IF(B119="Peinture",30+J119*15))</f>
        <v>0</v>
      </c>
      <c r="O119" s="625">
        <f t="shared" si="53"/>
        <v>0</v>
      </c>
      <c r="P119" s="559"/>
      <c r="Q119" s="559"/>
      <c r="R119" s="559"/>
      <c r="S119" s="559"/>
      <c r="T119" s="559"/>
      <c r="U119" s="559"/>
      <c r="V119" s="559"/>
      <c r="W119" s="559"/>
      <c r="X119" s="559"/>
      <c r="Y119" s="559"/>
      <c r="Z119" s="559"/>
      <c r="AA119" s="559"/>
      <c r="AB119" s="559"/>
      <c r="AC119" s="559"/>
      <c r="AD119" s="559"/>
      <c r="AE119" s="559"/>
      <c r="AF119" s="559"/>
      <c r="AG119" s="559"/>
    </row>
    <row r="120" spans="1:33" ht="18" x14ac:dyDescent="0.35">
      <c r="A120" s="559" t="s">
        <v>72</v>
      </c>
      <c r="B120" s="559" t="str">
        <f>C19</f>
        <v>Vis bois</v>
      </c>
      <c r="C120" s="559"/>
      <c r="D120" s="559"/>
      <c r="E120" s="559"/>
      <c r="F120" s="559"/>
      <c r="G120" s="559"/>
      <c r="H120" s="559"/>
      <c r="I120" s="559"/>
      <c r="J120" s="559"/>
      <c r="K120" s="559"/>
      <c r="L120" s="559"/>
      <c r="M120" s="625">
        <f>IF(B120="Vis bois",0,(D4*2+G4*2+D6*2+G6*2)*1.5)</f>
        <v>0</v>
      </c>
      <c r="N120" s="626">
        <f>IF(B120="Vis bois",0,60)</f>
        <v>0</v>
      </c>
      <c r="O120" s="625">
        <f t="shared" si="53"/>
        <v>0</v>
      </c>
      <c r="P120" s="559"/>
      <c r="Q120" s="559"/>
      <c r="R120" s="559"/>
      <c r="S120" s="559"/>
      <c r="T120" s="559"/>
      <c r="U120" s="559"/>
      <c r="V120" s="559"/>
      <c r="W120" s="559"/>
      <c r="X120" s="559"/>
      <c r="Y120" s="559"/>
      <c r="Z120" s="559"/>
      <c r="AA120" s="559"/>
      <c r="AB120" s="559"/>
      <c r="AC120" s="559"/>
      <c r="AD120" s="559"/>
      <c r="AE120" s="559"/>
      <c r="AF120" s="559"/>
      <c r="AG120" s="559"/>
    </row>
    <row r="121" spans="1:33" ht="18" x14ac:dyDescent="0.35">
      <c r="A121" s="559" t="s">
        <v>21</v>
      </c>
      <c r="B121" s="559" t="str">
        <f>C21</f>
        <v>Non</v>
      </c>
      <c r="C121" s="559"/>
      <c r="D121" s="559"/>
      <c r="E121" s="559"/>
      <c r="F121" s="559"/>
      <c r="G121" s="559"/>
      <c r="H121" s="559"/>
      <c r="I121" s="559"/>
      <c r="J121" s="559"/>
      <c r="K121" s="559"/>
      <c r="L121" s="559"/>
      <c r="M121" s="625"/>
      <c r="N121" s="626"/>
      <c r="O121" s="625"/>
      <c r="P121" s="559"/>
      <c r="Q121" s="559"/>
      <c r="R121" s="559"/>
      <c r="S121" s="559"/>
      <c r="T121" s="559"/>
      <c r="U121" s="559"/>
      <c r="V121" s="559"/>
      <c r="W121" s="559"/>
      <c r="X121" s="559"/>
      <c r="Y121" s="559"/>
      <c r="Z121" s="559"/>
      <c r="AA121" s="559"/>
      <c r="AB121" s="559"/>
      <c r="AC121" s="559"/>
      <c r="AD121" s="559"/>
      <c r="AE121" s="559"/>
      <c r="AF121" s="559"/>
      <c r="AG121" s="559"/>
    </row>
    <row r="122" spans="1:33" ht="18" x14ac:dyDescent="0.35">
      <c r="A122" s="559"/>
      <c r="B122" s="559"/>
      <c r="C122" s="559"/>
      <c r="D122" s="559"/>
      <c r="E122" s="559"/>
      <c r="F122" s="559"/>
      <c r="G122" s="559"/>
      <c r="H122" s="559"/>
      <c r="I122" s="559"/>
      <c r="J122" s="559"/>
      <c r="K122" s="559"/>
      <c r="L122" s="559"/>
      <c r="M122" s="559"/>
      <c r="N122" s="626"/>
      <c r="O122" s="559"/>
      <c r="P122" s="559"/>
      <c r="Q122" s="559"/>
      <c r="R122" s="559"/>
      <c r="S122" s="559"/>
      <c r="T122" s="559"/>
      <c r="U122" s="559"/>
      <c r="V122" s="559"/>
      <c r="W122" s="559"/>
      <c r="X122" s="559"/>
      <c r="Y122" s="559"/>
      <c r="Z122" s="559"/>
      <c r="AA122" s="559"/>
      <c r="AB122" s="559"/>
      <c r="AC122" s="559"/>
      <c r="AD122" s="559"/>
      <c r="AE122" s="559"/>
      <c r="AF122" s="559"/>
      <c r="AG122" s="559"/>
    </row>
    <row r="123" spans="1:33" ht="18" x14ac:dyDescent="0.35">
      <c r="A123" s="559"/>
      <c r="B123" s="559"/>
      <c r="C123" s="559"/>
      <c r="D123" s="559"/>
      <c r="E123" s="559"/>
      <c r="F123" s="559"/>
      <c r="G123" s="559"/>
      <c r="H123" s="559"/>
      <c r="I123" s="559"/>
      <c r="J123" s="559"/>
      <c r="K123" s="559"/>
      <c r="L123" s="614"/>
      <c r="M123" s="614">
        <f t="shared" ref="M123:O123" si="54">SUM(M50:M122)</f>
        <v>95.224438074742281</v>
      </c>
      <c r="N123" s="638">
        <f t="shared" si="54"/>
        <v>109.70841272413001</v>
      </c>
      <c r="O123" s="614">
        <f t="shared" si="54"/>
        <v>93.25215081551049</v>
      </c>
      <c r="P123" s="559"/>
      <c r="Q123" s="627">
        <f>SUM(Q50:Q122)</f>
        <v>0</v>
      </c>
      <c r="R123" s="559"/>
      <c r="S123" s="559"/>
      <c r="T123" s="559"/>
      <c r="U123" s="559"/>
      <c r="V123" s="559"/>
      <c r="W123" s="559"/>
      <c r="X123" s="559"/>
      <c r="Y123" s="559"/>
      <c r="Z123" s="559"/>
      <c r="AA123" s="559"/>
      <c r="AB123" s="559"/>
      <c r="AC123" s="559"/>
      <c r="AD123" s="559"/>
      <c r="AE123" s="559"/>
      <c r="AF123" s="559"/>
      <c r="AG123" s="559"/>
    </row>
    <row r="124" spans="1:33" ht="18" x14ac:dyDescent="0.35">
      <c r="A124" s="559"/>
      <c r="B124" s="639" t="s">
        <v>73</v>
      </c>
      <c r="C124" s="640">
        <f>IF($F$9=0,0,M123)</f>
        <v>95.224438074742281</v>
      </c>
      <c r="D124" s="641"/>
      <c r="E124" s="642" t="s">
        <v>74</v>
      </c>
      <c r="F124" s="643" t="str">
        <f>CONCATENATE(ROUNDUP(SUM(K50:K53)+SUM(K80:K81)+K91+K108+SUM(K110:K112),2)," m²")</f>
        <v>2,44 m²</v>
      </c>
      <c r="G124" s="644">
        <f>(SUM(M50:M53)+SUM(M80:M81)+M91+M108+SUM(M110:M112))</f>
        <v>41.062935177835058</v>
      </c>
      <c r="H124" s="559"/>
      <c r="I124" s="559"/>
      <c r="J124" s="559"/>
      <c r="K124" s="559"/>
      <c r="L124" s="559"/>
      <c r="M124" s="559"/>
      <c r="N124" s="559"/>
      <c r="O124" s="559"/>
      <c r="P124" s="559"/>
      <c r="Q124" s="559"/>
      <c r="R124" s="559"/>
      <c r="S124" s="559"/>
      <c r="T124" s="559"/>
      <c r="U124" s="559"/>
      <c r="V124" s="559"/>
      <c r="W124" s="559"/>
      <c r="X124" s="559"/>
      <c r="Y124" s="559"/>
      <c r="Z124" s="559"/>
      <c r="AA124" s="559"/>
      <c r="AB124" s="559"/>
      <c r="AC124" s="559"/>
      <c r="AD124" s="559"/>
      <c r="AE124" s="559"/>
      <c r="AF124" s="559"/>
      <c r="AG124" s="559"/>
    </row>
    <row r="125" spans="1:33" ht="18" x14ac:dyDescent="0.35">
      <c r="A125" s="559"/>
      <c r="B125" s="645" t="s">
        <v>75</v>
      </c>
      <c r="C125" s="625">
        <f>IF($F$9=0,0,O123)</f>
        <v>93.25215081551049</v>
      </c>
      <c r="D125" s="646">
        <f>IF($F$9=0,0,N123)</f>
        <v>109.70841272413001</v>
      </c>
      <c r="E125" s="647" t="s">
        <v>76</v>
      </c>
      <c r="F125" s="648" t="str">
        <f>CONCATENATE(ROUNDUP(SUM(K56:K65)+SUM(K97:K99),2)," m²")</f>
        <v>1,05 m²</v>
      </c>
      <c r="G125" s="649">
        <f>(SUM(M56:M65)+SUM(M97:M99))</f>
        <v>19.594915979381444</v>
      </c>
      <c r="H125" s="559"/>
      <c r="I125" s="559"/>
      <c r="J125" s="559"/>
      <c r="K125" s="559"/>
      <c r="L125" s="559"/>
      <c r="M125" s="559"/>
      <c r="N125" s="559"/>
      <c r="O125" s="559"/>
      <c r="P125" s="559"/>
      <c r="Q125" s="559"/>
      <c r="R125" s="559"/>
      <c r="S125" s="559"/>
      <c r="T125" s="559"/>
      <c r="U125" s="559"/>
      <c r="V125" s="559"/>
      <c r="W125" s="559"/>
      <c r="X125" s="559"/>
      <c r="Y125" s="559"/>
      <c r="Z125" s="559"/>
      <c r="AA125" s="559"/>
      <c r="AB125" s="559"/>
      <c r="AC125" s="559"/>
      <c r="AD125" s="559"/>
      <c r="AE125" s="559"/>
      <c r="AF125" s="559"/>
      <c r="AG125" s="559"/>
    </row>
    <row r="126" spans="1:33" ht="18" x14ac:dyDescent="0.35">
      <c r="A126" s="559"/>
      <c r="B126" s="645" t="s">
        <v>77</v>
      </c>
      <c r="C126" s="625">
        <f>IF($F$9=0,0,((C124+C125)/'Objet 1'!Frais_Généraux)-(C124+C125))</f>
        <v>101.48739401782839</v>
      </c>
      <c r="D126" s="650"/>
      <c r="E126" s="647" t="s">
        <v>78</v>
      </c>
      <c r="F126" s="648" t="str">
        <f>CONCATENATE(ROUNDUP(SUM(K74:K76)+SUM(K85:K87),2)," m²")</f>
        <v>0 m²</v>
      </c>
      <c r="G126" s="649">
        <f>(SUM(M74:M76)+SUM(M85:M87))</f>
        <v>0</v>
      </c>
      <c r="H126" s="559"/>
      <c r="I126" s="559"/>
      <c r="J126" s="559"/>
      <c r="K126" s="559"/>
      <c r="L126" s="559"/>
      <c r="M126" s="559"/>
      <c r="N126" s="559"/>
      <c r="O126" s="559"/>
      <c r="P126" s="559"/>
      <c r="Q126" s="559"/>
      <c r="R126" s="559"/>
      <c r="S126" s="559"/>
      <c r="T126" s="559"/>
      <c r="U126" s="559"/>
      <c r="V126" s="559"/>
      <c r="W126" s="559"/>
      <c r="X126" s="559"/>
      <c r="Y126" s="559"/>
      <c r="Z126" s="559"/>
      <c r="AA126" s="559"/>
      <c r="AB126" s="559"/>
      <c r="AC126" s="559"/>
      <c r="AD126" s="559"/>
      <c r="AE126" s="559"/>
      <c r="AF126" s="559"/>
      <c r="AG126" s="559"/>
    </row>
    <row r="127" spans="1:33" ht="18" x14ac:dyDescent="0.35">
      <c r="A127" s="559"/>
      <c r="B127" s="645" t="s">
        <v>79</v>
      </c>
      <c r="C127" s="625">
        <f>IF($F$9=0,0,SUM(C124:C126))</f>
        <v>289.96398290808116</v>
      </c>
      <c r="D127" s="650"/>
      <c r="E127" s="647" t="s">
        <v>80</v>
      </c>
      <c r="F127" s="648" t="str">
        <f>CONCATENATE(ROUNDUP(SUM(K68:K70)+SUM(K100:K103)+K114,2)," m²")</f>
        <v>3,62 m²</v>
      </c>
      <c r="G127" s="649">
        <f>(SUM(M68:M70)+SUM(M100:M103)+M114)</f>
        <v>34.566586917525782</v>
      </c>
      <c r="H127" s="559"/>
      <c r="I127" s="559"/>
      <c r="J127" s="559"/>
      <c r="K127" s="559"/>
      <c r="L127" s="559"/>
      <c r="M127" s="559"/>
      <c r="N127" s="559"/>
      <c r="O127" s="559"/>
      <c r="P127" s="559"/>
      <c r="Q127" s="559"/>
      <c r="R127" s="559"/>
      <c r="S127" s="559"/>
      <c r="T127" s="559"/>
      <c r="U127" s="559"/>
      <c r="V127" s="559"/>
      <c r="W127" s="559"/>
      <c r="X127" s="559"/>
      <c r="Y127" s="559"/>
      <c r="Z127" s="559"/>
      <c r="AA127" s="559"/>
      <c r="AB127" s="559"/>
      <c r="AC127" s="559"/>
      <c r="AD127" s="559"/>
      <c r="AE127" s="559"/>
      <c r="AF127" s="559"/>
      <c r="AG127" s="559"/>
    </row>
    <row r="128" spans="1:33" ht="18" x14ac:dyDescent="0.35">
      <c r="A128" s="559"/>
      <c r="B128" s="645" t="s">
        <v>81</v>
      </c>
      <c r="C128" s="625">
        <f>IF($F$9=0,0,(C127/(1-'Objet 1'!Marge)-C127))</f>
        <v>21.825246025339482</v>
      </c>
      <c r="D128" s="651">
        <f>C127+C128</f>
        <v>311.78922893342065</v>
      </c>
      <c r="E128" s="647"/>
      <c r="F128" s="648"/>
      <c r="G128" s="652"/>
      <c r="H128" s="559"/>
      <c r="I128" s="559"/>
      <c r="J128" s="559"/>
      <c r="K128" s="559"/>
      <c r="L128" s="559"/>
      <c r="M128" s="559"/>
      <c r="N128" s="559"/>
      <c r="O128" s="559"/>
      <c r="P128" s="559"/>
      <c r="Q128" s="559"/>
      <c r="R128" s="559"/>
      <c r="S128" s="559"/>
      <c r="T128" s="559"/>
      <c r="U128" s="559"/>
      <c r="V128" s="559"/>
      <c r="W128" s="559"/>
      <c r="X128" s="559"/>
      <c r="Y128" s="559"/>
      <c r="Z128" s="559"/>
      <c r="AA128" s="559"/>
      <c r="AB128" s="559"/>
      <c r="AC128" s="559"/>
      <c r="AD128" s="559"/>
      <c r="AE128" s="559"/>
      <c r="AF128" s="559"/>
      <c r="AG128" s="559"/>
    </row>
    <row r="129" spans="1:33" ht="18" x14ac:dyDescent="0.35">
      <c r="A129" s="559"/>
      <c r="B129" s="645" t="s">
        <v>83</v>
      </c>
      <c r="C129" s="625">
        <f>IF($F$10="BOVIS",((C127+C128)*(1+C130))-(C127+C128),((C127+C128)*(1+D129))-(C127+C128))</f>
        <v>0</v>
      </c>
      <c r="D129" s="22"/>
      <c r="E129" s="647"/>
      <c r="F129" s="648"/>
      <c r="G129" s="652"/>
      <c r="H129" s="559"/>
      <c r="I129" s="559"/>
      <c r="J129" s="559"/>
      <c r="K129" s="559"/>
      <c r="L129" s="559"/>
      <c r="M129" s="559"/>
      <c r="N129" s="559"/>
      <c r="O129" s="559"/>
      <c r="P129" s="559"/>
      <c r="Q129" s="559"/>
      <c r="R129" s="559"/>
      <c r="S129" s="559"/>
      <c r="T129" s="559"/>
      <c r="U129" s="559"/>
      <c r="V129" s="559"/>
      <c r="W129" s="559"/>
      <c r="X129" s="559"/>
      <c r="Y129" s="559"/>
      <c r="Z129" s="559"/>
      <c r="AA129" s="559"/>
      <c r="AB129" s="559"/>
      <c r="AC129" s="559"/>
      <c r="AD129" s="559"/>
      <c r="AE129" s="559"/>
      <c r="AF129" s="559"/>
      <c r="AG129" s="559"/>
    </row>
    <row r="130" spans="1:33" ht="18" x14ac:dyDescent="0.35">
      <c r="A130" s="559"/>
      <c r="B130" s="645"/>
      <c r="C130" s="653">
        <f>IF($F$10="BOVIS",0.03,0)</f>
        <v>0</v>
      </c>
      <c r="D130" s="654"/>
      <c r="E130" s="647"/>
      <c r="F130" s="648"/>
      <c r="G130" s="652"/>
      <c r="H130" s="559"/>
      <c r="I130" s="559"/>
      <c r="J130" s="559"/>
      <c r="K130" s="559"/>
      <c r="L130" s="559"/>
      <c r="M130" s="559"/>
      <c r="N130" s="559"/>
      <c r="O130" s="559"/>
      <c r="P130" s="559"/>
      <c r="Q130" s="559"/>
      <c r="R130" s="559"/>
      <c r="S130" s="559"/>
      <c r="T130" s="559"/>
      <c r="U130" s="559"/>
      <c r="V130" s="559"/>
      <c r="W130" s="559"/>
      <c r="X130" s="559"/>
      <c r="Y130" s="559"/>
      <c r="Z130" s="559"/>
      <c r="AA130" s="559"/>
      <c r="AB130" s="559"/>
      <c r="AC130" s="559"/>
      <c r="AD130" s="559"/>
      <c r="AE130" s="559"/>
      <c r="AF130" s="559"/>
      <c r="AG130" s="559"/>
    </row>
    <row r="131" spans="1:33" ht="18" x14ac:dyDescent="0.35">
      <c r="A131" s="559"/>
      <c r="B131" s="655" t="s">
        <v>84</v>
      </c>
      <c r="C131" s="656">
        <f>SUM(C127:C130)</f>
        <v>311.78922893342065</v>
      </c>
      <c r="D131" s="657"/>
      <c r="E131" s="658" t="s">
        <v>85</v>
      </c>
      <c r="F131" s="567"/>
      <c r="G131" s="659">
        <f>C124-SUM(G124:G128)</f>
        <v>0</v>
      </c>
      <c r="H131" s="559"/>
      <c r="I131" s="559"/>
      <c r="J131" s="559"/>
      <c r="K131" s="559"/>
      <c r="L131" s="559"/>
      <c r="M131" s="559"/>
      <c r="N131" s="559"/>
      <c r="O131" s="559"/>
      <c r="P131" s="559"/>
      <c r="Q131" s="559"/>
      <c r="R131" s="559"/>
      <c r="S131" s="559"/>
      <c r="T131" s="559"/>
      <c r="U131" s="559"/>
      <c r="V131" s="559"/>
      <c r="W131" s="559"/>
      <c r="X131" s="559"/>
      <c r="Y131" s="559"/>
      <c r="Z131" s="559"/>
      <c r="AA131" s="559"/>
      <c r="AB131" s="559"/>
      <c r="AC131" s="559"/>
      <c r="AD131" s="559"/>
      <c r="AE131" s="559"/>
      <c r="AF131" s="559"/>
      <c r="AG131" s="559"/>
    </row>
    <row r="132" spans="1:33" ht="18" x14ac:dyDescent="0.35">
      <c r="A132" s="559"/>
      <c r="B132" s="559"/>
      <c r="C132" s="559"/>
      <c r="D132" s="559"/>
      <c r="E132" s="559"/>
      <c r="F132" s="559"/>
      <c r="G132" s="559"/>
      <c r="H132" s="559"/>
      <c r="I132" s="559"/>
      <c r="J132" s="559"/>
      <c r="K132" s="559"/>
      <c r="L132" s="559"/>
      <c r="M132" s="559"/>
      <c r="N132" s="559"/>
      <c r="O132" s="559"/>
      <c r="P132" s="559"/>
      <c r="Q132" s="559"/>
      <c r="R132" s="559"/>
      <c r="S132" s="559"/>
      <c r="T132" s="559"/>
      <c r="U132" s="559"/>
      <c r="V132" s="559"/>
      <c r="W132" s="559"/>
      <c r="X132" s="559"/>
      <c r="Y132" s="559"/>
      <c r="Z132" s="559"/>
      <c r="AA132" s="559"/>
      <c r="AB132" s="559"/>
      <c r="AC132" s="559"/>
      <c r="AD132" s="559"/>
      <c r="AE132" s="559"/>
      <c r="AF132" s="559"/>
      <c r="AG132" s="559"/>
    </row>
    <row r="133" spans="1:33" ht="18" x14ac:dyDescent="0.35">
      <c r="A133" s="559"/>
      <c r="B133" s="559"/>
      <c r="C133" s="559"/>
      <c r="D133" s="559"/>
      <c r="E133" s="559"/>
      <c r="F133" s="559"/>
      <c r="G133" s="559"/>
      <c r="H133" s="559"/>
      <c r="I133" s="559"/>
      <c r="J133" s="559"/>
      <c r="K133" s="559"/>
      <c r="L133" s="559"/>
      <c r="M133" s="559"/>
      <c r="N133" s="559"/>
      <c r="O133" s="559"/>
      <c r="P133" s="559"/>
      <c r="Q133" s="559"/>
      <c r="R133" s="559"/>
      <c r="S133" s="559"/>
      <c r="T133" s="559"/>
      <c r="U133" s="559"/>
      <c r="V133" s="559"/>
      <c r="W133" s="559"/>
      <c r="X133" s="559"/>
      <c r="Y133" s="559"/>
      <c r="Z133" s="559"/>
      <c r="AA133" s="559"/>
      <c r="AB133" s="559"/>
      <c r="AC133" s="559"/>
      <c r="AD133" s="559"/>
      <c r="AE133" s="559"/>
      <c r="AF133" s="559"/>
      <c r="AG133" s="559"/>
    </row>
    <row r="134" spans="1:33" ht="18" x14ac:dyDescent="0.35">
      <c r="A134" s="559"/>
      <c r="B134" s="559"/>
      <c r="C134" s="559"/>
      <c r="D134" s="559"/>
      <c r="E134" s="559"/>
      <c r="F134" s="559"/>
      <c r="G134" s="559"/>
      <c r="H134" s="559"/>
      <c r="I134" s="559"/>
      <c r="J134" s="559"/>
      <c r="K134" s="559"/>
      <c r="L134" s="559"/>
      <c r="M134" s="559"/>
      <c r="N134" s="559"/>
      <c r="O134" s="559"/>
      <c r="P134" s="559"/>
      <c r="Q134" s="559"/>
      <c r="R134" s="559"/>
      <c r="S134" s="559"/>
      <c r="T134" s="559"/>
      <c r="U134" s="559"/>
      <c r="V134" s="559"/>
      <c r="W134" s="559"/>
      <c r="X134" s="559"/>
      <c r="Y134" s="559"/>
      <c r="Z134" s="559"/>
      <c r="AA134" s="559"/>
      <c r="AB134" s="559"/>
      <c r="AC134" s="559"/>
      <c r="AD134" s="559"/>
      <c r="AE134" s="559"/>
      <c r="AF134" s="559"/>
      <c r="AG134" s="559"/>
    </row>
    <row r="135" spans="1:33" ht="14.4" x14ac:dyDescent="0.3">
      <c r="A135" s="660"/>
      <c r="B135" s="661" t="s">
        <v>114</v>
      </c>
      <c r="C135" s="661" t="s">
        <v>115</v>
      </c>
      <c r="D135" s="661" t="s">
        <v>116</v>
      </c>
      <c r="E135" s="661" t="s">
        <v>117</v>
      </c>
      <c r="F135" s="661" t="s">
        <v>118</v>
      </c>
      <c r="G135" s="661" t="s">
        <v>119</v>
      </c>
      <c r="H135" s="661" t="s">
        <v>120</v>
      </c>
      <c r="I135" s="661" t="s">
        <v>121</v>
      </c>
      <c r="J135" s="661" t="s">
        <v>122</v>
      </c>
      <c r="K135" s="661" t="s">
        <v>123</v>
      </c>
      <c r="L135" s="661" t="s">
        <v>82</v>
      </c>
      <c r="M135" s="661"/>
      <c r="N135" s="661"/>
      <c r="O135" s="661"/>
      <c r="P135" s="661"/>
      <c r="Q135" s="661"/>
      <c r="R135" s="661" t="s">
        <v>312</v>
      </c>
      <c r="S135" s="661"/>
      <c r="T135" s="662"/>
      <c r="U135" s="663"/>
      <c r="V135" s="663"/>
      <c r="W135" s="663"/>
      <c r="X135" s="663"/>
      <c r="Y135" s="663"/>
      <c r="Z135" s="663"/>
      <c r="AA135" s="663"/>
      <c r="AB135" s="663"/>
      <c r="AC135" s="663"/>
      <c r="AD135" s="663"/>
      <c r="AE135" s="663"/>
      <c r="AF135" s="663"/>
      <c r="AG135" s="663"/>
    </row>
    <row r="136" spans="1:33" ht="14.4" x14ac:dyDescent="0.3">
      <c r="A136" s="664">
        <v>1</v>
      </c>
      <c r="B136" s="663">
        <v>2</v>
      </c>
      <c r="C136" s="663">
        <v>3</v>
      </c>
      <c r="D136" s="663">
        <v>4</v>
      </c>
      <c r="E136" s="663">
        <v>5</v>
      </c>
      <c r="F136" s="663">
        <v>6</v>
      </c>
      <c r="G136" s="663">
        <v>7</v>
      </c>
      <c r="H136" s="663">
        <v>8</v>
      </c>
      <c r="I136" s="663">
        <v>9</v>
      </c>
      <c r="J136" s="663">
        <v>10</v>
      </c>
      <c r="K136" s="663">
        <v>11</v>
      </c>
      <c r="L136" s="663">
        <v>12</v>
      </c>
      <c r="M136" s="663">
        <v>13</v>
      </c>
      <c r="N136" s="663">
        <v>14</v>
      </c>
      <c r="O136" s="663">
        <v>15</v>
      </c>
      <c r="P136" s="663">
        <v>16</v>
      </c>
      <c r="Q136" s="663">
        <v>17</v>
      </c>
      <c r="R136" s="663" t="s">
        <v>28</v>
      </c>
      <c r="S136" s="663" t="s">
        <v>313</v>
      </c>
      <c r="T136" s="665" t="s">
        <v>314</v>
      </c>
      <c r="U136" s="663"/>
      <c r="V136" s="663"/>
      <c r="W136" s="663"/>
      <c r="X136" s="663"/>
      <c r="Y136" s="663"/>
      <c r="Z136" s="663"/>
      <c r="AA136" s="663"/>
      <c r="AB136" s="663"/>
      <c r="AC136" s="663"/>
      <c r="AD136" s="663"/>
      <c r="AE136" s="663"/>
      <c r="AF136" s="663"/>
      <c r="AG136" s="663"/>
    </row>
    <row r="137" spans="1:33" ht="14.4" x14ac:dyDescent="0.3">
      <c r="A137" s="664" t="s">
        <v>16</v>
      </c>
      <c r="B137" s="663">
        <v>0</v>
      </c>
      <c r="C137" s="663">
        <v>0</v>
      </c>
      <c r="D137" s="663">
        <v>0</v>
      </c>
      <c r="E137" s="663">
        <v>0</v>
      </c>
      <c r="F137" s="663">
        <v>0</v>
      </c>
      <c r="G137" s="663">
        <v>0</v>
      </c>
      <c r="H137" s="663">
        <v>0</v>
      </c>
      <c r="I137" s="663">
        <v>0</v>
      </c>
      <c r="J137" s="663">
        <v>0</v>
      </c>
      <c r="K137" s="663">
        <v>0</v>
      </c>
      <c r="L137" s="663">
        <v>0</v>
      </c>
      <c r="M137" s="663">
        <v>0</v>
      </c>
      <c r="N137" s="663">
        <v>0</v>
      </c>
      <c r="O137" s="663">
        <v>0</v>
      </c>
      <c r="P137" s="663">
        <v>0</v>
      </c>
      <c r="Q137" s="663">
        <v>0</v>
      </c>
      <c r="R137" s="663">
        <v>0</v>
      </c>
      <c r="S137" s="663">
        <v>0</v>
      </c>
      <c r="T137" s="665" t="s">
        <v>315</v>
      </c>
      <c r="U137" s="663"/>
      <c r="V137" s="663"/>
      <c r="W137" s="663"/>
      <c r="X137" s="663"/>
      <c r="Y137" s="663"/>
      <c r="Z137" s="663"/>
      <c r="AA137" s="663"/>
      <c r="AB137" s="663"/>
      <c r="AC137" s="663"/>
      <c r="AD137" s="663"/>
      <c r="AE137" s="663"/>
      <c r="AF137" s="663"/>
      <c r="AG137" s="663"/>
    </row>
    <row r="138" spans="1:33" ht="14.4" x14ac:dyDescent="0.3">
      <c r="A138" s="664" t="s">
        <v>316</v>
      </c>
      <c r="B138" s="663">
        <v>20</v>
      </c>
      <c r="C138" s="663">
        <v>20</v>
      </c>
      <c r="D138" s="663">
        <v>14</v>
      </c>
      <c r="E138" s="663">
        <v>10</v>
      </c>
      <c r="F138" s="663">
        <v>0.2</v>
      </c>
      <c r="G138" s="663">
        <v>1</v>
      </c>
      <c r="H138" s="663" t="s">
        <v>37</v>
      </c>
      <c r="I138" s="663" t="s">
        <v>27</v>
      </c>
      <c r="J138" s="663">
        <v>-0.5</v>
      </c>
      <c r="K138" s="663">
        <v>1</v>
      </c>
      <c r="L138" s="663">
        <v>0</v>
      </c>
      <c r="M138" s="663" t="s">
        <v>317</v>
      </c>
      <c r="N138" s="663" t="s">
        <v>318</v>
      </c>
      <c r="O138" s="663">
        <v>1</v>
      </c>
      <c r="P138" s="663"/>
      <c r="Q138" s="663"/>
      <c r="R138" s="663">
        <v>1</v>
      </c>
      <c r="S138" s="663">
        <v>0</v>
      </c>
      <c r="T138" s="665" t="s">
        <v>315</v>
      </c>
      <c r="U138" s="663"/>
      <c r="V138" s="663"/>
      <c r="W138" s="663"/>
      <c r="X138" s="663"/>
      <c r="Y138" s="663"/>
      <c r="Z138" s="663"/>
      <c r="AA138" s="663"/>
      <c r="AB138" s="663"/>
      <c r="AC138" s="663"/>
      <c r="AD138" s="663"/>
      <c r="AE138" s="663"/>
      <c r="AF138" s="663"/>
      <c r="AG138" s="663"/>
    </row>
    <row r="139" spans="1:33" ht="14.4" x14ac:dyDescent="0.3">
      <c r="A139" s="664" t="s">
        <v>319</v>
      </c>
      <c r="B139" s="663">
        <v>14</v>
      </c>
      <c r="C139" s="663">
        <v>14</v>
      </c>
      <c r="D139" s="663">
        <v>7</v>
      </c>
      <c r="E139" s="663">
        <v>10</v>
      </c>
      <c r="F139" s="663">
        <v>0.2</v>
      </c>
      <c r="G139" s="663">
        <v>1</v>
      </c>
      <c r="H139" s="663" t="s">
        <v>37</v>
      </c>
      <c r="I139" s="663" t="s">
        <v>27</v>
      </c>
      <c r="J139" s="663">
        <v>-0.5</v>
      </c>
      <c r="K139" s="663">
        <v>1</v>
      </c>
      <c r="L139" s="663">
        <v>0</v>
      </c>
      <c r="M139" s="663" t="s">
        <v>317</v>
      </c>
      <c r="N139" s="663" t="s">
        <v>318</v>
      </c>
      <c r="O139" s="663">
        <v>1</v>
      </c>
      <c r="P139" s="663"/>
      <c r="Q139" s="663"/>
      <c r="R139" s="663">
        <v>1</v>
      </c>
      <c r="S139" s="663">
        <v>1</v>
      </c>
      <c r="T139" s="665" t="s">
        <v>315</v>
      </c>
      <c r="U139" s="663"/>
      <c r="V139" s="663"/>
      <c r="W139" s="663"/>
      <c r="X139" s="663"/>
      <c r="Y139" s="663"/>
      <c r="Z139" s="663"/>
      <c r="AA139" s="663"/>
      <c r="AB139" s="663"/>
      <c r="AC139" s="663"/>
      <c r="AD139" s="663"/>
      <c r="AE139" s="663"/>
      <c r="AF139" s="663"/>
      <c r="AG139" s="663"/>
    </row>
    <row r="140" spans="1:33" ht="14.4" x14ac:dyDescent="0.3">
      <c r="A140" s="664" t="s">
        <v>320</v>
      </c>
      <c r="B140" s="663">
        <v>6.2</v>
      </c>
      <c r="C140" s="663">
        <v>6.2</v>
      </c>
      <c r="D140" s="663">
        <v>3.2</v>
      </c>
      <c r="E140" s="663">
        <v>10.7</v>
      </c>
      <c r="F140" s="663">
        <v>0.2</v>
      </c>
      <c r="G140" s="663">
        <v>2</v>
      </c>
      <c r="H140" s="663" t="s">
        <v>262</v>
      </c>
      <c r="I140" s="663" t="s">
        <v>262</v>
      </c>
      <c r="J140" s="663">
        <v>-0.5</v>
      </c>
      <c r="K140" s="663">
        <v>2</v>
      </c>
      <c r="L140" s="663">
        <v>1</v>
      </c>
      <c r="M140" s="663" t="s">
        <v>321</v>
      </c>
      <c r="N140" s="663"/>
      <c r="O140" s="663">
        <v>2</v>
      </c>
      <c r="P140" s="663"/>
      <c r="Q140" s="663"/>
      <c r="R140" s="663">
        <v>0</v>
      </c>
      <c r="S140" s="663">
        <v>0</v>
      </c>
      <c r="T140" s="665" t="s">
        <v>315</v>
      </c>
      <c r="U140" s="663"/>
      <c r="V140" s="663"/>
      <c r="W140" s="663"/>
      <c r="X140" s="663"/>
      <c r="Y140" s="663"/>
      <c r="Z140" s="663"/>
      <c r="AA140" s="663"/>
      <c r="AB140" s="663"/>
      <c r="AC140" s="663"/>
      <c r="AD140" s="663"/>
      <c r="AE140" s="663"/>
      <c r="AF140" s="663"/>
      <c r="AG140" s="663"/>
    </row>
    <row r="141" spans="1:33" ht="14.4" x14ac:dyDescent="0.3">
      <c r="A141" s="664" t="s">
        <v>322</v>
      </c>
      <c r="B141" s="663">
        <v>10.199999999999999</v>
      </c>
      <c r="C141" s="663">
        <v>10.199999999999999</v>
      </c>
      <c r="D141" s="663">
        <v>5.2</v>
      </c>
      <c r="E141" s="663">
        <v>10.7</v>
      </c>
      <c r="F141" s="663">
        <v>0.2</v>
      </c>
      <c r="G141" s="663">
        <v>2</v>
      </c>
      <c r="H141" s="663" t="s">
        <v>37</v>
      </c>
      <c r="I141" s="663" t="s">
        <v>37</v>
      </c>
      <c r="J141" s="663">
        <v>-0.5</v>
      </c>
      <c r="K141" s="663">
        <v>2</v>
      </c>
      <c r="L141" s="663">
        <v>1</v>
      </c>
      <c r="M141" s="663" t="s">
        <v>321</v>
      </c>
      <c r="N141" s="663"/>
      <c r="O141" s="663">
        <v>2</v>
      </c>
      <c r="P141" s="663"/>
      <c r="Q141" s="663"/>
      <c r="R141" s="663">
        <v>0</v>
      </c>
      <c r="S141" s="663">
        <v>0</v>
      </c>
      <c r="T141" s="665" t="s">
        <v>315</v>
      </c>
      <c r="U141" s="663"/>
      <c r="V141" s="663"/>
      <c r="W141" s="663"/>
      <c r="X141" s="663"/>
      <c r="Y141" s="663"/>
      <c r="Z141" s="663"/>
      <c r="AA141" s="663"/>
      <c r="AB141" s="663"/>
      <c r="AC141" s="663"/>
      <c r="AD141" s="663"/>
      <c r="AE141" s="663"/>
      <c r="AF141" s="663"/>
      <c r="AG141" s="663"/>
    </row>
    <row r="142" spans="1:33" ht="14.4" x14ac:dyDescent="0.3">
      <c r="A142" s="664" t="s">
        <v>323</v>
      </c>
      <c r="B142" s="663">
        <v>10.199999999999999</v>
      </c>
      <c r="C142" s="663">
        <v>10.199999999999999</v>
      </c>
      <c r="D142" s="663">
        <v>5.2</v>
      </c>
      <c r="E142" s="663">
        <v>5.7</v>
      </c>
      <c r="F142" s="663">
        <v>10.199999999999999</v>
      </c>
      <c r="G142" s="663">
        <v>2</v>
      </c>
      <c r="H142" s="663" t="s">
        <v>27</v>
      </c>
      <c r="I142" s="663" t="s">
        <v>27</v>
      </c>
      <c r="J142" s="663">
        <v>-0.5</v>
      </c>
      <c r="K142" s="663">
        <v>2</v>
      </c>
      <c r="L142" s="663">
        <v>1</v>
      </c>
      <c r="M142" s="663"/>
      <c r="N142" s="663"/>
      <c r="O142" s="663">
        <v>3</v>
      </c>
      <c r="P142" s="663"/>
      <c r="Q142" s="663"/>
      <c r="R142" s="663">
        <v>0</v>
      </c>
      <c r="S142" s="663"/>
      <c r="T142" s="665" t="s">
        <v>175</v>
      </c>
      <c r="U142" s="663"/>
      <c r="V142" s="663"/>
      <c r="W142" s="663"/>
      <c r="X142" s="663"/>
      <c r="Y142" s="663"/>
      <c r="Z142" s="663"/>
      <c r="AA142" s="663"/>
      <c r="AB142" s="663"/>
      <c r="AC142" s="663"/>
      <c r="AD142" s="663"/>
      <c r="AE142" s="663"/>
      <c r="AF142" s="663"/>
      <c r="AG142" s="663"/>
    </row>
    <row r="143" spans="1:33" ht="14.4" x14ac:dyDescent="0.3">
      <c r="A143" s="664" t="s">
        <v>324</v>
      </c>
      <c r="B143" s="663">
        <v>10.199999999999999</v>
      </c>
      <c r="C143" s="663">
        <v>10.199999999999999</v>
      </c>
      <c r="D143" s="663">
        <v>5.2</v>
      </c>
      <c r="E143" s="663">
        <v>5.7</v>
      </c>
      <c r="F143" s="663">
        <v>10.199999999999999</v>
      </c>
      <c r="G143" s="663">
        <v>2</v>
      </c>
      <c r="H143" s="663" t="s">
        <v>27</v>
      </c>
      <c r="I143" s="663" t="s">
        <v>27</v>
      </c>
      <c r="J143" s="663">
        <v>-0.5</v>
      </c>
      <c r="K143" s="663">
        <v>2</v>
      </c>
      <c r="L143" s="663">
        <v>1</v>
      </c>
      <c r="M143" s="663" t="s">
        <v>321</v>
      </c>
      <c r="N143" s="663"/>
      <c r="O143" s="663">
        <v>3</v>
      </c>
      <c r="P143" s="663"/>
      <c r="Q143" s="663"/>
      <c r="R143" s="663">
        <v>0</v>
      </c>
      <c r="S143" s="663">
        <v>0</v>
      </c>
      <c r="T143" s="665" t="s">
        <v>315</v>
      </c>
      <c r="U143" s="663"/>
      <c r="V143" s="663"/>
      <c r="W143" s="663"/>
      <c r="X143" s="663"/>
      <c r="Y143" s="663"/>
      <c r="Z143" s="663"/>
      <c r="AA143" s="663"/>
      <c r="AB143" s="663"/>
      <c r="AC143" s="663"/>
      <c r="AD143" s="663"/>
      <c r="AE143" s="663"/>
      <c r="AF143" s="663"/>
      <c r="AG143" s="663"/>
    </row>
    <row r="144" spans="1:33" ht="14.4" x14ac:dyDescent="0.3">
      <c r="A144" s="664" t="s">
        <v>325</v>
      </c>
      <c r="B144" s="663">
        <v>10.199999999999999</v>
      </c>
      <c r="C144" s="663">
        <v>10.199999999999999</v>
      </c>
      <c r="D144" s="663">
        <v>5.2</v>
      </c>
      <c r="E144" s="663">
        <v>5</v>
      </c>
      <c r="F144" s="663">
        <v>0.2</v>
      </c>
      <c r="G144" s="663">
        <v>2</v>
      </c>
      <c r="H144" s="663" t="s">
        <v>27</v>
      </c>
      <c r="I144" s="663" t="s">
        <v>27</v>
      </c>
      <c r="J144" s="663">
        <v>9.4</v>
      </c>
      <c r="K144" s="663">
        <v>2</v>
      </c>
      <c r="L144" s="663">
        <v>1</v>
      </c>
      <c r="M144" s="663" t="s">
        <v>321</v>
      </c>
      <c r="N144" s="663"/>
      <c r="O144" s="663">
        <v>3</v>
      </c>
      <c r="P144" s="663"/>
      <c r="Q144" s="663"/>
      <c r="R144" s="663">
        <v>0</v>
      </c>
      <c r="S144" s="663">
        <v>0</v>
      </c>
      <c r="T144" s="665" t="s">
        <v>315</v>
      </c>
      <c r="U144" s="663"/>
      <c r="V144" s="663"/>
      <c r="W144" s="663"/>
      <c r="X144" s="663"/>
      <c r="Y144" s="663"/>
      <c r="Z144" s="663"/>
      <c r="AA144" s="663"/>
      <c r="AB144" s="663"/>
      <c r="AC144" s="663"/>
      <c r="AD144" s="663"/>
      <c r="AE144" s="663"/>
      <c r="AF144" s="663"/>
      <c r="AG144" s="663"/>
    </row>
    <row r="145" spans="1:33" ht="14.4" x14ac:dyDescent="0.3">
      <c r="A145" s="664" t="s">
        <v>326</v>
      </c>
      <c r="B145" s="663">
        <v>14</v>
      </c>
      <c r="C145" s="663">
        <v>14</v>
      </c>
      <c r="D145" s="663">
        <v>7</v>
      </c>
      <c r="E145" s="663">
        <v>10.199999999999999</v>
      </c>
      <c r="F145" s="663">
        <v>0.2</v>
      </c>
      <c r="G145" s="663">
        <v>2</v>
      </c>
      <c r="H145" s="663" t="s">
        <v>37</v>
      </c>
      <c r="I145" s="663" t="s">
        <v>327</v>
      </c>
      <c r="J145" s="663">
        <v>-0.5</v>
      </c>
      <c r="K145" s="663">
        <v>1</v>
      </c>
      <c r="L145" s="663">
        <v>0</v>
      </c>
      <c r="M145" s="663" t="s">
        <v>317</v>
      </c>
      <c r="N145" s="663" t="s">
        <v>318</v>
      </c>
      <c r="O145" s="663">
        <v>4</v>
      </c>
      <c r="P145" s="663"/>
      <c r="Q145" s="663"/>
      <c r="R145" s="663">
        <v>1</v>
      </c>
      <c r="S145" s="663">
        <v>0</v>
      </c>
      <c r="T145" s="665" t="s">
        <v>315</v>
      </c>
      <c r="U145" s="663"/>
      <c r="V145" s="663"/>
      <c r="W145" s="663"/>
      <c r="X145" s="663"/>
      <c r="Y145" s="663"/>
      <c r="Z145" s="663"/>
      <c r="AA145" s="663"/>
      <c r="AB145" s="663"/>
      <c r="AC145" s="663"/>
      <c r="AD145" s="663"/>
      <c r="AE145" s="663"/>
      <c r="AF145" s="663"/>
      <c r="AG145" s="663"/>
    </row>
    <row r="146" spans="1:33" ht="14.4" x14ac:dyDescent="0.3">
      <c r="A146" s="664" t="s">
        <v>328</v>
      </c>
      <c r="B146" s="663">
        <v>14</v>
      </c>
      <c r="C146" s="663">
        <v>14</v>
      </c>
      <c r="D146" s="663">
        <v>7</v>
      </c>
      <c r="E146" s="663">
        <v>10.199999999999999</v>
      </c>
      <c r="F146" s="663">
        <v>0.2</v>
      </c>
      <c r="G146" s="663">
        <v>2</v>
      </c>
      <c r="H146" s="663" t="s">
        <v>37</v>
      </c>
      <c r="I146" s="663" t="s">
        <v>327</v>
      </c>
      <c r="J146" s="663">
        <v>-0.5</v>
      </c>
      <c r="K146" s="663">
        <v>1</v>
      </c>
      <c r="L146" s="663">
        <v>0</v>
      </c>
      <c r="M146" s="663" t="s">
        <v>317</v>
      </c>
      <c r="N146" s="663" t="s">
        <v>318</v>
      </c>
      <c r="O146" s="663">
        <v>4</v>
      </c>
      <c r="P146" s="663"/>
      <c r="Q146" s="663"/>
      <c r="R146" s="663">
        <v>0</v>
      </c>
      <c r="S146" s="663">
        <v>1</v>
      </c>
      <c r="T146" s="665" t="s">
        <v>315</v>
      </c>
      <c r="U146" s="663"/>
      <c r="V146" s="663"/>
      <c r="W146" s="663"/>
      <c r="X146" s="663"/>
      <c r="Y146" s="663"/>
      <c r="Z146" s="663"/>
      <c r="AA146" s="663"/>
      <c r="AB146" s="663"/>
      <c r="AC146" s="663"/>
      <c r="AD146" s="663"/>
      <c r="AE146" s="663"/>
      <c r="AF146" s="663"/>
      <c r="AG146" s="663"/>
    </row>
    <row r="147" spans="1:33" ht="14.4" x14ac:dyDescent="0.3">
      <c r="A147" s="664" t="s">
        <v>329</v>
      </c>
      <c r="B147" s="663">
        <v>10.199999999999999</v>
      </c>
      <c r="C147" s="663">
        <v>10.199999999999999</v>
      </c>
      <c r="D147" s="663">
        <v>7</v>
      </c>
      <c r="E147" s="663"/>
      <c r="F147" s="663">
        <v>0.2</v>
      </c>
      <c r="G147" s="663">
        <v>1</v>
      </c>
      <c r="H147" s="663" t="s">
        <v>37</v>
      </c>
      <c r="I147" s="663" t="s">
        <v>37</v>
      </c>
      <c r="J147" s="663">
        <v>-0.5</v>
      </c>
      <c r="K147" s="663">
        <v>1</v>
      </c>
      <c r="L147" s="663"/>
      <c r="M147" s="663" t="s">
        <v>317</v>
      </c>
      <c r="N147" s="663" t="s">
        <v>318</v>
      </c>
      <c r="O147" s="663">
        <v>4</v>
      </c>
      <c r="P147" s="663"/>
      <c r="Q147" s="663"/>
      <c r="R147" s="663"/>
      <c r="S147" s="663">
        <v>1</v>
      </c>
      <c r="T147" s="665" t="s">
        <v>315</v>
      </c>
      <c r="U147" s="663"/>
      <c r="V147" s="663"/>
      <c r="W147" s="663"/>
      <c r="X147" s="663"/>
      <c r="Y147" s="663"/>
      <c r="Z147" s="663"/>
      <c r="AA147" s="663"/>
      <c r="AB147" s="663"/>
      <c r="AC147" s="663"/>
      <c r="AD147" s="663"/>
      <c r="AE147" s="663"/>
      <c r="AF147" s="663"/>
      <c r="AG147" s="663"/>
    </row>
    <row r="148" spans="1:33" ht="14.4" x14ac:dyDescent="0.3">
      <c r="A148" s="664" t="s">
        <v>330</v>
      </c>
      <c r="B148" s="663">
        <f>VLOOKUP('Objet 1'!nombre_de_calages,$A$209:$D$211,4)*2</f>
        <v>4.4000000000000004</v>
      </c>
      <c r="C148" s="663">
        <f>VLOOKUP('Objet 1'!nombre_de_calages,$A$209:$D$211,4)*2</f>
        <v>4.4000000000000004</v>
      </c>
      <c r="D148" s="663">
        <f>VLOOKUP('Objet 1'!nombre_de_calages,$A$209:$D$211,4)</f>
        <v>2.2000000000000002</v>
      </c>
      <c r="E148" s="663"/>
      <c r="F148" s="663">
        <v>0.2</v>
      </c>
      <c r="G148" s="663">
        <v>2</v>
      </c>
      <c r="H148" s="663" t="s">
        <v>331</v>
      </c>
      <c r="I148" s="663" t="s">
        <v>331</v>
      </c>
      <c r="J148" s="663">
        <v>-0.5</v>
      </c>
      <c r="K148" s="663">
        <v>2</v>
      </c>
      <c r="L148" s="663">
        <v>1</v>
      </c>
      <c r="M148" s="663" t="s">
        <v>321</v>
      </c>
      <c r="N148" s="663"/>
      <c r="O148" s="663">
        <v>5</v>
      </c>
      <c r="P148" s="663"/>
      <c r="Q148" s="663"/>
      <c r="R148" s="663"/>
      <c r="S148" s="663"/>
      <c r="T148" s="665" t="s">
        <v>315</v>
      </c>
      <c r="U148" s="663"/>
      <c r="V148" s="663"/>
      <c r="W148" s="663"/>
      <c r="X148" s="663"/>
      <c r="Y148" s="663"/>
      <c r="Z148" s="663"/>
      <c r="AA148" s="663"/>
      <c r="AB148" s="663"/>
      <c r="AC148" s="663"/>
      <c r="AD148" s="663"/>
      <c r="AE148" s="663"/>
      <c r="AF148" s="663"/>
      <c r="AG148" s="663"/>
    </row>
    <row r="149" spans="1:33" ht="14.4" x14ac:dyDescent="0.3">
      <c r="A149" s="664" t="s">
        <v>332</v>
      </c>
      <c r="B149" s="663">
        <f>VLOOKUP('Objet 1'!nombre_de_calages,$A$209:$D$211,3)*2</f>
        <v>6.4</v>
      </c>
      <c r="C149" s="663">
        <f>VLOOKUP('Objet 1'!nombre_de_calages,$A$209:$D$211,3)*2</f>
        <v>6.4</v>
      </c>
      <c r="D149" s="663">
        <f>VLOOKUP('Objet 1'!nombre_de_calages,$A$209:$D$211,3)</f>
        <v>3.2</v>
      </c>
      <c r="E149" s="663">
        <v>10.7</v>
      </c>
      <c r="F149" s="663">
        <v>0.2</v>
      </c>
      <c r="G149" s="663">
        <v>2</v>
      </c>
      <c r="H149" s="663" t="s">
        <v>105</v>
      </c>
      <c r="I149" s="663" t="s">
        <v>105</v>
      </c>
      <c r="J149" s="663">
        <v>-0.5</v>
      </c>
      <c r="K149" s="663">
        <v>2</v>
      </c>
      <c r="L149" s="663">
        <v>1</v>
      </c>
      <c r="M149" s="663" t="s">
        <v>321</v>
      </c>
      <c r="N149" s="663"/>
      <c r="O149" s="663">
        <v>5</v>
      </c>
      <c r="P149" s="663"/>
      <c r="Q149" s="663"/>
      <c r="R149" s="663">
        <v>0</v>
      </c>
      <c r="S149" s="663">
        <v>0</v>
      </c>
      <c r="T149" s="665" t="s">
        <v>315</v>
      </c>
      <c r="U149" s="663"/>
      <c r="V149" s="663"/>
      <c r="W149" s="663"/>
      <c r="X149" s="663"/>
      <c r="Y149" s="663"/>
      <c r="Z149" s="663"/>
      <c r="AA149" s="663"/>
      <c r="AB149" s="663"/>
      <c r="AC149" s="663"/>
      <c r="AD149" s="663"/>
      <c r="AE149" s="663"/>
      <c r="AF149" s="663"/>
      <c r="AG149" s="663"/>
    </row>
    <row r="150" spans="1:33" ht="14.4" x14ac:dyDescent="0.3">
      <c r="A150" s="666" t="s">
        <v>304</v>
      </c>
      <c r="B150" s="667">
        <f>VLOOKUP('Objet 1'!nombre_de_calages,$A$209:$D$211,2)*2</f>
        <v>11</v>
      </c>
      <c r="C150" s="667">
        <f>VLOOKUP('Objet 1'!nombre_de_calages,$A$209:$D$211,2)*2</f>
        <v>11</v>
      </c>
      <c r="D150" s="667">
        <f>VLOOKUP('Objet 1'!nombre_de_calages,$A$209:$D$211,2)</f>
        <v>5.5</v>
      </c>
      <c r="E150" s="667">
        <v>10.7</v>
      </c>
      <c r="F150" s="667">
        <v>0.2</v>
      </c>
      <c r="G150" s="667">
        <v>2</v>
      </c>
      <c r="H150" s="667" t="s">
        <v>27</v>
      </c>
      <c r="I150" s="667" t="s">
        <v>27</v>
      </c>
      <c r="J150" s="667">
        <v>-0.5</v>
      </c>
      <c r="K150" s="667">
        <v>2</v>
      </c>
      <c r="L150" s="667">
        <v>1</v>
      </c>
      <c r="M150" s="667" t="s">
        <v>321</v>
      </c>
      <c r="N150" s="667"/>
      <c r="O150" s="667">
        <v>5</v>
      </c>
      <c r="P150" s="667"/>
      <c r="Q150" s="667"/>
      <c r="R150" s="667">
        <v>0</v>
      </c>
      <c r="S150" s="667">
        <v>0</v>
      </c>
      <c r="T150" s="668" t="s">
        <v>315</v>
      </c>
      <c r="U150" s="663"/>
      <c r="V150" s="663"/>
      <c r="W150" s="663"/>
      <c r="X150" s="663"/>
      <c r="Y150" s="663"/>
      <c r="Z150" s="663"/>
      <c r="AA150" s="663"/>
      <c r="AB150" s="663"/>
      <c r="AC150" s="663"/>
      <c r="AD150" s="663"/>
      <c r="AE150" s="663"/>
      <c r="AF150" s="663"/>
      <c r="AG150" s="663"/>
    </row>
    <row r="151" spans="1:33" ht="14.4" x14ac:dyDescent="0.3">
      <c r="A151" s="663"/>
      <c r="B151" s="663"/>
      <c r="C151" s="663"/>
      <c r="D151" s="663"/>
      <c r="E151" s="663"/>
      <c r="F151" s="663"/>
      <c r="G151" s="663"/>
      <c r="H151" s="663"/>
      <c r="I151" s="663"/>
      <c r="J151" s="663"/>
      <c r="K151" s="663"/>
      <c r="L151" s="663"/>
      <c r="M151" s="663"/>
      <c r="N151" s="663"/>
      <c r="O151" s="663"/>
      <c r="P151" s="663"/>
      <c r="Q151" s="663"/>
      <c r="R151" s="663"/>
      <c r="S151" s="663"/>
      <c r="T151" s="663"/>
      <c r="U151" s="663"/>
      <c r="V151" s="663"/>
      <c r="W151" s="663"/>
      <c r="X151" s="663"/>
      <c r="Y151" s="663"/>
      <c r="Z151" s="663"/>
      <c r="AA151" s="663"/>
      <c r="AB151" s="663"/>
      <c r="AC151" s="663"/>
      <c r="AD151" s="663"/>
      <c r="AE151" s="663"/>
      <c r="AF151" s="663"/>
      <c r="AG151" s="663"/>
    </row>
    <row r="152" spans="1:33" ht="14.4" x14ac:dyDescent="0.3">
      <c r="A152" s="660">
        <v>1</v>
      </c>
      <c r="B152" s="661">
        <v>2</v>
      </c>
      <c r="C152" s="661">
        <v>3</v>
      </c>
      <c r="D152" s="661">
        <v>4</v>
      </c>
      <c r="E152" s="661">
        <v>5</v>
      </c>
      <c r="F152" s="661">
        <v>6</v>
      </c>
      <c r="G152" s="661">
        <v>7</v>
      </c>
      <c r="H152" s="661">
        <v>8</v>
      </c>
      <c r="I152" s="661">
        <v>9</v>
      </c>
      <c r="J152" s="661">
        <v>10</v>
      </c>
      <c r="K152" s="661">
        <v>11</v>
      </c>
      <c r="L152" s="661">
        <v>12</v>
      </c>
      <c r="M152" s="661">
        <v>13</v>
      </c>
      <c r="N152" s="661">
        <v>14</v>
      </c>
      <c r="O152" s="661">
        <v>15</v>
      </c>
      <c r="P152" s="661">
        <v>16</v>
      </c>
      <c r="Q152" s="661">
        <v>17</v>
      </c>
      <c r="R152" s="661"/>
      <c r="S152" s="662"/>
      <c r="T152" s="663"/>
      <c r="U152" s="663"/>
      <c r="V152" s="663"/>
      <c r="W152" s="663"/>
      <c r="X152" s="663"/>
      <c r="Y152" s="663"/>
      <c r="Z152" s="663"/>
      <c r="AA152" s="663"/>
      <c r="AB152" s="663"/>
      <c r="AC152" s="663"/>
      <c r="AD152" s="663"/>
      <c r="AE152" s="663"/>
      <c r="AF152" s="663"/>
      <c r="AG152" s="663"/>
    </row>
    <row r="153" spans="1:33" ht="28.8" x14ac:dyDescent="0.3">
      <c r="A153" s="669"/>
      <c r="B153" s="670"/>
      <c r="C153" s="670"/>
      <c r="D153" s="670"/>
      <c r="E153" s="670" t="s">
        <v>80</v>
      </c>
      <c r="F153" s="670" t="s">
        <v>91</v>
      </c>
      <c r="G153" s="670" t="s">
        <v>34</v>
      </c>
      <c r="H153" s="670" t="s">
        <v>65</v>
      </c>
      <c r="I153" s="670" t="s">
        <v>92</v>
      </c>
      <c r="J153" s="670" t="s">
        <v>93</v>
      </c>
      <c r="K153" s="670" t="s">
        <v>67</v>
      </c>
      <c r="L153" s="670" t="s">
        <v>94</v>
      </c>
      <c r="M153" s="670" t="s">
        <v>95</v>
      </c>
      <c r="N153" s="670" t="s">
        <v>69</v>
      </c>
      <c r="O153" s="670" t="s">
        <v>96</v>
      </c>
      <c r="P153" s="670" t="s">
        <v>97</v>
      </c>
      <c r="Q153" s="670" t="s">
        <v>333</v>
      </c>
      <c r="R153" s="670"/>
      <c r="S153" s="671"/>
      <c r="T153" s="670"/>
      <c r="U153" s="670"/>
      <c r="V153" s="670"/>
      <c r="W153" s="670"/>
      <c r="X153" s="670"/>
      <c r="Y153" s="670"/>
      <c r="Z153" s="670"/>
      <c r="AA153" s="670"/>
      <c r="AB153" s="670"/>
      <c r="AC153" s="670"/>
      <c r="AD153" s="670"/>
      <c r="AE153" s="670"/>
      <c r="AF153" s="670"/>
      <c r="AG153" s="670"/>
    </row>
    <row r="154" spans="1:33" ht="14.4" x14ac:dyDescent="0.3">
      <c r="A154" s="664"/>
      <c r="B154" s="663"/>
      <c r="C154" s="663"/>
      <c r="D154" s="663"/>
      <c r="E154" s="663"/>
      <c r="F154" s="663"/>
      <c r="G154" s="663"/>
      <c r="H154" s="663"/>
      <c r="I154" s="663"/>
      <c r="J154" s="663"/>
      <c r="K154" s="663"/>
      <c r="L154" s="663"/>
      <c r="M154" s="663"/>
      <c r="N154" s="663"/>
      <c r="O154" s="663"/>
      <c r="P154" s="663"/>
      <c r="Q154" s="663"/>
      <c r="R154" s="663"/>
      <c r="S154" s="665"/>
      <c r="T154" s="663"/>
      <c r="U154" s="663"/>
      <c r="V154" s="663"/>
      <c r="W154" s="663"/>
      <c r="X154" s="663"/>
      <c r="Y154" s="663"/>
      <c r="Z154" s="663"/>
      <c r="AA154" s="663"/>
      <c r="AB154" s="663"/>
      <c r="AC154" s="663"/>
      <c r="AD154" s="663"/>
      <c r="AE154" s="663"/>
      <c r="AF154" s="663"/>
      <c r="AG154" s="663"/>
    </row>
    <row r="155" spans="1:33" ht="14.4" x14ac:dyDescent="0.3">
      <c r="A155" s="664" t="s">
        <v>16</v>
      </c>
      <c r="B155" s="663">
        <v>0</v>
      </c>
      <c r="C155" s="663">
        <v>0</v>
      </c>
      <c r="D155" s="663">
        <v>0</v>
      </c>
      <c r="E155" s="663">
        <v>0</v>
      </c>
      <c r="F155" s="663">
        <v>0</v>
      </c>
      <c r="G155" s="663">
        <v>0</v>
      </c>
      <c r="H155" s="663">
        <v>0</v>
      </c>
      <c r="I155" s="663">
        <v>0</v>
      </c>
      <c r="J155" s="663">
        <v>0</v>
      </c>
      <c r="K155" s="663">
        <v>0</v>
      </c>
      <c r="L155" s="663">
        <v>0</v>
      </c>
      <c r="M155" s="663">
        <v>0</v>
      </c>
      <c r="N155" s="663">
        <v>0</v>
      </c>
      <c r="O155" s="663">
        <v>0</v>
      </c>
      <c r="P155" s="663">
        <v>0</v>
      </c>
      <c r="Q155" s="663">
        <v>0</v>
      </c>
      <c r="R155" s="663">
        <v>0</v>
      </c>
      <c r="S155" s="665">
        <v>0</v>
      </c>
      <c r="T155" s="663"/>
      <c r="U155" s="663"/>
      <c r="V155" s="663"/>
      <c r="W155" s="663"/>
      <c r="X155" s="663"/>
      <c r="Y155" s="663"/>
      <c r="Z155" s="663"/>
      <c r="AA155" s="663"/>
      <c r="AB155" s="663"/>
      <c r="AC155" s="663"/>
      <c r="AD155" s="663"/>
      <c r="AE155" s="663"/>
      <c r="AF155" s="663"/>
      <c r="AG155" s="663"/>
    </row>
    <row r="156" spans="1:33" ht="14.4" x14ac:dyDescent="0.3">
      <c r="A156" s="664" t="s">
        <v>98</v>
      </c>
      <c r="B156" s="308">
        <f t="shared" ref="B156:D156" si="55">(3+1.25+3)*2</f>
        <v>14.5</v>
      </c>
      <c r="C156" s="308">
        <f t="shared" si="55"/>
        <v>14.5</v>
      </c>
      <c r="D156" s="308">
        <f t="shared" si="55"/>
        <v>14.5</v>
      </c>
      <c r="E156" s="142">
        <v>0</v>
      </c>
      <c r="F156" s="142">
        <v>0</v>
      </c>
      <c r="G156" s="142">
        <v>0</v>
      </c>
      <c r="H156" s="143">
        <v>6</v>
      </c>
      <c r="I156" s="143" t="s">
        <v>99</v>
      </c>
      <c r="J156" s="143">
        <v>2</v>
      </c>
      <c r="K156" s="144">
        <v>2.5</v>
      </c>
      <c r="L156" s="144" t="s">
        <v>86</v>
      </c>
      <c r="M156" s="147">
        <v>4</v>
      </c>
      <c r="N156" s="143">
        <v>6</v>
      </c>
      <c r="O156" s="143" t="s">
        <v>99</v>
      </c>
      <c r="P156" s="148">
        <v>2</v>
      </c>
      <c r="Q156" s="663">
        <v>2</v>
      </c>
      <c r="R156" s="663">
        <v>1</v>
      </c>
      <c r="S156" s="665">
        <v>1</v>
      </c>
      <c r="T156" s="663"/>
      <c r="U156" s="663"/>
      <c r="V156" s="663"/>
      <c r="W156" s="663"/>
      <c r="X156" s="663"/>
      <c r="Y156" s="663"/>
      <c r="Z156" s="663"/>
      <c r="AA156" s="663"/>
      <c r="AB156" s="663"/>
      <c r="AC156" s="663"/>
      <c r="AD156" s="663"/>
      <c r="AE156" s="663"/>
      <c r="AF156" s="663"/>
      <c r="AG156" s="663"/>
    </row>
    <row r="157" spans="1:33" ht="14.4" x14ac:dyDescent="0.3">
      <c r="A157" s="664" t="s">
        <v>100</v>
      </c>
      <c r="B157" s="308">
        <f t="shared" ref="B157:D157" si="56">(5.1+1.25+5.1)*2</f>
        <v>22.9</v>
      </c>
      <c r="C157" s="308">
        <f t="shared" si="56"/>
        <v>22.9</v>
      </c>
      <c r="D157" s="308">
        <f t="shared" si="56"/>
        <v>22.9</v>
      </c>
      <c r="E157" s="142">
        <v>0</v>
      </c>
      <c r="F157" s="142">
        <v>0</v>
      </c>
      <c r="G157" s="142">
        <v>0</v>
      </c>
      <c r="H157" s="143">
        <v>10.199999999999999</v>
      </c>
      <c r="I157" s="143" t="s">
        <v>101</v>
      </c>
      <c r="J157" s="143">
        <v>2</v>
      </c>
      <c r="K157" s="144">
        <v>2.5</v>
      </c>
      <c r="L157" s="144" t="s">
        <v>86</v>
      </c>
      <c r="M157" s="147">
        <v>4</v>
      </c>
      <c r="N157" s="143">
        <v>10.199999999999999</v>
      </c>
      <c r="O157" s="143" t="s">
        <v>101</v>
      </c>
      <c r="P157" s="148">
        <v>2</v>
      </c>
      <c r="Q157" s="663">
        <v>2</v>
      </c>
      <c r="R157" s="663">
        <v>1</v>
      </c>
      <c r="S157" s="665">
        <v>1</v>
      </c>
      <c r="T157" s="663"/>
      <c r="U157" s="663"/>
      <c r="V157" s="663"/>
      <c r="W157" s="663"/>
      <c r="X157" s="663"/>
      <c r="Y157" s="663"/>
      <c r="Z157" s="663"/>
      <c r="AA157" s="663"/>
      <c r="AB157" s="663"/>
      <c r="AC157" s="663"/>
      <c r="AD157" s="663"/>
      <c r="AE157" s="663"/>
      <c r="AF157" s="663"/>
      <c r="AG157" s="663"/>
    </row>
    <row r="158" spans="1:33" ht="14.4" x14ac:dyDescent="0.3">
      <c r="A158" s="664" t="s">
        <v>102</v>
      </c>
      <c r="B158" s="308">
        <f t="shared" ref="B158:D158" si="57">(3)*2</f>
        <v>6</v>
      </c>
      <c r="C158" s="308">
        <f t="shared" si="57"/>
        <v>6</v>
      </c>
      <c r="D158" s="308">
        <f t="shared" si="57"/>
        <v>6</v>
      </c>
      <c r="E158" s="142">
        <v>0</v>
      </c>
      <c r="F158" s="142">
        <v>0</v>
      </c>
      <c r="G158" s="142">
        <v>0</v>
      </c>
      <c r="H158" s="143">
        <v>6</v>
      </c>
      <c r="I158" s="143" t="s">
        <v>99</v>
      </c>
      <c r="J158" s="143">
        <v>2</v>
      </c>
      <c r="K158" s="144">
        <v>0</v>
      </c>
      <c r="L158" s="144">
        <v>0</v>
      </c>
      <c r="M158" s="147">
        <v>0</v>
      </c>
      <c r="N158" s="143">
        <v>0</v>
      </c>
      <c r="O158" s="143"/>
      <c r="P158" s="148">
        <v>0</v>
      </c>
      <c r="Q158" s="663">
        <v>0</v>
      </c>
      <c r="R158" s="663">
        <v>1</v>
      </c>
      <c r="S158" s="665">
        <v>1</v>
      </c>
      <c r="T158" s="663"/>
      <c r="U158" s="663"/>
      <c r="V158" s="663"/>
      <c r="W158" s="663"/>
      <c r="X158" s="663"/>
      <c r="Y158" s="663"/>
      <c r="Z158" s="663"/>
      <c r="AA158" s="663"/>
      <c r="AB158" s="663"/>
      <c r="AC158" s="663"/>
      <c r="AD158" s="663"/>
      <c r="AE158" s="663"/>
      <c r="AF158" s="663"/>
      <c r="AG158" s="663"/>
    </row>
    <row r="159" spans="1:33" ht="14.4" x14ac:dyDescent="0.3">
      <c r="A159" s="664" t="s">
        <v>103</v>
      </c>
      <c r="B159" s="308">
        <f t="shared" ref="B159:D159" si="58">(5.1)*2</f>
        <v>10.199999999999999</v>
      </c>
      <c r="C159" s="308">
        <f t="shared" si="58"/>
        <v>10.199999999999999</v>
      </c>
      <c r="D159" s="308">
        <f t="shared" si="58"/>
        <v>10.199999999999999</v>
      </c>
      <c r="E159" s="142">
        <v>0</v>
      </c>
      <c r="F159" s="142">
        <v>0</v>
      </c>
      <c r="G159" s="142">
        <v>0</v>
      </c>
      <c r="H159" s="143">
        <v>10.199999999999999</v>
      </c>
      <c r="I159" s="143" t="s">
        <v>101</v>
      </c>
      <c r="J159" s="143">
        <v>2</v>
      </c>
      <c r="K159" s="144">
        <v>0</v>
      </c>
      <c r="L159" s="144">
        <v>0</v>
      </c>
      <c r="M159" s="147">
        <v>0</v>
      </c>
      <c r="N159" s="143">
        <v>0</v>
      </c>
      <c r="O159" s="143"/>
      <c r="P159" s="148">
        <v>0</v>
      </c>
      <c r="Q159" s="663">
        <v>0</v>
      </c>
      <c r="R159" s="663">
        <v>1</v>
      </c>
      <c r="S159" s="665">
        <v>1</v>
      </c>
      <c r="T159" s="663"/>
      <c r="U159" s="663"/>
      <c r="V159" s="663"/>
      <c r="W159" s="663"/>
      <c r="X159" s="663"/>
      <c r="Y159" s="663"/>
      <c r="Z159" s="663"/>
      <c r="AA159" s="663"/>
      <c r="AB159" s="663"/>
      <c r="AC159" s="663"/>
      <c r="AD159" s="663"/>
      <c r="AE159" s="663"/>
      <c r="AF159" s="663"/>
      <c r="AG159" s="663"/>
    </row>
    <row r="160" spans="1:33" ht="14.4" x14ac:dyDescent="0.3">
      <c r="A160" s="664" t="s">
        <v>104</v>
      </c>
      <c r="B160" s="308">
        <f t="shared" ref="B160:D160" si="59">(3+3+1.25+3)*2</f>
        <v>20.5</v>
      </c>
      <c r="C160" s="308">
        <f t="shared" si="59"/>
        <v>20.5</v>
      </c>
      <c r="D160" s="308">
        <f t="shared" si="59"/>
        <v>20.5</v>
      </c>
      <c r="E160" s="142">
        <v>6</v>
      </c>
      <c r="F160" s="142" t="s">
        <v>105</v>
      </c>
      <c r="G160" s="142">
        <v>2</v>
      </c>
      <c r="H160" s="143">
        <v>6</v>
      </c>
      <c r="I160" s="143" t="s">
        <v>99</v>
      </c>
      <c r="J160" s="143">
        <v>2</v>
      </c>
      <c r="K160" s="144">
        <v>2.5</v>
      </c>
      <c r="L160" s="144" t="s">
        <v>86</v>
      </c>
      <c r="M160" s="147">
        <v>4</v>
      </c>
      <c r="N160" s="143">
        <v>6</v>
      </c>
      <c r="O160" s="143" t="s">
        <v>99</v>
      </c>
      <c r="P160" s="148">
        <v>2</v>
      </c>
      <c r="Q160" s="663">
        <v>2</v>
      </c>
      <c r="R160" s="663">
        <v>1</v>
      </c>
      <c r="S160" s="665">
        <v>1</v>
      </c>
      <c r="T160" s="663"/>
      <c r="U160" s="663"/>
      <c r="V160" s="663"/>
      <c r="W160" s="663"/>
      <c r="X160" s="663"/>
      <c r="Y160" s="663"/>
      <c r="Z160" s="663"/>
      <c r="AA160" s="663"/>
      <c r="AB160" s="663"/>
      <c r="AC160" s="663"/>
      <c r="AD160" s="663"/>
      <c r="AE160" s="663"/>
      <c r="AF160" s="663"/>
      <c r="AG160" s="663"/>
    </row>
    <row r="161" spans="1:33" ht="14.4" x14ac:dyDescent="0.3">
      <c r="A161" s="666" t="s">
        <v>106</v>
      </c>
      <c r="B161" s="128">
        <f t="shared" ref="B161:D161" si="60">(5+5.1+1.25+5.1)*2</f>
        <v>32.9</v>
      </c>
      <c r="C161" s="128">
        <f t="shared" si="60"/>
        <v>32.9</v>
      </c>
      <c r="D161" s="128">
        <f t="shared" si="60"/>
        <v>32.9</v>
      </c>
      <c r="E161" s="149">
        <v>10.199999999999999</v>
      </c>
      <c r="F161" s="149" t="s">
        <v>27</v>
      </c>
      <c r="G161" s="149">
        <v>2</v>
      </c>
      <c r="H161" s="150">
        <v>10.199999999999999</v>
      </c>
      <c r="I161" s="150" t="s">
        <v>101</v>
      </c>
      <c r="J161" s="150">
        <v>2</v>
      </c>
      <c r="K161" s="151">
        <v>2.5</v>
      </c>
      <c r="L161" s="151" t="s">
        <v>86</v>
      </c>
      <c r="M161" s="152">
        <v>4</v>
      </c>
      <c r="N161" s="150">
        <v>10.199999999999999</v>
      </c>
      <c r="O161" s="150" t="s">
        <v>101</v>
      </c>
      <c r="P161" s="153">
        <v>2</v>
      </c>
      <c r="Q161" s="667">
        <v>2</v>
      </c>
      <c r="R161" s="667">
        <v>1</v>
      </c>
      <c r="S161" s="668">
        <v>1</v>
      </c>
      <c r="T161" s="663"/>
      <c r="U161" s="663"/>
      <c r="V161" s="663"/>
      <c r="W161" s="663"/>
      <c r="X161" s="663"/>
      <c r="Y161" s="663"/>
      <c r="Z161" s="663"/>
      <c r="AA161" s="663"/>
      <c r="AB161" s="663"/>
      <c r="AC161" s="663"/>
      <c r="AD161" s="663"/>
      <c r="AE161" s="663"/>
      <c r="AF161" s="663"/>
      <c r="AG161" s="663"/>
    </row>
    <row r="162" spans="1:33" ht="14.4" x14ac:dyDescent="0.3">
      <c r="A162" s="663"/>
      <c r="B162" s="663"/>
      <c r="C162" s="663"/>
      <c r="D162" s="663"/>
      <c r="E162" s="663"/>
      <c r="F162" s="663"/>
      <c r="G162" s="663"/>
      <c r="H162" s="663"/>
      <c r="I162" s="663"/>
      <c r="J162" s="663"/>
      <c r="K162" s="663"/>
      <c r="L162" s="663"/>
      <c r="M162" s="663"/>
      <c r="N162" s="663"/>
      <c r="O162" s="663"/>
      <c r="P162" s="663"/>
      <c r="Q162" s="663"/>
      <c r="R162" s="663"/>
      <c r="S162" s="663"/>
      <c r="T162" s="663"/>
      <c r="U162" s="663"/>
      <c r="V162" s="663"/>
      <c r="W162" s="663"/>
      <c r="X162" s="663"/>
      <c r="Y162" s="663"/>
      <c r="Z162" s="663"/>
      <c r="AA162" s="663"/>
      <c r="AB162" s="663"/>
      <c r="AC162" s="663"/>
      <c r="AD162" s="663"/>
      <c r="AE162" s="663"/>
      <c r="AF162" s="663"/>
      <c r="AG162" s="663"/>
    </row>
    <row r="163" spans="1:33" ht="14.4" x14ac:dyDescent="0.3">
      <c r="A163" s="660" t="s">
        <v>107</v>
      </c>
      <c r="B163" s="662">
        <v>1</v>
      </c>
      <c r="C163" s="663"/>
      <c r="D163" s="663"/>
      <c r="E163" s="663"/>
      <c r="F163" s="663"/>
      <c r="G163" s="663"/>
      <c r="H163" s="663"/>
      <c r="I163" s="663"/>
      <c r="J163" s="663"/>
      <c r="K163" s="663"/>
      <c r="L163" s="663"/>
      <c r="M163" s="663"/>
      <c r="N163" s="663"/>
      <c r="O163" s="663"/>
      <c r="P163" s="663"/>
      <c r="Q163" s="663"/>
      <c r="R163" s="663"/>
      <c r="S163" s="663"/>
      <c r="T163" s="663"/>
      <c r="U163" s="663"/>
      <c r="V163" s="663"/>
      <c r="W163" s="663"/>
      <c r="X163" s="663"/>
      <c r="Y163" s="663"/>
      <c r="Z163" s="663"/>
      <c r="AA163" s="663"/>
      <c r="AB163" s="663"/>
      <c r="AC163" s="663"/>
      <c r="AD163" s="663"/>
      <c r="AE163" s="663"/>
      <c r="AF163" s="663"/>
      <c r="AG163" s="663"/>
    </row>
    <row r="164" spans="1:33" ht="14.4" x14ac:dyDescent="0.3">
      <c r="A164" s="666" t="s">
        <v>18</v>
      </c>
      <c r="B164" s="668">
        <v>0</v>
      </c>
      <c r="C164" s="663"/>
      <c r="D164" s="663"/>
      <c r="E164" s="663"/>
      <c r="F164" s="663"/>
      <c r="G164" s="663"/>
      <c r="H164" s="663"/>
      <c r="I164" s="663"/>
      <c r="J164" s="663"/>
      <c r="K164" s="663"/>
      <c r="L164" s="663"/>
      <c r="M164" s="663"/>
      <c r="N164" s="663"/>
      <c r="O164" s="663"/>
      <c r="P164" s="663"/>
      <c r="Q164" s="663"/>
      <c r="R164" s="663"/>
      <c r="S164" s="663"/>
      <c r="T164" s="663"/>
      <c r="U164" s="663"/>
      <c r="V164" s="663"/>
      <c r="W164" s="663"/>
      <c r="X164" s="663"/>
      <c r="Y164" s="663"/>
      <c r="Z164" s="663"/>
      <c r="AA164" s="663"/>
      <c r="AB164" s="663"/>
      <c r="AC164" s="663"/>
      <c r="AD164" s="663"/>
      <c r="AE164" s="663"/>
      <c r="AF164" s="663"/>
      <c r="AG164" s="663"/>
    </row>
    <row r="165" spans="1:33" ht="14.4" x14ac:dyDescent="0.3">
      <c r="A165" s="663"/>
      <c r="B165" s="663"/>
      <c r="C165" s="663"/>
      <c r="D165" s="663"/>
      <c r="E165" s="663"/>
      <c r="F165" s="663"/>
      <c r="G165" s="663"/>
      <c r="H165" s="663"/>
      <c r="I165" s="663"/>
      <c r="J165" s="663"/>
      <c r="K165" s="663"/>
      <c r="L165" s="663"/>
      <c r="M165" s="663"/>
      <c r="N165" s="663"/>
      <c r="O165" s="663"/>
      <c r="P165" s="663"/>
      <c r="Q165" s="663"/>
      <c r="R165" s="663"/>
      <c r="S165" s="663"/>
      <c r="T165" s="663"/>
      <c r="U165" s="663"/>
      <c r="V165" s="663"/>
      <c r="W165" s="663"/>
      <c r="X165" s="663"/>
      <c r="Y165" s="663"/>
      <c r="Z165" s="663"/>
      <c r="AA165" s="663"/>
      <c r="AB165" s="663"/>
      <c r="AC165" s="663"/>
      <c r="AD165" s="663"/>
      <c r="AE165" s="663"/>
      <c r="AF165" s="663"/>
      <c r="AG165" s="663"/>
    </row>
    <row r="166" spans="1:33" ht="18" x14ac:dyDescent="0.35">
      <c r="A166" s="660" t="s">
        <v>135</v>
      </c>
      <c r="B166" s="641"/>
      <c r="C166" s="663"/>
      <c r="D166" s="663"/>
      <c r="E166" s="663"/>
      <c r="F166" s="663"/>
      <c r="G166" s="663"/>
      <c r="H166" s="663"/>
      <c r="I166" s="663"/>
      <c r="J166" s="663"/>
      <c r="K166" s="663"/>
      <c r="L166" s="663"/>
      <c r="M166" s="663"/>
      <c r="N166" s="663"/>
      <c r="O166" s="663"/>
      <c r="P166" s="663"/>
      <c r="Q166" s="663"/>
      <c r="R166" s="663"/>
      <c r="S166" s="663"/>
      <c r="T166" s="663"/>
      <c r="U166" s="663"/>
      <c r="V166" s="663"/>
      <c r="W166" s="663"/>
      <c r="X166" s="663"/>
      <c r="Y166" s="663"/>
      <c r="Z166" s="663"/>
      <c r="AA166" s="663"/>
      <c r="AB166" s="663"/>
      <c r="AC166" s="663"/>
      <c r="AD166" s="663"/>
      <c r="AE166" s="663"/>
      <c r="AF166" s="663"/>
      <c r="AG166" s="663"/>
    </row>
    <row r="167" spans="1:33" ht="18" x14ac:dyDescent="0.35">
      <c r="A167" s="664" t="s">
        <v>136</v>
      </c>
      <c r="B167" s="650"/>
      <c r="C167" s="663"/>
      <c r="D167" s="663"/>
      <c r="E167" s="663"/>
      <c r="F167" s="663"/>
      <c r="G167" s="663"/>
      <c r="H167" s="663"/>
      <c r="I167" s="663"/>
      <c r="J167" s="663"/>
      <c r="K167" s="663"/>
      <c r="L167" s="663"/>
      <c r="M167" s="663"/>
      <c r="N167" s="663"/>
      <c r="O167" s="663"/>
      <c r="P167" s="663"/>
      <c r="Q167" s="663"/>
      <c r="R167" s="663"/>
      <c r="S167" s="663"/>
      <c r="T167" s="663"/>
      <c r="U167" s="663"/>
      <c r="V167" s="663"/>
      <c r="W167" s="663"/>
      <c r="X167" s="663"/>
      <c r="Y167" s="663"/>
      <c r="Z167" s="663"/>
      <c r="AA167" s="663"/>
      <c r="AB167" s="663"/>
      <c r="AC167" s="663"/>
      <c r="AD167" s="663"/>
      <c r="AE167" s="663"/>
      <c r="AF167" s="663"/>
      <c r="AG167" s="663"/>
    </row>
    <row r="168" spans="1:33" ht="18" x14ac:dyDescent="0.35">
      <c r="A168" s="666" t="s">
        <v>24</v>
      </c>
      <c r="B168" s="657"/>
      <c r="C168" s="663"/>
      <c r="D168" s="663"/>
      <c r="E168" s="663"/>
      <c r="F168" s="663"/>
      <c r="G168" s="663"/>
      <c r="H168" s="663"/>
      <c r="I168" s="663"/>
      <c r="J168" s="663"/>
      <c r="K168" s="663"/>
      <c r="L168" s="663"/>
      <c r="M168" s="663"/>
      <c r="N168" s="663"/>
      <c r="O168" s="663"/>
      <c r="P168" s="663"/>
      <c r="Q168" s="663"/>
      <c r="R168" s="663"/>
      <c r="S168" s="663"/>
      <c r="T168" s="663"/>
      <c r="U168" s="663"/>
      <c r="V168" s="663"/>
      <c r="W168" s="663"/>
      <c r="X168" s="663"/>
      <c r="Y168" s="663"/>
      <c r="Z168" s="663"/>
      <c r="AA168" s="663"/>
      <c r="AB168" s="663"/>
      <c r="AC168" s="663"/>
      <c r="AD168" s="663"/>
      <c r="AE168" s="663"/>
      <c r="AF168" s="663"/>
      <c r="AG168" s="663"/>
    </row>
    <row r="169" spans="1:33" ht="14.4" x14ac:dyDescent="0.3">
      <c r="A169" s="663"/>
      <c r="B169" s="663"/>
      <c r="C169" s="663"/>
      <c r="D169" s="663"/>
      <c r="E169" s="663"/>
      <c r="F169" s="663"/>
      <c r="G169" s="663"/>
      <c r="H169" s="663"/>
      <c r="I169" s="663"/>
      <c r="J169" s="663"/>
      <c r="K169" s="663"/>
      <c r="L169" s="663"/>
      <c r="M169" s="663"/>
      <c r="N169" s="663"/>
      <c r="O169" s="663"/>
      <c r="P169" s="663"/>
      <c r="Q169" s="663"/>
      <c r="R169" s="663"/>
      <c r="S169" s="663"/>
      <c r="T169" s="663"/>
      <c r="U169" s="663"/>
      <c r="V169" s="663"/>
      <c r="W169" s="663"/>
      <c r="X169" s="663"/>
      <c r="Y169" s="663"/>
      <c r="Z169" s="663"/>
      <c r="AA169" s="663"/>
      <c r="AB169" s="663"/>
      <c r="AC169" s="663"/>
      <c r="AD169" s="663"/>
      <c r="AE169" s="663"/>
      <c r="AF169" s="663"/>
      <c r="AG169" s="663"/>
    </row>
    <row r="170" spans="1:33" ht="14.4" x14ac:dyDescent="0.3">
      <c r="A170" s="672" t="s">
        <v>22</v>
      </c>
      <c r="B170" s="662">
        <v>4.2</v>
      </c>
      <c r="C170" s="663"/>
      <c r="D170" s="663"/>
      <c r="E170" s="663"/>
      <c r="F170" s="663"/>
      <c r="G170" s="663"/>
      <c r="H170" s="663"/>
      <c r="I170" s="663"/>
      <c r="J170" s="663"/>
      <c r="K170" s="663"/>
      <c r="L170" s="663"/>
      <c r="M170" s="663"/>
      <c r="N170" s="663"/>
      <c r="O170" s="663"/>
      <c r="P170" s="663"/>
      <c r="Q170" s="663"/>
      <c r="R170" s="663"/>
      <c r="S170" s="663"/>
      <c r="T170" s="663"/>
      <c r="U170" s="663"/>
      <c r="V170" s="663"/>
      <c r="W170" s="663"/>
      <c r="X170" s="663"/>
      <c r="Y170" s="663"/>
      <c r="Z170" s="663"/>
      <c r="AA170" s="663"/>
      <c r="AB170" s="663"/>
      <c r="AC170" s="663"/>
      <c r="AD170" s="663"/>
      <c r="AE170" s="663"/>
      <c r="AF170" s="663"/>
      <c r="AG170" s="663"/>
    </row>
    <row r="171" spans="1:33" ht="14.4" x14ac:dyDescent="0.3">
      <c r="A171" s="673" t="s">
        <v>20</v>
      </c>
      <c r="B171" s="665">
        <v>0</v>
      </c>
      <c r="C171" s="663"/>
      <c r="D171" s="663"/>
      <c r="E171" s="663"/>
      <c r="F171" s="663"/>
      <c r="G171" s="663"/>
      <c r="H171" s="663"/>
      <c r="I171" s="663"/>
      <c r="J171" s="663"/>
      <c r="K171" s="663"/>
      <c r="L171" s="663"/>
      <c r="M171" s="663"/>
      <c r="N171" s="663"/>
      <c r="O171" s="663"/>
      <c r="P171" s="663"/>
      <c r="Q171" s="663"/>
      <c r="R171" s="663"/>
      <c r="S171" s="663"/>
      <c r="T171" s="663"/>
      <c r="U171" s="663"/>
      <c r="V171" s="663"/>
      <c r="W171" s="663"/>
      <c r="X171" s="663"/>
      <c r="Y171" s="663"/>
      <c r="Z171" s="663"/>
      <c r="AA171" s="663"/>
      <c r="AB171" s="663"/>
      <c r="AC171" s="663"/>
      <c r="AD171" s="663"/>
      <c r="AE171" s="663"/>
      <c r="AF171" s="663"/>
      <c r="AG171" s="663"/>
    </row>
    <row r="172" spans="1:33" ht="14.4" x14ac:dyDescent="0.3">
      <c r="A172" s="674"/>
      <c r="B172" s="668"/>
      <c r="C172" s="663"/>
      <c r="D172" s="663"/>
      <c r="E172" s="663"/>
      <c r="F172" s="663"/>
      <c r="G172" s="663"/>
      <c r="H172" s="663"/>
      <c r="I172" s="663"/>
      <c r="J172" s="663"/>
      <c r="K172" s="663"/>
      <c r="L172" s="663"/>
      <c r="M172" s="663"/>
      <c r="N172" s="663"/>
      <c r="O172" s="663"/>
      <c r="P172" s="663"/>
      <c r="Q172" s="663"/>
      <c r="R172" s="663"/>
      <c r="S172" s="663"/>
      <c r="T172" s="663"/>
      <c r="U172" s="663"/>
      <c r="V172" s="663"/>
      <c r="W172" s="663"/>
      <c r="X172" s="663"/>
      <c r="Y172" s="663"/>
      <c r="Z172" s="663"/>
      <c r="AA172" s="663"/>
      <c r="AB172" s="663"/>
      <c r="AC172" s="663"/>
      <c r="AD172" s="663"/>
      <c r="AE172" s="663"/>
      <c r="AF172" s="663"/>
      <c r="AG172" s="663"/>
    </row>
    <row r="173" spans="1:33" ht="14.4" x14ac:dyDescent="0.3">
      <c r="A173" s="663"/>
      <c r="B173" s="663"/>
      <c r="C173" s="663"/>
      <c r="D173" s="663"/>
      <c r="E173" s="663"/>
      <c r="F173" s="663"/>
      <c r="G173" s="663"/>
      <c r="H173" s="663"/>
      <c r="I173" s="663"/>
      <c r="J173" s="663"/>
      <c r="K173" s="663"/>
      <c r="L173" s="663"/>
      <c r="M173" s="663"/>
      <c r="N173" s="663"/>
      <c r="O173" s="663"/>
      <c r="P173" s="663"/>
      <c r="Q173" s="663"/>
      <c r="R173" s="663"/>
      <c r="S173" s="663"/>
      <c r="T173" s="663"/>
      <c r="U173" s="663"/>
      <c r="V173" s="663"/>
      <c r="W173" s="663"/>
      <c r="X173" s="663"/>
      <c r="Y173" s="663"/>
      <c r="Z173" s="663"/>
      <c r="AA173" s="663"/>
      <c r="AB173" s="663"/>
      <c r="AC173" s="663"/>
      <c r="AD173" s="663"/>
      <c r="AE173" s="663"/>
      <c r="AF173" s="663"/>
      <c r="AG173" s="663"/>
    </row>
    <row r="174" spans="1:33" ht="14.4" x14ac:dyDescent="0.3">
      <c r="A174" s="660" t="s">
        <v>86</v>
      </c>
      <c r="B174" s="661" t="s">
        <v>86</v>
      </c>
      <c r="C174" s="661" t="s">
        <v>10</v>
      </c>
      <c r="D174" s="661">
        <v>1</v>
      </c>
      <c r="E174" s="662">
        <v>1.5</v>
      </c>
      <c r="F174" s="663"/>
      <c r="G174" s="663"/>
      <c r="H174" s="663"/>
      <c r="I174" s="663"/>
      <c r="J174" s="663"/>
      <c r="K174" s="663"/>
      <c r="L174" s="663"/>
      <c r="M174" s="663"/>
      <c r="N174" s="663"/>
      <c r="O174" s="663"/>
      <c r="P174" s="663"/>
      <c r="Q174" s="663"/>
      <c r="R174" s="663"/>
      <c r="S174" s="663"/>
      <c r="T174" s="663"/>
      <c r="U174" s="663"/>
      <c r="V174" s="663"/>
      <c r="W174" s="663"/>
      <c r="X174" s="663"/>
      <c r="Y174" s="663"/>
      <c r="Z174" s="663"/>
      <c r="AA174" s="663"/>
      <c r="AB174" s="663"/>
      <c r="AC174" s="663"/>
      <c r="AD174" s="663"/>
      <c r="AE174" s="663"/>
      <c r="AF174" s="663"/>
      <c r="AG174" s="663"/>
    </row>
    <row r="175" spans="1:33" ht="14.4" x14ac:dyDescent="0.3">
      <c r="A175" s="666" t="s">
        <v>10</v>
      </c>
      <c r="B175" s="667" t="s">
        <v>10</v>
      </c>
      <c r="C175" s="667" t="s">
        <v>10</v>
      </c>
      <c r="D175" s="667">
        <v>1.5</v>
      </c>
      <c r="E175" s="668">
        <v>1.5</v>
      </c>
      <c r="F175" s="663"/>
      <c r="G175" s="663"/>
      <c r="H175" s="663"/>
      <c r="I175" s="663"/>
      <c r="J175" s="663"/>
      <c r="K175" s="663"/>
      <c r="L175" s="663"/>
      <c r="M175" s="663"/>
      <c r="N175" s="663"/>
      <c r="O175" s="663"/>
      <c r="P175" s="663"/>
      <c r="Q175" s="663"/>
      <c r="R175" s="663"/>
      <c r="S175" s="663"/>
      <c r="T175" s="663"/>
      <c r="U175" s="663"/>
      <c r="V175" s="663"/>
      <c r="W175" s="663"/>
      <c r="X175" s="663"/>
      <c r="Y175" s="663"/>
      <c r="Z175" s="663"/>
      <c r="AA175" s="663"/>
      <c r="AB175" s="663"/>
      <c r="AC175" s="663"/>
      <c r="AD175" s="663"/>
      <c r="AE175" s="663"/>
      <c r="AF175" s="663"/>
      <c r="AG175" s="663"/>
    </row>
    <row r="176" spans="1:33" ht="14.4" x14ac:dyDescent="0.3">
      <c r="A176" s="663"/>
      <c r="B176" s="663"/>
      <c r="C176" s="663"/>
      <c r="D176" s="663"/>
      <c r="E176" s="663"/>
      <c r="F176" s="663"/>
      <c r="G176" s="663"/>
      <c r="H176" s="663"/>
      <c r="I176" s="663"/>
      <c r="J176" s="663"/>
      <c r="K176" s="663"/>
      <c r="L176" s="663"/>
      <c r="M176" s="663"/>
      <c r="N176" s="663"/>
      <c r="O176" s="663"/>
      <c r="P176" s="663"/>
      <c r="Q176" s="663"/>
      <c r="R176" s="663"/>
      <c r="S176" s="663"/>
      <c r="T176" s="663"/>
      <c r="U176" s="663"/>
      <c r="V176" s="663"/>
      <c r="W176" s="663"/>
      <c r="X176" s="663"/>
      <c r="Y176" s="663"/>
      <c r="Z176" s="663"/>
      <c r="AA176" s="663"/>
      <c r="AB176" s="663"/>
      <c r="AC176" s="663"/>
      <c r="AD176" s="663"/>
      <c r="AE176" s="663"/>
      <c r="AF176" s="663"/>
      <c r="AG176" s="663"/>
    </row>
    <row r="177" spans="1:33" ht="14.4" x14ac:dyDescent="0.3">
      <c r="A177" s="663"/>
      <c r="B177" s="663"/>
      <c r="C177" s="663"/>
      <c r="D177" s="663"/>
      <c r="E177" s="663"/>
      <c r="F177" s="663"/>
      <c r="G177" s="663"/>
      <c r="H177" s="663"/>
      <c r="I177" s="663"/>
      <c r="J177" s="663"/>
      <c r="K177" s="663"/>
      <c r="L177" s="663"/>
      <c r="M177" s="663"/>
      <c r="N177" s="663"/>
      <c r="O177" s="663"/>
      <c r="P177" s="663"/>
      <c r="Q177" s="663"/>
      <c r="R177" s="663"/>
      <c r="S177" s="663"/>
      <c r="T177" s="663"/>
      <c r="U177" s="663"/>
      <c r="V177" s="663"/>
      <c r="W177" s="663"/>
      <c r="X177" s="663"/>
      <c r="Y177" s="663"/>
      <c r="Z177" s="663"/>
      <c r="AA177" s="663"/>
      <c r="AB177" s="663"/>
      <c r="AC177" s="663"/>
      <c r="AD177" s="663"/>
      <c r="AE177" s="663"/>
      <c r="AF177" s="663"/>
      <c r="AG177" s="663"/>
    </row>
    <row r="178" spans="1:33" ht="14.4" x14ac:dyDescent="0.3">
      <c r="A178" s="660" t="s">
        <v>88</v>
      </c>
      <c r="B178" s="661" t="s">
        <v>89</v>
      </c>
      <c r="C178" s="661" t="s">
        <v>89</v>
      </c>
      <c r="D178" s="662">
        <v>1.9</v>
      </c>
      <c r="E178" s="663"/>
      <c r="F178" s="663"/>
      <c r="G178" s="663"/>
      <c r="H178" s="663"/>
      <c r="I178" s="663"/>
      <c r="J178" s="663"/>
      <c r="K178" s="663"/>
      <c r="L178" s="663"/>
      <c r="M178" s="663"/>
      <c r="N178" s="663"/>
      <c r="O178" s="663"/>
      <c r="P178" s="663"/>
      <c r="Q178" s="663"/>
      <c r="R178" s="663"/>
      <c r="S178" s="663"/>
      <c r="T178" s="663"/>
      <c r="U178" s="663"/>
      <c r="V178" s="663"/>
      <c r="W178" s="663"/>
      <c r="X178" s="663"/>
      <c r="Y178" s="663"/>
      <c r="Z178" s="663"/>
      <c r="AA178" s="663"/>
      <c r="AB178" s="663"/>
      <c r="AC178" s="663"/>
      <c r="AD178" s="663"/>
      <c r="AE178" s="663"/>
      <c r="AF178" s="663"/>
      <c r="AG178" s="663"/>
    </row>
    <row r="179" spans="1:33" ht="14.4" x14ac:dyDescent="0.3">
      <c r="A179" s="666" t="s">
        <v>12</v>
      </c>
      <c r="B179" s="667" t="s">
        <v>90</v>
      </c>
      <c r="C179" s="667" t="s">
        <v>90</v>
      </c>
      <c r="D179" s="668">
        <v>2.1</v>
      </c>
      <c r="E179" s="663"/>
      <c r="F179" s="663"/>
      <c r="G179" s="663"/>
      <c r="H179" s="663"/>
      <c r="I179" s="663"/>
      <c r="J179" s="663"/>
      <c r="K179" s="663"/>
      <c r="L179" s="663"/>
      <c r="M179" s="663"/>
      <c r="N179" s="663"/>
      <c r="O179" s="663"/>
      <c r="P179" s="663"/>
      <c r="Q179" s="663"/>
      <c r="R179" s="663"/>
      <c r="S179" s="663"/>
      <c r="T179" s="663"/>
      <c r="U179" s="663"/>
      <c r="V179" s="663"/>
      <c r="W179" s="663"/>
      <c r="X179" s="663"/>
      <c r="Y179" s="663"/>
      <c r="Z179" s="663"/>
      <c r="AA179" s="663"/>
      <c r="AB179" s="663"/>
      <c r="AC179" s="663"/>
      <c r="AD179" s="663"/>
      <c r="AE179" s="663"/>
      <c r="AF179" s="663"/>
      <c r="AG179" s="663"/>
    </row>
    <row r="180" spans="1:33" ht="14.4" x14ac:dyDescent="0.3">
      <c r="A180" s="663"/>
      <c r="B180" s="663"/>
      <c r="C180" s="663"/>
      <c r="D180" s="663"/>
      <c r="E180" s="663"/>
      <c r="F180" s="663"/>
      <c r="G180" s="663"/>
      <c r="H180" s="663"/>
      <c r="I180" s="663"/>
      <c r="J180" s="663"/>
      <c r="K180" s="663"/>
      <c r="L180" s="663"/>
      <c r="M180" s="663"/>
      <c r="N180" s="663"/>
      <c r="O180" s="663"/>
      <c r="P180" s="663"/>
      <c r="Q180" s="663"/>
      <c r="R180" s="663"/>
      <c r="S180" s="663"/>
      <c r="T180" s="663"/>
      <c r="U180" s="663"/>
      <c r="V180" s="663"/>
      <c r="W180" s="663"/>
      <c r="X180" s="663"/>
      <c r="Y180" s="663"/>
      <c r="Z180" s="663"/>
      <c r="AA180" s="663"/>
      <c r="AB180" s="663"/>
      <c r="AC180" s="663"/>
      <c r="AD180" s="663"/>
      <c r="AE180" s="663"/>
      <c r="AF180" s="663"/>
      <c r="AG180" s="663"/>
    </row>
    <row r="181" spans="1:33" ht="14.4" x14ac:dyDescent="0.3">
      <c r="A181" s="660" t="s">
        <v>16</v>
      </c>
      <c r="B181" s="661">
        <v>0</v>
      </c>
      <c r="C181" s="661">
        <v>0</v>
      </c>
      <c r="D181" s="662"/>
      <c r="E181" s="663"/>
      <c r="F181" s="663"/>
      <c r="G181" s="663"/>
      <c r="H181" s="663"/>
      <c r="I181" s="663"/>
      <c r="J181" s="663"/>
      <c r="K181" s="663"/>
      <c r="L181" s="663"/>
      <c r="M181" s="663"/>
      <c r="N181" s="663"/>
      <c r="O181" s="663"/>
      <c r="P181" s="663"/>
      <c r="Q181" s="663"/>
      <c r="R181" s="663"/>
      <c r="S181" s="663"/>
      <c r="T181" s="663"/>
      <c r="U181" s="663"/>
      <c r="V181" s="663"/>
      <c r="W181" s="663"/>
      <c r="X181" s="663"/>
      <c r="Y181" s="663"/>
      <c r="Z181" s="663"/>
      <c r="AA181" s="663"/>
      <c r="AB181" s="663"/>
      <c r="AC181" s="663"/>
      <c r="AD181" s="663"/>
      <c r="AE181" s="663"/>
      <c r="AF181" s="663"/>
      <c r="AG181" s="663"/>
    </row>
    <row r="182" spans="1:33" ht="14.4" x14ac:dyDescent="0.3">
      <c r="A182" s="664" t="s">
        <v>334</v>
      </c>
      <c r="B182" s="663">
        <v>0.7</v>
      </c>
      <c r="C182" s="663">
        <v>2</v>
      </c>
      <c r="D182" s="665">
        <v>1</v>
      </c>
      <c r="E182" s="663"/>
      <c r="F182" s="663"/>
      <c r="G182" s="663"/>
      <c r="H182" s="663"/>
      <c r="I182" s="663"/>
      <c r="J182" s="663"/>
      <c r="K182" s="663"/>
      <c r="L182" s="663"/>
      <c r="M182" s="663"/>
      <c r="N182" s="663"/>
      <c r="O182" s="663"/>
      <c r="P182" s="663"/>
      <c r="Q182" s="663"/>
      <c r="R182" s="663"/>
      <c r="S182" s="663"/>
      <c r="T182" s="663"/>
      <c r="U182" s="663"/>
      <c r="V182" s="663"/>
      <c r="W182" s="663"/>
      <c r="X182" s="663"/>
      <c r="Y182" s="663"/>
      <c r="Z182" s="663"/>
      <c r="AA182" s="663"/>
      <c r="AB182" s="663"/>
      <c r="AC182" s="663"/>
      <c r="AD182" s="663"/>
      <c r="AE182" s="663"/>
      <c r="AF182" s="663"/>
      <c r="AG182" s="663"/>
    </row>
    <row r="183" spans="1:33" ht="14.4" x14ac:dyDescent="0.3">
      <c r="A183" s="664" t="s">
        <v>335</v>
      </c>
      <c r="B183" s="663">
        <v>1</v>
      </c>
      <c r="C183" s="663">
        <v>8</v>
      </c>
      <c r="D183" s="665">
        <v>5.3</v>
      </c>
      <c r="E183" s="663"/>
      <c r="F183" s="663"/>
      <c r="G183" s="663"/>
      <c r="H183" s="663"/>
      <c r="I183" s="663"/>
      <c r="J183" s="663"/>
      <c r="K183" s="663"/>
      <c r="L183" s="663"/>
      <c r="M183" s="663"/>
      <c r="N183" s="663"/>
      <c r="O183" s="663"/>
      <c r="P183" s="663"/>
      <c r="Q183" s="663"/>
      <c r="R183" s="663"/>
      <c r="S183" s="663"/>
      <c r="T183" s="663"/>
      <c r="U183" s="663"/>
      <c r="V183" s="663"/>
      <c r="W183" s="663"/>
      <c r="X183" s="663"/>
      <c r="Y183" s="663"/>
      <c r="Z183" s="663"/>
      <c r="AA183" s="663"/>
      <c r="AB183" s="663"/>
      <c r="AC183" s="663"/>
      <c r="AD183" s="663"/>
      <c r="AE183" s="663"/>
      <c r="AF183" s="663"/>
      <c r="AG183" s="663"/>
    </row>
    <row r="184" spans="1:33" ht="14.4" x14ac:dyDescent="0.3">
      <c r="A184" s="664" t="s">
        <v>336</v>
      </c>
      <c r="B184" s="663">
        <f>1.5+2</f>
        <v>3.5</v>
      </c>
      <c r="C184" s="663">
        <v>19</v>
      </c>
      <c r="D184" s="665">
        <v>6.3</v>
      </c>
      <c r="E184" s="663"/>
      <c r="F184" s="663"/>
      <c r="G184" s="663"/>
      <c r="H184" s="663"/>
      <c r="I184" s="663"/>
      <c r="J184" s="663"/>
      <c r="K184" s="663"/>
      <c r="L184" s="663"/>
      <c r="M184" s="663"/>
      <c r="N184" s="663"/>
      <c r="O184" s="663"/>
      <c r="P184" s="663"/>
      <c r="Q184" s="663"/>
      <c r="R184" s="663"/>
      <c r="S184" s="663"/>
      <c r="T184" s="663"/>
      <c r="U184" s="663"/>
      <c r="V184" s="663"/>
      <c r="W184" s="663"/>
      <c r="X184" s="663"/>
      <c r="Y184" s="663"/>
      <c r="Z184" s="663"/>
      <c r="AA184" s="663"/>
      <c r="AB184" s="663"/>
      <c r="AC184" s="663"/>
      <c r="AD184" s="663"/>
      <c r="AE184" s="663"/>
      <c r="AF184" s="663"/>
      <c r="AG184" s="663"/>
    </row>
    <row r="185" spans="1:33" ht="14.4" x14ac:dyDescent="0.3">
      <c r="A185" s="664" t="s">
        <v>337</v>
      </c>
      <c r="B185" s="663">
        <f>1.5+2+1</f>
        <v>4.5</v>
      </c>
      <c r="C185" s="663">
        <v>22</v>
      </c>
      <c r="D185" s="665">
        <v>6.5</v>
      </c>
      <c r="E185" s="663"/>
      <c r="F185" s="663"/>
      <c r="G185" s="663"/>
      <c r="H185" s="663"/>
      <c r="I185" s="663"/>
      <c r="J185" s="663"/>
      <c r="K185" s="663"/>
      <c r="L185" s="663"/>
      <c r="M185" s="663"/>
      <c r="N185" s="663"/>
      <c r="O185" s="663"/>
      <c r="P185" s="663"/>
      <c r="Q185" s="663"/>
      <c r="R185" s="663"/>
      <c r="S185" s="663"/>
      <c r="T185" s="663"/>
      <c r="U185" s="663"/>
      <c r="V185" s="663"/>
      <c r="W185" s="663"/>
      <c r="X185" s="663"/>
      <c r="Y185" s="663"/>
      <c r="Z185" s="663"/>
      <c r="AA185" s="663"/>
      <c r="AB185" s="663"/>
      <c r="AC185" s="663"/>
      <c r="AD185" s="663"/>
      <c r="AE185" s="663"/>
      <c r="AF185" s="663"/>
      <c r="AG185" s="663"/>
    </row>
    <row r="186" spans="1:33" ht="14.4" x14ac:dyDescent="0.3">
      <c r="A186" s="664" t="s">
        <v>338</v>
      </c>
      <c r="B186" s="663">
        <v>1.5</v>
      </c>
      <c r="C186" s="663">
        <v>11</v>
      </c>
      <c r="D186" s="665">
        <v>5.95</v>
      </c>
      <c r="E186" s="663"/>
      <c r="F186" s="663"/>
      <c r="G186" s="663"/>
      <c r="H186" s="663"/>
      <c r="I186" s="663"/>
      <c r="J186" s="663"/>
      <c r="K186" s="663"/>
      <c r="L186" s="663"/>
      <c r="M186" s="663"/>
      <c r="N186" s="663"/>
      <c r="O186" s="663"/>
      <c r="P186" s="663"/>
      <c r="Q186" s="663"/>
      <c r="R186" s="663"/>
      <c r="S186" s="663"/>
      <c r="T186" s="663"/>
      <c r="U186" s="663"/>
      <c r="V186" s="663"/>
      <c r="W186" s="663"/>
      <c r="X186" s="663"/>
      <c r="Y186" s="663"/>
      <c r="Z186" s="663"/>
      <c r="AA186" s="663"/>
      <c r="AB186" s="663"/>
      <c r="AC186" s="663"/>
      <c r="AD186" s="663"/>
      <c r="AE186" s="663"/>
      <c r="AF186" s="663"/>
      <c r="AG186" s="663"/>
    </row>
    <row r="187" spans="1:33" ht="14.4" x14ac:dyDescent="0.3">
      <c r="A187" s="666" t="s">
        <v>339</v>
      </c>
      <c r="B187" s="667">
        <v>2.5</v>
      </c>
      <c r="C187" s="667">
        <v>13</v>
      </c>
      <c r="D187" s="668">
        <v>6.1</v>
      </c>
      <c r="E187" s="663"/>
      <c r="F187" s="663"/>
      <c r="G187" s="663"/>
      <c r="H187" s="663"/>
      <c r="I187" s="663"/>
      <c r="J187" s="663"/>
      <c r="K187" s="663"/>
      <c r="L187" s="663"/>
      <c r="M187" s="663"/>
      <c r="N187" s="663"/>
      <c r="O187" s="663"/>
      <c r="P187" s="663"/>
      <c r="Q187" s="663"/>
      <c r="R187" s="663"/>
      <c r="S187" s="663"/>
      <c r="T187" s="663"/>
      <c r="U187" s="663"/>
      <c r="V187" s="663"/>
      <c r="W187" s="663"/>
      <c r="X187" s="663"/>
      <c r="Y187" s="663"/>
      <c r="Z187" s="663"/>
      <c r="AA187" s="663"/>
      <c r="AB187" s="663"/>
      <c r="AC187" s="663"/>
      <c r="AD187" s="663"/>
      <c r="AE187" s="663"/>
      <c r="AF187" s="663"/>
      <c r="AG187" s="663"/>
    </row>
    <row r="188" spans="1:33" ht="14.4" x14ac:dyDescent="0.3">
      <c r="A188" s="663"/>
      <c r="B188" s="663"/>
      <c r="C188" s="663"/>
      <c r="D188" s="663"/>
      <c r="E188" s="663"/>
      <c r="F188" s="663"/>
      <c r="G188" s="663"/>
      <c r="H188" s="663"/>
      <c r="I188" s="663"/>
      <c r="J188" s="663"/>
      <c r="K188" s="663"/>
      <c r="L188" s="663"/>
      <c r="M188" s="663"/>
      <c r="N188" s="663"/>
      <c r="O188" s="663"/>
      <c r="P188" s="663"/>
      <c r="Q188" s="663"/>
      <c r="R188" s="663"/>
      <c r="S188" s="663"/>
      <c r="T188" s="663"/>
      <c r="U188" s="663"/>
      <c r="V188" s="663"/>
      <c r="W188" s="663"/>
      <c r="X188" s="663"/>
      <c r="Y188" s="663"/>
      <c r="Z188" s="663"/>
      <c r="AA188" s="663"/>
      <c r="AB188" s="663"/>
      <c r="AC188" s="663"/>
      <c r="AD188" s="663"/>
      <c r="AE188" s="663"/>
      <c r="AF188" s="663"/>
      <c r="AG188" s="663"/>
    </row>
    <row r="189" spans="1:33" ht="14.4" x14ac:dyDescent="0.3">
      <c r="A189" s="660" t="s">
        <v>113</v>
      </c>
      <c r="B189" s="661">
        <v>1</v>
      </c>
      <c r="C189" s="662">
        <v>5</v>
      </c>
      <c r="D189" s="663"/>
      <c r="E189" s="663"/>
      <c r="F189" s="663"/>
      <c r="G189" s="663"/>
      <c r="H189" s="663"/>
      <c r="I189" s="663"/>
      <c r="J189" s="663"/>
      <c r="K189" s="663"/>
      <c r="L189" s="663"/>
      <c r="M189" s="663"/>
      <c r="N189" s="663"/>
      <c r="O189" s="663"/>
      <c r="P189" s="663"/>
      <c r="Q189" s="663"/>
      <c r="R189" s="663"/>
      <c r="S189" s="663"/>
      <c r="T189" s="663"/>
      <c r="U189" s="663"/>
      <c r="V189" s="663"/>
      <c r="W189" s="663"/>
      <c r="X189" s="663"/>
      <c r="Y189" s="663"/>
      <c r="Z189" s="663"/>
      <c r="AA189" s="663"/>
      <c r="AB189" s="663"/>
      <c r="AC189" s="663"/>
      <c r="AD189" s="663"/>
      <c r="AE189" s="663"/>
      <c r="AF189" s="663"/>
      <c r="AG189" s="663"/>
    </row>
    <row r="190" spans="1:33" ht="14.4" x14ac:dyDescent="0.3">
      <c r="A190" s="664" t="s">
        <v>16</v>
      </c>
      <c r="B190" s="663"/>
      <c r="C190" s="665"/>
      <c r="D190" s="663"/>
      <c r="E190" s="663"/>
      <c r="F190" s="663"/>
      <c r="G190" s="663"/>
      <c r="H190" s="663"/>
      <c r="I190" s="663"/>
      <c r="J190" s="663"/>
      <c r="K190" s="663"/>
      <c r="L190" s="663"/>
      <c r="M190" s="663"/>
      <c r="N190" s="663"/>
      <c r="O190" s="663"/>
      <c r="P190" s="663"/>
      <c r="Q190" s="663"/>
      <c r="R190" s="663"/>
      <c r="S190" s="663"/>
      <c r="T190" s="663"/>
      <c r="U190" s="663"/>
      <c r="V190" s="663"/>
      <c r="W190" s="663"/>
      <c r="X190" s="663"/>
      <c r="Y190" s="663"/>
      <c r="Z190" s="663"/>
      <c r="AA190" s="663"/>
      <c r="AB190" s="663"/>
      <c r="AC190" s="663"/>
      <c r="AD190" s="663"/>
      <c r="AE190" s="663"/>
      <c r="AF190" s="663"/>
      <c r="AG190" s="663"/>
    </row>
    <row r="191" spans="1:33" ht="14.4" x14ac:dyDescent="0.3">
      <c r="A191" s="664" t="s">
        <v>37</v>
      </c>
      <c r="B191" s="663">
        <v>1</v>
      </c>
      <c r="C191" s="665">
        <v>5</v>
      </c>
      <c r="D191" s="663"/>
      <c r="E191" s="663"/>
      <c r="F191" s="663"/>
      <c r="G191" s="663"/>
      <c r="H191" s="663"/>
      <c r="I191" s="663"/>
      <c r="J191" s="663"/>
      <c r="K191" s="663"/>
      <c r="L191" s="663"/>
      <c r="M191" s="663"/>
      <c r="N191" s="663"/>
      <c r="O191" s="663"/>
      <c r="P191" s="663"/>
      <c r="Q191" s="663"/>
      <c r="R191" s="663"/>
      <c r="S191" s="663"/>
      <c r="T191" s="663"/>
      <c r="U191" s="663"/>
      <c r="V191" s="663"/>
      <c r="W191" s="663"/>
      <c r="X191" s="663"/>
      <c r="Y191" s="663"/>
      <c r="Z191" s="663"/>
      <c r="AA191" s="663"/>
      <c r="AB191" s="663"/>
      <c r="AC191" s="663"/>
      <c r="AD191" s="663"/>
      <c r="AE191" s="663"/>
      <c r="AF191" s="663"/>
      <c r="AG191" s="663"/>
    </row>
    <row r="192" spans="1:33" ht="14.4" x14ac:dyDescent="0.3">
      <c r="A192" s="664" t="s">
        <v>105</v>
      </c>
      <c r="B192" s="663">
        <v>1</v>
      </c>
      <c r="C192" s="665">
        <v>3</v>
      </c>
      <c r="D192" s="663"/>
      <c r="E192" s="663"/>
      <c r="F192" s="663"/>
      <c r="G192" s="663"/>
      <c r="H192" s="663"/>
      <c r="I192" s="663"/>
      <c r="J192" s="663"/>
      <c r="K192" s="663"/>
      <c r="L192" s="663"/>
      <c r="M192" s="663"/>
      <c r="N192" s="663"/>
      <c r="O192" s="663"/>
      <c r="P192" s="663"/>
      <c r="Q192" s="663"/>
      <c r="R192" s="663"/>
      <c r="S192" s="663"/>
      <c r="T192" s="663"/>
      <c r="U192" s="663"/>
      <c r="V192" s="663"/>
      <c r="W192" s="663"/>
      <c r="X192" s="663"/>
      <c r="Y192" s="663"/>
      <c r="Z192" s="663"/>
      <c r="AA192" s="663"/>
      <c r="AB192" s="663"/>
      <c r="AC192" s="663"/>
      <c r="AD192" s="663"/>
      <c r="AE192" s="663"/>
      <c r="AF192" s="663"/>
      <c r="AG192" s="663"/>
    </row>
    <row r="193" spans="1:33" ht="14.4" x14ac:dyDescent="0.3">
      <c r="A193" s="664" t="s">
        <v>27</v>
      </c>
      <c r="B193" s="663">
        <v>1</v>
      </c>
      <c r="C193" s="665">
        <v>5</v>
      </c>
      <c r="D193" s="663"/>
      <c r="E193" s="663"/>
      <c r="F193" s="663"/>
      <c r="G193" s="663"/>
      <c r="H193" s="663"/>
      <c r="I193" s="663"/>
      <c r="J193" s="663"/>
      <c r="K193" s="663"/>
      <c r="L193" s="663"/>
      <c r="M193" s="663"/>
      <c r="N193" s="663"/>
      <c r="O193" s="663"/>
      <c r="P193" s="663"/>
      <c r="Q193" s="663"/>
      <c r="R193" s="663"/>
      <c r="S193" s="663"/>
      <c r="T193" s="663"/>
      <c r="U193" s="663"/>
      <c r="V193" s="663"/>
      <c r="W193" s="663"/>
      <c r="X193" s="663"/>
      <c r="Y193" s="663"/>
      <c r="Z193" s="663"/>
      <c r="AA193" s="663"/>
      <c r="AB193" s="663"/>
      <c r="AC193" s="663"/>
      <c r="AD193" s="663"/>
      <c r="AE193" s="663"/>
      <c r="AF193" s="663"/>
      <c r="AG193" s="663"/>
    </row>
    <row r="194" spans="1:33" ht="14.4" x14ac:dyDescent="0.3">
      <c r="A194" s="664" t="s">
        <v>126</v>
      </c>
      <c r="B194" s="663">
        <v>1</v>
      </c>
      <c r="C194" s="665">
        <v>2.2000000000000002</v>
      </c>
      <c r="D194" s="663"/>
      <c r="E194" s="663"/>
      <c r="F194" s="663"/>
      <c r="G194" s="663"/>
      <c r="H194" s="663"/>
      <c r="I194" s="663"/>
      <c r="J194" s="663"/>
      <c r="K194" s="663"/>
      <c r="L194" s="663"/>
      <c r="M194" s="663"/>
      <c r="N194" s="663"/>
      <c r="O194" s="663"/>
      <c r="P194" s="663"/>
      <c r="Q194" s="663"/>
      <c r="R194" s="663"/>
      <c r="S194" s="663"/>
      <c r="T194" s="663"/>
      <c r="U194" s="663"/>
      <c r="V194" s="663"/>
      <c r="W194" s="663"/>
      <c r="X194" s="663"/>
      <c r="Y194" s="663"/>
      <c r="Z194" s="663"/>
      <c r="AA194" s="663"/>
      <c r="AB194" s="663"/>
      <c r="AC194" s="663"/>
      <c r="AD194" s="663"/>
      <c r="AE194" s="663"/>
      <c r="AF194" s="663"/>
      <c r="AG194" s="663"/>
    </row>
    <row r="195" spans="1:33" ht="14.4" x14ac:dyDescent="0.3">
      <c r="A195" s="664" t="s">
        <v>128</v>
      </c>
      <c r="B195" s="663">
        <v>1</v>
      </c>
      <c r="C195" s="665">
        <v>3.2</v>
      </c>
      <c r="D195" s="663"/>
      <c r="E195" s="663"/>
      <c r="F195" s="663"/>
      <c r="G195" s="663"/>
      <c r="H195" s="663"/>
      <c r="I195" s="663"/>
      <c r="J195" s="663"/>
      <c r="K195" s="663"/>
      <c r="L195" s="663"/>
      <c r="M195" s="663"/>
      <c r="N195" s="663"/>
      <c r="O195" s="663"/>
      <c r="P195" s="663"/>
      <c r="Q195" s="663"/>
      <c r="R195" s="663"/>
      <c r="S195" s="663"/>
      <c r="T195" s="663"/>
      <c r="U195" s="663"/>
      <c r="V195" s="663"/>
      <c r="W195" s="663"/>
      <c r="X195" s="663"/>
      <c r="Y195" s="663"/>
      <c r="Z195" s="663"/>
      <c r="AA195" s="663"/>
      <c r="AB195" s="663"/>
      <c r="AC195" s="663"/>
      <c r="AD195" s="663"/>
      <c r="AE195" s="663"/>
      <c r="AF195" s="663"/>
      <c r="AG195" s="663"/>
    </row>
    <row r="196" spans="1:33" ht="14.4" x14ac:dyDescent="0.3">
      <c r="A196" s="664" t="s">
        <v>340</v>
      </c>
      <c r="B196" s="663">
        <v>1</v>
      </c>
      <c r="C196" s="665">
        <v>3.2</v>
      </c>
      <c r="D196" s="663"/>
      <c r="E196" s="663"/>
      <c r="F196" s="663"/>
      <c r="G196" s="663"/>
      <c r="H196" s="663"/>
      <c r="I196" s="663"/>
      <c r="J196" s="663"/>
      <c r="K196" s="663"/>
      <c r="L196" s="663"/>
      <c r="M196" s="663"/>
      <c r="N196" s="663"/>
      <c r="O196" s="663"/>
      <c r="P196" s="663"/>
      <c r="Q196" s="663"/>
      <c r="R196" s="663"/>
      <c r="S196" s="663"/>
      <c r="T196" s="663"/>
      <c r="U196" s="663"/>
      <c r="V196" s="663"/>
      <c r="W196" s="663"/>
      <c r="X196" s="663"/>
      <c r="Y196" s="663"/>
      <c r="Z196" s="663"/>
      <c r="AA196" s="663"/>
      <c r="AB196" s="663"/>
      <c r="AC196" s="663"/>
      <c r="AD196" s="663"/>
      <c r="AE196" s="663"/>
      <c r="AF196" s="663"/>
      <c r="AG196" s="663"/>
    </row>
    <row r="197" spans="1:33" ht="14.4" x14ac:dyDescent="0.3">
      <c r="A197" s="664" t="s">
        <v>203</v>
      </c>
      <c r="B197" s="663">
        <v>1</v>
      </c>
      <c r="C197" s="665">
        <v>5.3</v>
      </c>
      <c r="D197" s="663"/>
      <c r="E197" s="663"/>
      <c r="F197" s="663"/>
      <c r="G197" s="663"/>
      <c r="H197" s="663"/>
      <c r="I197" s="663"/>
      <c r="J197" s="663"/>
      <c r="K197" s="663"/>
      <c r="L197" s="663"/>
      <c r="M197" s="663"/>
      <c r="N197" s="663"/>
      <c r="O197" s="663"/>
      <c r="P197" s="663"/>
      <c r="Q197" s="663"/>
      <c r="R197" s="663"/>
      <c r="S197" s="663"/>
      <c r="T197" s="663"/>
      <c r="U197" s="663"/>
      <c r="V197" s="663"/>
      <c r="W197" s="663"/>
      <c r="X197" s="663"/>
      <c r="Y197" s="663"/>
      <c r="Z197" s="663"/>
      <c r="AA197" s="663"/>
      <c r="AB197" s="663"/>
      <c r="AC197" s="663"/>
      <c r="AD197" s="663"/>
      <c r="AE197" s="663"/>
      <c r="AF197" s="663"/>
      <c r="AG197" s="663"/>
    </row>
    <row r="198" spans="1:33" ht="14.4" x14ac:dyDescent="0.3">
      <c r="A198" s="666" t="s">
        <v>341</v>
      </c>
      <c r="B198" s="667">
        <v>1</v>
      </c>
      <c r="C198" s="668">
        <v>5.3</v>
      </c>
      <c r="D198" s="663"/>
      <c r="E198" s="663"/>
      <c r="F198" s="663"/>
      <c r="G198" s="663"/>
      <c r="H198" s="663"/>
      <c r="I198" s="663"/>
      <c r="J198" s="663"/>
      <c r="K198" s="663"/>
      <c r="L198" s="663"/>
      <c r="M198" s="663"/>
      <c r="N198" s="663"/>
      <c r="O198" s="663"/>
      <c r="P198" s="663"/>
      <c r="Q198" s="663"/>
      <c r="R198" s="663"/>
      <c r="S198" s="663"/>
      <c r="T198" s="663"/>
      <c r="U198" s="663"/>
      <c r="V198" s="663"/>
      <c r="W198" s="663"/>
      <c r="X198" s="663"/>
      <c r="Y198" s="663"/>
      <c r="Z198" s="663"/>
      <c r="AA198" s="663"/>
      <c r="AB198" s="663"/>
      <c r="AC198" s="663"/>
      <c r="AD198" s="663"/>
      <c r="AE198" s="663"/>
      <c r="AF198" s="663"/>
      <c r="AG198" s="663"/>
    </row>
    <row r="199" spans="1:33" ht="14.4" x14ac:dyDescent="0.3">
      <c r="A199" s="663"/>
      <c r="B199" s="663"/>
      <c r="C199" s="663"/>
      <c r="D199" s="663"/>
      <c r="E199" s="663"/>
      <c r="F199" s="663"/>
      <c r="G199" s="663"/>
      <c r="H199" s="663"/>
      <c r="I199" s="663"/>
      <c r="J199" s="663"/>
      <c r="K199" s="663"/>
      <c r="L199" s="663"/>
      <c r="M199" s="663"/>
      <c r="N199" s="663"/>
      <c r="O199" s="663"/>
      <c r="P199" s="663"/>
      <c r="Q199" s="663"/>
      <c r="R199" s="663"/>
      <c r="S199" s="663"/>
      <c r="T199" s="663"/>
      <c r="U199" s="663"/>
      <c r="V199" s="663"/>
      <c r="W199" s="663"/>
      <c r="X199" s="663"/>
      <c r="Y199" s="663"/>
      <c r="Z199" s="663"/>
      <c r="AA199" s="663"/>
      <c r="AB199" s="663"/>
      <c r="AC199" s="663"/>
      <c r="AD199" s="663"/>
      <c r="AE199" s="663"/>
      <c r="AF199" s="663"/>
      <c r="AG199" s="663"/>
    </row>
    <row r="200" spans="1:33" ht="14.4" x14ac:dyDescent="0.3">
      <c r="A200" s="660" t="s">
        <v>342</v>
      </c>
      <c r="B200" s="661">
        <v>8</v>
      </c>
      <c r="C200" s="661" t="s">
        <v>342</v>
      </c>
      <c r="D200" s="662" t="s">
        <v>37</v>
      </c>
      <c r="E200" s="663"/>
      <c r="F200" s="663"/>
      <c r="G200" s="663"/>
      <c r="H200" s="663"/>
      <c r="I200" s="663"/>
      <c r="J200" s="663"/>
      <c r="K200" s="663"/>
      <c r="L200" s="663"/>
      <c r="M200" s="663"/>
      <c r="N200" s="663"/>
      <c r="O200" s="663"/>
      <c r="P200" s="663"/>
      <c r="Q200" s="663"/>
      <c r="R200" s="663"/>
      <c r="S200" s="663"/>
      <c r="T200" s="663"/>
      <c r="U200" s="663"/>
      <c r="V200" s="663"/>
      <c r="W200" s="663"/>
      <c r="X200" s="663"/>
      <c r="Y200" s="663"/>
      <c r="Z200" s="663"/>
      <c r="AA200" s="663"/>
      <c r="AB200" s="663"/>
      <c r="AC200" s="663"/>
      <c r="AD200" s="663"/>
      <c r="AE200" s="663"/>
      <c r="AF200" s="663"/>
      <c r="AG200" s="663"/>
    </row>
    <row r="201" spans="1:33" ht="14.4" x14ac:dyDescent="0.3">
      <c r="A201" s="664" t="s">
        <v>307</v>
      </c>
      <c r="B201" s="663">
        <v>5.2</v>
      </c>
      <c r="C201" s="663" t="s">
        <v>343</v>
      </c>
      <c r="D201" s="665" t="s">
        <v>203</v>
      </c>
      <c r="E201" s="663"/>
      <c r="F201" s="663"/>
      <c r="G201" s="663"/>
      <c r="H201" s="663"/>
      <c r="I201" s="663"/>
      <c r="J201" s="663"/>
      <c r="K201" s="663"/>
      <c r="L201" s="663"/>
      <c r="M201" s="663"/>
      <c r="N201" s="663"/>
      <c r="O201" s="663"/>
      <c r="P201" s="663"/>
      <c r="Q201" s="663"/>
      <c r="R201" s="663"/>
      <c r="S201" s="663"/>
      <c r="T201" s="663"/>
      <c r="U201" s="663"/>
      <c r="V201" s="663"/>
      <c r="W201" s="663"/>
      <c r="X201" s="663"/>
      <c r="Y201" s="663"/>
      <c r="Z201" s="663"/>
      <c r="AA201" s="663"/>
      <c r="AB201" s="663"/>
      <c r="AC201" s="663"/>
      <c r="AD201" s="663"/>
      <c r="AE201" s="663"/>
      <c r="AF201" s="663"/>
      <c r="AG201" s="663"/>
    </row>
    <row r="202" spans="1:33" ht="14.4" x14ac:dyDescent="0.3">
      <c r="A202" s="666" t="s">
        <v>344</v>
      </c>
      <c r="B202" s="667">
        <v>5.2</v>
      </c>
      <c r="C202" s="667" t="s">
        <v>341</v>
      </c>
      <c r="D202" s="668" t="s">
        <v>341</v>
      </c>
      <c r="E202" s="663"/>
      <c r="F202" s="663"/>
      <c r="G202" s="663"/>
      <c r="H202" s="663"/>
      <c r="I202" s="663"/>
      <c r="J202" s="663"/>
      <c r="K202" s="663"/>
      <c r="L202" s="663"/>
      <c r="M202" s="663"/>
      <c r="N202" s="663"/>
      <c r="O202" s="663"/>
      <c r="P202" s="663"/>
      <c r="Q202" s="663"/>
      <c r="R202" s="663"/>
      <c r="S202" s="663"/>
      <c r="T202" s="663"/>
      <c r="U202" s="663"/>
      <c r="V202" s="663"/>
      <c r="W202" s="663"/>
      <c r="X202" s="663"/>
      <c r="Y202" s="663"/>
      <c r="Z202" s="663"/>
      <c r="AA202" s="663"/>
      <c r="AB202" s="663"/>
      <c r="AC202" s="663"/>
      <c r="AD202" s="663"/>
      <c r="AE202" s="663"/>
      <c r="AF202" s="663"/>
      <c r="AG202" s="663"/>
    </row>
    <row r="203" spans="1:33" ht="14.4" x14ac:dyDescent="0.3">
      <c r="A203" s="663"/>
      <c r="B203" s="663"/>
      <c r="C203" s="663"/>
      <c r="D203" s="663"/>
      <c r="E203" s="663"/>
      <c r="F203" s="663"/>
      <c r="G203" s="663"/>
      <c r="H203" s="663"/>
      <c r="I203" s="663"/>
      <c r="J203" s="663"/>
      <c r="K203" s="663"/>
      <c r="L203" s="663"/>
      <c r="M203" s="663"/>
      <c r="N203" s="663"/>
      <c r="O203" s="663"/>
      <c r="P203" s="663"/>
      <c r="Q203" s="663"/>
      <c r="R203" s="663"/>
      <c r="S203" s="663"/>
      <c r="T203" s="663"/>
      <c r="U203" s="663"/>
      <c r="V203" s="663"/>
      <c r="W203" s="663"/>
      <c r="X203" s="663"/>
      <c r="Y203" s="663"/>
      <c r="Z203" s="663"/>
      <c r="AA203" s="663"/>
      <c r="AB203" s="663"/>
      <c r="AC203" s="663"/>
      <c r="AD203" s="663"/>
      <c r="AE203" s="663"/>
      <c r="AF203" s="663"/>
      <c r="AG203" s="663"/>
    </row>
    <row r="204" spans="1:33" ht="18" x14ac:dyDescent="0.35">
      <c r="A204" s="675" t="s">
        <v>16</v>
      </c>
      <c r="B204" s="663"/>
      <c r="C204" s="663"/>
      <c r="D204" s="663"/>
      <c r="E204" s="663"/>
      <c r="F204" s="663"/>
      <c r="G204" s="663"/>
      <c r="H204" s="663"/>
      <c r="I204" s="663"/>
      <c r="J204" s="663"/>
      <c r="K204" s="663"/>
      <c r="L204" s="663"/>
      <c r="M204" s="663"/>
      <c r="N204" s="663"/>
      <c r="O204" s="663"/>
      <c r="P204" s="663"/>
      <c r="Q204" s="663"/>
      <c r="R204" s="663"/>
      <c r="S204" s="663"/>
      <c r="T204" s="663"/>
      <c r="U204" s="663"/>
      <c r="V204" s="663"/>
      <c r="W204" s="663"/>
      <c r="X204" s="663"/>
      <c r="Y204" s="663"/>
      <c r="Z204" s="663"/>
      <c r="AA204" s="663"/>
      <c r="AB204" s="663"/>
      <c r="AC204" s="663"/>
      <c r="AD204" s="663"/>
      <c r="AE204" s="663"/>
      <c r="AF204" s="663"/>
      <c r="AG204" s="663"/>
    </row>
    <row r="205" spans="1:33" ht="18" x14ac:dyDescent="0.35">
      <c r="A205" s="676" t="s">
        <v>345</v>
      </c>
      <c r="B205" s="663"/>
      <c r="C205" s="663"/>
      <c r="D205" s="663"/>
      <c r="E205" s="663"/>
      <c r="F205" s="663"/>
      <c r="G205" s="663"/>
      <c r="H205" s="663"/>
      <c r="I205" s="663"/>
      <c r="J205" s="663"/>
      <c r="K205" s="663"/>
      <c r="L205" s="663"/>
      <c r="M205" s="663"/>
      <c r="N205" s="663"/>
      <c r="O205" s="663"/>
      <c r="P205" s="663"/>
      <c r="Q205" s="663"/>
      <c r="R205" s="663"/>
      <c r="S205" s="663"/>
      <c r="T205" s="663"/>
      <c r="U205" s="663"/>
      <c r="V205" s="663"/>
      <c r="W205" s="663"/>
      <c r="X205" s="663"/>
      <c r="Y205" s="663"/>
      <c r="Z205" s="663"/>
      <c r="AA205" s="663"/>
      <c r="AB205" s="663"/>
      <c r="AC205" s="663"/>
      <c r="AD205" s="663"/>
      <c r="AE205" s="663"/>
      <c r="AF205" s="663"/>
      <c r="AG205" s="663"/>
    </row>
    <row r="206" spans="1:33" ht="18" x14ac:dyDescent="0.35">
      <c r="A206" s="676" t="s">
        <v>346</v>
      </c>
      <c r="B206" s="663"/>
      <c r="C206" s="663"/>
      <c r="D206" s="663"/>
      <c r="E206" s="663"/>
      <c r="F206" s="663"/>
      <c r="G206" s="663"/>
      <c r="H206" s="663"/>
      <c r="I206" s="663"/>
      <c r="J206" s="663"/>
      <c r="K206" s="663"/>
      <c r="L206" s="663"/>
      <c r="M206" s="663"/>
      <c r="N206" s="663"/>
      <c r="O206" s="663"/>
      <c r="P206" s="663"/>
      <c r="Q206" s="663"/>
      <c r="R206" s="663"/>
      <c r="S206" s="663"/>
      <c r="T206" s="663"/>
      <c r="U206" s="663"/>
      <c r="V206" s="663"/>
      <c r="W206" s="663"/>
      <c r="X206" s="663"/>
      <c r="Y206" s="663"/>
      <c r="Z206" s="663"/>
      <c r="AA206" s="663"/>
      <c r="AB206" s="663"/>
      <c r="AC206" s="663"/>
      <c r="AD206" s="663"/>
      <c r="AE206" s="663"/>
      <c r="AF206" s="663"/>
      <c r="AG206" s="663"/>
    </row>
    <row r="207" spans="1:33" ht="18" x14ac:dyDescent="0.35">
      <c r="A207" s="677" t="s">
        <v>23</v>
      </c>
      <c r="B207" s="663"/>
      <c r="C207" s="663"/>
      <c r="D207" s="663"/>
      <c r="E207" s="663"/>
      <c r="F207" s="663"/>
      <c r="G207" s="663"/>
      <c r="H207" s="663"/>
      <c r="I207" s="663"/>
      <c r="J207" s="663"/>
      <c r="K207" s="663"/>
      <c r="L207" s="663"/>
      <c r="M207" s="663"/>
      <c r="N207" s="663"/>
      <c r="O207" s="663"/>
      <c r="P207" s="663"/>
      <c r="Q207" s="663"/>
      <c r="R207" s="663"/>
      <c r="S207" s="663"/>
      <c r="T207" s="663"/>
      <c r="U207" s="663"/>
      <c r="V207" s="663"/>
      <c r="W207" s="663"/>
      <c r="X207" s="663"/>
      <c r="Y207" s="663"/>
      <c r="Z207" s="663"/>
      <c r="AA207" s="663"/>
      <c r="AB207" s="663"/>
      <c r="AC207" s="663"/>
      <c r="AD207" s="663"/>
      <c r="AE207" s="663"/>
      <c r="AF207" s="663"/>
      <c r="AG207" s="663"/>
    </row>
    <row r="208" spans="1:33" ht="18" x14ac:dyDescent="0.35">
      <c r="A208" s="559"/>
      <c r="B208" s="663"/>
      <c r="C208" s="663"/>
      <c r="D208" s="663"/>
      <c r="E208" s="663"/>
      <c r="F208" s="663"/>
      <c r="G208" s="663"/>
      <c r="H208" s="663"/>
      <c r="I208" s="663"/>
      <c r="J208" s="663"/>
      <c r="K208" s="663"/>
      <c r="L208" s="663"/>
      <c r="M208" s="663"/>
      <c r="N208" s="663"/>
      <c r="O208" s="663"/>
      <c r="P208" s="663"/>
      <c r="Q208" s="663"/>
      <c r="R208" s="663"/>
      <c r="S208" s="663"/>
      <c r="T208" s="663"/>
      <c r="U208" s="663"/>
      <c r="V208" s="663"/>
      <c r="W208" s="663"/>
      <c r="X208" s="663"/>
      <c r="Y208" s="663"/>
      <c r="Z208" s="663"/>
      <c r="AA208" s="663"/>
      <c r="AB208" s="663"/>
      <c r="AC208" s="663"/>
      <c r="AD208" s="663"/>
      <c r="AE208" s="663"/>
      <c r="AF208" s="663"/>
      <c r="AG208" s="663"/>
    </row>
    <row r="209" spans="1:33" ht="14.4" x14ac:dyDescent="0.3">
      <c r="A209" s="672" t="s">
        <v>290</v>
      </c>
      <c r="B209" s="661">
        <v>5.0999999999999996</v>
      </c>
      <c r="C209" s="661">
        <v>3.1</v>
      </c>
      <c r="D209" s="662">
        <v>2.1</v>
      </c>
      <c r="E209" s="663"/>
      <c r="F209" s="663"/>
      <c r="G209" s="663"/>
      <c r="H209" s="663"/>
      <c r="I209" s="663"/>
      <c r="J209" s="663"/>
      <c r="K209" s="663"/>
      <c r="L209" s="663"/>
      <c r="M209" s="663"/>
      <c r="N209" s="663"/>
      <c r="O209" s="663"/>
      <c r="P209" s="663"/>
      <c r="Q209" s="663"/>
      <c r="R209" s="663"/>
      <c r="S209" s="663"/>
      <c r="T209" s="663"/>
      <c r="U209" s="663"/>
      <c r="V209" s="663"/>
      <c r="W209" s="663"/>
      <c r="X209" s="663"/>
      <c r="Y209" s="663"/>
      <c r="Z209" s="663"/>
      <c r="AA209" s="663"/>
      <c r="AB209" s="663"/>
      <c r="AC209" s="663"/>
      <c r="AD209" s="663"/>
      <c r="AE209" s="663"/>
      <c r="AF209" s="663"/>
      <c r="AG209" s="663"/>
    </row>
    <row r="210" spans="1:33" ht="14.4" x14ac:dyDescent="0.3">
      <c r="A210" s="673" t="s">
        <v>305</v>
      </c>
      <c r="B210" s="663">
        <v>5.0999999999999996</v>
      </c>
      <c r="C210" s="663">
        <v>3.1</v>
      </c>
      <c r="D210" s="665">
        <v>2.1</v>
      </c>
      <c r="E210" s="663"/>
      <c r="F210" s="663"/>
      <c r="G210" s="663"/>
      <c r="H210" s="663"/>
      <c r="I210" s="663"/>
      <c r="J210" s="663"/>
      <c r="K210" s="663"/>
      <c r="L210" s="663"/>
      <c r="M210" s="663"/>
      <c r="N210" s="663"/>
      <c r="O210" s="663"/>
      <c r="P210" s="663"/>
      <c r="Q210" s="663"/>
      <c r="R210" s="663"/>
      <c r="S210" s="663"/>
      <c r="T210" s="663"/>
      <c r="U210" s="663"/>
      <c r="V210" s="663"/>
      <c r="W210" s="663"/>
      <c r="X210" s="663"/>
      <c r="Y210" s="663"/>
      <c r="Z210" s="663"/>
      <c r="AA210" s="663"/>
      <c r="AB210" s="663"/>
      <c r="AC210" s="663"/>
      <c r="AD210" s="663"/>
      <c r="AE210" s="663"/>
      <c r="AF210" s="663"/>
      <c r="AG210" s="663"/>
    </row>
    <row r="211" spans="1:33" ht="14.4" x14ac:dyDescent="0.3">
      <c r="A211" s="674" t="s">
        <v>347</v>
      </c>
      <c r="B211" s="667">
        <v>5.5</v>
      </c>
      <c r="C211" s="667">
        <v>3.2</v>
      </c>
      <c r="D211" s="668">
        <v>2.2000000000000002</v>
      </c>
      <c r="E211" s="663"/>
      <c r="F211" s="663"/>
      <c r="G211" s="663"/>
      <c r="H211" s="663"/>
      <c r="I211" s="663"/>
      <c r="J211" s="663"/>
      <c r="K211" s="663"/>
      <c r="L211" s="663"/>
      <c r="M211" s="663"/>
      <c r="N211" s="663"/>
      <c r="O211" s="663"/>
      <c r="P211" s="663"/>
      <c r="Q211" s="663"/>
      <c r="R211" s="663"/>
      <c r="S211" s="663"/>
      <c r="T211" s="663"/>
      <c r="U211" s="663"/>
      <c r="V211" s="663"/>
      <c r="W211" s="663"/>
      <c r="X211" s="663"/>
      <c r="Y211" s="663"/>
      <c r="Z211" s="663"/>
      <c r="AA211" s="663"/>
      <c r="AB211" s="663"/>
      <c r="AC211" s="663"/>
      <c r="AD211" s="663"/>
      <c r="AE211" s="663"/>
      <c r="AF211" s="663"/>
      <c r="AG211" s="663"/>
    </row>
    <row r="212" spans="1:33" ht="14.4" x14ac:dyDescent="0.3">
      <c r="A212" s="663"/>
      <c r="B212" s="663"/>
      <c r="C212" s="663"/>
      <c r="D212" s="663"/>
      <c r="E212" s="663"/>
      <c r="F212" s="663"/>
      <c r="G212" s="663"/>
      <c r="H212" s="663"/>
      <c r="I212" s="663"/>
      <c r="J212" s="663"/>
      <c r="K212" s="663"/>
      <c r="L212" s="663"/>
      <c r="M212" s="663"/>
      <c r="N212" s="663"/>
      <c r="O212" s="663"/>
      <c r="P212" s="663"/>
      <c r="Q212" s="663"/>
      <c r="R212" s="663"/>
      <c r="S212" s="663"/>
      <c r="T212" s="663"/>
      <c r="U212" s="663"/>
      <c r="V212" s="663"/>
      <c r="W212" s="663"/>
      <c r="X212" s="663"/>
      <c r="Y212" s="663"/>
      <c r="Z212" s="663"/>
      <c r="AA212" s="663"/>
      <c r="AB212" s="663"/>
      <c r="AC212" s="663"/>
      <c r="AD212" s="663"/>
      <c r="AE212" s="663"/>
      <c r="AF212" s="663"/>
      <c r="AG212" s="663"/>
    </row>
    <row r="213" spans="1:33" ht="14.4" x14ac:dyDescent="0.3">
      <c r="A213" s="672">
        <v>1</v>
      </c>
      <c r="B213" s="663"/>
      <c r="C213" s="663"/>
      <c r="D213" s="663"/>
      <c r="E213" s="663"/>
      <c r="F213" s="663"/>
      <c r="G213" s="663"/>
      <c r="H213" s="663"/>
      <c r="I213" s="663"/>
      <c r="J213" s="663"/>
      <c r="K213" s="663"/>
      <c r="L213" s="663"/>
      <c r="M213" s="663"/>
      <c r="N213" s="663"/>
      <c r="O213" s="663"/>
      <c r="P213" s="663"/>
      <c r="Q213" s="663"/>
      <c r="R213" s="663"/>
      <c r="S213" s="663"/>
      <c r="T213" s="663"/>
      <c r="U213" s="663"/>
      <c r="V213" s="663"/>
      <c r="W213" s="663"/>
      <c r="X213" s="663"/>
      <c r="Y213" s="663"/>
      <c r="Z213" s="663"/>
      <c r="AA213" s="663"/>
      <c r="AB213" s="663"/>
      <c r="AC213" s="663"/>
      <c r="AD213" s="663"/>
      <c r="AE213" s="663"/>
      <c r="AF213" s="663"/>
      <c r="AG213" s="663"/>
    </row>
    <row r="214" spans="1:33" ht="14.4" x14ac:dyDescent="0.3">
      <c r="A214" s="673">
        <v>2</v>
      </c>
      <c r="B214" s="663"/>
      <c r="C214" s="663"/>
      <c r="D214" s="663"/>
      <c r="E214" s="663"/>
      <c r="F214" s="663"/>
      <c r="G214" s="663"/>
      <c r="H214" s="663"/>
      <c r="I214" s="663"/>
      <c r="J214" s="663"/>
      <c r="K214" s="663"/>
      <c r="L214" s="663"/>
      <c r="M214" s="663"/>
      <c r="N214" s="663"/>
      <c r="O214" s="663"/>
      <c r="P214" s="663"/>
      <c r="Q214" s="663"/>
      <c r="R214" s="663"/>
      <c r="S214" s="663"/>
      <c r="T214" s="663"/>
      <c r="U214" s="663"/>
      <c r="V214" s="663"/>
      <c r="W214" s="663"/>
      <c r="X214" s="663"/>
      <c r="Y214" s="663"/>
      <c r="Z214" s="663"/>
      <c r="AA214" s="663"/>
      <c r="AB214" s="663"/>
      <c r="AC214" s="663"/>
      <c r="AD214" s="663"/>
      <c r="AE214" s="663"/>
      <c r="AF214" s="663"/>
      <c r="AG214" s="663"/>
    </row>
    <row r="215" spans="1:33" ht="14.4" x14ac:dyDescent="0.3">
      <c r="A215" s="673">
        <v>3</v>
      </c>
      <c r="B215" s="663"/>
      <c r="C215" s="663"/>
      <c r="D215" s="663"/>
      <c r="E215" s="663"/>
      <c r="F215" s="663"/>
      <c r="G215" s="663"/>
      <c r="H215" s="663"/>
      <c r="I215" s="663"/>
      <c r="J215" s="663"/>
      <c r="K215" s="663"/>
      <c r="L215" s="663"/>
      <c r="M215" s="663"/>
      <c r="N215" s="663"/>
      <c r="O215" s="663"/>
      <c r="P215" s="663"/>
      <c r="Q215" s="663"/>
      <c r="R215" s="663"/>
      <c r="S215" s="663"/>
      <c r="T215" s="663"/>
      <c r="U215" s="663"/>
      <c r="V215" s="663"/>
      <c r="W215" s="663"/>
      <c r="X215" s="663"/>
      <c r="Y215" s="663"/>
      <c r="Z215" s="663"/>
      <c r="AA215" s="663"/>
      <c r="AB215" s="663"/>
      <c r="AC215" s="663"/>
      <c r="AD215" s="663"/>
      <c r="AE215" s="663"/>
      <c r="AF215" s="663"/>
      <c r="AG215" s="663"/>
    </row>
    <row r="216" spans="1:33" ht="14.4" x14ac:dyDescent="0.3">
      <c r="A216" s="673">
        <v>4</v>
      </c>
      <c r="B216" s="663"/>
      <c r="C216" s="663"/>
      <c r="D216" s="663"/>
      <c r="E216" s="663"/>
      <c r="F216" s="663"/>
      <c r="G216" s="663"/>
      <c r="H216" s="663"/>
      <c r="I216" s="663"/>
      <c r="J216" s="663"/>
      <c r="K216" s="663"/>
      <c r="L216" s="663"/>
      <c r="M216" s="663"/>
      <c r="N216" s="663"/>
      <c r="O216" s="663"/>
      <c r="P216" s="663"/>
      <c r="Q216" s="663"/>
      <c r="R216" s="663"/>
      <c r="S216" s="663"/>
      <c r="T216" s="663"/>
      <c r="U216" s="663"/>
      <c r="V216" s="663"/>
      <c r="W216" s="663"/>
      <c r="X216" s="663"/>
      <c r="Y216" s="663"/>
      <c r="Z216" s="663"/>
      <c r="AA216" s="663"/>
      <c r="AB216" s="663"/>
      <c r="AC216" s="663"/>
      <c r="AD216" s="663"/>
      <c r="AE216" s="663"/>
      <c r="AF216" s="663"/>
      <c r="AG216" s="663"/>
    </row>
    <row r="217" spans="1:33" ht="14.4" x14ac:dyDescent="0.3">
      <c r="A217" s="673">
        <v>5</v>
      </c>
      <c r="B217" s="663"/>
      <c r="C217" s="663"/>
      <c r="D217" s="663"/>
      <c r="E217" s="663"/>
      <c r="F217" s="663"/>
      <c r="G217" s="663"/>
      <c r="H217" s="663"/>
      <c r="I217" s="663"/>
      <c r="J217" s="663"/>
      <c r="K217" s="663"/>
      <c r="L217" s="663"/>
      <c r="M217" s="663"/>
      <c r="N217" s="663"/>
      <c r="O217" s="663"/>
      <c r="P217" s="663"/>
      <c r="Q217" s="663"/>
      <c r="R217" s="663"/>
      <c r="S217" s="663"/>
      <c r="T217" s="663"/>
      <c r="U217" s="663"/>
      <c r="V217" s="663"/>
      <c r="W217" s="663"/>
      <c r="X217" s="663"/>
      <c r="Y217" s="663"/>
      <c r="Z217" s="663"/>
      <c r="AA217" s="663"/>
      <c r="AB217" s="663"/>
      <c r="AC217" s="663"/>
      <c r="AD217" s="663"/>
      <c r="AE217" s="663"/>
      <c r="AF217" s="663"/>
      <c r="AG217" s="663"/>
    </row>
    <row r="218" spans="1:33" ht="14.4" x14ac:dyDescent="0.3">
      <c r="A218" s="674">
        <v>6</v>
      </c>
      <c r="B218" s="663"/>
      <c r="C218" s="663"/>
      <c r="D218" s="663"/>
      <c r="E218" s="663"/>
      <c r="F218" s="663"/>
      <c r="G218" s="663"/>
      <c r="H218" s="663"/>
      <c r="I218" s="663"/>
      <c r="J218" s="663"/>
      <c r="K218" s="663"/>
      <c r="L218" s="663"/>
      <c r="M218" s="663"/>
      <c r="N218" s="663"/>
      <c r="O218" s="663"/>
      <c r="P218" s="663"/>
      <c r="Q218" s="663"/>
      <c r="R218" s="663"/>
      <c r="S218" s="663"/>
      <c r="T218" s="663"/>
      <c r="U218" s="663"/>
      <c r="V218" s="663"/>
      <c r="W218" s="663"/>
      <c r="X218" s="663"/>
      <c r="Y218" s="663"/>
      <c r="Z218" s="663"/>
      <c r="AA218" s="663"/>
      <c r="AB218" s="663"/>
      <c r="AC218" s="663"/>
      <c r="AD218" s="663"/>
      <c r="AE218" s="663"/>
      <c r="AF218" s="663"/>
      <c r="AG218" s="663"/>
    </row>
    <row r="219" spans="1:33" ht="14.4" x14ac:dyDescent="0.3">
      <c r="A219" s="663"/>
      <c r="B219" s="663"/>
      <c r="C219" s="663"/>
      <c r="D219" s="663"/>
      <c r="E219" s="663"/>
      <c r="F219" s="663"/>
      <c r="G219" s="663"/>
      <c r="H219" s="663"/>
      <c r="I219" s="663"/>
      <c r="J219" s="663"/>
      <c r="K219" s="663"/>
      <c r="L219" s="663"/>
      <c r="M219" s="663"/>
      <c r="N219" s="663"/>
      <c r="O219" s="663"/>
      <c r="P219" s="663"/>
      <c r="Q219" s="663"/>
      <c r="R219" s="663"/>
      <c r="S219" s="663"/>
      <c r="T219" s="663"/>
      <c r="U219" s="663"/>
      <c r="V219" s="663"/>
      <c r="W219" s="663"/>
      <c r="X219" s="663"/>
      <c r="Y219" s="663"/>
      <c r="Z219" s="663"/>
      <c r="AA219" s="663"/>
      <c r="AB219" s="663"/>
      <c r="AC219" s="663"/>
      <c r="AD219" s="663"/>
      <c r="AE219" s="663"/>
      <c r="AF219" s="663"/>
      <c r="AG219" s="663"/>
    </row>
    <row r="220" spans="1:33" ht="14.4" x14ac:dyDescent="0.3">
      <c r="A220" s="660" t="s">
        <v>20</v>
      </c>
      <c r="B220" s="661">
        <v>0</v>
      </c>
      <c r="C220" s="662">
        <v>0</v>
      </c>
      <c r="D220" s="663"/>
      <c r="E220" s="663"/>
      <c r="F220" s="663"/>
      <c r="G220" s="663"/>
      <c r="H220" s="663"/>
      <c r="I220" s="663"/>
      <c r="J220" s="663"/>
      <c r="K220" s="663"/>
      <c r="L220" s="663"/>
      <c r="M220" s="663"/>
      <c r="N220" s="663"/>
      <c r="O220" s="663"/>
      <c r="P220" s="663"/>
      <c r="Q220" s="663"/>
      <c r="R220" s="663"/>
      <c r="S220" s="663"/>
      <c r="T220" s="663"/>
      <c r="U220" s="663"/>
      <c r="V220" s="663"/>
      <c r="W220" s="663"/>
      <c r="X220" s="663"/>
      <c r="Y220" s="663"/>
      <c r="Z220" s="663"/>
      <c r="AA220" s="663"/>
      <c r="AB220" s="663"/>
      <c r="AC220" s="663"/>
      <c r="AD220" s="663"/>
      <c r="AE220" s="663"/>
      <c r="AF220" s="663"/>
      <c r="AG220" s="663"/>
    </row>
    <row r="221" spans="1:33" ht="14.4" x14ac:dyDescent="0.3">
      <c r="A221" s="666" t="s">
        <v>14</v>
      </c>
      <c r="B221" s="667">
        <v>2.5</v>
      </c>
      <c r="C221" s="668">
        <v>1.5</v>
      </c>
      <c r="D221" s="663"/>
      <c r="E221" s="663"/>
      <c r="F221" s="663"/>
      <c r="G221" s="663"/>
      <c r="H221" s="663"/>
      <c r="I221" s="663"/>
      <c r="J221" s="663"/>
      <c r="K221" s="663"/>
      <c r="L221" s="663"/>
      <c r="M221" s="663"/>
      <c r="N221" s="663"/>
      <c r="O221" s="663"/>
      <c r="P221" s="663"/>
      <c r="Q221" s="663"/>
      <c r="R221" s="663"/>
      <c r="S221" s="663"/>
      <c r="T221" s="663"/>
      <c r="U221" s="663"/>
      <c r="V221" s="663"/>
      <c r="W221" s="663"/>
      <c r="X221" s="663"/>
      <c r="Y221" s="663"/>
      <c r="Z221" s="663"/>
      <c r="AA221" s="663"/>
      <c r="AB221" s="663"/>
      <c r="AC221" s="663"/>
      <c r="AD221" s="663"/>
      <c r="AE221" s="663"/>
      <c r="AF221" s="663"/>
      <c r="AG221" s="663"/>
    </row>
    <row r="222" spans="1:33" ht="14.4" x14ac:dyDescent="0.3">
      <c r="A222" s="663"/>
      <c r="B222" s="663"/>
      <c r="C222" s="663"/>
      <c r="D222" s="663"/>
      <c r="E222" s="663"/>
      <c r="F222" s="663"/>
      <c r="G222" s="663"/>
      <c r="H222" s="663"/>
      <c r="I222" s="663"/>
      <c r="J222" s="663"/>
      <c r="K222" s="663"/>
      <c r="L222" s="663"/>
      <c r="M222" s="663"/>
      <c r="N222" s="663"/>
      <c r="O222" s="663"/>
      <c r="P222" s="663"/>
      <c r="Q222" s="663"/>
      <c r="R222" s="663"/>
      <c r="S222" s="663"/>
      <c r="T222" s="663"/>
      <c r="U222" s="663"/>
      <c r="V222" s="663"/>
      <c r="W222" s="663"/>
      <c r="X222" s="663"/>
      <c r="Y222" s="663"/>
      <c r="Z222" s="663"/>
      <c r="AA222" s="663"/>
      <c r="AB222" s="663"/>
      <c r="AC222" s="663"/>
      <c r="AD222" s="663"/>
      <c r="AE222" s="663"/>
      <c r="AF222" s="663"/>
      <c r="AG222" s="663"/>
    </row>
    <row r="223" spans="1:33" ht="14.4" x14ac:dyDescent="0.3">
      <c r="A223" s="672" t="s">
        <v>133</v>
      </c>
      <c r="B223" s="663"/>
      <c r="C223" s="663"/>
      <c r="D223" s="663"/>
      <c r="E223" s="663"/>
      <c r="F223" s="663"/>
      <c r="G223" s="663"/>
      <c r="H223" s="663"/>
      <c r="I223" s="663"/>
      <c r="J223" s="663"/>
      <c r="K223" s="663"/>
      <c r="L223" s="663"/>
      <c r="M223" s="663"/>
      <c r="N223" s="663"/>
      <c r="O223" s="663"/>
      <c r="P223" s="663"/>
      <c r="Q223" s="663"/>
      <c r="R223" s="663"/>
      <c r="S223" s="663"/>
      <c r="T223" s="663"/>
      <c r="U223" s="663"/>
      <c r="V223" s="663"/>
      <c r="W223" s="663"/>
      <c r="X223" s="663"/>
      <c r="Y223" s="663"/>
      <c r="Z223" s="663"/>
      <c r="AA223" s="663"/>
      <c r="AB223" s="663"/>
      <c r="AC223" s="663"/>
      <c r="AD223" s="663"/>
      <c r="AE223" s="663"/>
      <c r="AF223" s="663"/>
      <c r="AG223" s="663"/>
    </row>
    <row r="224" spans="1:33" ht="14.4" x14ac:dyDescent="0.3">
      <c r="A224" s="674" t="s">
        <v>134</v>
      </c>
      <c r="B224" s="663"/>
      <c r="C224" s="663"/>
      <c r="D224" s="663"/>
      <c r="E224" s="663"/>
      <c r="F224" s="663"/>
      <c r="G224" s="663"/>
      <c r="H224" s="663"/>
      <c r="I224" s="663"/>
      <c r="J224" s="663"/>
      <c r="K224" s="663"/>
      <c r="L224" s="663"/>
      <c r="M224" s="663"/>
      <c r="N224" s="663"/>
      <c r="O224" s="663"/>
      <c r="P224" s="663"/>
      <c r="Q224" s="663"/>
      <c r="R224" s="663"/>
      <c r="S224" s="663"/>
      <c r="T224" s="663"/>
      <c r="U224" s="663"/>
      <c r="V224" s="663"/>
      <c r="W224" s="663"/>
      <c r="X224" s="663"/>
      <c r="Y224" s="663"/>
      <c r="Z224" s="663"/>
      <c r="AA224" s="663"/>
      <c r="AB224" s="663"/>
      <c r="AC224" s="663"/>
      <c r="AD224" s="663"/>
      <c r="AE224" s="663"/>
      <c r="AF224" s="663"/>
      <c r="AG224" s="663"/>
    </row>
    <row r="225" spans="1:33" ht="14.4" x14ac:dyDescent="0.3">
      <c r="A225" s="663"/>
      <c r="B225" s="663"/>
      <c r="C225" s="663"/>
      <c r="D225" s="663"/>
      <c r="E225" s="663"/>
      <c r="F225" s="663"/>
      <c r="G225" s="663"/>
      <c r="H225" s="663"/>
      <c r="I225" s="663"/>
      <c r="J225" s="663"/>
      <c r="K225" s="663"/>
      <c r="L225" s="663"/>
      <c r="M225" s="663"/>
      <c r="N225" s="663"/>
      <c r="O225" s="663"/>
      <c r="P225" s="663"/>
      <c r="Q225" s="663"/>
      <c r="R225" s="663"/>
      <c r="S225" s="663"/>
      <c r="T225" s="663"/>
      <c r="U225" s="663"/>
      <c r="V225" s="663"/>
      <c r="W225" s="663"/>
      <c r="X225" s="663"/>
      <c r="Y225" s="663"/>
      <c r="Z225" s="663"/>
      <c r="AA225" s="663"/>
      <c r="AB225" s="663"/>
      <c r="AC225" s="663"/>
      <c r="AD225" s="663"/>
      <c r="AE225" s="663"/>
      <c r="AF225" s="663"/>
      <c r="AG225" s="663"/>
    </row>
    <row r="226" spans="1:33" ht="14.4" x14ac:dyDescent="0.3">
      <c r="A226" s="660">
        <v>1</v>
      </c>
      <c r="B226" s="661">
        <f t="shared" ref="B226:V226" si="61">A226+1</f>
        <v>2</v>
      </c>
      <c r="C226" s="661">
        <f t="shared" si="61"/>
        <v>3</v>
      </c>
      <c r="D226" s="661">
        <f t="shared" si="61"/>
        <v>4</v>
      </c>
      <c r="E226" s="661">
        <f t="shared" si="61"/>
        <v>5</v>
      </c>
      <c r="F226" s="661">
        <f t="shared" si="61"/>
        <v>6</v>
      </c>
      <c r="G226" s="661">
        <f t="shared" si="61"/>
        <v>7</v>
      </c>
      <c r="H226" s="661">
        <f t="shared" si="61"/>
        <v>8</v>
      </c>
      <c r="I226" s="661">
        <f t="shared" si="61"/>
        <v>9</v>
      </c>
      <c r="J226" s="661">
        <f t="shared" si="61"/>
        <v>10</v>
      </c>
      <c r="K226" s="661">
        <f t="shared" si="61"/>
        <v>11</v>
      </c>
      <c r="L226" s="661">
        <f t="shared" si="61"/>
        <v>12</v>
      </c>
      <c r="M226" s="661">
        <f t="shared" si="61"/>
        <v>13</v>
      </c>
      <c r="N226" s="661">
        <f t="shared" si="61"/>
        <v>14</v>
      </c>
      <c r="O226" s="661">
        <f t="shared" si="61"/>
        <v>15</v>
      </c>
      <c r="P226" s="661">
        <f t="shared" si="61"/>
        <v>16</v>
      </c>
      <c r="Q226" s="661">
        <f t="shared" si="61"/>
        <v>17</v>
      </c>
      <c r="R226" s="661">
        <f t="shared" si="61"/>
        <v>18</v>
      </c>
      <c r="S226" s="661">
        <f t="shared" si="61"/>
        <v>19</v>
      </c>
      <c r="T226" s="661">
        <f t="shared" si="61"/>
        <v>20</v>
      </c>
      <c r="U226" s="661">
        <f t="shared" si="61"/>
        <v>21</v>
      </c>
      <c r="V226" s="661">
        <f t="shared" si="61"/>
        <v>22</v>
      </c>
      <c r="W226" s="661">
        <v>23</v>
      </c>
      <c r="X226" s="661">
        <v>24</v>
      </c>
      <c r="Y226" s="661">
        <v>25</v>
      </c>
      <c r="Z226" s="661">
        <f t="shared" ref="Z226:AG226" si="62">Y226+1</f>
        <v>26</v>
      </c>
      <c r="AA226" s="661">
        <f t="shared" si="62"/>
        <v>27</v>
      </c>
      <c r="AB226" s="661">
        <f t="shared" si="62"/>
        <v>28</v>
      </c>
      <c r="AC226" s="661">
        <f t="shared" si="62"/>
        <v>29</v>
      </c>
      <c r="AD226" s="661">
        <f t="shared" si="62"/>
        <v>30</v>
      </c>
      <c r="AE226" s="661">
        <f t="shared" si="62"/>
        <v>31</v>
      </c>
      <c r="AF226" s="661">
        <f t="shared" si="62"/>
        <v>32</v>
      </c>
      <c r="AG226" s="662">
        <f t="shared" si="62"/>
        <v>33</v>
      </c>
    </row>
    <row r="227" spans="1:33" ht="28.8" x14ac:dyDescent="0.3">
      <c r="A227" s="669"/>
      <c r="B227" s="670" t="s">
        <v>348</v>
      </c>
      <c r="C227" s="670" t="s">
        <v>28</v>
      </c>
      <c r="D227" s="670" t="s">
        <v>33</v>
      </c>
      <c r="E227" s="670" t="s">
        <v>34</v>
      </c>
      <c r="F227" s="670" t="s">
        <v>348</v>
      </c>
      <c r="G227" s="670" t="s">
        <v>28</v>
      </c>
      <c r="H227" s="670" t="s">
        <v>33</v>
      </c>
      <c r="I227" s="670" t="s">
        <v>34</v>
      </c>
      <c r="J227" s="670" t="s">
        <v>349</v>
      </c>
      <c r="K227" s="670" t="s">
        <v>28</v>
      </c>
      <c r="L227" s="670" t="s">
        <v>33</v>
      </c>
      <c r="M227" s="670" t="s">
        <v>34</v>
      </c>
      <c r="N227" s="670"/>
      <c r="O227" s="670" t="s">
        <v>28</v>
      </c>
      <c r="P227" s="670" t="s">
        <v>33</v>
      </c>
      <c r="Q227" s="670" t="s">
        <v>34</v>
      </c>
      <c r="R227" s="670"/>
      <c r="S227" s="670" t="s">
        <v>28</v>
      </c>
      <c r="T227" s="670" t="s">
        <v>33</v>
      </c>
      <c r="U227" s="670" t="s">
        <v>34</v>
      </c>
      <c r="V227" s="670" t="s">
        <v>308</v>
      </c>
      <c r="W227" s="670" t="s">
        <v>350</v>
      </c>
      <c r="X227" s="670" t="s">
        <v>351</v>
      </c>
      <c r="Y227" s="670" t="s">
        <v>28</v>
      </c>
      <c r="Z227" s="670" t="s">
        <v>33</v>
      </c>
      <c r="AA227" s="670" t="s">
        <v>269</v>
      </c>
      <c r="AB227" s="670"/>
      <c r="AC227" s="670" t="s">
        <v>28</v>
      </c>
      <c r="AD227" s="670" t="s">
        <v>33</v>
      </c>
      <c r="AE227" s="670" t="s">
        <v>34</v>
      </c>
      <c r="AF227" s="670"/>
      <c r="AG227" s="671"/>
    </row>
    <row r="228" spans="1:33" ht="14.4" x14ac:dyDescent="0.3">
      <c r="A228" s="669" t="s">
        <v>16</v>
      </c>
      <c r="B228" s="670">
        <v>0</v>
      </c>
      <c r="C228" s="670">
        <v>0</v>
      </c>
      <c r="D228" s="670">
        <v>0</v>
      </c>
      <c r="E228" s="670">
        <v>0</v>
      </c>
      <c r="F228" s="670">
        <v>0</v>
      </c>
      <c r="G228" s="670">
        <v>0</v>
      </c>
      <c r="H228" s="670">
        <v>0</v>
      </c>
      <c r="I228" s="670">
        <v>0</v>
      </c>
      <c r="J228" s="670">
        <v>0</v>
      </c>
      <c r="K228" s="670">
        <v>0</v>
      </c>
      <c r="L228" s="670">
        <v>0</v>
      </c>
      <c r="M228" s="670">
        <v>0</v>
      </c>
      <c r="N228" s="670">
        <v>0</v>
      </c>
      <c r="O228" s="670">
        <v>0</v>
      </c>
      <c r="P228" s="670">
        <v>0</v>
      </c>
      <c r="Q228" s="670">
        <v>0</v>
      </c>
      <c r="R228" s="670">
        <v>0</v>
      </c>
      <c r="S228" s="670">
        <v>0</v>
      </c>
      <c r="T228" s="670">
        <v>0</v>
      </c>
      <c r="U228" s="670">
        <v>0</v>
      </c>
      <c r="V228" s="670" t="s">
        <v>16</v>
      </c>
      <c r="W228" s="670">
        <v>0</v>
      </c>
      <c r="X228" s="670">
        <v>0</v>
      </c>
      <c r="Y228" s="670">
        <v>0</v>
      </c>
      <c r="Z228" s="670">
        <v>0</v>
      </c>
      <c r="AA228" s="670">
        <v>0</v>
      </c>
      <c r="AB228" s="670">
        <v>0</v>
      </c>
      <c r="AC228" s="670">
        <v>0</v>
      </c>
      <c r="AD228" s="670">
        <v>0</v>
      </c>
      <c r="AE228" s="670">
        <v>0</v>
      </c>
      <c r="AF228" s="670">
        <v>0</v>
      </c>
      <c r="AG228" s="671">
        <v>0</v>
      </c>
    </row>
    <row r="229" spans="1:33" ht="28.8" x14ac:dyDescent="0.3">
      <c r="A229" s="669" t="s">
        <v>316</v>
      </c>
      <c r="B229" s="670" t="s">
        <v>352</v>
      </c>
      <c r="C229" s="670">
        <f>'Objet 1'!Dimensions_intérieures_Cp_15_longueur</f>
        <v>60.2</v>
      </c>
      <c r="D229" s="670">
        <v>9.4</v>
      </c>
      <c r="E229" s="670" t="e">
        <f>('Objet 1'!nombre_de_calages*4)+1</f>
        <v>#VALUE!</v>
      </c>
      <c r="F229" s="670" t="s">
        <v>353</v>
      </c>
      <c r="G229" s="670">
        <f>'Objet 1'!Dimensions_intérieures_Cp_15_largeur</f>
        <v>40.200000000000003</v>
      </c>
      <c r="H229" s="670">
        <v>9.4</v>
      </c>
      <c r="I229" s="670" t="e">
        <f>('Objet 1'!nombre_de_calages*2)</f>
        <v>#VALUE!</v>
      </c>
      <c r="J229" s="670" t="s">
        <v>349</v>
      </c>
      <c r="K229" s="670">
        <f>'Objet 1'!Dimensions_intérieures_Cp_15_largeur</f>
        <v>40.200000000000003</v>
      </c>
      <c r="L229" s="670">
        <v>7</v>
      </c>
      <c r="M229" s="670" t="e">
        <f>'Objet 1'!nombre_de_calages*4</f>
        <v>#VALUE!</v>
      </c>
      <c r="N229" s="670" t="str">
        <f t="shared" ref="N229:N230" si="63">VLOOKUP($F$35,$A$200:$C$202,3)</f>
        <v xml:space="preserve">Stratocell 50 mm </v>
      </c>
      <c r="O229" s="670">
        <f>'Objet 1'!Dimensions_intérieures_Cp_15_longueur</f>
        <v>60.2</v>
      </c>
      <c r="P229" s="670">
        <f>IF('Objet 1'!Dimensions_intérieures_CP_15_hauteur&lt;120,9.4,14.4)</f>
        <v>9.4</v>
      </c>
      <c r="Q229" s="670" t="e">
        <f>('Objet 1'!nombre_de_calages*2)+1</f>
        <v>#VALUE!</v>
      </c>
      <c r="R229" s="670" t="str">
        <f t="shared" ref="R229:R230" si="64">VLOOKUP($F$35,$A$200:$D$202,4)</f>
        <v>Stratocell 50 mm</v>
      </c>
      <c r="S229" s="670"/>
      <c r="T229" s="670"/>
      <c r="U229" s="670"/>
      <c r="V229" s="670" t="str">
        <f>'Objet 1'!Base</f>
        <v>Stratocell 50 mm</v>
      </c>
      <c r="W229" s="670">
        <v>5</v>
      </c>
      <c r="X229" s="670">
        <f>VLOOKUP('Objet 1'!Plateau,$A$181:$B$187,2)</f>
        <v>0</v>
      </c>
      <c r="Y229" s="670">
        <f>'Objet 1'!Dimensions_intérieures_Cp_15_longueur</f>
        <v>60.2</v>
      </c>
      <c r="Z229" s="670">
        <f>'Objet 1'!Dimensions_intérieures_Cp_15_largeur</f>
        <v>40.200000000000003</v>
      </c>
      <c r="AA229" s="670">
        <f t="shared" ref="AA229:AA241" si="65">W229+X229</f>
        <v>5</v>
      </c>
      <c r="AB229" s="670"/>
      <c r="AC229" s="670"/>
      <c r="AD229" s="670"/>
      <c r="AE229" s="670"/>
      <c r="AF229" s="670"/>
      <c r="AG229" s="671"/>
    </row>
    <row r="230" spans="1:33" ht="14.4" x14ac:dyDescent="0.3">
      <c r="A230" s="669" t="s">
        <v>319</v>
      </c>
      <c r="B230" s="670" t="s">
        <v>352</v>
      </c>
      <c r="C230" s="670">
        <f>'Objet 1'!Dimensions_intérieures_Cp_15_longueur</f>
        <v>60.2</v>
      </c>
      <c r="D230" s="670">
        <v>9.4</v>
      </c>
      <c r="E230" s="670" t="e">
        <f>('Objet 1'!nombre_de_calages*2)+1</f>
        <v>#VALUE!</v>
      </c>
      <c r="F230" s="670" t="s">
        <v>353</v>
      </c>
      <c r="G230" s="670">
        <f>'Objet 1'!Dimensions_intérieures_Cp_15_largeur</f>
        <v>40.200000000000003</v>
      </c>
      <c r="H230" s="670">
        <v>9.4</v>
      </c>
      <c r="I230" s="670" t="e">
        <f>('Objet 1'!nombre_de_calages*2)</f>
        <v>#VALUE!</v>
      </c>
      <c r="J230" s="670"/>
      <c r="K230" s="670"/>
      <c r="L230" s="670"/>
      <c r="M230" s="670"/>
      <c r="N230" s="670" t="str">
        <f t="shared" si="63"/>
        <v xml:space="preserve">Stratocell 50 mm </v>
      </c>
      <c r="O230" s="670">
        <f>'Objet 1'!Dimensions_intérieures_Cp_15_longueur</f>
        <v>60.2</v>
      </c>
      <c r="P230" s="670">
        <f>IF('Objet 1'!Dimensions_intérieures_CP_15_hauteur&lt;120,9.4,14.4)</f>
        <v>9.4</v>
      </c>
      <c r="Q230" s="670" t="e">
        <f>('Objet 1'!nombre_de_calages*2)+1</f>
        <v>#VALUE!</v>
      </c>
      <c r="R230" s="670" t="str">
        <f t="shared" si="64"/>
        <v>Stratocell 50 mm</v>
      </c>
      <c r="S230" s="670">
        <f>'Objet 1'!Dimensions_intérieures_Cp_15_largeur</f>
        <v>40.200000000000003</v>
      </c>
      <c r="T230" s="670">
        <f>IF('Objet 1'!Dimensions_intérieures_CP_15_hauteur&lt;120,9.4,14.4)</f>
        <v>9.4</v>
      </c>
      <c r="U230" s="670" t="e">
        <f>('Objet 1'!nombre_de_calages*2)</f>
        <v>#VALUE!</v>
      </c>
      <c r="V230" s="670" t="str">
        <f>'Objet 1'!Base</f>
        <v>Stratocell 50 mm</v>
      </c>
      <c r="W230" s="670">
        <v>5</v>
      </c>
      <c r="X230" s="670">
        <f>VLOOKUP('Objet 1'!Plateau,$A$181:$B$187,2)</f>
        <v>0</v>
      </c>
      <c r="Y230" s="670">
        <f>'Objet 1'!Dimensions_intérieures_Cp_15_longueur</f>
        <v>60.2</v>
      </c>
      <c r="Z230" s="670">
        <f>'Objet 1'!Dimensions_intérieures_Cp_15_largeur</f>
        <v>40.200000000000003</v>
      </c>
      <c r="AA230" s="670">
        <f t="shared" si="65"/>
        <v>5</v>
      </c>
      <c r="AB230" s="670"/>
      <c r="AC230" s="670"/>
      <c r="AD230" s="670"/>
      <c r="AE230" s="670"/>
      <c r="AF230" s="670"/>
      <c r="AG230" s="671"/>
    </row>
    <row r="231" spans="1:33" ht="28.8" x14ac:dyDescent="0.3">
      <c r="A231" s="669" t="s">
        <v>320</v>
      </c>
      <c r="B231" s="670"/>
      <c r="C231" s="670"/>
      <c r="D231" s="670"/>
      <c r="E231" s="670"/>
      <c r="F231" s="670"/>
      <c r="G231" s="670"/>
      <c r="H231" s="670"/>
      <c r="I231" s="670"/>
      <c r="J231" s="670"/>
      <c r="K231" s="670"/>
      <c r="L231" s="670"/>
      <c r="M231" s="670"/>
      <c r="N231" s="670" t="str">
        <f>IF('Objet 1'!nombre_de_calages="PU","PU 30 mm",IF('Objet 1'!nombre_de_calages="Ethafoam","Ethafoam 30 mm",IF('Objet 1'!nombre_de_calages="Stratocell","Stratocell 30 mm",0)))</f>
        <v>Stratocell 30 mm</v>
      </c>
      <c r="O231" s="670">
        <f>'Objet 1'!Dimensions_intérieures_Cp_15_longueur</f>
        <v>60.2</v>
      </c>
      <c r="P231" s="670">
        <v>12</v>
      </c>
      <c r="Q231" s="670">
        <f>IF('Objet 1'!Dimensions_intérieures_CP_15_hauteur&lt;80,4,6)</f>
        <v>4</v>
      </c>
      <c r="R231" s="670" t="str">
        <f>IF('Objet 1'!nombre_de_calages="PU","PU 30 mm",IF('Objet 1'!nombre_de_calages="Ethafoam","Ethafoam 30 mm",IF('Objet 1'!nombre_de_calages="Stratocell","Stratocell 30 mm",0)))</f>
        <v>Stratocell 30 mm</v>
      </c>
      <c r="S231" s="670">
        <f>'Objet 1'!Dimensions_intérieures_Cp_15_largeur-6</f>
        <v>34.200000000000003</v>
      </c>
      <c r="T231" s="670">
        <v>12</v>
      </c>
      <c r="U231" s="670">
        <f t="shared" ref="U231:U232" si="66">Q231</f>
        <v>4</v>
      </c>
      <c r="V231" s="670" t="str">
        <f>'Objet 1'!Base</f>
        <v>Stratocell 50 mm</v>
      </c>
      <c r="W231" s="670">
        <v>5</v>
      </c>
      <c r="X231" s="670">
        <f>VLOOKUP('Objet 1'!Plateau,$A$181:$B$187,2)</f>
        <v>0</v>
      </c>
      <c r="Y231" s="670">
        <f>'Objet 1'!Dimensions_intérieures_Cp_15_longueur</f>
        <v>60.2</v>
      </c>
      <c r="Z231" s="670">
        <f>'Objet 1'!Dimensions_intérieures_Cp_15_largeur</f>
        <v>40.200000000000003</v>
      </c>
      <c r="AA231" s="670">
        <f t="shared" si="65"/>
        <v>5</v>
      </c>
      <c r="AB231" s="670" t="str">
        <f>IF('Objet 1'!nombre_de_calages="PU","PU 30 mm",IF('Objet 1'!nombre_de_calages="Ethafoam","Ethafoam 30 mm",IF('Objet 1'!nombre_de_calages="Stratocell","Stratocell 30 mm",0)))</f>
        <v>Stratocell 30 mm</v>
      </c>
      <c r="AC231" s="670">
        <f>'Objet 1'!Dimensions_intérieures_Cp_15_largeur</f>
        <v>40.200000000000003</v>
      </c>
      <c r="AD231" s="670">
        <v>12</v>
      </c>
      <c r="AE231" s="670">
        <f>IF('Objet 1'!Dimensions_intérieures_Cp_15_longueur&lt;100,3,4)</f>
        <v>3</v>
      </c>
      <c r="AF231" s="670"/>
      <c r="AG231" s="671"/>
    </row>
    <row r="232" spans="1:33" ht="28.8" x14ac:dyDescent="0.3">
      <c r="A232" s="669" t="s">
        <v>322</v>
      </c>
      <c r="B232" s="670"/>
      <c r="C232" s="670"/>
      <c r="D232" s="670"/>
      <c r="E232" s="670"/>
      <c r="F232" s="670"/>
      <c r="G232" s="670"/>
      <c r="H232" s="670"/>
      <c r="I232" s="670"/>
      <c r="J232" s="670"/>
      <c r="K232" s="670"/>
      <c r="L232" s="670"/>
      <c r="M232" s="670"/>
      <c r="N232" s="670" t="str">
        <f>IF('Objet 1'!nombre_de_calages="PU","PU 50 mm",IF('Objet 1'!nombre_de_calages="Ethafoam","Ethafoam 50 mm",IF('Objet 1'!nombre_de_calages="Stratocell","Stratocell 50 mm",0)))</f>
        <v>Stratocell 50 mm</v>
      </c>
      <c r="O232" s="670">
        <f>'Objet 1'!Dimensions_intérieures_Cp_15_longueur</f>
        <v>60.2</v>
      </c>
      <c r="P232" s="670">
        <v>12</v>
      </c>
      <c r="Q232" s="670">
        <f>IF('Objet 1'!Dimensions_intérieures_CP_15_hauteur&lt;80,4,6)</f>
        <v>4</v>
      </c>
      <c r="R232" s="670" t="str">
        <f>IF('Objet 1'!nombre_de_calages="PU","PU 50 mm",IF('Objet 1'!nombre_de_calages="Ethafoam","Ethafoam 50 mm",IF('Objet 1'!nombre_de_calages="Stratocell","Stratocell 50 mm",0)))</f>
        <v>Stratocell 50 mm</v>
      </c>
      <c r="S232" s="670">
        <f>'Objet 1'!Dimensions_intérieures_Cp_15_largeur-10</f>
        <v>30.200000000000003</v>
      </c>
      <c r="T232" s="670">
        <v>12</v>
      </c>
      <c r="U232" s="670">
        <f t="shared" si="66"/>
        <v>4</v>
      </c>
      <c r="V232" s="670" t="str">
        <f>'Objet 1'!Base</f>
        <v>Stratocell 50 mm</v>
      </c>
      <c r="W232" s="670">
        <v>5</v>
      </c>
      <c r="X232" s="670">
        <f>VLOOKUP('Objet 1'!Plateau,$A$181:$B$187,2)</f>
        <v>0</v>
      </c>
      <c r="Y232" s="670">
        <f>'Objet 1'!Dimensions_intérieures_Cp_15_longueur</f>
        <v>60.2</v>
      </c>
      <c r="Z232" s="670">
        <f>'Objet 1'!Dimensions_intérieures_Cp_15_largeur</f>
        <v>40.200000000000003</v>
      </c>
      <c r="AA232" s="670">
        <f t="shared" si="65"/>
        <v>5</v>
      </c>
      <c r="AB232" s="670" t="str">
        <f>IF('Objet 1'!nombre_de_calages="PU","PU 50 mm",IF('Objet 1'!nombre_de_calages="Ethafoam","Ethafoam 50 mm",IF('Objet 1'!nombre_de_calages="Stratocell","Stratocell 50 mm",0)))</f>
        <v>Stratocell 50 mm</v>
      </c>
      <c r="AC232" s="670">
        <f>'Objet 1'!Dimensions_intérieures_Cp_15_largeur</f>
        <v>40.200000000000003</v>
      </c>
      <c r="AD232" s="670">
        <v>12</v>
      </c>
      <c r="AE232" s="670">
        <f>IF('Objet 1'!Dimensions_intérieures_Cp_15_longueur&lt;100,3,4)</f>
        <v>3</v>
      </c>
      <c r="AF232" s="670"/>
      <c r="AG232" s="671"/>
    </row>
    <row r="233" spans="1:33" ht="28.8" x14ac:dyDescent="0.3">
      <c r="A233" s="669" t="s">
        <v>323</v>
      </c>
      <c r="B233" s="670"/>
      <c r="C233" s="670"/>
      <c r="D233" s="670"/>
      <c r="E233" s="670"/>
      <c r="F233" s="670"/>
      <c r="G233" s="670"/>
      <c r="H233" s="670"/>
      <c r="I233" s="670"/>
      <c r="J233" s="670"/>
      <c r="K233" s="670"/>
      <c r="L233" s="670"/>
      <c r="M233" s="670"/>
      <c r="N233" s="670" t="s">
        <v>27</v>
      </c>
      <c r="O233" s="670">
        <f>'Objet 1'!Dimensions_intérieures_Cp_15_longueur-0.3</f>
        <v>59.900000000000006</v>
      </c>
      <c r="P233" s="670">
        <f>'Objet 1'!Dimensions_intérieures_Cp_15_largeur-0.3</f>
        <v>39.900000000000006</v>
      </c>
      <c r="Q233" s="670">
        <f>('Objet 1'!Dimensions_intérieures_CP_15_hauteur-AA233)/5</f>
        <v>11.1</v>
      </c>
      <c r="R233" s="670"/>
      <c r="S233" s="670"/>
      <c r="T233" s="670"/>
      <c r="U233" s="670"/>
      <c r="V233" s="670" t="str">
        <f>'Objet 1'!Base</f>
        <v>Stratocell 50 mm</v>
      </c>
      <c r="W233" s="670">
        <v>5</v>
      </c>
      <c r="X233" s="670">
        <f>VLOOKUP('Objet 1'!Plateau,$A$181:$B$187,2)</f>
        <v>0</v>
      </c>
      <c r="Y233" s="670">
        <f>'Objet 1'!Dimensions_intérieures_Cp_15_longueur</f>
        <v>60.2</v>
      </c>
      <c r="Z233" s="670">
        <f>'Objet 1'!Dimensions_intérieures_Cp_15_largeur</f>
        <v>40.200000000000003</v>
      </c>
      <c r="AA233" s="670">
        <f t="shared" si="65"/>
        <v>5</v>
      </c>
      <c r="AB233" s="670"/>
      <c r="AC233" s="670"/>
      <c r="AD233" s="670"/>
      <c r="AE233" s="670"/>
      <c r="AF233" s="670"/>
      <c r="AG233" s="671"/>
    </row>
    <row r="234" spans="1:33" ht="14.4" x14ac:dyDescent="0.3">
      <c r="A234" s="669" t="s">
        <v>324</v>
      </c>
      <c r="B234" s="670"/>
      <c r="C234" s="670"/>
      <c r="D234" s="670"/>
      <c r="E234" s="670"/>
      <c r="F234" s="670"/>
      <c r="G234" s="670"/>
      <c r="H234" s="670"/>
      <c r="I234" s="670"/>
      <c r="J234" s="670"/>
      <c r="K234" s="670"/>
      <c r="L234" s="670"/>
      <c r="M234" s="670"/>
      <c r="N234" s="670" t="s">
        <v>27</v>
      </c>
      <c r="O234" s="670">
        <f>'Objet 1'!Dimensions_intérieures_Cp_15_longueur-0.3</f>
        <v>59.900000000000006</v>
      </c>
      <c r="P234" s="670">
        <f>'Objet 1'!Dimensions_intérieures_Cp_15_largeur-0.3</f>
        <v>39.900000000000006</v>
      </c>
      <c r="Q234" s="670">
        <f>('Objet 1'!Dimensions_intérieures_CP_15_hauteur-AA234)/5</f>
        <v>11.1</v>
      </c>
      <c r="R234" s="670"/>
      <c r="S234" s="670"/>
      <c r="T234" s="670"/>
      <c r="U234" s="670"/>
      <c r="V234" s="670" t="str">
        <f>'Objet 1'!Base</f>
        <v>Stratocell 50 mm</v>
      </c>
      <c r="W234" s="670">
        <v>5</v>
      </c>
      <c r="X234" s="670">
        <f>VLOOKUP('Objet 1'!Plateau,$A$181:$B$187,2)</f>
        <v>0</v>
      </c>
      <c r="Y234" s="670">
        <f>'Objet 1'!Dimensions_intérieures_Cp_15_longueur</f>
        <v>60.2</v>
      </c>
      <c r="Z234" s="670">
        <f>'Objet 1'!Dimensions_intérieures_Cp_15_largeur</f>
        <v>40.200000000000003</v>
      </c>
      <c r="AA234" s="670">
        <f t="shared" si="65"/>
        <v>5</v>
      </c>
      <c r="AB234" s="670"/>
      <c r="AC234" s="670"/>
      <c r="AD234" s="670"/>
      <c r="AE234" s="670"/>
      <c r="AF234" s="670"/>
      <c r="AG234" s="671"/>
    </row>
    <row r="235" spans="1:33" ht="14.4" x14ac:dyDescent="0.3">
      <c r="A235" s="669" t="s">
        <v>325</v>
      </c>
      <c r="B235" s="670"/>
      <c r="C235" s="670"/>
      <c r="D235" s="670"/>
      <c r="E235" s="670"/>
      <c r="F235" s="670"/>
      <c r="G235" s="670"/>
      <c r="H235" s="670"/>
      <c r="I235" s="670"/>
      <c r="J235" s="670"/>
      <c r="K235" s="670"/>
      <c r="L235" s="670"/>
      <c r="M235" s="670"/>
      <c r="N235" s="670" t="s">
        <v>27</v>
      </c>
      <c r="O235" s="670">
        <f>'Objet 1'!Dimensions_intérieures_Cp_15_longueur-0.3</f>
        <v>59.900000000000006</v>
      </c>
      <c r="P235" s="670">
        <f>'Objet 1'!Dimensions_intérieures_CP_15_hauteur-AA235</f>
        <v>55.5</v>
      </c>
      <c r="Q235" s="670">
        <f>'Objet 1'!Dimensions_intérieures_Cp_15_largeur/5</f>
        <v>8.0400000000000009</v>
      </c>
      <c r="R235" s="670"/>
      <c r="S235" s="670"/>
      <c r="T235" s="670"/>
      <c r="U235" s="670"/>
      <c r="V235" s="670" t="str">
        <f>'Objet 1'!Base</f>
        <v>Stratocell 50 mm</v>
      </c>
      <c r="W235" s="670">
        <v>5</v>
      </c>
      <c r="X235" s="670">
        <f>VLOOKUP('Objet 1'!Plateau,$A$181:$B$187,2)</f>
        <v>0</v>
      </c>
      <c r="Y235" s="670">
        <f>'Objet 1'!Dimensions_intérieures_Cp_15_longueur</f>
        <v>60.2</v>
      </c>
      <c r="Z235" s="670">
        <f>'Objet 1'!Dimensions_intérieures_Cp_15_largeur</f>
        <v>40.200000000000003</v>
      </c>
      <c r="AA235" s="670">
        <f t="shared" si="65"/>
        <v>5</v>
      </c>
      <c r="AB235" s="670"/>
      <c r="AC235" s="670"/>
      <c r="AD235" s="670"/>
      <c r="AE235" s="670"/>
      <c r="AF235" s="670"/>
      <c r="AG235" s="671"/>
    </row>
    <row r="236" spans="1:33" ht="28.8" x14ac:dyDescent="0.3">
      <c r="A236" s="669" t="s">
        <v>326</v>
      </c>
      <c r="B236" s="670" t="s">
        <v>354</v>
      </c>
      <c r="C236" s="670">
        <f>'Objet 1'!Dimensions_intérieures_Cp_15_longueur</f>
        <v>60.2</v>
      </c>
      <c r="D236" s="670">
        <f>IF('Objet 1'!Dimensions_intérieures_CP_15_hauteur&lt;120,9.4,14.4)</f>
        <v>9.4</v>
      </c>
      <c r="E236" s="670">
        <f>1</f>
        <v>1</v>
      </c>
      <c r="F236" s="670" t="s">
        <v>355</v>
      </c>
      <c r="G236" s="670">
        <f>'Objet 1'!Dimensions_intérieures_Cp_15_longueur</f>
        <v>60.2</v>
      </c>
      <c r="H236" s="670">
        <f t="shared" ref="H236:H238" si="67">VLOOKUP($F$35,$A$200:$C$202,2)</f>
        <v>5.2</v>
      </c>
      <c r="I236" s="670" t="e">
        <f>('Objet 1'!nombre_de_calages*2)</f>
        <v>#VALUE!</v>
      </c>
      <c r="J236" s="670" t="s">
        <v>349</v>
      </c>
      <c r="K236" s="670">
        <f>'Objet 1'!Dimensions_intérieures_Cp_15_largeur</f>
        <v>40.200000000000003</v>
      </c>
      <c r="L236" s="670">
        <v>7</v>
      </c>
      <c r="M236" s="670" t="e">
        <f>'Objet 1'!nombre_de_calages*4</f>
        <v>#VALUE!</v>
      </c>
      <c r="N236" s="670" t="str">
        <f t="shared" ref="N236:N238" si="68">VLOOKUP($F$35,$A$200:$C$202,3)</f>
        <v xml:space="preserve">Stratocell 50 mm </v>
      </c>
      <c r="O236" s="670">
        <f>'Objet 1'!Dimensions_intérieures_Cp_15_longueur</f>
        <v>60.2</v>
      </c>
      <c r="P236" s="670">
        <f>'Objet 1'!Dimensions_intérieures_Cp_15_largeur-4.2</f>
        <v>36</v>
      </c>
      <c r="Q236" s="670" t="str">
        <f>'Objet 1'!nombre_de_calages</f>
        <v>Stratocell</v>
      </c>
      <c r="R236" s="670" t="str">
        <f t="shared" ref="R236:R238" si="69">VLOOKUP($F$35,$A$200:$D$202,4)</f>
        <v>Stratocell 50 mm</v>
      </c>
      <c r="S236" s="670">
        <f>'Objet 1'!Dimensions_intérieures_Cp_15_largeur</f>
        <v>40.200000000000003</v>
      </c>
      <c r="T236" s="670">
        <f>IF('Objet 1'!Dimensions_intérieures_CP_15_hauteur&lt;120,9.4,14.4)</f>
        <v>9.4</v>
      </c>
      <c r="U236" s="670">
        <f>1</f>
        <v>1</v>
      </c>
      <c r="V236" s="670" t="str">
        <f>'Objet 1'!Base</f>
        <v>Stratocell 50 mm</v>
      </c>
      <c r="W236" s="670">
        <v>5</v>
      </c>
      <c r="X236" s="670">
        <f>VLOOKUP('Objet 1'!Plateau,$A$181:$B$187,2)</f>
        <v>0</v>
      </c>
      <c r="Y236" s="670">
        <f>'Objet 1'!Dimensions_intérieures_Cp_15_longueur</f>
        <v>60.2</v>
      </c>
      <c r="Z236" s="670">
        <f>'Objet 1'!Dimensions_intérieures_Cp_15_largeur</f>
        <v>40.200000000000003</v>
      </c>
      <c r="AA236" s="670">
        <f t="shared" si="65"/>
        <v>5</v>
      </c>
      <c r="AB236" s="670"/>
      <c r="AC236" s="670"/>
      <c r="AD236" s="670"/>
      <c r="AE236" s="670"/>
      <c r="AF236" s="670"/>
      <c r="AG236" s="670"/>
    </row>
    <row r="237" spans="1:33" ht="28.8" x14ac:dyDescent="0.3">
      <c r="A237" s="669" t="s">
        <v>328</v>
      </c>
      <c r="B237" s="670"/>
      <c r="C237" s="670"/>
      <c r="D237" s="670"/>
      <c r="E237" s="670"/>
      <c r="F237" s="670" t="s">
        <v>355</v>
      </c>
      <c r="G237" s="670">
        <f>'Objet 1'!Dimensions_intérieures_Cp_15_largeur</f>
        <v>40.200000000000003</v>
      </c>
      <c r="H237" s="670">
        <f t="shared" si="67"/>
        <v>5.2</v>
      </c>
      <c r="I237" s="670" t="str">
        <f>'Objet 1'!nombre_de_calages</f>
        <v>Stratocell</v>
      </c>
      <c r="J237" s="670" t="s">
        <v>349</v>
      </c>
      <c r="K237" s="670">
        <f>'Objet 1'!Dimensions_intérieures_CP_15_hauteur-AA237</f>
        <v>55.5</v>
      </c>
      <c r="L237" s="670">
        <v>7</v>
      </c>
      <c r="M237" s="670" t="e">
        <f>'Objet 1'!nombre_de_calages*4</f>
        <v>#VALUE!</v>
      </c>
      <c r="N237" s="670" t="str">
        <f t="shared" si="68"/>
        <v xml:space="preserve">Stratocell 50 mm </v>
      </c>
      <c r="O237" s="670">
        <f>'Objet 1'!Dimensions_intérieures_Cp_15_largeur</f>
        <v>40.200000000000003</v>
      </c>
      <c r="P237" s="670">
        <f>'Objet 1'!Dimensions_intérieures_CP_15_hauteur-2.1-(AA237)</f>
        <v>53.4</v>
      </c>
      <c r="Q237" s="670" t="str">
        <f>'Objet 1'!nombre_de_calages</f>
        <v>Stratocell</v>
      </c>
      <c r="R237" s="670" t="str">
        <f t="shared" si="69"/>
        <v>Stratocell 50 mm</v>
      </c>
      <c r="S237" s="670"/>
      <c r="T237" s="670"/>
      <c r="U237" s="670"/>
      <c r="V237" s="670" t="str">
        <f>'Objet 1'!Base</f>
        <v>Stratocell 50 mm</v>
      </c>
      <c r="W237" s="670">
        <v>5</v>
      </c>
      <c r="X237" s="670">
        <f>VLOOKUP('Objet 1'!Plateau,$A$181:$B$187,2)</f>
        <v>0</v>
      </c>
      <c r="Y237" s="670">
        <f>'Objet 1'!Dimensions_intérieures_Cp_15_longueur</f>
        <v>60.2</v>
      </c>
      <c r="Z237" s="670">
        <f>'Objet 1'!Dimensions_intérieures_Cp_15_largeur</f>
        <v>40.200000000000003</v>
      </c>
      <c r="AA237" s="670">
        <f t="shared" si="65"/>
        <v>5</v>
      </c>
      <c r="AB237" s="670"/>
      <c r="AC237" s="670"/>
      <c r="AD237" s="670"/>
      <c r="AE237" s="670"/>
      <c r="AF237" s="670"/>
      <c r="AG237" s="670"/>
    </row>
    <row r="238" spans="1:33" ht="43.2" x14ac:dyDescent="0.3">
      <c r="A238" s="669" t="s">
        <v>329</v>
      </c>
      <c r="B238" s="670"/>
      <c r="C238" s="670"/>
      <c r="D238" s="670"/>
      <c r="E238" s="670"/>
      <c r="F238" s="670" t="s">
        <v>355</v>
      </c>
      <c r="G238" s="670">
        <f>'Objet 1'!Dimensions_intérieures_Cp_15_largeur</f>
        <v>40.200000000000003</v>
      </c>
      <c r="H238" s="670">
        <f t="shared" si="67"/>
        <v>5.2</v>
      </c>
      <c r="I238" s="670" t="str">
        <f>'Objet 1'!nombre_de_calages</f>
        <v>Stratocell</v>
      </c>
      <c r="J238" s="670" t="s">
        <v>349</v>
      </c>
      <c r="K238" s="670">
        <f>'Objet 1'!Dimensions_intérieures_CP_15_hauteur-AA238</f>
        <v>55.2</v>
      </c>
      <c r="L238" s="670">
        <v>7</v>
      </c>
      <c r="M238" s="670" t="e">
        <f>'Objet 1'!nombre_de_calages*4</f>
        <v>#VALUE!</v>
      </c>
      <c r="N238" s="670" t="str">
        <f t="shared" si="68"/>
        <v xml:space="preserve">Stratocell 50 mm </v>
      </c>
      <c r="O238" s="670">
        <f>'Objet 1'!Dimensions_intérieures_Cp_15_largeur</f>
        <v>40.200000000000003</v>
      </c>
      <c r="P238" s="670" t="e">
        <f>'Objet 1'!Dimensions_intérieures_CP_15_hauteur-2.1-(AA238+F33)</f>
        <v>#VALUE!</v>
      </c>
      <c r="Q238" s="670" t="str">
        <f>'Objet 1'!nombre_de_calages</f>
        <v>Stratocell</v>
      </c>
      <c r="R238" s="670" t="str">
        <f t="shared" si="69"/>
        <v>Stratocell 50 mm</v>
      </c>
      <c r="S238" s="670">
        <f>'Objet 1'!Dimensions_intérieures_Cp_15_longueur</f>
        <v>60.2</v>
      </c>
      <c r="T238" s="670" t="e">
        <f>F33+AA238</f>
        <v>#VALUE!</v>
      </c>
      <c r="U238" s="670">
        <v>2</v>
      </c>
      <c r="V238" s="670" t="str">
        <f>'Objet 1'!Base</f>
        <v>Stratocell 50 mm</v>
      </c>
      <c r="W238" s="670">
        <f>VLOOKUP('Objet 1'!Base,$A$189:$C$198,3)</f>
        <v>5.3</v>
      </c>
      <c r="X238" s="670">
        <f>VLOOKUP('Objet 1'!Plateau,$A$181:$B$187,2)</f>
        <v>0</v>
      </c>
      <c r="Y238" s="670">
        <f>'Objet 1'!Dimensions_intérieures_Cp_15_longueur-10</f>
        <v>50.2</v>
      </c>
      <c r="Z238" s="670">
        <f>'Objet 1'!Dimensions_intérieures_Cp_15_largeur-10</f>
        <v>30.200000000000003</v>
      </c>
      <c r="AA238" s="670">
        <f t="shared" si="65"/>
        <v>5.3</v>
      </c>
      <c r="AB238" s="670" t="str">
        <f>VLOOKUP($F$35,$A$200:$C$202,3)</f>
        <v xml:space="preserve">Stratocell 50 mm </v>
      </c>
      <c r="AC238" s="670">
        <f>'Objet 1'!Dimensions_intérieures_Cp_15_largeur-VLOOKUP($C$33,$A$137:$S$150,2)+0.2</f>
        <v>30.200000000000003</v>
      </c>
      <c r="AD238" s="670" t="e">
        <f>F33+AA238</f>
        <v>#VALUE!</v>
      </c>
      <c r="AE238" s="670">
        <v>2</v>
      </c>
      <c r="AF238" s="670">
        <f t="shared" ref="AF238:AF241" si="70">VLOOKUP($C$33,$A$137:$S$150,4)-0.2</f>
        <v>5</v>
      </c>
      <c r="AG238" s="670"/>
    </row>
    <row r="239" spans="1:33" ht="28.8" x14ac:dyDescent="0.3">
      <c r="A239" s="669" t="s">
        <v>330</v>
      </c>
      <c r="B239" s="670"/>
      <c r="C239" s="670"/>
      <c r="D239" s="670"/>
      <c r="E239" s="670"/>
      <c r="F239" s="670"/>
      <c r="G239" s="670"/>
      <c r="H239" s="670"/>
      <c r="I239" s="670"/>
      <c r="J239" s="670"/>
      <c r="K239" s="670"/>
      <c r="L239" s="670"/>
      <c r="M239" s="670"/>
      <c r="N239" s="670" t="str">
        <f>IF('Objet 1'!nombre_de_calages="PU","PU 20 mm",IF('Objet 1'!nombre_de_calages="Stratocell","Stratocell 20 mm",IF('Objet 1'!nombre_de_calages="Ethafoam","Ethafoam 20 mm",0)))</f>
        <v>Stratocell 20 mm</v>
      </c>
      <c r="O239" s="670">
        <f>'Objet 1'!Dimensions_intérieures_Cp_15_longueur</f>
        <v>60.2</v>
      </c>
      <c r="P239" s="670">
        <f>'Objet 1'!Dimensions_intérieures_Cp_15_largeur</f>
        <v>40.200000000000003</v>
      </c>
      <c r="Q239" s="670">
        <v>1</v>
      </c>
      <c r="R239" s="670" t="str">
        <f>IF('Objet 1'!nombre_de_calages="PU","PU 20 mm",IF('Objet 1'!nombre_de_calages="Stratocell","Stratocell 20 mm",IF('Objet 1'!nombre_de_calages="Ethafoam","Ethafoam 20 mm",0)))</f>
        <v>Stratocell 20 mm</v>
      </c>
      <c r="S239" s="670">
        <f>'Objet 1'!Dimensions_intérieures_Cp_15_longueur</f>
        <v>60.2</v>
      </c>
      <c r="T239" s="670">
        <f>'Objet 1'!Dimensions_intérieures_CP_15_hauteur-AF239-AA239</f>
        <v>50.2</v>
      </c>
      <c r="U239" s="670">
        <v>2</v>
      </c>
      <c r="V239" s="670" t="str">
        <f>'Objet 1'!Base</f>
        <v>Stratocell 50 mm</v>
      </c>
      <c r="W239" s="670">
        <f>VLOOKUP('Objet 1'!Base,$A$189:$C$198,3)</f>
        <v>5.3</v>
      </c>
      <c r="X239" s="670">
        <f>VLOOKUP('Objet 1'!Plateau,$A$181:$B$187,2)</f>
        <v>0</v>
      </c>
      <c r="Y239" s="670">
        <f>'Objet 1'!Dimensions_intérieures_Cp_15_longueur</f>
        <v>60.2</v>
      </c>
      <c r="Z239" s="670">
        <f>'Objet 1'!Dimensions_intérieures_Cp_15_largeur</f>
        <v>40.200000000000003</v>
      </c>
      <c r="AA239" s="670">
        <f t="shared" si="65"/>
        <v>5.3</v>
      </c>
      <c r="AB239" s="670" t="str">
        <f>IF('Objet 1'!nombre_de_calages="PU","PU 20 mm",IF('Objet 1'!nombre_de_calages="Stratocell","Stratocell 20 mm",IF('Objet 1'!nombre_de_calages="Ethafoam","Ethafoam 20 mm",0)))</f>
        <v>Stratocell 20 mm</v>
      </c>
      <c r="AC239" s="670">
        <f>'Objet 1'!Dimensions_intérieures_Cp_15_largeur-VLOOKUP($C$33,$A$137:$S$150,2)+0.2</f>
        <v>30.200000000000003</v>
      </c>
      <c r="AD239" s="670">
        <f>'Objet 1'!Dimensions_intérieures_CP_15_hauteur-VLOOKUP($C$33,$A$137:$S$150,4)-AA239+0.2</f>
        <v>50.2</v>
      </c>
      <c r="AE239" s="670">
        <v>2</v>
      </c>
      <c r="AF239" s="670">
        <f t="shared" si="70"/>
        <v>5</v>
      </c>
      <c r="AG239" s="671"/>
    </row>
    <row r="240" spans="1:33" ht="28.8" x14ac:dyDescent="0.3">
      <c r="A240" s="669" t="s">
        <v>332</v>
      </c>
      <c r="B240" s="670"/>
      <c r="C240" s="670"/>
      <c r="D240" s="670"/>
      <c r="E240" s="670"/>
      <c r="F240" s="670"/>
      <c r="G240" s="670"/>
      <c r="H240" s="670"/>
      <c r="I240" s="670"/>
      <c r="J240" s="670"/>
      <c r="K240" s="670"/>
      <c r="L240" s="670"/>
      <c r="M240" s="670"/>
      <c r="N240" s="670" t="str">
        <f>IF('Objet 1'!nombre_de_calages="PU","PU 30 mm",IF('Objet 1'!nombre_de_calages="Stratocell","Stratocell 30 mm",IF('Objet 1'!nombre_de_calages="Ethafoam","Ethafoam 30 mm",0)))</f>
        <v>Stratocell 30 mm</v>
      </c>
      <c r="O240" s="670">
        <f>'Objet 1'!Dimensions_intérieures_Cp_15_longueur</f>
        <v>60.2</v>
      </c>
      <c r="P240" s="670">
        <f>'Objet 1'!Dimensions_intérieures_Cp_15_largeur</f>
        <v>40.200000000000003</v>
      </c>
      <c r="Q240" s="670">
        <v>1</v>
      </c>
      <c r="R240" s="670" t="str">
        <f>IF('Objet 1'!nombre_de_calages="PU","PU 30 mm",IF('Objet 1'!nombre_de_calages="Stratocell","Stratocell 30 mm",IF('Objet 1'!nombre_de_calages="Ethafoam","Ethafoam 30 mm",0)))</f>
        <v>Stratocell 30 mm</v>
      </c>
      <c r="S240" s="670">
        <f>'Objet 1'!Dimensions_intérieures_Cp_15_longueur</f>
        <v>60.2</v>
      </c>
      <c r="T240" s="670">
        <f>'Objet 1'!Dimensions_intérieures_CP_15_hauteur-AF240-AA240</f>
        <v>50.2</v>
      </c>
      <c r="U240" s="670">
        <v>2</v>
      </c>
      <c r="V240" s="670" t="str">
        <f>'Objet 1'!Base</f>
        <v>Stratocell 50 mm</v>
      </c>
      <c r="W240" s="670">
        <f>VLOOKUP('Objet 1'!Base,$A$189:$C$198,3)</f>
        <v>5.3</v>
      </c>
      <c r="X240" s="670">
        <f>VLOOKUP('Objet 1'!Plateau,$A$181:$B$187,2)</f>
        <v>0</v>
      </c>
      <c r="Y240" s="670">
        <f>'Objet 1'!Dimensions_intérieures_Cp_15_longueur</f>
        <v>60.2</v>
      </c>
      <c r="Z240" s="670">
        <f>'Objet 1'!Dimensions_intérieures_Cp_15_largeur</f>
        <v>40.200000000000003</v>
      </c>
      <c r="AA240" s="670">
        <f t="shared" si="65"/>
        <v>5.3</v>
      </c>
      <c r="AB240" s="670" t="str">
        <f>IF('Objet 1'!nombre_de_calages="PU","PU 30 mm",IF('Objet 1'!nombre_de_calages="Stratocell","Stratocell 30 mm",IF('Objet 1'!nombre_de_calages="Ethafoam","Ethafoam 30 mm",0)))</f>
        <v>Stratocell 30 mm</v>
      </c>
      <c r="AC240" s="670">
        <f>'Objet 1'!Dimensions_intérieures_Cp_15_largeur-VLOOKUP($C$33,$A$137:$S$150,2)+0.2</f>
        <v>30.200000000000003</v>
      </c>
      <c r="AD240" s="670">
        <f>'Objet 1'!Dimensions_intérieures_CP_15_hauteur-VLOOKUP($C$33,$A$137:$S$150,4)-AA240+0.2</f>
        <v>50.2</v>
      </c>
      <c r="AE240" s="670">
        <v>2</v>
      </c>
      <c r="AF240" s="670">
        <f t="shared" si="70"/>
        <v>5</v>
      </c>
      <c r="AG240" s="671"/>
    </row>
    <row r="241" spans="1:33" ht="28.8" x14ac:dyDescent="0.3">
      <c r="A241" s="678" t="s">
        <v>304</v>
      </c>
      <c r="B241" s="679"/>
      <c r="C241" s="679"/>
      <c r="D241" s="679"/>
      <c r="E241" s="679"/>
      <c r="F241" s="679"/>
      <c r="G241" s="679"/>
      <c r="H241" s="679"/>
      <c r="I241" s="679"/>
      <c r="J241" s="679"/>
      <c r="K241" s="679"/>
      <c r="L241" s="679"/>
      <c r="M241" s="679"/>
      <c r="N241" s="670" t="str">
        <f>IF('Objet 1'!nombre_de_calages="PU","PU 50 mm",IF('Objet 1'!nombre_de_calages="Stratocell","Stratocell 50 mm",IF('Objet 1'!nombre_de_calages="Ethafoam","Ethafoam 50 mm",0)))</f>
        <v>Stratocell 50 mm</v>
      </c>
      <c r="O241" s="679">
        <f>'Objet 1'!Dimensions_intérieures_Cp_15_longueur</f>
        <v>60.2</v>
      </c>
      <c r="P241" s="679">
        <f>'Objet 1'!Dimensions_intérieures_Cp_15_largeur</f>
        <v>40.200000000000003</v>
      </c>
      <c r="Q241" s="679">
        <v>1</v>
      </c>
      <c r="R241" s="670" t="str">
        <f>IF('Objet 1'!nombre_de_calages="PU","PU 50 mm",IF('Objet 1'!nombre_de_calages="Stratocell","Stratocell 50 mm",IF('Objet 1'!nombre_de_calages="Ethafoam","Ethafoam 50 mm",0)))</f>
        <v>Stratocell 50 mm</v>
      </c>
      <c r="S241" s="679">
        <f>'Objet 1'!Dimensions_intérieures_Cp_15_longueur</f>
        <v>60.2</v>
      </c>
      <c r="T241" s="670">
        <f>'Objet 1'!Dimensions_intérieures_CP_15_hauteur-AF241-AA241</f>
        <v>50.2</v>
      </c>
      <c r="U241" s="679">
        <v>2</v>
      </c>
      <c r="V241" s="679" t="str">
        <f>'Objet 1'!Base</f>
        <v>Stratocell 50 mm</v>
      </c>
      <c r="W241" s="670">
        <f>VLOOKUP('Objet 1'!Base,$A$189:$C$198,3)</f>
        <v>5.3</v>
      </c>
      <c r="X241" s="679">
        <f>VLOOKUP('Objet 1'!Plateau,$A$181:$B$187,2)</f>
        <v>0</v>
      </c>
      <c r="Y241" s="679">
        <f>'Objet 1'!Dimensions_intérieures_Cp_15_longueur</f>
        <v>60.2</v>
      </c>
      <c r="Z241" s="679">
        <f>'Objet 1'!Dimensions_intérieures_Cp_15_largeur</f>
        <v>40.200000000000003</v>
      </c>
      <c r="AA241" s="679">
        <f t="shared" si="65"/>
        <v>5.3</v>
      </c>
      <c r="AB241" s="670" t="str">
        <f>IF('Objet 1'!nombre_de_calages="PU","PU 50 mm",IF('Objet 1'!nombre_de_calages="Stratocell","Stratocell 50 mm",IF('Objet 1'!nombre_de_calages="Ethafoam","Ethafoam 50 mm",0)))</f>
        <v>Stratocell 50 mm</v>
      </c>
      <c r="AC241" s="670">
        <f>'Objet 1'!Dimensions_intérieures_Cp_15_largeur-VLOOKUP($C$33,$A$137:$S$150,2)+0.2</f>
        <v>30.200000000000003</v>
      </c>
      <c r="AD241" s="670">
        <f>'Objet 1'!Dimensions_intérieures_CP_15_hauteur-VLOOKUP($C$33,$A$137:$S$150,4)-AA241+0.2</f>
        <v>50.2</v>
      </c>
      <c r="AE241" s="679">
        <v>2</v>
      </c>
      <c r="AF241" s="670">
        <f t="shared" si="70"/>
        <v>5</v>
      </c>
      <c r="AG241" s="680"/>
    </row>
    <row r="242" spans="1:33" ht="18" x14ac:dyDescent="0.35">
      <c r="A242" s="559"/>
      <c r="B242" s="559"/>
      <c r="C242" s="559"/>
      <c r="D242" s="559"/>
      <c r="E242" s="559"/>
      <c r="F242" s="559"/>
      <c r="G242" s="559"/>
      <c r="H242" s="559"/>
      <c r="I242" s="559"/>
      <c r="J242" s="559"/>
      <c r="K242" s="559"/>
      <c r="L242" s="559"/>
      <c r="M242" s="559"/>
      <c r="N242" s="559"/>
      <c r="O242" s="559"/>
      <c r="P242" s="559"/>
      <c r="Q242" s="559"/>
      <c r="R242" s="559"/>
      <c r="S242" s="559"/>
      <c r="T242" s="559"/>
      <c r="U242" s="559"/>
      <c r="V242" s="559"/>
      <c r="W242" s="559"/>
      <c r="X242" s="559"/>
      <c r="Y242" s="559"/>
      <c r="Z242" s="559"/>
      <c r="AA242" s="559"/>
      <c r="AB242" s="559"/>
      <c r="AC242" s="559"/>
      <c r="AD242" s="559"/>
      <c r="AE242" s="559"/>
      <c r="AF242" s="559"/>
      <c r="AG242" s="559"/>
    </row>
    <row r="243" spans="1:33" ht="18" x14ac:dyDescent="0.35">
      <c r="A243" s="559"/>
      <c r="B243" s="559"/>
      <c r="C243" s="559"/>
      <c r="D243" s="559"/>
      <c r="E243" s="559"/>
      <c r="F243" s="559"/>
      <c r="G243" s="559"/>
      <c r="H243" s="559"/>
      <c r="I243" s="559"/>
      <c r="J243" s="559"/>
      <c r="K243" s="559"/>
      <c r="L243" s="559"/>
      <c r="M243" s="559"/>
      <c r="N243" s="559"/>
      <c r="O243" s="559"/>
      <c r="P243" s="559"/>
      <c r="Q243" s="559"/>
      <c r="R243" s="559"/>
      <c r="S243" s="559"/>
      <c r="T243" s="559"/>
      <c r="U243" s="559"/>
      <c r="V243" s="559"/>
      <c r="W243" s="559"/>
      <c r="X243" s="559"/>
      <c r="Y243" s="559"/>
      <c r="Z243" s="559"/>
      <c r="AA243" s="559"/>
      <c r="AB243" s="559"/>
      <c r="AC243" s="559"/>
      <c r="AD243" s="559"/>
      <c r="AE243" s="559"/>
      <c r="AF243" s="559"/>
      <c r="AG243" s="559"/>
    </row>
    <row r="244" spans="1:33" ht="18" x14ac:dyDescent="0.35">
      <c r="A244" s="559"/>
      <c r="B244" s="559"/>
      <c r="C244" s="559"/>
      <c r="D244" s="559"/>
      <c r="E244" s="559"/>
      <c r="F244" s="559"/>
      <c r="G244" s="559"/>
      <c r="H244" s="559"/>
      <c r="I244" s="559"/>
      <c r="J244" s="559"/>
      <c r="K244" s="559"/>
      <c r="L244" s="559"/>
      <c r="M244" s="559"/>
      <c r="N244" s="559"/>
      <c r="O244" s="559"/>
      <c r="P244" s="559"/>
      <c r="Q244" s="559"/>
      <c r="R244" s="559"/>
      <c r="S244" s="559"/>
      <c r="T244" s="559"/>
      <c r="U244" s="559"/>
      <c r="V244" s="559"/>
      <c r="W244" s="559"/>
      <c r="X244" s="559"/>
      <c r="Y244" s="559"/>
      <c r="Z244" s="559"/>
      <c r="AA244" s="559"/>
      <c r="AB244" s="559"/>
      <c r="AC244" s="559"/>
      <c r="AD244" s="559"/>
      <c r="AE244" s="559"/>
      <c r="AF244" s="559"/>
      <c r="AG244" s="559"/>
    </row>
    <row r="245" spans="1:33" ht="18" x14ac:dyDescent="0.35">
      <c r="A245" s="559"/>
      <c r="B245" s="559"/>
      <c r="C245" s="559"/>
      <c r="D245" s="559"/>
      <c r="E245" s="559"/>
      <c r="F245" s="559"/>
      <c r="G245" s="559"/>
      <c r="H245" s="559"/>
      <c r="I245" s="559"/>
      <c r="J245" s="559"/>
      <c r="K245" s="559"/>
      <c r="L245" s="559"/>
      <c r="M245" s="559"/>
      <c r="N245" s="559"/>
      <c r="O245" s="559"/>
      <c r="P245" s="559"/>
      <c r="Q245" s="559"/>
      <c r="R245" s="559"/>
      <c r="S245" s="559"/>
      <c r="T245" s="559"/>
      <c r="U245" s="559"/>
      <c r="V245" s="559"/>
      <c r="W245" s="559"/>
      <c r="X245" s="559"/>
      <c r="Y245" s="559"/>
      <c r="Z245" s="559"/>
      <c r="AA245" s="559"/>
      <c r="AB245" s="559"/>
      <c r="AC245" s="559"/>
      <c r="AD245" s="559"/>
      <c r="AE245" s="559"/>
      <c r="AF245" s="559"/>
      <c r="AG245" s="559"/>
    </row>
    <row r="246" spans="1:33" ht="18" x14ac:dyDescent="0.35">
      <c r="A246" s="559"/>
      <c r="B246" s="559"/>
      <c r="C246" s="559"/>
      <c r="D246" s="559"/>
      <c r="E246" s="559"/>
      <c r="F246" s="559"/>
      <c r="G246" s="559"/>
      <c r="H246" s="559"/>
      <c r="I246" s="559"/>
      <c r="J246" s="559"/>
      <c r="K246" s="559"/>
      <c r="L246" s="559"/>
      <c r="M246" s="559"/>
      <c r="N246" s="559"/>
      <c r="O246" s="559"/>
      <c r="P246" s="559"/>
      <c r="Q246" s="559"/>
      <c r="R246" s="559"/>
      <c r="S246" s="559"/>
      <c r="T246" s="559"/>
      <c r="U246" s="559"/>
      <c r="V246" s="559"/>
      <c r="W246" s="559"/>
      <c r="X246" s="559"/>
      <c r="Y246" s="559"/>
      <c r="Z246" s="559"/>
      <c r="AA246" s="559"/>
      <c r="AB246" s="559"/>
      <c r="AC246" s="559"/>
      <c r="AD246" s="559"/>
      <c r="AE246" s="559"/>
      <c r="AF246" s="559"/>
      <c r="AG246" s="559"/>
    </row>
    <row r="247" spans="1:33" ht="18" x14ac:dyDescent="0.35">
      <c r="A247" s="559"/>
      <c r="B247" s="559"/>
      <c r="C247" s="559"/>
      <c r="D247" s="559"/>
      <c r="E247" s="559"/>
      <c r="F247" s="559"/>
      <c r="G247" s="559"/>
      <c r="H247" s="559"/>
      <c r="I247" s="559"/>
      <c r="J247" s="559"/>
      <c r="K247" s="559"/>
      <c r="L247" s="559"/>
      <c r="M247" s="559"/>
      <c r="N247" s="559"/>
      <c r="O247" s="559"/>
      <c r="P247" s="559"/>
      <c r="Q247" s="559"/>
      <c r="R247" s="559"/>
      <c r="S247" s="559"/>
      <c r="T247" s="559"/>
      <c r="U247" s="559"/>
      <c r="V247" s="559"/>
      <c r="W247" s="559"/>
      <c r="X247" s="559"/>
      <c r="Y247" s="559"/>
      <c r="Z247" s="559"/>
      <c r="AA247" s="559"/>
      <c r="AB247" s="559"/>
      <c r="AC247" s="559"/>
      <c r="AD247" s="559"/>
      <c r="AE247" s="559"/>
      <c r="AF247" s="559"/>
      <c r="AG247" s="559"/>
    </row>
    <row r="248" spans="1:33" ht="18" x14ac:dyDescent="0.35">
      <c r="A248" s="559"/>
      <c r="B248" s="559"/>
      <c r="C248" s="559"/>
      <c r="D248" s="559"/>
      <c r="E248" s="559"/>
      <c r="F248" s="559"/>
      <c r="G248" s="559"/>
      <c r="H248" s="559"/>
      <c r="I248" s="559"/>
      <c r="J248" s="559"/>
      <c r="K248" s="559"/>
      <c r="L248" s="559"/>
      <c r="M248" s="559"/>
      <c r="N248" s="559"/>
      <c r="O248" s="559"/>
      <c r="P248" s="559"/>
      <c r="Q248" s="559"/>
      <c r="R248" s="559"/>
      <c r="S248" s="559"/>
      <c r="T248" s="559"/>
      <c r="U248" s="559"/>
      <c r="V248" s="559"/>
      <c r="W248" s="559"/>
      <c r="X248" s="559"/>
      <c r="Y248" s="559"/>
      <c r="Z248" s="559"/>
      <c r="AA248" s="559"/>
      <c r="AB248" s="559"/>
      <c r="AC248" s="559"/>
      <c r="AD248" s="559"/>
      <c r="AE248" s="559"/>
      <c r="AF248" s="559"/>
      <c r="AG248" s="559"/>
    </row>
    <row r="249" spans="1:33" ht="18" x14ac:dyDescent="0.35">
      <c r="A249" s="559"/>
      <c r="B249" s="559"/>
      <c r="C249" s="559"/>
      <c r="D249" s="559"/>
      <c r="E249" s="559"/>
      <c r="F249" s="559"/>
      <c r="G249" s="559"/>
      <c r="H249" s="559"/>
      <c r="I249" s="559"/>
      <c r="J249" s="559"/>
      <c r="K249" s="559"/>
      <c r="L249" s="559"/>
      <c r="M249" s="559"/>
      <c r="N249" s="559"/>
      <c r="O249" s="559"/>
      <c r="P249" s="559"/>
      <c r="Q249" s="559"/>
      <c r="R249" s="559"/>
      <c r="S249" s="559"/>
      <c r="T249" s="559"/>
      <c r="U249" s="559"/>
      <c r="V249" s="559"/>
      <c r="W249" s="559"/>
      <c r="X249" s="559"/>
      <c r="Y249" s="559"/>
      <c r="Z249" s="559"/>
      <c r="AA249" s="559"/>
      <c r="AB249" s="559"/>
      <c r="AC249" s="559"/>
      <c r="AD249" s="559"/>
      <c r="AE249" s="559"/>
      <c r="AF249" s="559"/>
      <c r="AG249" s="559"/>
    </row>
    <row r="250" spans="1:33" ht="18" x14ac:dyDescent="0.35">
      <c r="A250" s="559"/>
      <c r="B250" s="559"/>
      <c r="C250" s="559"/>
      <c r="D250" s="559"/>
      <c r="E250" s="559"/>
      <c r="F250" s="559"/>
      <c r="G250" s="559"/>
      <c r="H250" s="559"/>
      <c r="I250" s="559"/>
      <c r="J250" s="559"/>
      <c r="K250" s="559"/>
      <c r="L250" s="559"/>
      <c r="M250" s="559"/>
      <c r="N250" s="559"/>
      <c r="O250" s="559"/>
      <c r="P250" s="559"/>
      <c r="Q250" s="559"/>
      <c r="R250" s="559"/>
      <c r="S250" s="559"/>
      <c r="T250" s="559"/>
      <c r="U250" s="559"/>
      <c r="V250" s="559"/>
      <c r="W250" s="559"/>
      <c r="X250" s="559"/>
      <c r="Y250" s="559"/>
      <c r="Z250" s="559"/>
      <c r="AA250" s="559"/>
      <c r="AB250" s="559"/>
      <c r="AC250" s="559"/>
      <c r="AD250" s="559"/>
      <c r="AE250" s="559"/>
      <c r="AF250" s="559"/>
      <c r="AG250" s="559"/>
    </row>
    <row r="251" spans="1:33" ht="18" x14ac:dyDescent="0.35">
      <c r="A251" s="559"/>
      <c r="B251" s="559"/>
      <c r="C251" s="559"/>
      <c r="D251" s="559"/>
      <c r="E251" s="559"/>
      <c r="F251" s="559"/>
      <c r="G251" s="559"/>
      <c r="H251" s="559"/>
      <c r="I251" s="559"/>
      <c r="J251" s="559"/>
      <c r="K251" s="559"/>
      <c r="L251" s="559"/>
      <c r="M251" s="559"/>
      <c r="N251" s="559"/>
      <c r="O251" s="559"/>
      <c r="P251" s="559"/>
      <c r="Q251" s="559"/>
      <c r="R251" s="559"/>
      <c r="S251" s="559"/>
      <c r="T251" s="559"/>
      <c r="U251" s="559"/>
      <c r="V251" s="559"/>
      <c r="W251" s="559"/>
      <c r="X251" s="559"/>
      <c r="Y251" s="559"/>
      <c r="Z251" s="559"/>
      <c r="AA251" s="559"/>
      <c r="AB251" s="559"/>
      <c r="AC251" s="559"/>
      <c r="AD251" s="559"/>
      <c r="AE251" s="559"/>
      <c r="AF251" s="559"/>
      <c r="AG251" s="559"/>
    </row>
    <row r="252" spans="1:33" ht="18" x14ac:dyDescent="0.35">
      <c r="A252" s="559"/>
      <c r="B252" s="559"/>
      <c r="C252" s="559"/>
      <c r="D252" s="559"/>
      <c r="E252" s="559"/>
      <c r="F252" s="559"/>
      <c r="G252" s="559"/>
      <c r="H252" s="559"/>
      <c r="I252" s="559"/>
      <c r="J252" s="559"/>
      <c r="K252" s="559"/>
      <c r="L252" s="559"/>
      <c r="M252" s="559"/>
      <c r="N252" s="559"/>
      <c r="O252" s="559"/>
      <c r="P252" s="559"/>
      <c r="Q252" s="559"/>
      <c r="R252" s="559"/>
      <c r="S252" s="559"/>
      <c r="T252" s="559"/>
      <c r="U252" s="559"/>
      <c r="V252" s="559"/>
      <c r="W252" s="559"/>
      <c r="X252" s="559"/>
      <c r="Y252" s="559"/>
      <c r="Z252" s="559"/>
      <c r="AA252" s="559"/>
      <c r="AB252" s="559"/>
      <c r="AC252" s="559"/>
      <c r="AD252" s="559"/>
      <c r="AE252" s="559"/>
      <c r="AF252" s="559"/>
      <c r="AG252" s="559"/>
    </row>
    <row r="253" spans="1:33" ht="18" x14ac:dyDescent="0.35">
      <c r="A253" s="559"/>
      <c r="B253" s="559"/>
      <c r="C253" s="559"/>
      <c r="D253" s="559"/>
      <c r="E253" s="559"/>
      <c r="F253" s="559"/>
      <c r="G253" s="559"/>
      <c r="H253" s="559"/>
      <c r="I253" s="559"/>
      <c r="J253" s="559"/>
      <c r="K253" s="559"/>
      <c r="L253" s="559"/>
      <c r="M253" s="559"/>
      <c r="N253" s="559"/>
      <c r="O253" s="559"/>
      <c r="P253" s="559"/>
      <c r="Q253" s="559"/>
      <c r="R253" s="559"/>
      <c r="S253" s="559"/>
      <c r="T253" s="559"/>
      <c r="U253" s="559"/>
      <c r="V253" s="559"/>
      <c r="W253" s="559"/>
      <c r="X253" s="559"/>
      <c r="Y253" s="559"/>
      <c r="Z253" s="559"/>
      <c r="AA253" s="559"/>
      <c r="AB253" s="559"/>
      <c r="AC253" s="559"/>
      <c r="AD253" s="559"/>
      <c r="AE253" s="559"/>
      <c r="AF253" s="559"/>
      <c r="AG253" s="559"/>
    </row>
    <row r="254" spans="1:33" ht="18" x14ac:dyDescent="0.35">
      <c r="A254" s="559"/>
      <c r="B254" s="559"/>
      <c r="C254" s="559"/>
      <c r="D254" s="559"/>
      <c r="E254" s="559"/>
      <c r="F254" s="559"/>
      <c r="G254" s="559"/>
      <c r="H254" s="559"/>
      <c r="I254" s="559"/>
      <c r="J254" s="559"/>
      <c r="K254" s="559"/>
      <c r="L254" s="559"/>
      <c r="M254" s="559"/>
      <c r="N254" s="559"/>
      <c r="O254" s="559"/>
      <c r="P254" s="559"/>
      <c r="Q254" s="559"/>
      <c r="R254" s="559"/>
      <c r="S254" s="559"/>
      <c r="T254" s="559"/>
      <c r="U254" s="559"/>
      <c r="V254" s="559"/>
      <c r="W254" s="559"/>
      <c r="X254" s="559"/>
      <c r="Y254" s="559"/>
      <c r="Z254" s="559"/>
      <c r="AA254" s="559"/>
      <c r="AB254" s="559"/>
      <c r="AC254" s="559"/>
      <c r="AD254" s="559"/>
      <c r="AE254" s="559"/>
      <c r="AF254" s="559"/>
      <c r="AG254" s="559"/>
    </row>
    <row r="255" spans="1:33" ht="18" x14ac:dyDescent="0.35">
      <c r="A255" s="559"/>
      <c r="B255" s="559"/>
      <c r="C255" s="559"/>
      <c r="D255" s="559"/>
      <c r="E255" s="559"/>
      <c r="F255" s="559"/>
      <c r="G255" s="559"/>
      <c r="H255" s="559"/>
      <c r="I255" s="559"/>
      <c r="J255" s="559"/>
      <c r="K255" s="559"/>
      <c r="L255" s="559"/>
      <c r="M255" s="559"/>
      <c r="N255" s="559"/>
      <c r="O255" s="559"/>
      <c r="P255" s="559"/>
      <c r="Q255" s="559"/>
      <c r="R255" s="559"/>
      <c r="S255" s="559"/>
      <c r="T255" s="559"/>
      <c r="U255" s="559"/>
      <c r="V255" s="559"/>
      <c r="W255" s="559"/>
      <c r="X255" s="559"/>
      <c r="Y255" s="559"/>
      <c r="Z255" s="559"/>
      <c r="AA255" s="559"/>
      <c r="AB255" s="559"/>
      <c r="AC255" s="559"/>
      <c r="AD255" s="559"/>
      <c r="AE255" s="559"/>
      <c r="AF255" s="559"/>
      <c r="AG255" s="559"/>
    </row>
    <row r="256" spans="1:33" ht="18" x14ac:dyDescent="0.35">
      <c r="A256" s="559"/>
      <c r="B256" s="559"/>
      <c r="C256" s="559"/>
      <c r="D256" s="559"/>
      <c r="E256" s="559"/>
      <c r="F256" s="559"/>
      <c r="G256" s="559"/>
      <c r="H256" s="559"/>
      <c r="I256" s="559"/>
      <c r="J256" s="559"/>
      <c r="K256" s="559"/>
      <c r="L256" s="559"/>
      <c r="M256" s="559"/>
      <c r="N256" s="559"/>
      <c r="O256" s="559"/>
      <c r="P256" s="559"/>
      <c r="Q256" s="559"/>
      <c r="R256" s="559"/>
      <c r="S256" s="559"/>
      <c r="T256" s="559"/>
      <c r="U256" s="559"/>
      <c r="V256" s="559"/>
      <c r="W256" s="559"/>
      <c r="X256" s="559"/>
      <c r="Y256" s="559"/>
      <c r="Z256" s="559"/>
      <c r="AA256" s="559"/>
      <c r="AB256" s="559"/>
      <c r="AC256" s="559"/>
      <c r="AD256" s="559"/>
      <c r="AE256" s="559"/>
      <c r="AF256" s="559"/>
      <c r="AG256" s="559"/>
    </row>
    <row r="257" spans="1:33" ht="18" x14ac:dyDescent="0.35">
      <c r="A257" s="559"/>
      <c r="B257" s="559"/>
      <c r="C257" s="559"/>
      <c r="D257" s="559"/>
      <c r="E257" s="559"/>
      <c r="F257" s="559"/>
      <c r="G257" s="559"/>
      <c r="H257" s="559"/>
      <c r="I257" s="559"/>
      <c r="J257" s="559"/>
      <c r="K257" s="559"/>
      <c r="L257" s="559"/>
      <c r="M257" s="559"/>
      <c r="N257" s="559"/>
      <c r="O257" s="559"/>
      <c r="P257" s="559"/>
      <c r="Q257" s="559"/>
      <c r="R257" s="559"/>
      <c r="S257" s="559"/>
      <c r="T257" s="559"/>
      <c r="U257" s="559"/>
      <c r="V257" s="559"/>
      <c r="W257" s="559"/>
      <c r="X257" s="559"/>
      <c r="Y257" s="559"/>
      <c r="Z257" s="559"/>
      <c r="AA257" s="559"/>
      <c r="AB257" s="559"/>
      <c r="AC257" s="559"/>
      <c r="AD257" s="559"/>
      <c r="AE257" s="559"/>
      <c r="AF257" s="559"/>
      <c r="AG257" s="559"/>
    </row>
    <row r="258" spans="1:33" ht="18" x14ac:dyDescent="0.35">
      <c r="A258" s="559"/>
      <c r="B258" s="559"/>
      <c r="C258" s="559"/>
      <c r="D258" s="559"/>
      <c r="E258" s="559"/>
      <c r="F258" s="559"/>
      <c r="G258" s="559"/>
      <c r="H258" s="559"/>
      <c r="I258" s="559"/>
      <c r="J258" s="559"/>
      <c r="K258" s="559"/>
      <c r="L258" s="559"/>
      <c r="M258" s="559"/>
      <c r="N258" s="559"/>
      <c r="O258" s="559"/>
      <c r="P258" s="559"/>
      <c r="Q258" s="559"/>
      <c r="R258" s="559"/>
      <c r="S258" s="559"/>
      <c r="T258" s="559"/>
      <c r="U258" s="559"/>
      <c r="V258" s="559"/>
      <c r="W258" s="559"/>
      <c r="X258" s="559"/>
      <c r="Y258" s="559"/>
      <c r="Z258" s="559"/>
      <c r="AA258" s="559"/>
      <c r="AB258" s="559"/>
      <c r="AC258" s="559"/>
      <c r="AD258" s="559"/>
      <c r="AE258" s="559"/>
      <c r="AF258" s="559"/>
      <c r="AG258" s="559"/>
    </row>
    <row r="259" spans="1:33" ht="18" x14ac:dyDescent="0.35">
      <c r="A259" s="559"/>
      <c r="B259" s="559"/>
      <c r="C259" s="559"/>
      <c r="D259" s="559"/>
      <c r="E259" s="559"/>
      <c r="F259" s="559"/>
      <c r="G259" s="559"/>
      <c r="H259" s="559"/>
      <c r="I259" s="559"/>
      <c r="J259" s="559"/>
      <c r="K259" s="559"/>
      <c r="L259" s="559"/>
      <c r="M259" s="559"/>
      <c r="N259" s="559"/>
      <c r="O259" s="559"/>
      <c r="P259" s="559"/>
      <c r="Q259" s="559"/>
      <c r="R259" s="559"/>
      <c r="S259" s="559"/>
      <c r="T259" s="559"/>
      <c r="U259" s="559"/>
      <c r="V259" s="559"/>
      <c r="W259" s="559"/>
      <c r="X259" s="559"/>
      <c r="Y259" s="559"/>
      <c r="Z259" s="559"/>
      <c r="AA259" s="559"/>
      <c r="AB259" s="559"/>
      <c r="AC259" s="559"/>
      <c r="AD259" s="559"/>
      <c r="AE259" s="559"/>
      <c r="AF259" s="559"/>
      <c r="AG259" s="559"/>
    </row>
    <row r="260" spans="1:33" ht="18" x14ac:dyDescent="0.35">
      <c r="A260" s="559"/>
      <c r="B260" s="559"/>
      <c r="C260" s="559"/>
      <c r="D260" s="559"/>
      <c r="E260" s="559"/>
      <c r="F260" s="559"/>
      <c r="G260" s="559"/>
      <c r="H260" s="559"/>
      <c r="I260" s="559"/>
      <c r="J260" s="559"/>
      <c r="K260" s="559"/>
      <c r="L260" s="559"/>
      <c r="M260" s="559"/>
      <c r="N260" s="559"/>
      <c r="O260" s="559"/>
      <c r="P260" s="559"/>
      <c r="Q260" s="559"/>
      <c r="R260" s="559"/>
      <c r="S260" s="559"/>
      <c r="T260" s="559"/>
      <c r="U260" s="559"/>
      <c r="V260" s="559"/>
      <c r="W260" s="559"/>
      <c r="X260" s="559"/>
      <c r="Y260" s="559"/>
      <c r="Z260" s="559"/>
      <c r="AA260" s="559"/>
      <c r="AB260" s="559"/>
      <c r="AC260" s="559"/>
      <c r="AD260" s="559"/>
      <c r="AE260" s="559"/>
      <c r="AF260" s="559"/>
      <c r="AG260" s="559"/>
    </row>
    <row r="261" spans="1:33" ht="18" x14ac:dyDescent="0.35">
      <c r="A261" s="559"/>
      <c r="B261" s="559"/>
      <c r="C261" s="559"/>
      <c r="D261" s="559"/>
      <c r="E261" s="559"/>
      <c r="F261" s="559"/>
      <c r="G261" s="559"/>
      <c r="H261" s="559"/>
      <c r="I261" s="559"/>
      <c r="J261" s="559"/>
      <c r="K261" s="559"/>
      <c r="L261" s="559"/>
      <c r="M261" s="559"/>
      <c r="N261" s="559"/>
      <c r="O261" s="559"/>
      <c r="P261" s="559"/>
      <c r="Q261" s="559"/>
      <c r="R261" s="559"/>
      <c r="S261" s="559"/>
      <c r="T261" s="559"/>
      <c r="U261" s="559"/>
      <c r="V261" s="559"/>
      <c r="W261" s="559"/>
      <c r="X261" s="559"/>
      <c r="Y261" s="559"/>
      <c r="Z261" s="559"/>
      <c r="AA261" s="559"/>
      <c r="AB261" s="559"/>
      <c r="AC261" s="559"/>
      <c r="AD261" s="559"/>
      <c r="AE261" s="559"/>
      <c r="AF261" s="559"/>
      <c r="AG261" s="559"/>
    </row>
    <row r="262" spans="1:33" ht="18" x14ac:dyDescent="0.35">
      <c r="A262" s="559"/>
      <c r="B262" s="559"/>
      <c r="C262" s="559"/>
      <c r="D262" s="559"/>
      <c r="E262" s="559"/>
      <c r="F262" s="559"/>
      <c r="G262" s="559"/>
      <c r="H262" s="559"/>
      <c r="I262" s="559"/>
      <c r="J262" s="559"/>
      <c r="K262" s="559"/>
      <c r="L262" s="559"/>
      <c r="M262" s="559"/>
      <c r="N262" s="559"/>
      <c r="O262" s="559"/>
      <c r="P262" s="559"/>
      <c r="Q262" s="559"/>
      <c r="R262" s="559"/>
      <c r="S262" s="559"/>
      <c r="T262" s="559"/>
      <c r="U262" s="559"/>
      <c r="V262" s="559"/>
      <c r="W262" s="559"/>
      <c r="X262" s="559"/>
      <c r="Y262" s="559"/>
      <c r="Z262" s="559"/>
      <c r="AA262" s="559"/>
      <c r="AB262" s="559"/>
      <c r="AC262" s="559"/>
      <c r="AD262" s="559"/>
      <c r="AE262" s="559"/>
      <c r="AF262" s="559"/>
      <c r="AG262" s="559"/>
    </row>
    <row r="263" spans="1:33" ht="18" x14ac:dyDescent="0.35">
      <c r="A263" s="559"/>
      <c r="B263" s="559"/>
      <c r="C263" s="559"/>
      <c r="D263" s="559"/>
      <c r="E263" s="559"/>
      <c r="F263" s="559"/>
      <c r="G263" s="559"/>
      <c r="H263" s="559"/>
      <c r="I263" s="559"/>
      <c r="J263" s="559"/>
      <c r="K263" s="559"/>
      <c r="L263" s="559"/>
      <c r="M263" s="559"/>
      <c r="N263" s="559"/>
      <c r="O263" s="559"/>
      <c r="P263" s="559"/>
      <c r="Q263" s="559"/>
      <c r="R263" s="559"/>
      <c r="S263" s="559"/>
      <c r="T263" s="559"/>
      <c r="U263" s="559"/>
      <c r="V263" s="559"/>
      <c r="W263" s="559"/>
      <c r="X263" s="559"/>
      <c r="Y263" s="559"/>
      <c r="Z263" s="559"/>
      <c r="AA263" s="559"/>
      <c r="AB263" s="559"/>
      <c r="AC263" s="559"/>
      <c r="AD263" s="559"/>
      <c r="AE263" s="559"/>
      <c r="AF263" s="559"/>
      <c r="AG263" s="559"/>
    </row>
    <row r="264" spans="1:33" ht="18" x14ac:dyDescent="0.35">
      <c r="A264" s="559"/>
      <c r="B264" s="559"/>
      <c r="C264" s="559"/>
      <c r="D264" s="559"/>
      <c r="E264" s="559"/>
      <c r="F264" s="559"/>
      <c r="G264" s="559"/>
      <c r="H264" s="559"/>
      <c r="I264" s="559"/>
      <c r="J264" s="559"/>
      <c r="K264" s="559"/>
      <c r="L264" s="559"/>
      <c r="M264" s="559"/>
      <c r="N264" s="559"/>
      <c r="O264" s="559"/>
      <c r="P264" s="559"/>
      <c r="Q264" s="559"/>
      <c r="R264" s="559"/>
      <c r="S264" s="559"/>
      <c r="T264" s="559"/>
      <c r="U264" s="559"/>
      <c r="V264" s="559"/>
      <c r="W264" s="559"/>
      <c r="X264" s="559"/>
      <c r="Y264" s="559"/>
      <c r="Z264" s="559"/>
      <c r="AA264" s="559"/>
      <c r="AB264" s="559"/>
      <c r="AC264" s="559"/>
      <c r="AD264" s="559"/>
      <c r="AE264" s="559"/>
      <c r="AF264" s="559"/>
      <c r="AG264" s="559"/>
    </row>
    <row r="265" spans="1:33" ht="18" x14ac:dyDescent="0.35">
      <c r="A265" s="559"/>
      <c r="B265" s="559"/>
      <c r="C265" s="559"/>
      <c r="D265" s="559"/>
      <c r="E265" s="559"/>
      <c r="F265" s="559"/>
      <c r="G265" s="559"/>
      <c r="H265" s="559"/>
      <c r="I265" s="559"/>
      <c r="J265" s="559"/>
      <c r="K265" s="559"/>
      <c r="L265" s="559"/>
      <c r="M265" s="559"/>
      <c r="N265" s="559"/>
      <c r="O265" s="559"/>
      <c r="P265" s="559"/>
      <c r="Q265" s="559"/>
      <c r="R265" s="559"/>
      <c r="S265" s="559"/>
      <c r="T265" s="559"/>
      <c r="U265" s="559"/>
      <c r="V265" s="559"/>
      <c r="W265" s="559"/>
      <c r="X265" s="559"/>
      <c r="Y265" s="559"/>
      <c r="Z265" s="559"/>
      <c r="AA265" s="559"/>
      <c r="AB265" s="559"/>
      <c r="AC265" s="559"/>
      <c r="AD265" s="559"/>
      <c r="AE265" s="559"/>
      <c r="AF265" s="559"/>
      <c r="AG265" s="559"/>
    </row>
    <row r="266" spans="1:33" ht="18" x14ac:dyDescent="0.35">
      <c r="A266" s="559"/>
      <c r="B266" s="559"/>
      <c r="C266" s="559"/>
      <c r="D266" s="559"/>
      <c r="E266" s="559"/>
      <c r="F266" s="559"/>
      <c r="G266" s="559"/>
      <c r="H266" s="559"/>
      <c r="I266" s="559"/>
      <c r="J266" s="559"/>
      <c r="K266" s="559"/>
      <c r="L266" s="559"/>
      <c r="M266" s="559"/>
      <c r="N266" s="559"/>
      <c r="O266" s="559"/>
      <c r="P266" s="559"/>
      <c r="Q266" s="559"/>
      <c r="R266" s="559"/>
      <c r="S266" s="559"/>
      <c r="T266" s="559"/>
      <c r="U266" s="559"/>
      <c r="V266" s="559"/>
      <c r="W266" s="559"/>
      <c r="X266" s="559"/>
      <c r="Y266" s="559"/>
      <c r="Z266" s="559"/>
      <c r="AA266" s="559"/>
      <c r="AB266" s="559"/>
      <c r="AC266" s="559"/>
      <c r="AD266" s="559"/>
      <c r="AE266" s="559"/>
      <c r="AF266" s="559"/>
      <c r="AG266" s="559"/>
    </row>
    <row r="267" spans="1:33" ht="18" x14ac:dyDescent="0.35">
      <c r="A267" s="559"/>
      <c r="B267" s="559"/>
      <c r="C267" s="559"/>
      <c r="D267" s="559"/>
      <c r="E267" s="559"/>
      <c r="F267" s="559"/>
      <c r="G267" s="559"/>
      <c r="H267" s="559"/>
      <c r="I267" s="559"/>
      <c r="J267" s="559"/>
      <c r="K267" s="559"/>
      <c r="L267" s="559"/>
      <c r="M267" s="559"/>
      <c r="N267" s="559"/>
      <c r="O267" s="559"/>
      <c r="P267" s="559"/>
      <c r="Q267" s="559"/>
      <c r="R267" s="559"/>
      <c r="S267" s="559"/>
      <c r="T267" s="559"/>
      <c r="U267" s="559"/>
      <c r="V267" s="559"/>
      <c r="W267" s="559"/>
      <c r="X267" s="559"/>
      <c r="Y267" s="559"/>
      <c r="Z267" s="559"/>
      <c r="AA267" s="559"/>
      <c r="AB267" s="559"/>
      <c r="AC267" s="559"/>
      <c r="AD267" s="559"/>
      <c r="AE267" s="559"/>
      <c r="AF267" s="559"/>
      <c r="AG267" s="559"/>
    </row>
    <row r="268" spans="1:33" ht="18" x14ac:dyDescent="0.35">
      <c r="A268" s="559"/>
      <c r="B268" s="559"/>
      <c r="C268" s="559"/>
      <c r="D268" s="559"/>
      <c r="E268" s="559"/>
      <c r="F268" s="559"/>
      <c r="G268" s="559"/>
      <c r="H268" s="559"/>
      <c r="I268" s="559"/>
      <c r="J268" s="559"/>
      <c r="K268" s="559"/>
      <c r="L268" s="559"/>
      <c r="M268" s="559"/>
      <c r="N268" s="559"/>
      <c r="O268" s="559"/>
      <c r="P268" s="559"/>
      <c r="Q268" s="559"/>
      <c r="R268" s="559"/>
      <c r="S268" s="559"/>
      <c r="T268" s="559"/>
      <c r="U268" s="559"/>
      <c r="V268" s="559"/>
      <c r="W268" s="559"/>
      <c r="X268" s="559"/>
      <c r="Y268" s="559"/>
      <c r="Z268" s="559"/>
      <c r="AA268" s="559"/>
      <c r="AB268" s="559"/>
      <c r="AC268" s="559"/>
      <c r="AD268" s="559"/>
      <c r="AE268" s="559"/>
      <c r="AF268" s="559"/>
      <c r="AG268" s="559"/>
    </row>
    <row r="269" spans="1:33" ht="18" x14ac:dyDescent="0.35">
      <c r="A269" s="559"/>
      <c r="B269" s="559"/>
      <c r="C269" s="559"/>
      <c r="D269" s="559"/>
      <c r="E269" s="559"/>
      <c r="F269" s="559"/>
      <c r="G269" s="559"/>
      <c r="H269" s="559"/>
      <c r="I269" s="559"/>
      <c r="J269" s="559"/>
      <c r="K269" s="559"/>
      <c r="L269" s="559"/>
      <c r="M269" s="559"/>
      <c r="N269" s="559"/>
      <c r="O269" s="559"/>
      <c r="P269" s="559"/>
      <c r="Q269" s="559"/>
      <c r="R269" s="559"/>
      <c r="S269" s="559"/>
      <c r="T269" s="559"/>
      <c r="U269" s="559"/>
      <c r="V269" s="559"/>
      <c r="W269" s="559"/>
      <c r="X269" s="559"/>
      <c r="Y269" s="559"/>
      <c r="Z269" s="559"/>
      <c r="AA269" s="559"/>
      <c r="AB269" s="559"/>
      <c r="AC269" s="559"/>
      <c r="AD269" s="559"/>
      <c r="AE269" s="559"/>
      <c r="AF269" s="559"/>
      <c r="AG269" s="559"/>
    </row>
    <row r="270" spans="1:33" ht="18" x14ac:dyDescent="0.35">
      <c r="A270" s="559"/>
      <c r="B270" s="559"/>
      <c r="C270" s="559"/>
      <c r="D270" s="559"/>
      <c r="E270" s="559"/>
      <c r="F270" s="559"/>
      <c r="G270" s="559"/>
      <c r="H270" s="559"/>
      <c r="I270" s="559"/>
      <c r="J270" s="559"/>
      <c r="K270" s="559"/>
      <c r="L270" s="559"/>
      <c r="M270" s="559"/>
      <c r="N270" s="559"/>
      <c r="O270" s="559"/>
      <c r="P270" s="559"/>
      <c r="Q270" s="559"/>
      <c r="R270" s="559"/>
      <c r="S270" s="559"/>
      <c r="T270" s="559"/>
      <c r="U270" s="559"/>
      <c r="V270" s="559"/>
      <c r="W270" s="559"/>
      <c r="X270" s="559"/>
      <c r="Y270" s="559"/>
      <c r="Z270" s="559"/>
      <c r="AA270" s="559"/>
      <c r="AB270" s="559"/>
      <c r="AC270" s="559"/>
      <c r="AD270" s="559"/>
      <c r="AE270" s="559"/>
      <c r="AF270" s="559"/>
      <c r="AG270" s="559"/>
    </row>
    <row r="271" spans="1:33" ht="18" x14ac:dyDescent="0.35">
      <c r="A271" s="559"/>
      <c r="B271" s="559"/>
      <c r="C271" s="559"/>
      <c r="D271" s="559"/>
      <c r="E271" s="559"/>
      <c r="F271" s="559"/>
      <c r="G271" s="559"/>
      <c r="H271" s="559"/>
      <c r="I271" s="559"/>
      <c r="J271" s="559"/>
      <c r="K271" s="559"/>
      <c r="L271" s="559"/>
      <c r="M271" s="559"/>
      <c r="N271" s="559"/>
      <c r="O271" s="559"/>
      <c r="P271" s="559"/>
      <c r="Q271" s="559"/>
      <c r="R271" s="559"/>
      <c r="S271" s="559"/>
      <c r="T271" s="559"/>
      <c r="U271" s="559"/>
      <c r="V271" s="559"/>
      <c r="W271" s="559"/>
      <c r="X271" s="559"/>
      <c r="Y271" s="559"/>
      <c r="Z271" s="559"/>
      <c r="AA271" s="559"/>
      <c r="AB271" s="559"/>
      <c r="AC271" s="559"/>
      <c r="AD271" s="559"/>
      <c r="AE271" s="559"/>
      <c r="AF271" s="559"/>
      <c r="AG271" s="559"/>
    </row>
    <row r="272" spans="1:33" ht="18" x14ac:dyDescent="0.35">
      <c r="A272" s="559"/>
      <c r="B272" s="559"/>
      <c r="C272" s="559"/>
      <c r="D272" s="559"/>
      <c r="E272" s="559"/>
      <c r="F272" s="559"/>
      <c r="G272" s="559"/>
      <c r="H272" s="559"/>
      <c r="I272" s="559"/>
      <c r="J272" s="559"/>
      <c r="K272" s="559"/>
      <c r="L272" s="559"/>
      <c r="M272" s="559"/>
      <c r="N272" s="559"/>
      <c r="O272" s="559"/>
      <c r="P272" s="559"/>
      <c r="Q272" s="559"/>
      <c r="R272" s="559"/>
      <c r="S272" s="559"/>
      <c r="T272" s="559"/>
      <c r="U272" s="559"/>
      <c r="V272" s="559"/>
      <c r="W272" s="559"/>
      <c r="X272" s="559"/>
      <c r="Y272" s="559"/>
      <c r="Z272" s="559"/>
      <c r="AA272" s="559"/>
      <c r="AB272" s="559"/>
      <c r="AC272" s="559"/>
      <c r="AD272" s="559"/>
      <c r="AE272" s="559"/>
      <c r="AF272" s="559"/>
      <c r="AG272" s="559"/>
    </row>
    <row r="273" spans="1:33" ht="18" customHeight="1" x14ac:dyDescent="0.35">
      <c r="A273" s="559"/>
      <c r="B273" s="559"/>
      <c r="C273" s="559"/>
      <c r="D273" s="559"/>
      <c r="E273" s="559"/>
      <c r="F273" s="559"/>
      <c r="G273" s="559"/>
      <c r="H273" s="559"/>
      <c r="I273" s="559"/>
      <c r="J273" s="559"/>
      <c r="K273" s="559"/>
      <c r="L273" s="559"/>
      <c r="M273" s="559"/>
      <c r="N273" s="559"/>
      <c r="O273" s="559"/>
      <c r="P273" s="559"/>
      <c r="Q273" s="559"/>
      <c r="R273" s="559"/>
      <c r="S273" s="559"/>
      <c r="T273" s="559"/>
      <c r="U273" s="559"/>
      <c r="V273" s="559"/>
      <c r="W273" s="559"/>
      <c r="X273" s="559"/>
      <c r="Y273" s="559"/>
      <c r="Z273" s="559"/>
      <c r="AA273" s="559"/>
      <c r="AB273" s="559"/>
      <c r="AC273" s="559"/>
      <c r="AD273" s="559"/>
      <c r="AE273" s="559"/>
      <c r="AF273" s="559"/>
      <c r="AG273" s="559"/>
    </row>
    <row r="274" spans="1:33" ht="18" customHeight="1" x14ac:dyDescent="0.35">
      <c r="A274" s="559"/>
      <c r="B274" s="559"/>
      <c r="C274" s="559"/>
      <c r="D274" s="559"/>
      <c r="E274" s="559"/>
      <c r="F274" s="559"/>
      <c r="G274" s="559"/>
      <c r="H274" s="559"/>
      <c r="I274" s="559"/>
      <c r="J274" s="559"/>
      <c r="K274" s="559"/>
      <c r="L274" s="559"/>
      <c r="M274" s="559"/>
      <c r="N274" s="559"/>
      <c r="O274" s="559"/>
      <c r="P274" s="559"/>
      <c r="Q274" s="559"/>
      <c r="R274" s="559"/>
      <c r="S274" s="559"/>
      <c r="T274" s="559"/>
      <c r="U274" s="559"/>
      <c r="V274" s="559"/>
      <c r="W274" s="559"/>
      <c r="X274" s="559"/>
      <c r="Y274" s="559"/>
      <c r="Z274" s="559"/>
      <c r="AA274" s="559"/>
      <c r="AB274" s="559"/>
      <c r="AC274" s="559"/>
      <c r="AD274" s="559"/>
      <c r="AE274" s="559"/>
      <c r="AF274" s="559"/>
      <c r="AG274" s="559"/>
    </row>
    <row r="275" spans="1:33" ht="18" customHeight="1" x14ac:dyDescent="0.35">
      <c r="A275" s="559"/>
      <c r="B275" s="559"/>
      <c r="C275" s="559"/>
      <c r="D275" s="559"/>
      <c r="E275" s="559"/>
      <c r="F275" s="559"/>
      <c r="G275" s="559"/>
      <c r="H275" s="559"/>
      <c r="I275" s="559"/>
      <c r="J275" s="559"/>
      <c r="K275" s="559"/>
      <c r="L275" s="559"/>
      <c r="M275" s="559"/>
      <c r="N275" s="559"/>
      <c r="O275" s="559"/>
      <c r="P275" s="559"/>
      <c r="Q275" s="559"/>
      <c r="R275" s="559"/>
      <c r="S275" s="559"/>
      <c r="T275" s="559"/>
      <c r="U275" s="559"/>
      <c r="V275" s="559"/>
      <c r="W275" s="559"/>
      <c r="X275" s="559"/>
      <c r="Y275" s="559"/>
      <c r="Z275" s="559"/>
      <c r="AA275" s="559"/>
      <c r="AB275" s="559"/>
      <c r="AC275" s="559"/>
      <c r="AD275" s="559"/>
      <c r="AE275" s="559"/>
      <c r="AF275" s="559"/>
      <c r="AG275" s="559"/>
    </row>
    <row r="276" spans="1:33" ht="18" customHeight="1" x14ac:dyDescent="0.35">
      <c r="A276" s="559"/>
      <c r="B276" s="559"/>
      <c r="C276" s="559"/>
      <c r="D276" s="559"/>
      <c r="E276" s="559"/>
      <c r="F276" s="559"/>
      <c r="G276" s="559"/>
      <c r="H276" s="559"/>
      <c r="I276" s="559"/>
      <c r="J276" s="559"/>
      <c r="K276" s="559"/>
      <c r="L276" s="559"/>
      <c r="M276" s="559"/>
      <c r="N276" s="559"/>
      <c r="O276" s="559"/>
      <c r="P276" s="559"/>
      <c r="Q276" s="559"/>
      <c r="R276" s="559"/>
      <c r="S276" s="559"/>
      <c r="T276" s="559"/>
      <c r="U276" s="559"/>
      <c r="V276" s="559"/>
      <c r="W276" s="559"/>
      <c r="X276" s="559"/>
      <c r="Y276" s="559"/>
      <c r="Z276" s="559"/>
      <c r="AA276" s="559"/>
      <c r="AB276" s="559"/>
      <c r="AC276" s="559"/>
      <c r="AD276" s="559"/>
      <c r="AE276" s="559"/>
      <c r="AF276" s="559"/>
      <c r="AG276" s="559"/>
    </row>
    <row r="277" spans="1:33" ht="18" customHeight="1" x14ac:dyDescent="0.35">
      <c r="A277" s="559"/>
      <c r="B277" s="559"/>
      <c r="C277" s="559"/>
      <c r="D277" s="559"/>
      <c r="E277" s="559"/>
      <c r="F277" s="559"/>
      <c r="G277" s="559"/>
      <c r="H277" s="559"/>
      <c r="I277" s="559"/>
      <c r="J277" s="559"/>
      <c r="K277" s="559"/>
      <c r="L277" s="559"/>
      <c r="M277" s="559"/>
      <c r="N277" s="559"/>
      <c r="O277" s="559"/>
      <c r="P277" s="559"/>
      <c r="Q277" s="559"/>
      <c r="R277" s="559"/>
      <c r="S277" s="559"/>
      <c r="T277" s="559"/>
      <c r="U277" s="559"/>
      <c r="V277" s="559"/>
      <c r="W277" s="559"/>
      <c r="X277" s="559"/>
      <c r="Y277" s="559"/>
      <c r="Z277" s="559"/>
      <c r="AA277" s="559"/>
      <c r="AB277" s="559"/>
      <c r="AC277" s="559"/>
      <c r="AD277" s="559"/>
      <c r="AE277" s="559"/>
      <c r="AF277" s="559"/>
      <c r="AG277" s="559"/>
    </row>
    <row r="278" spans="1:33" ht="18" customHeight="1" x14ac:dyDescent="0.35">
      <c r="A278" s="559"/>
      <c r="B278" s="559"/>
      <c r="C278" s="559"/>
      <c r="D278" s="559"/>
      <c r="E278" s="559"/>
      <c r="F278" s="559"/>
      <c r="G278" s="559"/>
      <c r="H278" s="559"/>
      <c r="I278" s="559"/>
      <c r="J278" s="559"/>
      <c r="K278" s="559"/>
      <c r="L278" s="559"/>
      <c r="M278" s="559"/>
      <c r="N278" s="559"/>
      <c r="O278" s="559"/>
      <c r="P278" s="559"/>
      <c r="Q278" s="559"/>
      <c r="R278" s="559"/>
      <c r="S278" s="559"/>
      <c r="T278" s="559"/>
      <c r="U278" s="559"/>
      <c r="V278" s="559"/>
      <c r="W278" s="559"/>
      <c r="X278" s="559"/>
      <c r="Y278" s="559"/>
      <c r="Z278" s="559"/>
      <c r="AA278" s="559"/>
      <c r="AB278" s="559"/>
      <c r="AC278" s="559"/>
      <c r="AD278" s="559"/>
      <c r="AE278" s="559"/>
      <c r="AF278" s="559"/>
      <c r="AG278" s="559"/>
    </row>
    <row r="279" spans="1:33" ht="18" customHeight="1" x14ac:dyDescent="0.35">
      <c r="A279" s="559"/>
      <c r="B279" s="559"/>
      <c r="C279" s="559"/>
      <c r="D279" s="559"/>
      <c r="E279" s="559"/>
      <c r="F279" s="559"/>
      <c r="G279" s="559"/>
      <c r="H279" s="559"/>
      <c r="I279" s="559"/>
      <c r="J279" s="559"/>
      <c r="K279" s="559"/>
      <c r="L279" s="559"/>
      <c r="M279" s="559"/>
      <c r="N279" s="559"/>
      <c r="O279" s="559"/>
      <c r="P279" s="559"/>
      <c r="Q279" s="559"/>
      <c r="R279" s="559"/>
      <c r="S279" s="559"/>
      <c r="T279" s="559"/>
      <c r="U279" s="559"/>
      <c r="V279" s="559"/>
      <c r="W279" s="559"/>
      <c r="X279" s="559"/>
      <c r="Y279" s="559"/>
      <c r="Z279" s="559"/>
      <c r="AA279" s="559"/>
      <c r="AB279" s="559"/>
      <c r="AC279" s="559"/>
      <c r="AD279" s="559"/>
      <c r="AE279" s="559"/>
      <c r="AF279" s="559"/>
      <c r="AG279" s="559"/>
    </row>
    <row r="280" spans="1:33" ht="18" customHeight="1" x14ac:dyDescent="0.35">
      <c r="A280" s="559"/>
      <c r="B280" s="559"/>
      <c r="C280" s="559"/>
      <c r="D280" s="559"/>
      <c r="E280" s="559"/>
      <c r="F280" s="559"/>
      <c r="G280" s="559"/>
      <c r="H280" s="559"/>
      <c r="I280" s="559"/>
      <c r="J280" s="559"/>
      <c r="K280" s="559"/>
      <c r="L280" s="559"/>
      <c r="M280" s="559"/>
      <c r="N280" s="559"/>
      <c r="O280" s="559"/>
      <c r="P280" s="559"/>
      <c r="Q280" s="559"/>
      <c r="R280" s="559"/>
      <c r="S280" s="559"/>
      <c r="T280" s="559"/>
      <c r="U280" s="559"/>
      <c r="V280" s="559"/>
      <c r="W280" s="559"/>
      <c r="X280" s="559"/>
      <c r="Y280" s="559"/>
      <c r="Z280" s="559"/>
      <c r="AA280" s="559"/>
      <c r="AB280" s="559"/>
      <c r="AC280" s="559"/>
      <c r="AD280" s="559"/>
      <c r="AE280" s="559"/>
      <c r="AF280" s="559"/>
      <c r="AG280" s="559"/>
    </row>
    <row r="281" spans="1:33" ht="18" customHeight="1" x14ac:dyDescent="0.35">
      <c r="A281" s="559"/>
      <c r="B281" s="559"/>
      <c r="C281" s="559"/>
      <c r="D281" s="559"/>
      <c r="E281" s="559"/>
      <c r="F281" s="559"/>
      <c r="G281" s="559"/>
      <c r="H281" s="559"/>
      <c r="I281" s="559"/>
      <c r="J281" s="559"/>
      <c r="K281" s="559"/>
      <c r="L281" s="559"/>
      <c r="M281" s="559"/>
      <c r="N281" s="559"/>
      <c r="O281" s="559"/>
      <c r="P281" s="559"/>
      <c r="Q281" s="559"/>
      <c r="R281" s="559"/>
      <c r="S281" s="559"/>
      <c r="T281" s="559"/>
      <c r="U281" s="559"/>
      <c r="V281" s="559"/>
      <c r="W281" s="559"/>
      <c r="X281" s="559"/>
      <c r="Y281" s="559"/>
      <c r="Z281" s="559"/>
      <c r="AA281" s="559"/>
      <c r="AB281" s="559"/>
      <c r="AC281" s="559"/>
      <c r="AD281" s="559"/>
      <c r="AE281" s="559"/>
      <c r="AF281" s="559"/>
      <c r="AG281" s="559"/>
    </row>
    <row r="282" spans="1:33" ht="18" customHeight="1" x14ac:dyDescent="0.35">
      <c r="A282" s="559"/>
      <c r="B282" s="559"/>
      <c r="C282" s="559"/>
      <c r="D282" s="559"/>
      <c r="E282" s="559"/>
      <c r="F282" s="559"/>
      <c r="G282" s="559"/>
      <c r="H282" s="559"/>
      <c r="I282" s="559"/>
      <c r="J282" s="559"/>
      <c r="K282" s="559"/>
      <c r="L282" s="559"/>
      <c r="M282" s="559"/>
      <c r="N282" s="559"/>
      <c r="O282" s="559"/>
      <c r="P282" s="559"/>
      <c r="Q282" s="559"/>
      <c r="R282" s="559"/>
      <c r="S282" s="559"/>
      <c r="T282" s="559"/>
      <c r="U282" s="559"/>
      <c r="V282" s="559"/>
      <c r="W282" s="559"/>
      <c r="X282" s="559"/>
      <c r="Y282" s="559"/>
      <c r="Z282" s="559"/>
      <c r="AA282" s="559"/>
      <c r="AB282" s="559"/>
      <c r="AC282" s="559"/>
      <c r="AD282" s="559"/>
      <c r="AE282" s="559"/>
      <c r="AF282" s="559"/>
      <c r="AG282" s="559"/>
    </row>
    <row r="283" spans="1:33" ht="18" customHeight="1" x14ac:dyDescent="0.35">
      <c r="A283" s="559"/>
      <c r="B283" s="559"/>
      <c r="C283" s="559"/>
      <c r="D283" s="559"/>
      <c r="E283" s="559"/>
      <c r="F283" s="559"/>
      <c r="G283" s="559"/>
      <c r="H283" s="559"/>
      <c r="I283" s="559"/>
      <c r="J283" s="559"/>
      <c r="K283" s="559"/>
      <c r="L283" s="559"/>
      <c r="M283" s="559"/>
      <c r="N283" s="559"/>
      <c r="O283" s="559"/>
      <c r="P283" s="559"/>
      <c r="Q283" s="559"/>
      <c r="R283" s="559"/>
      <c r="S283" s="559"/>
      <c r="T283" s="559"/>
      <c r="U283" s="559"/>
      <c r="V283" s="559"/>
      <c r="W283" s="559"/>
      <c r="X283" s="559"/>
      <c r="Y283" s="559"/>
      <c r="Z283" s="559"/>
      <c r="AA283" s="559"/>
      <c r="AB283" s="559"/>
      <c r="AC283" s="559"/>
      <c r="AD283" s="559"/>
      <c r="AE283" s="559"/>
      <c r="AF283" s="559"/>
      <c r="AG283" s="559"/>
    </row>
    <row r="284" spans="1:33" ht="18" customHeight="1" x14ac:dyDescent="0.35">
      <c r="A284" s="559"/>
      <c r="B284" s="559"/>
      <c r="C284" s="559"/>
      <c r="D284" s="559"/>
      <c r="E284" s="559"/>
      <c r="F284" s="559"/>
      <c r="G284" s="559"/>
      <c r="H284" s="559"/>
      <c r="I284" s="559"/>
      <c r="J284" s="559"/>
      <c r="K284" s="559"/>
      <c r="L284" s="559"/>
      <c r="M284" s="559"/>
      <c r="N284" s="559"/>
      <c r="O284" s="559"/>
      <c r="P284" s="559"/>
      <c r="Q284" s="559"/>
      <c r="R284" s="559"/>
      <c r="S284" s="559"/>
      <c r="T284" s="559"/>
      <c r="U284" s="559"/>
      <c r="V284" s="559"/>
      <c r="W284" s="559"/>
      <c r="X284" s="559"/>
      <c r="Y284" s="559"/>
      <c r="Z284" s="559"/>
      <c r="AA284" s="559"/>
      <c r="AB284" s="559"/>
      <c r="AC284" s="559"/>
      <c r="AD284" s="559"/>
      <c r="AE284" s="559"/>
      <c r="AF284" s="559"/>
      <c r="AG284" s="559"/>
    </row>
    <row r="285" spans="1:33" ht="18" customHeight="1" x14ac:dyDescent="0.35">
      <c r="A285" s="559"/>
      <c r="B285" s="559"/>
      <c r="C285" s="559"/>
      <c r="D285" s="559"/>
      <c r="E285" s="559"/>
      <c r="F285" s="559"/>
      <c r="G285" s="559"/>
      <c r="H285" s="559"/>
      <c r="I285" s="559"/>
      <c r="J285" s="559"/>
      <c r="K285" s="559"/>
      <c r="L285" s="559"/>
      <c r="M285" s="559"/>
      <c r="N285" s="559"/>
      <c r="O285" s="559"/>
      <c r="P285" s="559"/>
      <c r="Q285" s="559"/>
      <c r="R285" s="559"/>
      <c r="S285" s="559"/>
      <c r="T285" s="559"/>
      <c r="U285" s="559"/>
      <c r="V285" s="559"/>
      <c r="W285" s="559"/>
      <c r="X285" s="559"/>
      <c r="Y285" s="559"/>
      <c r="Z285" s="559"/>
      <c r="AA285" s="559"/>
      <c r="AB285" s="559"/>
      <c r="AC285" s="559"/>
      <c r="AD285" s="559"/>
      <c r="AE285" s="559"/>
      <c r="AF285" s="559"/>
      <c r="AG285" s="559"/>
    </row>
    <row r="286" spans="1:33" ht="18" customHeight="1" x14ac:dyDescent="0.35">
      <c r="A286" s="559"/>
      <c r="B286" s="559"/>
      <c r="C286" s="559"/>
      <c r="D286" s="559"/>
      <c r="E286" s="559"/>
      <c r="F286" s="559"/>
      <c r="G286" s="559"/>
      <c r="H286" s="559"/>
      <c r="I286" s="559"/>
      <c r="J286" s="559"/>
      <c r="K286" s="559"/>
      <c r="L286" s="559"/>
      <c r="M286" s="559"/>
      <c r="N286" s="559"/>
      <c r="O286" s="559"/>
      <c r="P286" s="559"/>
      <c r="Q286" s="559"/>
      <c r="R286" s="559"/>
      <c r="S286" s="559"/>
      <c r="T286" s="559"/>
      <c r="U286" s="559"/>
      <c r="V286" s="559"/>
      <c r="W286" s="559"/>
      <c r="X286" s="559"/>
      <c r="Y286" s="559"/>
      <c r="Z286" s="559"/>
      <c r="AA286" s="559"/>
      <c r="AB286" s="559"/>
      <c r="AC286" s="559"/>
      <c r="AD286" s="559"/>
      <c r="AE286" s="559"/>
      <c r="AF286" s="559"/>
      <c r="AG286" s="559"/>
    </row>
    <row r="287" spans="1:33" ht="18" customHeight="1" x14ac:dyDescent="0.35">
      <c r="A287" s="559"/>
      <c r="B287" s="559"/>
      <c r="C287" s="559"/>
      <c r="D287" s="559"/>
      <c r="E287" s="559"/>
      <c r="F287" s="559"/>
      <c r="G287" s="559"/>
      <c r="H287" s="559"/>
      <c r="I287" s="559"/>
      <c r="J287" s="559"/>
      <c r="K287" s="559"/>
      <c r="L287" s="559"/>
      <c r="M287" s="559"/>
      <c r="N287" s="559"/>
      <c r="O287" s="559"/>
      <c r="P287" s="559"/>
      <c r="Q287" s="559"/>
      <c r="R287" s="559"/>
      <c r="S287" s="559"/>
      <c r="T287" s="559"/>
      <c r="U287" s="559"/>
      <c r="V287" s="559"/>
      <c r="W287" s="559"/>
      <c r="X287" s="559"/>
      <c r="Y287" s="559"/>
      <c r="Z287" s="559"/>
      <c r="AA287" s="559"/>
      <c r="AB287" s="559"/>
      <c r="AC287" s="559"/>
      <c r="AD287" s="559"/>
      <c r="AE287" s="559"/>
      <c r="AF287" s="559"/>
      <c r="AG287" s="559"/>
    </row>
    <row r="288" spans="1:33" ht="18" customHeight="1" x14ac:dyDescent="0.35">
      <c r="A288" s="559"/>
      <c r="B288" s="559"/>
      <c r="C288" s="559"/>
      <c r="D288" s="559"/>
      <c r="E288" s="559"/>
      <c r="F288" s="559"/>
      <c r="G288" s="559"/>
      <c r="H288" s="559"/>
      <c r="I288" s="559"/>
      <c r="J288" s="559"/>
      <c r="K288" s="559"/>
      <c r="L288" s="559"/>
      <c r="M288" s="559"/>
      <c r="N288" s="559"/>
      <c r="O288" s="559"/>
      <c r="P288" s="559"/>
      <c r="Q288" s="559"/>
      <c r="R288" s="559"/>
      <c r="S288" s="559"/>
      <c r="T288" s="559"/>
      <c r="U288" s="559"/>
      <c r="V288" s="559"/>
      <c r="W288" s="559"/>
      <c r="X288" s="559"/>
      <c r="Y288" s="559"/>
      <c r="Z288" s="559"/>
      <c r="AA288" s="559"/>
      <c r="AB288" s="559"/>
      <c r="AC288" s="559"/>
      <c r="AD288" s="559"/>
      <c r="AE288" s="559"/>
      <c r="AF288" s="559"/>
      <c r="AG288" s="559"/>
    </row>
    <row r="289" spans="1:33" ht="18" customHeight="1" x14ac:dyDescent="0.35">
      <c r="A289" s="559"/>
      <c r="B289" s="559"/>
      <c r="C289" s="559"/>
      <c r="D289" s="559"/>
      <c r="E289" s="559"/>
      <c r="F289" s="559"/>
      <c r="G289" s="559"/>
      <c r="H289" s="559"/>
      <c r="I289" s="559"/>
      <c r="J289" s="559"/>
      <c r="K289" s="559"/>
      <c r="L289" s="559"/>
      <c r="M289" s="559"/>
      <c r="N289" s="559"/>
      <c r="O289" s="559"/>
      <c r="P289" s="559"/>
      <c r="Q289" s="559"/>
      <c r="R289" s="559"/>
      <c r="S289" s="559"/>
      <c r="T289" s="559"/>
      <c r="U289" s="559"/>
      <c r="V289" s="559"/>
      <c r="W289" s="559"/>
      <c r="X289" s="559"/>
      <c r="Y289" s="559"/>
      <c r="Z289" s="559"/>
      <c r="AA289" s="559"/>
      <c r="AB289" s="559"/>
      <c r="AC289" s="559"/>
      <c r="AD289" s="559"/>
      <c r="AE289" s="559"/>
      <c r="AF289" s="559"/>
      <c r="AG289" s="559"/>
    </row>
    <row r="290" spans="1:33" ht="18" customHeight="1" x14ac:dyDescent="0.35">
      <c r="A290" s="559"/>
      <c r="B290" s="559"/>
      <c r="C290" s="559"/>
      <c r="D290" s="559"/>
      <c r="E290" s="559"/>
      <c r="F290" s="559"/>
      <c r="G290" s="559"/>
      <c r="H290" s="559"/>
      <c r="I290" s="559"/>
      <c r="J290" s="559"/>
      <c r="K290" s="559"/>
      <c r="L290" s="559"/>
      <c r="M290" s="559"/>
      <c r="N290" s="559"/>
      <c r="O290" s="559"/>
      <c r="P290" s="559"/>
      <c r="Q290" s="559"/>
      <c r="R290" s="559"/>
      <c r="S290" s="559"/>
      <c r="T290" s="559"/>
      <c r="U290" s="559"/>
      <c r="V290" s="559"/>
      <c r="W290" s="559"/>
      <c r="X290" s="559"/>
      <c r="Y290" s="559"/>
      <c r="Z290" s="559"/>
      <c r="AA290" s="559"/>
      <c r="AB290" s="559"/>
      <c r="AC290" s="559"/>
      <c r="AD290" s="559"/>
      <c r="AE290" s="559"/>
      <c r="AF290" s="559"/>
      <c r="AG290" s="559"/>
    </row>
    <row r="291" spans="1:33" ht="18" customHeight="1" x14ac:dyDescent="0.35">
      <c r="A291" s="559"/>
      <c r="B291" s="559"/>
      <c r="C291" s="559"/>
      <c r="D291" s="559"/>
      <c r="E291" s="559"/>
      <c r="F291" s="559"/>
      <c r="G291" s="559"/>
      <c r="H291" s="559"/>
      <c r="I291" s="559"/>
      <c r="J291" s="559"/>
      <c r="K291" s="559"/>
      <c r="L291" s="559"/>
      <c r="M291" s="559"/>
      <c r="N291" s="559"/>
      <c r="O291" s="559"/>
      <c r="P291" s="559"/>
      <c r="Q291" s="559"/>
      <c r="R291" s="559"/>
      <c r="S291" s="559"/>
      <c r="T291" s="559"/>
      <c r="U291" s="559"/>
      <c r="V291" s="559"/>
      <c r="W291" s="559"/>
      <c r="X291" s="559"/>
      <c r="Y291" s="559"/>
      <c r="Z291" s="559"/>
      <c r="AA291" s="559"/>
      <c r="AB291" s="559"/>
      <c r="AC291" s="559"/>
      <c r="AD291" s="559"/>
      <c r="AE291" s="559"/>
      <c r="AF291" s="559"/>
      <c r="AG291" s="559"/>
    </row>
    <row r="292" spans="1:33" ht="18" customHeight="1" x14ac:dyDescent="0.35">
      <c r="A292" s="559"/>
      <c r="B292" s="559"/>
      <c r="C292" s="559"/>
      <c r="D292" s="559"/>
      <c r="E292" s="559"/>
      <c r="F292" s="559"/>
      <c r="G292" s="559"/>
      <c r="H292" s="559"/>
      <c r="I292" s="559"/>
      <c r="J292" s="559"/>
      <c r="K292" s="559"/>
      <c r="L292" s="559"/>
      <c r="M292" s="559"/>
      <c r="N292" s="559"/>
      <c r="O292" s="559"/>
      <c r="P292" s="559"/>
      <c r="Q292" s="559"/>
      <c r="R292" s="559"/>
      <c r="S292" s="559"/>
      <c r="T292" s="559"/>
      <c r="U292" s="559"/>
      <c r="V292" s="559"/>
      <c r="W292" s="559"/>
      <c r="X292" s="559"/>
      <c r="Y292" s="559"/>
      <c r="Z292" s="559"/>
      <c r="AA292" s="559"/>
      <c r="AB292" s="559"/>
      <c r="AC292" s="559"/>
      <c r="AD292" s="559"/>
      <c r="AE292" s="559"/>
      <c r="AF292" s="559"/>
      <c r="AG292" s="559"/>
    </row>
    <row r="293" spans="1:33" ht="18" customHeight="1" x14ac:dyDescent="0.35">
      <c r="A293" s="559"/>
      <c r="B293" s="559"/>
      <c r="C293" s="559"/>
      <c r="D293" s="559"/>
      <c r="E293" s="559"/>
      <c r="F293" s="559"/>
      <c r="G293" s="559"/>
      <c r="H293" s="559"/>
      <c r="I293" s="559"/>
      <c r="J293" s="559"/>
      <c r="K293" s="559"/>
      <c r="L293" s="559"/>
      <c r="M293" s="559"/>
      <c r="N293" s="559"/>
      <c r="O293" s="559"/>
      <c r="P293" s="559"/>
      <c r="Q293" s="559"/>
      <c r="R293" s="559"/>
      <c r="S293" s="559"/>
      <c r="T293" s="559"/>
      <c r="U293" s="559"/>
      <c r="V293" s="559"/>
      <c r="W293" s="559"/>
      <c r="X293" s="559"/>
      <c r="Y293" s="559"/>
      <c r="Z293" s="559"/>
      <c r="AA293" s="559"/>
      <c r="AB293" s="559"/>
      <c r="AC293" s="559"/>
      <c r="AD293" s="559"/>
      <c r="AE293" s="559"/>
      <c r="AF293" s="559"/>
      <c r="AG293" s="559"/>
    </row>
    <row r="294" spans="1:33" ht="18" customHeight="1" x14ac:dyDescent="0.35">
      <c r="A294" s="559"/>
      <c r="B294" s="559"/>
      <c r="C294" s="559"/>
      <c r="D294" s="559"/>
      <c r="E294" s="559"/>
      <c r="F294" s="559"/>
      <c r="G294" s="559"/>
      <c r="H294" s="559"/>
      <c r="I294" s="559"/>
      <c r="J294" s="559"/>
      <c r="K294" s="559"/>
      <c r="L294" s="559"/>
      <c r="M294" s="559"/>
      <c r="N294" s="559"/>
      <c r="O294" s="559"/>
      <c r="P294" s="559"/>
      <c r="Q294" s="559"/>
      <c r="R294" s="559"/>
      <c r="S294" s="559"/>
      <c r="T294" s="559"/>
      <c r="U294" s="559"/>
      <c r="V294" s="559"/>
      <c r="W294" s="559"/>
      <c r="X294" s="559"/>
      <c r="Y294" s="559"/>
      <c r="Z294" s="559"/>
      <c r="AA294" s="559"/>
      <c r="AB294" s="559"/>
      <c r="AC294" s="559"/>
      <c r="AD294" s="559"/>
      <c r="AE294" s="559"/>
      <c r="AF294" s="559"/>
      <c r="AG294" s="559"/>
    </row>
    <row r="295" spans="1:33" ht="18" customHeight="1" x14ac:dyDescent="0.35">
      <c r="A295" s="559"/>
      <c r="B295" s="559"/>
      <c r="C295" s="559"/>
      <c r="D295" s="559"/>
      <c r="E295" s="559"/>
      <c r="F295" s="559"/>
      <c r="G295" s="559"/>
      <c r="H295" s="559"/>
      <c r="I295" s="559"/>
      <c r="J295" s="559"/>
      <c r="K295" s="559"/>
      <c r="L295" s="559"/>
      <c r="M295" s="559"/>
      <c r="N295" s="559"/>
      <c r="O295" s="559"/>
      <c r="P295" s="559"/>
      <c r="Q295" s="559"/>
      <c r="R295" s="559"/>
      <c r="S295" s="559"/>
      <c r="T295" s="559"/>
      <c r="U295" s="559"/>
      <c r="V295" s="559"/>
      <c r="W295" s="559"/>
      <c r="X295" s="559"/>
      <c r="Y295" s="559"/>
      <c r="Z295" s="559"/>
      <c r="AA295" s="559"/>
      <c r="AB295" s="559"/>
      <c r="AC295" s="559"/>
      <c r="AD295" s="559"/>
      <c r="AE295" s="559"/>
      <c r="AF295" s="559"/>
      <c r="AG295" s="559"/>
    </row>
    <row r="296" spans="1:33" ht="18" customHeight="1" x14ac:dyDescent="0.35">
      <c r="A296" s="559"/>
      <c r="B296" s="559"/>
      <c r="C296" s="559"/>
      <c r="D296" s="559"/>
      <c r="E296" s="559"/>
      <c r="F296" s="559"/>
      <c r="G296" s="559"/>
      <c r="H296" s="559"/>
      <c r="I296" s="559"/>
      <c r="J296" s="559"/>
      <c r="K296" s="559"/>
      <c r="L296" s="559"/>
      <c r="M296" s="559"/>
      <c r="N296" s="559"/>
      <c r="O296" s="559"/>
      <c r="P296" s="559"/>
      <c r="Q296" s="559"/>
      <c r="R296" s="559"/>
      <c r="S296" s="559"/>
      <c r="T296" s="559"/>
      <c r="U296" s="559"/>
      <c r="V296" s="559"/>
      <c r="W296" s="559"/>
      <c r="X296" s="559"/>
      <c r="Y296" s="559"/>
      <c r="Z296" s="559"/>
      <c r="AA296" s="559"/>
      <c r="AB296" s="559"/>
      <c r="AC296" s="559"/>
      <c r="AD296" s="559"/>
      <c r="AE296" s="559"/>
      <c r="AF296" s="559"/>
      <c r="AG296" s="559"/>
    </row>
    <row r="297" spans="1:33" ht="18" customHeight="1" x14ac:dyDescent="0.35">
      <c r="A297" s="559"/>
      <c r="B297" s="559"/>
      <c r="C297" s="559"/>
      <c r="D297" s="559"/>
      <c r="E297" s="559"/>
      <c r="F297" s="559"/>
      <c r="G297" s="559"/>
      <c r="H297" s="559"/>
      <c r="I297" s="559"/>
      <c r="J297" s="559"/>
      <c r="K297" s="559"/>
      <c r="L297" s="559"/>
      <c r="M297" s="559"/>
      <c r="N297" s="559"/>
      <c r="O297" s="559"/>
      <c r="P297" s="559"/>
      <c r="Q297" s="559"/>
      <c r="R297" s="559"/>
      <c r="S297" s="559"/>
      <c r="T297" s="559"/>
      <c r="U297" s="559"/>
      <c r="V297" s="559"/>
      <c r="W297" s="559"/>
      <c r="X297" s="559"/>
      <c r="Y297" s="559"/>
      <c r="Z297" s="559"/>
      <c r="AA297" s="559"/>
      <c r="AB297" s="559"/>
      <c r="AC297" s="559"/>
      <c r="AD297" s="559"/>
      <c r="AE297" s="559"/>
      <c r="AF297" s="559"/>
      <c r="AG297" s="559"/>
    </row>
    <row r="298" spans="1:33" ht="18" customHeight="1" x14ac:dyDescent="0.35">
      <c r="A298" s="559"/>
      <c r="B298" s="559"/>
      <c r="C298" s="559"/>
      <c r="D298" s="559"/>
      <c r="E298" s="559"/>
      <c r="F298" s="559"/>
      <c r="G298" s="559"/>
      <c r="H298" s="559"/>
      <c r="I298" s="559"/>
      <c r="J298" s="559"/>
      <c r="K298" s="559"/>
      <c r="L298" s="559"/>
      <c r="M298" s="559"/>
      <c r="N298" s="559"/>
      <c r="O298" s="559"/>
      <c r="P298" s="559"/>
      <c r="Q298" s="559"/>
      <c r="R298" s="559"/>
      <c r="S298" s="559"/>
      <c r="T298" s="559"/>
      <c r="U298" s="559"/>
      <c r="V298" s="559"/>
      <c r="W298" s="559"/>
      <c r="X298" s="559"/>
      <c r="Y298" s="559"/>
      <c r="Z298" s="559"/>
      <c r="AA298" s="559"/>
      <c r="AB298" s="559"/>
      <c r="AC298" s="559"/>
      <c r="AD298" s="559"/>
      <c r="AE298" s="559"/>
      <c r="AF298" s="559"/>
      <c r="AG298" s="559"/>
    </row>
    <row r="299" spans="1:33" ht="18" customHeight="1" x14ac:dyDescent="0.35">
      <c r="A299" s="559"/>
      <c r="B299" s="559"/>
      <c r="C299" s="559"/>
      <c r="D299" s="559"/>
      <c r="E299" s="559"/>
      <c r="F299" s="559"/>
      <c r="G299" s="559"/>
      <c r="H299" s="559"/>
      <c r="I299" s="559"/>
      <c r="J299" s="559"/>
      <c r="K299" s="559"/>
      <c r="L299" s="559"/>
      <c r="M299" s="559"/>
      <c r="N299" s="559"/>
      <c r="O299" s="559"/>
      <c r="P299" s="559"/>
      <c r="Q299" s="559"/>
      <c r="R299" s="559"/>
      <c r="S299" s="559"/>
      <c r="T299" s="559"/>
      <c r="U299" s="559"/>
      <c r="V299" s="559"/>
      <c r="W299" s="559"/>
      <c r="X299" s="559"/>
      <c r="Y299" s="559"/>
      <c r="Z299" s="559"/>
      <c r="AA299" s="559"/>
      <c r="AB299" s="559"/>
      <c r="AC299" s="559"/>
      <c r="AD299" s="559"/>
      <c r="AE299" s="559"/>
      <c r="AF299" s="559"/>
      <c r="AG299" s="559"/>
    </row>
    <row r="300" spans="1:33" ht="18" customHeight="1" x14ac:dyDescent="0.35">
      <c r="A300" s="559"/>
      <c r="B300" s="559"/>
      <c r="C300" s="559"/>
      <c r="D300" s="559"/>
      <c r="E300" s="559"/>
      <c r="F300" s="559"/>
      <c r="G300" s="559"/>
      <c r="H300" s="559"/>
      <c r="I300" s="559"/>
      <c r="J300" s="559"/>
      <c r="K300" s="559"/>
      <c r="L300" s="559"/>
      <c r="M300" s="559"/>
      <c r="N300" s="559"/>
      <c r="O300" s="559"/>
      <c r="P300" s="559"/>
      <c r="Q300" s="559"/>
      <c r="R300" s="559"/>
      <c r="S300" s="559"/>
      <c r="T300" s="559"/>
      <c r="U300" s="559"/>
      <c r="V300" s="559"/>
      <c r="W300" s="559"/>
      <c r="X300" s="559"/>
      <c r="Y300" s="559"/>
      <c r="Z300" s="559"/>
      <c r="AA300" s="559"/>
      <c r="AB300" s="559"/>
      <c r="AC300" s="559"/>
      <c r="AD300" s="559"/>
      <c r="AE300" s="559"/>
      <c r="AF300" s="559"/>
      <c r="AG300" s="559"/>
    </row>
    <row r="301" spans="1:33" ht="18" customHeight="1" x14ac:dyDescent="0.35">
      <c r="A301" s="559"/>
      <c r="B301" s="559"/>
      <c r="C301" s="559"/>
      <c r="D301" s="559"/>
      <c r="E301" s="559"/>
      <c r="F301" s="559"/>
      <c r="G301" s="559"/>
      <c r="H301" s="559"/>
      <c r="I301" s="559"/>
      <c r="J301" s="559"/>
      <c r="K301" s="559"/>
      <c r="L301" s="559"/>
      <c r="M301" s="559"/>
      <c r="N301" s="559"/>
      <c r="O301" s="559"/>
      <c r="P301" s="559"/>
      <c r="Q301" s="559"/>
      <c r="R301" s="559"/>
      <c r="S301" s="559"/>
      <c r="T301" s="559"/>
      <c r="U301" s="559"/>
      <c r="V301" s="559"/>
      <c r="W301" s="559"/>
      <c r="X301" s="559"/>
      <c r="Y301" s="559"/>
      <c r="Z301" s="559"/>
      <c r="AA301" s="559"/>
      <c r="AB301" s="559"/>
      <c r="AC301" s="559"/>
      <c r="AD301" s="559"/>
      <c r="AE301" s="559"/>
      <c r="AF301" s="559"/>
      <c r="AG301" s="559"/>
    </row>
    <row r="302" spans="1:33" ht="18" customHeight="1" x14ac:dyDescent="0.35">
      <c r="A302" s="559"/>
      <c r="B302" s="559"/>
      <c r="C302" s="559"/>
      <c r="D302" s="559"/>
      <c r="E302" s="559"/>
      <c r="F302" s="559"/>
      <c r="G302" s="559"/>
      <c r="H302" s="559"/>
      <c r="I302" s="559"/>
      <c r="J302" s="559"/>
      <c r="K302" s="559"/>
      <c r="L302" s="559"/>
      <c r="M302" s="559"/>
      <c r="N302" s="559"/>
      <c r="O302" s="559"/>
      <c r="P302" s="559"/>
      <c r="Q302" s="559"/>
      <c r="R302" s="559"/>
      <c r="S302" s="559"/>
      <c r="T302" s="559"/>
      <c r="U302" s="559"/>
      <c r="V302" s="559"/>
      <c r="W302" s="559"/>
      <c r="X302" s="559"/>
      <c r="Y302" s="559"/>
      <c r="Z302" s="559"/>
      <c r="AA302" s="559"/>
      <c r="AB302" s="559"/>
      <c r="AC302" s="559"/>
      <c r="AD302" s="559"/>
      <c r="AE302" s="559"/>
      <c r="AF302" s="559"/>
      <c r="AG302" s="559"/>
    </row>
    <row r="303" spans="1:33" ht="18" customHeight="1" x14ac:dyDescent="0.35">
      <c r="A303" s="559"/>
      <c r="B303" s="559"/>
      <c r="C303" s="559"/>
      <c r="D303" s="559"/>
      <c r="E303" s="559"/>
      <c r="F303" s="559"/>
      <c r="G303" s="559"/>
      <c r="H303" s="559"/>
      <c r="I303" s="559"/>
      <c r="J303" s="559"/>
      <c r="K303" s="559"/>
      <c r="L303" s="559"/>
      <c r="M303" s="559"/>
      <c r="N303" s="559"/>
      <c r="O303" s="559"/>
      <c r="P303" s="559"/>
      <c r="Q303" s="559"/>
      <c r="R303" s="559"/>
      <c r="S303" s="559"/>
      <c r="T303" s="559"/>
      <c r="U303" s="559"/>
      <c r="V303" s="559"/>
      <c r="W303" s="559"/>
      <c r="X303" s="559"/>
      <c r="Y303" s="559"/>
      <c r="Z303" s="559"/>
      <c r="AA303" s="559"/>
      <c r="AB303" s="559"/>
      <c r="AC303" s="559"/>
      <c r="AD303" s="559"/>
      <c r="AE303" s="559"/>
      <c r="AF303" s="559"/>
      <c r="AG303" s="559"/>
    </row>
    <row r="304" spans="1:33" ht="18" customHeight="1" x14ac:dyDescent="0.35">
      <c r="A304" s="559"/>
      <c r="B304" s="559"/>
      <c r="C304" s="559"/>
      <c r="D304" s="559"/>
      <c r="E304" s="559"/>
      <c r="F304" s="559"/>
      <c r="G304" s="559"/>
      <c r="H304" s="559"/>
      <c r="I304" s="559"/>
      <c r="J304" s="559"/>
      <c r="K304" s="559"/>
      <c r="L304" s="559"/>
      <c r="M304" s="559"/>
      <c r="N304" s="559"/>
      <c r="O304" s="559"/>
      <c r="P304" s="559"/>
      <c r="Q304" s="559"/>
      <c r="R304" s="559"/>
      <c r="S304" s="559"/>
      <c r="T304" s="559"/>
      <c r="U304" s="559"/>
      <c r="V304" s="559"/>
      <c r="W304" s="559"/>
      <c r="X304" s="559"/>
      <c r="Y304" s="559"/>
      <c r="Z304" s="559"/>
      <c r="AA304" s="559"/>
      <c r="AB304" s="559"/>
      <c r="AC304" s="559"/>
      <c r="AD304" s="559"/>
      <c r="AE304" s="559"/>
      <c r="AF304" s="559"/>
      <c r="AG304" s="559"/>
    </row>
    <row r="305" spans="1:33" ht="18" customHeight="1" x14ac:dyDescent="0.35">
      <c r="A305" s="559"/>
      <c r="B305" s="559"/>
      <c r="C305" s="559"/>
      <c r="D305" s="559"/>
      <c r="E305" s="559"/>
      <c r="F305" s="559"/>
      <c r="G305" s="559"/>
      <c r="H305" s="559"/>
      <c r="I305" s="559"/>
      <c r="J305" s="559"/>
      <c r="K305" s="559"/>
      <c r="L305" s="559"/>
      <c r="M305" s="559"/>
      <c r="N305" s="559"/>
      <c r="O305" s="559"/>
      <c r="P305" s="559"/>
      <c r="Q305" s="559"/>
      <c r="R305" s="559"/>
      <c r="S305" s="559"/>
      <c r="T305" s="559"/>
      <c r="U305" s="559"/>
      <c r="V305" s="559"/>
      <c r="W305" s="559"/>
      <c r="X305" s="559"/>
      <c r="Y305" s="559"/>
      <c r="Z305" s="559"/>
      <c r="AA305" s="559"/>
      <c r="AB305" s="559"/>
      <c r="AC305" s="559"/>
      <c r="AD305" s="559"/>
      <c r="AE305" s="559"/>
      <c r="AF305" s="559"/>
      <c r="AG305" s="559"/>
    </row>
    <row r="306" spans="1:33" ht="18" customHeight="1" x14ac:dyDescent="0.35">
      <c r="A306" s="559"/>
      <c r="B306" s="559"/>
      <c r="C306" s="559"/>
      <c r="D306" s="559"/>
      <c r="E306" s="559"/>
      <c r="F306" s="559"/>
      <c r="G306" s="559"/>
      <c r="H306" s="559"/>
      <c r="I306" s="559"/>
      <c r="J306" s="559"/>
      <c r="K306" s="559"/>
      <c r="L306" s="559"/>
      <c r="M306" s="559"/>
      <c r="N306" s="559"/>
      <c r="O306" s="559"/>
      <c r="P306" s="559"/>
      <c r="Q306" s="559"/>
      <c r="R306" s="559"/>
      <c r="S306" s="559"/>
      <c r="T306" s="559"/>
      <c r="U306" s="559"/>
      <c r="V306" s="559"/>
      <c r="W306" s="559"/>
      <c r="X306" s="559"/>
      <c r="Y306" s="559"/>
      <c r="Z306" s="559"/>
      <c r="AA306" s="559"/>
      <c r="AB306" s="559"/>
      <c r="AC306" s="559"/>
      <c r="AD306" s="559"/>
      <c r="AE306" s="559"/>
      <c r="AF306" s="559"/>
      <c r="AG306" s="559"/>
    </row>
    <row r="307" spans="1:33" ht="18" customHeight="1" x14ac:dyDescent="0.35">
      <c r="A307" s="559"/>
      <c r="B307" s="559"/>
      <c r="C307" s="559"/>
      <c r="D307" s="559"/>
      <c r="E307" s="559"/>
      <c r="F307" s="559"/>
      <c r="G307" s="559"/>
      <c r="H307" s="559"/>
      <c r="I307" s="559"/>
      <c r="J307" s="559"/>
      <c r="K307" s="559"/>
      <c r="L307" s="559"/>
      <c r="M307" s="559"/>
      <c r="N307" s="559"/>
      <c r="O307" s="559"/>
      <c r="P307" s="559"/>
      <c r="Q307" s="559"/>
      <c r="R307" s="559"/>
      <c r="S307" s="559"/>
      <c r="T307" s="559"/>
      <c r="U307" s="559"/>
      <c r="V307" s="559"/>
      <c r="W307" s="559"/>
      <c r="X307" s="559"/>
      <c r="Y307" s="559"/>
      <c r="Z307" s="559"/>
      <c r="AA307" s="559"/>
      <c r="AB307" s="559"/>
      <c r="AC307" s="559"/>
      <c r="AD307" s="559"/>
      <c r="AE307" s="559"/>
      <c r="AF307" s="559"/>
      <c r="AG307" s="559"/>
    </row>
    <row r="308" spans="1:33" ht="18" customHeight="1" x14ac:dyDescent="0.35">
      <c r="A308" s="559"/>
      <c r="B308" s="559"/>
      <c r="C308" s="559"/>
      <c r="D308" s="559"/>
      <c r="E308" s="559"/>
      <c r="F308" s="559"/>
      <c r="G308" s="559"/>
      <c r="H308" s="559"/>
      <c r="I308" s="559"/>
      <c r="J308" s="559"/>
      <c r="K308" s="559"/>
      <c r="L308" s="559"/>
      <c r="M308" s="559"/>
      <c r="N308" s="559"/>
      <c r="O308" s="559"/>
      <c r="P308" s="559"/>
      <c r="Q308" s="559"/>
      <c r="R308" s="559"/>
      <c r="S308" s="559"/>
      <c r="T308" s="559"/>
      <c r="U308" s="559"/>
      <c r="V308" s="559"/>
      <c r="W308" s="559"/>
      <c r="X308" s="559"/>
      <c r="Y308" s="559"/>
      <c r="Z308" s="559"/>
      <c r="AA308" s="559"/>
      <c r="AB308" s="559"/>
      <c r="AC308" s="559"/>
      <c r="AD308" s="559"/>
      <c r="AE308" s="559"/>
      <c r="AF308" s="559"/>
      <c r="AG308" s="559"/>
    </row>
    <row r="309" spans="1:33" ht="18" customHeight="1" x14ac:dyDescent="0.35">
      <c r="A309" s="559"/>
      <c r="B309" s="559"/>
      <c r="C309" s="559"/>
      <c r="D309" s="559"/>
      <c r="E309" s="559"/>
      <c r="F309" s="559"/>
      <c r="G309" s="559"/>
      <c r="H309" s="559"/>
      <c r="I309" s="559"/>
      <c r="J309" s="559"/>
      <c r="K309" s="559"/>
      <c r="L309" s="559"/>
      <c r="M309" s="559"/>
      <c r="N309" s="559"/>
      <c r="O309" s="559"/>
      <c r="P309" s="559"/>
      <c r="Q309" s="559"/>
      <c r="R309" s="559"/>
      <c r="S309" s="559"/>
      <c r="T309" s="559"/>
      <c r="U309" s="559"/>
      <c r="V309" s="559"/>
      <c r="W309" s="559"/>
      <c r="X309" s="559"/>
      <c r="Y309" s="559"/>
      <c r="Z309" s="559"/>
      <c r="AA309" s="559"/>
      <c r="AB309" s="559"/>
      <c r="AC309" s="559"/>
      <c r="AD309" s="559"/>
      <c r="AE309" s="559"/>
      <c r="AF309" s="559"/>
      <c r="AG309" s="559"/>
    </row>
    <row r="310" spans="1:33" ht="18" customHeight="1" x14ac:dyDescent="0.35">
      <c r="A310" s="559"/>
      <c r="B310" s="559"/>
      <c r="C310" s="559"/>
      <c r="D310" s="559"/>
      <c r="E310" s="559"/>
      <c r="F310" s="559"/>
      <c r="G310" s="559"/>
      <c r="H310" s="559"/>
      <c r="I310" s="559"/>
      <c r="J310" s="559"/>
      <c r="K310" s="559"/>
      <c r="L310" s="559"/>
      <c r="M310" s="559"/>
      <c r="N310" s="559"/>
      <c r="O310" s="559"/>
      <c r="P310" s="559"/>
      <c r="Q310" s="559"/>
      <c r="R310" s="559"/>
      <c r="S310" s="559"/>
      <c r="T310" s="559"/>
      <c r="U310" s="559"/>
      <c r="V310" s="559"/>
      <c r="W310" s="559"/>
      <c r="X310" s="559"/>
      <c r="Y310" s="559"/>
      <c r="Z310" s="559"/>
      <c r="AA310" s="559"/>
      <c r="AB310" s="559"/>
      <c r="AC310" s="559"/>
      <c r="AD310" s="559"/>
      <c r="AE310" s="559"/>
      <c r="AF310" s="559"/>
      <c r="AG310" s="559"/>
    </row>
    <row r="311" spans="1:33" ht="18" customHeight="1" x14ac:dyDescent="0.35">
      <c r="A311" s="559"/>
      <c r="B311" s="559"/>
      <c r="C311" s="559"/>
      <c r="D311" s="559"/>
      <c r="E311" s="559"/>
      <c r="F311" s="559"/>
      <c r="G311" s="559"/>
      <c r="H311" s="559"/>
      <c r="I311" s="559"/>
      <c r="J311" s="559"/>
      <c r="K311" s="559"/>
      <c r="L311" s="559"/>
      <c r="M311" s="559"/>
      <c r="N311" s="559"/>
      <c r="O311" s="559"/>
      <c r="P311" s="559"/>
      <c r="Q311" s="559"/>
      <c r="R311" s="559"/>
      <c r="S311" s="559"/>
      <c r="T311" s="559"/>
      <c r="U311" s="559"/>
      <c r="V311" s="559"/>
      <c r="W311" s="559"/>
      <c r="X311" s="559"/>
      <c r="Y311" s="559"/>
      <c r="Z311" s="559"/>
      <c r="AA311" s="559"/>
      <c r="AB311" s="559"/>
      <c r="AC311" s="559"/>
      <c r="AD311" s="559"/>
      <c r="AE311" s="559"/>
      <c r="AF311" s="559"/>
      <c r="AG311" s="559"/>
    </row>
    <row r="312" spans="1:33" ht="18" customHeight="1" x14ac:dyDescent="0.35">
      <c r="A312" s="559"/>
      <c r="B312" s="559"/>
      <c r="C312" s="559"/>
      <c r="D312" s="559"/>
      <c r="E312" s="559"/>
      <c r="F312" s="559"/>
      <c r="G312" s="559"/>
      <c r="H312" s="559"/>
      <c r="I312" s="559"/>
      <c r="J312" s="559"/>
      <c r="K312" s="559"/>
      <c r="L312" s="559"/>
      <c r="M312" s="559"/>
      <c r="N312" s="559"/>
      <c r="O312" s="559"/>
      <c r="P312" s="559"/>
      <c r="Q312" s="559"/>
      <c r="R312" s="559"/>
      <c r="S312" s="559"/>
      <c r="T312" s="559"/>
      <c r="U312" s="559"/>
      <c r="V312" s="559"/>
      <c r="W312" s="559"/>
      <c r="X312" s="559"/>
      <c r="Y312" s="559"/>
      <c r="Z312" s="559"/>
      <c r="AA312" s="559"/>
      <c r="AB312" s="559"/>
      <c r="AC312" s="559"/>
      <c r="AD312" s="559"/>
      <c r="AE312" s="559"/>
      <c r="AF312" s="559"/>
      <c r="AG312" s="559"/>
    </row>
    <row r="313" spans="1:33" ht="18" customHeight="1" x14ac:dyDescent="0.35">
      <c r="A313" s="559"/>
      <c r="B313" s="559"/>
      <c r="C313" s="559"/>
      <c r="D313" s="559"/>
      <c r="E313" s="559"/>
      <c r="F313" s="559"/>
      <c r="G313" s="559"/>
      <c r="H313" s="559"/>
      <c r="I313" s="559"/>
      <c r="J313" s="559"/>
      <c r="K313" s="559"/>
      <c r="L313" s="559"/>
      <c r="M313" s="559"/>
      <c r="N313" s="559"/>
      <c r="O313" s="559"/>
      <c r="P313" s="559"/>
      <c r="Q313" s="559"/>
      <c r="R313" s="559"/>
      <c r="S313" s="559"/>
      <c r="T313" s="559"/>
      <c r="U313" s="559"/>
      <c r="V313" s="559"/>
      <c r="W313" s="559"/>
      <c r="X313" s="559"/>
      <c r="Y313" s="559"/>
      <c r="Z313" s="559"/>
      <c r="AA313" s="559"/>
      <c r="AB313" s="559"/>
      <c r="AC313" s="559"/>
      <c r="AD313" s="559"/>
      <c r="AE313" s="559"/>
      <c r="AF313" s="559"/>
      <c r="AG313" s="559"/>
    </row>
    <row r="314" spans="1:33" ht="18" customHeight="1" x14ac:dyDescent="0.35">
      <c r="A314" s="559"/>
      <c r="B314" s="559"/>
      <c r="C314" s="559"/>
      <c r="D314" s="559"/>
      <c r="E314" s="559"/>
      <c r="F314" s="559"/>
      <c r="G314" s="559"/>
      <c r="H314" s="559"/>
      <c r="I314" s="559"/>
      <c r="J314" s="559"/>
      <c r="K314" s="559"/>
      <c r="L314" s="559"/>
      <c r="M314" s="559"/>
      <c r="N314" s="559"/>
      <c r="O314" s="559"/>
      <c r="P314" s="559"/>
      <c r="Q314" s="559"/>
      <c r="R314" s="559"/>
      <c r="S314" s="559"/>
      <c r="T314" s="559"/>
      <c r="U314" s="559"/>
      <c r="V314" s="559"/>
      <c r="W314" s="559"/>
      <c r="X314" s="559"/>
      <c r="Y314" s="559"/>
      <c r="Z314" s="559"/>
      <c r="AA314" s="559"/>
      <c r="AB314" s="559"/>
      <c r="AC314" s="559"/>
      <c r="AD314" s="559"/>
      <c r="AE314" s="559"/>
      <c r="AF314" s="559"/>
      <c r="AG314" s="559"/>
    </row>
    <row r="315" spans="1:33" ht="18" customHeight="1" x14ac:dyDescent="0.35">
      <c r="A315" s="559"/>
      <c r="B315" s="559"/>
      <c r="C315" s="559"/>
      <c r="D315" s="559"/>
      <c r="E315" s="559"/>
      <c r="F315" s="559"/>
      <c r="G315" s="559"/>
      <c r="H315" s="559"/>
      <c r="I315" s="559"/>
      <c r="J315" s="559"/>
      <c r="K315" s="559"/>
      <c r="L315" s="559"/>
      <c r="M315" s="559"/>
      <c r="N315" s="559"/>
      <c r="O315" s="559"/>
      <c r="P315" s="559"/>
      <c r="Q315" s="559"/>
      <c r="R315" s="559"/>
      <c r="S315" s="559"/>
      <c r="T315" s="559"/>
      <c r="U315" s="559"/>
      <c r="V315" s="559"/>
      <c r="W315" s="559"/>
      <c r="X315" s="559"/>
      <c r="Y315" s="559"/>
      <c r="Z315" s="559"/>
      <c r="AA315" s="559"/>
      <c r="AB315" s="559"/>
      <c r="AC315" s="559"/>
      <c r="AD315" s="559"/>
      <c r="AE315" s="559"/>
      <c r="AF315" s="559"/>
      <c r="AG315" s="559"/>
    </row>
    <row r="316" spans="1:33" ht="18" customHeight="1" x14ac:dyDescent="0.35">
      <c r="A316" s="559"/>
      <c r="B316" s="559"/>
      <c r="C316" s="559"/>
      <c r="D316" s="559"/>
      <c r="E316" s="559"/>
      <c r="F316" s="559"/>
      <c r="G316" s="559"/>
      <c r="H316" s="559"/>
      <c r="I316" s="559"/>
      <c r="J316" s="559"/>
      <c r="K316" s="559"/>
      <c r="L316" s="559"/>
      <c r="M316" s="559"/>
      <c r="N316" s="559"/>
      <c r="O316" s="559"/>
      <c r="P316" s="559"/>
      <c r="Q316" s="559"/>
      <c r="R316" s="559"/>
      <c r="S316" s="559"/>
      <c r="T316" s="559"/>
      <c r="U316" s="559"/>
      <c r="V316" s="559"/>
      <c r="W316" s="559"/>
      <c r="X316" s="559"/>
      <c r="Y316" s="559"/>
      <c r="Z316" s="559"/>
      <c r="AA316" s="559"/>
      <c r="AB316" s="559"/>
      <c r="AC316" s="559"/>
      <c r="AD316" s="559"/>
      <c r="AE316" s="559"/>
      <c r="AF316" s="559"/>
      <c r="AG316" s="559"/>
    </row>
    <row r="317" spans="1:33" ht="18" customHeight="1" x14ac:dyDescent="0.35">
      <c r="A317" s="559"/>
      <c r="B317" s="559"/>
      <c r="C317" s="559"/>
      <c r="D317" s="559"/>
      <c r="E317" s="559"/>
      <c r="F317" s="559"/>
      <c r="G317" s="559"/>
      <c r="H317" s="559"/>
      <c r="I317" s="559"/>
      <c r="J317" s="559"/>
      <c r="K317" s="559"/>
      <c r="L317" s="559"/>
      <c r="M317" s="559"/>
      <c r="N317" s="559"/>
      <c r="O317" s="559"/>
      <c r="P317" s="559"/>
      <c r="Q317" s="559"/>
      <c r="R317" s="559"/>
      <c r="S317" s="559"/>
      <c r="T317" s="559"/>
      <c r="U317" s="559"/>
      <c r="V317" s="559"/>
      <c r="W317" s="559"/>
      <c r="X317" s="559"/>
      <c r="Y317" s="559"/>
      <c r="Z317" s="559"/>
      <c r="AA317" s="559"/>
      <c r="AB317" s="559"/>
      <c r="AC317" s="559"/>
      <c r="AD317" s="559"/>
      <c r="AE317" s="559"/>
      <c r="AF317" s="559"/>
      <c r="AG317" s="559"/>
    </row>
    <row r="318" spans="1:33" ht="18" customHeight="1" x14ac:dyDescent="0.35">
      <c r="A318" s="559"/>
      <c r="B318" s="559"/>
      <c r="C318" s="559"/>
      <c r="D318" s="559"/>
      <c r="E318" s="559"/>
      <c r="F318" s="559"/>
      <c r="G318" s="559"/>
      <c r="H318" s="559"/>
      <c r="I318" s="559"/>
      <c r="J318" s="559"/>
      <c r="K318" s="559"/>
      <c r="L318" s="559"/>
      <c r="M318" s="559"/>
      <c r="N318" s="559"/>
      <c r="O318" s="559"/>
      <c r="P318" s="559"/>
      <c r="Q318" s="559"/>
      <c r="R318" s="559"/>
      <c r="S318" s="559"/>
      <c r="T318" s="559"/>
      <c r="U318" s="559"/>
      <c r="V318" s="559"/>
      <c r="W318" s="559"/>
      <c r="X318" s="559"/>
      <c r="Y318" s="559"/>
      <c r="Z318" s="559"/>
      <c r="AA318" s="559"/>
      <c r="AB318" s="559"/>
      <c r="AC318" s="559"/>
      <c r="AD318" s="559"/>
      <c r="AE318" s="559"/>
      <c r="AF318" s="559"/>
      <c r="AG318" s="559"/>
    </row>
    <row r="319" spans="1:33" ht="18" customHeight="1" x14ac:dyDescent="0.35">
      <c r="A319" s="559"/>
      <c r="B319" s="559"/>
      <c r="C319" s="559"/>
      <c r="D319" s="559"/>
      <c r="E319" s="559"/>
      <c r="F319" s="559"/>
      <c r="G319" s="559"/>
      <c r="H319" s="559"/>
      <c r="I319" s="559"/>
      <c r="J319" s="559"/>
      <c r="K319" s="559"/>
      <c r="L319" s="559"/>
      <c r="M319" s="559"/>
      <c r="N319" s="559"/>
      <c r="O319" s="559"/>
      <c r="P319" s="559"/>
      <c r="Q319" s="559"/>
      <c r="R319" s="559"/>
      <c r="S319" s="559"/>
      <c r="T319" s="559"/>
      <c r="U319" s="559"/>
      <c r="V319" s="559"/>
      <c r="W319" s="559"/>
      <c r="X319" s="559"/>
      <c r="Y319" s="559"/>
      <c r="Z319" s="559"/>
      <c r="AA319" s="559"/>
      <c r="AB319" s="559"/>
      <c r="AC319" s="559"/>
      <c r="AD319" s="559"/>
      <c r="AE319" s="559"/>
      <c r="AF319" s="559"/>
      <c r="AG319" s="559"/>
    </row>
    <row r="320" spans="1:33" ht="18" customHeight="1" x14ac:dyDescent="0.35">
      <c r="A320" s="559"/>
      <c r="B320" s="559"/>
      <c r="C320" s="559"/>
      <c r="D320" s="559"/>
      <c r="E320" s="559"/>
      <c r="F320" s="559"/>
      <c r="G320" s="559"/>
      <c r="H320" s="559"/>
      <c r="I320" s="559"/>
      <c r="J320" s="559"/>
      <c r="K320" s="559"/>
      <c r="L320" s="559"/>
      <c r="M320" s="559"/>
      <c r="N320" s="559"/>
      <c r="O320" s="559"/>
      <c r="P320" s="559"/>
      <c r="Q320" s="559"/>
      <c r="R320" s="559"/>
      <c r="S320" s="559"/>
      <c r="T320" s="559"/>
      <c r="U320" s="559"/>
      <c r="V320" s="559"/>
      <c r="W320" s="559"/>
      <c r="X320" s="559"/>
      <c r="Y320" s="559"/>
      <c r="Z320" s="559"/>
      <c r="AA320" s="559"/>
      <c r="AB320" s="559"/>
      <c r="AC320" s="559"/>
      <c r="AD320" s="559"/>
      <c r="AE320" s="559"/>
      <c r="AF320" s="559"/>
      <c r="AG320" s="559"/>
    </row>
    <row r="321" spans="1:33" ht="18" customHeight="1" x14ac:dyDescent="0.35">
      <c r="A321" s="559"/>
      <c r="B321" s="559"/>
      <c r="C321" s="559"/>
      <c r="D321" s="559"/>
      <c r="E321" s="559"/>
      <c r="F321" s="559"/>
      <c r="G321" s="559"/>
      <c r="H321" s="559"/>
      <c r="I321" s="559"/>
      <c r="J321" s="559"/>
      <c r="K321" s="559"/>
      <c r="L321" s="559"/>
      <c r="M321" s="559"/>
      <c r="N321" s="559"/>
      <c r="O321" s="559"/>
      <c r="P321" s="559"/>
      <c r="Q321" s="559"/>
      <c r="R321" s="559"/>
      <c r="S321" s="559"/>
      <c r="T321" s="559"/>
      <c r="U321" s="559"/>
      <c r="V321" s="559"/>
      <c r="W321" s="559"/>
      <c r="X321" s="559"/>
      <c r="Y321" s="559"/>
      <c r="Z321" s="559"/>
      <c r="AA321" s="559"/>
      <c r="AB321" s="559"/>
      <c r="AC321" s="559"/>
      <c r="AD321" s="559"/>
      <c r="AE321" s="559"/>
      <c r="AF321" s="559"/>
      <c r="AG321" s="559"/>
    </row>
    <row r="322" spans="1:33" ht="18" customHeight="1" x14ac:dyDescent="0.35">
      <c r="A322" s="559"/>
      <c r="B322" s="559"/>
      <c r="C322" s="559"/>
      <c r="D322" s="559"/>
      <c r="E322" s="559"/>
      <c r="F322" s="559"/>
      <c r="G322" s="559"/>
      <c r="H322" s="559"/>
      <c r="I322" s="559"/>
      <c r="J322" s="559"/>
      <c r="K322" s="559"/>
      <c r="L322" s="559"/>
      <c r="M322" s="559"/>
      <c r="N322" s="559"/>
      <c r="O322" s="559"/>
      <c r="P322" s="559"/>
      <c r="Q322" s="559"/>
      <c r="R322" s="559"/>
      <c r="S322" s="559"/>
      <c r="T322" s="559"/>
      <c r="U322" s="559"/>
      <c r="V322" s="559"/>
      <c r="W322" s="559"/>
      <c r="X322" s="559"/>
      <c r="Y322" s="559"/>
      <c r="Z322" s="559"/>
      <c r="AA322" s="559"/>
      <c r="AB322" s="559"/>
      <c r="AC322" s="559"/>
      <c r="AD322" s="559"/>
      <c r="AE322" s="559"/>
      <c r="AF322" s="559"/>
      <c r="AG322" s="559"/>
    </row>
    <row r="323" spans="1:33" ht="18" customHeight="1" x14ac:dyDescent="0.35">
      <c r="A323" s="559"/>
      <c r="B323" s="559"/>
      <c r="C323" s="559"/>
      <c r="D323" s="559"/>
      <c r="E323" s="559"/>
      <c r="F323" s="559"/>
      <c r="G323" s="559"/>
      <c r="H323" s="559"/>
      <c r="I323" s="559"/>
      <c r="J323" s="559"/>
      <c r="K323" s="559"/>
      <c r="L323" s="559"/>
      <c r="M323" s="559"/>
      <c r="N323" s="559"/>
      <c r="O323" s="559"/>
      <c r="P323" s="559"/>
      <c r="Q323" s="559"/>
      <c r="R323" s="559"/>
      <c r="S323" s="559"/>
      <c r="T323" s="559"/>
      <c r="U323" s="559"/>
      <c r="V323" s="559"/>
      <c r="W323" s="559"/>
      <c r="X323" s="559"/>
      <c r="Y323" s="559"/>
      <c r="Z323" s="559"/>
      <c r="AA323" s="559"/>
      <c r="AB323" s="559"/>
      <c r="AC323" s="559"/>
      <c r="AD323" s="559"/>
      <c r="AE323" s="559"/>
      <c r="AF323" s="559"/>
      <c r="AG323" s="559"/>
    </row>
    <row r="324" spans="1:33" ht="18" customHeight="1" x14ac:dyDescent="0.35">
      <c r="A324" s="559"/>
      <c r="B324" s="559"/>
      <c r="C324" s="559"/>
      <c r="D324" s="559"/>
      <c r="E324" s="559"/>
      <c r="F324" s="559"/>
      <c r="G324" s="559"/>
      <c r="H324" s="559"/>
      <c r="I324" s="559"/>
      <c r="J324" s="559"/>
      <c r="K324" s="559"/>
      <c r="L324" s="559"/>
      <c r="M324" s="559"/>
      <c r="N324" s="559"/>
      <c r="O324" s="559"/>
      <c r="P324" s="559"/>
      <c r="Q324" s="559"/>
      <c r="R324" s="559"/>
      <c r="S324" s="559"/>
      <c r="T324" s="559"/>
      <c r="U324" s="559"/>
      <c r="V324" s="559"/>
      <c r="W324" s="559"/>
      <c r="X324" s="559"/>
      <c r="Y324" s="559"/>
      <c r="Z324" s="559"/>
      <c r="AA324" s="559"/>
      <c r="AB324" s="559"/>
      <c r="AC324" s="559"/>
      <c r="AD324" s="559"/>
      <c r="AE324" s="559"/>
      <c r="AF324" s="559"/>
      <c r="AG324" s="559"/>
    </row>
    <row r="325" spans="1:33" ht="18" customHeight="1" x14ac:dyDescent="0.35">
      <c r="A325" s="559"/>
      <c r="B325" s="559"/>
      <c r="C325" s="559"/>
      <c r="D325" s="559"/>
      <c r="E325" s="559"/>
      <c r="F325" s="559"/>
      <c r="G325" s="559"/>
      <c r="H325" s="559"/>
      <c r="I325" s="559"/>
      <c r="J325" s="559"/>
      <c r="K325" s="559"/>
      <c r="L325" s="559"/>
      <c r="M325" s="559"/>
      <c r="N325" s="559"/>
      <c r="O325" s="559"/>
      <c r="P325" s="559"/>
      <c r="Q325" s="559"/>
      <c r="R325" s="559"/>
      <c r="S325" s="559"/>
      <c r="T325" s="559"/>
      <c r="U325" s="559"/>
      <c r="V325" s="559"/>
      <c r="W325" s="559"/>
      <c r="X325" s="559"/>
      <c r="Y325" s="559"/>
      <c r="Z325" s="559"/>
      <c r="AA325" s="559"/>
      <c r="AB325" s="559"/>
      <c r="AC325" s="559"/>
      <c r="AD325" s="559"/>
      <c r="AE325" s="559"/>
      <c r="AF325" s="559"/>
      <c r="AG325" s="559"/>
    </row>
    <row r="326" spans="1:33" ht="18" customHeight="1" x14ac:dyDescent="0.35">
      <c r="A326" s="559"/>
      <c r="B326" s="559"/>
      <c r="C326" s="559"/>
      <c r="D326" s="559"/>
      <c r="E326" s="559"/>
      <c r="F326" s="559"/>
      <c r="G326" s="559"/>
      <c r="H326" s="559"/>
      <c r="I326" s="559"/>
      <c r="J326" s="559"/>
      <c r="K326" s="559"/>
      <c r="L326" s="559"/>
      <c r="M326" s="559"/>
      <c r="N326" s="559"/>
      <c r="O326" s="559"/>
      <c r="P326" s="559"/>
      <c r="Q326" s="559"/>
      <c r="R326" s="559"/>
      <c r="S326" s="559"/>
      <c r="T326" s="559"/>
      <c r="U326" s="559"/>
      <c r="V326" s="559"/>
      <c r="W326" s="559"/>
      <c r="X326" s="559"/>
      <c r="Y326" s="559"/>
      <c r="Z326" s="559"/>
      <c r="AA326" s="559"/>
      <c r="AB326" s="559"/>
      <c r="AC326" s="559"/>
      <c r="AD326" s="559"/>
      <c r="AE326" s="559"/>
      <c r="AF326" s="559"/>
      <c r="AG326" s="559"/>
    </row>
    <row r="327" spans="1:33" ht="18" customHeight="1" x14ac:dyDescent="0.35">
      <c r="A327" s="559"/>
      <c r="B327" s="559"/>
      <c r="C327" s="559"/>
      <c r="D327" s="559"/>
      <c r="E327" s="559"/>
      <c r="F327" s="559"/>
      <c r="G327" s="559"/>
      <c r="H327" s="559"/>
      <c r="I327" s="559"/>
      <c r="J327" s="559"/>
      <c r="K327" s="559"/>
      <c r="L327" s="559"/>
      <c r="M327" s="559"/>
      <c r="N327" s="559"/>
      <c r="O327" s="559"/>
      <c r="P327" s="559"/>
      <c r="Q327" s="559"/>
      <c r="R327" s="559"/>
      <c r="S327" s="559"/>
      <c r="T327" s="559"/>
      <c r="U327" s="559"/>
      <c r="V327" s="559"/>
      <c r="W327" s="559"/>
      <c r="X327" s="559"/>
      <c r="Y327" s="559"/>
      <c r="Z327" s="559"/>
      <c r="AA327" s="559"/>
      <c r="AB327" s="559"/>
      <c r="AC327" s="559"/>
      <c r="AD327" s="559"/>
      <c r="AE327" s="559"/>
      <c r="AF327" s="559"/>
      <c r="AG327" s="559"/>
    </row>
    <row r="328" spans="1:33" ht="18" customHeight="1" x14ac:dyDescent="0.35">
      <c r="A328" s="559"/>
      <c r="B328" s="559"/>
      <c r="C328" s="559"/>
      <c r="D328" s="559"/>
      <c r="E328" s="559"/>
      <c r="F328" s="559"/>
      <c r="G328" s="559"/>
      <c r="H328" s="559"/>
      <c r="I328" s="559"/>
      <c r="J328" s="559"/>
      <c r="K328" s="559"/>
      <c r="L328" s="559"/>
      <c r="M328" s="559"/>
      <c r="N328" s="559"/>
      <c r="O328" s="559"/>
      <c r="P328" s="559"/>
      <c r="Q328" s="559"/>
      <c r="R328" s="559"/>
      <c r="S328" s="559"/>
      <c r="T328" s="559"/>
      <c r="U328" s="559"/>
      <c r="V328" s="559"/>
      <c r="W328" s="559"/>
      <c r="X328" s="559"/>
      <c r="Y328" s="559"/>
      <c r="Z328" s="559"/>
      <c r="AA328" s="559"/>
      <c r="AB328" s="559"/>
      <c r="AC328" s="559"/>
      <c r="AD328" s="559"/>
      <c r="AE328" s="559"/>
      <c r="AF328" s="559"/>
      <c r="AG328" s="559"/>
    </row>
    <row r="329" spans="1:33" ht="18" customHeight="1" x14ac:dyDescent="0.35">
      <c r="A329" s="559"/>
      <c r="B329" s="559"/>
      <c r="C329" s="559"/>
      <c r="D329" s="559"/>
      <c r="E329" s="559"/>
      <c r="F329" s="559"/>
      <c r="G329" s="559"/>
      <c r="H329" s="559"/>
      <c r="I329" s="559"/>
      <c r="J329" s="559"/>
      <c r="K329" s="559"/>
      <c r="L329" s="559"/>
      <c r="M329" s="559"/>
      <c r="N329" s="559"/>
      <c r="O329" s="559"/>
      <c r="P329" s="559"/>
      <c r="Q329" s="559"/>
      <c r="R329" s="559"/>
      <c r="S329" s="559"/>
      <c r="T329" s="559"/>
      <c r="U329" s="559"/>
      <c r="V329" s="559"/>
      <c r="W329" s="559"/>
      <c r="X329" s="559"/>
      <c r="Y329" s="559"/>
      <c r="Z329" s="559"/>
      <c r="AA329" s="559"/>
      <c r="AB329" s="559"/>
      <c r="AC329" s="559"/>
      <c r="AD329" s="559"/>
      <c r="AE329" s="559"/>
      <c r="AF329" s="559"/>
      <c r="AG329" s="559"/>
    </row>
    <row r="330" spans="1:33" ht="18" customHeight="1" x14ac:dyDescent="0.35">
      <c r="A330" s="559"/>
      <c r="B330" s="559"/>
      <c r="C330" s="559"/>
      <c r="D330" s="559"/>
      <c r="E330" s="559"/>
      <c r="F330" s="559"/>
      <c r="G330" s="559"/>
      <c r="H330" s="559"/>
      <c r="I330" s="559"/>
      <c r="J330" s="559"/>
      <c r="K330" s="559"/>
      <c r="L330" s="559"/>
      <c r="M330" s="559"/>
      <c r="N330" s="559"/>
      <c r="O330" s="559"/>
      <c r="P330" s="559"/>
      <c r="Q330" s="559"/>
      <c r="R330" s="559"/>
      <c r="S330" s="559"/>
      <c r="T330" s="559"/>
      <c r="U330" s="559"/>
      <c r="V330" s="559"/>
      <c r="W330" s="559"/>
      <c r="X330" s="559"/>
      <c r="Y330" s="559"/>
      <c r="Z330" s="559"/>
      <c r="AA330" s="559"/>
      <c r="AB330" s="559"/>
      <c r="AC330" s="559"/>
      <c r="AD330" s="559"/>
      <c r="AE330" s="559"/>
      <c r="AF330" s="559"/>
      <c r="AG330" s="559"/>
    </row>
    <row r="331" spans="1:33" ht="18" customHeight="1" x14ac:dyDescent="0.35">
      <c r="A331" s="559"/>
      <c r="B331" s="559"/>
      <c r="C331" s="559"/>
      <c r="D331" s="559"/>
      <c r="E331" s="559"/>
      <c r="F331" s="559"/>
      <c r="G331" s="559"/>
      <c r="H331" s="559"/>
      <c r="I331" s="559"/>
      <c r="J331" s="559"/>
      <c r="K331" s="559"/>
      <c r="L331" s="559"/>
      <c r="M331" s="559"/>
      <c r="N331" s="559"/>
      <c r="O331" s="559"/>
      <c r="P331" s="559"/>
      <c r="Q331" s="559"/>
      <c r="R331" s="559"/>
      <c r="S331" s="559"/>
      <c r="T331" s="559"/>
      <c r="U331" s="559"/>
      <c r="V331" s="559"/>
      <c r="W331" s="559"/>
      <c r="X331" s="559"/>
      <c r="Y331" s="559"/>
      <c r="Z331" s="559"/>
      <c r="AA331" s="559"/>
      <c r="AB331" s="559"/>
      <c r="AC331" s="559"/>
      <c r="AD331" s="559"/>
      <c r="AE331" s="559"/>
      <c r="AF331" s="559"/>
      <c r="AG331" s="559"/>
    </row>
    <row r="332" spans="1:33" ht="18" customHeight="1" x14ac:dyDescent="0.35">
      <c r="A332" s="559"/>
      <c r="B332" s="559"/>
      <c r="C332" s="559"/>
      <c r="D332" s="559"/>
      <c r="E332" s="559"/>
      <c r="F332" s="559"/>
      <c r="G332" s="559"/>
      <c r="H332" s="559"/>
      <c r="I332" s="559"/>
      <c r="J332" s="559"/>
      <c r="K332" s="559"/>
      <c r="L332" s="559"/>
      <c r="M332" s="559"/>
      <c r="N332" s="559"/>
      <c r="O332" s="559"/>
      <c r="P332" s="559"/>
      <c r="Q332" s="559"/>
      <c r="R332" s="559"/>
      <c r="S332" s="559"/>
      <c r="T332" s="559"/>
      <c r="U332" s="559"/>
      <c r="V332" s="559"/>
      <c r="W332" s="559"/>
      <c r="X332" s="559"/>
      <c r="Y332" s="559"/>
      <c r="Z332" s="559"/>
      <c r="AA332" s="559"/>
      <c r="AB332" s="559"/>
      <c r="AC332" s="559"/>
      <c r="AD332" s="559"/>
      <c r="AE332" s="559"/>
      <c r="AF332" s="559"/>
      <c r="AG332" s="559"/>
    </row>
    <row r="333" spans="1:33" ht="18" customHeight="1" x14ac:dyDescent="0.35">
      <c r="A333" s="559"/>
      <c r="B333" s="559"/>
      <c r="C333" s="559"/>
      <c r="D333" s="559"/>
      <c r="E333" s="559"/>
      <c r="F333" s="559"/>
      <c r="G333" s="559"/>
      <c r="H333" s="559"/>
      <c r="I333" s="559"/>
      <c r="J333" s="559"/>
      <c r="K333" s="559"/>
      <c r="L333" s="559"/>
      <c r="M333" s="559"/>
      <c r="N333" s="559"/>
      <c r="O333" s="559"/>
      <c r="P333" s="559"/>
      <c r="Q333" s="559"/>
      <c r="R333" s="559"/>
      <c r="S333" s="559"/>
      <c r="T333" s="559"/>
      <c r="U333" s="559"/>
      <c r="V333" s="559"/>
      <c r="W333" s="559"/>
      <c r="X333" s="559"/>
      <c r="Y333" s="559"/>
      <c r="Z333" s="559"/>
      <c r="AA333" s="559"/>
      <c r="AB333" s="559"/>
      <c r="AC333" s="559"/>
      <c r="AD333" s="559"/>
      <c r="AE333" s="559"/>
      <c r="AF333" s="559"/>
      <c r="AG333" s="559"/>
    </row>
    <row r="334" spans="1:33" ht="18" customHeight="1" x14ac:dyDescent="0.35">
      <c r="A334" s="559"/>
      <c r="B334" s="559"/>
      <c r="C334" s="559"/>
      <c r="D334" s="559"/>
      <c r="E334" s="559"/>
      <c r="F334" s="559"/>
      <c r="G334" s="559"/>
      <c r="H334" s="559"/>
      <c r="I334" s="559"/>
      <c r="J334" s="559"/>
      <c r="K334" s="559"/>
      <c r="L334" s="559"/>
      <c r="M334" s="559"/>
      <c r="N334" s="559"/>
      <c r="O334" s="559"/>
      <c r="P334" s="559"/>
      <c r="Q334" s="559"/>
      <c r="R334" s="559"/>
      <c r="S334" s="559"/>
      <c r="T334" s="559"/>
      <c r="U334" s="559"/>
      <c r="V334" s="559"/>
      <c r="W334" s="559"/>
      <c r="X334" s="559"/>
      <c r="Y334" s="559"/>
      <c r="Z334" s="559"/>
      <c r="AA334" s="559"/>
      <c r="AB334" s="559"/>
      <c r="AC334" s="559"/>
      <c r="AD334" s="559"/>
      <c r="AE334" s="559"/>
      <c r="AF334" s="559"/>
      <c r="AG334" s="559"/>
    </row>
    <row r="335" spans="1:33" ht="18" customHeight="1" x14ac:dyDescent="0.35">
      <c r="A335" s="559"/>
      <c r="B335" s="559"/>
      <c r="C335" s="559"/>
      <c r="D335" s="559"/>
      <c r="E335" s="559"/>
      <c r="F335" s="559"/>
      <c r="G335" s="559"/>
      <c r="H335" s="559"/>
      <c r="I335" s="559"/>
      <c r="J335" s="559"/>
      <c r="K335" s="559"/>
      <c r="L335" s="559"/>
      <c r="M335" s="559"/>
      <c r="N335" s="559"/>
      <c r="O335" s="559"/>
      <c r="P335" s="559"/>
      <c r="Q335" s="559"/>
      <c r="R335" s="559"/>
      <c r="S335" s="559"/>
      <c r="T335" s="559"/>
      <c r="U335" s="559"/>
      <c r="V335" s="559"/>
      <c r="W335" s="559"/>
      <c r="X335" s="559"/>
      <c r="Y335" s="559"/>
      <c r="Z335" s="559"/>
      <c r="AA335" s="559"/>
      <c r="AB335" s="559"/>
      <c r="AC335" s="559"/>
      <c r="AD335" s="559"/>
      <c r="AE335" s="559"/>
      <c r="AF335" s="559"/>
      <c r="AG335" s="559"/>
    </row>
    <row r="336" spans="1:33" ht="18" customHeight="1" x14ac:dyDescent="0.35">
      <c r="A336" s="559"/>
      <c r="B336" s="559"/>
      <c r="C336" s="559"/>
      <c r="D336" s="559"/>
      <c r="E336" s="559"/>
      <c r="F336" s="559"/>
      <c r="G336" s="559"/>
      <c r="H336" s="559"/>
      <c r="I336" s="559"/>
      <c r="J336" s="559"/>
      <c r="K336" s="559"/>
      <c r="L336" s="559"/>
      <c r="M336" s="559"/>
      <c r="N336" s="559"/>
      <c r="O336" s="559"/>
      <c r="P336" s="559"/>
      <c r="Q336" s="559"/>
      <c r="R336" s="559"/>
      <c r="S336" s="559"/>
      <c r="T336" s="559"/>
      <c r="U336" s="559"/>
      <c r="V336" s="559"/>
      <c r="W336" s="559"/>
      <c r="X336" s="559"/>
      <c r="Y336" s="559"/>
      <c r="Z336" s="559"/>
      <c r="AA336" s="559"/>
      <c r="AB336" s="559"/>
      <c r="AC336" s="559"/>
      <c r="AD336" s="559"/>
      <c r="AE336" s="559"/>
      <c r="AF336" s="559"/>
      <c r="AG336" s="559"/>
    </row>
    <row r="337" spans="1:33" ht="18" customHeight="1" x14ac:dyDescent="0.35">
      <c r="A337" s="559"/>
      <c r="B337" s="559"/>
      <c r="C337" s="559"/>
      <c r="D337" s="559"/>
      <c r="E337" s="559"/>
      <c r="F337" s="559"/>
      <c r="G337" s="559"/>
      <c r="H337" s="559"/>
      <c r="I337" s="559"/>
      <c r="J337" s="559"/>
      <c r="K337" s="559"/>
      <c r="L337" s="559"/>
      <c r="M337" s="559"/>
      <c r="N337" s="559"/>
      <c r="O337" s="559"/>
      <c r="P337" s="559"/>
      <c r="Q337" s="559"/>
      <c r="R337" s="559"/>
      <c r="S337" s="559"/>
      <c r="T337" s="559"/>
      <c r="U337" s="559"/>
      <c r="V337" s="559"/>
      <c r="W337" s="559"/>
      <c r="X337" s="559"/>
      <c r="Y337" s="559"/>
      <c r="Z337" s="559"/>
      <c r="AA337" s="559"/>
      <c r="AB337" s="559"/>
      <c r="AC337" s="559"/>
      <c r="AD337" s="559"/>
      <c r="AE337" s="559"/>
      <c r="AF337" s="559"/>
      <c r="AG337" s="559"/>
    </row>
    <row r="338" spans="1:33" ht="18" customHeight="1" x14ac:dyDescent="0.35">
      <c r="A338" s="559"/>
      <c r="B338" s="559"/>
      <c r="C338" s="559"/>
      <c r="D338" s="559"/>
      <c r="E338" s="559"/>
      <c r="F338" s="559"/>
      <c r="G338" s="559"/>
      <c r="H338" s="559"/>
      <c r="I338" s="559"/>
      <c r="J338" s="559"/>
      <c r="K338" s="559"/>
      <c r="L338" s="559"/>
      <c r="M338" s="559"/>
      <c r="N338" s="559"/>
      <c r="O338" s="559"/>
      <c r="P338" s="559"/>
      <c r="Q338" s="559"/>
      <c r="R338" s="559"/>
      <c r="S338" s="559"/>
      <c r="T338" s="559"/>
      <c r="U338" s="559"/>
      <c r="V338" s="559"/>
      <c r="W338" s="559"/>
      <c r="X338" s="559"/>
      <c r="Y338" s="559"/>
      <c r="Z338" s="559"/>
      <c r="AA338" s="559"/>
      <c r="AB338" s="559"/>
      <c r="AC338" s="559"/>
      <c r="AD338" s="559"/>
      <c r="AE338" s="559"/>
      <c r="AF338" s="559"/>
      <c r="AG338" s="559"/>
    </row>
    <row r="339" spans="1:33" ht="18" customHeight="1" x14ac:dyDescent="0.35">
      <c r="A339" s="559"/>
      <c r="B339" s="559"/>
      <c r="C339" s="559"/>
      <c r="D339" s="559"/>
      <c r="E339" s="559"/>
      <c r="F339" s="559"/>
      <c r="G339" s="559"/>
      <c r="H339" s="559"/>
      <c r="I339" s="559"/>
      <c r="J339" s="559"/>
      <c r="K339" s="559"/>
      <c r="L339" s="559"/>
      <c r="M339" s="559"/>
      <c r="N339" s="559"/>
      <c r="O339" s="559"/>
      <c r="P339" s="559"/>
      <c r="Q339" s="559"/>
      <c r="R339" s="559"/>
      <c r="S339" s="559"/>
      <c r="T339" s="559"/>
      <c r="U339" s="559"/>
      <c r="V339" s="559"/>
      <c r="W339" s="559"/>
      <c r="X339" s="559"/>
      <c r="Y339" s="559"/>
      <c r="Z339" s="559"/>
      <c r="AA339" s="559"/>
      <c r="AB339" s="559"/>
      <c r="AC339" s="559"/>
      <c r="AD339" s="559"/>
      <c r="AE339" s="559"/>
      <c r="AF339" s="559"/>
      <c r="AG339" s="559"/>
    </row>
    <row r="340" spans="1:33" ht="18" customHeight="1" x14ac:dyDescent="0.35">
      <c r="A340" s="559"/>
      <c r="B340" s="559"/>
      <c r="C340" s="559"/>
      <c r="D340" s="559"/>
      <c r="E340" s="559"/>
      <c r="F340" s="559"/>
      <c r="G340" s="559"/>
      <c r="H340" s="559"/>
      <c r="I340" s="559"/>
      <c r="J340" s="559"/>
      <c r="K340" s="559"/>
      <c r="L340" s="559"/>
      <c r="M340" s="559"/>
      <c r="N340" s="559"/>
      <c r="O340" s="559"/>
      <c r="P340" s="559"/>
      <c r="Q340" s="559"/>
      <c r="R340" s="559"/>
      <c r="S340" s="559"/>
      <c r="T340" s="559"/>
      <c r="U340" s="559"/>
      <c r="V340" s="559"/>
      <c r="W340" s="559"/>
      <c r="X340" s="559"/>
      <c r="Y340" s="559"/>
      <c r="Z340" s="559"/>
      <c r="AA340" s="559"/>
      <c r="AB340" s="559"/>
      <c r="AC340" s="559"/>
      <c r="AD340" s="559"/>
      <c r="AE340" s="559"/>
      <c r="AF340" s="559"/>
      <c r="AG340" s="559"/>
    </row>
    <row r="341" spans="1:33" ht="18" customHeight="1" x14ac:dyDescent="0.35">
      <c r="A341" s="559"/>
      <c r="B341" s="559"/>
      <c r="C341" s="559"/>
      <c r="D341" s="559"/>
      <c r="E341" s="559"/>
      <c r="F341" s="559"/>
      <c r="G341" s="559"/>
      <c r="H341" s="559"/>
      <c r="I341" s="559"/>
      <c r="J341" s="559"/>
      <c r="K341" s="559"/>
      <c r="L341" s="559"/>
      <c r="M341" s="559"/>
      <c r="N341" s="559"/>
      <c r="O341" s="559"/>
      <c r="P341" s="559"/>
      <c r="Q341" s="559"/>
      <c r="R341" s="559"/>
      <c r="S341" s="559"/>
      <c r="T341" s="559"/>
      <c r="U341" s="559"/>
      <c r="V341" s="559"/>
      <c r="W341" s="559"/>
      <c r="X341" s="559"/>
      <c r="Y341" s="559"/>
      <c r="Z341" s="559"/>
      <c r="AA341" s="559"/>
      <c r="AB341" s="559"/>
      <c r="AC341" s="559"/>
      <c r="AD341" s="559"/>
      <c r="AE341" s="559"/>
      <c r="AF341" s="559"/>
      <c r="AG341" s="559"/>
    </row>
    <row r="342" spans="1:33" ht="18" customHeight="1" x14ac:dyDescent="0.35">
      <c r="A342" s="559"/>
      <c r="B342" s="559"/>
      <c r="C342" s="559"/>
      <c r="D342" s="559"/>
      <c r="E342" s="559"/>
      <c r="F342" s="559"/>
      <c r="G342" s="559"/>
      <c r="H342" s="559"/>
      <c r="I342" s="559"/>
      <c r="J342" s="559"/>
      <c r="K342" s="559"/>
      <c r="L342" s="559"/>
      <c r="M342" s="559"/>
      <c r="N342" s="559"/>
      <c r="O342" s="559"/>
      <c r="P342" s="559"/>
      <c r="Q342" s="559"/>
      <c r="R342" s="559"/>
      <c r="S342" s="559"/>
      <c r="T342" s="559"/>
      <c r="U342" s="559"/>
      <c r="V342" s="559"/>
      <c r="W342" s="559"/>
      <c r="X342" s="559"/>
      <c r="Y342" s="559"/>
      <c r="Z342" s="559"/>
      <c r="AA342" s="559"/>
      <c r="AB342" s="559"/>
      <c r="AC342" s="559"/>
      <c r="AD342" s="559"/>
      <c r="AE342" s="559"/>
      <c r="AF342" s="559"/>
      <c r="AG342" s="559"/>
    </row>
    <row r="343" spans="1:33" ht="18" customHeight="1" x14ac:dyDescent="0.35">
      <c r="A343" s="559"/>
      <c r="B343" s="559"/>
      <c r="C343" s="559"/>
      <c r="D343" s="559"/>
      <c r="E343" s="559"/>
      <c r="F343" s="559"/>
      <c r="G343" s="559"/>
      <c r="H343" s="559"/>
      <c r="I343" s="559"/>
      <c r="J343" s="559"/>
      <c r="K343" s="559"/>
      <c r="L343" s="559"/>
      <c r="M343" s="559"/>
      <c r="N343" s="559"/>
      <c r="O343" s="559"/>
      <c r="P343" s="559"/>
      <c r="Q343" s="559"/>
      <c r="R343" s="559"/>
      <c r="S343" s="559"/>
      <c r="T343" s="559"/>
      <c r="U343" s="559"/>
      <c r="V343" s="559"/>
      <c r="W343" s="559"/>
      <c r="X343" s="559"/>
      <c r="Y343" s="559"/>
      <c r="Z343" s="559"/>
      <c r="AA343" s="559"/>
      <c r="AB343" s="559"/>
      <c r="AC343" s="559"/>
      <c r="AD343" s="559"/>
      <c r="AE343" s="559"/>
      <c r="AF343" s="559"/>
      <c r="AG343" s="559"/>
    </row>
    <row r="344" spans="1:33" ht="18" customHeight="1" x14ac:dyDescent="0.35">
      <c r="A344" s="559"/>
      <c r="B344" s="559"/>
      <c r="C344" s="559"/>
      <c r="D344" s="559"/>
      <c r="E344" s="559"/>
      <c r="F344" s="559"/>
      <c r="G344" s="559"/>
      <c r="H344" s="559"/>
      <c r="I344" s="559"/>
      <c r="J344" s="559"/>
      <c r="K344" s="559"/>
      <c r="L344" s="559"/>
      <c r="M344" s="559"/>
      <c r="N344" s="559"/>
      <c r="O344" s="559"/>
      <c r="P344" s="559"/>
      <c r="Q344" s="559"/>
      <c r="R344" s="559"/>
      <c r="S344" s="559"/>
      <c r="T344" s="559"/>
      <c r="U344" s="559"/>
      <c r="V344" s="559"/>
      <c r="W344" s="559"/>
      <c r="X344" s="559"/>
      <c r="Y344" s="559"/>
      <c r="Z344" s="559"/>
      <c r="AA344" s="559"/>
      <c r="AB344" s="559"/>
      <c r="AC344" s="559"/>
      <c r="AD344" s="559"/>
      <c r="AE344" s="559"/>
      <c r="AF344" s="559"/>
      <c r="AG344" s="559"/>
    </row>
    <row r="345" spans="1:33" ht="18" customHeight="1" x14ac:dyDescent="0.35">
      <c r="A345" s="559"/>
      <c r="B345" s="559"/>
      <c r="C345" s="559"/>
      <c r="D345" s="559"/>
      <c r="E345" s="559"/>
      <c r="F345" s="559"/>
      <c r="G345" s="559"/>
      <c r="H345" s="559"/>
      <c r="I345" s="559"/>
      <c r="J345" s="559"/>
      <c r="K345" s="559"/>
      <c r="L345" s="559"/>
      <c r="M345" s="559"/>
      <c r="N345" s="559"/>
      <c r="O345" s="559"/>
      <c r="P345" s="559"/>
      <c r="Q345" s="559"/>
      <c r="R345" s="559"/>
      <c r="S345" s="559"/>
      <c r="T345" s="559"/>
      <c r="U345" s="559"/>
      <c r="V345" s="559"/>
      <c r="W345" s="559"/>
      <c r="X345" s="559"/>
      <c r="Y345" s="559"/>
      <c r="Z345" s="559"/>
      <c r="AA345" s="559"/>
      <c r="AB345" s="559"/>
      <c r="AC345" s="559"/>
      <c r="AD345" s="559"/>
      <c r="AE345" s="559"/>
      <c r="AF345" s="559"/>
      <c r="AG345" s="559"/>
    </row>
    <row r="346" spans="1:33" ht="18" customHeight="1" x14ac:dyDescent="0.35">
      <c r="A346" s="559"/>
      <c r="B346" s="559"/>
      <c r="C346" s="559"/>
      <c r="D346" s="559"/>
      <c r="E346" s="559"/>
      <c r="F346" s="559"/>
      <c r="G346" s="559"/>
      <c r="H346" s="559"/>
      <c r="I346" s="559"/>
      <c r="J346" s="559"/>
      <c r="K346" s="559"/>
      <c r="L346" s="559"/>
      <c r="M346" s="559"/>
      <c r="N346" s="559"/>
      <c r="O346" s="559"/>
      <c r="P346" s="559"/>
      <c r="Q346" s="559"/>
      <c r="R346" s="559"/>
      <c r="S346" s="559"/>
      <c r="T346" s="559"/>
      <c r="U346" s="559"/>
      <c r="V346" s="559"/>
      <c r="W346" s="559"/>
      <c r="X346" s="559"/>
      <c r="Y346" s="559"/>
      <c r="Z346" s="559"/>
      <c r="AA346" s="559"/>
      <c r="AB346" s="559"/>
      <c r="AC346" s="559"/>
      <c r="AD346" s="559"/>
      <c r="AE346" s="559"/>
      <c r="AF346" s="559"/>
      <c r="AG346" s="559"/>
    </row>
    <row r="347" spans="1:33" ht="18" customHeight="1" x14ac:dyDescent="0.35">
      <c r="A347" s="559"/>
      <c r="B347" s="559"/>
      <c r="C347" s="559"/>
      <c r="D347" s="559"/>
      <c r="E347" s="559"/>
      <c r="F347" s="559"/>
      <c r="G347" s="559"/>
      <c r="H347" s="559"/>
      <c r="I347" s="559"/>
      <c r="J347" s="559"/>
      <c r="K347" s="559"/>
      <c r="L347" s="559"/>
      <c r="M347" s="559"/>
      <c r="N347" s="559"/>
      <c r="O347" s="559"/>
      <c r="P347" s="559"/>
      <c r="Q347" s="559"/>
      <c r="R347" s="559"/>
      <c r="S347" s="559"/>
      <c r="T347" s="559"/>
      <c r="U347" s="559"/>
      <c r="V347" s="559"/>
      <c r="W347" s="559"/>
      <c r="X347" s="559"/>
      <c r="Y347" s="559"/>
      <c r="Z347" s="559"/>
      <c r="AA347" s="559"/>
      <c r="AB347" s="559"/>
      <c r="AC347" s="559"/>
      <c r="AD347" s="559"/>
      <c r="AE347" s="559"/>
      <c r="AF347" s="559"/>
      <c r="AG347" s="559"/>
    </row>
    <row r="348" spans="1:33" ht="18" customHeight="1" x14ac:dyDescent="0.35">
      <c r="A348" s="559"/>
      <c r="B348" s="559"/>
      <c r="C348" s="559"/>
      <c r="D348" s="559"/>
      <c r="E348" s="559"/>
      <c r="F348" s="559"/>
      <c r="G348" s="559"/>
      <c r="H348" s="559"/>
      <c r="I348" s="559"/>
      <c r="J348" s="559"/>
      <c r="K348" s="559"/>
      <c r="L348" s="559"/>
      <c r="M348" s="559"/>
      <c r="N348" s="559"/>
      <c r="O348" s="559"/>
      <c r="P348" s="559"/>
      <c r="Q348" s="559"/>
      <c r="R348" s="559"/>
      <c r="S348" s="559"/>
      <c r="T348" s="559"/>
      <c r="U348" s="559"/>
      <c r="V348" s="559"/>
      <c r="W348" s="559"/>
      <c r="X348" s="559"/>
      <c r="Y348" s="559"/>
      <c r="Z348" s="559"/>
      <c r="AA348" s="559"/>
      <c r="AB348" s="559"/>
      <c r="AC348" s="559"/>
      <c r="AD348" s="559"/>
      <c r="AE348" s="559"/>
      <c r="AF348" s="559"/>
      <c r="AG348" s="559"/>
    </row>
    <row r="349" spans="1:33" ht="18" customHeight="1" x14ac:dyDescent="0.35">
      <c r="A349" s="559"/>
      <c r="B349" s="559"/>
      <c r="C349" s="559"/>
      <c r="D349" s="559"/>
      <c r="E349" s="559"/>
      <c r="F349" s="559"/>
      <c r="G349" s="559"/>
      <c r="H349" s="559"/>
      <c r="I349" s="559"/>
      <c r="J349" s="559"/>
      <c r="K349" s="559"/>
      <c r="L349" s="559"/>
      <c r="M349" s="559"/>
      <c r="N349" s="559"/>
      <c r="O349" s="559"/>
      <c r="P349" s="559"/>
      <c r="Q349" s="559"/>
      <c r="R349" s="559"/>
      <c r="S349" s="559"/>
      <c r="T349" s="559"/>
      <c r="U349" s="559"/>
      <c r="V349" s="559"/>
      <c r="W349" s="559"/>
      <c r="X349" s="559"/>
      <c r="Y349" s="559"/>
      <c r="Z349" s="559"/>
      <c r="AA349" s="559"/>
      <c r="AB349" s="559"/>
      <c r="AC349" s="559"/>
      <c r="AD349" s="559"/>
      <c r="AE349" s="559"/>
      <c r="AF349" s="559"/>
      <c r="AG349" s="559"/>
    </row>
    <row r="350" spans="1:33" ht="18" customHeight="1" x14ac:dyDescent="0.35">
      <c r="A350" s="559"/>
      <c r="B350" s="559"/>
      <c r="C350" s="559"/>
      <c r="D350" s="559"/>
      <c r="E350" s="559"/>
      <c r="F350" s="559"/>
      <c r="G350" s="559"/>
      <c r="H350" s="559"/>
      <c r="I350" s="559"/>
      <c r="J350" s="559"/>
      <c r="K350" s="559"/>
      <c r="L350" s="559"/>
      <c r="M350" s="559"/>
      <c r="N350" s="559"/>
      <c r="O350" s="559"/>
      <c r="P350" s="559"/>
      <c r="Q350" s="559"/>
      <c r="R350" s="559"/>
      <c r="S350" s="559"/>
      <c r="T350" s="559"/>
      <c r="U350" s="559"/>
      <c r="V350" s="559"/>
      <c r="W350" s="559"/>
      <c r="X350" s="559"/>
      <c r="Y350" s="559"/>
      <c r="Z350" s="559"/>
      <c r="AA350" s="559"/>
      <c r="AB350" s="559"/>
      <c r="AC350" s="559"/>
      <c r="AD350" s="559"/>
      <c r="AE350" s="559"/>
      <c r="AF350" s="559"/>
      <c r="AG350" s="559"/>
    </row>
    <row r="351" spans="1:33" ht="18" customHeight="1" x14ac:dyDescent="0.35">
      <c r="A351" s="559"/>
      <c r="B351" s="559"/>
      <c r="C351" s="559"/>
      <c r="D351" s="559"/>
      <c r="E351" s="559"/>
      <c r="F351" s="559"/>
      <c r="G351" s="559"/>
      <c r="H351" s="559"/>
      <c r="I351" s="559"/>
      <c r="J351" s="559"/>
      <c r="K351" s="559"/>
      <c r="L351" s="559"/>
      <c r="M351" s="559"/>
      <c r="N351" s="559"/>
      <c r="O351" s="559"/>
      <c r="P351" s="559"/>
      <c r="Q351" s="559"/>
      <c r="R351" s="559"/>
      <c r="S351" s="559"/>
      <c r="T351" s="559"/>
      <c r="U351" s="559"/>
      <c r="V351" s="559"/>
      <c r="W351" s="559"/>
      <c r="X351" s="559"/>
      <c r="Y351" s="559"/>
      <c r="Z351" s="559"/>
      <c r="AA351" s="559"/>
      <c r="AB351" s="559"/>
      <c r="AC351" s="559"/>
      <c r="AD351" s="559"/>
      <c r="AE351" s="559"/>
      <c r="AF351" s="559"/>
      <c r="AG351" s="559"/>
    </row>
    <row r="352" spans="1:33" ht="18" customHeight="1" x14ac:dyDescent="0.35">
      <c r="A352" s="559"/>
      <c r="B352" s="559"/>
      <c r="C352" s="559"/>
      <c r="D352" s="559"/>
      <c r="E352" s="559"/>
      <c r="F352" s="559"/>
      <c r="G352" s="559"/>
      <c r="H352" s="559"/>
      <c r="I352" s="559"/>
      <c r="J352" s="559"/>
      <c r="K352" s="559"/>
      <c r="L352" s="559"/>
      <c r="M352" s="559"/>
      <c r="N352" s="559"/>
      <c r="O352" s="559"/>
      <c r="P352" s="559"/>
      <c r="Q352" s="559"/>
      <c r="R352" s="559"/>
      <c r="S352" s="559"/>
      <c r="T352" s="559"/>
      <c r="U352" s="559"/>
      <c r="V352" s="559"/>
      <c r="W352" s="559"/>
      <c r="X352" s="559"/>
      <c r="Y352" s="559"/>
      <c r="Z352" s="559"/>
      <c r="AA352" s="559"/>
      <c r="AB352" s="559"/>
      <c r="AC352" s="559"/>
      <c r="AD352" s="559"/>
      <c r="AE352" s="559"/>
      <c r="AF352" s="559"/>
      <c r="AG352" s="559"/>
    </row>
    <row r="353" spans="1:33" ht="18" customHeight="1" x14ac:dyDescent="0.35">
      <c r="A353" s="559"/>
      <c r="B353" s="559"/>
      <c r="C353" s="559"/>
      <c r="D353" s="559"/>
      <c r="E353" s="559"/>
      <c r="F353" s="559"/>
      <c r="G353" s="559"/>
      <c r="H353" s="559"/>
      <c r="I353" s="559"/>
      <c r="J353" s="559"/>
      <c r="K353" s="559"/>
      <c r="L353" s="559"/>
      <c r="M353" s="559"/>
      <c r="N353" s="559"/>
      <c r="O353" s="559"/>
      <c r="P353" s="559"/>
      <c r="Q353" s="559"/>
      <c r="R353" s="559"/>
      <c r="S353" s="559"/>
      <c r="T353" s="559"/>
      <c r="U353" s="559"/>
      <c r="V353" s="559"/>
      <c r="W353" s="559"/>
      <c r="X353" s="559"/>
      <c r="Y353" s="559"/>
      <c r="Z353" s="559"/>
      <c r="AA353" s="559"/>
      <c r="AB353" s="559"/>
      <c r="AC353" s="559"/>
      <c r="AD353" s="559"/>
      <c r="AE353" s="559"/>
      <c r="AF353" s="559"/>
      <c r="AG353" s="559"/>
    </row>
    <row r="354" spans="1:33" ht="18" customHeight="1" x14ac:dyDescent="0.35">
      <c r="A354" s="559"/>
      <c r="B354" s="559"/>
      <c r="C354" s="559"/>
      <c r="D354" s="559"/>
      <c r="E354" s="559"/>
      <c r="F354" s="559"/>
      <c r="G354" s="559"/>
      <c r="H354" s="559"/>
      <c r="I354" s="559"/>
      <c r="J354" s="559"/>
      <c r="K354" s="559"/>
      <c r="L354" s="559"/>
      <c r="M354" s="559"/>
      <c r="N354" s="559"/>
      <c r="O354" s="559"/>
      <c r="P354" s="559"/>
      <c r="Q354" s="559"/>
      <c r="R354" s="559"/>
      <c r="S354" s="559"/>
      <c r="T354" s="559"/>
      <c r="U354" s="559"/>
      <c r="V354" s="559"/>
      <c r="W354" s="559"/>
      <c r="X354" s="559"/>
      <c r="Y354" s="559"/>
      <c r="Z354" s="559"/>
      <c r="AA354" s="559"/>
      <c r="AB354" s="559"/>
      <c r="AC354" s="559"/>
      <c r="AD354" s="559"/>
      <c r="AE354" s="559"/>
      <c r="AF354" s="559"/>
      <c r="AG354" s="559"/>
    </row>
    <row r="355" spans="1:33" ht="18" customHeight="1" x14ac:dyDescent="0.35">
      <c r="A355" s="559"/>
      <c r="B355" s="559"/>
      <c r="C355" s="559"/>
      <c r="D355" s="559"/>
      <c r="E355" s="559"/>
      <c r="F355" s="559"/>
      <c r="G355" s="559"/>
      <c r="H355" s="559"/>
      <c r="I355" s="559"/>
      <c r="J355" s="559"/>
      <c r="K355" s="559"/>
      <c r="L355" s="559"/>
      <c r="M355" s="559"/>
      <c r="N355" s="559"/>
      <c r="O355" s="559"/>
      <c r="P355" s="559"/>
      <c r="Q355" s="559"/>
      <c r="R355" s="559"/>
      <c r="S355" s="559"/>
      <c r="T355" s="559"/>
      <c r="U355" s="559"/>
      <c r="V355" s="559"/>
      <c r="W355" s="559"/>
      <c r="X355" s="559"/>
      <c r="Y355" s="559"/>
      <c r="Z355" s="559"/>
      <c r="AA355" s="559"/>
      <c r="AB355" s="559"/>
      <c r="AC355" s="559"/>
      <c r="AD355" s="559"/>
      <c r="AE355" s="559"/>
      <c r="AF355" s="559"/>
      <c r="AG355" s="559"/>
    </row>
    <row r="356" spans="1:33" ht="18" customHeight="1" x14ac:dyDescent="0.35">
      <c r="A356" s="559"/>
      <c r="B356" s="559"/>
      <c r="C356" s="559"/>
      <c r="D356" s="559"/>
      <c r="E356" s="559"/>
      <c r="F356" s="559"/>
      <c r="G356" s="559"/>
      <c r="H356" s="559"/>
      <c r="I356" s="559"/>
      <c r="J356" s="559"/>
      <c r="K356" s="559"/>
      <c r="L356" s="559"/>
      <c r="M356" s="559"/>
      <c r="N356" s="559"/>
      <c r="O356" s="559"/>
      <c r="P356" s="559"/>
      <c r="Q356" s="559"/>
      <c r="R356" s="559"/>
      <c r="S356" s="559"/>
      <c r="T356" s="559"/>
      <c r="U356" s="559"/>
      <c r="V356" s="559"/>
      <c r="W356" s="559"/>
      <c r="X356" s="559"/>
      <c r="Y356" s="559"/>
      <c r="Z356" s="559"/>
      <c r="AA356" s="559"/>
      <c r="AB356" s="559"/>
      <c r="AC356" s="559"/>
      <c r="AD356" s="559"/>
      <c r="AE356" s="559"/>
      <c r="AF356" s="559"/>
      <c r="AG356" s="559"/>
    </row>
    <row r="357" spans="1:33" ht="18" customHeight="1" x14ac:dyDescent="0.35">
      <c r="A357" s="559"/>
      <c r="B357" s="559"/>
      <c r="C357" s="559"/>
      <c r="D357" s="559"/>
      <c r="E357" s="559"/>
      <c r="F357" s="559"/>
      <c r="G357" s="559"/>
      <c r="H357" s="559"/>
      <c r="I357" s="559"/>
      <c r="J357" s="559"/>
      <c r="K357" s="559"/>
      <c r="L357" s="559"/>
      <c r="M357" s="559"/>
      <c r="N357" s="559"/>
      <c r="O357" s="559"/>
      <c r="P357" s="559"/>
      <c r="Q357" s="559"/>
      <c r="R357" s="559"/>
      <c r="S357" s="559"/>
      <c r="T357" s="559"/>
      <c r="U357" s="559"/>
      <c r="V357" s="559"/>
      <c r="W357" s="559"/>
      <c r="X357" s="559"/>
      <c r="Y357" s="559"/>
      <c r="Z357" s="559"/>
      <c r="AA357" s="559"/>
      <c r="AB357" s="559"/>
      <c r="AC357" s="559"/>
      <c r="AD357" s="559"/>
      <c r="AE357" s="559"/>
      <c r="AF357" s="559"/>
      <c r="AG357" s="559"/>
    </row>
    <row r="358" spans="1:33" ht="18" customHeight="1" x14ac:dyDescent="0.35">
      <c r="A358" s="559"/>
      <c r="B358" s="559"/>
      <c r="C358" s="559"/>
      <c r="D358" s="559"/>
      <c r="E358" s="559"/>
      <c r="F358" s="559"/>
      <c r="G358" s="559"/>
      <c r="H358" s="559"/>
      <c r="I358" s="559"/>
      <c r="J358" s="559"/>
      <c r="K358" s="559"/>
      <c r="L358" s="559"/>
      <c r="M358" s="559"/>
      <c r="N358" s="559"/>
      <c r="O358" s="559"/>
      <c r="P358" s="559"/>
      <c r="Q358" s="559"/>
      <c r="R358" s="559"/>
      <c r="S358" s="559"/>
      <c r="T358" s="559"/>
      <c r="U358" s="559"/>
      <c r="V358" s="559"/>
      <c r="W358" s="559"/>
      <c r="X358" s="559"/>
      <c r="Y358" s="559"/>
      <c r="Z358" s="559"/>
      <c r="AA358" s="559"/>
      <c r="AB358" s="559"/>
      <c r="AC358" s="559"/>
      <c r="AD358" s="559"/>
      <c r="AE358" s="559"/>
      <c r="AF358" s="559"/>
      <c r="AG358" s="559"/>
    </row>
    <row r="359" spans="1:33" ht="18" customHeight="1" x14ac:dyDescent="0.35">
      <c r="A359" s="559"/>
      <c r="B359" s="559"/>
      <c r="C359" s="559"/>
      <c r="D359" s="559"/>
      <c r="E359" s="559"/>
      <c r="F359" s="559"/>
      <c r="G359" s="559"/>
      <c r="H359" s="559"/>
      <c r="I359" s="559"/>
      <c r="J359" s="559"/>
      <c r="K359" s="559"/>
      <c r="L359" s="559"/>
      <c r="M359" s="559"/>
      <c r="N359" s="559"/>
      <c r="O359" s="559"/>
      <c r="P359" s="559"/>
      <c r="Q359" s="559"/>
      <c r="R359" s="559"/>
      <c r="S359" s="559"/>
      <c r="T359" s="559"/>
      <c r="U359" s="559"/>
      <c r="V359" s="559"/>
      <c r="W359" s="559"/>
      <c r="X359" s="559"/>
      <c r="Y359" s="559"/>
      <c r="Z359" s="559"/>
      <c r="AA359" s="559"/>
      <c r="AB359" s="559"/>
      <c r="AC359" s="559"/>
      <c r="AD359" s="559"/>
      <c r="AE359" s="559"/>
      <c r="AF359" s="559"/>
      <c r="AG359" s="559"/>
    </row>
    <row r="360" spans="1:33" ht="18" customHeight="1" x14ac:dyDescent="0.35">
      <c r="A360" s="559"/>
      <c r="B360" s="559"/>
      <c r="C360" s="559"/>
      <c r="D360" s="559"/>
      <c r="E360" s="559"/>
      <c r="F360" s="559"/>
      <c r="G360" s="559"/>
      <c r="H360" s="559"/>
      <c r="I360" s="559"/>
      <c r="J360" s="559"/>
      <c r="K360" s="559"/>
      <c r="L360" s="559"/>
      <c r="M360" s="559"/>
      <c r="N360" s="559"/>
      <c r="O360" s="559"/>
      <c r="P360" s="559"/>
      <c r="Q360" s="559"/>
      <c r="R360" s="559"/>
      <c r="S360" s="559"/>
      <c r="T360" s="559"/>
      <c r="U360" s="559"/>
      <c r="V360" s="559"/>
      <c r="W360" s="559"/>
      <c r="X360" s="559"/>
      <c r="Y360" s="559"/>
      <c r="Z360" s="559"/>
      <c r="AA360" s="559"/>
      <c r="AB360" s="559"/>
      <c r="AC360" s="559"/>
      <c r="AD360" s="559"/>
      <c r="AE360" s="559"/>
      <c r="AF360" s="559"/>
      <c r="AG360" s="559"/>
    </row>
    <row r="361" spans="1:33" ht="18" customHeight="1" x14ac:dyDescent="0.35">
      <c r="A361" s="559"/>
      <c r="B361" s="559"/>
      <c r="C361" s="559"/>
      <c r="D361" s="559"/>
      <c r="E361" s="559"/>
      <c r="F361" s="559"/>
      <c r="G361" s="559"/>
      <c r="H361" s="559"/>
      <c r="I361" s="559"/>
      <c r="J361" s="559"/>
      <c r="K361" s="559"/>
      <c r="L361" s="559"/>
      <c r="M361" s="559"/>
      <c r="N361" s="559"/>
      <c r="O361" s="559"/>
      <c r="P361" s="559"/>
      <c r="Q361" s="559"/>
      <c r="R361" s="559"/>
      <c r="S361" s="559"/>
      <c r="T361" s="559"/>
      <c r="U361" s="559"/>
      <c r="V361" s="559"/>
      <c r="W361" s="559"/>
      <c r="X361" s="559"/>
      <c r="Y361" s="559"/>
      <c r="Z361" s="559"/>
      <c r="AA361" s="559"/>
      <c r="AB361" s="559"/>
      <c r="AC361" s="559"/>
      <c r="AD361" s="559"/>
      <c r="AE361" s="559"/>
      <c r="AF361" s="559"/>
      <c r="AG361" s="559"/>
    </row>
    <row r="362" spans="1:33" ht="18" customHeight="1" x14ac:dyDescent="0.35">
      <c r="A362" s="559"/>
      <c r="B362" s="559"/>
      <c r="C362" s="559"/>
      <c r="D362" s="559"/>
      <c r="E362" s="559"/>
      <c r="F362" s="559"/>
      <c r="G362" s="559"/>
      <c r="H362" s="559"/>
      <c r="I362" s="559"/>
      <c r="J362" s="559"/>
      <c r="K362" s="559"/>
      <c r="L362" s="559"/>
      <c r="M362" s="559"/>
      <c r="N362" s="559"/>
      <c r="O362" s="559"/>
      <c r="P362" s="559"/>
      <c r="Q362" s="559"/>
      <c r="R362" s="559"/>
      <c r="S362" s="559"/>
      <c r="T362" s="559"/>
      <c r="U362" s="559"/>
      <c r="V362" s="559"/>
      <c r="W362" s="559"/>
      <c r="X362" s="559"/>
      <c r="Y362" s="559"/>
      <c r="Z362" s="559"/>
      <c r="AA362" s="559"/>
      <c r="AB362" s="559"/>
      <c r="AC362" s="559"/>
      <c r="AD362" s="559"/>
      <c r="AE362" s="559"/>
      <c r="AF362" s="559"/>
      <c r="AG362" s="559"/>
    </row>
    <row r="363" spans="1:33" ht="18" customHeight="1" x14ac:dyDescent="0.35">
      <c r="A363" s="559"/>
      <c r="B363" s="559"/>
      <c r="C363" s="559"/>
      <c r="D363" s="559"/>
      <c r="E363" s="559"/>
      <c r="F363" s="559"/>
      <c r="G363" s="559"/>
      <c r="H363" s="559"/>
      <c r="I363" s="559"/>
      <c r="J363" s="559"/>
      <c r="K363" s="559"/>
      <c r="L363" s="559"/>
      <c r="M363" s="559"/>
      <c r="N363" s="559"/>
      <c r="O363" s="559"/>
      <c r="P363" s="559"/>
      <c r="Q363" s="559"/>
      <c r="R363" s="559"/>
      <c r="S363" s="559"/>
      <c r="T363" s="559"/>
      <c r="U363" s="559"/>
      <c r="V363" s="559"/>
      <c r="W363" s="559"/>
      <c r="X363" s="559"/>
      <c r="Y363" s="559"/>
      <c r="Z363" s="559"/>
      <c r="AA363" s="559"/>
      <c r="AB363" s="559"/>
      <c r="AC363" s="559"/>
      <c r="AD363" s="559"/>
      <c r="AE363" s="559"/>
      <c r="AF363" s="559"/>
      <c r="AG363" s="559"/>
    </row>
    <row r="364" spans="1:33" ht="18" customHeight="1" x14ac:dyDescent="0.35">
      <c r="A364" s="559"/>
      <c r="B364" s="559"/>
      <c r="C364" s="559"/>
      <c r="D364" s="559"/>
      <c r="E364" s="559"/>
      <c r="F364" s="559"/>
      <c r="G364" s="559"/>
      <c r="H364" s="559"/>
      <c r="I364" s="559"/>
      <c r="J364" s="559"/>
      <c r="K364" s="559"/>
      <c r="L364" s="559"/>
      <c r="M364" s="559"/>
      <c r="N364" s="559"/>
      <c r="O364" s="559"/>
      <c r="P364" s="559"/>
      <c r="Q364" s="559"/>
      <c r="R364" s="559"/>
      <c r="S364" s="559"/>
      <c r="T364" s="559"/>
      <c r="U364" s="559"/>
      <c r="V364" s="559"/>
      <c r="W364" s="559"/>
      <c r="X364" s="559"/>
      <c r="Y364" s="559"/>
      <c r="Z364" s="559"/>
      <c r="AA364" s="559"/>
      <c r="AB364" s="559"/>
      <c r="AC364" s="559"/>
      <c r="AD364" s="559"/>
      <c r="AE364" s="559"/>
      <c r="AF364" s="559"/>
      <c r="AG364" s="559"/>
    </row>
    <row r="365" spans="1:33" ht="18" customHeight="1" x14ac:dyDescent="0.35">
      <c r="A365" s="559"/>
      <c r="B365" s="559"/>
      <c r="C365" s="559"/>
      <c r="D365" s="559"/>
      <c r="E365" s="559"/>
      <c r="F365" s="559"/>
      <c r="G365" s="559"/>
      <c r="H365" s="559"/>
      <c r="I365" s="559"/>
      <c r="J365" s="559"/>
      <c r="K365" s="559"/>
      <c r="L365" s="559"/>
      <c r="M365" s="559"/>
      <c r="N365" s="559"/>
      <c r="O365" s="559"/>
      <c r="P365" s="559"/>
      <c r="Q365" s="559"/>
      <c r="R365" s="559"/>
      <c r="S365" s="559"/>
      <c r="T365" s="559"/>
      <c r="U365" s="559"/>
      <c r="V365" s="559"/>
      <c r="W365" s="559"/>
      <c r="X365" s="559"/>
      <c r="Y365" s="559"/>
      <c r="Z365" s="559"/>
      <c r="AA365" s="559"/>
      <c r="AB365" s="559"/>
      <c r="AC365" s="559"/>
      <c r="AD365" s="559"/>
      <c r="AE365" s="559"/>
      <c r="AF365" s="559"/>
      <c r="AG365" s="559"/>
    </row>
    <row r="366" spans="1:33" ht="18" customHeight="1" x14ac:dyDescent="0.35">
      <c r="A366" s="559"/>
      <c r="B366" s="559"/>
      <c r="C366" s="559"/>
      <c r="D366" s="559"/>
      <c r="E366" s="559"/>
      <c r="F366" s="559"/>
      <c r="G366" s="559"/>
      <c r="H366" s="559"/>
      <c r="I366" s="559"/>
      <c r="J366" s="559"/>
      <c r="K366" s="559"/>
      <c r="L366" s="559"/>
      <c r="M366" s="559"/>
      <c r="N366" s="559"/>
      <c r="O366" s="559"/>
      <c r="P366" s="559"/>
      <c r="Q366" s="559"/>
      <c r="R366" s="559"/>
      <c r="S366" s="559"/>
      <c r="T366" s="559"/>
      <c r="U366" s="559"/>
      <c r="V366" s="559"/>
      <c r="W366" s="559"/>
      <c r="X366" s="559"/>
      <c r="Y366" s="559"/>
      <c r="Z366" s="559"/>
      <c r="AA366" s="559"/>
      <c r="AB366" s="559"/>
      <c r="AC366" s="559"/>
      <c r="AD366" s="559"/>
      <c r="AE366" s="559"/>
      <c r="AF366" s="559"/>
      <c r="AG366" s="559"/>
    </row>
    <row r="367" spans="1:33" ht="18" customHeight="1" x14ac:dyDescent="0.35">
      <c r="A367" s="559"/>
      <c r="B367" s="559"/>
      <c r="C367" s="559"/>
      <c r="D367" s="559"/>
      <c r="E367" s="559"/>
      <c r="F367" s="559"/>
      <c r="G367" s="559"/>
      <c r="H367" s="559"/>
      <c r="I367" s="559"/>
      <c r="J367" s="559"/>
      <c r="K367" s="559"/>
      <c r="L367" s="559"/>
      <c r="M367" s="559"/>
      <c r="N367" s="559"/>
      <c r="O367" s="559"/>
      <c r="P367" s="559"/>
      <c r="Q367" s="559"/>
      <c r="R367" s="559"/>
      <c r="S367" s="559"/>
      <c r="T367" s="559"/>
      <c r="U367" s="559"/>
      <c r="V367" s="559"/>
      <c r="W367" s="559"/>
      <c r="X367" s="559"/>
      <c r="Y367" s="559"/>
      <c r="Z367" s="559"/>
      <c r="AA367" s="559"/>
      <c r="AB367" s="559"/>
      <c r="AC367" s="559"/>
      <c r="AD367" s="559"/>
      <c r="AE367" s="559"/>
      <c r="AF367" s="559"/>
      <c r="AG367" s="559"/>
    </row>
    <row r="368" spans="1:33" ht="18" customHeight="1" x14ac:dyDescent="0.35">
      <c r="A368" s="559"/>
      <c r="B368" s="559"/>
      <c r="C368" s="559"/>
      <c r="D368" s="559"/>
      <c r="E368" s="559"/>
      <c r="F368" s="559"/>
      <c r="G368" s="559"/>
      <c r="H368" s="559"/>
      <c r="I368" s="559"/>
      <c r="J368" s="559"/>
      <c r="K368" s="559"/>
      <c r="L368" s="559"/>
      <c r="M368" s="559"/>
      <c r="N368" s="559"/>
      <c r="O368" s="559"/>
      <c r="P368" s="559"/>
      <c r="Q368" s="559"/>
      <c r="R368" s="559"/>
      <c r="S368" s="559"/>
      <c r="T368" s="559"/>
      <c r="U368" s="559"/>
      <c r="V368" s="559"/>
      <c r="W368" s="559"/>
      <c r="X368" s="559"/>
      <c r="Y368" s="559"/>
      <c r="Z368" s="559"/>
      <c r="AA368" s="559"/>
      <c r="AB368" s="559"/>
      <c r="AC368" s="559"/>
      <c r="AD368" s="559"/>
      <c r="AE368" s="559"/>
      <c r="AF368" s="559"/>
      <c r="AG368" s="559"/>
    </row>
    <row r="369" spans="1:33" ht="18" customHeight="1" x14ac:dyDescent="0.35">
      <c r="A369" s="559"/>
      <c r="B369" s="559"/>
      <c r="C369" s="559"/>
      <c r="D369" s="559"/>
      <c r="E369" s="559"/>
      <c r="F369" s="559"/>
      <c r="G369" s="559"/>
      <c r="H369" s="559"/>
      <c r="I369" s="559"/>
      <c r="J369" s="559"/>
      <c r="K369" s="559"/>
      <c r="L369" s="559"/>
      <c r="M369" s="559"/>
      <c r="N369" s="559"/>
      <c r="O369" s="559"/>
      <c r="P369" s="559"/>
      <c r="Q369" s="559"/>
      <c r="R369" s="559"/>
      <c r="S369" s="559"/>
      <c r="T369" s="559"/>
      <c r="U369" s="559"/>
      <c r="V369" s="559"/>
      <c r="W369" s="559"/>
      <c r="X369" s="559"/>
      <c r="Y369" s="559"/>
      <c r="Z369" s="559"/>
      <c r="AA369" s="559"/>
      <c r="AB369" s="559"/>
      <c r="AC369" s="559"/>
      <c r="AD369" s="559"/>
      <c r="AE369" s="559"/>
      <c r="AF369" s="559"/>
      <c r="AG369" s="559"/>
    </row>
    <row r="370" spans="1:33" ht="18" customHeight="1" x14ac:dyDescent="0.35">
      <c r="A370" s="559"/>
      <c r="B370" s="559"/>
      <c r="C370" s="559"/>
      <c r="D370" s="559"/>
      <c r="E370" s="559"/>
      <c r="F370" s="559"/>
      <c r="G370" s="559"/>
      <c r="H370" s="559"/>
      <c r="I370" s="559"/>
      <c r="J370" s="559"/>
      <c r="K370" s="559"/>
      <c r="L370" s="559"/>
      <c r="M370" s="559"/>
      <c r="N370" s="559"/>
      <c r="O370" s="559"/>
      <c r="P370" s="559"/>
      <c r="Q370" s="559"/>
      <c r="R370" s="559"/>
      <c r="S370" s="559"/>
      <c r="T370" s="559"/>
      <c r="U370" s="559"/>
      <c r="V370" s="559"/>
      <c r="W370" s="559"/>
      <c r="X370" s="559"/>
      <c r="Y370" s="559"/>
      <c r="Z370" s="559"/>
      <c r="AA370" s="559"/>
      <c r="AB370" s="559"/>
      <c r="AC370" s="559"/>
      <c r="AD370" s="559"/>
      <c r="AE370" s="559"/>
      <c r="AF370" s="559"/>
      <c r="AG370" s="559"/>
    </row>
    <row r="371" spans="1:33" ht="18" customHeight="1" x14ac:dyDescent="0.35">
      <c r="A371" s="559"/>
      <c r="B371" s="559"/>
      <c r="C371" s="559"/>
      <c r="D371" s="559"/>
      <c r="E371" s="559"/>
      <c r="F371" s="559"/>
      <c r="G371" s="559"/>
      <c r="H371" s="559"/>
      <c r="I371" s="559"/>
      <c r="J371" s="559"/>
      <c r="K371" s="559"/>
      <c r="L371" s="559"/>
      <c r="M371" s="559"/>
      <c r="N371" s="559"/>
      <c r="O371" s="559"/>
      <c r="P371" s="559"/>
      <c r="Q371" s="559"/>
      <c r="R371" s="559"/>
      <c r="S371" s="559"/>
      <c r="T371" s="559"/>
      <c r="U371" s="559"/>
      <c r="V371" s="559"/>
      <c r="W371" s="559"/>
      <c r="X371" s="559"/>
      <c r="Y371" s="559"/>
      <c r="Z371" s="559"/>
      <c r="AA371" s="559"/>
      <c r="AB371" s="559"/>
      <c r="AC371" s="559"/>
      <c r="AD371" s="559"/>
      <c r="AE371" s="559"/>
      <c r="AF371" s="559"/>
      <c r="AG371" s="559"/>
    </row>
    <row r="372" spans="1:33" ht="18" customHeight="1" x14ac:dyDescent="0.35">
      <c r="A372" s="559"/>
      <c r="B372" s="559"/>
      <c r="C372" s="559"/>
      <c r="D372" s="559"/>
      <c r="E372" s="559"/>
      <c r="F372" s="559"/>
      <c r="G372" s="559"/>
      <c r="H372" s="559"/>
      <c r="I372" s="559"/>
      <c r="J372" s="559"/>
      <c r="K372" s="559"/>
      <c r="L372" s="559"/>
      <c r="M372" s="559"/>
      <c r="N372" s="559"/>
      <c r="O372" s="559"/>
      <c r="P372" s="559"/>
      <c r="Q372" s="559"/>
      <c r="R372" s="559"/>
      <c r="S372" s="559"/>
      <c r="T372" s="559"/>
      <c r="U372" s="559"/>
      <c r="V372" s="559"/>
      <c r="W372" s="559"/>
      <c r="X372" s="559"/>
      <c r="Y372" s="559"/>
      <c r="Z372" s="559"/>
      <c r="AA372" s="559"/>
      <c r="AB372" s="559"/>
      <c r="AC372" s="559"/>
      <c r="AD372" s="559"/>
      <c r="AE372" s="559"/>
      <c r="AF372" s="559"/>
      <c r="AG372" s="559"/>
    </row>
    <row r="373" spans="1:33" ht="18" customHeight="1" x14ac:dyDescent="0.35">
      <c r="A373" s="559"/>
      <c r="B373" s="559"/>
      <c r="C373" s="559"/>
      <c r="D373" s="559"/>
      <c r="E373" s="559"/>
      <c r="F373" s="559"/>
      <c r="G373" s="559"/>
      <c r="H373" s="559"/>
      <c r="I373" s="559"/>
      <c r="J373" s="559"/>
      <c r="K373" s="559"/>
      <c r="L373" s="559"/>
      <c r="M373" s="559"/>
      <c r="N373" s="559"/>
      <c r="O373" s="559"/>
      <c r="P373" s="559"/>
      <c r="Q373" s="559"/>
      <c r="R373" s="559"/>
      <c r="S373" s="559"/>
      <c r="T373" s="559"/>
      <c r="U373" s="559"/>
      <c r="V373" s="559"/>
      <c r="W373" s="559"/>
      <c r="X373" s="559"/>
      <c r="Y373" s="559"/>
      <c r="Z373" s="559"/>
      <c r="AA373" s="559"/>
      <c r="AB373" s="559"/>
      <c r="AC373" s="559"/>
      <c r="AD373" s="559"/>
      <c r="AE373" s="559"/>
      <c r="AF373" s="559"/>
      <c r="AG373" s="559"/>
    </row>
    <row r="374" spans="1:33" ht="18" customHeight="1" x14ac:dyDescent="0.35">
      <c r="A374" s="559"/>
      <c r="B374" s="559"/>
      <c r="C374" s="559"/>
      <c r="D374" s="559"/>
      <c r="E374" s="559"/>
      <c r="F374" s="559"/>
      <c r="G374" s="559"/>
      <c r="H374" s="559"/>
      <c r="I374" s="559"/>
      <c r="J374" s="559"/>
      <c r="K374" s="559"/>
      <c r="L374" s="559"/>
      <c r="M374" s="559"/>
      <c r="N374" s="559"/>
      <c r="O374" s="559"/>
      <c r="P374" s="559"/>
      <c r="Q374" s="559"/>
      <c r="R374" s="559"/>
      <c r="S374" s="559"/>
      <c r="T374" s="559"/>
      <c r="U374" s="559"/>
      <c r="V374" s="559"/>
      <c r="W374" s="559"/>
      <c r="X374" s="559"/>
      <c r="Y374" s="559"/>
      <c r="Z374" s="559"/>
      <c r="AA374" s="559"/>
      <c r="AB374" s="559"/>
      <c r="AC374" s="559"/>
      <c r="AD374" s="559"/>
      <c r="AE374" s="559"/>
      <c r="AF374" s="559"/>
      <c r="AG374" s="559"/>
    </row>
    <row r="375" spans="1:33" ht="18" customHeight="1" x14ac:dyDescent="0.35">
      <c r="A375" s="559"/>
      <c r="B375" s="559"/>
      <c r="C375" s="559"/>
      <c r="D375" s="559"/>
      <c r="E375" s="559"/>
      <c r="F375" s="559"/>
      <c r="G375" s="559"/>
      <c r="H375" s="559"/>
      <c r="I375" s="559"/>
      <c r="J375" s="559"/>
      <c r="K375" s="559"/>
      <c r="L375" s="559"/>
      <c r="M375" s="559"/>
      <c r="N375" s="559"/>
      <c r="O375" s="559"/>
      <c r="P375" s="559"/>
      <c r="Q375" s="559"/>
      <c r="R375" s="559"/>
      <c r="S375" s="559"/>
      <c r="T375" s="559"/>
      <c r="U375" s="559"/>
      <c r="V375" s="559"/>
      <c r="W375" s="559"/>
      <c r="X375" s="559"/>
      <c r="Y375" s="559"/>
      <c r="Z375" s="559"/>
      <c r="AA375" s="559"/>
      <c r="AB375" s="559"/>
      <c r="AC375" s="559"/>
      <c r="AD375" s="559"/>
      <c r="AE375" s="559"/>
      <c r="AF375" s="559"/>
      <c r="AG375" s="559"/>
    </row>
    <row r="376" spans="1:33" ht="18" customHeight="1" x14ac:dyDescent="0.35">
      <c r="A376" s="559"/>
      <c r="B376" s="559"/>
      <c r="C376" s="559"/>
      <c r="D376" s="559"/>
      <c r="E376" s="559"/>
      <c r="F376" s="559"/>
      <c r="G376" s="559"/>
      <c r="H376" s="559"/>
      <c r="I376" s="559"/>
      <c r="J376" s="559"/>
      <c r="K376" s="559"/>
      <c r="L376" s="559"/>
      <c r="M376" s="559"/>
      <c r="N376" s="559"/>
      <c r="O376" s="559"/>
      <c r="P376" s="559"/>
      <c r="Q376" s="559"/>
      <c r="R376" s="559"/>
      <c r="S376" s="559"/>
      <c r="T376" s="559"/>
      <c r="U376" s="559"/>
      <c r="V376" s="559"/>
      <c r="W376" s="559"/>
      <c r="X376" s="559"/>
      <c r="Y376" s="559"/>
      <c r="Z376" s="559"/>
      <c r="AA376" s="559"/>
      <c r="AB376" s="559"/>
      <c r="AC376" s="559"/>
      <c r="AD376" s="559"/>
      <c r="AE376" s="559"/>
      <c r="AF376" s="559"/>
      <c r="AG376" s="559"/>
    </row>
    <row r="377" spans="1:33" ht="18" customHeight="1" x14ac:dyDescent="0.35">
      <c r="A377" s="559"/>
      <c r="B377" s="559"/>
      <c r="C377" s="559"/>
      <c r="D377" s="559"/>
      <c r="E377" s="559"/>
      <c r="F377" s="559"/>
      <c r="G377" s="559"/>
      <c r="H377" s="559"/>
      <c r="I377" s="559"/>
      <c r="J377" s="559"/>
      <c r="K377" s="559"/>
      <c r="L377" s="559"/>
      <c r="M377" s="559"/>
      <c r="N377" s="559"/>
      <c r="O377" s="559"/>
      <c r="P377" s="559"/>
      <c r="Q377" s="559"/>
      <c r="R377" s="559"/>
      <c r="S377" s="559"/>
      <c r="T377" s="559"/>
      <c r="U377" s="559"/>
      <c r="V377" s="559"/>
      <c r="W377" s="559"/>
      <c r="X377" s="559"/>
      <c r="Y377" s="559"/>
      <c r="Z377" s="559"/>
      <c r="AA377" s="559"/>
      <c r="AB377" s="559"/>
      <c r="AC377" s="559"/>
      <c r="AD377" s="559"/>
      <c r="AE377" s="559"/>
      <c r="AF377" s="559"/>
      <c r="AG377" s="559"/>
    </row>
    <row r="378" spans="1:33" ht="18" customHeight="1" x14ac:dyDescent="0.35">
      <c r="A378" s="559"/>
      <c r="B378" s="559"/>
      <c r="C378" s="559"/>
      <c r="D378" s="559"/>
      <c r="E378" s="559"/>
      <c r="F378" s="559"/>
      <c r="G378" s="559"/>
      <c r="H378" s="559"/>
      <c r="I378" s="559"/>
      <c r="J378" s="559"/>
      <c r="K378" s="559"/>
      <c r="L378" s="559"/>
      <c r="M378" s="559"/>
      <c r="N378" s="559"/>
      <c r="O378" s="559"/>
      <c r="P378" s="559"/>
      <c r="Q378" s="559"/>
      <c r="R378" s="559"/>
      <c r="S378" s="559"/>
      <c r="T378" s="559"/>
      <c r="U378" s="559"/>
      <c r="V378" s="559"/>
      <c r="W378" s="559"/>
      <c r="X378" s="559"/>
      <c r="Y378" s="559"/>
      <c r="Z378" s="559"/>
      <c r="AA378" s="559"/>
      <c r="AB378" s="559"/>
      <c r="AC378" s="559"/>
      <c r="AD378" s="559"/>
      <c r="AE378" s="559"/>
      <c r="AF378" s="559"/>
      <c r="AG378" s="559"/>
    </row>
    <row r="379" spans="1:33" ht="18" customHeight="1" x14ac:dyDescent="0.35">
      <c r="A379" s="559"/>
      <c r="B379" s="559"/>
      <c r="C379" s="559"/>
      <c r="D379" s="559"/>
      <c r="E379" s="559"/>
      <c r="F379" s="559"/>
      <c r="G379" s="559"/>
      <c r="H379" s="559"/>
      <c r="I379" s="559"/>
      <c r="J379" s="559"/>
      <c r="K379" s="559"/>
      <c r="L379" s="559"/>
      <c r="M379" s="559"/>
      <c r="N379" s="559"/>
      <c r="O379" s="559"/>
      <c r="P379" s="559"/>
      <c r="Q379" s="559"/>
      <c r="R379" s="559"/>
      <c r="S379" s="559"/>
      <c r="T379" s="559"/>
      <c r="U379" s="559"/>
      <c r="V379" s="559"/>
      <c r="W379" s="559"/>
      <c r="X379" s="559"/>
      <c r="Y379" s="559"/>
      <c r="Z379" s="559"/>
      <c r="AA379" s="559"/>
      <c r="AB379" s="559"/>
      <c r="AC379" s="559"/>
      <c r="AD379" s="559"/>
      <c r="AE379" s="559"/>
      <c r="AF379" s="559"/>
      <c r="AG379" s="559"/>
    </row>
    <row r="380" spans="1:33" ht="18" customHeight="1" x14ac:dyDescent="0.35">
      <c r="A380" s="559"/>
      <c r="B380" s="559"/>
      <c r="C380" s="559"/>
      <c r="D380" s="559"/>
      <c r="E380" s="559"/>
      <c r="F380" s="559"/>
      <c r="G380" s="559"/>
      <c r="H380" s="559"/>
      <c r="I380" s="559"/>
      <c r="J380" s="559"/>
      <c r="K380" s="559"/>
      <c r="L380" s="559"/>
      <c r="M380" s="559"/>
      <c r="N380" s="559"/>
      <c r="O380" s="559"/>
      <c r="P380" s="559"/>
      <c r="Q380" s="559"/>
      <c r="R380" s="559"/>
      <c r="S380" s="559"/>
      <c r="T380" s="559"/>
      <c r="U380" s="559"/>
      <c r="V380" s="559"/>
      <c r="W380" s="559"/>
      <c r="X380" s="559"/>
      <c r="Y380" s="559"/>
      <c r="Z380" s="559"/>
      <c r="AA380" s="559"/>
      <c r="AB380" s="559"/>
      <c r="AC380" s="559"/>
      <c r="AD380" s="559"/>
      <c r="AE380" s="559"/>
      <c r="AF380" s="559"/>
      <c r="AG380" s="559"/>
    </row>
    <row r="381" spans="1:33" ht="18" customHeight="1" x14ac:dyDescent="0.35">
      <c r="A381" s="559"/>
      <c r="B381" s="559"/>
      <c r="C381" s="559"/>
      <c r="D381" s="559"/>
      <c r="E381" s="559"/>
      <c r="F381" s="559"/>
      <c r="G381" s="559"/>
      <c r="H381" s="559"/>
      <c r="I381" s="559"/>
      <c r="J381" s="559"/>
      <c r="K381" s="559"/>
      <c r="L381" s="559"/>
      <c r="M381" s="559"/>
      <c r="N381" s="559"/>
      <c r="O381" s="559"/>
      <c r="P381" s="559"/>
      <c r="Q381" s="559"/>
      <c r="R381" s="559"/>
      <c r="S381" s="559"/>
      <c r="T381" s="559"/>
      <c r="U381" s="559"/>
      <c r="V381" s="559"/>
      <c r="W381" s="559"/>
      <c r="X381" s="559"/>
      <c r="Y381" s="559"/>
      <c r="Z381" s="559"/>
      <c r="AA381" s="559"/>
      <c r="AB381" s="559"/>
      <c r="AC381" s="559"/>
      <c r="AD381" s="559"/>
      <c r="AE381" s="559"/>
      <c r="AF381" s="559"/>
      <c r="AG381" s="559"/>
    </row>
    <row r="382" spans="1:33" ht="18" customHeight="1" x14ac:dyDescent="0.35">
      <c r="A382" s="559"/>
      <c r="B382" s="559"/>
      <c r="C382" s="559"/>
      <c r="D382" s="559"/>
      <c r="E382" s="559"/>
      <c r="F382" s="559"/>
      <c r="G382" s="559"/>
      <c r="H382" s="559"/>
      <c r="I382" s="559"/>
      <c r="J382" s="559"/>
      <c r="K382" s="559"/>
      <c r="L382" s="559"/>
      <c r="M382" s="559"/>
      <c r="N382" s="559"/>
      <c r="O382" s="559"/>
      <c r="P382" s="559"/>
      <c r="Q382" s="559"/>
      <c r="R382" s="559"/>
      <c r="S382" s="559"/>
      <c r="T382" s="559"/>
      <c r="U382" s="559"/>
      <c r="V382" s="559"/>
      <c r="W382" s="559"/>
      <c r="X382" s="559"/>
      <c r="Y382" s="559"/>
      <c r="Z382" s="559"/>
      <c r="AA382" s="559"/>
      <c r="AB382" s="559"/>
      <c r="AC382" s="559"/>
      <c r="AD382" s="559"/>
      <c r="AE382" s="559"/>
      <c r="AF382" s="559"/>
      <c r="AG382" s="559"/>
    </row>
    <row r="383" spans="1:33" ht="18" customHeight="1" x14ac:dyDescent="0.35">
      <c r="A383" s="559"/>
      <c r="B383" s="559"/>
      <c r="C383" s="559"/>
      <c r="D383" s="559"/>
      <c r="E383" s="559"/>
      <c r="F383" s="559"/>
      <c r="G383" s="559"/>
      <c r="H383" s="559"/>
      <c r="I383" s="559"/>
      <c r="J383" s="559"/>
      <c r="K383" s="559"/>
      <c r="L383" s="559"/>
      <c r="M383" s="559"/>
      <c r="N383" s="559"/>
      <c r="O383" s="559"/>
      <c r="P383" s="559"/>
      <c r="Q383" s="559"/>
      <c r="R383" s="559"/>
      <c r="S383" s="559"/>
      <c r="T383" s="559"/>
      <c r="U383" s="559"/>
      <c r="V383" s="559"/>
      <c r="W383" s="559"/>
      <c r="X383" s="559"/>
      <c r="Y383" s="559"/>
      <c r="Z383" s="559"/>
      <c r="AA383" s="559"/>
      <c r="AB383" s="559"/>
      <c r="AC383" s="559"/>
      <c r="AD383" s="559"/>
      <c r="AE383" s="559"/>
      <c r="AF383" s="559"/>
      <c r="AG383" s="559"/>
    </row>
    <row r="384" spans="1:33" ht="18" customHeight="1" x14ac:dyDescent="0.35">
      <c r="A384" s="559"/>
      <c r="B384" s="559"/>
      <c r="C384" s="559"/>
      <c r="D384" s="559"/>
      <c r="E384" s="559"/>
      <c r="F384" s="559"/>
      <c r="G384" s="559"/>
      <c r="H384" s="559"/>
      <c r="I384" s="559"/>
      <c r="J384" s="559"/>
      <c r="K384" s="559"/>
      <c r="L384" s="559"/>
      <c r="M384" s="559"/>
      <c r="N384" s="559"/>
      <c r="O384" s="559"/>
      <c r="P384" s="559"/>
      <c r="Q384" s="559"/>
      <c r="R384" s="559"/>
      <c r="S384" s="559"/>
      <c r="T384" s="559"/>
      <c r="U384" s="559"/>
      <c r="V384" s="559"/>
      <c r="W384" s="559"/>
      <c r="X384" s="559"/>
      <c r="Y384" s="559"/>
      <c r="Z384" s="559"/>
      <c r="AA384" s="559"/>
      <c r="AB384" s="559"/>
      <c r="AC384" s="559"/>
      <c r="AD384" s="559"/>
      <c r="AE384" s="559"/>
      <c r="AF384" s="559"/>
      <c r="AG384" s="559"/>
    </row>
    <row r="385" spans="1:33" ht="18" customHeight="1" x14ac:dyDescent="0.35">
      <c r="A385" s="559"/>
      <c r="B385" s="559"/>
      <c r="C385" s="559"/>
      <c r="D385" s="559"/>
      <c r="E385" s="559"/>
      <c r="F385" s="559"/>
      <c r="G385" s="559"/>
      <c r="H385" s="559"/>
      <c r="I385" s="559"/>
      <c r="J385" s="559"/>
      <c r="K385" s="559"/>
      <c r="L385" s="559"/>
      <c r="M385" s="559"/>
      <c r="N385" s="559"/>
      <c r="O385" s="559"/>
      <c r="P385" s="559"/>
      <c r="Q385" s="559"/>
      <c r="R385" s="559"/>
      <c r="S385" s="559"/>
      <c r="T385" s="559"/>
      <c r="U385" s="559"/>
      <c r="V385" s="559"/>
      <c r="W385" s="559"/>
      <c r="X385" s="559"/>
      <c r="Y385" s="559"/>
      <c r="Z385" s="559"/>
      <c r="AA385" s="559"/>
      <c r="AB385" s="559"/>
      <c r="AC385" s="559"/>
      <c r="AD385" s="559"/>
      <c r="AE385" s="559"/>
      <c r="AF385" s="559"/>
      <c r="AG385" s="559"/>
    </row>
    <row r="386" spans="1:33" ht="18" customHeight="1" x14ac:dyDescent="0.35">
      <c r="A386" s="559"/>
      <c r="B386" s="559"/>
      <c r="C386" s="559"/>
      <c r="D386" s="559"/>
      <c r="E386" s="559"/>
      <c r="F386" s="559"/>
      <c r="G386" s="559"/>
      <c r="H386" s="559"/>
      <c r="I386" s="559"/>
      <c r="J386" s="559"/>
      <c r="K386" s="559"/>
      <c r="L386" s="559"/>
      <c r="M386" s="559"/>
      <c r="N386" s="559"/>
      <c r="O386" s="559"/>
      <c r="P386" s="559"/>
      <c r="Q386" s="559"/>
      <c r="R386" s="559"/>
      <c r="S386" s="559"/>
      <c r="T386" s="559"/>
      <c r="U386" s="559"/>
      <c r="V386" s="559"/>
      <c r="W386" s="559"/>
      <c r="X386" s="559"/>
      <c r="Y386" s="559"/>
      <c r="Z386" s="559"/>
      <c r="AA386" s="559"/>
      <c r="AB386" s="559"/>
      <c r="AC386" s="559"/>
      <c r="AD386" s="559"/>
      <c r="AE386" s="559"/>
      <c r="AF386" s="559"/>
      <c r="AG386" s="559"/>
    </row>
    <row r="387" spans="1:33" ht="18" customHeight="1" x14ac:dyDescent="0.35">
      <c r="A387" s="559"/>
      <c r="B387" s="559"/>
      <c r="C387" s="559"/>
      <c r="D387" s="559"/>
      <c r="E387" s="559"/>
      <c r="F387" s="559"/>
      <c r="G387" s="559"/>
      <c r="H387" s="559"/>
      <c r="I387" s="559"/>
      <c r="J387" s="559"/>
      <c r="K387" s="559"/>
      <c r="L387" s="559"/>
      <c r="M387" s="559"/>
      <c r="N387" s="559"/>
      <c r="O387" s="559"/>
      <c r="P387" s="559"/>
      <c r="Q387" s="559"/>
      <c r="R387" s="559"/>
      <c r="S387" s="559"/>
      <c r="T387" s="559"/>
      <c r="U387" s="559"/>
      <c r="V387" s="559"/>
      <c r="W387" s="559"/>
      <c r="X387" s="559"/>
      <c r="Y387" s="559"/>
      <c r="Z387" s="559"/>
      <c r="AA387" s="559"/>
      <c r="AB387" s="559"/>
      <c r="AC387" s="559"/>
      <c r="AD387" s="559"/>
      <c r="AE387" s="559"/>
      <c r="AF387" s="559"/>
      <c r="AG387" s="559"/>
    </row>
    <row r="388" spans="1:33" ht="18" customHeight="1" x14ac:dyDescent="0.35">
      <c r="A388" s="559"/>
      <c r="B388" s="559"/>
      <c r="C388" s="559"/>
      <c r="D388" s="559"/>
      <c r="E388" s="559"/>
      <c r="F388" s="559"/>
      <c r="G388" s="559"/>
      <c r="H388" s="559"/>
      <c r="I388" s="559"/>
      <c r="J388" s="559"/>
      <c r="K388" s="559"/>
      <c r="L388" s="559"/>
      <c r="M388" s="559"/>
      <c r="N388" s="559"/>
      <c r="O388" s="559"/>
      <c r="P388" s="559"/>
      <c r="Q388" s="559"/>
      <c r="R388" s="559"/>
      <c r="S388" s="559"/>
      <c r="T388" s="559"/>
      <c r="U388" s="559"/>
      <c r="V388" s="559"/>
      <c r="W388" s="559"/>
      <c r="X388" s="559"/>
      <c r="Y388" s="559"/>
      <c r="Z388" s="559"/>
      <c r="AA388" s="559"/>
      <c r="AB388" s="559"/>
      <c r="AC388" s="559"/>
      <c r="AD388" s="559"/>
      <c r="AE388" s="559"/>
      <c r="AF388" s="559"/>
      <c r="AG388" s="559"/>
    </row>
    <row r="389" spans="1:33" ht="18" customHeight="1" x14ac:dyDescent="0.35">
      <c r="A389" s="559"/>
      <c r="B389" s="559"/>
      <c r="C389" s="559"/>
      <c r="D389" s="559"/>
      <c r="E389" s="559"/>
      <c r="F389" s="559"/>
      <c r="G389" s="559"/>
      <c r="H389" s="559"/>
      <c r="I389" s="559"/>
      <c r="J389" s="559"/>
      <c r="K389" s="559"/>
      <c r="L389" s="559"/>
      <c r="M389" s="559"/>
      <c r="N389" s="559"/>
      <c r="O389" s="559"/>
      <c r="P389" s="559"/>
      <c r="Q389" s="559"/>
      <c r="R389" s="559"/>
      <c r="S389" s="559"/>
      <c r="T389" s="559"/>
      <c r="U389" s="559"/>
      <c r="V389" s="559"/>
      <c r="W389" s="559"/>
      <c r="X389" s="559"/>
      <c r="Y389" s="559"/>
      <c r="Z389" s="559"/>
      <c r="AA389" s="559"/>
      <c r="AB389" s="559"/>
      <c r="AC389" s="559"/>
      <c r="AD389" s="559"/>
      <c r="AE389" s="559"/>
      <c r="AF389" s="559"/>
      <c r="AG389" s="559"/>
    </row>
    <row r="390" spans="1:33" ht="18" customHeight="1" x14ac:dyDescent="0.35">
      <c r="A390" s="559"/>
      <c r="B390" s="559"/>
      <c r="C390" s="559"/>
      <c r="D390" s="559"/>
      <c r="E390" s="559"/>
      <c r="F390" s="559"/>
      <c r="G390" s="559"/>
      <c r="H390" s="559"/>
      <c r="I390" s="559"/>
      <c r="J390" s="559"/>
      <c r="K390" s="559"/>
      <c r="L390" s="559"/>
      <c r="M390" s="559"/>
      <c r="N390" s="559"/>
      <c r="O390" s="559"/>
      <c r="P390" s="559"/>
      <c r="Q390" s="559"/>
      <c r="R390" s="559"/>
      <c r="S390" s="559"/>
      <c r="T390" s="559"/>
      <c r="U390" s="559"/>
      <c r="V390" s="559"/>
      <c r="W390" s="559"/>
      <c r="X390" s="559"/>
      <c r="Y390" s="559"/>
      <c r="Z390" s="559"/>
      <c r="AA390" s="559"/>
      <c r="AB390" s="559"/>
      <c r="AC390" s="559"/>
      <c r="AD390" s="559"/>
      <c r="AE390" s="559"/>
      <c r="AF390" s="559"/>
      <c r="AG390" s="559"/>
    </row>
    <row r="391" spans="1:33" ht="18" customHeight="1" x14ac:dyDescent="0.35">
      <c r="A391" s="559"/>
      <c r="B391" s="559"/>
      <c r="C391" s="559"/>
      <c r="D391" s="559"/>
      <c r="E391" s="559"/>
      <c r="F391" s="559"/>
      <c r="G391" s="559"/>
      <c r="H391" s="559"/>
      <c r="I391" s="559"/>
      <c r="J391" s="559"/>
      <c r="K391" s="559"/>
      <c r="L391" s="559"/>
      <c r="M391" s="559"/>
      <c r="N391" s="559"/>
      <c r="O391" s="559"/>
      <c r="P391" s="559"/>
      <c r="Q391" s="559"/>
      <c r="R391" s="559"/>
      <c r="S391" s="559"/>
      <c r="T391" s="559"/>
      <c r="U391" s="559"/>
      <c r="V391" s="559"/>
      <c r="W391" s="559"/>
      <c r="X391" s="559"/>
      <c r="Y391" s="559"/>
      <c r="Z391" s="559"/>
      <c r="AA391" s="559"/>
      <c r="AB391" s="559"/>
      <c r="AC391" s="559"/>
      <c r="AD391" s="559"/>
      <c r="AE391" s="559"/>
      <c r="AF391" s="559"/>
      <c r="AG391" s="559"/>
    </row>
    <row r="392" spans="1:33" ht="18" customHeight="1" x14ac:dyDescent="0.35">
      <c r="A392" s="559"/>
      <c r="B392" s="559"/>
      <c r="C392" s="559"/>
      <c r="D392" s="559"/>
      <c r="E392" s="559"/>
      <c r="F392" s="559"/>
      <c r="G392" s="559"/>
      <c r="H392" s="559"/>
      <c r="I392" s="559"/>
      <c r="J392" s="559"/>
      <c r="K392" s="559"/>
      <c r="L392" s="559"/>
      <c r="M392" s="559"/>
      <c r="N392" s="559"/>
      <c r="O392" s="559"/>
      <c r="P392" s="559"/>
      <c r="Q392" s="559"/>
      <c r="R392" s="559"/>
      <c r="S392" s="559"/>
      <c r="T392" s="559"/>
      <c r="U392" s="559"/>
      <c r="V392" s="559"/>
      <c r="W392" s="559"/>
      <c r="X392" s="559"/>
      <c r="Y392" s="559"/>
      <c r="Z392" s="559"/>
      <c r="AA392" s="559"/>
      <c r="AB392" s="559"/>
      <c r="AC392" s="559"/>
      <c r="AD392" s="559"/>
      <c r="AE392" s="559"/>
      <c r="AF392" s="559"/>
      <c r="AG392" s="559"/>
    </row>
    <row r="393" spans="1:33" ht="18" customHeight="1" x14ac:dyDescent="0.35">
      <c r="A393" s="559"/>
      <c r="B393" s="559"/>
      <c r="C393" s="559"/>
      <c r="D393" s="559"/>
      <c r="E393" s="559"/>
      <c r="F393" s="559"/>
      <c r="G393" s="559"/>
      <c r="H393" s="559"/>
      <c r="I393" s="559"/>
      <c r="J393" s="559"/>
      <c r="K393" s="559"/>
      <c r="L393" s="559"/>
      <c r="M393" s="559"/>
      <c r="N393" s="559"/>
      <c r="O393" s="559"/>
      <c r="P393" s="559"/>
      <c r="Q393" s="559"/>
      <c r="R393" s="559"/>
      <c r="S393" s="559"/>
      <c r="T393" s="559"/>
      <c r="U393" s="559"/>
      <c r="V393" s="559"/>
      <c r="W393" s="559"/>
      <c r="X393" s="559"/>
      <c r="Y393" s="559"/>
      <c r="Z393" s="559"/>
      <c r="AA393" s="559"/>
      <c r="AB393" s="559"/>
      <c r="AC393" s="559"/>
      <c r="AD393" s="559"/>
      <c r="AE393" s="559"/>
      <c r="AF393" s="559"/>
      <c r="AG393" s="559"/>
    </row>
    <row r="394" spans="1:33" ht="18" customHeight="1" x14ac:dyDescent="0.35">
      <c r="A394" s="559"/>
      <c r="B394" s="559"/>
      <c r="C394" s="559"/>
      <c r="D394" s="559"/>
      <c r="E394" s="559"/>
      <c r="F394" s="559"/>
      <c r="G394" s="559"/>
      <c r="H394" s="559"/>
      <c r="I394" s="559"/>
      <c r="J394" s="559"/>
      <c r="K394" s="559"/>
      <c r="L394" s="559"/>
      <c r="M394" s="559"/>
      <c r="N394" s="559"/>
      <c r="O394" s="559"/>
      <c r="P394" s="559"/>
      <c r="Q394" s="559"/>
      <c r="R394" s="559"/>
      <c r="S394" s="559"/>
      <c r="T394" s="559"/>
      <c r="U394" s="559"/>
      <c r="V394" s="559"/>
      <c r="W394" s="559"/>
      <c r="X394" s="559"/>
      <c r="Y394" s="559"/>
      <c r="Z394" s="559"/>
      <c r="AA394" s="559"/>
      <c r="AB394" s="559"/>
      <c r="AC394" s="559"/>
      <c r="AD394" s="559"/>
      <c r="AE394" s="559"/>
      <c r="AF394" s="559"/>
      <c r="AG394" s="559"/>
    </row>
    <row r="395" spans="1:33" ht="18" customHeight="1" x14ac:dyDescent="0.35">
      <c r="A395" s="559"/>
      <c r="B395" s="559"/>
      <c r="C395" s="559"/>
      <c r="D395" s="559"/>
      <c r="E395" s="559"/>
      <c r="F395" s="559"/>
      <c r="G395" s="559"/>
      <c r="H395" s="559"/>
      <c r="I395" s="559"/>
      <c r="J395" s="559"/>
      <c r="K395" s="559"/>
      <c r="L395" s="559"/>
      <c r="M395" s="559"/>
      <c r="N395" s="559"/>
      <c r="O395" s="559"/>
      <c r="P395" s="559"/>
      <c r="Q395" s="559"/>
      <c r="R395" s="559"/>
      <c r="S395" s="559"/>
      <c r="T395" s="559"/>
      <c r="U395" s="559"/>
      <c r="V395" s="559"/>
      <c r="W395" s="559"/>
      <c r="X395" s="559"/>
      <c r="Y395" s="559"/>
      <c r="Z395" s="559"/>
      <c r="AA395" s="559"/>
      <c r="AB395" s="559"/>
      <c r="AC395" s="559"/>
      <c r="AD395" s="559"/>
      <c r="AE395" s="559"/>
      <c r="AF395" s="559"/>
      <c r="AG395" s="559"/>
    </row>
    <row r="396" spans="1:33" ht="18" customHeight="1" x14ac:dyDescent="0.35">
      <c r="A396" s="559"/>
      <c r="B396" s="559"/>
      <c r="C396" s="559"/>
      <c r="D396" s="559"/>
      <c r="E396" s="559"/>
      <c r="F396" s="559"/>
      <c r="G396" s="559"/>
      <c r="H396" s="559"/>
      <c r="I396" s="559"/>
      <c r="J396" s="559"/>
      <c r="K396" s="559"/>
      <c r="L396" s="559"/>
      <c r="M396" s="559"/>
      <c r="N396" s="559"/>
      <c r="O396" s="559"/>
      <c r="P396" s="559"/>
      <c r="Q396" s="559"/>
      <c r="R396" s="559"/>
      <c r="S396" s="559"/>
      <c r="T396" s="559"/>
      <c r="U396" s="559"/>
      <c r="V396" s="559"/>
      <c r="W396" s="559"/>
      <c r="X396" s="559"/>
      <c r="Y396" s="559"/>
      <c r="Z396" s="559"/>
      <c r="AA396" s="559"/>
      <c r="AB396" s="559"/>
      <c r="AC396" s="559"/>
      <c r="AD396" s="559"/>
      <c r="AE396" s="559"/>
      <c r="AF396" s="559"/>
      <c r="AG396" s="559"/>
    </row>
    <row r="397" spans="1:33" ht="18" customHeight="1" x14ac:dyDescent="0.35">
      <c r="A397" s="559"/>
      <c r="B397" s="559"/>
      <c r="C397" s="559"/>
      <c r="D397" s="559"/>
      <c r="E397" s="559"/>
      <c r="F397" s="559"/>
      <c r="G397" s="559"/>
      <c r="H397" s="559"/>
      <c r="I397" s="559"/>
      <c r="J397" s="559"/>
      <c r="K397" s="559"/>
      <c r="L397" s="559"/>
      <c r="M397" s="559"/>
      <c r="N397" s="559"/>
      <c r="O397" s="559"/>
      <c r="P397" s="559"/>
      <c r="Q397" s="559"/>
      <c r="R397" s="559"/>
      <c r="S397" s="559"/>
      <c r="T397" s="559"/>
      <c r="U397" s="559"/>
      <c r="V397" s="559"/>
      <c r="W397" s="559"/>
      <c r="X397" s="559"/>
      <c r="Y397" s="559"/>
      <c r="Z397" s="559"/>
      <c r="AA397" s="559"/>
      <c r="AB397" s="559"/>
      <c r="AC397" s="559"/>
      <c r="AD397" s="559"/>
      <c r="AE397" s="559"/>
      <c r="AF397" s="559"/>
      <c r="AG397" s="559"/>
    </row>
    <row r="398" spans="1:33" ht="18" customHeight="1" x14ac:dyDescent="0.35">
      <c r="A398" s="559"/>
      <c r="B398" s="559"/>
      <c r="C398" s="559"/>
      <c r="D398" s="559"/>
      <c r="E398" s="559"/>
      <c r="F398" s="559"/>
      <c r="G398" s="559"/>
      <c r="H398" s="559"/>
      <c r="I398" s="559"/>
      <c r="J398" s="559"/>
      <c r="K398" s="559"/>
      <c r="L398" s="559"/>
      <c r="M398" s="559"/>
      <c r="N398" s="559"/>
      <c r="O398" s="559"/>
      <c r="P398" s="559"/>
      <c r="Q398" s="559"/>
      <c r="R398" s="559"/>
      <c r="S398" s="559"/>
      <c r="T398" s="559"/>
      <c r="U398" s="559"/>
      <c r="V398" s="559"/>
      <c r="W398" s="559"/>
      <c r="X398" s="559"/>
      <c r="Y398" s="559"/>
      <c r="Z398" s="559"/>
      <c r="AA398" s="559"/>
      <c r="AB398" s="559"/>
      <c r="AC398" s="559"/>
      <c r="AD398" s="559"/>
      <c r="AE398" s="559"/>
      <c r="AF398" s="559"/>
      <c r="AG398" s="559"/>
    </row>
    <row r="399" spans="1:33" ht="18" customHeight="1" x14ac:dyDescent="0.35">
      <c r="A399" s="559"/>
      <c r="B399" s="559"/>
      <c r="C399" s="559"/>
      <c r="D399" s="559"/>
      <c r="E399" s="559"/>
      <c r="F399" s="559"/>
      <c r="G399" s="559"/>
      <c r="H399" s="559"/>
      <c r="I399" s="559"/>
      <c r="J399" s="559"/>
      <c r="K399" s="559"/>
      <c r="L399" s="559"/>
      <c r="M399" s="559"/>
      <c r="N399" s="559"/>
      <c r="O399" s="559"/>
      <c r="P399" s="559"/>
      <c r="Q399" s="559"/>
      <c r="R399" s="559"/>
      <c r="S399" s="559"/>
      <c r="T399" s="559"/>
      <c r="U399" s="559"/>
      <c r="V399" s="559"/>
      <c r="W399" s="559"/>
      <c r="X399" s="559"/>
      <c r="Y399" s="559"/>
      <c r="Z399" s="559"/>
      <c r="AA399" s="559"/>
      <c r="AB399" s="559"/>
      <c r="AC399" s="559"/>
      <c r="AD399" s="559"/>
      <c r="AE399" s="559"/>
      <c r="AF399" s="559"/>
      <c r="AG399" s="559"/>
    </row>
    <row r="400" spans="1:33" ht="18" customHeight="1" x14ac:dyDescent="0.35">
      <c r="A400" s="559"/>
      <c r="B400" s="559"/>
      <c r="C400" s="559"/>
      <c r="D400" s="559"/>
      <c r="E400" s="559"/>
      <c r="F400" s="559"/>
      <c r="G400" s="559"/>
      <c r="H400" s="559"/>
      <c r="I400" s="559"/>
      <c r="J400" s="559"/>
      <c r="K400" s="559"/>
      <c r="L400" s="559"/>
      <c r="M400" s="559"/>
      <c r="N400" s="559"/>
      <c r="O400" s="559"/>
      <c r="P400" s="559"/>
      <c r="Q400" s="559"/>
      <c r="R400" s="559"/>
      <c r="S400" s="559"/>
      <c r="T400" s="559"/>
      <c r="U400" s="559"/>
      <c r="V400" s="559"/>
      <c r="W400" s="559"/>
      <c r="X400" s="559"/>
      <c r="Y400" s="559"/>
      <c r="Z400" s="559"/>
      <c r="AA400" s="559"/>
      <c r="AB400" s="559"/>
      <c r="AC400" s="559"/>
      <c r="AD400" s="559"/>
      <c r="AE400" s="559"/>
      <c r="AF400" s="559"/>
      <c r="AG400" s="559"/>
    </row>
    <row r="401" spans="1:33" ht="18" customHeight="1" x14ac:dyDescent="0.35">
      <c r="A401" s="559"/>
      <c r="B401" s="559"/>
      <c r="C401" s="559"/>
      <c r="D401" s="559"/>
      <c r="E401" s="559"/>
      <c r="F401" s="559"/>
      <c r="G401" s="559"/>
      <c r="H401" s="559"/>
      <c r="I401" s="559"/>
      <c r="J401" s="559"/>
      <c r="K401" s="559"/>
      <c r="L401" s="559"/>
      <c r="M401" s="559"/>
      <c r="N401" s="559"/>
      <c r="O401" s="559"/>
      <c r="P401" s="559"/>
      <c r="Q401" s="559"/>
      <c r="R401" s="559"/>
      <c r="S401" s="559"/>
      <c r="T401" s="559"/>
      <c r="U401" s="559"/>
      <c r="V401" s="559"/>
      <c r="W401" s="559"/>
      <c r="X401" s="559"/>
      <c r="Y401" s="559"/>
      <c r="Z401" s="559"/>
      <c r="AA401" s="559"/>
      <c r="AB401" s="559"/>
      <c r="AC401" s="559"/>
      <c r="AD401" s="559"/>
      <c r="AE401" s="559"/>
      <c r="AF401" s="559"/>
      <c r="AG401" s="559"/>
    </row>
    <row r="402" spans="1:33" ht="18" customHeight="1" x14ac:dyDescent="0.35">
      <c r="A402" s="559"/>
      <c r="B402" s="559"/>
      <c r="C402" s="559"/>
      <c r="D402" s="559"/>
      <c r="E402" s="559"/>
      <c r="F402" s="559"/>
      <c r="G402" s="559"/>
      <c r="H402" s="559"/>
      <c r="I402" s="559"/>
      <c r="J402" s="559"/>
      <c r="K402" s="559"/>
      <c r="L402" s="559"/>
      <c r="M402" s="559"/>
      <c r="N402" s="559"/>
      <c r="O402" s="559"/>
      <c r="P402" s="559"/>
      <c r="Q402" s="559"/>
      <c r="R402" s="559"/>
      <c r="S402" s="559"/>
      <c r="T402" s="559"/>
      <c r="U402" s="559"/>
      <c r="V402" s="559"/>
      <c r="W402" s="559"/>
      <c r="X402" s="559"/>
      <c r="Y402" s="559"/>
      <c r="Z402" s="559"/>
      <c r="AA402" s="559"/>
      <c r="AB402" s="559"/>
      <c r="AC402" s="559"/>
      <c r="AD402" s="559"/>
      <c r="AE402" s="559"/>
      <c r="AF402" s="559"/>
      <c r="AG402" s="559"/>
    </row>
    <row r="403" spans="1:33" ht="18" customHeight="1" x14ac:dyDescent="0.35">
      <c r="A403" s="559"/>
      <c r="B403" s="559"/>
      <c r="C403" s="559"/>
      <c r="D403" s="559"/>
      <c r="E403" s="559"/>
      <c r="F403" s="559"/>
      <c r="G403" s="559"/>
      <c r="H403" s="559"/>
      <c r="I403" s="559"/>
      <c r="J403" s="559"/>
      <c r="K403" s="559"/>
      <c r="L403" s="559"/>
      <c r="M403" s="559"/>
      <c r="N403" s="559"/>
      <c r="O403" s="559"/>
      <c r="P403" s="559"/>
      <c r="Q403" s="559"/>
      <c r="R403" s="559"/>
      <c r="S403" s="559"/>
      <c r="T403" s="559"/>
      <c r="U403" s="559"/>
      <c r="V403" s="559"/>
      <c r="W403" s="559"/>
      <c r="X403" s="559"/>
      <c r="Y403" s="559"/>
      <c r="Z403" s="559"/>
      <c r="AA403" s="559"/>
      <c r="AB403" s="559"/>
      <c r="AC403" s="559"/>
      <c r="AD403" s="559"/>
      <c r="AE403" s="559"/>
      <c r="AF403" s="559"/>
      <c r="AG403" s="559"/>
    </row>
    <row r="404" spans="1:33" ht="18" customHeight="1" x14ac:dyDescent="0.35">
      <c r="A404" s="559"/>
      <c r="B404" s="559"/>
      <c r="C404" s="559"/>
      <c r="D404" s="559"/>
      <c r="E404" s="559"/>
      <c r="F404" s="559"/>
      <c r="G404" s="559"/>
      <c r="H404" s="559"/>
      <c r="I404" s="559"/>
      <c r="J404" s="559"/>
      <c r="K404" s="559"/>
      <c r="L404" s="559"/>
      <c r="M404" s="559"/>
      <c r="N404" s="559"/>
      <c r="O404" s="559"/>
      <c r="P404" s="559"/>
      <c r="Q404" s="559"/>
      <c r="R404" s="559"/>
      <c r="S404" s="559"/>
      <c r="T404" s="559"/>
      <c r="U404" s="559"/>
      <c r="V404" s="559"/>
      <c r="W404" s="559"/>
      <c r="X404" s="559"/>
      <c r="Y404" s="559"/>
      <c r="Z404" s="559"/>
      <c r="AA404" s="559"/>
      <c r="AB404" s="559"/>
      <c r="AC404" s="559"/>
      <c r="AD404" s="559"/>
      <c r="AE404" s="559"/>
      <c r="AF404" s="559"/>
      <c r="AG404" s="559"/>
    </row>
    <row r="405" spans="1:33" ht="18" customHeight="1" x14ac:dyDescent="0.35">
      <c r="A405" s="559"/>
      <c r="B405" s="559"/>
      <c r="C405" s="559"/>
      <c r="D405" s="559"/>
      <c r="E405" s="559"/>
      <c r="F405" s="559"/>
      <c r="G405" s="559"/>
      <c r="H405" s="559"/>
      <c r="I405" s="559"/>
      <c r="J405" s="559"/>
      <c r="K405" s="559"/>
      <c r="L405" s="559"/>
      <c r="M405" s="559"/>
      <c r="N405" s="559"/>
      <c r="O405" s="559"/>
      <c r="P405" s="559"/>
      <c r="Q405" s="559"/>
      <c r="R405" s="559"/>
      <c r="S405" s="559"/>
      <c r="T405" s="559"/>
      <c r="U405" s="559"/>
      <c r="V405" s="559"/>
      <c r="W405" s="559"/>
      <c r="X405" s="559"/>
      <c r="Y405" s="559"/>
      <c r="Z405" s="559"/>
      <c r="AA405" s="559"/>
      <c r="AB405" s="559"/>
      <c r="AC405" s="559"/>
      <c r="AD405" s="559"/>
      <c r="AE405" s="559"/>
      <c r="AF405" s="559"/>
      <c r="AG405" s="559"/>
    </row>
    <row r="406" spans="1:33" ht="18" customHeight="1" x14ac:dyDescent="0.35">
      <c r="A406" s="559"/>
      <c r="B406" s="559"/>
      <c r="C406" s="559"/>
      <c r="D406" s="559"/>
      <c r="E406" s="559"/>
      <c r="F406" s="559"/>
      <c r="G406" s="559"/>
      <c r="H406" s="559"/>
      <c r="I406" s="559"/>
      <c r="J406" s="559"/>
      <c r="K406" s="559"/>
      <c r="L406" s="559"/>
      <c r="M406" s="559"/>
      <c r="N406" s="559"/>
      <c r="O406" s="559"/>
      <c r="P406" s="559"/>
      <c r="Q406" s="559"/>
      <c r="R406" s="559"/>
      <c r="S406" s="559"/>
      <c r="T406" s="559"/>
      <c r="U406" s="559"/>
      <c r="V406" s="559"/>
      <c r="W406" s="559"/>
      <c r="X406" s="559"/>
      <c r="Y406" s="559"/>
      <c r="Z406" s="559"/>
      <c r="AA406" s="559"/>
      <c r="AB406" s="559"/>
      <c r="AC406" s="559"/>
      <c r="AD406" s="559"/>
      <c r="AE406" s="559"/>
      <c r="AF406" s="559"/>
      <c r="AG406" s="559"/>
    </row>
    <row r="407" spans="1:33" ht="18" customHeight="1" x14ac:dyDescent="0.35">
      <c r="A407" s="559"/>
      <c r="B407" s="559"/>
      <c r="C407" s="559"/>
      <c r="D407" s="559"/>
      <c r="E407" s="559"/>
      <c r="F407" s="559"/>
      <c r="G407" s="559"/>
      <c r="H407" s="559"/>
      <c r="I407" s="559"/>
      <c r="J407" s="559"/>
      <c r="K407" s="559"/>
      <c r="L407" s="559"/>
      <c r="M407" s="559"/>
      <c r="N407" s="559"/>
      <c r="O407" s="559"/>
      <c r="P407" s="559"/>
      <c r="Q407" s="559"/>
      <c r="R407" s="559"/>
      <c r="S407" s="559"/>
      <c r="T407" s="559"/>
      <c r="U407" s="559"/>
      <c r="V407" s="559"/>
      <c r="W407" s="559"/>
      <c r="X407" s="559"/>
      <c r="Y407" s="559"/>
      <c r="Z407" s="559"/>
      <c r="AA407" s="559"/>
      <c r="AB407" s="559"/>
      <c r="AC407" s="559"/>
      <c r="AD407" s="559"/>
      <c r="AE407" s="559"/>
      <c r="AF407" s="559"/>
      <c r="AG407" s="559"/>
    </row>
    <row r="408" spans="1:33" ht="18" customHeight="1" x14ac:dyDescent="0.35">
      <c r="A408" s="559"/>
      <c r="B408" s="559"/>
      <c r="C408" s="559"/>
      <c r="D408" s="559"/>
      <c r="E408" s="559"/>
      <c r="F408" s="559"/>
      <c r="G408" s="559"/>
      <c r="H408" s="559"/>
      <c r="I408" s="559"/>
      <c r="J408" s="559"/>
      <c r="K408" s="559"/>
      <c r="L408" s="559"/>
      <c r="M408" s="559"/>
      <c r="N408" s="559"/>
      <c r="O408" s="559"/>
      <c r="P408" s="559"/>
      <c r="Q408" s="559"/>
      <c r="R408" s="559"/>
      <c r="S408" s="559"/>
      <c r="T408" s="559"/>
      <c r="U408" s="559"/>
      <c r="V408" s="559"/>
      <c r="W408" s="559"/>
      <c r="X408" s="559"/>
      <c r="Y408" s="559"/>
      <c r="Z408" s="559"/>
      <c r="AA408" s="559"/>
      <c r="AB408" s="559"/>
      <c r="AC408" s="559"/>
      <c r="AD408" s="559"/>
      <c r="AE408" s="559"/>
      <c r="AF408" s="559"/>
      <c r="AG408" s="559"/>
    </row>
    <row r="409" spans="1:33" ht="18" customHeight="1" x14ac:dyDescent="0.35">
      <c r="A409" s="559"/>
      <c r="B409" s="559"/>
      <c r="C409" s="559"/>
      <c r="D409" s="559"/>
      <c r="E409" s="559"/>
      <c r="F409" s="559"/>
      <c r="G409" s="559"/>
      <c r="H409" s="559"/>
      <c r="I409" s="559"/>
      <c r="J409" s="559"/>
      <c r="K409" s="559"/>
      <c r="L409" s="559"/>
      <c r="M409" s="559"/>
      <c r="N409" s="559"/>
      <c r="O409" s="559"/>
      <c r="P409" s="559"/>
      <c r="Q409" s="559"/>
      <c r="R409" s="559"/>
      <c r="S409" s="559"/>
      <c r="T409" s="559"/>
      <c r="U409" s="559"/>
      <c r="V409" s="559"/>
      <c r="W409" s="559"/>
      <c r="X409" s="559"/>
      <c r="Y409" s="559"/>
      <c r="Z409" s="559"/>
      <c r="AA409" s="559"/>
      <c r="AB409" s="559"/>
      <c r="AC409" s="559"/>
      <c r="AD409" s="559"/>
      <c r="AE409" s="559"/>
      <c r="AF409" s="559"/>
      <c r="AG409" s="559"/>
    </row>
    <row r="410" spans="1:33" ht="18" customHeight="1" x14ac:dyDescent="0.35">
      <c r="A410" s="559"/>
      <c r="B410" s="559"/>
      <c r="C410" s="559"/>
      <c r="D410" s="559"/>
      <c r="E410" s="559"/>
      <c r="F410" s="559"/>
      <c r="G410" s="559"/>
      <c r="H410" s="559"/>
      <c r="I410" s="559"/>
      <c r="J410" s="559"/>
      <c r="K410" s="559"/>
      <c r="L410" s="559"/>
      <c r="M410" s="559"/>
      <c r="N410" s="559"/>
      <c r="O410" s="559"/>
      <c r="P410" s="559"/>
      <c r="Q410" s="559"/>
      <c r="R410" s="559"/>
      <c r="S410" s="559"/>
      <c r="T410" s="559"/>
      <c r="U410" s="559"/>
      <c r="V410" s="559"/>
      <c r="W410" s="559"/>
      <c r="X410" s="559"/>
      <c r="Y410" s="559"/>
      <c r="Z410" s="559"/>
      <c r="AA410" s="559"/>
      <c r="AB410" s="559"/>
      <c r="AC410" s="559"/>
      <c r="AD410" s="559"/>
      <c r="AE410" s="559"/>
      <c r="AF410" s="559"/>
      <c r="AG410" s="559"/>
    </row>
    <row r="411" spans="1:33" ht="18" customHeight="1" x14ac:dyDescent="0.35">
      <c r="A411" s="559"/>
      <c r="B411" s="559"/>
      <c r="C411" s="559"/>
      <c r="D411" s="559"/>
      <c r="E411" s="559"/>
      <c r="F411" s="559"/>
      <c r="G411" s="559"/>
      <c r="H411" s="559"/>
      <c r="I411" s="559"/>
      <c r="J411" s="559"/>
      <c r="K411" s="559"/>
      <c r="L411" s="559"/>
      <c r="M411" s="559"/>
      <c r="N411" s="559"/>
      <c r="O411" s="559"/>
      <c r="P411" s="559"/>
      <c r="Q411" s="559"/>
      <c r="R411" s="559"/>
      <c r="S411" s="559"/>
      <c r="T411" s="559"/>
      <c r="U411" s="559"/>
      <c r="V411" s="559"/>
      <c r="W411" s="559"/>
      <c r="X411" s="559"/>
      <c r="Y411" s="559"/>
      <c r="Z411" s="559"/>
      <c r="AA411" s="559"/>
      <c r="AB411" s="559"/>
      <c r="AC411" s="559"/>
      <c r="AD411" s="559"/>
      <c r="AE411" s="559"/>
      <c r="AF411" s="559"/>
      <c r="AG411" s="559"/>
    </row>
    <row r="412" spans="1:33" ht="18" customHeight="1" x14ac:dyDescent="0.35">
      <c r="A412" s="559"/>
      <c r="B412" s="559"/>
      <c r="C412" s="559"/>
      <c r="D412" s="559"/>
      <c r="E412" s="559"/>
      <c r="F412" s="559"/>
      <c r="G412" s="559"/>
      <c r="H412" s="559"/>
      <c r="I412" s="559"/>
      <c r="J412" s="559"/>
      <c r="K412" s="559"/>
      <c r="L412" s="559"/>
      <c r="M412" s="559"/>
      <c r="N412" s="559"/>
      <c r="O412" s="559"/>
      <c r="P412" s="559"/>
      <c r="Q412" s="559"/>
      <c r="R412" s="559"/>
      <c r="S412" s="559"/>
      <c r="T412" s="559"/>
      <c r="U412" s="559"/>
      <c r="V412" s="559"/>
      <c r="W412" s="559"/>
      <c r="X412" s="559"/>
      <c r="Y412" s="559"/>
      <c r="Z412" s="559"/>
      <c r="AA412" s="559"/>
      <c r="AB412" s="559"/>
      <c r="AC412" s="559"/>
      <c r="AD412" s="559"/>
      <c r="AE412" s="559"/>
      <c r="AF412" s="559"/>
      <c r="AG412" s="559"/>
    </row>
    <row r="413" spans="1:33" ht="18" customHeight="1" x14ac:dyDescent="0.35">
      <c r="A413" s="559"/>
      <c r="B413" s="559"/>
      <c r="C413" s="559"/>
      <c r="D413" s="559"/>
      <c r="E413" s="559"/>
      <c r="F413" s="559"/>
      <c r="G413" s="559"/>
      <c r="H413" s="559"/>
      <c r="I413" s="559"/>
      <c r="J413" s="559"/>
      <c r="K413" s="559"/>
      <c r="L413" s="559"/>
      <c r="M413" s="559"/>
      <c r="N413" s="559"/>
      <c r="O413" s="559"/>
      <c r="P413" s="559"/>
      <c r="Q413" s="559"/>
      <c r="R413" s="559"/>
      <c r="S413" s="559"/>
      <c r="T413" s="559"/>
      <c r="U413" s="559"/>
      <c r="V413" s="559"/>
      <c r="W413" s="559"/>
      <c r="X413" s="559"/>
      <c r="Y413" s="559"/>
      <c r="Z413" s="559"/>
      <c r="AA413" s="559"/>
      <c r="AB413" s="559"/>
      <c r="AC413" s="559"/>
      <c r="AD413" s="559"/>
      <c r="AE413" s="559"/>
      <c r="AF413" s="559"/>
      <c r="AG413" s="559"/>
    </row>
    <row r="414" spans="1:33" ht="18" customHeight="1" x14ac:dyDescent="0.35">
      <c r="A414" s="559"/>
      <c r="B414" s="559"/>
      <c r="C414" s="559"/>
      <c r="D414" s="559"/>
      <c r="E414" s="559"/>
      <c r="F414" s="559"/>
      <c r="G414" s="559"/>
      <c r="H414" s="559"/>
      <c r="I414" s="559"/>
      <c r="J414" s="559"/>
      <c r="K414" s="559"/>
      <c r="L414" s="559"/>
      <c r="M414" s="559"/>
      <c r="N414" s="559"/>
      <c r="O414" s="559"/>
      <c r="P414" s="559"/>
      <c r="Q414" s="559"/>
      <c r="R414" s="559"/>
      <c r="S414" s="559"/>
      <c r="T414" s="559"/>
      <c r="U414" s="559"/>
      <c r="V414" s="559"/>
      <c r="W414" s="559"/>
      <c r="X414" s="559"/>
      <c r="Y414" s="559"/>
      <c r="Z414" s="559"/>
      <c r="AA414" s="559"/>
      <c r="AB414" s="559"/>
      <c r="AC414" s="559"/>
      <c r="AD414" s="559"/>
      <c r="AE414" s="559"/>
      <c r="AF414" s="559"/>
      <c r="AG414" s="559"/>
    </row>
    <row r="415" spans="1:33" ht="18" customHeight="1" x14ac:dyDescent="0.35">
      <c r="A415" s="559"/>
      <c r="B415" s="559"/>
      <c r="C415" s="559"/>
      <c r="D415" s="559"/>
      <c r="E415" s="559"/>
      <c r="F415" s="559"/>
      <c r="G415" s="559"/>
      <c r="H415" s="559"/>
      <c r="I415" s="559"/>
      <c r="J415" s="559"/>
      <c r="K415" s="559"/>
      <c r="L415" s="559"/>
      <c r="M415" s="559"/>
      <c r="N415" s="559"/>
      <c r="O415" s="559"/>
      <c r="P415" s="559"/>
      <c r="Q415" s="559"/>
      <c r="R415" s="559"/>
      <c r="S415" s="559"/>
      <c r="T415" s="559"/>
      <c r="U415" s="559"/>
      <c r="V415" s="559"/>
      <c r="W415" s="559"/>
      <c r="X415" s="559"/>
      <c r="Y415" s="559"/>
      <c r="Z415" s="559"/>
      <c r="AA415" s="559"/>
      <c r="AB415" s="559"/>
      <c r="AC415" s="559"/>
      <c r="AD415" s="559"/>
      <c r="AE415" s="559"/>
      <c r="AF415" s="559"/>
      <c r="AG415" s="559"/>
    </row>
    <row r="416" spans="1:33" ht="18" customHeight="1" x14ac:dyDescent="0.35">
      <c r="A416" s="559"/>
      <c r="B416" s="559"/>
      <c r="C416" s="559"/>
      <c r="D416" s="559"/>
      <c r="E416" s="559"/>
      <c r="F416" s="559"/>
      <c r="G416" s="559"/>
      <c r="H416" s="559"/>
      <c r="I416" s="559"/>
      <c r="J416" s="559"/>
      <c r="K416" s="559"/>
      <c r="L416" s="559"/>
      <c r="M416" s="559"/>
      <c r="N416" s="559"/>
      <c r="O416" s="559"/>
      <c r="P416" s="559"/>
      <c r="Q416" s="559"/>
      <c r="R416" s="559"/>
      <c r="S416" s="559"/>
      <c r="T416" s="559"/>
      <c r="U416" s="559"/>
      <c r="V416" s="559"/>
      <c r="W416" s="559"/>
      <c r="X416" s="559"/>
      <c r="Y416" s="559"/>
      <c r="Z416" s="559"/>
      <c r="AA416" s="559"/>
      <c r="AB416" s="559"/>
      <c r="AC416" s="559"/>
      <c r="AD416" s="559"/>
      <c r="AE416" s="559"/>
      <c r="AF416" s="559"/>
      <c r="AG416" s="559"/>
    </row>
    <row r="417" spans="1:33" ht="18" customHeight="1" x14ac:dyDescent="0.35">
      <c r="A417" s="559"/>
      <c r="B417" s="559"/>
      <c r="C417" s="559"/>
      <c r="D417" s="559"/>
      <c r="E417" s="559"/>
      <c r="F417" s="559"/>
      <c r="G417" s="559"/>
      <c r="H417" s="559"/>
      <c r="I417" s="559"/>
      <c r="J417" s="559"/>
      <c r="K417" s="559"/>
      <c r="L417" s="559"/>
      <c r="M417" s="559"/>
      <c r="N417" s="559"/>
      <c r="O417" s="559"/>
      <c r="P417" s="559"/>
      <c r="Q417" s="559"/>
      <c r="R417" s="559"/>
      <c r="S417" s="559"/>
      <c r="T417" s="559"/>
      <c r="U417" s="559"/>
      <c r="V417" s="559"/>
      <c r="W417" s="559"/>
      <c r="X417" s="559"/>
      <c r="Y417" s="559"/>
      <c r="Z417" s="559"/>
      <c r="AA417" s="559"/>
      <c r="AB417" s="559"/>
      <c r="AC417" s="559"/>
      <c r="AD417" s="559"/>
      <c r="AE417" s="559"/>
      <c r="AF417" s="559"/>
      <c r="AG417" s="559"/>
    </row>
    <row r="418" spans="1:33" ht="18" customHeight="1" x14ac:dyDescent="0.35">
      <c r="A418" s="559"/>
      <c r="B418" s="559"/>
      <c r="C418" s="559"/>
      <c r="D418" s="559"/>
      <c r="E418" s="559"/>
      <c r="F418" s="559"/>
      <c r="G418" s="559"/>
      <c r="H418" s="559"/>
      <c r="I418" s="559"/>
      <c r="J418" s="559"/>
      <c r="K418" s="559"/>
      <c r="L418" s="559"/>
      <c r="M418" s="559"/>
      <c r="N418" s="559"/>
      <c r="O418" s="559"/>
      <c r="P418" s="559"/>
      <c r="Q418" s="559"/>
      <c r="R418" s="559"/>
      <c r="S418" s="559"/>
      <c r="T418" s="559"/>
      <c r="U418" s="559"/>
      <c r="V418" s="559"/>
      <c r="W418" s="559"/>
      <c r="X418" s="559"/>
      <c r="Y418" s="559"/>
      <c r="Z418" s="559"/>
      <c r="AA418" s="559"/>
      <c r="AB418" s="559"/>
      <c r="AC418" s="559"/>
      <c r="AD418" s="559"/>
      <c r="AE418" s="559"/>
      <c r="AF418" s="559"/>
      <c r="AG418" s="559"/>
    </row>
    <row r="419" spans="1:33" ht="18" customHeight="1" x14ac:dyDescent="0.35">
      <c r="A419" s="559"/>
      <c r="B419" s="559"/>
      <c r="C419" s="559"/>
      <c r="D419" s="559"/>
      <c r="E419" s="559"/>
      <c r="F419" s="559"/>
      <c r="G419" s="559"/>
      <c r="H419" s="559"/>
      <c r="I419" s="559"/>
      <c r="J419" s="559"/>
      <c r="K419" s="559"/>
      <c r="L419" s="559"/>
      <c r="M419" s="559"/>
      <c r="N419" s="559"/>
      <c r="O419" s="559"/>
      <c r="P419" s="559"/>
      <c r="Q419" s="559"/>
      <c r="R419" s="559"/>
      <c r="S419" s="559"/>
      <c r="T419" s="559"/>
      <c r="U419" s="559"/>
      <c r="V419" s="559"/>
      <c r="W419" s="559"/>
      <c r="X419" s="559"/>
      <c r="Y419" s="559"/>
      <c r="Z419" s="559"/>
      <c r="AA419" s="559"/>
      <c r="AB419" s="559"/>
      <c r="AC419" s="559"/>
      <c r="AD419" s="559"/>
      <c r="AE419" s="559"/>
      <c r="AF419" s="559"/>
      <c r="AG419" s="559"/>
    </row>
    <row r="420" spans="1:33" ht="18" customHeight="1" x14ac:dyDescent="0.35">
      <c r="A420" s="559"/>
      <c r="B420" s="559"/>
      <c r="C420" s="559"/>
      <c r="D420" s="559"/>
      <c r="E420" s="559"/>
      <c r="F420" s="559"/>
      <c r="G420" s="559"/>
      <c r="H420" s="559"/>
      <c r="I420" s="559"/>
      <c r="J420" s="559"/>
      <c r="K420" s="559"/>
      <c r="L420" s="559"/>
      <c r="M420" s="559"/>
      <c r="N420" s="559"/>
      <c r="O420" s="559"/>
      <c r="P420" s="559"/>
      <c r="Q420" s="559"/>
      <c r="R420" s="559"/>
      <c r="S420" s="559"/>
      <c r="T420" s="559"/>
      <c r="U420" s="559"/>
      <c r="V420" s="559"/>
      <c r="W420" s="559"/>
      <c r="X420" s="559"/>
      <c r="Y420" s="559"/>
      <c r="Z420" s="559"/>
      <c r="AA420" s="559"/>
      <c r="AB420" s="559"/>
      <c r="AC420" s="559"/>
      <c r="AD420" s="559"/>
      <c r="AE420" s="559"/>
      <c r="AF420" s="559"/>
      <c r="AG420" s="559"/>
    </row>
    <row r="421" spans="1:33" ht="18" customHeight="1" x14ac:dyDescent="0.35">
      <c r="A421" s="559"/>
      <c r="B421" s="559"/>
      <c r="C421" s="559"/>
      <c r="D421" s="559"/>
      <c r="E421" s="559"/>
      <c r="F421" s="559"/>
      <c r="G421" s="559"/>
      <c r="H421" s="559"/>
      <c r="I421" s="559"/>
      <c r="J421" s="559"/>
      <c r="K421" s="559"/>
      <c r="L421" s="559"/>
      <c r="M421" s="559"/>
      <c r="N421" s="559"/>
      <c r="O421" s="559"/>
      <c r="P421" s="559"/>
      <c r="Q421" s="559"/>
      <c r="R421" s="559"/>
      <c r="S421" s="559"/>
      <c r="T421" s="559"/>
      <c r="U421" s="559"/>
      <c r="V421" s="559"/>
      <c r="W421" s="559"/>
      <c r="X421" s="559"/>
      <c r="Y421" s="559"/>
      <c r="Z421" s="559"/>
      <c r="AA421" s="559"/>
      <c r="AB421" s="559"/>
      <c r="AC421" s="559"/>
      <c r="AD421" s="559"/>
      <c r="AE421" s="559"/>
      <c r="AF421" s="559"/>
      <c r="AG421" s="559"/>
    </row>
    <row r="422" spans="1:33" ht="18" customHeight="1" x14ac:dyDescent="0.35">
      <c r="A422" s="559"/>
      <c r="B422" s="559"/>
      <c r="C422" s="559"/>
      <c r="D422" s="559"/>
      <c r="E422" s="559"/>
      <c r="F422" s="559"/>
      <c r="G422" s="559"/>
      <c r="H422" s="559"/>
      <c r="I422" s="559"/>
      <c r="J422" s="559"/>
      <c r="K422" s="559"/>
      <c r="L422" s="559"/>
      <c r="M422" s="559"/>
      <c r="N422" s="559"/>
      <c r="O422" s="559"/>
      <c r="P422" s="559"/>
      <c r="Q422" s="559"/>
      <c r="R422" s="559"/>
      <c r="S422" s="559"/>
      <c r="T422" s="559"/>
      <c r="U422" s="559"/>
      <c r="V422" s="559"/>
      <c r="W422" s="559"/>
      <c r="X422" s="559"/>
      <c r="Y422" s="559"/>
      <c r="Z422" s="559"/>
      <c r="AA422" s="559"/>
      <c r="AB422" s="559"/>
      <c r="AC422" s="559"/>
      <c r="AD422" s="559"/>
      <c r="AE422" s="559"/>
      <c r="AF422" s="559"/>
      <c r="AG422" s="559"/>
    </row>
    <row r="423" spans="1:33" ht="18" customHeight="1" x14ac:dyDescent="0.35">
      <c r="A423" s="559"/>
      <c r="B423" s="559"/>
      <c r="C423" s="559"/>
      <c r="D423" s="559"/>
      <c r="E423" s="559"/>
      <c r="F423" s="559"/>
      <c r="G423" s="559"/>
      <c r="H423" s="559"/>
      <c r="I423" s="559"/>
      <c r="J423" s="559"/>
      <c r="K423" s="559"/>
      <c r="L423" s="559"/>
      <c r="M423" s="559"/>
      <c r="N423" s="559"/>
      <c r="O423" s="559"/>
      <c r="P423" s="559"/>
      <c r="Q423" s="559"/>
      <c r="R423" s="559"/>
      <c r="S423" s="559"/>
      <c r="T423" s="559"/>
      <c r="U423" s="559"/>
      <c r="V423" s="559"/>
      <c r="W423" s="559"/>
      <c r="X423" s="559"/>
      <c r="Y423" s="559"/>
      <c r="Z423" s="559"/>
      <c r="AA423" s="559"/>
      <c r="AB423" s="559"/>
      <c r="AC423" s="559"/>
      <c r="AD423" s="559"/>
      <c r="AE423" s="559"/>
      <c r="AF423" s="559"/>
      <c r="AG423" s="559"/>
    </row>
    <row r="424" spans="1:33" ht="18" customHeight="1" x14ac:dyDescent="0.35">
      <c r="A424" s="559"/>
      <c r="B424" s="559"/>
      <c r="C424" s="559"/>
      <c r="D424" s="559"/>
      <c r="E424" s="559"/>
      <c r="F424" s="559"/>
      <c r="G424" s="559"/>
      <c r="H424" s="559"/>
      <c r="I424" s="559"/>
      <c r="J424" s="559"/>
      <c r="K424" s="559"/>
      <c r="L424" s="559"/>
      <c r="M424" s="559"/>
      <c r="N424" s="559"/>
      <c r="O424" s="559"/>
      <c r="P424" s="559"/>
      <c r="Q424" s="559"/>
      <c r="R424" s="559"/>
      <c r="S424" s="559"/>
      <c r="T424" s="559"/>
      <c r="U424" s="559"/>
      <c r="V424" s="559"/>
      <c r="W424" s="559"/>
      <c r="X424" s="559"/>
      <c r="Y424" s="559"/>
      <c r="Z424" s="559"/>
      <c r="AA424" s="559"/>
      <c r="AB424" s="559"/>
      <c r="AC424" s="559"/>
      <c r="AD424" s="559"/>
      <c r="AE424" s="559"/>
      <c r="AF424" s="559"/>
      <c r="AG424" s="559"/>
    </row>
    <row r="425" spans="1:33" ht="18" customHeight="1" x14ac:dyDescent="0.35">
      <c r="A425" s="559"/>
      <c r="B425" s="559"/>
      <c r="C425" s="559"/>
      <c r="D425" s="559"/>
      <c r="E425" s="559"/>
      <c r="F425" s="559"/>
      <c r="G425" s="559"/>
      <c r="H425" s="559"/>
      <c r="I425" s="559"/>
      <c r="J425" s="559"/>
      <c r="K425" s="559"/>
      <c r="L425" s="559"/>
      <c r="M425" s="559"/>
      <c r="N425" s="559"/>
      <c r="O425" s="559"/>
      <c r="P425" s="559"/>
      <c r="Q425" s="559"/>
      <c r="R425" s="559"/>
      <c r="S425" s="559"/>
      <c r="T425" s="559"/>
      <c r="U425" s="559"/>
      <c r="V425" s="559"/>
      <c r="W425" s="559"/>
      <c r="X425" s="559"/>
      <c r="Y425" s="559"/>
      <c r="Z425" s="559"/>
      <c r="AA425" s="559"/>
      <c r="AB425" s="559"/>
      <c r="AC425" s="559"/>
      <c r="AD425" s="559"/>
      <c r="AE425" s="559"/>
      <c r="AF425" s="559"/>
      <c r="AG425" s="559"/>
    </row>
    <row r="426" spans="1:33" ht="18" customHeight="1" x14ac:dyDescent="0.35">
      <c r="A426" s="559"/>
      <c r="B426" s="559"/>
      <c r="C426" s="559"/>
      <c r="D426" s="559"/>
      <c r="E426" s="559"/>
      <c r="F426" s="559"/>
      <c r="G426" s="559"/>
      <c r="H426" s="559"/>
      <c r="I426" s="559"/>
      <c r="J426" s="559"/>
      <c r="K426" s="559"/>
      <c r="L426" s="559"/>
      <c r="M426" s="559"/>
      <c r="N426" s="559"/>
      <c r="O426" s="559"/>
      <c r="P426" s="559"/>
      <c r="Q426" s="559"/>
      <c r="R426" s="559"/>
      <c r="S426" s="559"/>
      <c r="T426" s="559"/>
      <c r="U426" s="559"/>
      <c r="V426" s="559"/>
      <c r="W426" s="559"/>
      <c r="X426" s="559"/>
      <c r="Y426" s="559"/>
      <c r="Z426" s="559"/>
      <c r="AA426" s="559"/>
      <c r="AB426" s="559"/>
      <c r="AC426" s="559"/>
      <c r="AD426" s="559"/>
      <c r="AE426" s="559"/>
      <c r="AF426" s="559"/>
      <c r="AG426" s="559"/>
    </row>
    <row r="427" spans="1:33" ht="18" customHeight="1" x14ac:dyDescent="0.35">
      <c r="A427" s="559"/>
      <c r="B427" s="559"/>
      <c r="C427" s="559"/>
      <c r="D427" s="559"/>
      <c r="E427" s="559"/>
      <c r="F427" s="559"/>
      <c r="G427" s="559"/>
      <c r="H427" s="559"/>
      <c r="I427" s="559"/>
      <c r="J427" s="559"/>
      <c r="K427" s="559"/>
      <c r="L427" s="559"/>
      <c r="M427" s="559"/>
      <c r="N427" s="559"/>
      <c r="O427" s="559"/>
      <c r="P427" s="559"/>
      <c r="Q427" s="559"/>
      <c r="R427" s="559"/>
      <c r="S427" s="559"/>
      <c r="T427" s="559"/>
      <c r="U427" s="559"/>
      <c r="V427" s="559"/>
      <c r="W427" s="559"/>
      <c r="X427" s="559"/>
      <c r="Y427" s="559"/>
      <c r="Z427" s="559"/>
      <c r="AA427" s="559"/>
      <c r="AB427" s="559"/>
      <c r="AC427" s="559"/>
      <c r="AD427" s="559"/>
      <c r="AE427" s="559"/>
      <c r="AF427" s="559"/>
      <c r="AG427" s="559"/>
    </row>
    <row r="428" spans="1:33" ht="18" customHeight="1" x14ac:dyDescent="0.35">
      <c r="A428" s="559"/>
      <c r="B428" s="559"/>
      <c r="C428" s="559"/>
      <c r="D428" s="559"/>
      <c r="E428" s="559"/>
      <c r="F428" s="559"/>
      <c r="G428" s="559"/>
      <c r="H428" s="559"/>
      <c r="I428" s="559"/>
      <c r="J428" s="559"/>
      <c r="K428" s="559"/>
      <c r="L428" s="559"/>
      <c r="M428" s="559"/>
      <c r="N428" s="559"/>
      <c r="O428" s="559"/>
      <c r="P428" s="559"/>
      <c r="Q428" s="559"/>
      <c r="R428" s="559"/>
      <c r="S428" s="559"/>
      <c r="T428" s="559"/>
      <c r="U428" s="559"/>
      <c r="V428" s="559"/>
      <c r="W428" s="559"/>
      <c r="X428" s="559"/>
      <c r="Y428" s="559"/>
      <c r="Z428" s="559"/>
      <c r="AA428" s="559"/>
      <c r="AB428" s="559"/>
      <c r="AC428" s="559"/>
      <c r="AD428" s="559"/>
      <c r="AE428" s="559"/>
      <c r="AF428" s="559"/>
      <c r="AG428" s="559"/>
    </row>
    <row r="429" spans="1:33" ht="18" customHeight="1" x14ac:dyDescent="0.35">
      <c r="A429" s="559"/>
      <c r="B429" s="559"/>
      <c r="C429" s="559"/>
      <c r="D429" s="559"/>
      <c r="E429" s="559"/>
      <c r="F429" s="559"/>
      <c r="G429" s="559"/>
      <c r="H429" s="559"/>
      <c r="I429" s="559"/>
      <c r="J429" s="559"/>
      <c r="K429" s="559"/>
      <c r="L429" s="559"/>
      <c r="M429" s="559"/>
      <c r="N429" s="559"/>
      <c r="O429" s="559"/>
      <c r="P429" s="559"/>
      <c r="Q429" s="559"/>
      <c r="R429" s="559"/>
      <c r="S429" s="559"/>
      <c r="T429" s="559"/>
      <c r="U429" s="559"/>
      <c r="V429" s="559"/>
      <c r="W429" s="559"/>
      <c r="X429" s="559"/>
      <c r="Y429" s="559"/>
      <c r="Z429" s="559"/>
      <c r="AA429" s="559"/>
      <c r="AB429" s="559"/>
      <c r="AC429" s="559"/>
      <c r="AD429" s="559"/>
      <c r="AE429" s="559"/>
      <c r="AF429" s="559"/>
      <c r="AG429" s="559"/>
    </row>
    <row r="430" spans="1:33" ht="18" customHeight="1" x14ac:dyDescent="0.35">
      <c r="A430" s="559"/>
      <c r="B430" s="559"/>
      <c r="C430" s="559"/>
      <c r="D430" s="559"/>
      <c r="E430" s="559"/>
      <c r="F430" s="559"/>
      <c r="G430" s="559"/>
      <c r="H430" s="559"/>
      <c r="I430" s="559"/>
      <c r="J430" s="559"/>
      <c r="K430" s="559"/>
      <c r="L430" s="559"/>
      <c r="M430" s="559"/>
      <c r="N430" s="559"/>
      <c r="O430" s="559"/>
      <c r="P430" s="559"/>
      <c r="Q430" s="559"/>
      <c r="R430" s="559"/>
      <c r="S430" s="559"/>
      <c r="T430" s="559"/>
      <c r="U430" s="559"/>
      <c r="V430" s="559"/>
      <c r="W430" s="559"/>
      <c r="X430" s="559"/>
      <c r="Y430" s="559"/>
      <c r="Z430" s="559"/>
      <c r="AA430" s="559"/>
      <c r="AB430" s="559"/>
      <c r="AC430" s="559"/>
      <c r="AD430" s="559"/>
      <c r="AE430" s="559"/>
      <c r="AF430" s="559"/>
      <c r="AG430" s="559"/>
    </row>
    <row r="431" spans="1:33" ht="18" customHeight="1" x14ac:dyDescent="0.35">
      <c r="A431" s="559"/>
      <c r="B431" s="559"/>
      <c r="C431" s="559"/>
      <c r="D431" s="559"/>
      <c r="E431" s="559"/>
      <c r="F431" s="559"/>
      <c r="G431" s="559"/>
      <c r="H431" s="559"/>
      <c r="I431" s="559"/>
      <c r="J431" s="559"/>
      <c r="K431" s="559"/>
      <c r="L431" s="559"/>
      <c r="M431" s="559"/>
      <c r="N431" s="559"/>
      <c r="O431" s="559"/>
      <c r="P431" s="559"/>
      <c r="Q431" s="559"/>
      <c r="R431" s="559"/>
      <c r="S431" s="559"/>
      <c r="T431" s="559"/>
      <c r="U431" s="559"/>
      <c r="V431" s="559"/>
      <c r="W431" s="559"/>
      <c r="X431" s="559"/>
      <c r="Y431" s="559"/>
      <c r="Z431" s="559"/>
      <c r="AA431" s="559"/>
      <c r="AB431" s="559"/>
      <c r="AC431" s="559"/>
      <c r="AD431" s="559"/>
      <c r="AE431" s="559"/>
      <c r="AF431" s="559"/>
      <c r="AG431" s="559"/>
    </row>
    <row r="432" spans="1:33" ht="18" customHeight="1" x14ac:dyDescent="0.35">
      <c r="A432" s="559"/>
      <c r="B432" s="559"/>
      <c r="C432" s="559"/>
      <c r="D432" s="559"/>
      <c r="E432" s="559"/>
      <c r="F432" s="559"/>
      <c r="G432" s="559"/>
      <c r="H432" s="559"/>
      <c r="I432" s="559"/>
      <c r="J432" s="559"/>
      <c r="K432" s="559"/>
      <c r="L432" s="559"/>
      <c r="M432" s="559"/>
      <c r="N432" s="559"/>
      <c r="O432" s="559"/>
      <c r="P432" s="559"/>
      <c r="Q432" s="559"/>
      <c r="R432" s="559"/>
      <c r="S432" s="559"/>
      <c r="T432" s="559"/>
      <c r="U432" s="559"/>
      <c r="V432" s="559"/>
      <c r="W432" s="559"/>
      <c r="X432" s="559"/>
      <c r="Y432" s="559"/>
      <c r="Z432" s="559"/>
      <c r="AA432" s="559"/>
      <c r="AB432" s="559"/>
      <c r="AC432" s="559"/>
      <c r="AD432" s="559"/>
      <c r="AE432" s="559"/>
      <c r="AF432" s="559"/>
      <c r="AG432" s="559"/>
    </row>
    <row r="433" spans="1:33" ht="18" customHeight="1" x14ac:dyDescent="0.35">
      <c r="A433" s="559"/>
      <c r="B433" s="559"/>
      <c r="C433" s="559"/>
      <c r="D433" s="559"/>
      <c r="E433" s="559"/>
      <c r="F433" s="559"/>
      <c r="G433" s="559"/>
      <c r="H433" s="559"/>
      <c r="I433" s="559"/>
      <c r="J433" s="559"/>
      <c r="K433" s="559"/>
      <c r="L433" s="559"/>
      <c r="M433" s="559"/>
      <c r="N433" s="559"/>
      <c r="O433" s="559"/>
      <c r="P433" s="559"/>
      <c r="Q433" s="559"/>
      <c r="R433" s="559"/>
      <c r="S433" s="559"/>
      <c r="T433" s="559"/>
      <c r="U433" s="559"/>
      <c r="V433" s="559"/>
      <c r="W433" s="559"/>
      <c r="X433" s="559"/>
      <c r="Y433" s="559"/>
      <c r="Z433" s="559"/>
      <c r="AA433" s="559"/>
      <c r="AB433" s="559"/>
      <c r="AC433" s="559"/>
      <c r="AD433" s="559"/>
      <c r="AE433" s="559"/>
      <c r="AF433" s="559"/>
      <c r="AG433" s="559"/>
    </row>
    <row r="434" spans="1:33" ht="18" customHeight="1" x14ac:dyDescent="0.35">
      <c r="A434" s="559"/>
      <c r="B434" s="559"/>
      <c r="C434" s="559"/>
      <c r="D434" s="559"/>
      <c r="E434" s="559"/>
      <c r="F434" s="559"/>
      <c r="G434" s="559"/>
      <c r="H434" s="559"/>
      <c r="I434" s="559"/>
      <c r="J434" s="559"/>
      <c r="K434" s="559"/>
      <c r="L434" s="559"/>
      <c r="M434" s="559"/>
      <c r="N434" s="559"/>
      <c r="O434" s="559"/>
      <c r="P434" s="559"/>
      <c r="Q434" s="559"/>
      <c r="R434" s="559"/>
      <c r="S434" s="559"/>
      <c r="T434" s="559"/>
      <c r="U434" s="559"/>
      <c r="V434" s="559"/>
      <c r="W434" s="559"/>
      <c r="X434" s="559"/>
      <c r="Y434" s="559"/>
      <c r="Z434" s="559"/>
      <c r="AA434" s="559"/>
      <c r="AB434" s="559"/>
      <c r="AC434" s="559"/>
      <c r="AD434" s="559"/>
      <c r="AE434" s="559"/>
      <c r="AF434" s="559"/>
      <c r="AG434" s="559"/>
    </row>
    <row r="435" spans="1:33" ht="18" customHeight="1" x14ac:dyDescent="0.35">
      <c r="A435" s="559"/>
      <c r="B435" s="559"/>
      <c r="C435" s="559"/>
      <c r="D435" s="559"/>
      <c r="E435" s="559"/>
      <c r="F435" s="559"/>
      <c r="G435" s="559"/>
      <c r="H435" s="559"/>
      <c r="I435" s="559"/>
      <c r="J435" s="559"/>
      <c r="K435" s="559"/>
      <c r="L435" s="559"/>
      <c r="M435" s="559"/>
      <c r="N435" s="559"/>
      <c r="O435" s="559"/>
      <c r="P435" s="559"/>
      <c r="Q435" s="559"/>
      <c r="R435" s="559"/>
      <c r="S435" s="559"/>
      <c r="T435" s="559"/>
      <c r="U435" s="559"/>
      <c r="V435" s="559"/>
      <c r="W435" s="559"/>
      <c r="X435" s="559"/>
      <c r="Y435" s="559"/>
      <c r="Z435" s="559"/>
      <c r="AA435" s="559"/>
      <c r="AB435" s="559"/>
      <c r="AC435" s="559"/>
      <c r="AD435" s="559"/>
      <c r="AE435" s="559"/>
      <c r="AF435" s="559"/>
      <c r="AG435" s="559"/>
    </row>
    <row r="436" spans="1:33" ht="18" customHeight="1" x14ac:dyDescent="0.35">
      <c r="A436" s="559"/>
      <c r="B436" s="559"/>
      <c r="C436" s="559"/>
      <c r="D436" s="559"/>
      <c r="E436" s="559"/>
      <c r="F436" s="559"/>
      <c r="G436" s="559"/>
      <c r="H436" s="559"/>
      <c r="I436" s="559"/>
      <c r="J436" s="559"/>
      <c r="K436" s="559"/>
      <c r="L436" s="559"/>
      <c r="M436" s="559"/>
      <c r="N436" s="559"/>
      <c r="O436" s="559"/>
      <c r="P436" s="559"/>
      <c r="Q436" s="559"/>
      <c r="R436" s="559"/>
      <c r="S436" s="559"/>
      <c r="T436" s="559"/>
      <c r="U436" s="559"/>
      <c r="V436" s="559"/>
      <c r="W436" s="559"/>
      <c r="X436" s="559"/>
      <c r="Y436" s="559"/>
      <c r="Z436" s="559"/>
      <c r="AA436" s="559"/>
      <c r="AB436" s="559"/>
      <c r="AC436" s="559"/>
      <c r="AD436" s="559"/>
      <c r="AE436" s="559"/>
      <c r="AF436" s="559"/>
      <c r="AG436" s="559"/>
    </row>
    <row r="437" spans="1:33" ht="18" customHeight="1" x14ac:dyDescent="0.35">
      <c r="A437" s="559"/>
      <c r="B437" s="559"/>
      <c r="C437" s="559"/>
      <c r="D437" s="559"/>
      <c r="E437" s="559"/>
      <c r="F437" s="559"/>
      <c r="G437" s="559"/>
      <c r="H437" s="559"/>
      <c r="I437" s="559"/>
      <c r="J437" s="559"/>
      <c r="K437" s="559"/>
      <c r="L437" s="559"/>
      <c r="M437" s="559"/>
      <c r="N437" s="559"/>
      <c r="O437" s="559"/>
      <c r="P437" s="559"/>
      <c r="Q437" s="559"/>
      <c r="R437" s="559"/>
      <c r="S437" s="559"/>
      <c r="T437" s="559"/>
      <c r="U437" s="559"/>
      <c r="V437" s="559"/>
      <c r="W437" s="559"/>
      <c r="X437" s="559"/>
      <c r="Y437" s="559"/>
      <c r="Z437" s="559"/>
      <c r="AA437" s="559"/>
      <c r="AB437" s="559"/>
      <c r="AC437" s="559"/>
      <c r="AD437" s="559"/>
      <c r="AE437" s="559"/>
      <c r="AF437" s="559"/>
      <c r="AG437" s="559"/>
    </row>
    <row r="438" spans="1:33" ht="18" customHeight="1" x14ac:dyDescent="0.35">
      <c r="A438" s="559"/>
      <c r="B438" s="559"/>
      <c r="C438" s="559"/>
      <c r="D438" s="559"/>
      <c r="E438" s="559"/>
      <c r="F438" s="559"/>
      <c r="G438" s="559"/>
      <c r="H438" s="559"/>
      <c r="I438" s="559"/>
      <c r="J438" s="559"/>
      <c r="K438" s="559"/>
      <c r="L438" s="559"/>
      <c r="M438" s="559"/>
      <c r="N438" s="559"/>
      <c r="O438" s="559"/>
      <c r="P438" s="559"/>
      <c r="Q438" s="559"/>
      <c r="R438" s="559"/>
      <c r="S438" s="559"/>
      <c r="T438" s="559"/>
      <c r="U438" s="559"/>
      <c r="V438" s="559"/>
      <c r="W438" s="559"/>
      <c r="X438" s="559"/>
      <c r="Y438" s="559"/>
      <c r="Z438" s="559"/>
      <c r="AA438" s="559"/>
      <c r="AB438" s="559"/>
      <c r="AC438" s="559"/>
      <c r="AD438" s="559"/>
      <c r="AE438" s="559"/>
      <c r="AF438" s="559"/>
      <c r="AG438" s="559"/>
    </row>
    <row r="439" spans="1:33" ht="18" customHeight="1" x14ac:dyDescent="0.35">
      <c r="A439" s="559"/>
      <c r="B439" s="559"/>
      <c r="C439" s="559"/>
      <c r="D439" s="559"/>
      <c r="E439" s="559"/>
      <c r="F439" s="559"/>
      <c r="G439" s="559"/>
      <c r="H439" s="559"/>
      <c r="I439" s="559"/>
      <c r="J439" s="559"/>
      <c r="K439" s="559"/>
      <c r="L439" s="559"/>
      <c r="M439" s="559"/>
      <c r="N439" s="559"/>
      <c r="O439" s="559"/>
      <c r="P439" s="559"/>
      <c r="Q439" s="559"/>
      <c r="R439" s="559"/>
      <c r="S439" s="559"/>
      <c r="T439" s="559"/>
      <c r="U439" s="559"/>
      <c r="V439" s="559"/>
      <c r="W439" s="559"/>
      <c r="X439" s="559"/>
      <c r="Y439" s="559"/>
      <c r="Z439" s="559"/>
      <c r="AA439" s="559"/>
      <c r="AB439" s="559"/>
      <c r="AC439" s="559"/>
      <c r="AD439" s="559"/>
      <c r="AE439" s="559"/>
      <c r="AF439" s="559"/>
      <c r="AG439" s="559"/>
    </row>
    <row r="440" spans="1:33" ht="18" customHeight="1" x14ac:dyDescent="0.35">
      <c r="A440" s="559"/>
      <c r="B440" s="559"/>
      <c r="C440" s="559"/>
      <c r="D440" s="559"/>
      <c r="E440" s="559"/>
      <c r="F440" s="559"/>
      <c r="G440" s="559"/>
      <c r="H440" s="559"/>
      <c r="I440" s="559"/>
      <c r="J440" s="559"/>
      <c r="K440" s="559"/>
      <c r="L440" s="559"/>
      <c r="M440" s="559"/>
      <c r="N440" s="559"/>
      <c r="O440" s="559"/>
      <c r="P440" s="559"/>
      <c r="Q440" s="559"/>
      <c r="R440" s="559"/>
      <c r="S440" s="559"/>
      <c r="T440" s="559"/>
      <c r="U440" s="559"/>
      <c r="V440" s="559"/>
      <c r="W440" s="559"/>
      <c r="X440" s="559"/>
      <c r="Y440" s="559"/>
      <c r="Z440" s="559"/>
      <c r="AA440" s="559"/>
      <c r="AB440" s="559"/>
      <c r="AC440" s="559"/>
      <c r="AD440" s="559"/>
      <c r="AE440" s="559"/>
      <c r="AF440" s="559"/>
      <c r="AG440" s="559"/>
    </row>
    <row r="441" spans="1:33" ht="18" customHeight="1" x14ac:dyDescent="0.35">
      <c r="A441" s="559"/>
      <c r="B441" s="559"/>
      <c r="C441" s="559"/>
      <c r="D441" s="559"/>
      <c r="E441" s="559"/>
      <c r="F441" s="559"/>
      <c r="G441" s="559"/>
      <c r="H441" s="559"/>
      <c r="I441" s="559"/>
      <c r="J441" s="559"/>
      <c r="K441" s="559"/>
      <c r="L441" s="559"/>
      <c r="M441" s="559"/>
      <c r="N441" s="559"/>
      <c r="O441" s="559"/>
      <c r="P441" s="559"/>
      <c r="Q441" s="559"/>
      <c r="R441" s="559"/>
      <c r="S441" s="559"/>
      <c r="T441" s="559"/>
      <c r="U441" s="559"/>
      <c r="V441" s="559"/>
      <c r="W441" s="559"/>
      <c r="X441" s="559"/>
      <c r="Y441" s="559"/>
      <c r="Z441" s="559"/>
      <c r="AA441" s="559"/>
      <c r="AB441" s="559"/>
      <c r="AC441" s="559"/>
      <c r="AD441" s="559"/>
      <c r="AE441" s="559"/>
      <c r="AF441" s="559"/>
      <c r="AG441" s="559"/>
    </row>
    <row r="442" spans="1:33" ht="18" customHeight="1" x14ac:dyDescent="0.35">
      <c r="A442" s="559"/>
      <c r="B442" s="559"/>
      <c r="C442" s="559"/>
      <c r="D442" s="559"/>
      <c r="E442" s="559"/>
      <c r="F442" s="559"/>
      <c r="G442" s="559"/>
      <c r="H442" s="559"/>
      <c r="I442" s="559"/>
      <c r="J442" s="559"/>
      <c r="K442" s="559"/>
      <c r="L442" s="559"/>
      <c r="M442" s="559"/>
      <c r="N442" s="559"/>
      <c r="O442" s="559"/>
      <c r="P442" s="559"/>
      <c r="Q442" s="559"/>
      <c r="R442" s="559"/>
      <c r="S442" s="559"/>
      <c r="T442" s="559"/>
      <c r="U442" s="559"/>
      <c r="V442" s="559"/>
      <c r="W442" s="559"/>
      <c r="X442" s="559"/>
      <c r="Y442" s="559"/>
      <c r="Z442" s="559"/>
      <c r="AA442" s="559"/>
      <c r="AB442" s="559"/>
      <c r="AC442" s="559"/>
      <c r="AD442" s="559"/>
      <c r="AE442" s="559"/>
      <c r="AF442" s="559"/>
      <c r="AG442" s="559"/>
    </row>
    <row r="443" spans="1:33" ht="18" customHeight="1" x14ac:dyDescent="0.35">
      <c r="A443" s="559"/>
      <c r="B443" s="559"/>
      <c r="C443" s="559"/>
      <c r="D443" s="559"/>
      <c r="E443" s="559"/>
      <c r="F443" s="559"/>
      <c r="G443" s="559"/>
      <c r="H443" s="559"/>
      <c r="I443" s="559"/>
      <c r="J443" s="559"/>
      <c r="K443" s="559"/>
      <c r="L443" s="559"/>
      <c r="M443" s="559"/>
      <c r="N443" s="559"/>
      <c r="O443" s="559"/>
      <c r="P443" s="559"/>
      <c r="Q443" s="559"/>
      <c r="R443" s="559"/>
      <c r="S443" s="559"/>
      <c r="T443" s="559"/>
      <c r="U443" s="559"/>
      <c r="V443" s="559"/>
      <c r="W443" s="559"/>
      <c r="X443" s="559"/>
      <c r="Y443" s="559"/>
      <c r="Z443" s="559"/>
      <c r="AA443" s="559"/>
      <c r="AB443" s="559"/>
      <c r="AC443" s="559"/>
      <c r="AD443" s="559"/>
      <c r="AE443" s="559"/>
      <c r="AF443" s="559"/>
      <c r="AG443" s="559"/>
    </row>
    <row r="444" spans="1:33" ht="18" customHeight="1" x14ac:dyDescent="0.35">
      <c r="A444" s="559"/>
      <c r="B444" s="559"/>
      <c r="C444" s="559"/>
      <c r="D444" s="559"/>
      <c r="E444" s="559"/>
      <c r="F444" s="559"/>
      <c r="G444" s="559"/>
      <c r="H444" s="559"/>
      <c r="I444" s="559"/>
      <c r="J444" s="559"/>
      <c r="K444" s="559"/>
      <c r="L444" s="559"/>
      <c r="M444" s="559"/>
      <c r="N444" s="559"/>
      <c r="O444" s="559"/>
      <c r="P444" s="559"/>
      <c r="Q444" s="559"/>
      <c r="R444" s="559"/>
      <c r="S444" s="559"/>
      <c r="T444" s="559"/>
      <c r="U444" s="559"/>
      <c r="V444" s="559"/>
      <c r="W444" s="559"/>
      <c r="X444" s="559"/>
      <c r="Y444" s="559"/>
      <c r="Z444" s="559"/>
      <c r="AA444" s="559"/>
      <c r="AB444" s="559"/>
      <c r="AC444" s="559"/>
      <c r="AD444" s="559"/>
      <c r="AE444" s="559"/>
      <c r="AF444" s="559"/>
      <c r="AG444" s="559"/>
    </row>
    <row r="445" spans="1:33" ht="18" customHeight="1" x14ac:dyDescent="0.35">
      <c r="A445" s="559"/>
      <c r="B445" s="559"/>
      <c r="C445" s="559"/>
      <c r="D445" s="559"/>
      <c r="E445" s="559"/>
      <c r="F445" s="559"/>
      <c r="G445" s="559"/>
      <c r="H445" s="559"/>
      <c r="I445" s="559"/>
      <c r="J445" s="559"/>
      <c r="K445" s="559"/>
      <c r="L445" s="559"/>
      <c r="M445" s="559"/>
      <c r="N445" s="559"/>
      <c r="O445" s="559"/>
      <c r="P445" s="559"/>
      <c r="Q445" s="559"/>
      <c r="R445" s="559"/>
      <c r="S445" s="559"/>
      <c r="T445" s="559"/>
      <c r="U445" s="559"/>
      <c r="V445" s="559"/>
      <c r="W445" s="559"/>
      <c r="X445" s="559"/>
      <c r="Y445" s="559"/>
      <c r="Z445" s="559"/>
      <c r="AA445" s="559"/>
      <c r="AB445" s="559"/>
      <c r="AC445" s="559"/>
      <c r="AD445" s="559"/>
      <c r="AE445" s="559"/>
      <c r="AF445" s="559"/>
      <c r="AG445" s="559"/>
    </row>
    <row r="446" spans="1:33" ht="18" customHeight="1" x14ac:dyDescent="0.35">
      <c r="A446" s="559"/>
      <c r="B446" s="559"/>
      <c r="C446" s="559"/>
      <c r="D446" s="559"/>
      <c r="E446" s="559"/>
      <c r="F446" s="559"/>
      <c r="G446" s="559"/>
      <c r="H446" s="559"/>
      <c r="I446" s="559"/>
      <c r="J446" s="559"/>
      <c r="K446" s="559"/>
      <c r="L446" s="559"/>
      <c r="M446" s="559"/>
      <c r="N446" s="559"/>
      <c r="O446" s="559"/>
      <c r="P446" s="559"/>
      <c r="Q446" s="559"/>
      <c r="R446" s="559"/>
      <c r="S446" s="559"/>
      <c r="T446" s="559"/>
      <c r="U446" s="559"/>
      <c r="V446" s="559"/>
      <c r="W446" s="559"/>
      <c r="X446" s="559"/>
      <c r="Y446" s="559"/>
      <c r="Z446" s="559"/>
      <c r="AA446" s="559"/>
      <c r="AB446" s="559"/>
      <c r="AC446" s="559"/>
      <c r="AD446" s="559"/>
      <c r="AE446" s="559"/>
      <c r="AF446" s="559"/>
      <c r="AG446" s="559"/>
    </row>
    <row r="447" spans="1:33" ht="18" customHeight="1" x14ac:dyDescent="0.35">
      <c r="A447" s="559"/>
      <c r="B447" s="559"/>
      <c r="C447" s="559"/>
      <c r="D447" s="559"/>
      <c r="E447" s="559"/>
      <c r="F447" s="559"/>
      <c r="G447" s="559"/>
      <c r="H447" s="559"/>
      <c r="I447" s="559"/>
      <c r="J447" s="559"/>
      <c r="K447" s="559"/>
      <c r="L447" s="559"/>
      <c r="M447" s="559"/>
      <c r="N447" s="559"/>
      <c r="O447" s="559"/>
      <c r="P447" s="559"/>
      <c r="Q447" s="559"/>
      <c r="R447" s="559"/>
      <c r="S447" s="559"/>
      <c r="T447" s="559"/>
      <c r="U447" s="559"/>
      <c r="V447" s="559"/>
      <c r="W447" s="559"/>
      <c r="X447" s="559"/>
      <c r="Y447" s="559"/>
      <c r="Z447" s="559"/>
      <c r="AA447" s="559"/>
      <c r="AB447" s="559"/>
      <c r="AC447" s="559"/>
      <c r="AD447" s="559"/>
      <c r="AE447" s="559"/>
      <c r="AF447" s="559"/>
      <c r="AG447" s="559"/>
    </row>
    <row r="448" spans="1:33" ht="18" customHeight="1" x14ac:dyDescent="0.35">
      <c r="A448" s="559"/>
      <c r="B448" s="559"/>
      <c r="C448" s="559"/>
      <c r="D448" s="559"/>
      <c r="E448" s="559"/>
      <c r="F448" s="559"/>
      <c r="G448" s="559"/>
      <c r="H448" s="559"/>
      <c r="I448" s="559"/>
      <c r="J448" s="559"/>
      <c r="K448" s="559"/>
      <c r="L448" s="559"/>
      <c r="M448" s="559"/>
      <c r="N448" s="559"/>
      <c r="O448" s="559"/>
      <c r="P448" s="559"/>
      <c r="Q448" s="559"/>
      <c r="R448" s="559"/>
      <c r="S448" s="559"/>
      <c r="T448" s="559"/>
      <c r="U448" s="559"/>
      <c r="V448" s="559"/>
      <c r="W448" s="559"/>
      <c r="X448" s="559"/>
      <c r="Y448" s="559"/>
      <c r="Z448" s="559"/>
      <c r="AA448" s="559"/>
      <c r="AB448" s="559"/>
      <c r="AC448" s="559"/>
      <c r="AD448" s="559"/>
      <c r="AE448" s="559"/>
      <c r="AF448" s="559"/>
      <c r="AG448" s="559"/>
    </row>
    <row r="449" spans="1:33" ht="18" customHeight="1" x14ac:dyDescent="0.35">
      <c r="A449" s="559"/>
      <c r="B449" s="559"/>
      <c r="C449" s="559"/>
      <c r="D449" s="559"/>
      <c r="E449" s="559"/>
      <c r="F449" s="559"/>
      <c r="G449" s="559"/>
      <c r="H449" s="559"/>
      <c r="I449" s="559"/>
      <c r="J449" s="559"/>
      <c r="K449" s="559"/>
      <c r="L449" s="559"/>
      <c r="M449" s="559"/>
      <c r="N449" s="559"/>
      <c r="O449" s="559"/>
      <c r="P449" s="559"/>
      <c r="Q449" s="559"/>
      <c r="R449" s="559"/>
      <c r="S449" s="559"/>
      <c r="T449" s="559"/>
      <c r="U449" s="559"/>
      <c r="V449" s="559"/>
      <c r="W449" s="559"/>
      <c r="X449" s="559"/>
      <c r="Y449" s="559"/>
      <c r="Z449" s="559"/>
      <c r="AA449" s="559"/>
      <c r="AB449" s="559"/>
      <c r="AC449" s="559"/>
      <c r="AD449" s="559"/>
      <c r="AE449" s="559"/>
      <c r="AF449" s="559"/>
      <c r="AG449" s="559"/>
    </row>
    <row r="450" spans="1:33" ht="18" customHeight="1" x14ac:dyDescent="0.35">
      <c r="A450" s="559"/>
      <c r="B450" s="559"/>
      <c r="C450" s="559"/>
      <c r="D450" s="559"/>
      <c r="E450" s="559"/>
      <c r="F450" s="559"/>
      <c r="G450" s="559"/>
      <c r="H450" s="559"/>
      <c r="I450" s="559"/>
      <c r="J450" s="559"/>
      <c r="K450" s="559"/>
      <c r="L450" s="559"/>
      <c r="M450" s="559"/>
      <c r="N450" s="559"/>
      <c r="O450" s="559"/>
      <c r="P450" s="559"/>
      <c r="Q450" s="559"/>
      <c r="R450" s="559"/>
      <c r="S450" s="559"/>
      <c r="T450" s="559"/>
      <c r="U450" s="559"/>
      <c r="V450" s="559"/>
      <c r="W450" s="559"/>
      <c r="X450" s="559"/>
      <c r="Y450" s="559"/>
      <c r="Z450" s="559"/>
      <c r="AA450" s="559"/>
      <c r="AB450" s="559"/>
      <c r="AC450" s="559"/>
      <c r="AD450" s="559"/>
      <c r="AE450" s="559"/>
      <c r="AF450" s="559"/>
      <c r="AG450" s="559"/>
    </row>
    <row r="451" spans="1:33" ht="18" customHeight="1" x14ac:dyDescent="0.35">
      <c r="A451" s="559"/>
      <c r="B451" s="559"/>
      <c r="C451" s="559"/>
      <c r="D451" s="559"/>
      <c r="E451" s="559"/>
      <c r="F451" s="559"/>
      <c r="G451" s="559"/>
      <c r="H451" s="559"/>
      <c r="I451" s="559"/>
      <c r="J451" s="559"/>
      <c r="K451" s="559"/>
      <c r="L451" s="559"/>
      <c r="M451" s="559"/>
      <c r="N451" s="559"/>
      <c r="O451" s="559"/>
      <c r="P451" s="559"/>
      <c r="Q451" s="559"/>
      <c r="R451" s="559"/>
      <c r="S451" s="559"/>
      <c r="T451" s="559"/>
      <c r="U451" s="559"/>
      <c r="V451" s="559"/>
      <c r="W451" s="559"/>
      <c r="X451" s="559"/>
      <c r="Y451" s="559"/>
      <c r="Z451" s="559"/>
      <c r="AA451" s="559"/>
      <c r="AB451" s="559"/>
      <c r="AC451" s="559"/>
      <c r="AD451" s="559"/>
      <c r="AE451" s="559"/>
      <c r="AF451" s="559"/>
      <c r="AG451" s="559"/>
    </row>
    <row r="452" spans="1:33" ht="18" customHeight="1" x14ac:dyDescent="0.35">
      <c r="A452" s="559"/>
      <c r="B452" s="559"/>
      <c r="C452" s="559"/>
      <c r="D452" s="559"/>
      <c r="E452" s="559"/>
      <c r="F452" s="559"/>
      <c r="G452" s="559"/>
      <c r="H452" s="559"/>
      <c r="I452" s="559"/>
      <c r="J452" s="559"/>
      <c r="K452" s="559"/>
      <c r="L452" s="559"/>
      <c r="M452" s="559"/>
      <c r="N452" s="559"/>
      <c r="O452" s="559"/>
      <c r="P452" s="559"/>
      <c r="Q452" s="559"/>
      <c r="R452" s="559"/>
      <c r="S452" s="559"/>
      <c r="T452" s="559"/>
      <c r="U452" s="559"/>
      <c r="V452" s="559"/>
      <c r="W452" s="559"/>
      <c r="X452" s="559"/>
      <c r="Y452" s="559"/>
      <c r="Z452" s="559"/>
      <c r="AA452" s="559"/>
      <c r="AB452" s="559"/>
      <c r="AC452" s="559"/>
      <c r="AD452" s="559"/>
      <c r="AE452" s="559"/>
      <c r="AF452" s="559"/>
      <c r="AG452" s="559"/>
    </row>
    <row r="453" spans="1:33" ht="18" customHeight="1" x14ac:dyDescent="0.35">
      <c r="A453" s="559"/>
      <c r="B453" s="559"/>
      <c r="C453" s="559"/>
      <c r="D453" s="559"/>
      <c r="E453" s="559"/>
      <c r="F453" s="559"/>
      <c r="G453" s="559"/>
      <c r="H453" s="559"/>
      <c r="I453" s="559"/>
      <c r="J453" s="559"/>
      <c r="K453" s="559"/>
      <c r="L453" s="559"/>
      <c r="M453" s="559"/>
      <c r="N453" s="559"/>
      <c r="O453" s="559"/>
      <c r="P453" s="559"/>
      <c r="Q453" s="559"/>
      <c r="R453" s="559"/>
      <c r="S453" s="559"/>
      <c r="T453" s="559"/>
      <c r="U453" s="559"/>
      <c r="V453" s="559"/>
      <c r="W453" s="559"/>
      <c r="X453" s="559"/>
      <c r="Y453" s="559"/>
      <c r="Z453" s="559"/>
      <c r="AA453" s="559"/>
      <c r="AB453" s="559"/>
      <c r="AC453" s="559"/>
      <c r="AD453" s="559"/>
      <c r="AE453" s="559"/>
      <c r="AF453" s="559"/>
      <c r="AG453" s="559"/>
    </row>
    <row r="454" spans="1:33" ht="18" customHeight="1" x14ac:dyDescent="0.35">
      <c r="A454" s="559"/>
      <c r="B454" s="559"/>
      <c r="C454" s="559"/>
      <c r="D454" s="559"/>
      <c r="E454" s="559"/>
      <c r="F454" s="559"/>
      <c r="G454" s="559"/>
      <c r="H454" s="559"/>
      <c r="I454" s="559"/>
      <c r="J454" s="559"/>
      <c r="K454" s="559"/>
      <c r="L454" s="559"/>
      <c r="M454" s="559"/>
      <c r="N454" s="559"/>
      <c r="O454" s="559"/>
      <c r="P454" s="559"/>
      <c r="Q454" s="559"/>
      <c r="R454" s="559"/>
      <c r="S454" s="559"/>
      <c r="T454" s="559"/>
      <c r="U454" s="559"/>
      <c r="V454" s="559"/>
      <c r="W454" s="559"/>
      <c r="X454" s="559"/>
      <c r="Y454" s="559"/>
      <c r="Z454" s="559"/>
      <c r="AA454" s="559"/>
      <c r="AB454" s="559"/>
      <c r="AC454" s="559"/>
      <c r="AD454" s="559"/>
      <c r="AE454" s="559"/>
      <c r="AF454" s="559"/>
      <c r="AG454" s="559"/>
    </row>
    <row r="455" spans="1:33" ht="18" customHeight="1" x14ac:dyDescent="0.35">
      <c r="A455" s="559"/>
      <c r="B455" s="559"/>
      <c r="C455" s="559"/>
      <c r="D455" s="559"/>
      <c r="E455" s="559"/>
      <c r="F455" s="559"/>
      <c r="G455" s="559"/>
      <c r="H455" s="559"/>
      <c r="I455" s="559"/>
      <c r="J455" s="559"/>
      <c r="K455" s="559"/>
      <c r="L455" s="559"/>
      <c r="M455" s="559"/>
      <c r="N455" s="559"/>
      <c r="O455" s="559"/>
      <c r="P455" s="559"/>
      <c r="Q455" s="559"/>
      <c r="R455" s="559"/>
      <c r="S455" s="559"/>
      <c r="T455" s="559"/>
      <c r="U455" s="559"/>
      <c r="V455" s="559"/>
      <c r="W455" s="559"/>
      <c r="X455" s="559"/>
      <c r="Y455" s="559"/>
      <c r="Z455" s="559"/>
      <c r="AA455" s="559"/>
      <c r="AB455" s="559"/>
      <c r="AC455" s="559"/>
      <c r="AD455" s="559"/>
      <c r="AE455" s="559"/>
      <c r="AF455" s="559"/>
      <c r="AG455" s="559"/>
    </row>
    <row r="456" spans="1:33" ht="18" customHeight="1" x14ac:dyDescent="0.35">
      <c r="A456" s="559"/>
      <c r="B456" s="559"/>
      <c r="C456" s="559"/>
      <c r="D456" s="559"/>
      <c r="E456" s="559"/>
      <c r="F456" s="559"/>
      <c r="G456" s="559"/>
      <c r="H456" s="559"/>
      <c r="I456" s="559"/>
      <c r="J456" s="559"/>
      <c r="K456" s="559"/>
      <c r="L456" s="559"/>
      <c r="M456" s="559"/>
      <c r="N456" s="559"/>
      <c r="O456" s="559"/>
      <c r="P456" s="559"/>
      <c r="Q456" s="559"/>
      <c r="R456" s="559"/>
      <c r="S456" s="559"/>
      <c r="T456" s="559"/>
      <c r="U456" s="559"/>
      <c r="V456" s="559"/>
      <c r="W456" s="559"/>
      <c r="X456" s="559"/>
      <c r="Y456" s="559"/>
      <c r="Z456" s="559"/>
      <c r="AA456" s="559"/>
      <c r="AB456" s="559"/>
      <c r="AC456" s="559"/>
      <c r="AD456" s="559"/>
      <c r="AE456" s="559"/>
      <c r="AF456" s="559"/>
      <c r="AG456" s="559"/>
    </row>
    <row r="457" spans="1:33" ht="18" customHeight="1" x14ac:dyDescent="0.35">
      <c r="A457" s="559"/>
      <c r="B457" s="559"/>
      <c r="C457" s="559"/>
      <c r="D457" s="559"/>
      <c r="E457" s="559"/>
      <c r="F457" s="559"/>
      <c r="G457" s="559"/>
      <c r="H457" s="559"/>
      <c r="I457" s="559"/>
      <c r="J457" s="559"/>
      <c r="K457" s="559"/>
      <c r="L457" s="559"/>
      <c r="M457" s="559"/>
      <c r="N457" s="559"/>
      <c r="O457" s="559"/>
      <c r="P457" s="559"/>
      <c r="Q457" s="559"/>
      <c r="R457" s="559"/>
      <c r="S457" s="559"/>
      <c r="T457" s="559"/>
      <c r="U457" s="559"/>
      <c r="V457" s="559"/>
      <c r="W457" s="559"/>
      <c r="X457" s="559"/>
      <c r="Y457" s="559"/>
      <c r="Z457" s="559"/>
      <c r="AA457" s="559"/>
      <c r="AB457" s="559"/>
      <c r="AC457" s="559"/>
      <c r="AD457" s="559"/>
      <c r="AE457" s="559"/>
      <c r="AF457" s="559"/>
      <c r="AG457" s="559"/>
    </row>
    <row r="458" spans="1:33" ht="18" customHeight="1" x14ac:dyDescent="0.35">
      <c r="A458" s="559"/>
      <c r="B458" s="559"/>
      <c r="C458" s="559"/>
      <c r="D458" s="559"/>
      <c r="E458" s="559"/>
      <c r="F458" s="559"/>
      <c r="G458" s="559"/>
      <c r="H458" s="559"/>
      <c r="I458" s="559"/>
      <c r="J458" s="559"/>
      <c r="K458" s="559"/>
      <c r="L458" s="559"/>
      <c r="M458" s="559"/>
      <c r="N458" s="559"/>
      <c r="O458" s="559"/>
      <c r="P458" s="559"/>
      <c r="Q458" s="559"/>
      <c r="R458" s="559"/>
      <c r="S458" s="559"/>
      <c r="T458" s="559"/>
      <c r="U458" s="559"/>
      <c r="V458" s="559"/>
      <c r="W458" s="559"/>
      <c r="X458" s="559"/>
      <c r="Y458" s="559"/>
      <c r="Z458" s="559"/>
      <c r="AA458" s="559"/>
      <c r="AB458" s="559"/>
      <c r="AC458" s="559"/>
      <c r="AD458" s="559"/>
      <c r="AE458" s="559"/>
      <c r="AF458" s="559"/>
      <c r="AG458" s="559"/>
    </row>
    <row r="459" spans="1:33" ht="18" customHeight="1" x14ac:dyDescent="0.35">
      <c r="A459" s="559"/>
      <c r="B459" s="559"/>
      <c r="C459" s="559"/>
      <c r="D459" s="559"/>
      <c r="E459" s="559"/>
      <c r="F459" s="559"/>
      <c r="G459" s="559"/>
      <c r="H459" s="559"/>
      <c r="I459" s="559"/>
      <c r="J459" s="559"/>
      <c r="K459" s="559"/>
      <c r="L459" s="559"/>
      <c r="M459" s="559"/>
      <c r="N459" s="559"/>
      <c r="O459" s="559"/>
      <c r="P459" s="559"/>
      <c r="Q459" s="559"/>
      <c r="R459" s="559"/>
      <c r="S459" s="559"/>
      <c r="T459" s="559"/>
      <c r="U459" s="559"/>
      <c r="V459" s="559"/>
      <c r="W459" s="559"/>
      <c r="X459" s="559"/>
      <c r="Y459" s="559"/>
      <c r="Z459" s="559"/>
      <c r="AA459" s="559"/>
      <c r="AB459" s="559"/>
      <c r="AC459" s="559"/>
      <c r="AD459" s="559"/>
      <c r="AE459" s="559"/>
      <c r="AF459" s="559"/>
      <c r="AG459" s="559"/>
    </row>
    <row r="460" spans="1:33" ht="18" customHeight="1" x14ac:dyDescent="0.35">
      <c r="A460" s="559"/>
      <c r="B460" s="559"/>
      <c r="C460" s="559"/>
      <c r="D460" s="559"/>
      <c r="E460" s="559"/>
      <c r="F460" s="559"/>
      <c r="G460" s="559"/>
      <c r="H460" s="559"/>
      <c r="I460" s="559"/>
      <c r="J460" s="559"/>
      <c r="K460" s="559"/>
      <c r="L460" s="559"/>
      <c r="M460" s="559"/>
      <c r="N460" s="559"/>
      <c r="O460" s="559"/>
      <c r="P460" s="559"/>
      <c r="Q460" s="559"/>
      <c r="R460" s="559"/>
      <c r="S460" s="559"/>
      <c r="T460" s="559"/>
      <c r="U460" s="559"/>
      <c r="V460" s="559"/>
      <c r="W460" s="559"/>
      <c r="X460" s="559"/>
      <c r="Y460" s="559"/>
      <c r="Z460" s="559"/>
      <c r="AA460" s="559"/>
      <c r="AB460" s="559"/>
      <c r="AC460" s="559"/>
      <c r="AD460" s="559"/>
      <c r="AE460" s="559"/>
      <c r="AF460" s="559"/>
      <c r="AG460" s="559"/>
    </row>
    <row r="461" spans="1:33" ht="18" customHeight="1" x14ac:dyDescent="0.35">
      <c r="A461" s="559"/>
      <c r="B461" s="559"/>
      <c r="C461" s="559"/>
      <c r="D461" s="559"/>
      <c r="E461" s="559"/>
      <c r="F461" s="559"/>
      <c r="G461" s="559"/>
      <c r="H461" s="559"/>
      <c r="I461" s="559"/>
      <c r="J461" s="559"/>
      <c r="K461" s="559"/>
      <c r="L461" s="559"/>
      <c r="M461" s="559"/>
      <c r="N461" s="559"/>
      <c r="O461" s="559"/>
      <c r="P461" s="559"/>
      <c r="Q461" s="559"/>
      <c r="R461" s="559"/>
      <c r="S461" s="559"/>
      <c r="T461" s="559"/>
      <c r="U461" s="559"/>
      <c r="V461" s="559"/>
      <c r="W461" s="559"/>
      <c r="X461" s="559"/>
      <c r="Y461" s="559"/>
      <c r="Z461" s="559"/>
      <c r="AA461" s="559"/>
      <c r="AB461" s="559"/>
      <c r="AC461" s="559"/>
      <c r="AD461" s="559"/>
      <c r="AE461" s="559"/>
      <c r="AF461" s="559"/>
      <c r="AG461" s="559"/>
    </row>
    <row r="462" spans="1:33" ht="18" customHeight="1" x14ac:dyDescent="0.35">
      <c r="A462" s="559"/>
      <c r="B462" s="559"/>
      <c r="C462" s="559"/>
      <c r="D462" s="559"/>
      <c r="E462" s="559"/>
      <c r="F462" s="559"/>
      <c r="G462" s="559"/>
      <c r="H462" s="559"/>
      <c r="I462" s="559"/>
      <c r="J462" s="559"/>
      <c r="K462" s="559"/>
      <c r="L462" s="559"/>
      <c r="M462" s="559"/>
      <c r="N462" s="559"/>
      <c r="O462" s="559"/>
      <c r="P462" s="559"/>
      <c r="Q462" s="559"/>
      <c r="R462" s="559"/>
      <c r="S462" s="559"/>
      <c r="T462" s="559"/>
      <c r="U462" s="559"/>
      <c r="V462" s="559"/>
      <c r="W462" s="559"/>
      <c r="X462" s="559"/>
      <c r="Y462" s="559"/>
      <c r="Z462" s="559"/>
      <c r="AA462" s="559"/>
      <c r="AB462" s="559"/>
      <c r="AC462" s="559"/>
      <c r="AD462" s="559"/>
      <c r="AE462" s="559"/>
      <c r="AF462" s="559"/>
      <c r="AG462" s="559"/>
    </row>
    <row r="463" spans="1:33" ht="18" customHeight="1" x14ac:dyDescent="0.35">
      <c r="A463" s="559"/>
      <c r="B463" s="559"/>
      <c r="C463" s="559"/>
      <c r="D463" s="559"/>
      <c r="E463" s="559"/>
      <c r="F463" s="559"/>
      <c r="G463" s="559"/>
      <c r="H463" s="559"/>
      <c r="I463" s="559"/>
      <c r="J463" s="559"/>
      <c r="K463" s="559"/>
      <c r="L463" s="559"/>
      <c r="M463" s="559"/>
      <c r="N463" s="559"/>
      <c r="O463" s="559"/>
      <c r="P463" s="559"/>
      <c r="Q463" s="559"/>
      <c r="R463" s="559"/>
      <c r="S463" s="559"/>
      <c r="T463" s="559"/>
      <c r="U463" s="559"/>
      <c r="V463" s="559"/>
      <c r="W463" s="559"/>
      <c r="X463" s="559"/>
      <c r="Y463" s="559"/>
      <c r="Z463" s="559"/>
      <c r="AA463" s="559"/>
      <c r="AB463" s="559"/>
      <c r="AC463" s="559"/>
      <c r="AD463" s="559"/>
      <c r="AE463" s="559"/>
      <c r="AF463" s="559"/>
      <c r="AG463" s="559"/>
    </row>
    <row r="464" spans="1:33" ht="18" customHeight="1" x14ac:dyDescent="0.35">
      <c r="A464" s="559"/>
      <c r="B464" s="559"/>
      <c r="C464" s="559"/>
      <c r="D464" s="559"/>
      <c r="E464" s="559"/>
      <c r="F464" s="559"/>
      <c r="G464" s="559"/>
      <c r="H464" s="559"/>
      <c r="I464" s="559"/>
      <c r="J464" s="559"/>
      <c r="K464" s="559"/>
      <c r="L464" s="559"/>
      <c r="M464" s="559"/>
      <c r="N464" s="559"/>
      <c r="O464" s="559"/>
      <c r="P464" s="559"/>
      <c r="Q464" s="559"/>
      <c r="R464" s="559"/>
      <c r="S464" s="559"/>
      <c r="T464" s="559"/>
      <c r="U464" s="559"/>
      <c r="V464" s="559"/>
      <c r="W464" s="559"/>
      <c r="X464" s="559"/>
      <c r="Y464" s="559"/>
      <c r="Z464" s="559"/>
      <c r="AA464" s="559"/>
      <c r="AB464" s="559"/>
      <c r="AC464" s="559"/>
      <c r="AD464" s="559"/>
      <c r="AE464" s="559"/>
      <c r="AF464" s="559"/>
      <c r="AG464" s="559"/>
    </row>
    <row r="465" spans="1:33" ht="18" customHeight="1" x14ac:dyDescent="0.35">
      <c r="A465" s="559"/>
      <c r="B465" s="559"/>
      <c r="C465" s="559"/>
      <c r="D465" s="559"/>
      <c r="E465" s="559"/>
      <c r="F465" s="559"/>
      <c r="G465" s="559"/>
      <c r="H465" s="559"/>
      <c r="I465" s="559"/>
      <c r="J465" s="559"/>
      <c r="K465" s="559"/>
      <c r="L465" s="559"/>
      <c r="M465" s="559"/>
      <c r="N465" s="559"/>
      <c r="O465" s="559"/>
      <c r="P465" s="559"/>
      <c r="Q465" s="559"/>
      <c r="R465" s="559"/>
      <c r="S465" s="559"/>
      <c r="T465" s="559"/>
      <c r="U465" s="559"/>
      <c r="V465" s="559"/>
      <c r="W465" s="559"/>
      <c r="X465" s="559"/>
      <c r="Y465" s="559"/>
      <c r="Z465" s="559"/>
      <c r="AA465" s="559"/>
      <c r="AB465" s="559"/>
      <c r="AC465" s="559"/>
      <c r="AD465" s="559"/>
      <c r="AE465" s="559"/>
      <c r="AF465" s="559"/>
      <c r="AG465" s="559"/>
    </row>
    <row r="466" spans="1:33" ht="18" customHeight="1" x14ac:dyDescent="0.35">
      <c r="A466" s="559"/>
      <c r="B466" s="559"/>
      <c r="C466" s="559"/>
      <c r="D466" s="559"/>
      <c r="E466" s="559"/>
      <c r="F466" s="559"/>
      <c r="G466" s="559"/>
      <c r="H466" s="559"/>
      <c r="I466" s="559"/>
      <c r="J466" s="559"/>
      <c r="K466" s="559"/>
      <c r="L466" s="559"/>
      <c r="M466" s="559"/>
      <c r="N466" s="559"/>
      <c r="O466" s="559"/>
      <c r="P466" s="559"/>
      <c r="Q466" s="559"/>
      <c r="R466" s="559"/>
      <c r="S466" s="559"/>
      <c r="T466" s="559"/>
      <c r="U466" s="559"/>
      <c r="V466" s="559"/>
      <c r="W466" s="559"/>
      <c r="X466" s="559"/>
      <c r="Y466" s="559"/>
      <c r="Z466" s="559"/>
      <c r="AA466" s="559"/>
      <c r="AB466" s="559"/>
      <c r="AC466" s="559"/>
      <c r="AD466" s="559"/>
      <c r="AE466" s="559"/>
      <c r="AF466" s="559"/>
      <c r="AG466" s="559"/>
    </row>
    <row r="467" spans="1:33" ht="18" customHeight="1" x14ac:dyDescent="0.35">
      <c r="A467" s="559"/>
      <c r="B467" s="559"/>
      <c r="C467" s="559"/>
      <c r="D467" s="559"/>
      <c r="E467" s="559"/>
      <c r="F467" s="559"/>
      <c r="G467" s="559"/>
      <c r="H467" s="559"/>
      <c r="I467" s="559"/>
      <c r="J467" s="559"/>
      <c r="K467" s="559"/>
      <c r="L467" s="559"/>
      <c r="M467" s="559"/>
      <c r="N467" s="559"/>
      <c r="O467" s="559"/>
      <c r="P467" s="559"/>
      <c r="Q467" s="559"/>
      <c r="R467" s="559"/>
      <c r="S467" s="559"/>
      <c r="T467" s="559"/>
      <c r="U467" s="559"/>
      <c r="V467" s="559"/>
      <c r="W467" s="559"/>
      <c r="X467" s="559"/>
      <c r="Y467" s="559"/>
      <c r="Z467" s="559"/>
      <c r="AA467" s="559"/>
      <c r="AB467" s="559"/>
      <c r="AC467" s="559"/>
      <c r="AD467" s="559"/>
      <c r="AE467" s="559"/>
      <c r="AF467" s="559"/>
      <c r="AG467" s="559"/>
    </row>
    <row r="468" spans="1:33" ht="18" customHeight="1" x14ac:dyDescent="0.35">
      <c r="A468" s="559"/>
      <c r="B468" s="559"/>
      <c r="C468" s="559"/>
      <c r="D468" s="559"/>
      <c r="E468" s="559"/>
      <c r="F468" s="559"/>
      <c r="G468" s="559"/>
      <c r="H468" s="559"/>
      <c r="I468" s="559"/>
      <c r="J468" s="559"/>
      <c r="K468" s="559"/>
      <c r="L468" s="559"/>
      <c r="M468" s="559"/>
      <c r="N468" s="559"/>
      <c r="O468" s="559"/>
      <c r="P468" s="559"/>
      <c r="Q468" s="559"/>
      <c r="R468" s="559"/>
      <c r="S468" s="559"/>
      <c r="T468" s="559"/>
      <c r="U468" s="559"/>
      <c r="V468" s="559"/>
      <c r="W468" s="559"/>
      <c r="X468" s="559"/>
      <c r="Y468" s="559"/>
      <c r="Z468" s="559"/>
      <c r="AA468" s="559"/>
      <c r="AB468" s="559"/>
      <c r="AC468" s="559"/>
      <c r="AD468" s="559"/>
      <c r="AE468" s="559"/>
      <c r="AF468" s="559"/>
      <c r="AG468" s="559"/>
    </row>
    <row r="469" spans="1:33" ht="18" customHeight="1" x14ac:dyDescent="0.35">
      <c r="A469" s="559"/>
      <c r="B469" s="559"/>
      <c r="C469" s="559"/>
      <c r="D469" s="559"/>
      <c r="E469" s="559"/>
      <c r="F469" s="559"/>
      <c r="G469" s="559"/>
      <c r="H469" s="559"/>
      <c r="I469" s="559"/>
      <c r="J469" s="559"/>
      <c r="K469" s="559"/>
      <c r="L469" s="559"/>
      <c r="M469" s="559"/>
      <c r="N469" s="559"/>
      <c r="O469" s="559"/>
      <c r="P469" s="559"/>
      <c r="Q469" s="559"/>
      <c r="R469" s="559"/>
      <c r="S469" s="559"/>
      <c r="T469" s="559"/>
      <c r="U469" s="559"/>
      <c r="V469" s="559"/>
      <c r="W469" s="559"/>
      <c r="X469" s="559"/>
      <c r="Y469" s="559"/>
      <c r="Z469" s="559"/>
      <c r="AA469" s="559"/>
      <c r="AB469" s="559"/>
      <c r="AC469" s="559"/>
      <c r="AD469" s="559"/>
      <c r="AE469" s="559"/>
      <c r="AF469" s="559"/>
      <c r="AG469" s="559"/>
    </row>
    <row r="470" spans="1:33" ht="18" customHeight="1" x14ac:dyDescent="0.35">
      <c r="A470" s="559"/>
      <c r="B470" s="559"/>
      <c r="C470" s="559"/>
      <c r="D470" s="559"/>
      <c r="E470" s="559"/>
      <c r="F470" s="559"/>
      <c r="G470" s="559"/>
      <c r="H470" s="559"/>
      <c r="I470" s="559"/>
      <c r="J470" s="559"/>
      <c r="K470" s="559"/>
      <c r="L470" s="559"/>
      <c r="M470" s="559"/>
      <c r="N470" s="559"/>
      <c r="O470" s="559"/>
      <c r="P470" s="559"/>
      <c r="Q470" s="559"/>
      <c r="R470" s="559"/>
      <c r="S470" s="559"/>
      <c r="T470" s="559"/>
      <c r="U470" s="559"/>
      <c r="V470" s="559"/>
      <c r="W470" s="559"/>
      <c r="X470" s="559"/>
      <c r="Y470" s="559"/>
      <c r="Z470" s="559"/>
      <c r="AA470" s="559"/>
      <c r="AB470" s="559"/>
      <c r="AC470" s="559"/>
      <c r="AD470" s="559"/>
      <c r="AE470" s="559"/>
      <c r="AF470" s="559"/>
      <c r="AG470" s="559"/>
    </row>
    <row r="471" spans="1:33" ht="18" customHeight="1" x14ac:dyDescent="0.35">
      <c r="A471" s="559"/>
      <c r="B471" s="559"/>
      <c r="C471" s="559"/>
      <c r="D471" s="559"/>
      <c r="E471" s="559"/>
      <c r="F471" s="559"/>
      <c r="G471" s="559"/>
      <c r="H471" s="559"/>
      <c r="I471" s="559"/>
      <c r="J471" s="559"/>
      <c r="K471" s="559"/>
      <c r="L471" s="559"/>
      <c r="M471" s="559"/>
      <c r="N471" s="559"/>
      <c r="O471" s="559"/>
      <c r="P471" s="559"/>
      <c r="Q471" s="559"/>
      <c r="R471" s="559"/>
      <c r="S471" s="559"/>
      <c r="T471" s="559"/>
      <c r="U471" s="559"/>
      <c r="V471" s="559"/>
      <c r="W471" s="559"/>
      <c r="X471" s="559"/>
      <c r="Y471" s="559"/>
      <c r="Z471" s="559"/>
      <c r="AA471" s="559"/>
      <c r="AB471" s="559"/>
      <c r="AC471" s="559"/>
      <c r="AD471" s="559"/>
      <c r="AE471" s="559"/>
      <c r="AF471" s="559"/>
      <c r="AG471" s="559"/>
    </row>
    <row r="472" spans="1:33" ht="18" customHeight="1" x14ac:dyDescent="0.35">
      <c r="A472" s="559"/>
      <c r="B472" s="559"/>
      <c r="C472" s="559"/>
      <c r="D472" s="559"/>
      <c r="E472" s="559"/>
      <c r="F472" s="559"/>
      <c r="G472" s="559"/>
      <c r="H472" s="559"/>
      <c r="I472" s="559"/>
      <c r="J472" s="559"/>
      <c r="K472" s="559"/>
      <c r="L472" s="559"/>
      <c r="M472" s="559"/>
      <c r="N472" s="559"/>
      <c r="O472" s="559"/>
      <c r="P472" s="559"/>
      <c r="Q472" s="559"/>
      <c r="R472" s="559"/>
      <c r="S472" s="559"/>
      <c r="T472" s="559"/>
      <c r="U472" s="559"/>
      <c r="V472" s="559"/>
      <c r="W472" s="559"/>
      <c r="X472" s="559"/>
      <c r="Y472" s="559"/>
      <c r="Z472" s="559"/>
      <c r="AA472" s="559"/>
      <c r="AB472" s="559"/>
      <c r="AC472" s="559"/>
      <c r="AD472" s="559"/>
      <c r="AE472" s="559"/>
      <c r="AF472" s="559"/>
      <c r="AG472" s="559"/>
    </row>
    <row r="473" spans="1:33" ht="18" customHeight="1" x14ac:dyDescent="0.35">
      <c r="A473" s="559"/>
      <c r="B473" s="559"/>
      <c r="C473" s="559"/>
      <c r="D473" s="559"/>
      <c r="E473" s="559"/>
      <c r="F473" s="559"/>
      <c r="G473" s="559"/>
      <c r="H473" s="559"/>
      <c r="I473" s="559"/>
      <c r="J473" s="559"/>
      <c r="K473" s="559"/>
      <c r="L473" s="559"/>
      <c r="M473" s="559"/>
      <c r="N473" s="559"/>
      <c r="O473" s="559"/>
      <c r="P473" s="559"/>
      <c r="Q473" s="559"/>
      <c r="R473" s="559"/>
      <c r="S473" s="559"/>
      <c r="T473" s="559"/>
      <c r="U473" s="559"/>
      <c r="V473" s="559"/>
      <c r="W473" s="559"/>
      <c r="X473" s="559"/>
      <c r="Y473" s="559"/>
      <c r="Z473" s="559"/>
      <c r="AA473" s="559"/>
      <c r="AB473" s="559"/>
      <c r="AC473" s="559"/>
      <c r="AD473" s="559"/>
      <c r="AE473" s="559"/>
      <c r="AF473" s="559"/>
      <c r="AG473" s="559"/>
    </row>
    <row r="474" spans="1:33" ht="18" customHeight="1" x14ac:dyDescent="0.35">
      <c r="A474" s="559"/>
      <c r="B474" s="559"/>
      <c r="C474" s="559"/>
      <c r="D474" s="559"/>
      <c r="E474" s="559"/>
      <c r="F474" s="559"/>
      <c r="G474" s="559"/>
      <c r="H474" s="559"/>
      <c r="I474" s="559"/>
      <c r="J474" s="559"/>
      <c r="K474" s="559"/>
      <c r="L474" s="559"/>
      <c r="M474" s="559"/>
      <c r="N474" s="559"/>
      <c r="O474" s="559"/>
      <c r="P474" s="559"/>
      <c r="Q474" s="559"/>
      <c r="R474" s="559"/>
      <c r="S474" s="559"/>
      <c r="T474" s="559"/>
      <c r="U474" s="559"/>
      <c r="V474" s="559"/>
      <c r="W474" s="559"/>
      <c r="X474" s="559"/>
      <c r="Y474" s="559"/>
      <c r="Z474" s="559"/>
      <c r="AA474" s="559"/>
      <c r="AB474" s="559"/>
      <c r="AC474" s="559"/>
      <c r="AD474" s="559"/>
      <c r="AE474" s="559"/>
      <c r="AF474" s="559"/>
      <c r="AG474" s="559"/>
    </row>
    <row r="475" spans="1:33" ht="18" customHeight="1" x14ac:dyDescent="0.35">
      <c r="A475" s="559"/>
      <c r="B475" s="559"/>
      <c r="C475" s="559"/>
      <c r="D475" s="559"/>
      <c r="E475" s="559"/>
      <c r="F475" s="559"/>
      <c r="G475" s="559"/>
      <c r="H475" s="559"/>
      <c r="I475" s="559"/>
      <c r="J475" s="559"/>
      <c r="K475" s="559"/>
      <c r="L475" s="559"/>
      <c r="M475" s="559"/>
      <c r="N475" s="559"/>
      <c r="O475" s="559"/>
      <c r="P475" s="559"/>
      <c r="Q475" s="559"/>
      <c r="R475" s="559"/>
      <c r="S475" s="559"/>
      <c r="T475" s="559"/>
      <c r="U475" s="559"/>
      <c r="V475" s="559"/>
      <c r="W475" s="559"/>
      <c r="X475" s="559"/>
      <c r="Y475" s="559"/>
      <c r="Z475" s="559"/>
      <c r="AA475" s="559"/>
      <c r="AB475" s="559"/>
      <c r="AC475" s="559"/>
      <c r="AD475" s="559"/>
      <c r="AE475" s="559"/>
      <c r="AF475" s="559"/>
      <c r="AG475" s="559"/>
    </row>
    <row r="476" spans="1:33" ht="18" customHeight="1" x14ac:dyDescent="0.35">
      <c r="A476" s="559"/>
      <c r="B476" s="559"/>
      <c r="C476" s="559"/>
      <c r="D476" s="559"/>
      <c r="E476" s="559"/>
      <c r="F476" s="559"/>
      <c r="G476" s="559"/>
      <c r="H476" s="559"/>
      <c r="I476" s="559"/>
      <c r="J476" s="559"/>
      <c r="K476" s="559"/>
      <c r="L476" s="559"/>
      <c r="M476" s="559"/>
      <c r="N476" s="559"/>
      <c r="O476" s="559"/>
      <c r="P476" s="559"/>
      <c r="Q476" s="559"/>
      <c r="R476" s="559"/>
      <c r="S476" s="559"/>
      <c r="T476" s="559"/>
      <c r="U476" s="559"/>
      <c r="V476" s="559"/>
      <c r="W476" s="559"/>
      <c r="X476" s="559"/>
      <c r="Y476" s="559"/>
      <c r="Z476" s="559"/>
      <c r="AA476" s="559"/>
      <c r="AB476" s="559"/>
      <c r="AC476" s="559"/>
      <c r="AD476" s="559"/>
      <c r="AE476" s="559"/>
      <c r="AF476" s="559"/>
      <c r="AG476" s="559"/>
    </row>
    <row r="477" spans="1:33" ht="18" customHeight="1" x14ac:dyDescent="0.35">
      <c r="A477" s="559"/>
      <c r="B477" s="559"/>
      <c r="C477" s="559"/>
      <c r="D477" s="559"/>
      <c r="E477" s="559"/>
      <c r="F477" s="559"/>
      <c r="G477" s="559"/>
      <c r="H477" s="559"/>
      <c r="I477" s="559"/>
      <c r="J477" s="559"/>
      <c r="K477" s="559"/>
      <c r="L477" s="559"/>
      <c r="M477" s="559"/>
      <c r="N477" s="559"/>
      <c r="O477" s="559"/>
      <c r="P477" s="559"/>
      <c r="Q477" s="559"/>
      <c r="R477" s="559"/>
      <c r="S477" s="559"/>
      <c r="T477" s="559"/>
      <c r="U477" s="559"/>
      <c r="V477" s="559"/>
      <c r="W477" s="559"/>
      <c r="X477" s="559"/>
      <c r="Y477" s="559"/>
      <c r="Z477" s="559"/>
      <c r="AA477" s="559"/>
      <c r="AB477" s="559"/>
      <c r="AC477" s="559"/>
      <c r="AD477" s="559"/>
      <c r="AE477" s="559"/>
      <c r="AF477" s="559"/>
      <c r="AG477" s="559"/>
    </row>
    <row r="478" spans="1:33" ht="18" customHeight="1" x14ac:dyDescent="0.35">
      <c r="A478" s="559"/>
      <c r="B478" s="559"/>
      <c r="C478" s="559"/>
      <c r="D478" s="559"/>
      <c r="E478" s="559"/>
      <c r="F478" s="559"/>
      <c r="G478" s="559"/>
      <c r="H478" s="559"/>
      <c r="I478" s="559"/>
      <c r="J478" s="559"/>
      <c r="K478" s="559"/>
      <c r="L478" s="559"/>
      <c r="M478" s="559"/>
      <c r="N478" s="559"/>
      <c r="O478" s="559"/>
      <c r="P478" s="559"/>
      <c r="Q478" s="559"/>
      <c r="R478" s="559"/>
      <c r="S478" s="559"/>
      <c r="T478" s="559"/>
      <c r="U478" s="559"/>
      <c r="V478" s="559"/>
      <c r="W478" s="559"/>
      <c r="X478" s="559"/>
      <c r="Y478" s="559"/>
      <c r="Z478" s="559"/>
      <c r="AA478" s="559"/>
      <c r="AB478" s="559"/>
      <c r="AC478" s="559"/>
      <c r="AD478" s="559"/>
      <c r="AE478" s="559"/>
      <c r="AF478" s="559"/>
      <c r="AG478" s="559"/>
    </row>
    <row r="479" spans="1:33" ht="18" customHeight="1" x14ac:dyDescent="0.35">
      <c r="A479" s="559"/>
      <c r="B479" s="559"/>
      <c r="C479" s="559"/>
      <c r="D479" s="559"/>
      <c r="E479" s="559"/>
      <c r="F479" s="559"/>
      <c r="G479" s="559"/>
      <c r="H479" s="559"/>
      <c r="I479" s="559"/>
      <c r="J479" s="559"/>
      <c r="K479" s="559"/>
      <c r="L479" s="559"/>
      <c r="M479" s="559"/>
      <c r="N479" s="559"/>
      <c r="O479" s="559"/>
      <c r="P479" s="559"/>
      <c r="Q479" s="559"/>
      <c r="R479" s="559"/>
      <c r="S479" s="559"/>
      <c r="T479" s="559"/>
      <c r="U479" s="559"/>
      <c r="V479" s="559"/>
      <c r="W479" s="559"/>
      <c r="X479" s="559"/>
      <c r="Y479" s="559"/>
      <c r="Z479" s="559"/>
      <c r="AA479" s="559"/>
      <c r="AB479" s="559"/>
      <c r="AC479" s="559"/>
      <c r="AD479" s="559"/>
      <c r="AE479" s="559"/>
      <c r="AF479" s="559"/>
      <c r="AG479" s="559"/>
    </row>
    <row r="480" spans="1:33" ht="18" customHeight="1" x14ac:dyDescent="0.35">
      <c r="A480" s="559"/>
      <c r="B480" s="559"/>
      <c r="C480" s="559"/>
      <c r="D480" s="559"/>
      <c r="E480" s="559"/>
      <c r="F480" s="559"/>
      <c r="G480" s="559"/>
      <c r="H480" s="559"/>
      <c r="I480" s="559"/>
      <c r="J480" s="559"/>
      <c r="K480" s="559"/>
      <c r="L480" s="559"/>
      <c r="M480" s="559"/>
      <c r="N480" s="559"/>
      <c r="O480" s="559"/>
      <c r="P480" s="559"/>
      <c r="Q480" s="559"/>
      <c r="R480" s="559"/>
      <c r="S480" s="559"/>
      <c r="T480" s="559"/>
      <c r="U480" s="559"/>
      <c r="V480" s="559"/>
      <c r="W480" s="559"/>
      <c r="X480" s="559"/>
      <c r="Y480" s="559"/>
      <c r="Z480" s="559"/>
      <c r="AA480" s="559"/>
      <c r="AB480" s="559"/>
      <c r="AC480" s="559"/>
      <c r="AD480" s="559"/>
      <c r="AE480" s="559"/>
      <c r="AF480" s="559"/>
      <c r="AG480" s="559"/>
    </row>
    <row r="481" spans="1:33" ht="18" customHeight="1" x14ac:dyDescent="0.35">
      <c r="A481" s="559"/>
      <c r="B481" s="559"/>
      <c r="C481" s="559"/>
      <c r="D481" s="559"/>
      <c r="E481" s="559"/>
      <c r="F481" s="559"/>
      <c r="G481" s="559"/>
      <c r="H481" s="559"/>
      <c r="I481" s="559"/>
      <c r="J481" s="559"/>
      <c r="K481" s="559"/>
      <c r="L481" s="559"/>
      <c r="M481" s="559"/>
      <c r="N481" s="559"/>
      <c r="O481" s="559"/>
      <c r="P481" s="559"/>
      <c r="Q481" s="559"/>
      <c r="R481" s="559"/>
      <c r="S481" s="559"/>
      <c r="T481" s="559"/>
      <c r="U481" s="559"/>
      <c r="V481" s="559"/>
      <c r="W481" s="559"/>
      <c r="X481" s="559"/>
      <c r="Y481" s="559"/>
      <c r="Z481" s="559"/>
      <c r="AA481" s="559"/>
      <c r="AB481" s="559"/>
      <c r="AC481" s="559"/>
      <c r="AD481" s="559"/>
      <c r="AE481" s="559"/>
      <c r="AF481" s="559"/>
      <c r="AG481" s="559"/>
    </row>
    <row r="482" spans="1:33" ht="18" customHeight="1" x14ac:dyDescent="0.35">
      <c r="A482" s="559"/>
      <c r="B482" s="559"/>
      <c r="C482" s="559"/>
      <c r="D482" s="559"/>
      <c r="E482" s="559"/>
      <c r="F482" s="559"/>
      <c r="G482" s="559"/>
      <c r="H482" s="559"/>
      <c r="I482" s="559"/>
      <c r="J482" s="559"/>
      <c r="K482" s="559"/>
      <c r="L482" s="559"/>
      <c r="M482" s="559"/>
      <c r="N482" s="559"/>
      <c r="O482" s="559"/>
      <c r="P482" s="559"/>
      <c r="Q482" s="559"/>
      <c r="R482" s="559"/>
      <c r="S482" s="559"/>
      <c r="T482" s="559"/>
      <c r="U482" s="559"/>
      <c r="V482" s="559"/>
      <c r="W482" s="559"/>
      <c r="X482" s="559"/>
      <c r="Y482" s="559"/>
      <c r="Z482" s="559"/>
      <c r="AA482" s="559"/>
      <c r="AB482" s="559"/>
      <c r="AC482" s="559"/>
      <c r="AD482" s="559"/>
      <c r="AE482" s="559"/>
      <c r="AF482" s="559"/>
      <c r="AG482" s="559"/>
    </row>
    <row r="483" spans="1:33" ht="18" customHeight="1" x14ac:dyDescent="0.35">
      <c r="A483" s="559"/>
      <c r="B483" s="559"/>
      <c r="C483" s="559"/>
      <c r="D483" s="559"/>
      <c r="E483" s="559"/>
      <c r="F483" s="559"/>
      <c r="G483" s="559"/>
      <c r="H483" s="559"/>
      <c r="I483" s="559"/>
      <c r="J483" s="559"/>
      <c r="K483" s="559"/>
      <c r="L483" s="559"/>
      <c r="M483" s="559"/>
      <c r="N483" s="559"/>
      <c r="O483" s="559"/>
      <c r="P483" s="559"/>
      <c r="Q483" s="559"/>
      <c r="R483" s="559"/>
      <c r="S483" s="559"/>
      <c r="T483" s="559"/>
      <c r="U483" s="559"/>
      <c r="V483" s="559"/>
      <c r="W483" s="559"/>
      <c r="X483" s="559"/>
      <c r="Y483" s="559"/>
      <c r="Z483" s="559"/>
      <c r="AA483" s="559"/>
      <c r="AB483" s="559"/>
      <c r="AC483" s="559"/>
      <c r="AD483" s="559"/>
      <c r="AE483" s="559"/>
      <c r="AF483" s="559"/>
      <c r="AG483" s="559"/>
    </row>
    <row r="484" spans="1:33" ht="18" customHeight="1" x14ac:dyDescent="0.35">
      <c r="A484" s="559"/>
      <c r="B484" s="559"/>
      <c r="C484" s="559"/>
      <c r="D484" s="559"/>
      <c r="E484" s="559"/>
      <c r="F484" s="559"/>
      <c r="G484" s="559"/>
      <c r="H484" s="559"/>
      <c r="I484" s="559"/>
      <c r="J484" s="559"/>
      <c r="K484" s="559"/>
      <c r="L484" s="559"/>
      <c r="M484" s="559"/>
      <c r="N484" s="559"/>
      <c r="O484" s="559"/>
      <c r="P484" s="559"/>
      <c r="Q484" s="559"/>
      <c r="R484" s="559"/>
      <c r="S484" s="559"/>
      <c r="T484" s="559"/>
      <c r="U484" s="559"/>
      <c r="V484" s="559"/>
      <c r="W484" s="559"/>
      <c r="X484" s="559"/>
      <c r="Y484" s="559"/>
      <c r="Z484" s="559"/>
      <c r="AA484" s="559"/>
      <c r="AB484" s="559"/>
      <c r="AC484" s="559"/>
      <c r="AD484" s="559"/>
      <c r="AE484" s="559"/>
      <c r="AF484" s="559"/>
      <c r="AG484" s="559"/>
    </row>
    <row r="485" spans="1:33" ht="18" customHeight="1" x14ac:dyDescent="0.35">
      <c r="A485" s="559"/>
      <c r="B485" s="559"/>
      <c r="C485" s="559"/>
      <c r="D485" s="559"/>
      <c r="E485" s="559"/>
      <c r="F485" s="559"/>
      <c r="G485" s="559"/>
      <c r="H485" s="559"/>
      <c r="I485" s="559"/>
      <c r="J485" s="559"/>
      <c r="K485" s="559"/>
      <c r="L485" s="559"/>
      <c r="M485" s="559"/>
      <c r="N485" s="559"/>
      <c r="O485" s="559"/>
      <c r="P485" s="559"/>
      <c r="Q485" s="559"/>
      <c r="R485" s="559"/>
      <c r="S485" s="559"/>
      <c r="T485" s="559"/>
      <c r="U485" s="559"/>
      <c r="V485" s="559"/>
      <c r="W485" s="559"/>
      <c r="X485" s="559"/>
      <c r="Y485" s="559"/>
      <c r="Z485" s="559"/>
      <c r="AA485" s="559"/>
      <c r="AB485" s="559"/>
      <c r="AC485" s="559"/>
      <c r="AD485" s="559"/>
      <c r="AE485" s="559"/>
      <c r="AF485" s="559"/>
      <c r="AG485" s="559"/>
    </row>
    <row r="486" spans="1:33" ht="18" customHeight="1" x14ac:dyDescent="0.35">
      <c r="A486" s="559"/>
      <c r="B486" s="559"/>
      <c r="C486" s="559"/>
      <c r="D486" s="559"/>
      <c r="E486" s="559"/>
      <c r="F486" s="559"/>
      <c r="G486" s="559"/>
      <c r="H486" s="559"/>
      <c r="I486" s="559"/>
      <c r="J486" s="559"/>
      <c r="K486" s="559"/>
      <c r="L486" s="559"/>
      <c r="M486" s="559"/>
      <c r="N486" s="559"/>
      <c r="O486" s="559"/>
      <c r="P486" s="559"/>
      <c r="Q486" s="559"/>
      <c r="R486" s="559"/>
      <c r="S486" s="559"/>
      <c r="T486" s="559"/>
      <c r="U486" s="559"/>
      <c r="V486" s="559"/>
      <c r="W486" s="559"/>
      <c r="X486" s="559"/>
      <c r="Y486" s="559"/>
      <c r="Z486" s="559"/>
      <c r="AA486" s="559"/>
      <c r="AB486" s="559"/>
      <c r="AC486" s="559"/>
      <c r="AD486" s="559"/>
      <c r="AE486" s="559"/>
      <c r="AF486" s="559"/>
      <c r="AG486" s="559"/>
    </row>
    <row r="487" spans="1:33" ht="18" customHeight="1" x14ac:dyDescent="0.35">
      <c r="A487" s="559"/>
      <c r="B487" s="559"/>
      <c r="C487" s="559"/>
      <c r="D487" s="559"/>
      <c r="E487" s="559"/>
      <c r="F487" s="559"/>
      <c r="G487" s="559"/>
      <c r="H487" s="559"/>
      <c r="I487" s="559"/>
      <c r="J487" s="559"/>
      <c r="K487" s="559"/>
      <c r="L487" s="559"/>
      <c r="M487" s="559"/>
      <c r="N487" s="559"/>
      <c r="O487" s="559"/>
      <c r="P487" s="559"/>
      <c r="Q487" s="559"/>
      <c r="R487" s="559"/>
      <c r="S487" s="559"/>
      <c r="T487" s="559"/>
      <c r="U487" s="559"/>
      <c r="V487" s="559"/>
      <c r="W487" s="559"/>
      <c r="X487" s="559"/>
      <c r="Y487" s="559"/>
      <c r="Z487" s="559"/>
      <c r="AA487" s="559"/>
      <c r="AB487" s="559"/>
      <c r="AC487" s="559"/>
      <c r="AD487" s="559"/>
      <c r="AE487" s="559"/>
      <c r="AF487" s="559"/>
      <c r="AG487" s="559"/>
    </row>
    <row r="488" spans="1:33" ht="18" customHeight="1" x14ac:dyDescent="0.35">
      <c r="A488" s="559"/>
      <c r="B488" s="559"/>
      <c r="C488" s="559"/>
      <c r="D488" s="559"/>
      <c r="E488" s="559"/>
      <c r="F488" s="559"/>
      <c r="G488" s="559"/>
      <c r="H488" s="559"/>
      <c r="I488" s="559"/>
      <c r="J488" s="559"/>
      <c r="K488" s="559"/>
      <c r="L488" s="559"/>
      <c r="M488" s="559"/>
      <c r="N488" s="559"/>
      <c r="O488" s="559"/>
      <c r="P488" s="559"/>
      <c r="Q488" s="559"/>
      <c r="R488" s="559"/>
      <c r="S488" s="559"/>
      <c r="T488" s="559"/>
      <c r="U488" s="559"/>
      <c r="V488" s="559"/>
      <c r="W488" s="559"/>
      <c r="X488" s="559"/>
      <c r="Y488" s="559"/>
      <c r="Z488" s="559"/>
      <c r="AA488" s="559"/>
      <c r="AB488" s="559"/>
      <c r="AC488" s="559"/>
      <c r="AD488" s="559"/>
      <c r="AE488" s="559"/>
      <c r="AF488" s="559"/>
      <c r="AG488" s="559"/>
    </row>
    <row r="489" spans="1:33" ht="18" customHeight="1" x14ac:dyDescent="0.35">
      <c r="A489" s="559"/>
      <c r="B489" s="559"/>
      <c r="C489" s="559"/>
      <c r="D489" s="559"/>
      <c r="E489" s="559"/>
      <c r="F489" s="559"/>
      <c r="G489" s="559"/>
      <c r="H489" s="559"/>
      <c r="I489" s="559"/>
      <c r="J489" s="559"/>
      <c r="K489" s="559"/>
      <c r="L489" s="559"/>
      <c r="M489" s="559"/>
      <c r="N489" s="559"/>
      <c r="O489" s="559"/>
      <c r="P489" s="559"/>
      <c r="Q489" s="559"/>
      <c r="R489" s="559"/>
      <c r="S489" s="559"/>
      <c r="T489" s="559"/>
      <c r="U489" s="559"/>
      <c r="V489" s="559"/>
      <c r="W489" s="559"/>
      <c r="X489" s="559"/>
      <c r="Y489" s="559"/>
      <c r="Z489" s="559"/>
      <c r="AA489" s="559"/>
      <c r="AB489" s="559"/>
      <c r="AC489" s="559"/>
      <c r="AD489" s="559"/>
      <c r="AE489" s="559"/>
      <c r="AF489" s="559"/>
      <c r="AG489" s="559"/>
    </row>
    <row r="490" spans="1:33" ht="18" customHeight="1" x14ac:dyDescent="0.35">
      <c r="A490" s="559"/>
      <c r="B490" s="559"/>
      <c r="C490" s="559"/>
      <c r="D490" s="559"/>
      <c r="E490" s="559"/>
      <c r="F490" s="559"/>
      <c r="G490" s="559"/>
      <c r="H490" s="559"/>
      <c r="I490" s="559"/>
      <c r="J490" s="559"/>
      <c r="K490" s="559"/>
      <c r="L490" s="559"/>
      <c r="M490" s="559"/>
      <c r="N490" s="559"/>
      <c r="O490" s="559"/>
      <c r="P490" s="559"/>
      <c r="Q490" s="559"/>
      <c r="R490" s="559"/>
      <c r="S490" s="559"/>
      <c r="T490" s="559"/>
      <c r="U490" s="559"/>
      <c r="V490" s="559"/>
      <c r="W490" s="559"/>
      <c r="X490" s="559"/>
      <c r="Y490" s="559"/>
      <c r="Z490" s="559"/>
      <c r="AA490" s="559"/>
      <c r="AB490" s="559"/>
      <c r="AC490" s="559"/>
      <c r="AD490" s="559"/>
      <c r="AE490" s="559"/>
      <c r="AF490" s="559"/>
      <c r="AG490" s="559"/>
    </row>
    <row r="491" spans="1:33" ht="18" customHeight="1" x14ac:dyDescent="0.35">
      <c r="A491" s="559"/>
      <c r="B491" s="559"/>
      <c r="C491" s="559"/>
      <c r="D491" s="559"/>
      <c r="E491" s="559"/>
      <c r="F491" s="559"/>
      <c r="G491" s="559"/>
      <c r="H491" s="559"/>
      <c r="I491" s="559"/>
      <c r="J491" s="559"/>
      <c r="K491" s="559"/>
      <c r="L491" s="559"/>
      <c r="M491" s="559"/>
      <c r="N491" s="559"/>
      <c r="O491" s="559"/>
      <c r="P491" s="559"/>
      <c r="Q491" s="559"/>
      <c r="R491" s="559"/>
      <c r="S491" s="559"/>
      <c r="T491" s="559"/>
      <c r="U491" s="559"/>
      <c r="V491" s="559"/>
      <c r="W491" s="559"/>
      <c r="X491" s="559"/>
      <c r="Y491" s="559"/>
      <c r="Z491" s="559"/>
      <c r="AA491" s="559"/>
      <c r="AB491" s="559"/>
      <c r="AC491" s="559"/>
      <c r="AD491" s="559"/>
      <c r="AE491" s="559"/>
      <c r="AF491" s="559"/>
      <c r="AG491" s="559"/>
    </row>
    <row r="492" spans="1:33" ht="18" customHeight="1" x14ac:dyDescent="0.35">
      <c r="A492" s="559"/>
      <c r="B492" s="559"/>
      <c r="C492" s="559"/>
      <c r="D492" s="559"/>
      <c r="E492" s="559"/>
      <c r="F492" s="559"/>
      <c r="G492" s="559"/>
      <c r="H492" s="559"/>
      <c r="I492" s="559"/>
      <c r="J492" s="559"/>
      <c r="K492" s="559"/>
      <c r="L492" s="559"/>
      <c r="M492" s="559"/>
      <c r="N492" s="559"/>
      <c r="O492" s="559"/>
      <c r="P492" s="559"/>
      <c r="Q492" s="559"/>
      <c r="R492" s="559"/>
      <c r="S492" s="559"/>
      <c r="T492" s="559"/>
      <c r="U492" s="559"/>
      <c r="V492" s="559"/>
      <c r="W492" s="559"/>
      <c r="X492" s="559"/>
      <c r="Y492" s="559"/>
      <c r="Z492" s="559"/>
      <c r="AA492" s="559"/>
      <c r="AB492" s="559"/>
      <c r="AC492" s="559"/>
      <c r="AD492" s="559"/>
      <c r="AE492" s="559"/>
      <c r="AF492" s="559"/>
      <c r="AG492" s="559"/>
    </row>
    <row r="493" spans="1:33" ht="18" customHeight="1" x14ac:dyDescent="0.35">
      <c r="A493" s="559"/>
      <c r="B493" s="559"/>
      <c r="C493" s="559"/>
      <c r="D493" s="559"/>
      <c r="E493" s="559"/>
      <c r="F493" s="559"/>
      <c r="G493" s="559"/>
      <c r="H493" s="559"/>
      <c r="I493" s="559"/>
      <c r="J493" s="559"/>
      <c r="K493" s="559"/>
      <c r="L493" s="559"/>
      <c r="M493" s="559"/>
      <c r="N493" s="559"/>
      <c r="O493" s="559"/>
      <c r="P493" s="559"/>
      <c r="Q493" s="559"/>
      <c r="R493" s="559"/>
      <c r="S493" s="559"/>
      <c r="T493" s="559"/>
      <c r="U493" s="559"/>
      <c r="V493" s="559"/>
      <c r="W493" s="559"/>
      <c r="X493" s="559"/>
      <c r="Y493" s="559"/>
      <c r="Z493" s="559"/>
      <c r="AA493" s="559"/>
      <c r="AB493" s="559"/>
      <c r="AC493" s="559"/>
      <c r="AD493" s="559"/>
      <c r="AE493" s="559"/>
      <c r="AF493" s="559"/>
      <c r="AG493" s="559"/>
    </row>
    <row r="494" spans="1:33" ht="18" customHeight="1" x14ac:dyDescent="0.35">
      <c r="A494" s="559"/>
      <c r="B494" s="559"/>
      <c r="C494" s="559"/>
      <c r="D494" s="559"/>
      <c r="E494" s="559"/>
      <c r="F494" s="559"/>
      <c r="G494" s="559"/>
      <c r="H494" s="559"/>
      <c r="I494" s="559"/>
      <c r="J494" s="559"/>
      <c r="K494" s="559"/>
      <c r="L494" s="559"/>
      <c r="M494" s="559"/>
      <c r="N494" s="559"/>
      <c r="O494" s="559"/>
      <c r="P494" s="559"/>
      <c r="Q494" s="559"/>
      <c r="R494" s="559"/>
      <c r="S494" s="559"/>
      <c r="T494" s="559"/>
      <c r="U494" s="559"/>
      <c r="V494" s="559"/>
      <c r="W494" s="559"/>
      <c r="X494" s="559"/>
      <c r="Y494" s="559"/>
      <c r="Z494" s="559"/>
      <c r="AA494" s="559"/>
      <c r="AB494" s="559"/>
      <c r="AC494" s="559"/>
      <c r="AD494" s="559"/>
      <c r="AE494" s="559"/>
      <c r="AF494" s="559"/>
      <c r="AG494" s="559"/>
    </row>
    <row r="495" spans="1:33" ht="18" customHeight="1" x14ac:dyDescent="0.35">
      <c r="A495" s="559"/>
      <c r="B495" s="559"/>
      <c r="C495" s="559"/>
      <c r="D495" s="559"/>
      <c r="E495" s="559"/>
      <c r="F495" s="559"/>
      <c r="G495" s="559"/>
      <c r="H495" s="559"/>
      <c r="I495" s="559"/>
      <c r="J495" s="559"/>
      <c r="K495" s="559"/>
      <c r="L495" s="559"/>
      <c r="M495" s="559"/>
      <c r="N495" s="559"/>
      <c r="O495" s="559"/>
      <c r="P495" s="559"/>
      <c r="Q495" s="559"/>
      <c r="R495" s="559"/>
      <c r="S495" s="559"/>
      <c r="T495" s="559"/>
      <c r="U495" s="559"/>
      <c r="V495" s="559"/>
      <c r="W495" s="559"/>
      <c r="X495" s="559"/>
      <c r="Y495" s="559"/>
      <c r="Z495" s="559"/>
      <c r="AA495" s="559"/>
      <c r="AB495" s="559"/>
      <c r="AC495" s="559"/>
      <c r="AD495" s="559"/>
      <c r="AE495" s="559"/>
      <c r="AF495" s="559"/>
      <c r="AG495" s="559"/>
    </row>
    <row r="496" spans="1:33" ht="18" customHeight="1" x14ac:dyDescent="0.35">
      <c r="A496" s="559"/>
      <c r="B496" s="559"/>
      <c r="C496" s="559"/>
      <c r="D496" s="559"/>
      <c r="E496" s="559"/>
      <c r="F496" s="559"/>
      <c r="G496" s="559"/>
      <c r="H496" s="559"/>
      <c r="I496" s="559"/>
      <c r="J496" s="559"/>
      <c r="K496" s="559"/>
      <c r="L496" s="559"/>
      <c r="M496" s="559"/>
      <c r="N496" s="559"/>
      <c r="O496" s="559"/>
      <c r="P496" s="559"/>
      <c r="Q496" s="559"/>
      <c r="R496" s="559"/>
      <c r="S496" s="559"/>
      <c r="T496" s="559"/>
      <c r="U496" s="559"/>
      <c r="V496" s="559"/>
      <c r="W496" s="559"/>
      <c r="X496" s="559"/>
      <c r="Y496" s="559"/>
      <c r="Z496" s="559"/>
      <c r="AA496" s="559"/>
      <c r="AB496" s="559"/>
      <c r="AC496" s="559"/>
      <c r="AD496" s="559"/>
      <c r="AE496" s="559"/>
      <c r="AF496" s="559"/>
      <c r="AG496" s="559"/>
    </row>
    <row r="497" spans="1:33" ht="18" customHeight="1" x14ac:dyDescent="0.35">
      <c r="A497" s="559"/>
      <c r="B497" s="559"/>
      <c r="C497" s="559"/>
      <c r="D497" s="559"/>
      <c r="E497" s="559"/>
      <c r="F497" s="559"/>
      <c r="G497" s="559"/>
      <c r="H497" s="559"/>
      <c r="I497" s="559"/>
      <c r="J497" s="559"/>
      <c r="K497" s="559"/>
      <c r="L497" s="559"/>
      <c r="M497" s="559"/>
      <c r="N497" s="559"/>
      <c r="O497" s="559"/>
      <c r="P497" s="559"/>
      <c r="Q497" s="559"/>
      <c r="R497" s="559"/>
      <c r="S497" s="559"/>
      <c r="T497" s="559"/>
      <c r="U497" s="559"/>
      <c r="V497" s="559"/>
      <c r="W497" s="559"/>
      <c r="X497" s="559"/>
      <c r="Y497" s="559"/>
      <c r="Z497" s="559"/>
      <c r="AA497" s="559"/>
      <c r="AB497" s="559"/>
      <c r="AC497" s="559"/>
      <c r="AD497" s="559"/>
      <c r="AE497" s="559"/>
      <c r="AF497" s="559"/>
      <c r="AG497" s="559"/>
    </row>
    <row r="498" spans="1:33" ht="18" customHeight="1" x14ac:dyDescent="0.35">
      <c r="A498" s="559"/>
      <c r="B498" s="559"/>
      <c r="C498" s="559"/>
      <c r="D498" s="559"/>
      <c r="E498" s="559"/>
      <c r="F498" s="559"/>
      <c r="G498" s="559"/>
      <c r="H498" s="559"/>
      <c r="I498" s="559"/>
      <c r="J498" s="559"/>
      <c r="K498" s="559"/>
      <c r="L498" s="559"/>
      <c r="M498" s="559"/>
      <c r="N498" s="559"/>
      <c r="O498" s="559"/>
      <c r="P498" s="559"/>
      <c r="Q498" s="559"/>
      <c r="R498" s="559"/>
      <c r="S498" s="559"/>
      <c r="T498" s="559"/>
      <c r="U498" s="559"/>
      <c r="V498" s="559"/>
      <c r="W498" s="559"/>
      <c r="X498" s="559"/>
      <c r="Y498" s="559"/>
      <c r="Z498" s="559"/>
      <c r="AA498" s="559"/>
      <c r="AB498" s="559"/>
      <c r="AC498" s="559"/>
      <c r="AD498" s="559"/>
      <c r="AE498" s="559"/>
      <c r="AF498" s="559"/>
      <c r="AG498" s="559"/>
    </row>
    <row r="499" spans="1:33" ht="18" customHeight="1" x14ac:dyDescent="0.35">
      <c r="A499" s="559"/>
      <c r="B499" s="559"/>
      <c r="C499" s="559"/>
      <c r="D499" s="559"/>
      <c r="E499" s="559"/>
      <c r="F499" s="559"/>
      <c r="G499" s="559"/>
      <c r="H499" s="559"/>
      <c r="I499" s="559"/>
      <c r="J499" s="559"/>
      <c r="K499" s="559"/>
      <c r="L499" s="559"/>
      <c r="M499" s="559"/>
      <c r="N499" s="559"/>
      <c r="O499" s="559"/>
      <c r="P499" s="559"/>
      <c r="Q499" s="559"/>
      <c r="R499" s="559"/>
      <c r="S499" s="559"/>
      <c r="T499" s="559"/>
      <c r="U499" s="559"/>
      <c r="V499" s="559"/>
      <c r="W499" s="559"/>
      <c r="X499" s="559"/>
      <c r="Y499" s="559"/>
      <c r="Z499" s="559"/>
      <c r="AA499" s="559"/>
      <c r="AB499" s="559"/>
      <c r="AC499" s="559"/>
      <c r="AD499" s="559"/>
      <c r="AE499" s="559"/>
      <c r="AF499" s="559"/>
      <c r="AG499" s="559"/>
    </row>
    <row r="500" spans="1:33" ht="18" customHeight="1" x14ac:dyDescent="0.35">
      <c r="A500" s="559"/>
      <c r="B500" s="559"/>
      <c r="C500" s="559"/>
      <c r="D500" s="559"/>
      <c r="E500" s="559"/>
      <c r="F500" s="559"/>
      <c r="G500" s="559"/>
      <c r="H500" s="559"/>
      <c r="I500" s="559"/>
      <c r="J500" s="559"/>
      <c r="K500" s="559"/>
      <c r="L500" s="559"/>
      <c r="M500" s="559"/>
      <c r="N500" s="559"/>
      <c r="O500" s="559"/>
      <c r="P500" s="559"/>
      <c r="Q500" s="559"/>
      <c r="R500" s="559"/>
      <c r="S500" s="559"/>
      <c r="T500" s="559"/>
      <c r="U500" s="559"/>
      <c r="V500" s="559"/>
      <c r="W500" s="559"/>
      <c r="X500" s="559"/>
      <c r="Y500" s="559"/>
      <c r="Z500" s="559"/>
      <c r="AA500" s="559"/>
      <c r="AB500" s="559"/>
      <c r="AC500" s="559"/>
      <c r="AD500" s="559"/>
      <c r="AE500" s="559"/>
      <c r="AF500" s="559"/>
      <c r="AG500" s="559"/>
    </row>
    <row r="501" spans="1:33" ht="18" customHeight="1" x14ac:dyDescent="0.35">
      <c r="A501" s="559"/>
      <c r="B501" s="559"/>
      <c r="C501" s="559"/>
      <c r="D501" s="559"/>
      <c r="E501" s="559"/>
      <c r="F501" s="559"/>
      <c r="G501" s="559"/>
      <c r="H501" s="559"/>
      <c r="I501" s="559"/>
      <c r="J501" s="559"/>
      <c r="K501" s="559"/>
      <c r="L501" s="559"/>
      <c r="M501" s="559"/>
      <c r="N501" s="559"/>
      <c r="O501" s="559"/>
      <c r="P501" s="559"/>
      <c r="Q501" s="559"/>
      <c r="R501" s="559"/>
      <c r="S501" s="559"/>
      <c r="T501" s="559"/>
      <c r="U501" s="559"/>
      <c r="V501" s="559"/>
      <c r="W501" s="559"/>
      <c r="X501" s="559"/>
      <c r="Y501" s="559"/>
      <c r="Z501" s="559"/>
      <c r="AA501" s="559"/>
      <c r="AB501" s="559"/>
      <c r="AC501" s="559"/>
      <c r="AD501" s="559"/>
      <c r="AE501" s="559"/>
      <c r="AF501" s="559"/>
      <c r="AG501" s="559"/>
    </row>
    <row r="502" spans="1:33" ht="18" customHeight="1" x14ac:dyDescent="0.35">
      <c r="A502" s="559"/>
      <c r="B502" s="559"/>
      <c r="C502" s="559"/>
      <c r="D502" s="559"/>
      <c r="E502" s="559"/>
      <c r="F502" s="559"/>
      <c r="G502" s="559"/>
      <c r="H502" s="559"/>
      <c r="I502" s="559"/>
      <c r="J502" s="559"/>
      <c r="K502" s="559"/>
      <c r="L502" s="559"/>
      <c r="M502" s="559"/>
      <c r="N502" s="559"/>
      <c r="O502" s="559"/>
      <c r="P502" s="559"/>
      <c r="Q502" s="559"/>
      <c r="R502" s="559"/>
      <c r="S502" s="559"/>
      <c r="T502" s="559"/>
      <c r="U502" s="559"/>
      <c r="V502" s="559"/>
      <c r="W502" s="559"/>
      <c r="X502" s="559"/>
      <c r="Y502" s="559"/>
      <c r="Z502" s="559"/>
      <c r="AA502" s="559"/>
      <c r="AB502" s="559"/>
      <c r="AC502" s="559"/>
      <c r="AD502" s="559"/>
      <c r="AE502" s="559"/>
      <c r="AF502" s="559"/>
      <c r="AG502" s="559"/>
    </row>
    <row r="503" spans="1:33" ht="18" customHeight="1" x14ac:dyDescent="0.35">
      <c r="A503" s="559"/>
      <c r="B503" s="559"/>
      <c r="C503" s="559"/>
      <c r="D503" s="559"/>
      <c r="E503" s="559"/>
      <c r="F503" s="559"/>
      <c r="G503" s="559"/>
      <c r="H503" s="559"/>
      <c r="I503" s="559"/>
      <c r="J503" s="559"/>
      <c r="K503" s="559"/>
      <c r="L503" s="559"/>
      <c r="M503" s="559"/>
      <c r="N503" s="559"/>
      <c r="O503" s="559"/>
      <c r="P503" s="559"/>
      <c r="Q503" s="559"/>
      <c r="R503" s="559"/>
      <c r="S503" s="559"/>
      <c r="T503" s="559"/>
      <c r="U503" s="559"/>
      <c r="V503" s="559"/>
      <c r="W503" s="559"/>
      <c r="X503" s="559"/>
      <c r="Y503" s="559"/>
      <c r="Z503" s="559"/>
      <c r="AA503" s="559"/>
      <c r="AB503" s="559"/>
      <c r="AC503" s="559"/>
      <c r="AD503" s="559"/>
      <c r="AE503" s="559"/>
      <c r="AF503" s="559"/>
      <c r="AG503" s="559"/>
    </row>
    <row r="504" spans="1:33" ht="18" customHeight="1" x14ac:dyDescent="0.35">
      <c r="A504" s="559"/>
      <c r="B504" s="559"/>
      <c r="C504" s="559"/>
      <c r="D504" s="559"/>
      <c r="E504" s="559"/>
      <c r="F504" s="559"/>
      <c r="G504" s="559"/>
      <c r="H504" s="559"/>
      <c r="I504" s="559"/>
      <c r="J504" s="559"/>
      <c r="K504" s="559"/>
      <c r="L504" s="559"/>
      <c r="M504" s="559"/>
      <c r="N504" s="559"/>
      <c r="O504" s="559"/>
      <c r="P504" s="559"/>
      <c r="Q504" s="559"/>
      <c r="R504" s="559"/>
      <c r="S504" s="559"/>
      <c r="T504" s="559"/>
      <c r="U504" s="559"/>
      <c r="V504" s="559"/>
      <c r="W504" s="559"/>
      <c r="X504" s="559"/>
      <c r="Y504" s="559"/>
      <c r="Z504" s="559"/>
      <c r="AA504" s="559"/>
      <c r="AB504" s="559"/>
      <c r="AC504" s="559"/>
      <c r="AD504" s="559"/>
      <c r="AE504" s="559"/>
      <c r="AF504" s="559"/>
      <c r="AG504" s="559"/>
    </row>
    <row r="505" spans="1:33" ht="18" customHeight="1" x14ac:dyDescent="0.35">
      <c r="A505" s="559"/>
      <c r="B505" s="559"/>
      <c r="C505" s="559"/>
      <c r="D505" s="559"/>
      <c r="E505" s="559"/>
      <c r="F505" s="559"/>
      <c r="G505" s="559"/>
      <c r="H505" s="559"/>
      <c r="I505" s="559"/>
      <c r="J505" s="559"/>
      <c r="K505" s="559"/>
      <c r="L505" s="559"/>
      <c r="M505" s="559"/>
      <c r="N505" s="559"/>
      <c r="O505" s="559"/>
      <c r="P505" s="559"/>
      <c r="Q505" s="559"/>
      <c r="R505" s="559"/>
      <c r="S505" s="559"/>
      <c r="T505" s="559"/>
      <c r="U505" s="559"/>
      <c r="V505" s="559"/>
      <c r="W505" s="559"/>
      <c r="X505" s="559"/>
      <c r="Y505" s="559"/>
      <c r="Z505" s="559"/>
      <c r="AA505" s="559"/>
      <c r="AB505" s="559"/>
      <c r="AC505" s="559"/>
      <c r="AD505" s="559"/>
      <c r="AE505" s="559"/>
      <c r="AF505" s="559"/>
      <c r="AG505" s="559"/>
    </row>
    <row r="506" spans="1:33" ht="18" customHeight="1" x14ac:dyDescent="0.35">
      <c r="A506" s="559"/>
      <c r="B506" s="559"/>
      <c r="C506" s="559"/>
      <c r="D506" s="559"/>
      <c r="E506" s="559"/>
      <c r="F506" s="559"/>
      <c r="G506" s="559"/>
      <c r="H506" s="559"/>
      <c r="I506" s="559"/>
      <c r="J506" s="559"/>
      <c r="K506" s="559"/>
      <c r="L506" s="559"/>
      <c r="M506" s="559"/>
      <c r="N506" s="559"/>
      <c r="O506" s="559"/>
      <c r="P506" s="559"/>
      <c r="Q506" s="559"/>
      <c r="R506" s="559"/>
      <c r="S506" s="559"/>
      <c r="T506" s="559"/>
      <c r="U506" s="559"/>
      <c r="V506" s="559"/>
      <c r="W506" s="559"/>
      <c r="X506" s="559"/>
      <c r="Y506" s="559"/>
      <c r="Z506" s="559"/>
      <c r="AA506" s="559"/>
      <c r="AB506" s="559"/>
      <c r="AC506" s="559"/>
      <c r="AD506" s="559"/>
      <c r="AE506" s="559"/>
      <c r="AF506" s="559"/>
      <c r="AG506" s="559"/>
    </row>
    <row r="507" spans="1:33" ht="18" customHeight="1" x14ac:dyDescent="0.35">
      <c r="A507" s="559"/>
      <c r="B507" s="559"/>
      <c r="C507" s="559"/>
      <c r="D507" s="559"/>
      <c r="E507" s="559"/>
      <c r="F507" s="559"/>
      <c r="G507" s="559"/>
      <c r="H507" s="559"/>
      <c r="I507" s="559"/>
      <c r="J507" s="559"/>
      <c r="K507" s="559"/>
      <c r="L507" s="559"/>
      <c r="M507" s="559"/>
      <c r="N507" s="559"/>
      <c r="O507" s="559"/>
      <c r="P507" s="559"/>
      <c r="Q507" s="559"/>
      <c r="R507" s="559"/>
      <c r="S507" s="559"/>
      <c r="T507" s="559"/>
      <c r="U507" s="559"/>
      <c r="V507" s="559"/>
      <c r="W507" s="559"/>
      <c r="X507" s="559"/>
      <c r="Y507" s="559"/>
      <c r="Z507" s="559"/>
      <c r="AA507" s="559"/>
      <c r="AB507" s="559"/>
      <c r="AC507" s="559"/>
      <c r="AD507" s="559"/>
      <c r="AE507" s="559"/>
      <c r="AF507" s="559"/>
      <c r="AG507" s="559"/>
    </row>
    <row r="508" spans="1:33" ht="18" customHeight="1" x14ac:dyDescent="0.35">
      <c r="A508" s="559"/>
      <c r="B508" s="559"/>
      <c r="C508" s="559"/>
      <c r="D508" s="559"/>
      <c r="E508" s="559"/>
      <c r="F508" s="559"/>
      <c r="G508" s="559"/>
      <c r="H508" s="559"/>
      <c r="I508" s="559"/>
      <c r="J508" s="559"/>
      <c r="K508" s="559"/>
      <c r="L508" s="559"/>
      <c r="M508" s="559"/>
      <c r="N508" s="559"/>
      <c r="O508" s="559"/>
      <c r="P508" s="559"/>
      <c r="Q508" s="559"/>
      <c r="R508" s="559"/>
      <c r="S508" s="559"/>
      <c r="T508" s="559"/>
      <c r="U508" s="559"/>
      <c r="V508" s="559"/>
      <c r="W508" s="559"/>
      <c r="X508" s="559"/>
      <c r="Y508" s="559"/>
      <c r="Z508" s="559"/>
      <c r="AA508" s="559"/>
      <c r="AB508" s="559"/>
      <c r="AC508" s="559"/>
      <c r="AD508" s="559"/>
      <c r="AE508" s="559"/>
      <c r="AF508" s="559"/>
      <c r="AG508" s="559"/>
    </row>
    <row r="509" spans="1:33" ht="18" customHeight="1" x14ac:dyDescent="0.35">
      <c r="A509" s="559"/>
      <c r="B509" s="559"/>
      <c r="C509" s="559"/>
      <c r="D509" s="559"/>
      <c r="E509" s="559"/>
      <c r="F509" s="559"/>
      <c r="G509" s="559"/>
      <c r="H509" s="559"/>
      <c r="I509" s="559"/>
      <c r="J509" s="559"/>
      <c r="K509" s="559"/>
      <c r="L509" s="559"/>
      <c r="M509" s="559"/>
      <c r="N509" s="559"/>
      <c r="O509" s="559"/>
      <c r="P509" s="559"/>
      <c r="Q509" s="559"/>
      <c r="R509" s="559"/>
      <c r="S509" s="559"/>
      <c r="T509" s="559"/>
      <c r="U509" s="559"/>
      <c r="V509" s="559"/>
      <c r="W509" s="559"/>
      <c r="X509" s="559"/>
      <c r="Y509" s="559"/>
      <c r="Z509" s="559"/>
      <c r="AA509" s="559"/>
      <c r="AB509" s="559"/>
      <c r="AC509" s="559"/>
      <c r="AD509" s="559"/>
      <c r="AE509" s="559"/>
      <c r="AF509" s="559"/>
      <c r="AG509" s="559"/>
    </row>
    <row r="510" spans="1:33" ht="18" customHeight="1" x14ac:dyDescent="0.35">
      <c r="A510" s="559"/>
      <c r="B510" s="559"/>
      <c r="C510" s="559"/>
      <c r="D510" s="559"/>
      <c r="E510" s="559"/>
      <c r="F510" s="559"/>
      <c r="G510" s="559"/>
      <c r="H510" s="559"/>
      <c r="I510" s="559"/>
      <c r="J510" s="559"/>
      <c r="K510" s="559"/>
      <c r="L510" s="559"/>
      <c r="M510" s="559"/>
      <c r="N510" s="559"/>
      <c r="O510" s="559"/>
      <c r="P510" s="559"/>
      <c r="Q510" s="559"/>
      <c r="R510" s="559"/>
      <c r="S510" s="559"/>
      <c r="T510" s="559"/>
      <c r="U510" s="559"/>
      <c r="V510" s="559"/>
      <c r="W510" s="559"/>
      <c r="X510" s="559"/>
      <c r="Y510" s="559"/>
      <c r="Z510" s="559"/>
      <c r="AA510" s="559"/>
      <c r="AB510" s="559"/>
      <c r="AC510" s="559"/>
      <c r="AD510" s="559"/>
      <c r="AE510" s="559"/>
      <c r="AF510" s="559"/>
      <c r="AG510" s="559"/>
    </row>
    <row r="511" spans="1:33" ht="18" customHeight="1" x14ac:dyDescent="0.35">
      <c r="A511" s="559"/>
      <c r="B511" s="559"/>
      <c r="C511" s="559"/>
      <c r="D511" s="559"/>
      <c r="E511" s="559"/>
      <c r="F511" s="559"/>
      <c r="G511" s="559"/>
      <c r="H511" s="559"/>
      <c r="I511" s="559"/>
      <c r="J511" s="559"/>
      <c r="K511" s="559"/>
      <c r="L511" s="559"/>
      <c r="M511" s="559"/>
      <c r="N511" s="559"/>
      <c r="O511" s="559"/>
      <c r="P511" s="559"/>
      <c r="Q511" s="559"/>
      <c r="R511" s="559"/>
      <c r="S511" s="559"/>
      <c r="T511" s="559"/>
      <c r="U511" s="559"/>
      <c r="V511" s="559"/>
      <c r="W511" s="559"/>
      <c r="X511" s="559"/>
      <c r="Y511" s="559"/>
      <c r="Z511" s="559"/>
      <c r="AA511" s="559"/>
      <c r="AB511" s="559"/>
      <c r="AC511" s="559"/>
      <c r="AD511" s="559"/>
      <c r="AE511" s="559"/>
      <c r="AF511" s="559"/>
      <c r="AG511" s="559"/>
    </row>
    <row r="512" spans="1:33" ht="18" customHeight="1" x14ac:dyDescent="0.35">
      <c r="A512" s="559"/>
      <c r="B512" s="559"/>
      <c r="C512" s="559"/>
      <c r="D512" s="559"/>
      <c r="E512" s="559"/>
      <c r="F512" s="559"/>
      <c r="G512" s="559"/>
      <c r="H512" s="559"/>
      <c r="I512" s="559"/>
      <c r="J512" s="559"/>
      <c r="K512" s="559"/>
      <c r="L512" s="559"/>
      <c r="M512" s="559"/>
      <c r="N512" s="559"/>
      <c r="O512" s="559"/>
      <c r="P512" s="559"/>
      <c r="Q512" s="559"/>
      <c r="R512" s="559"/>
      <c r="S512" s="559"/>
      <c r="T512" s="559"/>
      <c r="U512" s="559"/>
      <c r="V512" s="559"/>
      <c r="W512" s="559"/>
      <c r="X512" s="559"/>
      <c r="Y512" s="559"/>
      <c r="Z512" s="559"/>
      <c r="AA512" s="559"/>
      <c r="AB512" s="559"/>
      <c r="AC512" s="559"/>
      <c r="AD512" s="559"/>
      <c r="AE512" s="559"/>
      <c r="AF512" s="559"/>
      <c r="AG512" s="559"/>
    </row>
    <row r="513" spans="1:33" ht="18" customHeight="1" x14ac:dyDescent="0.35">
      <c r="A513" s="559"/>
      <c r="B513" s="559"/>
      <c r="C513" s="559"/>
      <c r="D513" s="559"/>
      <c r="E513" s="559"/>
      <c r="F513" s="559"/>
      <c r="G513" s="559"/>
      <c r="H513" s="559"/>
      <c r="I513" s="559"/>
      <c r="J513" s="559"/>
      <c r="K513" s="559"/>
      <c r="L513" s="559"/>
      <c r="M513" s="559"/>
      <c r="N513" s="559"/>
      <c r="O513" s="559"/>
      <c r="P513" s="559"/>
      <c r="Q513" s="559"/>
      <c r="R513" s="559"/>
      <c r="S513" s="559"/>
      <c r="T513" s="559"/>
      <c r="U513" s="559"/>
      <c r="V513" s="559"/>
      <c r="W513" s="559"/>
      <c r="X513" s="559"/>
      <c r="Y513" s="559"/>
      <c r="Z513" s="559"/>
      <c r="AA513" s="559"/>
      <c r="AB513" s="559"/>
      <c r="AC513" s="559"/>
      <c r="AD513" s="559"/>
      <c r="AE513" s="559"/>
      <c r="AF513" s="559"/>
      <c r="AG513" s="559"/>
    </row>
    <row r="514" spans="1:33" ht="18" customHeight="1" x14ac:dyDescent="0.35">
      <c r="A514" s="559"/>
      <c r="B514" s="559"/>
      <c r="C514" s="559"/>
      <c r="D514" s="559"/>
      <c r="E514" s="559"/>
      <c r="F514" s="559"/>
      <c r="G514" s="559"/>
      <c r="H514" s="559"/>
      <c r="I514" s="559"/>
      <c r="J514" s="559"/>
      <c r="K514" s="559"/>
      <c r="L514" s="559"/>
      <c r="M514" s="559"/>
      <c r="N514" s="559"/>
      <c r="O514" s="559"/>
      <c r="P514" s="559"/>
      <c r="Q514" s="559"/>
      <c r="R514" s="559"/>
      <c r="S514" s="559"/>
      <c r="T514" s="559"/>
      <c r="U514" s="559"/>
      <c r="V514" s="559"/>
      <c r="W514" s="559"/>
      <c r="X514" s="559"/>
      <c r="Y514" s="559"/>
      <c r="Z514" s="559"/>
      <c r="AA514" s="559"/>
      <c r="AB514" s="559"/>
      <c r="AC514" s="559"/>
      <c r="AD514" s="559"/>
      <c r="AE514" s="559"/>
      <c r="AF514" s="559"/>
      <c r="AG514" s="559"/>
    </row>
    <row r="515" spans="1:33" ht="18" customHeight="1" x14ac:dyDescent="0.35">
      <c r="A515" s="559"/>
      <c r="B515" s="559"/>
      <c r="C515" s="559"/>
      <c r="D515" s="559"/>
      <c r="E515" s="559"/>
      <c r="F515" s="559"/>
      <c r="G515" s="559"/>
      <c r="H515" s="559"/>
      <c r="I515" s="559"/>
      <c r="J515" s="559"/>
      <c r="K515" s="559"/>
      <c r="L515" s="559"/>
      <c r="M515" s="559"/>
      <c r="N515" s="559"/>
      <c r="O515" s="559"/>
      <c r="P515" s="559"/>
      <c r="Q515" s="559"/>
      <c r="R515" s="559"/>
      <c r="S515" s="559"/>
      <c r="T515" s="559"/>
      <c r="U515" s="559"/>
      <c r="V515" s="559"/>
      <c r="W515" s="559"/>
      <c r="X515" s="559"/>
      <c r="Y515" s="559"/>
      <c r="Z515" s="559"/>
      <c r="AA515" s="559"/>
      <c r="AB515" s="559"/>
      <c r="AC515" s="559"/>
      <c r="AD515" s="559"/>
      <c r="AE515" s="559"/>
      <c r="AF515" s="559"/>
      <c r="AG515" s="559"/>
    </row>
    <row r="516" spans="1:33" ht="18" customHeight="1" x14ac:dyDescent="0.35">
      <c r="A516" s="559"/>
      <c r="B516" s="559"/>
      <c r="C516" s="559"/>
      <c r="D516" s="559"/>
      <c r="E516" s="559"/>
      <c r="F516" s="559"/>
      <c r="G516" s="559"/>
      <c r="H516" s="559"/>
      <c r="I516" s="559"/>
      <c r="J516" s="559"/>
      <c r="K516" s="559"/>
      <c r="L516" s="559"/>
      <c r="M516" s="559"/>
      <c r="N516" s="559"/>
      <c r="O516" s="559"/>
      <c r="P516" s="559"/>
      <c r="Q516" s="559"/>
      <c r="R516" s="559"/>
      <c r="S516" s="559"/>
      <c r="T516" s="559"/>
      <c r="U516" s="559"/>
      <c r="V516" s="559"/>
      <c r="W516" s="559"/>
      <c r="X516" s="559"/>
      <c r="Y516" s="559"/>
      <c r="Z516" s="559"/>
      <c r="AA516" s="559"/>
      <c r="AB516" s="559"/>
      <c r="AC516" s="559"/>
      <c r="AD516" s="559"/>
      <c r="AE516" s="559"/>
      <c r="AF516" s="559"/>
      <c r="AG516" s="559"/>
    </row>
    <row r="517" spans="1:33" ht="18" customHeight="1" x14ac:dyDescent="0.35">
      <c r="A517" s="559"/>
      <c r="B517" s="559"/>
      <c r="C517" s="559"/>
      <c r="D517" s="559"/>
      <c r="E517" s="559"/>
      <c r="F517" s="559"/>
      <c r="G517" s="559"/>
      <c r="H517" s="559"/>
      <c r="I517" s="559"/>
      <c r="J517" s="559"/>
      <c r="K517" s="559"/>
      <c r="L517" s="559"/>
      <c r="M517" s="559"/>
      <c r="N517" s="559"/>
      <c r="O517" s="559"/>
      <c r="P517" s="559"/>
      <c r="Q517" s="559"/>
      <c r="R517" s="559"/>
      <c r="S517" s="559"/>
      <c r="T517" s="559"/>
      <c r="U517" s="559"/>
      <c r="V517" s="559"/>
      <c r="W517" s="559"/>
      <c r="X517" s="559"/>
      <c r="Y517" s="559"/>
      <c r="Z517" s="559"/>
      <c r="AA517" s="559"/>
      <c r="AB517" s="559"/>
      <c r="AC517" s="559"/>
      <c r="AD517" s="559"/>
      <c r="AE517" s="559"/>
      <c r="AF517" s="559"/>
      <c r="AG517" s="559"/>
    </row>
    <row r="518" spans="1:33" ht="18" customHeight="1" x14ac:dyDescent="0.35">
      <c r="A518" s="559"/>
      <c r="B518" s="559"/>
      <c r="C518" s="559"/>
      <c r="D518" s="559"/>
      <c r="E518" s="559"/>
      <c r="F518" s="559"/>
      <c r="G518" s="559"/>
      <c r="H518" s="559"/>
      <c r="I518" s="559"/>
      <c r="J518" s="559"/>
      <c r="K518" s="559"/>
      <c r="L518" s="559"/>
      <c r="M518" s="559"/>
      <c r="N518" s="559"/>
      <c r="O518" s="559"/>
      <c r="P518" s="559"/>
      <c r="Q518" s="559"/>
      <c r="R518" s="559"/>
      <c r="S518" s="559"/>
      <c r="T518" s="559"/>
      <c r="U518" s="559"/>
      <c r="V518" s="559"/>
      <c r="W518" s="559"/>
      <c r="X518" s="559"/>
      <c r="Y518" s="559"/>
      <c r="Z518" s="559"/>
      <c r="AA518" s="559"/>
      <c r="AB518" s="559"/>
      <c r="AC518" s="559"/>
      <c r="AD518" s="559"/>
      <c r="AE518" s="559"/>
      <c r="AF518" s="559"/>
      <c r="AG518" s="559"/>
    </row>
    <row r="519" spans="1:33" ht="18" customHeight="1" x14ac:dyDescent="0.35">
      <c r="A519" s="559"/>
      <c r="B519" s="559"/>
      <c r="C519" s="559"/>
      <c r="D519" s="559"/>
      <c r="E519" s="559"/>
      <c r="F519" s="559"/>
      <c r="G519" s="559"/>
      <c r="H519" s="559"/>
      <c r="I519" s="559"/>
      <c r="J519" s="559"/>
      <c r="K519" s="559"/>
      <c r="L519" s="559"/>
      <c r="M519" s="559"/>
      <c r="N519" s="559"/>
      <c r="O519" s="559"/>
      <c r="P519" s="559"/>
      <c r="Q519" s="559"/>
      <c r="R519" s="559"/>
      <c r="S519" s="559"/>
      <c r="T519" s="559"/>
      <c r="U519" s="559"/>
      <c r="V519" s="559"/>
      <c r="W519" s="559"/>
      <c r="X519" s="559"/>
      <c r="Y519" s="559"/>
      <c r="Z519" s="559"/>
      <c r="AA519" s="559"/>
      <c r="AB519" s="559"/>
      <c r="AC519" s="559"/>
      <c r="AD519" s="559"/>
      <c r="AE519" s="559"/>
      <c r="AF519" s="559"/>
      <c r="AG519" s="559"/>
    </row>
    <row r="520" spans="1:33" ht="18" customHeight="1" x14ac:dyDescent="0.35">
      <c r="A520" s="559"/>
      <c r="B520" s="559"/>
      <c r="C520" s="559"/>
      <c r="D520" s="559"/>
      <c r="E520" s="559"/>
      <c r="F520" s="559"/>
      <c r="G520" s="559"/>
      <c r="H520" s="559"/>
      <c r="I520" s="559"/>
      <c r="J520" s="559"/>
      <c r="K520" s="559"/>
      <c r="L520" s="559"/>
      <c r="M520" s="559"/>
      <c r="N520" s="559"/>
      <c r="O520" s="559"/>
      <c r="P520" s="559"/>
      <c r="Q520" s="559"/>
      <c r="R520" s="559"/>
      <c r="S520" s="559"/>
      <c r="T520" s="559"/>
      <c r="U520" s="559"/>
      <c r="V520" s="559"/>
      <c r="W520" s="559"/>
      <c r="X520" s="559"/>
      <c r="Y520" s="559"/>
      <c r="Z520" s="559"/>
      <c r="AA520" s="559"/>
      <c r="AB520" s="559"/>
      <c r="AC520" s="559"/>
      <c r="AD520" s="559"/>
      <c r="AE520" s="559"/>
      <c r="AF520" s="559"/>
      <c r="AG520" s="559"/>
    </row>
    <row r="521" spans="1:33" ht="18" customHeight="1" x14ac:dyDescent="0.35">
      <c r="A521" s="559"/>
      <c r="B521" s="559"/>
      <c r="C521" s="559"/>
      <c r="D521" s="559"/>
      <c r="E521" s="559"/>
      <c r="F521" s="559"/>
      <c r="G521" s="559"/>
      <c r="H521" s="559"/>
      <c r="I521" s="559"/>
      <c r="J521" s="559"/>
      <c r="K521" s="559"/>
      <c r="L521" s="559"/>
      <c r="M521" s="559"/>
      <c r="N521" s="559"/>
      <c r="O521" s="559"/>
      <c r="P521" s="559"/>
      <c r="Q521" s="559"/>
      <c r="R521" s="559"/>
      <c r="S521" s="559"/>
      <c r="T521" s="559"/>
      <c r="U521" s="559"/>
      <c r="V521" s="559"/>
      <c r="W521" s="559"/>
      <c r="X521" s="559"/>
      <c r="Y521" s="559"/>
      <c r="Z521" s="559"/>
      <c r="AA521" s="559"/>
      <c r="AB521" s="559"/>
      <c r="AC521" s="559"/>
      <c r="AD521" s="559"/>
      <c r="AE521" s="559"/>
      <c r="AF521" s="559"/>
      <c r="AG521" s="559"/>
    </row>
    <row r="522" spans="1:33" ht="18" customHeight="1" x14ac:dyDescent="0.35">
      <c r="A522" s="559"/>
      <c r="B522" s="559"/>
      <c r="C522" s="559"/>
      <c r="D522" s="559"/>
      <c r="E522" s="559"/>
      <c r="F522" s="559"/>
      <c r="G522" s="559"/>
      <c r="H522" s="559"/>
      <c r="I522" s="559"/>
      <c r="J522" s="559"/>
      <c r="K522" s="559"/>
      <c r="L522" s="559"/>
      <c r="M522" s="559"/>
      <c r="N522" s="559"/>
      <c r="O522" s="559"/>
      <c r="P522" s="559"/>
      <c r="Q522" s="559"/>
      <c r="R522" s="559"/>
      <c r="S522" s="559"/>
      <c r="T522" s="559"/>
      <c r="U522" s="559"/>
      <c r="V522" s="559"/>
      <c r="W522" s="559"/>
      <c r="X522" s="559"/>
      <c r="Y522" s="559"/>
      <c r="Z522" s="559"/>
      <c r="AA522" s="559"/>
      <c r="AB522" s="559"/>
      <c r="AC522" s="559"/>
      <c r="AD522" s="559"/>
      <c r="AE522" s="559"/>
      <c r="AF522" s="559"/>
      <c r="AG522" s="559"/>
    </row>
    <row r="523" spans="1:33" ht="18" customHeight="1" x14ac:dyDescent="0.35">
      <c r="A523" s="559"/>
      <c r="B523" s="559"/>
      <c r="C523" s="559"/>
      <c r="D523" s="559"/>
      <c r="E523" s="559"/>
      <c r="F523" s="559"/>
      <c r="G523" s="559"/>
      <c r="H523" s="559"/>
      <c r="I523" s="559"/>
      <c r="J523" s="559"/>
      <c r="K523" s="559"/>
      <c r="L523" s="559"/>
      <c r="M523" s="559"/>
      <c r="N523" s="559"/>
      <c r="O523" s="559"/>
      <c r="P523" s="559"/>
      <c r="Q523" s="559"/>
      <c r="R523" s="559"/>
      <c r="S523" s="559"/>
      <c r="T523" s="559"/>
      <c r="U523" s="559"/>
      <c r="V523" s="559"/>
      <c r="W523" s="559"/>
      <c r="X523" s="559"/>
      <c r="Y523" s="559"/>
      <c r="Z523" s="559"/>
      <c r="AA523" s="559"/>
      <c r="AB523" s="559"/>
      <c r="AC523" s="559"/>
      <c r="AD523" s="559"/>
      <c r="AE523" s="559"/>
      <c r="AF523" s="559"/>
      <c r="AG523" s="559"/>
    </row>
    <row r="524" spans="1:33" ht="18" customHeight="1" x14ac:dyDescent="0.35">
      <c r="A524" s="559"/>
      <c r="B524" s="559"/>
      <c r="C524" s="559"/>
      <c r="D524" s="559"/>
      <c r="E524" s="559"/>
      <c r="F524" s="559"/>
      <c r="G524" s="559"/>
      <c r="H524" s="559"/>
      <c r="I524" s="559"/>
      <c r="J524" s="559"/>
      <c r="K524" s="559"/>
      <c r="L524" s="559"/>
      <c r="M524" s="559"/>
      <c r="N524" s="559"/>
      <c r="O524" s="559"/>
      <c r="P524" s="559"/>
      <c r="Q524" s="559"/>
      <c r="R524" s="559"/>
      <c r="S524" s="559"/>
      <c r="T524" s="559"/>
      <c r="U524" s="559"/>
      <c r="V524" s="559"/>
      <c r="W524" s="559"/>
      <c r="X524" s="559"/>
      <c r="Y524" s="559"/>
      <c r="Z524" s="559"/>
      <c r="AA524" s="559"/>
      <c r="AB524" s="559"/>
      <c r="AC524" s="559"/>
      <c r="AD524" s="559"/>
      <c r="AE524" s="559"/>
      <c r="AF524" s="559"/>
      <c r="AG524" s="559"/>
    </row>
    <row r="525" spans="1:33" ht="18" customHeight="1" x14ac:dyDescent="0.35">
      <c r="A525" s="559"/>
      <c r="B525" s="559"/>
      <c r="C525" s="559"/>
      <c r="D525" s="559"/>
      <c r="E525" s="559"/>
      <c r="F525" s="559"/>
      <c r="G525" s="559"/>
      <c r="H525" s="559"/>
      <c r="I525" s="559"/>
      <c r="J525" s="559"/>
      <c r="K525" s="559"/>
      <c r="L525" s="559"/>
      <c r="M525" s="559"/>
      <c r="N525" s="559"/>
      <c r="O525" s="559"/>
      <c r="P525" s="559"/>
      <c r="Q525" s="559"/>
      <c r="R525" s="559"/>
      <c r="S525" s="559"/>
      <c r="T525" s="559"/>
      <c r="U525" s="559"/>
      <c r="V525" s="559"/>
      <c r="W525" s="559"/>
      <c r="X525" s="559"/>
      <c r="Y525" s="559"/>
      <c r="Z525" s="559"/>
      <c r="AA525" s="559"/>
      <c r="AB525" s="559"/>
      <c r="AC525" s="559"/>
      <c r="AD525" s="559"/>
      <c r="AE525" s="559"/>
      <c r="AF525" s="559"/>
      <c r="AG525" s="559"/>
    </row>
    <row r="526" spans="1:33" ht="18" customHeight="1" x14ac:dyDescent="0.35">
      <c r="A526" s="559"/>
      <c r="B526" s="559"/>
      <c r="C526" s="559"/>
      <c r="D526" s="559"/>
      <c r="E526" s="559"/>
      <c r="F526" s="559"/>
      <c r="G526" s="559"/>
      <c r="H526" s="559"/>
      <c r="I526" s="559"/>
      <c r="J526" s="559"/>
      <c r="K526" s="559"/>
      <c r="L526" s="559"/>
      <c r="M526" s="559"/>
      <c r="N526" s="559"/>
      <c r="O526" s="559"/>
      <c r="P526" s="559"/>
      <c r="Q526" s="559"/>
      <c r="R526" s="559"/>
      <c r="S526" s="559"/>
      <c r="T526" s="559"/>
      <c r="U526" s="559"/>
      <c r="V526" s="559"/>
      <c r="W526" s="559"/>
      <c r="X526" s="559"/>
      <c r="Y526" s="559"/>
      <c r="Z526" s="559"/>
      <c r="AA526" s="559"/>
      <c r="AB526" s="559"/>
      <c r="AC526" s="559"/>
      <c r="AD526" s="559"/>
      <c r="AE526" s="559"/>
      <c r="AF526" s="559"/>
      <c r="AG526" s="559"/>
    </row>
    <row r="527" spans="1:33" ht="18" customHeight="1" x14ac:dyDescent="0.35">
      <c r="A527" s="559"/>
      <c r="B527" s="559"/>
      <c r="C527" s="559"/>
      <c r="D527" s="559"/>
      <c r="E527" s="559"/>
      <c r="F527" s="559"/>
      <c r="G527" s="559"/>
      <c r="H527" s="559"/>
      <c r="I527" s="559"/>
      <c r="J527" s="559"/>
      <c r="K527" s="559"/>
      <c r="L527" s="559"/>
      <c r="M527" s="559"/>
      <c r="N527" s="559"/>
      <c r="O527" s="559"/>
      <c r="P527" s="559"/>
      <c r="Q527" s="559"/>
      <c r="R527" s="559"/>
      <c r="S527" s="559"/>
      <c r="T527" s="559"/>
      <c r="U527" s="559"/>
      <c r="V527" s="559"/>
      <c r="W527" s="559"/>
      <c r="X527" s="559"/>
      <c r="Y527" s="559"/>
      <c r="Z527" s="559"/>
      <c r="AA527" s="559"/>
      <c r="AB527" s="559"/>
      <c r="AC527" s="559"/>
      <c r="AD527" s="559"/>
      <c r="AE527" s="559"/>
      <c r="AF527" s="559"/>
      <c r="AG527" s="559"/>
    </row>
    <row r="528" spans="1:33" ht="18" customHeight="1" x14ac:dyDescent="0.35">
      <c r="A528" s="559"/>
      <c r="B528" s="559"/>
      <c r="C528" s="559"/>
      <c r="D528" s="559"/>
      <c r="E528" s="559"/>
      <c r="F528" s="559"/>
      <c r="G528" s="559"/>
      <c r="H528" s="559"/>
      <c r="I528" s="559"/>
      <c r="J528" s="559"/>
      <c r="K528" s="559"/>
      <c r="L528" s="559"/>
      <c r="M528" s="559"/>
      <c r="N528" s="559"/>
      <c r="O528" s="559"/>
      <c r="P528" s="559"/>
      <c r="Q528" s="559"/>
      <c r="R528" s="559"/>
      <c r="S528" s="559"/>
      <c r="T528" s="559"/>
      <c r="U528" s="559"/>
      <c r="V528" s="559"/>
      <c r="W528" s="559"/>
      <c r="X528" s="559"/>
      <c r="Y528" s="559"/>
      <c r="Z528" s="559"/>
      <c r="AA528" s="559"/>
      <c r="AB528" s="559"/>
      <c r="AC528" s="559"/>
      <c r="AD528" s="559"/>
      <c r="AE528" s="559"/>
      <c r="AF528" s="559"/>
      <c r="AG528" s="559"/>
    </row>
    <row r="529" spans="1:33" ht="18" customHeight="1" x14ac:dyDescent="0.35">
      <c r="A529" s="559"/>
      <c r="B529" s="559"/>
      <c r="C529" s="559"/>
      <c r="D529" s="559"/>
      <c r="E529" s="559"/>
      <c r="F529" s="559"/>
      <c r="G529" s="559"/>
      <c r="H529" s="559"/>
      <c r="I529" s="559"/>
      <c r="J529" s="559"/>
      <c r="K529" s="559"/>
      <c r="L529" s="559"/>
      <c r="M529" s="559"/>
      <c r="N529" s="559"/>
      <c r="O529" s="559"/>
      <c r="P529" s="559"/>
      <c r="Q529" s="559"/>
      <c r="R529" s="559"/>
      <c r="S529" s="559"/>
      <c r="T529" s="559"/>
      <c r="U529" s="559"/>
      <c r="V529" s="559"/>
      <c r="W529" s="559"/>
      <c r="X529" s="559"/>
      <c r="Y529" s="559"/>
      <c r="Z529" s="559"/>
      <c r="AA529" s="559"/>
      <c r="AB529" s="559"/>
      <c r="AC529" s="559"/>
      <c r="AD529" s="559"/>
      <c r="AE529" s="559"/>
      <c r="AF529" s="559"/>
      <c r="AG529" s="559"/>
    </row>
    <row r="530" spans="1:33" ht="18" customHeight="1" x14ac:dyDescent="0.35">
      <c r="A530" s="559"/>
      <c r="B530" s="559"/>
      <c r="C530" s="559"/>
      <c r="D530" s="559"/>
      <c r="E530" s="559"/>
      <c r="F530" s="559"/>
      <c r="G530" s="559"/>
      <c r="H530" s="559"/>
      <c r="I530" s="559"/>
      <c r="J530" s="559"/>
      <c r="K530" s="559"/>
      <c r="L530" s="559"/>
      <c r="M530" s="559"/>
      <c r="N530" s="559"/>
      <c r="O530" s="559"/>
      <c r="P530" s="559"/>
      <c r="Q530" s="559"/>
      <c r="R530" s="559"/>
      <c r="S530" s="559"/>
      <c r="T530" s="559"/>
      <c r="U530" s="559"/>
      <c r="V530" s="559"/>
      <c r="W530" s="559"/>
      <c r="X530" s="559"/>
      <c r="Y530" s="559"/>
      <c r="Z530" s="559"/>
      <c r="AA530" s="559"/>
      <c r="AB530" s="559"/>
      <c r="AC530" s="559"/>
      <c r="AD530" s="559"/>
      <c r="AE530" s="559"/>
      <c r="AF530" s="559"/>
      <c r="AG530" s="559"/>
    </row>
    <row r="531" spans="1:33" ht="18" customHeight="1" x14ac:dyDescent="0.35">
      <c r="A531" s="559"/>
      <c r="B531" s="559"/>
      <c r="C531" s="559"/>
      <c r="D531" s="559"/>
      <c r="E531" s="559"/>
      <c r="F531" s="559"/>
      <c r="G531" s="559"/>
      <c r="H531" s="559"/>
      <c r="I531" s="559"/>
      <c r="J531" s="559"/>
      <c r="K531" s="559"/>
      <c r="L531" s="559"/>
      <c r="M531" s="559"/>
      <c r="N531" s="559"/>
      <c r="O531" s="559"/>
      <c r="P531" s="559"/>
      <c r="Q531" s="559"/>
      <c r="R531" s="559"/>
      <c r="S531" s="559"/>
      <c r="T531" s="559"/>
      <c r="U531" s="559"/>
      <c r="V531" s="559"/>
      <c r="W531" s="559"/>
      <c r="X531" s="559"/>
      <c r="Y531" s="559"/>
      <c r="Z531" s="559"/>
      <c r="AA531" s="559"/>
      <c r="AB531" s="559"/>
      <c r="AC531" s="559"/>
      <c r="AD531" s="559"/>
      <c r="AE531" s="559"/>
      <c r="AF531" s="559"/>
      <c r="AG531" s="559"/>
    </row>
    <row r="532" spans="1:33" ht="18" customHeight="1" x14ac:dyDescent="0.35">
      <c r="A532" s="559"/>
      <c r="B532" s="559"/>
      <c r="C532" s="559"/>
      <c r="D532" s="559"/>
      <c r="E532" s="559"/>
      <c r="F532" s="559"/>
      <c r="G532" s="559"/>
      <c r="H532" s="559"/>
      <c r="I532" s="559"/>
      <c r="J532" s="559"/>
      <c r="K532" s="559"/>
      <c r="L532" s="559"/>
      <c r="M532" s="559"/>
      <c r="N532" s="559"/>
      <c r="O532" s="559"/>
      <c r="P532" s="559"/>
      <c r="Q532" s="559"/>
      <c r="R532" s="559"/>
      <c r="S532" s="559"/>
      <c r="T532" s="559"/>
      <c r="U532" s="559"/>
      <c r="V532" s="559"/>
      <c r="W532" s="559"/>
      <c r="X532" s="559"/>
      <c r="Y532" s="559"/>
      <c r="Z532" s="559"/>
      <c r="AA532" s="559"/>
      <c r="AB532" s="559"/>
      <c r="AC532" s="559"/>
      <c r="AD532" s="559"/>
      <c r="AE532" s="559"/>
      <c r="AF532" s="559"/>
      <c r="AG532" s="559"/>
    </row>
    <row r="533" spans="1:33" ht="18" customHeight="1" x14ac:dyDescent="0.35">
      <c r="A533" s="559"/>
      <c r="B533" s="559"/>
      <c r="C533" s="559"/>
      <c r="D533" s="559"/>
      <c r="E533" s="559"/>
      <c r="F533" s="559"/>
      <c r="G533" s="559"/>
      <c r="H533" s="559"/>
      <c r="I533" s="559"/>
      <c r="J533" s="559"/>
      <c r="K533" s="559"/>
      <c r="L533" s="559"/>
      <c r="M533" s="559"/>
      <c r="N533" s="559"/>
      <c r="O533" s="559"/>
      <c r="P533" s="559"/>
      <c r="Q533" s="559"/>
      <c r="R533" s="559"/>
      <c r="S533" s="559"/>
      <c r="T533" s="559"/>
      <c r="U533" s="559"/>
      <c r="V533" s="559"/>
      <c r="W533" s="559"/>
      <c r="X533" s="559"/>
      <c r="Y533" s="559"/>
      <c r="Z533" s="559"/>
      <c r="AA533" s="559"/>
      <c r="AB533" s="559"/>
      <c r="AC533" s="559"/>
      <c r="AD533" s="559"/>
      <c r="AE533" s="559"/>
      <c r="AF533" s="559"/>
      <c r="AG533" s="559"/>
    </row>
    <row r="534" spans="1:33" ht="18" customHeight="1" x14ac:dyDescent="0.35">
      <c r="A534" s="559"/>
      <c r="B534" s="559"/>
      <c r="C534" s="559"/>
      <c r="D534" s="559"/>
      <c r="E534" s="559"/>
      <c r="F534" s="559"/>
      <c r="G534" s="559"/>
      <c r="H534" s="559"/>
      <c r="I534" s="559"/>
      <c r="J534" s="559"/>
      <c r="K534" s="559"/>
      <c r="L534" s="559"/>
      <c r="M534" s="559"/>
      <c r="N534" s="559"/>
      <c r="O534" s="559"/>
      <c r="P534" s="559"/>
      <c r="Q534" s="559"/>
      <c r="R534" s="559"/>
      <c r="S534" s="559"/>
      <c r="T534" s="559"/>
      <c r="U534" s="559"/>
      <c r="V534" s="559"/>
      <c r="W534" s="559"/>
      <c r="X534" s="559"/>
      <c r="Y534" s="559"/>
      <c r="Z534" s="559"/>
      <c r="AA534" s="559"/>
      <c r="AB534" s="559"/>
      <c r="AC534" s="559"/>
      <c r="AD534" s="559"/>
      <c r="AE534" s="559"/>
      <c r="AF534" s="559"/>
      <c r="AG534" s="559"/>
    </row>
    <row r="535" spans="1:33" ht="18" customHeight="1" x14ac:dyDescent="0.35">
      <c r="A535" s="559"/>
      <c r="B535" s="559"/>
      <c r="C535" s="559"/>
      <c r="D535" s="559"/>
      <c r="E535" s="559"/>
      <c r="F535" s="559"/>
      <c r="G535" s="559"/>
      <c r="H535" s="559"/>
      <c r="I535" s="559"/>
      <c r="J535" s="559"/>
      <c r="K535" s="559"/>
      <c r="L535" s="559"/>
      <c r="M535" s="559"/>
      <c r="N535" s="559"/>
      <c r="O535" s="559"/>
      <c r="P535" s="559"/>
      <c r="Q535" s="559"/>
      <c r="R535" s="559"/>
      <c r="S535" s="559"/>
      <c r="T535" s="559"/>
      <c r="U535" s="559"/>
      <c r="V535" s="559"/>
      <c r="W535" s="559"/>
      <c r="X535" s="559"/>
      <c r="Y535" s="559"/>
      <c r="Z535" s="559"/>
      <c r="AA535" s="559"/>
      <c r="AB535" s="559"/>
      <c r="AC535" s="559"/>
      <c r="AD535" s="559"/>
      <c r="AE535" s="559"/>
      <c r="AF535" s="559"/>
      <c r="AG535" s="559"/>
    </row>
    <row r="536" spans="1:33" ht="18" customHeight="1" x14ac:dyDescent="0.35">
      <c r="A536" s="559"/>
      <c r="B536" s="559"/>
      <c r="C536" s="559"/>
      <c r="D536" s="559"/>
      <c r="E536" s="559"/>
      <c r="F536" s="559"/>
      <c r="G536" s="559"/>
      <c r="H536" s="559"/>
      <c r="I536" s="559"/>
      <c r="J536" s="559"/>
      <c r="K536" s="559"/>
      <c r="L536" s="559"/>
      <c r="M536" s="559"/>
      <c r="N536" s="559"/>
      <c r="O536" s="559"/>
      <c r="P536" s="559"/>
      <c r="Q536" s="559"/>
      <c r="R536" s="559"/>
      <c r="S536" s="559"/>
      <c r="T536" s="559"/>
      <c r="U536" s="559"/>
      <c r="V536" s="559"/>
      <c r="W536" s="559"/>
      <c r="X536" s="559"/>
      <c r="Y536" s="559"/>
      <c r="Z536" s="559"/>
      <c r="AA536" s="559"/>
      <c r="AB536" s="559"/>
      <c r="AC536" s="559"/>
      <c r="AD536" s="559"/>
      <c r="AE536" s="559"/>
      <c r="AF536" s="559"/>
      <c r="AG536" s="559"/>
    </row>
    <row r="537" spans="1:33" ht="18" customHeight="1" x14ac:dyDescent="0.35">
      <c r="A537" s="559"/>
      <c r="B537" s="559"/>
      <c r="C537" s="559"/>
      <c r="D537" s="559"/>
      <c r="E537" s="559"/>
      <c r="F537" s="559"/>
      <c r="G537" s="559"/>
      <c r="H537" s="559"/>
      <c r="I537" s="559"/>
      <c r="J537" s="559"/>
      <c r="K537" s="559"/>
      <c r="L537" s="559"/>
      <c r="M537" s="559"/>
      <c r="N537" s="559"/>
      <c r="O537" s="559"/>
      <c r="P537" s="559"/>
      <c r="Q537" s="559"/>
      <c r="R537" s="559"/>
      <c r="S537" s="559"/>
      <c r="T537" s="559"/>
      <c r="U537" s="559"/>
      <c r="V537" s="559"/>
      <c r="W537" s="559"/>
      <c r="X537" s="559"/>
      <c r="Y537" s="559"/>
      <c r="Z537" s="559"/>
      <c r="AA537" s="559"/>
      <c r="AB537" s="559"/>
      <c r="AC537" s="559"/>
      <c r="AD537" s="559"/>
      <c r="AE537" s="559"/>
      <c r="AF537" s="559"/>
      <c r="AG537" s="559"/>
    </row>
    <row r="538" spans="1:33" ht="18" customHeight="1" x14ac:dyDescent="0.35">
      <c r="A538" s="559"/>
      <c r="B538" s="559"/>
      <c r="C538" s="559"/>
      <c r="D538" s="559"/>
      <c r="E538" s="559"/>
      <c r="F538" s="559"/>
      <c r="G538" s="559"/>
      <c r="H538" s="559"/>
      <c r="I538" s="559"/>
      <c r="J538" s="559"/>
      <c r="K538" s="559"/>
      <c r="L538" s="559"/>
      <c r="M538" s="559"/>
      <c r="N538" s="559"/>
      <c r="O538" s="559"/>
      <c r="P538" s="559"/>
      <c r="Q538" s="559"/>
      <c r="R538" s="559"/>
      <c r="S538" s="559"/>
      <c r="T538" s="559"/>
      <c r="U538" s="559"/>
      <c r="V538" s="559"/>
      <c r="W538" s="559"/>
      <c r="X538" s="559"/>
      <c r="Y538" s="559"/>
      <c r="Z538" s="559"/>
      <c r="AA538" s="559"/>
      <c r="AB538" s="559"/>
      <c r="AC538" s="559"/>
      <c r="AD538" s="559"/>
      <c r="AE538" s="559"/>
      <c r="AF538" s="559"/>
      <c r="AG538" s="559"/>
    </row>
    <row r="539" spans="1:33" ht="18" customHeight="1" x14ac:dyDescent="0.35">
      <c r="A539" s="559"/>
      <c r="B539" s="559"/>
      <c r="C539" s="559"/>
      <c r="D539" s="559"/>
      <c r="E539" s="559"/>
      <c r="F539" s="559"/>
      <c r="G539" s="559"/>
      <c r="H539" s="559"/>
      <c r="I539" s="559"/>
      <c r="J539" s="559"/>
      <c r="K539" s="559"/>
      <c r="L539" s="559"/>
      <c r="M539" s="559"/>
      <c r="N539" s="559"/>
      <c r="O539" s="559"/>
      <c r="P539" s="559"/>
      <c r="Q539" s="559"/>
      <c r="R539" s="559"/>
      <c r="S539" s="559"/>
      <c r="T539" s="559"/>
      <c r="U539" s="559"/>
      <c r="V539" s="559"/>
      <c r="W539" s="559"/>
      <c r="X539" s="559"/>
      <c r="Y539" s="559"/>
      <c r="Z539" s="559"/>
      <c r="AA539" s="559"/>
      <c r="AB539" s="559"/>
      <c r="AC539" s="559"/>
      <c r="AD539" s="559"/>
      <c r="AE539" s="559"/>
      <c r="AF539" s="559"/>
      <c r="AG539" s="559"/>
    </row>
    <row r="540" spans="1:33" ht="18" customHeight="1" x14ac:dyDescent="0.35">
      <c r="A540" s="559"/>
      <c r="B540" s="559"/>
      <c r="C540" s="559"/>
      <c r="D540" s="559"/>
      <c r="E540" s="559"/>
      <c r="F540" s="559"/>
      <c r="G540" s="559"/>
      <c r="H540" s="559"/>
      <c r="I540" s="559"/>
      <c r="J540" s="559"/>
      <c r="K540" s="559"/>
      <c r="L540" s="559"/>
      <c r="M540" s="559"/>
      <c r="N540" s="559"/>
      <c r="O540" s="559"/>
      <c r="P540" s="559"/>
      <c r="Q540" s="559"/>
      <c r="R540" s="559"/>
      <c r="S540" s="559"/>
      <c r="T540" s="559"/>
      <c r="U540" s="559"/>
      <c r="V540" s="559"/>
      <c r="W540" s="559"/>
      <c r="X540" s="559"/>
      <c r="Y540" s="559"/>
      <c r="Z540" s="559"/>
      <c r="AA540" s="559"/>
      <c r="AB540" s="559"/>
      <c r="AC540" s="559"/>
      <c r="AD540" s="559"/>
      <c r="AE540" s="559"/>
      <c r="AF540" s="559"/>
      <c r="AG540" s="559"/>
    </row>
    <row r="541" spans="1:33" ht="18" customHeight="1" x14ac:dyDescent="0.35">
      <c r="A541" s="559"/>
      <c r="B541" s="559"/>
      <c r="C541" s="559"/>
      <c r="D541" s="559"/>
      <c r="E541" s="559"/>
      <c r="F541" s="559"/>
      <c r="G541" s="559"/>
      <c r="H541" s="559"/>
      <c r="I541" s="559"/>
      <c r="J541" s="559"/>
      <c r="K541" s="559"/>
      <c r="L541" s="559"/>
      <c r="M541" s="559"/>
      <c r="N541" s="559"/>
      <c r="O541" s="559"/>
      <c r="P541" s="559"/>
      <c r="Q541" s="559"/>
      <c r="R541" s="559"/>
      <c r="S541" s="559"/>
      <c r="T541" s="559"/>
      <c r="U541" s="559"/>
      <c r="V541" s="559"/>
      <c r="W541" s="559"/>
      <c r="X541" s="559"/>
      <c r="Y541" s="559"/>
      <c r="Z541" s="559"/>
      <c r="AA541" s="559"/>
      <c r="AB541" s="559"/>
      <c r="AC541" s="559"/>
      <c r="AD541" s="559"/>
      <c r="AE541" s="559"/>
      <c r="AF541" s="559"/>
      <c r="AG541" s="559"/>
    </row>
    <row r="542" spans="1:33" ht="18" customHeight="1" x14ac:dyDescent="0.35">
      <c r="A542" s="559"/>
      <c r="B542" s="559"/>
      <c r="C542" s="559"/>
      <c r="D542" s="559"/>
      <c r="E542" s="559"/>
      <c r="F542" s="559"/>
      <c r="G542" s="559"/>
      <c r="H542" s="559"/>
      <c r="I542" s="559"/>
      <c r="J542" s="559"/>
      <c r="K542" s="559"/>
      <c r="L542" s="559"/>
      <c r="M542" s="559"/>
      <c r="N542" s="559"/>
      <c r="O542" s="559"/>
      <c r="P542" s="559"/>
      <c r="Q542" s="559"/>
      <c r="R542" s="559"/>
      <c r="S542" s="559"/>
      <c r="T542" s="559"/>
      <c r="U542" s="559"/>
      <c r="V542" s="559"/>
      <c r="W542" s="559"/>
      <c r="X542" s="559"/>
      <c r="Y542" s="559"/>
      <c r="Z542" s="559"/>
      <c r="AA542" s="559"/>
      <c r="AB542" s="559"/>
      <c r="AC542" s="559"/>
      <c r="AD542" s="559"/>
      <c r="AE542" s="559"/>
      <c r="AF542" s="559"/>
      <c r="AG542" s="559"/>
    </row>
    <row r="543" spans="1:33" ht="18" customHeight="1" x14ac:dyDescent="0.35">
      <c r="A543" s="559"/>
      <c r="B543" s="559"/>
      <c r="C543" s="559"/>
      <c r="D543" s="559"/>
      <c r="E543" s="559"/>
      <c r="F543" s="559"/>
      <c r="G543" s="559"/>
      <c r="H543" s="559"/>
      <c r="I543" s="559"/>
      <c r="J543" s="559"/>
      <c r="K543" s="559"/>
      <c r="L543" s="559"/>
      <c r="M543" s="559"/>
      <c r="N543" s="559"/>
      <c r="O543" s="559"/>
      <c r="P543" s="559"/>
      <c r="Q543" s="559"/>
      <c r="R543" s="559"/>
      <c r="S543" s="559"/>
      <c r="T543" s="559"/>
      <c r="U543" s="559"/>
      <c r="V543" s="559"/>
      <c r="W543" s="559"/>
      <c r="X543" s="559"/>
      <c r="Y543" s="559"/>
      <c r="Z543" s="559"/>
      <c r="AA543" s="559"/>
      <c r="AB543" s="559"/>
      <c r="AC543" s="559"/>
      <c r="AD543" s="559"/>
      <c r="AE543" s="559"/>
      <c r="AF543" s="559"/>
      <c r="AG543" s="559"/>
    </row>
    <row r="544" spans="1:33" ht="18" customHeight="1" x14ac:dyDescent="0.35">
      <c r="A544" s="559"/>
      <c r="B544" s="559"/>
      <c r="C544" s="559"/>
      <c r="D544" s="559"/>
      <c r="E544" s="559"/>
      <c r="F544" s="559"/>
      <c r="G544" s="559"/>
      <c r="H544" s="559"/>
      <c r="I544" s="559"/>
      <c r="J544" s="559"/>
      <c r="K544" s="559"/>
      <c r="L544" s="559"/>
      <c r="M544" s="559"/>
      <c r="N544" s="559"/>
      <c r="O544" s="559"/>
      <c r="P544" s="559"/>
      <c r="Q544" s="559"/>
      <c r="R544" s="559"/>
      <c r="S544" s="559"/>
      <c r="T544" s="559"/>
      <c r="U544" s="559"/>
      <c r="V544" s="559"/>
      <c r="W544" s="559"/>
      <c r="X544" s="559"/>
      <c r="Y544" s="559"/>
      <c r="Z544" s="559"/>
      <c r="AA544" s="559"/>
      <c r="AB544" s="559"/>
      <c r="AC544" s="559"/>
      <c r="AD544" s="559"/>
      <c r="AE544" s="559"/>
      <c r="AF544" s="559"/>
      <c r="AG544" s="559"/>
    </row>
    <row r="545" spans="1:33" ht="18" customHeight="1" x14ac:dyDescent="0.35">
      <c r="A545" s="559"/>
      <c r="B545" s="559"/>
      <c r="C545" s="559"/>
      <c r="D545" s="559"/>
      <c r="E545" s="559"/>
      <c r="F545" s="559"/>
      <c r="G545" s="559"/>
      <c r="H545" s="559"/>
      <c r="I545" s="559"/>
      <c r="J545" s="559"/>
      <c r="K545" s="559"/>
      <c r="L545" s="559"/>
      <c r="M545" s="559"/>
      <c r="N545" s="559"/>
      <c r="O545" s="559"/>
      <c r="P545" s="559"/>
      <c r="Q545" s="559"/>
      <c r="R545" s="559"/>
      <c r="S545" s="559"/>
      <c r="T545" s="559"/>
      <c r="U545" s="559"/>
      <c r="V545" s="559"/>
      <c r="W545" s="559"/>
      <c r="X545" s="559"/>
      <c r="Y545" s="559"/>
      <c r="Z545" s="559"/>
      <c r="AA545" s="559"/>
      <c r="AB545" s="559"/>
      <c r="AC545" s="559"/>
      <c r="AD545" s="559"/>
      <c r="AE545" s="559"/>
      <c r="AF545" s="559"/>
      <c r="AG545" s="559"/>
    </row>
    <row r="546" spans="1:33" ht="18" customHeight="1" x14ac:dyDescent="0.35">
      <c r="A546" s="559"/>
      <c r="B546" s="559"/>
      <c r="C546" s="559"/>
      <c r="D546" s="559"/>
      <c r="E546" s="559"/>
      <c r="F546" s="559"/>
      <c r="G546" s="559"/>
      <c r="H546" s="559"/>
      <c r="I546" s="559"/>
      <c r="J546" s="559"/>
      <c r="K546" s="559"/>
      <c r="L546" s="559"/>
      <c r="M546" s="559"/>
      <c r="N546" s="559"/>
      <c r="O546" s="559"/>
      <c r="P546" s="559"/>
      <c r="Q546" s="559"/>
      <c r="R546" s="559"/>
      <c r="S546" s="559"/>
      <c r="T546" s="559"/>
      <c r="U546" s="559"/>
      <c r="V546" s="559"/>
      <c r="W546" s="559"/>
      <c r="X546" s="559"/>
      <c r="Y546" s="559"/>
      <c r="Z546" s="559"/>
      <c r="AA546" s="559"/>
      <c r="AB546" s="559"/>
      <c r="AC546" s="559"/>
      <c r="AD546" s="559"/>
      <c r="AE546" s="559"/>
      <c r="AF546" s="559"/>
      <c r="AG546" s="559"/>
    </row>
    <row r="547" spans="1:33" ht="18" customHeight="1" x14ac:dyDescent="0.35">
      <c r="A547" s="559"/>
      <c r="B547" s="559"/>
      <c r="C547" s="559"/>
      <c r="D547" s="559"/>
      <c r="E547" s="559"/>
      <c r="F547" s="559"/>
      <c r="G547" s="559"/>
      <c r="H547" s="559"/>
      <c r="I547" s="559"/>
      <c r="J547" s="559"/>
      <c r="K547" s="559"/>
      <c r="L547" s="559"/>
      <c r="M547" s="559"/>
      <c r="N547" s="559"/>
      <c r="O547" s="559"/>
      <c r="P547" s="559"/>
      <c r="Q547" s="559"/>
      <c r="R547" s="559"/>
      <c r="S547" s="559"/>
      <c r="T547" s="559"/>
      <c r="U547" s="559"/>
      <c r="V547" s="559"/>
      <c r="W547" s="559"/>
      <c r="X547" s="559"/>
      <c r="Y547" s="559"/>
      <c r="Z547" s="559"/>
      <c r="AA547" s="559"/>
      <c r="AB547" s="559"/>
      <c r="AC547" s="559"/>
      <c r="AD547" s="559"/>
      <c r="AE547" s="559"/>
      <c r="AF547" s="559"/>
      <c r="AG547" s="559"/>
    </row>
    <row r="548" spans="1:33" ht="18" customHeight="1" x14ac:dyDescent="0.35">
      <c r="A548" s="559"/>
      <c r="B548" s="559"/>
      <c r="C548" s="559"/>
      <c r="D548" s="559"/>
      <c r="E548" s="559"/>
      <c r="F548" s="559"/>
      <c r="G548" s="559"/>
      <c r="H548" s="559"/>
      <c r="I548" s="559"/>
      <c r="J548" s="559"/>
      <c r="K548" s="559"/>
      <c r="L548" s="559"/>
      <c r="M548" s="559"/>
      <c r="N548" s="559"/>
      <c r="O548" s="559"/>
      <c r="P548" s="559"/>
      <c r="Q548" s="559"/>
      <c r="R548" s="559"/>
      <c r="S548" s="559"/>
      <c r="T548" s="559"/>
      <c r="U548" s="559"/>
      <c r="V548" s="559"/>
      <c r="W548" s="559"/>
      <c r="X548" s="559"/>
      <c r="Y548" s="559"/>
      <c r="Z548" s="559"/>
      <c r="AA548" s="559"/>
      <c r="AB548" s="559"/>
      <c r="AC548" s="559"/>
      <c r="AD548" s="559"/>
      <c r="AE548" s="559"/>
      <c r="AF548" s="559"/>
      <c r="AG548" s="559"/>
    </row>
    <row r="549" spans="1:33" ht="18" customHeight="1" x14ac:dyDescent="0.35">
      <c r="A549" s="559"/>
      <c r="B549" s="559"/>
      <c r="C549" s="559"/>
      <c r="D549" s="559"/>
      <c r="E549" s="559"/>
      <c r="F549" s="559"/>
      <c r="G549" s="559"/>
      <c r="H549" s="559"/>
      <c r="I549" s="559"/>
      <c r="J549" s="559"/>
      <c r="K549" s="559"/>
      <c r="L549" s="559"/>
      <c r="M549" s="559"/>
      <c r="N549" s="559"/>
      <c r="O549" s="559"/>
      <c r="P549" s="559"/>
      <c r="Q549" s="559"/>
      <c r="R549" s="559"/>
      <c r="S549" s="559"/>
      <c r="T549" s="559"/>
      <c r="U549" s="559"/>
      <c r="V549" s="559"/>
      <c r="W549" s="559"/>
      <c r="X549" s="559"/>
      <c r="Y549" s="559"/>
      <c r="Z549" s="559"/>
      <c r="AA549" s="559"/>
      <c r="AB549" s="559"/>
      <c r="AC549" s="559"/>
      <c r="AD549" s="559"/>
      <c r="AE549" s="559"/>
      <c r="AF549" s="559"/>
      <c r="AG549" s="559"/>
    </row>
    <row r="550" spans="1:33" ht="18" customHeight="1" x14ac:dyDescent="0.35">
      <c r="A550" s="559"/>
      <c r="B550" s="559"/>
      <c r="C550" s="559"/>
      <c r="D550" s="559"/>
      <c r="E550" s="559"/>
      <c r="F550" s="559"/>
      <c r="G550" s="559"/>
      <c r="H550" s="559"/>
      <c r="I550" s="559"/>
      <c r="J550" s="559"/>
      <c r="K550" s="559"/>
      <c r="L550" s="559"/>
      <c r="M550" s="559"/>
      <c r="N550" s="559"/>
      <c r="O550" s="559"/>
      <c r="P550" s="559"/>
      <c r="Q550" s="559"/>
      <c r="R550" s="559"/>
      <c r="S550" s="559"/>
      <c r="T550" s="559"/>
      <c r="U550" s="559"/>
      <c r="V550" s="559"/>
      <c r="W550" s="559"/>
      <c r="X550" s="559"/>
      <c r="Y550" s="559"/>
      <c r="Z550" s="559"/>
      <c r="AA550" s="559"/>
      <c r="AB550" s="559"/>
      <c r="AC550" s="559"/>
      <c r="AD550" s="559"/>
      <c r="AE550" s="559"/>
      <c r="AF550" s="559"/>
      <c r="AG550" s="559"/>
    </row>
    <row r="551" spans="1:33" ht="18" customHeight="1" x14ac:dyDescent="0.35">
      <c r="A551" s="559"/>
      <c r="B551" s="559"/>
      <c r="C551" s="559"/>
      <c r="D551" s="559"/>
      <c r="E551" s="559"/>
      <c r="F551" s="559"/>
      <c r="G551" s="559"/>
      <c r="H551" s="559"/>
      <c r="I551" s="559"/>
      <c r="J551" s="559"/>
      <c r="K551" s="559"/>
      <c r="L551" s="559"/>
      <c r="M551" s="559"/>
      <c r="N551" s="559"/>
      <c r="O551" s="559"/>
      <c r="P551" s="559"/>
      <c r="Q551" s="559"/>
      <c r="R551" s="559"/>
      <c r="S551" s="559"/>
      <c r="T551" s="559"/>
      <c r="U551" s="559"/>
      <c r="V551" s="559"/>
      <c r="W551" s="559"/>
      <c r="X551" s="559"/>
      <c r="Y551" s="559"/>
      <c r="Z551" s="559"/>
      <c r="AA551" s="559"/>
      <c r="AB551" s="559"/>
      <c r="AC551" s="559"/>
      <c r="AD551" s="559"/>
      <c r="AE551" s="559"/>
      <c r="AF551" s="559"/>
      <c r="AG551" s="559"/>
    </row>
    <row r="552" spans="1:33" ht="18" customHeight="1" x14ac:dyDescent="0.35">
      <c r="A552" s="559"/>
      <c r="B552" s="559"/>
      <c r="C552" s="559"/>
      <c r="D552" s="559"/>
      <c r="E552" s="559"/>
      <c r="F552" s="559"/>
      <c r="G552" s="559"/>
      <c r="H552" s="559"/>
      <c r="I552" s="559"/>
      <c r="J552" s="559"/>
      <c r="K552" s="559"/>
      <c r="L552" s="559"/>
      <c r="M552" s="559"/>
      <c r="N552" s="559"/>
      <c r="O552" s="559"/>
      <c r="P552" s="559"/>
      <c r="Q552" s="559"/>
      <c r="R552" s="559"/>
      <c r="S552" s="559"/>
      <c r="T552" s="559"/>
      <c r="U552" s="559"/>
      <c r="V552" s="559"/>
      <c r="W552" s="559"/>
      <c r="X552" s="559"/>
      <c r="Y552" s="559"/>
      <c r="Z552" s="559"/>
      <c r="AA552" s="559"/>
      <c r="AB552" s="559"/>
      <c r="AC552" s="559"/>
      <c r="AD552" s="559"/>
      <c r="AE552" s="559"/>
      <c r="AF552" s="559"/>
      <c r="AG552" s="559"/>
    </row>
    <row r="553" spans="1:33" ht="18" customHeight="1" x14ac:dyDescent="0.35">
      <c r="A553" s="559"/>
      <c r="B553" s="559"/>
      <c r="C553" s="559"/>
      <c r="D553" s="559"/>
      <c r="E553" s="559"/>
      <c r="F553" s="559"/>
      <c r="G553" s="559"/>
      <c r="H553" s="559"/>
      <c r="I553" s="559"/>
      <c r="J553" s="559"/>
      <c r="K553" s="559"/>
      <c r="L553" s="559"/>
      <c r="M553" s="559"/>
      <c r="N553" s="559"/>
      <c r="O553" s="559"/>
      <c r="P553" s="559"/>
      <c r="Q553" s="559"/>
      <c r="R553" s="559"/>
      <c r="S553" s="559"/>
      <c r="T553" s="559"/>
      <c r="U553" s="559"/>
      <c r="V553" s="559"/>
      <c r="W553" s="559"/>
      <c r="X553" s="559"/>
      <c r="Y553" s="559"/>
      <c r="Z553" s="559"/>
      <c r="AA553" s="559"/>
      <c r="AB553" s="559"/>
      <c r="AC553" s="559"/>
      <c r="AD553" s="559"/>
      <c r="AE553" s="559"/>
      <c r="AF553" s="559"/>
      <c r="AG553" s="559"/>
    </row>
    <row r="554" spans="1:33" ht="18" customHeight="1" x14ac:dyDescent="0.35">
      <c r="A554" s="559"/>
      <c r="B554" s="559"/>
      <c r="C554" s="559"/>
      <c r="D554" s="559"/>
      <c r="E554" s="559"/>
      <c r="F554" s="559"/>
      <c r="G554" s="559"/>
      <c r="H554" s="559"/>
      <c r="I554" s="559"/>
      <c r="J554" s="559"/>
      <c r="K554" s="559"/>
      <c r="L554" s="559"/>
      <c r="M554" s="559"/>
      <c r="N554" s="559"/>
      <c r="O554" s="559"/>
      <c r="P554" s="559"/>
      <c r="Q554" s="559"/>
      <c r="R554" s="559"/>
      <c r="S554" s="559"/>
      <c r="T554" s="559"/>
      <c r="U554" s="559"/>
      <c r="V554" s="559"/>
      <c r="W554" s="559"/>
      <c r="X554" s="559"/>
      <c r="Y554" s="559"/>
      <c r="Z554" s="559"/>
      <c r="AA554" s="559"/>
      <c r="AB554" s="559"/>
      <c r="AC554" s="559"/>
      <c r="AD554" s="559"/>
      <c r="AE554" s="559"/>
      <c r="AF554" s="559"/>
      <c r="AG554" s="559"/>
    </row>
    <row r="555" spans="1:33" ht="18" customHeight="1" x14ac:dyDescent="0.35">
      <c r="A555" s="559"/>
      <c r="B555" s="559"/>
      <c r="C555" s="559"/>
      <c r="D555" s="559"/>
      <c r="E555" s="559"/>
      <c r="F555" s="559"/>
      <c r="G555" s="559"/>
      <c r="H555" s="559"/>
      <c r="I555" s="559"/>
      <c r="J555" s="559"/>
      <c r="K555" s="559"/>
      <c r="L555" s="559"/>
      <c r="M555" s="559"/>
      <c r="N555" s="559"/>
      <c r="O555" s="559"/>
      <c r="P555" s="559"/>
      <c r="Q555" s="559"/>
      <c r="R555" s="559"/>
      <c r="S555" s="559"/>
      <c r="T555" s="559"/>
      <c r="U555" s="559"/>
      <c r="V555" s="559"/>
      <c r="W555" s="559"/>
      <c r="X555" s="559"/>
      <c r="Y555" s="559"/>
      <c r="Z555" s="559"/>
      <c r="AA555" s="559"/>
      <c r="AB555" s="559"/>
      <c r="AC555" s="559"/>
      <c r="AD555" s="559"/>
      <c r="AE555" s="559"/>
      <c r="AF555" s="559"/>
      <c r="AG555" s="559"/>
    </row>
    <row r="556" spans="1:33" ht="18" customHeight="1" x14ac:dyDescent="0.35">
      <c r="A556" s="559"/>
      <c r="B556" s="559"/>
      <c r="C556" s="559"/>
      <c r="D556" s="559"/>
      <c r="E556" s="559"/>
      <c r="F556" s="559"/>
      <c r="G556" s="559"/>
      <c r="H556" s="559"/>
      <c r="I556" s="559"/>
      <c r="J556" s="559"/>
      <c r="K556" s="559"/>
      <c r="L556" s="559"/>
      <c r="M556" s="559"/>
      <c r="N556" s="559"/>
      <c r="O556" s="559"/>
      <c r="P556" s="559"/>
      <c r="Q556" s="559"/>
      <c r="R556" s="559"/>
      <c r="S556" s="559"/>
      <c r="T556" s="559"/>
      <c r="U556" s="559"/>
      <c r="V556" s="559"/>
      <c r="W556" s="559"/>
      <c r="X556" s="559"/>
      <c r="Y556" s="559"/>
      <c r="Z556" s="559"/>
      <c r="AA556" s="559"/>
      <c r="AB556" s="559"/>
      <c r="AC556" s="559"/>
      <c r="AD556" s="559"/>
      <c r="AE556" s="559"/>
      <c r="AF556" s="559"/>
      <c r="AG556" s="559"/>
    </row>
    <row r="557" spans="1:33" ht="18" customHeight="1" x14ac:dyDescent="0.35">
      <c r="A557" s="559"/>
      <c r="B557" s="559"/>
      <c r="C557" s="559"/>
      <c r="D557" s="559"/>
      <c r="E557" s="559"/>
      <c r="F557" s="559"/>
      <c r="G557" s="559"/>
      <c r="H557" s="559"/>
      <c r="I557" s="559"/>
      <c r="J557" s="559"/>
      <c r="K557" s="559"/>
      <c r="L557" s="559"/>
      <c r="M557" s="559"/>
      <c r="N557" s="559"/>
      <c r="O557" s="559"/>
      <c r="P557" s="559"/>
      <c r="Q557" s="559"/>
      <c r="R557" s="559"/>
      <c r="S557" s="559"/>
      <c r="T557" s="559"/>
      <c r="U557" s="559"/>
      <c r="V557" s="559"/>
      <c r="W557" s="559"/>
      <c r="X557" s="559"/>
      <c r="Y557" s="559"/>
      <c r="Z557" s="559"/>
      <c r="AA557" s="559"/>
      <c r="AB557" s="559"/>
      <c r="AC557" s="559"/>
      <c r="AD557" s="559"/>
      <c r="AE557" s="559"/>
      <c r="AF557" s="559"/>
      <c r="AG557" s="559"/>
    </row>
    <row r="558" spans="1:33" ht="18" customHeight="1" x14ac:dyDescent="0.35">
      <c r="A558" s="559"/>
      <c r="B558" s="559"/>
      <c r="C558" s="559"/>
      <c r="D558" s="559"/>
      <c r="E558" s="559"/>
      <c r="F558" s="559"/>
      <c r="G558" s="559"/>
      <c r="H558" s="559"/>
      <c r="I558" s="559"/>
      <c r="J558" s="559"/>
      <c r="K558" s="559"/>
      <c r="L558" s="559"/>
      <c r="M558" s="559"/>
      <c r="N558" s="559"/>
      <c r="O558" s="559"/>
      <c r="P558" s="559"/>
      <c r="Q558" s="559"/>
      <c r="R558" s="559"/>
      <c r="S558" s="559"/>
      <c r="T558" s="559"/>
      <c r="U558" s="559"/>
      <c r="V558" s="559"/>
      <c r="W558" s="559"/>
      <c r="X558" s="559"/>
      <c r="Y558" s="559"/>
      <c r="Z558" s="559"/>
      <c r="AA558" s="559"/>
      <c r="AB558" s="559"/>
      <c r="AC558" s="559"/>
      <c r="AD558" s="559"/>
      <c r="AE558" s="559"/>
      <c r="AF558" s="559"/>
      <c r="AG558" s="559"/>
    </row>
    <row r="559" spans="1:33" ht="18" customHeight="1" x14ac:dyDescent="0.35">
      <c r="A559" s="559"/>
      <c r="B559" s="559"/>
      <c r="C559" s="559"/>
      <c r="D559" s="559"/>
      <c r="E559" s="559"/>
      <c r="F559" s="559"/>
      <c r="G559" s="559"/>
      <c r="H559" s="559"/>
      <c r="I559" s="559"/>
      <c r="J559" s="559"/>
      <c r="K559" s="559"/>
      <c r="L559" s="559"/>
      <c r="M559" s="559"/>
      <c r="N559" s="559"/>
      <c r="O559" s="559"/>
      <c r="P559" s="559"/>
      <c r="Q559" s="559"/>
      <c r="R559" s="559"/>
      <c r="S559" s="559"/>
      <c r="T559" s="559"/>
      <c r="U559" s="559"/>
      <c r="V559" s="559"/>
      <c r="W559" s="559"/>
      <c r="X559" s="559"/>
      <c r="Y559" s="559"/>
      <c r="Z559" s="559"/>
      <c r="AA559" s="559"/>
      <c r="AB559" s="559"/>
      <c r="AC559" s="559"/>
      <c r="AD559" s="559"/>
      <c r="AE559" s="559"/>
      <c r="AF559" s="559"/>
      <c r="AG559" s="559"/>
    </row>
    <row r="560" spans="1:33" ht="18" customHeight="1" x14ac:dyDescent="0.35">
      <c r="A560" s="559"/>
      <c r="B560" s="559"/>
      <c r="C560" s="559"/>
      <c r="D560" s="559"/>
      <c r="E560" s="559"/>
      <c r="F560" s="559"/>
      <c r="G560" s="559"/>
      <c r="H560" s="559"/>
      <c r="I560" s="559"/>
      <c r="J560" s="559"/>
      <c r="K560" s="559"/>
      <c r="L560" s="559"/>
      <c r="M560" s="559"/>
      <c r="N560" s="559"/>
      <c r="O560" s="559"/>
      <c r="P560" s="559"/>
      <c r="Q560" s="559"/>
      <c r="R560" s="559"/>
      <c r="S560" s="559"/>
      <c r="T560" s="559"/>
      <c r="U560" s="559"/>
      <c r="V560" s="559"/>
      <c r="W560" s="559"/>
      <c r="X560" s="559"/>
      <c r="Y560" s="559"/>
      <c r="Z560" s="559"/>
      <c r="AA560" s="559"/>
      <c r="AB560" s="559"/>
      <c r="AC560" s="559"/>
      <c r="AD560" s="559"/>
      <c r="AE560" s="559"/>
      <c r="AF560" s="559"/>
      <c r="AG560" s="559"/>
    </row>
    <row r="561" spans="1:33" ht="18" customHeight="1" x14ac:dyDescent="0.35">
      <c r="A561" s="559"/>
      <c r="B561" s="559"/>
      <c r="C561" s="559"/>
      <c r="D561" s="559"/>
      <c r="E561" s="559"/>
      <c r="F561" s="559"/>
      <c r="G561" s="559"/>
      <c r="H561" s="559"/>
      <c r="I561" s="559"/>
      <c r="J561" s="559"/>
      <c r="K561" s="559"/>
      <c r="L561" s="559"/>
      <c r="M561" s="559"/>
      <c r="N561" s="559"/>
      <c r="O561" s="559"/>
      <c r="P561" s="559"/>
      <c r="Q561" s="559"/>
      <c r="R561" s="559"/>
      <c r="S561" s="559"/>
      <c r="T561" s="559"/>
      <c r="U561" s="559"/>
      <c r="V561" s="559"/>
      <c r="W561" s="559"/>
      <c r="X561" s="559"/>
      <c r="Y561" s="559"/>
      <c r="Z561" s="559"/>
      <c r="AA561" s="559"/>
      <c r="AB561" s="559"/>
      <c r="AC561" s="559"/>
      <c r="AD561" s="559"/>
      <c r="AE561" s="559"/>
      <c r="AF561" s="559"/>
      <c r="AG561" s="559"/>
    </row>
    <row r="562" spans="1:33" ht="18" customHeight="1" x14ac:dyDescent="0.35">
      <c r="A562" s="559"/>
      <c r="B562" s="559"/>
      <c r="C562" s="559"/>
      <c r="D562" s="559"/>
      <c r="E562" s="559"/>
      <c r="F562" s="559"/>
      <c r="G562" s="559"/>
      <c r="H562" s="559"/>
      <c r="I562" s="559"/>
      <c r="J562" s="559"/>
      <c r="K562" s="559"/>
      <c r="L562" s="559"/>
      <c r="M562" s="559"/>
      <c r="N562" s="559"/>
      <c r="O562" s="559"/>
      <c r="P562" s="559"/>
      <c r="Q562" s="559"/>
      <c r="R562" s="559"/>
      <c r="S562" s="559"/>
      <c r="T562" s="559"/>
      <c r="U562" s="559"/>
      <c r="V562" s="559"/>
      <c r="W562" s="559"/>
      <c r="X562" s="559"/>
      <c r="Y562" s="559"/>
      <c r="Z562" s="559"/>
      <c r="AA562" s="559"/>
      <c r="AB562" s="559"/>
      <c r="AC562" s="559"/>
      <c r="AD562" s="559"/>
      <c r="AE562" s="559"/>
      <c r="AF562" s="559"/>
      <c r="AG562" s="559"/>
    </row>
    <row r="563" spans="1:33" ht="18" customHeight="1" x14ac:dyDescent="0.35">
      <c r="A563" s="559"/>
      <c r="B563" s="559"/>
      <c r="C563" s="559"/>
      <c r="D563" s="559"/>
      <c r="E563" s="559"/>
      <c r="F563" s="559"/>
      <c r="G563" s="559"/>
      <c r="H563" s="559"/>
      <c r="I563" s="559"/>
      <c r="J563" s="559"/>
      <c r="K563" s="559"/>
      <c r="L563" s="559"/>
      <c r="M563" s="559"/>
      <c r="N563" s="559"/>
      <c r="O563" s="559"/>
      <c r="P563" s="559"/>
      <c r="Q563" s="559"/>
      <c r="R563" s="559"/>
      <c r="S563" s="559"/>
      <c r="T563" s="559"/>
      <c r="U563" s="559"/>
      <c r="V563" s="559"/>
      <c r="W563" s="559"/>
      <c r="X563" s="559"/>
      <c r="Y563" s="559"/>
      <c r="Z563" s="559"/>
      <c r="AA563" s="559"/>
      <c r="AB563" s="559"/>
      <c r="AC563" s="559"/>
      <c r="AD563" s="559"/>
      <c r="AE563" s="559"/>
      <c r="AF563" s="559"/>
      <c r="AG563" s="559"/>
    </row>
    <row r="564" spans="1:33" ht="18" customHeight="1" x14ac:dyDescent="0.35">
      <c r="A564" s="559"/>
      <c r="B564" s="559"/>
      <c r="C564" s="559"/>
      <c r="D564" s="559"/>
      <c r="E564" s="559"/>
      <c r="F564" s="559"/>
      <c r="G564" s="559"/>
      <c r="H564" s="559"/>
      <c r="I564" s="559"/>
      <c r="J564" s="559"/>
      <c r="K564" s="559"/>
      <c r="L564" s="559"/>
      <c r="M564" s="559"/>
      <c r="N564" s="559"/>
      <c r="O564" s="559"/>
      <c r="P564" s="559"/>
      <c r="Q564" s="559"/>
      <c r="R564" s="559"/>
      <c r="S564" s="559"/>
      <c r="T564" s="559"/>
      <c r="U564" s="559"/>
      <c r="V564" s="559"/>
      <c r="W564" s="559"/>
      <c r="X564" s="559"/>
      <c r="Y564" s="559"/>
      <c r="Z564" s="559"/>
      <c r="AA564" s="559"/>
      <c r="AB564" s="559"/>
      <c r="AC564" s="559"/>
      <c r="AD564" s="559"/>
      <c r="AE564" s="559"/>
      <c r="AF564" s="559"/>
      <c r="AG564" s="559"/>
    </row>
    <row r="565" spans="1:33" ht="18" customHeight="1" x14ac:dyDescent="0.35">
      <c r="A565" s="559"/>
      <c r="B565" s="559"/>
      <c r="C565" s="559"/>
      <c r="D565" s="559"/>
      <c r="E565" s="559"/>
      <c r="F565" s="559"/>
      <c r="G565" s="559"/>
      <c r="H565" s="559"/>
      <c r="I565" s="559"/>
      <c r="J565" s="559"/>
      <c r="K565" s="559"/>
      <c r="L565" s="559"/>
      <c r="M565" s="559"/>
      <c r="N565" s="559"/>
      <c r="O565" s="559"/>
      <c r="P565" s="559"/>
      <c r="Q565" s="559"/>
      <c r="R565" s="559"/>
      <c r="S565" s="559"/>
      <c r="T565" s="559"/>
      <c r="U565" s="559"/>
      <c r="V565" s="559"/>
      <c r="W565" s="559"/>
      <c r="X565" s="559"/>
      <c r="Y565" s="559"/>
      <c r="Z565" s="559"/>
      <c r="AA565" s="559"/>
      <c r="AB565" s="559"/>
      <c r="AC565" s="559"/>
      <c r="AD565" s="559"/>
      <c r="AE565" s="559"/>
      <c r="AF565" s="559"/>
      <c r="AG565" s="559"/>
    </row>
    <row r="566" spans="1:33" ht="18" customHeight="1" x14ac:dyDescent="0.35">
      <c r="A566" s="559"/>
      <c r="B566" s="559"/>
      <c r="C566" s="559"/>
      <c r="D566" s="559"/>
      <c r="E566" s="559"/>
      <c r="F566" s="559"/>
      <c r="G566" s="559"/>
      <c r="H566" s="559"/>
      <c r="I566" s="559"/>
      <c r="J566" s="559"/>
      <c r="K566" s="559"/>
      <c r="L566" s="559"/>
      <c r="M566" s="559"/>
      <c r="N566" s="559"/>
      <c r="O566" s="559"/>
      <c r="P566" s="559"/>
      <c r="Q566" s="559"/>
      <c r="R566" s="559"/>
      <c r="S566" s="559"/>
      <c r="T566" s="559"/>
      <c r="U566" s="559"/>
      <c r="V566" s="559"/>
      <c r="W566" s="559"/>
      <c r="X566" s="559"/>
      <c r="Y566" s="559"/>
      <c r="Z566" s="559"/>
      <c r="AA566" s="559"/>
      <c r="AB566" s="559"/>
      <c r="AC566" s="559"/>
      <c r="AD566" s="559"/>
      <c r="AE566" s="559"/>
      <c r="AF566" s="559"/>
      <c r="AG566" s="559"/>
    </row>
    <row r="567" spans="1:33" ht="18" customHeight="1" x14ac:dyDescent="0.35">
      <c r="A567" s="559"/>
      <c r="B567" s="559"/>
      <c r="C567" s="559"/>
      <c r="D567" s="559"/>
      <c r="E567" s="559"/>
      <c r="F567" s="559"/>
      <c r="G567" s="559"/>
      <c r="H567" s="559"/>
      <c r="I567" s="559"/>
      <c r="J567" s="559"/>
      <c r="K567" s="559"/>
      <c r="L567" s="559"/>
      <c r="M567" s="559"/>
      <c r="N567" s="559"/>
      <c r="O567" s="559"/>
      <c r="P567" s="559"/>
      <c r="Q567" s="559"/>
      <c r="R567" s="559"/>
      <c r="S567" s="559"/>
      <c r="T567" s="559"/>
      <c r="U567" s="559"/>
      <c r="V567" s="559"/>
      <c r="W567" s="559"/>
      <c r="X567" s="559"/>
      <c r="Y567" s="559"/>
      <c r="Z567" s="559"/>
      <c r="AA567" s="559"/>
      <c r="AB567" s="559"/>
      <c r="AC567" s="559"/>
      <c r="AD567" s="559"/>
      <c r="AE567" s="559"/>
      <c r="AF567" s="559"/>
      <c r="AG567" s="559"/>
    </row>
    <row r="568" spans="1:33" ht="18" customHeight="1" x14ac:dyDescent="0.35">
      <c r="A568" s="559"/>
      <c r="B568" s="559"/>
      <c r="C568" s="559"/>
      <c r="D568" s="559"/>
      <c r="E568" s="559"/>
      <c r="F568" s="559"/>
      <c r="G568" s="559"/>
      <c r="H568" s="559"/>
      <c r="I568" s="559"/>
      <c r="J568" s="559"/>
      <c r="K568" s="559"/>
      <c r="L568" s="559"/>
      <c r="M568" s="559"/>
      <c r="N568" s="559"/>
      <c r="O568" s="559"/>
      <c r="P568" s="559"/>
      <c r="Q568" s="559"/>
      <c r="R568" s="559"/>
      <c r="S568" s="559"/>
      <c r="T568" s="559"/>
      <c r="U568" s="559"/>
      <c r="V568" s="559"/>
      <c r="W568" s="559"/>
      <c r="X568" s="559"/>
      <c r="Y568" s="559"/>
      <c r="Z568" s="559"/>
      <c r="AA568" s="559"/>
      <c r="AB568" s="559"/>
      <c r="AC568" s="559"/>
      <c r="AD568" s="559"/>
      <c r="AE568" s="559"/>
      <c r="AF568" s="559"/>
      <c r="AG568" s="559"/>
    </row>
    <row r="569" spans="1:33" ht="18" customHeight="1" x14ac:dyDescent="0.35">
      <c r="A569" s="559"/>
      <c r="B569" s="559"/>
      <c r="C569" s="559"/>
      <c r="D569" s="559"/>
      <c r="E569" s="559"/>
      <c r="F569" s="559"/>
      <c r="G569" s="559"/>
      <c r="H569" s="559"/>
      <c r="I569" s="559"/>
      <c r="J569" s="559"/>
      <c r="K569" s="559"/>
      <c r="L569" s="559"/>
      <c r="M569" s="559"/>
      <c r="N569" s="559"/>
      <c r="O569" s="559"/>
      <c r="P569" s="559"/>
      <c r="Q569" s="559"/>
      <c r="R569" s="559"/>
      <c r="S569" s="559"/>
      <c r="T569" s="559"/>
      <c r="U569" s="559"/>
      <c r="V569" s="559"/>
      <c r="W569" s="559"/>
      <c r="X569" s="559"/>
      <c r="Y569" s="559"/>
      <c r="Z569" s="559"/>
      <c r="AA569" s="559"/>
      <c r="AB569" s="559"/>
      <c r="AC569" s="559"/>
      <c r="AD569" s="559"/>
      <c r="AE569" s="559"/>
      <c r="AF569" s="559"/>
      <c r="AG569" s="559"/>
    </row>
    <row r="570" spans="1:33" ht="18" customHeight="1" x14ac:dyDescent="0.35">
      <c r="A570" s="559"/>
      <c r="B570" s="559"/>
      <c r="C570" s="559"/>
      <c r="D570" s="559"/>
      <c r="E570" s="559"/>
      <c r="F570" s="559"/>
      <c r="G570" s="559"/>
      <c r="H570" s="559"/>
      <c r="I570" s="559"/>
      <c r="J570" s="559"/>
      <c r="K570" s="559"/>
      <c r="L570" s="559"/>
      <c r="M570" s="559"/>
      <c r="N570" s="559"/>
      <c r="O570" s="559"/>
      <c r="P570" s="559"/>
      <c r="Q570" s="559"/>
      <c r="R570" s="559"/>
      <c r="S570" s="559"/>
      <c r="T570" s="559"/>
      <c r="U570" s="559"/>
      <c r="V570" s="559"/>
      <c r="W570" s="559"/>
      <c r="X570" s="559"/>
      <c r="Y570" s="559"/>
      <c r="Z570" s="559"/>
      <c r="AA570" s="559"/>
      <c r="AB570" s="559"/>
      <c r="AC570" s="559"/>
      <c r="AD570" s="559"/>
      <c r="AE570" s="559"/>
      <c r="AF570" s="559"/>
      <c r="AG570" s="559"/>
    </row>
    <row r="571" spans="1:33" ht="18" customHeight="1" x14ac:dyDescent="0.35">
      <c r="A571" s="559"/>
      <c r="B571" s="559"/>
      <c r="C571" s="559"/>
      <c r="D571" s="559"/>
      <c r="E571" s="559"/>
      <c r="F571" s="559"/>
      <c r="G571" s="559"/>
      <c r="H571" s="559"/>
      <c r="I571" s="559"/>
      <c r="J571" s="559"/>
      <c r="K571" s="559"/>
      <c r="L571" s="559"/>
      <c r="M571" s="559"/>
      <c r="N571" s="559"/>
      <c r="O571" s="559"/>
      <c r="P571" s="559"/>
      <c r="Q571" s="559"/>
      <c r="R571" s="559"/>
      <c r="S571" s="559"/>
      <c r="T571" s="559"/>
      <c r="U571" s="559"/>
      <c r="V571" s="559"/>
      <c r="W571" s="559"/>
      <c r="X571" s="559"/>
      <c r="Y571" s="559"/>
      <c r="Z571" s="559"/>
      <c r="AA571" s="559"/>
      <c r="AB571" s="559"/>
      <c r="AC571" s="559"/>
      <c r="AD571" s="559"/>
      <c r="AE571" s="559"/>
      <c r="AF571" s="559"/>
      <c r="AG571" s="559"/>
    </row>
    <row r="572" spans="1:33" ht="18" customHeight="1" x14ac:dyDescent="0.35">
      <c r="A572" s="559"/>
      <c r="B572" s="559"/>
      <c r="C572" s="559"/>
      <c r="D572" s="559"/>
      <c r="E572" s="559"/>
      <c r="F572" s="559"/>
      <c r="G572" s="559"/>
      <c r="H572" s="559"/>
      <c r="I572" s="559"/>
      <c r="J572" s="559"/>
      <c r="K572" s="559"/>
      <c r="L572" s="559"/>
      <c r="M572" s="559"/>
      <c r="N572" s="559"/>
      <c r="O572" s="559"/>
      <c r="P572" s="559"/>
      <c r="Q572" s="559"/>
      <c r="R572" s="559"/>
      <c r="S572" s="559"/>
      <c r="T572" s="559"/>
      <c r="U572" s="559"/>
      <c r="V572" s="559"/>
      <c r="W572" s="559"/>
      <c r="X572" s="559"/>
      <c r="Y572" s="559"/>
      <c r="Z572" s="559"/>
      <c r="AA572" s="559"/>
      <c r="AB572" s="559"/>
      <c r="AC572" s="559"/>
      <c r="AD572" s="559"/>
      <c r="AE572" s="559"/>
      <c r="AF572" s="559"/>
      <c r="AG572" s="559"/>
    </row>
    <row r="573" spans="1:33" ht="18" customHeight="1" x14ac:dyDescent="0.35">
      <c r="A573" s="559"/>
      <c r="B573" s="559"/>
      <c r="C573" s="559"/>
      <c r="D573" s="559"/>
      <c r="E573" s="559"/>
      <c r="F573" s="559"/>
      <c r="G573" s="559"/>
      <c r="H573" s="559"/>
      <c r="I573" s="559"/>
      <c r="J573" s="559"/>
      <c r="K573" s="559"/>
      <c r="L573" s="559"/>
      <c r="M573" s="559"/>
      <c r="N573" s="559"/>
      <c r="O573" s="559"/>
      <c r="P573" s="559"/>
      <c r="Q573" s="559"/>
      <c r="R573" s="559"/>
      <c r="S573" s="559"/>
      <c r="T573" s="559"/>
      <c r="U573" s="559"/>
      <c r="V573" s="559"/>
      <c r="W573" s="559"/>
      <c r="X573" s="559"/>
      <c r="Y573" s="559"/>
      <c r="Z573" s="559"/>
      <c r="AA573" s="559"/>
      <c r="AB573" s="559"/>
      <c r="AC573" s="559"/>
      <c r="AD573" s="559"/>
      <c r="AE573" s="559"/>
      <c r="AF573" s="559"/>
      <c r="AG573" s="559"/>
    </row>
    <row r="574" spans="1:33" ht="18" customHeight="1" x14ac:dyDescent="0.35">
      <c r="A574" s="559"/>
      <c r="B574" s="559"/>
      <c r="C574" s="559"/>
      <c r="D574" s="559"/>
      <c r="E574" s="559"/>
      <c r="F574" s="559"/>
      <c r="G574" s="559"/>
      <c r="H574" s="559"/>
      <c r="I574" s="559"/>
      <c r="J574" s="559"/>
      <c r="K574" s="559"/>
      <c r="L574" s="559"/>
      <c r="M574" s="559"/>
      <c r="N574" s="559"/>
      <c r="O574" s="559"/>
      <c r="P574" s="559"/>
      <c r="Q574" s="559"/>
      <c r="R574" s="559"/>
      <c r="S574" s="559"/>
      <c r="T574" s="559"/>
      <c r="U574" s="559"/>
      <c r="V574" s="559"/>
      <c r="W574" s="559"/>
      <c r="X574" s="559"/>
      <c r="Y574" s="559"/>
      <c r="Z574" s="559"/>
      <c r="AA574" s="559"/>
      <c r="AB574" s="559"/>
      <c r="AC574" s="559"/>
      <c r="AD574" s="559"/>
      <c r="AE574" s="559"/>
      <c r="AF574" s="559"/>
      <c r="AG574" s="559"/>
    </row>
    <row r="575" spans="1:33" ht="18" customHeight="1" x14ac:dyDescent="0.35">
      <c r="A575" s="559"/>
      <c r="B575" s="559"/>
      <c r="C575" s="559"/>
      <c r="D575" s="559"/>
      <c r="E575" s="559"/>
      <c r="F575" s="559"/>
      <c r="G575" s="559"/>
      <c r="H575" s="559"/>
      <c r="I575" s="559"/>
      <c r="J575" s="559"/>
      <c r="K575" s="559"/>
      <c r="L575" s="559"/>
      <c r="M575" s="559"/>
      <c r="N575" s="559"/>
      <c r="O575" s="559"/>
      <c r="P575" s="559"/>
      <c r="Q575" s="559"/>
      <c r="R575" s="559"/>
      <c r="S575" s="559"/>
      <c r="T575" s="559"/>
      <c r="U575" s="559"/>
      <c r="V575" s="559"/>
      <c r="W575" s="559"/>
      <c r="X575" s="559"/>
      <c r="Y575" s="559"/>
      <c r="Z575" s="559"/>
      <c r="AA575" s="559"/>
      <c r="AB575" s="559"/>
      <c r="AC575" s="559"/>
      <c r="AD575" s="559"/>
      <c r="AE575" s="559"/>
      <c r="AF575" s="559"/>
      <c r="AG575" s="559"/>
    </row>
    <row r="576" spans="1:33" ht="18" customHeight="1" x14ac:dyDescent="0.35">
      <c r="A576" s="559"/>
      <c r="B576" s="559"/>
      <c r="C576" s="559"/>
      <c r="D576" s="559"/>
      <c r="E576" s="559"/>
      <c r="F576" s="559"/>
      <c r="G576" s="559"/>
      <c r="H576" s="559"/>
      <c r="I576" s="559"/>
      <c r="J576" s="559"/>
      <c r="K576" s="559"/>
      <c r="L576" s="559"/>
      <c r="M576" s="559"/>
      <c r="N576" s="559"/>
      <c r="O576" s="559"/>
      <c r="P576" s="559"/>
      <c r="Q576" s="559"/>
      <c r="R576" s="559"/>
      <c r="S576" s="559"/>
      <c r="T576" s="559"/>
      <c r="U576" s="559"/>
      <c r="V576" s="559"/>
      <c r="W576" s="559"/>
      <c r="X576" s="559"/>
      <c r="Y576" s="559"/>
      <c r="Z576" s="559"/>
      <c r="AA576" s="559"/>
      <c r="AB576" s="559"/>
      <c r="AC576" s="559"/>
      <c r="AD576" s="559"/>
      <c r="AE576" s="559"/>
      <c r="AF576" s="559"/>
      <c r="AG576" s="559"/>
    </row>
    <row r="577" spans="1:33" ht="18" customHeight="1" x14ac:dyDescent="0.35">
      <c r="A577" s="559"/>
      <c r="B577" s="559"/>
      <c r="C577" s="559"/>
      <c r="D577" s="559"/>
      <c r="E577" s="559"/>
      <c r="F577" s="559"/>
      <c r="G577" s="559"/>
      <c r="H577" s="559"/>
      <c r="I577" s="559"/>
      <c r="J577" s="559"/>
      <c r="K577" s="559"/>
      <c r="L577" s="559"/>
      <c r="M577" s="559"/>
      <c r="N577" s="559"/>
      <c r="O577" s="559"/>
      <c r="P577" s="559"/>
      <c r="Q577" s="559"/>
      <c r="R577" s="559"/>
      <c r="S577" s="559"/>
      <c r="T577" s="559"/>
      <c r="U577" s="559"/>
      <c r="V577" s="559"/>
      <c r="W577" s="559"/>
      <c r="X577" s="559"/>
      <c r="Y577" s="559"/>
      <c r="Z577" s="559"/>
      <c r="AA577" s="559"/>
      <c r="AB577" s="559"/>
      <c r="AC577" s="559"/>
      <c r="AD577" s="559"/>
      <c r="AE577" s="559"/>
      <c r="AF577" s="559"/>
      <c r="AG577" s="559"/>
    </row>
    <row r="578" spans="1:33" ht="18" customHeight="1" x14ac:dyDescent="0.35">
      <c r="A578" s="559"/>
      <c r="B578" s="559"/>
      <c r="C578" s="559"/>
      <c r="D578" s="559"/>
      <c r="E578" s="559"/>
      <c r="F578" s="559"/>
      <c r="G578" s="559"/>
      <c r="H578" s="559"/>
      <c r="I578" s="559"/>
      <c r="J578" s="559"/>
      <c r="K578" s="559"/>
      <c r="L578" s="559"/>
      <c r="M578" s="559"/>
      <c r="N578" s="559"/>
      <c r="O578" s="559"/>
      <c r="P578" s="559"/>
      <c r="Q578" s="559"/>
      <c r="R578" s="559"/>
      <c r="S578" s="559"/>
      <c r="T578" s="559"/>
      <c r="U578" s="559"/>
      <c r="V578" s="559"/>
      <c r="W578" s="559"/>
      <c r="X578" s="559"/>
      <c r="Y578" s="559"/>
      <c r="Z578" s="559"/>
      <c r="AA578" s="559"/>
      <c r="AB578" s="559"/>
      <c r="AC578" s="559"/>
      <c r="AD578" s="559"/>
      <c r="AE578" s="559"/>
      <c r="AF578" s="559"/>
      <c r="AG578" s="559"/>
    </row>
    <row r="579" spans="1:33" ht="18" customHeight="1" x14ac:dyDescent="0.35">
      <c r="A579" s="559"/>
      <c r="B579" s="559"/>
      <c r="C579" s="559"/>
      <c r="D579" s="559"/>
      <c r="E579" s="559"/>
      <c r="F579" s="559"/>
      <c r="G579" s="559"/>
      <c r="H579" s="559"/>
      <c r="I579" s="559"/>
      <c r="J579" s="559"/>
      <c r="K579" s="559"/>
      <c r="L579" s="559"/>
      <c r="M579" s="559"/>
      <c r="N579" s="559"/>
      <c r="O579" s="559"/>
      <c r="P579" s="559"/>
      <c r="Q579" s="559"/>
      <c r="R579" s="559"/>
      <c r="S579" s="559"/>
      <c r="T579" s="559"/>
      <c r="U579" s="559"/>
      <c r="V579" s="559"/>
      <c r="W579" s="559"/>
      <c r="X579" s="559"/>
      <c r="Y579" s="559"/>
      <c r="Z579" s="559"/>
      <c r="AA579" s="559"/>
      <c r="AB579" s="559"/>
      <c r="AC579" s="559"/>
      <c r="AD579" s="559"/>
      <c r="AE579" s="559"/>
      <c r="AF579" s="559"/>
      <c r="AG579" s="559"/>
    </row>
    <row r="580" spans="1:33" ht="18" customHeight="1" x14ac:dyDescent="0.35">
      <c r="A580" s="559"/>
      <c r="B580" s="559"/>
      <c r="C580" s="559"/>
      <c r="D580" s="559"/>
      <c r="E580" s="559"/>
      <c r="F580" s="559"/>
      <c r="G580" s="559"/>
      <c r="H580" s="559"/>
      <c r="I580" s="559"/>
      <c r="J580" s="559"/>
      <c r="K580" s="559"/>
      <c r="L580" s="559"/>
      <c r="M580" s="559"/>
      <c r="N580" s="559"/>
      <c r="O580" s="559"/>
      <c r="P580" s="559"/>
      <c r="Q580" s="559"/>
      <c r="R580" s="559"/>
      <c r="S580" s="559"/>
      <c r="T580" s="559"/>
      <c r="U580" s="559"/>
      <c r="V580" s="559"/>
      <c r="W580" s="559"/>
      <c r="X580" s="559"/>
      <c r="Y580" s="559"/>
      <c r="Z580" s="559"/>
      <c r="AA580" s="559"/>
      <c r="AB580" s="559"/>
      <c r="AC580" s="559"/>
      <c r="AD580" s="559"/>
      <c r="AE580" s="559"/>
      <c r="AF580" s="559"/>
      <c r="AG580" s="559"/>
    </row>
    <row r="581" spans="1:33" ht="18" customHeight="1" x14ac:dyDescent="0.35">
      <c r="A581" s="559"/>
      <c r="B581" s="559"/>
      <c r="C581" s="559"/>
      <c r="D581" s="559"/>
      <c r="E581" s="559"/>
      <c r="F581" s="559"/>
      <c r="G581" s="559"/>
      <c r="H581" s="559"/>
      <c r="I581" s="559"/>
      <c r="J581" s="559"/>
      <c r="K581" s="559"/>
      <c r="L581" s="559"/>
      <c r="M581" s="559"/>
      <c r="N581" s="559"/>
      <c r="O581" s="559"/>
      <c r="P581" s="559"/>
      <c r="Q581" s="559"/>
      <c r="R581" s="559"/>
      <c r="S581" s="559"/>
      <c r="T581" s="559"/>
      <c r="U581" s="559"/>
      <c r="V581" s="559"/>
      <c r="W581" s="559"/>
      <c r="X581" s="559"/>
      <c r="Y581" s="559"/>
      <c r="Z581" s="559"/>
      <c r="AA581" s="559"/>
      <c r="AB581" s="559"/>
      <c r="AC581" s="559"/>
      <c r="AD581" s="559"/>
      <c r="AE581" s="559"/>
      <c r="AF581" s="559"/>
      <c r="AG581" s="559"/>
    </row>
    <row r="582" spans="1:33" ht="18" customHeight="1" x14ac:dyDescent="0.35">
      <c r="A582" s="559"/>
      <c r="B582" s="559"/>
      <c r="C582" s="559"/>
      <c r="D582" s="559"/>
      <c r="E582" s="559"/>
      <c r="F582" s="559"/>
      <c r="G582" s="559"/>
      <c r="H582" s="559"/>
      <c r="I582" s="559"/>
      <c r="J582" s="559"/>
      <c r="K582" s="559"/>
      <c r="L582" s="559"/>
      <c r="M582" s="559"/>
      <c r="N582" s="559"/>
      <c r="O582" s="559"/>
      <c r="P582" s="559"/>
      <c r="Q582" s="559"/>
      <c r="R582" s="559"/>
      <c r="S582" s="559"/>
      <c r="T582" s="559"/>
      <c r="U582" s="559"/>
      <c r="V582" s="559"/>
      <c r="W582" s="559"/>
      <c r="X582" s="559"/>
      <c r="Y582" s="559"/>
      <c r="Z582" s="559"/>
      <c r="AA582" s="559"/>
      <c r="AB582" s="559"/>
      <c r="AC582" s="559"/>
      <c r="AD582" s="559"/>
      <c r="AE582" s="559"/>
      <c r="AF582" s="559"/>
      <c r="AG582" s="559"/>
    </row>
    <row r="583" spans="1:33" ht="18" customHeight="1" x14ac:dyDescent="0.35">
      <c r="A583" s="559"/>
      <c r="B583" s="559"/>
      <c r="C583" s="559"/>
      <c r="D583" s="559"/>
      <c r="E583" s="559"/>
      <c r="F583" s="559"/>
      <c r="G583" s="559"/>
      <c r="H583" s="559"/>
      <c r="I583" s="559"/>
      <c r="J583" s="559"/>
      <c r="K583" s="559"/>
      <c r="L583" s="559"/>
      <c r="M583" s="559"/>
      <c r="N583" s="559"/>
      <c r="O583" s="559"/>
      <c r="P583" s="559"/>
      <c r="Q583" s="559"/>
      <c r="R583" s="559"/>
      <c r="S583" s="559"/>
      <c r="T583" s="559"/>
      <c r="U583" s="559"/>
      <c r="V583" s="559"/>
      <c r="W583" s="559"/>
      <c r="X583" s="559"/>
      <c r="Y583" s="559"/>
      <c r="Z583" s="559"/>
      <c r="AA583" s="559"/>
      <c r="AB583" s="559"/>
      <c r="AC583" s="559"/>
      <c r="AD583" s="559"/>
      <c r="AE583" s="559"/>
      <c r="AF583" s="559"/>
      <c r="AG583" s="559"/>
    </row>
    <row r="584" spans="1:33" ht="18" customHeight="1" x14ac:dyDescent="0.35">
      <c r="A584" s="559"/>
      <c r="B584" s="559"/>
      <c r="C584" s="559"/>
      <c r="D584" s="559"/>
      <c r="E584" s="559"/>
      <c r="F584" s="559"/>
      <c r="G584" s="559"/>
      <c r="H584" s="559"/>
      <c r="I584" s="559"/>
      <c r="J584" s="559"/>
      <c r="K584" s="559"/>
      <c r="L584" s="559"/>
      <c r="M584" s="559"/>
      <c r="N584" s="559"/>
      <c r="O584" s="559"/>
      <c r="P584" s="559"/>
      <c r="Q584" s="559"/>
      <c r="R584" s="559"/>
      <c r="S584" s="559"/>
      <c r="T584" s="559"/>
      <c r="U584" s="559"/>
      <c r="V584" s="559"/>
      <c r="W584" s="559"/>
      <c r="X584" s="559"/>
      <c r="Y584" s="559"/>
      <c r="Z584" s="559"/>
      <c r="AA584" s="559"/>
      <c r="AB584" s="559"/>
      <c r="AC584" s="559"/>
      <c r="AD584" s="559"/>
      <c r="AE584" s="559"/>
      <c r="AF584" s="559"/>
      <c r="AG584" s="559"/>
    </row>
    <row r="585" spans="1:33" ht="18" customHeight="1" x14ac:dyDescent="0.35">
      <c r="A585" s="559"/>
      <c r="B585" s="559"/>
      <c r="C585" s="559"/>
      <c r="D585" s="559"/>
      <c r="E585" s="559"/>
      <c r="F585" s="559"/>
      <c r="G585" s="559"/>
      <c r="H585" s="559"/>
      <c r="I585" s="559"/>
      <c r="J585" s="559"/>
      <c r="K585" s="559"/>
      <c r="L585" s="559"/>
      <c r="M585" s="559"/>
      <c r="N585" s="559"/>
      <c r="O585" s="559"/>
      <c r="P585" s="559"/>
      <c r="Q585" s="559"/>
      <c r="R585" s="559"/>
      <c r="S585" s="559"/>
      <c r="T585" s="559"/>
      <c r="U585" s="559"/>
      <c r="V585" s="559"/>
      <c r="W585" s="559"/>
      <c r="X585" s="559"/>
      <c r="Y585" s="559"/>
      <c r="Z585" s="559"/>
      <c r="AA585" s="559"/>
      <c r="AB585" s="559"/>
      <c r="AC585" s="559"/>
      <c r="AD585" s="559"/>
      <c r="AE585" s="559"/>
      <c r="AF585" s="559"/>
      <c r="AG585" s="559"/>
    </row>
    <row r="586" spans="1:33" ht="18" customHeight="1" x14ac:dyDescent="0.35">
      <c r="A586" s="559"/>
      <c r="B586" s="559"/>
      <c r="C586" s="559"/>
      <c r="D586" s="559"/>
      <c r="E586" s="559"/>
      <c r="F586" s="559"/>
      <c r="G586" s="559"/>
      <c r="H586" s="559"/>
      <c r="I586" s="559"/>
      <c r="J586" s="559"/>
      <c r="K586" s="559"/>
      <c r="L586" s="559"/>
      <c r="M586" s="559"/>
      <c r="N586" s="559"/>
      <c r="O586" s="559"/>
      <c r="P586" s="559"/>
      <c r="Q586" s="559"/>
      <c r="R586" s="559"/>
      <c r="S586" s="559"/>
      <c r="T586" s="559"/>
      <c r="U586" s="559"/>
      <c r="V586" s="559"/>
      <c r="W586" s="559"/>
      <c r="X586" s="559"/>
      <c r="Y586" s="559"/>
      <c r="Z586" s="559"/>
      <c r="AA586" s="559"/>
      <c r="AB586" s="559"/>
      <c r="AC586" s="559"/>
      <c r="AD586" s="559"/>
      <c r="AE586" s="559"/>
      <c r="AF586" s="559"/>
      <c r="AG586" s="559"/>
    </row>
    <row r="587" spans="1:33" ht="18" customHeight="1" x14ac:dyDescent="0.35">
      <c r="A587" s="559"/>
      <c r="B587" s="559"/>
      <c r="C587" s="559"/>
      <c r="D587" s="559"/>
      <c r="E587" s="559"/>
      <c r="F587" s="559"/>
      <c r="G587" s="559"/>
      <c r="H587" s="559"/>
      <c r="I587" s="559"/>
      <c r="J587" s="559"/>
      <c r="K587" s="559"/>
      <c r="L587" s="559"/>
      <c r="M587" s="559"/>
      <c r="N587" s="559"/>
      <c r="O587" s="559"/>
      <c r="P587" s="559"/>
      <c r="Q587" s="559"/>
      <c r="R587" s="559"/>
      <c r="S587" s="559"/>
      <c r="T587" s="559"/>
      <c r="U587" s="559"/>
      <c r="V587" s="559"/>
      <c r="W587" s="559"/>
      <c r="X587" s="559"/>
      <c r="Y587" s="559"/>
      <c r="Z587" s="559"/>
      <c r="AA587" s="559"/>
      <c r="AB587" s="559"/>
      <c r="AC587" s="559"/>
      <c r="AD587" s="559"/>
      <c r="AE587" s="559"/>
      <c r="AF587" s="559"/>
      <c r="AG587" s="559"/>
    </row>
    <row r="588" spans="1:33" ht="18" customHeight="1" x14ac:dyDescent="0.35">
      <c r="A588" s="559"/>
      <c r="B588" s="559"/>
      <c r="C588" s="559"/>
      <c r="D588" s="559"/>
      <c r="E588" s="559"/>
      <c r="F588" s="559"/>
      <c r="G588" s="559"/>
      <c r="H588" s="559"/>
      <c r="I588" s="559"/>
      <c r="J588" s="559"/>
      <c r="K588" s="559"/>
      <c r="L588" s="559"/>
      <c r="M588" s="559"/>
      <c r="N588" s="559"/>
      <c r="O588" s="559"/>
      <c r="P588" s="559"/>
      <c r="Q588" s="559"/>
      <c r="R588" s="559"/>
      <c r="S588" s="559"/>
      <c r="T588" s="559"/>
      <c r="U588" s="559"/>
      <c r="V588" s="559"/>
      <c r="W588" s="559"/>
      <c r="X588" s="559"/>
      <c r="Y588" s="559"/>
      <c r="Z588" s="559"/>
      <c r="AA588" s="559"/>
      <c r="AB588" s="559"/>
      <c r="AC588" s="559"/>
      <c r="AD588" s="559"/>
      <c r="AE588" s="559"/>
      <c r="AF588" s="559"/>
      <c r="AG588" s="559"/>
    </row>
    <row r="589" spans="1:33" ht="18" customHeight="1" x14ac:dyDescent="0.35">
      <c r="A589" s="559"/>
      <c r="B589" s="559"/>
      <c r="C589" s="559"/>
      <c r="D589" s="559"/>
      <c r="E589" s="559"/>
      <c r="F589" s="559"/>
      <c r="G589" s="559"/>
      <c r="H589" s="559"/>
      <c r="I589" s="559"/>
      <c r="J589" s="559"/>
      <c r="K589" s="559"/>
      <c r="L589" s="559"/>
      <c r="M589" s="559"/>
      <c r="N589" s="559"/>
      <c r="O589" s="559"/>
      <c r="P589" s="559"/>
      <c r="Q589" s="559"/>
      <c r="R589" s="559"/>
      <c r="S589" s="559"/>
      <c r="T589" s="559"/>
      <c r="U589" s="559"/>
      <c r="V589" s="559"/>
      <c r="W589" s="559"/>
      <c r="X589" s="559"/>
      <c r="Y589" s="559"/>
      <c r="Z589" s="559"/>
      <c r="AA589" s="559"/>
      <c r="AB589" s="559"/>
      <c r="AC589" s="559"/>
      <c r="AD589" s="559"/>
      <c r="AE589" s="559"/>
      <c r="AF589" s="559"/>
      <c r="AG589" s="559"/>
    </row>
    <row r="590" spans="1:33" ht="18" customHeight="1" x14ac:dyDescent="0.35">
      <c r="A590" s="559"/>
      <c r="B590" s="559"/>
      <c r="C590" s="559"/>
      <c r="D590" s="559"/>
      <c r="E590" s="559"/>
      <c r="F590" s="559"/>
      <c r="G590" s="559"/>
      <c r="H590" s="559"/>
      <c r="I590" s="559"/>
      <c r="J590" s="559"/>
      <c r="K590" s="559"/>
      <c r="L590" s="559"/>
      <c r="M590" s="559"/>
      <c r="N590" s="559"/>
      <c r="O590" s="559"/>
      <c r="P590" s="559"/>
      <c r="Q590" s="559"/>
      <c r="R590" s="559"/>
      <c r="S590" s="559"/>
      <c r="T590" s="559"/>
      <c r="U590" s="559"/>
      <c r="V590" s="559"/>
      <c r="W590" s="559"/>
      <c r="X590" s="559"/>
      <c r="Y590" s="559"/>
      <c r="Z590" s="559"/>
      <c r="AA590" s="559"/>
      <c r="AB590" s="559"/>
      <c r="AC590" s="559"/>
      <c r="AD590" s="559"/>
      <c r="AE590" s="559"/>
      <c r="AF590" s="559"/>
      <c r="AG590" s="559"/>
    </row>
    <row r="591" spans="1:33" ht="18" customHeight="1" x14ac:dyDescent="0.35">
      <c r="A591" s="559"/>
      <c r="B591" s="559"/>
      <c r="C591" s="559"/>
      <c r="D591" s="559"/>
      <c r="E591" s="559"/>
      <c r="F591" s="559"/>
      <c r="G591" s="559"/>
      <c r="H591" s="559"/>
      <c r="I591" s="559"/>
      <c r="J591" s="559"/>
      <c r="K591" s="559"/>
      <c r="L591" s="559"/>
      <c r="M591" s="559"/>
      <c r="N591" s="559"/>
      <c r="O591" s="559"/>
      <c r="P591" s="559"/>
      <c r="Q591" s="559"/>
      <c r="R591" s="559"/>
      <c r="S591" s="559"/>
      <c r="T591" s="559"/>
      <c r="U591" s="559"/>
      <c r="V591" s="559"/>
      <c r="W591" s="559"/>
      <c r="X591" s="559"/>
      <c r="Y591" s="559"/>
      <c r="Z591" s="559"/>
      <c r="AA591" s="559"/>
      <c r="AB591" s="559"/>
      <c r="AC591" s="559"/>
      <c r="AD591" s="559"/>
      <c r="AE591" s="559"/>
      <c r="AF591" s="559"/>
      <c r="AG591" s="559"/>
    </row>
    <row r="592" spans="1:33" ht="18" customHeight="1" x14ac:dyDescent="0.35">
      <c r="A592" s="559"/>
      <c r="B592" s="559"/>
      <c r="C592" s="559"/>
      <c r="D592" s="559"/>
      <c r="E592" s="559"/>
      <c r="F592" s="559"/>
      <c r="G592" s="559"/>
      <c r="H592" s="559"/>
      <c r="I592" s="559"/>
      <c r="J592" s="559"/>
      <c r="K592" s="559"/>
      <c r="L592" s="559"/>
      <c r="M592" s="559"/>
      <c r="N592" s="559"/>
      <c r="O592" s="559"/>
      <c r="P592" s="559"/>
      <c r="Q592" s="559"/>
      <c r="R592" s="559"/>
      <c r="S592" s="559"/>
      <c r="T592" s="559"/>
      <c r="U592" s="559"/>
      <c r="V592" s="559"/>
      <c r="W592" s="559"/>
      <c r="X592" s="559"/>
      <c r="Y592" s="559"/>
      <c r="Z592" s="559"/>
      <c r="AA592" s="559"/>
      <c r="AB592" s="559"/>
      <c r="AC592" s="559"/>
      <c r="AD592" s="559"/>
      <c r="AE592" s="559"/>
      <c r="AF592" s="559"/>
      <c r="AG592" s="559"/>
    </row>
    <row r="593" spans="1:33" ht="18" customHeight="1" x14ac:dyDescent="0.35">
      <c r="A593" s="559"/>
      <c r="B593" s="559"/>
      <c r="C593" s="559"/>
      <c r="D593" s="559"/>
      <c r="E593" s="559"/>
      <c r="F593" s="559"/>
      <c r="G593" s="559"/>
      <c r="H593" s="559"/>
      <c r="I593" s="559"/>
      <c r="J593" s="559"/>
      <c r="K593" s="559"/>
      <c r="L593" s="559"/>
      <c r="M593" s="559"/>
      <c r="N593" s="559"/>
      <c r="O593" s="559"/>
      <c r="P593" s="559"/>
      <c r="Q593" s="559"/>
      <c r="R593" s="559"/>
      <c r="S593" s="559"/>
      <c r="T593" s="559"/>
      <c r="U593" s="559"/>
      <c r="V593" s="559"/>
      <c r="W593" s="559"/>
      <c r="X593" s="559"/>
      <c r="Y593" s="559"/>
      <c r="Z593" s="559"/>
      <c r="AA593" s="559"/>
      <c r="AB593" s="559"/>
      <c r="AC593" s="559"/>
      <c r="AD593" s="559"/>
      <c r="AE593" s="559"/>
      <c r="AF593" s="559"/>
      <c r="AG593" s="559"/>
    </row>
    <row r="594" spans="1:33" ht="18" customHeight="1" x14ac:dyDescent="0.35">
      <c r="A594" s="559"/>
      <c r="B594" s="559"/>
      <c r="C594" s="559"/>
      <c r="D594" s="559"/>
      <c r="E594" s="559"/>
      <c r="F594" s="559"/>
      <c r="G594" s="559"/>
      <c r="H594" s="559"/>
      <c r="I594" s="559"/>
      <c r="J594" s="559"/>
      <c r="K594" s="559"/>
      <c r="L594" s="559"/>
      <c r="M594" s="559"/>
      <c r="N594" s="559"/>
      <c r="O594" s="559"/>
      <c r="P594" s="559"/>
      <c r="Q594" s="559"/>
      <c r="R594" s="559"/>
      <c r="S594" s="559"/>
      <c r="T594" s="559"/>
      <c r="U594" s="559"/>
      <c r="V594" s="559"/>
      <c r="W594" s="559"/>
      <c r="X594" s="559"/>
      <c r="Y594" s="559"/>
      <c r="Z594" s="559"/>
      <c r="AA594" s="559"/>
      <c r="AB594" s="559"/>
      <c r="AC594" s="559"/>
      <c r="AD594" s="559"/>
      <c r="AE594" s="559"/>
      <c r="AF594" s="559"/>
      <c r="AG594" s="559"/>
    </row>
    <row r="595" spans="1:33" ht="18" customHeight="1" x14ac:dyDescent="0.35">
      <c r="A595" s="559"/>
      <c r="B595" s="559"/>
      <c r="C595" s="559"/>
      <c r="D595" s="559"/>
      <c r="E595" s="559"/>
      <c r="F595" s="559"/>
      <c r="G595" s="559"/>
      <c r="H595" s="559"/>
      <c r="I595" s="559"/>
      <c r="J595" s="559"/>
      <c r="K595" s="559"/>
      <c r="L595" s="559"/>
      <c r="M595" s="559"/>
      <c r="N595" s="559"/>
      <c r="O595" s="559"/>
      <c r="P595" s="559"/>
      <c r="Q595" s="559"/>
      <c r="R595" s="559"/>
      <c r="S595" s="559"/>
      <c r="T595" s="559"/>
      <c r="U595" s="559"/>
      <c r="V595" s="559"/>
      <c r="W595" s="559"/>
      <c r="X595" s="559"/>
      <c r="Y595" s="559"/>
      <c r="Z595" s="559"/>
      <c r="AA595" s="559"/>
      <c r="AB595" s="559"/>
      <c r="AC595" s="559"/>
      <c r="AD595" s="559"/>
      <c r="AE595" s="559"/>
      <c r="AF595" s="559"/>
      <c r="AG595" s="559"/>
    </row>
    <row r="596" spans="1:33" ht="18" customHeight="1" x14ac:dyDescent="0.35">
      <c r="A596" s="559"/>
      <c r="B596" s="559"/>
      <c r="C596" s="559"/>
      <c r="D596" s="559"/>
      <c r="E596" s="559"/>
      <c r="F596" s="559"/>
      <c r="G596" s="559"/>
      <c r="H596" s="559"/>
      <c r="I596" s="559"/>
      <c r="J596" s="559"/>
      <c r="K596" s="559"/>
      <c r="L596" s="559"/>
      <c r="M596" s="559"/>
      <c r="N596" s="559"/>
      <c r="O596" s="559"/>
      <c r="P596" s="559"/>
      <c r="Q596" s="559"/>
      <c r="R596" s="559"/>
      <c r="S596" s="559"/>
      <c r="T596" s="559"/>
      <c r="U596" s="559"/>
      <c r="V596" s="559"/>
      <c r="W596" s="559"/>
      <c r="X596" s="559"/>
      <c r="Y596" s="559"/>
      <c r="Z596" s="559"/>
      <c r="AA596" s="559"/>
      <c r="AB596" s="559"/>
      <c r="AC596" s="559"/>
      <c r="AD596" s="559"/>
      <c r="AE596" s="559"/>
      <c r="AF596" s="559"/>
      <c r="AG596" s="559"/>
    </row>
    <row r="597" spans="1:33" ht="18" customHeight="1" x14ac:dyDescent="0.35">
      <c r="A597" s="559"/>
      <c r="B597" s="559"/>
      <c r="C597" s="559"/>
      <c r="D597" s="559"/>
      <c r="E597" s="559"/>
      <c r="F597" s="559"/>
      <c r="G597" s="559"/>
      <c r="H597" s="559"/>
      <c r="I597" s="559"/>
      <c r="J597" s="559"/>
      <c r="K597" s="559"/>
      <c r="L597" s="559"/>
      <c r="M597" s="559"/>
      <c r="N597" s="559"/>
      <c r="O597" s="559"/>
      <c r="P597" s="559"/>
      <c r="Q597" s="559"/>
      <c r="R597" s="559"/>
      <c r="S597" s="559"/>
      <c r="T597" s="559"/>
      <c r="U597" s="559"/>
      <c r="V597" s="559"/>
      <c r="W597" s="559"/>
      <c r="X597" s="559"/>
      <c r="Y597" s="559"/>
      <c r="Z597" s="559"/>
      <c r="AA597" s="559"/>
      <c r="AB597" s="559"/>
      <c r="AC597" s="559"/>
      <c r="AD597" s="559"/>
      <c r="AE597" s="559"/>
      <c r="AF597" s="559"/>
      <c r="AG597" s="559"/>
    </row>
    <row r="598" spans="1:33" ht="18" customHeight="1" x14ac:dyDescent="0.35">
      <c r="A598" s="559"/>
      <c r="B598" s="559"/>
      <c r="C598" s="559"/>
      <c r="D598" s="559"/>
      <c r="E598" s="559"/>
      <c r="F598" s="559"/>
      <c r="G598" s="559"/>
      <c r="H598" s="559"/>
      <c r="I598" s="559"/>
      <c r="J598" s="559"/>
      <c r="K598" s="559"/>
      <c r="L598" s="559"/>
      <c r="M598" s="559"/>
      <c r="N598" s="559"/>
      <c r="O598" s="559"/>
      <c r="P598" s="559"/>
      <c r="Q598" s="559"/>
      <c r="R598" s="559"/>
      <c r="S598" s="559"/>
      <c r="T598" s="559"/>
      <c r="U598" s="559"/>
      <c r="V598" s="559"/>
      <c r="W598" s="559"/>
      <c r="X598" s="559"/>
      <c r="Y598" s="559"/>
      <c r="Z598" s="559"/>
      <c r="AA598" s="559"/>
      <c r="AB598" s="559"/>
      <c r="AC598" s="559"/>
      <c r="AD598" s="559"/>
      <c r="AE598" s="559"/>
      <c r="AF598" s="559"/>
      <c r="AG598" s="559"/>
    </row>
    <row r="599" spans="1:33" ht="18" customHeight="1" x14ac:dyDescent="0.35">
      <c r="A599" s="559"/>
      <c r="B599" s="559"/>
      <c r="C599" s="559"/>
      <c r="D599" s="559"/>
      <c r="E599" s="559"/>
      <c r="F599" s="559"/>
      <c r="G599" s="559"/>
      <c r="H599" s="559"/>
      <c r="I599" s="559"/>
      <c r="J599" s="559"/>
      <c r="K599" s="559"/>
      <c r="L599" s="559"/>
      <c r="M599" s="559"/>
      <c r="N599" s="559"/>
      <c r="O599" s="559"/>
      <c r="P599" s="559"/>
      <c r="Q599" s="559"/>
      <c r="R599" s="559"/>
      <c r="S599" s="559"/>
      <c r="T599" s="559"/>
      <c r="U599" s="559"/>
      <c r="V599" s="559"/>
      <c r="W599" s="559"/>
      <c r="X599" s="559"/>
      <c r="Y599" s="559"/>
      <c r="Z599" s="559"/>
      <c r="AA599" s="559"/>
      <c r="AB599" s="559"/>
      <c r="AC599" s="559"/>
      <c r="AD599" s="559"/>
      <c r="AE599" s="559"/>
      <c r="AF599" s="559"/>
      <c r="AG599" s="559"/>
    </row>
    <row r="600" spans="1:33" ht="18" customHeight="1" x14ac:dyDescent="0.35">
      <c r="A600" s="559"/>
      <c r="B600" s="559"/>
      <c r="C600" s="559"/>
      <c r="D600" s="559"/>
      <c r="E600" s="559"/>
      <c r="F600" s="559"/>
      <c r="G600" s="559"/>
      <c r="H600" s="559"/>
      <c r="I600" s="559"/>
      <c r="J600" s="559"/>
      <c r="K600" s="559"/>
      <c r="L600" s="559"/>
      <c r="M600" s="559"/>
      <c r="N600" s="559"/>
      <c r="O600" s="559"/>
      <c r="P600" s="559"/>
      <c r="Q600" s="559"/>
      <c r="R600" s="559"/>
      <c r="S600" s="559"/>
      <c r="T600" s="559"/>
      <c r="U600" s="559"/>
      <c r="V600" s="559"/>
      <c r="W600" s="559"/>
      <c r="X600" s="559"/>
      <c r="Y600" s="559"/>
      <c r="Z600" s="559"/>
      <c r="AA600" s="559"/>
      <c r="AB600" s="559"/>
      <c r="AC600" s="559"/>
      <c r="AD600" s="559"/>
      <c r="AE600" s="559"/>
      <c r="AF600" s="559"/>
      <c r="AG600" s="559"/>
    </row>
    <row r="601" spans="1:33" ht="18" customHeight="1" x14ac:dyDescent="0.35">
      <c r="A601" s="559"/>
      <c r="B601" s="559"/>
      <c r="C601" s="559"/>
      <c r="D601" s="559"/>
      <c r="E601" s="559"/>
      <c r="F601" s="559"/>
      <c r="G601" s="559"/>
      <c r="H601" s="559"/>
      <c r="I601" s="559"/>
      <c r="J601" s="559"/>
      <c r="K601" s="559"/>
      <c r="L601" s="559"/>
      <c r="M601" s="559"/>
      <c r="N601" s="559"/>
      <c r="O601" s="559"/>
      <c r="P601" s="559"/>
      <c r="Q601" s="559"/>
      <c r="R601" s="559"/>
      <c r="S601" s="559"/>
      <c r="T601" s="559"/>
      <c r="U601" s="559"/>
      <c r="V601" s="559"/>
      <c r="W601" s="559"/>
      <c r="X601" s="559"/>
      <c r="Y601" s="559"/>
      <c r="Z601" s="559"/>
      <c r="AA601" s="559"/>
      <c r="AB601" s="559"/>
      <c r="AC601" s="559"/>
      <c r="AD601" s="559"/>
      <c r="AE601" s="559"/>
      <c r="AF601" s="559"/>
      <c r="AG601" s="559"/>
    </row>
    <row r="602" spans="1:33" ht="18" customHeight="1" x14ac:dyDescent="0.35">
      <c r="A602" s="559"/>
      <c r="B602" s="559"/>
      <c r="C602" s="559"/>
      <c r="D602" s="559"/>
      <c r="E602" s="559"/>
      <c r="F602" s="559"/>
      <c r="G602" s="559"/>
      <c r="H602" s="559"/>
      <c r="I602" s="559"/>
      <c r="J602" s="559"/>
      <c r="K602" s="559"/>
      <c r="L602" s="559"/>
      <c r="M602" s="559"/>
      <c r="N602" s="559"/>
      <c r="O602" s="559"/>
      <c r="P602" s="559"/>
      <c r="Q602" s="559"/>
      <c r="R602" s="559"/>
      <c r="S602" s="559"/>
      <c r="T602" s="559"/>
      <c r="U602" s="559"/>
      <c r="V602" s="559"/>
      <c r="W602" s="559"/>
      <c r="X602" s="559"/>
      <c r="Y602" s="559"/>
      <c r="Z602" s="559"/>
      <c r="AA602" s="559"/>
      <c r="AB602" s="559"/>
      <c r="AC602" s="559"/>
      <c r="AD602" s="559"/>
      <c r="AE602" s="559"/>
      <c r="AF602" s="559"/>
      <c r="AG602" s="559"/>
    </row>
    <row r="603" spans="1:33" ht="18" customHeight="1" x14ac:dyDescent="0.35">
      <c r="A603" s="559"/>
      <c r="B603" s="559"/>
      <c r="C603" s="559"/>
      <c r="D603" s="559"/>
      <c r="E603" s="559"/>
      <c r="F603" s="559"/>
      <c r="G603" s="559"/>
      <c r="H603" s="559"/>
      <c r="I603" s="559"/>
      <c r="J603" s="559"/>
      <c r="K603" s="559"/>
      <c r="L603" s="559"/>
      <c r="M603" s="559"/>
      <c r="N603" s="559"/>
      <c r="O603" s="559"/>
      <c r="P603" s="559"/>
      <c r="Q603" s="559"/>
      <c r="R603" s="559"/>
      <c r="S603" s="559"/>
      <c r="T603" s="559"/>
      <c r="U603" s="559"/>
      <c r="V603" s="559"/>
      <c r="W603" s="559"/>
      <c r="X603" s="559"/>
      <c r="Y603" s="559"/>
      <c r="Z603" s="559"/>
      <c r="AA603" s="559"/>
      <c r="AB603" s="559"/>
      <c r="AC603" s="559"/>
      <c r="AD603" s="559"/>
      <c r="AE603" s="559"/>
      <c r="AF603" s="559"/>
      <c r="AG603" s="559"/>
    </row>
    <row r="604" spans="1:33" ht="18" customHeight="1" x14ac:dyDescent="0.35">
      <c r="A604" s="559"/>
      <c r="B604" s="559"/>
      <c r="C604" s="559"/>
      <c r="D604" s="559"/>
      <c r="E604" s="559"/>
      <c r="F604" s="559"/>
      <c r="G604" s="559"/>
      <c r="H604" s="559"/>
      <c r="I604" s="559"/>
      <c r="J604" s="559"/>
      <c r="K604" s="559"/>
      <c r="L604" s="559"/>
      <c r="M604" s="559"/>
      <c r="N604" s="559"/>
      <c r="O604" s="559"/>
      <c r="P604" s="559"/>
      <c r="Q604" s="559"/>
      <c r="R604" s="559"/>
      <c r="S604" s="559"/>
      <c r="T604" s="559"/>
      <c r="U604" s="559"/>
      <c r="V604" s="559"/>
      <c r="W604" s="559"/>
      <c r="X604" s="559"/>
      <c r="Y604" s="559"/>
      <c r="Z604" s="559"/>
      <c r="AA604" s="559"/>
      <c r="AB604" s="559"/>
      <c r="AC604" s="559"/>
      <c r="AD604" s="559"/>
      <c r="AE604" s="559"/>
      <c r="AF604" s="559"/>
      <c r="AG604" s="559"/>
    </row>
    <row r="605" spans="1:33" ht="18" customHeight="1" x14ac:dyDescent="0.35">
      <c r="A605" s="559"/>
      <c r="B605" s="559"/>
      <c r="C605" s="559"/>
      <c r="D605" s="559"/>
      <c r="E605" s="559"/>
      <c r="F605" s="559"/>
      <c r="G605" s="559"/>
      <c r="H605" s="559"/>
      <c r="I605" s="559"/>
      <c r="J605" s="559"/>
      <c r="K605" s="559"/>
      <c r="L605" s="559"/>
      <c r="M605" s="559"/>
      <c r="N605" s="559"/>
      <c r="O605" s="559"/>
      <c r="P605" s="559"/>
      <c r="Q605" s="559"/>
      <c r="R605" s="559"/>
      <c r="S605" s="559"/>
      <c r="T605" s="559"/>
      <c r="U605" s="559"/>
      <c r="V605" s="559"/>
      <c r="W605" s="559"/>
      <c r="X605" s="559"/>
      <c r="Y605" s="559"/>
      <c r="Z605" s="559"/>
      <c r="AA605" s="559"/>
      <c r="AB605" s="559"/>
      <c r="AC605" s="559"/>
      <c r="AD605" s="559"/>
      <c r="AE605" s="559"/>
      <c r="AF605" s="559"/>
      <c r="AG605" s="559"/>
    </row>
    <row r="606" spans="1:33" ht="18" customHeight="1" x14ac:dyDescent="0.35">
      <c r="A606" s="559"/>
      <c r="B606" s="559"/>
      <c r="C606" s="559"/>
      <c r="D606" s="559"/>
      <c r="E606" s="559"/>
      <c r="F606" s="559"/>
      <c r="G606" s="559"/>
      <c r="H606" s="559"/>
      <c r="I606" s="559"/>
      <c r="J606" s="559"/>
      <c r="K606" s="559"/>
      <c r="L606" s="559"/>
      <c r="M606" s="559"/>
      <c r="N606" s="559"/>
      <c r="O606" s="559"/>
      <c r="P606" s="559"/>
      <c r="Q606" s="559"/>
      <c r="R606" s="559"/>
      <c r="S606" s="559"/>
      <c r="T606" s="559"/>
      <c r="U606" s="559"/>
      <c r="V606" s="559"/>
      <c r="W606" s="559"/>
      <c r="X606" s="559"/>
      <c r="Y606" s="559"/>
      <c r="Z606" s="559"/>
      <c r="AA606" s="559"/>
      <c r="AB606" s="559"/>
      <c r="AC606" s="559"/>
      <c r="AD606" s="559"/>
      <c r="AE606" s="559"/>
      <c r="AF606" s="559"/>
      <c r="AG606" s="559"/>
    </row>
    <row r="607" spans="1:33" ht="18" customHeight="1" x14ac:dyDescent="0.35">
      <c r="A607" s="559"/>
      <c r="B607" s="559"/>
      <c r="C607" s="559"/>
      <c r="D607" s="559"/>
      <c r="E607" s="559"/>
      <c r="F607" s="559"/>
      <c r="G607" s="559"/>
      <c r="H607" s="559"/>
      <c r="I607" s="559"/>
      <c r="J607" s="559"/>
      <c r="K607" s="559"/>
      <c r="L607" s="559"/>
      <c r="M607" s="559"/>
      <c r="N607" s="559"/>
      <c r="O607" s="559"/>
      <c r="P607" s="559"/>
      <c r="Q607" s="559"/>
      <c r="R607" s="559"/>
      <c r="S607" s="559"/>
      <c r="T607" s="559"/>
      <c r="U607" s="559"/>
      <c r="V607" s="559"/>
      <c r="W607" s="559"/>
      <c r="X607" s="559"/>
      <c r="Y607" s="559"/>
      <c r="Z607" s="559"/>
      <c r="AA607" s="559"/>
      <c r="AB607" s="559"/>
      <c r="AC607" s="559"/>
      <c r="AD607" s="559"/>
      <c r="AE607" s="559"/>
      <c r="AF607" s="559"/>
      <c r="AG607" s="559"/>
    </row>
    <row r="608" spans="1:33" ht="18" customHeight="1" x14ac:dyDescent="0.35">
      <c r="A608" s="559"/>
      <c r="B608" s="559"/>
      <c r="C608" s="559"/>
      <c r="D608" s="559"/>
      <c r="E608" s="559"/>
      <c r="F608" s="559"/>
      <c r="G608" s="559"/>
      <c r="H608" s="559"/>
      <c r="I608" s="559"/>
      <c r="J608" s="559"/>
      <c r="K608" s="559"/>
      <c r="L608" s="559"/>
      <c r="M608" s="559"/>
      <c r="N608" s="559"/>
      <c r="O608" s="559"/>
      <c r="P608" s="559"/>
      <c r="Q608" s="559"/>
      <c r="R608" s="559"/>
      <c r="S608" s="559"/>
      <c r="T608" s="559"/>
      <c r="U608" s="559"/>
      <c r="V608" s="559"/>
      <c r="W608" s="559"/>
      <c r="X608" s="559"/>
      <c r="Y608" s="559"/>
      <c r="Z608" s="559"/>
      <c r="AA608" s="559"/>
      <c r="AB608" s="559"/>
      <c r="AC608" s="559"/>
      <c r="AD608" s="559"/>
      <c r="AE608" s="559"/>
      <c r="AF608" s="559"/>
      <c r="AG608" s="559"/>
    </row>
    <row r="609" spans="1:33" ht="18" customHeight="1" x14ac:dyDescent="0.35">
      <c r="A609" s="559"/>
      <c r="B609" s="559"/>
      <c r="C609" s="559"/>
      <c r="D609" s="559"/>
      <c r="E609" s="559"/>
      <c r="F609" s="559"/>
      <c r="G609" s="559"/>
      <c r="H609" s="559"/>
      <c r="I609" s="559"/>
      <c r="J609" s="559"/>
      <c r="K609" s="559"/>
      <c r="L609" s="559"/>
      <c r="M609" s="559"/>
      <c r="N609" s="559"/>
      <c r="O609" s="559"/>
      <c r="P609" s="559"/>
      <c r="Q609" s="559"/>
      <c r="R609" s="559"/>
      <c r="S609" s="559"/>
      <c r="T609" s="559"/>
      <c r="U609" s="559"/>
      <c r="V609" s="559"/>
      <c r="W609" s="559"/>
      <c r="X609" s="559"/>
      <c r="Y609" s="559"/>
      <c r="Z609" s="559"/>
      <c r="AA609" s="559"/>
      <c r="AB609" s="559"/>
      <c r="AC609" s="559"/>
      <c r="AD609" s="559"/>
      <c r="AE609" s="559"/>
      <c r="AF609" s="559"/>
      <c r="AG609" s="559"/>
    </row>
    <row r="610" spans="1:33" ht="18" customHeight="1" x14ac:dyDescent="0.35">
      <c r="A610" s="559"/>
      <c r="B610" s="559"/>
      <c r="C610" s="559"/>
      <c r="D610" s="559"/>
      <c r="E610" s="559"/>
      <c r="F610" s="559"/>
      <c r="G610" s="559"/>
      <c r="H610" s="559"/>
      <c r="I610" s="559"/>
      <c r="J610" s="559"/>
      <c r="K610" s="559"/>
      <c r="L610" s="559"/>
      <c r="M610" s="559"/>
      <c r="N610" s="559"/>
      <c r="O610" s="559"/>
      <c r="P610" s="559"/>
      <c r="Q610" s="559"/>
      <c r="R610" s="559"/>
      <c r="S610" s="559"/>
      <c r="T610" s="559"/>
      <c r="U610" s="559"/>
      <c r="V610" s="559"/>
      <c r="W610" s="559"/>
      <c r="X610" s="559"/>
      <c r="Y610" s="559"/>
      <c r="Z610" s="559"/>
      <c r="AA610" s="559"/>
      <c r="AB610" s="559"/>
      <c r="AC610" s="559"/>
      <c r="AD610" s="559"/>
      <c r="AE610" s="559"/>
      <c r="AF610" s="559"/>
      <c r="AG610" s="559"/>
    </row>
    <row r="611" spans="1:33" ht="18" customHeight="1" x14ac:dyDescent="0.35">
      <c r="A611" s="559"/>
      <c r="B611" s="559"/>
      <c r="C611" s="559"/>
      <c r="D611" s="559"/>
      <c r="E611" s="559"/>
      <c r="F611" s="559"/>
      <c r="G611" s="559"/>
      <c r="H611" s="559"/>
      <c r="I611" s="559"/>
      <c r="J611" s="559"/>
      <c r="K611" s="559"/>
      <c r="L611" s="559"/>
      <c r="M611" s="559"/>
      <c r="N611" s="559"/>
      <c r="O611" s="559"/>
      <c r="P611" s="559"/>
      <c r="Q611" s="559"/>
      <c r="R611" s="559"/>
      <c r="S611" s="559"/>
      <c r="T611" s="559"/>
      <c r="U611" s="559"/>
      <c r="V611" s="559"/>
      <c r="W611" s="559"/>
      <c r="X611" s="559"/>
      <c r="Y611" s="559"/>
      <c r="Z611" s="559"/>
      <c r="AA611" s="559"/>
      <c r="AB611" s="559"/>
      <c r="AC611" s="559"/>
      <c r="AD611" s="559"/>
      <c r="AE611" s="559"/>
      <c r="AF611" s="559"/>
      <c r="AG611" s="559"/>
    </row>
    <row r="612" spans="1:33" ht="18" customHeight="1" x14ac:dyDescent="0.35">
      <c r="A612" s="559"/>
      <c r="B612" s="559"/>
      <c r="C612" s="559"/>
      <c r="D612" s="559"/>
      <c r="E612" s="559"/>
      <c r="F612" s="559"/>
      <c r="G612" s="559"/>
      <c r="H612" s="559"/>
      <c r="I612" s="559"/>
      <c r="J612" s="559"/>
      <c r="K612" s="559"/>
      <c r="L612" s="559"/>
      <c r="M612" s="559"/>
      <c r="N612" s="559"/>
      <c r="O612" s="559"/>
      <c r="P612" s="559"/>
      <c r="Q612" s="559"/>
      <c r="R612" s="559"/>
      <c r="S612" s="559"/>
      <c r="T612" s="559"/>
      <c r="U612" s="559"/>
      <c r="V612" s="559"/>
      <c r="W612" s="559"/>
      <c r="X612" s="559"/>
      <c r="Y612" s="559"/>
      <c r="Z612" s="559"/>
      <c r="AA612" s="559"/>
      <c r="AB612" s="559"/>
      <c r="AC612" s="559"/>
      <c r="AD612" s="559"/>
      <c r="AE612" s="559"/>
      <c r="AF612" s="559"/>
      <c r="AG612" s="559"/>
    </row>
    <row r="613" spans="1:33" ht="18" customHeight="1" x14ac:dyDescent="0.35">
      <c r="A613" s="559"/>
      <c r="B613" s="559"/>
      <c r="C613" s="559"/>
      <c r="D613" s="559"/>
      <c r="E613" s="559"/>
      <c r="F613" s="559"/>
      <c r="G613" s="559"/>
      <c r="H613" s="559"/>
      <c r="I613" s="559"/>
      <c r="J613" s="559"/>
      <c r="K613" s="559"/>
      <c r="L613" s="559"/>
      <c r="M613" s="559"/>
      <c r="N613" s="559"/>
      <c r="O613" s="559"/>
      <c r="P613" s="559"/>
      <c r="Q613" s="559"/>
      <c r="R613" s="559"/>
      <c r="S613" s="559"/>
      <c r="T613" s="559"/>
      <c r="U613" s="559"/>
      <c r="V613" s="559"/>
      <c r="W613" s="559"/>
      <c r="X613" s="559"/>
      <c r="Y613" s="559"/>
      <c r="Z613" s="559"/>
      <c r="AA613" s="559"/>
      <c r="AB613" s="559"/>
      <c r="AC613" s="559"/>
      <c r="AD613" s="559"/>
      <c r="AE613" s="559"/>
      <c r="AF613" s="559"/>
      <c r="AG613" s="559"/>
    </row>
    <row r="614" spans="1:33" ht="18" customHeight="1" x14ac:dyDescent="0.35">
      <c r="A614" s="559"/>
      <c r="B614" s="559"/>
      <c r="C614" s="559"/>
      <c r="D614" s="559"/>
      <c r="E614" s="559"/>
      <c r="F614" s="559"/>
      <c r="G614" s="559"/>
      <c r="H614" s="559"/>
      <c r="I614" s="559"/>
      <c r="J614" s="559"/>
      <c r="K614" s="559"/>
      <c r="L614" s="559"/>
      <c r="M614" s="559"/>
      <c r="N614" s="559"/>
      <c r="O614" s="559"/>
      <c r="P614" s="559"/>
      <c r="Q614" s="559"/>
      <c r="R614" s="559"/>
      <c r="S614" s="559"/>
      <c r="T614" s="559"/>
      <c r="U614" s="559"/>
      <c r="V614" s="559"/>
      <c r="W614" s="559"/>
      <c r="X614" s="559"/>
      <c r="Y614" s="559"/>
      <c r="Z614" s="559"/>
      <c r="AA614" s="559"/>
      <c r="AB614" s="559"/>
      <c r="AC614" s="559"/>
      <c r="AD614" s="559"/>
      <c r="AE614" s="559"/>
      <c r="AF614" s="559"/>
      <c r="AG614" s="559"/>
    </row>
    <row r="615" spans="1:33" ht="18" customHeight="1" x14ac:dyDescent="0.35">
      <c r="A615" s="559"/>
      <c r="B615" s="559"/>
      <c r="C615" s="559"/>
      <c r="D615" s="559"/>
      <c r="E615" s="559"/>
      <c r="F615" s="559"/>
      <c r="G615" s="559"/>
      <c r="H615" s="559"/>
      <c r="I615" s="559"/>
      <c r="J615" s="559"/>
      <c r="K615" s="559"/>
      <c r="L615" s="559"/>
      <c r="M615" s="559"/>
      <c r="N615" s="559"/>
      <c r="O615" s="559"/>
      <c r="P615" s="559"/>
      <c r="Q615" s="559"/>
      <c r="R615" s="559"/>
      <c r="S615" s="559"/>
      <c r="T615" s="559"/>
      <c r="U615" s="559"/>
      <c r="V615" s="559"/>
      <c r="W615" s="559"/>
      <c r="X615" s="559"/>
      <c r="Y615" s="559"/>
      <c r="Z615" s="559"/>
      <c r="AA615" s="559"/>
      <c r="AB615" s="559"/>
      <c r="AC615" s="559"/>
      <c r="AD615" s="559"/>
      <c r="AE615" s="559"/>
      <c r="AF615" s="559"/>
      <c r="AG615" s="559"/>
    </row>
    <row r="616" spans="1:33" ht="18" customHeight="1" x14ac:dyDescent="0.35">
      <c r="A616" s="559"/>
      <c r="B616" s="559"/>
      <c r="C616" s="559"/>
      <c r="D616" s="559"/>
      <c r="E616" s="559"/>
      <c r="F616" s="559"/>
      <c r="G616" s="559"/>
      <c r="H616" s="559"/>
      <c r="I616" s="559"/>
      <c r="J616" s="559"/>
      <c r="K616" s="559"/>
      <c r="L616" s="559"/>
      <c r="M616" s="559"/>
      <c r="N616" s="559"/>
      <c r="O616" s="559"/>
      <c r="P616" s="559"/>
      <c r="Q616" s="559"/>
      <c r="R616" s="559"/>
      <c r="S616" s="559"/>
      <c r="T616" s="559"/>
      <c r="U616" s="559"/>
      <c r="V616" s="559"/>
      <c r="W616" s="559"/>
      <c r="X616" s="559"/>
      <c r="Y616" s="559"/>
      <c r="Z616" s="559"/>
      <c r="AA616" s="559"/>
      <c r="AB616" s="559"/>
      <c r="AC616" s="559"/>
      <c r="AD616" s="559"/>
      <c r="AE616" s="559"/>
      <c r="AF616" s="559"/>
      <c r="AG616" s="559"/>
    </row>
    <row r="617" spans="1:33" ht="18" customHeight="1" x14ac:dyDescent="0.35">
      <c r="A617" s="559"/>
      <c r="B617" s="559"/>
      <c r="C617" s="559"/>
      <c r="D617" s="559"/>
      <c r="E617" s="559"/>
      <c r="F617" s="559"/>
      <c r="G617" s="559"/>
      <c r="H617" s="559"/>
      <c r="I617" s="559"/>
      <c r="J617" s="559"/>
      <c r="K617" s="559"/>
      <c r="L617" s="559"/>
      <c r="M617" s="559"/>
      <c r="N617" s="559"/>
      <c r="O617" s="559"/>
      <c r="P617" s="559"/>
      <c r="Q617" s="559"/>
      <c r="R617" s="559"/>
      <c r="S617" s="559"/>
      <c r="T617" s="559"/>
      <c r="U617" s="559"/>
      <c r="V617" s="559"/>
      <c r="W617" s="559"/>
      <c r="X617" s="559"/>
      <c r="Y617" s="559"/>
      <c r="Z617" s="559"/>
      <c r="AA617" s="559"/>
      <c r="AB617" s="559"/>
      <c r="AC617" s="559"/>
      <c r="AD617" s="559"/>
      <c r="AE617" s="559"/>
      <c r="AF617" s="559"/>
      <c r="AG617" s="559"/>
    </row>
    <row r="618" spans="1:33" ht="18" customHeight="1" x14ac:dyDescent="0.35">
      <c r="A618" s="559"/>
      <c r="B618" s="559"/>
      <c r="C618" s="559"/>
      <c r="D618" s="559"/>
      <c r="E618" s="559"/>
      <c r="F618" s="559"/>
      <c r="G618" s="559"/>
      <c r="H618" s="559"/>
      <c r="I618" s="559"/>
      <c r="J618" s="559"/>
      <c r="K618" s="559"/>
      <c r="L618" s="559"/>
      <c r="M618" s="559"/>
      <c r="N618" s="559"/>
      <c r="O618" s="559"/>
      <c r="P618" s="559"/>
      <c r="Q618" s="559"/>
      <c r="R618" s="559"/>
      <c r="S618" s="559"/>
      <c r="T618" s="559"/>
      <c r="U618" s="559"/>
      <c r="V618" s="559"/>
      <c r="W618" s="559"/>
      <c r="X618" s="559"/>
      <c r="Y618" s="559"/>
      <c r="Z618" s="559"/>
      <c r="AA618" s="559"/>
      <c r="AB618" s="559"/>
      <c r="AC618" s="559"/>
      <c r="AD618" s="559"/>
      <c r="AE618" s="559"/>
      <c r="AF618" s="559"/>
      <c r="AG618" s="559"/>
    </row>
    <row r="619" spans="1:33" ht="18" customHeight="1" x14ac:dyDescent="0.35">
      <c r="A619" s="559"/>
      <c r="B619" s="559"/>
      <c r="C619" s="559"/>
      <c r="D619" s="559"/>
      <c r="E619" s="559"/>
      <c r="F619" s="559"/>
      <c r="G619" s="559"/>
      <c r="H619" s="559"/>
      <c r="I619" s="559"/>
      <c r="J619" s="559"/>
      <c r="K619" s="559"/>
      <c r="L619" s="559"/>
      <c r="M619" s="559"/>
      <c r="N619" s="559"/>
      <c r="O619" s="559"/>
      <c r="P619" s="559"/>
      <c r="Q619" s="559"/>
      <c r="R619" s="559"/>
      <c r="S619" s="559"/>
      <c r="T619" s="559"/>
      <c r="U619" s="559"/>
      <c r="V619" s="559"/>
      <c r="W619" s="559"/>
      <c r="X619" s="559"/>
      <c r="Y619" s="559"/>
      <c r="Z619" s="559"/>
      <c r="AA619" s="559"/>
      <c r="AB619" s="559"/>
      <c r="AC619" s="559"/>
      <c r="AD619" s="559"/>
      <c r="AE619" s="559"/>
      <c r="AF619" s="559"/>
      <c r="AG619" s="559"/>
    </row>
    <row r="620" spans="1:33" ht="18" customHeight="1" x14ac:dyDescent="0.35">
      <c r="A620" s="559"/>
      <c r="B620" s="559"/>
      <c r="C620" s="559"/>
      <c r="D620" s="559"/>
      <c r="E620" s="559"/>
      <c r="F620" s="559"/>
      <c r="G620" s="559"/>
      <c r="H620" s="559"/>
      <c r="I620" s="559"/>
      <c r="J620" s="559"/>
      <c r="K620" s="559"/>
      <c r="L620" s="559"/>
      <c r="M620" s="559"/>
      <c r="N620" s="559"/>
      <c r="O620" s="559"/>
      <c r="P620" s="559"/>
      <c r="Q620" s="559"/>
      <c r="R620" s="559"/>
      <c r="S620" s="559"/>
      <c r="T620" s="559"/>
      <c r="U620" s="559"/>
      <c r="V620" s="559"/>
      <c r="W620" s="559"/>
      <c r="X620" s="559"/>
      <c r="Y620" s="559"/>
      <c r="Z620" s="559"/>
      <c r="AA620" s="559"/>
      <c r="AB620" s="559"/>
      <c r="AC620" s="559"/>
      <c r="AD620" s="559"/>
      <c r="AE620" s="559"/>
      <c r="AF620" s="559"/>
      <c r="AG620" s="559"/>
    </row>
    <row r="621" spans="1:33" ht="18" customHeight="1" x14ac:dyDescent="0.35">
      <c r="A621" s="559"/>
      <c r="B621" s="559"/>
      <c r="C621" s="559"/>
      <c r="D621" s="559"/>
      <c r="E621" s="559"/>
      <c r="F621" s="559"/>
      <c r="G621" s="559"/>
      <c r="H621" s="559"/>
      <c r="I621" s="559"/>
      <c r="J621" s="559"/>
      <c r="K621" s="559"/>
      <c r="L621" s="559"/>
      <c r="M621" s="559"/>
      <c r="N621" s="559"/>
      <c r="O621" s="559"/>
      <c r="P621" s="559"/>
      <c r="Q621" s="559"/>
      <c r="R621" s="559"/>
      <c r="S621" s="559"/>
      <c r="T621" s="559"/>
      <c r="U621" s="559"/>
      <c r="V621" s="559"/>
      <c r="W621" s="559"/>
      <c r="X621" s="559"/>
      <c r="Y621" s="559"/>
      <c r="Z621" s="559"/>
      <c r="AA621" s="559"/>
      <c r="AB621" s="559"/>
      <c r="AC621" s="559"/>
      <c r="AD621" s="559"/>
      <c r="AE621" s="559"/>
      <c r="AF621" s="559"/>
      <c r="AG621" s="559"/>
    </row>
    <row r="622" spans="1:33" ht="18" customHeight="1" x14ac:dyDescent="0.35">
      <c r="A622" s="559"/>
      <c r="B622" s="559"/>
      <c r="C622" s="559"/>
      <c r="D622" s="559"/>
      <c r="E622" s="559"/>
      <c r="F622" s="559"/>
      <c r="G622" s="559"/>
      <c r="H622" s="559"/>
      <c r="I622" s="559"/>
      <c r="J622" s="559"/>
      <c r="K622" s="559"/>
      <c r="L622" s="559"/>
      <c r="M622" s="559"/>
      <c r="N622" s="559"/>
      <c r="O622" s="559"/>
      <c r="P622" s="559"/>
      <c r="Q622" s="559"/>
      <c r="R622" s="559"/>
      <c r="S622" s="559"/>
      <c r="T622" s="559"/>
      <c r="U622" s="559"/>
      <c r="V622" s="559"/>
      <c r="W622" s="559"/>
      <c r="X622" s="559"/>
      <c r="Y622" s="559"/>
      <c r="Z622" s="559"/>
      <c r="AA622" s="559"/>
      <c r="AB622" s="559"/>
      <c r="AC622" s="559"/>
      <c r="AD622" s="559"/>
      <c r="AE622" s="559"/>
      <c r="AF622" s="559"/>
      <c r="AG622" s="559"/>
    </row>
    <row r="623" spans="1:33" ht="18" customHeight="1" x14ac:dyDescent="0.35">
      <c r="A623" s="559"/>
      <c r="B623" s="559"/>
      <c r="C623" s="559"/>
      <c r="D623" s="559"/>
      <c r="E623" s="559"/>
      <c r="F623" s="559"/>
      <c r="G623" s="559"/>
      <c r="H623" s="559"/>
      <c r="I623" s="559"/>
      <c r="J623" s="559"/>
      <c r="K623" s="559"/>
      <c r="L623" s="559"/>
      <c r="M623" s="559"/>
      <c r="N623" s="559"/>
      <c r="O623" s="559"/>
      <c r="P623" s="559"/>
      <c r="Q623" s="559"/>
      <c r="R623" s="559"/>
      <c r="S623" s="559"/>
      <c r="T623" s="559"/>
      <c r="U623" s="559"/>
      <c r="V623" s="559"/>
      <c r="W623" s="559"/>
      <c r="X623" s="559"/>
      <c r="Y623" s="559"/>
      <c r="Z623" s="559"/>
      <c r="AA623" s="559"/>
      <c r="AB623" s="559"/>
      <c r="AC623" s="559"/>
      <c r="AD623" s="559"/>
      <c r="AE623" s="559"/>
      <c r="AF623" s="559"/>
      <c r="AG623" s="559"/>
    </row>
    <row r="624" spans="1:33" ht="18" customHeight="1" x14ac:dyDescent="0.35">
      <c r="A624" s="559"/>
      <c r="B624" s="559"/>
      <c r="C624" s="559"/>
      <c r="D624" s="559"/>
      <c r="E624" s="559"/>
      <c r="F624" s="559"/>
      <c r="G624" s="559"/>
      <c r="H624" s="559"/>
      <c r="I624" s="559"/>
      <c r="J624" s="559"/>
      <c r="K624" s="559"/>
      <c r="L624" s="559"/>
      <c r="M624" s="559"/>
      <c r="N624" s="559"/>
      <c r="O624" s="559"/>
      <c r="P624" s="559"/>
      <c r="Q624" s="559"/>
      <c r="R624" s="559"/>
      <c r="S624" s="559"/>
      <c r="T624" s="559"/>
      <c r="U624" s="559"/>
      <c r="V624" s="559"/>
      <c r="W624" s="559"/>
      <c r="X624" s="559"/>
      <c r="Y624" s="559"/>
      <c r="Z624" s="559"/>
      <c r="AA624" s="559"/>
      <c r="AB624" s="559"/>
      <c r="AC624" s="559"/>
      <c r="AD624" s="559"/>
      <c r="AE624" s="559"/>
      <c r="AF624" s="559"/>
      <c r="AG624" s="559"/>
    </row>
    <row r="625" spans="1:33" ht="18" customHeight="1" x14ac:dyDescent="0.35">
      <c r="A625" s="559"/>
      <c r="B625" s="559"/>
      <c r="C625" s="559"/>
      <c r="D625" s="559"/>
      <c r="E625" s="559"/>
      <c r="F625" s="559"/>
      <c r="G625" s="559"/>
      <c r="H625" s="559"/>
      <c r="I625" s="559"/>
      <c r="J625" s="559"/>
      <c r="K625" s="559"/>
      <c r="L625" s="559"/>
      <c r="M625" s="559"/>
      <c r="N625" s="559"/>
      <c r="O625" s="559"/>
      <c r="P625" s="559"/>
      <c r="Q625" s="559"/>
      <c r="R625" s="559"/>
      <c r="S625" s="559"/>
      <c r="T625" s="559"/>
      <c r="U625" s="559"/>
      <c r="V625" s="559"/>
      <c r="W625" s="559"/>
      <c r="X625" s="559"/>
      <c r="Y625" s="559"/>
      <c r="Z625" s="559"/>
      <c r="AA625" s="559"/>
      <c r="AB625" s="559"/>
      <c r="AC625" s="559"/>
      <c r="AD625" s="559"/>
      <c r="AE625" s="559"/>
      <c r="AF625" s="559"/>
      <c r="AG625" s="559"/>
    </row>
    <row r="626" spans="1:33" ht="18" customHeight="1" x14ac:dyDescent="0.35">
      <c r="A626" s="559"/>
      <c r="B626" s="559"/>
      <c r="C626" s="559"/>
      <c r="D626" s="559"/>
      <c r="E626" s="559"/>
      <c r="F626" s="559"/>
      <c r="G626" s="559"/>
      <c r="H626" s="559"/>
      <c r="I626" s="559"/>
      <c r="J626" s="559"/>
      <c r="K626" s="559"/>
      <c r="L626" s="559"/>
      <c r="M626" s="559"/>
      <c r="N626" s="559"/>
      <c r="O626" s="559"/>
      <c r="P626" s="559"/>
      <c r="Q626" s="559"/>
      <c r="R626" s="559"/>
      <c r="S626" s="559"/>
      <c r="T626" s="559"/>
      <c r="U626" s="559"/>
      <c r="V626" s="559"/>
      <c r="W626" s="559"/>
      <c r="X626" s="559"/>
      <c r="Y626" s="559"/>
      <c r="Z626" s="559"/>
      <c r="AA626" s="559"/>
      <c r="AB626" s="559"/>
      <c r="AC626" s="559"/>
      <c r="AD626" s="559"/>
      <c r="AE626" s="559"/>
      <c r="AF626" s="559"/>
      <c r="AG626" s="559"/>
    </row>
    <row r="627" spans="1:33" ht="18" customHeight="1" x14ac:dyDescent="0.35">
      <c r="A627" s="559"/>
      <c r="B627" s="559"/>
      <c r="C627" s="559"/>
      <c r="D627" s="559"/>
      <c r="E627" s="559"/>
      <c r="F627" s="559"/>
      <c r="G627" s="559"/>
      <c r="H627" s="559"/>
      <c r="I627" s="559"/>
      <c r="J627" s="559"/>
      <c r="K627" s="559"/>
      <c r="L627" s="559"/>
      <c r="M627" s="559"/>
      <c r="N627" s="559"/>
      <c r="O627" s="559"/>
      <c r="P627" s="559"/>
      <c r="Q627" s="559"/>
      <c r="R627" s="559"/>
      <c r="S627" s="559"/>
      <c r="T627" s="559"/>
      <c r="U627" s="559"/>
      <c r="V627" s="559"/>
      <c r="W627" s="559"/>
      <c r="X627" s="559"/>
      <c r="Y627" s="559"/>
      <c r="Z627" s="559"/>
      <c r="AA627" s="559"/>
      <c r="AB627" s="559"/>
      <c r="AC627" s="559"/>
      <c r="AD627" s="559"/>
      <c r="AE627" s="559"/>
      <c r="AF627" s="559"/>
      <c r="AG627" s="559"/>
    </row>
    <row r="628" spans="1:33" ht="18" customHeight="1" x14ac:dyDescent="0.35">
      <c r="A628" s="559"/>
      <c r="B628" s="559"/>
      <c r="C628" s="559"/>
      <c r="D628" s="559"/>
      <c r="E628" s="559"/>
      <c r="F628" s="559"/>
      <c r="G628" s="559"/>
      <c r="H628" s="559"/>
      <c r="I628" s="559"/>
      <c r="J628" s="559"/>
      <c r="K628" s="559"/>
      <c r="L628" s="559"/>
      <c r="M628" s="559"/>
      <c r="N628" s="559"/>
      <c r="O628" s="559"/>
      <c r="P628" s="559"/>
      <c r="Q628" s="559"/>
      <c r="R628" s="559"/>
      <c r="S628" s="559"/>
      <c r="T628" s="559"/>
      <c r="U628" s="559"/>
      <c r="V628" s="559"/>
      <c r="W628" s="559"/>
      <c r="X628" s="559"/>
      <c r="Y628" s="559"/>
      <c r="Z628" s="559"/>
      <c r="AA628" s="559"/>
      <c r="AB628" s="559"/>
      <c r="AC628" s="559"/>
      <c r="AD628" s="559"/>
      <c r="AE628" s="559"/>
      <c r="AF628" s="559"/>
      <c r="AG628" s="559"/>
    </row>
    <row r="629" spans="1:33" ht="18" customHeight="1" x14ac:dyDescent="0.35">
      <c r="A629" s="559"/>
      <c r="B629" s="559"/>
      <c r="C629" s="559"/>
      <c r="D629" s="559"/>
      <c r="E629" s="559"/>
      <c r="F629" s="559"/>
      <c r="G629" s="559"/>
      <c r="H629" s="559"/>
      <c r="I629" s="559"/>
      <c r="J629" s="559"/>
      <c r="K629" s="559"/>
      <c r="L629" s="559"/>
      <c r="M629" s="559"/>
      <c r="N629" s="559"/>
      <c r="O629" s="559"/>
      <c r="P629" s="559"/>
      <c r="Q629" s="559"/>
      <c r="R629" s="559"/>
      <c r="S629" s="559"/>
      <c r="T629" s="559"/>
      <c r="U629" s="559"/>
      <c r="V629" s="559"/>
      <c r="W629" s="559"/>
      <c r="X629" s="559"/>
      <c r="Y629" s="559"/>
      <c r="Z629" s="559"/>
      <c r="AA629" s="559"/>
      <c r="AB629" s="559"/>
      <c r="AC629" s="559"/>
      <c r="AD629" s="559"/>
      <c r="AE629" s="559"/>
      <c r="AF629" s="559"/>
      <c r="AG629" s="559"/>
    </row>
    <row r="630" spans="1:33" ht="18" customHeight="1" x14ac:dyDescent="0.35">
      <c r="A630" s="559"/>
      <c r="B630" s="559"/>
      <c r="C630" s="559"/>
      <c r="D630" s="559"/>
      <c r="E630" s="559"/>
      <c r="F630" s="559"/>
      <c r="G630" s="559"/>
      <c r="H630" s="559"/>
      <c r="I630" s="559"/>
      <c r="J630" s="559"/>
      <c r="K630" s="559"/>
      <c r="L630" s="559"/>
      <c r="M630" s="559"/>
      <c r="N630" s="559"/>
      <c r="O630" s="559"/>
      <c r="P630" s="559"/>
      <c r="Q630" s="559"/>
      <c r="R630" s="559"/>
      <c r="S630" s="559"/>
      <c r="T630" s="559"/>
      <c r="U630" s="559"/>
      <c r="V630" s="559"/>
      <c r="W630" s="559"/>
      <c r="X630" s="559"/>
      <c r="Y630" s="559"/>
      <c r="Z630" s="559"/>
      <c r="AA630" s="559"/>
      <c r="AB630" s="559"/>
      <c r="AC630" s="559"/>
      <c r="AD630" s="559"/>
      <c r="AE630" s="559"/>
      <c r="AF630" s="559"/>
      <c r="AG630" s="559"/>
    </row>
    <row r="631" spans="1:33" ht="18" customHeight="1" x14ac:dyDescent="0.35">
      <c r="A631" s="559"/>
      <c r="B631" s="559"/>
      <c r="C631" s="559"/>
      <c r="D631" s="559"/>
      <c r="E631" s="559"/>
      <c r="F631" s="559"/>
      <c r="G631" s="559"/>
      <c r="H631" s="559"/>
      <c r="I631" s="559"/>
      <c r="J631" s="559"/>
      <c r="K631" s="559"/>
      <c r="L631" s="559"/>
      <c r="M631" s="559"/>
      <c r="N631" s="559"/>
      <c r="O631" s="559"/>
      <c r="P631" s="559"/>
      <c r="Q631" s="559"/>
      <c r="R631" s="559"/>
      <c r="S631" s="559"/>
      <c r="T631" s="559"/>
      <c r="U631" s="559"/>
      <c r="V631" s="559"/>
      <c r="W631" s="559"/>
      <c r="X631" s="559"/>
      <c r="Y631" s="559"/>
      <c r="Z631" s="559"/>
      <c r="AA631" s="559"/>
      <c r="AB631" s="559"/>
      <c r="AC631" s="559"/>
      <c r="AD631" s="559"/>
      <c r="AE631" s="559"/>
      <c r="AF631" s="559"/>
      <c r="AG631" s="559"/>
    </row>
    <row r="632" spans="1:33" ht="18" customHeight="1" x14ac:dyDescent="0.35">
      <c r="A632" s="559"/>
      <c r="B632" s="559"/>
      <c r="C632" s="559"/>
      <c r="D632" s="559"/>
      <c r="E632" s="559"/>
      <c r="F632" s="559"/>
      <c r="G632" s="559"/>
      <c r="H632" s="559"/>
      <c r="I632" s="559"/>
      <c r="J632" s="559"/>
      <c r="K632" s="559"/>
      <c r="L632" s="559"/>
      <c r="M632" s="559"/>
      <c r="N632" s="559"/>
      <c r="O632" s="559"/>
      <c r="P632" s="559"/>
      <c r="Q632" s="559"/>
      <c r="R632" s="559"/>
      <c r="S632" s="559"/>
      <c r="T632" s="559"/>
      <c r="U632" s="559"/>
      <c r="V632" s="559"/>
      <c r="W632" s="559"/>
      <c r="X632" s="559"/>
      <c r="Y632" s="559"/>
      <c r="Z632" s="559"/>
      <c r="AA632" s="559"/>
      <c r="AB632" s="559"/>
      <c r="AC632" s="559"/>
      <c r="AD632" s="559"/>
      <c r="AE632" s="559"/>
      <c r="AF632" s="559"/>
      <c r="AG632" s="559"/>
    </row>
    <row r="633" spans="1:33" ht="18" customHeight="1" x14ac:dyDescent="0.35">
      <c r="A633" s="559"/>
      <c r="B633" s="559"/>
      <c r="C633" s="559"/>
      <c r="D633" s="559"/>
      <c r="E633" s="559"/>
      <c r="F633" s="559"/>
      <c r="G633" s="559"/>
      <c r="H633" s="559"/>
      <c r="I633" s="559"/>
      <c r="J633" s="559"/>
      <c r="K633" s="559"/>
      <c r="L633" s="559"/>
      <c r="M633" s="559"/>
      <c r="N633" s="559"/>
      <c r="O633" s="559"/>
      <c r="P633" s="559"/>
      <c r="Q633" s="559"/>
      <c r="R633" s="559"/>
      <c r="S633" s="559"/>
      <c r="T633" s="559"/>
      <c r="U633" s="559"/>
      <c r="V633" s="559"/>
      <c r="W633" s="559"/>
      <c r="X633" s="559"/>
      <c r="Y633" s="559"/>
      <c r="Z633" s="559"/>
      <c r="AA633" s="559"/>
      <c r="AB633" s="559"/>
      <c r="AC633" s="559"/>
      <c r="AD633" s="559"/>
      <c r="AE633" s="559"/>
      <c r="AF633" s="559"/>
      <c r="AG633" s="559"/>
    </row>
    <row r="634" spans="1:33" ht="18" customHeight="1" x14ac:dyDescent="0.35">
      <c r="A634" s="559"/>
      <c r="B634" s="559"/>
      <c r="C634" s="559"/>
      <c r="D634" s="559"/>
      <c r="E634" s="559"/>
      <c r="F634" s="559"/>
      <c r="G634" s="559"/>
      <c r="H634" s="559"/>
      <c r="I634" s="559"/>
      <c r="J634" s="559"/>
      <c r="K634" s="559"/>
      <c r="L634" s="559"/>
      <c r="M634" s="559"/>
      <c r="N634" s="559"/>
      <c r="O634" s="559"/>
      <c r="P634" s="559"/>
      <c r="Q634" s="559"/>
      <c r="R634" s="559"/>
      <c r="S634" s="559"/>
      <c r="T634" s="559"/>
      <c r="U634" s="559"/>
      <c r="V634" s="559"/>
      <c r="W634" s="559"/>
      <c r="X634" s="559"/>
      <c r="Y634" s="559"/>
      <c r="Z634" s="559"/>
      <c r="AA634" s="559"/>
      <c r="AB634" s="559"/>
      <c r="AC634" s="559"/>
      <c r="AD634" s="559"/>
      <c r="AE634" s="559"/>
      <c r="AF634" s="559"/>
      <c r="AG634" s="559"/>
    </row>
    <row r="635" spans="1:33" ht="18" customHeight="1" x14ac:dyDescent="0.35">
      <c r="A635" s="559"/>
      <c r="B635" s="559"/>
      <c r="C635" s="559"/>
      <c r="D635" s="559"/>
      <c r="E635" s="559"/>
      <c r="F635" s="559"/>
      <c r="G635" s="559"/>
      <c r="H635" s="559"/>
      <c r="I635" s="559"/>
      <c r="J635" s="559"/>
      <c r="K635" s="559"/>
      <c r="L635" s="559"/>
      <c r="M635" s="559"/>
      <c r="N635" s="559"/>
      <c r="O635" s="559"/>
      <c r="P635" s="559"/>
      <c r="Q635" s="559"/>
      <c r="R635" s="559"/>
      <c r="S635" s="559"/>
      <c r="T635" s="559"/>
      <c r="U635" s="559"/>
      <c r="V635" s="559"/>
      <c r="W635" s="559"/>
      <c r="X635" s="559"/>
      <c r="Y635" s="559"/>
      <c r="Z635" s="559"/>
      <c r="AA635" s="559"/>
      <c r="AB635" s="559"/>
      <c r="AC635" s="559"/>
      <c r="AD635" s="559"/>
      <c r="AE635" s="559"/>
      <c r="AF635" s="559"/>
      <c r="AG635" s="559"/>
    </row>
    <row r="636" spans="1:33" ht="18" customHeight="1" x14ac:dyDescent="0.35">
      <c r="A636" s="559"/>
      <c r="B636" s="559"/>
      <c r="C636" s="559"/>
      <c r="D636" s="559"/>
      <c r="E636" s="559"/>
      <c r="F636" s="559"/>
      <c r="G636" s="559"/>
      <c r="H636" s="559"/>
      <c r="I636" s="559"/>
      <c r="J636" s="559"/>
      <c r="K636" s="559"/>
      <c r="L636" s="559"/>
      <c r="M636" s="559"/>
      <c r="N636" s="559"/>
      <c r="O636" s="559"/>
      <c r="P636" s="559"/>
      <c r="Q636" s="559"/>
      <c r="R636" s="559"/>
      <c r="S636" s="559"/>
      <c r="T636" s="559"/>
      <c r="U636" s="559"/>
      <c r="V636" s="559"/>
      <c r="W636" s="559"/>
      <c r="X636" s="559"/>
      <c r="Y636" s="559"/>
      <c r="Z636" s="559"/>
      <c r="AA636" s="559"/>
      <c r="AB636" s="559"/>
      <c r="AC636" s="559"/>
      <c r="AD636" s="559"/>
      <c r="AE636" s="559"/>
      <c r="AF636" s="559"/>
      <c r="AG636" s="559"/>
    </row>
    <row r="637" spans="1:33" ht="18" customHeight="1" x14ac:dyDescent="0.35">
      <c r="A637" s="559"/>
      <c r="B637" s="559"/>
      <c r="C637" s="559"/>
      <c r="D637" s="559"/>
      <c r="E637" s="559"/>
      <c r="F637" s="559"/>
      <c r="G637" s="559"/>
      <c r="H637" s="559"/>
      <c r="I637" s="559"/>
      <c r="J637" s="559"/>
      <c r="K637" s="559"/>
      <c r="L637" s="559"/>
      <c r="M637" s="559"/>
      <c r="N637" s="559"/>
      <c r="O637" s="559"/>
      <c r="P637" s="559"/>
      <c r="Q637" s="559"/>
      <c r="R637" s="559"/>
      <c r="S637" s="559"/>
      <c r="T637" s="559"/>
      <c r="U637" s="559"/>
      <c r="V637" s="559"/>
      <c r="W637" s="559"/>
      <c r="X637" s="559"/>
      <c r="Y637" s="559"/>
      <c r="Z637" s="559"/>
      <c r="AA637" s="559"/>
      <c r="AB637" s="559"/>
      <c r="AC637" s="559"/>
      <c r="AD637" s="559"/>
      <c r="AE637" s="559"/>
      <c r="AF637" s="559"/>
      <c r="AG637" s="559"/>
    </row>
    <row r="638" spans="1:33" ht="18" customHeight="1" x14ac:dyDescent="0.35">
      <c r="A638" s="559"/>
      <c r="B638" s="559"/>
      <c r="C638" s="559"/>
      <c r="D638" s="559"/>
      <c r="E638" s="559"/>
      <c r="F638" s="559"/>
      <c r="G638" s="559"/>
      <c r="H638" s="559"/>
      <c r="I638" s="559"/>
      <c r="J638" s="559"/>
      <c r="K638" s="559"/>
      <c r="L638" s="559"/>
      <c r="M638" s="559"/>
      <c r="N638" s="559"/>
      <c r="O638" s="559"/>
      <c r="P638" s="559"/>
      <c r="Q638" s="559"/>
      <c r="R638" s="559"/>
      <c r="S638" s="559"/>
      <c r="T638" s="559"/>
      <c r="U638" s="559"/>
      <c r="V638" s="559"/>
      <c r="W638" s="559"/>
      <c r="X638" s="559"/>
      <c r="Y638" s="559"/>
      <c r="Z638" s="559"/>
      <c r="AA638" s="559"/>
      <c r="AB638" s="559"/>
      <c r="AC638" s="559"/>
      <c r="AD638" s="559"/>
      <c r="AE638" s="559"/>
      <c r="AF638" s="559"/>
      <c r="AG638" s="559"/>
    </row>
    <row r="639" spans="1:33" ht="18" customHeight="1" x14ac:dyDescent="0.35">
      <c r="A639" s="559"/>
      <c r="B639" s="559"/>
      <c r="C639" s="559"/>
      <c r="D639" s="559"/>
      <c r="E639" s="559"/>
      <c r="F639" s="559"/>
      <c r="G639" s="559"/>
      <c r="H639" s="559"/>
      <c r="I639" s="559"/>
      <c r="J639" s="559"/>
      <c r="K639" s="559"/>
      <c r="L639" s="559"/>
      <c r="M639" s="559"/>
      <c r="N639" s="559"/>
      <c r="O639" s="559"/>
      <c r="P639" s="559"/>
      <c r="Q639" s="559"/>
      <c r="R639" s="559"/>
      <c r="S639" s="559"/>
      <c r="T639" s="559"/>
      <c r="U639" s="559"/>
      <c r="V639" s="559"/>
      <c r="W639" s="559"/>
      <c r="X639" s="559"/>
      <c r="Y639" s="559"/>
      <c r="Z639" s="559"/>
      <c r="AA639" s="559"/>
      <c r="AB639" s="559"/>
      <c r="AC639" s="559"/>
      <c r="AD639" s="559"/>
      <c r="AE639" s="559"/>
      <c r="AF639" s="559"/>
      <c r="AG639" s="559"/>
    </row>
    <row r="640" spans="1:33" ht="18" customHeight="1" x14ac:dyDescent="0.35">
      <c r="A640" s="559"/>
      <c r="B640" s="559"/>
      <c r="C640" s="559"/>
      <c r="D640" s="559"/>
      <c r="E640" s="559"/>
      <c r="F640" s="559"/>
      <c r="G640" s="559"/>
      <c r="H640" s="559"/>
      <c r="I640" s="559"/>
      <c r="J640" s="559"/>
      <c r="K640" s="559"/>
      <c r="L640" s="559"/>
      <c r="M640" s="559"/>
      <c r="N640" s="559"/>
      <c r="O640" s="559"/>
      <c r="P640" s="559"/>
      <c r="Q640" s="559"/>
      <c r="R640" s="559"/>
      <c r="S640" s="559"/>
      <c r="T640" s="559"/>
      <c r="U640" s="559"/>
      <c r="V640" s="559"/>
      <c r="W640" s="559"/>
      <c r="X640" s="559"/>
      <c r="Y640" s="559"/>
      <c r="Z640" s="559"/>
      <c r="AA640" s="559"/>
      <c r="AB640" s="559"/>
      <c r="AC640" s="559"/>
      <c r="AD640" s="559"/>
      <c r="AE640" s="559"/>
      <c r="AF640" s="559"/>
      <c r="AG640" s="559"/>
    </row>
    <row r="641" spans="1:33" ht="18" customHeight="1" x14ac:dyDescent="0.35">
      <c r="A641" s="559"/>
      <c r="B641" s="559"/>
      <c r="C641" s="559"/>
      <c r="D641" s="559"/>
      <c r="E641" s="559"/>
      <c r="F641" s="559"/>
      <c r="G641" s="559"/>
      <c r="H641" s="559"/>
      <c r="I641" s="559"/>
      <c r="J641" s="559"/>
      <c r="K641" s="559"/>
      <c r="L641" s="559"/>
      <c r="M641" s="559"/>
      <c r="N641" s="559"/>
      <c r="O641" s="559"/>
      <c r="P641" s="559"/>
      <c r="Q641" s="559"/>
      <c r="R641" s="559"/>
      <c r="S641" s="559"/>
      <c r="T641" s="559"/>
      <c r="U641" s="559"/>
      <c r="V641" s="559"/>
      <c r="W641" s="559"/>
      <c r="X641" s="559"/>
      <c r="Y641" s="559"/>
      <c r="Z641" s="559"/>
      <c r="AA641" s="559"/>
      <c r="AB641" s="559"/>
      <c r="AC641" s="559"/>
      <c r="AD641" s="559"/>
      <c r="AE641" s="559"/>
      <c r="AF641" s="559"/>
      <c r="AG641" s="559"/>
    </row>
    <row r="642" spans="1:33" ht="18" customHeight="1" x14ac:dyDescent="0.35">
      <c r="A642" s="559"/>
      <c r="B642" s="559"/>
      <c r="C642" s="559"/>
      <c r="D642" s="559"/>
      <c r="E642" s="559"/>
      <c r="F642" s="559"/>
      <c r="G642" s="559"/>
      <c r="H642" s="559"/>
      <c r="I642" s="559"/>
      <c r="J642" s="559"/>
      <c r="K642" s="559"/>
      <c r="L642" s="559"/>
      <c r="M642" s="559"/>
      <c r="N642" s="559"/>
      <c r="O642" s="559"/>
      <c r="P642" s="559"/>
      <c r="Q642" s="559"/>
      <c r="R642" s="559"/>
      <c r="S642" s="559"/>
      <c r="T642" s="559"/>
      <c r="U642" s="559"/>
      <c r="V642" s="559"/>
      <c r="W642" s="559"/>
      <c r="X642" s="559"/>
      <c r="Y642" s="559"/>
      <c r="Z642" s="559"/>
      <c r="AA642" s="559"/>
      <c r="AB642" s="559"/>
      <c r="AC642" s="559"/>
      <c r="AD642" s="559"/>
      <c r="AE642" s="559"/>
      <c r="AF642" s="559"/>
      <c r="AG642" s="559"/>
    </row>
    <row r="643" spans="1:33" ht="18" customHeight="1" x14ac:dyDescent="0.35">
      <c r="A643" s="559"/>
      <c r="B643" s="559"/>
      <c r="C643" s="559"/>
      <c r="D643" s="559"/>
      <c r="E643" s="559"/>
      <c r="F643" s="559"/>
      <c r="G643" s="559"/>
      <c r="H643" s="559"/>
      <c r="I643" s="559"/>
      <c r="J643" s="559"/>
      <c r="K643" s="559"/>
      <c r="L643" s="559"/>
      <c r="M643" s="559"/>
      <c r="N643" s="559"/>
      <c r="O643" s="559"/>
      <c r="P643" s="559"/>
      <c r="Q643" s="559"/>
      <c r="R643" s="559"/>
      <c r="S643" s="559"/>
      <c r="T643" s="559"/>
      <c r="U643" s="559"/>
      <c r="V643" s="559"/>
      <c r="W643" s="559"/>
      <c r="X643" s="559"/>
      <c r="Y643" s="559"/>
      <c r="Z643" s="559"/>
      <c r="AA643" s="559"/>
      <c r="AB643" s="559"/>
      <c r="AC643" s="559"/>
      <c r="AD643" s="559"/>
      <c r="AE643" s="559"/>
      <c r="AF643" s="559"/>
      <c r="AG643" s="559"/>
    </row>
    <row r="644" spans="1:33" ht="18" customHeight="1" x14ac:dyDescent="0.35">
      <c r="A644" s="559"/>
      <c r="B644" s="559"/>
      <c r="C644" s="559"/>
      <c r="D644" s="559"/>
      <c r="E644" s="559"/>
      <c r="F644" s="559"/>
      <c r="G644" s="559"/>
      <c r="H644" s="559"/>
      <c r="I644" s="559"/>
      <c r="J644" s="559"/>
      <c r="K644" s="559"/>
      <c r="L644" s="559"/>
      <c r="M644" s="559"/>
      <c r="N644" s="559"/>
      <c r="O644" s="559"/>
      <c r="P644" s="559"/>
      <c r="Q644" s="559"/>
      <c r="R644" s="559"/>
      <c r="S644" s="559"/>
      <c r="T644" s="559"/>
      <c r="U644" s="559"/>
      <c r="V644" s="559"/>
      <c r="W644" s="559"/>
      <c r="X644" s="559"/>
      <c r="Y644" s="559"/>
      <c r="Z644" s="559"/>
      <c r="AA644" s="559"/>
      <c r="AB644" s="559"/>
      <c r="AC644" s="559"/>
      <c r="AD644" s="559"/>
      <c r="AE644" s="559"/>
      <c r="AF644" s="559"/>
      <c r="AG644" s="559"/>
    </row>
    <row r="645" spans="1:33" ht="18" customHeight="1" x14ac:dyDescent="0.35">
      <c r="A645" s="559"/>
      <c r="B645" s="559"/>
      <c r="C645" s="559"/>
      <c r="D645" s="559"/>
      <c r="E645" s="559"/>
      <c r="F645" s="559"/>
      <c r="G645" s="559"/>
      <c r="H645" s="559"/>
      <c r="I645" s="559"/>
      <c r="J645" s="559"/>
      <c r="K645" s="559"/>
      <c r="L645" s="559"/>
      <c r="M645" s="559"/>
      <c r="N645" s="559"/>
      <c r="O645" s="559"/>
      <c r="P645" s="559"/>
      <c r="Q645" s="559"/>
      <c r="R645" s="559"/>
      <c r="S645" s="559"/>
      <c r="T645" s="559"/>
      <c r="U645" s="559"/>
      <c r="V645" s="559"/>
      <c r="W645" s="559"/>
      <c r="X645" s="559"/>
      <c r="Y645" s="559"/>
      <c r="Z645" s="559"/>
      <c r="AA645" s="559"/>
      <c r="AB645" s="559"/>
      <c r="AC645" s="559"/>
      <c r="AD645" s="559"/>
      <c r="AE645" s="559"/>
      <c r="AF645" s="559"/>
      <c r="AG645" s="559"/>
    </row>
    <row r="646" spans="1:33" ht="18" customHeight="1" x14ac:dyDescent="0.35">
      <c r="A646" s="559"/>
      <c r="B646" s="559"/>
      <c r="C646" s="559"/>
      <c r="D646" s="559"/>
      <c r="E646" s="559"/>
      <c r="F646" s="559"/>
      <c r="G646" s="559"/>
      <c r="H646" s="559"/>
      <c r="I646" s="559"/>
      <c r="J646" s="559"/>
      <c r="K646" s="559"/>
      <c r="L646" s="559"/>
      <c r="M646" s="559"/>
      <c r="N646" s="559"/>
      <c r="O646" s="559"/>
      <c r="P646" s="559"/>
      <c r="Q646" s="559"/>
      <c r="R646" s="559"/>
      <c r="S646" s="559"/>
      <c r="T646" s="559"/>
      <c r="U646" s="559"/>
      <c r="V646" s="559"/>
      <c r="W646" s="559"/>
      <c r="X646" s="559"/>
      <c r="Y646" s="559"/>
      <c r="Z646" s="559"/>
      <c r="AA646" s="559"/>
      <c r="AB646" s="559"/>
      <c r="AC646" s="559"/>
      <c r="AD646" s="559"/>
      <c r="AE646" s="559"/>
      <c r="AF646" s="559"/>
      <c r="AG646" s="559"/>
    </row>
    <row r="647" spans="1:33" ht="18" customHeight="1" x14ac:dyDescent="0.35">
      <c r="A647" s="559"/>
      <c r="B647" s="559"/>
      <c r="C647" s="559"/>
      <c r="D647" s="559"/>
      <c r="E647" s="559"/>
      <c r="F647" s="559"/>
      <c r="G647" s="559"/>
      <c r="H647" s="559"/>
      <c r="I647" s="559"/>
      <c r="J647" s="559"/>
      <c r="K647" s="559"/>
      <c r="L647" s="559"/>
      <c r="M647" s="559"/>
      <c r="N647" s="559"/>
      <c r="O647" s="559"/>
      <c r="P647" s="559"/>
      <c r="Q647" s="559"/>
      <c r="R647" s="559"/>
      <c r="S647" s="559"/>
      <c r="T647" s="559"/>
      <c r="U647" s="559"/>
      <c r="V647" s="559"/>
      <c r="W647" s="559"/>
      <c r="X647" s="559"/>
      <c r="Y647" s="559"/>
      <c r="Z647" s="559"/>
      <c r="AA647" s="559"/>
      <c r="AB647" s="559"/>
      <c r="AC647" s="559"/>
      <c r="AD647" s="559"/>
      <c r="AE647" s="559"/>
      <c r="AF647" s="559"/>
      <c r="AG647" s="559"/>
    </row>
    <row r="648" spans="1:33" ht="18" customHeight="1" x14ac:dyDescent="0.35">
      <c r="A648" s="559"/>
      <c r="B648" s="559"/>
      <c r="C648" s="559"/>
      <c r="D648" s="559"/>
      <c r="E648" s="559"/>
      <c r="F648" s="559"/>
      <c r="G648" s="559"/>
      <c r="H648" s="559"/>
      <c r="I648" s="559"/>
      <c r="J648" s="559"/>
      <c r="K648" s="559"/>
      <c r="L648" s="559"/>
      <c r="M648" s="559"/>
      <c r="N648" s="559"/>
      <c r="O648" s="559"/>
      <c r="P648" s="559"/>
      <c r="Q648" s="559"/>
      <c r="R648" s="559"/>
      <c r="S648" s="559"/>
      <c r="T648" s="559"/>
      <c r="U648" s="559"/>
      <c r="V648" s="559"/>
      <c r="W648" s="559"/>
      <c r="X648" s="559"/>
      <c r="Y648" s="559"/>
      <c r="Z648" s="559"/>
      <c r="AA648" s="559"/>
      <c r="AB648" s="559"/>
      <c r="AC648" s="559"/>
      <c r="AD648" s="559"/>
      <c r="AE648" s="559"/>
      <c r="AF648" s="559"/>
      <c r="AG648" s="559"/>
    </row>
    <row r="649" spans="1:33" ht="18" customHeight="1" x14ac:dyDescent="0.35">
      <c r="A649" s="559"/>
      <c r="B649" s="559"/>
      <c r="C649" s="559"/>
      <c r="D649" s="559"/>
      <c r="E649" s="559"/>
      <c r="F649" s="559"/>
      <c r="G649" s="559"/>
      <c r="H649" s="559"/>
      <c r="I649" s="559"/>
      <c r="J649" s="559"/>
      <c r="K649" s="559"/>
      <c r="L649" s="559"/>
      <c r="M649" s="559"/>
      <c r="N649" s="559"/>
      <c r="O649" s="559"/>
      <c r="P649" s="559"/>
      <c r="Q649" s="559"/>
      <c r="R649" s="559"/>
      <c r="S649" s="559"/>
      <c r="T649" s="559"/>
      <c r="U649" s="559"/>
      <c r="V649" s="559"/>
      <c r="W649" s="559"/>
      <c r="X649" s="559"/>
      <c r="Y649" s="559"/>
      <c r="Z649" s="559"/>
      <c r="AA649" s="559"/>
      <c r="AB649" s="559"/>
      <c r="AC649" s="559"/>
      <c r="AD649" s="559"/>
      <c r="AE649" s="559"/>
      <c r="AF649" s="559"/>
      <c r="AG649" s="559"/>
    </row>
    <row r="650" spans="1:33" ht="18" customHeight="1" x14ac:dyDescent="0.35">
      <c r="A650" s="559"/>
      <c r="B650" s="559"/>
      <c r="C650" s="559"/>
      <c r="D650" s="559"/>
      <c r="E650" s="559"/>
      <c r="F650" s="559"/>
      <c r="G650" s="559"/>
      <c r="H650" s="559"/>
      <c r="I650" s="559"/>
      <c r="J650" s="559"/>
      <c r="K650" s="559"/>
      <c r="L650" s="559"/>
      <c r="M650" s="559"/>
      <c r="N650" s="559"/>
      <c r="O650" s="559"/>
      <c r="P650" s="559"/>
      <c r="Q650" s="559"/>
      <c r="R650" s="559"/>
      <c r="S650" s="559"/>
      <c r="T650" s="559"/>
      <c r="U650" s="559"/>
      <c r="V650" s="559"/>
      <c r="W650" s="559"/>
      <c r="X650" s="559"/>
      <c r="Y650" s="559"/>
      <c r="Z650" s="559"/>
      <c r="AA650" s="559"/>
      <c r="AB650" s="559"/>
      <c r="AC650" s="559"/>
      <c r="AD650" s="559"/>
      <c r="AE650" s="559"/>
      <c r="AF650" s="559"/>
      <c r="AG650" s="559"/>
    </row>
    <row r="651" spans="1:33" ht="18" customHeight="1" x14ac:dyDescent="0.35">
      <c r="A651" s="559"/>
      <c r="B651" s="559"/>
      <c r="C651" s="559"/>
      <c r="D651" s="559"/>
      <c r="E651" s="559"/>
      <c r="F651" s="559"/>
      <c r="G651" s="559"/>
      <c r="H651" s="559"/>
      <c r="I651" s="559"/>
      <c r="J651" s="559"/>
      <c r="K651" s="559"/>
      <c r="L651" s="559"/>
      <c r="M651" s="559"/>
      <c r="N651" s="559"/>
      <c r="O651" s="559"/>
      <c r="P651" s="559"/>
      <c r="Q651" s="559"/>
      <c r="R651" s="559"/>
      <c r="S651" s="559"/>
      <c r="T651" s="559"/>
      <c r="U651" s="559"/>
      <c r="V651" s="559"/>
      <c r="W651" s="559"/>
      <c r="X651" s="559"/>
      <c r="Y651" s="559"/>
      <c r="Z651" s="559"/>
      <c r="AA651" s="559"/>
      <c r="AB651" s="559"/>
      <c r="AC651" s="559"/>
      <c r="AD651" s="559"/>
      <c r="AE651" s="559"/>
      <c r="AF651" s="559"/>
      <c r="AG651" s="559"/>
    </row>
    <row r="652" spans="1:33" ht="18" customHeight="1" x14ac:dyDescent="0.35">
      <c r="A652" s="559"/>
      <c r="B652" s="559"/>
      <c r="C652" s="559"/>
      <c r="D652" s="559"/>
      <c r="E652" s="559"/>
      <c r="F652" s="559"/>
      <c r="G652" s="559"/>
      <c r="H652" s="559"/>
      <c r="I652" s="559"/>
      <c r="J652" s="559"/>
      <c r="K652" s="559"/>
      <c r="L652" s="559"/>
      <c r="M652" s="559"/>
      <c r="N652" s="559"/>
      <c r="O652" s="559"/>
      <c r="P652" s="559"/>
      <c r="Q652" s="559"/>
      <c r="R652" s="559"/>
      <c r="S652" s="559"/>
      <c r="T652" s="559"/>
      <c r="U652" s="559"/>
      <c r="V652" s="559"/>
      <c r="W652" s="559"/>
      <c r="X652" s="559"/>
      <c r="Y652" s="559"/>
      <c r="Z652" s="559"/>
      <c r="AA652" s="559"/>
      <c r="AB652" s="559"/>
      <c r="AC652" s="559"/>
      <c r="AD652" s="559"/>
      <c r="AE652" s="559"/>
      <c r="AF652" s="559"/>
      <c r="AG652" s="559"/>
    </row>
    <row r="653" spans="1:33" ht="18" customHeight="1" x14ac:dyDescent="0.35">
      <c r="A653" s="559"/>
      <c r="B653" s="559"/>
      <c r="C653" s="559"/>
      <c r="D653" s="559"/>
      <c r="E653" s="559"/>
      <c r="F653" s="559"/>
      <c r="G653" s="559"/>
      <c r="H653" s="559"/>
      <c r="I653" s="559"/>
      <c r="J653" s="559"/>
      <c r="K653" s="559"/>
      <c r="L653" s="559"/>
      <c r="M653" s="559"/>
      <c r="N653" s="559"/>
      <c r="O653" s="559"/>
      <c r="P653" s="559"/>
      <c r="Q653" s="559"/>
      <c r="R653" s="559"/>
      <c r="S653" s="559"/>
      <c r="T653" s="559"/>
      <c r="U653" s="559"/>
      <c r="V653" s="559"/>
      <c r="W653" s="559"/>
      <c r="X653" s="559"/>
      <c r="Y653" s="559"/>
      <c r="Z653" s="559"/>
      <c r="AA653" s="559"/>
      <c r="AB653" s="559"/>
      <c r="AC653" s="559"/>
      <c r="AD653" s="559"/>
      <c r="AE653" s="559"/>
      <c r="AF653" s="559"/>
      <c r="AG653" s="559"/>
    </row>
    <row r="654" spans="1:33" ht="18" customHeight="1" x14ac:dyDescent="0.35">
      <c r="A654" s="559"/>
      <c r="B654" s="559"/>
      <c r="C654" s="559"/>
      <c r="D654" s="559"/>
      <c r="E654" s="559"/>
      <c r="F654" s="559"/>
      <c r="G654" s="559"/>
      <c r="H654" s="559"/>
      <c r="I654" s="559"/>
      <c r="J654" s="559"/>
      <c r="K654" s="559"/>
      <c r="L654" s="559"/>
      <c r="M654" s="559"/>
      <c r="N654" s="559"/>
      <c r="O654" s="559"/>
      <c r="P654" s="559"/>
      <c r="Q654" s="559"/>
      <c r="R654" s="559"/>
      <c r="S654" s="559"/>
      <c r="T654" s="559"/>
      <c r="U654" s="559"/>
      <c r="V654" s="559"/>
      <c r="W654" s="559"/>
      <c r="X654" s="559"/>
      <c r="Y654" s="559"/>
      <c r="Z654" s="559"/>
      <c r="AA654" s="559"/>
      <c r="AB654" s="559"/>
      <c r="AC654" s="559"/>
      <c r="AD654" s="559"/>
      <c r="AE654" s="559"/>
      <c r="AF654" s="559"/>
      <c r="AG654" s="559"/>
    </row>
    <row r="655" spans="1:33" ht="18" customHeight="1" x14ac:dyDescent="0.35">
      <c r="A655" s="559"/>
      <c r="B655" s="559"/>
      <c r="C655" s="559"/>
      <c r="D655" s="559"/>
      <c r="E655" s="559"/>
      <c r="F655" s="559"/>
      <c r="G655" s="559"/>
      <c r="H655" s="559"/>
      <c r="I655" s="559"/>
      <c r="J655" s="559"/>
      <c r="K655" s="559"/>
      <c r="L655" s="559"/>
      <c r="M655" s="559"/>
      <c r="N655" s="559"/>
      <c r="O655" s="559"/>
      <c r="P655" s="559"/>
      <c r="Q655" s="559"/>
      <c r="R655" s="559"/>
      <c r="S655" s="559"/>
      <c r="T655" s="559"/>
      <c r="U655" s="559"/>
      <c r="V655" s="559"/>
      <c r="W655" s="559"/>
      <c r="X655" s="559"/>
      <c r="Y655" s="559"/>
      <c r="Z655" s="559"/>
      <c r="AA655" s="559"/>
      <c r="AB655" s="559"/>
      <c r="AC655" s="559"/>
      <c r="AD655" s="559"/>
      <c r="AE655" s="559"/>
      <c r="AF655" s="559"/>
      <c r="AG655" s="559"/>
    </row>
    <row r="656" spans="1:33" ht="18" customHeight="1" x14ac:dyDescent="0.35">
      <c r="A656" s="559"/>
      <c r="B656" s="559"/>
      <c r="C656" s="559"/>
      <c r="D656" s="559"/>
      <c r="E656" s="559"/>
      <c r="F656" s="559"/>
      <c r="G656" s="559"/>
      <c r="H656" s="559"/>
      <c r="I656" s="559"/>
      <c r="J656" s="559"/>
      <c r="K656" s="559"/>
      <c r="L656" s="559"/>
      <c r="M656" s="559"/>
      <c r="N656" s="559"/>
      <c r="O656" s="559"/>
      <c r="P656" s="559"/>
      <c r="Q656" s="559"/>
      <c r="R656" s="559"/>
      <c r="S656" s="559"/>
      <c r="T656" s="559"/>
      <c r="U656" s="559"/>
      <c r="V656" s="559"/>
      <c r="W656" s="559"/>
      <c r="X656" s="559"/>
      <c r="Y656" s="559"/>
      <c r="Z656" s="559"/>
      <c r="AA656" s="559"/>
      <c r="AB656" s="559"/>
      <c r="AC656" s="559"/>
      <c r="AD656" s="559"/>
      <c r="AE656" s="559"/>
      <c r="AF656" s="559"/>
      <c r="AG656" s="559"/>
    </row>
    <row r="657" spans="1:33" ht="18" customHeight="1" x14ac:dyDescent="0.35">
      <c r="A657" s="559"/>
      <c r="B657" s="559"/>
      <c r="C657" s="559"/>
      <c r="D657" s="559"/>
      <c r="E657" s="559"/>
      <c r="F657" s="559"/>
      <c r="G657" s="559"/>
      <c r="H657" s="559"/>
      <c r="I657" s="559"/>
      <c r="J657" s="559"/>
      <c r="K657" s="559"/>
      <c r="L657" s="559"/>
      <c r="M657" s="559"/>
      <c r="N657" s="559"/>
      <c r="O657" s="559"/>
      <c r="P657" s="559"/>
      <c r="Q657" s="559"/>
      <c r="R657" s="559"/>
      <c r="S657" s="559"/>
      <c r="T657" s="559"/>
      <c r="U657" s="559"/>
      <c r="V657" s="559"/>
      <c r="W657" s="559"/>
      <c r="X657" s="559"/>
      <c r="Y657" s="559"/>
      <c r="Z657" s="559"/>
      <c r="AA657" s="559"/>
      <c r="AB657" s="559"/>
      <c r="AC657" s="559"/>
      <c r="AD657" s="559"/>
      <c r="AE657" s="559"/>
      <c r="AF657" s="559"/>
      <c r="AG657" s="559"/>
    </row>
    <row r="658" spans="1:33" ht="18" customHeight="1" x14ac:dyDescent="0.35">
      <c r="A658" s="559"/>
      <c r="B658" s="559"/>
      <c r="C658" s="559"/>
      <c r="D658" s="559"/>
      <c r="E658" s="559"/>
      <c r="F658" s="559"/>
      <c r="G658" s="559"/>
      <c r="H658" s="559"/>
      <c r="I658" s="559"/>
      <c r="J658" s="559"/>
      <c r="K658" s="559"/>
      <c r="L658" s="559"/>
      <c r="M658" s="559"/>
      <c r="N658" s="559"/>
      <c r="O658" s="559"/>
      <c r="P658" s="559"/>
      <c r="Q658" s="559"/>
      <c r="R658" s="559"/>
      <c r="S658" s="559"/>
      <c r="T658" s="559"/>
      <c r="U658" s="559"/>
      <c r="V658" s="559"/>
      <c r="W658" s="559"/>
      <c r="X658" s="559"/>
      <c r="Y658" s="559"/>
      <c r="Z658" s="559"/>
      <c r="AA658" s="559"/>
      <c r="AB658" s="559"/>
      <c r="AC658" s="559"/>
      <c r="AD658" s="559"/>
      <c r="AE658" s="559"/>
      <c r="AF658" s="559"/>
      <c r="AG658" s="559"/>
    </row>
    <row r="659" spans="1:33" ht="18" customHeight="1" x14ac:dyDescent="0.35">
      <c r="A659" s="559"/>
      <c r="B659" s="559"/>
      <c r="C659" s="559"/>
      <c r="D659" s="559"/>
      <c r="E659" s="559"/>
      <c r="F659" s="559"/>
      <c r="G659" s="559"/>
      <c r="H659" s="559"/>
      <c r="I659" s="559"/>
      <c r="J659" s="559"/>
      <c r="K659" s="559"/>
      <c r="L659" s="559"/>
      <c r="M659" s="559"/>
      <c r="N659" s="559"/>
      <c r="O659" s="559"/>
      <c r="P659" s="559"/>
      <c r="Q659" s="559"/>
      <c r="R659" s="559"/>
      <c r="S659" s="559"/>
      <c r="T659" s="559"/>
      <c r="U659" s="559"/>
      <c r="V659" s="559"/>
      <c r="W659" s="559"/>
      <c r="X659" s="559"/>
      <c r="Y659" s="559"/>
      <c r="Z659" s="559"/>
      <c r="AA659" s="559"/>
      <c r="AB659" s="559"/>
      <c r="AC659" s="559"/>
      <c r="AD659" s="559"/>
      <c r="AE659" s="559"/>
      <c r="AF659" s="559"/>
      <c r="AG659" s="559"/>
    </row>
    <row r="660" spans="1:33" ht="18" customHeight="1" x14ac:dyDescent="0.35">
      <c r="A660" s="559"/>
      <c r="B660" s="559"/>
      <c r="C660" s="559"/>
      <c r="D660" s="559"/>
      <c r="E660" s="559"/>
      <c r="F660" s="559"/>
      <c r="G660" s="559"/>
      <c r="H660" s="559"/>
      <c r="I660" s="559"/>
      <c r="J660" s="559"/>
      <c r="K660" s="559"/>
      <c r="L660" s="559"/>
      <c r="M660" s="559"/>
      <c r="N660" s="559"/>
      <c r="O660" s="559"/>
      <c r="P660" s="559"/>
      <c r="Q660" s="559"/>
      <c r="R660" s="559"/>
      <c r="S660" s="559"/>
      <c r="T660" s="559"/>
      <c r="U660" s="559"/>
      <c r="V660" s="559"/>
      <c r="W660" s="559"/>
      <c r="X660" s="559"/>
      <c r="Y660" s="559"/>
      <c r="Z660" s="559"/>
      <c r="AA660" s="559"/>
      <c r="AB660" s="559"/>
      <c r="AC660" s="559"/>
      <c r="AD660" s="559"/>
      <c r="AE660" s="559"/>
      <c r="AF660" s="559"/>
      <c r="AG660" s="559"/>
    </row>
    <row r="661" spans="1:33" ht="18" customHeight="1" x14ac:dyDescent="0.35">
      <c r="A661" s="559"/>
      <c r="B661" s="559"/>
      <c r="C661" s="559"/>
      <c r="D661" s="559"/>
      <c r="E661" s="559"/>
      <c r="F661" s="559"/>
      <c r="G661" s="559"/>
      <c r="H661" s="559"/>
      <c r="I661" s="559"/>
      <c r="J661" s="559"/>
      <c r="K661" s="559"/>
      <c r="L661" s="559"/>
      <c r="M661" s="559"/>
      <c r="N661" s="559"/>
      <c r="O661" s="559"/>
      <c r="P661" s="559"/>
      <c r="Q661" s="559"/>
      <c r="R661" s="559"/>
      <c r="S661" s="559"/>
      <c r="T661" s="559"/>
      <c r="U661" s="559"/>
      <c r="V661" s="559"/>
      <c r="W661" s="559"/>
      <c r="X661" s="559"/>
      <c r="Y661" s="559"/>
      <c r="Z661" s="559"/>
      <c r="AA661" s="559"/>
      <c r="AB661" s="559"/>
      <c r="AC661" s="559"/>
      <c r="AD661" s="559"/>
      <c r="AE661" s="559"/>
      <c r="AF661" s="559"/>
      <c r="AG661" s="559"/>
    </row>
    <row r="662" spans="1:33" ht="18" customHeight="1" x14ac:dyDescent="0.35">
      <c r="A662" s="559"/>
      <c r="B662" s="559"/>
      <c r="C662" s="559"/>
      <c r="D662" s="559"/>
      <c r="E662" s="559"/>
      <c r="F662" s="559"/>
      <c r="G662" s="559"/>
      <c r="H662" s="559"/>
      <c r="I662" s="559"/>
      <c r="J662" s="559"/>
      <c r="K662" s="559"/>
      <c r="L662" s="559"/>
      <c r="M662" s="559"/>
      <c r="N662" s="559"/>
      <c r="O662" s="559"/>
      <c r="P662" s="559"/>
      <c r="Q662" s="559"/>
      <c r="R662" s="559"/>
      <c r="S662" s="559"/>
      <c r="T662" s="559"/>
      <c r="U662" s="559"/>
      <c r="V662" s="559"/>
      <c r="W662" s="559"/>
      <c r="X662" s="559"/>
      <c r="Y662" s="559"/>
      <c r="Z662" s="559"/>
      <c r="AA662" s="559"/>
      <c r="AB662" s="559"/>
      <c r="AC662" s="559"/>
      <c r="AD662" s="559"/>
      <c r="AE662" s="559"/>
      <c r="AF662" s="559"/>
      <c r="AG662" s="559"/>
    </row>
    <row r="663" spans="1:33" ht="18" customHeight="1" x14ac:dyDescent="0.35">
      <c r="A663" s="559"/>
      <c r="B663" s="559"/>
      <c r="C663" s="559"/>
      <c r="D663" s="559"/>
      <c r="E663" s="559"/>
      <c r="F663" s="559"/>
      <c r="G663" s="559"/>
      <c r="H663" s="559"/>
      <c r="I663" s="559"/>
      <c r="J663" s="559"/>
      <c r="K663" s="559"/>
      <c r="L663" s="559"/>
      <c r="M663" s="559"/>
      <c r="N663" s="559"/>
      <c r="O663" s="559"/>
      <c r="P663" s="559"/>
      <c r="Q663" s="559"/>
      <c r="R663" s="559"/>
      <c r="S663" s="559"/>
      <c r="T663" s="559"/>
      <c r="U663" s="559"/>
      <c r="V663" s="559"/>
      <c r="W663" s="559"/>
      <c r="X663" s="559"/>
      <c r="Y663" s="559"/>
      <c r="Z663" s="559"/>
      <c r="AA663" s="559"/>
      <c r="AB663" s="559"/>
      <c r="AC663" s="559"/>
      <c r="AD663" s="559"/>
      <c r="AE663" s="559"/>
      <c r="AF663" s="559"/>
      <c r="AG663" s="559"/>
    </row>
    <row r="664" spans="1:33" ht="18" customHeight="1" x14ac:dyDescent="0.35">
      <c r="A664" s="559"/>
      <c r="B664" s="559"/>
      <c r="C664" s="559"/>
      <c r="D664" s="559"/>
      <c r="E664" s="559"/>
      <c r="F664" s="559"/>
      <c r="G664" s="559"/>
      <c r="H664" s="559"/>
      <c r="I664" s="559"/>
      <c r="J664" s="559"/>
      <c r="K664" s="559"/>
      <c r="L664" s="559"/>
      <c r="M664" s="559"/>
      <c r="N664" s="559"/>
      <c r="O664" s="559"/>
      <c r="P664" s="559"/>
      <c r="Q664" s="559"/>
      <c r="R664" s="559"/>
      <c r="S664" s="559"/>
      <c r="T664" s="559"/>
      <c r="U664" s="559"/>
      <c r="V664" s="559"/>
      <c r="W664" s="559"/>
      <c r="X664" s="559"/>
      <c r="Y664" s="559"/>
      <c r="Z664" s="559"/>
      <c r="AA664" s="559"/>
      <c r="AB664" s="559"/>
      <c r="AC664" s="559"/>
      <c r="AD664" s="559"/>
      <c r="AE664" s="559"/>
      <c r="AF664" s="559"/>
      <c r="AG664" s="559"/>
    </row>
    <row r="665" spans="1:33" ht="18" customHeight="1" x14ac:dyDescent="0.35">
      <c r="A665" s="559"/>
      <c r="B665" s="559"/>
      <c r="C665" s="559"/>
      <c r="D665" s="559"/>
      <c r="E665" s="559"/>
      <c r="F665" s="559"/>
      <c r="G665" s="559"/>
      <c r="H665" s="559"/>
      <c r="I665" s="559"/>
      <c r="J665" s="559"/>
      <c r="K665" s="559"/>
      <c r="L665" s="559"/>
      <c r="M665" s="559"/>
      <c r="N665" s="559"/>
      <c r="O665" s="559"/>
      <c r="P665" s="559"/>
      <c r="Q665" s="559"/>
      <c r="R665" s="559"/>
      <c r="S665" s="559"/>
      <c r="T665" s="559"/>
      <c r="U665" s="559"/>
      <c r="V665" s="559"/>
      <c r="W665" s="559"/>
      <c r="X665" s="559"/>
      <c r="Y665" s="559"/>
      <c r="Z665" s="559"/>
      <c r="AA665" s="559"/>
      <c r="AB665" s="559"/>
      <c r="AC665" s="559"/>
      <c r="AD665" s="559"/>
      <c r="AE665" s="559"/>
      <c r="AF665" s="559"/>
      <c r="AG665" s="559"/>
    </row>
    <row r="666" spans="1:33" ht="18" customHeight="1" x14ac:dyDescent="0.35">
      <c r="A666" s="559"/>
      <c r="B666" s="559"/>
      <c r="C666" s="559"/>
      <c r="D666" s="559"/>
      <c r="E666" s="559"/>
      <c r="F666" s="559"/>
      <c r="G666" s="559"/>
      <c r="H666" s="559"/>
      <c r="I666" s="559"/>
      <c r="J666" s="559"/>
      <c r="K666" s="559"/>
      <c r="L666" s="559"/>
      <c r="M666" s="559"/>
      <c r="N666" s="559"/>
      <c r="O666" s="559"/>
      <c r="P666" s="559"/>
      <c r="Q666" s="559"/>
      <c r="R666" s="559"/>
      <c r="S666" s="559"/>
      <c r="T666" s="559"/>
      <c r="U666" s="559"/>
      <c r="V666" s="559"/>
      <c r="W666" s="559"/>
      <c r="X666" s="559"/>
      <c r="Y666" s="559"/>
      <c r="Z666" s="559"/>
      <c r="AA666" s="559"/>
      <c r="AB666" s="559"/>
      <c r="AC666" s="559"/>
      <c r="AD666" s="559"/>
      <c r="AE666" s="559"/>
      <c r="AF666" s="559"/>
      <c r="AG666" s="559"/>
    </row>
    <row r="667" spans="1:33" ht="18" customHeight="1" x14ac:dyDescent="0.35">
      <c r="A667" s="559"/>
      <c r="B667" s="559"/>
      <c r="C667" s="559"/>
      <c r="D667" s="559"/>
      <c r="E667" s="559"/>
      <c r="F667" s="559"/>
      <c r="G667" s="559"/>
      <c r="H667" s="559"/>
      <c r="I667" s="559"/>
      <c r="J667" s="559"/>
      <c r="K667" s="559"/>
      <c r="L667" s="559"/>
      <c r="M667" s="559"/>
      <c r="N667" s="559"/>
      <c r="O667" s="559"/>
      <c r="P667" s="559"/>
      <c r="Q667" s="559"/>
      <c r="R667" s="559"/>
      <c r="S667" s="559"/>
      <c r="T667" s="559"/>
      <c r="U667" s="559"/>
      <c r="V667" s="559"/>
      <c r="W667" s="559"/>
      <c r="X667" s="559"/>
      <c r="Y667" s="559"/>
      <c r="Z667" s="559"/>
      <c r="AA667" s="559"/>
      <c r="AB667" s="559"/>
      <c r="AC667" s="559"/>
      <c r="AD667" s="559"/>
      <c r="AE667" s="559"/>
      <c r="AF667" s="559"/>
      <c r="AG667" s="559"/>
    </row>
    <row r="668" spans="1:33" ht="18" customHeight="1" x14ac:dyDescent="0.35">
      <c r="A668" s="559"/>
      <c r="B668" s="559"/>
      <c r="C668" s="559"/>
      <c r="D668" s="559"/>
      <c r="E668" s="559"/>
      <c r="F668" s="559"/>
      <c r="G668" s="559"/>
      <c r="H668" s="559"/>
      <c r="I668" s="559"/>
      <c r="J668" s="559"/>
      <c r="K668" s="559"/>
      <c r="L668" s="559"/>
      <c r="M668" s="559"/>
      <c r="N668" s="559"/>
      <c r="O668" s="559"/>
      <c r="P668" s="559"/>
      <c r="Q668" s="559"/>
      <c r="R668" s="559"/>
      <c r="S668" s="559"/>
      <c r="T668" s="559"/>
      <c r="U668" s="559"/>
      <c r="V668" s="559"/>
      <c r="W668" s="559"/>
      <c r="X668" s="559"/>
      <c r="Y668" s="559"/>
      <c r="Z668" s="559"/>
      <c r="AA668" s="559"/>
      <c r="AB668" s="559"/>
      <c r="AC668" s="559"/>
      <c r="AD668" s="559"/>
      <c r="AE668" s="559"/>
      <c r="AF668" s="559"/>
      <c r="AG668" s="559"/>
    </row>
    <row r="669" spans="1:33" ht="18" customHeight="1" x14ac:dyDescent="0.35">
      <c r="A669" s="559"/>
      <c r="B669" s="559"/>
      <c r="C669" s="559"/>
      <c r="D669" s="559"/>
      <c r="E669" s="559"/>
      <c r="F669" s="559"/>
      <c r="G669" s="559"/>
      <c r="H669" s="559"/>
      <c r="I669" s="559"/>
      <c r="J669" s="559"/>
      <c r="K669" s="559"/>
      <c r="L669" s="559"/>
      <c r="M669" s="559"/>
      <c r="N669" s="559"/>
      <c r="O669" s="559"/>
      <c r="P669" s="559"/>
      <c r="Q669" s="559"/>
      <c r="R669" s="559"/>
      <c r="S669" s="559"/>
      <c r="T669" s="559"/>
      <c r="U669" s="559"/>
      <c r="V669" s="559"/>
      <c r="W669" s="559"/>
      <c r="X669" s="559"/>
      <c r="Y669" s="559"/>
      <c r="Z669" s="559"/>
      <c r="AA669" s="559"/>
      <c r="AB669" s="559"/>
      <c r="AC669" s="559"/>
      <c r="AD669" s="559"/>
      <c r="AE669" s="559"/>
      <c r="AF669" s="559"/>
      <c r="AG669" s="559"/>
    </row>
    <row r="670" spans="1:33" ht="18" customHeight="1" x14ac:dyDescent="0.35">
      <c r="A670" s="559"/>
      <c r="B670" s="559"/>
      <c r="C670" s="559"/>
      <c r="D670" s="559"/>
      <c r="E670" s="559"/>
      <c r="F670" s="559"/>
      <c r="G670" s="559"/>
      <c r="H670" s="559"/>
      <c r="I670" s="559"/>
      <c r="J670" s="559"/>
      <c r="K670" s="559"/>
      <c r="L670" s="559"/>
      <c r="M670" s="559"/>
      <c r="N670" s="559"/>
      <c r="O670" s="559"/>
      <c r="P670" s="559"/>
      <c r="Q670" s="559"/>
      <c r="R670" s="559"/>
      <c r="S670" s="559"/>
      <c r="T670" s="559"/>
      <c r="U670" s="559"/>
      <c r="V670" s="559"/>
      <c r="W670" s="559"/>
      <c r="X670" s="559"/>
      <c r="Y670" s="559"/>
      <c r="Z670" s="559"/>
      <c r="AA670" s="559"/>
      <c r="AB670" s="559"/>
      <c r="AC670" s="559"/>
      <c r="AD670" s="559"/>
      <c r="AE670" s="559"/>
      <c r="AF670" s="559"/>
      <c r="AG670" s="559"/>
    </row>
    <row r="671" spans="1:33" ht="18" customHeight="1" x14ac:dyDescent="0.35">
      <c r="A671" s="559"/>
      <c r="B671" s="559"/>
      <c r="C671" s="559"/>
      <c r="D671" s="559"/>
      <c r="E671" s="559"/>
      <c r="F671" s="559"/>
      <c r="G671" s="559"/>
      <c r="H671" s="559"/>
      <c r="I671" s="559"/>
      <c r="J671" s="559"/>
      <c r="K671" s="559"/>
      <c r="L671" s="559"/>
      <c r="M671" s="559"/>
      <c r="N671" s="559"/>
      <c r="O671" s="559"/>
      <c r="P671" s="559"/>
      <c r="Q671" s="559"/>
      <c r="R671" s="559"/>
      <c r="S671" s="559"/>
      <c r="T671" s="559"/>
      <c r="U671" s="559"/>
      <c r="V671" s="559"/>
      <c r="W671" s="559"/>
      <c r="X671" s="559"/>
      <c r="Y671" s="559"/>
      <c r="Z671" s="559"/>
      <c r="AA671" s="559"/>
      <c r="AB671" s="559"/>
      <c r="AC671" s="559"/>
      <c r="AD671" s="559"/>
      <c r="AE671" s="559"/>
      <c r="AF671" s="559"/>
      <c r="AG671" s="559"/>
    </row>
    <row r="672" spans="1:33" ht="18" customHeight="1" x14ac:dyDescent="0.35">
      <c r="A672" s="559"/>
      <c r="B672" s="559"/>
      <c r="C672" s="559"/>
      <c r="D672" s="559"/>
      <c r="E672" s="559"/>
      <c r="F672" s="559"/>
      <c r="G672" s="559"/>
      <c r="H672" s="559"/>
      <c r="I672" s="559"/>
      <c r="J672" s="559"/>
      <c r="K672" s="559"/>
      <c r="L672" s="559"/>
      <c r="M672" s="559"/>
      <c r="N672" s="559"/>
      <c r="O672" s="559"/>
      <c r="P672" s="559"/>
      <c r="Q672" s="559"/>
      <c r="R672" s="559"/>
      <c r="S672" s="559"/>
      <c r="T672" s="559"/>
      <c r="U672" s="559"/>
      <c r="V672" s="559"/>
      <c r="W672" s="559"/>
      <c r="X672" s="559"/>
      <c r="Y672" s="559"/>
      <c r="Z672" s="559"/>
      <c r="AA672" s="559"/>
      <c r="AB672" s="559"/>
      <c r="AC672" s="559"/>
      <c r="AD672" s="559"/>
      <c r="AE672" s="559"/>
      <c r="AF672" s="559"/>
      <c r="AG672" s="559"/>
    </row>
    <row r="673" spans="1:33" ht="18" customHeight="1" x14ac:dyDescent="0.35">
      <c r="A673" s="559"/>
      <c r="B673" s="559"/>
      <c r="C673" s="559"/>
      <c r="D673" s="559"/>
      <c r="E673" s="559"/>
      <c r="F673" s="559"/>
      <c r="G673" s="559"/>
      <c r="H673" s="559"/>
      <c r="I673" s="559"/>
      <c r="J673" s="559"/>
      <c r="K673" s="559"/>
      <c r="L673" s="559"/>
      <c r="M673" s="559"/>
      <c r="N673" s="559"/>
      <c r="O673" s="559"/>
      <c r="P673" s="559"/>
      <c r="Q673" s="559"/>
      <c r="R673" s="559"/>
      <c r="S673" s="559"/>
      <c r="T673" s="559"/>
      <c r="U673" s="559"/>
      <c r="V673" s="559"/>
      <c r="W673" s="559"/>
      <c r="X673" s="559"/>
      <c r="Y673" s="559"/>
      <c r="Z673" s="559"/>
      <c r="AA673" s="559"/>
      <c r="AB673" s="559"/>
      <c r="AC673" s="559"/>
      <c r="AD673" s="559"/>
      <c r="AE673" s="559"/>
      <c r="AF673" s="559"/>
      <c r="AG673" s="559"/>
    </row>
    <row r="674" spans="1:33" ht="18" customHeight="1" x14ac:dyDescent="0.35">
      <c r="A674" s="559"/>
      <c r="B674" s="559"/>
      <c r="C674" s="559"/>
      <c r="D674" s="559"/>
      <c r="E674" s="559"/>
      <c r="F674" s="559"/>
      <c r="G674" s="559"/>
      <c r="H674" s="559"/>
      <c r="I674" s="559"/>
      <c r="J674" s="559"/>
      <c r="K674" s="559"/>
      <c r="L674" s="559"/>
      <c r="M674" s="559"/>
      <c r="N674" s="559"/>
      <c r="O674" s="559"/>
      <c r="P674" s="559"/>
      <c r="Q674" s="559"/>
      <c r="R674" s="559"/>
      <c r="S674" s="559"/>
      <c r="T674" s="559"/>
      <c r="U674" s="559"/>
      <c r="V674" s="559"/>
      <c r="W674" s="559"/>
      <c r="X674" s="559"/>
      <c r="Y674" s="559"/>
      <c r="Z674" s="559"/>
      <c r="AA674" s="559"/>
      <c r="AB674" s="559"/>
      <c r="AC674" s="559"/>
      <c r="AD674" s="559"/>
      <c r="AE674" s="559"/>
      <c r="AF674" s="559"/>
      <c r="AG674" s="559"/>
    </row>
    <row r="675" spans="1:33" ht="18" customHeight="1" x14ac:dyDescent="0.35">
      <c r="A675" s="559"/>
      <c r="B675" s="559"/>
      <c r="C675" s="559"/>
      <c r="D675" s="559"/>
      <c r="E675" s="559"/>
      <c r="F675" s="559"/>
      <c r="G675" s="559"/>
      <c r="H675" s="559"/>
      <c r="I675" s="559"/>
      <c r="J675" s="559"/>
      <c r="K675" s="559"/>
      <c r="L675" s="559"/>
      <c r="M675" s="559"/>
      <c r="N675" s="559"/>
      <c r="O675" s="559"/>
      <c r="P675" s="559"/>
      <c r="Q675" s="559"/>
      <c r="R675" s="559"/>
      <c r="S675" s="559"/>
      <c r="T675" s="559"/>
      <c r="U675" s="559"/>
      <c r="V675" s="559"/>
      <c r="W675" s="559"/>
      <c r="X675" s="559"/>
      <c r="Y675" s="559"/>
      <c r="Z675" s="559"/>
      <c r="AA675" s="559"/>
      <c r="AB675" s="559"/>
      <c r="AC675" s="559"/>
      <c r="AD675" s="559"/>
      <c r="AE675" s="559"/>
      <c r="AF675" s="559"/>
      <c r="AG675" s="559"/>
    </row>
    <row r="676" spans="1:33" ht="18" customHeight="1" x14ac:dyDescent="0.35">
      <c r="A676" s="559"/>
      <c r="B676" s="559"/>
      <c r="C676" s="559"/>
      <c r="D676" s="559"/>
      <c r="E676" s="559"/>
      <c r="F676" s="559"/>
      <c r="G676" s="559"/>
      <c r="H676" s="559"/>
      <c r="I676" s="559"/>
      <c r="J676" s="559"/>
      <c r="K676" s="559"/>
      <c r="L676" s="559"/>
      <c r="M676" s="559"/>
      <c r="N676" s="559"/>
      <c r="O676" s="559"/>
      <c r="P676" s="559"/>
      <c r="Q676" s="559"/>
      <c r="R676" s="559"/>
      <c r="S676" s="559"/>
      <c r="T676" s="559"/>
      <c r="U676" s="559"/>
      <c r="V676" s="559"/>
      <c r="W676" s="559"/>
      <c r="X676" s="559"/>
      <c r="Y676" s="559"/>
      <c r="Z676" s="559"/>
      <c r="AA676" s="559"/>
      <c r="AB676" s="559"/>
      <c r="AC676" s="559"/>
      <c r="AD676" s="559"/>
      <c r="AE676" s="559"/>
      <c r="AF676" s="559"/>
      <c r="AG676" s="559"/>
    </row>
    <row r="677" spans="1:33" ht="18" customHeight="1" x14ac:dyDescent="0.35">
      <c r="A677" s="559"/>
      <c r="B677" s="559"/>
      <c r="C677" s="559"/>
      <c r="D677" s="559"/>
      <c r="E677" s="559"/>
      <c r="F677" s="559"/>
      <c r="G677" s="559"/>
      <c r="H677" s="559"/>
      <c r="I677" s="559"/>
      <c r="J677" s="559"/>
      <c r="K677" s="559"/>
      <c r="L677" s="559"/>
      <c r="M677" s="559"/>
      <c r="N677" s="559"/>
      <c r="O677" s="559"/>
      <c r="P677" s="559"/>
      <c r="Q677" s="559"/>
      <c r="R677" s="559"/>
      <c r="S677" s="559"/>
      <c r="T677" s="559"/>
      <c r="U677" s="559"/>
      <c r="V677" s="559"/>
      <c r="W677" s="559"/>
      <c r="X677" s="559"/>
      <c r="Y677" s="559"/>
      <c r="Z677" s="559"/>
      <c r="AA677" s="559"/>
      <c r="AB677" s="559"/>
      <c r="AC677" s="559"/>
      <c r="AD677" s="559"/>
      <c r="AE677" s="559"/>
      <c r="AF677" s="559"/>
      <c r="AG677" s="559"/>
    </row>
    <row r="678" spans="1:33" ht="18" customHeight="1" x14ac:dyDescent="0.35">
      <c r="A678" s="559"/>
      <c r="B678" s="559"/>
      <c r="C678" s="559"/>
      <c r="D678" s="559"/>
      <c r="E678" s="559"/>
      <c r="F678" s="559"/>
      <c r="G678" s="559"/>
      <c r="H678" s="559"/>
      <c r="I678" s="559"/>
      <c r="J678" s="559"/>
      <c r="K678" s="559"/>
      <c r="L678" s="559"/>
      <c r="M678" s="559"/>
      <c r="N678" s="559"/>
      <c r="O678" s="559"/>
      <c r="P678" s="559"/>
      <c r="Q678" s="559"/>
      <c r="R678" s="559"/>
      <c r="S678" s="559"/>
      <c r="T678" s="559"/>
      <c r="U678" s="559"/>
      <c r="V678" s="559"/>
      <c r="W678" s="559"/>
      <c r="X678" s="559"/>
      <c r="Y678" s="559"/>
      <c r="Z678" s="559"/>
      <c r="AA678" s="559"/>
      <c r="AB678" s="559"/>
      <c r="AC678" s="559"/>
      <c r="AD678" s="559"/>
      <c r="AE678" s="559"/>
      <c r="AF678" s="559"/>
      <c r="AG678" s="559"/>
    </row>
    <row r="679" spans="1:33" ht="18" customHeight="1" x14ac:dyDescent="0.35">
      <c r="A679" s="559"/>
      <c r="B679" s="559"/>
      <c r="C679" s="559"/>
      <c r="D679" s="559"/>
      <c r="E679" s="559"/>
      <c r="F679" s="559"/>
      <c r="G679" s="559"/>
      <c r="H679" s="559"/>
      <c r="I679" s="559"/>
      <c r="J679" s="559"/>
      <c r="K679" s="559"/>
      <c r="L679" s="559"/>
      <c r="M679" s="559"/>
      <c r="N679" s="559"/>
      <c r="O679" s="559"/>
      <c r="P679" s="559"/>
      <c r="Q679" s="559"/>
      <c r="R679" s="559"/>
      <c r="S679" s="559"/>
      <c r="T679" s="559"/>
      <c r="U679" s="559"/>
      <c r="V679" s="559"/>
      <c r="W679" s="559"/>
      <c r="X679" s="559"/>
      <c r="Y679" s="559"/>
      <c r="Z679" s="559"/>
      <c r="AA679" s="559"/>
      <c r="AB679" s="559"/>
      <c r="AC679" s="559"/>
      <c r="AD679" s="559"/>
      <c r="AE679" s="559"/>
      <c r="AF679" s="559"/>
      <c r="AG679" s="559"/>
    </row>
    <row r="680" spans="1:33" ht="18" customHeight="1" x14ac:dyDescent="0.35">
      <c r="A680" s="559"/>
      <c r="B680" s="559"/>
      <c r="C680" s="559"/>
      <c r="D680" s="559"/>
      <c r="E680" s="559"/>
      <c r="F680" s="559"/>
      <c r="G680" s="559"/>
      <c r="H680" s="559"/>
      <c r="I680" s="559"/>
      <c r="J680" s="559"/>
      <c r="K680" s="559"/>
      <c r="L680" s="559"/>
      <c r="M680" s="559"/>
      <c r="N680" s="559"/>
      <c r="O680" s="559"/>
      <c r="P680" s="559"/>
      <c r="Q680" s="559"/>
      <c r="R680" s="559"/>
      <c r="S680" s="559"/>
      <c r="T680" s="559"/>
      <c r="U680" s="559"/>
      <c r="V680" s="559"/>
      <c r="W680" s="559"/>
      <c r="X680" s="559"/>
      <c r="Y680" s="559"/>
      <c r="Z680" s="559"/>
      <c r="AA680" s="559"/>
      <c r="AB680" s="559"/>
      <c r="AC680" s="559"/>
      <c r="AD680" s="559"/>
      <c r="AE680" s="559"/>
      <c r="AF680" s="559"/>
      <c r="AG680" s="559"/>
    </row>
    <row r="681" spans="1:33" ht="18" customHeight="1" x14ac:dyDescent="0.35">
      <c r="A681" s="559"/>
      <c r="B681" s="559"/>
      <c r="C681" s="559"/>
      <c r="D681" s="559"/>
      <c r="E681" s="559"/>
      <c r="F681" s="559"/>
      <c r="G681" s="559"/>
      <c r="H681" s="559"/>
      <c r="I681" s="559"/>
      <c r="J681" s="559"/>
      <c r="K681" s="559"/>
      <c r="L681" s="559"/>
      <c r="M681" s="559"/>
      <c r="N681" s="559"/>
      <c r="O681" s="559"/>
      <c r="P681" s="559"/>
      <c r="Q681" s="559"/>
      <c r="R681" s="559"/>
      <c r="S681" s="559"/>
      <c r="T681" s="559"/>
      <c r="U681" s="559"/>
      <c r="V681" s="559"/>
      <c r="W681" s="559"/>
      <c r="X681" s="559"/>
      <c r="Y681" s="559"/>
      <c r="Z681" s="559"/>
      <c r="AA681" s="559"/>
      <c r="AB681" s="559"/>
      <c r="AC681" s="559"/>
      <c r="AD681" s="559"/>
      <c r="AE681" s="559"/>
      <c r="AF681" s="559"/>
      <c r="AG681" s="559"/>
    </row>
    <row r="682" spans="1:33" ht="18" customHeight="1" x14ac:dyDescent="0.35">
      <c r="A682" s="559"/>
      <c r="B682" s="559"/>
      <c r="C682" s="559"/>
      <c r="D682" s="559"/>
      <c r="E682" s="559"/>
      <c r="F682" s="559"/>
      <c r="G682" s="559"/>
      <c r="H682" s="559"/>
      <c r="I682" s="559"/>
      <c r="J682" s="559"/>
      <c r="K682" s="559"/>
      <c r="L682" s="559"/>
      <c r="M682" s="559"/>
      <c r="N682" s="559"/>
      <c r="O682" s="559"/>
      <c r="P682" s="559"/>
      <c r="Q682" s="559"/>
      <c r="R682" s="559"/>
      <c r="S682" s="559"/>
      <c r="T682" s="559"/>
      <c r="U682" s="559"/>
      <c r="V682" s="559"/>
      <c r="W682" s="559"/>
      <c r="X682" s="559"/>
      <c r="Y682" s="559"/>
      <c r="Z682" s="559"/>
      <c r="AA682" s="559"/>
      <c r="AB682" s="559"/>
      <c r="AC682" s="559"/>
      <c r="AD682" s="559"/>
      <c r="AE682" s="559"/>
      <c r="AF682" s="559"/>
      <c r="AG682" s="559"/>
    </row>
    <row r="683" spans="1:33" ht="18" customHeight="1" x14ac:dyDescent="0.35">
      <c r="A683" s="559"/>
      <c r="B683" s="559"/>
      <c r="C683" s="559"/>
      <c r="D683" s="559"/>
      <c r="E683" s="559"/>
      <c r="F683" s="559"/>
      <c r="G683" s="559"/>
      <c r="H683" s="559"/>
      <c r="I683" s="559"/>
      <c r="J683" s="559"/>
      <c r="K683" s="559"/>
      <c r="L683" s="559"/>
      <c r="M683" s="559"/>
      <c r="N683" s="559"/>
      <c r="O683" s="559"/>
      <c r="P683" s="559"/>
      <c r="Q683" s="559"/>
      <c r="R683" s="559"/>
      <c r="S683" s="559"/>
      <c r="T683" s="559"/>
      <c r="U683" s="559"/>
      <c r="V683" s="559"/>
      <c r="W683" s="559"/>
      <c r="X683" s="559"/>
      <c r="Y683" s="559"/>
      <c r="Z683" s="559"/>
      <c r="AA683" s="559"/>
      <c r="AB683" s="559"/>
      <c r="AC683" s="559"/>
      <c r="AD683" s="559"/>
      <c r="AE683" s="559"/>
      <c r="AF683" s="559"/>
      <c r="AG683" s="559"/>
    </row>
    <row r="684" spans="1:33" ht="18" customHeight="1" x14ac:dyDescent="0.35">
      <c r="A684" s="559"/>
      <c r="B684" s="559"/>
      <c r="C684" s="559"/>
      <c r="D684" s="559"/>
      <c r="E684" s="559"/>
      <c r="F684" s="559"/>
      <c r="G684" s="559"/>
      <c r="H684" s="559"/>
      <c r="I684" s="559"/>
      <c r="J684" s="559"/>
      <c r="K684" s="559"/>
      <c r="L684" s="559"/>
      <c r="M684" s="559"/>
      <c r="N684" s="559"/>
      <c r="O684" s="559"/>
      <c r="P684" s="559"/>
      <c r="Q684" s="559"/>
      <c r="R684" s="559"/>
      <c r="S684" s="559"/>
      <c r="T684" s="559"/>
      <c r="U684" s="559"/>
      <c r="V684" s="559"/>
      <c r="W684" s="559"/>
      <c r="X684" s="559"/>
      <c r="Y684" s="559"/>
      <c r="Z684" s="559"/>
      <c r="AA684" s="559"/>
      <c r="AB684" s="559"/>
      <c r="AC684" s="559"/>
      <c r="AD684" s="559"/>
      <c r="AE684" s="559"/>
      <c r="AF684" s="559"/>
      <c r="AG684" s="559"/>
    </row>
    <row r="685" spans="1:33" ht="18" customHeight="1" x14ac:dyDescent="0.35">
      <c r="A685" s="559"/>
      <c r="B685" s="559"/>
      <c r="C685" s="559"/>
      <c r="D685" s="559"/>
      <c r="E685" s="559"/>
      <c r="F685" s="559"/>
      <c r="G685" s="559"/>
      <c r="H685" s="559"/>
      <c r="I685" s="559"/>
      <c r="J685" s="559"/>
      <c r="K685" s="559"/>
      <c r="L685" s="559"/>
      <c r="M685" s="559"/>
      <c r="N685" s="559"/>
      <c r="O685" s="559"/>
      <c r="P685" s="559"/>
      <c r="Q685" s="559"/>
      <c r="R685" s="559"/>
      <c r="S685" s="559"/>
      <c r="T685" s="559"/>
      <c r="U685" s="559"/>
      <c r="V685" s="559"/>
      <c r="W685" s="559"/>
      <c r="X685" s="559"/>
      <c r="Y685" s="559"/>
      <c r="Z685" s="559"/>
      <c r="AA685" s="559"/>
      <c r="AB685" s="559"/>
      <c r="AC685" s="559"/>
      <c r="AD685" s="559"/>
      <c r="AE685" s="559"/>
      <c r="AF685" s="559"/>
      <c r="AG685" s="559"/>
    </row>
    <row r="686" spans="1:33" ht="18" customHeight="1" x14ac:dyDescent="0.35">
      <c r="A686" s="559"/>
      <c r="B686" s="559"/>
      <c r="C686" s="559"/>
      <c r="D686" s="559"/>
      <c r="E686" s="559"/>
      <c r="F686" s="559"/>
      <c r="G686" s="559"/>
      <c r="H686" s="559"/>
      <c r="I686" s="559"/>
      <c r="J686" s="559"/>
      <c r="K686" s="559"/>
      <c r="L686" s="559"/>
      <c r="M686" s="559"/>
      <c r="N686" s="559"/>
      <c r="O686" s="559"/>
      <c r="P686" s="559"/>
      <c r="Q686" s="559"/>
      <c r="R686" s="559"/>
      <c r="S686" s="559"/>
      <c r="T686" s="559"/>
      <c r="U686" s="559"/>
      <c r="V686" s="559"/>
      <c r="W686" s="559"/>
      <c r="X686" s="559"/>
      <c r="Y686" s="559"/>
      <c r="Z686" s="559"/>
      <c r="AA686" s="559"/>
      <c r="AB686" s="559"/>
      <c r="AC686" s="559"/>
      <c r="AD686" s="559"/>
      <c r="AE686" s="559"/>
      <c r="AF686" s="559"/>
      <c r="AG686" s="559"/>
    </row>
    <row r="687" spans="1:33" ht="18" customHeight="1" x14ac:dyDescent="0.35">
      <c r="A687" s="559"/>
      <c r="B687" s="559"/>
      <c r="C687" s="559"/>
      <c r="D687" s="559"/>
      <c r="E687" s="559"/>
      <c r="F687" s="559"/>
      <c r="G687" s="559"/>
      <c r="H687" s="559"/>
      <c r="I687" s="559"/>
      <c r="J687" s="559"/>
      <c r="K687" s="559"/>
      <c r="L687" s="559"/>
      <c r="M687" s="559"/>
      <c r="N687" s="559"/>
      <c r="O687" s="559"/>
      <c r="P687" s="559"/>
      <c r="Q687" s="559"/>
      <c r="R687" s="559"/>
      <c r="S687" s="559"/>
      <c r="T687" s="559"/>
      <c r="U687" s="559"/>
      <c r="V687" s="559"/>
      <c r="W687" s="559"/>
      <c r="X687" s="559"/>
      <c r="Y687" s="559"/>
      <c r="Z687" s="559"/>
      <c r="AA687" s="559"/>
      <c r="AB687" s="559"/>
      <c r="AC687" s="559"/>
      <c r="AD687" s="559"/>
      <c r="AE687" s="559"/>
      <c r="AF687" s="559"/>
      <c r="AG687" s="559"/>
    </row>
    <row r="688" spans="1:33" ht="18" customHeight="1" x14ac:dyDescent="0.35">
      <c r="A688" s="559"/>
      <c r="B688" s="559"/>
      <c r="C688" s="559"/>
      <c r="D688" s="559"/>
      <c r="E688" s="559"/>
      <c r="F688" s="559"/>
      <c r="G688" s="559"/>
      <c r="H688" s="559"/>
      <c r="I688" s="559"/>
      <c r="J688" s="559"/>
      <c r="K688" s="559"/>
      <c r="L688" s="559"/>
      <c r="M688" s="559"/>
      <c r="N688" s="559"/>
      <c r="O688" s="559"/>
      <c r="P688" s="559"/>
      <c r="Q688" s="559"/>
      <c r="R688" s="559"/>
      <c r="S688" s="559"/>
      <c r="T688" s="559"/>
      <c r="U688" s="559"/>
      <c r="V688" s="559"/>
      <c r="W688" s="559"/>
      <c r="X688" s="559"/>
      <c r="Y688" s="559"/>
      <c r="Z688" s="559"/>
      <c r="AA688" s="559"/>
      <c r="AB688" s="559"/>
      <c r="AC688" s="559"/>
      <c r="AD688" s="559"/>
      <c r="AE688" s="559"/>
      <c r="AF688" s="559"/>
      <c r="AG688" s="559"/>
    </row>
    <row r="689" spans="1:33" ht="18" customHeight="1" x14ac:dyDescent="0.35">
      <c r="A689" s="559"/>
      <c r="B689" s="559"/>
      <c r="C689" s="559"/>
      <c r="D689" s="559"/>
      <c r="E689" s="559"/>
      <c r="F689" s="559"/>
      <c r="G689" s="559"/>
      <c r="H689" s="559"/>
      <c r="I689" s="559"/>
      <c r="J689" s="559"/>
      <c r="K689" s="559"/>
      <c r="L689" s="559"/>
      <c r="M689" s="559"/>
      <c r="N689" s="559"/>
      <c r="O689" s="559"/>
      <c r="P689" s="559"/>
      <c r="Q689" s="559"/>
      <c r="R689" s="559"/>
      <c r="S689" s="559"/>
      <c r="T689" s="559"/>
      <c r="U689" s="559"/>
      <c r="V689" s="559"/>
      <c r="W689" s="559"/>
      <c r="X689" s="559"/>
      <c r="Y689" s="559"/>
      <c r="Z689" s="559"/>
      <c r="AA689" s="559"/>
      <c r="AB689" s="559"/>
      <c r="AC689" s="559"/>
      <c r="AD689" s="559"/>
      <c r="AE689" s="559"/>
      <c r="AF689" s="559"/>
      <c r="AG689" s="559"/>
    </row>
    <row r="690" spans="1:33" ht="18" customHeight="1" x14ac:dyDescent="0.35">
      <c r="A690" s="559"/>
      <c r="B690" s="559"/>
      <c r="C690" s="559"/>
      <c r="D690" s="559"/>
      <c r="E690" s="559"/>
      <c r="F690" s="559"/>
      <c r="G690" s="559"/>
      <c r="H690" s="559"/>
      <c r="I690" s="559"/>
      <c r="J690" s="559"/>
      <c r="K690" s="559"/>
      <c r="L690" s="559"/>
      <c r="M690" s="559"/>
      <c r="N690" s="559"/>
      <c r="O690" s="559"/>
      <c r="P690" s="559"/>
      <c r="Q690" s="559"/>
      <c r="R690" s="559"/>
      <c r="S690" s="559"/>
      <c r="T690" s="559"/>
      <c r="U690" s="559"/>
      <c r="V690" s="559"/>
      <c r="W690" s="559"/>
      <c r="X690" s="559"/>
      <c r="Y690" s="559"/>
      <c r="Z690" s="559"/>
      <c r="AA690" s="559"/>
      <c r="AB690" s="559"/>
      <c r="AC690" s="559"/>
      <c r="AD690" s="559"/>
      <c r="AE690" s="559"/>
      <c r="AF690" s="559"/>
      <c r="AG690" s="559"/>
    </row>
    <row r="691" spans="1:33" ht="18" customHeight="1" x14ac:dyDescent="0.35">
      <c r="A691" s="559"/>
      <c r="B691" s="559"/>
      <c r="C691" s="559"/>
      <c r="D691" s="559"/>
      <c r="E691" s="559"/>
      <c r="F691" s="559"/>
      <c r="G691" s="559"/>
      <c r="H691" s="559"/>
      <c r="I691" s="559"/>
      <c r="J691" s="559"/>
      <c r="K691" s="559"/>
      <c r="L691" s="559"/>
      <c r="M691" s="559"/>
      <c r="N691" s="559"/>
      <c r="O691" s="559"/>
      <c r="P691" s="559"/>
      <c r="Q691" s="559"/>
      <c r="R691" s="559"/>
      <c r="S691" s="559"/>
      <c r="T691" s="559"/>
      <c r="U691" s="559"/>
      <c r="V691" s="559"/>
      <c r="W691" s="559"/>
      <c r="X691" s="559"/>
      <c r="Y691" s="559"/>
      <c r="Z691" s="559"/>
      <c r="AA691" s="559"/>
      <c r="AB691" s="559"/>
      <c r="AC691" s="559"/>
      <c r="AD691" s="559"/>
      <c r="AE691" s="559"/>
      <c r="AF691" s="559"/>
      <c r="AG691" s="559"/>
    </row>
    <row r="692" spans="1:33" ht="18" customHeight="1" x14ac:dyDescent="0.35">
      <c r="A692" s="559"/>
      <c r="B692" s="559"/>
      <c r="C692" s="559"/>
      <c r="D692" s="559"/>
      <c r="E692" s="559"/>
      <c r="F692" s="559"/>
      <c r="G692" s="559"/>
      <c r="H692" s="559"/>
      <c r="I692" s="559"/>
      <c r="J692" s="559"/>
      <c r="K692" s="559"/>
      <c r="L692" s="559"/>
      <c r="M692" s="559"/>
      <c r="N692" s="559"/>
      <c r="O692" s="559"/>
      <c r="P692" s="559"/>
      <c r="Q692" s="559"/>
      <c r="R692" s="559"/>
      <c r="S692" s="559"/>
      <c r="T692" s="559"/>
      <c r="U692" s="559"/>
      <c r="V692" s="559"/>
      <c r="W692" s="559"/>
      <c r="X692" s="559"/>
      <c r="Y692" s="559"/>
      <c r="Z692" s="559"/>
      <c r="AA692" s="559"/>
      <c r="AB692" s="559"/>
      <c r="AC692" s="559"/>
      <c r="AD692" s="559"/>
      <c r="AE692" s="559"/>
      <c r="AF692" s="559"/>
      <c r="AG692" s="559"/>
    </row>
    <row r="693" spans="1:33" ht="18" customHeight="1" x14ac:dyDescent="0.35">
      <c r="A693" s="559"/>
      <c r="B693" s="559"/>
      <c r="C693" s="559"/>
      <c r="D693" s="559"/>
      <c r="E693" s="559"/>
      <c r="F693" s="559"/>
      <c r="G693" s="559"/>
      <c r="H693" s="559"/>
      <c r="I693" s="559"/>
      <c r="J693" s="559"/>
      <c r="K693" s="559"/>
      <c r="L693" s="559"/>
      <c r="M693" s="559"/>
      <c r="N693" s="559"/>
      <c r="O693" s="559"/>
      <c r="P693" s="559"/>
      <c r="Q693" s="559"/>
      <c r="R693" s="559"/>
      <c r="S693" s="559"/>
      <c r="T693" s="559"/>
      <c r="U693" s="559"/>
      <c r="V693" s="559"/>
      <c r="W693" s="559"/>
      <c r="X693" s="559"/>
      <c r="Y693" s="559"/>
      <c r="Z693" s="559"/>
      <c r="AA693" s="559"/>
      <c r="AB693" s="559"/>
      <c r="AC693" s="559"/>
      <c r="AD693" s="559"/>
      <c r="AE693" s="559"/>
      <c r="AF693" s="559"/>
      <c r="AG693" s="559"/>
    </row>
    <row r="694" spans="1:33" ht="18" customHeight="1" x14ac:dyDescent="0.35">
      <c r="A694" s="559"/>
      <c r="B694" s="559"/>
      <c r="C694" s="559"/>
      <c r="D694" s="559"/>
      <c r="E694" s="559"/>
      <c r="F694" s="559"/>
      <c r="G694" s="559"/>
      <c r="H694" s="559"/>
      <c r="I694" s="559"/>
      <c r="J694" s="559"/>
      <c r="K694" s="559"/>
      <c r="L694" s="559"/>
      <c r="M694" s="559"/>
      <c r="N694" s="559"/>
      <c r="O694" s="559"/>
      <c r="P694" s="559"/>
      <c r="Q694" s="559"/>
      <c r="R694" s="559"/>
      <c r="S694" s="559"/>
      <c r="T694" s="559"/>
      <c r="U694" s="559"/>
      <c r="V694" s="559"/>
      <c r="W694" s="559"/>
      <c r="X694" s="559"/>
      <c r="Y694" s="559"/>
      <c r="Z694" s="559"/>
      <c r="AA694" s="559"/>
      <c r="AB694" s="559"/>
      <c r="AC694" s="559"/>
      <c r="AD694" s="559"/>
      <c r="AE694" s="559"/>
      <c r="AF694" s="559"/>
      <c r="AG694" s="559"/>
    </row>
    <row r="695" spans="1:33" ht="18" customHeight="1" x14ac:dyDescent="0.35">
      <c r="A695" s="559"/>
      <c r="B695" s="559"/>
      <c r="C695" s="559"/>
      <c r="D695" s="559"/>
      <c r="E695" s="559"/>
      <c r="F695" s="559"/>
      <c r="G695" s="559"/>
      <c r="H695" s="559"/>
      <c r="I695" s="559"/>
      <c r="J695" s="559"/>
      <c r="K695" s="559"/>
      <c r="L695" s="559"/>
      <c r="M695" s="559"/>
      <c r="N695" s="559"/>
      <c r="O695" s="559"/>
      <c r="P695" s="559"/>
      <c r="Q695" s="559"/>
      <c r="R695" s="559"/>
      <c r="S695" s="559"/>
      <c r="T695" s="559"/>
      <c r="U695" s="559"/>
      <c r="V695" s="559"/>
      <c r="W695" s="559"/>
      <c r="X695" s="559"/>
      <c r="Y695" s="559"/>
      <c r="Z695" s="559"/>
      <c r="AA695" s="559"/>
      <c r="AB695" s="559"/>
      <c r="AC695" s="559"/>
      <c r="AD695" s="559"/>
      <c r="AE695" s="559"/>
      <c r="AF695" s="559"/>
      <c r="AG695" s="559"/>
    </row>
    <row r="696" spans="1:33" ht="18" customHeight="1" x14ac:dyDescent="0.35">
      <c r="A696" s="559"/>
      <c r="B696" s="559"/>
      <c r="C696" s="559"/>
      <c r="D696" s="559"/>
      <c r="E696" s="559"/>
      <c r="F696" s="559"/>
      <c r="G696" s="559"/>
      <c r="H696" s="559"/>
      <c r="I696" s="559"/>
      <c r="J696" s="559"/>
      <c r="K696" s="559"/>
      <c r="L696" s="559"/>
      <c r="M696" s="559"/>
      <c r="N696" s="559"/>
      <c r="O696" s="559"/>
      <c r="P696" s="559"/>
      <c r="Q696" s="559"/>
      <c r="R696" s="559"/>
      <c r="S696" s="559"/>
      <c r="T696" s="559"/>
      <c r="U696" s="559"/>
      <c r="V696" s="559"/>
      <c r="W696" s="559"/>
      <c r="X696" s="559"/>
      <c r="Y696" s="559"/>
      <c r="Z696" s="559"/>
      <c r="AA696" s="559"/>
      <c r="AB696" s="559"/>
      <c r="AC696" s="559"/>
      <c r="AD696" s="559"/>
      <c r="AE696" s="559"/>
      <c r="AF696" s="559"/>
      <c r="AG696" s="559"/>
    </row>
    <row r="697" spans="1:33" ht="18" customHeight="1" x14ac:dyDescent="0.35">
      <c r="A697" s="559"/>
      <c r="B697" s="559"/>
      <c r="C697" s="559"/>
      <c r="D697" s="559"/>
      <c r="E697" s="559"/>
      <c r="F697" s="559"/>
      <c r="G697" s="559"/>
      <c r="H697" s="559"/>
      <c r="I697" s="559"/>
      <c r="J697" s="559"/>
      <c r="K697" s="559"/>
      <c r="L697" s="559"/>
      <c r="M697" s="559"/>
      <c r="N697" s="559"/>
      <c r="O697" s="559"/>
      <c r="P697" s="559"/>
      <c r="Q697" s="559"/>
      <c r="R697" s="559"/>
      <c r="S697" s="559"/>
      <c r="T697" s="559"/>
      <c r="U697" s="559"/>
      <c r="V697" s="559"/>
      <c r="W697" s="559"/>
      <c r="X697" s="559"/>
      <c r="Y697" s="559"/>
      <c r="Z697" s="559"/>
      <c r="AA697" s="559"/>
      <c r="AB697" s="559"/>
      <c r="AC697" s="559"/>
      <c r="AD697" s="559"/>
      <c r="AE697" s="559"/>
      <c r="AF697" s="559"/>
      <c r="AG697" s="559"/>
    </row>
    <row r="698" spans="1:33" ht="18" customHeight="1" x14ac:dyDescent="0.35">
      <c r="A698" s="559"/>
      <c r="B698" s="559"/>
      <c r="C698" s="559"/>
      <c r="D698" s="559"/>
      <c r="E698" s="559"/>
      <c r="F698" s="559"/>
      <c r="G698" s="559"/>
      <c r="H698" s="559"/>
      <c r="I698" s="559"/>
      <c r="J698" s="559"/>
      <c r="K698" s="559"/>
      <c r="L698" s="559"/>
      <c r="M698" s="559"/>
      <c r="N698" s="559"/>
      <c r="O698" s="559"/>
      <c r="P698" s="559"/>
      <c r="Q698" s="559"/>
      <c r="R698" s="559"/>
      <c r="S698" s="559"/>
      <c r="T698" s="559"/>
      <c r="U698" s="559"/>
      <c r="V698" s="559"/>
      <c r="W698" s="559"/>
      <c r="X698" s="559"/>
      <c r="Y698" s="559"/>
      <c r="Z698" s="559"/>
      <c r="AA698" s="559"/>
      <c r="AB698" s="559"/>
      <c r="AC698" s="559"/>
      <c r="AD698" s="559"/>
      <c r="AE698" s="559"/>
      <c r="AF698" s="559"/>
      <c r="AG698" s="559"/>
    </row>
    <row r="699" spans="1:33" ht="18" customHeight="1" x14ac:dyDescent="0.35">
      <c r="A699" s="559"/>
      <c r="B699" s="559"/>
      <c r="C699" s="559"/>
      <c r="D699" s="559"/>
      <c r="E699" s="559"/>
      <c r="F699" s="559"/>
      <c r="G699" s="559"/>
      <c r="H699" s="559"/>
      <c r="I699" s="559"/>
      <c r="J699" s="559"/>
      <c r="K699" s="559"/>
      <c r="L699" s="559"/>
      <c r="M699" s="559"/>
      <c r="N699" s="559"/>
      <c r="O699" s="559"/>
      <c r="P699" s="559"/>
      <c r="Q699" s="559"/>
      <c r="R699" s="559"/>
      <c r="S699" s="559"/>
      <c r="T699" s="559"/>
      <c r="U699" s="559"/>
      <c r="V699" s="559"/>
      <c r="W699" s="559"/>
      <c r="X699" s="559"/>
      <c r="Y699" s="559"/>
      <c r="Z699" s="559"/>
      <c r="AA699" s="559"/>
      <c r="AB699" s="559"/>
      <c r="AC699" s="559"/>
      <c r="AD699" s="559"/>
      <c r="AE699" s="559"/>
      <c r="AF699" s="559"/>
      <c r="AG699" s="559"/>
    </row>
    <row r="700" spans="1:33" ht="18" customHeight="1" x14ac:dyDescent="0.35">
      <c r="A700" s="559"/>
      <c r="B700" s="559"/>
      <c r="C700" s="559"/>
      <c r="D700" s="559"/>
      <c r="E700" s="559"/>
      <c r="F700" s="559"/>
      <c r="G700" s="559"/>
      <c r="H700" s="559"/>
      <c r="I700" s="559"/>
      <c r="J700" s="559"/>
      <c r="K700" s="559"/>
      <c r="L700" s="559"/>
      <c r="M700" s="559"/>
      <c r="N700" s="559"/>
      <c r="O700" s="559"/>
      <c r="P700" s="559"/>
      <c r="Q700" s="559"/>
      <c r="R700" s="559"/>
      <c r="S700" s="559"/>
      <c r="T700" s="559"/>
      <c r="U700" s="559"/>
      <c r="V700" s="559"/>
      <c r="W700" s="559"/>
      <c r="X700" s="559"/>
      <c r="Y700" s="559"/>
      <c r="Z700" s="559"/>
      <c r="AA700" s="559"/>
      <c r="AB700" s="559"/>
      <c r="AC700" s="559"/>
      <c r="AD700" s="559"/>
      <c r="AE700" s="559"/>
      <c r="AF700" s="559"/>
      <c r="AG700" s="559"/>
    </row>
    <row r="701" spans="1:33" ht="18" customHeight="1" x14ac:dyDescent="0.35">
      <c r="A701" s="559"/>
      <c r="B701" s="559"/>
      <c r="C701" s="559"/>
      <c r="D701" s="559"/>
      <c r="E701" s="559"/>
      <c r="F701" s="559"/>
      <c r="G701" s="559"/>
      <c r="H701" s="559"/>
      <c r="I701" s="559"/>
      <c r="J701" s="559"/>
      <c r="K701" s="559"/>
      <c r="L701" s="559"/>
      <c r="M701" s="559"/>
      <c r="N701" s="559"/>
      <c r="O701" s="559"/>
      <c r="P701" s="559"/>
      <c r="Q701" s="559"/>
      <c r="R701" s="559"/>
      <c r="S701" s="559"/>
      <c r="T701" s="559"/>
      <c r="U701" s="559"/>
      <c r="V701" s="559"/>
      <c r="W701" s="559"/>
      <c r="X701" s="559"/>
      <c r="Y701" s="559"/>
      <c r="Z701" s="559"/>
      <c r="AA701" s="559"/>
      <c r="AB701" s="559"/>
      <c r="AC701" s="559"/>
      <c r="AD701" s="559"/>
      <c r="AE701" s="559"/>
      <c r="AF701" s="559"/>
      <c r="AG701" s="559"/>
    </row>
    <row r="702" spans="1:33" ht="18" customHeight="1" x14ac:dyDescent="0.35">
      <c r="A702" s="559"/>
      <c r="B702" s="559"/>
      <c r="C702" s="559"/>
      <c r="D702" s="559"/>
      <c r="E702" s="559"/>
      <c r="F702" s="559"/>
      <c r="G702" s="559"/>
      <c r="H702" s="559"/>
      <c r="I702" s="559"/>
      <c r="J702" s="559"/>
      <c r="K702" s="559"/>
      <c r="L702" s="559"/>
      <c r="M702" s="559"/>
      <c r="N702" s="559"/>
      <c r="O702" s="559"/>
      <c r="P702" s="559"/>
      <c r="Q702" s="559"/>
      <c r="R702" s="559"/>
      <c r="S702" s="559"/>
      <c r="T702" s="559"/>
      <c r="U702" s="559"/>
      <c r="V702" s="559"/>
      <c r="W702" s="559"/>
      <c r="X702" s="559"/>
      <c r="Y702" s="559"/>
      <c r="Z702" s="559"/>
      <c r="AA702" s="559"/>
      <c r="AB702" s="559"/>
      <c r="AC702" s="559"/>
      <c r="AD702" s="559"/>
      <c r="AE702" s="559"/>
      <c r="AF702" s="559"/>
      <c r="AG702" s="559"/>
    </row>
    <row r="703" spans="1:33" ht="18" customHeight="1" x14ac:dyDescent="0.35">
      <c r="A703" s="559"/>
      <c r="B703" s="559"/>
      <c r="C703" s="559"/>
      <c r="D703" s="559"/>
      <c r="E703" s="559"/>
      <c r="F703" s="559"/>
      <c r="G703" s="559"/>
      <c r="H703" s="559"/>
      <c r="I703" s="559"/>
      <c r="J703" s="559"/>
      <c r="K703" s="559"/>
      <c r="L703" s="559"/>
      <c r="M703" s="559"/>
      <c r="N703" s="559"/>
      <c r="O703" s="559"/>
      <c r="P703" s="559"/>
      <c r="Q703" s="559"/>
      <c r="R703" s="559"/>
      <c r="S703" s="559"/>
      <c r="T703" s="559"/>
      <c r="U703" s="559"/>
      <c r="V703" s="559"/>
      <c r="W703" s="559"/>
      <c r="X703" s="559"/>
      <c r="Y703" s="559"/>
      <c r="Z703" s="559"/>
      <c r="AA703" s="559"/>
      <c r="AB703" s="559"/>
      <c r="AC703" s="559"/>
      <c r="AD703" s="559"/>
      <c r="AE703" s="559"/>
      <c r="AF703" s="559"/>
      <c r="AG703" s="559"/>
    </row>
    <row r="704" spans="1:33" ht="18" customHeight="1" x14ac:dyDescent="0.35">
      <c r="A704" s="559"/>
      <c r="B704" s="559"/>
      <c r="C704" s="559"/>
      <c r="D704" s="559"/>
      <c r="E704" s="559"/>
      <c r="F704" s="559"/>
      <c r="G704" s="559"/>
      <c r="H704" s="559"/>
      <c r="I704" s="559"/>
      <c r="J704" s="559"/>
      <c r="K704" s="559"/>
      <c r="L704" s="559"/>
      <c r="M704" s="559"/>
      <c r="N704" s="559"/>
      <c r="O704" s="559"/>
      <c r="P704" s="559"/>
      <c r="Q704" s="559"/>
      <c r="R704" s="559"/>
      <c r="S704" s="559"/>
      <c r="T704" s="559"/>
      <c r="U704" s="559"/>
      <c r="V704" s="559"/>
      <c r="W704" s="559"/>
      <c r="X704" s="559"/>
      <c r="Y704" s="559"/>
      <c r="Z704" s="559"/>
      <c r="AA704" s="559"/>
      <c r="AB704" s="559"/>
      <c r="AC704" s="559"/>
      <c r="AD704" s="559"/>
      <c r="AE704" s="559"/>
      <c r="AF704" s="559"/>
      <c r="AG704" s="559"/>
    </row>
    <row r="705" spans="1:33" ht="18" customHeight="1" x14ac:dyDescent="0.35">
      <c r="A705" s="559"/>
      <c r="B705" s="559"/>
      <c r="C705" s="559"/>
      <c r="D705" s="559"/>
      <c r="E705" s="559"/>
      <c r="F705" s="559"/>
      <c r="G705" s="559"/>
      <c r="H705" s="559"/>
      <c r="I705" s="559"/>
      <c r="J705" s="559"/>
      <c r="K705" s="559"/>
      <c r="L705" s="559"/>
      <c r="M705" s="559"/>
      <c r="N705" s="559"/>
      <c r="O705" s="559"/>
      <c r="P705" s="559"/>
      <c r="Q705" s="559"/>
      <c r="R705" s="559"/>
      <c r="S705" s="559"/>
      <c r="T705" s="559"/>
      <c r="U705" s="559"/>
      <c r="V705" s="559"/>
      <c r="W705" s="559"/>
      <c r="X705" s="559"/>
      <c r="Y705" s="559"/>
      <c r="Z705" s="559"/>
      <c r="AA705" s="559"/>
      <c r="AB705" s="559"/>
      <c r="AC705" s="559"/>
      <c r="AD705" s="559"/>
      <c r="AE705" s="559"/>
      <c r="AF705" s="559"/>
      <c r="AG705" s="559"/>
    </row>
    <row r="706" spans="1:33" ht="18" customHeight="1" x14ac:dyDescent="0.35">
      <c r="A706" s="559"/>
      <c r="B706" s="559"/>
      <c r="C706" s="559"/>
      <c r="D706" s="559"/>
      <c r="E706" s="559"/>
      <c r="F706" s="559"/>
      <c r="G706" s="559"/>
      <c r="H706" s="559"/>
      <c r="I706" s="559"/>
      <c r="J706" s="559"/>
      <c r="K706" s="559"/>
      <c r="L706" s="559"/>
      <c r="M706" s="559"/>
      <c r="N706" s="559"/>
      <c r="O706" s="559"/>
      <c r="P706" s="559"/>
      <c r="Q706" s="559"/>
      <c r="R706" s="559"/>
      <c r="S706" s="559"/>
      <c r="T706" s="559"/>
      <c r="U706" s="559"/>
      <c r="V706" s="559"/>
      <c r="W706" s="559"/>
      <c r="X706" s="559"/>
      <c r="Y706" s="559"/>
      <c r="Z706" s="559"/>
      <c r="AA706" s="559"/>
      <c r="AB706" s="559"/>
      <c r="AC706" s="559"/>
      <c r="AD706" s="559"/>
      <c r="AE706" s="559"/>
      <c r="AF706" s="559"/>
      <c r="AG706" s="559"/>
    </row>
    <row r="707" spans="1:33" ht="18" customHeight="1" x14ac:dyDescent="0.35">
      <c r="A707" s="559"/>
      <c r="B707" s="559"/>
      <c r="C707" s="559"/>
      <c r="D707" s="559"/>
      <c r="E707" s="559"/>
      <c r="F707" s="559"/>
      <c r="G707" s="559"/>
      <c r="H707" s="559"/>
      <c r="I707" s="559"/>
      <c r="J707" s="559"/>
      <c r="K707" s="559"/>
      <c r="L707" s="559"/>
      <c r="M707" s="559"/>
      <c r="N707" s="559"/>
      <c r="O707" s="559"/>
      <c r="P707" s="559"/>
      <c r="Q707" s="559"/>
      <c r="R707" s="559"/>
      <c r="S707" s="559"/>
      <c r="T707" s="559"/>
      <c r="U707" s="559"/>
      <c r="V707" s="559"/>
      <c r="W707" s="559"/>
      <c r="X707" s="559"/>
      <c r="Y707" s="559"/>
      <c r="Z707" s="559"/>
      <c r="AA707" s="559"/>
      <c r="AB707" s="559"/>
      <c r="AC707" s="559"/>
      <c r="AD707" s="559"/>
      <c r="AE707" s="559"/>
      <c r="AF707" s="559"/>
      <c r="AG707" s="559"/>
    </row>
    <row r="708" spans="1:33" ht="18" customHeight="1" x14ac:dyDescent="0.35">
      <c r="A708" s="559"/>
      <c r="B708" s="559"/>
      <c r="C708" s="559"/>
      <c r="D708" s="559"/>
      <c r="E708" s="559"/>
      <c r="F708" s="559"/>
      <c r="G708" s="559"/>
      <c r="H708" s="559"/>
      <c r="I708" s="559"/>
      <c r="J708" s="559"/>
      <c r="K708" s="559"/>
      <c r="L708" s="559"/>
      <c r="M708" s="559"/>
      <c r="N708" s="559"/>
      <c r="O708" s="559"/>
      <c r="P708" s="559"/>
      <c r="Q708" s="559"/>
      <c r="R708" s="559"/>
      <c r="S708" s="559"/>
      <c r="T708" s="559"/>
      <c r="U708" s="559"/>
      <c r="V708" s="559"/>
      <c r="W708" s="559"/>
      <c r="X708" s="559"/>
      <c r="Y708" s="559"/>
      <c r="Z708" s="559"/>
      <c r="AA708" s="559"/>
      <c r="AB708" s="559"/>
      <c r="AC708" s="559"/>
      <c r="AD708" s="559"/>
      <c r="AE708" s="559"/>
      <c r="AF708" s="559"/>
      <c r="AG708" s="559"/>
    </row>
    <row r="709" spans="1:33" ht="18" customHeight="1" x14ac:dyDescent="0.35">
      <c r="A709" s="559"/>
      <c r="B709" s="559"/>
      <c r="C709" s="559"/>
      <c r="D709" s="559"/>
      <c r="E709" s="559"/>
      <c r="F709" s="559"/>
      <c r="G709" s="559"/>
      <c r="H709" s="559"/>
      <c r="I709" s="559"/>
      <c r="J709" s="559"/>
      <c r="K709" s="559"/>
      <c r="L709" s="559"/>
      <c r="M709" s="559"/>
      <c r="N709" s="559"/>
      <c r="O709" s="559"/>
      <c r="P709" s="559"/>
      <c r="Q709" s="559"/>
      <c r="R709" s="559"/>
      <c r="S709" s="559"/>
      <c r="T709" s="559"/>
      <c r="U709" s="559"/>
      <c r="V709" s="559"/>
      <c r="W709" s="559"/>
      <c r="X709" s="559"/>
      <c r="Y709" s="559"/>
      <c r="Z709" s="559"/>
      <c r="AA709" s="559"/>
      <c r="AB709" s="559"/>
      <c r="AC709" s="559"/>
      <c r="AD709" s="559"/>
      <c r="AE709" s="559"/>
      <c r="AF709" s="559"/>
      <c r="AG709" s="559"/>
    </row>
    <row r="710" spans="1:33" ht="18" customHeight="1" x14ac:dyDescent="0.35">
      <c r="A710" s="559"/>
      <c r="B710" s="559"/>
      <c r="C710" s="559"/>
      <c r="D710" s="559"/>
      <c r="E710" s="559"/>
      <c r="F710" s="559"/>
      <c r="G710" s="559"/>
      <c r="H710" s="559"/>
      <c r="I710" s="559"/>
      <c r="J710" s="559"/>
      <c r="K710" s="559"/>
      <c r="L710" s="559"/>
      <c r="M710" s="559"/>
      <c r="N710" s="559"/>
      <c r="O710" s="559"/>
      <c r="P710" s="559"/>
      <c r="Q710" s="559"/>
      <c r="R710" s="559"/>
      <c r="S710" s="559"/>
      <c r="T710" s="559"/>
      <c r="U710" s="559"/>
      <c r="V710" s="559"/>
      <c r="W710" s="559"/>
      <c r="X710" s="559"/>
      <c r="Y710" s="559"/>
      <c r="Z710" s="559"/>
      <c r="AA710" s="559"/>
      <c r="AB710" s="559"/>
      <c r="AC710" s="559"/>
      <c r="AD710" s="559"/>
      <c r="AE710" s="559"/>
      <c r="AF710" s="559"/>
      <c r="AG710" s="559"/>
    </row>
    <row r="711" spans="1:33" ht="18" customHeight="1" x14ac:dyDescent="0.35">
      <c r="A711" s="559"/>
      <c r="B711" s="559"/>
      <c r="C711" s="559"/>
      <c r="D711" s="559"/>
      <c r="E711" s="559"/>
      <c r="F711" s="559"/>
      <c r="G711" s="559"/>
      <c r="H711" s="559"/>
      <c r="I711" s="559"/>
      <c r="J711" s="559"/>
      <c r="K711" s="559"/>
      <c r="L711" s="559"/>
      <c r="M711" s="559"/>
      <c r="N711" s="559"/>
      <c r="O711" s="559"/>
      <c r="P711" s="559"/>
      <c r="Q711" s="559"/>
      <c r="R711" s="559"/>
      <c r="S711" s="559"/>
      <c r="T711" s="559"/>
      <c r="U711" s="559"/>
      <c r="V711" s="559"/>
      <c r="W711" s="559"/>
      <c r="X711" s="559"/>
      <c r="Y711" s="559"/>
      <c r="Z711" s="559"/>
      <c r="AA711" s="559"/>
      <c r="AB711" s="559"/>
      <c r="AC711" s="559"/>
      <c r="AD711" s="559"/>
      <c r="AE711" s="559"/>
      <c r="AF711" s="559"/>
      <c r="AG711" s="559"/>
    </row>
    <row r="712" spans="1:33" ht="18" customHeight="1" x14ac:dyDescent="0.35">
      <c r="A712" s="559"/>
      <c r="B712" s="559"/>
      <c r="C712" s="559"/>
      <c r="D712" s="559"/>
      <c r="E712" s="559"/>
      <c r="F712" s="559"/>
      <c r="G712" s="559"/>
      <c r="H712" s="559"/>
      <c r="I712" s="559"/>
      <c r="J712" s="559"/>
      <c r="K712" s="559"/>
      <c r="L712" s="559"/>
      <c r="M712" s="559"/>
      <c r="N712" s="559"/>
      <c r="O712" s="559"/>
      <c r="P712" s="559"/>
      <c r="Q712" s="559"/>
      <c r="R712" s="559"/>
      <c r="S712" s="559"/>
      <c r="T712" s="559"/>
      <c r="U712" s="559"/>
      <c r="V712" s="559"/>
      <c r="W712" s="559"/>
      <c r="X712" s="559"/>
      <c r="Y712" s="559"/>
      <c r="Z712" s="559"/>
      <c r="AA712" s="559"/>
      <c r="AB712" s="559"/>
      <c r="AC712" s="559"/>
      <c r="AD712" s="559"/>
      <c r="AE712" s="559"/>
      <c r="AF712" s="559"/>
      <c r="AG712" s="559"/>
    </row>
    <row r="713" spans="1:33" ht="18" customHeight="1" x14ac:dyDescent="0.35">
      <c r="A713" s="559"/>
      <c r="B713" s="559"/>
      <c r="C713" s="559"/>
      <c r="D713" s="559"/>
      <c r="E713" s="559"/>
      <c r="F713" s="559"/>
      <c r="G713" s="559"/>
      <c r="H713" s="559"/>
      <c r="I713" s="559"/>
      <c r="J713" s="559"/>
      <c r="K713" s="559"/>
      <c r="L713" s="559"/>
      <c r="M713" s="559"/>
      <c r="N713" s="559"/>
      <c r="O713" s="559"/>
      <c r="P713" s="559"/>
      <c r="Q713" s="559"/>
      <c r="R713" s="559"/>
      <c r="S713" s="559"/>
      <c r="T713" s="559"/>
      <c r="U713" s="559"/>
      <c r="V713" s="559"/>
      <c r="W713" s="559"/>
      <c r="X713" s="559"/>
      <c r="Y713" s="559"/>
      <c r="Z713" s="559"/>
      <c r="AA713" s="559"/>
      <c r="AB713" s="559"/>
      <c r="AC713" s="559"/>
      <c r="AD713" s="559"/>
      <c r="AE713" s="559"/>
      <c r="AF713" s="559"/>
      <c r="AG713" s="559"/>
    </row>
    <row r="714" spans="1:33" ht="18" customHeight="1" x14ac:dyDescent="0.35">
      <c r="A714" s="559"/>
      <c r="B714" s="559"/>
      <c r="C714" s="559"/>
      <c r="D714" s="559"/>
      <c r="E714" s="559"/>
      <c r="F714" s="559"/>
      <c r="G714" s="559"/>
      <c r="H714" s="559"/>
      <c r="I714" s="559"/>
      <c r="J714" s="559"/>
      <c r="K714" s="559"/>
      <c r="L714" s="559"/>
      <c r="M714" s="559"/>
      <c r="N714" s="559"/>
      <c r="O714" s="559"/>
      <c r="P714" s="559"/>
      <c r="Q714" s="559"/>
      <c r="R714" s="559"/>
      <c r="S714" s="559"/>
      <c r="T714" s="559"/>
      <c r="U714" s="559"/>
      <c r="V714" s="559"/>
      <c r="W714" s="559"/>
      <c r="X714" s="559"/>
      <c r="Y714" s="559"/>
      <c r="Z714" s="559"/>
      <c r="AA714" s="559"/>
      <c r="AB714" s="559"/>
      <c r="AC714" s="559"/>
      <c r="AD714" s="559"/>
      <c r="AE714" s="559"/>
      <c r="AF714" s="559"/>
      <c r="AG714" s="559"/>
    </row>
    <row r="715" spans="1:33" ht="18" customHeight="1" x14ac:dyDescent="0.35">
      <c r="A715" s="559"/>
      <c r="B715" s="559"/>
      <c r="C715" s="559"/>
      <c r="D715" s="559"/>
      <c r="E715" s="559"/>
      <c r="F715" s="559"/>
      <c r="G715" s="559"/>
      <c r="H715" s="559"/>
      <c r="I715" s="559"/>
      <c r="J715" s="559"/>
      <c r="K715" s="559"/>
      <c r="L715" s="559"/>
      <c r="M715" s="559"/>
      <c r="N715" s="559"/>
      <c r="O715" s="559"/>
      <c r="P715" s="559"/>
      <c r="Q715" s="559"/>
      <c r="R715" s="559"/>
      <c r="S715" s="559"/>
      <c r="T715" s="559"/>
      <c r="U715" s="559"/>
      <c r="V715" s="559"/>
      <c r="W715" s="559"/>
      <c r="X715" s="559"/>
      <c r="Y715" s="559"/>
      <c r="Z715" s="559"/>
      <c r="AA715" s="559"/>
      <c r="AB715" s="559"/>
      <c r="AC715" s="559"/>
      <c r="AD715" s="559"/>
      <c r="AE715" s="559"/>
      <c r="AF715" s="559"/>
      <c r="AG715" s="559"/>
    </row>
    <row r="716" spans="1:33" ht="18" customHeight="1" x14ac:dyDescent="0.35">
      <c r="A716" s="559"/>
      <c r="B716" s="559"/>
      <c r="C716" s="559"/>
      <c r="D716" s="559"/>
      <c r="E716" s="559"/>
      <c r="F716" s="559"/>
      <c r="G716" s="559"/>
      <c r="H716" s="559"/>
      <c r="I716" s="559"/>
      <c r="J716" s="559"/>
      <c r="K716" s="559"/>
      <c r="L716" s="559"/>
      <c r="M716" s="559"/>
      <c r="N716" s="559"/>
      <c r="O716" s="559"/>
      <c r="P716" s="559"/>
      <c r="Q716" s="559"/>
      <c r="R716" s="559"/>
      <c r="S716" s="559"/>
      <c r="T716" s="559"/>
      <c r="U716" s="559"/>
      <c r="V716" s="559"/>
      <c r="W716" s="559"/>
      <c r="X716" s="559"/>
      <c r="Y716" s="559"/>
      <c r="Z716" s="559"/>
      <c r="AA716" s="559"/>
      <c r="AB716" s="559"/>
      <c r="AC716" s="559"/>
      <c r="AD716" s="559"/>
      <c r="AE716" s="559"/>
      <c r="AF716" s="559"/>
      <c r="AG716" s="559"/>
    </row>
    <row r="717" spans="1:33" ht="18" customHeight="1" x14ac:dyDescent="0.35">
      <c r="A717" s="559"/>
      <c r="B717" s="559"/>
      <c r="C717" s="559"/>
      <c r="D717" s="559"/>
      <c r="E717" s="559"/>
      <c r="F717" s="559"/>
      <c r="G717" s="559"/>
      <c r="H717" s="559"/>
      <c r="I717" s="559"/>
      <c r="J717" s="559"/>
      <c r="K717" s="559"/>
      <c r="L717" s="559"/>
      <c r="M717" s="559"/>
      <c r="N717" s="559"/>
      <c r="O717" s="559"/>
      <c r="P717" s="559"/>
      <c r="Q717" s="559"/>
      <c r="R717" s="559"/>
      <c r="S717" s="559"/>
      <c r="T717" s="559"/>
      <c r="U717" s="559"/>
      <c r="V717" s="559"/>
      <c r="W717" s="559"/>
      <c r="X717" s="559"/>
      <c r="Y717" s="559"/>
      <c r="Z717" s="559"/>
      <c r="AA717" s="559"/>
      <c r="AB717" s="559"/>
      <c r="AC717" s="559"/>
      <c r="AD717" s="559"/>
      <c r="AE717" s="559"/>
      <c r="AF717" s="559"/>
      <c r="AG717" s="559"/>
    </row>
    <row r="718" spans="1:33" ht="18" customHeight="1" x14ac:dyDescent="0.35">
      <c r="A718" s="559"/>
      <c r="B718" s="559"/>
      <c r="C718" s="559"/>
      <c r="D718" s="559"/>
      <c r="E718" s="559"/>
      <c r="F718" s="559"/>
      <c r="G718" s="559"/>
      <c r="H718" s="559"/>
      <c r="I718" s="559"/>
      <c r="J718" s="559"/>
      <c r="K718" s="559"/>
      <c r="L718" s="559"/>
      <c r="M718" s="559"/>
      <c r="N718" s="559"/>
      <c r="O718" s="559"/>
      <c r="P718" s="559"/>
      <c r="Q718" s="559"/>
      <c r="R718" s="559"/>
      <c r="S718" s="559"/>
      <c r="T718" s="559"/>
      <c r="U718" s="559"/>
      <c r="V718" s="559"/>
      <c r="W718" s="559"/>
      <c r="X718" s="559"/>
      <c r="Y718" s="559"/>
      <c r="Z718" s="559"/>
      <c r="AA718" s="559"/>
      <c r="AB718" s="559"/>
      <c r="AC718" s="559"/>
      <c r="AD718" s="559"/>
      <c r="AE718" s="559"/>
      <c r="AF718" s="559"/>
      <c r="AG718" s="559"/>
    </row>
    <row r="719" spans="1:33" ht="18" customHeight="1" x14ac:dyDescent="0.35">
      <c r="A719" s="559"/>
      <c r="B719" s="559"/>
      <c r="C719" s="559"/>
      <c r="D719" s="559"/>
      <c r="E719" s="559"/>
      <c r="F719" s="559"/>
      <c r="G719" s="559"/>
      <c r="H719" s="559"/>
      <c r="I719" s="559"/>
      <c r="J719" s="559"/>
      <c r="K719" s="559"/>
      <c r="L719" s="559"/>
      <c r="M719" s="559"/>
      <c r="N719" s="559"/>
      <c r="O719" s="559"/>
      <c r="P719" s="559"/>
      <c r="Q719" s="559"/>
      <c r="R719" s="559"/>
      <c r="S719" s="559"/>
      <c r="T719" s="559"/>
      <c r="U719" s="559"/>
      <c r="V719" s="559"/>
      <c r="W719" s="559"/>
      <c r="X719" s="559"/>
      <c r="Y719" s="559"/>
      <c r="Z719" s="559"/>
      <c r="AA719" s="559"/>
      <c r="AB719" s="559"/>
      <c r="AC719" s="559"/>
      <c r="AD719" s="559"/>
      <c r="AE719" s="559"/>
      <c r="AF719" s="559"/>
      <c r="AG719" s="559"/>
    </row>
    <row r="720" spans="1:33" ht="18" customHeight="1" x14ac:dyDescent="0.35">
      <c r="A720" s="559"/>
      <c r="B720" s="559"/>
      <c r="C720" s="559"/>
      <c r="D720" s="559"/>
      <c r="E720" s="559"/>
      <c r="F720" s="559"/>
      <c r="G720" s="559"/>
      <c r="H720" s="559"/>
      <c r="I720" s="559"/>
      <c r="J720" s="559"/>
      <c r="K720" s="559"/>
      <c r="L720" s="559"/>
      <c r="M720" s="559"/>
      <c r="N720" s="559"/>
      <c r="O720" s="559"/>
      <c r="P720" s="559"/>
      <c r="Q720" s="559"/>
      <c r="R720" s="559"/>
      <c r="S720" s="559"/>
      <c r="T720" s="559"/>
      <c r="U720" s="559"/>
      <c r="V720" s="559"/>
      <c r="W720" s="559"/>
      <c r="X720" s="559"/>
      <c r="Y720" s="559"/>
      <c r="Z720" s="559"/>
      <c r="AA720" s="559"/>
      <c r="AB720" s="559"/>
      <c r="AC720" s="559"/>
      <c r="AD720" s="559"/>
      <c r="AE720" s="559"/>
      <c r="AF720" s="559"/>
      <c r="AG720" s="559"/>
    </row>
    <row r="721" spans="1:33" ht="18" customHeight="1" x14ac:dyDescent="0.35">
      <c r="A721" s="559"/>
      <c r="B721" s="559"/>
      <c r="C721" s="559"/>
      <c r="D721" s="559"/>
      <c r="E721" s="559"/>
      <c r="F721" s="559"/>
      <c r="G721" s="559"/>
      <c r="H721" s="559"/>
      <c r="I721" s="559"/>
      <c r="J721" s="559"/>
      <c r="K721" s="559"/>
      <c r="L721" s="559"/>
      <c r="M721" s="559"/>
      <c r="N721" s="559"/>
      <c r="O721" s="559"/>
      <c r="P721" s="559"/>
      <c r="Q721" s="559"/>
      <c r="R721" s="559"/>
      <c r="S721" s="559"/>
      <c r="T721" s="559"/>
      <c r="U721" s="559"/>
      <c r="V721" s="559"/>
      <c r="W721" s="559"/>
      <c r="X721" s="559"/>
      <c r="Y721" s="559"/>
      <c r="Z721" s="559"/>
      <c r="AA721" s="559"/>
      <c r="AB721" s="559"/>
      <c r="AC721" s="559"/>
      <c r="AD721" s="559"/>
      <c r="AE721" s="559"/>
      <c r="AF721" s="559"/>
      <c r="AG721" s="559"/>
    </row>
    <row r="722" spans="1:33" ht="18" customHeight="1" x14ac:dyDescent="0.35">
      <c r="A722" s="559"/>
      <c r="B722" s="559"/>
      <c r="C722" s="559"/>
      <c r="D722" s="559"/>
      <c r="E722" s="559"/>
      <c r="F722" s="559"/>
      <c r="G722" s="559"/>
      <c r="H722" s="559"/>
      <c r="I722" s="559"/>
      <c r="J722" s="559"/>
      <c r="K722" s="559"/>
      <c r="L722" s="559"/>
      <c r="M722" s="559"/>
      <c r="N722" s="559"/>
      <c r="O722" s="559"/>
      <c r="P722" s="559"/>
      <c r="Q722" s="559"/>
      <c r="R722" s="559"/>
      <c r="S722" s="559"/>
      <c r="T722" s="559"/>
      <c r="U722" s="559"/>
      <c r="V722" s="559"/>
      <c r="W722" s="559"/>
      <c r="X722" s="559"/>
      <c r="Y722" s="559"/>
      <c r="Z722" s="559"/>
      <c r="AA722" s="559"/>
      <c r="AB722" s="559"/>
      <c r="AC722" s="559"/>
      <c r="AD722" s="559"/>
      <c r="AE722" s="559"/>
      <c r="AF722" s="559"/>
      <c r="AG722" s="559"/>
    </row>
    <row r="723" spans="1:33" ht="18" customHeight="1" x14ac:dyDescent="0.35">
      <c r="A723" s="559"/>
      <c r="B723" s="559"/>
      <c r="C723" s="559"/>
      <c r="D723" s="559"/>
      <c r="E723" s="559"/>
      <c r="F723" s="559"/>
      <c r="G723" s="559"/>
      <c r="H723" s="559"/>
      <c r="I723" s="559"/>
      <c r="J723" s="559"/>
      <c r="K723" s="559"/>
      <c r="L723" s="559"/>
      <c r="M723" s="559"/>
      <c r="N723" s="559"/>
      <c r="O723" s="559"/>
      <c r="P723" s="559"/>
      <c r="Q723" s="559"/>
      <c r="R723" s="559"/>
      <c r="S723" s="559"/>
      <c r="T723" s="559"/>
      <c r="U723" s="559"/>
      <c r="V723" s="559"/>
      <c r="W723" s="559"/>
      <c r="X723" s="559"/>
      <c r="Y723" s="559"/>
      <c r="Z723" s="559"/>
      <c r="AA723" s="559"/>
      <c r="AB723" s="559"/>
      <c r="AC723" s="559"/>
      <c r="AD723" s="559"/>
      <c r="AE723" s="559"/>
      <c r="AF723" s="559"/>
      <c r="AG723" s="559"/>
    </row>
    <row r="724" spans="1:33" ht="18" customHeight="1" x14ac:dyDescent="0.35">
      <c r="A724" s="559"/>
      <c r="B724" s="559"/>
      <c r="C724" s="559"/>
      <c r="D724" s="559"/>
      <c r="E724" s="559"/>
      <c r="F724" s="559"/>
      <c r="G724" s="559"/>
      <c r="H724" s="559"/>
      <c r="I724" s="559"/>
      <c r="J724" s="559"/>
      <c r="K724" s="559"/>
      <c r="L724" s="559"/>
      <c r="M724" s="559"/>
      <c r="N724" s="559"/>
      <c r="O724" s="559"/>
      <c r="P724" s="559"/>
      <c r="Q724" s="559"/>
      <c r="R724" s="559"/>
      <c r="S724" s="559"/>
      <c r="T724" s="559"/>
      <c r="U724" s="559"/>
      <c r="V724" s="559"/>
      <c r="W724" s="559"/>
      <c r="X724" s="559"/>
      <c r="Y724" s="559"/>
      <c r="Z724" s="559"/>
      <c r="AA724" s="559"/>
      <c r="AB724" s="559"/>
      <c r="AC724" s="559"/>
      <c r="AD724" s="559"/>
      <c r="AE724" s="559"/>
      <c r="AF724" s="559"/>
      <c r="AG724" s="559"/>
    </row>
    <row r="725" spans="1:33" ht="18" customHeight="1" x14ac:dyDescent="0.35">
      <c r="A725" s="559"/>
      <c r="B725" s="559"/>
      <c r="C725" s="559"/>
      <c r="D725" s="559"/>
      <c r="E725" s="559"/>
      <c r="F725" s="559"/>
      <c r="G725" s="559"/>
      <c r="H725" s="559"/>
      <c r="I725" s="559"/>
      <c r="J725" s="559"/>
      <c r="K725" s="559"/>
      <c r="L725" s="559"/>
      <c r="M725" s="559"/>
      <c r="N725" s="559"/>
      <c r="O725" s="559"/>
      <c r="P725" s="559"/>
      <c r="Q725" s="559"/>
      <c r="R725" s="559"/>
      <c r="S725" s="559"/>
      <c r="T725" s="559"/>
      <c r="U725" s="559"/>
      <c r="V725" s="559"/>
      <c r="W725" s="559"/>
      <c r="X725" s="559"/>
      <c r="Y725" s="559"/>
      <c r="Z725" s="559"/>
      <c r="AA725" s="559"/>
      <c r="AB725" s="559"/>
      <c r="AC725" s="559"/>
      <c r="AD725" s="559"/>
      <c r="AE725" s="559"/>
      <c r="AF725" s="559"/>
      <c r="AG725" s="559"/>
    </row>
    <row r="726" spans="1:33" ht="18" customHeight="1" x14ac:dyDescent="0.35">
      <c r="A726" s="559"/>
      <c r="B726" s="559"/>
      <c r="C726" s="559"/>
      <c r="D726" s="559"/>
      <c r="E726" s="559"/>
      <c r="F726" s="559"/>
      <c r="G726" s="559"/>
      <c r="H726" s="559"/>
      <c r="I726" s="559"/>
      <c r="J726" s="559"/>
      <c r="K726" s="559"/>
      <c r="L726" s="559"/>
      <c r="M726" s="559"/>
      <c r="N726" s="559"/>
      <c r="O726" s="559"/>
      <c r="P726" s="559"/>
      <c r="Q726" s="559"/>
      <c r="R726" s="559"/>
      <c r="S726" s="559"/>
      <c r="T726" s="559"/>
      <c r="U726" s="559"/>
      <c r="V726" s="559"/>
      <c r="W726" s="559"/>
      <c r="X726" s="559"/>
      <c r="Y726" s="559"/>
      <c r="Z726" s="559"/>
      <c r="AA726" s="559"/>
      <c r="AB726" s="559"/>
      <c r="AC726" s="559"/>
      <c r="AD726" s="559"/>
      <c r="AE726" s="559"/>
      <c r="AF726" s="559"/>
      <c r="AG726" s="559"/>
    </row>
    <row r="727" spans="1:33" ht="18" customHeight="1" x14ac:dyDescent="0.35">
      <c r="A727" s="559"/>
      <c r="B727" s="559"/>
      <c r="C727" s="559"/>
      <c r="D727" s="559"/>
      <c r="E727" s="559"/>
      <c r="F727" s="559"/>
      <c r="G727" s="559"/>
      <c r="H727" s="559"/>
      <c r="I727" s="559"/>
      <c r="J727" s="559"/>
      <c r="K727" s="559"/>
      <c r="L727" s="559"/>
      <c r="M727" s="559"/>
      <c r="N727" s="559"/>
      <c r="O727" s="559"/>
      <c r="P727" s="559"/>
      <c r="Q727" s="559"/>
      <c r="R727" s="559"/>
      <c r="S727" s="559"/>
      <c r="T727" s="559"/>
      <c r="U727" s="559"/>
      <c r="V727" s="559"/>
      <c r="W727" s="559"/>
      <c r="X727" s="559"/>
      <c r="Y727" s="559"/>
      <c r="Z727" s="559"/>
      <c r="AA727" s="559"/>
      <c r="AB727" s="559"/>
      <c r="AC727" s="559"/>
      <c r="AD727" s="559"/>
      <c r="AE727" s="559"/>
      <c r="AF727" s="559"/>
      <c r="AG727" s="559"/>
    </row>
    <row r="728" spans="1:33" ht="18" customHeight="1" x14ac:dyDescent="0.35">
      <c r="A728" s="559"/>
      <c r="B728" s="559"/>
      <c r="C728" s="559"/>
      <c r="D728" s="559"/>
      <c r="E728" s="559"/>
      <c r="F728" s="559"/>
      <c r="G728" s="559"/>
      <c r="H728" s="559"/>
      <c r="I728" s="559"/>
      <c r="J728" s="559"/>
      <c r="K728" s="559"/>
      <c r="L728" s="559"/>
      <c r="M728" s="559"/>
      <c r="N728" s="559"/>
      <c r="O728" s="559"/>
      <c r="P728" s="559"/>
      <c r="Q728" s="559"/>
      <c r="R728" s="559"/>
      <c r="S728" s="559"/>
      <c r="T728" s="559"/>
      <c r="U728" s="559"/>
      <c r="V728" s="559"/>
      <c r="W728" s="559"/>
      <c r="X728" s="559"/>
      <c r="Y728" s="559"/>
      <c r="Z728" s="559"/>
      <c r="AA728" s="559"/>
      <c r="AB728" s="559"/>
      <c r="AC728" s="559"/>
      <c r="AD728" s="559"/>
      <c r="AE728" s="559"/>
      <c r="AF728" s="559"/>
      <c r="AG728" s="559"/>
    </row>
    <row r="729" spans="1:33" ht="18" customHeight="1" x14ac:dyDescent="0.35">
      <c r="A729" s="559"/>
      <c r="B729" s="559"/>
      <c r="C729" s="559"/>
      <c r="D729" s="559"/>
      <c r="E729" s="559"/>
      <c r="F729" s="559"/>
      <c r="G729" s="559"/>
      <c r="H729" s="559"/>
      <c r="I729" s="559"/>
      <c r="J729" s="559"/>
      <c r="K729" s="559"/>
      <c r="L729" s="559"/>
      <c r="M729" s="559"/>
      <c r="N729" s="559"/>
      <c r="O729" s="559"/>
      <c r="P729" s="559"/>
      <c r="Q729" s="559"/>
      <c r="R729" s="559"/>
      <c r="S729" s="559"/>
      <c r="T729" s="559"/>
      <c r="U729" s="559"/>
      <c r="V729" s="559"/>
      <c r="W729" s="559"/>
      <c r="X729" s="559"/>
      <c r="Y729" s="559"/>
      <c r="Z729" s="559"/>
      <c r="AA729" s="559"/>
      <c r="AB729" s="559"/>
      <c r="AC729" s="559"/>
      <c r="AD729" s="559"/>
      <c r="AE729" s="559"/>
      <c r="AF729" s="559"/>
      <c r="AG729" s="559"/>
    </row>
    <row r="730" spans="1:33" ht="18" customHeight="1" x14ac:dyDescent="0.35">
      <c r="A730" s="559"/>
      <c r="B730" s="559"/>
      <c r="C730" s="559"/>
      <c r="D730" s="559"/>
      <c r="E730" s="559"/>
      <c r="F730" s="559"/>
      <c r="G730" s="559"/>
      <c r="H730" s="559"/>
      <c r="I730" s="559"/>
      <c r="J730" s="559"/>
      <c r="K730" s="559"/>
      <c r="L730" s="559"/>
      <c r="M730" s="559"/>
      <c r="N730" s="559"/>
      <c r="O730" s="559"/>
      <c r="P730" s="559"/>
      <c r="Q730" s="559"/>
      <c r="R730" s="559"/>
      <c r="S730" s="559"/>
      <c r="T730" s="559"/>
      <c r="U730" s="559"/>
      <c r="V730" s="559"/>
      <c r="W730" s="559"/>
      <c r="X730" s="559"/>
      <c r="Y730" s="559"/>
      <c r="Z730" s="559"/>
      <c r="AA730" s="559"/>
      <c r="AB730" s="559"/>
      <c r="AC730" s="559"/>
      <c r="AD730" s="559"/>
      <c r="AE730" s="559"/>
      <c r="AF730" s="559"/>
      <c r="AG730" s="559"/>
    </row>
    <row r="731" spans="1:33" ht="18" customHeight="1" x14ac:dyDescent="0.35">
      <c r="A731" s="559"/>
      <c r="B731" s="559"/>
      <c r="C731" s="559"/>
      <c r="D731" s="559"/>
      <c r="E731" s="559"/>
      <c r="F731" s="559"/>
      <c r="G731" s="559"/>
      <c r="H731" s="559"/>
      <c r="I731" s="559"/>
      <c r="J731" s="559"/>
      <c r="K731" s="559"/>
      <c r="L731" s="559"/>
      <c r="M731" s="559"/>
      <c r="N731" s="559"/>
      <c r="O731" s="559"/>
      <c r="P731" s="559"/>
      <c r="Q731" s="559"/>
      <c r="R731" s="559"/>
      <c r="S731" s="559"/>
      <c r="T731" s="559"/>
      <c r="U731" s="559"/>
      <c r="V731" s="559"/>
      <c r="W731" s="559"/>
      <c r="X731" s="559"/>
      <c r="Y731" s="559"/>
      <c r="Z731" s="559"/>
      <c r="AA731" s="559"/>
      <c r="AB731" s="559"/>
      <c r="AC731" s="559"/>
      <c r="AD731" s="559"/>
      <c r="AE731" s="559"/>
      <c r="AF731" s="559"/>
      <c r="AG731" s="559"/>
    </row>
    <row r="732" spans="1:33" ht="18" customHeight="1" x14ac:dyDescent="0.35">
      <c r="A732" s="559"/>
      <c r="B732" s="559"/>
      <c r="C732" s="559"/>
      <c r="D732" s="559"/>
      <c r="E732" s="559"/>
      <c r="F732" s="559"/>
      <c r="G732" s="559"/>
      <c r="H732" s="559"/>
      <c r="I732" s="559"/>
      <c r="J732" s="559"/>
      <c r="K732" s="559"/>
      <c r="L732" s="559"/>
      <c r="M732" s="559"/>
      <c r="N732" s="559"/>
      <c r="O732" s="559"/>
      <c r="P732" s="559"/>
      <c r="Q732" s="559"/>
      <c r="R732" s="559"/>
      <c r="S732" s="559"/>
      <c r="T732" s="559"/>
      <c r="U732" s="559"/>
      <c r="V732" s="559"/>
      <c r="W732" s="559"/>
      <c r="X732" s="559"/>
      <c r="Y732" s="559"/>
      <c r="Z732" s="559"/>
      <c r="AA732" s="559"/>
      <c r="AB732" s="559"/>
      <c r="AC732" s="559"/>
      <c r="AD732" s="559"/>
      <c r="AE732" s="559"/>
      <c r="AF732" s="559"/>
      <c r="AG732" s="559"/>
    </row>
    <row r="733" spans="1:33" ht="18" customHeight="1" x14ac:dyDescent="0.35">
      <c r="A733" s="559"/>
      <c r="B733" s="559"/>
      <c r="C733" s="559"/>
      <c r="D733" s="559"/>
      <c r="E733" s="559"/>
      <c r="F733" s="559"/>
      <c r="G733" s="559"/>
      <c r="H733" s="559"/>
      <c r="I733" s="559"/>
      <c r="J733" s="559"/>
      <c r="K733" s="559"/>
      <c r="L733" s="559"/>
      <c r="M733" s="559"/>
      <c r="N733" s="559"/>
      <c r="O733" s="559"/>
      <c r="P733" s="559"/>
      <c r="Q733" s="559"/>
      <c r="R733" s="559"/>
      <c r="S733" s="559"/>
      <c r="T733" s="559"/>
      <c r="U733" s="559"/>
      <c r="V733" s="559"/>
      <c r="W733" s="559"/>
      <c r="X733" s="559"/>
      <c r="Y733" s="559"/>
      <c r="Z733" s="559"/>
      <c r="AA733" s="559"/>
      <c r="AB733" s="559"/>
      <c r="AC733" s="559"/>
      <c r="AD733" s="559"/>
      <c r="AE733" s="559"/>
      <c r="AF733" s="559"/>
      <c r="AG733" s="559"/>
    </row>
    <row r="734" spans="1:33" ht="18" customHeight="1" x14ac:dyDescent="0.35">
      <c r="A734" s="559"/>
      <c r="B734" s="559"/>
      <c r="C734" s="559"/>
      <c r="D734" s="559"/>
      <c r="E734" s="559"/>
      <c r="F734" s="559"/>
      <c r="G734" s="559"/>
      <c r="H734" s="559"/>
      <c r="I734" s="559"/>
      <c r="J734" s="559"/>
      <c r="K734" s="559"/>
      <c r="L734" s="559"/>
      <c r="M734" s="559"/>
      <c r="N734" s="559"/>
      <c r="O734" s="559"/>
      <c r="P734" s="559"/>
      <c r="Q734" s="559"/>
      <c r="R734" s="559"/>
      <c r="S734" s="559"/>
      <c r="T734" s="559"/>
      <c r="U734" s="559"/>
      <c r="V734" s="559"/>
      <c r="W734" s="559"/>
      <c r="X734" s="559"/>
      <c r="Y734" s="559"/>
      <c r="Z734" s="559"/>
      <c r="AA734" s="559"/>
      <c r="AB734" s="559"/>
      <c r="AC734" s="559"/>
      <c r="AD734" s="559"/>
      <c r="AE734" s="559"/>
      <c r="AF734" s="559"/>
      <c r="AG734" s="559"/>
    </row>
    <row r="735" spans="1:33" ht="18" customHeight="1" x14ac:dyDescent="0.35">
      <c r="A735" s="559"/>
      <c r="B735" s="559"/>
      <c r="C735" s="559"/>
      <c r="D735" s="559"/>
      <c r="E735" s="559"/>
      <c r="F735" s="559"/>
      <c r="G735" s="559"/>
      <c r="H735" s="559"/>
      <c r="I735" s="559"/>
      <c r="J735" s="559"/>
      <c r="K735" s="559"/>
      <c r="L735" s="559"/>
      <c r="M735" s="559"/>
      <c r="N735" s="559"/>
      <c r="O735" s="559"/>
      <c r="P735" s="559"/>
      <c r="Q735" s="559"/>
      <c r="R735" s="559"/>
      <c r="S735" s="559"/>
      <c r="T735" s="559"/>
      <c r="U735" s="559"/>
      <c r="V735" s="559"/>
      <c r="W735" s="559"/>
      <c r="X735" s="559"/>
      <c r="Y735" s="559"/>
      <c r="Z735" s="559"/>
      <c r="AA735" s="559"/>
      <c r="AB735" s="559"/>
      <c r="AC735" s="559"/>
      <c r="AD735" s="559"/>
      <c r="AE735" s="559"/>
      <c r="AF735" s="559"/>
      <c r="AG735" s="559"/>
    </row>
    <row r="736" spans="1:33" ht="18" customHeight="1" x14ac:dyDescent="0.35">
      <c r="A736" s="559"/>
      <c r="B736" s="559"/>
      <c r="C736" s="559"/>
      <c r="D736" s="559"/>
      <c r="E736" s="559"/>
      <c r="F736" s="559"/>
      <c r="G736" s="559"/>
      <c r="H736" s="559"/>
      <c r="I736" s="559"/>
      <c r="J736" s="559"/>
      <c r="K736" s="559"/>
      <c r="L736" s="559"/>
      <c r="M736" s="559"/>
      <c r="N736" s="559"/>
      <c r="O736" s="559"/>
      <c r="P736" s="559"/>
      <c r="Q736" s="559"/>
      <c r="R736" s="559"/>
      <c r="S736" s="559"/>
      <c r="T736" s="559"/>
      <c r="U736" s="559"/>
      <c r="V736" s="559"/>
      <c r="W736" s="559"/>
      <c r="X736" s="559"/>
      <c r="Y736" s="559"/>
      <c r="Z736" s="559"/>
      <c r="AA736" s="559"/>
      <c r="AB736" s="559"/>
      <c r="AC736" s="559"/>
      <c r="AD736" s="559"/>
      <c r="AE736" s="559"/>
      <c r="AF736" s="559"/>
      <c r="AG736" s="559"/>
    </row>
    <row r="737" spans="1:33" ht="18" customHeight="1" x14ac:dyDescent="0.35">
      <c r="A737" s="559"/>
      <c r="B737" s="559"/>
      <c r="C737" s="559"/>
      <c r="D737" s="559"/>
      <c r="E737" s="559"/>
      <c r="F737" s="559"/>
      <c r="G737" s="559"/>
      <c r="H737" s="559"/>
      <c r="I737" s="559"/>
      <c r="J737" s="559"/>
      <c r="K737" s="559"/>
      <c r="L737" s="559"/>
      <c r="M737" s="559"/>
      <c r="N737" s="559"/>
      <c r="O737" s="559"/>
      <c r="P737" s="559"/>
      <c r="Q737" s="559"/>
      <c r="R737" s="559"/>
      <c r="S737" s="559"/>
      <c r="T737" s="559"/>
      <c r="U737" s="559"/>
      <c r="V737" s="559"/>
      <c r="W737" s="559"/>
      <c r="X737" s="559"/>
      <c r="Y737" s="559"/>
      <c r="Z737" s="559"/>
      <c r="AA737" s="559"/>
      <c r="AB737" s="559"/>
      <c r="AC737" s="559"/>
      <c r="AD737" s="559"/>
      <c r="AE737" s="559"/>
      <c r="AF737" s="559"/>
      <c r="AG737" s="559"/>
    </row>
    <row r="738" spans="1:33" ht="18" customHeight="1" x14ac:dyDescent="0.35">
      <c r="A738" s="559"/>
      <c r="B738" s="559"/>
      <c r="C738" s="559"/>
      <c r="D738" s="559"/>
      <c r="E738" s="559"/>
      <c r="F738" s="559"/>
      <c r="G738" s="559"/>
      <c r="H738" s="559"/>
      <c r="I738" s="559"/>
      <c r="J738" s="559"/>
      <c r="K738" s="559"/>
      <c r="L738" s="559"/>
      <c r="M738" s="559"/>
      <c r="N738" s="559"/>
      <c r="O738" s="559"/>
      <c r="P738" s="559"/>
      <c r="Q738" s="559"/>
      <c r="R738" s="559"/>
      <c r="S738" s="559"/>
      <c r="T738" s="559"/>
      <c r="U738" s="559"/>
      <c r="V738" s="559"/>
      <c r="W738" s="559"/>
      <c r="X738" s="559"/>
      <c r="Y738" s="559"/>
      <c r="Z738" s="559"/>
      <c r="AA738" s="559"/>
      <c r="AB738" s="559"/>
      <c r="AC738" s="559"/>
      <c r="AD738" s="559"/>
      <c r="AE738" s="559"/>
      <c r="AF738" s="559"/>
      <c r="AG738" s="559"/>
    </row>
    <row r="739" spans="1:33" ht="18" customHeight="1" x14ac:dyDescent="0.35">
      <c r="A739" s="559"/>
      <c r="B739" s="559"/>
      <c r="C739" s="559"/>
      <c r="D739" s="559"/>
      <c r="E739" s="559"/>
      <c r="F739" s="559"/>
      <c r="G739" s="559"/>
      <c r="H739" s="559"/>
      <c r="I739" s="559"/>
      <c r="J739" s="559"/>
      <c r="K739" s="559"/>
      <c r="L739" s="559"/>
      <c r="M739" s="559"/>
      <c r="N739" s="559"/>
      <c r="O739" s="559"/>
      <c r="P739" s="559"/>
      <c r="Q739" s="559"/>
      <c r="R739" s="559"/>
      <c r="S739" s="559"/>
      <c r="T739" s="559"/>
      <c r="U739" s="559"/>
      <c r="V739" s="559"/>
      <c r="W739" s="559"/>
      <c r="X739" s="559"/>
      <c r="Y739" s="559"/>
      <c r="Z739" s="559"/>
      <c r="AA739" s="559"/>
      <c r="AB739" s="559"/>
      <c r="AC739" s="559"/>
      <c r="AD739" s="559"/>
      <c r="AE739" s="559"/>
      <c r="AF739" s="559"/>
      <c r="AG739" s="559"/>
    </row>
    <row r="740" spans="1:33" ht="18" customHeight="1" x14ac:dyDescent="0.35">
      <c r="A740" s="559"/>
      <c r="B740" s="559"/>
      <c r="C740" s="559"/>
      <c r="D740" s="559"/>
      <c r="E740" s="559"/>
      <c r="F740" s="559"/>
      <c r="G740" s="559"/>
      <c r="H740" s="559"/>
      <c r="I740" s="559"/>
      <c r="J740" s="559"/>
      <c r="K740" s="559"/>
      <c r="L740" s="559"/>
      <c r="M740" s="559"/>
      <c r="N740" s="559"/>
      <c r="O740" s="559"/>
      <c r="P740" s="559"/>
      <c r="Q740" s="559"/>
      <c r="R740" s="559"/>
      <c r="S740" s="559"/>
      <c r="T740" s="559"/>
      <c r="U740" s="559"/>
      <c r="V740" s="559"/>
      <c r="W740" s="559"/>
      <c r="X740" s="559"/>
      <c r="Y740" s="559"/>
      <c r="Z740" s="559"/>
      <c r="AA740" s="559"/>
      <c r="AB740" s="559"/>
      <c r="AC740" s="559"/>
      <c r="AD740" s="559"/>
      <c r="AE740" s="559"/>
      <c r="AF740" s="559"/>
      <c r="AG740" s="559"/>
    </row>
    <row r="741" spans="1:33" ht="18" customHeight="1" x14ac:dyDescent="0.35">
      <c r="A741" s="559"/>
      <c r="B741" s="559"/>
      <c r="C741" s="559"/>
      <c r="D741" s="559"/>
      <c r="E741" s="559"/>
      <c r="F741" s="559"/>
      <c r="G741" s="559"/>
      <c r="H741" s="559"/>
      <c r="I741" s="559"/>
      <c r="J741" s="559"/>
      <c r="K741" s="559"/>
      <c r="L741" s="559"/>
      <c r="M741" s="559"/>
      <c r="N741" s="559"/>
      <c r="O741" s="559"/>
      <c r="P741" s="559"/>
      <c r="Q741" s="559"/>
      <c r="R741" s="559"/>
      <c r="S741" s="559"/>
      <c r="T741" s="559"/>
      <c r="U741" s="559"/>
      <c r="V741" s="559"/>
      <c r="W741" s="559"/>
      <c r="X741" s="559"/>
      <c r="Y741" s="559"/>
      <c r="Z741" s="559"/>
      <c r="AA741" s="559"/>
      <c r="AB741" s="559"/>
      <c r="AC741" s="559"/>
      <c r="AD741" s="559"/>
      <c r="AE741" s="559"/>
      <c r="AF741" s="559"/>
      <c r="AG741" s="559"/>
    </row>
    <row r="742" spans="1:33" ht="18" customHeight="1" x14ac:dyDescent="0.35">
      <c r="A742" s="559"/>
      <c r="B742" s="559"/>
      <c r="C742" s="559"/>
      <c r="D742" s="559"/>
      <c r="E742" s="559"/>
      <c r="F742" s="559"/>
      <c r="G742" s="559"/>
      <c r="H742" s="559"/>
      <c r="I742" s="559"/>
      <c r="J742" s="559"/>
      <c r="K742" s="559"/>
      <c r="L742" s="559"/>
      <c r="M742" s="559"/>
      <c r="N742" s="559"/>
      <c r="O742" s="559"/>
      <c r="P742" s="559"/>
      <c r="Q742" s="559"/>
      <c r="R742" s="559"/>
      <c r="S742" s="559"/>
      <c r="T742" s="559"/>
      <c r="U742" s="559"/>
      <c r="V742" s="559"/>
      <c r="W742" s="559"/>
      <c r="X742" s="559"/>
      <c r="Y742" s="559"/>
      <c r="Z742" s="559"/>
      <c r="AA742" s="559"/>
      <c r="AB742" s="559"/>
      <c r="AC742" s="559"/>
      <c r="AD742" s="559"/>
      <c r="AE742" s="559"/>
      <c r="AF742" s="559"/>
      <c r="AG742" s="559"/>
    </row>
    <row r="743" spans="1:33" ht="18" customHeight="1" x14ac:dyDescent="0.35">
      <c r="A743" s="559"/>
      <c r="B743" s="559"/>
      <c r="C743" s="559"/>
      <c r="D743" s="559"/>
      <c r="E743" s="559"/>
      <c r="F743" s="559"/>
      <c r="G743" s="559"/>
      <c r="H743" s="559"/>
      <c r="I743" s="559"/>
      <c r="J743" s="559"/>
      <c r="K743" s="559"/>
      <c r="L743" s="559"/>
      <c r="M743" s="559"/>
      <c r="N743" s="559"/>
      <c r="O743" s="559"/>
      <c r="P743" s="559"/>
      <c r="Q743" s="559"/>
      <c r="R743" s="559"/>
      <c r="S743" s="559"/>
      <c r="T743" s="559"/>
      <c r="U743" s="559"/>
      <c r="V743" s="559"/>
      <c r="W743" s="559"/>
      <c r="X743" s="559"/>
      <c r="Y743" s="559"/>
      <c r="Z743" s="559"/>
      <c r="AA743" s="559"/>
      <c r="AB743" s="559"/>
      <c r="AC743" s="559"/>
      <c r="AD743" s="559"/>
      <c r="AE743" s="559"/>
      <c r="AF743" s="559"/>
      <c r="AG743" s="559"/>
    </row>
    <row r="744" spans="1:33" ht="18" customHeight="1" x14ac:dyDescent="0.35">
      <c r="A744" s="559"/>
      <c r="B744" s="559"/>
      <c r="C744" s="559"/>
      <c r="D744" s="559"/>
      <c r="E744" s="559"/>
      <c r="F744" s="559"/>
      <c r="G744" s="559"/>
      <c r="H744" s="559"/>
      <c r="I744" s="559"/>
      <c r="J744" s="559"/>
      <c r="K744" s="559"/>
      <c r="L744" s="559"/>
      <c r="M744" s="559"/>
      <c r="N744" s="559"/>
      <c r="O744" s="559"/>
      <c r="P744" s="559"/>
      <c r="Q744" s="559"/>
      <c r="R744" s="559"/>
      <c r="S744" s="559"/>
      <c r="T744" s="559"/>
      <c r="U744" s="559"/>
      <c r="V744" s="559"/>
      <c r="W744" s="559"/>
      <c r="X744" s="559"/>
      <c r="Y744" s="559"/>
      <c r="Z744" s="559"/>
      <c r="AA744" s="559"/>
      <c r="AB744" s="559"/>
      <c r="AC744" s="559"/>
      <c r="AD744" s="559"/>
      <c r="AE744" s="559"/>
      <c r="AF744" s="559"/>
      <c r="AG744" s="559"/>
    </row>
    <row r="745" spans="1:33" ht="18" customHeight="1" x14ac:dyDescent="0.35">
      <c r="A745" s="559"/>
      <c r="B745" s="559"/>
      <c r="C745" s="559"/>
      <c r="D745" s="559"/>
      <c r="E745" s="559"/>
      <c r="F745" s="559"/>
      <c r="G745" s="559"/>
      <c r="H745" s="559"/>
      <c r="I745" s="559"/>
      <c r="J745" s="559"/>
      <c r="K745" s="559"/>
      <c r="L745" s="559"/>
      <c r="M745" s="559"/>
      <c r="N745" s="559"/>
      <c r="O745" s="559"/>
      <c r="P745" s="559"/>
      <c r="Q745" s="559"/>
      <c r="R745" s="559"/>
      <c r="S745" s="559"/>
      <c r="T745" s="559"/>
      <c r="U745" s="559"/>
      <c r="V745" s="559"/>
      <c r="W745" s="559"/>
      <c r="X745" s="559"/>
      <c r="Y745" s="559"/>
      <c r="Z745" s="559"/>
      <c r="AA745" s="559"/>
      <c r="AB745" s="559"/>
      <c r="AC745" s="559"/>
      <c r="AD745" s="559"/>
      <c r="AE745" s="559"/>
      <c r="AF745" s="559"/>
      <c r="AG745" s="559"/>
    </row>
    <row r="746" spans="1:33" ht="18" customHeight="1" x14ac:dyDescent="0.35">
      <c r="A746" s="559"/>
      <c r="B746" s="559"/>
      <c r="C746" s="559"/>
      <c r="D746" s="559"/>
      <c r="E746" s="559"/>
      <c r="F746" s="559"/>
      <c r="G746" s="559"/>
      <c r="H746" s="559"/>
      <c r="I746" s="559"/>
      <c r="J746" s="559"/>
      <c r="K746" s="559"/>
      <c r="L746" s="559"/>
      <c r="M746" s="559"/>
      <c r="N746" s="559"/>
      <c r="O746" s="559"/>
      <c r="P746" s="559"/>
      <c r="Q746" s="559"/>
      <c r="R746" s="559"/>
      <c r="S746" s="559"/>
      <c r="T746" s="559"/>
      <c r="U746" s="559"/>
      <c r="V746" s="559"/>
      <c r="W746" s="559"/>
      <c r="X746" s="559"/>
      <c r="Y746" s="559"/>
      <c r="Z746" s="559"/>
      <c r="AA746" s="559"/>
      <c r="AB746" s="559"/>
      <c r="AC746" s="559"/>
      <c r="AD746" s="559"/>
      <c r="AE746" s="559"/>
      <c r="AF746" s="559"/>
      <c r="AG746" s="559"/>
    </row>
    <row r="747" spans="1:33" ht="18" customHeight="1" x14ac:dyDescent="0.35">
      <c r="A747" s="559"/>
      <c r="B747" s="559"/>
      <c r="C747" s="559"/>
      <c r="D747" s="559"/>
      <c r="E747" s="559"/>
      <c r="F747" s="559"/>
      <c r="G747" s="559"/>
      <c r="H747" s="559"/>
      <c r="I747" s="559"/>
      <c r="J747" s="559"/>
      <c r="K747" s="559"/>
      <c r="L747" s="559"/>
      <c r="M747" s="559"/>
      <c r="N747" s="559"/>
      <c r="O747" s="559"/>
      <c r="P747" s="559"/>
      <c r="Q747" s="559"/>
      <c r="R747" s="559"/>
      <c r="S747" s="559"/>
      <c r="T747" s="559"/>
      <c r="U747" s="559"/>
      <c r="V747" s="559"/>
      <c r="W747" s="559"/>
      <c r="X747" s="559"/>
      <c r="Y747" s="559"/>
      <c r="Z747" s="559"/>
      <c r="AA747" s="559"/>
      <c r="AB747" s="559"/>
      <c r="AC747" s="559"/>
      <c r="AD747" s="559"/>
      <c r="AE747" s="559"/>
      <c r="AF747" s="559"/>
      <c r="AG747" s="559"/>
    </row>
    <row r="748" spans="1:33" ht="18" customHeight="1" x14ac:dyDescent="0.35">
      <c r="A748" s="559"/>
      <c r="B748" s="559"/>
      <c r="C748" s="559"/>
      <c r="D748" s="559"/>
      <c r="E748" s="559"/>
      <c r="F748" s="559"/>
      <c r="G748" s="559"/>
      <c r="H748" s="559"/>
      <c r="I748" s="559"/>
      <c r="J748" s="559"/>
      <c r="K748" s="559"/>
      <c r="L748" s="559"/>
      <c r="M748" s="559"/>
      <c r="N748" s="559"/>
      <c r="O748" s="559"/>
      <c r="P748" s="559"/>
      <c r="Q748" s="559"/>
      <c r="R748" s="559"/>
      <c r="S748" s="559"/>
      <c r="T748" s="559"/>
      <c r="U748" s="559"/>
      <c r="V748" s="559"/>
      <c r="W748" s="559"/>
      <c r="X748" s="559"/>
      <c r="Y748" s="559"/>
      <c r="Z748" s="559"/>
      <c r="AA748" s="559"/>
      <c r="AB748" s="559"/>
      <c r="AC748" s="559"/>
      <c r="AD748" s="559"/>
      <c r="AE748" s="559"/>
      <c r="AF748" s="559"/>
      <c r="AG748" s="559"/>
    </row>
    <row r="749" spans="1:33" ht="18" customHeight="1" x14ac:dyDescent="0.35">
      <c r="A749" s="559"/>
      <c r="B749" s="559"/>
      <c r="C749" s="559"/>
      <c r="D749" s="559"/>
      <c r="E749" s="559"/>
      <c r="F749" s="559"/>
      <c r="G749" s="559"/>
      <c r="H749" s="559"/>
      <c r="I749" s="559"/>
      <c r="J749" s="559"/>
      <c r="K749" s="559"/>
      <c r="L749" s="559"/>
      <c r="M749" s="559"/>
      <c r="N749" s="559"/>
      <c r="O749" s="559"/>
      <c r="P749" s="559"/>
      <c r="Q749" s="559"/>
      <c r="R749" s="559"/>
      <c r="S749" s="559"/>
      <c r="T749" s="559"/>
      <c r="U749" s="559"/>
      <c r="V749" s="559"/>
      <c r="W749" s="559"/>
      <c r="X749" s="559"/>
      <c r="Y749" s="559"/>
      <c r="Z749" s="559"/>
      <c r="AA749" s="559"/>
      <c r="AB749" s="559"/>
      <c r="AC749" s="559"/>
      <c r="AD749" s="559"/>
      <c r="AE749" s="559"/>
      <c r="AF749" s="559"/>
      <c r="AG749" s="559"/>
    </row>
    <row r="750" spans="1:33" ht="18" customHeight="1" x14ac:dyDescent="0.35">
      <c r="A750" s="559"/>
      <c r="B750" s="559"/>
      <c r="C750" s="559"/>
      <c r="D750" s="559"/>
      <c r="E750" s="559"/>
      <c r="F750" s="559"/>
      <c r="G750" s="559"/>
      <c r="H750" s="559"/>
      <c r="I750" s="559"/>
      <c r="J750" s="559"/>
      <c r="K750" s="559"/>
      <c r="L750" s="559"/>
      <c r="M750" s="559"/>
      <c r="N750" s="559"/>
      <c r="O750" s="559"/>
      <c r="P750" s="559"/>
      <c r="Q750" s="559"/>
      <c r="R750" s="559"/>
      <c r="S750" s="559"/>
      <c r="T750" s="559"/>
      <c r="U750" s="559"/>
      <c r="V750" s="559"/>
      <c r="W750" s="559"/>
      <c r="X750" s="559"/>
      <c r="Y750" s="559"/>
      <c r="Z750" s="559"/>
      <c r="AA750" s="559"/>
      <c r="AB750" s="559"/>
      <c r="AC750" s="559"/>
      <c r="AD750" s="559"/>
      <c r="AE750" s="559"/>
      <c r="AF750" s="559"/>
      <c r="AG750" s="559"/>
    </row>
    <row r="751" spans="1:33" ht="18" customHeight="1" x14ac:dyDescent="0.35">
      <c r="A751" s="559"/>
      <c r="B751" s="559"/>
      <c r="C751" s="559"/>
      <c r="D751" s="559"/>
      <c r="E751" s="559"/>
      <c r="F751" s="559"/>
      <c r="G751" s="559"/>
      <c r="H751" s="559"/>
      <c r="I751" s="559"/>
      <c r="J751" s="559"/>
      <c r="K751" s="559"/>
      <c r="L751" s="559"/>
      <c r="M751" s="559"/>
      <c r="N751" s="559"/>
      <c r="O751" s="559"/>
      <c r="P751" s="559"/>
      <c r="Q751" s="559"/>
      <c r="R751" s="559"/>
      <c r="S751" s="559"/>
      <c r="T751" s="559"/>
      <c r="U751" s="559"/>
      <c r="V751" s="559"/>
      <c r="W751" s="559"/>
      <c r="X751" s="559"/>
      <c r="Y751" s="559"/>
      <c r="Z751" s="559"/>
      <c r="AA751" s="559"/>
      <c r="AB751" s="559"/>
      <c r="AC751" s="559"/>
      <c r="AD751" s="559"/>
      <c r="AE751" s="559"/>
      <c r="AF751" s="559"/>
      <c r="AG751" s="559"/>
    </row>
    <row r="752" spans="1:33" ht="18" customHeight="1" x14ac:dyDescent="0.35">
      <c r="A752" s="559"/>
      <c r="B752" s="559"/>
      <c r="C752" s="559"/>
      <c r="D752" s="559"/>
      <c r="E752" s="559"/>
      <c r="F752" s="559"/>
      <c r="G752" s="559"/>
      <c r="H752" s="559"/>
      <c r="I752" s="559"/>
      <c r="J752" s="559"/>
      <c r="K752" s="559"/>
      <c r="L752" s="559"/>
      <c r="M752" s="559"/>
      <c r="N752" s="559"/>
      <c r="O752" s="559"/>
      <c r="P752" s="559"/>
      <c r="Q752" s="559"/>
      <c r="R752" s="559"/>
      <c r="S752" s="559"/>
      <c r="T752" s="559"/>
      <c r="U752" s="559"/>
      <c r="V752" s="559"/>
      <c r="W752" s="559"/>
      <c r="X752" s="559"/>
      <c r="Y752" s="559"/>
      <c r="Z752" s="559"/>
      <c r="AA752" s="559"/>
      <c r="AB752" s="559"/>
      <c r="AC752" s="559"/>
      <c r="AD752" s="559"/>
      <c r="AE752" s="559"/>
      <c r="AF752" s="559"/>
      <c r="AG752" s="559"/>
    </row>
    <row r="753" spans="1:33" ht="18" customHeight="1" x14ac:dyDescent="0.35">
      <c r="A753" s="559"/>
      <c r="B753" s="559"/>
      <c r="C753" s="559"/>
      <c r="D753" s="559"/>
      <c r="E753" s="559"/>
      <c r="F753" s="559"/>
      <c r="G753" s="559"/>
      <c r="H753" s="559"/>
      <c r="I753" s="559"/>
      <c r="J753" s="559"/>
      <c r="K753" s="559"/>
      <c r="L753" s="559"/>
      <c r="M753" s="559"/>
      <c r="N753" s="559"/>
      <c r="O753" s="559"/>
      <c r="P753" s="559"/>
      <c r="Q753" s="559"/>
      <c r="R753" s="559"/>
      <c r="S753" s="559"/>
      <c r="T753" s="559"/>
      <c r="U753" s="559"/>
      <c r="V753" s="559"/>
      <c r="W753" s="559"/>
      <c r="X753" s="559"/>
      <c r="Y753" s="559"/>
      <c r="Z753" s="559"/>
      <c r="AA753" s="559"/>
      <c r="AB753" s="559"/>
      <c r="AC753" s="559"/>
      <c r="AD753" s="559"/>
      <c r="AE753" s="559"/>
      <c r="AF753" s="559"/>
      <c r="AG753" s="559"/>
    </row>
    <row r="754" spans="1:33" ht="18" customHeight="1" x14ac:dyDescent="0.35">
      <c r="A754" s="559"/>
      <c r="B754" s="559"/>
      <c r="C754" s="559"/>
      <c r="D754" s="559"/>
      <c r="E754" s="559"/>
      <c r="F754" s="559"/>
      <c r="G754" s="559"/>
      <c r="H754" s="559"/>
      <c r="I754" s="559"/>
      <c r="J754" s="559"/>
      <c r="K754" s="559"/>
      <c r="L754" s="559"/>
      <c r="M754" s="559"/>
      <c r="N754" s="559"/>
      <c r="O754" s="559"/>
      <c r="P754" s="559"/>
      <c r="Q754" s="559"/>
      <c r="R754" s="559"/>
      <c r="S754" s="559"/>
      <c r="T754" s="559"/>
      <c r="U754" s="559"/>
      <c r="V754" s="559"/>
      <c r="W754" s="559"/>
      <c r="X754" s="559"/>
      <c r="Y754" s="559"/>
      <c r="Z754" s="559"/>
      <c r="AA754" s="559"/>
      <c r="AB754" s="559"/>
      <c r="AC754" s="559"/>
      <c r="AD754" s="559"/>
      <c r="AE754" s="559"/>
      <c r="AF754" s="559"/>
      <c r="AG754" s="559"/>
    </row>
    <row r="755" spans="1:33" ht="18" customHeight="1" x14ac:dyDescent="0.35">
      <c r="A755" s="559"/>
      <c r="B755" s="559"/>
      <c r="C755" s="559"/>
      <c r="D755" s="559"/>
      <c r="E755" s="559"/>
      <c r="F755" s="559"/>
      <c r="G755" s="559"/>
      <c r="H755" s="559"/>
      <c r="I755" s="559"/>
      <c r="J755" s="559"/>
      <c r="K755" s="559"/>
      <c r="L755" s="559"/>
      <c r="M755" s="559"/>
      <c r="N755" s="559"/>
      <c r="O755" s="559"/>
      <c r="P755" s="559"/>
      <c r="Q755" s="559"/>
      <c r="R755" s="559"/>
      <c r="S755" s="559"/>
      <c r="T755" s="559"/>
      <c r="U755" s="559"/>
      <c r="V755" s="559"/>
      <c r="W755" s="559"/>
      <c r="X755" s="559"/>
      <c r="Y755" s="559"/>
      <c r="Z755" s="559"/>
      <c r="AA755" s="559"/>
      <c r="AB755" s="559"/>
      <c r="AC755" s="559"/>
      <c r="AD755" s="559"/>
      <c r="AE755" s="559"/>
      <c r="AF755" s="559"/>
      <c r="AG755" s="559"/>
    </row>
    <row r="756" spans="1:33" ht="18" customHeight="1" x14ac:dyDescent="0.35">
      <c r="A756" s="559"/>
      <c r="B756" s="559"/>
      <c r="C756" s="559"/>
      <c r="D756" s="559"/>
      <c r="E756" s="559"/>
      <c r="F756" s="559"/>
      <c r="G756" s="559"/>
      <c r="H756" s="559"/>
      <c r="I756" s="559"/>
      <c r="J756" s="559"/>
      <c r="K756" s="559"/>
      <c r="L756" s="559"/>
      <c r="M756" s="559"/>
      <c r="N756" s="559"/>
      <c r="O756" s="559"/>
      <c r="P756" s="559"/>
      <c r="Q756" s="559"/>
      <c r="R756" s="559"/>
      <c r="S756" s="559"/>
      <c r="T756" s="559"/>
      <c r="U756" s="559"/>
      <c r="V756" s="559"/>
      <c r="W756" s="559"/>
      <c r="X756" s="559"/>
      <c r="Y756" s="559"/>
      <c r="Z756" s="559"/>
      <c r="AA756" s="559"/>
      <c r="AB756" s="559"/>
      <c r="AC756" s="559"/>
      <c r="AD756" s="559"/>
      <c r="AE756" s="559"/>
      <c r="AF756" s="559"/>
      <c r="AG756" s="559"/>
    </row>
    <row r="757" spans="1:33" ht="18" customHeight="1" x14ac:dyDescent="0.35">
      <c r="A757" s="559"/>
      <c r="B757" s="559"/>
      <c r="C757" s="559"/>
      <c r="D757" s="559"/>
      <c r="E757" s="559"/>
      <c r="F757" s="559"/>
      <c r="G757" s="559"/>
      <c r="H757" s="559"/>
      <c r="I757" s="559"/>
      <c r="J757" s="559"/>
      <c r="K757" s="559"/>
      <c r="L757" s="559"/>
      <c r="M757" s="559"/>
      <c r="N757" s="559"/>
      <c r="O757" s="559"/>
      <c r="P757" s="559"/>
      <c r="Q757" s="559"/>
      <c r="R757" s="559"/>
      <c r="S757" s="559"/>
      <c r="T757" s="559"/>
      <c r="U757" s="559"/>
      <c r="V757" s="559"/>
      <c r="W757" s="559"/>
      <c r="X757" s="559"/>
      <c r="Y757" s="559"/>
      <c r="Z757" s="559"/>
      <c r="AA757" s="559"/>
      <c r="AB757" s="559"/>
      <c r="AC757" s="559"/>
      <c r="AD757" s="559"/>
      <c r="AE757" s="559"/>
      <c r="AF757" s="559"/>
      <c r="AG757" s="559"/>
    </row>
    <row r="758" spans="1:33" ht="18" customHeight="1" x14ac:dyDescent="0.35">
      <c r="A758" s="559"/>
      <c r="B758" s="559"/>
      <c r="C758" s="559"/>
      <c r="D758" s="559"/>
      <c r="E758" s="559"/>
      <c r="F758" s="559"/>
      <c r="G758" s="559"/>
      <c r="H758" s="559"/>
      <c r="I758" s="559"/>
      <c r="J758" s="559"/>
      <c r="K758" s="559"/>
      <c r="L758" s="559"/>
      <c r="M758" s="559"/>
      <c r="N758" s="559"/>
      <c r="O758" s="559"/>
      <c r="P758" s="559"/>
      <c r="Q758" s="559"/>
      <c r="R758" s="559"/>
      <c r="S758" s="559"/>
      <c r="T758" s="559"/>
      <c r="U758" s="559"/>
      <c r="V758" s="559"/>
      <c r="W758" s="559"/>
      <c r="X758" s="559"/>
      <c r="Y758" s="559"/>
      <c r="Z758" s="559"/>
      <c r="AA758" s="559"/>
      <c r="AB758" s="559"/>
      <c r="AC758" s="559"/>
      <c r="AD758" s="559"/>
      <c r="AE758" s="559"/>
      <c r="AF758" s="559"/>
      <c r="AG758" s="559"/>
    </row>
    <row r="759" spans="1:33" ht="18" customHeight="1" x14ac:dyDescent="0.35">
      <c r="A759" s="559"/>
      <c r="B759" s="559"/>
      <c r="C759" s="559"/>
      <c r="D759" s="559"/>
      <c r="E759" s="559"/>
      <c r="F759" s="559"/>
      <c r="G759" s="559"/>
      <c r="H759" s="559"/>
      <c r="I759" s="559"/>
      <c r="J759" s="559"/>
      <c r="K759" s="559"/>
      <c r="L759" s="559"/>
      <c r="M759" s="559"/>
      <c r="N759" s="559"/>
      <c r="O759" s="559"/>
      <c r="P759" s="559"/>
      <c r="Q759" s="559"/>
      <c r="R759" s="559"/>
      <c r="S759" s="559"/>
      <c r="T759" s="559"/>
      <c r="U759" s="559"/>
      <c r="V759" s="559"/>
      <c r="W759" s="559"/>
      <c r="X759" s="559"/>
      <c r="Y759" s="559"/>
      <c r="Z759" s="559"/>
      <c r="AA759" s="559"/>
      <c r="AB759" s="559"/>
      <c r="AC759" s="559"/>
      <c r="AD759" s="559"/>
      <c r="AE759" s="559"/>
      <c r="AF759" s="559"/>
      <c r="AG759" s="559"/>
    </row>
    <row r="760" spans="1:33" ht="18" customHeight="1" x14ac:dyDescent="0.35">
      <c r="A760" s="559"/>
      <c r="B760" s="559"/>
      <c r="C760" s="559"/>
      <c r="D760" s="559"/>
      <c r="E760" s="559"/>
      <c r="F760" s="559"/>
      <c r="G760" s="559"/>
      <c r="H760" s="559"/>
      <c r="I760" s="559"/>
      <c r="J760" s="559"/>
      <c r="K760" s="559"/>
      <c r="L760" s="559"/>
      <c r="M760" s="559"/>
      <c r="N760" s="559"/>
      <c r="O760" s="559"/>
      <c r="P760" s="559"/>
      <c r="Q760" s="559"/>
      <c r="R760" s="559"/>
      <c r="S760" s="559"/>
      <c r="T760" s="559"/>
      <c r="U760" s="559"/>
      <c r="V760" s="559"/>
      <c r="W760" s="559"/>
      <c r="X760" s="559"/>
      <c r="Y760" s="559"/>
      <c r="Z760" s="559"/>
      <c r="AA760" s="559"/>
      <c r="AB760" s="559"/>
      <c r="AC760" s="559"/>
      <c r="AD760" s="559"/>
      <c r="AE760" s="559"/>
      <c r="AF760" s="559"/>
      <c r="AG760" s="559"/>
    </row>
    <row r="761" spans="1:33" ht="18" customHeight="1" x14ac:dyDescent="0.35">
      <c r="A761" s="559"/>
      <c r="B761" s="559"/>
      <c r="C761" s="559"/>
      <c r="D761" s="559"/>
      <c r="E761" s="559"/>
      <c r="F761" s="559"/>
      <c r="G761" s="559"/>
      <c r="H761" s="559"/>
      <c r="I761" s="559"/>
      <c r="J761" s="559"/>
      <c r="K761" s="559"/>
      <c r="L761" s="559"/>
      <c r="M761" s="559"/>
      <c r="N761" s="559"/>
      <c r="O761" s="559"/>
      <c r="P761" s="559"/>
      <c r="Q761" s="559"/>
      <c r="R761" s="559"/>
      <c r="S761" s="559"/>
      <c r="T761" s="559"/>
      <c r="U761" s="559"/>
      <c r="V761" s="559"/>
      <c r="W761" s="559"/>
      <c r="X761" s="559"/>
      <c r="Y761" s="559"/>
      <c r="Z761" s="559"/>
      <c r="AA761" s="559"/>
      <c r="AB761" s="559"/>
      <c r="AC761" s="559"/>
      <c r="AD761" s="559"/>
      <c r="AE761" s="559"/>
      <c r="AF761" s="559"/>
      <c r="AG761" s="559"/>
    </row>
    <row r="762" spans="1:33" ht="18" customHeight="1" x14ac:dyDescent="0.35">
      <c r="A762" s="559"/>
      <c r="B762" s="559"/>
      <c r="C762" s="559"/>
      <c r="D762" s="559"/>
      <c r="E762" s="559"/>
      <c r="F762" s="559"/>
      <c r="G762" s="559"/>
      <c r="H762" s="559"/>
      <c r="I762" s="559"/>
      <c r="J762" s="559"/>
      <c r="K762" s="559"/>
      <c r="L762" s="559"/>
      <c r="M762" s="559"/>
      <c r="N762" s="559"/>
      <c r="O762" s="559"/>
      <c r="P762" s="559"/>
      <c r="Q762" s="559"/>
      <c r="R762" s="559"/>
      <c r="S762" s="559"/>
      <c r="T762" s="559"/>
      <c r="U762" s="559"/>
      <c r="V762" s="559"/>
      <c r="W762" s="559"/>
      <c r="X762" s="559"/>
      <c r="Y762" s="559"/>
      <c r="Z762" s="559"/>
      <c r="AA762" s="559"/>
      <c r="AB762" s="559"/>
      <c r="AC762" s="559"/>
      <c r="AD762" s="559"/>
      <c r="AE762" s="559"/>
      <c r="AF762" s="559"/>
      <c r="AG762" s="559"/>
    </row>
    <row r="763" spans="1:33" ht="18" customHeight="1" x14ac:dyDescent="0.35">
      <c r="A763" s="559"/>
      <c r="B763" s="559"/>
      <c r="C763" s="559"/>
      <c r="D763" s="559"/>
      <c r="E763" s="559"/>
      <c r="F763" s="559"/>
      <c r="G763" s="559"/>
      <c r="H763" s="559"/>
      <c r="I763" s="559"/>
      <c r="J763" s="559"/>
      <c r="K763" s="559"/>
      <c r="L763" s="559"/>
      <c r="M763" s="559"/>
      <c r="N763" s="559"/>
      <c r="O763" s="559"/>
      <c r="P763" s="559"/>
      <c r="Q763" s="559"/>
      <c r="R763" s="559"/>
      <c r="S763" s="559"/>
      <c r="T763" s="559"/>
      <c r="U763" s="559"/>
      <c r="V763" s="559"/>
      <c r="W763" s="559"/>
      <c r="X763" s="559"/>
      <c r="Y763" s="559"/>
      <c r="Z763" s="559"/>
      <c r="AA763" s="559"/>
      <c r="AB763" s="559"/>
      <c r="AC763" s="559"/>
      <c r="AD763" s="559"/>
      <c r="AE763" s="559"/>
      <c r="AF763" s="559"/>
      <c r="AG763" s="559"/>
    </row>
    <row r="764" spans="1:33" ht="18" customHeight="1" x14ac:dyDescent="0.35">
      <c r="A764" s="559"/>
      <c r="B764" s="559"/>
      <c r="C764" s="559"/>
      <c r="D764" s="559"/>
      <c r="E764" s="559"/>
      <c r="F764" s="559"/>
      <c r="G764" s="559"/>
      <c r="H764" s="559"/>
      <c r="I764" s="559"/>
      <c r="J764" s="559"/>
      <c r="K764" s="559"/>
      <c r="L764" s="559"/>
      <c r="M764" s="559"/>
      <c r="N764" s="559"/>
      <c r="O764" s="559"/>
      <c r="P764" s="559"/>
      <c r="Q764" s="559"/>
      <c r="R764" s="559"/>
      <c r="S764" s="559"/>
      <c r="T764" s="559"/>
      <c r="U764" s="559"/>
      <c r="V764" s="559"/>
      <c r="W764" s="559"/>
      <c r="X764" s="559"/>
      <c r="Y764" s="559"/>
      <c r="Z764" s="559"/>
      <c r="AA764" s="559"/>
      <c r="AB764" s="559"/>
      <c r="AC764" s="559"/>
      <c r="AD764" s="559"/>
      <c r="AE764" s="559"/>
      <c r="AF764" s="559"/>
      <c r="AG764" s="559"/>
    </row>
    <row r="765" spans="1:33" ht="18" customHeight="1" x14ac:dyDescent="0.35">
      <c r="A765" s="559"/>
      <c r="B765" s="559"/>
      <c r="C765" s="559"/>
      <c r="D765" s="559"/>
      <c r="E765" s="559"/>
      <c r="F765" s="559"/>
      <c r="G765" s="559"/>
      <c r="H765" s="559"/>
      <c r="I765" s="559"/>
      <c r="J765" s="559"/>
      <c r="K765" s="559"/>
      <c r="L765" s="559"/>
      <c r="M765" s="559"/>
      <c r="N765" s="559"/>
      <c r="O765" s="559"/>
      <c r="P765" s="559"/>
      <c r="Q765" s="559"/>
      <c r="R765" s="559"/>
      <c r="S765" s="559"/>
      <c r="T765" s="559"/>
      <c r="U765" s="559"/>
      <c r="V765" s="559"/>
      <c r="W765" s="559"/>
      <c r="X765" s="559"/>
      <c r="Y765" s="559"/>
      <c r="Z765" s="559"/>
      <c r="AA765" s="559"/>
      <c r="AB765" s="559"/>
      <c r="AC765" s="559"/>
      <c r="AD765" s="559"/>
      <c r="AE765" s="559"/>
      <c r="AF765" s="559"/>
      <c r="AG765" s="559"/>
    </row>
    <row r="766" spans="1:33" ht="18" customHeight="1" x14ac:dyDescent="0.35">
      <c r="A766" s="559"/>
      <c r="B766" s="559"/>
      <c r="C766" s="559"/>
      <c r="D766" s="559"/>
      <c r="E766" s="559"/>
      <c r="F766" s="559"/>
      <c r="G766" s="559"/>
      <c r="H766" s="559"/>
      <c r="I766" s="559"/>
      <c r="J766" s="559"/>
      <c r="K766" s="559"/>
      <c r="L766" s="559"/>
      <c r="M766" s="559"/>
      <c r="N766" s="559"/>
      <c r="O766" s="559"/>
      <c r="P766" s="559"/>
      <c r="Q766" s="559"/>
      <c r="R766" s="559"/>
      <c r="S766" s="559"/>
      <c r="T766" s="559"/>
      <c r="U766" s="559"/>
      <c r="V766" s="559"/>
      <c r="W766" s="559"/>
      <c r="X766" s="559"/>
      <c r="Y766" s="559"/>
      <c r="Z766" s="559"/>
      <c r="AA766" s="559"/>
      <c r="AB766" s="559"/>
      <c r="AC766" s="559"/>
      <c r="AD766" s="559"/>
      <c r="AE766" s="559"/>
      <c r="AF766" s="559"/>
      <c r="AG766" s="559"/>
    </row>
    <row r="767" spans="1:33" ht="18" customHeight="1" x14ac:dyDescent="0.35">
      <c r="A767" s="559"/>
      <c r="B767" s="559"/>
      <c r="C767" s="559"/>
      <c r="D767" s="559"/>
      <c r="E767" s="559"/>
      <c r="F767" s="559"/>
      <c r="G767" s="559"/>
      <c r="H767" s="559"/>
      <c r="I767" s="559"/>
      <c r="J767" s="559"/>
      <c r="K767" s="559"/>
      <c r="L767" s="559"/>
      <c r="M767" s="559"/>
      <c r="N767" s="559"/>
      <c r="O767" s="559"/>
      <c r="P767" s="559"/>
      <c r="Q767" s="559"/>
      <c r="R767" s="559"/>
      <c r="S767" s="559"/>
      <c r="T767" s="559"/>
      <c r="U767" s="559"/>
      <c r="V767" s="559"/>
      <c r="W767" s="559"/>
      <c r="X767" s="559"/>
      <c r="Y767" s="559"/>
      <c r="Z767" s="559"/>
      <c r="AA767" s="559"/>
      <c r="AB767" s="559"/>
      <c r="AC767" s="559"/>
      <c r="AD767" s="559"/>
      <c r="AE767" s="559"/>
      <c r="AF767" s="559"/>
      <c r="AG767" s="559"/>
    </row>
    <row r="768" spans="1:33" ht="18" customHeight="1" x14ac:dyDescent="0.35">
      <c r="A768" s="559"/>
      <c r="B768" s="559"/>
      <c r="C768" s="559"/>
      <c r="D768" s="559"/>
      <c r="E768" s="559"/>
      <c r="F768" s="559"/>
      <c r="G768" s="559"/>
      <c r="H768" s="559"/>
      <c r="I768" s="559"/>
      <c r="J768" s="559"/>
      <c r="K768" s="559"/>
      <c r="L768" s="559"/>
      <c r="M768" s="559"/>
      <c r="N768" s="559"/>
      <c r="O768" s="559"/>
      <c r="P768" s="559"/>
      <c r="Q768" s="559"/>
      <c r="R768" s="559"/>
      <c r="S768" s="559"/>
      <c r="T768" s="559"/>
      <c r="U768" s="559"/>
      <c r="V768" s="559"/>
      <c r="W768" s="559"/>
      <c r="X768" s="559"/>
      <c r="Y768" s="559"/>
      <c r="Z768" s="559"/>
      <c r="AA768" s="559"/>
      <c r="AB768" s="559"/>
      <c r="AC768" s="559"/>
      <c r="AD768" s="559"/>
      <c r="AE768" s="559"/>
      <c r="AF768" s="559"/>
      <c r="AG768" s="559"/>
    </row>
    <row r="769" spans="1:33" ht="18" customHeight="1" x14ac:dyDescent="0.35">
      <c r="A769" s="559"/>
      <c r="B769" s="559"/>
      <c r="C769" s="559"/>
      <c r="D769" s="559"/>
      <c r="E769" s="559"/>
      <c r="F769" s="559"/>
      <c r="G769" s="559"/>
      <c r="H769" s="559"/>
      <c r="I769" s="559"/>
      <c r="J769" s="559"/>
      <c r="K769" s="559"/>
      <c r="L769" s="559"/>
      <c r="M769" s="559"/>
      <c r="N769" s="559"/>
      <c r="O769" s="559"/>
      <c r="P769" s="559"/>
      <c r="Q769" s="559"/>
      <c r="R769" s="559"/>
      <c r="S769" s="559"/>
      <c r="T769" s="559"/>
      <c r="U769" s="559"/>
      <c r="V769" s="559"/>
      <c r="W769" s="559"/>
      <c r="X769" s="559"/>
      <c r="Y769" s="559"/>
      <c r="Z769" s="559"/>
      <c r="AA769" s="559"/>
      <c r="AB769" s="559"/>
      <c r="AC769" s="559"/>
      <c r="AD769" s="559"/>
      <c r="AE769" s="559"/>
      <c r="AF769" s="559"/>
      <c r="AG769" s="559"/>
    </row>
    <row r="770" spans="1:33" ht="18" customHeight="1" x14ac:dyDescent="0.35">
      <c r="A770" s="559"/>
      <c r="B770" s="559"/>
      <c r="C770" s="559"/>
      <c r="D770" s="559"/>
      <c r="E770" s="559"/>
      <c r="F770" s="559"/>
      <c r="G770" s="559"/>
      <c r="H770" s="559"/>
      <c r="I770" s="559"/>
      <c r="J770" s="559"/>
      <c r="K770" s="559"/>
      <c r="L770" s="559"/>
      <c r="M770" s="559"/>
      <c r="N770" s="559"/>
      <c r="O770" s="559"/>
      <c r="P770" s="559"/>
      <c r="Q770" s="559"/>
      <c r="R770" s="559"/>
      <c r="S770" s="559"/>
      <c r="T770" s="559"/>
      <c r="U770" s="559"/>
      <c r="V770" s="559"/>
      <c r="W770" s="559"/>
      <c r="X770" s="559"/>
      <c r="Y770" s="559"/>
      <c r="Z770" s="559"/>
      <c r="AA770" s="559"/>
      <c r="AB770" s="559"/>
      <c r="AC770" s="559"/>
      <c r="AD770" s="559"/>
      <c r="AE770" s="559"/>
      <c r="AF770" s="559"/>
      <c r="AG770" s="559"/>
    </row>
    <row r="771" spans="1:33" ht="18" customHeight="1" x14ac:dyDescent="0.35">
      <c r="A771" s="559"/>
      <c r="B771" s="559"/>
      <c r="C771" s="559"/>
      <c r="D771" s="559"/>
      <c r="E771" s="559"/>
      <c r="F771" s="559"/>
      <c r="G771" s="559"/>
      <c r="H771" s="559"/>
      <c r="I771" s="559"/>
      <c r="J771" s="559"/>
      <c r="K771" s="559"/>
      <c r="L771" s="559"/>
      <c r="M771" s="559"/>
      <c r="N771" s="559"/>
      <c r="O771" s="559"/>
      <c r="P771" s="559"/>
      <c r="Q771" s="559"/>
      <c r="R771" s="559"/>
      <c r="S771" s="559"/>
      <c r="T771" s="559"/>
      <c r="U771" s="559"/>
      <c r="V771" s="559"/>
      <c r="W771" s="559"/>
      <c r="X771" s="559"/>
      <c r="Y771" s="559"/>
      <c r="Z771" s="559"/>
      <c r="AA771" s="559"/>
      <c r="AB771" s="559"/>
      <c r="AC771" s="559"/>
      <c r="AD771" s="559"/>
      <c r="AE771" s="559"/>
      <c r="AF771" s="559"/>
      <c r="AG771" s="559"/>
    </row>
    <row r="772" spans="1:33" ht="18" customHeight="1" x14ac:dyDescent="0.35">
      <c r="A772" s="559"/>
      <c r="B772" s="559"/>
      <c r="C772" s="559"/>
      <c r="D772" s="559"/>
      <c r="E772" s="559"/>
      <c r="F772" s="559"/>
      <c r="G772" s="559"/>
      <c r="H772" s="559"/>
      <c r="I772" s="559"/>
      <c r="J772" s="559"/>
      <c r="K772" s="559"/>
      <c r="L772" s="559"/>
      <c r="M772" s="559"/>
      <c r="N772" s="559"/>
      <c r="O772" s="559"/>
      <c r="P772" s="559"/>
      <c r="Q772" s="559"/>
      <c r="R772" s="559"/>
      <c r="S772" s="559"/>
      <c r="T772" s="559"/>
      <c r="U772" s="559"/>
      <c r="V772" s="559"/>
      <c r="W772" s="559"/>
      <c r="X772" s="559"/>
      <c r="Y772" s="559"/>
      <c r="Z772" s="559"/>
      <c r="AA772" s="559"/>
      <c r="AB772" s="559"/>
      <c r="AC772" s="559"/>
      <c r="AD772" s="559"/>
      <c r="AE772" s="559"/>
      <c r="AF772" s="559"/>
      <c r="AG772" s="559"/>
    </row>
    <row r="773" spans="1:33" ht="18" customHeight="1" x14ac:dyDescent="0.35">
      <c r="A773" s="559"/>
      <c r="B773" s="559"/>
      <c r="C773" s="559"/>
      <c r="D773" s="559"/>
      <c r="E773" s="559"/>
      <c r="F773" s="559"/>
      <c r="G773" s="559"/>
      <c r="H773" s="559"/>
      <c r="I773" s="559"/>
      <c r="J773" s="559"/>
      <c r="K773" s="559"/>
      <c r="L773" s="559"/>
      <c r="M773" s="559"/>
      <c r="N773" s="559"/>
      <c r="O773" s="559"/>
      <c r="P773" s="559"/>
      <c r="Q773" s="559"/>
      <c r="R773" s="559"/>
      <c r="S773" s="559"/>
      <c r="T773" s="559"/>
      <c r="U773" s="559"/>
      <c r="V773" s="559"/>
      <c r="W773" s="559"/>
      <c r="X773" s="559"/>
      <c r="Y773" s="559"/>
      <c r="Z773" s="559"/>
      <c r="AA773" s="559"/>
      <c r="AB773" s="559"/>
      <c r="AC773" s="559"/>
      <c r="AD773" s="559"/>
      <c r="AE773" s="559"/>
      <c r="AF773" s="559"/>
      <c r="AG773" s="559"/>
    </row>
    <row r="774" spans="1:33" ht="18" customHeight="1" x14ac:dyDescent="0.35">
      <c r="A774" s="559"/>
      <c r="B774" s="559"/>
      <c r="C774" s="559"/>
      <c r="D774" s="559"/>
      <c r="E774" s="559"/>
      <c r="F774" s="559"/>
      <c r="G774" s="559"/>
      <c r="H774" s="559"/>
      <c r="I774" s="559"/>
      <c r="J774" s="559"/>
      <c r="K774" s="559"/>
      <c r="L774" s="559"/>
      <c r="M774" s="559"/>
      <c r="N774" s="559"/>
      <c r="O774" s="559"/>
      <c r="P774" s="559"/>
      <c r="Q774" s="559"/>
      <c r="R774" s="559"/>
      <c r="S774" s="559"/>
      <c r="T774" s="559"/>
      <c r="U774" s="559"/>
      <c r="V774" s="559"/>
      <c r="W774" s="559"/>
      <c r="X774" s="559"/>
      <c r="Y774" s="559"/>
      <c r="Z774" s="559"/>
      <c r="AA774" s="559"/>
      <c r="AB774" s="559"/>
      <c r="AC774" s="559"/>
      <c r="AD774" s="559"/>
      <c r="AE774" s="559"/>
      <c r="AF774" s="559"/>
      <c r="AG774" s="559"/>
    </row>
    <row r="775" spans="1:33" ht="18" customHeight="1" x14ac:dyDescent="0.35">
      <c r="A775" s="559"/>
      <c r="B775" s="559"/>
      <c r="C775" s="559"/>
      <c r="D775" s="559"/>
      <c r="E775" s="559"/>
      <c r="F775" s="559"/>
      <c r="G775" s="559"/>
      <c r="H775" s="559"/>
      <c r="I775" s="559"/>
      <c r="J775" s="559"/>
      <c r="K775" s="559"/>
      <c r="L775" s="559"/>
      <c r="M775" s="559"/>
      <c r="N775" s="559"/>
      <c r="O775" s="559"/>
      <c r="P775" s="559"/>
      <c r="Q775" s="559"/>
      <c r="R775" s="559"/>
      <c r="S775" s="559"/>
      <c r="T775" s="559"/>
      <c r="U775" s="559"/>
      <c r="V775" s="559"/>
      <c r="W775" s="559"/>
      <c r="X775" s="559"/>
      <c r="Y775" s="559"/>
      <c r="Z775" s="559"/>
      <c r="AA775" s="559"/>
      <c r="AB775" s="559"/>
      <c r="AC775" s="559"/>
      <c r="AD775" s="559"/>
      <c r="AE775" s="559"/>
      <c r="AF775" s="559"/>
      <c r="AG775" s="559"/>
    </row>
    <row r="776" spans="1:33" ht="18" customHeight="1" x14ac:dyDescent="0.35">
      <c r="A776" s="559"/>
      <c r="B776" s="559"/>
      <c r="C776" s="559"/>
      <c r="D776" s="559"/>
      <c r="E776" s="559"/>
      <c r="F776" s="559"/>
      <c r="G776" s="559"/>
      <c r="H776" s="559"/>
      <c r="I776" s="559"/>
      <c r="J776" s="559"/>
      <c r="K776" s="559"/>
      <c r="L776" s="559"/>
      <c r="M776" s="559"/>
      <c r="N776" s="559"/>
      <c r="O776" s="559"/>
      <c r="P776" s="559"/>
      <c r="Q776" s="559"/>
      <c r="R776" s="559"/>
      <c r="S776" s="559"/>
      <c r="T776" s="559"/>
      <c r="U776" s="559"/>
      <c r="V776" s="559"/>
      <c r="W776" s="559"/>
      <c r="X776" s="559"/>
      <c r="Y776" s="559"/>
      <c r="Z776" s="559"/>
      <c r="AA776" s="559"/>
      <c r="AB776" s="559"/>
      <c r="AC776" s="559"/>
      <c r="AD776" s="559"/>
      <c r="AE776" s="559"/>
      <c r="AF776" s="559"/>
      <c r="AG776" s="559"/>
    </row>
    <row r="777" spans="1:33" ht="18" customHeight="1" x14ac:dyDescent="0.35">
      <c r="A777" s="559"/>
      <c r="B777" s="559"/>
      <c r="C777" s="559"/>
      <c r="D777" s="559"/>
      <c r="E777" s="559"/>
      <c r="F777" s="559"/>
      <c r="G777" s="559"/>
      <c r="H777" s="559"/>
      <c r="I777" s="559"/>
      <c r="J777" s="559"/>
      <c r="K777" s="559"/>
      <c r="L777" s="559"/>
      <c r="M777" s="559"/>
      <c r="N777" s="559"/>
      <c r="O777" s="559"/>
      <c r="P777" s="559"/>
      <c r="Q777" s="559"/>
      <c r="R777" s="559"/>
      <c r="S777" s="559"/>
      <c r="T777" s="559"/>
      <c r="U777" s="559"/>
      <c r="V777" s="559"/>
      <c r="W777" s="559"/>
      <c r="X777" s="559"/>
      <c r="Y777" s="559"/>
      <c r="Z777" s="559"/>
      <c r="AA777" s="559"/>
      <c r="AB777" s="559"/>
      <c r="AC777" s="559"/>
      <c r="AD777" s="559"/>
      <c r="AE777" s="559"/>
      <c r="AF777" s="559"/>
      <c r="AG777" s="559"/>
    </row>
    <row r="778" spans="1:33" ht="18" customHeight="1" x14ac:dyDescent="0.35">
      <c r="A778" s="559"/>
      <c r="B778" s="559"/>
      <c r="C778" s="559"/>
      <c r="D778" s="559"/>
      <c r="E778" s="559"/>
      <c r="F778" s="559"/>
      <c r="G778" s="559"/>
      <c r="H778" s="559"/>
      <c r="I778" s="559"/>
      <c r="J778" s="559"/>
      <c r="K778" s="559"/>
      <c r="L778" s="559"/>
      <c r="M778" s="559"/>
      <c r="N778" s="559"/>
      <c r="O778" s="559"/>
      <c r="P778" s="559"/>
      <c r="Q778" s="559"/>
      <c r="R778" s="559"/>
      <c r="S778" s="559"/>
      <c r="T778" s="559"/>
      <c r="U778" s="559"/>
      <c r="V778" s="559"/>
      <c r="W778" s="559"/>
      <c r="X778" s="559"/>
      <c r="Y778" s="559"/>
      <c r="Z778" s="559"/>
      <c r="AA778" s="559"/>
      <c r="AB778" s="559"/>
      <c r="AC778" s="559"/>
      <c r="AD778" s="559"/>
      <c r="AE778" s="559"/>
      <c r="AF778" s="559"/>
      <c r="AG778" s="559"/>
    </row>
    <row r="779" spans="1:33" ht="18" customHeight="1" x14ac:dyDescent="0.35">
      <c r="A779" s="559"/>
      <c r="B779" s="559"/>
      <c r="C779" s="559"/>
      <c r="D779" s="559"/>
      <c r="E779" s="559"/>
      <c r="F779" s="559"/>
      <c r="G779" s="559"/>
      <c r="H779" s="559"/>
      <c r="I779" s="559"/>
      <c r="J779" s="559"/>
      <c r="K779" s="559"/>
      <c r="L779" s="559"/>
      <c r="M779" s="559"/>
      <c r="N779" s="559"/>
      <c r="O779" s="559"/>
      <c r="P779" s="559"/>
      <c r="Q779" s="559"/>
      <c r="R779" s="559"/>
      <c r="S779" s="559"/>
      <c r="T779" s="559"/>
      <c r="U779" s="559"/>
      <c r="V779" s="559"/>
      <c r="W779" s="559"/>
      <c r="X779" s="559"/>
      <c r="Y779" s="559"/>
      <c r="Z779" s="559"/>
      <c r="AA779" s="559"/>
      <c r="AB779" s="559"/>
      <c r="AC779" s="559"/>
      <c r="AD779" s="559"/>
      <c r="AE779" s="559"/>
      <c r="AF779" s="559"/>
      <c r="AG779" s="559"/>
    </row>
    <row r="780" spans="1:33" ht="18" customHeight="1" x14ac:dyDescent="0.35">
      <c r="A780" s="559"/>
      <c r="B780" s="559"/>
      <c r="C780" s="559"/>
      <c r="D780" s="559"/>
      <c r="E780" s="559"/>
      <c r="F780" s="559"/>
      <c r="G780" s="559"/>
      <c r="H780" s="559"/>
      <c r="I780" s="559"/>
      <c r="J780" s="559"/>
      <c r="K780" s="559"/>
      <c r="L780" s="559"/>
      <c r="M780" s="559"/>
      <c r="N780" s="559"/>
      <c r="O780" s="559"/>
      <c r="P780" s="559"/>
      <c r="Q780" s="559"/>
      <c r="R780" s="559"/>
      <c r="S780" s="559"/>
      <c r="T780" s="559"/>
      <c r="U780" s="559"/>
      <c r="V780" s="559"/>
      <c r="W780" s="559"/>
      <c r="X780" s="559"/>
      <c r="Y780" s="559"/>
      <c r="Z780" s="559"/>
      <c r="AA780" s="559"/>
      <c r="AB780" s="559"/>
      <c r="AC780" s="559"/>
      <c r="AD780" s="559"/>
      <c r="AE780" s="559"/>
      <c r="AF780" s="559"/>
      <c r="AG780" s="559"/>
    </row>
    <row r="781" spans="1:33" ht="18" customHeight="1" x14ac:dyDescent="0.35">
      <c r="A781" s="559"/>
      <c r="B781" s="559"/>
      <c r="C781" s="559"/>
      <c r="D781" s="559"/>
      <c r="E781" s="559"/>
      <c r="F781" s="559"/>
      <c r="G781" s="559"/>
      <c r="H781" s="559"/>
      <c r="I781" s="559"/>
      <c r="J781" s="559"/>
      <c r="K781" s="559"/>
      <c r="L781" s="559"/>
      <c r="M781" s="559"/>
      <c r="N781" s="559"/>
      <c r="O781" s="559"/>
      <c r="P781" s="559"/>
      <c r="Q781" s="559"/>
      <c r="R781" s="559"/>
      <c r="S781" s="559"/>
      <c r="T781" s="559"/>
      <c r="U781" s="559"/>
      <c r="V781" s="559"/>
      <c r="W781" s="559"/>
      <c r="X781" s="559"/>
      <c r="Y781" s="559"/>
      <c r="Z781" s="559"/>
      <c r="AA781" s="559"/>
      <c r="AB781" s="559"/>
      <c r="AC781" s="559"/>
      <c r="AD781" s="559"/>
      <c r="AE781" s="559"/>
      <c r="AF781" s="559"/>
      <c r="AG781" s="559"/>
    </row>
    <row r="782" spans="1:33" ht="18" customHeight="1" x14ac:dyDescent="0.35">
      <c r="A782" s="559"/>
      <c r="B782" s="559"/>
      <c r="C782" s="559"/>
      <c r="D782" s="559"/>
      <c r="E782" s="559"/>
      <c r="F782" s="559"/>
      <c r="G782" s="559"/>
      <c r="H782" s="559"/>
      <c r="I782" s="559"/>
      <c r="J782" s="559"/>
      <c r="K782" s="559"/>
      <c r="L782" s="559"/>
      <c r="M782" s="559"/>
      <c r="N782" s="559"/>
      <c r="O782" s="559"/>
      <c r="P782" s="559"/>
      <c r="Q782" s="559"/>
      <c r="R782" s="559"/>
      <c r="S782" s="559"/>
      <c r="T782" s="559"/>
      <c r="U782" s="559"/>
      <c r="V782" s="559"/>
      <c r="W782" s="559"/>
      <c r="X782" s="559"/>
      <c r="Y782" s="559"/>
      <c r="Z782" s="559"/>
      <c r="AA782" s="559"/>
      <c r="AB782" s="559"/>
      <c r="AC782" s="559"/>
      <c r="AD782" s="559"/>
      <c r="AE782" s="559"/>
      <c r="AF782" s="559"/>
      <c r="AG782" s="559"/>
    </row>
    <row r="783" spans="1:33" ht="18" customHeight="1" x14ac:dyDescent="0.35">
      <c r="A783" s="559"/>
      <c r="B783" s="559"/>
      <c r="C783" s="559"/>
      <c r="D783" s="559"/>
      <c r="E783" s="559"/>
      <c r="F783" s="559"/>
      <c r="G783" s="559"/>
      <c r="H783" s="559"/>
      <c r="I783" s="559"/>
      <c r="J783" s="559"/>
      <c r="K783" s="559"/>
      <c r="L783" s="559"/>
      <c r="M783" s="559"/>
      <c r="N783" s="559"/>
      <c r="O783" s="559"/>
      <c r="P783" s="559"/>
      <c r="Q783" s="559"/>
      <c r="R783" s="559"/>
      <c r="S783" s="559"/>
      <c r="T783" s="559"/>
      <c r="U783" s="559"/>
      <c r="V783" s="559"/>
      <c r="W783" s="559"/>
      <c r="X783" s="559"/>
      <c r="Y783" s="559"/>
      <c r="Z783" s="559"/>
      <c r="AA783" s="559"/>
      <c r="AB783" s="559"/>
      <c r="AC783" s="559"/>
      <c r="AD783" s="559"/>
      <c r="AE783" s="559"/>
      <c r="AF783" s="559"/>
      <c r="AG783" s="559"/>
    </row>
    <row r="784" spans="1:33" ht="18" customHeight="1" x14ac:dyDescent="0.35">
      <c r="A784" s="559"/>
      <c r="B784" s="559"/>
      <c r="C784" s="559"/>
      <c r="D784" s="559"/>
      <c r="E784" s="559"/>
      <c r="F784" s="559"/>
      <c r="G784" s="559"/>
      <c r="H784" s="559"/>
      <c r="I784" s="559"/>
      <c r="J784" s="559"/>
      <c r="K784" s="559"/>
      <c r="L784" s="559"/>
      <c r="M784" s="559"/>
      <c r="N784" s="559"/>
      <c r="O784" s="559"/>
      <c r="P784" s="559"/>
      <c r="Q784" s="559"/>
      <c r="R784" s="559"/>
      <c r="S784" s="559"/>
      <c r="T784" s="559"/>
      <c r="U784" s="559"/>
      <c r="V784" s="559"/>
      <c r="W784" s="559"/>
      <c r="X784" s="559"/>
      <c r="Y784" s="559"/>
      <c r="Z784" s="559"/>
      <c r="AA784" s="559"/>
      <c r="AB784" s="559"/>
      <c r="AC784" s="559"/>
      <c r="AD784" s="559"/>
      <c r="AE784" s="559"/>
      <c r="AF784" s="559"/>
      <c r="AG784" s="559"/>
    </row>
    <row r="785" spans="1:33" ht="18" customHeight="1" x14ac:dyDescent="0.35">
      <c r="A785" s="559"/>
      <c r="B785" s="559"/>
      <c r="C785" s="559"/>
      <c r="D785" s="559"/>
      <c r="E785" s="559"/>
      <c r="F785" s="559"/>
      <c r="G785" s="559"/>
      <c r="H785" s="559"/>
      <c r="I785" s="559"/>
      <c r="J785" s="559"/>
      <c r="K785" s="559"/>
      <c r="L785" s="559"/>
      <c r="M785" s="559"/>
      <c r="N785" s="559"/>
      <c r="O785" s="559"/>
      <c r="P785" s="559"/>
      <c r="Q785" s="559"/>
      <c r="R785" s="559"/>
      <c r="S785" s="559"/>
      <c r="T785" s="559"/>
      <c r="U785" s="559"/>
      <c r="V785" s="559"/>
      <c r="W785" s="559"/>
      <c r="X785" s="559"/>
      <c r="Y785" s="559"/>
      <c r="Z785" s="559"/>
      <c r="AA785" s="559"/>
      <c r="AB785" s="559"/>
      <c r="AC785" s="559"/>
      <c r="AD785" s="559"/>
      <c r="AE785" s="559"/>
      <c r="AF785" s="559"/>
      <c r="AG785" s="559"/>
    </row>
    <row r="786" spans="1:33" ht="18" customHeight="1" x14ac:dyDescent="0.35">
      <c r="A786" s="559"/>
      <c r="B786" s="559"/>
      <c r="C786" s="559"/>
      <c r="D786" s="559"/>
      <c r="E786" s="559"/>
      <c r="F786" s="559"/>
      <c r="G786" s="559"/>
      <c r="H786" s="559"/>
      <c r="I786" s="559"/>
      <c r="J786" s="559"/>
      <c r="K786" s="559"/>
      <c r="L786" s="559"/>
      <c r="M786" s="559"/>
      <c r="N786" s="559"/>
      <c r="O786" s="559"/>
      <c r="P786" s="559"/>
      <c r="Q786" s="559"/>
      <c r="R786" s="559"/>
      <c r="S786" s="559"/>
      <c r="T786" s="559"/>
      <c r="U786" s="559"/>
      <c r="V786" s="559"/>
      <c r="W786" s="559"/>
      <c r="X786" s="559"/>
      <c r="Y786" s="559"/>
      <c r="Z786" s="559"/>
      <c r="AA786" s="559"/>
      <c r="AB786" s="559"/>
      <c r="AC786" s="559"/>
      <c r="AD786" s="559"/>
      <c r="AE786" s="559"/>
      <c r="AF786" s="559"/>
      <c r="AG786" s="559"/>
    </row>
    <row r="787" spans="1:33" ht="18" customHeight="1" x14ac:dyDescent="0.35">
      <c r="A787" s="559"/>
      <c r="B787" s="559"/>
      <c r="C787" s="559"/>
      <c r="D787" s="559"/>
      <c r="E787" s="559"/>
      <c r="F787" s="559"/>
      <c r="G787" s="559"/>
      <c r="H787" s="559"/>
      <c r="I787" s="559"/>
      <c r="J787" s="559"/>
      <c r="K787" s="559"/>
      <c r="L787" s="559"/>
      <c r="M787" s="559"/>
      <c r="N787" s="559"/>
      <c r="O787" s="559"/>
      <c r="P787" s="559"/>
      <c r="Q787" s="559"/>
      <c r="R787" s="559"/>
      <c r="S787" s="559"/>
      <c r="T787" s="559"/>
      <c r="U787" s="559"/>
      <c r="V787" s="559"/>
      <c r="W787" s="559"/>
      <c r="X787" s="559"/>
      <c r="Y787" s="559"/>
      <c r="Z787" s="559"/>
      <c r="AA787" s="559"/>
      <c r="AB787" s="559"/>
      <c r="AC787" s="559"/>
      <c r="AD787" s="559"/>
      <c r="AE787" s="559"/>
      <c r="AF787" s="559"/>
      <c r="AG787" s="559"/>
    </row>
    <row r="788" spans="1:33" ht="18" customHeight="1" x14ac:dyDescent="0.35">
      <c r="A788" s="559"/>
      <c r="B788" s="559"/>
      <c r="C788" s="559"/>
      <c r="D788" s="559"/>
      <c r="E788" s="559"/>
      <c r="F788" s="559"/>
      <c r="G788" s="559"/>
      <c r="H788" s="559"/>
      <c r="I788" s="559"/>
      <c r="J788" s="559"/>
      <c r="K788" s="559"/>
      <c r="L788" s="559"/>
      <c r="M788" s="559"/>
      <c r="N788" s="559"/>
      <c r="O788" s="559"/>
      <c r="P788" s="559"/>
      <c r="Q788" s="559"/>
      <c r="R788" s="559"/>
      <c r="S788" s="559"/>
      <c r="T788" s="559"/>
      <c r="U788" s="559"/>
      <c r="V788" s="559"/>
      <c r="W788" s="559"/>
      <c r="X788" s="559"/>
      <c r="Y788" s="559"/>
      <c r="Z788" s="559"/>
      <c r="AA788" s="559"/>
      <c r="AB788" s="559"/>
      <c r="AC788" s="559"/>
      <c r="AD788" s="559"/>
      <c r="AE788" s="559"/>
      <c r="AF788" s="559"/>
      <c r="AG788" s="559"/>
    </row>
    <row r="789" spans="1:33" ht="18" customHeight="1" x14ac:dyDescent="0.35">
      <c r="A789" s="559"/>
      <c r="B789" s="559"/>
      <c r="C789" s="559"/>
      <c r="D789" s="559"/>
      <c r="E789" s="559"/>
      <c r="F789" s="559"/>
      <c r="G789" s="559"/>
      <c r="H789" s="559"/>
      <c r="I789" s="559"/>
      <c r="J789" s="559"/>
      <c r="K789" s="559"/>
      <c r="L789" s="559"/>
      <c r="M789" s="559"/>
      <c r="N789" s="559"/>
      <c r="O789" s="559"/>
      <c r="P789" s="559"/>
      <c r="Q789" s="559"/>
      <c r="R789" s="559"/>
      <c r="S789" s="559"/>
      <c r="T789" s="559"/>
      <c r="U789" s="559"/>
      <c r="V789" s="559"/>
      <c r="W789" s="559"/>
      <c r="X789" s="559"/>
      <c r="Y789" s="559"/>
      <c r="Z789" s="559"/>
      <c r="AA789" s="559"/>
      <c r="AB789" s="559"/>
      <c r="AC789" s="559"/>
      <c r="AD789" s="559"/>
      <c r="AE789" s="559"/>
      <c r="AF789" s="559"/>
      <c r="AG789" s="559"/>
    </row>
    <row r="790" spans="1:33" ht="18" customHeight="1" x14ac:dyDescent="0.35">
      <c r="A790" s="559"/>
      <c r="B790" s="559"/>
      <c r="C790" s="559"/>
      <c r="D790" s="559"/>
      <c r="E790" s="559"/>
      <c r="F790" s="559"/>
      <c r="G790" s="559"/>
      <c r="H790" s="559"/>
      <c r="I790" s="559"/>
      <c r="J790" s="559"/>
      <c r="K790" s="559"/>
      <c r="L790" s="559"/>
      <c r="M790" s="559"/>
      <c r="N790" s="559"/>
      <c r="O790" s="559"/>
      <c r="P790" s="559"/>
      <c r="Q790" s="559"/>
      <c r="R790" s="559"/>
      <c r="S790" s="559"/>
      <c r="T790" s="559"/>
      <c r="U790" s="559"/>
      <c r="V790" s="559"/>
      <c r="W790" s="559"/>
      <c r="X790" s="559"/>
      <c r="Y790" s="559"/>
      <c r="Z790" s="559"/>
      <c r="AA790" s="559"/>
      <c r="AB790" s="559"/>
      <c r="AC790" s="559"/>
      <c r="AD790" s="559"/>
      <c r="AE790" s="559"/>
      <c r="AF790" s="559"/>
      <c r="AG790" s="559"/>
    </row>
    <row r="791" spans="1:33" ht="18" customHeight="1" x14ac:dyDescent="0.35">
      <c r="A791" s="559"/>
      <c r="B791" s="559"/>
      <c r="C791" s="559"/>
      <c r="D791" s="559"/>
      <c r="E791" s="559"/>
      <c r="F791" s="559"/>
      <c r="G791" s="559"/>
      <c r="H791" s="559"/>
      <c r="I791" s="559"/>
      <c r="J791" s="559"/>
      <c r="K791" s="559"/>
      <c r="L791" s="559"/>
      <c r="M791" s="559"/>
      <c r="N791" s="559"/>
      <c r="O791" s="559"/>
      <c r="P791" s="559"/>
      <c r="Q791" s="559"/>
      <c r="R791" s="559"/>
      <c r="S791" s="559"/>
      <c r="T791" s="559"/>
      <c r="U791" s="559"/>
      <c r="V791" s="559"/>
      <c r="W791" s="559"/>
      <c r="X791" s="559"/>
      <c r="Y791" s="559"/>
      <c r="Z791" s="559"/>
      <c r="AA791" s="559"/>
      <c r="AB791" s="559"/>
      <c r="AC791" s="559"/>
      <c r="AD791" s="559"/>
      <c r="AE791" s="559"/>
      <c r="AF791" s="559"/>
      <c r="AG791" s="559"/>
    </row>
    <row r="792" spans="1:33" ht="18" customHeight="1" x14ac:dyDescent="0.35">
      <c r="A792" s="559"/>
      <c r="B792" s="559"/>
      <c r="C792" s="559"/>
      <c r="D792" s="559"/>
      <c r="E792" s="559"/>
      <c r="F792" s="559"/>
      <c r="G792" s="559"/>
      <c r="H792" s="559"/>
      <c r="I792" s="559"/>
      <c r="J792" s="559"/>
      <c r="K792" s="559"/>
      <c r="L792" s="559"/>
      <c r="M792" s="559"/>
      <c r="N792" s="559"/>
      <c r="O792" s="559"/>
      <c r="P792" s="559"/>
      <c r="Q792" s="559"/>
      <c r="R792" s="559"/>
      <c r="S792" s="559"/>
      <c r="T792" s="559"/>
      <c r="U792" s="559"/>
      <c r="V792" s="559"/>
      <c r="W792" s="559"/>
      <c r="X792" s="559"/>
      <c r="Y792" s="559"/>
      <c r="Z792" s="559"/>
      <c r="AA792" s="559"/>
      <c r="AB792" s="559"/>
      <c r="AC792" s="559"/>
      <c r="AD792" s="559"/>
      <c r="AE792" s="559"/>
      <c r="AF792" s="559"/>
      <c r="AG792" s="559"/>
    </row>
    <row r="793" spans="1:33" ht="18" customHeight="1" x14ac:dyDescent="0.35">
      <c r="A793" s="559"/>
      <c r="B793" s="559"/>
      <c r="C793" s="559"/>
      <c r="D793" s="559"/>
      <c r="E793" s="559"/>
      <c r="F793" s="559"/>
      <c r="G793" s="559"/>
      <c r="H793" s="559"/>
      <c r="I793" s="559"/>
      <c r="J793" s="559"/>
      <c r="K793" s="559"/>
      <c r="L793" s="559"/>
      <c r="M793" s="559"/>
      <c r="N793" s="559"/>
      <c r="O793" s="559"/>
      <c r="P793" s="559"/>
      <c r="Q793" s="559"/>
      <c r="R793" s="559"/>
      <c r="S793" s="559"/>
      <c r="T793" s="559"/>
      <c r="U793" s="559"/>
      <c r="V793" s="559"/>
      <c r="W793" s="559"/>
      <c r="X793" s="559"/>
      <c r="Y793" s="559"/>
      <c r="Z793" s="559"/>
      <c r="AA793" s="559"/>
      <c r="AB793" s="559"/>
      <c r="AC793" s="559"/>
      <c r="AD793" s="559"/>
      <c r="AE793" s="559"/>
      <c r="AF793" s="559"/>
      <c r="AG793" s="559"/>
    </row>
    <row r="794" spans="1:33" ht="18" customHeight="1" x14ac:dyDescent="0.35">
      <c r="A794" s="559"/>
      <c r="B794" s="559"/>
      <c r="C794" s="559"/>
      <c r="D794" s="559"/>
      <c r="E794" s="559"/>
      <c r="F794" s="559"/>
      <c r="G794" s="559"/>
      <c r="H794" s="559"/>
      <c r="I794" s="559"/>
      <c r="J794" s="559"/>
      <c r="K794" s="559"/>
      <c r="L794" s="559"/>
      <c r="M794" s="559"/>
      <c r="N794" s="559"/>
      <c r="O794" s="559"/>
      <c r="P794" s="559"/>
      <c r="Q794" s="559"/>
      <c r="R794" s="559"/>
      <c r="S794" s="559"/>
      <c r="T794" s="559"/>
      <c r="U794" s="559"/>
      <c r="V794" s="559"/>
      <c r="W794" s="559"/>
      <c r="X794" s="559"/>
      <c r="Y794" s="559"/>
      <c r="Z794" s="559"/>
      <c r="AA794" s="559"/>
      <c r="AB794" s="559"/>
      <c r="AC794" s="559"/>
      <c r="AD794" s="559"/>
      <c r="AE794" s="559"/>
      <c r="AF794" s="559"/>
      <c r="AG794" s="559"/>
    </row>
    <row r="795" spans="1:33" ht="18" customHeight="1" x14ac:dyDescent="0.35">
      <c r="A795" s="559"/>
      <c r="B795" s="559"/>
      <c r="C795" s="559"/>
      <c r="D795" s="559"/>
      <c r="E795" s="559"/>
      <c r="F795" s="559"/>
      <c r="G795" s="559"/>
      <c r="H795" s="559"/>
      <c r="I795" s="559"/>
      <c r="J795" s="559"/>
      <c r="K795" s="559"/>
      <c r="L795" s="559"/>
      <c r="M795" s="559"/>
      <c r="N795" s="559"/>
      <c r="O795" s="559"/>
      <c r="P795" s="559"/>
      <c r="Q795" s="559"/>
      <c r="R795" s="559"/>
      <c r="S795" s="559"/>
      <c r="T795" s="559"/>
      <c r="U795" s="559"/>
      <c r="V795" s="559"/>
      <c r="W795" s="559"/>
      <c r="X795" s="559"/>
      <c r="Y795" s="559"/>
      <c r="Z795" s="559"/>
      <c r="AA795" s="559"/>
      <c r="AB795" s="559"/>
      <c r="AC795" s="559"/>
      <c r="AD795" s="559"/>
      <c r="AE795" s="559"/>
      <c r="AF795" s="559"/>
      <c r="AG795" s="559"/>
    </row>
    <row r="796" spans="1:33" ht="18" customHeight="1" x14ac:dyDescent="0.35">
      <c r="A796" s="559"/>
      <c r="B796" s="559"/>
      <c r="C796" s="559"/>
      <c r="D796" s="559"/>
      <c r="E796" s="559"/>
      <c r="F796" s="559"/>
      <c r="G796" s="559"/>
      <c r="H796" s="559"/>
      <c r="I796" s="559"/>
      <c r="J796" s="559"/>
      <c r="K796" s="559"/>
      <c r="L796" s="559"/>
      <c r="M796" s="559"/>
      <c r="N796" s="559"/>
      <c r="O796" s="559"/>
      <c r="P796" s="559"/>
      <c r="Q796" s="559"/>
      <c r="R796" s="559"/>
      <c r="S796" s="559"/>
      <c r="T796" s="559"/>
      <c r="U796" s="559"/>
      <c r="V796" s="559"/>
      <c r="W796" s="559"/>
      <c r="X796" s="559"/>
      <c r="Y796" s="559"/>
      <c r="Z796" s="559"/>
      <c r="AA796" s="559"/>
      <c r="AB796" s="559"/>
      <c r="AC796" s="559"/>
      <c r="AD796" s="559"/>
      <c r="AE796" s="559"/>
      <c r="AF796" s="559"/>
      <c r="AG796" s="559"/>
    </row>
    <row r="797" spans="1:33" ht="18" customHeight="1" x14ac:dyDescent="0.35">
      <c r="A797" s="559"/>
      <c r="B797" s="559"/>
      <c r="C797" s="559"/>
      <c r="D797" s="559"/>
      <c r="E797" s="559"/>
      <c r="F797" s="559"/>
      <c r="G797" s="559"/>
      <c r="H797" s="559"/>
      <c r="I797" s="559"/>
      <c r="J797" s="559"/>
      <c r="K797" s="559"/>
      <c r="L797" s="559"/>
      <c r="M797" s="559"/>
      <c r="N797" s="559"/>
      <c r="O797" s="559"/>
      <c r="P797" s="559"/>
      <c r="Q797" s="559"/>
      <c r="R797" s="559"/>
      <c r="S797" s="559"/>
      <c r="T797" s="559"/>
      <c r="U797" s="559"/>
      <c r="V797" s="559"/>
      <c r="W797" s="559"/>
      <c r="X797" s="559"/>
      <c r="Y797" s="559"/>
      <c r="Z797" s="559"/>
      <c r="AA797" s="559"/>
      <c r="AB797" s="559"/>
      <c r="AC797" s="559"/>
      <c r="AD797" s="559"/>
      <c r="AE797" s="559"/>
      <c r="AF797" s="559"/>
      <c r="AG797" s="559"/>
    </row>
    <row r="798" spans="1:33" ht="18" customHeight="1" x14ac:dyDescent="0.35">
      <c r="A798" s="559"/>
      <c r="B798" s="559"/>
      <c r="C798" s="559"/>
      <c r="D798" s="559"/>
      <c r="E798" s="559"/>
      <c r="F798" s="559"/>
      <c r="G798" s="559"/>
      <c r="H798" s="559"/>
      <c r="I798" s="559"/>
      <c r="J798" s="559"/>
      <c r="K798" s="559"/>
      <c r="L798" s="559"/>
      <c r="M798" s="559"/>
      <c r="N798" s="559"/>
      <c r="O798" s="559"/>
      <c r="P798" s="559"/>
      <c r="Q798" s="559"/>
      <c r="R798" s="559"/>
      <c r="S798" s="559"/>
      <c r="T798" s="559"/>
      <c r="U798" s="559"/>
      <c r="V798" s="559"/>
      <c r="W798" s="559"/>
      <c r="X798" s="559"/>
      <c r="Y798" s="559"/>
      <c r="Z798" s="559"/>
      <c r="AA798" s="559"/>
      <c r="AB798" s="559"/>
      <c r="AC798" s="559"/>
      <c r="AD798" s="559"/>
      <c r="AE798" s="559"/>
      <c r="AF798" s="559"/>
      <c r="AG798" s="559"/>
    </row>
    <row r="799" spans="1:33" ht="18" customHeight="1" x14ac:dyDescent="0.35">
      <c r="A799" s="559"/>
      <c r="B799" s="559"/>
      <c r="C799" s="559"/>
      <c r="D799" s="559"/>
      <c r="E799" s="559"/>
      <c r="F799" s="559"/>
      <c r="G799" s="559"/>
      <c r="H799" s="559"/>
      <c r="I799" s="559"/>
      <c r="J799" s="559"/>
      <c r="K799" s="559"/>
      <c r="L799" s="559"/>
      <c r="M799" s="559"/>
      <c r="N799" s="559"/>
      <c r="O799" s="559"/>
      <c r="P799" s="559"/>
      <c r="Q799" s="559"/>
      <c r="R799" s="559"/>
      <c r="S799" s="559"/>
      <c r="T799" s="559"/>
      <c r="U799" s="559"/>
      <c r="V799" s="559"/>
      <c r="W799" s="559"/>
      <c r="X799" s="559"/>
      <c r="Y799" s="559"/>
      <c r="Z799" s="559"/>
      <c r="AA799" s="559"/>
      <c r="AB799" s="559"/>
      <c r="AC799" s="559"/>
      <c r="AD799" s="559"/>
      <c r="AE799" s="559"/>
      <c r="AF799" s="559"/>
      <c r="AG799" s="559"/>
    </row>
    <row r="800" spans="1:33" ht="18" customHeight="1" x14ac:dyDescent="0.35">
      <c r="A800" s="559"/>
      <c r="B800" s="559"/>
      <c r="C800" s="559"/>
      <c r="D800" s="559"/>
      <c r="E800" s="559"/>
      <c r="F800" s="559"/>
      <c r="G800" s="559"/>
      <c r="H800" s="559"/>
      <c r="I800" s="559"/>
      <c r="J800" s="559"/>
      <c r="K800" s="559"/>
      <c r="L800" s="559"/>
      <c r="M800" s="559"/>
      <c r="N800" s="559"/>
      <c r="O800" s="559"/>
      <c r="P800" s="559"/>
      <c r="Q800" s="559"/>
      <c r="R800" s="559"/>
      <c r="S800" s="559"/>
      <c r="T800" s="559"/>
      <c r="U800" s="559"/>
      <c r="V800" s="559"/>
      <c r="W800" s="559"/>
      <c r="X800" s="559"/>
      <c r="Y800" s="559"/>
      <c r="Z800" s="559"/>
      <c r="AA800" s="559"/>
      <c r="AB800" s="559"/>
      <c r="AC800" s="559"/>
      <c r="AD800" s="559"/>
      <c r="AE800" s="559"/>
      <c r="AF800" s="559"/>
      <c r="AG800" s="559"/>
    </row>
    <row r="801" spans="1:33" ht="18" customHeight="1" x14ac:dyDescent="0.35">
      <c r="A801" s="559"/>
      <c r="B801" s="559"/>
      <c r="C801" s="559"/>
      <c r="D801" s="559"/>
      <c r="E801" s="559"/>
      <c r="F801" s="559"/>
      <c r="G801" s="559"/>
      <c r="H801" s="559"/>
      <c r="I801" s="559"/>
      <c r="J801" s="559"/>
      <c r="K801" s="559"/>
      <c r="L801" s="559"/>
      <c r="M801" s="559"/>
      <c r="N801" s="559"/>
      <c r="O801" s="559"/>
      <c r="P801" s="559"/>
      <c r="Q801" s="559"/>
      <c r="R801" s="559"/>
      <c r="S801" s="559"/>
      <c r="T801" s="559"/>
      <c r="U801" s="559"/>
      <c r="V801" s="559"/>
      <c r="W801" s="559"/>
      <c r="X801" s="559"/>
      <c r="Y801" s="559"/>
      <c r="Z801" s="559"/>
      <c r="AA801" s="559"/>
      <c r="AB801" s="559"/>
      <c r="AC801" s="559"/>
      <c r="AD801" s="559"/>
      <c r="AE801" s="559"/>
      <c r="AF801" s="559"/>
      <c r="AG801" s="559"/>
    </row>
    <row r="802" spans="1:33" ht="18" customHeight="1" x14ac:dyDescent="0.35">
      <c r="A802" s="559"/>
      <c r="B802" s="559"/>
      <c r="C802" s="559"/>
      <c r="D802" s="559"/>
      <c r="E802" s="559"/>
      <c r="F802" s="559"/>
      <c r="G802" s="559"/>
      <c r="H802" s="559"/>
      <c r="I802" s="559"/>
      <c r="J802" s="559"/>
      <c r="K802" s="559"/>
      <c r="L802" s="559"/>
      <c r="M802" s="559"/>
      <c r="N802" s="559"/>
      <c r="O802" s="559"/>
      <c r="P802" s="559"/>
      <c r="Q802" s="559"/>
      <c r="R802" s="559"/>
      <c r="S802" s="559"/>
      <c r="T802" s="559"/>
      <c r="U802" s="559"/>
      <c r="V802" s="559"/>
      <c r="W802" s="559"/>
      <c r="X802" s="559"/>
      <c r="Y802" s="559"/>
      <c r="Z802" s="559"/>
      <c r="AA802" s="559"/>
      <c r="AB802" s="559"/>
      <c r="AC802" s="559"/>
      <c r="AD802" s="559"/>
      <c r="AE802" s="559"/>
      <c r="AF802" s="559"/>
      <c r="AG802" s="559"/>
    </row>
    <row r="803" spans="1:33" ht="18" customHeight="1" x14ac:dyDescent="0.35">
      <c r="A803" s="559"/>
      <c r="B803" s="559"/>
      <c r="C803" s="559"/>
      <c r="D803" s="559"/>
      <c r="E803" s="559"/>
      <c r="F803" s="559"/>
      <c r="G803" s="559"/>
      <c r="H803" s="559"/>
      <c r="I803" s="559"/>
      <c r="J803" s="559"/>
      <c r="K803" s="559"/>
      <c r="L803" s="559"/>
      <c r="M803" s="559"/>
      <c r="N803" s="559"/>
      <c r="O803" s="559"/>
      <c r="P803" s="559"/>
      <c r="Q803" s="559"/>
      <c r="R803" s="559"/>
      <c r="S803" s="559"/>
      <c r="T803" s="559"/>
      <c r="U803" s="559"/>
      <c r="V803" s="559"/>
      <c r="W803" s="559"/>
      <c r="X803" s="559"/>
      <c r="Y803" s="559"/>
      <c r="Z803" s="559"/>
      <c r="AA803" s="559"/>
      <c r="AB803" s="559"/>
      <c r="AC803" s="559"/>
      <c r="AD803" s="559"/>
      <c r="AE803" s="559"/>
      <c r="AF803" s="559"/>
      <c r="AG803" s="559"/>
    </row>
    <row r="804" spans="1:33" ht="18" customHeight="1" x14ac:dyDescent="0.35">
      <c r="A804" s="559"/>
      <c r="B804" s="559"/>
      <c r="C804" s="559"/>
      <c r="D804" s="559"/>
      <c r="E804" s="559"/>
      <c r="F804" s="559"/>
      <c r="G804" s="559"/>
      <c r="H804" s="559"/>
      <c r="I804" s="559"/>
      <c r="J804" s="559"/>
      <c r="K804" s="559"/>
      <c r="L804" s="559"/>
      <c r="M804" s="559"/>
      <c r="N804" s="559"/>
      <c r="O804" s="559"/>
      <c r="P804" s="559"/>
      <c r="Q804" s="559"/>
      <c r="R804" s="559"/>
      <c r="S804" s="559"/>
      <c r="T804" s="559"/>
      <c r="U804" s="559"/>
      <c r="V804" s="559"/>
      <c r="W804" s="559"/>
      <c r="X804" s="559"/>
      <c r="Y804" s="559"/>
      <c r="Z804" s="559"/>
      <c r="AA804" s="559"/>
      <c r="AB804" s="559"/>
      <c r="AC804" s="559"/>
      <c r="AD804" s="559"/>
      <c r="AE804" s="559"/>
      <c r="AF804" s="559"/>
      <c r="AG804" s="559"/>
    </row>
    <row r="805" spans="1:33" ht="18" customHeight="1" x14ac:dyDescent="0.35">
      <c r="A805" s="559"/>
      <c r="B805" s="559"/>
      <c r="C805" s="559"/>
      <c r="D805" s="559"/>
      <c r="E805" s="559"/>
      <c r="F805" s="559"/>
      <c r="G805" s="559"/>
      <c r="H805" s="559"/>
      <c r="I805" s="559"/>
      <c r="J805" s="559"/>
      <c r="K805" s="559"/>
      <c r="L805" s="559"/>
      <c r="M805" s="559"/>
      <c r="N805" s="559"/>
      <c r="O805" s="559"/>
      <c r="P805" s="559"/>
      <c r="Q805" s="559"/>
      <c r="R805" s="559"/>
      <c r="S805" s="559"/>
      <c r="T805" s="559"/>
      <c r="U805" s="559"/>
      <c r="V805" s="559"/>
      <c r="W805" s="559"/>
      <c r="X805" s="559"/>
      <c r="Y805" s="559"/>
      <c r="Z805" s="559"/>
      <c r="AA805" s="559"/>
      <c r="AB805" s="559"/>
      <c r="AC805" s="559"/>
      <c r="AD805" s="559"/>
      <c r="AE805" s="559"/>
      <c r="AF805" s="559"/>
      <c r="AG805" s="559"/>
    </row>
    <row r="806" spans="1:33" ht="18" customHeight="1" x14ac:dyDescent="0.35">
      <c r="A806" s="559"/>
      <c r="B806" s="559"/>
      <c r="C806" s="559"/>
      <c r="D806" s="559"/>
      <c r="E806" s="559"/>
      <c r="F806" s="559"/>
      <c r="G806" s="559"/>
      <c r="H806" s="559"/>
      <c r="I806" s="559"/>
      <c r="J806" s="559"/>
      <c r="K806" s="559"/>
      <c r="L806" s="559"/>
      <c r="M806" s="559"/>
      <c r="N806" s="559"/>
      <c r="O806" s="559"/>
      <c r="P806" s="559"/>
      <c r="Q806" s="559"/>
      <c r="R806" s="559"/>
      <c r="S806" s="559"/>
      <c r="T806" s="559"/>
      <c r="U806" s="559"/>
      <c r="V806" s="559"/>
      <c r="W806" s="559"/>
      <c r="X806" s="559"/>
      <c r="Y806" s="559"/>
      <c r="Z806" s="559"/>
      <c r="AA806" s="559"/>
      <c r="AB806" s="559"/>
      <c r="AC806" s="559"/>
      <c r="AD806" s="559"/>
      <c r="AE806" s="559"/>
      <c r="AF806" s="559"/>
      <c r="AG806" s="559"/>
    </row>
    <row r="807" spans="1:33" ht="18" customHeight="1" x14ac:dyDescent="0.35">
      <c r="A807" s="559"/>
      <c r="B807" s="559"/>
      <c r="C807" s="559"/>
      <c r="D807" s="559"/>
      <c r="E807" s="559"/>
      <c r="F807" s="559"/>
      <c r="G807" s="559"/>
      <c r="H807" s="559"/>
      <c r="I807" s="559"/>
      <c r="J807" s="559"/>
      <c r="K807" s="559"/>
      <c r="L807" s="559"/>
      <c r="M807" s="559"/>
      <c r="N807" s="559"/>
      <c r="O807" s="559"/>
      <c r="P807" s="559"/>
      <c r="Q807" s="559"/>
      <c r="R807" s="559"/>
      <c r="S807" s="559"/>
      <c r="T807" s="559"/>
      <c r="U807" s="559"/>
      <c r="V807" s="559"/>
      <c r="W807" s="559"/>
      <c r="X807" s="559"/>
      <c r="Y807" s="559"/>
      <c r="Z807" s="559"/>
      <c r="AA807" s="559"/>
      <c r="AB807" s="559"/>
      <c r="AC807" s="559"/>
      <c r="AD807" s="559"/>
      <c r="AE807" s="559"/>
      <c r="AF807" s="559"/>
      <c r="AG807" s="559"/>
    </row>
    <row r="808" spans="1:33" ht="18" customHeight="1" x14ac:dyDescent="0.35">
      <c r="A808" s="559"/>
      <c r="B808" s="559"/>
      <c r="C808" s="559"/>
      <c r="D808" s="559"/>
      <c r="E808" s="559"/>
      <c r="F808" s="559"/>
      <c r="G808" s="559"/>
      <c r="H808" s="559"/>
      <c r="I808" s="559"/>
      <c r="J808" s="559"/>
      <c r="K808" s="559"/>
      <c r="L808" s="559"/>
      <c r="M808" s="559"/>
      <c r="N808" s="559"/>
      <c r="O808" s="559"/>
      <c r="P808" s="559"/>
      <c r="Q808" s="559"/>
      <c r="R808" s="559"/>
      <c r="S808" s="559"/>
      <c r="T808" s="559"/>
      <c r="U808" s="559"/>
      <c r="V808" s="559"/>
      <c r="W808" s="559"/>
      <c r="X808" s="559"/>
      <c r="Y808" s="559"/>
      <c r="Z808" s="559"/>
      <c r="AA808" s="559"/>
      <c r="AB808" s="559"/>
      <c r="AC808" s="559"/>
      <c r="AD808" s="559"/>
      <c r="AE808" s="559"/>
      <c r="AF808" s="559"/>
      <c r="AG808" s="559"/>
    </row>
    <row r="809" spans="1:33" ht="18" customHeight="1" x14ac:dyDescent="0.35">
      <c r="A809" s="559"/>
      <c r="B809" s="559"/>
      <c r="C809" s="559"/>
      <c r="D809" s="559"/>
      <c r="E809" s="559"/>
      <c r="F809" s="559"/>
      <c r="G809" s="559"/>
      <c r="H809" s="559"/>
      <c r="I809" s="559"/>
      <c r="J809" s="559"/>
      <c r="K809" s="559"/>
      <c r="L809" s="559"/>
      <c r="M809" s="559"/>
      <c r="N809" s="559"/>
      <c r="O809" s="559"/>
      <c r="P809" s="559"/>
      <c r="Q809" s="559"/>
      <c r="R809" s="559"/>
      <c r="S809" s="559"/>
      <c r="T809" s="559"/>
      <c r="U809" s="559"/>
      <c r="V809" s="559"/>
      <c r="W809" s="559"/>
      <c r="X809" s="559"/>
      <c r="Y809" s="559"/>
      <c r="Z809" s="559"/>
      <c r="AA809" s="559"/>
      <c r="AB809" s="559"/>
      <c r="AC809" s="559"/>
      <c r="AD809" s="559"/>
      <c r="AE809" s="559"/>
      <c r="AF809" s="559"/>
      <c r="AG809" s="559"/>
    </row>
    <row r="810" spans="1:33" ht="18" customHeight="1" x14ac:dyDescent="0.35">
      <c r="A810" s="559"/>
      <c r="B810" s="559"/>
      <c r="C810" s="559"/>
      <c r="D810" s="559"/>
      <c r="E810" s="559"/>
      <c r="F810" s="559"/>
      <c r="G810" s="559"/>
      <c r="H810" s="559"/>
      <c r="I810" s="559"/>
      <c r="J810" s="559"/>
      <c r="K810" s="559"/>
      <c r="L810" s="559"/>
      <c r="M810" s="559"/>
      <c r="N810" s="559"/>
      <c r="O810" s="559"/>
      <c r="P810" s="559"/>
      <c r="Q810" s="559"/>
      <c r="R810" s="559"/>
      <c r="S810" s="559"/>
      <c r="T810" s="559"/>
      <c r="U810" s="559"/>
      <c r="V810" s="559"/>
      <c r="W810" s="559"/>
      <c r="X810" s="559"/>
      <c r="Y810" s="559"/>
      <c r="Z810" s="559"/>
      <c r="AA810" s="559"/>
      <c r="AB810" s="559"/>
      <c r="AC810" s="559"/>
      <c r="AD810" s="559"/>
      <c r="AE810" s="559"/>
      <c r="AF810" s="559"/>
      <c r="AG810" s="559"/>
    </row>
    <row r="811" spans="1:33" ht="18" customHeight="1" x14ac:dyDescent="0.35">
      <c r="A811" s="559"/>
      <c r="B811" s="559"/>
      <c r="C811" s="559"/>
      <c r="D811" s="559"/>
      <c r="E811" s="559"/>
      <c r="F811" s="559"/>
      <c r="G811" s="559"/>
      <c r="H811" s="559"/>
      <c r="I811" s="559"/>
      <c r="J811" s="559"/>
      <c r="K811" s="559"/>
      <c r="L811" s="559"/>
      <c r="M811" s="559"/>
      <c r="N811" s="559"/>
      <c r="O811" s="559"/>
      <c r="P811" s="559"/>
      <c r="Q811" s="559"/>
      <c r="R811" s="559"/>
      <c r="S811" s="559"/>
      <c r="T811" s="559"/>
      <c r="U811" s="559"/>
      <c r="V811" s="559"/>
      <c r="W811" s="559"/>
      <c r="X811" s="559"/>
      <c r="Y811" s="559"/>
      <c r="Z811" s="559"/>
      <c r="AA811" s="559"/>
      <c r="AB811" s="559"/>
      <c r="AC811" s="559"/>
      <c r="AD811" s="559"/>
      <c r="AE811" s="559"/>
      <c r="AF811" s="559"/>
      <c r="AG811" s="559"/>
    </row>
    <row r="812" spans="1:33" ht="18" customHeight="1" x14ac:dyDescent="0.35">
      <c r="A812" s="559"/>
      <c r="B812" s="559"/>
      <c r="C812" s="559"/>
      <c r="D812" s="559"/>
      <c r="E812" s="559"/>
      <c r="F812" s="559"/>
      <c r="G812" s="559"/>
      <c r="H812" s="559"/>
      <c r="I812" s="559"/>
      <c r="J812" s="559"/>
      <c r="K812" s="559"/>
      <c r="L812" s="559"/>
      <c r="M812" s="559"/>
      <c r="N812" s="559"/>
      <c r="O812" s="559"/>
      <c r="P812" s="559"/>
      <c r="Q812" s="559"/>
      <c r="R812" s="559"/>
      <c r="S812" s="559"/>
      <c r="T812" s="559"/>
      <c r="U812" s="559"/>
      <c r="V812" s="559"/>
      <c r="W812" s="559"/>
      <c r="X812" s="559"/>
      <c r="Y812" s="559"/>
      <c r="Z812" s="559"/>
      <c r="AA812" s="559"/>
      <c r="AB812" s="559"/>
      <c r="AC812" s="559"/>
      <c r="AD812" s="559"/>
      <c r="AE812" s="559"/>
      <c r="AF812" s="559"/>
      <c r="AG812" s="559"/>
    </row>
    <row r="813" spans="1:33" ht="18" customHeight="1" x14ac:dyDescent="0.35">
      <c r="A813" s="559"/>
      <c r="B813" s="559"/>
      <c r="C813" s="559"/>
      <c r="D813" s="559"/>
      <c r="E813" s="559"/>
      <c r="F813" s="559"/>
      <c r="G813" s="559"/>
      <c r="H813" s="559"/>
      <c r="I813" s="559"/>
      <c r="J813" s="559"/>
      <c r="K813" s="559"/>
      <c r="L813" s="559"/>
      <c r="M813" s="559"/>
      <c r="N813" s="559"/>
      <c r="O813" s="559"/>
      <c r="P813" s="559"/>
      <c r="Q813" s="559"/>
      <c r="R813" s="559"/>
      <c r="S813" s="559"/>
      <c r="T813" s="559"/>
      <c r="U813" s="559"/>
      <c r="V813" s="559"/>
      <c r="W813" s="559"/>
      <c r="X813" s="559"/>
      <c r="Y813" s="559"/>
      <c r="Z813" s="559"/>
      <c r="AA813" s="559"/>
      <c r="AB813" s="559"/>
      <c r="AC813" s="559"/>
      <c r="AD813" s="559"/>
      <c r="AE813" s="559"/>
      <c r="AF813" s="559"/>
      <c r="AG813" s="559"/>
    </row>
    <row r="814" spans="1:33" ht="18" customHeight="1" x14ac:dyDescent="0.35">
      <c r="A814" s="559"/>
      <c r="B814" s="559"/>
      <c r="C814" s="559"/>
      <c r="D814" s="559"/>
      <c r="E814" s="559"/>
      <c r="F814" s="559"/>
      <c r="G814" s="559"/>
      <c r="H814" s="559"/>
      <c r="I814" s="559"/>
      <c r="J814" s="559"/>
      <c r="K814" s="559"/>
      <c r="L814" s="559"/>
      <c r="M814" s="559"/>
      <c r="N814" s="559"/>
      <c r="O814" s="559"/>
      <c r="P814" s="559"/>
      <c r="Q814" s="559"/>
      <c r="R814" s="559"/>
      <c r="S814" s="559"/>
      <c r="T814" s="559"/>
      <c r="U814" s="559"/>
      <c r="V814" s="559"/>
      <c r="W814" s="559"/>
      <c r="X814" s="559"/>
      <c r="Y814" s="559"/>
      <c r="Z814" s="559"/>
      <c r="AA814" s="559"/>
      <c r="AB814" s="559"/>
      <c r="AC814" s="559"/>
      <c r="AD814" s="559"/>
      <c r="AE814" s="559"/>
      <c r="AF814" s="559"/>
      <c r="AG814" s="559"/>
    </row>
    <row r="815" spans="1:33" ht="18" customHeight="1" x14ac:dyDescent="0.35">
      <c r="A815" s="559"/>
      <c r="B815" s="559"/>
      <c r="C815" s="559"/>
      <c r="D815" s="559"/>
      <c r="E815" s="559"/>
      <c r="F815" s="559"/>
      <c r="G815" s="559"/>
      <c r="H815" s="559"/>
      <c r="I815" s="559"/>
      <c r="J815" s="559"/>
      <c r="K815" s="559"/>
      <c r="L815" s="559"/>
      <c r="M815" s="559"/>
      <c r="N815" s="559"/>
      <c r="O815" s="559"/>
      <c r="P815" s="559"/>
      <c r="Q815" s="559"/>
      <c r="R815" s="559"/>
      <c r="S815" s="559"/>
      <c r="T815" s="559"/>
      <c r="U815" s="559"/>
      <c r="V815" s="559"/>
      <c r="W815" s="559"/>
      <c r="X815" s="559"/>
      <c r="Y815" s="559"/>
      <c r="Z815" s="559"/>
      <c r="AA815" s="559"/>
      <c r="AB815" s="559"/>
      <c r="AC815" s="559"/>
      <c r="AD815" s="559"/>
      <c r="AE815" s="559"/>
      <c r="AF815" s="559"/>
      <c r="AG815" s="559"/>
    </row>
    <row r="816" spans="1:33" ht="18" customHeight="1" x14ac:dyDescent="0.35">
      <c r="A816" s="559"/>
      <c r="B816" s="559"/>
      <c r="C816" s="559"/>
      <c r="D816" s="559"/>
      <c r="E816" s="559"/>
      <c r="F816" s="559"/>
      <c r="G816" s="559"/>
      <c r="H816" s="559"/>
      <c r="I816" s="559"/>
      <c r="J816" s="559"/>
      <c r="K816" s="559"/>
      <c r="L816" s="559"/>
      <c r="M816" s="559"/>
      <c r="N816" s="559"/>
      <c r="O816" s="559"/>
      <c r="P816" s="559"/>
      <c r="Q816" s="559"/>
      <c r="R816" s="559"/>
      <c r="S816" s="559"/>
      <c r="T816" s="559"/>
      <c r="U816" s="559"/>
      <c r="V816" s="559"/>
      <c r="W816" s="559"/>
      <c r="X816" s="559"/>
      <c r="Y816" s="559"/>
      <c r="Z816" s="559"/>
      <c r="AA816" s="559"/>
      <c r="AB816" s="559"/>
      <c r="AC816" s="559"/>
      <c r="AD816" s="559"/>
      <c r="AE816" s="559"/>
      <c r="AF816" s="559"/>
      <c r="AG816" s="559"/>
    </row>
    <row r="817" spans="1:33" ht="18" customHeight="1" x14ac:dyDescent="0.35">
      <c r="A817" s="559"/>
      <c r="B817" s="559"/>
      <c r="C817" s="559"/>
      <c r="D817" s="559"/>
      <c r="E817" s="559"/>
      <c r="F817" s="559"/>
      <c r="G817" s="559"/>
      <c r="H817" s="559"/>
      <c r="I817" s="559"/>
      <c r="J817" s="559"/>
      <c r="K817" s="559"/>
      <c r="L817" s="559"/>
      <c r="M817" s="559"/>
      <c r="N817" s="559"/>
      <c r="O817" s="559"/>
      <c r="P817" s="559"/>
      <c r="Q817" s="559"/>
      <c r="R817" s="559"/>
      <c r="S817" s="559"/>
      <c r="T817" s="559"/>
      <c r="U817" s="559"/>
      <c r="V817" s="559"/>
      <c r="W817" s="559"/>
      <c r="X817" s="559"/>
      <c r="Y817" s="559"/>
      <c r="Z817" s="559"/>
      <c r="AA817" s="559"/>
      <c r="AB817" s="559"/>
      <c r="AC817" s="559"/>
      <c r="AD817" s="559"/>
      <c r="AE817" s="559"/>
      <c r="AF817" s="559"/>
      <c r="AG817" s="559"/>
    </row>
    <row r="818" spans="1:33" ht="18" customHeight="1" x14ac:dyDescent="0.35">
      <c r="A818" s="559"/>
      <c r="B818" s="559"/>
      <c r="C818" s="559"/>
      <c r="D818" s="559"/>
      <c r="E818" s="559"/>
      <c r="F818" s="559"/>
      <c r="G818" s="559"/>
      <c r="H818" s="559"/>
      <c r="I818" s="559"/>
      <c r="J818" s="559"/>
      <c r="K818" s="559"/>
      <c r="L818" s="559"/>
      <c r="M818" s="559"/>
      <c r="N818" s="559"/>
      <c r="O818" s="559"/>
      <c r="P818" s="559"/>
      <c r="Q818" s="559"/>
      <c r="R818" s="559"/>
      <c r="S818" s="559"/>
      <c r="T818" s="559"/>
      <c r="U818" s="559"/>
      <c r="V818" s="559"/>
      <c r="W818" s="559"/>
      <c r="X818" s="559"/>
      <c r="Y818" s="559"/>
      <c r="Z818" s="559"/>
      <c r="AA818" s="559"/>
      <c r="AB818" s="559"/>
      <c r="AC818" s="559"/>
      <c r="AD818" s="559"/>
      <c r="AE818" s="559"/>
      <c r="AF818" s="559"/>
      <c r="AG818" s="559"/>
    </row>
    <row r="819" spans="1:33" ht="18" customHeight="1" x14ac:dyDescent="0.35">
      <c r="A819" s="559"/>
      <c r="B819" s="559"/>
      <c r="C819" s="559"/>
      <c r="D819" s="559"/>
      <c r="E819" s="559"/>
      <c r="F819" s="559"/>
      <c r="G819" s="559"/>
      <c r="H819" s="559"/>
      <c r="I819" s="559"/>
      <c r="J819" s="559"/>
      <c r="K819" s="559"/>
      <c r="L819" s="559"/>
      <c r="M819" s="559"/>
      <c r="N819" s="559"/>
      <c r="O819" s="559"/>
      <c r="P819" s="559"/>
      <c r="Q819" s="559"/>
      <c r="R819" s="559"/>
      <c r="S819" s="559"/>
      <c r="T819" s="559"/>
      <c r="U819" s="559"/>
      <c r="V819" s="559"/>
      <c r="W819" s="559"/>
      <c r="X819" s="559"/>
      <c r="Y819" s="559"/>
      <c r="Z819" s="559"/>
      <c r="AA819" s="559"/>
      <c r="AB819" s="559"/>
      <c r="AC819" s="559"/>
      <c r="AD819" s="559"/>
      <c r="AE819" s="559"/>
      <c r="AF819" s="559"/>
      <c r="AG819" s="559"/>
    </row>
    <row r="820" spans="1:33" ht="18" customHeight="1" x14ac:dyDescent="0.35">
      <c r="A820" s="559"/>
      <c r="B820" s="559"/>
      <c r="C820" s="559"/>
      <c r="D820" s="559"/>
      <c r="E820" s="559"/>
      <c r="F820" s="559"/>
      <c r="G820" s="559"/>
      <c r="H820" s="559"/>
      <c r="I820" s="559"/>
      <c r="J820" s="559"/>
      <c r="K820" s="559"/>
      <c r="L820" s="559"/>
      <c r="M820" s="559"/>
      <c r="N820" s="559"/>
      <c r="O820" s="559"/>
      <c r="P820" s="559"/>
      <c r="Q820" s="559"/>
      <c r="R820" s="559"/>
      <c r="S820" s="559"/>
      <c r="T820" s="559"/>
      <c r="U820" s="559"/>
      <c r="V820" s="559"/>
      <c r="W820" s="559"/>
      <c r="X820" s="559"/>
      <c r="Y820" s="559"/>
      <c r="Z820" s="559"/>
      <c r="AA820" s="559"/>
      <c r="AB820" s="559"/>
      <c r="AC820" s="559"/>
      <c r="AD820" s="559"/>
      <c r="AE820" s="559"/>
      <c r="AF820" s="559"/>
      <c r="AG820" s="559"/>
    </row>
    <row r="821" spans="1:33" ht="18" customHeight="1" x14ac:dyDescent="0.35">
      <c r="A821" s="559"/>
      <c r="B821" s="559"/>
      <c r="C821" s="559"/>
      <c r="D821" s="559"/>
      <c r="E821" s="559"/>
      <c r="F821" s="559"/>
      <c r="G821" s="559"/>
      <c r="H821" s="559"/>
      <c r="I821" s="559"/>
      <c r="J821" s="559"/>
      <c r="K821" s="559"/>
      <c r="L821" s="559"/>
      <c r="M821" s="559"/>
      <c r="N821" s="559"/>
      <c r="O821" s="559"/>
      <c r="P821" s="559"/>
      <c r="Q821" s="559"/>
      <c r="R821" s="559"/>
      <c r="S821" s="559"/>
      <c r="T821" s="559"/>
      <c r="U821" s="559"/>
      <c r="V821" s="559"/>
      <c r="W821" s="559"/>
      <c r="X821" s="559"/>
      <c r="Y821" s="559"/>
      <c r="Z821" s="559"/>
      <c r="AA821" s="559"/>
      <c r="AB821" s="559"/>
      <c r="AC821" s="559"/>
      <c r="AD821" s="559"/>
      <c r="AE821" s="559"/>
      <c r="AF821" s="559"/>
      <c r="AG821" s="559"/>
    </row>
    <row r="822" spans="1:33" ht="18" customHeight="1" x14ac:dyDescent="0.35">
      <c r="A822" s="559"/>
      <c r="B822" s="559"/>
      <c r="C822" s="559"/>
      <c r="D822" s="559"/>
      <c r="E822" s="559"/>
      <c r="F822" s="559"/>
      <c r="G822" s="559"/>
      <c r="H822" s="559"/>
      <c r="I822" s="559"/>
      <c r="J822" s="559"/>
      <c r="K822" s="559"/>
      <c r="L822" s="559"/>
      <c r="M822" s="559"/>
      <c r="N822" s="559"/>
      <c r="O822" s="559"/>
      <c r="P822" s="559"/>
      <c r="Q822" s="559"/>
      <c r="R822" s="559"/>
      <c r="S822" s="559"/>
      <c r="T822" s="559"/>
      <c r="U822" s="559"/>
      <c r="V822" s="559"/>
      <c r="W822" s="559"/>
      <c r="X822" s="559"/>
      <c r="Y822" s="559"/>
      <c r="Z822" s="559"/>
      <c r="AA822" s="559"/>
      <c r="AB822" s="559"/>
      <c r="AC822" s="559"/>
      <c r="AD822" s="559"/>
      <c r="AE822" s="559"/>
      <c r="AF822" s="559"/>
      <c r="AG822" s="559"/>
    </row>
    <row r="823" spans="1:33" ht="18" customHeight="1" x14ac:dyDescent="0.35">
      <c r="A823" s="559"/>
      <c r="B823" s="559"/>
      <c r="C823" s="559"/>
      <c r="D823" s="559"/>
      <c r="E823" s="559"/>
      <c r="F823" s="559"/>
      <c r="G823" s="559"/>
      <c r="H823" s="559"/>
      <c r="I823" s="559"/>
      <c r="J823" s="559"/>
      <c r="K823" s="559"/>
      <c r="L823" s="559"/>
      <c r="M823" s="559"/>
      <c r="N823" s="559"/>
      <c r="O823" s="559"/>
      <c r="P823" s="559"/>
      <c r="Q823" s="559"/>
      <c r="R823" s="559"/>
      <c r="S823" s="559"/>
      <c r="T823" s="559"/>
      <c r="U823" s="559"/>
      <c r="V823" s="559"/>
      <c r="W823" s="559"/>
      <c r="X823" s="559"/>
      <c r="Y823" s="559"/>
      <c r="Z823" s="559"/>
      <c r="AA823" s="559"/>
      <c r="AB823" s="559"/>
      <c r="AC823" s="559"/>
      <c r="AD823" s="559"/>
      <c r="AE823" s="559"/>
      <c r="AF823" s="559"/>
      <c r="AG823" s="559"/>
    </row>
    <row r="824" spans="1:33" ht="18" customHeight="1" x14ac:dyDescent="0.35">
      <c r="A824" s="559"/>
      <c r="B824" s="559"/>
      <c r="C824" s="559"/>
      <c r="D824" s="559"/>
      <c r="E824" s="559"/>
      <c r="F824" s="559"/>
      <c r="G824" s="559"/>
      <c r="H824" s="559"/>
      <c r="I824" s="559"/>
      <c r="J824" s="559"/>
      <c r="K824" s="559"/>
      <c r="L824" s="559"/>
      <c r="M824" s="559"/>
      <c r="N824" s="559"/>
      <c r="O824" s="559"/>
      <c r="P824" s="559"/>
      <c r="Q824" s="559"/>
      <c r="R824" s="559"/>
      <c r="S824" s="559"/>
      <c r="T824" s="559"/>
      <c r="U824" s="559"/>
      <c r="V824" s="559"/>
      <c r="W824" s="559"/>
      <c r="X824" s="559"/>
      <c r="Y824" s="559"/>
      <c r="Z824" s="559"/>
      <c r="AA824" s="559"/>
      <c r="AB824" s="559"/>
      <c r="AC824" s="559"/>
      <c r="AD824" s="559"/>
      <c r="AE824" s="559"/>
      <c r="AF824" s="559"/>
      <c r="AG824" s="559"/>
    </row>
    <row r="825" spans="1:33" ht="18" customHeight="1" x14ac:dyDescent="0.35">
      <c r="A825" s="559"/>
      <c r="B825" s="559"/>
      <c r="C825" s="559"/>
      <c r="D825" s="559"/>
      <c r="E825" s="559"/>
      <c r="F825" s="559"/>
      <c r="G825" s="559"/>
      <c r="H825" s="559"/>
      <c r="I825" s="559"/>
      <c r="J825" s="559"/>
      <c r="K825" s="559"/>
      <c r="L825" s="559"/>
      <c r="M825" s="559"/>
      <c r="N825" s="559"/>
      <c r="O825" s="559"/>
      <c r="P825" s="559"/>
      <c r="Q825" s="559"/>
      <c r="R825" s="559"/>
      <c r="S825" s="559"/>
      <c r="T825" s="559"/>
      <c r="U825" s="559"/>
      <c r="V825" s="559"/>
      <c r="W825" s="559"/>
      <c r="X825" s="559"/>
      <c r="Y825" s="559"/>
      <c r="Z825" s="559"/>
      <c r="AA825" s="559"/>
      <c r="AB825" s="559"/>
      <c r="AC825" s="559"/>
      <c r="AD825" s="559"/>
      <c r="AE825" s="559"/>
      <c r="AF825" s="559"/>
      <c r="AG825" s="559"/>
    </row>
    <row r="826" spans="1:33" ht="18" customHeight="1" x14ac:dyDescent="0.35">
      <c r="A826" s="559"/>
      <c r="B826" s="559"/>
      <c r="C826" s="559"/>
      <c r="D826" s="559"/>
      <c r="E826" s="559"/>
      <c r="F826" s="559"/>
      <c r="G826" s="559"/>
      <c r="H826" s="559"/>
      <c r="I826" s="559"/>
      <c r="J826" s="559"/>
      <c r="K826" s="559"/>
      <c r="L826" s="559"/>
      <c r="M826" s="559"/>
      <c r="N826" s="559"/>
      <c r="O826" s="559"/>
      <c r="P826" s="559"/>
      <c r="Q826" s="559"/>
      <c r="R826" s="559"/>
      <c r="S826" s="559"/>
      <c r="T826" s="559"/>
      <c r="U826" s="559"/>
      <c r="V826" s="559"/>
      <c r="W826" s="559"/>
      <c r="X826" s="559"/>
      <c r="Y826" s="559"/>
      <c r="Z826" s="559"/>
      <c r="AA826" s="559"/>
      <c r="AB826" s="559"/>
      <c r="AC826" s="559"/>
      <c r="AD826" s="559"/>
      <c r="AE826" s="559"/>
      <c r="AF826" s="559"/>
      <c r="AG826" s="559"/>
    </row>
    <row r="827" spans="1:33" ht="18" customHeight="1" x14ac:dyDescent="0.35">
      <c r="A827" s="559"/>
      <c r="B827" s="559"/>
      <c r="C827" s="559"/>
      <c r="D827" s="559"/>
      <c r="E827" s="559"/>
      <c r="F827" s="559"/>
      <c r="G827" s="559"/>
      <c r="H827" s="559"/>
      <c r="I827" s="559"/>
      <c r="J827" s="559"/>
      <c r="K827" s="559"/>
      <c r="L827" s="559"/>
      <c r="M827" s="559"/>
      <c r="N827" s="559"/>
      <c r="O827" s="559"/>
      <c r="P827" s="559"/>
      <c r="Q827" s="559"/>
      <c r="R827" s="559"/>
      <c r="S827" s="559"/>
      <c r="T827" s="559"/>
      <c r="U827" s="559"/>
      <c r="V827" s="559"/>
      <c r="W827" s="559"/>
      <c r="X827" s="559"/>
      <c r="Y827" s="559"/>
      <c r="Z827" s="559"/>
      <c r="AA827" s="559"/>
      <c r="AB827" s="559"/>
      <c r="AC827" s="559"/>
      <c r="AD827" s="559"/>
      <c r="AE827" s="559"/>
      <c r="AF827" s="559"/>
      <c r="AG827" s="559"/>
    </row>
    <row r="828" spans="1:33" ht="18" customHeight="1" x14ac:dyDescent="0.35">
      <c r="A828" s="559"/>
      <c r="B828" s="559"/>
      <c r="C828" s="559"/>
      <c r="D828" s="559"/>
      <c r="E828" s="559"/>
      <c r="F828" s="559"/>
      <c r="G828" s="559"/>
      <c r="H828" s="559"/>
      <c r="I828" s="559"/>
      <c r="J828" s="559"/>
      <c r="K828" s="559"/>
      <c r="L828" s="559"/>
      <c r="M828" s="559"/>
      <c r="N828" s="559"/>
      <c r="O828" s="559"/>
      <c r="P828" s="559"/>
      <c r="Q828" s="559"/>
      <c r="R828" s="559"/>
      <c r="S828" s="559"/>
      <c r="T828" s="559"/>
      <c r="U828" s="559"/>
      <c r="V828" s="559"/>
      <c r="W828" s="559"/>
      <c r="X828" s="559"/>
      <c r="Y828" s="559"/>
      <c r="Z828" s="559"/>
      <c r="AA828" s="559"/>
      <c r="AB828" s="559"/>
      <c r="AC828" s="559"/>
      <c r="AD828" s="559"/>
      <c r="AE828" s="559"/>
      <c r="AF828" s="559"/>
      <c r="AG828" s="559"/>
    </row>
    <row r="829" spans="1:33" ht="18" customHeight="1" x14ac:dyDescent="0.35">
      <c r="A829" s="559"/>
      <c r="B829" s="559"/>
      <c r="C829" s="559"/>
      <c r="D829" s="559"/>
      <c r="E829" s="559"/>
      <c r="F829" s="559"/>
      <c r="G829" s="559"/>
      <c r="H829" s="559"/>
      <c r="I829" s="559"/>
      <c r="J829" s="559"/>
      <c r="K829" s="559"/>
      <c r="L829" s="559"/>
      <c r="M829" s="559"/>
      <c r="N829" s="559"/>
      <c r="O829" s="559"/>
      <c r="P829" s="559"/>
      <c r="Q829" s="559"/>
      <c r="R829" s="559"/>
      <c r="S829" s="559"/>
      <c r="T829" s="559"/>
      <c r="U829" s="559"/>
      <c r="V829" s="559"/>
      <c r="W829" s="559"/>
      <c r="X829" s="559"/>
      <c r="Y829" s="559"/>
      <c r="Z829" s="559"/>
      <c r="AA829" s="559"/>
      <c r="AB829" s="559"/>
      <c r="AC829" s="559"/>
      <c r="AD829" s="559"/>
      <c r="AE829" s="559"/>
      <c r="AF829" s="559"/>
      <c r="AG829" s="559"/>
    </row>
    <row r="830" spans="1:33" ht="18" customHeight="1" x14ac:dyDescent="0.35">
      <c r="A830" s="559"/>
      <c r="B830" s="559"/>
      <c r="C830" s="559"/>
      <c r="D830" s="559"/>
      <c r="E830" s="559"/>
      <c r="F830" s="559"/>
      <c r="G830" s="559"/>
      <c r="H830" s="559"/>
      <c r="I830" s="559"/>
      <c r="J830" s="559"/>
      <c r="K830" s="559"/>
      <c r="L830" s="559"/>
      <c r="M830" s="559"/>
      <c r="N830" s="559"/>
      <c r="O830" s="559"/>
      <c r="P830" s="559"/>
      <c r="Q830" s="559"/>
      <c r="R830" s="559"/>
      <c r="S830" s="559"/>
      <c r="T830" s="559"/>
      <c r="U830" s="559"/>
      <c r="V830" s="559"/>
      <c r="W830" s="559"/>
      <c r="X830" s="559"/>
      <c r="Y830" s="559"/>
      <c r="Z830" s="559"/>
      <c r="AA830" s="559"/>
      <c r="AB830" s="559"/>
      <c r="AC830" s="559"/>
      <c r="AD830" s="559"/>
      <c r="AE830" s="559"/>
      <c r="AF830" s="559"/>
      <c r="AG830" s="559"/>
    </row>
    <row r="831" spans="1:33" ht="18" customHeight="1" x14ac:dyDescent="0.35">
      <c r="A831" s="559"/>
      <c r="B831" s="559"/>
      <c r="C831" s="559"/>
      <c r="D831" s="559"/>
      <c r="E831" s="559"/>
      <c r="F831" s="559"/>
      <c r="G831" s="559"/>
      <c r="H831" s="559"/>
      <c r="I831" s="559"/>
      <c r="J831" s="559"/>
      <c r="K831" s="559"/>
      <c r="L831" s="559"/>
      <c r="M831" s="559"/>
      <c r="N831" s="559"/>
      <c r="O831" s="559"/>
      <c r="P831" s="559"/>
      <c r="Q831" s="559"/>
      <c r="R831" s="559"/>
      <c r="S831" s="559"/>
      <c r="T831" s="559"/>
      <c r="U831" s="559"/>
      <c r="V831" s="559"/>
      <c r="W831" s="559"/>
      <c r="X831" s="559"/>
      <c r="Y831" s="559"/>
      <c r="Z831" s="559"/>
      <c r="AA831" s="559"/>
      <c r="AB831" s="559"/>
      <c r="AC831" s="559"/>
      <c r="AD831" s="559"/>
      <c r="AE831" s="559"/>
      <c r="AF831" s="559"/>
      <c r="AG831" s="559"/>
    </row>
    <row r="832" spans="1:33" ht="18" customHeight="1" x14ac:dyDescent="0.35">
      <c r="A832" s="559"/>
      <c r="B832" s="559"/>
      <c r="C832" s="559"/>
      <c r="D832" s="559"/>
      <c r="E832" s="559"/>
      <c r="F832" s="559"/>
      <c r="G832" s="559"/>
      <c r="H832" s="559"/>
      <c r="I832" s="559"/>
      <c r="J832" s="559"/>
      <c r="K832" s="559"/>
      <c r="L832" s="559"/>
      <c r="M832" s="559"/>
      <c r="N832" s="559"/>
      <c r="O832" s="559"/>
      <c r="P832" s="559"/>
      <c r="Q832" s="559"/>
      <c r="R832" s="559"/>
      <c r="S832" s="559"/>
      <c r="T832" s="559"/>
      <c r="U832" s="559"/>
      <c r="V832" s="559"/>
      <c r="W832" s="559"/>
      <c r="X832" s="559"/>
      <c r="Y832" s="559"/>
      <c r="Z832" s="559"/>
      <c r="AA832" s="559"/>
      <c r="AB832" s="559"/>
      <c r="AC832" s="559"/>
      <c r="AD832" s="559"/>
      <c r="AE832" s="559"/>
      <c r="AF832" s="559"/>
      <c r="AG832" s="559"/>
    </row>
    <row r="833" spans="1:33" ht="18" customHeight="1" x14ac:dyDescent="0.35">
      <c r="A833" s="559"/>
      <c r="B833" s="559"/>
      <c r="C833" s="559"/>
      <c r="D833" s="559"/>
      <c r="E833" s="559"/>
      <c r="F833" s="559"/>
      <c r="G833" s="559"/>
      <c r="H833" s="559"/>
      <c r="I833" s="559"/>
      <c r="J833" s="559"/>
      <c r="K833" s="559"/>
      <c r="L833" s="559"/>
      <c r="M833" s="559"/>
      <c r="N833" s="559"/>
      <c r="O833" s="559"/>
      <c r="P833" s="559"/>
      <c r="Q833" s="559"/>
      <c r="R833" s="559"/>
      <c r="S833" s="559"/>
      <c r="T833" s="559"/>
      <c r="U833" s="559"/>
      <c r="V833" s="559"/>
      <c r="W833" s="559"/>
      <c r="X833" s="559"/>
      <c r="Y833" s="559"/>
      <c r="Z833" s="559"/>
      <c r="AA833" s="559"/>
      <c r="AB833" s="559"/>
      <c r="AC833" s="559"/>
      <c r="AD833" s="559"/>
      <c r="AE833" s="559"/>
      <c r="AF833" s="559"/>
      <c r="AG833" s="559"/>
    </row>
    <row r="834" spans="1:33" ht="18" customHeight="1" x14ac:dyDescent="0.35">
      <c r="A834" s="559"/>
      <c r="B834" s="559"/>
      <c r="C834" s="559"/>
      <c r="D834" s="559"/>
      <c r="E834" s="559"/>
      <c r="F834" s="559"/>
      <c r="G834" s="559"/>
      <c r="H834" s="559"/>
      <c r="I834" s="559"/>
      <c r="J834" s="559"/>
      <c r="K834" s="559"/>
      <c r="L834" s="559"/>
      <c r="M834" s="559"/>
      <c r="N834" s="559"/>
      <c r="O834" s="559"/>
      <c r="P834" s="559"/>
      <c r="Q834" s="559"/>
      <c r="R834" s="559"/>
      <c r="S834" s="559"/>
      <c r="T834" s="559"/>
      <c r="U834" s="559"/>
      <c r="V834" s="559"/>
      <c r="W834" s="559"/>
      <c r="X834" s="559"/>
      <c r="Y834" s="559"/>
      <c r="Z834" s="559"/>
      <c r="AA834" s="559"/>
      <c r="AB834" s="559"/>
      <c r="AC834" s="559"/>
      <c r="AD834" s="559"/>
      <c r="AE834" s="559"/>
      <c r="AF834" s="559"/>
      <c r="AG834" s="559"/>
    </row>
    <row r="835" spans="1:33" ht="18" customHeight="1" x14ac:dyDescent="0.35">
      <c r="A835" s="559"/>
      <c r="B835" s="559"/>
      <c r="C835" s="559"/>
      <c r="D835" s="559"/>
      <c r="E835" s="559"/>
      <c r="F835" s="559"/>
      <c r="G835" s="559"/>
      <c r="H835" s="559"/>
      <c r="I835" s="559"/>
      <c r="J835" s="559"/>
      <c r="K835" s="559"/>
      <c r="L835" s="559"/>
      <c r="M835" s="559"/>
      <c r="N835" s="559"/>
      <c r="O835" s="559"/>
      <c r="P835" s="559"/>
      <c r="Q835" s="559"/>
      <c r="R835" s="559"/>
      <c r="S835" s="559"/>
      <c r="T835" s="559"/>
      <c r="U835" s="559"/>
      <c r="V835" s="559"/>
      <c r="W835" s="559"/>
      <c r="X835" s="559"/>
      <c r="Y835" s="559"/>
      <c r="Z835" s="559"/>
      <c r="AA835" s="559"/>
      <c r="AB835" s="559"/>
      <c r="AC835" s="559"/>
      <c r="AD835" s="559"/>
      <c r="AE835" s="559"/>
      <c r="AF835" s="559"/>
      <c r="AG835" s="559"/>
    </row>
    <row r="836" spans="1:33" ht="18" customHeight="1" x14ac:dyDescent="0.35">
      <c r="A836" s="559"/>
      <c r="B836" s="559"/>
      <c r="C836" s="559"/>
      <c r="D836" s="559"/>
      <c r="E836" s="559"/>
      <c r="F836" s="559"/>
      <c r="G836" s="559"/>
      <c r="H836" s="559"/>
      <c r="I836" s="559"/>
      <c r="J836" s="559"/>
      <c r="K836" s="559"/>
      <c r="L836" s="559"/>
      <c r="M836" s="559"/>
      <c r="N836" s="559"/>
      <c r="O836" s="559"/>
      <c r="P836" s="559"/>
      <c r="Q836" s="559"/>
      <c r="R836" s="559"/>
      <c r="S836" s="559"/>
      <c r="T836" s="559"/>
      <c r="U836" s="559"/>
      <c r="V836" s="559"/>
      <c r="W836" s="559"/>
      <c r="X836" s="559"/>
      <c r="Y836" s="559"/>
      <c r="Z836" s="559"/>
      <c r="AA836" s="559"/>
      <c r="AB836" s="559"/>
      <c r="AC836" s="559"/>
      <c r="AD836" s="559"/>
      <c r="AE836" s="559"/>
      <c r="AF836" s="559"/>
      <c r="AG836" s="559"/>
    </row>
    <row r="837" spans="1:33" ht="18" customHeight="1" x14ac:dyDescent="0.35">
      <c r="A837" s="559"/>
      <c r="B837" s="559"/>
      <c r="C837" s="559"/>
      <c r="D837" s="559"/>
      <c r="E837" s="559"/>
      <c r="F837" s="559"/>
      <c r="G837" s="559"/>
      <c r="H837" s="559"/>
      <c r="I837" s="559"/>
      <c r="J837" s="559"/>
      <c r="K837" s="559"/>
      <c r="L837" s="559"/>
      <c r="M837" s="559"/>
      <c r="N837" s="559"/>
      <c r="O837" s="559"/>
      <c r="P837" s="559"/>
      <c r="Q837" s="559"/>
      <c r="R837" s="559"/>
      <c r="S837" s="559"/>
      <c r="T837" s="559"/>
      <c r="U837" s="559"/>
      <c r="V837" s="559"/>
      <c r="W837" s="559"/>
      <c r="X837" s="559"/>
      <c r="Y837" s="559"/>
      <c r="Z837" s="559"/>
      <c r="AA837" s="559"/>
      <c r="AB837" s="559"/>
      <c r="AC837" s="559"/>
      <c r="AD837" s="559"/>
      <c r="AE837" s="559"/>
      <c r="AF837" s="559"/>
      <c r="AG837" s="559"/>
    </row>
    <row r="838" spans="1:33" ht="18" customHeight="1" x14ac:dyDescent="0.35">
      <c r="A838" s="559"/>
      <c r="B838" s="559"/>
      <c r="C838" s="559"/>
      <c r="D838" s="559"/>
      <c r="E838" s="559"/>
      <c r="F838" s="559"/>
      <c r="G838" s="559"/>
      <c r="H838" s="559"/>
      <c r="I838" s="559"/>
      <c r="J838" s="559"/>
      <c r="K838" s="559"/>
      <c r="L838" s="559"/>
      <c r="M838" s="559"/>
      <c r="N838" s="559"/>
      <c r="O838" s="559"/>
      <c r="P838" s="559"/>
      <c r="Q838" s="559"/>
      <c r="R838" s="559"/>
      <c r="S838" s="559"/>
      <c r="T838" s="559"/>
      <c r="U838" s="559"/>
      <c r="V838" s="559"/>
      <c r="W838" s="559"/>
      <c r="X838" s="559"/>
      <c r="Y838" s="559"/>
      <c r="Z838" s="559"/>
      <c r="AA838" s="559"/>
      <c r="AB838" s="559"/>
      <c r="AC838" s="559"/>
      <c r="AD838" s="559"/>
      <c r="AE838" s="559"/>
      <c r="AF838" s="559"/>
      <c r="AG838" s="559"/>
    </row>
    <row r="839" spans="1:33" ht="18" customHeight="1" x14ac:dyDescent="0.35">
      <c r="A839" s="559"/>
      <c r="B839" s="559"/>
      <c r="C839" s="559"/>
      <c r="D839" s="559"/>
      <c r="E839" s="559"/>
      <c r="F839" s="559"/>
      <c r="G839" s="559"/>
      <c r="H839" s="559"/>
      <c r="I839" s="559"/>
      <c r="J839" s="559"/>
      <c r="K839" s="559"/>
      <c r="L839" s="559"/>
      <c r="M839" s="559"/>
      <c r="N839" s="559"/>
      <c r="O839" s="559"/>
      <c r="P839" s="559"/>
      <c r="Q839" s="559"/>
      <c r="R839" s="559"/>
      <c r="S839" s="559"/>
      <c r="T839" s="559"/>
      <c r="U839" s="559"/>
      <c r="V839" s="559"/>
      <c r="W839" s="559"/>
      <c r="X839" s="559"/>
      <c r="Y839" s="559"/>
      <c r="Z839" s="559"/>
      <c r="AA839" s="559"/>
      <c r="AB839" s="559"/>
      <c r="AC839" s="559"/>
      <c r="AD839" s="559"/>
      <c r="AE839" s="559"/>
      <c r="AF839" s="559"/>
      <c r="AG839" s="559"/>
    </row>
    <row r="840" spans="1:33" ht="18" customHeight="1" x14ac:dyDescent="0.35">
      <c r="A840" s="559"/>
      <c r="B840" s="559"/>
      <c r="C840" s="559"/>
      <c r="D840" s="559"/>
      <c r="E840" s="559"/>
      <c r="F840" s="559"/>
      <c r="G840" s="559"/>
      <c r="H840" s="559"/>
      <c r="I840" s="559"/>
      <c r="J840" s="559"/>
      <c r="K840" s="559"/>
      <c r="L840" s="559"/>
      <c r="M840" s="559"/>
      <c r="N840" s="559"/>
      <c r="O840" s="559"/>
      <c r="P840" s="559"/>
      <c r="Q840" s="559"/>
      <c r="R840" s="559"/>
      <c r="S840" s="559"/>
      <c r="T840" s="559"/>
      <c r="U840" s="559"/>
      <c r="V840" s="559"/>
      <c r="W840" s="559"/>
      <c r="X840" s="559"/>
      <c r="Y840" s="559"/>
      <c r="Z840" s="559"/>
      <c r="AA840" s="559"/>
      <c r="AB840" s="559"/>
      <c r="AC840" s="559"/>
      <c r="AD840" s="559"/>
      <c r="AE840" s="559"/>
      <c r="AF840" s="559"/>
      <c r="AG840" s="559"/>
    </row>
    <row r="841" spans="1:33" ht="18" customHeight="1" x14ac:dyDescent="0.35">
      <c r="A841" s="559"/>
      <c r="B841" s="559"/>
      <c r="C841" s="559"/>
      <c r="D841" s="559"/>
      <c r="E841" s="559"/>
      <c r="F841" s="559"/>
      <c r="G841" s="559"/>
      <c r="H841" s="559"/>
      <c r="I841" s="559"/>
      <c r="J841" s="559"/>
      <c r="K841" s="559"/>
      <c r="L841" s="559"/>
      <c r="M841" s="559"/>
      <c r="N841" s="559"/>
      <c r="O841" s="559"/>
      <c r="P841" s="559"/>
      <c r="Q841" s="559"/>
      <c r="R841" s="559"/>
      <c r="S841" s="559"/>
      <c r="T841" s="559"/>
      <c r="U841" s="559"/>
      <c r="V841" s="559"/>
      <c r="W841" s="559"/>
      <c r="X841" s="559"/>
      <c r="Y841" s="559"/>
      <c r="Z841" s="559"/>
      <c r="AA841" s="559"/>
      <c r="AB841" s="559"/>
      <c r="AC841" s="559"/>
      <c r="AD841" s="559"/>
      <c r="AE841" s="559"/>
      <c r="AF841" s="559"/>
      <c r="AG841" s="559"/>
    </row>
    <row r="842" spans="1:33" ht="18" customHeight="1" x14ac:dyDescent="0.35">
      <c r="A842" s="559"/>
      <c r="B842" s="559"/>
      <c r="C842" s="559"/>
      <c r="D842" s="559"/>
      <c r="E842" s="559"/>
      <c r="F842" s="559"/>
      <c r="G842" s="559"/>
      <c r="H842" s="559"/>
      <c r="I842" s="559"/>
      <c r="J842" s="559"/>
      <c r="K842" s="559"/>
      <c r="L842" s="559"/>
      <c r="M842" s="559"/>
      <c r="N842" s="559"/>
      <c r="O842" s="559"/>
      <c r="P842" s="559"/>
      <c r="Q842" s="559"/>
      <c r="R842" s="559"/>
      <c r="S842" s="559"/>
      <c r="T842" s="559"/>
      <c r="U842" s="559"/>
      <c r="V842" s="559"/>
      <c r="W842" s="559"/>
      <c r="X842" s="559"/>
      <c r="Y842" s="559"/>
      <c r="Z842" s="559"/>
      <c r="AA842" s="559"/>
      <c r="AB842" s="559"/>
      <c r="AC842" s="559"/>
      <c r="AD842" s="559"/>
      <c r="AE842" s="559"/>
      <c r="AF842" s="559"/>
      <c r="AG842" s="559"/>
    </row>
    <row r="843" spans="1:33" ht="18" customHeight="1" x14ac:dyDescent="0.35">
      <c r="A843" s="559"/>
      <c r="B843" s="559"/>
      <c r="C843" s="559"/>
      <c r="D843" s="559"/>
      <c r="E843" s="559"/>
      <c r="F843" s="559"/>
      <c r="G843" s="559"/>
      <c r="H843" s="559"/>
      <c r="I843" s="559"/>
      <c r="J843" s="559"/>
      <c r="K843" s="559"/>
      <c r="L843" s="559"/>
      <c r="M843" s="559"/>
      <c r="N843" s="559"/>
      <c r="O843" s="559"/>
      <c r="P843" s="559"/>
      <c r="Q843" s="559"/>
      <c r="R843" s="559"/>
      <c r="S843" s="559"/>
      <c r="T843" s="559"/>
      <c r="U843" s="559"/>
      <c r="V843" s="559"/>
      <c r="W843" s="559"/>
      <c r="X843" s="559"/>
      <c r="Y843" s="559"/>
      <c r="Z843" s="559"/>
      <c r="AA843" s="559"/>
      <c r="AB843" s="559"/>
      <c r="AC843" s="559"/>
      <c r="AD843" s="559"/>
      <c r="AE843" s="559"/>
      <c r="AF843" s="559"/>
      <c r="AG843" s="559"/>
    </row>
    <row r="844" spans="1:33" ht="18" customHeight="1" x14ac:dyDescent="0.35">
      <c r="A844" s="559"/>
      <c r="B844" s="559"/>
      <c r="C844" s="559"/>
      <c r="D844" s="559"/>
      <c r="E844" s="559"/>
      <c r="F844" s="559"/>
      <c r="G844" s="559"/>
      <c r="H844" s="559"/>
      <c r="I844" s="559"/>
      <c r="J844" s="559"/>
      <c r="K844" s="559"/>
      <c r="L844" s="559"/>
      <c r="M844" s="559"/>
      <c r="N844" s="559"/>
      <c r="O844" s="559"/>
      <c r="P844" s="559"/>
      <c r="Q844" s="559"/>
      <c r="R844" s="559"/>
      <c r="S844" s="559"/>
      <c r="T844" s="559"/>
      <c r="U844" s="559"/>
      <c r="V844" s="559"/>
      <c r="W844" s="559"/>
      <c r="X844" s="559"/>
      <c r="Y844" s="559"/>
      <c r="Z844" s="559"/>
      <c r="AA844" s="559"/>
      <c r="AB844" s="559"/>
      <c r="AC844" s="559"/>
      <c r="AD844" s="559"/>
      <c r="AE844" s="559"/>
      <c r="AF844" s="559"/>
      <c r="AG844" s="559"/>
    </row>
    <row r="845" spans="1:33" ht="18" customHeight="1" x14ac:dyDescent="0.35">
      <c r="A845" s="559"/>
      <c r="B845" s="559"/>
      <c r="C845" s="559"/>
      <c r="D845" s="559"/>
      <c r="E845" s="559"/>
      <c r="F845" s="559"/>
      <c r="G845" s="559"/>
      <c r="H845" s="559"/>
      <c r="I845" s="559"/>
      <c r="J845" s="559"/>
      <c r="K845" s="559"/>
      <c r="L845" s="559"/>
      <c r="M845" s="559"/>
      <c r="N845" s="559"/>
      <c r="O845" s="559"/>
      <c r="P845" s="559"/>
      <c r="Q845" s="559"/>
      <c r="R845" s="559"/>
      <c r="S845" s="559"/>
      <c r="T845" s="559"/>
      <c r="U845" s="559"/>
      <c r="V845" s="559"/>
      <c r="W845" s="559"/>
      <c r="X845" s="559"/>
      <c r="Y845" s="559"/>
      <c r="Z845" s="559"/>
      <c r="AA845" s="559"/>
      <c r="AB845" s="559"/>
      <c r="AC845" s="559"/>
      <c r="AD845" s="559"/>
      <c r="AE845" s="559"/>
      <c r="AF845" s="559"/>
      <c r="AG845" s="559"/>
    </row>
    <row r="846" spans="1:33" ht="18" customHeight="1" x14ac:dyDescent="0.35">
      <c r="A846" s="559"/>
      <c r="B846" s="559"/>
      <c r="C846" s="559"/>
      <c r="D846" s="559"/>
      <c r="E846" s="559"/>
      <c r="F846" s="559"/>
      <c r="G846" s="559"/>
      <c r="H846" s="559"/>
      <c r="I846" s="559"/>
      <c r="J846" s="559"/>
      <c r="K846" s="559"/>
      <c r="L846" s="559"/>
      <c r="M846" s="559"/>
      <c r="N846" s="559"/>
      <c r="O846" s="559"/>
      <c r="P846" s="559"/>
      <c r="Q846" s="559"/>
      <c r="R846" s="559"/>
      <c r="S846" s="559"/>
      <c r="T846" s="559"/>
      <c r="U846" s="559"/>
      <c r="V846" s="559"/>
      <c r="W846" s="559"/>
      <c r="X846" s="559"/>
      <c r="Y846" s="559"/>
      <c r="Z846" s="559"/>
      <c r="AA846" s="559"/>
      <c r="AB846" s="559"/>
      <c r="AC846" s="559"/>
      <c r="AD846" s="559"/>
      <c r="AE846" s="559"/>
      <c r="AF846" s="559"/>
      <c r="AG846" s="559"/>
    </row>
    <row r="847" spans="1:33" ht="18" customHeight="1" x14ac:dyDescent="0.35">
      <c r="A847" s="559"/>
      <c r="B847" s="559"/>
      <c r="C847" s="559"/>
      <c r="D847" s="559"/>
      <c r="E847" s="559"/>
      <c r="F847" s="559"/>
      <c r="G847" s="559"/>
      <c r="H847" s="559"/>
      <c r="I847" s="559"/>
      <c r="J847" s="559"/>
      <c r="K847" s="559"/>
      <c r="L847" s="559"/>
      <c r="M847" s="559"/>
      <c r="N847" s="559"/>
      <c r="O847" s="559"/>
      <c r="P847" s="559"/>
      <c r="Q847" s="559"/>
      <c r="R847" s="559"/>
      <c r="S847" s="559"/>
      <c r="T847" s="559"/>
      <c r="U847" s="559"/>
      <c r="V847" s="559"/>
      <c r="W847" s="559"/>
      <c r="X847" s="559"/>
      <c r="Y847" s="559"/>
      <c r="Z847" s="559"/>
      <c r="AA847" s="559"/>
      <c r="AB847" s="559"/>
      <c r="AC847" s="559"/>
      <c r="AD847" s="559"/>
      <c r="AE847" s="559"/>
      <c r="AF847" s="559"/>
      <c r="AG847" s="559"/>
    </row>
    <row r="848" spans="1:33" ht="18" customHeight="1" x14ac:dyDescent="0.35">
      <c r="A848" s="559"/>
      <c r="B848" s="559"/>
      <c r="C848" s="559"/>
      <c r="D848" s="559"/>
      <c r="E848" s="559"/>
      <c r="F848" s="559"/>
      <c r="G848" s="559"/>
      <c r="H848" s="559"/>
      <c r="I848" s="559"/>
      <c r="J848" s="559"/>
      <c r="K848" s="559"/>
      <c r="L848" s="559"/>
      <c r="M848" s="559"/>
      <c r="N848" s="559"/>
      <c r="O848" s="559"/>
      <c r="P848" s="559"/>
      <c r="Q848" s="559"/>
      <c r="R848" s="559"/>
      <c r="S848" s="559"/>
      <c r="T848" s="559"/>
      <c r="U848" s="559"/>
      <c r="V848" s="559"/>
      <c r="W848" s="559"/>
      <c r="X848" s="559"/>
      <c r="Y848" s="559"/>
      <c r="Z848" s="559"/>
      <c r="AA848" s="559"/>
      <c r="AB848" s="559"/>
      <c r="AC848" s="559"/>
      <c r="AD848" s="559"/>
      <c r="AE848" s="559"/>
      <c r="AF848" s="559"/>
      <c r="AG848" s="559"/>
    </row>
    <row r="849" spans="1:33" ht="18" customHeight="1" x14ac:dyDescent="0.35">
      <c r="A849" s="559"/>
      <c r="B849" s="559"/>
      <c r="C849" s="559"/>
      <c r="D849" s="559"/>
      <c r="E849" s="559"/>
      <c r="F849" s="559"/>
      <c r="G849" s="559"/>
      <c r="H849" s="559"/>
      <c r="I849" s="559"/>
      <c r="J849" s="559"/>
      <c r="K849" s="559"/>
      <c r="L849" s="559"/>
      <c r="M849" s="559"/>
      <c r="N849" s="559"/>
      <c r="O849" s="559"/>
      <c r="P849" s="559"/>
      <c r="Q849" s="559"/>
      <c r="R849" s="559"/>
      <c r="S849" s="559"/>
      <c r="T849" s="559"/>
      <c r="U849" s="559"/>
      <c r="V849" s="559"/>
      <c r="W849" s="559"/>
      <c r="X849" s="559"/>
      <c r="Y849" s="559"/>
      <c r="Z849" s="559"/>
      <c r="AA849" s="559"/>
      <c r="AB849" s="559"/>
      <c r="AC849" s="559"/>
      <c r="AD849" s="559"/>
      <c r="AE849" s="559"/>
      <c r="AF849" s="559"/>
      <c r="AG849" s="559"/>
    </row>
    <row r="850" spans="1:33" ht="18" customHeight="1" x14ac:dyDescent="0.35">
      <c r="A850" s="559"/>
      <c r="B850" s="559"/>
      <c r="C850" s="559"/>
      <c r="D850" s="559"/>
      <c r="E850" s="559"/>
      <c r="F850" s="559"/>
      <c r="G850" s="559"/>
      <c r="H850" s="559"/>
      <c r="I850" s="559"/>
      <c r="J850" s="559"/>
      <c r="K850" s="559"/>
      <c r="L850" s="559"/>
      <c r="M850" s="559"/>
      <c r="N850" s="559"/>
      <c r="O850" s="559"/>
      <c r="P850" s="559"/>
      <c r="Q850" s="559"/>
      <c r="R850" s="559"/>
      <c r="S850" s="559"/>
      <c r="T850" s="559"/>
      <c r="U850" s="559"/>
      <c r="V850" s="559"/>
      <c r="W850" s="559"/>
      <c r="X850" s="559"/>
      <c r="Y850" s="559"/>
      <c r="Z850" s="559"/>
      <c r="AA850" s="559"/>
      <c r="AB850" s="559"/>
      <c r="AC850" s="559"/>
      <c r="AD850" s="559"/>
      <c r="AE850" s="559"/>
      <c r="AF850" s="559"/>
      <c r="AG850" s="559"/>
    </row>
    <row r="851" spans="1:33" ht="18" customHeight="1" x14ac:dyDescent="0.35">
      <c r="A851" s="559"/>
      <c r="B851" s="559"/>
      <c r="C851" s="559"/>
      <c r="D851" s="559"/>
      <c r="E851" s="559"/>
      <c r="F851" s="559"/>
      <c r="G851" s="559"/>
      <c r="H851" s="559"/>
      <c r="I851" s="559"/>
      <c r="J851" s="559"/>
      <c r="K851" s="559"/>
      <c r="L851" s="559"/>
      <c r="M851" s="559"/>
      <c r="N851" s="559"/>
      <c r="O851" s="559"/>
      <c r="P851" s="559"/>
      <c r="Q851" s="559"/>
      <c r="R851" s="559"/>
      <c r="S851" s="559"/>
      <c r="T851" s="559"/>
      <c r="U851" s="559"/>
      <c r="V851" s="559"/>
      <c r="W851" s="559"/>
      <c r="X851" s="559"/>
      <c r="Y851" s="559"/>
      <c r="Z851" s="559"/>
      <c r="AA851" s="559"/>
      <c r="AB851" s="559"/>
      <c r="AC851" s="559"/>
      <c r="AD851" s="559"/>
      <c r="AE851" s="559"/>
      <c r="AF851" s="559"/>
      <c r="AG851" s="559"/>
    </row>
    <row r="852" spans="1:33" ht="18" customHeight="1" x14ac:dyDescent="0.35">
      <c r="A852" s="559"/>
      <c r="B852" s="559"/>
      <c r="C852" s="559"/>
      <c r="D852" s="559"/>
      <c r="E852" s="559"/>
      <c r="F852" s="559"/>
      <c r="G852" s="559"/>
      <c r="H852" s="559"/>
      <c r="I852" s="559"/>
      <c r="J852" s="559"/>
      <c r="K852" s="559"/>
      <c r="L852" s="559"/>
      <c r="M852" s="559"/>
      <c r="N852" s="559"/>
      <c r="O852" s="559"/>
      <c r="P852" s="559"/>
      <c r="Q852" s="559"/>
      <c r="R852" s="559"/>
      <c r="S852" s="559"/>
      <c r="T852" s="559"/>
      <c r="U852" s="559"/>
      <c r="V852" s="559"/>
      <c r="W852" s="559"/>
      <c r="X852" s="559"/>
      <c r="Y852" s="559"/>
      <c r="Z852" s="559"/>
      <c r="AA852" s="559"/>
      <c r="AB852" s="559"/>
      <c r="AC852" s="559"/>
      <c r="AD852" s="559"/>
      <c r="AE852" s="559"/>
      <c r="AF852" s="559"/>
      <c r="AG852" s="559"/>
    </row>
    <row r="853" spans="1:33" ht="18" customHeight="1" x14ac:dyDescent="0.35">
      <c r="A853" s="559"/>
      <c r="B853" s="559"/>
      <c r="C853" s="559"/>
      <c r="D853" s="559"/>
      <c r="E853" s="559"/>
      <c r="F853" s="559"/>
      <c r="G853" s="559"/>
      <c r="H853" s="559"/>
      <c r="I853" s="559"/>
      <c r="J853" s="559"/>
      <c r="K853" s="559"/>
      <c r="L853" s="559"/>
      <c r="M853" s="559"/>
      <c r="N853" s="559"/>
      <c r="O853" s="559"/>
      <c r="P853" s="559"/>
      <c r="Q853" s="559"/>
      <c r="R853" s="559"/>
      <c r="S853" s="559"/>
      <c r="T853" s="559"/>
      <c r="U853" s="559"/>
      <c r="V853" s="559"/>
      <c r="W853" s="559"/>
      <c r="X853" s="559"/>
      <c r="Y853" s="559"/>
      <c r="Z853" s="559"/>
      <c r="AA853" s="559"/>
      <c r="AB853" s="559"/>
      <c r="AC853" s="559"/>
      <c r="AD853" s="559"/>
      <c r="AE853" s="559"/>
      <c r="AF853" s="559"/>
      <c r="AG853" s="559"/>
    </row>
    <row r="854" spans="1:33" ht="18" customHeight="1" x14ac:dyDescent="0.35">
      <c r="A854" s="559"/>
      <c r="B854" s="559"/>
      <c r="C854" s="559"/>
      <c r="D854" s="559"/>
      <c r="E854" s="559"/>
      <c r="F854" s="559"/>
      <c r="G854" s="559"/>
      <c r="H854" s="559"/>
      <c r="I854" s="559"/>
      <c r="J854" s="559"/>
      <c r="K854" s="559"/>
      <c r="L854" s="559"/>
      <c r="M854" s="559"/>
      <c r="N854" s="559"/>
      <c r="O854" s="559"/>
      <c r="P854" s="559"/>
      <c r="Q854" s="559"/>
      <c r="R854" s="559"/>
      <c r="S854" s="559"/>
      <c r="T854" s="559"/>
      <c r="U854" s="559"/>
      <c r="V854" s="559"/>
      <c r="W854" s="559"/>
      <c r="X854" s="559"/>
      <c r="Y854" s="559"/>
      <c r="Z854" s="559"/>
      <c r="AA854" s="559"/>
      <c r="AB854" s="559"/>
      <c r="AC854" s="559"/>
      <c r="AD854" s="559"/>
      <c r="AE854" s="559"/>
      <c r="AF854" s="559"/>
      <c r="AG854" s="559"/>
    </row>
    <row r="855" spans="1:33" ht="18" customHeight="1" x14ac:dyDescent="0.35">
      <c r="A855" s="559"/>
      <c r="B855" s="559"/>
      <c r="C855" s="559"/>
      <c r="D855" s="559"/>
      <c r="E855" s="559"/>
      <c r="F855" s="559"/>
      <c r="G855" s="559"/>
      <c r="H855" s="559"/>
      <c r="I855" s="559"/>
      <c r="J855" s="559"/>
      <c r="K855" s="559"/>
      <c r="L855" s="559"/>
      <c r="M855" s="559"/>
      <c r="N855" s="559"/>
      <c r="O855" s="559"/>
      <c r="P855" s="559"/>
      <c r="Q855" s="559"/>
      <c r="R855" s="559"/>
      <c r="S855" s="559"/>
      <c r="T855" s="559"/>
      <c r="U855" s="559"/>
      <c r="V855" s="559"/>
      <c r="W855" s="559"/>
      <c r="X855" s="559"/>
      <c r="Y855" s="559"/>
      <c r="Z855" s="559"/>
      <c r="AA855" s="559"/>
      <c r="AB855" s="559"/>
      <c r="AC855" s="559"/>
      <c r="AD855" s="559"/>
      <c r="AE855" s="559"/>
      <c r="AF855" s="559"/>
      <c r="AG855" s="559"/>
    </row>
    <row r="856" spans="1:33" ht="18" customHeight="1" x14ac:dyDescent="0.35">
      <c r="A856" s="559"/>
      <c r="B856" s="559"/>
      <c r="C856" s="559"/>
      <c r="D856" s="559"/>
      <c r="E856" s="559"/>
      <c r="F856" s="559"/>
      <c r="G856" s="559"/>
      <c r="H856" s="559"/>
      <c r="I856" s="559"/>
      <c r="J856" s="559"/>
      <c r="K856" s="559"/>
      <c r="L856" s="559"/>
      <c r="M856" s="559"/>
      <c r="N856" s="559"/>
      <c r="O856" s="559"/>
      <c r="P856" s="559"/>
      <c r="Q856" s="559"/>
      <c r="R856" s="559"/>
      <c r="S856" s="559"/>
      <c r="T856" s="559"/>
      <c r="U856" s="559"/>
      <c r="V856" s="559"/>
      <c r="W856" s="559"/>
      <c r="X856" s="559"/>
      <c r="Y856" s="559"/>
      <c r="Z856" s="559"/>
      <c r="AA856" s="559"/>
      <c r="AB856" s="559"/>
      <c r="AC856" s="559"/>
      <c r="AD856" s="559"/>
      <c r="AE856" s="559"/>
      <c r="AF856" s="559"/>
      <c r="AG856" s="559"/>
    </row>
    <row r="857" spans="1:33" ht="18" customHeight="1" x14ac:dyDescent="0.35">
      <c r="A857" s="559"/>
      <c r="B857" s="559"/>
      <c r="C857" s="559"/>
      <c r="D857" s="559"/>
      <c r="E857" s="559"/>
      <c r="F857" s="559"/>
      <c r="G857" s="559"/>
      <c r="H857" s="559"/>
      <c r="I857" s="559"/>
      <c r="J857" s="559"/>
      <c r="K857" s="559"/>
      <c r="L857" s="559"/>
      <c r="M857" s="559"/>
      <c r="N857" s="559"/>
      <c r="O857" s="559"/>
      <c r="P857" s="559"/>
      <c r="Q857" s="559"/>
      <c r="R857" s="559"/>
      <c r="S857" s="559"/>
      <c r="T857" s="559"/>
      <c r="U857" s="559"/>
      <c r="V857" s="559"/>
      <c r="W857" s="559"/>
      <c r="X857" s="559"/>
      <c r="Y857" s="559"/>
      <c r="Z857" s="559"/>
      <c r="AA857" s="559"/>
      <c r="AB857" s="559"/>
      <c r="AC857" s="559"/>
      <c r="AD857" s="559"/>
      <c r="AE857" s="559"/>
      <c r="AF857" s="559"/>
      <c r="AG857" s="559"/>
    </row>
    <row r="858" spans="1:33" ht="18" customHeight="1" x14ac:dyDescent="0.35">
      <c r="A858" s="559"/>
      <c r="B858" s="559"/>
      <c r="C858" s="559"/>
      <c r="D858" s="559"/>
      <c r="E858" s="559"/>
      <c r="F858" s="559"/>
      <c r="G858" s="559"/>
      <c r="H858" s="559"/>
      <c r="I858" s="559"/>
      <c r="J858" s="559"/>
      <c r="K858" s="559"/>
      <c r="L858" s="559"/>
      <c r="M858" s="559"/>
      <c r="N858" s="559"/>
      <c r="O858" s="559"/>
      <c r="P858" s="559"/>
      <c r="Q858" s="559"/>
      <c r="R858" s="559"/>
      <c r="S858" s="559"/>
      <c r="T858" s="559"/>
      <c r="U858" s="559"/>
      <c r="V858" s="559"/>
      <c r="W858" s="559"/>
      <c r="X858" s="559"/>
      <c r="Y858" s="559"/>
      <c r="Z858" s="559"/>
      <c r="AA858" s="559"/>
      <c r="AB858" s="559"/>
      <c r="AC858" s="559"/>
      <c r="AD858" s="559"/>
      <c r="AE858" s="559"/>
      <c r="AF858" s="559"/>
      <c r="AG858" s="559"/>
    </row>
    <row r="859" spans="1:33" ht="18" customHeight="1" x14ac:dyDescent="0.35">
      <c r="A859" s="559"/>
      <c r="B859" s="559"/>
      <c r="C859" s="559"/>
      <c r="D859" s="559"/>
      <c r="E859" s="559"/>
      <c r="F859" s="559"/>
      <c r="G859" s="559"/>
      <c r="H859" s="559"/>
      <c r="I859" s="559"/>
      <c r="J859" s="559"/>
      <c r="K859" s="559"/>
      <c r="L859" s="559"/>
      <c r="M859" s="559"/>
      <c r="N859" s="559"/>
      <c r="O859" s="559"/>
      <c r="P859" s="559"/>
      <c r="Q859" s="559"/>
      <c r="R859" s="559"/>
      <c r="S859" s="559"/>
      <c r="T859" s="559"/>
      <c r="U859" s="559"/>
      <c r="V859" s="559"/>
      <c r="W859" s="559"/>
      <c r="X859" s="559"/>
      <c r="Y859" s="559"/>
      <c r="Z859" s="559"/>
      <c r="AA859" s="559"/>
      <c r="AB859" s="559"/>
      <c r="AC859" s="559"/>
      <c r="AD859" s="559"/>
      <c r="AE859" s="559"/>
      <c r="AF859" s="559"/>
      <c r="AG859" s="559"/>
    </row>
    <row r="860" spans="1:33" ht="18" customHeight="1" x14ac:dyDescent="0.35">
      <c r="A860" s="559"/>
      <c r="B860" s="559"/>
      <c r="C860" s="559"/>
      <c r="D860" s="559"/>
      <c r="E860" s="559"/>
      <c r="F860" s="559"/>
      <c r="G860" s="559"/>
      <c r="H860" s="559"/>
      <c r="I860" s="559"/>
      <c r="J860" s="559"/>
      <c r="K860" s="559"/>
      <c r="L860" s="559"/>
      <c r="M860" s="559"/>
      <c r="N860" s="559"/>
      <c r="O860" s="559"/>
      <c r="P860" s="559"/>
      <c r="Q860" s="559"/>
      <c r="R860" s="559"/>
      <c r="S860" s="559"/>
      <c r="T860" s="559"/>
      <c r="U860" s="559"/>
      <c r="V860" s="559"/>
      <c r="W860" s="559"/>
      <c r="X860" s="559"/>
      <c r="Y860" s="559"/>
      <c r="Z860" s="559"/>
      <c r="AA860" s="559"/>
      <c r="AB860" s="559"/>
      <c r="AC860" s="559"/>
      <c r="AD860" s="559"/>
      <c r="AE860" s="559"/>
      <c r="AF860" s="559"/>
      <c r="AG860" s="559"/>
    </row>
    <row r="861" spans="1:33" ht="18" customHeight="1" x14ac:dyDescent="0.35">
      <c r="A861" s="559"/>
      <c r="B861" s="559"/>
      <c r="C861" s="559"/>
      <c r="D861" s="559"/>
      <c r="E861" s="559"/>
      <c r="F861" s="559"/>
      <c r="G861" s="559"/>
      <c r="H861" s="559"/>
      <c r="I861" s="559"/>
      <c r="J861" s="559"/>
      <c r="K861" s="559"/>
      <c r="L861" s="559"/>
      <c r="M861" s="559"/>
      <c r="N861" s="559"/>
      <c r="O861" s="559"/>
      <c r="P861" s="559"/>
      <c r="Q861" s="559"/>
      <c r="R861" s="559"/>
      <c r="S861" s="559"/>
      <c r="T861" s="559"/>
      <c r="U861" s="559"/>
      <c r="V861" s="559"/>
      <c r="W861" s="559"/>
      <c r="X861" s="559"/>
      <c r="Y861" s="559"/>
      <c r="Z861" s="559"/>
      <c r="AA861" s="559"/>
      <c r="AB861" s="559"/>
      <c r="AC861" s="559"/>
      <c r="AD861" s="559"/>
      <c r="AE861" s="559"/>
      <c r="AF861" s="559"/>
      <c r="AG861" s="559"/>
    </row>
    <row r="862" spans="1:33" ht="18" customHeight="1" x14ac:dyDescent="0.35">
      <c r="A862" s="559"/>
      <c r="B862" s="559"/>
      <c r="C862" s="559"/>
      <c r="D862" s="559"/>
      <c r="E862" s="559"/>
      <c r="F862" s="559"/>
      <c r="G862" s="559"/>
      <c r="H862" s="559"/>
      <c r="I862" s="559"/>
      <c r="J862" s="559"/>
      <c r="K862" s="559"/>
      <c r="L862" s="559"/>
      <c r="M862" s="559"/>
      <c r="N862" s="559"/>
      <c r="O862" s="559"/>
      <c r="P862" s="559"/>
      <c r="Q862" s="559"/>
      <c r="R862" s="559"/>
      <c r="S862" s="559"/>
      <c r="T862" s="559"/>
      <c r="U862" s="559"/>
      <c r="V862" s="559"/>
      <c r="W862" s="559"/>
      <c r="X862" s="559"/>
      <c r="Y862" s="559"/>
      <c r="Z862" s="559"/>
      <c r="AA862" s="559"/>
      <c r="AB862" s="559"/>
      <c r="AC862" s="559"/>
      <c r="AD862" s="559"/>
      <c r="AE862" s="559"/>
      <c r="AF862" s="559"/>
      <c r="AG862" s="559"/>
    </row>
    <row r="863" spans="1:33" ht="18" customHeight="1" x14ac:dyDescent="0.35">
      <c r="A863" s="559"/>
      <c r="B863" s="559"/>
      <c r="C863" s="559"/>
      <c r="D863" s="559"/>
      <c r="E863" s="559"/>
      <c r="F863" s="559"/>
      <c r="G863" s="559"/>
      <c r="H863" s="559"/>
      <c r="I863" s="559"/>
      <c r="J863" s="559"/>
      <c r="K863" s="559"/>
      <c r="L863" s="559"/>
      <c r="M863" s="559"/>
      <c r="N863" s="559"/>
      <c r="O863" s="559"/>
      <c r="P863" s="559"/>
      <c r="Q863" s="559"/>
      <c r="R863" s="559"/>
      <c r="S863" s="559"/>
      <c r="T863" s="559"/>
      <c r="U863" s="559"/>
      <c r="V863" s="559"/>
      <c r="W863" s="559"/>
      <c r="X863" s="559"/>
      <c r="Y863" s="559"/>
      <c r="Z863" s="559"/>
      <c r="AA863" s="559"/>
      <c r="AB863" s="559"/>
      <c r="AC863" s="559"/>
      <c r="AD863" s="559"/>
      <c r="AE863" s="559"/>
      <c r="AF863" s="559"/>
      <c r="AG863" s="559"/>
    </row>
    <row r="864" spans="1:33" ht="18" customHeight="1" x14ac:dyDescent="0.35">
      <c r="A864" s="559"/>
      <c r="B864" s="559"/>
      <c r="C864" s="559"/>
      <c r="D864" s="559"/>
      <c r="E864" s="559"/>
      <c r="F864" s="559"/>
      <c r="G864" s="559"/>
      <c r="H864" s="559"/>
      <c r="I864" s="559"/>
      <c r="J864" s="559"/>
      <c r="K864" s="559"/>
      <c r="L864" s="559"/>
      <c r="M864" s="559"/>
      <c r="N864" s="559"/>
      <c r="O864" s="559"/>
      <c r="P864" s="559"/>
      <c r="Q864" s="559"/>
      <c r="R864" s="559"/>
      <c r="S864" s="559"/>
      <c r="T864" s="559"/>
      <c r="U864" s="559"/>
      <c r="V864" s="559"/>
      <c r="W864" s="559"/>
      <c r="X864" s="559"/>
      <c r="Y864" s="559"/>
      <c r="Z864" s="559"/>
      <c r="AA864" s="559"/>
      <c r="AB864" s="559"/>
      <c r="AC864" s="559"/>
      <c r="AD864" s="559"/>
      <c r="AE864" s="559"/>
      <c r="AF864" s="559"/>
      <c r="AG864" s="559"/>
    </row>
    <row r="865" spans="1:33" ht="18" customHeight="1" x14ac:dyDescent="0.35">
      <c r="A865" s="559"/>
      <c r="B865" s="559"/>
      <c r="C865" s="559"/>
      <c r="D865" s="559"/>
      <c r="E865" s="559"/>
      <c r="F865" s="559"/>
      <c r="G865" s="559"/>
      <c r="H865" s="559"/>
      <c r="I865" s="559"/>
      <c r="J865" s="559"/>
      <c r="K865" s="559"/>
      <c r="L865" s="559"/>
      <c r="M865" s="559"/>
      <c r="N865" s="559"/>
      <c r="O865" s="559"/>
      <c r="P865" s="559"/>
      <c r="Q865" s="559"/>
      <c r="R865" s="559"/>
      <c r="S865" s="559"/>
      <c r="T865" s="559"/>
      <c r="U865" s="559"/>
      <c r="V865" s="559"/>
      <c r="W865" s="559"/>
      <c r="X865" s="559"/>
      <c r="Y865" s="559"/>
      <c r="Z865" s="559"/>
      <c r="AA865" s="559"/>
      <c r="AB865" s="559"/>
      <c r="AC865" s="559"/>
      <c r="AD865" s="559"/>
      <c r="AE865" s="559"/>
      <c r="AF865" s="559"/>
      <c r="AG865" s="559"/>
    </row>
    <row r="866" spans="1:33" ht="18" customHeight="1" x14ac:dyDescent="0.35">
      <c r="A866" s="559"/>
      <c r="B866" s="559"/>
      <c r="C866" s="559"/>
      <c r="D866" s="559"/>
      <c r="E866" s="559"/>
      <c r="F866" s="559"/>
      <c r="G866" s="559"/>
      <c r="H866" s="559"/>
      <c r="I866" s="559"/>
      <c r="J866" s="559"/>
      <c r="K866" s="559"/>
      <c r="L866" s="559"/>
      <c r="M866" s="559"/>
      <c r="N866" s="559"/>
      <c r="O866" s="559"/>
      <c r="P866" s="559"/>
      <c r="Q866" s="559"/>
      <c r="R866" s="559"/>
      <c r="S866" s="559"/>
      <c r="T866" s="559"/>
      <c r="U866" s="559"/>
      <c r="V866" s="559"/>
      <c r="W866" s="559"/>
      <c r="X866" s="559"/>
      <c r="Y866" s="559"/>
      <c r="Z866" s="559"/>
      <c r="AA866" s="559"/>
      <c r="AB866" s="559"/>
      <c r="AC866" s="559"/>
      <c r="AD866" s="559"/>
      <c r="AE866" s="559"/>
      <c r="AF866" s="559"/>
      <c r="AG866" s="559"/>
    </row>
    <row r="867" spans="1:33" ht="18" customHeight="1" x14ac:dyDescent="0.35">
      <c r="A867" s="559"/>
      <c r="B867" s="559"/>
      <c r="C867" s="559"/>
      <c r="D867" s="559"/>
      <c r="E867" s="559"/>
      <c r="F867" s="559"/>
      <c r="G867" s="559"/>
      <c r="H867" s="559"/>
      <c r="I867" s="559"/>
      <c r="J867" s="559"/>
      <c r="K867" s="559"/>
      <c r="L867" s="559"/>
      <c r="M867" s="559"/>
      <c r="N867" s="559"/>
      <c r="O867" s="559"/>
      <c r="P867" s="559"/>
      <c r="Q867" s="559"/>
      <c r="R867" s="559"/>
      <c r="S867" s="559"/>
      <c r="T867" s="559"/>
      <c r="U867" s="559"/>
      <c r="V867" s="559"/>
      <c r="W867" s="559"/>
      <c r="X867" s="559"/>
      <c r="Y867" s="559"/>
      <c r="Z867" s="559"/>
      <c r="AA867" s="559"/>
      <c r="AB867" s="559"/>
      <c r="AC867" s="559"/>
      <c r="AD867" s="559"/>
      <c r="AE867" s="559"/>
      <c r="AF867" s="559"/>
      <c r="AG867" s="559"/>
    </row>
    <row r="868" spans="1:33" ht="18" customHeight="1" x14ac:dyDescent="0.35">
      <c r="A868" s="559"/>
      <c r="B868" s="559"/>
      <c r="C868" s="559"/>
      <c r="D868" s="559"/>
      <c r="E868" s="559"/>
      <c r="F868" s="559"/>
      <c r="G868" s="559"/>
      <c r="H868" s="559"/>
      <c r="I868" s="559"/>
      <c r="J868" s="559"/>
      <c r="K868" s="559"/>
      <c r="L868" s="559"/>
      <c r="M868" s="559"/>
      <c r="N868" s="559"/>
      <c r="O868" s="559"/>
      <c r="P868" s="559"/>
      <c r="Q868" s="559"/>
      <c r="R868" s="559"/>
      <c r="S868" s="559"/>
      <c r="T868" s="559"/>
      <c r="U868" s="559"/>
      <c r="V868" s="559"/>
      <c r="W868" s="559"/>
      <c r="X868" s="559"/>
      <c r="Y868" s="559"/>
      <c r="Z868" s="559"/>
      <c r="AA868" s="559"/>
      <c r="AB868" s="559"/>
      <c r="AC868" s="559"/>
      <c r="AD868" s="559"/>
      <c r="AE868" s="559"/>
      <c r="AF868" s="559"/>
      <c r="AG868" s="559"/>
    </row>
    <row r="869" spans="1:33" ht="18" customHeight="1" x14ac:dyDescent="0.35">
      <c r="A869" s="559"/>
      <c r="B869" s="559"/>
      <c r="C869" s="559"/>
      <c r="D869" s="559"/>
      <c r="E869" s="559"/>
      <c r="F869" s="559"/>
      <c r="G869" s="559"/>
      <c r="H869" s="559"/>
      <c r="I869" s="559"/>
      <c r="J869" s="559"/>
      <c r="K869" s="559"/>
      <c r="L869" s="559"/>
      <c r="M869" s="559"/>
      <c r="N869" s="559"/>
      <c r="O869" s="559"/>
      <c r="P869" s="559"/>
      <c r="Q869" s="559"/>
      <c r="R869" s="559"/>
      <c r="S869" s="559"/>
      <c r="T869" s="559"/>
      <c r="U869" s="559"/>
      <c r="V869" s="559"/>
      <c r="W869" s="559"/>
      <c r="X869" s="559"/>
      <c r="Y869" s="559"/>
      <c r="Z869" s="559"/>
      <c r="AA869" s="559"/>
      <c r="AB869" s="559"/>
      <c r="AC869" s="559"/>
      <c r="AD869" s="559"/>
      <c r="AE869" s="559"/>
      <c r="AF869" s="559"/>
      <c r="AG869" s="559"/>
    </row>
    <row r="870" spans="1:33" ht="18" customHeight="1" x14ac:dyDescent="0.35">
      <c r="A870" s="559"/>
      <c r="B870" s="559"/>
      <c r="C870" s="559"/>
      <c r="D870" s="559"/>
      <c r="E870" s="559"/>
      <c r="F870" s="559"/>
      <c r="G870" s="559"/>
      <c r="H870" s="559"/>
      <c r="I870" s="559"/>
      <c r="J870" s="559"/>
      <c r="K870" s="559"/>
      <c r="L870" s="559"/>
      <c r="M870" s="559"/>
      <c r="N870" s="559"/>
      <c r="O870" s="559"/>
      <c r="P870" s="559"/>
      <c r="Q870" s="559"/>
      <c r="R870" s="559"/>
      <c r="S870" s="559"/>
      <c r="T870" s="559"/>
      <c r="U870" s="559"/>
      <c r="V870" s="559"/>
      <c r="W870" s="559"/>
      <c r="X870" s="559"/>
      <c r="Y870" s="559"/>
      <c r="Z870" s="559"/>
      <c r="AA870" s="559"/>
      <c r="AB870" s="559"/>
      <c r="AC870" s="559"/>
      <c r="AD870" s="559"/>
      <c r="AE870" s="559"/>
      <c r="AF870" s="559"/>
      <c r="AG870" s="559"/>
    </row>
    <row r="871" spans="1:33" ht="18" customHeight="1" x14ac:dyDescent="0.35">
      <c r="A871" s="559"/>
      <c r="B871" s="559"/>
      <c r="C871" s="559"/>
      <c r="D871" s="559"/>
      <c r="E871" s="559"/>
      <c r="F871" s="559"/>
      <c r="G871" s="559"/>
      <c r="H871" s="559"/>
      <c r="I871" s="559"/>
      <c r="J871" s="559"/>
      <c r="K871" s="559"/>
      <c r="L871" s="559"/>
      <c r="M871" s="559"/>
      <c r="N871" s="559"/>
      <c r="O871" s="559"/>
      <c r="P871" s="559"/>
      <c r="Q871" s="559"/>
      <c r="R871" s="559"/>
      <c r="S871" s="559"/>
      <c r="T871" s="559"/>
      <c r="U871" s="559"/>
      <c r="V871" s="559"/>
      <c r="W871" s="559"/>
      <c r="X871" s="559"/>
      <c r="Y871" s="559"/>
      <c r="Z871" s="559"/>
      <c r="AA871" s="559"/>
      <c r="AB871" s="559"/>
      <c r="AC871" s="559"/>
      <c r="AD871" s="559"/>
      <c r="AE871" s="559"/>
      <c r="AF871" s="559"/>
      <c r="AG871" s="559"/>
    </row>
    <row r="872" spans="1:33" ht="18" customHeight="1" x14ac:dyDescent="0.35">
      <c r="A872" s="559"/>
      <c r="B872" s="559"/>
      <c r="C872" s="559"/>
      <c r="D872" s="559"/>
      <c r="E872" s="559"/>
      <c r="F872" s="559"/>
      <c r="G872" s="559"/>
      <c r="H872" s="559"/>
      <c r="I872" s="559"/>
      <c r="J872" s="559"/>
      <c r="K872" s="559"/>
      <c r="L872" s="559"/>
      <c r="M872" s="559"/>
      <c r="N872" s="559"/>
      <c r="O872" s="559"/>
      <c r="P872" s="559"/>
      <c r="Q872" s="559"/>
      <c r="R872" s="559"/>
      <c r="S872" s="559"/>
      <c r="T872" s="559"/>
      <c r="U872" s="559"/>
      <c r="V872" s="559"/>
      <c r="W872" s="559"/>
      <c r="X872" s="559"/>
      <c r="Y872" s="559"/>
      <c r="Z872" s="559"/>
      <c r="AA872" s="559"/>
      <c r="AB872" s="559"/>
      <c r="AC872" s="559"/>
      <c r="AD872" s="559"/>
      <c r="AE872" s="559"/>
      <c r="AF872" s="559"/>
      <c r="AG872" s="559"/>
    </row>
    <row r="873" spans="1:33" ht="18" customHeight="1" x14ac:dyDescent="0.35">
      <c r="A873" s="559"/>
      <c r="B873" s="559"/>
      <c r="C873" s="559"/>
      <c r="D873" s="559"/>
      <c r="E873" s="559"/>
      <c r="F873" s="559"/>
      <c r="G873" s="559"/>
      <c r="H873" s="559"/>
      <c r="I873" s="559"/>
      <c r="J873" s="559"/>
      <c r="K873" s="559"/>
      <c r="L873" s="559"/>
      <c r="M873" s="559"/>
      <c r="N873" s="559"/>
      <c r="O873" s="559"/>
      <c r="P873" s="559"/>
      <c r="Q873" s="559"/>
      <c r="R873" s="559"/>
      <c r="S873" s="559"/>
      <c r="T873" s="559"/>
      <c r="U873" s="559"/>
      <c r="V873" s="559"/>
      <c r="W873" s="559"/>
      <c r="X873" s="559"/>
      <c r="Y873" s="559"/>
      <c r="Z873" s="559"/>
      <c r="AA873" s="559"/>
      <c r="AB873" s="559"/>
      <c r="AC873" s="559"/>
      <c r="AD873" s="559"/>
      <c r="AE873" s="559"/>
      <c r="AF873" s="559"/>
      <c r="AG873" s="559"/>
    </row>
    <row r="874" spans="1:33" ht="18" customHeight="1" x14ac:dyDescent="0.35">
      <c r="A874" s="559"/>
      <c r="B874" s="559"/>
      <c r="C874" s="559"/>
      <c r="D874" s="559"/>
      <c r="E874" s="559"/>
      <c r="F874" s="559"/>
      <c r="G874" s="559"/>
      <c r="H874" s="559"/>
      <c r="I874" s="559"/>
      <c r="J874" s="559"/>
      <c r="K874" s="559"/>
      <c r="L874" s="559"/>
      <c r="M874" s="559"/>
      <c r="N874" s="559"/>
      <c r="O874" s="559"/>
      <c r="P874" s="559"/>
      <c r="Q874" s="559"/>
      <c r="R874" s="559"/>
      <c r="S874" s="559"/>
      <c r="T874" s="559"/>
      <c r="U874" s="559"/>
      <c r="V874" s="559"/>
      <c r="W874" s="559"/>
      <c r="X874" s="559"/>
      <c r="Y874" s="559"/>
      <c r="Z874" s="559"/>
      <c r="AA874" s="559"/>
      <c r="AB874" s="559"/>
      <c r="AC874" s="559"/>
      <c r="AD874" s="559"/>
      <c r="AE874" s="559"/>
      <c r="AF874" s="559"/>
      <c r="AG874" s="559"/>
    </row>
    <row r="875" spans="1:33" ht="18" customHeight="1" x14ac:dyDescent="0.35">
      <c r="A875" s="559"/>
      <c r="B875" s="559"/>
      <c r="C875" s="559"/>
      <c r="D875" s="559"/>
      <c r="E875" s="559"/>
      <c r="F875" s="559"/>
      <c r="G875" s="559"/>
      <c r="H875" s="559"/>
      <c r="I875" s="559"/>
      <c r="J875" s="559"/>
      <c r="K875" s="559"/>
      <c r="L875" s="559"/>
      <c r="M875" s="559"/>
      <c r="N875" s="559"/>
      <c r="O875" s="559"/>
      <c r="P875" s="559"/>
      <c r="Q875" s="559"/>
      <c r="R875" s="559"/>
      <c r="S875" s="559"/>
      <c r="T875" s="559"/>
      <c r="U875" s="559"/>
      <c r="V875" s="559"/>
      <c r="W875" s="559"/>
      <c r="X875" s="559"/>
      <c r="Y875" s="559"/>
      <c r="Z875" s="559"/>
      <c r="AA875" s="559"/>
      <c r="AB875" s="559"/>
      <c r="AC875" s="559"/>
      <c r="AD875" s="559"/>
      <c r="AE875" s="559"/>
      <c r="AF875" s="559"/>
      <c r="AG875" s="559"/>
    </row>
    <row r="876" spans="1:33" ht="18" customHeight="1" x14ac:dyDescent="0.35">
      <c r="A876" s="559"/>
      <c r="B876" s="559"/>
      <c r="C876" s="559"/>
      <c r="D876" s="559"/>
      <c r="E876" s="559"/>
      <c r="F876" s="559"/>
      <c r="G876" s="559"/>
      <c r="H876" s="559"/>
      <c r="I876" s="559"/>
      <c r="J876" s="559"/>
      <c r="K876" s="559"/>
      <c r="L876" s="559"/>
      <c r="M876" s="559"/>
      <c r="N876" s="559"/>
      <c r="O876" s="559"/>
      <c r="P876" s="559"/>
      <c r="Q876" s="559"/>
      <c r="R876" s="559"/>
      <c r="S876" s="559"/>
      <c r="T876" s="559"/>
      <c r="U876" s="559"/>
      <c r="V876" s="559"/>
      <c r="W876" s="559"/>
      <c r="X876" s="559"/>
      <c r="Y876" s="559"/>
      <c r="Z876" s="559"/>
      <c r="AA876" s="559"/>
      <c r="AB876" s="559"/>
      <c r="AC876" s="559"/>
      <c r="AD876" s="559"/>
      <c r="AE876" s="559"/>
      <c r="AF876" s="559"/>
      <c r="AG876" s="559"/>
    </row>
    <row r="877" spans="1:33" ht="18" customHeight="1" x14ac:dyDescent="0.35">
      <c r="A877" s="559"/>
      <c r="B877" s="559"/>
      <c r="C877" s="559"/>
      <c r="D877" s="559"/>
      <c r="E877" s="559"/>
      <c r="F877" s="559"/>
      <c r="G877" s="559"/>
      <c r="H877" s="559"/>
      <c r="I877" s="559"/>
      <c r="J877" s="559"/>
      <c r="K877" s="559"/>
      <c r="L877" s="559"/>
      <c r="M877" s="559"/>
      <c r="N877" s="559"/>
      <c r="O877" s="559"/>
      <c r="P877" s="559"/>
      <c r="Q877" s="559"/>
      <c r="R877" s="559"/>
      <c r="S877" s="559"/>
      <c r="T877" s="559"/>
      <c r="U877" s="559"/>
      <c r="V877" s="559"/>
      <c r="W877" s="559"/>
      <c r="X877" s="559"/>
      <c r="Y877" s="559"/>
      <c r="Z877" s="559"/>
      <c r="AA877" s="559"/>
      <c r="AB877" s="559"/>
      <c r="AC877" s="559"/>
      <c r="AD877" s="559"/>
      <c r="AE877" s="559"/>
      <c r="AF877" s="559"/>
      <c r="AG877" s="559"/>
    </row>
    <row r="878" spans="1:33" ht="18" customHeight="1" x14ac:dyDescent="0.35">
      <c r="A878" s="559"/>
      <c r="B878" s="559"/>
      <c r="C878" s="559"/>
      <c r="D878" s="559"/>
      <c r="E878" s="559"/>
      <c r="F878" s="559"/>
      <c r="G878" s="559"/>
      <c r="H878" s="559"/>
      <c r="I878" s="559"/>
      <c r="J878" s="559"/>
      <c r="K878" s="559"/>
      <c r="L878" s="559"/>
      <c r="M878" s="559"/>
      <c r="N878" s="559"/>
      <c r="O878" s="559"/>
      <c r="P878" s="559"/>
      <c r="Q878" s="559"/>
      <c r="R878" s="559"/>
      <c r="S878" s="559"/>
      <c r="T878" s="559"/>
      <c r="U878" s="559"/>
      <c r="V878" s="559"/>
      <c r="W878" s="559"/>
      <c r="X878" s="559"/>
      <c r="Y878" s="559"/>
      <c r="Z878" s="559"/>
      <c r="AA878" s="559"/>
      <c r="AB878" s="559"/>
      <c r="AC878" s="559"/>
      <c r="AD878" s="559"/>
      <c r="AE878" s="559"/>
      <c r="AF878" s="559"/>
      <c r="AG878" s="559"/>
    </row>
    <row r="879" spans="1:33" ht="18" customHeight="1" x14ac:dyDescent="0.35">
      <c r="A879" s="559"/>
      <c r="B879" s="559"/>
      <c r="C879" s="559"/>
      <c r="D879" s="559"/>
      <c r="E879" s="559"/>
      <c r="F879" s="559"/>
      <c r="G879" s="559"/>
      <c r="H879" s="559"/>
      <c r="I879" s="559"/>
      <c r="J879" s="559"/>
      <c r="K879" s="559"/>
      <c r="L879" s="559"/>
      <c r="M879" s="559"/>
      <c r="N879" s="559"/>
      <c r="O879" s="559"/>
      <c r="P879" s="559"/>
      <c r="Q879" s="559"/>
      <c r="R879" s="559"/>
      <c r="S879" s="559"/>
      <c r="T879" s="559"/>
      <c r="U879" s="559"/>
      <c r="V879" s="559"/>
      <c r="W879" s="559"/>
      <c r="X879" s="559"/>
      <c r="Y879" s="559"/>
      <c r="Z879" s="559"/>
      <c r="AA879" s="559"/>
      <c r="AB879" s="559"/>
      <c r="AC879" s="559"/>
      <c r="AD879" s="559"/>
      <c r="AE879" s="559"/>
      <c r="AF879" s="559"/>
      <c r="AG879" s="559"/>
    </row>
    <row r="880" spans="1:33" ht="18" customHeight="1" x14ac:dyDescent="0.35">
      <c r="A880" s="559"/>
      <c r="B880" s="559"/>
      <c r="C880" s="559"/>
      <c r="D880" s="559"/>
      <c r="E880" s="559"/>
      <c r="F880" s="559"/>
      <c r="G880" s="559"/>
      <c r="H880" s="559"/>
      <c r="I880" s="559"/>
      <c r="J880" s="559"/>
      <c r="K880" s="559"/>
      <c r="L880" s="559"/>
      <c r="M880" s="559"/>
      <c r="N880" s="559"/>
      <c r="O880" s="559"/>
      <c r="P880" s="559"/>
      <c r="Q880" s="559"/>
      <c r="R880" s="559"/>
      <c r="S880" s="559"/>
      <c r="T880" s="559"/>
      <c r="U880" s="559"/>
      <c r="V880" s="559"/>
      <c r="W880" s="559"/>
      <c r="X880" s="559"/>
      <c r="Y880" s="559"/>
      <c r="Z880" s="559"/>
      <c r="AA880" s="559"/>
      <c r="AB880" s="559"/>
      <c r="AC880" s="559"/>
      <c r="AD880" s="559"/>
      <c r="AE880" s="559"/>
      <c r="AF880" s="559"/>
      <c r="AG880" s="559"/>
    </row>
    <row r="881" spans="1:33" ht="18" customHeight="1" x14ac:dyDescent="0.35">
      <c r="A881" s="559"/>
      <c r="B881" s="559"/>
      <c r="C881" s="559"/>
      <c r="D881" s="559"/>
      <c r="E881" s="559"/>
      <c r="F881" s="559"/>
      <c r="G881" s="559"/>
      <c r="H881" s="559"/>
      <c r="I881" s="559"/>
      <c r="J881" s="559"/>
      <c r="K881" s="559"/>
      <c r="L881" s="559"/>
      <c r="M881" s="559"/>
      <c r="N881" s="559"/>
      <c r="O881" s="559"/>
      <c r="P881" s="559"/>
      <c r="Q881" s="559"/>
      <c r="R881" s="559"/>
      <c r="S881" s="559"/>
      <c r="T881" s="559"/>
      <c r="U881" s="559"/>
      <c r="V881" s="559"/>
      <c r="W881" s="559"/>
      <c r="X881" s="559"/>
      <c r="Y881" s="559"/>
      <c r="Z881" s="559"/>
      <c r="AA881" s="559"/>
      <c r="AB881" s="559"/>
      <c r="AC881" s="559"/>
      <c r="AD881" s="559"/>
      <c r="AE881" s="559"/>
      <c r="AF881" s="559"/>
      <c r="AG881" s="559"/>
    </row>
    <row r="882" spans="1:33" ht="18" customHeight="1" x14ac:dyDescent="0.35">
      <c r="A882" s="559"/>
      <c r="B882" s="559"/>
      <c r="C882" s="559"/>
      <c r="D882" s="559"/>
      <c r="E882" s="559"/>
      <c r="F882" s="559"/>
      <c r="G882" s="559"/>
      <c r="H882" s="559"/>
      <c r="I882" s="559"/>
      <c r="J882" s="559"/>
      <c r="K882" s="559"/>
      <c r="L882" s="559"/>
      <c r="M882" s="559"/>
      <c r="N882" s="559"/>
      <c r="O882" s="559"/>
      <c r="P882" s="559"/>
      <c r="Q882" s="559"/>
      <c r="R882" s="559"/>
      <c r="S882" s="559"/>
      <c r="T882" s="559"/>
      <c r="U882" s="559"/>
      <c r="V882" s="559"/>
      <c r="W882" s="559"/>
      <c r="X882" s="559"/>
      <c r="Y882" s="559"/>
      <c r="Z882" s="559"/>
      <c r="AA882" s="559"/>
      <c r="AB882" s="559"/>
      <c r="AC882" s="559"/>
      <c r="AD882" s="559"/>
      <c r="AE882" s="559"/>
      <c r="AF882" s="559"/>
      <c r="AG882" s="559"/>
    </row>
    <row r="883" spans="1:33" ht="18" customHeight="1" x14ac:dyDescent="0.35">
      <c r="A883" s="559"/>
      <c r="B883" s="559"/>
      <c r="C883" s="559"/>
      <c r="D883" s="559"/>
      <c r="E883" s="559"/>
      <c r="F883" s="559"/>
      <c r="G883" s="559"/>
      <c r="H883" s="559"/>
      <c r="I883" s="559"/>
      <c r="J883" s="559"/>
      <c r="K883" s="559"/>
      <c r="L883" s="559"/>
      <c r="M883" s="559"/>
      <c r="N883" s="559"/>
      <c r="O883" s="559"/>
      <c r="P883" s="559"/>
      <c r="Q883" s="559"/>
      <c r="R883" s="559"/>
      <c r="S883" s="559"/>
      <c r="T883" s="559"/>
      <c r="U883" s="559"/>
      <c r="V883" s="559"/>
      <c r="W883" s="559"/>
      <c r="X883" s="559"/>
      <c r="Y883" s="559"/>
      <c r="Z883" s="559"/>
      <c r="AA883" s="559"/>
      <c r="AB883" s="559"/>
      <c r="AC883" s="559"/>
      <c r="AD883" s="559"/>
      <c r="AE883" s="559"/>
      <c r="AF883" s="559"/>
      <c r="AG883" s="559"/>
    </row>
    <row r="884" spans="1:33" ht="18" customHeight="1" x14ac:dyDescent="0.35">
      <c r="A884" s="559"/>
      <c r="B884" s="559"/>
      <c r="C884" s="559"/>
      <c r="D884" s="559"/>
      <c r="E884" s="559"/>
      <c r="F884" s="559"/>
      <c r="G884" s="559"/>
      <c r="H884" s="559"/>
      <c r="I884" s="559"/>
      <c r="J884" s="559"/>
      <c r="K884" s="559"/>
      <c r="L884" s="559"/>
      <c r="M884" s="559"/>
      <c r="N884" s="559"/>
      <c r="O884" s="559"/>
      <c r="P884" s="559"/>
      <c r="Q884" s="559"/>
      <c r="R884" s="559"/>
      <c r="S884" s="559"/>
      <c r="T884" s="559"/>
      <c r="U884" s="559"/>
      <c r="V884" s="559"/>
      <c r="W884" s="559"/>
      <c r="X884" s="559"/>
      <c r="Y884" s="559"/>
      <c r="Z884" s="559"/>
      <c r="AA884" s="559"/>
      <c r="AB884" s="559"/>
      <c r="AC884" s="559"/>
      <c r="AD884" s="559"/>
      <c r="AE884" s="559"/>
      <c r="AF884" s="559"/>
      <c r="AG884" s="559"/>
    </row>
    <row r="885" spans="1:33" ht="18" customHeight="1" x14ac:dyDescent="0.35">
      <c r="A885" s="559"/>
      <c r="B885" s="559"/>
      <c r="C885" s="559"/>
      <c r="D885" s="559"/>
      <c r="E885" s="559"/>
      <c r="F885" s="559"/>
      <c r="G885" s="559"/>
      <c r="H885" s="559"/>
      <c r="I885" s="559"/>
      <c r="J885" s="559"/>
      <c r="K885" s="559"/>
      <c r="L885" s="559"/>
      <c r="M885" s="559"/>
      <c r="N885" s="559"/>
      <c r="O885" s="559"/>
      <c r="P885" s="559"/>
      <c r="Q885" s="559"/>
      <c r="R885" s="559"/>
      <c r="S885" s="559"/>
      <c r="T885" s="559"/>
      <c r="U885" s="559"/>
      <c r="V885" s="559"/>
      <c r="W885" s="559"/>
      <c r="X885" s="559"/>
      <c r="Y885" s="559"/>
      <c r="Z885" s="559"/>
      <c r="AA885" s="559"/>
      <c r="AB885" s="559"/>
      <c r="AC885" s="559"/>
      <c r="AD885" s="559"/>
      <c r="AE885" s="559"/>
      <c r="AF885" s="559"/>
      <c r="AG885" s="559"/>
    </row>
    <row r="886" spans="1:33" ht="18" customHeight="1" x14ac:dyDescent="0.35">
      <c r="A886" s="559"/>
      <c r="B886" s="559"/>
      <c r="C886" s="559"/>
      <c r="D886" s="559"/>
      <c r="E886" s="559"/>
      <c r="F886" s="559"/>
      <c r="G886" s="559"/>
      <c r="H886" s="559"/>
      <c r="I886" s="559"/>
      <c r="J886" s="559"/>
      <c r="K886" s="559"/>
      <c r="L886" s="559"/>
      <c r="M886" s="559"/>
      <c r="N886" s="559"/>
      <c r="O886" s="559"/>
      <c r="P886" s="559"/>
      <c r="Q886" s="559"/>
      <c r="R886" s="559"/>
      <c r="S886" s="559"/>
      <c r="T886" s="559"/>
      <c r="U886" s="559"/>
      <c r="V886" s="559"/>
      <c r="W886" s="559"/>
      <c r="X886" s="559"/>
      <c r="Y886" s="559"/>
      <c r="Z886" s="559"/>
      <c r="AA886" s="559"/>
      <c r="AB886" s="559"/>
      <c r="AC886" s="559"/>
      <c r="AD886" s="559"/>
      <c r="AE886" s="559"/>
      <c r="AF886" s="559"/>
      <c r="AG886" s="559"/>
    </row>
    <row r="887" spans="1:33" ht="18" customHeight="1" x14ac:dyDescent="0.35">
      <c r="A887" s="559"/>
      <c r="B887" s="559"/>
      <c r="C887" s="559"/>
      <c r="D887" s="559"/>
      <c r="E887" s="559"/>
      <c r="F887" s="559"/>
      <c r="G887" s="559"/>
      <c r="H887" s="559"/>
      <c r="I887" s="559"/>
      <c r="J887" s="559"/>
      <c r="K887" s="559"/>
      <c r="L887" s="559"/>
      <c r="M887" s="559"/>
      <c r="N887" s="559"/>
      <c r="O887" s="559"/>
      <c r="P887" s="559"/>
      <c r="Q887" s="559"/>
      <c r="R887" s="559"/>
      <c r="S887" s="559"/>
      <c r="T887" s="559"/>
      <c r="U887" s="559"/>
      <c r="V887" s="559"/>
      <c r="W887" s="559"/>
      <c r="X887" s="559"/>
      <c r="Y887" s="559"/>
      <c r="Z887" s="559"/>
      <c r="AA887" s="559"/>
      <c r="AB887" s="559"/>
      <c r="AC887" s="559"/>
      <c r="AD887" s="559"/>
      <c r="AE887" s="559"/>
      <c r="AF887" s="559"/>
      <c r="AG887" s="559"/>
    </row>
    <row r="888" spans="1:33" ht="18" customHeight="1" x14ac:dyDescent="0.35">
      <c r="A888" s="559"/>
      <c r="B888" s="559"/>
      <c r="C888" s="559"/>
      <c r="D888" s="559"/>
      <c r="E888" s="559"/>
      <c r="F888" s="559"/>
      <c r="G888" s="559"/>
      <c r="H888" s="559"/>
      <c r="I888" s="559"/>
      <c r="J888" s="559"/>
      <c r="K888" s="559"/>
      <c r="L888" s="559"/>
      <c r="M888" s="559"/>
      <c r="N888" s="559"/>
      <c r="O888" s="559"/>
      <c r="P888" s="559"/>
      <c r="Q888" s="559"/>
      <c r="R888" s="559"/>
      <c r="S888" s="559"/>
      <c r="T888" s="559"/>
      <c r="U888" s="559"/>
      <c r="V888" s="559"/>
      <c r="W888" s="559"/>
      <c r="X888" s="559"/>
      <c r="Y888" s="559"/>
      <c r="Z888" s="559"/>
      <c r="AA888" s="559"/>
      <c r="AB888" s="559"/>
      <c r="AC888" s="559"/>
      <c r="AD888" s="559"/>
      <c r="AE888" s="559"/>
      <c r="AF888" s="559"/>
      <c r="AG888" s="559"/>
    </row>
    <row r="889" spans="1:33" ht="18" customHeight="1" x14ac:dyDescent="0.35">
      <c r="A889" s="559"/>
      <c r="B889" s="559"/>
      <c r="C889" s="559"/>
      <c r="D889" s="559"/>
      <c r="E889" s="559"/>
      <c r="F889" s="559"/>
      <c r="G889" s="559"/>
      <c r="H889" s="559"/>
      <c r="I889" s="559"/>
      <c r="J889" s="559"/>
      <c r="K889" s="559"/>
      <c r="L889" s="559"/>
      <c r="M889" s="559"/>
      <c r="N889" s="559"/>
      <c r="O889" s="559"/>
      <c r="P889" s="559"/>
      <c r="Q889" s="559"/>
      <c r="R889" s="559"/>
      <c r="S889" s="559"/>
      <c r="T889" s="559"/>
      <c r="U889" s="559"/>
      <c r="V889" s="559"/>
      <c r="W889" s="559"/>
      <c r="X889" s="559"/>
      <c r="Y889" s="559"/>
      <c r="Z889" s="559"/>
      <c r="AA889" s="559"/>
      <c r="AB889" s="559"/>
      <c r="AC889" s="559"/>
      <c r="AD889" s="559"/>
      <c r="AE889" s="559"/>
      <c r="AF889" s="559"/>
      <c r="AG889" s="559"/>
    </row>
    <row r="890" spans="1:33" ht="18" customHeight="1" x14ac:dyDescent="0.35">
      <c r="A890" s="559"/>
      <c r="B890" s="559"/>
      <c r="C890" s="559"/>
      <c r="D890" s="559"/>
      <c r="E890" s="559"/>
      <c r="F890" s="559"/>
      <c r="G890" s="559"/>
      <c r="H890" s="559"/>
      <c r="I890" s="559"/>
      <c r="J890" s="559"/>
      <c r="K890" s="559"/>
      <c r="L890" s="559"/>
      <c r="M890" s="559"/>
      <c r="N890" s="559"/>
      <c r="O890" s="559"/>
      <c r="P890" s="559"/>
      <c r="Q890" s="559"/>
      <c r="R890" s="559"/>
      <c r="S890" s="559"/>
      <c r="T890" s="559"/>
      <c r="U890" s="559"/>
      <c r="V890" s="559"/>
      <c r="W890" s="559"/>
      <c r="X890" s="559"/>
      <c r="Y890" s="559"/>
      <c r="Z890" s="559"/>
      <c r="AA890" s="559"/>
      <c r="AB890" s="559"/>
      <c r="AC890" s="559"/>
      <c r="AD890" s="559"/>
      <c r="AE890" s="559"/>
      <c r="AF890" s="559"/>
      <c r="AG890" s="559"/>
    </row>
    <row r="891" spans="1:33" ht="18" customHeight="1" x14ac:dyDescent="0.35">
      <c r="A891" s="559"/>
      <c r="B891" s="559"/>
      <c r="C891" s="559"/>
      <c r="D891" s="559"/>
      <c r="E891" s="559"/>
      <c r="F891" s="559"/>
      <c r="G891" s="559"/>
      <c r="H891" s="559"/>
      <c r="I891" s="559"/>
      <c r="J891" s="559"/>
      <c r="K891" s="559"/>
      <c r="L891" s="559"/>
      <c r="M891" s="559"/>
      <c r="N891" s="559"/>
      <c r="O891" s="559"/>
      <c r="P891" s="559"/>
      <c r="Q891" s="559"/>
      <c r="R891" s="559"/>
      <c r="S891" s="559"/>
      <c r="T891" s="559"/>
      <c r="U891" s="559"/>
      <c r="V891" s="559"/>
      <c r="W891" s="559"/>
      <c r="X891" s="559"/>
      <c r="Y891" s="559"/>
      <c r="Z891" s="559"/>
      <c r="AA891" s="559"/>
      <c r="AB891" s="559"/>
      <c r="AC891" s="559"/>
      <c r="AD891" s="559"/>
      <c r="AE891" s="559"/>
      <c r="AF891" s="559"/>
      <c r="AG891" s="559"/>
    </row>
    <row r="892" spans="1:33" ht="18" customHeight="1" x14ac:dyDescent="0.35">
      <c r="A892" s="559"/>
      <c r="B892" s="559"/>
      <c r="C892" s="559"/>
      <c r="D892" s="559"/>
      <c r="E892" s="559"/>
      <c r="F892" s="559"/>
      <c r="G892" s="559"/>
      <c r="H892" s="559"/>
      <c r="I892" s="559"/>
      <c r="J892" s="559"/>
      <c r="K892" s="559"/>
      <c r="L892" s="559"/>
      <c r="M892" s="559"/>
      <c r="N892" s="559"/>
      <c r="O892" s="559"/>
      <c r="P892" s="559"/>
      <c r="Q892" s="559"/>
      <c r="R892" s="559"/>
      <c r="S892" s="559"/>
      <c r="T892" s="559"/>
      <c r="U892" s="559"/>
      <c r="V892" s="559"/>
      <c r="W892" s="559"/>
      <c r="X892" s="559"/>
      <c r="Y892" s="559"/>
      <c r="Z892" s="559"/>
      <c r="AA892" s="559"/>
      <c r="AB892" s="559"/>
      <c r="AC892" s="559"/>
      <c r="AD892" s="559"/>
      <c r="AE892" s="559"/>
      <c r="AF892" s="559"/>
      <c r="AG892" s="559"/>
    </row>
    <row r="893" spans="1:33" ht="18" customHeight="1" x14ac:dyDescent="0.35">
      <c r="A893" s="559"/>
      <c r="B893" s="559"/>
      <c r="C893" s="559"/>
      <c r="D893" s="559"/>
      <c r="E893" s="559"/>
      <c r="F893" s="559"/>
      <c r="G893" s="559"/>
      <c r="H893" s="559"/>
      <c r="I893" s="559"/>
      <c r="J893" s="559"/>
      <c r="K893" s="559"/>
      <c r="L893" s="559"/>
      <c r="M893" s="559"/>
      <c r="N893" s="559"/>
      <c r="O893" s="559"/>
      <c r="P893" s="559"/>
      <c r="Q893" s="559"/>
      <c r="R893" s="559"/>
      <c r="S893" s="559"/>
      <c r="T893" s="559"/>
      <c r="U893" s="559"/>
      <c r="V893" s="559"/>
      <c r="W893" s="559"/>
      <c r="X893" s="559"/>
      <c r="Y893" s="559"/>
      <c r="Z893" s="559"/>
      <c r="AA893" s="559"/>
      <c r="AB893" s="559"/>
      <c r="AC893" s="559"/>
      <c r="AD893" s="559"/>
      <c r="AE893" s="559"/>
      <c r="AF893" s="559"/>
      <c r="AG893" s="559"/>
    </row>
    <row r="894" spans="1:33" ht="18" customHeight="1" x14ac:dyDescent="0.35">
      <c r="A894" s="559"/>
      <c r="B894" s="559"/>
      <c r="C894" s="559"/>
      <c r="D894" s="559"/>
      <c r="E894" s="559"/>
      <c r="F894" s="559"/>
      <c r="G894" s="559"/>
      <c r="H894" s="559"/>
      <c r="I894" s="559"/>
      <c r="J894" s="559"/>
      <c r="K894" s="559"/>
      <c r="L894" s="559"/>
      <c r="M894" s="559"/>
      <c r="N894" s="559"/>
      <c r="O894" s="559"/>
      <c r="P894" s="559"/>
      <c r="Q894" s="559"/>
      <c r="R894" s="559"/>
      <c r="S894" s="559"/>
      <c r="T894" s="559"/>
      <c r="U894" s="559"/>
      <c r="V894" s="559"/>
      <c r="W894" s="559"/>
      <c r="X894" s="559"/>
      <c r="Y894" s="559"/>
      <c r="Z894" s="559"/>
      <c r="AA894" s="559"/>
      <c r="AB894" s="559"/>
      <c r="AC894" s="559"/>
      <c r="AD894" s="559"/>
      <c r="AE894" s="559"/>
      <c r="AF894" s="559"/>
      <c r="AG894" s="559"/>
    </row>
    <row r="895" spans="1:33" ht="18" customHeight="1" x14ac:dyDescent="0.35">
      <c r="A895" s="559"/>
      <c r="B895" s="559"/>
      <c r="C895" s="559"/>
      <c r="D895" s="559"/>
      <c r="E895" s="559"/>
      <c r="F895" s="559"/>
      <c r="G895" s="559"/>
      <c r="H895" s="559"/>
      <c r="I895" s="559"/>
      <c r="J895" s="559"/>
      <c r="K895" s="559"/>
      <c r="L895" s="559"/>
      <c r="M895" s="559"/>
      <c r="N895" s="559"/>
      <c r="O895" s="559"/>
      <c r="P895" s="559"/>
      <c r="Q895" s="559"/>
      <c r="R895" s="559"/>
      <c r="S895" s="559"/>
      <c r="T895" s="559"/>
      <c r="U895" s="559"/>
      <c r="V895" s="559"/>
      <c r="W895" s="559"/>
      <c r="X895" s="559"/>
      <c r="Y895" s="559"/>
      <c r="Z895" s="559"/>
      <c r="AA895" s="559"/>
      <c r="AB895" s="559"/>
      <c r="AC895" s="559"/>
      <c r="AD895" s="559"/>
      <c r="AE895" s="559"/>
      <c r="AF895" s="559"/>
      <c r="AG895" s="559"/>
    </row>
    <row r="896" spans="1:33" ht="18" customHeight="1" x14ac:dyDescent="0.35">
      <c r="A896" s="559"/>
      <c r="B896" s="559"/>
      <c r="C896" s="559"/>
      <c r="D896" s="559"/>
      <c r="E896" s="559"/>
      <c r="F896" s="559"/>
      <c r="G896" s="559"/>
      <c r="H896" s="559"/>
      <c r="I896" s="559"/>
      <c r="J896" s="559"/>
      <c r="K896" s="559"/>
      <c r="L896" s="559"/>
      <c r="M896" s="559"/>
      <c r="N896" s="559"/>
      <c r="O896" s="559"/>
      <c r="P896" s="559"/>
      <c r="Q896" s="559"/>
      <c r="R896" s="559"/>
      <c r="S896" s="559"/>
      <c r="T896" s="559"/>
      <c r="U896" s="559"/>
      <c r="V896" s="559"/>
      <c r="W896" s="559"/>
      <c r="X896" s="559"/>
      <c r="Y896" s="559"/>
      <c r="Z896" s="559"/>
      <c r="AA896" s="559"/>
      <c r="AB896" s="559"/>
      <c r="AC896" s="559"/>
      <c r="AD896" s="559"/>
      <c r="AE896" s="559"/>
      <c r="AF896" s="559"/>
      <c r="AG896" s="559"/>
    </row>
    <row r="897" spans="1:33" ht="18" customHeight="1" x14ac:dyDescent="0.35">
      <c r="A897" s="559"/>
      <c r="B897" s="559"/>
      <c r="C897" s="559"/>
      <c r="D897" s="559"/>
      <c r="E897" s="559"/>
      <c r="F897" s="559"/>
      <c r="G897" s="559"/>
      <c r="H897" s="559"/>
      <c r="I897" s="559"/>
      <c r="J897" s="559"/>
      <c r="K897" s="559"/>
      <c r="L897" s="559"/>
      <c r="M897" s="559"/>
      <c r="N897" s="559"/>
      <c r="O897" s="559"/>
      <c r="P897" s="559"/>
      <c r="Q897" s="559"/>
      <c r="R897" s="559"/>
      <c r="S897" s="559"/>
      <c r="T897" s="559"/>
      <c r="U897" s="559"/>
      <c r="V897" s="559"/>
      <c r="W897" s="559"/>
      <c r="X897" s="559"/>
      <c r="Y897" s="559"/>
      <c r="Z897" s="559"/>
      <c r="AA897" s="559"/>
      <c r="AB897" s="559"/>
      <c r="AC897" s="559"/>
      <c r="AD897" s="559"/>
      <c r="AE897" s="559"/>
      <c r="AF897" s="559"/>
      <c r="AG897" s="559"/>
    </row>
    <row r="898" spans="1:33" ht="18" customHeight="1" x14ac:dyDescent="0.35">
      <c r="A898" s="559"/>
      <c r="B898" s="559"/>
      <c r="C898" s="559"/>
      <c r="D898" s="559"/>
      <c r="E898" s="559"/>
      <c r="F898" s="559"/>
      <c r="G898" s="559"/>
      <c r="H898" s="559"/>
      <c r="I898" s="559"/>
      <c r="J898" s="559"/>
      <c r="K898" s="559"/>
      <c r="L898" s="559"/>
      <c r="M898" s="559"/>
      <c r="N898" s="559"/>
      <c r="O898" s="559"/>
      <c r="P898" s="559"/>
      <c r="Q898" s="559"/>
      <c r="R898" s="559"/>
      <c r="S898" s="559"/>
      <c r="T898" s="559"/>
      <c r="U898" s="559"/>
      <c r="V898" s="559"/>
      <c r="W898" s="559"/>
      <c r="X898" s="559"/>
      <c r="Y898" s="559"/>
      <c r="Z898" s="559"/>
      <c r="AA898" s="559"/>
      <c r="AB898" s="559"/>
      <c r="AC898" s="559"/>
      <c r="AD898" s="559"/>
      <c r="AE898" s="559"/>
      <c r="AF898" s="559"/>
      <c r="AG898" s="559"/>
    </row>
    <row r="899" spans="1:33" ht="18" customHeight="1" x14ac:dyDescent="0.35">
      <c r="A899" s="559"/>
      <c r="B899" s="559"/>
      <c r="C899" s="559"/>
      <c r="D899" s="559"/>
      <c r="E899" s="559"/>
      <c r="F899" s="559"/>
      <c r="G899" s="559"/>
      <c r="H899" s="559"/>
      <c r="I899" s="559"/>
      <c r="J899" s="559"/>
      <c r="K899" s="559"/>
      <c r="L899" s="559"/>
      <c r="M899" s="559"/>
      <c r="N899" s="559"/>
      <c r="O899" s="559"/>
      <c r="P899" s="559"/>
      <c r="Q899" s="559"/>
      <c r="R899" s="559"/>
      <c r="S899" s="559"/>
      <c r="T899" s="559"/>
      <c r="U899" s="559"/>
      <c r="V899" s="559"/>
      <c r="W899" s="559"/>
      <c r="X899" s="559"/>
      <c r="Y899" s="559"/>
      <c r="Z899" s="559"/>
      <c r="AA899" s="559"/>
      <c r="AB899" s="559"/>
      <c r="AC899" s="559"/>
      <c r="AD899" s="559"/>
      <c r="AE899" s="559"/>
      <c r="AF899" s="559"/>
      <c r="AG899" s="559"/>
    </row>
    <row r="900" spans="1:33" ht="18" customHeight="1" x14ac:dyDescent="0.35">
      <c r="A900" s="559"/>
      <c r="B900" s="559"/>
      <c r="C900" s="559"/>
      <c r="D900" s="559"/>
      <c r="E900" s="559"/>
      <c r="F900" s="559"/>
      <c r="G900" s="559"/>
      <c r="H900" s="559"/>
      <c r="I900" s="559"/>
      <c r="J900" s="559"/>
      <c r="K900" s="559"/>
      <c r="L900" s="559"/>
      <c r="M900" s="559"/>
      <c r="N900" s="559"/>
      <c r="O900" s="559"/>
      <c r="P900" s="559"/>
      <c r="Q900" s="559"/>
      <c r="R900" s="559"/>
      <c r="S900" s="559"/>
      <c r="T900" s="559"/>
      <c r="U900" s="559"/>
      <c r="V900" s="559"/>
      <c r="W900" s="559"/>
      <c r="X900" s="559"/>
      <c r="Y900" s="559"/>
      <c r="Z900" s="559"/>
      <c r="AA900" s="559"/>
      <c r="AB900" s="559"/>
      <c r="AC900" s="559"/>
      <c r="AD900" s="559"/>
      <c r="AE900" s="559"/>
      <c r="AF900" s="559"/>
      <c r="AG900" s="559"/>
    </row>
    <row r="901" spans="1:33" ht="18" customHeight="1" x14ac:dyDescent="0.35">
      <c r="A901" s="559"/>
      <c r="B901" s="559"/>
      <c r="C901" s="559"/>
      <c r="D901" s="559"/>
      <c r="E901" s="559"/>
      <c r="F901" s="559"/>
      <c r="G901" s="559"/>
      <c r="H901" s="559"/>
      <c r="I901" s="559"/>
      <c r="J901" s="559"/>
      <c r="K901" s="559"/>
      <c r="L901" s="559"/>
      <c r="M901" s="559"/>
      <c r="N901" s="559"/>
      <c r="O901" s="559"/>
      <c r="P901" s="559"/>
      <c r="Q901" s="559"/>
      <c r="R901" s="559"/>
      <c r="S901" s="559"/>
      <c r="T901" s="559"/>
      <c r="U901" s="559"/>
      <c r="V901" s="559"/>
      <c r="W901" s="559"/>
      <c r="X901" s="559"/>
      <c r="Y901" s="559"/>
      <c r="Z901" s="559"/>
      <c r="AA901" s="559"/>
      <c r="AB901" s="559"/>
      <c r="AC901" s="559"/>
      <c r="AD901" s="559"/>
      <c r="AE901" s="559"/>
      <c r="AF901" s="559"/>
      <c r="AG901" s="559"/>
    </row>
    <row r="902" spans="1:33" ht="18" customHeight="1" x14ac:dyDescent="0.35">
      <c r="A902" s="559"/>
      <c r="B902" s="559"/>
      <c r="C902" s="559"/>
      <c r="D902" s="559"/>
      <c r="E902" s="559"/>
      <c r="F902" s="559"/>
      <c r="G902" s="559"/>
      <c r="H902" s="559"/>
      <c r="I902" s="559"/>
      <c r="J902" s="559"/>
      <c r="K902" s="559"/>
      <c r="L902" s="559"/>
      <c r="M902" s="559"/>
      <c r="N902" s="559"/>
      <c r="O902" s="559"/>
      <c r="P902" s="559"/>
      <c r="Q902" s="559"/>
      <c r="R902" s="559"/>
      <c r="S902" s="559"/>
      <c r="T902" s="559"/>
      <c r="U902" s="559"/>
      <c r="V902" s="559"/>
      <c r="W902" s="559"/>
      <c r="X902" s="559"/>
      <c r="Y902" s="559"/>
      <c r="Z902" s="559"/>
      <c r="AA902" s="559"/>
      <c r="AB902" s="559"/>
      <c r="AC902" s="559"/>
      <c r="AD902" s="559"/>
      <c r="AE902" s="559"/>
      <c r="AF902" s="559"/>
      <c r="AG902" s="559"/>
    </row>
    <row r="903" spans="1:33" ht="18" customHeight="1" x14ac:dyDescent="0.35">
      <c r="A903" s="559"/>
      <c r="B903" s="559"/>
      <c r="C903" s="559"/>
      <c r="D903" s="559"/>
      <c r="E903" s="559"/>
      <c r="F903" s="559"/>
      <c r="G903" s="559"/>
      <c r="H903" s="559"/>
      <c r="I903" s="559"/>
      <c r="J903" s="559"/>
      <c r="K903" s="559"/>
      <c r="L903" s="559"/>
      <c r="M903" s="559"/>
      <c r="N903" s="559"/>
      <c r="O903" s="559"/>
      <c r="P903" s="559"/>
      <c r="Q903" s="559"/>
      <c r="R903" s="559"/>
      <c r="S903" s="559"/>
      <c r="T903" s="559"/>
      <c r="U903" s="559"/>
      <c r="V903" s="559"/>
      <c r="W903" s="559"/>
      <c r="X903" s="559"/>
      <c r="Y903" s="559"/>
      <c r="Z903" s="559"/>
      <c r="AA903" s="559"/>
      <c r="AB903" s="559"/>
      <c r="AC903" s="559"/>
      <c r="AD903" s="559"/>
      <c r="AE903" s="559"/>
      <c r="AF903" s="559"/>
      <c r="AG903" s="559"/>
    </row>
    <row r="904" spans="1:33" ht="18" customHeight="1" x14ac:dyDescent="0.35">
      <c r="A904" s="559"/>
      <c r="B904" s="559"/>
      <c r="C904" s="559"/>
      <c r="D904" s="559"/>
      <c r="E904" s="559"/>
      <c r="F904" s="559"/>
      <c r="G904" s="559"/>
      <c r="H904" s="559"/>
      <c r="I904" s="559"/>
      <c r="J904" s="559"/>
      <c r="K904" s="559"/>
      <c r="L904" s="559"/>
      <c r="M904" s="559"/>
      <c r="N904" s="559"/>
      <c r="O904" s="559"/>
      <c r="P904" s="559"/>
      <c r="Q904" s="559"/>
      <c r="R904" s="559"/>
      <c r="S904" s="559"/>
      <c r="T904" s="559"/>
      <c r="U904" s="559"/>
      <c r="V904" s="559"/>
      <c r="W904" s="559"/>
      <c r="X904" s="559"/>
      <c r="Y904" s="559"/>
      <c r="Z904" s="559"/>
      <c r="AA904" s="559"/>
      <c r="AB904" s="559"/>
      <c r="AC904" s="559"/>
      <c r="AD904" s="559"/>
      <c r="AE904" s="559"/>
      <c r="AF904" s="559"/>
      <c r="AG904" s="559"/>
    </row>
    <row r="905" spans="1:33" ht="18" customHeight="1" x14ac:dyDescent="0.35">
      <c r="A905" s="559"/>
      <c r="B905" s="559"/>
      <c r="C905" s="559"/>
      <c r="D905" s="559"/>
      <c r="E905" s="559"/>
      <c r="F905" s="559"/>
      <c r="G905" s="559"/>
      <c r="H905" s="559"/>
      <c r="I905" s="559"/>
      <c r="J905" s="559"/>
      <c r="K905" s="559"/>
      <c r="L905" s="559"/>
      <c r="M905" s="559"/>
      <c r="N905" s="559"/>
      <c r="O905" s="559"/>
      <c r="P905" s="559"/>
      <c r="Q905" s="559"/>
      <c r="R905" s="559"/>
      <c r="S905" s="559"/>
      <c r="T905" s="559"/>
      <c r="U905" s="559"/>
      <c r="V905" s="559"/>
      <c r="W905" s="559"/>
      <c r="X905" s="559"/>
      <c r="Y905" s="559"/>
      <c r="Z905" s="559"/>
      <c r="AA905" s="559"/>
      <c r="AB905" s="559"/>
      <c r="AC905" s="559"/>
      <c r="AD905" s="559"/>
      <c r="AE905" s="559"/>
      <c r="AF905" s="559"/>
      <c r="AG905" s="559"/>
    </row>
    <row r="906" spans="1:33" ht="18" customHeight="1" x14ac:dyDescent="0.35">
      <c r="A906" s="559"/>
      <c r="B906" s="559"/>
      <c r="C906" s="559"/>
      <c r="D906" s="559"/>
      <c r="E906" s="559"/>
      <c r="F906" s="559"/>
      <c r="G906" s="559"/>
      <c r="H906" s="559"/>
      <c r="I906" s="559"/>
      <c r="J906" s="559"/>
      <c r="K906" s="559"/>
      <c r="L906" s="559"/>
      <c r="M906" s="559"/>
      <c r="N906" s="559"/>
      <c r="O906" s="559"/>
      <c r="P906" s="559"/>
      <c r="Q906" s="559"/>
      <c r="R906" s="559"/>
      <c r="S906" s="559"/>
      <c r="T906" s="559"/>
      <c r="U906" s="559"/>
      <c r="V906" s="559"/>
      <c r="W906" s="559"/>
      <c r="X906" s="559"/>
      <c r="Y906" s="559"/>
      <c r="Z906" s="559"/>
      <c r="AA906" s="559"/>
      <c r="AB906" s="559"/>
      <c r="AC906" s="559"/>
      <c r="AD906" s="559"/>
      <c r="AE906" s="559"/>
      <c r="AF906" s="559"/>
      <c r="AG906" s="559"/>
    </row>
    <row r="907" spans="1:33" ht="18" customHeight="1" x14ac:dyDescent="0.35">
      <c r="A907" s="559"/>
      <c r="B907" s="559"/>
      <c r="C907" s="559"/>
      <c r="D907" s="559"/>
      <c r="E907" s="559"/>
      <c r="F907" s="559"/>
      <c r="G907" s="559"/>
      <c r="H907" s="559"/>
      <c r="I907" s="559"/>
      <c r="J907" s="559"/>
      <c r="K907" s="559"/>
      <c r="L907" s="559"/>
      <c r="M907" s="559"/>
      <c r="N907" s="559"/>
      <c r="O907" s="559"/>
      <c r="P907" s="559"/>
      <c r="Q907" s="559"/>
      <c r="R907" s="559"/>
      <c r="S907" s="559"/>
      <c r="T907" s="559"/>
      <c r="U907" s="559"/>
      <c r="V907" s="559"/>
      <c r="W907" s="559"/>
      <c r="X907" s="559"/>
      <c r="Y907" s="559"/>
      <c r="Z907" s="559"/>
      <c r="AA907" s="559"/>
      <c r="AB907" s="559"/>
      <c r="AC907" s="559"/>
      <c r="AD907" s="559"/>
      <c r="AE907" s="559"/>
      <c r="AF907" s="559"/>
      <c r="AG907" s="559"/>
    </row>
    <row r="908" spans="1:33" ht="18" customHeight="1" x14ac:dyDescent="0.35">
      <c r="A908" s="559"/>
      <c r="B908" s="559"/>
      <c r="C908" s="559"/>
      <c r="D908" s="559"/>
      <c r="E908" s="559"/>
      <c r="F908" s="559"/>
      <c r="G908" s="559"/>
      <c r="H908" s="559"/>
      <c r="I908" s="559"/>
      <c r="J908" s="559"/>
      <c r="K908" s="559"/>
      <c r="L908" s="559"/>
      <c r="M908" s="559"/>
      <c r="N908" s="559"/>
      <c r="O908" s="559"/>
      <c r="P908" s="559"/>
      <c r="Q908" s="559"/>
      <c r="R908" s="559"/>
      <c r="S908" s="559"/>
      <c r="T908" s="559"/>
      <c r="U908" s="559"/>
      <c r="V908" s="559"/>
      <c r="W908" s="559"/>
      <c r="X908" s="559"/>
      <c r="Y908" s="559"/>
      <c r="Z908" s="559"/>
      <c r="AA908" s="559"/>
      <c r="AB908" s="559"/>
      <c r="AC908" s="559"/>
      <c r="AD908" s="559"/>
      <c r="AE908" s="559"/>
      <c r="AF908" s="559"/>
      <c r="AG908" s="559"/>
    </row>
    <row r="909" spans="1:33" ht="18" customHeight="1" x14ac:dyDescent="0.35">
      <c r="A909" s="559"/>
      <c r="B909" s="559"/>
      <c r="C909" s="559"/>
      <c r="D909" s="559"/>
      <c r="E909" s="559"/>
      <c r="F909" s="559"/>
      <c r="G909" s="559"/>
      <c r="H909" s="559"/>
      <c r="I909" s="559"/>
      <c r="J909" s="559"/>
      <c r="K909" s="559"/>
      <c r="L909" s="559"/>
      <c r="M909" s="559"/>
      <c r="N909" s="559"/>
      <c r="O909" s="559"/>
      <c r="P909" s="559"/>
      <c r="Q909" s="559"/>
      <c r="R909" s="559"/>
      <c r="S909" s="559"/>
      <c r="T909" s="559"/>
      <c r="U909" s="559"/>
      <c r="V909" s="559"/>
      <c r="W909" s="559"/>
      <c r="X909" s="559"/>
      <c r="Y909" s="559"/>
      <c r="Z909" s="559"/>
      <c r="AA909" s="559"/>
      <c r="AB909" s="559"/>
      <c r="AC909" s="559"/>
      <c r="AD909" s="559"/>
      <c r="AE909" s="559"/>
      <c r="AF909" s="559"/>
      <c r="AG909" s="559"/>
    </row>
    <row r="910" spans="1:33" ht="18" customHeight="1" x14ac:dyDescent="0.35">
      <c r="A910" s="559"/>
      <c r="B910" s="559"/>
      <c r="C910" s="559"/>
      <c r="D910" s="559"/>
      <c r="E910" s="559"/>
      <c r="F910" s="559"/>
      <c r="G910" s="559"/>
      <c r="H910" s="559"/>
      <c r="I910" s="559"/>
      <c r="J910" s="559"/>
      <c r="K910" s="559"/>
      <c r="L910" s="559"/>
      <c r="M910" s="559"/>
      <c r="N910" s="559"/>
      <c r="O910" s="559"/>
      <c r="P910" s="559"/>
      <c r="Q910" s="559"/>
      <c r="R910" s="559"/>
      <c r="S910" s="559"/>
      <c r="T910" s="559"/>
      <c r="U910" s="559"/>
      <c r="V910" s="559"/>
      <c r="W910" s="559"/>
      <c r="X910" s="559"/>
      <c r="Y910" s="559"/>
      <c r="Z910" s="559"/>
      <c r="AA910" s="559"/>
      <c r="AB910" s="559"/>
      <c r="AC910" s="559"/>
      <c r="AD910" s="559"/>
      <c r="AE910" s="559"/>
      <c r="AF910" s="559"/>
      <c r="AG910" s="559"/>
    </row>
    <row r="911" spans="1:33" ht="18" customHeight="1" x14ac:dyDescent="0.35">
      <c r="A911" s="559"/>
      <c r="B911" s="559"/>
      <c r="C911" s="559"/>
      <c r="D911" s="559"/>
      <c r="E911" s="559"/>
      <c r="F911" s="559"/>
      <c r="G911" s="559"/>
      <c r="H911" s="559"/>
      <c r="I911" s="559"/>
      <c r="J911" s="559"/>
      <c r="K911" s="559"/>
      <c r="L911" s="559"/>
      <c r="M911" s="559"/>
      <c r="N911" s="559"/>
      <c r="O911" s="559"/>
      <c r="P911" s="559"/>
      <c r="Q911" s="559"/>
      <c r="R911" s="559"/>
      <c r="S911" s="559"/>
      <c r="T911" s="559"/>
      <c r="U911" s="559"/>
      <c r="V911" s="559"/>
      <c r="W911" s="559"/>
      <c r="X911" s="559"/>
      <c r="Y911" s="559"/>
      <c r="Z911" s="559"/>
      <c r="AA911" s="559"/>
      <c r="AB911" s="559"/>
      <c r="AC911" s="559"/>
      <c r="AD911" s="559"/>
      <c r="AE911" s="559"/>
      <c r="AF911" s="559"/>
      <c r="AG911" s="559"/>
    </row>
    <row r="912" spans="1:33" ht="18" customHeight="1" x14ac:dyDescent="0.35">
      <c r="A912" s="559"/>
      <c r="B912" s="559"/>
      <c r="C912" s="559"/>
      <c r="D912" s="559"/>
      <c r="E912" s="559"/>
      <c r="F912" s="559"/>
      <c r="G912" s="559"/>
      <c r="H912" s="559"/>
      <c r="I912" s="559"/>
      <c r="J912" s="559"/>
      <c r="K912" s="559"/>
      <c r="L912" s="559"/>
      <c r="M912" s="559"/>
      <c r="N912" s="559"/>
      <c r="O912" s="559"/>
      <c r="P912" s="559"/>
      <c r="Q912" s="559"/>
      <c r="R912" s="559"/>
      <c r="S912" s="559"/>
      <c r="T912" s="559"/>
      <c r="U912" s="559"/>
      <c r="V912" s="559"/>
      <c r="W912" s="559"/>
      <c r="X912" s="559"/>
      <c r="Y912" s="559"/>
      <c r="Z912" s="559"/>
      <c r="AA912" s="559"/>
      <c r="AB912" s="559"/>
      <c r="AC912" s="559"/>
      <c r="AD912" s="559"/>
      <c r="AE912" s="559"/>
      <c r="AF912" s="559"/>
      <c r="AG912" s="559"/>
    </row>
    <row r="913" spans="1:33" ht="18" customHeight="1" x14ac:dyDescent="0.35">
      <c r="A913" s="559"/>
      <c r="B913" s="559"/>
      <c r="C913" s="559"/>
      <c r="D913" s="559"/>
      <c r="E913" s="559"/>
      <c r="F913" s="559"/>
      <c r="G913" s="559"/>
      <c r="H913" s="559"/>
      <c r="I913" s="559"/>
      <c r="J913" s="559"/>
      <c r="K913" s="559"/>
      <c r="L913" s="559"/>
      <c r="M913" s="559"/>
      <c r="N913" s="559"/>
      <c r="O913" s="559"/>
      <c r="P913" s="559"/>
      <c r="Q913" s="559"/>
      <c r="R913" s="559"/>
      <c r="S913" s="559"/>
      <c r="T913" s="559"/>
      <c r="U913" s="559"/>
      <c r="V913" s="559"/>
      <c r="W913" s="559"/>
      <c r="X913" s="559"/>
      <c r="Y913" s="559"/>
      <c r="Z913" s="559"/>
      <c r="AA913" s="559"/>
      <c r="AB913" s="559"/>
      <c r="AC913" s="559"/>
      <c r="AD913" s="559"/>
      <c r="AE913" s="559"/>
      <c r="AF913" s="559"/>
      <c r="AG913" s="559"/>
    </row>
    <row r="914" spans="1:33" ht="18" customHeight="1" x14ac:dyDescent="0.35">
      <c r="A914" s="559"/>
      <c r="B914" s="559"/>
      <c r="C914" s="559"/>
      <c r="D914" s="559"/>
      <c r="E914" s="559"/>
      <c r="F914" s="559"/>
      <c r="G914" s="559"/>
      <c r="H914" s="559"/>
      <c r="I914" s="559"/>
      <c r="J914" s="559"/>
      <c r="K914" s="559"/>
      <c r="L914" s="559"/>
      <c r="M914" s="559"/>
      <c r="N914" s="559"/>
      <c r="O914" s="559"/>
      <c r="P914" s="559"/>
      <c r="Q914" s="559"/>
      <c r="R914" s="559"/>
      <c r="S914" s="559"/>
      <c r="T914" s="559"/>
      <c r="U914" s="559"/>
      <c r="V914" s="559"/>
      <c r="W914" s="559"/>
      <c r="X914" s="559"/>
      <c r="Y914" s="559"/>
      <c r="Z914" s="559"/>
      <c r="AA914" s="559"/>
      <c r="AB914" s="559"/>
      <c r="AC914" s="559"/>
      <c r="AD914" s="559"/>
      <c r="AE914" s="559"/>
      <c r="AF914" s="559"/>
      <c r="AG914" s="559"/>
    </row>
    <row r="915" spans="1:33" ht="18" customHeight="1" x14ac:dyDescent="0.35">
      <c r="A915" s="559"/>
      <c r="B915" s="559"/>
      <c r="C915" s="559"/>
      <c r="D915" s="559"/>
      <c r="E915" s="559"/>
      <c r="F915" s="559"/>
      <c r="G915" s="559"/>
      <c r="H915" s="559"/>
      <c r="I915" s="559"/>
      <c r="J915" s="559"/>
      <c r="K915" s="559"/>
      <c r="L915" s="559"/>
      <c r="M915" s="559"/>
      <c r="N915" s="559"/>
      <c r="O915" s="559"/>
      <c r="P915" s="559"/>
      <c r="Q915" s="559"/>
      <c r="R915" s="559"/>
      <c r="S915" s="559"/>
      <c r="T915" s="559"/>
      <c r="U915" s="559"/>
      <c r="V915" s="559"/>
      <c r="W915" s="559"/>
      <c r="X915" s="559"/>
      <c r="Y915" s="559"/>
      <c r="Z915" s="559"/>
      <c r="AA915" s="559"/>
      <c r="AB915" s="559"/>
      <c r="AC915" s="559"/>
      <c r="AD915" s="559"/>
      <c r="AE915" s="559"/>
      <c r="AF915" s="559"/>
      <c r="AG915" s="559"/>
    </row>
    <row r="916" spans="1:33" ht="18" customHeight="1" x14ac:dyDescent="0.35">
      <c r="A916" s="559"/>
      <c r="B916" s="559"/>
      <c r="C916" s="559"/>
      <c r="D916" s="559"/>
      <c r="E916" s="559"/>
      <c r="F916" s="559"/>
      <c r="G916" s="559"/>
      <c r="H916" s="559"/>
      <c r="I916" s="559"/>
      <c r="J916" s="559"/>
      <c r="K916" s="559"/>
      <c r="L916" s="559"/>
      <c r="M916" s="559"/>
      <c r="N916" s="559"/>
      <c r="O916" s="559"/>
      <c r="P916" s="559"/>
      <c r="Q916" s="559"/>
      <c r="R916" s="559"/>
      <c r="S916" s="559"/>
      <c r="T916" s="559"/>
      <c r="U916" s="559"/>
      <c r="V916" s="559"/>
      <c r="W916" s="559"/>
      <c r="X916" s="559"/>
      <c r="Y916" s="559"/>
      <c r="Z916" s="559"/>
      <c r="AA916" s="559"/>
      <c r="AB916" s="559"/>
      <c r="AC916" s="559"/>
      <c r="AD916" s="559"/>
      <c r="AE916" s="559"/>
      <c r="AF916" s="559"/>
      <c r="AG916" s="559"/>
    </row>
    <row r="917" spans="1:33" ht="18" customHeight="1" x14ac:dyDescent="0.35">
      <c r="A917" s="559"/>
      <c r="B917" s="559"/>
      <c r="C917" s="559"/>
      <c r="D917" s="559"/>
      <c r="E917" s="559"/>
      <c r="F917" s="559"/>
      <c r="G917" s="559"/>
      <c r="H917" s="559"/>
      <c r="I917" s="559"/>
      <c r="J917" s="559"/>
      <c r="K917" s="559"/>
      <c r="L917" s="559"/>
      <c r="M917" s="559"/>
      <c r="N917" s="559"/>
      <c r="O917" s="559"/>
      <c r="P917" s="559"/>
      <c r="Q917" s="559"/>
      <c r="R917" s="559"/>
      <c r="S917" s="559"/>
      <c r="T917" s="559"/>
      <c r="U917" s="559"/>
      <c r="V917" s="559"/>
      <c r="W917" s="559"/>
      <c r="X917" s="559"/>
      <c r="Y917" s="559"/>
      <c r="Z917" s="559"/>
      <c r="AA917" s="559"/>
      <c r="AB917" s="559"/>
      <c r="AC917" s="559"/>
      <c r="AD917" s="559"/>
      <c r="AE917" s="559"/>
      <c r="AF917" s="559"/>
      <c r="AG917" s="559"/>
    </row>
    <row r="918" spans="1:33" ht="18" customHeight="1" x14ac:dyDescent="0.35">
      <c r="A918" s="559"/>
      <c r="B918" s="559"/>
      <c r="C918" s="559"/>
      <c r="D918" s="559"/>
      <c r="E918" s="559"/>
      <c r="F918" s="559"/>
      <c r="G918" s="559"/>
      <c r="H918" s="559"/>
      <c r="I918" s="559"/>
      <c r="J918" s="559"/>
      <c r="K918" s="559"/>
      <c r="L918" s="559"/>
      <c r="M918" s="559"/>
      <c r="N918" s="559"/>
      <c r="O918" s="559"/>
      <c r="P918" s="559"/>
      <c r="Q918" s="559"/>
      <c r="R918" s="559"/>
      <c r="S918" s="559"/>
      <c r="T918" s="559"/>
      <c r="U918" s="559"/>
      <c r="V918" s="559"/>
      <c r="W918" s="559"/>
      <c r="X918" s="559"/>
      <c r="Y918" s="559"/>
      <c r="Z918" s="559"/>
      <c r="AA918" s="559"/>
      <c r="AB918" s="559"/>
      <c r="AC918" s="559"/>
      <c r="AD918" s="559"/>
      <c r="AE918" s="559"/>
      <c r="AF918" s="559"/>
      <c r="AG918" s="559"/>
    </row>
    <row r="919" spans="1:33" ht="18" customHeight="1" x14ac:dyDescent="0.35">
      <c r="A919" s="559"/>
      <c r="B919" s="559"/>
      <c r="C919" s="559"/>
      <c r="D919" s="559"/>
      <c r="E919" s="559"/>
      <c r="F919" s="559"/>
      <c r="G919" s="559"/>
      <c r="H919" s="559"/>
      <c r="I919" s="559"/>
      <c r="J919" s="559"/>
      <c r="K919" s="559"/>
      <c r="L919" s="559"/>
      <c r="M919" s="559"/>
      <c r="N919" s="559"/>
      <c r="O919" s="559"/>
      <c r="P919" s="559"/>
      <c r="Q919" s="559"/>
      <c r="R919" s="559"/>
      <c r="S919" s="559"/>
      <c r="T919" s="559"/>
      <c r="U919" s="559"/>
      <c r="V919" s="559"/>
      <c r="W919" s="559"/>
      <c r="X919" s="559"/>
      <c r="Y919" s="559"/>
      <c r="Z919" s="559"/>
      <c r="AA919" s="559"/>
      <c r="AB919" s="559"/>
      <c r="AC919" s="559"/>
      <c r="AD919" s="559"/>
      <c r="AE919" s="559"/>
      <c r="AF919" s="559"/>
      <c r="AG919" s="559"/>
    </row>
    <row r="920" spans="1:33" ht="18" customHeight="1" x14ac:dyDescent="0.35">
      <c r="A920" s="559"/>
      <c r="B920" s="559"/>
      <c r="C920" s="559"/>
      <c r="D920" s="559"/>
      <c r="E920" s="559"/>
      <c r="F920" s="559"/>
      <c r="G920" s="559"/>
      <c r="H920" s="559"/>
      <c r="I920" s="559"/>
      <c r="J920" s="559"/>
      <c r="K920" s="559"/>
      <c r="L920" s="559"/>
      <c r="M920" s="559"/>
      <c r="N920" s="559"/>
      <c r="O920" s="559"/>
      <c r="P920" s="559"/>
      <c r="Q920" s="559"/>
      <c r="R920" s="559"/>
      <c r="S920" s="559"/>
      <c r="T920" s="559"/>
      <c r="U920" s="559"/>
      <c r="V920" s="559"/>
      <c r="W920" s="559"/>
      <c r="X920" s="559"/>
      <c r="Y920" s="559"/>
      <c r="Z920" s="559"/>
      <c r="AA920" s="559"/>
      <c r="AB920" s="559"/>
      <c r="AC920" s="559"/>
      <c r="AD920" s="559"/>
      <c r="AE920" s="559"/>
      <c r="AF920" s="559"/>
      <c r="AG920" s="559"/>
    </row>
    <row r="921" spans="1:33" ht="18" customHeight="1" x14ac:dyDescent="0.35">
      <c r="A921" s="559"/>
      <c r="B921" s="559"/>
      <c r="C921" s="559"/>
      <c r="D921" s="559"/>
      <c r="E921" s="559"/>
      <c r="F921" s="559"/>
      <c r="G921" s="559"/>
      <c r="H921" s="559"/>
      <c r="I921" s="559"/>
      <c r="J921" s="559"/>
      <c r="K921" s="559"/>
      <c r="L921" s="559"/>
      <c r="M921" s="559"/>
      <c r="N921" s="559"/>
      <c r="O921" s="559"/>
      <c r="P921" s="559"/>
      <c r="Q921" s="559"/>
      <c r="R921" s="559"/>
      <c r="S921" s="559"/>
      <c r="T921" s="559"/>
      <c r="U921" s="559"/>
      <c r="V921" s="559"/>
      <c r="W921" s="559"/>
      <c r="X921" s="559"/>
      <c r="Y921" s="559"/>
      <c r="Z921" s="559"/>
      <c r="AA921" s="559"/>
      <c r="AB921" s="559"/>
      <c r="AC921" s="559"/>
      <c r="AD921" s="559"/>
      <c r="AE921" s="559"/>
      <c r="AF921" s="559"/>
      <c r="AG921" s="559"/>
    </row>
    <row r="922" spans="1:33" ht="18" customHeight="1" x14ac:dyDescent="0.35">
      <c r="A922" s="559"/>
      <c r="B922" s="559"/>
      <c r="C922" s="559"/>
      <c r="D922" s="559"/>
      <c r="E922" s="559"/>
      <c r="F922" s="559"/>
      <c r="G922" s="559"/>
      <c r="H922" s="559"/>
      <c r="I922" s="559"/>
      <c r="J922" s="559"/>
      <c r="K922" s="559"/>
      <c r="L922" s="559"/>
      <c r="M922" s="559"/>
      <c r="N922" s="559"/>
      <c r="O922" s="559"/>
      <c r="P922" s="559"/>
      <c r="Q922" s="559"/>
      <c r="R922" s="559"/>
      <c r="S922" s="559"/>
      <c r="T922" s="559"/>
      <c r="U922" s="559"/>
      <c r="V922" s="559"/>
      <c r="W922" s="559"/>
      <c r="X922" s="559"/>
      <c r="Y922" s="559"/>
      <c r="Z922" s="559"/>
      <c r="AA922" s="559"/>
      <c r="AB922" s="559"/>
      <c r="AC922" s="559"/>
      <c r="AD922" s="559"/>
      <c r="AE922" s="559"/>
      <c r="AF922" s="559"/>
      <c r="AG922" s="559"/>
    </row>
    <row r="923" spans="1:33" ht="18" customHeight="1" x14ac:dyDescent="0.35">
      <c r="A923" s="559"/>
      <c r="B923" s="559"/>
      <c r="C923" s="559"/>
      <c r="D923" s="559"/>
      <c r="E923" s="559"/>
      <c r="F923" s="559"/>
      <c r="G923" s="559"/>
      <c r="H923" s="559"/>
      <c r="I923" s="559"/>
      <c r="J923" s="559"/>
      <c r="K923" s="559"/>
      <c r="L923" s="559"/>
      <c r="M923" s="559"/>
      <c r="N923" s="559"/>
      <c r="O923" s="559"/>
      <c r="P923" s="559"/>
      <c r="Q923" s="559"/>
      <c r="R923" s="559"/>
      <c r="S923" s="559"/>
      <c r="T923" s="559"/>
      <c r="U923" s="559"/>
      <c r="V923" s="559"/>
      <c r="W923" s="559"/>
      <c r="X923" s="559"/>
      <c r="Y923" s="559"/>
      <c r="Z923" s="559"/>
      <c r="AA923" s="559"/>
      <c r="AB923" s="559"/>
      <c r="AC923" s="559"/>
      <c r="AD923" s="559"/>
      <c r="AE923" s="559"/>
      <c r="AF923" s="559"/>
      <c r="AG923" s="559"/>
    </row>
    <row r="924" spans="1:33" ht="18" customHeight="1" x14ac:dyDescent="0.35">
      <c r="A924" s="559"/>
      <c r="B924" s="559"/>
      <c r="C924" s="559"/>
      <c r="D924" s="559"/>
      <c r="E924" s="559"/>
      <c r="F924" s="559"/>
      <c r="G924" s="559"/>
      <c r="H924" s="559"/>
      <c r="I924" s="559"/>
      <c r="J924" s="559"/>
      <c r="K924" s="559"/>
      <c r="L924" s="559"/>
      <c r="M924" s="559"/>
      <c r="N924" s="559"/>
      <c r="O924" s="559"/>
      <c r="P924" s="559"/>
      <c r="Q924" s="559"/>
      <c r="R924" s="559"/>
      <c r="S924" s="559"/>
      <c r="T924" s="559"/>
      <c r="U924" s="559"/>
      <c r="V924" s="559"/>
      <c r="W924" s="559"/>
      <c r="X924" s="559"/>
      <c r="Y924" s="559"/>
      <c r="Z924" s="559"/>
      <c r="AA924" s="559"/>
      <c r="AB924" s="559"/>
      <c r="AC924" s="559"/>
      <c r="AD924" s="559"/>
      <c r="AE924" s="559"/>
      <c r="AF924" s="559"/>
      <c r="AG924" s="559"/>
    </row>
    <row r="925" spans="1:33" ht="18" customHeight="1" x14ac:dyDescent="0.35">
      <c r="A925" s="559"/>
      <c r="B925" s="559"/>
      <c r="C925" s="559"/>
      <c r="D925" s="559"/>
      <c r="E925" s="559"/>
      <c r="F925" s="559"/>
      <c r="G925" s="559"/>
      <c r="H925" s="559"/>
      <c r="I925" s="559"/>
      <c r="J925" s="559"/>
      <c r="K925" s="559"/>
      <c r="L925" s="559"/>
      <c r="M925" s="559"/>
      <c r="N925" s="559"/>
      <c r="O925" s="559"/>
      <c r="P925" s="559"/>
      <c r="Q925" s="559"/>
      <c r="R925" s="559"/>
      <c r="S925" s="559"/>
      <c r="T925" s="559"/>
      <c r="U925" s="559"/>
      <c r="V925" s="559"/>
      <c r="W925" s="559"/>
      <c r="X925" s="559"/>
      <c r="Y925" s="559"/>
      <c r="Z925" s="559"/>
      <c r="AA925" s="559"/>
      <c r="AB925" s="559"/>
      <c r="AC925" s="559"/>
      <c r="AD925" s="559"/>
      <c r="AE925" s="559"/>
      <c r="AF925" s="559"/>
      <c r="AG925" s="559"/>
    </row>
    <row r="926" spans="1:33" ht="18" customHeight="1" x14ac:dyDescent="0.35">
      <c r="A926" s="559"/>
      <c r="B926" s="559"/>
      <c r="C926" s="559"/>
      <c r="D926" s="559"/>
      <c r="E926" s="559"/>
      <c r="F926" s="559"/>
      <c r="G926" s="559"/>
      <c r="H926" s="559"/>
      <c r="I926" s="559"/>
      <c r="J926" s="559"/>
      <c r="K926" s="559"/>
      <c r="L926" s="559"/>
      <c r="M926" s="559"/>
      <c r="N926" s="559"/>
      <c r="O926" s="559"/>
      <c r="P926" s="559"/>
      <c r="Q926" s="559"/>
      <c r="R926" s="559"/>
      <c r="S926" s="559"/>
      <c r="T926" s="559"/>
      <c r="U926" s="559"/>
      <c r="V926" s="559"/>
      <c r="W926" s="559"/>
      <c r="X926" s="559"/>
      <c r="Y926" s="559"/>
      <c r="Z926" s="559"/>
      <c r="AA926" s="559"/>
      <c r="AB926" s="559"/>
      <c r="AC926" s="559"/>
      <c r="AD926" s="559"/>
      <c r="AE926" s="559"/>
      <c r="AF926" s="559"/>
      <c r="AG926" s="559"/>
    </row>
    <row r="927" spans="1:33" ht="18" customHeight="1" x14ac:dyDescent="0.35">
      <c r="A927" s="559"/>
      <c r="B927" s="559"/>
      <c r="C927" s="559"/>
      <c r="D927" s="559"/>
      <c r="E927" s="559"/>
      <c r="F927" s="559"/>
      <c r="G927" s="559"/>
      <c r="H927" s="559"/>
      <c r="I927" s="559"/>
      <c r="J927" s="559"/>
      <c r="K927" s="559"/>
      <c r="L927" s="559"/>
      <c r="M927" s="559"/>
      <c r="N927" s="559"/>
      <c r="O927" s="559"/>
      <c r="P927" s="559"/>
      <c r="Q927" s="559"/>
      <c r="R927" s="559"/>
      <c r="S927" s="559"/>
      <c r="T927" s="559"/>
      <c r="U927" s="559"/>
      <c r="V927" s="559"/>
      <c r="W927" s="559"/>
      <c r="X927" s="559"/>
      <c r="Y927" s="559"/>
      <c r="Z927" s="559"/>
      <c r="AA927" s="559"/>
      <c r="AB927" s="559"/>
      <c r="AC927" s="559"/>
      <c r="AD927" s="559"/>
      <c r="AE927" s="559"/>
      <c r="AF927" s="559"/>
      <c r="AG927" s="559"/>
    </row>
    <row r="928" spans="1:33" ht="18" customHeight="1" x14ac:dyDescent="0.35">
      <c r="A928" s="559"/>
      <c r="B928" s="559"/>
      <c r="C928" s="559"/>
      <c r="D928" s="559"/>
      <c r="E928" s="559"/>
      <c r="F928" s="559"/>
      <c r="G928" s="559"/>
      <c r="H928" s="559"/>
      <c r="I928" s="559"/>
      <c r="J928" s="559"/>
      <c r="K928" s="559"/>
      <c r="L928" s="559"/>
      <c r="M928" s="559"/>
      <c r="N928" s="559"/>
      <c r="O928" s="559"/>
      <c r="P928" s="559"/>
      <c r="Q928" s="559"/>
      <c r="R928" s="559"/>
      <c r="S928" s="559"/>
      <c r="T928" s="559"/>
      <c r="U928" s="559"/>
      <c r="V928" s="559"/>
      <c r="W928" s="559"/>
      <c r="X928" s="559"/>
      <c r="Y928" s="559"/>
      <c r="Z928" s="559"/>
      <c r="AA928" s="559"/>
      <c r="AB928" s="559"/>
      <c r="AC928" s="559"/>
      <c r="AD928" s="559"/>
      <c r="AE928" s="559"/>
      <c r="AF928" s="559"/>
      <c r="AG928" s="559"/>
    </row>
    <row r="929" spans="1:33" ht="18" customHeight="1" x14ac:dyDescent="0.35">
      <c r="A929" s="559"/>
      <c r="B929" s="559"/>
      <c r="C929" s="559"/>
      <c r="D929" s="559"/>
      <c r="E929" s="559"/>
      <c r="F929" s="559"/>
      <c r="G929" s="559"/>
      <c r="H929" s="559"/>
      <c r="I929" s="559"/>
      <c r="J929" s="559"/>
      <c r="K929" s="559"/>
      <c r="L929" s="559"/>
      <c r="M929" s="559"/>
      <c r="N929" s="559"/>
      <c r="O929" s="559"/>
      <c r="P929" s="559"/>
      <c r="Q929" s="559"/>
      <c r="R929" s="559"/>
      <c r="S929" s="559"/>
      <c r="T929" s="559"/>
      <c r="U929" s="559"/>
      <c r="V929" s="559"/>
      <c r="W929" s="559"/>
      <c r="X929" s="559"/>
      <c r="Y929" s="559"/>
      <c r="Z929" s="559"/>
      <c r="AA929" s="559"/>
      <c r="AB929" s="559"/>
      <c r="AC929" s="559"/>
      <c r="AD929" s="559"/>
      <c r="AE929" s="559"/>
      <c r="AF929" s="559"/>
      <c r="AG929" s="559"/>
    </row>
    <row r="930" spans="1:33" ht="18" customHeight="1" x14ac:dyDescent="0.35">
      <c r="A930" s="559"/>
      <c r="B930" s="559"/>
      <c r="C930" s="559"/>
      <c r="D930" s="559"/>
      <c r="E930" s="559"/>
      <c r="F930" s="559"/>
      <c r="G930" s="559"/>
      <c r="H930" s="559"/>
      <c r="I930" s="559"/>
      <c r="J930" s="559"/>
      <c r="K930" s="559"/>
      <c r="L930" s="559"/>
      <c r="M930" s="559"/>
      <c r="N930" s="559"/>
      <c r="O930" s="559"/>
      <c r="P930" s="559"/>
      <c r="Q930" s="559"/>
      <c r="R930" s="559"/>
      <c r="S930" s="559"/>
      <c r="T930" s="559"/>
      <c r="U930" s="559"/>
      <c r="V930" s="559"/>
      <c r="W930" s="559"/>
      <c r="X930" s="559"/>
      <c r="Y930" s="559"/>
      <c r="Z930" s="559"/>
      <c r="AA930" s="559"/>
      <c r="AB930" s="559"/>
      <c r="AC930" s="559"/>
      <c r="AD930" s="559"/>
      <c r="AE930" s="559"/>
      <c r="AF930" s="559"/>
      <c r="AG930" s="559"/>
    </row>
    <row r="931" spans="1:33" ht="18" customHeight="1" x14ac:dyDescent="0.35">
      <c r="A931" s="559"/>
      <c r="B931" s="559"/>
      <c r="C931" s="559"/>
      <c r="D931" s="559"/>
      <c r="E931" s="559"/>
      <c r="F931" s="559"/>
      <c r="G931" s="559"/>
      <c r="H931" s="559"/>
      <c r="I931" s="559"/>
      <c r="J931" s="559"/>
      <c r="K931" s="559"/>
      <c r="L931" s="559"/>
      <c r="M931" s="559"/>
      <c r="N931" s="559"/>
      <c r="O931" s="559"/>
      <c r="P931" s="559"/>
      <c r="Q931" s="559"/>
      <c r="R931" s="559"/>
      <c r="S931" s="559"/>
      <c r="T931" s="559"/>
      <c r="U931" s="559"/>
      <c r="V931" s="559"/>
      <c r="W931" s="559"/>
      <c r="X931" s="559"/>
      <c r="Y931" s="559"/>
      <c r="Z931" s="559"/>
      <c r="AA931" s="559"/>
      <c r="AB931" s="559"/>
      <c r="AC931" s="559"/>
      <c r="AD931" s="559"/>
      <c r="AE931" s="559"/>
      <c r="AF931" s="559"/>
      <c r="AG931" s="559"/>
    </row>
    <row r="932" spans="1:33" ht="18" customHeight="1" x14ac:dyDescent="0.35">
      <c r="A932" s="559"/>
      <c r="B932" s="559"/>
      <c r="C932" s="559"/>
      <c r="D932" s="559"/>
      <c r="E932" s="559"/>
      <c r="F932" s="559"/>
      <c r="G932" s="559"/>
      <c r="H932" s="559"/>
      <c r="I932" s="559"/>
      <c r="J932" s="559"/>
      <c r="K932" s="559"/>
      <c r="L932" s="559"/>
      <c r="M932" s="559"/>
      <c r="N932" s="559"/>
      <c r="O932" s="559"/>
      <c r="P932" s="559"/>
      <c r="Q932" s="559"/>
      <c r="R932" s="559"/>
      <c r="S932" s="559"/>
      <c r="T932" s="559"/>
      <c r="U932" s="559"/>
      <c r="V932" s="559"/>
      <c r="W932" s="559"/>
      <c r="X932" s="559"/>
      <c r="Y932" s="559"/>
      <c r="Z932" s="559"/>
      <c r="AA932" s="559"/>
      <c r="AB932" s="559"/>
      <c r="AC932" s="559"/>
      <c r="AD932" s="559"/>
      <c r="AE932" s="559"/>
      <c r="AF932" s="559"/>
      <c r="AG932" s="559"/>
    </row>
    <row r="933" spans="1:33" ht="18" customHeight="1" x14ac:dyDescent="0.35">
      <c r="A933" s="559"/>
      <c r="B933" s="559"/>
      <c r="C933" s="559"/>
      <c r="D933" s="559"/>
      <c r="E933" s="559"/>
      <c r="F933" s="559"/>
      <c r="G933" s="559"/>
      <c r="H933" s="559"/>
      <c r="I933" s="559"/>
      <c r="J933" s="559"/>
      <c r="K933" s="559"/>
      <c r="L933" s="559"/>
      <c r="M933" s="559"/>
      <c r="N933" s="559"/>
      <c r="O933" s="559"/>
      <c r="P933" s="559"/>
      <c r="Q933" s="559"/>
      <c r="R933" s="559"/>
      <c r="S933" s="559"/>
      <c r="T933" s="559"/>
      <c r="U933" s="559"/>
      <c r="V933" s="559"/>
      <c r="W933" s="559"/>
      <c r="X933" s="559"/>
      <c r="Y933" s="559"/>
      <c r="Z933" s="559"/>
      <c r="AA933" s="559"/>
      <c r="AB933" s="559"/>
      <c r="AC933" s="559"/>
      <c r="AD933" s="559"/>
      <c r="AE933" s="559"/>
      <c r="AF933" s="559"/>
      <c r="AG933" s="559"/>
    </row>
    <row r="934" spans="1:33" ht="18" customHeight="1" x14ac:dyDescent="0.35">
      <c r="A934" s="559"/>
      <c r="B934" s="559"/>
      <c r="C934" s="559"/>
      <c r="D934" s="559"/>
      <c r="E934" s="559"/>
      <c r="F934" s="559"/>
      <c r="G934" s="559"/>
      <c r="H934" s="559"/>
      <c r="I934" s="559"/>
      <c r="J934" s="559"/>
      <c r="K934" s="559"/>
      <c r="L934" s="559"/>
      <c r="M934" s="559"/>
      <c r="N934" s="559"/>
      <c r="O934" s="559"/>
      <c r="P934" s="559"/>
      <c r="Q934" s="559"/>
      <c r="R934" s="559"/>
      <c r="S934" s="559"/>
      <c r="T934" s="559"/>
      <c r="U934" s="559"/>
      <c r="V934" s="559"/>
      <c r="W934" s="559"/>
      <c r="X934" s="559"/>
      <c r="Y934" s="559"/>
      <c r="Z934" s="559"/>
      <c r="AA934" s="559"/>
      <c r="AB934" s="559"/>
      <c r="AC934" s="559"/>
      <c r="AD934" s="559"/>
      <c r="AE934" s="559"/>
      <c r="AF934" s="559"/>
      <c r="AG934" s="559"/>
    </row>
    <row r="935" spans="1:33" ht="18" customHeight="1" x14ac:dyDescent="0.35">
      <c r="A935" s="559"/>
      <c r="B935" s="559"/>
      <c r="C935" s="559"/>
      <c r="D935" s="559"/>
      <c r="E935" s="559"/>
      <c r="F935" s="559"/>
      <c r="G935" s="559"/>
      <c r="H935" s="559"/>
      <c r="I935" s="559"/>
      <c r="J935" s="559"/>
      <c r="K935" s="559"/>
      <c r="L935" s="559"/>
      <c r="M935" s="559"/>
      <c r="N935" s="559"/>
      <c r="O935" s="559"/>
      <c r="P935" s="559"/>
      <c r="Q935" s="559"/>
      <c r="R935" s="559"/>
      <c r="S935" s="559"/>
      <c r="T935" s="559"/>
      <c r="U935" s="559"/>
      <c r="V935" s="559"/>
      <c r="W935" s="559"/>
      <c r="X935" s="559"/>
      <c r="Y935" s="559"/>
      <c r="Z935" s="559"/>
      <c r="AA935" s="559"/>
      <c r="AB935" s="559"/>
      <c r="AC935" s="559"/>
      <c r="AD935" s="559"/>
      <c r="AE935" s="559"/>
      <c r="AF935" s="559"/>
      <c r="AG935" s="559"/>
    </row>
    <row r="936" spans="1:33" ht="18" customHeight="1" x14ac:dyDescent="0.35">
      <c r="A936" s="559"/>
      <c r="B936" s="559"/>
      <c r="C936" s="559"/>
      <c r="D936" s="559"/>
      <c r="E936" s="559"/>
      <c r="F936" s="559"/>
      <c r="G936" s="559"/>
      <c r="H936" s="559"/>
      <c r="I936" s="559"/>
      <c r="J936" s="559"/>
      <c r="K936" s="559"/>
      <c r="L936" s="559"/>
      <c r="M936" s="559"/>
      <c r="N936" s="559"/>
      <c r="O936" s="559"/>
      <c r="P936" s="559"/>
      <c r="Q936" s="559"/>
      <c r="R936" s="559"/>
      <c r="S936" s="559"/>
      <c r="T936" s="559"/>
      <c r="U936" s="559"/>
      <c r="V936" s="559"/>
      <c r="W936" s="559"/>
      <c r="X936" s="559"/>
      <c r="Y936" s="559"/>
      <c r="Z936" s="559"/>
      <c r="AA936" s="559"/>
      <c r="AB936" s="559"/>
      <c r="AC936" s="559"/>
      <c r="AD936" s="559"/>
      <c r="AE936" s="559"/>
      <c r="AF936" s="559"/>
      <c r="AG936" s="559"/>
    </row>
    <row r="937" spans="1:33" ht="18" customHeight="1" x14ac:dyDescent="0.35">
      <c r="A937" s="559"/>
      <c r="B937" s="559"/>
      <c r="C937" s="559"/>
      <c r="D937" s="559"/>
      <c r="E937" s="559"/>
      <c r="F937" s="559"/>
      <c r="G937" s="559"/>
      <c r="H937" s="559"/>
      <c r="I937" s="559"/>
      <c r="J937" s="559"/>
      <c r="K937" s="559"/>
      <c r="L937" s="559"/>
      <c r="M937" s="559"/>
      <c r="N937" s="559"/>
      <c r="O937" s="559"/>
      <c r="P937" s="559"/>
      <c r="Q937" s="559"/>
      <c r="R937" s="559"/>
      <c r="S937" s="559"/>
      <c r="T937" s="559"/>
      <c r="U937" s="559"/>
      <c r="V937" s="559"/>
      <c r="W937" s="559"/>
      <c r="X937" s="559"/>
      <c r="Y937" s="559"/>
      <c r="Z937" s="559"/>
      <c r="AA937" s="559"/>
      <c r="AB937" s="559"/>
      <c r="AC937" s="559"/>
      <c r="AD937" s="559"/>
      <c r="AE937" s="559"/>
      <c r="AF937" s="559"/>
      <c r="AG937" s="559"/>
    </row>
    <row r="938" spans="1:33" ht="18" customHeight="1" x14ac:dyDescent="0.35">
      <c r="A938" s="559"/>
      <c r="B938" s="559"/>
      <c r="C938" s="559"/>
      <c r="D938" s="559"/>
      <c r="E938" s="559"/>
      <c r="F938" s="559"/>
      <c r="G938" s="559"/>
      <c r="H938" s="559"/>
      <c r="I938" s="559"/>
      <c r="J938" s="559"/>
      <c r="K938" s="559"/>
      <c r="L938" s="559"/>
      <c r="M938" s="559"/>
      <c r="N938" s="559"/>
      <c r="O938" s="559"/>
      <c r="P938" s="559"/>
      <c r="Q938" s="559"/>
      <c r="R938" s="559"/>
      <c r="S938" s="559"/>
      <c r="T938" s="559"/>
      <c r="U938" s="559"/>
      <c r="V938" s="559"/>
      <c r="W938" s="559"/>
      <c r="X938" s="559"/>
      <c r="Y938" s="559"/>
      <c r="Z938" s="559"/>
      <c r="AA938" s="559"/>
      <c r="AB938" s="559"/>
      <c r="AC938" s="559"/>
      <c r="AD938" s="559"/>
      <c r="AE938" s="559"/>
      <c r="AF938" s="559"/>
      <c r="AG938" s="559"/>
    </row>
    <row r="939" spans="1:33" ht="18" customHeight="1" x14ac:dyDescent="0.35">
      <c r="A939" s="559"/>
      <c r="B939" s="559"/>
      <c r="C939" s="559"/>
      <c r="D939" s="559"/>
      <c r="E939" s="559"/>
      <c r="F939" s="559"/>
      <c r="G939" s="559"/>
      <c r="H939" s="559"/>
      <c r="I939" s="559"/>
      <c r="J939" s="559"/>
      <c r="K939" s="559"/>
      <c r="L939" s="559"/>
      <c r="M939" s="559"/>
      <c r="N939" s="559"/>
      <c r="O939" s="559"/>
      <c r="P939" s="559"/>
      <c r="Q939" s="559"/>
      <c r="R939" s="559"/>
      <c r="S939" s="559"/>
      <c r="T939" s="559"/>
      <c r="U939" s="559"/>
      <c r="V939" s="559"/>
      <c r="W939" s="559"/>
      <c r="X939" s="559"/>
      <c r="Y939" s="559"/>
      <c r="Z939" s="559"/>
      <c r="AA939" s="559"/>
      <c r="AB939" s="559"/>
      <c r="AC939" s="559"/>
      <c r="AD939" s="559"/>
      <c r="AE939" s="559"/>
      <c r="AF939" s="559"/>
      <c r="AG939" s="559"/>
    </row>
    <row r="940" spans="1:33" ht="18" customHeight="1" x14ac:dyDescent="0.35">
      <c r="A940" s="559"/>
      <c r="B940" s="559"/>
      <c r="C940" s="559"/>
      <c r="D940" s="559"/>
      <c r="E940" s="559"/>
      <c r="F940" s="559"/>
      <c r="G940" s="559"/>
      <c r="H940" s="559"/>
      <c r="I940" s="559"/>
      <c r="J940" s="559"/>
      <c r="K940" s="559"/>
      <c r="L940" s="559"/>
      <c r="M940" s="559"/>
      <c r="N940" s="559"/>
      <c r="O940" s="559"/>
      <c r="P940" s="559"/>
      <c r="Q940" s="559"/>
      <c r="R940" s="559"/>
      <c r="S940" s="559"/>
      <c r="T940" s="559"/>
      <c r="U940" s="559"/>
      <c r="V940" s="559"/>
      <c r="W940" s="559"/>
      <c r="X940" s="559"/>
      <c r="Y940" s="559"/>
      <c r="Z940" s="559"/>
      <c r="AA940" s="559"/>
      <c r="AB940" s="559"/>
      <c r="AC940" s="559"/>
      <c r="AD940" s="559"/>
      <c r="AE940" s="559"/>
      <c r="AF940" s="559"/>
      <c r="AG940" s="559"/>
    </row>
    <row r="941" spans="1:33" ht="18" customHeight="1" x14ac:dyDescent="0.35">
      <c r="A941" s="559"/>
      <c r="B941" s="559"/>
      <c r="C941" s="559"/>
      <c r="D941" s="559"/>
      <c r="E941" s="559"/>
      <c r="F941" s="559"/>
      <c r="G941" s="559"/>
      <c r="H941" s="559"/>
      <c r="I941" s="559"/>
      <c r="J941" s="559"/>
      <c r="K941" s="559"/>
      <c r="L941" s="559"/>
      <c r="M941" s="559"/>
      <c r="N941" s="559"/>
      <c r="O941" s="559"/>
      <c r="P941" s="559"/>
      <c r="Q941" s="559"/>
      <c r="R941" s="559"/>
      <c r="S941" s="559"/>
      <c r="T941" s="559"/>
      <c r="U941" s="559"/>
      <c r="V941" s="559"/>
      <c r="W941" s="559"/>
      <c r="X941" s="559"/>
      <c r="Y941" s="559"/>
      <c r="Z941" s="559"/>
      <c r="AA941" s="559"/>
      <c r="AB941" s="559"/>
      <c r="AC941" s="559"/>
      <c r="AD941" s="559"/>
      <c r="AE941" s="559"/>
      <c r="AF941" s="559"/>
      <c r="AG941" s="559"/>
    </row>
    <row r="942" spans="1:33" ht="18" customHeight="1" x14ac:dyDescent="0.35">
      <c r="A942" s="559"/>
      <c r="B942" s="559"/>
      <c r="C942" s="559"/>
      <c r="D942" s="559"/>
      <c r="E942" s="559"/>
      <c r="F942" s="559"/>
      <c r="G942" s="559"/>
      <c r="H942" s="559"/>
      <c r="I942" s="559"/>
      <c r="J942" s="559"/>
      <c r="K942" s="559"/>
      <c r="L942" s="559"/>
      <c r="M942" s="559"/>
      <c r="N942" s="559"/>
      <c r="O942" s="559"/>
      <c r="P942" s="559"/>
      <c r="Q942" s="559"/>
      <c r="R942" s="559"/>
      <c r="S942" s="559"/>
      <c r="T942" s="559"/>
      <c r="U942" s="559"/>
      <c r="V942" s="559"/>
      <c r="W942" s="559"/>
      <c r="X942" s="559"/>
      <c r="Y942" s="559"/>
      <c r="Z942" s="559"/>
      <c r="AA942" s="559"/>
      <c r="AB942" s="559"/>
      <c r="AC942" s="559"/>
      <c r="AD942" s="559"/>
      <c r="AE942" s="559"/>
      <c r="AF942" s="559"/>
      <c r="AG942" s="559"/>
    </row>
    <row r="943" spans="1:33" ht="18" customHeight="1" x14ac:dyDescent="0.35">
      <c r="A943" s="559"/>
      <c r="B943" s="559"/>
      <c r="C943" s="559"/>
      <c r="D943" s="559"/>
      <c r="E943" s="559"/>
      <c r="F943" s="559"/>
      <c r="G943" s="559"/>
      <c r="H943" s="559"/>
      <c r="I943" s="559"/>
      <c r="J943" s="559"/>
      <c r="K943" s="559"/>
      <c r="L943" s="559"/>
      <c r="M943" s="559"/>
      <c r="N943" s="559"/>
      <c r="O943" s="559"/>
      <c r="P943" s="559"/>
      <c r="Q943" s="559"/>
      <c r="R943" s="559"/>
      <c r="S943" s="559"/>
      <c r="T943" s="559"/>
      <c r="U943" s="559"/>
      <c r="V943" s="559"/>
      <c r="W943" s="559"/>
      <c r="X943" s="559"/>
      <c r="Y943" s="559"/>
      <c r="Z943" s="559"/>
      <c r="AA943" s="559"/>
      <c r="AB943" s="559"/>
      <c r="AC943" s="559"/>
      <c r="AD943" s="559"/>
      <c r="AE943" s="559"/>
      <c r="AF943" s="559"/>
      <c r="AG943" s="559"/>
    </row>
    <row r="944" spans="1:33" ht="18" customHeight="1" x14ac:dyDescent="0.35">
      <c r="A944" s="559"/>
      <c r="B944" s="559"/>
      <c r="C944" s="559"/>
      <c r="D944" s="559"/>
      <c r="E944" s="559"/>
      <c r="F944" s="559"/>
      <c r="G944" s="559"/>
      <c r="H944" s="559"/>
      <c r="I944" s="559"/>
      <c r="J944" s="559"/>
      <c r="K944" s="559"/>
      <c r="L944" s="559"/>
      <c r="M944" s="559"/>
      <c r="N944" s="559"/>
      <c r="O944" s="559"/>
      <c r="P944" s="559"/>
      <c r="Q944" s="559"/>
      <c r="R944" s="559"/>
      <c r="S944" s="559"/>
      <c r="T944" s="559"/>
      <c r="U944" s="559"/>
      <c r="V944" s="559"/>
      <c r="W944" s="559"/>
      <c r="X944" s="559"/>
      <c r="Y944" s="559"/>
      <c r="Z944" s="559"/>
      <c r="AA944" s="559"/>
      <c r="AB944" s="559"/>
      <c r="AC944" s="559"/>
      <c r="AD944" s="559"/>
      <c r="AE944" s="559"/>
      <c r="AF944" s="559"/>
      <c r="AG944" s="559"/>
    </row>
    <row r="945" spans="1:33" ht="18" customHeight="1" x14ac:dyDescent="0.35">
      <c r="A945" s="559"/>
      <c r="B945" s="559"/>
      <c r="C945" s="559"/>
      <c r="D945" s="559"/>
      <c r="E945" s="559"/>
      <c r="F945" s="559"/>
      <c r="G945" s="559"/>
      <c r="H945" s="559"/>
      <c r="I945" s="559"/>
      <c r="J945" s="559"/>
      <c r="K945" s="559"/>
      <c r="L945" s="559"/>
      <c r="M945" s="559"/>
      <c r="N945" s="559"/>
      <c r="O945" s="559"/>
      <c r="P945" s="559"/>
      <c r="Q945" s="559"/>
      <c r="R945" s="559"/>
      <c r="S945" s="559"/>
      <c r="T945" s="559"/>
      <c r="U945" s="559"/>
      <c r="V945" s="559"/>
      <c r="W945" s="559"/>
      <c r="X945" s="559"/>
      <c r="Y945" s="559"/>
      <c r="Z945" s="559"/>
      <c r="AA945" s="559"/>
      <c r="AB945" s="559"/>
      <c r="AC945" s="559"/>
      <c r="AD945" s="559"/>
      <c r="AE945" s="559"/>
      <c r="AF945" s="559"/>
      <c r="AG945" s="559"/>
    </row>
    <row r="946" spans="1:33" ht="18" customHeight="1" x14ac:dyDescent="0.35">
      <c r="A946" s="559"/>
      <c r="B946" s="559"/>
      <c r="C946" s="559"/>
      <c r="D946" s="559"/>
      <c r="E946" s="559"/>
      <c r="F946" s="559"/>
      <c r="G946" s="559"/>
      <c r="H946" s="559"/>
      <c r="I946" s="559"/>
      <c r="J946" s="559"/>
      <c r="K946" s="559"/>
      <c r="L946" s="559"/>
      <c r="M946" s="559"/>
      <c r="N946" s="559"/>
      <c r="O946" s="559"/>
      <c r="P946" s="559"/>
      <c r="Q946" s="559"/>
      <c r="R946" s="559"/>
      <c r="S946" s="559"/>
      <c r="T946" s="559"/>
      <c r="U946" s="559"/>
      <c r="V946" s="559"/>
      <c r="W946" s="559"/>
      <c r="X946" s="559"/>
      <c r="Y946" s="559"/>
      <c r="Z946" s="559"/>
      <c r="AA946" s="559"/>
      <c r="AB946" s="559"/>
      <c r="AC946" s="559"/>
      <c r="AD946" s="559"/>
      <c r="AE946" s="559"/>
      <c r="AF946" s="559"/>
      <c r="AG946" s="559"/>
    </row>
    <row r="947" spans="1:33" ht="18" customHeight="1" x14ac:dyDescent="0.35">
      <c r="A947" s="559"/>
      <c r="B947" s="559"/>
      <c r="C947" s="559"/>
      <c r="D947" s="559"/>
      <c r="E947" s="559"/>
      <c r="F947" s="559"/>
      <c r="G947" s="559"/>
      <c r="H947" s="559"/>
      <c r="I947" s="559"/>
      <c r="J947" s="559"/>
      <c r="K947" s="559"/>
      <c r="L947" s="559"/>
      <c r="M947" s="559"/>
      <c r="N947" s="559"/>
      <c r="O947" s="559"/>
      <c r="P947" s="559"/>
      <c r="Q947" s="559"/>
      <c r="R947" s="559"/>
      <c r="S947" s="559"/>
      <c r="T947" s="559"/>
      <c r="U947" s="559"/>
      <c r="V947" s="559"/>
      <c r="W947" s="559"/>
      <c r="X947" s="559"/>
      <c r="Y947" s="559"/>
      <c r="Z947" s="559"/>
      <c r="AA947" s="559"/>
      <c r="AB947" s="559"/>
      <c r="AC947" s="559"/>
      <c r="AD947" s="559"/>
      <c r="AE947" s="559"/>
      <c r="AF947" s="559"/>
      <c r="AG947" s="559"/>
    </row>
    <row r="948" spans="1:33" ht="18" customHeight="1" x14ac:dyDescent="0.35">
      <c r="A948" s="559"/>
      <c r="B948" s="559"/>
      <c r="C948" s="559"/>
      <c r="D948" s="559"/>
      <c r="E948" s="559"/>
      <c r="F948" s="559"/>
      <c r="G948" s="559"/>
      <c r="H948" s="559"/>
      <c r="I948" s="559"/>
      <c r="J948" s="559"/>
      <c r="K948" s="559"/>
      <c r="L948" s="559"/>
      <c r="M948" s="559"/>
      <c r="N948" s="559"/>
      <c r="O948" s="559"/>
      <c r="P948" s="559"/>
      <c r="Q948" s="559"/>
      <c r="R948" s="559"/>
      <c r="S948" s="559"/>
      <c r="T948" s="559"/>
      <c r="U948" s="559"/>
      <c r="V948" s="559"/>
      <c r="W948" s="559"/>
      <c r="X948" s="559"/>
      <c r="Y948" s="559"/>
      <c r="Z948" s="559"/>
      <c r="AA948" s="559"/>
      <c r="AB948" s="559"/>
      <c r="AC948" s="559"/>
      <c r="AD948" s="559"/>
      <c r="AE948" s="559"/>
      <c r="AF948" s="559"/>
      <c r="AG948" s="559"/>
    </row>
    <row r="949" spans="1:33" ht="18" customHeight="1" x14ac:dyDescent="0.35">
      <c r="A949" s="559"/>
      <c r="B949" s="559"/>
      <c r="C949" s="559"/>
      <c r="D949" s="559"/>
      <c r="E949" s="559"/>
      <c r="F949" s="559"/>
      <c r="G949" s="559"/>
      <c r="H949" s="559"/>
      <c r="I949" s="559"/>
      <c r="J949" s="559"/>
      <c r="K949" s="559"/>
      <c r="L949" s="559"/>
      <c r="M949" s="559"/>
      <c r="N949" s="559"/>
      <c r="O949" s="559"/>
      <c r="P949" s="559"/>
      <c r="Q949" s="559"/>
      <c r="R949" s="559"/>
      <c r="S949" s="559"/>
      <c r="T949" s="559"/>
      <c r="U949" s="559"/>
      <c r="V949" s="559"/>
      <c r="W949" s="559"/>
      <c r="X949" s="559"/>
      <c r="Y949" s="559"/>
      <c r="Z949" s="559"/>
      <c r="AA949" s="559"/>
      <c r="AB949" s="559"/>
      <c r="AC949" s="559"/>
      <c r="AD949" s="559"/>
      <c r="AE949" s="559"/>
      <c r="AF949" s="559"/>
      <c r="AG949" s="559"/>
    </row>
    <row r="950" spans="1:33" ht="18" customHeight="1" x14ac:dyDescent="0.35">
      <c r="A950" s="559"/>
      <c r="B950" s="559"/>
      <c r="C950" s="559"/>
      <c r="D950" s="559"/>
      <c r="E950" s="559"/>
      <c r="F950" s="559"/>
      <c r="G950" s="559"/>
      <c r="H950" s="559"/>
      <c r="I950" s="559"/>
      <c r="J950" s="559"/>
      <c r="K950" s="559"/>
      <c r="L950" s="559"/>
      <c r="M950" s="559"/>
      <c r="N950" s="559"/>
      <c r="O950" s="559"/>
      <c r="P950" s="559"/>
      <c r="Q950" s="559"/>
      <c r="R950" s="559"/>
      <c r="S950" s="559"/>
      <c r="T950" s="559"/>
      <c r="U950" s="559"/>
      <c r="V950" s="559"/>
      <c r="W950" s="559"/>
      <c r="X950" s="559"/>
      <c r="Y950" s="559"/>
      <c r="Z950" s="559"/>
      <c r="AA950" s="559"/>
      <c r="AB950" s="559"/>
      <c r="AC950" s="559"/>
      <c r="AD950" s="559"/>
      <c r="AE950" s="559"/>
      <c r="AF950" s="559"/>
      <c r="AG950" s="559"/>
    </row>
    <row r="951" spans="1:33" ht="18" customHeight="1" x14ac:dyDescent="0.35">
      <c r="A951" s="559"/>
      <c r="B951" s="559"/>
      <c r="C951" s="559"/>
      <c r="D951" s="559"/>
      <c r="E951" s="559"/>
      <c r="F951" s="559"/>
      <c r="G951" s="559"/>
      <c r="H951" s="559"/>
      <c r="I951" s="559"/>
      <c r="J951" s="559"/>
      <c r="K951" s="559"/>
      <c r="L951" s="559"/>
      <c r="M951" s="559"/>
      <c r="N951" s="559"/>
      <c r="O951" s="559"/>
      <c r="P951" s="559"/>
      <c r="Q951" s="559"/>
      <c r="R951" s="559"/>
      <c r="S951" s="559"/>
      <c r="T951" s="559"/>
      <c r="U951" s="559"/>
      <c r="V951" s="559"/>
      <c r="W951" s="559"/>
      <c r="X951" s="559"/>
      <c r="Y951" s="559"/>
      <c r="Z951" s="559"/>
      <c r="AA951" s="559"/>
      <c r="AB951" s="559"/>
      <c r="AC951" s="559"/>
      <c r="AD951" s="559"/>
      <c r="AE951" s="559"/>
      <c r="AF951" s="559"/>
      <c r="AG951" s="559"/>
    </row>
    <row r="952" spans="1:33" ht="18" customHeight="1" x14ac:dyDescent="0.35">
      <c r="A952" s="559"/>
      <c r="B952" s="559"/>
      <c r="C952" s="559"/>
      <c r="D952" s="559"/>
      <c r="E952" s="559"/>
      <c r="F952" s="559"/>
      <c r="G952" s="559"/>
      <c r="H952" s="559"/>
      <c r="I952" s="559"/>
      <c r="J952" s="559"/>
      <c r="K952" s="559"/>
      <c r="L952" s="559"/>
      <c r="M952" s="559"/>
      <c r="N952" s="559"/>
      <c r="O952" s="559"/>
      <c r="P952" s="559"/>
      <c r="Q952" s="559"/>
      <c r="R952" s="559"/>
      <c r="S952" s="559"/>
      <c r="T952" s="559"/>
      <c r="U952" s="559"/>
      <c r="V952" s="559"/>
      <c r="W952" s="559"/>
      <c r="X952" s="559"/>
      <c r="Y952" s="559"/>
      <c r="Z952" s="559"/>
      <c r="AA952" s="559"/>
      <c r="AB952" s="559"/>
      <c r="AC952" s="559"/>
      <c r="AD952" s="559"/>
      <c r="AE952" s="559"/>
      <c r="AF952" s="559"/>
      <c r="AG952" s="559"/>
    </row>
    <row r="953" spans="1:33" ht="18" customHeight="1" x14ac:dyDescent="0.35">
      <c r="A953" s="559"/>
      <c r="B953" s="559"/>
      <c r="C953" s="559"/>
      <c r="D953" s="559"/>
      <c r="E953" s="559"/>
      <c r="F953" s="559"/>
      <c r="G953" s="559"/>
      <c r="H953" s="559"/>
      <c r="I953" s="559"/>
      <c r="J953" s="559"/>
      <c r="K953" s="559"/>
      <c r="L953" s="559"/>
      <c r="M953" s="559"/>
      <c r="N953" s="559"/>
      <c r="O953" s="559"/>
      <c r="P953" s="559"/>
      <c r="Q953" s="559"/>
      <c r="R953" s="559"/>
      <c r="S953" s="559"/>
      <c r="T953" s="559"/>
      <c r="U953" s="559"/>
      <c r="V953" s="559"/>
      <c r="W953" s="559"/>
      <c r="X953" s="559"/>
      <c r="Y953" s="559"/>
      <c r="Z953" s="559"/>
      <c r="AA953" s="559"/>
      <c r="AB953" s="559"/>
      <c r="AC953" s="559"/>
      <c r="AD953" s="559"/>
      <c r="AE953" s="559"/>
      <c r="AF953" s="559"/>
      <c r="AG953" s="559"/>
    </row>
    <row r="954" spans="1:33" ht="18" customHeight="1" x14ac:dyDescent="0.35">
      <c r="A954" s="559"/>
      <c r="B954" s="559"/>
      <c r="C954" s="559"/>
      <c r="D954" s="559"/>
      <c r="E954" s="559"/>
      <c r="F954" s="559"/>
      <c r="G954" s="559"/>
      <c r="H954" s="559"/>
      <c r="I954" s="559"/>
      <c r="J954" s="559"/>
      <c r="K954" s="559"/>
      <c r="L954" s="559"/>
      <c r="M954" s="559"/>
      <c r="N954" s="559"/>
      <c r="O954" s="559"/>
      <c r="P954" s="559"/>
      <c r="Q954" s="559"/>
      <c r="R954" s="559"/>
      <c r="S954" s="559"/>
      <c r="T954" s="559"/>
      <c r="U954" s="559"/>
      <c r="V954" s="559"/>
      <c r="W954" s="559"/>
      <c r="X954" s="559"/>
      <c r="Y954" s="559"/>
      <c r="Z954" s="559"/>
      <c r="AA954" s="559"/>
      <c r="AB954" s="559"/>
      <c r="AC954" s="559"/>
      <c r="AD954" s="559"/>
      <c r="AE954" s="559"/>
      <c r="AF954" s="559"/>
      <c r="AG954" s="559"/>
    </row>
    <row r="955" spans="1:33" ht="18" customHeight="1" x14ac:dyDescent="0.35">
      <c r="A955" s="559"/>
      <c r="B955" s="559"/>
      <c r="C955" s="559"/>
      <c r="D955" s="559"/>
      <c r="E955" s="559"/>
      <c r="F955" s="559"/>
      <c r="G955" s="559"/>
      <c r="H955" s="559"/>
      <c r="I955" s="559"/>
      <c r="J955" s="559"/>
      <c r="K955" s="559"/>
      <c r="L955" s="559"/>
      <c r="M955" s="559"/>
      <c r="N955" s="559"/>
      <c r="O955" s="559"/>
      <c r="P955" s="559"/>
      <c r="Q955" s="559"/>
      <c r="R955" s="559"/>
      <c r="S955" s="559"/>
      <c r="T955" s="559"/>
      <c r="U955" s="559"/>
      <c r="V955" s="559"/>
      <c r="W955" s="559"/>
      <c r="X955" s="559"/>
      <c r="Y955" s="559"/>
      <c r="Z955" s="559"/>
      <c r="AA955" s="559"/>
      <c r="AB955" s="559"/>
      <c r="AC955" s="559"/>
      <c r="AD955" s="559"/>
      <c r="AE955" s="559"/>
      <c r="AF955" s="559"/>
      <c r="AG955" s="559"/>
    </row>
    <row r="956" spans="1:33" ht="18" customHeight="1" x14ac:dyDescent="0.35">
      <c r="A956" s="559"/>
      <c r="B956" s="559"/>
      <c r="C956" s="559"/>
      <c r="D956" s="559"/>
      <c r="E956" s="559"/>
      <c r="F956" s="559"/>
      <c r="G956" s="559"/>
      <c r="H956" s="559"/>
      <c r="I956" s="559"/>
      <c r="J956" s="559"/>
      <c r="K956" s="559"/>
      <c r="L956" s="559"/>
      <c r="M956" s="559"/>
      <c r="N956" s="559"/>
      <c r="O956" s="559"/>
      <c r="P956" s="559"/>
      <c r="Q956" s="559"/>
      <c r="R956" s="559"/>
      <c r="S956" s="559"/>
      <c r="T956" s="559"/>
      <c r="U956" s="559"/>
      <c r="V956" s="559"/>
      <c r="W956" s="559"/>
      <c r="X956" s="559"/>
      <c r="Y956" s="559"/>
      <c r="Z956" s="559"/>
      <c r="AA956" s="559"/>
      <c r="AB956" s="559"/>
      <c r="AC956" s="559"/>
      <c r="AD956" s="559"/>
      <c r="AE956" s="559"/>
      <c r="AF956" s="559"/>
      <c r="AG956" s="559"/>
    </row>
    <row r="957" spans="1:33" ht="18" customHeight="1" x14ac:dyDescent="0.35">
      <c r="A957" s="559"/>
      <c r="B957" s="559"/>
      <c r="C957" s="559"/>
      <c r="D957" s="559"/>
      <c r="E957" s="559"/>
      <c r="F957" s="559"/>
      <c r="G957" s="559"/>
      <c r="H957" s="559"/>
      <c r="I957" s="559"/>
      <c r="J957" s="559"/>
      <c r="K957" s="559"/>
      <c r="L957" s="559"/>
      <c r="M957" s="559"/>
      <c r="N957" s="559"/>
      <c r="O957" s="559"/>
      <c r="P957" s="559"/>
      <c r="Q957" s="559"/>
      <c r="R957" s="559"/>
      <c r="S957" s="559"/>
      <c r="T957" s="559"/>
      <c r="U957" s="559"/>
      <c r="V957" s="559"/>
      <c r="W957" s="559"/>
      <c r="X957" s="559"/>
      <c r="Y957" s="559"/>
      <c r="Z957" s="559"/>
      <c r="AA957" s="559"/>
      <c r="AB957" s="559"/>
      <c r="AC957" s="559"/>
      <c r="AD957" s="559"/>
      <c r="AE957" s="559"/>
      <c r="AF957" s="559"/>
      <c r="AG957" s="559"/>
    </row>
    <row r="958" spans="1:33" ht="18" customHeight="1" x14ac:dyDescent="0.35">
      <c r="A958" s="559"/>
      <c r="B958" s="559"/>
      <c r="C958" s="559"/>
      <c r="D958" s="559"/>
      <c r="E958" s="559"/>
      <c r="F958" s="559"/>
      <c r="G958" s="559"/>
      <c r="H958" s="559"/>
      <c r="I958" s="559"/>
      <c r="J958" s="559"/>
      <c r="K958" s="559"/>
      <c r="L958" s="559"/>
      <c r="M958" s="559"/>
      <c r="N958" s="559"/>
      <c r="O958" s="559"/>
      <c r="P958" s="559"/>
      <c r="Q958" s="559"/>
      <c r="R958" s="559"/>
      <c r="S958" s="559"/>
      <c r="T958" s="559"/>
      <c r="U958" s="559"/>
      <c r="V958" s="559"/>
      <c r="W958" s="559"/>
      <c r="X958" s="559"/>
      <c r="Y958" s="559"/>
      <c r="Z958" s="559"/>
      <c r="AA958" s="559"/>
      <c r="AB958" s="559"/>
      <c r="AC958" s="559"/>
      <c r="AD958" s="559"/>
      <c r="AE958" s="559"/>
      <c r="AF958" s="559"/>
      <c r="AG958" s="559"/>
    </row>
    <row r="959" spans="1:33" ht="18" customHeight="1" x14ac:dyDescent="0.35">
      <c r="A959" s="559"/>
      <c r="B959" s="559"/>
      <c r="C959" s="559"/>
      <c r="D959" s="559"/>
      <c r="E959" s="559"/>
      <c r="F959" s="559"/>
      <c r="G959" s="559"/>
      <c r="H959" s="559"/>
      <c r="I959" s="559"/>
      <c r="J959" s="559"/>
      <c r="K959" s="559"/>
      <c r="L959" s="559"/>
      <c r="M959" s="559"/>
      <c r="N959" s="559"/>
      <c r="O959" s="559"/>
      <c r="P959" s="559"/>
      <c r="Q959" s="559"/>
      <c r="R959" s="559"/>
      <c r="S959" s="559"/>
      <c r="T959" s="559"/>
      <c r="U959" s="559"/>
      <c r="V959" s="559"/>
      <c r="W959" s="559"/>
      <c r="X959" s="559"/>
      <c r="Y959" s="559"/>
      <c r="Z959" s="559"/>
      <c r="AA959" s="559"/>
      <c r="AB959" s="559"/>
      <c r="AC959" s="559"/>
      <c r="AD959" s="559"/>
      <c r="AE959" s="559"/>
      <c r="AF959" s="559"/>
      <c r="AG959" s="559"/>
    </row>
    <row r="960" spans="1:33" ht="18" customHeight="1" x14ac:dyDescent="0.35">
      <c r="A960" s="559"/>
      <c r="B960" s="559"/>
      <c r="C960" s="559"/>
      <c r="D960" s="559"/>
      <c r="E960" s="559"/>
      <c r="F960" s="559"/>
      <c r="G960" s="559"/>
      <c r="H960" s="559"/>
      <c r="I960" s="559"/>
      <c r="J960" s="559"/>
      <c r="K960" s="559"/>
      <c r="L960" s="559"/>
      <c r="M960" s="559"/>
      <c r="N960" s="559"/>
      <c r="O960" s="559"/>
      <c r="P960" s="559"/>
      <c r="Q960" s="559"/>
      <c r="R960" s="559"/>
      <c r="S960" s="559"/>
      <c r="T960" s="559"/>
      <c r="U960" s="559"/>
      <c r="V960" s="559"/>
      <c r="W960" s="559"/>
      <c r="X960" s="559"/>
      <c r="Y960" s="559"/>
      <c r="Z960" s="559"/>
      <c r="AA960" s="559"/>
      <c r="AB960" s="559"/>
      <c r="AC960" s="559"/>
      <c r="AD960" s="559"/>
      <c r="AE960" s="559"/>
      <c r="AF960" s="559"/>
      <c r="AG960" s="559"/>
    </row>
    <row r="961" spans="1:33" ht="18" customHeight="1" x14ac:dyDescent="0.35">
      <c r="A961" s="559"/>
      <c r="B961" s="559"/>
      <c r="C961" s="559"/>
      <c r="D961" s="559"/>
      <c r="E961" s="559"/>
      <c r="F961" s="559"/>
      <c r="G961" s="559"/>
      <c r="H961" s="559"/>
      <c r="I961" s="559"/>
      <c r="J961" s="559"/>
      <c r="K961" s="559"/>
      <c r="L961" s="559"/>
      <c r="M961" s="559"/>
      <c r="N961" s="559"/>
      <c r="O961" s="559"/>
      <c r="P961" s="559"/>
      <c r="Q961" s="559"/>
      <c r="R961" s="559"/>
      <c r="S961" s="559"/>
      <c r="T961" s="559"/>
      <c r="U961" s="559"/>
      <c r="V961" s="559"/>
      <c r="W961" s="559"/>
      <c r="X961" s="559"/>
      <c r="Y961" s="559"/>
      <c r="Z961" s="559"/>
      <c r="AA961" s="559"/>
      <c r="AB961" s="559"/>
      <c r="AC961" s="559"/>
      <c r="AD961" s="559"/>
      <c r="AE961" s="559"/>
      <c r="AF961" s="559"/>
      <c r="AG961" s="559"/>
    </row>
    <row r="962" spans="1:33" ht="18" customHeight="1" x14ac:dyDescent="0.35">
      <c r="A962" s="559"/>
      <c r="B962" s="559"/>
      <c r="C962" s="559"/>
      <c r="D962" s="559"/>
      <c r="E962" s="559"/>
      <c r="F962" s="559"/>
      <c r="G962" s="559"/>
      <c r="H962" s="559"/>
      <c r="I962" s="559"/>
      <c r="J962" s="559"/>
      <c r="K962" s="559"/>
      <c r="L962" s="559"/>
      <c r="M962" s="559"/>
      <c r="N962" s="559"/>
      <c r="O962" s="559"/>
      <c r="P962" s="559"/>
      <c r="Q962" s="559"/>
      <c r="R962" s="559"/>
      <c r="S962" s="559"/>
      <c r="T962" s="559"/>
      <c r="U962" s="559"/>
      <c r="V962" s="559"/>
      <c r="W962" s="559"/>
      <c r="X962" s="559"/>
      <c r="Y962" s="559"/>
      <c r="Z962" s="559"/>
      <c r="AA962" s="559"/>
      <c r="AB962" s="559"/>
      <c r="AC962" s="559"/>
      <c r="AD962" s="559"/>
      <c r="AE962" s="559"/>
      <c r="AF962" s="559"/>
      <c r="AG962" s="559"/>
    </row>
    <row r="963" spans="1:33" ht="18" customHeight="1" x14ac:dyDescent="0.35">
      <c r="A963" s="559"/>
      <c r="B963" s="559"/>
      <c r="C963" s="559"/>
      <c r="D963" s="559"/>
      <c r="E963" s="559"/>
      <c r="F963" s="559"/>
      <c r="G963" s="559"/>
      <c r="H963" s="559"/>
      <c r="I963" s="559"/>
      <c r="J963" s="559"/>
      <c r="K963" s="559"/>
      <c r="L963" s="559"/>
      <c r="M963" s="559"/>
      <c r="N963" s="559"/>
      <c r="O963" s="559"/>
      <c r="P963" s="559"/>
      <c r="Q963" s="559"/>
      <c r="R963" s="559"/>
      <c r="S963" s="559"/>
      <c r="T963" s="559"/>
      <c r="U963" s="559"/>
      <c r="V963" s="559"/>
      <c r="W963" s="559"/>
      <c r="X963" s="559"/>
      <c r="Y963" s="559"/>
      <c r="Z963" s="559"/>
      <c r="AA963" s="559"/>
      <c r="AB963" s="559"/>
      <c r="AC963" s="559"/>
      <c r="AD963" s="559"/>
      <c r="AE963" s="559"/>
      <c r="AF963" s="559"/>
      <c r="AG963" s="559"/>
    </row>
    <row r="964" spans="1:33" ht="18" customHeight="1" x14ac:dyDescent="0.35">
      <c r="A964" s="559"/>
      <c r="B964" s="559"/>
      <c r="C964" s="559"/>
      <c r="D964" s="559"/>
      <c r="E964" s="559"/>
      <c r="F964" s="559"/>
      <c r="G964" s="559"/>
      <c r="H964" s="559"/>
      <c r="I964" s="559"/>
      <c r="J964" s="559"/>
      <c r="K964" s="559"/>
      <c r="L964" s="559"/>
      <c r="M964" s="559"/>
      <c r="N964" s="559"/>
      <c r="O964" s="559"/>
      <c r="P964" s="559"/>
      <c r="Q964" s="559"/>
      <c r="R964" s="559"/>
      <c r="S964" s="559"/>
      <c r="T964" s="559"/>
      <c r="U964" s="559"/>
      <c r="V964" s="559"/>
      <c r="W964" s="559"/>
      <c r="X964" s="559"/>
      <c r="Y964" s="559"/>
      <c r="Z964" s="559"/>
      <c r="AA964" s="559"/>
      <c r="AB964" s="559"/>
      <c r="AC964" s="559"/>
      <c r="AD964" s="559"/>
      <c r="AE964" s="559"/>
      <c r="AF964" s="559"/>
      <c r="AG964" s="559"/>
    </row>
    <row r="965" spans="1:33" ht="18" customHeight="1" x14ac:dyDescent="0.35">
      <c r="A965" s="559"/>
      <c r="B965" s="559"/>
      <c r="C965" s="559"/>
      <c r="D965" s="559"/>
      <c r="E965" s="559"/>
      <c r="F965" s="559"/>
      <c r="G965" s="559"/>
      <c r="H965" s="559"/>
      <c r="I965" s="559"/>
      <c r="J965" s="559"/>
      <c r="K965" s="559"/>
      <c r="L965" s="559"/>
      <c r="M965" s="559"/>
      <c r="N965" s="559"/>
      <c r="O965" s="559"/>
      <c r="P965" s="559"/>
      <c r="Q965" s="559"/>
      <c r="R965" s="559"/>
      <c r="S965" s="559"/>
      <c r="T965" s="559"/>
      <c r="U965" s="559"/>
      <c r="V965" s="559"/>
      <c r="W965" s="559"/>
      <c r="X965" s="559"/>
      <c r="Y965" s="559"/>
      <c r="Z965" s="559"/>
      <c r="AA965" s="559"/>
      <c r="AB965" s="559"/>
      <c r="AC965" s="559"/>
      <c r="AD965" s="559"/>
      <c r="AE965" s="559"/>
      <c r="AF965" s="559"/>
      <c r="AG965" s="559"/>
    </row>
    <row r="966" spans="1:33" ht="18" customHeight="1" x14ac:dyDescent="0.35">
      <c r="A966" s="559"/>
      <c r="B966" s="559"/>
      <c r="C966" s="559"/>
      <c r="D966" s="559"/>
      <c r="E966" s="559"/>
      <c r="F966" s="559"/>
      <c r="G966" s="559"/>
      <c r="H966" s="559"/>
      <c r="I966" s="559"/>
      <c r="J966" s="559"/>
      <c r="K966" s="559"/>
      <c r="L966" s="559"/>
      <c r="M966" s="559"/>
      <c r="N966" s="559"/>
      <c r="O966" s="559"/>
      <c r="P966" s="559"/>
      <c r="Q966" s="559"/>
      <c r="R966" s="559"/>
      <c r="S966" s="559"/>
      <c r="T966" s="559"/>
      <c r="U966" s="559"/>
      <c r="V966" s="559"/>
      <c r="W966" s="559"/>
      <c r="X966" s="559"/>
      <c r="Y966" s="559"/>
      <c r="Z966" s="559"/>
      <c r="AA966" s="559"/>
      <c r="AB966" s="559"/>
      <c r="AC966" s="559"/>
      <c r="AD966" s="559"/>
      <c r="AE966" s="559"/>
      <c r="AF966" s="559"/>
      <c r="AG966" s="559"/>
    </row>
    <row r="967" spans="1:33" ht="18" customHeight="1" x14ac:dyDescent="0.35">
      <c r="A967" s="559"/>
      <c r="B967" s="559"/>
      <c r="C967" s="559"/>
      <c r="D967" s="559"/>
      <c r="E967" s="559"/>
      <c r="F967" s="559"/>
      <c r="G967" s="559"/>
      <c r="H967" s="559"/>
      <c r="I967" s="559"/>
      <c r="J967" s="559"/>
      <c r="K967" s="559"/>
      <c r="L967" s="559"/>
      <c r="M967" s="559"/>
      <c r="N967" s="559"/>
      <c r="O967" s="559"/>
      <c r="P967" s="559"/>
      <c r="Q967" s="559"/>
      <c r="R967" s="559"/>
      <c r="S967" s="559"/>
      <c r="T967" s="559"/>
      <c r="U967" s="559"/>
      <c r="V967" s="559"/>
      <c r="W967" s="559"/>
      <c r="X967" s="559"/>
      <c r="Y967" s="559"/>
      <c r="Z967" s="559"/>
      <c r="AA967" s="559"/>
      <c r="AB967" s="559"/>
      <c r="AC967" s="559"/>
      <c r="AD967" s="559"/>
      <c r="AE967" s="559"/>
      <c r="AF967" s="559"/>
      <c r="AG967" s="559"/>
    </row>
    <row r="968" spans="1:33" ht="18" customHeight="1" x14ac:dyDescent="0.35">
      <c r="A968" s="559"/>
      <c r="B968" s="559"/>
      <c r="C968" s="559"/>
      <c r="D968" s="559"/>
      <c r="E968" s="559"/>
      <c r="F968" s="559"/>
      <c r="G968" s="559"/>
      <c r="H968" s="559"/>
      <c r="I968" s="559"/>
      <c r="J968" s="559"/>
      <c r="K968" s="559"/>
      <c r="L968" s="559"/>
      <c r="M968" s="559"/>
      <c r="N968" s="559"/>
      <c r="O968" s="559"/>
      <c r="P968" s="559"/>
      <c r="Q968" s="559"/>
      <c r="R968" s="559"/>
      <c r="S968" s="559"/>
      <c r="T968" s="559"/>
      <c r="U968" s="559"/>
      <c r="V968" s="559"/>
      <c r="W968" s="559"/>
      <c r="X968" s="559"/>
      <c r="Y968" s="559"/>
      <c r="Z968" s="559"/>
      <c r="AA968" s="559"/>
      <c r="AB968" s="559"/>
      <c r="AC968" s="559"/>
      <c r="AD968" s="559"/>
      <c r="AE968" s="559"/>
      <c r="AF968" s="559"/>
      <c r="AG968" s="559"/>
    </row>
    <row r="969" spans="1:33" ht="18" customHeight="1" x14ac:dyDescent="0.35">
      <c r="A969" s="559"/>
      <c r="B969" s="559"/>
      <c r="C969" s="559"/>
      <c r="D969" s="559"/>
      <c r="E969" s="559"/>
      <c r="F969" s="559"/>
      <c r="G969" s="559"/>
      <c r="H969" s="559"/>
      <c r="I969" s="559"/>
      <c r="J969" s="559"/>
      <c r="K969" s="559"/>
      <c r="L969" s="559"/>
      <c r="M969" s="559"/>
      <c r="N969" s="559"/>
      <c r="O969" s="559"/>
      <c r="P969" s="559"/>
      <c r="Q969" s="559"/>
      <c r="R969" s="559"/>
      <c r="S969" s="559"/>
      <c r="T969" s="559"/>
      <c r="U969" s="559"/>
      <c r="V969" s="559"/>
      <c r="W969" s="559"/>
      <c r="X969" s="559"/>
      <c r="Y969" s="559"/>
      <c r="Z969" s="559"/>
      <c r="AA969" s="559"/>
      <c r="AB969" s="559"/>
      <c r="AC969" s="559"/>
      <c r="AD969" s="559"/>
      <c r="AE969" s="559"/>
      <c r="AF969" s="559"/>
      <c r="AG969" s="559"/>
    </row>
    <row r="970" spans="1:33" ht="18" customHeight="1" x14ac:dyDescent="0.35">
      <c r="A970" s="559"/>
      <c r="B970" s="559"/>
      <c r="C970" s="559"/>
      <c r="D970" s="559"/>
      <c r="E970" s="559"/>
      <c r="F970" s="559"/>
      <c r="G970" s="559"/>
      <c r="H970" s="559"/>
      <c r="I970" s="559"/>
      <c r="J970" s="559"/>
      <c r="K970" s="559"/>
      <c r="L970" s="559"/>
      <c r="M970" s="559"/>
      <c r="N970" s="559"/>
      <c r="O970" s="559"/>
      <c r="P970" s="559"/>
      <c r="Q970" s="559"/>
      <c r="R970" s="559"/>
      <c r="S970" s="559"/>
      <c r="T970" s="559"/>
      <c r="U970" s="559"/>
      <c r="V970" s="559"/>
      <c r="W970" s="559"/>
      <c r="X970" s="559"/>
      <c r="Y970" s="559"/>
      <c r="Z970" s="559"/>
      <c r="AA970" s="559"/>
      <c r="AB970" s="559"/>
      <c r="AC970" s="559"/>
      <c r="AD970" s="559"/>
      <c r="AE970" s="559"/>
      <c r="AF970" s="559"/>
      <c r="AG970" s="559"/>
    </row>
    <row r="971" spans="1:33" ht="18" customHeight="1" x14ac:dyDescent="0.35">
      <c r="A971" s="559"/>
      <c r="B971" s="559"/>
      <c r="C971" s="559"/>
      <c r="D971" s="559"/>
      <c r="E971" s="559"/>
      <c r="F971" s="559"/>
      <c r="G971" s="559"/>
      <c r="H971" s="559"/>
      <c r="I971" s="559"/>
      <c r="J971" s="559"/>
      <c r="K971" s="559"/>
      <c r="L971" s="559"/>
      <c r="M971" s="559"/>
      <c r="N971" s="559"/>
      <c r="O971" s="559"/>
      <c r="P971" s="559"/>
      <c r="Q971" s="559"/>
      <c r="R971" s="559"/>
      <c r="S971" s="559"/>
      <c r="T971" s="559"/>
      <c r="U971" s="559"/>
      <c r="V971" s="559"/>
      <c r="W971" s="559"/>
      <c r="X971" s="559"/>
      <c r="Y971" s="559"/>
      <c r="Z971" s="559"/>
      <c r="AA971" s="559"/>
      <c r="AB971" s="559"/>
      <c r="AC971" s="559"/>
      <c r="AD971" s="559"/>
      <c r="AE971" s="559"/>
      <c r="AF971" s="559"/>
      <c r="AG971" s="559"/>
    </row>
    <row r="972" spans="1:33" ht="18" customHeight="1" x14ac:dyDescent="0.35">
      <c r="A972" s="559"/>
      <c r="B972" s="559"/>
      <c r="C972" s="559"/>
      <c r="D972" s="559"/>
      <c r="E972" s="559"/>
      <c r="F972" s="559"/>
      <c r="G972" s="559"/>
      <c r="H972" s="559"/>
      <c r="I972" s="559"/>
      <c r="J972" s="559"/>
      <c r="K972" s="559"/>
      <c r="L972" s="559"/>
      <c r="M972" s="559"/>
      <c r="N972" s="559"/>
      <c r="O972" s="559"/>
      <c r="P972" s="559"/>
      <c r="Q972" s="559"/>
      <c r="R972" s="559"/>
      <c r="S972" s="559"/>
      <c r="T972" s="559"/>
      <c r="U972" s="559"/>
      <c r="V972" s="559"/>
      <c r="W972" s="559"/>
      <c r="X972" s="559"/>
      <c r="Y972" s="559"/>
      <c r="Z972" s="559"/>
      <c r="AA972" s="559"/>
      <c r="AB972" s="559"/>
      <c r="AC972" s="559"/>
      <c r="AD972" s="559"/>
      <c r="AE972" s="559"/>
      <c r="AF972" s="559"/>
      <c r="AG972" s="559"/>
    </row>
    <row r="973" spans="1:33" ht="18" customHeight="1" x14ac:dyDescent="0.35">
      <c r="A973" s="559"/>
      <c r="B973" s="559"/>
      <c r="C973" s="559"/>
      <c r="D973" s="559"/>
      <c r="E973" s="559"/>
      <c r="F973" s="559"/>
      <c r="G973" s="559"/>
      <c r="H973" s="559"/>
      <c r="I973" s="559"/>
      <c r="J973" s="559"/>
      <c r="K973" s="559"/>
      <c r="L973" s="559"/>
      <c r="M973" s="559"/>
      <c r="N973" s="559"/>
      <c r="O973" s="559"/>
      <c r="P973" s="559"/>
      <c r="Q973" s="559"/>
      <c r="R973" s="559"/>
      <c r="S973" s="559"/>
      <c r="T973" s="559"/>
      <c r="U973" s="559"/>
      <c r="V973" s="559"/>
      <c r="W973" s="559"/>
      <c r="X973" s="559"/>
      <c r="Y973" s="559"/>
      <c r="Z973" s="559"/>
      <c r="AA973" s="559"/>
      <c r="AB973" s="559"/>
      <c r="AC973" s="559"/>
      <c r="AD973" s="559"/>
      <c r="AE973" s="559"/>
      <c r="AF973" s="559"/>
      <c r="AG973" s="559"/>
    </row>
    <row r="974" spans="1:33" ht="18" customHeight="1" x14ac:dyDescent="0.35">
      <c r="A974" s="559"/>
      <c r="B974" s="559"/>
      <c r="C974" s="559"/>
      <c r="D974" s="559"/>
      <c r="E974" s="559"/>
      <c r="F974" s="559"/>
      <c r="G974" s="559"/>
      <c r="H974" s="559"/>
      <c r="I974" s="559"/>
      <c r="J974" s="559"/>
      <c r="K974" s="559"/>
      <c r="L974" s="559"/>
      <c r="M974" s="559"/>
      <c r="N974" s="559"/>
      <c r="O974" s="559"/>
      <c r="P974" s="559"/>
      <c r="Q974" s="559"/>
      <c r="R974" s="559"/>
      <c r="S974" s="559"/>
      <c r="T974" s="559"/>
      <c r="U974" s="559"/>
      <c r="V974" s="559"/>
      <c r="W974" s="559"/>
      <c r="X974" s="559"/>
      <c r="Y974" s="559"/>
      <c r="Z974" s="559"/>
      <c r="AA974" s="559"/>
      <c r="AB974" s="559"/>
      <c r="AC974" s="559"/>
      <c r="AD974" s="559"/>
      <c r="AE974" s="559"/>
      <c r="AF974" s="559"/>
      <c r="AG974" s="559"/>
    </row>
    <row r="975" spans="1:33" ht="18" customHeight="1" x14ac:dyDescent="0.35">
      <c r="A975" s="559"/>
      <c r="B975" s="559"/>
      <c r="C975" s="559"/>
      <c r="D975" s="559"/>
      <c r="E975" s="559"/>
      <c r="F975" s="559"/>
      <c r="G975" s="559"/>
      <c r="H975" s="559"/>
      <c r="I975" s="559"/>
      <c r="J975" s="559"/>
      <c r="K975" s="559"/>
      <c r="L975" s="559"/>
      <c r="M975" s="559"/>
      <c r="N975" s="559"/>
      <c r="O975" s="559"/>
      <c r="P975" s="559"/>
      <c r="Q975" s="559"/>
      <c r="R975" s="559"/>
      <c r="S975" s="559"/>
      <c r="T975" s="559"/>
      <c r="U975" s="559"/>
      <c r="V975" s="559"/>
      <c r="W975" s="559"/>
      <c r="X975" s="559"/>
      <c r="Y975" s="559"/>
      <c r="Z975" s="559"/>
      <c r="AA975" s="559"/>
      <c r="AB975" s="559"/>
      <c r="AC975" s="559"/>
      <c r="AD975" s="559"/>
      <c r="AE975" s="559"/>
      <c r="AF975" s="559"/>
      <c r="AG975" s="559"/>
    </row>
    <row r="976" spans="1:33" ht="18" customHeight="1" x14ac:dyDescent="0.35">
      <c r="A976" s="559"/>
      <c r="B976" s="559"/>
      <c r="C976" s="559"/>
      <c r="D976" s="559"/>
      <c r="E976" s="559"/>
      <c r="F976" s="559"/>
      <c r="G976" s="559"/>
      <c r="H976" s="559"/>
      <c r="I976" s="559"/>
      <c r="J976" s="559"/>
      <c r="K976" s="559"/>
      <c r="L976" s="559"/>
      <c r="M976" s="559"/>
      <c r="N976" s="559"/>
      <c r="O976" s="559"/>
      <c r="P976" s="559"/>
      <c r="Q976" s="559"/>
      <c r="R976" s="559"/>
      <c r="S976" s="559"/>
      <c r="T976" s="559"/>
      <c r="U976" s="559"/>
      <c r="V976" s="559"/>
      <c r="W976" s="559"/>
      <c r="X976" s="559"/>
      <c r="Y976" s="559"/>
      <c r="Z976" s="559"/>
      <c r="AA976" s="559"/>
      <c r="AB976" s="559"/>
      <c r="AC976" s="559"/>
      <c r="AD976" s="559"/>
      <c r="AE976" s="559"/>
      <c r="AF976" s="559"/>
      <c r="AG976" s="559"/>
    </row>
    <row r="977" spans="1:33" ht="18" customHeight="1" x14ac:dyDescent="0.35">
      <c r="A977" s="559"/>
      <c r="B977" s="559"/>
      <c r="C977" s="559"/>
      <c r="D977" s="559"/>
      <c r="E977" s="559"/>
      <c r="F977" s="559"/>
      <c r="G977" s="559"/>
      <c r="H977" s="559"/>
      <c r="I977" s="559"/>
      <c r="J977" s="559"/>
      <c r="K977" s="559"/>
      <c r="L977" s="559"/>
      <c r="M977" s="559"/>
      <c r="N977" s="559"/>
      <c r="O977" s="559"/>
      <c r="P977" s="559"/>
      <c r="Q977" s="559"/>
      <c r="R977" s="559"/>
      <c r="S977" s="559"/>
      <c r="T977" s="559"/>
      <c r="U977" s="559"/>
      <c r="V977" s="559"/>
      <c r="W977" s="559"/>
      <c r="X977" s="559"/>
      <c r="Y977" s="559"/>
      <c r="Z977" s="559"/>
      <c r="AA977" s="559"/>
      <c r="AB977" s="559"/>
      <c r="AC977" s="559"/>
      <c r="AD977" s="559"/>
      <c r="AE977" s="559"/>
      <c r="AF977" s="559"/>
      <c r="AG977" s="559"/>
    </row>
    <row r="978" spans="1:33" ht="18" customHeight="1" x14ac:dyDescent="0.35">
      <c r="A978" s="559"/>
      <c r="B978" s="559"/>
      <c r="C978" s="559"/>
      <c r="D978" s="559"/>
      <c r="E978" s="559"/>
      <c r="F978" s="559"/>
      <c r="G978" s="559"/>
      <c r="H978" s="559"/>
      <c r="I978" s="559"/>
      <c r="J978" s="559"/>
      <c r="K978" s="559"/>
      <c r="L978" s="559"/>
      <c r="M978" s="559"/>
      <c r="N978" s="559"/>
      <c r="O978" s="559"/>
      <c r="P978" s="559"/>
      <c r="Q978" s="559"/>
      <c r="R978" s="559"/>
      <c r="S978" s="559"/>
      <c r="T978" s="559"/>
      <c r="U978" s="559"/>
      <c r="V978" s="559"/>
      <c r="W978" s="559"/>
      <c r="X978" s="559"/>
      <c r="Y978" s="559"/>
      <c r="Z978" s="559"/>
      <c r="AA978" s="559"/>
      <c r="AB978" s="559"/>
      <c r="AC978" s="559"/>
      <c r="AD978" s="559"/>
      <c r="AE978" s="559"/>
      <c r="AF978" s="559"/>
      <c r="AG978" s="559"/>
    </row>
    <row r="979" spans="1:33" ht="18" customHeight="1" x14ac:dyDescent="0.35">
      <c r="A979" s="559"/>
      <c r="B979" s="559"/>
      <c r="C979" s="559"/>
      <c r="D979" s="559"/>
      <c r="E979" s="559"/>
      <c r="F979" s="559"/>
      <c r="G979" s="559"/>
      <c r="H979" s="559"/>
      <c r="I979" s="559"/>
      <c r="J979" s="559"/>
      <c r="K979" s="559"/>
      <c r="L979" s="559"/>
      <c r="M979" s="559"/>
      <c r="N979" s="559"/>
      <c r="O979" s="559"/>
      <c r="P979" s="559"/>
      <c r="Q979" s="559"/>
      <c r="R979" s="559"/>
      <c r="S979" s="559"/>
      <c r="T979" s="559"/>
      <c r="U979" s="559"/>
      <c r="V979" s="559"/>
      <c r="W979" s="559"/>
      <c r="X979" s="559"/>
      <c r="Y979" s="559"/>
      <c r="Z979" s="559"/>
      <c r="AA979" s="559"/>
      <c r="AB979" s="559"/>
      <c r="AC979" s="559"/>
      <c r="AD979" s="559"/>
      <c r="AE979" s="559"/>
      <c r="AF979" s="559"/>
      <c r="AG979" s="559"/>
    </row>
    <row r="980" spans="1:33" ht="18" customHeight="1" x14ac:dyDescent="0.35">
      <c r="A980" s="559"/>
      <c r="B980" s="559"/>
      <c r="C980" s="559"/>
      <c r="D980" s="559"/>
      <c r="E980" s="559"/>
      <c r="F980" s="559"/>
      <c r="G980" s="559"/>
      <c r="H980" s="559"/>
      <c r="I980" s="559"/>
      <c r="J980" s="559"/>
      <c r="K980" s="559"/>
      <c r="L980" s="559"/>
      <c r="M980" s="559"/>
      <c r="N980" s="559"/>
      <c r="O980" s="559"/>
      <c r="P980" s="559"/>
      <c r="Q980" s="559"/>
      <c r="R980" s="559"/>
      <c r="S980" s="559"/>
      <c r="T980" s="559"/>
      <c r="U980" s="559"/>
      <c r="V980" s="559"/>
      <c r="W980" s="559"/>
      <c r="X980" s="559"/>
      <c r="Y980" s="559"/>
      <c r="Z980" s="559"/>
      <c r="AA980" s="559"/>
      <c r="AB980" s="559"/>
      <c r="AC980" s="559"/>
      <c r="AD980" s="559"/>
      <c r="AE980" s="559"/>
      <c r="AF980" s="559"/>
      <c r="AG980" s="559"/>
    </row>
    <row r="981" spans="1:33" ht="18" customHeight="1" x14ac:dyDescent="0.35">
      <c r="A981" s="559"/>
      <c r="B981" s="559"/>
      <c r="C981" s="559"/>
      <c r="D981" s="559"/>
      <c r="E981" s="559"/>
      <c r="F981" s="559"/>
      <c r="G981" s="559"/>
      <c r="H981" s="559"/>
      <c r="I981" s="559"/>
      <c r="J981" s="559"/>
      <c r="K981" s="559"/>
      <c r="L981" s="559"/>
      <c r="M981" s="559"/>
      <c r="N981" s="559"/>
      <c r="O981" s="559"/>
      <c r="P981" s="559"/>
      <c r="Q981" s="559"/>
      <c r="R981" s="559"/>
      <c r="S981" s="559"/>
      <c r="T981" s="559"/>
      <c r="U981" s="559"/>
      <c r="V981" s="559"/>
      <c r="W981" s="559"/>
      <c r="X981" s="559"/>
      <c r="Y981" s="559"/>
      <c r="Z981" s="559"/>
      <c r="AA981" s="559"/>
      <c r="AB981" s="559"/>
      <c r="AC981" s="559"/>
      <c r="AD981" s="559"/>
      <c r="AE981" s="559"/>
      <c r="AF981" s="559"/>
      <c r="AG981" s="559"/>
    </row>
    <row r="982" spans="1:33" ht="18" customHeight="1" x14ac:dyDescent="0.35">
      <c r="A982" s="559"/>
      <c r="B982" s="559"/>
      <c r="C982" s="559"/>
      <c r="D982" s="559"/>
      <c r="E982" s="559"/>
      <c r="F982" s="559"/>
      <c r="G982" s="559"/>
      <c r="H982" s="559"/>
      <c r="I982" s="559"/>
      <c r="J982" s="559"/>
      <c r="K982" s="559"/>
      <c r="L982" s="559"/>
      <c r="M982" s="559"/>
      <c r="N982" s="559"/>
      <c r="O982" s="559"/>
      <c r="P982" s="559"/>
      <c r="Q982" s="559"/>
      <c r="R982" s="559"/>
      <c r="S982" s="559"/>
      <c r="T982" s="559"/>
      <c r="U982" s="559"/>
      <c r="V982" s="559"/>
      <c r="W982" s="559"/>
      <c r="X982" s="559"/>
      <c r="Y982" s="559"/>
      <c r="Z982" s="559"/>
      <c r="AA982" s="559"/>
      <c r="AB982" s="559"/>
      <c r="AC982" s="559"/>
      <c r="AD982" s="559"/>
      <c r="AE982" s="559"/>
      <c r="AF982" s="559"/>
      <c r="AG982" s="559"/>
    </row>
    <row r="983" spans="1:33" ht="18" customHeight="1" x14ac:dyDescent="0.35">
      <c r="A983" s="559"/>
      <c r="B983" s="559"/>
      <c r="C983" s="559"/>
      <c r="D983" s="559"/>
      <c r="E983" s="559"/>
      <c r="F983" s="559"/>
      <c r="G983" s="559"/>
      <c r="H983" s="559"/>
      <c r="I983" s="559"/>
      <c r="J983" s="559"/>
      <c r="K983" s="559"/>
      <c r="L983" s="559"/>
      <c r="M983" s="559"/>
      <c r="N983" s="559"/>
      <c r="O983" s="559"/>
      <c r="P983" s="559"/>
      <c r="Q983" s="559"/>
      <c r="R983" s="559"/>
      <c r="S983" s="559"/>
      <c r="T983" s="559"/>
      <c r="U983" s="559"/>
      <c r="V983" s="559"/>
      <c r="W983" s="559"/>
      <c r="X983" s="559"/>
      <c r="Y983" s="559"/>
      <c r="Z983" s="559"/>
      <c r="AA983" s="559"/>
      <c r="AB983" s="559"/>
      <c r="AC983" s="559"/>
      <c r="AD983" s="559"/>
      <c r="AE983" s="559"/>
      <c r="AF983" s="559"/>
      <c r="AG983" s="559"/>
    </row>
    <row r="984" spans="1:33" ht="18" customHeight="1" x14ac:dyDescent="0.35">
      <c r="A984" s="559"/>
      <c r="B984" s="559"/>
      <c r="C984" s="559"/>
      <c r="D984" s="559"/>
      <c r="E984" s="559"/>
      <c r="F984" s="559"/>
      <c r="G984" s="559"/>
      <c r="H984" s="559"/>
      <c r="I984" s="559"/>
      <c r="J984" s="559"/>
      <c r="K984" s="559"/>
      <c r="L984" s="559"/>
      <c r="M984" s="559"/>
      <c r="N984" s="559"/>
      <c r="O984" s="559"/>
      <c r="P984" s="559"/>
      <c r="Q984" s="559"/>
      <c r="R984" s="559"/>
      <c r="S984" s="559"/>
      <c r="T984" s="559"/>
      <c r="U984" s="559"/>
      <c r="V984" s="559"/>
      <c r="W984" s="559"/>
      <c r="X984" s="559"/>
      <c r="Y984" s="559"/>
      <c r="Z984" s="559"/>
      <c r="AA984" s="559"/>
      <c r="AB984" s="559"/>
      <c r="AC984" s="559"/>
      <c r="AD984" s="559"/>
      <c r="AE984" s="559"/>
      <c r="AF984" s="559"/>
      <c r="AG984" s="559"/>
    </row>
    <row r="985" spans="1:33" ht="18" customHeight="1" x14ac:dyDescent="0.35">
      <c r="A985" s="559"/>
      <c r="B985" s="559"/>
      <c r="C985" s="559"/>
      <c r="D985" s="559"/>
      <c r="E985" s="559"/>
      <c r="F985" s="559"/>
      <c r="G985" s="559"/>
      <c r="H985" s="559"/>
      <c r="I985" s="559"/>
      <c r="J985" s="559"/>
      <c r="K985" s="559"/>
      <c r="L985" s="559"/>
      <c r="M985" s="559"/>
      <c r="N985" s="559"/>
      <c r="O985" s="559"/>
      <c r="P985" s="559"/>
      <c r="Q985" s="559"/>
      <c r="R985" s="559"/>
      <c r="S985" s="559"/>
      <c r="T985" s="559"/>
      <c r="U985" s="559"/>
      <c r="V985" s="559"/>
      <c r="W985" s="559"/>
      <c r="X985" s="559"/>
      <c r="Y985" s="559"/>
      <c r="Z985" s="559"/>
      <c r="AA985" s="559"/>
      <c r="AB985" s="559"/>
      <c r="AC985" s="559"/>
      <c r="AD985" s="559"/>
      <c r="AE985" s="559"/>
      <c r="AF985" s="559"/>
      <c r="AG985" s="559"/>
    </row>
    <row r="986" spans="1:33" ht="18" customHeight="1" x14ac:dyDescent="0.35">
      <c r="A986" s="559"/>
      <c r="B986" s="559"/>
      <c r="C986" s="559"/>
      <c r="D986" s="559"/>
      <c r="E986" s="559"/>
      <c r="F986" s="559"/>
      <c r="G986" s="559"/>
      <c r="H986" s="559"/>
      <c r="I986" s="559"/>
      <c r="J986" s="559"/>
      <c r="K986" s="559"/>
      <c r="L986" s="559"/>
      <c r="M986" s="559"/>
      <c r="N986" s="559"/>
      <c r="O986" s="559"/>
      <c r="P986" s="559"/>
      <c r="Q986" s="559"/>
      <c r="R986" s="559"/>
      <c r="S986" s="559"/>
      <c r="T986" s="559"/>
      <c r="U986" s="559"/>
      <c r="V986" s="559"/>
      <c r="W986" s="559"/>
      <c r="X986" s="559"/>
      <c r="Y986" s="559"/>
      <c r="Z986" s="559"/>
      <c r="AA986" s="559"/>
      <c r="AB986" s="559"/>
      <c r="AC986" s="559"/>
      <c r="AD986" s="559"/>
      <c r="AE986" s="559"/>
      <c r="AF986" s="559"/>
      <c r="AG986" s="559"/>
    </row>
    <row r="987" spans="1:33" ht="18" customHeight="1" x14ac:dyDescent="0.35">
      <c r="A987" s="559"/>
      <c r="B987" s="559"/>
      <c r="C987" s="559"/>
      <c r="D987" s="559"/>
      <c r="E987" s="559"/>
      <c r="F987" s="559"/>
      <c r="G987" s="559"/>
      <c r="H987" s="559"/>
      <c r="I987" s="559"/>
      <c r="J987" s="559"/>
      <c r="K987" s="559"/>
      <c r="L987" s="559"/>
      <c r="M987" s="559"/>
      <c r="N987" s="559"/>
      <c r="O987" s="559"/>
      <c r="P987" s="559"/>
      <c r="Q987" s="559"/>
      <c r="R987" s="559"/>
      <c r="S987" s="559"/>
      <c r="T987" s="559"/>
      <c r="U987" s="559"/>
      <c r="V987" s="559"/>
      <c r="W987" s="559"/>
      <c r="X987" s="559"/>
      <c r="Y987" s="559"/>
      <c r="Z987" s="559"/>
      <c r="AA987" s="559"/>
      <c r="AB987" s="559"/>
      <c r="AC987" s="559"/>
      <c r="AD987" s="559"/>
      <c r="AE987" s="559"/>
      <c r="AF987" s="559"/>
      <c r="AG987" s="559"/>
    </row>
    <row r="988" spans="1:33" ht="18" customHeight="1" x14ac:dyDescent="0.35">
      <c r="A988" s="559"/>
      <c r="B988" s="559"/>
      <c r="C988" s="559"/>
      <c r="D988" s="559"/>
      <c r="E988" s="559"/>
      <c r="F988" s="559"/>
      <c r="G988" s="559"/>
      <c r="H988" s="559"/>
      <c r="I988" s="559"/>
      <c r="J988" s="559"/>
      <c r="K988" s="559"/>
      <c r="L988" s="559"/>
      <c r="M988" s="559"/>
      <c r="N988" s="559"/>
      <c r="O988" s="559"/>
      <c r="P988" s="559"/>
      <c r="Q988" s="559"/>
      <c r="R988" s="559"/>
      <c r="S988" s="559"/>
      <c r="T988" s="559"/>
      <c r="U988" s="559"/>
      <c r="V988" s="559"/>
      <c r="W988" s="559"/>
      <c r="X988" s="559"/>
      <c r="Y988" s="559"/>
      <c r="Z988" s="559"/>
      <c r="AA988" s="559"/>
      <c r="AB988" s="559"/>
      <c r="AC988" s="559"/>
      <c r="AD988" s="559"/>
      <c r="AE988" s="559"/>
      <c r="AF988" s="559"/>
      <c r="AG988" s="559"/>
    </row>
    <row r="989" spans="1:33" ht="18" customHeight="1" x14ac:dyDescent="0.35">
      <c r="A989" s="559"/>
      <c r="B989" s="559"/>
      <c r="C989" s="559"/>
      <c r="D989" s="559"/>
      <c r="E989" s="559"/>
      <c r="F989" s="559"/>
      <c r="G989" s="559"/>
      <c r="H989" s="559"/>
      <c r="I989" s="559"/>
      <c r="J989" s="559"/>
      <c r="K989" s="559"/>
      <c r="L989" s="559"/>
      <c r="M989" s="559"/>
      <c r="N989" s="559"/>
      <c r="O989" s="559"/>
      <c r="P989" s="559"/>
      <c r="Q989" s="559"/>
      <c r="R989" s="559"/>
      <c r="S989" s="559"/>
      <c r="T989" s="559"/>
      <c r="U989" s="559"/>
      <c r="V989" s="559"/>
      <c r="W989" s="559"/>
      <c r="X989" s="559"/>
      <c r="Y989" s="559"/>
      <c r="Z989" s="559"/>
      <c r="AA989" s="559"/>
      <c r="AB989" s="559"/>
      <c r="AC989" s="559"/>
      <c r="AD989" s="559"/>
      <c r="AE989" s="559"/>
      <c r="AF989" s="559"/>
      <c r="AG989" s="559"/>
    </row>
    <row r="990" spans="1:33" ht="18" customHeight="1" x14ac:dyDescent="0.35">
      <c r="A990" s="559"/>
      <c r="B990" s="559"/>
      <c r="C990" s="559"/>
      <c r="D990" s="559"/>
      <c r="E990" s="559"/>
      <c r="F990" s="559"/>
      <c r="G990" s="559"/>
      <c r="H990" s="559"/>
      <c r="I990" s="559"/>
      <c r="J990" s="559"/>
      <c r="K990" s="559"/>
      <c r="L990" s="559"/>
      <c r="M990" s="559"/>
      <c r="N990" s="559"/>
      <c r="O990" s="559"/>
      <c r="P990" s="559"/>
      <c r="Q990" s="559"/>
      <c r="R990" s="559"/>
      <c r="S990" s="559"/>
      <c r="T990" s="559"/>
      <c r="U990" s="559"/>
      <c r="V990" s="559"/>
      <c r="W990" s="559"/>
      <c r="X990" s="559"/>
      <c r="Y990" s="559"/>
      <c r="Z990" s="559"/>
      <c r="AA990" s="559"/>
      <c r="AB990" s="559"/>
      <c r="AC990" s="559"/>
      <c r="AD990" s="559"/>
      <c r="AE990" s="559"/>
      <c r="AF990" s="559"/>
      <c r="AG990" s="559"/>
    </row>
    <row r="991" spans="1:33" ht="18" customHeight="1" x14ac:dyDescent="0.35">
      <c r="A991" s="559"/>
      <c r="B991" s="559"/>
      <c r="C991" s="559"/>
      <c r="D991" s="559"/>
      <c r="E991" s="559"/>
      <c r="F991" s="559"/>
      <c r="G991" s="559"/>
      <c r="H991" s="559"/>
      <c r="I991" s="559"/>
      <c r="J991" s="559"/>
      <c r="K991" s="559"/>
      <c r="L991" s="559"/>
      <c r="M991" s="559"/>
      <c r="N991" s="559"/>
      <c r="O991" s="559"/>
      <c r="P991" s="559"/>
      <c r="Q991" s="559"/>
      <c r="R991" s="559"/>
      <c r="S991" s="559"/>
      <c r="T991" s="559"/>
      <c r="U991" s="559"/>
      <c r="V991" s="559"/>
      <c r="W991" s="559"/>
      <c r="X991" s="559"/>
      <c r="Y991" s="559"/>
      <c r="Z991" s="559"/>
      <c r="AA991" s="559"/>
      <c r="AB991" s="559"/>
      <c r="AC991" s="559"/>
      <c r="AD991" s="559"/>
      <c r="AE991" s="559"/>
      <c r="AF991" s="559"/>
      <c r="AG991" s="559"/>
    </row>
    <row r="992" spans="1:33" ht="18" customHeight="1" x14ac:dyDescent="0.35">
      <c r="A992" s="559"/>
      <c r="B992" s="559"/>
      <c r="C992" s="559"/>
      <c r="D992" s="559"/>
      <c r="E992" s="559"/>
      <c r="F992" s="559"/>
      <c r="G992" s="559"/>
      <c r="H992" s="559"/>
      <c r="I992" s="559"/>
      <c r="J992" s="559"/>
      <c r="K992" s="559"/>
      <c r="L992" s="559"/>
      <c r="M992" s="559"/>
      <c r="N992" s="559"/>
      <c r="O992" s="559"/>
      <c r="P992" s="559"/>
      <c r="Q992" s="559"/>
      <c r="R992" s="559"/>
      <c r="S992" s="559"/>
      <c r="T992" s="559"/>
      <c r="U992" s="559"/>
      <c r="V992" s="559"/>
      <c r="W992" s="559"/>
      <c r="X992" s="559"/>
      <c r="Y992" s="559"/>
      <c r="Z992" s="559"/>
      <c r="AA992" s="559"/>
      <c r="AB992" s="559"/>
      <c r="AC992" s="559"/>
      <c r="AD992" s="559"/>
      <c r="AE992" s="559"/>
      <c r="AF992" s="559"/>
      <c r="AG992" s="559"/>
    </row>
    <row r="993" spans="1:33" ht="18" customHeight="1" x14ac:dyDescent="0.35">
      <c r="A993" s="559"/>
      <c r="B993" s="559"/>
      <c r="C993" s="559"/>
      <c r="D993" s="559"/>
      <c r="E993" s="559"/>
      <c r="F993" s="559"/>
      <c r="G993" s="559"/>
      <c r="H993" s="559"/>
      <c r="I993" s="559"/>
      <c r="J993" s="559"/>
      <c r="K993" s="559"/>
      <c r="L993" s="559"/>
      <c r="M993" s="559"/>
      <c r="N993" s="559"/>
      <c r="O993" s="559"/>
      <c r="P993" s="559"/>
      <c r="Q993" s="559"/>
      <c r="R993" s="559"/>
      <c r="S993" s="559"/>
      <c r="T993" s="559"/>
      <c r="U993" s="559"/>
      <c r="V993" s="559"/>
      <c r="W993" s="559"/>
      <c r="X993" s="559"/>
      <c r="Y993" s="559"/>
      <c r="Z993" s="559"/>
      <c r="AA993" s="559"/>
      <c r="AB993" s="559"/>
      <c r="AC993" s="559"/>
      <c r="AD993" s="559"/>
      <c r="AE993" s="559"/>
      <c r="AF993" s="559"/>
      <c r="AG993" s="559"/>
    </row>
    <row r="994" spans="1:33" ht="18" customHeight="1" x14ac:dyDescent="0.35">
      <c r="A994" s="559"/>
      <c r="B994" s="559"/>
      <c r="C994" s="559"/>
      <c r="D994" s="559"/>
      <c r="E994" s="559"/>
      <c r="F994" s="559"/>
      <c r="G994" s="559"/>
      <c r="H994" s="559"/>
      <c r="I994" s="559"/>
      <c r="J994" s="559"/>
      <c r="K994" s="559"/>
      <c r="L994" s="559"/>
      <c r="M994" s="559"/>
      <c r="N994" s="559"/>
      <c r="O994" s="559"/>
      <c r="P994" s="559"/>
      <c r="Q994" s="559"/>
      <c r="R994" s="559"/>
      <c r="S994" s="559"/>
      <c r="T994" s="559"/>
      <c r="U994" s="559"/>
      <c r="V994" s="559"/>
      <c r="W994" s="559"/>
      <c r="X994" s="559"/>
      <c r="Y994" s="559"/>
      <c r="Z994" s="559"/>
      <c r="AA994" s="559"/>
      <c r="AB994" s="559"/>
      <c r="AC994" s="559"/>
      <c r="AD994" s="559"/>
      <c r="AE994" s="559"/>
      <c r="AF994" s="559"/>
      <c r="AG994" s="559"/>
    </row>
    <row r="995" spans="1:33" ht="18" customHeight="1" x14ac:dyDescent="0.35">
      <c r="A995" s="559"/>
      <c r="B995" s="559"/>
      <c r="C995" s="559"/>
      <c r="D995" s="559"/>
      <c r="E995" s="559"/>
      <c r="F995" s="559"/>
      <c r="G995" s="559"/>
      <c r="H995" s="559"/>
      <c r="I995" s="559"/>
      <c r="J995" s="559"/>
      <c r="K995" s="559"/>
      <c r="L995" s="559"/>
      <c r="M995" s="559"/>
      <c r="N995" s="559"/>
      <c r="O995" s="559"/>
      <c r="P995" s="559"/>
      <c r="Q995" s="559"/>
      <c r="R995" s="559"/>
      <c r="S995" s="559"/>
      <c r="T995" s="559"/>
      <c r="U995" s="559"/>
      <c r="V995" s="559"/>
      <c r="W995" s="559"/>
      <c r="X995" s="559"/>
      <c r="Y995" s="559"/>
      <c r="Z995" s="559"/>
      <c r="AA995" s="559"/>
      <c r="AB995" s="559"/>
      <c r="AC995" s="559"/>
      <c r="AD995" s="559"/>
      <c r="AE995" s="559"/>
      <c r="AF995" s="559"/>
      <c r="AG995" s="559"/>
    </row>
    <row r="996" spans="1:33" ht="18" customHeight="1" x14ac:dyDescent="0.35">
      <c r="A996" s="559"/>
      <c r="B996" s="559"/>
      <c r="C996" s="559"/>
      <c r="D996" s="559"/>
      <c r="E996" s="559"/>
      <c r="F996" s="559"/>
      <c r="G996" s="559"/>
      <c r="H996" s="559"/>
      <c r="I996" s="559"/>
      <c r="J996" s="559"/>
      <c r="K996" s="559"/>
      <c r="L996" s="559"/>
      <c r="M996" s="559"/>
      <c r="N996" s="559"/>
      <c r="O996" s="559"/>
      <c r="P996" s="559"/>
      <c r="Q996" s="559"/>
      <c r="R996" s="559"/>
      <c r="S996" s="559"/>
      <c r="T996" s="559"/>
      <c r="U996" s="559"/>
      <c r="V996" s="559"/>
      <c r="W996" s="559"/>
      <c r="X996" s="559"/>
      <c r="Y996" s="559"/>
      <c r="Z996" s="559"/>
      <c r="AA996" s="559"/>
      <c r="AB996" s="559"/>
      <c r="AC996" s="559"/>
      <c r="AD996" s="559"/>
      <c r="AE996" s="559"/>
      <c r="AF996" s="559"/>
      <c r="AG996" s="559"/>
    </row>
    <row r="997" spans="1:33" ht="18" customHeight="1" x14ac:dyDescent="0.35">
      <c r="A997" s="559"/>
      <c r="B997" s="559"/>
      <c r="C997" s="559"/>
      <c r="D997" s="559"/>
      <c r="E997" s="559"/>
      <c r="F997" s="559"/>
      <c r="G997" s="559"/>
      <c r="H997" s="559"/>
      <c r="I997" s="559"/>
      <c r="J997" s="559"/>
      <c r="K997" s="559"/>
      <c r="L997" s="559"/>
      <c r="M997" s="559"/>
      <c r="N997" s="559"/>
      <c r="O997" s="559"/>
      <c r="P997" s="559"/>
      <c r="Q997" s="559"/>
      <c r="R997" s="559"/>
      <c r="S997" s="559"/>
      <c r="T997" s="559"/>
      <c r="U997" s="559"/>
      <c r="V997" s="559"/>
      <c r="W997" s="559"/>
      <c r="X997" s="559"/>
      <c r="Y997" s="559"/>
      <c r="Z997" s="559"/>
      <c r="AA997" s="559"/>
      <c r="AB997" s="559"/>
      <c r="AC997" s="559"/>
      <c r="AD997" s="559"/>
      <c r="AE997" s="559"/>
      <c r="AF997" s="559"/>
      <c r="AG997" s="559"/>
    </row>
    <row r="998" spans="1:33" ht="18" customHeight="1" x14ac:dyDescent="0.35">
      <c r="A998" s="559"/>
      <c r="B998" s="559"/>
      <c r="C998" s="559"/>
      <c r="D998" s="559"/>
      <c r="E998" s="559"/>
      <c r="F998" s="559"/>
      <c r="G998" s="559"/>
      <c r="H998" s="559"/>
      <c r="I998" s="559"/>
      <c r="J998" s="559"/>
      <c r="K998" s="559"/>
      <c r="L998" s="559"/>
      <c r="M998" s="559"/>
      <c r="N998" s="559"/>
      <c r="O998" s="559"/>
      <c r="P998" s="559"/>
      <c r="Q998" s="559"/>
      <c r="R998" s="559"/>
      <c r="S998" s="559"/>
      <c r="T998" s="559"/>
      <c r="U998" s="559"/>
      <c r="V998" s="559"/>
      <c r="W998" s="559"/>
      <c r="X998" s="559"/>
      <c r="Y998" s="559"/>
      <c r="Z998" s="559"/>
      <c r="AA998" s="559"/>
      <c r="AB998" s="559"/>
      <c r="AC998" s="559"/>
      <c r="AD998" s="559"/>
      <c r="AE998" s="559"/>
      <c r="AF998" s="559"/>
      <c r="AG998" s="559"/>
    </row>
    <row r="999" spans="1:33" ht="18" customHeight="1" x14ac:dyDescent="0.35">
      <c r="A999" s="559"/>
      <c r="B999" s="559"/>
      <c r="C999" s="559"/>
      <c r="D999" s="559"/>
      <c r="E999" s="559"/>
      <c r="F999" s="559"/>
      <c r="G999" s="559"/>
      <c r="H999" s="559"/>
      <c r="I999" s="559"/>
      <c r="J999" s="559"/>
      <c r="K999" s="559"/>
      <c r="L999" s="559"/>
      <c r="M999" s="559"/>
      <c r="N999" s="559"/>
      <c r="O999" s="559"/>
      <c r="P999" s="559"/>
      <c r="Q999" s="559"/>
      <c r="R999" s="559"/>
      <c r="S999" s="559"/>
      <c r="T999" s="559"/>
      <c r="U999" s="559"/>
      <c r="V999" s="559"/>
      <c r="W999" s="559"/>
      <c r="X999" s="559"/>
      <c r="Y999" s="559"/>
      <c r="Z999" s="559"/>
      <c r="AA999" s="559"/>
      <c r="AB999" s="559"/>
      <c r="AC999" s="559"/>
      <c r="AD999" s="559"/>
      <c r="AE999" s="559"/>
      <c r="AF999" s="559"/>
      <c r="AG999" s="559"/>
    </row>
    <row r="1000" spans="1:33" ht="18" customHeight="1" x14ac:dyDescent="0.35">
      <c r="A1000" s="559"/>
      <c r="B1000" s="559"/>
      <c r="C1000" s="559"/>
      <c r="D1000" s="559"/>
      <c r="E1000" s="559"/>
      <c r="F1000" s="559"/>
      <c r="G1000" s="559"/>
      <c r="H1000" s="559"/>
      <c r="I1000" s="559"/>
      <c r="J1000" s="559"/>
      <c r="K1000" s="559"/>
      <c r="L1000" s="559"/>
      <c r="M1000" s="559"/>
      <c r="N1000" s="559"/>
      <c r="O1000" s="559"/>
      <c r="P1000" s="559"/>
      <c r="Q1000" s="559"/>
      <c r="R1000" s="559"/>
      <c r="S1000" s="559"/>
      <c r="T1000" s="559"/>
      <c r="U1000" s="559"/>
      <c r="V1000" s="559"/>
      <c r="W1000" s="559"/>
      <c r="X1000" s="559"/>
      <c r="Y1000" s="559"/>
      <c r="Z1000" s="559"/>
      <c r="AA1000" s="559"/>
      <c r="AB1000" s="559"/>
      <c r="AC1000" s="559"/>
      <c r="AD1000" s="559"/>
      <c r="AE1000" s="559"/>
      <c r="AF1000" s="559"/>
      <c r="AG1000" s="559"/>
    </row>
  </sheetData>
  <mergeCells count="14">
    <mergeCell ref="I24:K29"/>
    <mergeCell ref="C28:F29"/>
    <mergeCell ref="B38:C38"/>
    <mergeCell ref="A1:H2"/>
    <mergeCell ref="E13:G13"/>
    <mergeCell ref="E14:G14"/>
    <mergeCell ref="E16:G18"/>
    <mergeCell ref="F20:G20"/>
    <mergeCell ref="F21:G21"/>
    <mergeCell ref="A25:B28"/>
    <mergeCell ref="D25:E25"/>
    <mergeCell ref="D33:E33"/>
    <mergeCell ref="D34:E34"/>
    <mergeCell ref="D35:E35"/>
  </mergeCells>
  <conditionalFormatting sqref="C3 F3 C19">
    <cfRule type="beginsWith" dxfId="34" priority="1" operator="beginsWith" text="Boulons">
      <formula>LEFT((C3),LEN("Boulons"))=("Boulons")</formula>
    </cfRule>
  </conditionalFormatting>
  <conditionalFormatting sqref="C3">
    <cfRule type="containsText" dxfId="33" priority="2" operator="containsText" text="Boulons et Platines">
      <formula>NOT(ISERROR(SEARCH(("Boulons et Platines"),(C3))))</formula>
    </cfRule>
  </conditionalFormatting>
  <conditionalFormatting sqref="F3">
    <cfRule type="containsText" dxfId="32" priority="3" operator="containsText" text="Boulons et Platines">
      <formula>NOT(ISERROR(SEARCH(("Boulons et Platines"),(F3))))</formula>
    </cfRule>
  </conditionalFormatting>
  <conditionalFormatting sqref="F19">
    <cfRule type="containsText" dxfId="31" priority="4" operator="containsText" text="Oui">
      <formula>NOT(ISERROR(SEARCH(("Oui"),(F19))))</formula>
    </cfRule>
  </conditionalFormatting>
  <dataValidations count="12">
    <dataValidation type="list" allowBlank="1" showErrorMessage="1" sqref="C15" xr:uid="{00000000-0002-0000-0B00-000000000000}">
      <formula1>$A$178:$A$179</formula1>
    </dataValidation>
    <dataValidation type="list" allowBlank="1" showErrorMessage="1" sqref="C17" xr:uid="{00000000-0002-0000-0B00-000001000000}">
      <formula1>$A$155:$A$161</formula1>
    </dataValidation>
    <dataValidation type="list" allowBlank="1" showErrorMessage="1" sqref="C33" xr:uid="{00000000-0002-0000-0B00-000002000000}">
      <formula1>$A$228:$A$241</formula1>
    </dataValidation>
    <dataValidation type="list" allowBlank="1" showErrorMessage="1" sqref="C36" xr:uid="{00000000-0002-0000-0B00-000003000000}">
      <formula1>$A$189:$A$198</formula1>
    </dataValidation>
    <dataValidation type="list" allowBlank="1" showErrorMessage="1" sqref="F23" xr:uid="{00000000-0002-0000-0B00-000004000000}">
      <formula1>$A$204:$A$207</formula1>
    </dataValidation>
    <dataValidation type="list" allowBlank="1" showErrorMessage="1" sqref="F35" xr:uid="{00000000-0002-0000-0B00-000005000000}">
      <formula1>IF($D$35="Type de mousse du Calage",$A$200:$A$202,0)</formula1>
    </dataValidation>
    <dataValidation type="list" allowBlank="1" showErrorMessage="1" sqref="C19" xr:uid="{00000000-0002-0000-0B00-000006000000}">
      <formula1>$A$163:$A$164</formula1>
    </dataValidation>
    <dataValidation type="list" allowBlank="1" showErrorMessage="1" sqref="C13" xr:uid="{00000000-0002-0000-0B00-000007000000}">
      <formula1>$A$174:$A$175</formula1>
    </dataValidation>
    <dataValidation type="list" allowBlank="1" showErrorMessage="1" sqref="C35" xr:uid="{00000000-0002-0000-0B00-000008000000}">
      <formula1>$A$181:$A$187</formula1>
    </dataValidation>
    <dataValidation type="list" allowBlank="1" showErrorMessage="1" sqref="F33" xr:uid="{00000000-0002-0000-0B00-000009000000}">
      <formula1>IF($D$33="Type de mousse",$A$209:$A$211,IF($D$33="Nombre",$A$213:$A$218,0))</formula1>
    </dataValidation>
    <dataValidation type="list" allowBlank="1" showErrorMessage="1" sqref="F15 F19 C23" xr:uid="{00000000-0002-0000-0B00-00000A000000}">
      <formula1>$A$220:$A$221</formula1>
    </dataValidation>
    <dataValidation type="list" allowBlank="1" showErrorMessage="1" sqref="F21" xr:uid="{00000000-0002-0000-0B00-00000B000000}">
      <formula1>$A$166:$A$168</formula1>
    </dataValidation>
  </dataValidations>
  <pageMargins left="0.51181102362204722" right="0.11811023622047245" top="0.55118110236220474" bottom="0.55118110236220474" header="0" footer="0"/>
  <pageSetup paperSize="9" orientation="landscape"/>
  <legacy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92D050"/>
  </sheetPr>
  <dimension ref="A1:AG1000"/>
  <sheetViews>
    <sheetView topLeftCell="A21" zoomScale="60" zoomScaleNormal="60" workbookViewId="0">
      <selection activeCell="F10" sqref="F10"/>
    </sheetView>
  </sheetViews>
  <sheetFormatPr baseColWidth="10" defaultColWidth="14.44140625" defaultRowHeight="14.4" x14ac:dyDescent="0.3"/>
  <cols>
    <col min="1" max="1" width="25.5546875" customWidth="1"/>
    <col min="2" max="2" width="34.44140625" customWidth="1"/>
    <col min="3" max="3" width="34.6640625" customWidth="1"/>
    <col min="4" max="4" width="19.6640625" customWidth="1"/>
    <col min="5" max="5" width="25.109375" customWidth="1"/>
    <col min="6" max="6" width="27.33203125" customWidth="1"/>
    <col min="7" max="7" width="30.6640625" customWidth="1"/>
    <col min="8" max="8" width="27.44140625" customWidth="1"/>
    <col min="9" max="9" width="17.5546875" customWidth="1"/>
    <col min="10" max="10" width="21.109375" customWidth="1"/>
    <col min="11" max="11" width="11.5546875" customWidth="1"/>
    <col min="12" max="12" width="12.88671875" customWidth="1"/>
    <col min="13" max="13" width="15.6640625" customWidth="1"/>
    <col min="14" max="14" width="25.5546875" customWidth="1"/>
    <col min="15" max="15" width="14.5546875" customWidth="1"/>
    <col min="16" max="17" width="11.44140625" customWidth="1"/>
    <col min="18" max="18" width="14" customWidth="1"/>
    <col min="19" max="19" width="11.44140625" customWidth="1"/>
    <col min="20" max="20" width="15.109375" customWidth="1"/>
    <col min="21" max="27" width="11.44140625" customWidth="1"/>
    <col min="28" max="28" width="14" customWidth="1"/>
    <col min="29" max="33" width="11.44140625" customWidth="1"/>
  </cols>
  <sheetData>
    <row r="1" spans="1:33" ht="18" x14ac:dyDescent="0.35">
      <c r="A1" s="1084" t="s">
        <v>356</v>
      </c>
      <c r="B1" s="1085"/>
      <c r="C1" s="1085"/>
      <c r="D1" s="1085"/>
      <c r="E1" s="1085"/>
      <c r="F1" s="1085"/>
      <c r="G1" s="1085"/>
      <c r="H1" s="1085"/>
      <c r="I1" s="1085"/>
      <c r="J1" s="1086"/>
      <c r="K1" s="559"/>
      <c r="L1" s="559"/>
      <c r="M1" s="559"/>
      <c r="N1" s="559"/>
      <c r="O1" s="559"/>
      <c r="P1" s="559"/>
      <c r="Q1" s="559"/>
      <c r="R1" s="559"/>
      <c r="S1" s="559"/>
      <c r="T1" s="559"/>
      <c r="U1" s="559"/>
      <c r="V1" s="559"/>
      <c r="W1" s="559"/>
      <c r="X1" s="559"/>
      <c r="Y1" s="559"/>
      <c r="Z1" s="559"/>
      <c r="AA1" s="559"/>
      <c r="AB1" s="559"/>
      <c r="AC1" s="559"/>
      <c r="AD1" s="559"/>
      <c r="AE1" s="559"/>
      <c r="AF1" s="559"/>
      <c r="AG1" s="559"/>
    </row>
    <row r="2" spans="1:33" ht="18" x14ac:dyDescent="0.35">
      <c r="A2" s="1087"/>
      <c r="B2" s="1088"/>
      <c r="C2" s="1088"/>
      <c r="D2" s="1088"/>
      <c r="E2" s="1088"/>
      <c r="F2" s="1088"/>
      <c r="G2" s="1088"/>
      <c r="H2" s="1088"/>
      <c r="I2" s="1088"/>
      <c r="J2" s="1089"/>
      <c r="K2" s="559"/>
      <c r="L2" s="559"/>
      <c r="M2" s="559"/>
      <c r="N2" s="559"/>
      <c r="O2" s="559"/>
      <c r="P2" s="559"/>
      <c r="Q2" s="559"/>
      <c r="R2" s="559"/>
      <c r="S2" s="559"/>
      <c r="T2" s="559"/>
      <c r="U2" s="559"/>
      <c r="V2" s="559"/>
      <c r="W2" s="559"/>
      <c r="X2" s="559"/>
      <c r="Y2" s="559"/>
      <c r="Z2" s="559"/>
      <c r="AA2" s="559"/>
      <c r="AB2" s="559"/>
      <c r="AC2" s="559"/>
      <c r="AD2" s="559"/>
      <c r="AE2" s="559"/>
      <c r="AF2" s="559"/>
      <c r="AG2" s="559"/>
    </row>
    <row r="3" spans="1:33" ht="18" x14ac:dyDescent="0.35">
      <c r="A3" s="559"/>
      <c r="B3" s="559"/>
      <c r="C3" s="560">
        <f>IF(C19="Boulons et platines","Boulons et Platines GC",0)</f>
        <v>0</v>
      </c>
      <c r="D3" s="560">
        <f>IF(C3="Boulons et Platines GC","Nbre de Trous",0)</f>
        <v>0</v>
      </c>
      <c r="E3" s="561">
        <f>IF(C3="Boulons et Platines GC","Dim du Bord",0)</f>
        <v>0</v>
      </c>
      <c r="F3" s="560">
        <f>IF(C19="Boulons et platines","Boulons et Platines CV",0)</f>
        <v>0</v>
      </c>
      <c r="G3" s="560">
        <f>IF(F3="Boulons et Platines CV","Nbre de Trous",0)</f>
        <v>0</v>
      </c>
      <c r="H3" s="561">
        <f>IF(F3="Boulons et Platines CV","Dim du Bord",0)</f>
        <v>0</v>
      </c>
      <c r="I3" s="559"/>
      <c r="J3" s="559"/>
      <c r="K3" s="559"/>
      <c r="L3" s="559"/>
      <c r="M3" s="559"/>
      <c r="N3" s="559"/>
      <c r="O3" s="559"/>
      <c r="P3" s="559"/>
      <c r="Q3" s="559"/>
      <c r="R3" s="559"/>
      <c r="S3" s="559"/>
      <c r="T3" s="559"/>
      <c r="U3" s="559"/>
      <c r="V3" s="559"/>
      <c r="W3" s="559"/>
      <c r="X3" s="559"/>
      <c r="Y3" s="559"/>
      <c r="Z3" s="559"/>
      <c r="AA3" s="559"/>
      <c r="AB3" s="559"/>
      <c r="AC3" s="559"/>
      <c r="AD3" s="559"/>
      <c r="AE3" s="559"/>
      <c r="AF3" s="559"/>
      <c r="AG3" s="559"/>
    </row>
    <row r="4" spans="1:33" ht="18" x14ac:dyDescent="0.35">
      <c r="A4" s="559"/>
      <c r="B4" s="559"/>
      <c r="C4" s="562">
        <f>IF(C19="Vis bois",0,"Trous dans la Longueur")</f>
        <v>0</v>
      </c>
      <c r="D4" s="563">
        <f>IF(C4=0,0,IF(C63&lt;100,2,IF(C63&lt;150,3,IF(C63&lt;200,4,IF(C63&lt;250,5,IF(C63&lt;300,6,7))))))</f>
        <v>0</v>
      </c>
      <c r="E4" s="564">
        <f>IF(D4=0,0,IF(D4=2,0,IF(D4=3,0,(($C$63-32)/(D4-1))+16)))</f>
        <v>0</v>
      </c>
      <c r="F4" s="562">
        <f>IF(C19="Vis bois",0,"Trous dans la Longueur")</f>
        <v>0</v>
      </c>
      <c r="G4" s="563">
        <f>IF(F4=0,0,IF(C64&lt;100,2,IF(C64&lt;150,3,IF(C64&lt;200,4,IF(C64&lt;250,5,IF(C64&lt;300,6,7))))))</f>
        <v>0</v>
      </c>
      <c r="H4" s="564">
        <f>IF(G4=0,0,IF(G4=2,0,IF(G4=3,0,(($C$64-32)/(G4-1))+16)))</f>
        <v>0</v>
      </c>
      <c r="I4" s="559"/>
      <c r="J4" s="559"/>
      <c r="K4" s="559"/>
      <c r="L4" s="559"/>
      <c r="M4" s="559"/>
      <c r="N4" s="559"/>
      <c r="O4" s="559"/>
      <c r="P4" s="559"/>
      <c r="Q4" s="559"/>
      <c r="R4" s="559"/>
      <c r="S4" s="559"/>
      <c r="T4" s="559"/>
      <c r="U4" s="559"/>
      <c r="V4" s="559"/>
      <c r="W4" s="559"/>
      <c r="X4" s="559"/>
      <c r="Y4" s="559"/>
      <c r="Z4" s="559"/>
      <c r="AA4" s="559"/>
      <c r="AB4" s="559"/>
      <c r="AC4" s="559"/>
      <c r="AD4" s="559"/>
      <c r="AE4" s="559"/>
      <c r="AF4" s="559"/>
      <c r="AG4" s="559"/>
    </row>
    <row r="5" spans="1:33" ht="18" x14ac:dyDescent="0.35">
      <c r="A5" s="559"/>
      <c r="B5" s="559"/>
      <c r="C5" s="565">
        <f>IF(D4=6,"2ème Trou",IF(D4=7,"2ème Trou",0))</f>
        <v>0</v>
      </c>
      <c r="D5" s="559"/>
      <c r="E5" s="564">
        <f>IF(C5=0,0,E4+E4-16)</f>
        <v>0</v>
      </c>
      <c r="F5" s="565">
        <f>IF(G4=6,"2ème Trou",IF(G4=7,"2ème Trou",0))</f>
        <v>0</v>
      </c>
      <c r="G5" s="559"/>
      <c r="H5" s="564">
        <f>IF(F5=0,0,H4+H4-16)</f>
        <v>0</v>
      </c>
      <c r="I5" s="559"/>
      <c r="J5" s="559"/>
      <c r="K5" s="559"/>
      <c r="L5" s="559"/>
      <c r="M5" s="559"/>
      <c r="N5" s="559"/>
      <c r="O5" s="559"/>
      <c r="P5" s="559"/>
      <c r="Q5" s="559"/>
      <c r="R5" s="559"/>
      <c r="S5" s="559"/>
      <c r="T5" s="559"/>
      <c r="U5" s="559"/>
      <c r="V5" s="559"/>
      <c r="W5" s="559"/>
      <c r="X5" s="559"/>
      <c r="Y5" s="559"/>
      <c r="Z5" s="559"/>
      <c r="AA5" s="559"/>
      <c r="AB5" s="559"/>
      <c r="AC5" s="559"/>
      <c r="AD5" s="559"/>
      <c r="AE5" s="559"/>
      <c r="AF5" s="559"/>
      <c r="AG5" s="559"/>
    </row>
    <row r="6" spans="1:33" ht="18" x14ac:dyDescent="0.35">
      <c r="A6" s="559"/>
      <c r="B6" s="559"/>
      <c r="C6" s="562">
        <f>IF(C19="Vis bois",0,"Trous dans la Hauteur")</f>
        <v>0</v>
      </c>
      <c r="D6" s="563">
        <f>IF(C6=0,0,IF(D63&lt;100,2,IF(D63&lt;150,3,IF(D63&lt;200,4,IF(D63&lt;250,5,IF(D63&lt;310,6,7))))))</f>
        <v>0</v>
      </c>
      <c r="E6" s="564">
        <f>IF(D6=0,0,IF(D6=2,0,IF(D6=3,0,(($D$63-32)/(D6-1))+16)))</f>
        <v>0</v>
      </c>
      <c r="F6" s="562">
        <f>IF(C19="Vis bois",0,"Trous dans la Largeur")</f>
        <v>0</v>
      </c>
      <c r="G6" s="563">
        <f>IF(F6=0,0,IF(D64&lt;50,1,IF(D64&lt;100,2,IF(D64&lt;150,3,IF(D64&lt;200,4,IF(D64&lt;250,5,IF(D64&lt;310,6,7)))))))</f>
        <v>0</v>
      </c>
      <c r="H6" s="564">
        <f>IF(G6=0,0,IF(G6=1,0,IF(G6=2,0,IF(G6=3,0,(($D$64-32)/(G6-1))+16))))</f>
        <v>0</v>
      </c>
      <c r="I6" s="559"/>
      <c r="J6" s="559"/>
      <c r="K6" s="559"/>
      <c r="L6" s="559"/>
      <c r="M6" s="559"/>
      <c r="N6" s="559"/>
      <c r="O6" s="559"/>
      <c r="P6" s="559"/>
      <c r="Q6" s="559"/>
      <c r="R6" s="559"/>
      <c r="S6" s="559"/>
      <c r="T6" s="559"/>
      <c r="U6" s="559"/>
      <c r="V6" s="559"/>
      <c r="W6" s="559"/>
      <c r="X6" s="559"/>
      <c r="Y6" s="559"/>
      <c r="Z6" s="559"/>
      <c r="AA6" s="559"/>
      <c r="AB6" s="559"/>
      <c r="AC6" s="559"/>
      <c r="AD6" s="559"/>
      <c r="AE6" s="559"/>
      <c r="AF6" s="559"/>
      <c r="AG6" s="559"/>
    </row>
    <row r="7" spans="1:33" ht="18" x14ac:dyDescent="0.35">
      <c r="A7" s="559"/>
      <c r="B7" s="559"/>
      <c r="C7" s="566">
        <f>IF(D6=6,"2ème Trou",IF(D6=7,"2ème Trou",0))</f>
        <v>0</v>
      </c>
      <c r="D7" s="567"/>
      <c r="E7" s="568">
        <f>IF(C7=0,0,E6+E6-16)</f>
        <v>0</v>
      </c>
      <c r="F7" s="566">
        <f>IF(G6=6,"2ème Trou",IF(G6=7,"2ème Trou",0))</f>
        <v>0</v>
      </c>
      <c r="G7" s="567"/>
      <c r="H7" s="568">
        <f>IF(F7=0,0,H6+H6-16)</f>
        <v>0</v>
      </c>
      <c r="I7" s="559"/>
      <c r="J7" s="559"/>
      <c r="K7" s="559"/>
      <c r="L7" s="559"/>
      <c r="M7" s="559"/>
      <c r="N7" s="559"/>
      <c r="O7" s="559"/>
      <c r="P7" s="559"/>
      <c r="Q7" s="559"/>
      <c r="R7" s="559"/>
      <c r="S7" s="559"/>
      <c r="T7" s="559"/>
      <c r="U7" s="559"/>
      <c r="V7" s="559"/>
      <c r="W7" s="559"/>
      <c r="X7" s="559"/>
      <c r="Y7" s="559"/>
      <c r="Z7" s="559"/>
      <c r="AA7" s="559"/>
      <c r="AB7" s="559"/>
      <c r="AC7" s="559"/>
      <c r="AD7" s="559"/>
      <c r="AE7" s="559"/>
      <c r="AF7" s="559"/>
      <c r="AG7" s="559"/>
    </row>
    <row r="8" spans="1:33" ht="18" x14ac:dyDescent="0.35">
      <c r="A8" s="559"/>
      <c r="B8" s="559"/>
      <c r="C8" s="559"/>
      <c r="D8" s="559"/>
      <c r="E8" s="559"/>
      <c r="F8" s="559"/>
      <c r="G8" s="559"/>
      <c r="H8" s="559"/>
      <c r="I8" s="559"/>
      <c r="J8" s="559"/>
      <c r="K8" s="559"/>
      <c r="L8" s="559"/>
      <c r="M8" s="559"/>
      <c r="N8" s="559"/>
      <c r="O8" s="559"/>
      <c r="P8" s="559"/>
      <c r="Q8" s="559"/>
      <c r="R8" s="559"/>
      <c r="S8" s="559"/>
      <c r="T8" s="559"/>
      <c r="U8" s="559"/>
      <c r="V8" s="559"/>
      <c r="W8" s="559"/>
      <c r="X8" s="559"/>
      <c r="Y8" s="559"/>
      <c r="Z8" s="559"/>
      <c r="AA8" s="559"/>
      <c r="AB8" s="559"/>
      <c r="AC8" s="559"/>
      <c r="AD8" s="559"/>
      <c r="AE8" s="559"/>
      <c r="AF8" s="559"/>
      <c r="AG8" s="559"/>
    </row>
    <row r="9" spans="1:33" ht="18" x14ac:dyDescent="0.35">
      <c r="A9" s="559"/>
      <c r="B9" s="559" t="s">
        <v>1</v>
      </c>
      <c r="C9" s="20"/>
      <c r="D9" s="559"/>
      <c r="E9" s="563" t="s">
        <v>2</v>
      </c>
      <c r="F9" s="22" t="s">
        <v>664</v>
      </c>
      <c r="G9" s="559"/>
      <c r="H9" s="559"/>
      <c r="I9" s="559"/>
      <c r="J9" s="559"/>
      <c r="K9" s="559"/>
      <c r="L9" s="559"/>
      <c r="M9" s="559"/>
      <c r="N9" s="559"/>
      <c r="O9" s="559"/>
      <c r="P9" s="559"/>
      <c r="Q9" s="559"/>
      <c r="R9" s="559"/>
      <c r="S9" s="559"/>
      <c r="T9" s="559"/>
      <c r="U9" s="559"/>
      <c r="V9" s="559"/>
      <c r="W9" s="559"/>
      <c r="X9" s="559"/>
      <c r="Y9" s="559"/>
      <c r="Z9" s="559"/>
      <c r="AA9" s="559"/>
      <c r="AB9" s="559"/>
      <c r="AC9" s="559"/>
      <c r="AD9" s="559"/>
      <c r="AE9" s="559"/>
      <c r="AF9" s="559"/>
      <c r="AG9" s="559"/>
    </row>
    <row r="10" spans="1:33" ht="18" x14ac:dyDescent="0.35">
      <c r="A10" s="559"/>
      <c r="B10" s="559" t="s">
        <v>4</v>
      </c>
      <c r="C10" s="23"/>
      <c r="D10" s="559"/>
      <c r="E10" s="563" t="s">
        <v>5</v>
      </c>
      <c r="F10" s="569" t="s">
        <v>6</v>
      </c>
      <c r="G10" s="559"/>
      <c r="H10" s="559"/>
      <c r="I10" s="570"/>
      <c r="J10" s="559"/>
      <c r="K10" s="559"/>
      <c r="L10" s="559"/>
      <c r="M10" s="559"/>
      <c r="N10" s="559"/>
      <c r="O10" s="559"/>
      <c r="P10" s="559"/>
      <c r="Q10" s="559"/>
      <c r="R10" s="559"/>
      <c r="S10" s="559"/>
      <c r="T10" s="559"/>
      <c r="U10" s="559"/>
      <c r="V10" s="559"/>
      <c r="W10" s="559"/>
      <c r="X10" s="559"/>
      <c r="Y10" s="559"/>
      <c r="Z10" s="559"/>
      <c r="AA10" s="559"/>
      <c r="AB10" s="559"/>
      <c r="AC10" s="559"/>
      <c r="AD10" s="559"/>
      <c r="AE10" s="559"/>
      <c r="AF10" s="559"/>
      <c r="AG10" s="559"/>
    </row>
    <row r="11" spans="1:33" ht="18" x14ac:dyDescent="0.35">
      <c r="A11" s="559"/>
      <c r="B11" s="559" t="s">
        <v>138</v>
      </c>
      <c r="C11" s="20"/>
      <c r="D11" s="559"/>
      <c r="E11" s="571" t="s">
        <v>8</v>
      </c>
      <c r="F11" s="25"/>
      <c r="G11" s="559"/>
      <c r="H11" s="559"/>
      <c r="I11" s="559"/>
      <c r="J11" s="559"/>
      <c r="K11" s="559"/>
      <c r="L11" s="559"/>
      <c r="M11" s="559"/>
      <c r="N11" s="559"/>
      <c r="O11" s="559"/>
      <c r="P11" s="559"/>
      <c r="Q11" s="559"/>
      <c r="R11" s="559"/>
      <c r="S11" s="559"/>
      <c r="T11" s="559"/>
      <c r="U11" s="559"/>
      <c r="V11" s="559"/>
      <c r="W11" s="559"/>
      <c r="X11" s="559"/>
      <c r="Y11" s="559"/>
      <c r="Z11" s="559"/>
      <c r="AA11" s="559"/>
      <c r="AB11" s="559"/>
      <c r="AC11" s="559"/>
      <c r="AD11" s="559"/>
      <c r="AE11" s="559"/>
      <c r="AF11" s="559"/>
      <c r="AG11" s="559"/>
    </row>
    <row r="12" spans="1:33" ht="18" x14ac:dyDescent="0.35">
      <c r="A12" s="559"/>
      <c r="B12" s="559"/>
      <c r="C12" s="563"/>
      <c r="D12" s="559"/>
      <c r="E12" s="571"/>
      <c r="F12" s="559"/>
      <c r="G12" s="559"/>
      <c r="H12" s="1183" t="str">
        <f>VLOOKUP(F10,'Infos Clients'!B2:G10,2)</f>
        <v>#VALUE!</v>
      </c>
      <c r="I12" s="1085"/>
      <c r="J12" s="1086"/>
      <c r="K12" s="1090"/>
      <c r="L12" s="1085"/>
      <c r="M12" s="1086"/>
      <c r="N12" s="559"/>
      <c r="O12" s="559"/>
      <c r="P12" s="559"/>
      <c r="Q12" s="559"/>
      <c r="R12" s="559"/>
      <c r="S12" s="559"/>
      <c r="T12" s="559"/>
      <c r="U12" s="559"/>
      <c r="V12" s="559"/>
      <c r="W12" s="559"/>
      <c r="X12" s="559"/>
      <c r="Y12" s="559"/>
      <c r="Z12" s="559"/>
      <c r="AA12" s="559"/>
      <c r="AB12" s="559"/>
      <c r="AC12" s="559"/>
      <c r="AD12" s="559"/>
      <c r="AE12" s="559"/>
      <c r="AF12" s="559"/>
      <c r="AG12" s="559"/>
    </row>
    <row r="13" spans="1:33" ht="18" x14ac:dyDescent="0.35">
      <c r="A13" s="559"/>
      <c r="B13" s="573" t="s">
        <v>9</v>
      </c>
      <c r="C13" s="23" t="s">
        <v>10</v>
      </c>
      <c r="D13" s="559"/>
      <c r="E13" s="610"/>
      <c r="F13" s="563"/>
      <c r="G13" s="559"/>
      <c r="H13" s="1091"/>
      <c r="I13" s="1097"/>
      <c r="J13" s="1092"/>
      <c r="K13" s="1087"/>
      <c r="L13" s="1088"/>
      <c r="M13" s="1089"/>
      <c r="N13" s="559"/>
      <c r="O13" s="559"/>
      <c r="P13" s="559"/>
      <c r="Q13" s="559"/>
      <c r="R13" s="559"/>
      <c r="S13" s="559"/>
      <c r="T13" s="559"/>
      <c r="U13" s="559"/>
      <c r="V13" s="559"/>
      <c r="W13" s="559"/>
      <c r="X13" s="559"/>
      <c r="Y13" s="559"/>
      <c r="Z13" s="559"/>
      <c r="AA13" s="559"/>
      <c r="AB13" s="559"/>
      <c r="AC13" s="559"/>
      <c r="AD13" s="559"/>
      <c r="AE13" s="559"/>
      <c r="AF13" s="559"/>
      <c r="AG13" s="559"/>
    </row>
    <row r="14" spans="1:33" ht="18" x14ac:dyDescent="0.35">
      <c r="A14" s="559"/>
      <c r="B14" s="573"/>
      <c r="C14" s="563"/>
      <c r="D14" s="559"/>
      <c r="E14" s="574"/>
      <c r="F14" s="559"/>
      <c r="G14" s="559"/>
      <c r="H14" s="1091"/>
      <c r="I14" s="1097"/>
      <c r="J14" s="1092"/>
      <c r="K14" s="559"/>
      <c r="L14" s="559"/>
      <c r="M14" s="559"/>
      <c r="N14" s="559"/>
      <c r="O14" s="559"/>
      <c r="P14" s="559"/>
      <c r="Q14" s="559"/>
      <c r="R14" s="559"/>
      <c r="S14" s="559"/>
      <c r="T14" s="559"/>
      <c r="U14" s="559"/>
      <c r="V14" s="559"/>
      <c r="W14" s="559"/>
      <c r="X14" s="559"/>
      <c r="Y14" s="559"/>
      <c r="Z14" s="559"/>
      <c r="AA14" s="559"/>
      <c r="AB14" s="559"/>
      <c r="AC14" s="559"/>
      <c r="AD14" s="559"/>
      <c r="AE14" s="559"/>
      <c r="AF14" s="559"/>
      <c r="AG14" s="559"/>
    </row>
    <row r="15" spans="1:33" ht="18" x14ac:dyDescent="0.35">
      <c r="A15" s="559"/>
      <c r="B15" s="573" t="s">
        <v>11</v>
      </c>
      <c r="C15" s="23" t="s">
        <v>12</v>
      </c>
      <c r="D15" s="559"/>
      <c r="E15" s="574" t="s">
        <v>13</v>
      </c>
      <c r="F15" s="23" t="s">
        <v>14</v>
      </c>
      <c r="G15" s="559"/>
      <c r="H15" s="1091"/>
      <c r="I15" s="1097"/>
      <c r="J15" s="1092"/>
      <c r="K15" s="559"/>
      <c r="L15" s="559"/>
      <c r="M15" s="559"/>
      <c r="N15" s="559"/>
      <c r="O15" s="559"/>
      <c r="P15" s="559"/>
      <c r="Q15" s="559"/>
      <c r="R15" s="559"/>
      <c r="S15" s="559"/>
      <c r="T15" s="559"/>
      <c r="U15" s="559"/>
      <c r="V15" s="559"/>
      <c r="W15" s="559"/>
      <c r="X15" s="559"/>
      <c r="Y15" s="559"/>
      <c r="Z15" s="559"/>
      <c r="AA15" s="559"/>
      <c r="AB15" s="559"/>
      <c r="AC15" s="559"/>
      <c r="AD15" s="559"/>
      <c r="AE15" s="559"/>
      <c r="AF15" s="559"/>
      <c r="AG15" s="559"/>
    </row>
    <row r="16" spans="1:33" ht="18" x14ac:dyDescent="0.35">
      <c r="A16" s="559"/>
      <c r="B16" s="559"/>
      <c r="C16" s="563"/>
      <c r="D16" s="559"/>
      <c r="E16" s="559"/>
      <c r="F16" s="559"/>
      <c r="G16" s="559"/>
      <c r="H16" s="1091"/>
      <c r="I16" s="1097"/>
      <c r="J16" s="1092"/>
      <c r="K16" s="559"/>
      <c r="L16" s="559"/>
      <c r="M16" s="1090"/>
      <c r="N16" s="1085"/>
      <c r="O16" s="1086"/>
      <c r="P16" s="559"/>
      <c r="Q16" s="559"/>
      <c r="R16" s="559"/>
      <c r="S16" s="559"/>
      <c r="T16" s="559"/>
      <c r="U16" s="559"/>
      <c r="V16" s="559"/>
      <c r="W16" s="559"/>
      <c r="X16" s="559"/>
      <c r="Y16" s="559"/>
      <c r="Z16" s="559"/>
      <c r="AA16" s="559"/>
      <c r="AB16" s="559"/>
      <c r="AC16" s="559"/>
      <c r="AD16" s="559"/>
      <c r="AE16" s="559"/>
      <c r="AF16" s="559"/>
      <c r="AG16" s="559"/>
    </row>
    <row r="17" spans="1:33" ht="18" x14ac:dyDescent="0.35">
      <c r="A17" s="559"/>
      <c r="B17" s="573" t="s">
        <v>15</v>
      </c>
      <c r="C17" s="23" t="s">
        <v>16</v>
      </c>
      <c r="D17" s="559"/>
      <c r="E17" s="559"/>
      <c r="F17" s="559"/>
      <c r="G17" s="559"/>
      <c r="H17" s="1091"/>
      <c r="I17" s="1097"/>
      <c r="J17" s="1092"/>
      <c r="K17" s="559"/>
      <c r="L17" s="559"/>
      <c r="M17" s="1091"/>
      <c r="N17" s="1097"/>
      <c r="O17" s="1092"/>
      <c r="P17" s="559"/>
      <c r="Q17" s="559"/>
      <c r="R17" s="559"/>
      <c r="S17" s="559"/>
      <c r="T17" s="559"/>
      <c r="U17" s="559"/>
      <c r="V17" s="559"/>
      <c r="W17" s="559"/>
      <c r="X17" s="559"/>
      <c r="Y17" s="559"/>
      <c r="Z17" s="559"/>
      <c r="AA17" s="559"/>
      <c r="AB17" s="559"/>
      <c r="AC17" s="559"/>
      <c r="AD17" s="559"/>
      <c r="AE17" s="559"/>
      <c r="AF17" s="559"/>
      <c r="AG17" s="559"/>
    </row>
    <row r="18" spans="1:33" ht="18" x14ac:dyDescent="0.35">
      <c r="A18" s="559"/>
      <c r="B18" s="559"/>
      <c r="C18" s="563"/>
      <c r="D18" s="559"/>
      <c r="E18" s="574" t="s">
        <v>19</v>
      </c>
      <c r="F18" s="23" t="s">
        <v>20</v>
      </c>
      <c r="G18" s="559"/>
      <c r="H18" s="1087"/>
      <c r="I18" s="1088"/>
      <c r="J18" s="1089"/>
      <c r="K18" s="559"/>
      <c r="L18" s="559"/>
      <c r="M18" s="1091"/>
      <c r="N18" s="1097"/>
      <c r="O18" s="1092"/>
      <c r="P18" s="559"/>
      <c r="Q18" s="559"/>
      <c r="R18" s="559"/>
      <c r="S18" s="559"/>
      <c r="T18" s="559"/>
      <c r="U18" s="559"/>
      <c r="V18" s="559"/>
      <c r="W18" s="559"/>
      <c r="X18" s="559"/>
      <c r="Y18" s="559"/>
      <c r="Z18" s="559"/>
      <c r="AA18" s="559"/>
      <c r="AB18" s="559"/>
      <c r="AC18" s="559"/>
      <c r="AD18" s="559"/>
      <c r="AE18" s="559"/>
      <c r="AF18" s="559"/>
      <c r="AG18" s="559"/>
    </row>
    <row r="19" spans="1:33" ht="18" x14ac:dyDescent="0.35">
      <c r="A19" s="559"/>
      <c r="B19" s="573" t="s">
        <v>17</v>
      </c>
      <c r="C19" s="23" t="s">
        <v>18</v>
      </c>
      <c r="D19" s="559"/>
      <c r="E19" s="573">
        <f>IF(F18="Oui","Type de Peinture",0)</f>
        <v>0</v>
      </c>
      <c r="F19" s="1168">
        <f>IF(F18="Non",0,VLOOKUP(F10,'[1]Infos Clients'!B2:E10,4))</f>
        <v>0</v>
      </c>
      <c r="G19" s="1101"/>
      <c r="H19" s="559"/>
      <c r="I19" s="559"/>
      <c r="J19" s="559"/>
      <c r="K19" s="559"/>
      <c r="L19" s="559"/>
      <c r="M19" s="1087"/>
      <c r="N19" s="1088"/>
      <c r="O19" s="1089"/>
      <c r="P19" s="559"/>
      <c r="Q19" s="559"/>
      <c r="R19" s="559"/>
      <c r="S19" s="559"/>
      <c r="T19" s="559"/>
      <c r="U19" s="559"/>
      <c r="V19" s="559"/>
      <c r="W19" s="559"/>
      <c r="X19" s="559"/>
      <c r="Y19" s="559"/>
      <c r="Z19" s="559"/>
      <c r="AA19" s="559"/>
      <c r="AB19" s="559"/>
      <c r="AC19" s="559"/>
      <c r="AD19" s="559"/>
      <c r="AE19" s="559"/>
      <c r="AF19" s="559"/>
      <c r="AG19" s="559"/>
    </row>
    <row r="20" spans="1:33" ht="18" x14ac:dyDescent="0.35">
      <c r="A20" s="559"/>
      <c r="B20" s="559"/>
      <c r="C20" s="563"/>
      <c r="D20" s="559"/>
      <c r="E20" s="559"/>
      <c r="F20" s="559"/>
      <c r="G20" s="559"/>
      <c r="H20" s="559"/>
      <c r="I20" s="559"/>
      <c r="J20" s="559"/>
      <c r="K20" s="559"/>
      <c r="L20" s="559"/>
      <c r="M20" s="559"/>
      <c r="N20" s="559"/>
      <c r="O20" s="559"/>
      <c r="P20" s="559"/>
      <c r="Q20" s="559"/>
      <c r="R20" s="559"/>
      <c r="S20" s="559"/>
      <c r="T20" s="559"/>
      <c r="U20" s="559"/>
      <c r="V20" s="559"/>
      <c r="W20" s="559"/>
      <c r="X20" s="559"/>
      <c r="Y20" s="559"/>
      <c r="Z20" s="559"/>
      <c r="AA20" s="559"/>
      <c r="AB20" s="559"/>
      <c r="AC20" s="559"/>
      <c r="AD20" s="559"/>
      <c r="AE20" s="559"/>
      <c r="AF20" s="559"/>
      <c r="AG20" s="559"/>
    </row>
    <row r="21" spans="1:33" ht="18" x14ac:dyDescent="0.35">
      <c r="A21" s="559"/>
      <c r="B21" s="573" t="s">
        <v>21</v>
      </c>
      <c r="C21" s="23" t="str">
        <f>IF(F21="Skis","Bois","Non")</f>
        <v>Bois</v>
      </c>
      <c r="D21" s="559"/>
      <c r="E21" s="574" t="s">
        <v>24</v>
      </c>
      <c r="F21" s="1157" t="s">
        <v>24</v>
      </c>
      <c r="G21" s="1158"/>
      <c r="H21" s="559"/>
      <c r="I21" s="559"/>
      <c r="J21" s="559"/>
      <c r="K21" s="559"/>
      <c r="L21" s="559"/>
      <c r="M21" s="559"/>
      <c r="N21" s="559"/>
      <c r="O21" s="559"/>
      <c r="P21" s="559"/>
      <c r="Q21" s="559"/>
      <c r="R21" s="559"/>
      <c r="S21" s="559"/>
      <c r="T21" s="559"/>
      <c r="U21" s="559"/>
      <c r="V21" s="559"/>
      <c r="W21" s="559"/>
      <c r="X21" s="559"/>
      <c r="Y21" s="559"/>
      <c r="Z21" s="559"/>
      <c r="AA21" s="559"/>
      <c r="AB21" s="559"/>
      <c r="AC21" s="559"/>
      <c r="AD21" s="559"/>
      <c r="AE21" s="559"/>
      <c r="AF21" s="559"/>
      <c r="AG21" s="559"/>
    </row>
    <row r="22" spans="1:33" ht="18" x14ac:dyDescent="0.35">
      <c r="A22" s="559"/>
      <c r="B22" s="573"/>
      <c r="C22" s="559"/>
      <c r="D22" s="559"/>
      <c r="E22" s="571"/>
      <c r="F22" s="571"/>
      <c r="G22" s="571"/>
      <c r="H22" s="559"/>
      <c r="I22" s="559"/>
      <c r="J22" s="559"/>
      <c r="K22" s="559"/>
      <c r="L22" s="559"/>
      <c r="M22" s="559"/>
      <c r="N22" s="559"/>
      <c r="O22" s="559"/>
      <c r="P22" s="559"/>
      <c r="Q22" s="559"/>
      <c r="R22" s="559"/>
      <c r="S22" s="559"/>
      <c r="T22" s="559"/>
      <c r="U22" s="559"/>
      <c r="V22" s="559"/>
      <c r="W22" s="559"/>
      <c r="X22" s="559"/>
      <c r="Y22" s="559"/>
      <c r="Z22" s="559"/>
      <c r="AA22" s="559"/>
      <c r="AB22" s="559"/>
      <c r="AC22" s="559"/>
      <c r="AD22" s="559"/>
      <c r="AE22" s="559"/>
      <c r="AF22" s="559"/>
      <c r="AG22" s="559"/>
    </row>
    <row r="23" spans="1:33" ht="18" x14ac:dyDescent="0.35">
      <c r="A23" s="559"/>
      <c r="B23" s="573" t="s">
        <v>246</v>
      </c>
      <c r="C23" s="23" t="s">
        <v>20</v>
      </c>
      <c r="D23" s="559"/>
      <c r="E23" s="571"/>
      <c r="F23" s="1176" t="s">
        <v>301</v>
      </c>
      <c r="G23" s="1170"/>
      <c r="H23" s="560" t="str">
        <f>IF(H26=0,"1 GC + Couvercle","2 GC + Couvercle")</f>
        <v>1 GC + Couvercle</v>
      </c>
      <c r="I23" s="559"/>
      <c r="J23" s="559"/>
      <c r="K23" s="559"/>
      <c r="L23" s="559"/>
      <c r="M23" s="559"/>
      <c r="N23" s="559"/>
      <c r="O23" s="559"/>
      <c r="P23" s="559"/>
      <c r="Q23" s="559"/>
      <c r="R23" s="559"/>
      <c r="S23" s="559"/>
      <c r="T23" s="559"/>
      <c r="U23" s="559"/>
      <c r="V23" s="559"/>
      <c r="W23" s="559"/>
      <c r="X23" s="559"/>
      <c r="Y23" s="559"/>
      <c r="Z23" s="559"/>
      <c r="AA23" s="559"/>
      <c r="AB23" s="559"/>
      <c r="AC23" s="559"/>
      <c r="AD23" s="559"/>
      <c r="AE23" s="559"/>
      <c r="AF23" s="559"/>
      <c r="AG23" s="559"/>
    </row>
    <row r="24" spans="1:33" ht="18" x14ac:dyDescent="0.35">
      <c r="A24" s="559"/>
      <c r="B24" s="573"/>
      <c r="C24" s="559"/>
      <c r="D24" s="559"/>
      <c r="E24" s="571"/>
      <c r="F24" s="571"/>
      <c r="G24" s="571"/>
      <c r="H24" s="559"/>
      <c r="I24" s="559"/>
      <c r="J24" s="559"/>
      <c r="K24" s="559"/>
      <c r="L24" s="559"/>
      <c r="M24" s="559"/>
      <c r="N24" s="559"/>
      <c r="O24" s="559"/>
      <c r="P24" s="559"/>
      <c r="Q24" s="559"/>
      <c r="R24" s="559"/>
      <c r="S24" s="559"/>
      <c r="T24" s="559"/>
      <c r="U24" s="559"/>
      <c r="V24" s="559"/>
      <c r="W24" s="559"/>
      <c r="X24" s="559"/>
      <c r="Y24" s="559"/>
      <c r="Z24" s="559"/>
      <c r="AA24" s="559"/>
      <c r="AB24" s="559"/>
      <c r="AC24" s="559"/>
      <c r="AD24" s="559"/>
      <c r="AE24" s="559"/>
      <c r="AF24" s="559"/>
      <c r="AG24" s="559"/>
    </row>
    <row r="25" spans="1:33" ht="18" x14ac:dyDescent="0.35">
      <c r="A25" s="559"/>
      <c r="B25" s="1177" t="s">
        <v>357</v>
      </c>
      <c r="C25" s="681" t="s">
        <v>28</v>
      </c>
      <c r="D25" s="681" t="s">
        <v>29</v>
      </c>
      <c r="E25" s="682" t="s">
        <v>30</v>
      </c>
      <c r="F25" s="559"/>
      <c r="G25" s="1177" t="s">
        <v>358</v>
      </c>
      <c r="H25" s="681" t="s">
        <v>28</v>
      </c>
      <c r="I25" s="681" t="s">
        <v>29</v>
      </c>
      <c r="J25" s="682" t="s">
        <v>30</v>
      </c>
      <c r="K25" s="559"/>
      <c r="L25" s="559"/>
      <c r="M25" s="559"/>
      <c r="N25" s="559"/>
      <c r="O25" s="559"/>
      <c r="P25" s="559"/>
      <c r="Q25" s="559"/>
      <c r="R25" s="559"/>
      <c r="S25" s="559"/>
      <c r="T25" s="559"/>
      <c r="U25" s="559"/>
      <c r="V25" s="559"/>
      <c r="W25" s="559"/>
      <c r="X25" s="559"/>
      <c r="Y25" s="559"/>
      <c r="Z25" s="559"/>
      <c r="AA25" s="559"/>
      <c r="AB25" s="559"/>
      <c r="AC25" s="559"/>
      <c r="AD25" s="559"/>
      <c r="AE25" s="559"/>
      <c r="AF25" s="559"/>
      <c r="AG25" s="559"/>
    </row>
    <row r="26" spans="1:33" ht="18" x14ac:dyDescent="0.35">
      <c r="A26" s="559"/>
      <c r="B26" s="1178"/>
      <c r="C26" s="581"/>
      <c r="D26" s="581"/>
      <c r="E26" s="581"/>
      <c r="F26" s="559"/>
      <c r="G26" s="1178"/>
      <c r="H26" s="581"/>
      <c r="I26" s="581"/>
      <c r="J26" s="581"/>
      <c r="K26" s="559"/>
      <c r="L26" s="559"/>
      <c r="M26" s="559"/>
      <c r="N26" s="559"/>
      <c r="O26" s="559"/>
      <c r="P26" s="559"/>
      <c r="Q26" s="559"/>
      <c r="R26" s="559"/>
      <c r="S26" s="559"/>
      <c r="T26" s="559"/>
      <c r="U26" s="559"/>
      <c r="V26" s="559"/>
      <c r="W26" s="559"/>
      <c r="X26" s="559"/>
      <c r="Y26" s="559"/>
      <c r="Z26" s="559"/>
      <c r="AA26" s="559"/>
      <c r="AB26" s="559"/>
      <c r="AC26" s="559"/>
      <c r="AD26" s="559"/>
      <c r="AE26" s="559"/>
      <c r="AF26" s="559"/>
      <c r="AG26" s="559"/>
    </row>
    <row r="27" spans="1:33" ht="18" x14ac:dyDescent="0.35">
      <c r="A27" s="559"/>
      <c r="B27" s="683" t="s">
        <v>31</v>
      </c>
      <c r="C27" s="684" t="s">
        <v>16</v>
      </c>
      <c r="D27" s="685">
        <f>VLOOKUP(C27,'Objet 2 à 6'!$A$234:$M$244,13)</f>
        <v>0</v>
      </c>
      <c r="E27" s="686" t="s">
        <v>305</v>
      </c>
      <c r="F27" s="559"/>
      <c r="G27" s="683" t="s">
        <v>31</v>
      </c>
      <c r="H27" s="684" t="s">
        <v>16</v>
      </c>
      <c r="I27" s="687">
        <f>VLOOKUP(H27,'Objet 2 à 6'!$A$234:$M$244,13)</f>
        <v>0</v>
      </c>
      <c r="J27" s="688" t="s">
        <v>305</v>
      </c>
      <c r="K27" s="559"/>
      <c r="L27" s="559"/>
      <c r="M27" s="559"/>
      <c r="N27" s="559"/>
      <c r="O27" s="559"/>
      <c r="P27" s="559"/>
      <c r="Q27" s="559"/>
      <c r="R27" s="559"/>
      <c r="S27" s="559"/>
      <c r="T27" s="559"/>
      <c r="U27" s="559"/>
      <c r="V27" s="559"/>
      <c r="W27" s="559"/>
      <c r="X27" s="559"/>
      <c r="Y27" s="559"/>
      <c r="Z27" s="559"/>
      <c r="AA27" s="559"/>
      <c r="AB27" s="559"/>
      <c r="AC27" s="559"/>
      <c r="AD27" s="559"/>
      <c r="AE27" s="559"/>
      <c r="AF27" s="559"/>
      <c r="AG27" s="559"/>
    </row>
    <row r="28" spans="1:33" ht="18" x14ac:dyDescent="0.35">
      <c r="A28" s="559"/>
      <c r="B28" s="689" t="s">
        <v>306</v>
      </c>
      <c r="C28" s="588" t="s">
        <v>16</v>
      </c>
      <c r="D28" s="1171">
        <f>VLOOKUP(C27,$A$234:$S$244,14)</f>
        <v>0</v>
      </c>
      <c r="E28" s="1179"/>
      <c r="F28" s="559"/>
      <c r="G28" s="689" t="s">
        <v>306</v>
      </c>
      <c r="H28" s="588" t="s">
        <v>16</v>
      </c>
      <c r="I28" s="1171">
        <f>VLOOKUP(H27,$A$234:$S$244,14)</f>
        <v>0</v>
      </c>
      <c r="J28" s="1179"/>
      <c r="K28" s="559"/>
      <c r="L28" s="559"/>
      <c r="M28" s="559"/>
      <c r="N28" s="559"/>
      <c r="O28" s="559"/>
      <c r="P28" s="559"/>
      <c r="Q28" s="559"/>
      <c r="R28" s="559"/>
      <c r="S28" s="559"/>
      <c r="T28" s="559"/>
      <c r="U28" s="559"/>
      <c r="V28" s="559"/>
      <c r="W28" s="559"/>
      <c r="X28" s="559"/>
      <c r="Y28" s="559"/>
      <c r="Z28" s="559"/>
      <c r="AA28" s="559"/>
      <c r="AB28" s="559"/>
      <c r="AC28" s="559"/>
      <c r="AD28" s="559"/>
      <c r="AE28" s="559"/>
      <c r="AF28" s="559"/>
      <c r="AG28" s="559"/>
    </row>
    <row r="29" spans="1:33" ht="18" x14ac:dyDescent="0.35">
      <c r="A29" s="559"/>
      <c r="B29" s="690" t="s">
        <v>308</v>
      </c>
      <c r="C29" s="691" t="s">
        <v>16</v>
      </c>
      <c r="D29" s="1180"/>
      <c r="E29" s="1179"/>
      <c r="F29" s="571"/>
      <c r="G29" s="602" t="s">
        <v>308</v>
      </c>
      <c r="H29" s="691" t="s">
        <v>16</v>
      </c>
      <c r="I29" s="1180"/>
      <c r="J29" s="1179"/>
      <c r="K29" s="559"/>
      <c r="L29" s="559"/>
      <c r="M29" s="559"/>
      <c r="N29" s="559"/>
      <c r="O29" s="559"/>
      <c r="P29" s="559"/>
      <c r="Q29" s="559"/>
      <c r="R29" s="559"/>
      <c r="S29" s="559"/>
      <c r="T29" s="559"/>
      <c r="U29" s="559"/>
      <c r="V29" s="559"/>
      <c r="W29" s="559"/>
      <c r="X29" s="559"/>
      <c r="Y29" s="559"/>
      <c r="Z29" s="559"/>
      <c r="AA29" s="559"/>
      <c r="AB29" s="559"/>
      <c r="AC29" s="559"/>
      <c r="AD29" s="559"/>
      <c r="AE29" s="559"/>
      <c r="AF29" s="559"/>
      <c r="AG29" s="559"/>
    </row>
    <row r="30" spans="1:33" ht="18" x14ac:dyDescent="0.35">
      <c r="A30" s="559"/>
      <c r="B30" s="602" t="s">
        <v>359</v>
      </c>
      <c r="C30" s="692">
        <f>IF(C26=0,0,(C26+VLOOKUP(C27,$A$234:$S$244,2)))</f>
        <v>0</v>
      </c>
      <c r="D30" s="692">
        <f>IF(D26=0,0,(D26+VLOOKUP(C27,$A$234:$S$244,2)))</f>
        <v>0</v>
      </c>
      <c r="E30" s="693">
        <f>IF(E26=0,0,(E26+VLOOKUP(C27,$A$234:$S$244,4)+VLOOKUP(C28,$A$274:$C$280,2)+VLOOKUP(C29,$A$283:$C$293,3)))</f>
        <v>0</v>
      </c>
      <c r="F30" s="571"/>
      <c r="G30" s="602" t="s">
        <v>359</v>
      </c>
      <c r="H30" s="692">
        <f>IF(H26=0,0,(H26+VLOOKUP(H27,$A$234:$S$244,2)))</f>
        <v>0</v>
      </c>
      <c r="I30" s="694">
        <f>IF(I26=0,0,(I26+VLOOKUP(H27,$A$234:$S$244,2)))</f>
        <v>0</v>
      </c>
      <c r="J30" s="695">
        <f>IF(J26=0,0,(J26+VLOOKUP(H27,$A$234:$S$244,4)+VLOOKUP(H28,$A$274:$C$280,2)+VLOOKUP(H29,$A$283:$C$293,3)))</f>
        <v>0</v>
      </c>
      <c r="K30" s="559"/>
      <c r="L30" s="559"/>
      <c r="M30" s="559"/>
      <c r="N30" s="559"/>
      <c r="O30" s="559"/>
      <c r="P30" s="559"/>
      <c r="Q30" s="559"/>
      <c r="R30" s="559"/>
      <c r="S30" s="559"/>
      <c r="T30" s="559"/>
      <c r="U30" s="559"/>
      <c r="V30" s="559"/>
      <c r="W30" s="559"/>
      <c r="X30" s="559"/>
      <c r="Y30" s="559"/>
      <c r="Z30" s="559"/>
      <c r="AA30" s="559"/>
      <c r="AB30" s="559"/>
      <c r="AC30" s="559"/>
      <c r="AD30" s="559"/>
      <c r="AE30" s="559"/>
      <c r="AF30" s="559"/>
      <c r="AG30" s="559"/>
    </row>
    <row r="31" spans="1:33" ht="18" x14ac:dyDescent="0.35">
      <c r="A31" s="559"/>
      <c r="B31" s="573"/>
      <c r="C31" s="571"/>
      <c r="D31" s="571"/>
      <c r="E31" s="571"/>
      <c r="F31" s="571"/>
      <c r="G31" s="573"/>
      <c r="H31" s="571"/>
      <c r="I31" s="571"/>
      <c r="J31" s="571"/>
      <c r="K31" s="559"/>
      <c r="L31" s="559"/>
      <c r="M31" s="559"/>
      <c r="N31" s="559"/>
      <c r="O31" s="559"/>
      <c r="P31" s="559"/>
      <c r="Q31" s="559"/>
      <c r="R31" s="559"/>
      <c r="S31" s="559"/>
      <c r="T31" s="559"/>
      <c r="U31" s="559"/>
      <c r="V31" s="559"/>
      <c r="W31" s="559"/>
      <c r="X31" s="559"/>
      <c r="Y31" s="559"/>
      <c r="Z31" s="559"/>
      <c r="AA31" s="559"/>
      <c r="AB31" s="559"/>
      <c r="AC31" s="559"/>
      <c r="AD31" s="559"/>
      <c r="AE31" s="559"/>
      <c r="AF31" s="559"/>
      <c r="AG31" s="559"/>
    </row>
    <row r="32" spans="1:33" ht="18" x14ac:dyDescent="0.35">
      <c r="A32" s="559"/>
      <c r="B32" s="1177" t="s">
        <v>360</v>
      </c>
      <c r="C32" s="681" t="s">
        <v>28</v>
      </c>
      <c r="D32" s="681" t="s">
        <v>29</v>
      </c>
      <c r="E32" s="682" t="s">
        <v>30</v>
      </c>
      <c r="F32" s="571"/>
      <c r="G32" s="1177" t="s">
        <v>361</v>
      </c>
      <c r="H32" s="681" t="s">
        <v>28</v>
      </c>
      <c r="I32" s="681" t="s">
        <v>29</v>
      </c>
      <c r="J32" s="682" t="s">
        <v>30</v>
      </c>
      <c r="K32" s="559"/>
      <c r="L32" s="559"/>
      <c r="M32" s="559"/>
      <c r="N32" s="559"/>
      <c r="O32" s="559"/>
      <c r="P32" s="559"/>
      <c r="Q32" s="559"/>
      <c r="R32" s="559"/>
      <c r="S32" s="559"/>
      <c r="T32" s="559"/>
      <c r="U32" s="559"/>
      <c r="V32" s="559"/>
      <c r="W32" s="559"/>
      <c r="X32" s="559"/>
      <c r="Y32" s="559"/>
      <c r="Z32" s="559"/>
      <c r="AA32" s="559"/>
      <c r="AB32" s="559"/>
      <c r="AC32" s="559"/>
      <c r="AD32" s="559"/>
      <c r="AE32" s="559"/>
      <c r="AF32" s="559"/>
      <c r="AG32" s="559"/>
    </row>
    <row r="33" spans="1:33" ht="18" x14ac:dyDescent="0.35">
      <c r="A33" s="559"/>
      <c r="B33" s="1178"/>
      <c r="C33" s="581"/>
      <c r="D33" s="581"/>
      <c r="E33" s="581"/>
      <c r="F33" s="571"/>
      <c r="G33" s="1178"/>
      <c r="H33" s="581"/>
      <c r="I33" s="581"/>
      <c r="J33" s="581"/>
      <c r="K33" s="559"/>
      <c r="L33" s="559"/>
      <c r="M33" s="559"/>
      <c r="N33" s="559"/>
      <c r="O33" s="559"/>
      <c r="P33" s="559"/>
      <c r="Q33" s="559"/>
      <c r="R33" s="559"/>
      <c r="S33" s="559"/>
      <c r="T33" s="559"/>
      <c r="U33" s="559"/>
      <c r="V33" s="559"/>
      <c r="W33" s="559"/>
      <c r="X33" s="559"/>
      <c r="Y33" s="559"/>
      <c r="Z33" s="559"/>
      <c r="AA33" s="559"/>
      <c r="AB33" s="559"/>
      <c r="AC33" s="559"/>
      <c r="AD33" s="559"/>
      <c r="AE33" s="559"/>
      <c r="AF33" s="559"/>
      <c r="AG33" s="559"/>
    </row>
    <row r="34" spans="1:33" ht="18" x14ac:dyDescent="0.35">
      <c r="A34" s="696" t="s">
        <v>362</v>
      </c>
      <c r="B34" s="683" t="s">
        <v>31</v>
      </c>
      <c r="C34" s="684" t="s">
        <v>16</v>
      </c>
      <c r="D34" s="687">
        <f>VLOOKUP(C34,'Objet 2 à 6'!$A$234:$M$244,13)</f>
        <v>0</v>
      </c>
      <c r="E34" s="688" t="s">
        <v>305</v>
      </c>
      <c r="F34" s="697" t="s">
        <v>363</v>
      </c>
      <c r="G34" s="683" t="s">
        <v>31</v>
      </c>
      <c r="H34" s="684" t="s">
        <v>16</v>
      </c>
      <c r="I34" s="687">
        <f>VLOOKUP(H34,'Objet 2 à 6'!$A$234:$M$244,13)</f>
        <v>0</v>
      </c>
      <c r="J34" s="688" t="s">
        <v>305</v>
      </c>
      <c r="K34" s="559"/>
      <c r="L34" s="559"/>
      <c r="M34" s="559"/>
      <c r="N34" s="559"/>
      <c r="O34" s="559"/>
      <c r="P34" s="559"/>
      <c r="Q34" s="559"/>
      <c r="R34" s="559"/>
      <c r="S34" s="559"/>
      <c r="T34" s="559"/>
      <c r="U34" s="559"/>
      <c r="V34" s="559"/>
      <c r="W34" s="559"/>
      <c r="X34" s="559"/>
      <c r="Y34" s="559"/>
      <c r="Z34" s="559"/>
      <c r="AA34" s="559"/>
      <c r="AB34" s="559"/>
      <c r="AC34" s="559"/>
      <c r="AD34" s="559"/>
      <c r="AE34" s="559"/>
      <c r="AF34" s="559"/>
      <c r="AG34" s="559"/>
    </row>
    <row r="35" spans="1:33" ht="18" x14ac:dyDescent="0.35">
      <c r="A35" s="559"/>
      <c r="B35" s="689" t="s">
        <v>306</v>
      </c>
      <c r="C35" s="588" t="s">
        <v>16</v>
      </c>
      <c r="D35" s="1171">
        <f>VLOOKUP(C34,$A$234:$S$244,14)</f>
        <v>0</v>
      </c>
      <c r="E35" s="1179"/>
      <c r="F35" s="571"/>
      <c r="G35" s="689" t="s">
        <v>306</v>
      </c>
      <c r="H35" s="588" t="s">
        <v>16</v>
      </c>
      <c r="I35" s="1171">
        <f>VLOOKUP(H34,$A$234:$S$244,14)</f>
        <v>0</v>
      </c>
      <c r="J35" s="1179"/>
      <c r="K35" s="559"/>
      <c r="L35" s="559"/>
      <c r="M35" s="559"/>
      <c r="N35" s="559"/>
      <c r="O35" s="559"/>
      <c r="P35" s="559"/>
      <c r="Q35" s="559"/>
      <c r="R35" s="559"/>
      <c r="S35" s="559"/>
      <c r="T35" s="559"/>
      <c r="U35" s="559"/>
      <c r="V35" s="559"/>
      <c r="W35" s="559"/>
      <c r="X35" s="559"/>
      <c r="Y35" s="559"/>
      <c r="Z35" s="559"/>
      <c r="AA35" s="559"/>
      <c r="AB35" s="559"/>
      <c r="AC35" s="559"/>
      <c r="AD35" s="559"/>
      <c r="AE35" s="559"/>
      <c r="AF35" s="559"/>
      <c r="AG35" s="559"/>
    </row>
    <row r="36" spans="1:33" ht="18" x14ac:dyDescent="0.35">
      <c r="A36" s="559"/>
      <c r="B36" s="602" t="s">
        <v>308</v>
      </c>
      <c r="C36" s="698" t="s">
        <v>16</v>
      </c>
      <c r="D36" s="1180"/>
      <c r="E36" s="1179"/>
      <c r="F36" s="571"/>
      <c r="G36" s="602" t="s">
        <v>308</v>
      </c>
      <c r="H36" s="698" t="s">
        <v>16</v>
      </c>
      <c r="I36" s="1180"/>
      <c r="J36" s="1179"/>
      <c r="K36" s="559"/>
      <c r="L36" s="559"/>
      <c r="M36" s="559"/>
      <c r="N36" s="559"/>
      <c r="O36" s="559"/>
      <c r="P36" s="559"/>
      <c r="Q36" s="559"/>
      <c r="R36" s="559"/>
      <c r="S36" s="559"/>
      <c r="T36" s="559"/>
      <c r="U36" s="559"/>
      <c r="V36" s="559"/>
      <c r="W36" s="559"/>
      <c r="X36" s="559"/>
      <c r="Y36" s="559"/>
      <c r="Z36" s="559"/>
      <c r="AA36" s="559"/>
      <c r="AB36" s="559"/>
      <c r="AC36" s="559"/>
      <c r="AD36" s="559"/>
      <c r="AE36" s="559"/>
      <c r="AF36" s="559"/>
      <c r="AG36" s="559"/>
    </row>
    <row r="37" spans="1:33" ht="18" x14ac:dyDescent="0.35">
      <c r="A37" s="559"/>
      <c r="B37" s="602" t="s">
        <v>359</v>
      </c>
      <c r="C37" s="692">
        <f>IF(C33=0,0,(C33+VLOOKUP(C34,$A$234:$S$244,2)))</f>
        <v>0</v>
      </c>
      <c r="D37" s="694">
        <f>IF(D33=0,0,(D33+VLOOKUP(C34,$A$234:$S$244,2)))</f>
        <v>0</v>
      </c>
      <c r="E37" s="695">
        <f>IF(E33=0,0,(E33+VLOOKUP(C34,$A$234:$S$244,4)+VLOOKUP(C35,$A$274:$C$280,2)+VLOOKUP(C36,$A$283:$C$293,3)))</f>
        <v>0</v>
      </c>
      <c r="F37" s="571"/>
      <c r="G37" s="602" t="s">
        <v>359</v>
      </c>
      <c r="H37" s="692">
        <f>IF(H33=0,0,(H33+VLOOKUP(H34,$A$234:$S$244,2)))</f>
        <v>0</v>
      </c>
      <c r="I37" s="694">
        <f>IF(I33=0,0,(I33+VLOOKUP(H34,$A$234:$S$244,2)))</f>
        <v>0</v>
      </c>
      <c r="J37" s="695">
        <f>IF(J33=0,0,(J33+VLOOKUP(H34,$A$234:$S$244,4)+VLOOKUP(H35,$A$274:$C$280,2)+VLOOKUP(H36,$A$283:$C$293,3)))</f>
        <v>0</v>
      </c>
      <c r="K37" s="559"/>
      <c r="L37" s="559"/>
      <c r="M37" s="559"/>
      <c r="N37" s="559"/>
      <c r="O37" s="559"/>
      <c r="P37" s="559"/>
      <c r="Q37" s="559"/>
      <c r="R37" s="559"/>
      <c r="S37" s="559"/>
      <c r="T37" s="559"/>
      <c r="U37" s="559"/>
      <c r="V37" s="559"/>
      <c r="W37" s="559"/>
      <c r="X37" s="559"/>
      <c r="Y37" s="559"/>
      <c r="Z37" s="559"/>
      <c r="AA37" s="559"/>
      <c r="AB37" s="559"/>
      <c r="AC37" s="559"/>
      <c r="AD37" s="559"/>
      <c r="AE37" s="559"/>
      <c r="AF37" s="559"/>
      <c r="AG37" s="559"/>
    </row>
    <row r="38" spans="1:33" ht="18" x14ac:dyDescent="0.35">
      <c r="A38" s="559"/>
      <c r="B38" s="573"/>
      <c r="C38" s="571"/>
      <c r="D38" s="571"/>
      <c r="E38" s="571"/>
      <c r="F38" s="571"/>
      <c r="G38" s="573"/>
      <c r="H38" s="571"/>
      <c r="I38" s="571"/>
      <c r="J38" s="571"/>
      <c r="K38" s="559"/>
      <c r="L38" s="559"/>
      <c r="M38" s="559"/>
      <c r="N38" s="559"/>
      <c r="O38" s="559"/>
      <c r="P38" s="559"/>
      <c r="Q38" s="559"/>
      <c r="R38" s="559"/>
      <c r="S38" s="559"/>
      <c r="T38" s="559"/>
      <c r="U38" s="559"/>
      <c r="V38" s="559"/>
      <c r="W38" s="559"/>
      <c r="X38" s="559"/>
      <c r="Y38" s="559"/>
      <c r="Z38" s="559"/>
      <c r="AA38" s="559"/>
      <c r="AB38" s="559"/>
      <c r="AC38" s="559"/>
      <c r="AD38" s="559"/>
      <c r="AE38" s="559"/>
      <c r="AF38" s="559"/>
      <c r="AG38" s="559"/>
    </row>
    <row r="39" spans="1:33" ht="18" x14ac:dyDescent="0.35">
      <c r="A39" s="559"/>
      <c r="B39" s="1177" t="s">
        <v>364</v>
      </c>
      <c r="C39" s="681" t="s">
        <v>28</v>
      </c>
      <c r="D39" s="681" t="s">
        <v>29</v>
      </c>
      <c r="E39" s="682" t="s">
        <v>30</v>
      </c>
      <c r="F39" s="571"/>
      <c r="G39" s="1177" t="s">
        <v>365</v>
      </c>
      <c r="H39" s="681" t="s">
        <v>28</v>
      </c>
      <c r="I39" s="681" t="s">
        <v>29</v>
      </c>
      <c r="J39" s="682" t="s">
        <v>30</v>
      </c>
      <c r="K39" s="559"/>
      <c r="L39" s="559"/>
      <c r="M39" s="559"/>
      <c r="N39" s="559"/>
      <c r="O39" s="559"/>
      <c r="P39" s="559"/>
      <c r="Q39" s="559"/>
      <c r="R39" s="559"/>
      <c r="S39" s="559"/>
      <c r="T39" s="559"/>
      <c r="U39" s="559"/>
      <c r="V39" s="559"/>
      <c r="W39" s="559"/>
      <c r="X39" s="559"/>
      <c r="Y39" s="559"/>
      <c r="Z39" s="559"/>
      <c r="AA39" s="559"/>
      <c r="AB39" s="559"/>
      <c r="AC39" s="559"/>
      <c r="AD39" s="559"/>
      <c r="AE39" s="559"/>
      <c r="AF39" s="559"/>
      <c r="AG39" s="559"/>
    </row>
    <row r="40" spans="1:33" ht="18" x14ac:dyDescent="0.35">
      <c r="A40" s="559"/>
      <c r="B40" s="1178"/>
      <c r="C40" s="581"/>
      <c r="D40" s="581"/>
      <c r="E40" s="581"/>
      <c r="F40" s="571"/>
      <c r="G40" s="1178"/>
      <c r="H40" s="581"/>
      <c r="I40" s="581"/>
      <c r="J40" s="581"/>
      <c r="K40" s="559"/>
      <c r="L40" s="559"/>
      <c r="M40" s="559"/>
      <c r="N40" s="559"/>
      <c r="O40" s="559"/>
      <c r="P40" s="559"/>
      <c r="Q40" s="559"/>
      <c r="R40" s="559"/>
      <c r="S40" s="559"/>
      <c r="T40" s="559"/>
      <c r="U40" s="559"/>
      <c r="V40" s="559"/>
      <c r="W40" s="559"/>
      <c r="X40" s="559"/>
      <c r="Y40" s="559"/>
      <c r="Z40" s="559"/>
      <c r="AA40" s="559"/>
      <c r="AB40" s="559"/>
      <c r="AC40" s="559"/>
      <c r="AD40" s="559"/>
      <c r="AE40" s="559"/>
      <c r="AF40" s="559"/>
      <c r="AG40" s="559"/>
    </row>
    <row r="41" spans="1:33" ht="18" x14ac:dyDescent="0.35">
      <c r="A41" s="559"/>
      <c r="B41" s="683" t="s">
        <v>31</v>
      </c>
      <c r="C41" s="684" t="s">
        <v>16</v>
      </c>
      <c r="D41" s="687">
        <f>VLOOKUP(C41,'Objet 2 à 6'!$A$234:$M$244,13)</f>
        <v>0</v>
      </c>
      <c r="E41" s="688">
        <v>2</v>
      </c>
      <c r="F41" s="571"/>
      <c r="G41" s="683" t="s">
        <v>31</v>
      </c>
      <c r="H41" s="684" t="s">
        <v>16</v>
      </c>
      <c r="I41" s="687">
        <f>VLOOKUP(H41,'Objet 2 à 6'!$A$234:$M$244,13)</f>
        <v>0</v>
      </c>
      <c r="J41" s="688">
        <v>2</v>
      </c>
      <c r="K41" s="559"/>
      <c r="L41" s="559"/>
      <c r="M41" s="559"/>
      <c r="N41" s="559"/>
      <c r="O41" s="559"/>
      <c r="P41" s="559"/>
      <c r="Q41" s="559"/>
      <c r="R41" s="559"/>
      <c r="S41" s="559"/>
      <c r="T41" s="559"/>
      <c r="U41" s="559"/>
      <c r="V41" s="559"/>
      <c r="W41" s="559"/>
      <c r="X41" s="559"/>
      <c r="Y41" s="559"/>
      <c r="Z41" s="559"/>
      <c r="AA41" s="559"/>
      <c r="AB41" s="559"/>
      <c r="AC41" s="559"/>
      <c r="AD41" s="559"/>
      <c r="AE41" s="559"/>
      <c r="AF41" s="559"/>
      <c r="AG41" s="559"/>
    </row>
    <row r="42" spans="1:33" ht="18" x14ac:dyDescent="0.35">
      <c r="A42" s="559"/>
      <c r="B42" s="689" t="s">
        <v>306</v>
      </c>
      <c r="C42" s="588" t="s">
        <v>16</v>
      </c>
      <c r="D42" s="1171">
        <f>VLOOKUP(C41,$A$234:$S$244,14)</f>
        <v>0</v>
      </c>
      <c r="E42" s="1179"/>
      <c r="F42" s="571"/>
      <c r="G42" s="689" t="s">
        <v>306</v>
      </c>
      <c r="H42" s="588" t="s">
        <v>16</v>
      </c>
      <c r="I42" s="1171">
        <f>VLOOKUP(H41,$A$234:$S$244,14)</f>
        <v>0</v>
      </c>
      <c r="J42" s="1179"/>
      <c r="K42" s="559"/>
      <c r="L42" s="559"/>
      <c r="M42" s="559"/>
      <c r="N42" s="559"/>
      <c r="O42" s="559"/>
      <c r="P42" s="559"/>
      <c r="Q42" s="559"/>
      <c r="R42" s="559"/>
      <c r="S42" s="559"/>
      <c r="T42" s="559"/>
      <c r="U42" s="559"/>
      <c r="V42" s="559"/>
      <c r="W42" s="559"/>
      <c r="X42" s="559"/>
      <c r="Y42" s="559"/>
      <c r="Z42" s="559"/>
      <c r="AA42" s="559"/>
      <c r="AB42" s="559"/>
      <c r="AC42" s="559"/>
      <c r="AD42" s="559"/>
      <c r="AE42" s="559"/>
      <c r="AF42" s="559"/>
      <c r="AG42" s="559"/>
    </row>
    <row r="43" spans="1:33" ht="18" x14ac:dyDescent="0.35">
      <c r="A43" s="559"/>
      <c r="B43" s="602" t="s">
        <v>308</v>
      </c>
      <c r="C43" s="698" t="s">
        <v>16</v>
      </c>
      <c r="D43" s="1180"/>
      <c r="E43" s="1179"/>
      <c r="F43" s="571"/>
      <c r="G43" s="602" t="s">
        <v>308</v>
      </c>
      <c r="H43" s="698" t="s">
        <v>16</v>
      </c>
      <c r="I43" s="1180"/>
      <c r="J43" s="1179"/>
      <c r="K43" s="559"/>
      <c r="L43" s="559"/>
      <c r="M43" s="559"/>
      <c r="N43" s="559"/>
      <c r="O43" s="559"/>
      <c r="P43" s="559"/>
      <c r="Q43" s="559"/>
      <c r="R43" s="559"/>
      <c r="S43" s="559"/>
      <c r="T43" s="559"/>
      <c r="U43" s="559"/>
      <c r="V43" s="559"/>
      <c r="W43" s="559"/>
      <c r="X43" s="559"/>
      <c r="Y43" s="559"/>
      <c r="Z43" s="559"/>
      <c r="AA43" s="559"/>
      <c r="AB43" s="559"/>
      <c r="AC43" s="559"/>
      <c r="AD43" s="559"/>
      <c r="AE43" s="559"/>
      <c r="AF43" s="559"/>
      <c r="AG43" s="559"/>
    </row>
    <row r="44" spans="1:33" ht="18" x14ac:dyDescent="0.35">
      <c r="A44" s="559"/>
      <c r="B44" s="602" t="s">
        <v>359</v>
      </c>
      <c r="C44" s="692">
        <f>IF(C40=0,0,(C40+VLOOKUP(C41,$A$234:$S$244,2)))</f>
        <v>0</v>
      </c>
      <c r="D44" s="694">
        <f>IF(D40=0,0,(D40+VLOOKUP(C41,$A$234:$S$244,2)))</f>
        <v>0</v>
      </c>
      <c r="E44" s="695">
        <f>IF(E40=0,0,(E40+VLOOKUP(C41,$A$234:$S$244,4)+VLOOKUP(C42,$A$274:$C$280,2)+VLOOKUP(C43,$A$283:$C$293,3)))</f>
        <v>0</v>
      </c>
      <c r="F44" s="571"/>
      <c r="G44" s="602" t="s">
        <v>359</v>
      </c>
      <c r="H44" s="692">
        <f>IF(H40=0,0,(H40+VLOOKUP(H41,$A$234:$S$244,2)))</f>
        <v>0</v>
      </c>
      <c r="I44" s="694">
        <f>IF(I40=0,0,(I40+VLOOKUP(H41,$A$234:$S$244,2)))</f>
        <v>0</v>
      </c>
      <c r="J44" s="695">
        <f>IF(J40=0,0,(J40+VLOOKUP(H41,$A$234:$S$244,4)+VLOOKUP(H42,$A$274:$C$280,2)+VLOOKUP(H43,$A$283:$C$293,3)))</f>
        <v>0</v>
      </c>
      <c r="K44" s="559"/>
      <c r="L44" s="559"/>
      <c r="M44" s="559"/>
      <c r="N44" s="559"/>
      <c r="O44" s="559"/>
      <c r="P44" s="559"/>
      <c r="Q44" s="559"/>
      <c r="R44" s="559"/>
      <c r="S44" s="559"/>
      <c r="T44" s="559"/>
      <c r="U44" s="559"/>
      <c r="V44" s="559"/>
      <c r="W44" s="559"/>
      <c r="X44" s="559"/>
      <c r="Y44" s="559"/>
      <c r="Z44" s="559"/>
      <c r="AA44" s="559"/>
      <c r="AB44" s="559"/>
      <c r="AC44" s="559"/>
      <c r="AD44" s="559"/>
      <c r="AE44" s="559"/>
      <c r="AF44" s="559"/>
      <c r="AG44" s="559"/>
    </row>
    <row r="45" spans="1:33" ht="18" x14ac:dyDescent="0.35">
      <c r="A45" s="559"/>
      <c r="B45" s="573"/>
      <c r="C45" s="571"/>
      <c r="D45" s="571"/>
      <c r="E45" s="571"/>
      <c r="F45" s="571"/>
      <c r="G45" s="559"/>
      <c r="H45" s="559"/>
      <c r="I45" s="559"/>
      <c r="J45" s="559"/>
      <c r="K45" s="559"/>
      <c r="L45" s="559"/>
      <c r="M45" s="559"/>
      <c r="N45" s="559"/>
      <c r="O45" s="559"/>
      <c r="P45" s="559"/>
      <c r="Q45" s="559"/>
      <c r="R45" s="559"/>
      <c r="S45" s="559"/>
      <c r="T45" s="559"/>
      <c r="U45" s="559"/>
      <c r="V45" s="559"/>
      <c r="W45" s="559"/>
      <c r="X45" s="559"/>
      <c r="Y45" s="559"/>
      <c r="Z45" s="559"/>
      <c r="AA45" s="559"/>
      <c r="AB45" s="559"/>
      <c r="AC45" s="559"/>
      <c r="AD45" s="559"/>
      <c r="AE45" s="559"/>
      <c r="AF45" s="559"/>
      <c r="AG45" s="559"/>
    </row>
    <row r="46" spans="1:33" ht="18" x14ac:dyDescent="0.35">
      <c r="A46" s="559"/>
      <c r="B46" s="573"/>
      <c r="C46" s="571"/>
      <c r="D46" s="571"/>
      <c r="E46" s="571"/>
      <c r="F46" s="571"/>
      <c r="G46" s="559"/>
      <c r="H46" s="559"/>
      <c r="I46" s="559"/>
      <c r="J46" s="559"/>
      <c r="K46" s="559"/>
      <c r="L46" s="559"/>
      <c r="M46" s="559"/>
      <c r="N46" s="559"/>
      <c r="O46" s="559"/>
      <c r="P46" s="559"/>
      <c r="Q46" s="559"/>
      <c r="R46" s="559"/>
      <c r="S46" s="559"/>
      <c r="T46" s="559"/>
      <c r="U46" s="559"/>
      <c r="V46" s="559"/>
      <c r="W46" s="559"/>
      <c r="X46" s="559"/>
      <c r="Y46" s="559"/>
      <c r="Z46" s="559"/>
      <c r="AA46" s="559"/>
      <c r="AB46" s="559"/>
      <c r="AC46" s="559"/>
      <c r="AD46" s="559"/>
      <c r="AE46" s="559"/>
      <c r="AF46" s="559"/>
      <c r="AG46" s="559"/>
    </row>
    <row r="47" spans="1:33" ht="18" x14ac:dyDescent="0.35">
      <c r="A47" s="559"/>
      <c r="B47" s="699" t="s">
        <v>366</v>
      </c>
      <c r="C47" s="700">
        <f>(C30+IF(C37=0,0,1.5+C37)+IF(C44=0,0,1.5+C44))</f>
        <v>0</v>
      </c>
      <c r="D47" s="700">
        <f>MAX(D30,D37,D44)+IF(C17="Aucun",0,1.5)</f>
        <v>0</v>
      </c>
      <c r="E47" s="701">
        <f>MAX(E30,E37,E44)</f>
        <v>0</v>
      </c>
      <c r="F47" s="571"/>
      <c r="G47" s="702" t="s">
        <v>367</v>
      </c>
      <c r="H47" s="703">
        <f>(H30+IF(H37=0,0,1.5+H37)+IF(H44=0,0,1.5+H44))</f>
        <v>0</v>
      </c>
      <c r="I47" s="703">
        <f t="shared" ref="I47:J47" si="0">MAX(I30,I37,I44)</f>
        <v>0</v>
      </c>
      <c r="J47" s="704">
        <f t="shared" si="0"/>
        <v>0</v>
      </c>
      <c r="K47" s="559"/>
      <c r="L47" s="559"/>
      <c r="M47" s="559"/>
      <c r="N47" s="559"/>
      <c r="O47" s="559"/>
      <c r="P47" s="559"/>
      <c r="Q47" s="559"/>
      <c r="R47" s="559"/>
      <c r="S47" s="559"/>
      <c r="T47" s="559"/>
      <c r="U47" s="559"/>
      <c r="V47" s="559"/>
      <c r="W47" s="559"/>
      <c r="X47" s="559"/>
      <c r="Y47" s="559"/>
      <c r="Z47" s="559"/>
      <c r="AA47" s="559"/>
      <c r="AB47" s="559"/>
      <c r="AC47" s="559"/>
      <c r="AD47" s="559"/>
      <c r="AE47" s="559"/>
      <c r="AF47" s="559"/>
      <c r="AG47" s="559"/>
    </row>
    <row r="48" spans="1:33" ht="18" x14ac:dyDescent="0.35">
      <c r="A48" s="559"/>
      <c r="B48" s="705" t="s">
        <v>368</v>
      </c>
      <c r="C48" s="706">
        <f>IF(E48=0,0,D47)</f>
        <v>0</v>
      </c>
      <c r="D48" s="707">
        <f>IF(E48=0,0,MAX(J47,E47))</f>
        <v>0</v>
      </c>
      <c r="E48" s="708">
        <f>IF(C33=0,0,1)+IF(C40=0,0,1)</f>
        <v>0</v>
      </c>
      <c r="F48" s="571"/>
      <c r="G48" s="705" t="s">
        <v>369</v>
      </c>
      <c r="H48" s="706">
        <f>IF(J48=0,0,I47)</f>
        <v>0</v>
      </c>
      <c r="I48" s="707">
        <f>IF(J48=0,0,MAX(E47,J47))</f>
        <v>0</v>
      </c>
      <c r="J48" s="708">
        <f>IF(H33=0,0,1)+IF(H40=0,0,1)</f>
        <v>0</v>
      </c>
      <c r="K48" s="559"/>
      <c r="L48" s="559"/>
      <c r="M48" s="559"/>
      <c r="N48" s="559"/>
      <c r="O48" s="559"/>
      <c r="P48" s="559"/>
      <c r="Q48" s="559"/>
      <c r="R48" s="559"/>
      <c r="S48" s="559"/>
      <c r="T48" s="559"/>
      <c r="U48" s="559"/>
      <c r="V48" s="559"/>
      <c r="W48" s="559"/>
      <c r="X48" s="559"/>
      <c r="Y48" s="559"/>
      <c r="Z48" s="559"/>
      <c r="AA48" s="559"/>
      <c r="AB48" s="559"/>
      <c r="AC48" s="559"/>
      <c r="AD48" s="559"/>
      <c r="AE48" s="559"/>
      <c r="AF48" s="559"/>
      <c r="AG48" s="559"/>
    </row>
    <row r="49" spans="1:33" ht="18" x14ac:dyDescent="0.35">
      <c r="A49" s="559"/>
      <c r="B49" s="559"/>
      <c r="C49" s="559"/>
      <c r="D49" s="559"/>
      <c r="E49" s="559"/>
      <c r="F49" s="559"/>
      <c r="G49" s="559"/>
      <c r="H49" s="559"/>
      <c r="I49" s="559"/>
      <c r="J49" s="559"/>
      <c r="K49" s="559"/>
      <c r="L49" s="559"/>
      <c r="M49" s="559"/>
      <c r="N49" s="559"/>
      <c r="O49" s="559"/>
      <c r="P49" s="559"/>
      <c r="Q49" s="559"/>
      <c r="R49" s="559"/>
      <c r="S49" s="559"/>
      <c r="T49" s="559"/>
      <c r="U49" s="559"/>
      <c r="V49" s="559"/>
      <c r="W49" s="559"/>
      <c r="X49" s="559"/>
      <c r="Y49" s="559"/>
      <c r="Z49" s="559"/>
      <c r="AA49" s="559"/>
      <c r="AB49" s="559"/>
      <c r="AC49" s="559"/>
      <c r="AD49" s="559"/>
      <c r="AE49" s="559"/>
      <c r="AF49" s="559"/>
      <c r="AG49" s="559"/>
    </row>
    <row r="50" spans="1:33" ht="18" x14ac:dyDescent="0.35">
      <c r="A50" s="1181" t="s">
        <v>370</v>
      </c>
      <c r="B50" s="1182"/>
      <c r="C50" s="709">
        <f>MAX(C47,H47)</f>
        <v>0</v>
      </c>
      <c r="D50" s="709">
        <f>IF(I47=0,D47,D47+1.5+I47)</f>
        <v>0</v>
      </c>
      <c r="E50" s="710">
        <f>MAX(E47,J47)</f>
        <v>0</v>
      </c>
      <c r="F50" s="559"/>
      <c r="G50" s="559"/>
      <c r="H50" s="559"/>
      <c r="I50" s="559"/>
      <c r="J50" s="559"/>
      <c r="K50" s="559"/>
      <c r="L50" s="559"/>
      <c r="M50" s="559"/>
      <c r="N50" s="559"/>
      <c r="O50" s="559"/>
      <c r="P50" s="559"/>
      <c r="Q50" s="559"/>
      <c r="R50" s="559"/>
      <c r="S50" s="559"/>
      <c r="T50" s="559"/>
      <c r="U50" s="559"/>
      <c r="V50" s="559"/>
      <c r="W50" s="559"/>
      <c r="X50" s="559"/>
      <c r="Y50" s="559"/>
      <c r="Z50" s="559"/>
      <c r="AA50" s="559"/>
      <c r="AB50" s="559"/>
      <c r="AC50" s="559"/>
      <c r="AD50" s="559"/>
      <c r="AE50" s="559"/>
      <c r="AF50" s="559"/>
      <c r="AG50" s="559"/>
    </row>
    <row r="51" spans="1:33" ht="18" x14ac:dyDescent="0.35">
      <c r="A51" s="559"/>
      <c r="B51" s="559"/>
      <c r="C51" s="559"/>
      <c r="D51" s="559"/>
      <c r="E51" s="559"/>
      <c r="F51" s="559"/>
      <c r="G51" s="559"/>
      <c r="H51" s="559"/>
      <c r="I51" s="559"/>
      <c r="J51" s="559"/>
      <c r="K51" s="559"/>
      <c r="L51" s="559"/>
      <c r="M51" s="559"/>
      <c r="N51" s="559"/>
      <c r="O51" s="559"/>
      <c r="P51" s="559"/>
      <c r="Q51" s="559"/>
      <c r="R51" s="559"/>
      <c r="S51" s="559"/>
      <c r="T51" s="559"/>
      <c r="U51" s="559"/>
      <c r="V51" s="559"/>
      <c r="W51" s="559"/>
      <c r="X51" s="559"/>
      <c r="Y51" s="559"/>
      <c r="Z51" s="559"/>
      <c r="AA51" s="559"/>
      <c r="AB51" s="559"/>
      <c r="AC51" s="559"/>
      <c r="AD51" s="559"/>
      <c r="AE51" s="559"/>
      <c r="AF51" s="559"/>
      <c r="AG51" s="559"/>
    </row>
    <row r="52" spans="1:33" ht="18" x14ac:dyDescent="0.35">
      <c r="A52" s="559"/>
      <c r="B52" s="1166" t="str">
        <f>IF(C23="Oui"," Préciser les dimensions nécessaire cuvette"," ")</f>
        <v xml:space="preserve"> </v>
      </c>
      <c r="C52" s="1137"/>
      <c r="D52" s="596"/>
      <c r="E52" s="596"/>
      <c r="F52" s="596"/>
      <c r="G52" s="597"/>
      <c r="H52" s="1173" t="s">
        <v>302</v>
      </c>
      <c r="I52" s="1174"/>
      <c r="J52" s="1175"/>
      <c r="K52" s="559"/>
      <c r="L52" s="559"/>
      <c r="M52" s="559"/>
      <c r="N52" s="559"/>
      <c r="O52" s="559"/>
      <c r="P52" s="559"/>
      <c r="Q52" s="559"/>
      <c r="R52" s="559"/>
      <c r="S52" s="559"/>
      <c r="T52" s="559"/>
      <c r="U52" s="559"/>
      <c r="V52" s="559"/>
      <c r="W52" s="559"/>
      <c r="X52" s="559"/>
      <c r="Y52" s="559"/>
      <c r="Z52" s="559"/>
      <c r="AA52" s="559"/>
      <c r="AB52" s="559"/>
      <c r="AC52" s="559"/>
      <c r="AD52" s="559"/>
      <c r="AE52" s="559"/>
      <c r="AF52" s="559"/>
      <c r="AG52" s="559"/>
    </row>
    <row r="53" spans="1:33" ht="18" x14ac:dyDescent="0.35">
      <c r="A53" s="559"/>
      <c r="B53" s="598">
        <f>IF(C23="Oui","Dimensions intérieures cuvette",0)</f>
        <v>0</v>
      </c>
      <c r="C53" s="599"/>
      <c r="D53" s="600">
        <f>IF(C23="Non",0,IF(D52+5.5&lt;C50,C50-5.5,D52))</f>
        <v>0</v>
      </c>
      <c r="E53" s="600">
        <f>IF(C23="Non",0,IF(E52+5.5&lt;D50-5.5,D50-5.5,E52))</f>
        <v>0</v>
      </c>
      <c r="F53" s="600">
        <f>IF(C23="Non",0,F52)</f>
        <v>0</v>
      </c>
      <c r="G53" s="601"/>
      <c r="H53" s="1141"/>
      <c r="I53" s="1097"/>
      <c r="J53" s="1142"/>
      <c r="K53" s="559"/>
      <c r="L53" s="559"/>
      <c r="M53" s="559"/>
      <c r="N53" s="559"/>
      <c r="O53" s="559"/>
      <c r="P53" s="559"/>
      <c r="Q53" s="559"/>
      <c r="R53" s="559"/>
      <c r="S53" s="559"/>
      <c r="T53" s="559"/>
      <c r="U53" s="559"/>
      <c r="V53" s="559"/>
      <c r="W53" s="559"/>
      <c r="X53" s="559"/>
      <c r="Y53" s="559"/>
      <c r="Z53" s="559"/>
      <c r="AA53" s="559"/>
      <c r="AB53" s="559"/>
      <c r="AC53" s="559"/>
      <c r="AD53" s="559"/>
      <c r="AE53" s="559"/>
      <c r="AF53" s="559"/>
      <c r="AG53" s="559"/>
    </row>
    <row r="54" spans="1:33" ht="18" x14ac:dyDescent="0.35">
      <c r="A54" s="559"/>
      <c r="B54" s="602" t="str">
        <f>IF($C$23="Oui","dimensions extérieures de la cuvette"," " )</f>
        <v xml:space="preserve"> </v>
      </c>
      <c r="C54" s="603"/>
      <c r="D54" s="604">
        <f t="shared" ref="D54:E54" si="1">IF($C$23="Oui",D53+3,0)</f>
        <v>0</v>
      </c>
      <c r="E54" s="604">
        <f t="shared" si="1"/>
        <v>0</v>
      </c>
      <c r="F54" s="604">
        <f>IF($C$23="Oui",F52+1.2,0)</f>
        <v>0</v>
      </c>
      <c r="G54" s="605"/>
      <c r="H54" s="1143"/>
      <c r="I54" s="1144"/>
      <c r="J54" s="1145"/>
      <c r="K54" s="559"/>
      <c r="L54" s="559"/>
      <c r="M54" s="559"/>
      <c r="N54" s="559"/>
      <c r="O54" s="559"/>
      <c r="P54" s="559"/>
      <c r="Q54" s="559"/>
      <c r="R54" s="559"/>
      <c r="S54" s="559"/>
      <c r="T54" s="559"/>
      <c r="U54" s="559"/>
      <c r="V54" s="559"/>
      <c r="W54" s="559"/>
      <c r="X54" s="559"/>
      <c r="Y54" s="559"/>
      <c r="Z54" s="559"/>
      <c r="AA54" s="559"/>
      <c r="AB54" s="559"/>
      <c r="AC54" s="559"/>
      <c r="AD54" s="559"/>
      <c r="AE54" s="559"/>
      <c r="AF54" s="559"/>
      <c r="AG54" s="559"/>
    </row>
    <row r="55" spans="1:33" ht="18" x14ac:dyDescent="0.35">
      <c r="A55" s="559"/>
      <c r="B55" s="559"/>
      <c r="C55" s="559"/>
      <c r="D55" s="559"/>
      <c r="E55" s="559"/>
      <c r="F55" s="559"/>
      <c r="G55" s="559"/>
      <c r="H55" s="559"/>
      <c r="I55" s="559"/>
      <c r="J55" s="559"/>
      <c r="K55" s="559"/>
      <c r="L55" s="559"/>
      <c r="M55" s="559"/>
      <c r="N55" s="559"/>
      <c r="O55" s="559"/>
      <c r="P55" s="559"/>
      <c r="Q55" s="559"/>
      <c r="R55" s="559"/>
      <c r="S55" s="559"/>
      <c r="T55" s="559"/>
      <c r="U55" s="559"/>
      <c r="V55" s="559"/>
      <c r="W55" s="559"/>
      <c r="X55" s="559"/>
      <c r="Y55" s="559"/>
      <c r="Z55" s="559"/>
      <c r="AA55" s="559"/>
      <c r="AB55" s="559"/>
      <c r="AC55" s="559"/>
      <c r="AD55" s="559"/>
      <c r="AE55" s="559"/>
      <c r="AF55" s="559"/>
      <c r="AG55" s="559"/>
    </row>
    <row r="56" spans="1:33" ht="18" x14ac:dyDescent="0.35">
      <c r="A56" s="559"/>
      <c r="B56" s="606" t="s">
        <v>42</v>
      </c>
      <c r="C56" s="611">
        <f>IF(C50&lt;D54+2.5,D54+2.5+VLOOKUP($C$17,A249:S255,2),C50+VLOOKUP($C$17,A249:S255,2))+IF(VLOOKUP($C$17,A249:S255,18)=2,3,0)</f>
        <v>2.5</v>
      </c>
      <c r="D56" s="611">
        <f>IF(D50&lt;E54+2.5,E54+2.5+VLOOKUP($C$17,A249:S255,3),D50+VLOOKUP($C$17,A249:S255,3))+IF(VLOOKUP($C$17,A249:S255,19)=2,3,0)</f>
        <v>2.5</v>
      </c>
      <c r="E56" s="608">
        <f>E50+VLOOKUP($C$17,A249:S255,4)+IF($C$23="Oui",$F$54,0)</f>
        <v>0</v>
      </c>
      <c r="F56" s="559"/>
      <c r="G56" s="559"/>
      <c r="H56" s="559"/>
      <c r="I56" s="559"/>
      <c r="J56" s="559"/>
      <c r="K56" s="559"/>
      <c r="L56" s="559"/>
      <c r="M56" s="559"/>
      <c r="N56" s="559"/>
      <c r="O56" s="559"/>
      <c r="P56" s="559"/>
      <c r="Q56" s="559"/>
      <c r="R56" s="559"/>
      <c r="S56" s="559"/>
      <c r="T56" s="559"/>
      <c r="U56" s="559"/>
      <c r="V56" s="559"/>
      <c r="W56" s="559"/>
      <c r="X56" s="559"/>
      <c r="Y56" s="559"/>
      <c r="Z56" s="559"/>
      <c r="AA56" s="559"/>
      <c r="AB56" s="559"/>
      <c r="AC56" s="559"/>
      <c r="AD56" s="559"/>
      <c r="AE56" s="559"/>
      <c r="AF56" s="559"/>
      <c r="AG56" s="559"/>
    </row>
    <row r="57" spans="1:33" ht="18" x14ac:dyDescent="0.35">
      <c r="A57" s="559"/>
      <c r="B57" s="573"/>
      <c r="C57" s="573"/>
      <c r="D57" s="573"/>
      <c r="E57" s="573"/>
      <c r="F57" s="559"/>
      <c r="G57" s="609" t="s">
        <v>256</v>
      </c>
      <c r="H57" s="610"/>
      <c r="I57" s="559"/>
      <c r="J57" s="559"/>
      <c r="K57" s="559"/>
      <c r="L57" s="559"/>
      <c r="M57" s="559"/>
      <c r="N57" s="559"/>
      <c r="O57" s="559"/>
      <c r="P57" s="559"/>
      <c r="Q57" s="559"/>
      <c r="R57" s="559"/>
      <c r="S57" s="559"/>
      <c r="T57" s="559"/>
      <c r="U57" s="559"/>
      <c r="V57" s="559"/>
      <c r="W57" s="559"/>
      <c r="X57" s="559"/>
      <c r="Y57" s="559"/>
      <c r="Z57" s="559"/>
      <c r="AA57" s="559"/>
      <c r="AB57" s="559"/>
      <c r="AC57" s="559"/>
      <c r="AD57" s="559"/>
      <c r="AE57" s="559"/>
      <c r="AF57" s="559"/>
      <c r="AG57" s="559"/>
    </row>
    <row r="58" spans="1:33" ht="18" x14ac:dyDescent="0.35">
      <c r="A58" s="559"/>
      <c r="B58" s="606" t="s">
        <v>44</v>
      </c>
      <c r="C58" s="611">
        <f>C56+IF($C$21="Bois",4.4,0)+VLOOKUP($C$13,$A$268:$E$269,4)*2+VLOOKUP($C$15,$A$271:$D$272,4)*2</f>
        <v>14.100000000000001</v>
      </c>
      <c r="D58" s="611">
        <f>D56+VLOOKUP($C$13,$A$268:$E$269,4)*2+VLOOKUP($C$15,$A$271:$D$272,4)*2</f>
        <v>9.6999999999999993</v>
      </c>
      <c r="E58" s="612">
        <f>E56+VLOOKUP($C$13,$A$268:$E$269,4)+VLOOKUP($C$13,$A$268:$E$269,5)+VLOOKUP($C$15,$A$271:$D$272,4)*2+IF(F21="Skis",2.1,10)</f>
        <v>9.3000000000000007</v>
      </c>
      <c r="F58" s="559"/>
      <c r="G58" s="613">
        <f>C226</f>
        <v>94.709467454812952</v>
      </c>
      <c r="H58" s="614"/>
      <c r="I58" s="559"/>
      <c r="J58" s="559"/>
      <c r="K58" s="559"/>
      <c r="L58" s="559"/>
      <c r="M58" s="559"/>
      <c r="N58" s="559"/>
      <c r="O58" s="559"/>
      <c r="P58" s="559"/>
      <c r="Q58" s="559"/>
      <c r="R58" s="559"/>
      <c r="S58" s="559"/>
      <c r="T58" s="559"/>
      <c r="U58" s="559"/>
      <c r="V58" s="559"/>
      <c r="W58" s="559"/>
      <c r="X58" s="559"/>
      <c r="Y58" s="559"/>
      <c r="Z58" s="559"/>
      <c r="AA58" s="559"/>
      <c r="AB58" s="559"/>
      <c r="AC58" s="559"/>
      <c r="AD58" s="559"/>
      <c r="AE58" s="559"/>
      <c r="AF58" s="559"/>
      <c r="AG58" s="559"/>
    </row>
    <row r="59" spans="1:33" ht="18" x14ac:dyDescent="0.35">
      <c r="A59" s="559"/>
      <c r="B59" s="573"/>
      <c r="C59" s="573"/>
      <c r="D59" s="573"/>
      <c r="E59" s="573"/>
      <c r="F59" s="559"/>
      <c r="G59" s="559"/>
      <c r="H59" s="559"/>
      <c r="I59" s="559"/>
      <c r="J59" s="559"/>
      <c r="K59" s="559"/>
      <c r="L59" s="559"/>
      <c r="M59" s="559"/>
      <c r="N59" s="559"/>
      <c r="O59" s="559"/>
      <c r="P59" s="559"/>
      <c r="Q59" s="559"/>
      <c r="R59" s="559"/>
      <c r="S59" s="559"/>
      <c r="T59" s="559"/>
      <c r="U59" s="559"/>
      <c r="V59" s="559"/>
      <c r="W59" s="559"/>
      <c r="X59" s="559"/>
      <c r="Y59" s="559"/>
      <c r="Z59" s="559"/>
      <c r="AA59" s="559"/>
      <c r="AB59" s="559"/>
      <c r="AC59" s="559"/>
      <c r="AD59" s="559"/>
      <c r="AE59" s="559"/>
      <c r="AF59" s="559"/>
      <c r="AG59" s="559"/>
    </row>
    <row r="60" spans="1:33" ht="18" x14ac:dyDescent="0.35">
      <c r="A60" s="559"/>
      <c r="B60" s="615" t="s">
        <v>45</v>
      </c>
      <c r="C60" s="616">
        <f>Q218</f>
        <v>0</v>
      </c>
      <c r="D60" s="608" t="s">
        <v>46</v>
      </c>
      <c r="E60" s="573"/>
      <c r="F60" s="559"/>
      <c r="G60" s="559"/>
      <c r="H60" s="559"/>
      <c r="I60" s="559"/>
      <c r="J60" s="559"/>
      <c r="K60" s="559"/>
      <c r="L60" s="559"/>
      <c r="M60" s="559"/>
      <c r="N60" s="559"/>
      <c r="O60" s="559"/>
      <c r="P60" s="559"/>
      <c r="Q60" s="559"/>
      <c r="R60" s="559"/>
      <c r="S60" s="559"/>
      <c r="T60" s="559"/>
      <c r="U60" s="559"/>
      <c r="V60" s="559"/>
      <c r="W60" s="559"/>
      <c r="X60" s="559"/>
      <c r="Y60" s="559"/>
      <c r="Z60" s="559"/>
      <c r="AA60" s="559"/>
      <c r="AB60" s="559"/>
      <c r="AC60" s="559"/>
      <c r="AD60" s="559"/>
      <c r="AE60" s="559"/>
      <c r="AF60" s="559"/>
      <c r="AG60" s="559"/>
    </row>
    <row r="61" spans="1:33" ht="18" x14ac:dyDescent="0.35">
      <c r="A61" s="559"/>
      <c r="B61" s="617" t="s">
        <v>48</v>
      </c>
      <c r="C61" s="618">
        <f>D220</f>
        <v>67.0629845972</v>
      </c>
      <c r="D61" s="619" t="s">
        <v>49</v>
      </c>
      <c r="E61" s="559"/>
      <c r="F61" s="559"/>
      <c r="G61" s="559"/>
      <c r="H61" s="559"/>
      <c r="I61" s="559"/>
      <c r="J61" s="559"/>
      <c r="K61" s="559"/>
      <c r="L61" s="559"/>
      <c r="M61" s="559"/>
      <c r="N61" s="559"/>
      <c r="O61" s="559"/>
      <c r="P61" s="559"/>
      <c r="Q61" s="559"/>
      <c r="R61" s="559"/>
      <c r="S61" s="559"/>
      <c r="T61" s="559"/>
      <c r="U61" s="559"/>
      <c r="V61" s="559"/>
      <c r="W61" s="559"/>
      <c r="X61" s="559"/>
      <c r="Y61" s="559"/>
      <c r="Z61" s="559"/>
      <c r="AA61" s="559"/>
      <c r="AB61" s="559"/>
      <c r="AC61" s="559"/>
      <c r="AD61" s="559"/>
      <c r="AE61" s="559"/>
      <c r="AF61" s="559"/>
      <c r="AG61" s="559"/>
    </row>
    <row r="62" spans="1:33" ht="18" x14ac:dyDescent="0.35">
      <c r="A62" s="559"/>
      <c r="B62" s="559"/>
      <c r="C62" s="559"/>
      <c r="D62" s="559"/>
      <c r="E62" s="559"/>
      <c r="F62" s="559" t="s">
        <v>34</v>
      </c>
      <c r="G62" s="559"/>
      <c r="H62" s="559"/>
      <c r="I62" s="559"/>
      <c r="J62" s="559"/>
      <c r="K62" s="559"/>
      <c r="L62" s="559"/>
      <c r="M62" s="559"/>
      <c r="N62" s="559"/>
      <c r="O62" s="559"/>
      <c r="P62" s="559"/>
      <c r="Q62" s="559" t="s">
        <v>157</v>
      </c>
      <c r="R62" s="559"/>
      <c r="S62" s="559"/>
      <c r="T62" s="559"/>
      <c r="U62" s="559"/>
      <c r="V62" s="559"/>
      <c r="W62" s="559"/>
      <c r="X62" s="559"/>
      <c r="Y62" s="559"/>
      <c r="Z62" s="559"/>
      <c r="AA62" s="559"/>
      <c r="AB62" s="559"/>
      <c r="AC62" s="559"/>
      <c r="AD62" s="559"/>
      <c r="AE62" s="559"/>
      <c r="AF62" s="559"/>
      <c r="AG62" s="559"/>
    </row>
    <row r="63" spans="1:33" ht="18" x14ac:dyDescent="0.35">
      <c r="A63" s="620" t="s">
        <v>53</v>
      </c>
      <c r="B63" s="621" t="str">
        <f>VLOOKUP($C$13,A268:E269,2)</f>
        <v>Peuplier 15 mm</v>
      </c>
      <c r="C63" s="621">
        <f>C56+2*(VLOOKUP(B63,A268:E269,4)+VLOOKUP($C$15,A271:D272,4))</f>
        <v>9.6999999999999993</v>
      </c>
      <c r="D63" s="621">
        <f>E56+(VLOOKUP(B63,A268:E269,5)+VLOOKUP($C$15,A271:D272,4))</f>
        <v>3.6</v>
      </c>
      <c r="E63" s="622" t="str">
        <f t="shared" ref="E63:E66" si="2">B63</f>
        <v>Peuplier 15 mm</v>
      </c>
      <c r="F63" s="623">
        <v>2</v>
      </c>
      <c r="G63" s="559"/>
      <c r="H63" s="559"/>
      <c r="I63" s="559"/>
      <c r="J63" s="559">
        <f t="shared" ref="J63:J66" si="3">IF(C63=0,0,(C63/100)*(D63/100)*F63)</f>
        <v>6.9839999999999998E-3</v>
      </c>
      <c r="K63" s="559">
        <f t="shared" ref="K63:K66" si="4">J63/0.8</f>
        <v>8.7299999999999999E-3</v>
      </c>
      <c r="L63" s="71">
        <f>IF(E63=0,0,VLOOKUP(E63,'Prix Matiere'!$A$4:$J$65,10))</f>
        <v>16.895876288659796</v>
      </c>
      <c r="M63" s="625">
        <f t="shared" ref="M63:M66" si="5">L63*K63-IF($F$15="Non",K63*0.75,0)</f>
        <v>0.14750100000000002</v>
      </c>
      <c r="N63" s="626">
        <f t="shared" ref="N63:N66" si="6">IF(J63=0,0,IF($F$15="Oui",(7.0924*J63)+15,(6.0924*J63)+10))</f>
        <v>15.0495333216</v>
      </c>
      <c r="O63" s="625">
        <f t="shared" ref="O63:O66" si="7">N63*'Objet 2 à 6'!MinuteMO</f>
        <v>12.792103323359999</v>
      </c>
      <c r="P63" s="559"/>
      <c r="Q63" s="627" t="s">
        <v>663</v>
      </c>
      <c r="R63" s="559"/>
      <c r="S63" s="559"/>
      <c r="T63" s="559"/>
      <c r="U63" s="559"/>
      <c r="V63" s="559"/>
      <c r="W63" s="559"/>
      <c r="X63" s="559"/>
      <c r="Y63" s="559"/>
      <c r="Z63" s="559"/>
      <c r="AA63" s="559"/>
      <c r="AB63" s="559"/>
      <c r="AC63" s="559"/>
      <c r="AD63" s="559"/>
      <c r="AE63" s="559"/>
      <c r="AF63" s="559"/>
      <c r="AG63" s="559"/>
    </row>
    <row r="64" spans="1:33" ht="18" x14ac:dyDescent="0.35">
      <c r="A64" s="620" t="s">
        <v>175</v>
      </c>
      <c r="B64" s="621" t="str">
        <f>VLOOKUP($C$13,A268:E269,2)</f>
        <v>Peuplier 15 mm</v>
      </c>
      <c r="C64" s="621">
        <f>C63</f>
        <v>9.6999999999999993</v>
      </c>
      <c r="D64" s="621">
        <f>D56+2*(VLOOKUP(B64,A268:E269,4)+VLOOKUP($C$15,A271:D272,4))+0.5</f>
        <v>10.199999999999999</v>
      </c>
      <c r="E64" s="622" t="str">
        <f t="shared" si="2"/>
        <v>Peuplier 15 mm</v>
      </c>
      <c r="F64" s="623">
        <v>1</v>
      </c>
      <c r="G64" s="559"/>
      <c r="H64" s="559"/>
      <c r="I64" s="559"/>
      <c r="J64" s="559">
        <f t="shared" si="3"/>
        <v>9.8939999999999983E-3</v>
      </c>
      <c r="K64" s="559">
        <f t="shared" si="4"/>
        <v>1.2367499999999997E-2</v>
      </c>
      <c r="L64" s="71">
        <f>IF(E64=0,0,VLOOKUP(E64,'Prix Matiere'!$A$4:$J$65,10))</f>
        <v>16.895876288659796</v>
      </c>
      <c r="M64" s="625">
        <f t="shared" si="5"/>
        <v>0.20895974999999997</v>
      </c>
      <c r="N64" s="626">
        <f t="shared" si="6"/>
        <v>15.0701722056</v>
      </c>
      <c r="O64" s="625">
        <f t="shared" si="7"/>
        <v>12.80964637476</v>
      </c>
      <c r="P64" s="559"/>
      <c r="Q64" s="627" t="s">
        <v>663</v>
      </c>
      <c r="R64" s="559"/>
      <c r="S64" s="559"/>
      <c r="T64" s="559"/>
      <c r="U64" s="559"/>
      <c r="V64" s="559"/>
      <c r="W64" s="559"/>
      <c r="X64" s="559"/>
      <c r="Y64" s="559"/>
      <c r="Z64" s="559"/>
      <c r="AA64" s="559"/>
      <c r="AB64" s="559"/>
      <c r="AC64" s="559"/>
      <c r="AD64" s="559"/>
      <c r="AE64" s="559"/>
      <c r="AF64" s="559"/>
      <c r="AG64" s="559"/>
    </row>
    <row r="65" spans="1:33" ht="18" x14ac:dyDescent="0.35">
      <c r="A65" s="620" t="s">
        <v>176</v>
      </c>
      <c r="B65" s="621" t="str">
        <f>VLOOKUP($C$13,A268:E269,3)</f>
        <v>Peuplier 15 mm</v>
      </c>
      <c r="C65" s="621">
        <f t="shared" ref="C65:D65" si="8">C56</f>
        <v>2.5</v>
      </c>
      <c r="D65" s="621">
        <f t="shared" si="8"/>
        <v>2.5</v>
      </c>
      <c r="E65" s="622" t="str">
        <f t="shared" si="2"/>
        <v>Peuplier 15 mm</v>
      </c>
      <c r="F65" s="623">
        <v>1</v>
      </c>
      <c r="G65" s="559"/>
      <c r="H65" s="559"/>
      <c r="I65" s="559"/>
      <c r="J65" s="559">
        <f t="shared" si="3"/>
        <v>6.2500000000000012E-4</v>
      </c>
      <c r="K65" s="559">
        <f t="shared" si="4"/>
        <v>7.8125000000000015E-4</v>
      </c>
      <c r="L65" s="71">
        <f>IF(E65=0,0,VLOOKUP(E65,'Prix Matiere'!$A$4:$J$65,10))</f>
        <v>16.895876288659796</v>
      </c>
      <c r="M65" s="625">
        <f t="shared" si="5"/>
        <v>1.3199903350515468E-2</v>
      </c>
      <c r="N65" s="626">
        <f t="shared" si="6"/>
        <v>15.004432749999999</v>
      </c>
      <c r="O65" s="625">
        <f t="shared" si="7"/>
        <v>12.7537678375</v>
      </c>
      <c r="P65" s="559"/>
      <c r="Q65" s="627" t="s">
        <v>663</v>
      </c>
      <c r="R65" s="559"/>
      <c r="S65" s="559"/>
      <c r="T65" s="559"/>
      <c r="U65" s="559"/>
      <c r="V65" s="559"/>
      <c r="W65" s="559"/>
      <c r="X65" s="559"/>
      <c r="Y65" s="559"/>
      <c r="Z65" s="559"/>
      <c r="AA65" s="559"/>
      <c r="AB65" s="559"/>
      <c r="AC65" s="559"/>
      <c r="AD65" s="559"/>
      <c r="AE65" s="559"/>
      <c r="AF65" s="559"/>
      <c r="AG65" s="559"/>
    </row>
    <row r="66" spans="1:33" ht="18" x14ac:dyDescent="0.35">
      <c r="A66" s="620" t="s">
        <v>55</v>
      </c>
      <c r="B66" s="621" t="str">
        <f>VLOOKUP($C$13,A268:E269,2)</f>
        <v>Peuplier 15 mm</v>
      </c>
      <c r="C66" s="621">
        <f>D56</f>
        <v>2.5</v>
      </c>
      <c r="D66" s="621">
        <f>D63</f>
        <v>3.6</v>
      </c>
      <c r="E66" s="622" t="str">
        <f t="shared" si="2"/>
        <v>Peuplier 15 mm</v>
      </c>
      <c r="F66" s="623">
        <v>2</v>
      </c>
      <c r="G66" s="559"/>
      <c r="H66" s="559"/>
      <c r="I66" s="559"/>
      <c r="J66" s="559">
        <f t="shared" si="3"/>
        <v>1.8000000000000004E-3</v>
      </c>
      <c r="K66" s="559">
        <f t="shared" si="4"/>
        <v>2.2500000000000003E-3</v>
      </c>
      <c r="L66" s="71">
        <f>IF(E66=0,0,VLOOKUP(E66,'Prix Matiere'!$A$4:$J$65,10))</f>
        <v>16.895876288659796</v>
      </c>
      <c r="M66" s="625">
        <f t="shared" si="5"/>
        <v>3.8015721649484545E-2</v>
      </c>
      <c r="N66" s="626">
        <f t="shared" si="6"/>
        <v>15.012766320000001</v>
      </c>
      <c r="O66" s="625">
        <f t="shared" si="7"/>
        <v>12.760851372000001</v>
      </c>
      <c r="P66" s="559"/>
      <c r="Q66" s="627" t="s">
        <v>663</v>
      </c>
      <c r="R66" s="559"/>
      <c r="S66" s="559"/>
      <c r="T66" s="559"/>
      <c r="U66" s="559"/>
      <c r="V66" s="559"/>
      <c r="W66" s="559"/>
      <c r="X66" s="559"/>
      <c r="Y66" s="559"/>
      <c r="Z66" s="559"/>
      <c r="AA66" s="559"/>
      <c r="AB66" s="559"/>
      <c r="AC66" s="559"/>
      <c r="AD66" s="559"/>
      <c r="AE66" s="559"/>
      <c r="AF66" s="559"/>
      <c r="AG66" s="559"/>
    </row>
    <row r="67" spans="1:33" ht="18" x14ac:dyDescent="0.35">
      <c r="A67" s="559"/>
      <c r="B67" s="559"/>
      <c r="C67" s="559"/>
      <c r="D67" s="559"/>
      <c r="E67" s="559"/>
      <c r="F67" s="559"/>
      <c r="G67" s="559"/>
      <c r="H67" s="559"/>
      <c r="I67" s="559"/>
      <c r="J67" s="559"/>
      <c r="K67" s="559"/>
      <c r="L67" s="71">
        <f>IF(E67=0,0,VLOOKUP(E67,'Prix Matiere'!$A$4:$J$65,10))</f>
        <v>0</v>
      </c>
      <c r="M67" s="625"/>
      <c r="N67" s="626"/>
      <c r="O67" s="625"/>
      <c r="P67" s="559"/>
      <c r="Q67" s="627"/>
      <c r="R67" s="559"/>
      <c r="S67" s="559"/>
      <c r="T67" s="559"/>
      <c r="U67" s="559"/>
      <c r="V67" s="559"/>
      <c r="W67" s="559"/>
      <c r="X67" s="559"/>
      <c r="Y67" s="559"/>
      <c r="Z67" s="559"/>
      <c r="AA67" s="559"/>
      <c r="AB67" s="559"/>
      <c r="AC67" s="559"/>
      <c r="AD67" s="559"/>
      <c r="AE67" s="559"/>
      <c r="AF67" s="559"/>
      <c r="AG67" s="559"/>
    </row>
    <row r="68" spans="1:33" ht="18" x14ac:dyDescent="0.35">
      <c r="A68" s="559"/>
      <c r="B68" s="559"/>
      <c r="C68" s="559"/>
      <c r="D68" s="559"/>
      <c r="E68" s="559"/>
      <c r="F68" s="559"/>
      <c r="G68" s="559"/>
      <c r="H68" s="559"/>
      <c r="I68" s="559"/>
      <c r="J68" s="559"/>
      <c r="K68" s="559"/>
      <c r="L68" s="71">
        <f>IF(E68=0,0,VLOOKUP(E68,'Prix Matiere'!$A$4:$J$65,10))</f>
        <v>0</v>
      </c>
      <c r="M68" s="625"/>
      <c r="N68" s="626"/>
      <c r="O68" s="625"/>
      <c r="P68" s="559"/>
      <c r="Q68" s="627"/>
      <c r="R68" s="559"/>
      <c r="S68" s="559"/>
      <c r="T68" s="559"/>
      <c r="U68" s="559"/>
      <c r="V68" s="559"/>
      <c r="W68" s="559"/>
      <c r="X68" s="559"/>
      <c r="Y68" s="559"/>
      <c r="Z68" s="559"/>
      <c r="AA68" s="559"/>
      <c r="AB68" s="559"/>
      <c r="AC68" s="559"/>
      <c r="AD68" s="559"/>
      <c r="AE68" s="559"/>
      <c r="AF68" s="559"/>
      <c r="AG68" s="559"/>
    </row>
    <row r="69" spans="1:33" ht="18" x14ac:dyDescent="0.35">
      <c r="A69" s="573" t="s">
        <v>11</v>
      </c>
      <c r="B69" s="584" t="s">
        <v>56</v>
      </c>
      <c r="C69" s="621">
        <f>C63</f>
        <v>9.6999999999999993</v>
      </c>
      <c r="D69" s="584">
        <f>IF(D63&gt;80,9.4,7)</f>
        <v>7</v>
      </c>
      <c r="E69" s="579" t="str">
        <f>IF($C$15="Pin raboté 4 faces","Barres 21 R4F","Barres 19 mm")</f>
        <v>Barres 21 R4F</v>
      </c>
      <c r="F69" s="584">
        <v>4</v>
      </c>
      <c r="G69" s="559"/>
      <c r="H69" s="559"/>
      <c r="I69" s="559"/>
      <c r="J69" s="559">
        <f t="shared" ref="J69:J83" si="9">IF(C69=0,0,(C69/100)*(D69/100)*F69)</f>
        <v>2.716E-2</v>
      </c>
      <c r="K69" s="559">
        <f t="shared" ref="K69:K83" si="10">J69/0.8</f>
        <v>3.3950000000000001E-2</v>
      </c>
      <c r="L69" s="71">
        <f>IF(E69=0,0,VLOOKUP(E69,'Prix Matiere'!$A$4:$J$65,10))</f>
        <v>18.969072164948454</v>
      </c>
      <c r="M69" s="625">
        <f t="shared" ref="M69:M78" si="11">L69*K69</f>
        <v>0.64400000000000002</v>
      </c>
      <c r="N69" s="626">
        <f t="shared" ref="N69:N78" si="12">IF(J69=0,0,1+(11*J69))</f>
        <v>1.2987600000000001</v>
      </c>
      <c r="O69" s="625">
        <f t="shared" ref="O69:O78" si="13">N69*'Objet 2 à 6'!MinuteMO</f>
        <v>1.1039460000000001</v>
      </c>
      <c r="P69" s="559"/>
      <c r="Q69" s="627" t="s">
        <v>663</v>
      </c>
      <c r="R69" s="559"/>
      <c r="S69" s="559"/>
      <c r="T69" s="559"/>
      <c r="U69" s="559"/>
      <c r="V69" s="559"/>
      <c r="W69" s="559"/>
      <c r="X69" s="559"/>
      <c r="Y69" s="559"/>
      <c r="Z69" s="559"/>
      <c r="AA69" s="559"/>
      <c r="AB69" s="559"/>
      <c r="AC69" s="559"/>
      <c r="AD69" s="559"/>
      <c r="AE69" s="559"/>
      <c r="AF69" s="559"/>
      <c r="AG69" s="559"/>
    </row>
    <row r="70" spans="1:33" ht="18" x14ac:dyDescent="0.35">
      <c r="A70" s="559"/>
      <c r="B70" s="584" t="s">
        <v>57</v>
      </c>
      <c r="C70" s="621">
        <f>D63-2*D69</f>
        <v>-10.4</v>
      </c>
      <c r="D70" s="584">
        <f>D69</f>
        <v>7</v>
      </c>
      <c r="E70" s="579" t="str">
        <f>IF($C$15="Pin raboté 4 faces","Barres 21 R4F",0)</f>
        <v>Barres 21 R4F</v>
      </c>
      <c r="F70" s="584">
        <f>4</f>
        <v>4</v>
      </c>
      <c r="G70" s="559"/>
      <c r="H70" s="559"/>
      <c r="I70" s="559"/>
      <c r="J70" s="559">
        <f t="shared" si="9"/>
        <v>-2.9120000000000007E-2</v>
      </c>
      <c r="K70" s="559">
        <f t="shared" si="10"/>
        <v>-3.6400000000000009E-2</v>
      </c>
      <c r="L70" s="71">
        <f>IF(E70=0,0,VLOOKUP(E70,'Prix Matiere'!$A$4:$J$65,10))</f>
        <v>18.969072164948454</v>
      </c>
      <c r="M70" s="625">
        <f t="shared" si="11"/>
        <v>-0.69047422680412385</v>
      </c>
      <c r="N70" s="626">
        <f t="shared" si="12"/>
        <v>0.67967999999999995</v>
      </c>
      <c r="O70" s="625">
        <f t="shared" si="13"/>
        <v>0.57772799999999991</v>
      </c>
      <c r="P70" s="559"/>
      <c r="Q70" s="627" t="s">
        <v>663</v>
      </c>
      <c r="R70" s="559"/>
      <c r="S70" s="559"/>
      <c r="T70" s="559"/>
      <c r="U70" s="559"/>
      <c r="V70" s="559"/>
      <c r="W70" s="559"/>
      <c r="X70" s="559"/>
      <c r="Y70" s="559"/>
      <c r="Z70" s="559"/>
      <c r="AA70" s="559"/>
      <c r="AB70" s="559"/>
      <c r="AC70" s="559"/>
      <c r="AD70" s="559"/>
      <c r="AE70" s="559"/>
      <c r="AF70" s="559"/>
      <c r="AG70" s="559"/>
    </row>
    <row r="71" spans="1:33" ht="18" x14ac:dyDescent="0.35">
      <c r="A71" s="559"/>
      <c r="B71" s="584" t="s">
        <v>177</v>
      </c>
      <c r="C71" s="621">
        <f>C69</f>
        <v>9.6999999999999993</v>
      </c>
      <c r="D71" s="584">
        <f>IF($D$57&lt;80,7,9.4)</f>
        <v>7</v>
      </c>
      <c r="E71" s="579" t="str">
        <f t="shared" ref="E71:E74" si="14">IF($C$15="Pin raboté 4 faces","Barres 21 R4F","Barres 19 mm")</f>
        <v>Barres 21 R4F</v>
      </c>
      <c r="F71" s="584">
        <f t="shared" ref="F71:F72" si="15">IF(D71&lt;14.4,2,4)</f>
        <v>2</v>
      </c>
      <c r="G71" s="559"/>
      <c r="H71" s="559"/>
      <c r="I71" s="559"/>
      <c r="J71" s="559">
        <f t="shared" si="9"/>
        <v>1.358E-2</v>
      </c>
      <c r="K71" s="559">
        <f t="shared" si="10"/>
        <v>1.6975000000000001E-2</v>
      </c>
      <c r="L71" s="71">
        <f>IF(E71=0,0,VLOOKUP(E71,'Prix Matiere'!$A$4:$J$65,10))</f>
        <v>18.969072164948454</v>
      </c>
      <c r="M71" s="625">
        <f t="shared" si="11"/>
        <v>0.32200000000000001</v>
      </c>
      <c r="N71" s="626">
        <f t="shared" si="12"/>
        <v>1.1493800000000001</v>
      </c>
      <c r="O71" s="625">
        <f t="shared" si="13"/>
        <v>0.97697299999999998</v>
      </c>
      <c r="P71" s="559"/>
      <c r="Q71" s="627" t="s">
        <v>663</v>
      </c>
      <c r="R71" s="559"/>
      <c r="S71" s="559"/>
      <c r="T71" s="559"/>
      <c r="U71" s="559"/>
      <c r="V71" s="559"/>
      <c r="W71" s="559"/>
      <c r="X71" s="559"/>
      <c r="Y71" s="559"/>
      <c r="Z71" s="559"/>
      <c r="AA71" s="559"/>
      <c r="AB71" s="559"/>
      <c r="AC71" s="559"/>
      <c r="AD71" s="559"/>
      <c r="AE71" s="559"/>
      <c r="AF71" s="559"/>
      <c r="AG71" s="559"/>
    </row>
    <row r="72" spans="1:33" ht="18" x14ac:dyDescent="0.35">
      <c r="A72" s="559"/>
      <c r="B72" s="584" t="s">
        <v>178</v>
      </c>
      <c r="C72" s="621">
        <f>D64-2*D71</f>
        <v>-3.8000000000000007</v>
      </c>
      <c r="D72" s="584">
        <f>D71</f>
        <v>7</v>
      </c>
      <c r="E72" s="579" t="str">
        <f t="shared" si="14"/>
        <v>Barres 21 R4F</v>
      </c>
      <c r="F72" s="584">
        <f t="shared" si="15"/>
        <v>2</v>
      </c>
      <c r="G72" s="559"/>
      <c r="H72" s="559"/>
      <c r="I72" s="559"/>
      <c r="J72" s="559">
        <f t="shared" si="9"/>
        <v>-5.3200000000000009E-3</v>
      </c>
      <c r="K72" s="559">
        <f t="shared" si="10"/>
        <v>-6.6500000000000005E-3</v>
      </c>
      <c r="L72" s="71">
        <f>IF(E72=0,0,VLOOKUP(E72,'Prix Matiere'!$A$4:$J$65,10))</f>
        <v>18.969072164948454</v>
      </c>
      <c r="M72" s="625">
        <f t="shared" si="11"/>
        <v>-0.12614432989690721</v>
      </c>
      <c r="N72" s="626">
        <f t="shared" si="12"/>
        <v>0.94147999999999998</v>
      </c>
      <c r="O72" s="625">
        <f t="shared" si="13"/>
        <v>0.80025799999999991</v>
      </c>
      <c r="P72" s="559"/>
      <c r="Q72" s="627" t="s">
        <v>663</v>
      </c>
      <c r="R72" s="559"/>
      <c r="S72" s="559"/>
      <c r="T72" s="559"/>
      <c r="U72" s="559"/>
      <c r="V72" s="559"/>
      <c r="W72" s="559"/>
      <c r="X72" s="559"/>
      <c r="Y72" s="559"/>
      <c r="Z72" s="559"/>
      <c r="AA72" s="559"/>
      <c r="AB72" s="559"/>
      <c r="AC72" s="559"/>
      <c r="AD72" s="559"/>
      <c r="AE72" s="559"/>
      <c r="AF72" s="559"/>
      <c r="AG72" s="559"/>
    </row>
    <row r="73" spans="1:33" ht="18" x14ac:dyDescent="0.35">
      <c r="A73" s="559"/>
      <c r="B73" s="584" t="s">
        <v>179</v>
      </c>
      <c r="C73" s="621">
        <f>C56</f>
        <v>2.5</v>
      </c>
      <c r="D73" s="584">
        <v>7</v>
      </c>
      <c r="E73" s="579" t="str">
        <f t="shared" si="14"/>
        <v>Barres 21 R4F</v>
      </c>
      <c r="F73" s="584">
        <f>IF(D56&gt;70,3,2)</f>
        <v>2</v>
      </c>
      <c r="G73" s="559"/>
      <c r="H73" s="559"/>
      <c r="I73" s="559"/>
      <c r="J73" s="559">
        <f t="shared" si="9"/>
        <v>3.5000000000000005E-3</v>
      </c>
      <c r="K73" s="559">
        <f t="shared" si="10"/>
        <v>4.3750000000000004E-3</v>
      </c>
      <c r="L73" s="71">
        <f>IF(E73=0,0,VLOOKUP(E73,'Prix Matiere'!$A$4:$J$65,10))</f>
        <v>18.969072164948454</v>
      </c>
      <c r="M73" s="625">
        <f t="shared" si="11"/>
        <v>8.2989690721649495E-2</v>
      </c>
      <c r="N73" s="626">
        <f t="shared" si="12"/>
        <v>1.0385</v>
      </c>
      <c r="O73" s="625">
        <f t="shared" si="13"/>
        <v>0.88272499999999998</v>
      </c>
      <c r="P73" s="559"/>
      <c r="Q73" s="627" t="s">
        <v>663</v>
      </c>
      <c r="R73" s="559"/>
      <c r="S73" s="559"/>
      <c r="T73" s="559"/>
      <c r="U73" s="559"/>
      <c r="V73" s="559"/>
      <c r="W73" s="559"/>
      <c r="X73" s="559"/>
      <c r="Y73" s="559"/>
      <c r="Z73" s="559"/>
      <c r="AA73" s="559"/>
      <c r="AB73" s="559"/>
      <c r="AC73" s="559"/>
      <c r="AD73" s="559"/>
      <c r="AE73" s="559"/>
      <c r="AF73" s="559"/>
      <c r="AG73" s="559"/>
    </row>
    <row r="74" spans="1:33" ht="18" x14ac:dyDescent="0.35">
      <c r="A74" s="559"/>
      <c r="B74" s="584" t="s">
        <v>180</v>
      </c>
      <c r="C74" s="621">
        <f>(D56-(D73*F73))/(F73-1)</f>
        <v>-11.5</v>
      </c>
      <c r="D74" s="584">
        <v>7</v>
      </c>
      <c r="E74" s="579" t="str">
        <f t="shared" si="14"/>
        <v>Barres 21 R4F</v>
      </c>
      <c r="F74" s="584">
        <f>IF(F73=2,2,4)</f>
        <v>2</v>
      </c>
      <c r="G74" s="559"/>
      <c r="H74" s="559"/>
      <c r="I74" s="559"/>
      <c r="J74" s="559">
        <f t="shared" si="9"/>
        <v>-1.6100000000000003E-2</v>
      </c>
      <c r="K74" s="559">
        <f t="shared" si="10"/>
        <v>-2.0125000000000004E-2</v>
      </c>
      <c r="L74" s="71">
        <f>IF(E74=0,0,VLOOKUP(E74,'Prix Matiere'!$A$4:$J$65,10))</f>
        <v>18.969072164948454</v>
      </c>
      <c r="M74" s="625">
        <f t="shared" si="11"/>
        <v>-0.38175257731958773</v>
      </c>
      <c r="N74" s="626">
        <f t="shared" si="12"/>
        <v>0.82289999999999996</v>
      </c>
      <c r="O74" s="625">
        <f t="shared" si="13"/>
        <v>0.699465</v>
      </c>
      <c r="P74" s="559"/>
      <c r="Q74" s="627" t="s">
        <v>663</v>
      </c>
      <c r="R74" s="559"/>
      <c r="S74" s="559"/>
      <c r="T74" s="559"/>
      <c r="U74" s="559"/>
      <c r="V74" s="559"/>
      <c r="W74" s="559"/>
      <c r="X74" s="559"/>
      <c r="Y74" s="559"/>
      <c r="Z74" s="559"/>
      <c r="AA74" s="559"/>
      <c r="AB74" s="559"/>
      <c r="AC74" s="559"/>
      <c r="AD74" s="559"/>
      <c r="AE74" s="559"/>
      <c r="AF74" s="559"/>
      <c r="AG74" s="559"/>
    </row>
    <row r="75" spans="1:33" ht="18" x14ac:dyDescent="0.35">
      <c r="A75" s="559"/>
      <c r="B75" s="584" t="str">
        <f>F21</f>
        <v>Skis</v>
      </c>
      <c r="C75" s="621">
        <f>IF(B75="10 dessous en skis", (C69-70)/2,IF(B75="10 dessous en semelles",D64,C71-10))</f>
        <v>-0.30000000000000071</v>
      </c>
      <c r="D75" s="584">
        <f>IF($F$10="BOVIS",9.4,7)</f>
        <v>7</v>
      </c>
      <c r="E75" s="579" t="str">
        <f>IF(B75="skis","Barres 21 R4F","Semelles R4F")</f>
        <v>Barres 21 R4F</v>
      </c>
      <c r="F75" s="584">
        <f>IF(B75="10 dessous en skis",6,IF(B75="10 dessous en semelles",2,2))</f>
        <v>2</v>
      </c>
      <c r="G75" s="559"/>
      <c r="H75" s="559"/>
      <c r="I75" s="559"/>
      <c r="J75" s="559">
        <f t="shared" si="9"/>
        <v>-4.2000000000000099E-4</v>
      </c>
      <c r="K75" s="559">
        <f t="shared" si="10"/>
        <v>-5.2500000000000116E-4</v>
      </c>
      <c r="L75" s="71">
        <f>IF(E75=0,0,VLOOKUP(E75,'Prix Matiere'!$A$4:$J$65,10))</f>
        <v>18.969072164948454</v>
      </c>
      <c r="M75" s="625">
        <f t="shared" si="11"/>
        <v>-9.9587628865979595E-3</v>
      </c>
      <c r="N75" s="626">
        <f t="shared" si="12"/>
        <v>0.99538000000000004</v>
      </c>
      <c r="O75" s="625">
        <f t="shared" si="13"/>
        <v>0.84607299999999996</v>
      </c>
      <c r="P75" s="559"/>
      <c r="Q75" s="627" t="s">
        <v>663</v>
      </c>
      <c r="R75" s="559"/>
      <c r="S75" s="559"/>
      <c r="T75" s="559"/>
      <c r="U75" s="559"/>
      <c r="V75" s="559"/>
      <c r="W75" s="559"/>
      <c r="X75" s="559"/>
      <c r="Y75" s="559"/>
      <c r="Z75" s="559"/>
      <c r="AA75" s="559"/>
      <c r="AB75" s="559"/>
      <c r="AC75" s="559"/>
      <c r="AD75" s="559"/>
      <c r="AE75" s="559"/>
      <c r="AF75" s="559"/>
      <c r="AG75" s="559"/>
    </row>
    <row r="76" spans="1:33" ht="18" x14ac:dyDescent="0.35">
      <c r="A76" s="559"/>
      <c r="B76" s="584" t="s">
        <v>59</v>
      </c>
      <c r="C76" s="621">
        <f>IF($D$66&lt;14.4,0,C66)</f>
        <v>0</v>
      </c>
      <c r="D76" s="584">
        <f>IF(D56&lt;14.4,0,D69)</f>
        <v>0</v>
      </c>
      <c r="E76" s="579" t="str">
        <f t="shared" ref="E76:E77" si="16">IF($C$15="Pin raboté 4 faces","Barres 21 R4F","Barres 19 mm")</f>
        <v>Barres 21 R4F</v>
      </c>
      <c r="F76" s="584">
        <f>IF(D56&lt;14.4,0,4)</f>
        <v>0</v>
      </c>
      <c r="G76" s="559"/>
      <c r="H76" s="559"/>
      <c r="I76" s="559"/>
      <c r="J76" s="559">
        <f t="shared" si="9"/>
        <v>0</v>
      </c>
      <c r="K76" s="559">
        <f t="shared" si="10"/>
        <v>0</v>
      </c>
      <c r="L76" s="71">
        <f>IF(E76=0,0,VLOOKUP(E76,'Prix Matiere'!$A$4:$J$65,10))</f>
        <v>18.969072164948454</v>
      </c>
      <c r="M76" s="625">
        <f t="shared" si="11"/>
        <v>0</v>
      </c>
      <c r="N76" s="626">
        <f t="shared" si="12"/>
        <v>0</v>
      </c>
      <c r="O76" s="625">
        <f t="shared" si="13"/>
        <v>0</v>
      </c>
      <c r="P76" s="559"/>
      <c r="Q76" s="627">
        <v>0</v>
      </c>
      <c r="R76" s="559"/>
      <c r="S76" s="559"/>
      <c r="T76" s="559"/>
      <c r="U76" s="559"/>
      <c r="V76" s="559"/>
      <c r="W76" s="559"/>
      <c r="X76" s="559"/>
      <c r="Y76" s="559"/>
      <c r="Z76" s="559"/>
      <c r="AA76" s="559"/>
      <c r="AB76" s="559"/>
      <c r="AC76" s="559"/>
      <c r="AD76" s="559"/>
      <c r="AE76" s="559"/>
      <c r="AF76" s="559"/>
      <c r="AG76" s="559"/>
    </row>
    <row r="77" spans="1:33" ht="18" x14ac:dyDescent="0.35">
      <c r="A77" s="559"/>
      <c r="B77" s="584" t="s">
        <v>60</v>
      </c>
      <c r="C77" s="584">
        <f>IF(D56&lt;14.4,E57,D66-2*D76)</f>
        <v>0</v>
      </c>
      <c r="D77" s="621">
        <f>IF($D$56&lt;14.4,$D$56,IF($D$56&lt;20,5,7))</f>
        <v>2.5</v>
      </c>
      <c r="E77" s="579" t="str">
        <f t="shared" si="16"/>
        <v>Barres 21 R4F</v>
      </c>
      <c r="F77" s="584">
        <f>IF(D56&lt;14.4,2,4)</f>
        <v>2</v>
      </c>
      <c r="G77" s="559"/>
      <c r="H77" s="559"/>
      <c r="I77" s="559"/>
      <c r="J77" s="559">
        <f t="shared" si="9"/>
        <v>0</v>
      </c>
      <c r="K77" s="559">
        <f t="shared" si="10"/>
        <v>0</v>
      </c>
      <c r="L77" s="71">
        <f>IF(E77=0,0,VLOOKUP(E77,'Prix Matiere'!$A$4:$J$65,10))</f>
        <v>18.969072164948454</v>
      </c>
      <c r="M77" s="625">
        <f t="shared" si="11"/>
        <v>0</v>
      </c>
      <c r="N77" s="626">
        <f t="shared" si="12"/>
        <v>0</v>
      </c>
      <c r="O77" s="625">
        <f t="shared" si="13"/>
        <v>0</v>
      </c>
      <c r="P77" s="559"/>
      <c r="Q77" s="627">
        <v>0</v>
      </c>
      <c r="R77" s="559"/>
      <c r="S77" s="559"/>
      <c r="T77" s="559"/>
      <c r="U77" s="559"/>
      <c r="V77" s="559"/>
      <c r="W77" s="559"/>
      <c r="X77" s="559"/>
      <c r="Y77" s="559"/>
      <c r="Z77" s="559"/>
      <c r="AA77" s="559"/>
      <c r="AB77" s="559"/>
      <c r="AC77" s="559"/>
      <c r="AD77" s="559"/>
      <c r="AE77" s="559"/>
      <c r="AF77" s="559"/>
      <c r="AG77" s="559"/>
    </row>
    <row r="78" spans="1:33" ht="18" x14ac:dyDescent="0.35">
      <c r="A78" s="559"/>
      <c r="B78" s="584">
        <f>IF(D56&lt;14.4,0,IF(C21="Bois","Poignées",IF(C21="Métal x 2 sur bouts","Supports poignées",0)))</f>
        <v>0</v>
      </c>
      <c r="C78" s="584">
        <f>IF(B78="Poignées",D64,0)</f>
        <v>0</v>
      </c>
      <c r="D78" s="584">
        <f>IF(B78="Poignées",7,IF(B78="Supports poignées",9.4,0))</f>
        <v>0</v>
      </c>
      <c r="E78" s="579" t="s">
        <v>61</v>
      </c>
      <c r="F78" s="584">
        <f>IF(B78=0,0,2)</f>
        <v>0</v>
      </c>
      <c r="G78" s="559"/>
      <c r="H78" s="559"/>
      <c r="I78" s="559"/>
      <c r="J78" s="559">
        <f t="shared" si="9"/>
        <v>0</v>
      </c>
      <c r="K78" s="559">
        <f t="shared" si="10"/>
        <v>0</v>
      </c>
      <c r="L78" s="71">
        <f>IF(E78=0,0,VLOOKUP(E78,'Prix Matiere'!$A$4:$J$65,10))</f>
        <v>18.969072164948454</v>
      </c>
      <c r="M78" s="625">
        <f t="shared" si="11"/>
        <v>0</v>
      </c>
      <c r="N78" s="626">
        <f t="shared" si="12"/>
        <v>0</v>
      </c>
      <c r="O78" s="625">
        <f t="shared" si="13"/>
        <v>0</v>
      </c>
      <c r="P78" s="559"/>
      <c r="Q78" s="627">
        <v>0</v>
      </c>
      <c r="R78" s="559"/>
      <c r="S78" s="559"/>
      <c r="T78" s="559"/>
      <c r="U78" s="559"/>
      <c r="V78" s="559"/>
      <c r="W78" s="559"/>
      <c r="X78" s="559"/>
      <c r="Y78" s="559"/>
      <c r="Z78" s="559"/>
      <c r="AA78" s="559"/>
      <c r="AB78" s="559"/>
      <c r="AC78" s="559"/>
      <c r="AD78" s="559"/>
      <c r="AE78" s="559"/>
      <c r="AF78" s="559"/>
      <c r="AG78" s="559"/>
    </row>
    <row r="79" spans="1:33" ht="18" x14ac:dyDescent="0.35">
      <c r="A79" s="559"/>
      <c r="B79" s="559"/>
      <c r="C79" s="559"/>
      <c r="D79" s="559"/>
      <c r="E79" s="559"/>
      <c r="F79" s="559"/>
      <c r="G79" s="559"/>
      <c r="H79" s="559"/>
      <c r="I79" s="559"/>
      <c r="J79" s="559">
        <f t="shared" si="9"/>
        <v>0</v>
      </c>
      <c r="K79" s="559">
        <f t="shared" si="10"/>
        <v>0</v>
      </c>
      <c r="L79" s="71">
        <f>IF(E79=0,0,VLOOKUP(E79,'Prix Matiere'!$A$4:$J$65,10))</f>
        <v>0</v>
      </c>
      <c r="M79" s="625"/>
      <c r="N79" s="626"/>
      <c r="O79" s="625" t="s">
        <v>663</v>
      </c>
      <c r="P79" s="559"/>
      <c r="Q79" s="627">
        <v>0</v>
      </c>
      <c r="R79" s="559"/>
      <c r="S79" s="559"/>
      <c r="T79" s="559"/>
      <c r="U79" s="559"/>
      <c r="V79" s="559"/>
      <c r="W79" s="559"/>
      <c r="X79" s="559"/>
      <c r="Y79" s="559"/>
      <c r="Z79" s="559"/>
      <c r="AA79" s="559"/>
      <c r="AB79" s="559"/>
      <c r="AC79" s="559"/>
      <c r="AD79" s="559"/>
      <c r="AE79" s="559"/>
      <c r="AF79" s="559"/>
      <c r="AG79" s="559"/>
    </row>
    <row r="80" spans="1:33" ht="18" x14ac:dyDescent="0.35">
      <c r="A80" s="559"/>
      <c r="B80" s="559"/>
      <c r="C80" s="559"/>
      <c r="D80" s="559"/>
      <c r="E80" s="559"/>
      <c r="F80" s="559"/>
      <c r="G80" s="559"/>
      <c r="H80" s="559"/>
      <c r="I80" s="559"/>
      <c r="J80" s="559">
        <f t="shared" si="9"/>
        <v>0</v>
      </c>
      <c r="K80" s="559">
        <f t="shared" si="10"/>
        <v>0</v>
      </c>
      <c r="L80" s="71">
        <f>IF(E80=0,0,VLOOKUP(E80,'Prix Matiere'!$A$4:$J$65,10))</f>
        <v>0</v>
      </c>
      <c r="M80" s="625"/>
      <c r="N80" s="626"/>
      <c r="O80" s="625" t="s">
        <v>663</v>
      </c>
      <c r="P80" s="559"/>
      <c r="Q80" s="627">
        <v>0</v>
      </c>
      <c r="R80" s="559"/>
      <c r="S80" s="559"/>
      <c r="T80" s="559"/>
      <c r="U80" s="559"/>
      <c r="V80" s="559"/>
      <c r="W80" s="559"/>
      <c r="X80" s="559"/>
      <c r="Y80" s="559"/>
      <c r="Z80" s="559"/>
      <c r="AA80" s="559"/>
      <c r="AB80" s="559"/>
      <c r="AC80" s="559"/>
      <c r="AD80" s="559"/>
      <c r="AE80" s="559"/>
      <c r="AF80" s="559"/>
      <c r="AG80" s="559"/>
    </row>
    <row r="81" spans="1:33" ht="18" x14ac:dyDescent="0.35">
      <c r="A81" s="573" t="s">
        <v>62</v>
      </c>
      <c r="B81" s="584" t="s">
        <v>63</v>
      </c>
      <c r="C81" s="584">
        <f>IF(F81=0,0,C85+VLOOKUP($C$17,A249:S255,5))</f>
        <v>0</v>
      </c>
      <c r="D81" s="584">
        <f>IF(F81=0,0,E56-VLOOKUP($C$17,A249:S255,5))</f>
        <v>0</v>
      </c>
      <c r="E81" s="579">
        <f>VLOOKUP($C$17,A249:S255,6)</f>
        <v>0</v>
      </c>
      <c r="F81" s="584">
        <f>VLOOKUP($C$17,A249:S255,7)</f>
        <v>0</v>
      </c>
      <c r="G81" s="559"/>
      <c r="H81" s="559"/>
      <c r="I81" s="559"/>
      <c r="J81" s="559">
        <f t="shared" si="9"/>
        <v>0</v>
      </c>
      <c r="K81" s="559">
        <f t="shared" si="10"/>
        <v>0</v>
      </c>
      <c r="L81" s="71">
        <f>IF(E81=0,0,VLOOKUP(E81,'Prix Matiere'!$A$4:$J$65,10))</f>
        <v>0</v>
      </c>
      <c r="M81" s="625">
        <f t="shared" ref="M81:M83" si="17">L81*K81</f>
        <v>0</v>
      </c>
      <c r="N81" s="626">
        <f t="shared" ref="N81:N83" si="18">IF(J81=0,0,(4.7283*J81)+3)</f>
        <v>0</v>
      </c>
      <c r="O81" s="625">
        <f t="shared" ref="O81:O83" si="19">N81*'Objet 2 à 6'!MinuteMO</f>
        <v>0</v>
      </c>
      <c r="P81" s="559"/>
      <c r="Q81" s="627">
        <v>0</v>
      </c>
      <c r="R81" s="559"/>
      <c r="S81" s="559"/>
      <c r="T81" s="559"/>
      <c r="U81" s="559"/>
      <c r="V81" s="559"/>
      <c r="W81" s="559"/>
      <c r="X81" s="559"/>
      <c r="Y81" s="559"/>
      <c r="Z81" s="559"/>
      <c r="AA81" s="559"/>
      <c r="AB81" s="559"/>
      <c r="AC81" s="559"/>
      <c r="AD81" s="559"/>
      <c r="AE81" s="559"/>
      <c r="AF81" s="559"/>
      <c r="AG81" s="559"/>
    </row>
    <row r="82" spans="1:33" ht="18" x14ac:dyDescent="0.35">
      <c r="A82" s="559"/>
      <c r="B82" s="584" t="s">
        <v>54</v>
      </c>
      <c r="C82" s="584">
        <f>IF(F82=0,0,C85+VLOOKUP($C$17,A249:S255,5))</f>
        <v>0</v>
      </c>
      <c r="D82" s="584">
        <f>IF(F82=0,0,D56)</f>
        <v>0</v>
      </c>
      <c r="E82" s="579">
        <f>IF($C$17="Aucun",0,VLOOKUP($C$17,A249:S255,6))</f>
        <v>0</v>
      </c>
      <c r="F82" s="584">
        <f>VLOOKUP($C$17,A249:S255,7)</f>
        <v>0</v>
      </c>
      <c r="G82" s="559"/>
      <c r="H82" s="559"/>
      <c r="I82" s="559"/>
      <c r="J82" s="559">
        <f t="shared" si="9"/>
        <v>0</v>
      </c>
      <c r="K82" s="559">
        <f t="shared" si="10"/>
        <v>0</v>
      </c>
      <c r="L82" s="71">
        <f>IF(E82=0,0,VLOOKUP(E82,'Prix Matiere'!$A$4:$J$65,10))</f>
        <v>0</v>
      </c>
      <c r="M82" s="625">
        <f t="shared" si="17"/>
        <v>0</v>
      </c>
      <c r="N82" s="626">
        <f t="shared" si="18"/>
        <v>0</v>
      </c>
      <c r="O82" s="625">
        <f t="shared" si="19"/>
        <v>0</v>
      </c>
      <c r="P82" s="559"/>
      <c r="Q82" s="627">
        <v>0</v>
      </c>
      <c r="R82" s="559"/>
      <c r="S82" s="559"/>
      <c r="T82" s="559"/>
      <c r="U82" s="559"/>
      <c r="V82" s="559"/>
      <c r="W82" s="559"/>
      <c r="X82" s="559"/>
      <c r="Y82" s="559"/>
      <c r="Z82" s="559"/>
      <c r="AA82" s="559"/>
      <c r="AB82" s="559"/>
      <c r="AC82" s="559"/>
      <c r="AD82" s="559"/>
      <c r="AE82" s="559"/>
      <c r="AF82" s="559"/>
      <c r="AG82" s="559"/>
    </row>
    <row r="83" spans="1:33" ht="18" x14ac:dyDescent="0.35">
      <c r="A83" s="559"/>
      <c r="B83" s="584" t="s">
        <v>55</v>
      </c>
      <c r="C83" s="584">
        <f>IF(F83=0,0,D81)</f>
        <v>0</v>
      </c>
      <c r="D83" s="584">
        <f>IF(F83=0,0,D85)</f>
        <v>0</v>
      </c>
      <c r="E83" s="579">
        <f>IF($C$17="Aucun",0,VLOOKUP($C$17,A249:S255,6))</f>
        <v>0</v>
      </c>
      <c r="F83" s="584">
        <f>VLOOKUP($C$17,A249:S255,7)</f>
        <v>0</v>
      </c>
      <c r="G83" s="559"/>
      <c r="H83" s="559"/>
      <c r="I83" s="559"/>
      <c r="J83" s="559">
        <f t="shared" si="9"/>
        <v>0</v>
      </c>
      <c r="K83" s="559">
        <f t="shared" si="10"/>
        <v>0</v>
      </c>
      <c r="L83" s="71">
        <f>IF(E83=0,0,VLOOKUP(E83,'Prix Matiere'!$A$4:$J$65,10))</f>
        <v>0</v>
      </c>
      <c r="M83" s="625">
        <f t="shared" si="17"/>
        <v>0</v>
      </c>
      <c r="N83" s="626">
        <f t="shared" si="18"/>
        <v>0</v>
      </c>
      <c r="O83" s="625">
        <f t="shared" si="19"/>
        <v>0</v>
      </c>
      <c r="P83" s="559"/>
      <c r="Q83" s="627">
        <v>0</v>
      </c>
      <c r="R83" s="559"/>
      <c r="S83" s="559"/>
      <c r="T83" s="559"/>
      <c r="U83" s="559"/>
      <c r="V83" s="559"/>
      <c r="W83" s="559"/>
      <c r="X83" s="559"/>
      <c r="Y83" s="559"/>
      <c r="Z83" s="559"/>
      <c r="AA83" s="559"/>
      <c r="AB83" s="559"/>
      <c r="AC83" s="559"/>
      <c r="AD83" s="559"/>
      <c r="AE83" s="559"/>
      <c r="AF83" s="559"/>
      <c r="AG83" s="559"/>
    </row>
    <row r="84" spans="1:33" ht="18" x14ac:dyDescent="0.35">
      <c r="A84" s="559"/>
      <c r="B84" s="559"/>
      <c r="C84" s="559"/>
      <c r="D84" s="559"/>
      <c r="E84" s="559"/>
      <c r="F84" s="559"/>
      <c r="G84" s="559"/>
      <c r="H84" s="559"/>
      <c r="I84" s="559"/>
      <c r="J84" s="559"/>
      <c r="K84" s="559"/>
      <c r="L84" s="71">
        <f>IF(E84=0,0,VLOOKUP(E84,'Prix Matiere'!$A$4:$J$65,10))</f>
        <v>0</v>
      </c>
      <c r="M84" s="625"/>
      <c r="N84" s="626"/>
      <c r="O84" s="625"/>
      <c r="P84" s="559"/>
      <c r="Q84" s="627"/>
      <c r="R84" s="559"/>
      <c r="S84" s="559"/>
      <c r="T84" s="559"/>
      <c r="U84" s="559"/>
      <c r="V84" s="559"/>
      <c r="W84" s="559"/>
      <c r="X84" s="559"/>
      <c r="Y84" s="559"/>
      <c r="Z84" s="559"/>
      <c r="AA84" s="559"/>
      <c r="AB84" s="559"/>
      <c r="AC84" s="559"/>
      <c r="AD84" s="559"/>
      <c r="AE84" s="559"/>
      <c r="AF84" s="559"/>
      <c r="AG84" s="559"/>
    </row>
    <row r="85" spans="1:33" ht="18" x14ac:dyDescent="0.35">
      <c r="A85" s="559"/>
      <c r="B85" s="559" t="s">
        <v>64</v>
      </c>
      <c r="C85" s="624">
        <f>C56-VLOOKUP($C$17,A249:S255,5)</f>
        <v>2.5</v>
      </c>
      <c r="D85" s="624">
        <f t="shared" ref="D85:E85" si="20">D56-VLOOKUP($C$17,$A$249:$S$255,5)</f>
        <v>2.5</v>
      </c>
      <c r="E85" s="559">
        <f t="shared" si="20"/>
        <v>0</v>
      </c>
      <c r="F85" s="559"/>
      <c r="G85" s="559"/>
      <c r="H85" s="559"/>
      <c r="I85" s="559"/>
      <c r="J85" s="559"/>
      <c r="K85" s="559"/>
      <c r="L85" s="71">
        <f>IF(E85=0,0,VLOOKUP(E85,'Prix Matiere'!$A$4:$J$65,10))</f>
        <v>0</v>
      </c>
      <c r="M85" s="625"/>
      <c r="N85" s="626"/>
      <c r="O85" s="625"/>
      <c r="P85" s="559"/>
      <c r="Q85" s="627"/>
      <c r="R85" s="559"/>
      <c r="S85" s="559"/>
      <c r="T85" s="559"/>
      <c r="U85" s="559"/>
      <c r="V85" s="559"/>
      <c r="W85" s="559"/>
      <c r="X85" s="559"/>
      <c r="Y85" s="559"/>
      <c r="Z85" s="559"/>
      <c r="AA85" s="559"/>
      <c r="AB85" s="559"/>
      <c r="AC85" s="559"/>
      <c r="AD85" s="559"/>
      <c r="AE85" s="559"/>
      <c r="AF85" s="559"/>
      <c r="AG85" s="559"/>
    </row>
    <row r="86" spans="1:33" ht="18" x14ac:dyDescent="0.35">
      <c r="A86" s="559"/>
      <c r="B86" s="559"/>
      <c r="C86" s="559"/>
      <c r="D86" s="559"/>
      <c r="E86" s="559"/>
      <c r="F86" s="559"/>
      <c r="G86" s="559"/>
      <c r="H86" s="559"/>
      <c r="I86" s="559"/>
      <c r="J86" s="559"/>
      <c r="K86" s="559"/>
      <c r="L86" s="71">
        <f>IF(E86=0,0,VLOOKUP(E86,'Prix Matiere'!$A$4:$J$65,10))</f>
        <v>0</v>
      </c>
      <c r="M86" s="625"/>
      <c r="N86" s="626"/>
      <c r="O86" s="625"/>
      <c r="P86" s="559"/>
      <c r="Q86" s="627"/>
      <c r="R86" s="559"/>
      <c r="S86" s="559"/>
      <c r="T86" s="559"/>
      <c r="U86" s="559"/>
      <c r="V86" s="559"/>
      <c r="W86" s="559"/>
      <c r="X86" s="559"/>
      <c r="Y86" s="559"/>
      <c r="Z86" s="559"/>
      <c r="AA86" s="559"/>
      <c r="AB86" s="559"/>
      <c r="AC86" s="559"/>
      <c r="AD86" s="559"/>
      <c r="AE86" s="559"/>
      <c r="AF86" s="559"/>
      <c r="AG86" s="559"/>
    </row>
    <row r="87" spans="1:33" ht="18" x14ac:dyDescent="0.35">
      <c r="A87" s="573" t="s">
        <v>65</v>
      </c>
      <c r="B87" s="584" t="s">
        <v>63</v>
      </c>
      <c r="C87" s="584">
        <f>IF(F87=0,0,C91+VLOOKUP($C$17,A249:S255,8))</f>
        <v>0</v>
      </c>
      <c r="D87" s="584">
        <f>IF(F87=0,0,E91)</f>
        <v>0</v>
      </c>
      <c r="E87" s="579">
        <f>VLOOKUP($C$17,A249:S255,9)</f>
        <v>0</v>
      </c>
      <c r="F87" s="584">
        <f>VLOOKUP($C$17,A249:S255,10)</f>
        <v>0</v>
      </c>
      <c r="G87" s="559"/>
      <c r="H87" s="559"/>
      <c r="I87" s="559"/>
      <c r="J87" s="559">
        <f t="shared" ref="J87:J89" si="21">IF(C87=0,0,(C87/100)*(D87/100)*F87)</f>
        <v>0</v>
      </c>
      <c r="K87" s="559">
        <f t="shared" ref="K87:K89" si="22">J87/0.8</f>
        <v>0</v>
      </c>
      <c r="L87" s="71">
        <f>IF(E87=0,0,VLOOKUP(E87,'Prix Matiere'!$A$4:$J$65,10))</f>
        <v>0</v>
      </c>
      <c r="M87" s="625">
        <f t="shared" ref="M87:M89" si="23">L87*K87</f>
        <v>0</v>
      </c>
      <c r="N87" s="626">
        <f t="shared" ref="N87:N89" si="24">IF(J87=0,0,(3.94*J87)+5)</f>
        <v>0</v>
      </c>
      <c r="O87" s="625">
        <f t="shared" ref="O87:O89" si="25">N87*'Objet 2 à 6'!MinuteMO</f>
        <v>0</v>
      </c>
      <c r="P87" s="559"/>
      <c r="Q87" s="627">
        <v>0</v>
      </c>
      <c r="R87" s="559"/>
      <c r="S87" s="559"/>
      <c r="T87" s="559"/>
      <c r="U87" s="559"/>
      <c r="V87" s="559"/>
      <c r="W87" s="559"/>
      <c r="X87" s="559"/>
      <c r="Y87" s="559"/>
      <c r="Z87" s="559"/>
      <c r="AA87" s="559"/>
      <c r="AB87" s="559"/>
      <c r="AC87" s="559"/>
      <c r="AD87" s="559"/>
      <c r="AE87" s="559"/>
      <c r="AF87" s="559"/>
      <c r="AG87" s="559"/>
    </row>
    <row r="88" spans="1:33" ht="18" x14ac:dyDescent="0.35">
      <c r="A88" s="559"/>
      <c r="B88" s="584" t="s">
        <v>54</v>
      </c>
      <c r="C88" s="584">
        <f>IF(F88=0,0,C91+VLOOKUP($C$17,A249:S255,8))</f>
        <v>0</v>
      </c>
      <c r="D88" s="584">
        <f>IF(F88=0,0,D85)</f>
        <v>0</v>
      </c>
      <c r="E88" s="579">
        <f>VLOOKUP($C$17,A249:S255,9)</f>
        <v>0</v>
      </c>
      <c r="F88" s="584">
        <f>VLOOKUP($C$17,A249:S255,10)</f>
        <v>0</v>
      </c>
      <c r="G88" s="559"/>
      <c r="H88" s="559"/>
      <c r="I88" s="559"/>
      <c r="J88" s="559">
        <f t="shared" si="21"/>
        <v>0</v>
      </c>
      <c r="K88" s="559">
        <f t="shared" si="22"/>
        <v>0</v>
      </c>
      <c r="L88" s="71">
        <f>IF(E88=0,0,VLOOKUP(E88,'Prix Matiere'!$A$4:$J$65,10))</f>
        <v>0</v>
      </c>
      <c r="M88" s="625">
        <f t="shared" si="23"/>
        <v>0</v>
      </c>
      <c r="N88" s="626">
        <f t="shared" si="24"/>
        <v>0</v>
      </c>
      <c r="O88" s="625">
        <f t="shared" si="25"/>
        <v>0</v>
      </c>
      <c r="P88" s="559"/>
      <c r="Q88" s="627">
        <v>0</v>
      </c>
      <c r="R88" s="559"/>
      <c r="S88" s="559"/>
      <c r="T88" s="559"/>
      <c r="U88" s="559"/>
      <c r="V88" s="559"/>
      <c r="W88" s="559"/>
      <c r="X88" s="559"/>
      <c r="Y88" s="559"/>
      <c r="Z88" s="559"/>
      <c r="AA88" s="559"/>
      <c r="AB88" s="559"/>
      <c r="AC88" s="559"/>
      <c r="AD88" s="559"/>
      <c r="AE88" s="559"/>
      <c r="AF88" s="559"/>
      <c r="AG88" s="559"/>
    </row>
    <row r="89" spans="1:33" ht="18" x14ac:dyDescent="0.35">
      <c r="A89" s="559"/>
      <c r="B89" s="584" t="s">
        <v>55</v>
      </c>
      <c r="C89" s="584">
        <f>IF(F89=0,0,E91)</f>
        <v>0</v>
      </c>
      <c r="D89" s="584">
        <f>IF(F89=0,0,D91)</f>
        <v>0</v>
      </c>
      <c r="E89" s="579">
        <f>VLOOKUP($C$17,A249:S255,9)</f>
        <v>0</v>
      </c>
      <c r="F89" s="584">
        <f>VLOOKUP($C$17,A249:S255,10)</f>
        <v>0</v>
      </c>
      <c r="G89" s="559"/>
      <c r="H89" s="559"/>
      <c r="I89" s="559"/>
      <c r="J89" s="559">
        <f t="shared" si="21"/>
        <v>0</v>
      </c>
      <c r="K89" s="559">
        <f t="shared" si="22"/>
        <v>0</v>
      </c>
      <c r="L89" s="71">
        <f>IF(E89=0,0,VLOOKUP(E89,'Prix Matiere'!$A$4:$J$65,10))</f>
        <v>0</v>
      </c>
      <c r="M89" s="625">
        <f t="shared" si="23"/>
        <v>0</v>
      </c>
      <c r="N89" s="626">
        <f t="shared" si="24"/>
        <v>0</v>
      </c>
      <c r="O89" s="625">
        <f t="shared" si="25"/>
        <v>0</v>
      </c>
      <c r="P89" s="559"/>
      <c r="Q89" s="627">
        <v>0</v>
      </c>
      <c r="R89" s="559"/>
      <c r="S89" s="559"/>
      <c r="T89" s="559"/>
      <c r="U89" s="559"/>
      <c r="V89" s="559"/>
      <c r="W89" s="559"/>
      <c r="X89" s="559"/>
      <c r="Y89" s="559"/>
      <c r="Z89" s="559"/>
      <c r="AA89" s="559"/>
      <c r="AB89" s="559"/>
      <c r="AC89" s="559"/>
      <c r="AD89" s="559"/>
      <c r="AE89" s="559"/>
      <c r="AF89" s="559"/>
      <c r="AG89" s="559"/>
    </row>
    <row r="90" spans="1:33" ht="18" x14ac:dyDescent="0.35">
      <c r="A90" s="559"/>
      <c r="B90" s="559"/>
      <c r="C90" s="559"/>
      <c r="D90" s="559"/>
      <c r="E90" s="559"/>
      <c r="F90" s="559"/>
      <c r="G90" s="559"/>
      <c r="H90" s="559"/>
      <c r="I90" s="559"/>
      <c r="J90" s="559"/>
      <c r="K90" s="559"/>
      <c r="L90" s="71">
        <f>IF(E90=0,0,VLOOKUP(E90,'Prix Matiere'!$A$4:$J$65,10))</f>
        <v>0</v>
      </c>
      <c r="M90" s="625"/>
      <c r="N90" s="626"/>
      <c r="O90" s="625"/>
      <c r="P90" s="559"/>
      <c r="Q90" s="627"/>
      <c r="R90" s="559"/>
      <c r="S90" s="559"/>
      <c r="T90" s="559"/>
      <c r="U90" s="559"/>
      <c r="V90" s="559"/>
      <c r="W90" s="559"/>
      <c r="X90" s="559"/>
      <c r="Y90" s="559"/>
      <c r="Z90" s="559"/>
      <c r="AA90" s="559"/>
      <c r="AB90" s="559"/>
      <c r="AC90" s="559"/>
      <c r="AD90" s="559"/>
      <c r="AE90" s="559"/>
      <c r="AF90" s="559"/>
      <c r="AG90" s="559"/>
    </row>
    <row r="91" spans="1:33" ht="18" x14ac:dyDescent="0.35">
      <c r="A91" s="559"/>
      <c r="B91" s="559" t="s">
        <v>66</v>
      </c>
      <c r="C91" s="624">
        <f t="shared" ref="C91:E91" si="26">C85-VLOOKUP($C$17,$A$249:$I$255,8)</f>
        <v>2.5</v>
      </c>
      <c r="D91" s="624">
        <f t="shared" si="26"/>
        <v>2.5</v>
      </c>
      <c r="E91" s="559">
        <f t="shared" si="26"/>
        <v>0</v>
      </c>
      <c r="F91" s="559"/>
      <c r="G91" s="559"/>
      <c r="H91" s="559"/>
      <c r="I91" s="559"/>
      <c r="J91" s="559"/>
      <c r="K91" s="559"/>
      <c r="L91" s="71">
        <f>IF(E91=0,0,VLOOKUP(E91,'Prix Matiere'!$A$4:$J$65,10))</f>
        <v>0</v>
      </c>
      <c r="M91" s="625"/>
      <c r="N91" s="626"/>
      <c r="O91" s="625"/>
      <c r="P91" s="559"/>
      <c r="Q91" s="627"/>
      <c r="R91" s="559"/>
      <c r="S91" s="559"/>
      <c r="T91" s="559"/>
      <c r="U91" s="559"/>
      <c r="V91" s="559"/>
      <c r="W91" s="559"/>
      <c r="X91" s="559"/>
      <c r="Y91" s="559"/>
      <c r="Z91" s="559"/>
      <c r="AA91" s="559"/>
      <c r="AB91" s="559"/>
      <c r="AC91" s="559"/>
      <c r="AD91" s="559"/>
      <c r="AE91" s="559"/>
      <c r="AF91" s="559"/>
      <c r="AG91" s="559"/>
    </row>
    <row r="92" spans="1:33" ht="18" x14ac:dyDescent="0.35">
      <c r="A92" s="559"/>
      <c r="B92" s="559"/>
      <c r="C92" s="559"/>
      <c r="D92" s="559"/>
      <c r="E92" s="559"/>
      <c r="F92" s="559"/>
      <c r="G92" s="559"/>
      <c r="H92" s="559"/>
      <c r="I92" s="559"/>
      <c r="J92" s="559">
        <f t="shared" ref="J92:J102" si="27">IF(C92=0,0,(C92/100)*(D92/100)*F92)</f>
        <v>0</v>
      </c>
      <c r="K92" s="559">
        <f t="shared" ref="K92:K102" si="28">J92/0.8</f>
        <v>0</v>
      </c>
      <c r="L92" s="71">
        <f>IF(E92=0,0,VLOOKUP(E92,'Prix Matiere'!$A$4:$J$65,10))</f>
        <v>0</v>
      </c>
      <c r="M92" s="625"/>
      <c r="N92" s="626"/>
      <c r="O92" s="625"/>
      <c r="P92" s="559"/>
      <c r="Q92" s="627"/>
      <c r="R92" s="559"/>
      <c r="S92" s="559"/>
      <c r="T92" s="559"/>
      <c r="U92" s="559"/>
      <c r="V92" s="559"/>
      <c r="W92" s="559"/>
      <c r="X92" s="559"/>
      <c r="Y92" s="559"/>
      <c r="Z92" s="559"/>
      <c r="AA92" s="559"/>
      <c r="AB92" s="559"/>
      <c r="AC92" s="559"/>
      <c r="AD92" s="559"/>
      <c r="AE92" s="559"/>
      <c r="AF92" s="559"/>
      <c r="AG92" s="559"/>
    </row>
    <row r="93" spans="1:33" ht="18" x14ac:dyDescent="0.35">
      <c r="A93" s="573" t="s">
        <v>67</v>
      </c>
      <c r="B93" s="584" t="s">
        <v>63</v>
      </c>
      <c r="C93" s="584">
        <f>IF(F93=0,0,E91)</f>
        <v>0</v>
      </c>
      <c r="D93" s="584">
        <f>IF(F93=0,0,10)</f>
        <v>0</v>
      </c>
      <c r="E93" s="579">
        <f>VLOOKUP($C$17,A249:S255,12)</f>
        <v>0</v>
      </c>
      <c r="F93" s="584">
        <f>VLOOKUP($C$17,$A$249:$S$255,13)*2</f>
        <v>0</v>
      </c>
      <c r="G93" s="559"/>
      <c r="H93" s="559"/>
      <c r="I93" s="559"/>
      <c r="J93" s="559">
        <f t="shared" si="27"/>
        <v>0</v>
      </c>
      <c r="K93" s="559">
        <f t="shared" si="28"/>
        <v>0</v>
      </c>
      <c r="L93" s="71">
        <f>IF(E93=0,0,VLOOKUP(E93,'Prix Matiere'!$A$4:$J$65,10))</f>
        <v>0</v>
      </c>
      <c r="M93" s="625">
        <f t="shared" ref="M93:M94" si="29">L93*K93</f>
        <v>0</v>
      </c>
      <c r="N93" s="626">
        <f t="shared" ref="N93:N94" si="30">IF(J93=0,0,1+(6*J93))</f>
        <v>0</v>
      </c>
      <c r="O93" s="625">
        <f t="shared" ref="O93:O94" si="31">N93*'Objet 2 à 6'!MinuteMO</f>
        <v>0</v>
      </c>
      <c r="P93" s="559"/>
      <c r="Q93" s="627">
        <v>0</v>
      </c>
      <c r="R93" s="559"/>
      <c r="S93" s="559"/>
      <c r="T93" s="559"/>
      <c r="U93" s="559"/>
      <c r="V93" s="559"/>
      <c r="W93" s="559"/>
      <c r="X93" s="559"/>
      <c r="Y93" s="559"/>
      <c r="Z93" s="559"/>
      <c r="AA93" s="559"/>
      <c r="AB93" s="559"/>
      <c r="AC93" s="559"/>
      <c r="AD93" s="559"/>
      <c r="AE93" s="559"/>
      <c r="AF93" s="559"/>
      <c r="AG93" s="559"/>
    </row>
    <row r="94" spans="1:33" ht="18" x14ac:dyDescent="0.35">
      <c r="A94" s="559"/>
      <c r="B94" s="584" t="s">
        <v>54</v>
      </c>
      <c r="C94" s="584">
        <f>IF(F94=0,0,D91-VLOOKUP($C$17,'[1]Objet 1'!A154:S160,11))</f>
        <v>0</v>
      </c>
      <c r="D94" s="584">
        <f>IF(F93=0,0,D93)</f>
        <v>0</v>
      </c>
      <c r="E94" s="579">
        <f>VLOOKUP($C$17,A249:S255,12)</f>
        <v>0</v>
      </c>
      <c r="F94" s="584">
        <f>VLOOKUP($C$17,$A$249:$S$255,13)</f>
        <v>0</v>
      </c>
      <c r="G94" s="559"/>
      <c r="H94" s="559"/>
      <c r="I94" s="559"/>
      <c r="J94" s="559">
        <f t="shared" si="27"/>
        <v>0</v>
      </c>
      <c r="K94" s="559">
        <f t="shared" si="28"/>
        <v>0</v>
      </c>
      <c r="L94" s="71">
        <f>IF(E94=0,0,VLOOKUP(E94,'Prix Matiere'!$A$4:$J$65,10))</f>
        <v>0</v>
      </c>
      <c r="M94" s="625">
        <f t="shared" si="29"/>
        <v>0</v>
      </c>
      <c r="N94" s="626">
        <f t="shared" si="30"/>
        <v>0</v>
      </c>
      <c r="O94" s="625">
        <f t="shared" si="31"/>
        <v>0</v>
      </c>
      <c r="P94" s="559"/>
      <c r="Q94" s="627">
        <v>0</v>
      </c>
      <c r="R94" s="559"/>
      <c r="S94" s="559"/>
      <c r="T94" s="559"/>
      <c r="U94" s="559"/>
      <c r="V94" s="559"/>
      <c r="W94" s="559"/>
      <c r="X94" s="559"/>
      <c r="Y94" s="559"/>
      <c r="Z94" s="559"/>
      <c r="AA94" s="559"/>
      <c r="AB94" s="559"/>
      <c r="AC94" s="559"/>
      <c r="AD94" s="559"/>
      <c r="AE94" s="559"/>
      <c r="AF94" s="559"/>
      <c r="AG94" s="559"/>
    </row>
    <row r="95" spans="1:33" ht="18" x14ac:dyDescent="0.35">
      <c r="A95" s="559"/>
      <c r="B95" s="559"/>
      <c r="C95" s="559"/>
      <c r="D95" s="559"/>
      <c r="E95" s="559"/>
      <c r="F95" s="559"/>
      <c r="G95" s="559"/>
      <c r="H95" s="559"/>
      <c r="I95" s="559"/>
      <c r="J95" s="559">
        <f t="shared" si="27"/>
        <v>0</v>
      </c>
      <c r="K95" s="559">
        <f t="shared" si="28"/>
        <v>0</v>
      </c>
      <c r="L95" s="71">
        <f>IF(E95=0,0,VLOOKUP(E95,'Prix Matiere'!$A$4:$J$65,10))</f>
        <v>0</v>
      </c>
      <c r="M95" s="625"/>
      <c r="N95" s="626"/>
      <c r="O95" s="625"/>
      <c r="P95" s="559"/>
      <c r="Q95" s="627"/>
      <c r="R95" s="559"/>
      <c r="S95" s="559"/>
      <c r="T95" s="559"/>
      <c r="U95" s="559"/>
      <c r="V95" s="559"/>
      <c r="W95" s="559"/>
      <c r="X95" s="559"/>
      <c r="Y95" s="559"/>
      <c r="Z95" s="559"/>
      <c r="AA95" s="559"/>
      <c r="AB95" s="559"/>
      <c r="AC95" s="559"/>
      <c r="AD95" s="559"/>
      <c r="AE95" s="559"/>
      <c r="AF95" s="559"/>
      <c r="AG95" s="559"/>
    </row>
    <row r="96" spans="1:33" ht="18" x14ac:dyDescent="0.35">
      <c r="A96" s="559"/>
      <c r="B96" s="559" t="s">
        <v>68</v>
      </c>
      <c r="C96" s="624">
        <f>C91-VLOOKUP($C$17,A249:S255,11)</f>
        <v>2.5</v>
      </c>
      <c r="D96" s="624">
        <f>D91-VLOOKUP($C$17,A249:S255,11)</f>
        <v>2.5</v>
      </c>
      <c r="E96" s="559">
        <f>E91-VLOOKUP($C$17,A249:S255,11)</f>
        <v>0</v>
      </c>
      <c r="F96" s="559"/>
      <c r="G96" s="559"/>
      <c r="H96" s="559"/>
      <c r="I96" s="559"/>
      <c r="J96" s="559">
        <f t="shared" si="27"/>
        <v>0</v>
      </c>
      <c r="K96" s="559">
        <f t="shared" si="28"/>
        <v>0</v>
      </c>
      <c r="L96" s="71">
        <f>IF(E96=0,0,VLOOKUP(E96,'Prix Matiere'!$A$4:$J$65,10))</f>
        <v>0</v>
      </c>
      <c r="M96" s="625"/>
      <c r="N96" s="626"/>
      <c r="O96" s="625"/>
      <c r="P96" s="559"/>
      <c r="Q96" s="627"/>
      <c r="R96" s="559"/>
      <c r="S96" s="559"/>
      <c r="T96" s="559"/>
      <c r="U96" s="559"/>
      <c r="V96" s="559"/>
      <c r="W96" s="559"/>
      <c r="X96" s="559"/>
      <c r="Y96" s="559"/>
      <c r="Z96" s="559"/>
      <c r="AA96" s="559"/>
      <c r="AB96" s="559"/>
      <c r="AC96" s="559"/>
      <c r="AD96" s="559"/>
      <c r="AE96" s="559"/>
      <c r="AF96" s="559"/>
      <c r="AG96" s="559"/>
    </row>
    <row r="97" spans="1:33" ht="18" x14ac:dyDescent="0.35">
      <c r="A97" s="559"/>
      <c r="B97" s="559"/>
      <c r="C97" s="559"/>
      <c r="D97" s="559"/>
      <c r="E97" s="559"/>
      <c r="F97" s="559"/>
      <c r="G97" s="559"/>
      <c r="H97" s="559"/>
      <c r="I97" s="559"/>
      <c r="J97" s="559">
        <f t="shared" si="27"/>
        <v>0</v>
      </c>
      <c r="K97" s="559">
        <f t="shared" si="28"/>
        <v>0</v>
      </c>
      <c r="L97" s="71">
        <f>IF(E97=0,0,VLOOKUP(E97,'Prix Matiere'!$A$4:$J$65,10))</f>
        <v>0</v>
      </c>
      <c r="M97" s="625"/>
      <c r="N97" s="626"/>
      <c r="O97" s="625"/>
      <c r="P97" s="559"/>
      <c r="Q97" s="627"/>
      <c r="R97" s="559"/>
      <c r="S97" s="559"/>
      <c r="T97" s="559"/>
      <c r="U97" s="559"/>
      <c r="V97" s="559"/>
      <c r="W97" s="559"/>
      <c r="X97" s="559"/>
      <c r="Y97" s="559"/>
      <c r="Z97" s="559"/>
      <c r="AA97" s="559"/>
      <c r="AB97" s="559"/>
      <c r="AC97" s="559"/>
      <c r="AD97" s="559"/>
      <c r="AE97" s="559"/>
      <c r="AF97" s="559"/>
      <c r="AG97" s="559"/>
    </row>
    <row r="98" spans="1:33" ht="18" x14ac:dyDescent="0.35">
      <c r="A98" s="573" t="s">
        <v>69</v>
      </c>
      <c r="B98" s="584" t="s">
        <v>63</v>
      </c>
      <c r="C98" s="584">
        <f>IF(F98=0,0,C102+VLOOKUP($C$17,A249:S255,14))</f>
        <v>0</v>
      </c>
      <c r="D98" s="584">
        <f>IF(F98=0,0,E102)</f>
        <v>0</v>
      </c>
      <c r="E98" s="579">
        <f>VLOOKUP($C$17,A249:S255,15)</f>
        <v>0</v>
      </c>
      <c r="F98" s="584">
        <f>VLOOKUP($C$17,A249:S255,16)</f>
        <v>0</v>
      </c>
      <c r="G98" s="559"/>
      <c r="H98" s="559"/>
      <c r="I98" s="559"/>
      <c r="J98" s="559">
        <f t="shared" si="27"/>
        <v>0</v>
      </c>
      <c r="K98" s="559">
        <f t="shared" si="28"/>
        <v>0</v>
      </c>
      <c r="L98" s="71">
        <f>IF(E98=0,0,VLOOKUP(E98,'Prix Matiere'!$A$4:$J$65,10))</f>
        <v>0</v>
      </c>
      <c r="M98" s="625">
        <f t="shared" ref="M98:M100" si="32">L98*K98</f>
        <v>0</v>
      </c>
      <c r="N98" s="626">
        <f t="shared" ref="N98:N100" si="33">IF(J98=0,0,(3.94*J98)+5)</f>
        <v>0</v>
      </c>
      <c r="O98" s="625">
        <f t="shared" ref="O98:O100" si="34">N98*'Objet 2 à 6'!MinuteMO</f>
        <v>0</v>
      </c>
      <c r="P98" s="559"/>
      <c r="Q98" s="627">
        <v>0</v>
      </c>
      <c r="R98" s="559"/>
      <c r="S98" s="559"/>
      <c r="T98" s="559"/>
      <c r="U98" s="559"/>
      <c r="V98" s="559"/>
      <c r="W98" s="559"/>
      <c r="X98" s="559"/>
      <c r="Y98" s="559"/>
      <c r="Z98" s="559"/>
      <c r="AA98" s="559"/>
      <c r="AB98" s="559"/>
      <c r="AC98" s="559"/>
      <c r="AD98" s="559"/>
      <c r="AE98" s="559"/>
      <c r="AF98" s="559"/>
      <c r="AG98" s="559"/>
    </row>
    <row r="99" spans="1:33" ht="18" x14ac:dyDescent="0.35">
      <c r="A99" s="559"/>
      <c r="B99" s="584" t="s">
        <v>54</v>
      </c>
      <c r="C99" s="584">
        <f>IF(F99=0,0,C102+VLOOKUP($C$17,A249:S255,14))</f>
        <v>0</v>
      </c>
      <c r="D99" s="584">
        <f>IF(F99=0,0,D96)</f>
        <v>0</v>
      </c>
      <c r="E99" s="579">
        <f>VLOOKUP($C$17,A249:S255,15)</f>
        <v>0</v>
      </c>
      <c r="F99" s="584">
        <f>VLOOKUP($C$17,A249:S255,16)</f>
        <v>0</v>
      </c>
      <c r="G99" s="559"/>
      <c r="H99" s="559"/>
      <c r="I99" s="559"/>
      <c r="J99" s="559">
        <f t="shared" si="27"/>
        <v>0</v>
      </c>
      <c r="K99" s="559">
        <f t="shared" si="28"/>
        <v>0</v>
      </c>
      <c r="L99" s="71">
        <f>IF(E99=0,0,VLOOKUP(E99,'Prix Matiere'!$A$4:$J$65,10))</f>
        <v>0</v>
      </c>
      <c r="M99" s="625">
        <f t="shared" si="32"/>
        <v>0</v>
      </c>
      <c r="N99" s="626">
        <f t="shared" si="33"/>
        <v>0</v>
      </c>
      <c r="O99" s="625">
        <f t="shared" si="34"/>
        <v>0</v>
      </c>
      <c r="P99" s="559"/>
      <c r="Q99" s="627">
        <v>0</v>
      </c>
      <c r="R99" s="559"/>
      <c r="S99" s="559"/>
      <c r="T99" s="559"/>
      <c r="U99" s="559"/>
      <c r="V99" s="559"/>
      <c r="W99" s="559"/>
      <c r="X99" s="559"/>
      <c r="Y99" s="559"/>
      <c r="Z99" s="559"/>
      <c r="AA99" s="559"/>
      <c r="AB99" s="559"/>
      <c r="AC99" s="559"/>
      <c r="AD99" s="559"/>
      <c r="AE99" s="559"/>
      <c r="AF99" s="559"/>
      <c r="AG99" s="559"/>
    </row>
    <row r="100" spans="1:33" ht="18" x14ac:dyDescent="0.35">
      <c r="A100" s="559"/>
      <c r="B100" s="584" t="s">
        <v>55</v>
      </c>
      <c r="C100" s="584">
        <f>IF(F100=0,0,E102)</f>
        <v>0</v>
      </c>
      <c r="D100" s="584">
        <f>IF(F100=0,0,D102)</f>
        <v>0</v>
      </c>
      <c r="E100" s="579">
        <f>VLOOKUP($C$17,A249:S255,15)</f>
        <v>0</v>
      </c>
      <c r="F100" s="584">
        <f>VLOOKUP($C$17,A249:S255,16)</f>
        <v>0</v>
      </c>
      <c r="G100" s="559"/>
      <c r="H100" s="559"/>
      <c r="I100" s="559"/>
      <c r="J100" s="559">
        <f t="shared" si="27"/>
        <v>0</v>
      </c>
      <c r="K100" s="559">
        <f t="shared" si="28"/>
        <v>0</v>
      </c>
      <c r="L100" s="71">
        <f>IF(E100=0,0,VLOOKUP(E100,'Prix Matiere'!$A$4:$J$65,10))</f>
        <v>0</v>
      </c>
      <c r="M100" s="625">
        <f t="shared" si="32"/>
        <v>0</v>
      </c>
      <c r="N100" s="626">
        <f t="shared" si="33"/>
        <v>0</v>
      </c>
      <c r="O100" s="625">
        <f t="shared" si="34"/>
        <v>0</v>
      </c>
      <c r="P100" s="559"/>
      <c r="Q100" s="627">
        <v>0</v>
      </c>
      <c r="R100" s="559"/>
      <c r="S100" s="559"/>
      <c r="T100" s="559"/>
      <c r="U100" s="559"/>
      <c r="V100" s="559"/>
      <c r="W100" s="559"/>
      <c r="X100" s="559"/>
      <c r="Y100" s="559"/>
      <c r="Z100" s="559"/>
      <c r="AA100" s="559"/>
      <c r="AB100" s="559"/>
      <c r="AC100" s="559"/>
      <c r="AD100" s="559"/>
      <c r="AE100" s="559"/>
      <c r="AF100" s="559"/>
      <c r="AG100" s="559"/>
    </row>
    <row r="101" spans="1:33" ht="18" x14ac:dyDescent="0.35">
      <c r="A101" s="559"/>
      <c r="B101" s="559"/>
      <c r="C101" s="559"/>
      <c r="D101" s="559"/>
      <c r="E101" s="559"/>
      <c r="F101" s="559"/>
      <c r="G101" s="559"/>
      <c r="H101" s="559"/>
      <c r="I101" s="559"/>
      <c r="J101" s="559">
        <f t="shared" si="27"/>
        <v>0</v>
      </c>
      <c r="K101" s="559">
        <f t="shared" si="28"/>
        <v>0</v>
      </c>
      <c r="L101" s="71">
        <f>IF(E101=0,0,VLOOKUP(E101,'Prix Matiere'!$A$4:$J$65,10))</f>
        <v>0</v>
      </c>
      <c r="M101" s="625"/>
      <c r="N101" s="626"/>
      <c r="O101" s="625"/>
      <c r="P101" s="559"/>
      <c r="Q101" s="627"/>
      <c r="R101" s="559"/>
      <c r="S101" s="559"/>
      <c r="T101" s="559"/>
      <c r="U101" s="559"/>
      <c r="V101" s="559"/>
      <c r="W101" s="559"/>
      <c r="X101" s="559"/>
      <c r="Y101" s="559"/>
      <c r="Z101" s="559"/>
      <c r="AA101" s="559"/>
      <c r="AB101" s="559"/>
      <c r="AC101" s="559"/>
      <c r="AD101" s="559"/>
      <c r="AE101" s="559"/>
      <c r="AF101" s="559"/>
      <c r="AG101" s="559"/>
    </row>
    <row r="102" spans="1:33" ht="18" x14ac:dyDescent="0.35">
      <c r="A102" s="559"/>
      <c r="B102" s="559" t="s">
        <v>66</v>
      </c>
      <c r="C102" s="624">
        <f>C96-VLOOKUP($C$17,A249:S255,14)</f>
        <v>2.5</v>
      </c>
      <c r="D102" s="624">
        <f>D96-VLOOKUP($C$17,A249:S255,14)</f>
        <v>2.5</v>
      </c>
      <c r="E102" s="559">
        <f>E96-VLOOKUP($C$17,A249:S255,14)</f>
        <v>0</v>
      </c>
      <c r="F102" s="559"/>
      <c r="G102" s="559"/>
      <c r="H102" s="559"/>
      <c r="I102" s="559"/>
      <c r="J102" s="559">
        <f t="shared" si="27"/>
        <v>0</v>
      </c>
      <c r="K102" s="559">
        <f t="shared" si="28"/>
        <v>0</v>
      </c>
      <c r="L102" s="71">
        <f>IF(E102=0,0,VLOOKUP(E102,'Prix Matiere'!$A$4:$J$65,10))</f>
        <v>0</v>
      </c>
      <c r="M102" s="625"/>
      <c r="N102" s="626"/>
      <c r="O102" s="625"/>
      <c r="P102" s="559"/>
      <c r="Q102" s="627"/>
      <c r="R102" s="559"/>
      <c r="S102" s="559"/>
      <c r="T102" s="559"/>
      <c r="U102" s="559"/>
      <c r="V102" s="559"/>
      <c r="W102" s="559"/>
      <c r="X102" s="559"/>
      <c r="Y102" s="559"/>
      <c r="Z102" s="559"/>
      <c r="AA102" s="559"/>
      <c r="AB102" s="559"/>
      <c r="AC102" s="559"/>
      <c r="AD102" s="559"/>
      <c r="AE102" s="559"/>
      <c r="AF102" s="559"/>
      <c r="AG102" s="559"/>
    </row>
    <row r="103" spans="1:33" ht="18" x14ac:dyDescent="0.35">
      <c r="A103" s="559"/>
      <c r="B103" s="559"/>
      <c r="C103" s="559"/>
      <c r="D103" s="559"/>
      <c r="E103" s="559"/>
      <c r="F103" s="559"/>
      <c r="G103" s="559"/>
      <c r="H103" s="559"/>
      <c r="I103" s="559"/>
      <c r="J103" s="559"/>
      <c r="K103" s="559"/>
      <c r="L103" s="71">
        <f>IF(E103=0,0,VLOOKUP(E103,'Prix Matiere'!$A$4:$J$65,10))</f>
        <v>0</v>
      </c>
      <c r="M103" s="625"/>
      <c r="N103" s="626"/>
      <c r="O103" s="625"/>
      <c r="P103" s="559"/>
      <c r="Q103" s="627"/>
      <c r="R103" s="559"/>
      <c r="S103" s="559"/>
      <c r="T103" s="559"/>
      <c r="U103" s="559"/>
      <c r="V103" s="559"/>
      <c r="W103" s="559"/>
      <c r="X103" s="559"/>
      <c r="Y103" s="559"/>
      <c r="Z103" s="559"/>
      <c r="AA103" s="559"/>
      <c r="AB103" s="559"/>
      <c r="AC103" s="559"/>
      <c r="AD103" s="559"/>
      <c r="AE103" s="559"/>
      <c r="AF103" s="559"/>
      <c r="AG103" s="559"/>
    </row>
    <row r="104" spans="1:33" ht="18" x14ac:dyDescent="0.35">
      <c r="A104" s="573" t="s">
        <v>309</v>
      </c>
      <c r="B104" s="584">
        <f t="shared" ref="B104:B107" si="35">IF(C104=0,0,"Peuplier 15 mm")</f>
        <v>0</v>
      </c>
      <c r="C104" s="584">
        <f>IF(C17="Aucun",0,D102-1.5)</f>
        <v>0</v>
      </c>
      <c r="D104" s="584">
        <f>IF(C104=0,0,E102)</f>
        <v>0</v>
      </c>
      <c r="E104" s="584">
        <f>B104</f>
        <v>0</v>
      </c>
      <c r="F104" s="584">
        <f>IF(C104=0,0,2)</f>
        <v>0</v>
      </c>
      <c r="G104" s="559"/>
      <c r="H104" s="559"/>
      <c r="I104" s="559"/>
      <c r="J104" s="559">
        <f t="shared" ref="J104:J107" si="36">IF(C104=0,0,(C104/100)*(D104/100)*F104)</f>
        <v>0</v>
      </c>
      <c r="K104" s="559">
        <f t="shared" ref="K104:K107" si="37">J104/0.8</f>
        <v>0</v>
      </c>
      <c r="L104" s="71">
        <f>IF(E104=0,0,VLOOKUP(E104,'Prix Matiere'!$A$4:$J$65,10))</f>
        <v>0</v>
      </c>
      <c r="M104" s="625">
        <f t="shared" ref="M104:M107" si="38">L104*K104</f>
        <v>0</v>
      </c>
      <c r="N104" s="626">
        <f t="shared" ref="N104:N107" si="39">IF(J104=0,0,(6.0924*J104)+10)</f>
        <v>0</v>
      </c>
      <c r="O104" s="625">
        <f t="shared" ref="O104:O107" si="40">N104*'Objet 2 à 6'!MinuteMO</f>
        <v>0</v>
      </c>
      <c r="P104" s="559"/>
      <c r="Q104" s="627">
        <v>0</v>
      </c>
      <c r="R104" s="559"/>
      <c r="S104" s="559"/>
      <c r="T104" s="559"/>
      <c r="U104" s="559"/>
      <c r="V104" s="559"/>
      <c r="W104" s="559"/>
      <c r="X104" s="559"/>
      <c r="Y104" s="559"/>
      <c r="Z104" s="559"/>
      <c r="AA104" s="559"/>
      <c r="AB104" s="559"/>
      <c r="AC104" s="559"/>
      <c r="AD104" s="559"/>
      <c r="AE104" s="559"/>
      <c r="AF104" s="559"/>
      <c r="AG104" s="559"/>
    </row>
    <row r="105" spans="1:33" ht="18" x14ac:dyDescent="0.35">
      <c r="A105" s="559"/>
      <c r="B105" s="584">
        <f t="shared" si="35"/>
        <v>0</v>
      </c>
      <c r="C105" s="584">
        <f>IF(C17="Aucun",0,C102)</f>
        <v>0</v>
      </c>
      <c r="D105" s="584">
        <f>IF(C105=0,0,D104)</f>
        <v>0</v>
      </c>
      <c r="E105" s="584">
        <f>B104</f>
        <v>0</v>
      </c>
      <c r="F105" s="584">
        <f>IF(C105=0,0,1)</f>
        <v>0</v>
      </c>
      <c r="G105" s="559"/>
      <c r="H105" s="559"/>
      <c r="I105" s="559"/>
      <c r="J105" s="559">
        <f t="shared" si="36"/>
        <v>0</v>
      </c>
      <c r="K105" s="559">
        <f t="shared" si="37"/>
        <v>0</v>
      </c>
      <c r="L105" s="71">
        <f>IF(E105=0,0,VLOOKUP(E105,'Prix Matiere'!$A$4:$J$65,10))</f>
        <v>0</v>
      </c>
      <c r="M105" s="625">
        <f t="shared" si="38"/>
        <v>0</v>
      </c>
      <c r="N105" s="626">
        <f t="shared" si="39"/>
        <v>0</v>
      </c>
      <c r="O105" s="625">
        <f t="shared" si="40"/>
        <v>0</v>
      </c>
      <c r="P105" s="559"/>
      <c r="Q105" s="627">
        <v>0</v>
      </c>
      <c r="R105" s="559"/>
      <c r="S105" s="559"/>
      <c r="T105" s="559"/>
      <c r="U105" s="559"/>
      <c r="V105" s="559"/>
      <c r="W105" s="559"/>
      <c r="X105" s="559"/>
      <c r="Y105" s="559"/>
      <c r="Z105" s="559"/>
      <c r="AA105" s="559"/>
      <c r="AB105" s="559"/>
      <c r="AC105" s="559"/>
      <c r="AD105" s="559"/>
      <c r="AE105" s="559"/>
      <c r="AF105" s="559"/>
      <c r="AG105" s="559"/>
    </row>
    <row r="106" spans="1:33" ht="18" x14ac:dyDescent="0.35">
      <c r="A106" s="559"/>
      <c r="B106" s="584">
        <f t="shared" si="35"/>
        <v>0</v>
      </c>
      <c r="C106" s="584">
        <f t="shared" ref="C106:D106" si="41">IF(I48=0,0,H48)</f>
        <v>0</v>
      </c>
      <c r="D106" s="584">
        <f t="shared" si="41"/>
        <v>0</v>
      </c>
      <c r="E106" s="584">
        <f t="shared" ref="E106:E107" si="42">B106</f>
        <v>0</v>
      </c>
      <c r="F106" s="584">
        <f>IF(J48=0,0,J48)</f>
        <v>0</v>
      </c>
      <c r="G106" s="559"/>
      <c r="H106" s="559"/>
      <c r="I106" s="559"/>
      <c r="J106" s="559">
        <f t="shared" si="36"/>
        <v>0</v>
      </c>
      <c r="K106" s="559">
        <f t="shared" si="37"/>
        <v>0</v>
      </c>
      <c r="L106" s="71">
        <f>IF(E106=0,0,VLOOKUP(E106,'Prix Matiere'!$A$4:$J$65,10))</f>
        <v>0</v>
      </c>
      <c r="M106" s="625">
        <f t="shared" si="38"/>
        <v>0</v>
      </c>
      <c r="N106" s="626">
        <f t="shared" si="39"/>
        <v>0</v>
      </c>
      <c r="O106" s="625">
        <f t="shared" si="40"/>
        <v>0</v>
      </c>
      <c r="P106" s="559"/>
      <c r="Q106" s="627">
        <v>0</v>
      </c>
      <c r="R106" s="559"/>
      <c r="S106" s="559"/>
      <c r="T106" s="559"/>
      <c r="U106" s="559"/>
      <c r="V106" s="559"/>
      <c r="W106" s="559"/>
      <c r="X106" s="559"/>
      <c r="Y106" s="559"/>
      <c r="Z106" s="559"/>
      <c r="AA106" s="559"/>
      <c r="AB106" s="559"/>
      <c r="AC106" s="559"/>
      <c r="AD106" s="559"/>
      <c r="AE106" s="559"/>
      <c r="AF106" s="559"/>
      <c r="AG106" s="559"/>
    </row>
    <row r="107" spans="1:33" ht="18" x14ac:dyDescent="0.35">
      <c r="A107" s="559"/>
      <c r="B107" s="584">
        <f t="shared" si="35"/>
        <v>0</v>
      </c>
      <c r="C107" s="584">
        <f t="shared" ref="C107:D107" si="43">IF(I48=0,0,H48)</f>
        <v>0</v>
      </c>
      <c r="D107" s="584">
        <f t="shared" si="43"/>
        <v>0</v>
      </c>
      <c r="E107" s="584">
        <f t="shared" si="42"/>
        <v>0</v>
      </c>
      <c r="F107" s="584">
        <f>IF(J48=0,0,J48)</f>
        <v>0</v>
      </c>
      <c r="G107" s="559"/>
      <c r="H107" s="559"/>
      <c r="I107" s="559"/>
      <c r="J107" s="559">
        <f t="shared" si="36"/>
        <v>0</v>
      </c>
      <c r="K107" s="559">
        <f t="shared" si="37"/>
        <v>0</v>
      </c>
      <c r="L107" s="71">
        <f>IF(E107=0,0,VLOOKUP(E107,'Prix Matiere'!$A$4:$J$65,10))</f>
        <v>0</v>
      </c>
      <c r="M107" s="625">
        <f t="shared" si="38"/>
        <v>0</v>
      </c>
      <c r="N107" s="626">
        <f t="shared" si="39"/>
        <v>0</v>
      </c>
      <c r="O107" s="625">
        <f t="shared" si="40"/>
        <v>0</v>
      </c>
      <c r="P107" s="559"/>
      <c r="Q107" s="627">
        <v>0</v>
      </c>
      <c r="R107" s="559"/>
      <c r="S107" s="559"/>
      <c r="T107" s="559"/>
      <c r="U107" s="559"/>
      <c r="V107" s="559"/>
      <c r="W107" s="559"/>
      <c r="X107" s="559"/>
      <c r="Y107" s="559"/>
      <c r="Z107" s="559"/>
      <c r="AA107" s="559"/>
      <c r="AB107" s="559"/>
      <c r="AC107" s="559"/>
      <c r="AD107" s="559"/>
      <c r="AE107" s="559"/>
      <c r="AF107" s="559"/>
      <c r="AG107" s="559"/>
    </row>
    <row r="108" spans="1:33" ht="18" x14ac:dyDescent="0.35">
      <c r="A108" s="559"/>
      <c r="B108" s="559"/>
      <c r="C108" s="559"/>
      <c r="D108" s="559"/>
      <c r="E108" s="559"/>
      <c r="F108" s="559"/>
      <c r="G108" s="559"/>
      <c r="H108" s="559"/>
      <c r="I108" s="559"/>
      <c r="J108" s="559"/>
      <c r="K108" s="559"/>
      <c r="L108" s="71">
        <f>IF(E108=0,0,VLOOKUP(E108,'Prix Matiere'!$A$4:$J$65,10))</f>
        <v>0</v>
      </c>
      <c r="M108" s="625"/>
      <c r="N108" s="626"/>
      <c r="O108" s="625"/>
      <c r="P108" s="559"/>
      <c r="Q108" s="627"/>
      <c r="R108" s="559"/>
      <c r="S108" s="559"/>
      <c r="T108" s="559"/>
      <c r="U108" s="559"/>
      <c r="V108" s="559"/>
      <c r="W108" s="559"/>
      <c r="X108" s="559"/>
      <c r="Y108" s="559"/>
      <c r="Z108" s="559"/>
      <c r="AA108" s="559"/>
      <c r="AB108" s="559"/>
      <c r="AC108" s="559"/>
      <c r="AD108" s="559"/>
      <c r="AE108" s="559"/>
      <c r="AF108" s="559"/>
      <c r="AG108" s="559"/>
    </row>
    <row r="109" spans="1:33" ht="18" x14ac:dyDescent="0.35">
      <c r="A109" s="559"/>
      <c r="B109" s="559" t="s">
        <v>310</v>
      </c>
      <c r="C109" s="624">
        <f>IF(VLOOKUP($C$27,A234:S244,18)+VLOOKUP($C$17,A249:S255,18)=2,C102-3,IF(VLOOKUP($C$27,A234:S244,19)+VLOOKUP($C$17,A249:S255,19)=2,C102,C102))</f>
        <v>2.5</v>
      </c>
      <c r="D109" s="624">
        <f>IF(VLOOKUP($C$27,A234:S244,18)+VLOOKUP($C$17,A249:S255,18)=2,D102,IF(VLOOKUP($C$27,A234:S244,19)+VLOOKUP($C$17,A249:S255,19)=2,D102-3,D102))</f>
        <v>2.5</v>
      </c>
      <c r="E109" s="559">
        <f>E102</f>
        <v>0</v>
      </c>
      <c r="F109" s="559"/>
      <c r="G109" s="559"/>
      <c r="H109" s="559"/>
      <c r="I109" s="559"/>
      <c r="J109" s="559"/>
      <c r="K109" s="559"/>
      <c r="L109" s="71">
        <f>IF(E109=0,0,VLOOKUP(E109,'Prix Matiere'!$A$4:$J$65,10))</f>
        <v>0</v>
      </c>
      <c r="M109" s="625"/>
      <c r="N109" s="626"/>
      <c r="O109" s="625"/>
      <c r="P109" s="559"/>
      <c r="Q109" s="627"/>
      <c r="R109" s="559"/>
      <c r="S109" s="559"/>
      <c r="T109" s="559"/>
      <c r="U109" s="559"/>
      <c r="V109" s="559"/>
      <c r="W109" s="559"/>
      <c r="X109" s="559"/>
      <c r="Y109" s="559"/>
      <c r="Z109" s="559"/>
      <c r="AA109" s="559"/>
      <c r="AB109" s="559"/>
      <c r="AC109" s="559"/>
      <c r="AD109" s="559"/>
      <c r="AE109" s="559"/>
      <c r="AF109" s="559"/>
      <c r="AG109" s="559"/>
    </row>
    <row r="110" spans="1:33" ht="18" x14ac:dyDescent="0.35">
      <c r="A110" s="559"/>
      <c r="B110" s="559"/>
      <c r="C110" s="559"/>
      <c r="D110" s="559"/>
      <c r="E110" s="559"/>
      <c r="F110" s="559"/>
      <c r="G110" s="559"/>
      <c r="H110" s="559"/>
      <c r="I110" s="559"/>
      <c r="J110" s="559"/>
      <c r="K110" s="559"/>
      <c r="L110" s="71">
        <f>IF(E110=0,0,VLOOKUP(E110,'Prix Matiere'!$A$4:$J$65,10))</f>
        <v>0</v>
      </c>
      <c r="M110" s="625"/>
      <c r="N110" s="626"/>
      <c r="O110" s="625"/>
      <c r="P110" s="559"/>
      <c r="Q110" s="627"/>
      <c r="R110" s="559"/>
      <c r="S110" s="559"/>
      <c r="T110" s="559"/>
      <c r="U110" s="559"/>
      <c r="V110" s="559"/>
      <c r="W110" s="559"/>
      <c r="X110" s="559"/>
      <c r="Y110" s="559"/>
      <c r="Z110" s="559"/>
      <c r="AA110" s="559"/>
      <c r="AB110" s="559"/>
      <c r="AC110" s="559"/>
      <c r="AD110" s="559"/>
      <c r="AE110" s="559"/>
      <c r="AF110" s="559"/>
      <c r="AG110" s="559"/>
    </row>
    <row r="111" spans="1:33" ht="18" x14ac:dyDescent="0.35">
      <c r="A111" s="559">
        <f>IF(F23="Oui","Cuvette",0)</f>
        <v>0</v>
      </c>
      <c r="B111" s="579">
        <f>IF($C$23="Non",0,"GC 15 mm")</f>
        <v>0</v>
      </c>
      <c r="C111" s="622">
        <f>IF($C$23="Oui",D53+3,0)</f>
        <v>0</v>
      </c>
      <c r="D111" s="622">
        <f>IF($C$23="Oui",F53,0)</f>
        <v>0</v>
      </c>
      <c r="E111" s="622">
        <f t="shared" ref="E111:E112" si="44">IF(C111=0,0,"Peuplier 15 mm")</f>
        <v>0</v>
      </c>
      <c r="F111" s="584">
        <f t="shared" ref="F111:F112" si="45">IF($C$23="Oui",2,0)</f>
        <v>0</v>
      </c>
      <c r="G111" s="559"/>
      <c r="H111" s="559"/>
      <c r="I111" s="559"/>
      <c r="J111" s="624">
        <f t="shared" ref="J111:J113" si="46">IF(C111=0,0,(C111/100)*(D111/100)*F111)</f>
        <v>0</v>
      </c>
      <c r="K111" s="624">
        <f t="shared" ref="K111:K113" si="47">J111/0.8</f>
        <v>0</v>
      </c>
      <c r="L111" s="71">
        <f>IF(E111=0,0,VLOOKUP(E111,'Prix Matiere'!$A$4:$J$65,10))</f>
        <v>0</v>
      </c>
      <c r="M111" s="625">
        <f t="shared" ref="M111:M113" si="48">L111*K111</f>
        <v>0</v>
      </c>
      <c r="N111" s="626">
        <f t="shared" ref="N111:N113" si="49">IF(J111=0,0,(6.0924*J111)+10)</f>
        <v>0</v>
      </c>
      <c r="O111" s="625">
        <f t="shared" ref="O111:O113" si="50">N111*'Objet 2 à 6'!MinuteMO</f>
        <v>0</v>
      </c>
      <c r="P111" s="559"/>
      <c r="Q111" s="627">
        <v>0</v>
      </c>
      <c r="R111" s="559"/>
      <c r="S111" s="559"/>
      <c r="T111" s="559"/>
      <c r="U111" s="559"/>
      <c r="V111" s="559"/>
      <c r="W111" s="559"/>
      <c r="X111" s="559"/>
      <c r="Y111" s="559"/>
      <c r="Z111" s="559"/>
      <c r="AA111" s="559"/>
      <c r="AB111" s="559"/>
      <c r="AC111" s="559"/>
      <c r="AD111" s="559"/>
      <c r="AE111" s="559"/>
      <c r="AF111" s="559"/>
      <c r="AG111" s="559"/>
    </row>
    <row r="112" spans="1:33" ht="18" x14ac:dyDescent="0.35">
      <c r="A112" s="559"/>
      <c r="B112" s="579">
        <f>IF($C$23="Non",0,"Bouts 15 mm")</f>
        <v>0</v>
      </c>
      <c r="C112" s="622">
        <f>IF($C$23="Oui",E53,0)</f>
        <v>0</v>
      </c>
      <c r="D112" s="622">
        <f>D111</f>
        <v>0</v>
      </c>
      <c r="E112" s="622">
        <f t="shared" si="44"/>
        <v>0</v>
      </c>
      <c r="F112" s="584">
        <f t="shared" si="45"/>
        <v>0</v>
      </c>
      <c r="G112" s="559"/>
      <c r="H112" s="559"/>
      <c r="I112" s="559"/>
      <c r="J112" s="624">
        <f t="shared" si="46"/>
        <v>0</v>
      </c>
      <c r="K112" s="624">
        <f t="shared" si="47"/>
        <v>0</v>
      </c>
      <c r="L112" s="71">
        <f>IF(E112=0,0,VLOOKUP(E112,'Prix Matiere'!$A$4:$J$65,10))</f>
        <v>0</v>
      </c>
      <c r="M112" s="625">
        <f t="shared" si="48"/>
        <v>0</v>
      </c>
      <c r="N112" s="626">
        <f t="shared" si="49"/>
        <v>0</v>
      </c>
      <c r="O112" s="625">
        <f t="shared" si="50"/>
        <v>0</v>
      </c>
      <c r="P112" s="559"/>
      <c r="Q112" s="627">
        <v>0</v>
      </c>
      <c r="R112" s="559"/>
      <c r="S112" s="559"/>
      <c r="T112" s="559"/>
      <c r="U112" s="559"/>
      <c r="V112" s="559"/>
      <c r="W112" s="559"/>
      <c r="X112" s="559"/>
      <c r="Y112" s="559"/>
      <c r="Z112" s="559"/>
      <c r="AA112" s="559"/>
      <c r="AB112" s="559"/>
      <c r="AC112" s="559"/>
      <c r="AD112" s="559"/>
      <c r="AE112" s="559"/>
      <c r="AF112" s="559"/>
      <c r="AG112" s="559"/>
    </row>
    <row r="113" spans="1:33" ht="18" x14ac:dyDescent="0.35">
      <c r="A113" s="559"/>
      <c r="B113" s="579">
        <f>IF($C$23="Non",0,"Fond cp 10 mm")</f>
        <v>0</v>
      </c>
      <c r="C113" s="622">
        <f>IF($C$23="Oui",C111,0)</f>
        <v>0</v>
      </c>
      <c r="D113" s="622">
        <f>IF($C$23="Oui",C112+3,0)</f>
        <v>0</v>
      </c>
      <c r="E113" s="622">
        <f>IF(C113=0,0,"Peuplier 10 mm")</f>
        <v>0</v>
      </c>
      <c r="F113" s="584">
        <f>IF($C$23="Oui",1,0)</f>
        <v>0</v>
      </c>
      <c r="G113" s="559"/>
      <c r="H113" s="559"/>
      <c r="I113" s="559"/>
      <c r="J113" s="624">
        <f t="shared" si="46"/>
        <v>0</v>
      </c>
      <c r="K113" s="624">
        <f t="shared" si="47"/>
        <v>0</v>
      </c>
      <c r="L113" s="71">
        <f>IF(E113=0,0,VLOOKUP(E113,'Prix Matiere'!$A$4:$J$65,10))</f>
        <v>0</v>
      </c>
      <c r="M113" s="625">
        <f t="shared" si="48"/>
        <v>0</v>
      </c>
      <c r="N113" s="626">
        <f t="shared" si="49"/>
        <v>0</v>
      </c>
      <c r="O113" s="625">
        <f t="shared" si="50"/>
        <v>0</v>
      </c>
      <c r="P113" s="559"/>
      <c r="Q113" s="627">
        <v>0</v>
      </c>
      <c r="R113" s="559"/>
      <c r="S113" s="559"/>
      <c r="T113" s="559"/>
      <c r="U113" s="559"/>
      <c r="V113" s="559"/>
      <c r="W113" s="559"/>
      <c r="X113" s="559"/>
      <c r="Y113" s="559"/>
      <c r="Z113" s="559"/>
      <c r="AA113" s="559"/>
      <c r="AB113" s="559"/>
      <c r="AC113" s="559"/>
      <c r="AD113" s="559"/>
      <c r="AE113" s="559"/>
      <c r="AF113" s="559"/>
      <c r="AG113" s="559"/>
    </row>
    <row r="114" spans="1:33" ht="18" x14ac:dyDescent="0.35">
      <c r="A114" s="559"/>
      <c r="B114" s="579"/>
      <c r="C114" s="622"/>
      <c r="D114" s="622"/>
      <c r="E114" s="622"/>
      <c r="F114" s="584"/>
      <c r="G114" s="559"/>
      <c r="H114" s="559"/>
      <c r="I114" s="559"/>
      <c r="J114" s="559"/>
      <c r="K114" s="559"/>
      <c r="L114" s="71">
        <f>IF(E114=0,0,VLOOKUP(E114,'Prix Matiere'!$A$4:$J$65,10))</f>
        <v>0</v>
      </c>
      <c r="M114" s="625"/>
      <c r="N114" s="626"/>
      <c r="O114" s="625"/>
      <c r="P114" s="559"/>
      <c r="Q114" s="627">
        <v>0</v>
      </c>
      <c r="R114" s="559"/>
      <c r="S114" s="559"/>
      <c r="T114" s="559"/>
      <c r="U114" s="559"/>
      <c r="V114" s="559"/>
      <c r="W114" s="559"/>
      <c r="X114" s="559"/>
      <c r="Y114" s="559"/>
      <c r="Z114" s="559"/>
      <c r="AA114" s="559"/>
      <c r="AB114" s="559"/>
      <c r="AC114" s="559"/>
      <c r="AD114" s="559"/>
      <c r="AE114" s="559"/>
      <c r="AF114" s="559"/>
      <c r="AG114" s="559"/>
    </row>
    <row r="115" spans="1:33" ht="18" x14ac:dyDescent="0.35">
      <c r="A115" s="559"/>
      <c r="B115" s="579">
        <f>IF($C$23="Non",0,"Mousse")</f>
        <v>0</v>
      </c>
      <c r="C115" s="622">
        <f t="shared" ref="C115:D115" si="51">IF($C$23="Oui",D53,0)</f>
        <v>0</v>
      </c>
      <c r="D115" s="622">
        <f t="shared" si="51"/>
        <v>0</v>
      </c>
      <c r="E115" s="622">
        <f>IF($C$23="Non",0,"PU 50 mm")</f>
        <v>0</v>
      </c>
      <c r="F115" s="633">
        <f>IF($C$23="Oui",F53/5,0)</f>
        <v>0</v>
      </c>
      <c r="G115" s="559"/>
      <c r="H115" s="559"/>
      <c r="I115" s="559"/>
      <c r="J115" s="559">
        <f t="shared" ref="J115:J118" si="52">IF(C115=0,0,(C115/100)*(D115/100)*F115)</f>
        <v>0</v>
      </c>
      <c r="K115" s="559">
        <f t="shared" ref="K115:K130" si="53">J115/0.8</f>
        <v>0</v>
      </c>
      <c r="L115" s="71">
        <f>IF(E115=0,0,VLOOKUP(E115,'Prix Matiere'!$A$4:$J$65,10))</f>
        <v>0</v>
      </c>
      <c r="M115" s="625">
        <f>L115*K115</f>
        <v>0</v>
      </c>
      <c r="N115" s="626">
        <f>IF(J115=0,0,4.7283*J115+2)</f>
        <v>0</v>
      </c>
      <c r="O115" s="625">
        <f>N115*'Objet 2 à 6'!MinuteMO</f>
        <v>0</v>
      </c>
      <c r="P115" s="559"/>
      <c r="Q115" s="627">
        <v>0</v>
      </c>
      <c r="R115" s="559"/>
      <c r="S115" s="559"/>
      <c r="T115" s="559"/>
      <c r="U115" s="559"/>
      <c r="V115" s="559"/>
      <c r="W115" s="559"/>
      <c r="X115" s="559"/>
      <c r="Y115" s="559"/>
      <c r="Z115" s="559"/>
      <c r="AA115" s="559"/>
      <c r="AB115" s="559"/>
      <c r="AC115" s="559"/>
      <c r="AD115" s="559"/>
      <c r="AE115" s="559"/>
      <c r="AF115" s="559"/>
      <c r="AG115" s="559"/>
    </row>
    <row r="116" spans="1:33" ht="18" x14ac:dyDescent="0.35">
      <c r="A116" s="559"/>
      <c r="B116" s="559"/>
      <c r="C116" s="559"/>
      <c r="D116" s="559"/>
      <c r="E116" s="559"/>
      <c r="F116" s="559"/>
      <c r="G116" s="559"/>
      <c r="H116" s="559"/>
      <c r="I116" s="559"/>
      <c r="J116" s="559">
        <f t="shared" si="52"/>
        <v>0</v>
      </c>
      <c r="K116" s="559">
        <f t="shared" si="53"/>
        <v>0</v>
      </c>
      <c r="L116" s="71">
        <f>IF(E116=0,0,VLOOKUP(E116,'Prix Matiere'!$A$4:$J$65,10))</f>
        <v>0</v>
      </c>
      <c r="M116" s="625"/>
      <c r="N116" s="626"/>
      <c r="O116" s="625"/>
      <c r="P116" s="559"/>
      <c r="Q116" s="627"/>
      <c r="R116" s="559"/>
      <c r="S116" s="559"/>
      <c r="T116" s="559"/>
      <c r="U116" s="559"/>
      <c r="V116" s="559"/>
      <c r="W116" s="559"/>
      <c r="X116" s="559"/>
      <c r="Y116" s="559"/>
      <c r="Z116" s="559"/>
      <c r="AA116" s="559"/>
      <c r="AB116" s="559"/>
      <c r="AC116" s="559"/>
      <c r="AD116" s="559"/>
      <c r="AE116" s="559"/>
      <c r="AF116" s="559"/>
      <c r="AG116" s="559"/>
    </row>
    <row r="117" spans="1:33" ht="18" x14ac:dyDescent="0.35">
      <c r="A117" s="559"/>
      <c r="B117" s="560" t="s">
        <v>158</v>
      </c>
      <c r="C117" s="559"/>
      <c r="D117" s="559"/>
      <c r="E117" s="559"/>
      <c r="F117" s="559"/>
      <c r="G117" s="559"/>
      <c r="H117" s="559"/>
      <c r="I117" s="559"/>
      <c r="J117" s="559">
        <f t="shared" si="52"/>
        <v>0</v>
      </c>
      <c r="K117" s="559">
        <f t="shared" si="53"/>
        <v>0</v>
      </c>
      <c r="L117" s="71">
        <f>IF(E117=0,0,VLOOKUP(E117,'Prix Matiere'!$A$4:$J$65,10))</f>
        <v>0</v>
      </c>
      <c r="M117" s="625"/>
      <c r="N117" s="626"/>
      <c r="O117" s="625"/>
      <c r="P117" s="559"/>
      <c r="Q117" s="627"/>
      <c r="R117" s="559"/>
      <c r="S117" s="559"/>
      <c r="T117" s="559"/>
      <c r="U117" s="559"/>
      <c r="V117" s="559"/>
      <c r="W117" s="559"/>
      <c r="X117" s="559"/>
      <c r="Y117" s="559"/>
      <c r="Z117" s="559"/>
      <c r="AA117" s="559"/>
      <c r="AB117" s="559"/>
      <c r="AC117" s="559"/>
      <c r="AD117" s="559"/>
      <c r="AE117" s="559"/>
      <c r="AF117" s="559"/>
      <c r="AG117" s="559"/>
    </row>
    <row r="118" spans="1:33" ht="18" x14ac:dyDescent="0.35">
      <c r="A118" s="559"/>
      <c r="B118" s="629" t="str">
        <f>C27</f>
        <v>Aucun</v>
      </c>
      <c r="C118" s="622"/>
      <c r="D118" s="630" t="s">
        <v>28</v>
      </c>
      <c r="E118" s="630" t="s">
        <v>33</v>
      </c>
      <c r="F118" s="631" t="s">
        <v>34</v>
      </c>
      <c r="G118" s="559"/>
      <c r="H118" s="559"/>
      <c r="I118" s="559"/>
      <c r="J118" s="559">
        <f t="shared" si="52"/>
        <v>0</v>
      </c>
      <c r="K118" s="559">
        <f t="shared" si="53"/>
        <v>0</v>
      </c>
      <c r="L118" s="71"/>
      <c r="M118" s="625"/>
      <c r="N118" s="626"/>
      <c r="O118" s="625"/>
      <c r="P118" s="559"/>
      <c r="Q118" s="627"/>
      <c r="R118" s="559"/>
      <c r="S118" s="559"/>
      <c r="T118" s="559"/>
      <c r="U118" s="559"/>
      <c r="V118" s="559"/>
      <c r="W118" s="559"/>
      <c r="X118" s="559"/>
      <c r="Y118" s="559"/>
      <c r="Z118" s="559"/>
      <c r="AA118" s="559"/>
      <c r="AB118" s="559"/>
      <c r="AC118" s="559"/>
      <c r="AD118" s="559"/>
      <c r="AE118" s="559"/>
      <c r="AF118" s="559"/>
      <c r="AG118" s="559"/>
    </row>
    <row r="119" spans="1:33" ht="18" x14ac:dyDescent="0.35">
      <c r="A119" s="559"/>
      <c r="B119" s="622" t="s">
        <v>22</v>
      </c>
      <c r="C119" s="584">
        <f>VLOOKUP(B118,'Objet 2 à 6'!Moussecal1,2)</f>
        <v>0</v>
      </c>
      <c r="D119" s="631">
        <f>VLOOKUP(B118,'Objet 2 à 6'!Moussecal1,3)</f>
        <v>0</v>
      </c>
      <c r="E119" s="631">
        <f>VLOOKUP(B118,'Objet 2 à 6'!Moussecal1,4)</f>
        <v>0</v>
      </c>
      <c r="F119" s="631">
        <f>VLOOKUP(B118,'Objet 2 à 6'!Moussecal1,5)</f>
        <v>0</v>
      </c>
      <c r="G119" s="559">
        <f>IF(F119=0,0,"Barres 21 R4F")</f>
        <v>0</v>
      </c>
      <c r="H119" s="559"/>
      <c r="I119" s="559"/>
      <c r="J119" s="559">
        <f t="shared" ref="J119:J130" si="54">IF(D119=0,0,(D119/100)*(E119/100)*F119)</f>
        <v>0</v>
      </c>
      <c r="K119" s="559">
        <f t="shared" si="53"/>
        <v>0</v>
      </c>
      <c r="L119" s="71">
        <f>IF(E119=0,0,VLOOKUP(E119,'Prix Matiere'!$A$4:$J$65,10))</f>
        <v>0</v>
      </c>
      <c r="M119" s="625">
        <f t="shared" ref="M119:M130" si="55">L119*K119</f>
        <v>0</v>
      </c>
      <c r="N119" s="626">
        <f t="shared" ref="N119:N121" si="56">IF(J119=0,0,2+(6*J119))</f>
        <v>0</v>
      </c>
      <c r="O119" s="625">
        <f t="shared" ref="O119:O131" si="57">N119*'Objet 2 à 6'!MinuteMO</f>
        <v>0</v>
      </c>
      <c r="P119" s="559"/>
      <c r="Q119" s="627">
        <v>0</v>
      </c>
      <c r="R119" s="559"/>
      <c r="S119" s="559"/>
      <c r="T119" s="559"/>
      <c r="U119" s="559"/>
      <c r="V119" s="559"/>
      <c r="W119" s="559"/>
      <c r="X119" s="559"/>
      <c r="Y119" s="559"/>
      <c r="Z119" s="559"/>
      <c r="AA119" s="559"/>
      <c r="AB119" s="559"/>
      <c r="AC119" s="559"/>
      <c r="AD119" s="559"/>
      <c r="AE119" s="559"/>
      <c r="AF119" s="559"/>
      <c r="AG119" s="559"/>
    </row>
    <row r="120" spans="1:33" ht="18" x14ac:dyDescent="0.35">
      <c r="A120" s="559"/>
      <c r="B120" s="622"/>
      <c r="C120" s="584">
        <f>VLOOKUP(B118,'Objet 2 à 6'!Moussecal1,6)</f>
        <v>0</v>
      </c>
      <c r="D120" s="631">
        <f>VLOOKUP(B118,'Objet 2 à 6'!Moussecal1,7)</f>
        <v>0</v>
      </c>
      <c r="E120" s="631">
        <f>VLOOKUP(B118,'Objet 2 à 6'!Moussecal1,8)</f>
        <v>0</v>
      </c>
      <c r="F120" s="631">
        <f>VLOOKUP(B118,'Objet 2 à 6'!Moussecal1,9)</f>
        <v>0</v>
      </c>
      <c r="G120" s="559">
        <f t="shared" ref="G120:G121" si="58">IF(C120=0,0,"Barres 21 R4F")</f>
        <v>0</v>
      </c>
      <c r="H120" s="559"/>
      <c r="I120" s="559"/>
      <c r="J120" s="559">
        <f t="shared" si="54"/>
        <v>0</v>
      </c>
      <c r="K120" s="559">
        <f t="shared" si="53"/>
        <v>0</v>
      </c>
      <c r="L120" s="71">
        <f>IF(E120=0,0,VLOOKUP(E120,'Prix Matiere'!$A$4:$J$65,10))</f>
        <v>0</v>
      </c>
      <c r="M120" s="625">
        <f t="shared" si="55"/>
        <v>0</v>
      </c>
      <c r="N120" s="626">
        <f t="shared" si="56"/>
        <v>0</v>
      </c>
      <c r="O120" s="625">
        <f t="shared" si="57"/>
        <v>0</v>
      </c>
      <c r="P120" s="559"/>
      <c r="Q120" s="627">
        <v>0</v>
      </c>
      <c r="R120" s="559"/>
      <c r="S120" s="559"/>
      <c r="T120" s="559"/>
      <c r="U120" s="559"/>
      <c r="V120" s="559"/>
      <c r="W120" s="559"/>
      <c r="X120" s="559"/>
      <c r="Y120" s="559"/>
      <c r="Z120" s="559"/>
      <c r="AA120" s="559"/>
      <c r="AB120" s="559"/>
      <c r="AC120" s="559"/>
      <c r="AD120" s="559"/>
      <c r="AE120" s="559"/>
      <c r="AF120" s="559"/>
      <c r="AG120" s="559"/>
    </row>
    <row r="121" spans="1:33" ht="18" x14ac:dyDescent="0.35">
      <c r="A121" s="559"/>
      <c r="B121" s="622"/>
      <c r="C121" s="584">
        <f>VLOOKUP(B118,'Objet 2 à 6'!Moussecal1,10)</f>
        <v>0</v>
      </c>
      <c r="D121" s="631">
        <f>VLOOKUP(B118,'Objet 2 à 6'!Moussecal1,11)</f>
        <v>0</v>
      </c>
      <c r="E121" s="631">
        <f>VLOOKUP(B118,'Objet 2 à 6'!Moussecal1,12)</f>
        <v>0</v>
      </c>
      <c r="F121" s="631">
        <f>VLOOKUP(B118,'Objet 2 à 6'!Moussecal1,13)</f>
        <v>0</v>
      </c>
      <c r="G121" s="559">
        <f t="shared" si="58"/>
        <v>0</v>
      </c>
      <c r="H121" s="559"/>
      <c r="I121" s="559"/>
      <c r="J121" s="559">
        <f t="shared" si="54"/>
        <v>0</v>
      </c>
      <c r="K121" s="559">
        <f t="shared" si="53"/>
        <v>0</v>
      </c>
      <c r="L121" s="71">
        <f>IF(E121=0,0,VLOOKUP(E121,'Prix Matiere'!$A$4:$J$65,10))</f>
        <v>0</v>
      </c>
      <c r="M121" s="625">
        <f t="shared" si="55"/>
        <v>0</v>
      </c>
      <c r="N121" s="626">
        <f t="shared" si="56"/>
        <v>0</v>
      </c>
      <c r="O121" s="625">
        <f t="shared" si="57"/>
        <v>0</v>
      </c>
      <c r="P121" s="559"/>
      <c r="Q121" s="627">
        <v>0</v>
      </c>
      <c r="R121" s="559"/>
      <c r="S121" s="559"/>
      <c r="T121" s="559"/>
      <c r="U121" s="559"/>
      <c r="V121" s="559"/>
      <c r="W121" s="559"/>
      <c r="X121" s="559"/>
      <c r="Y121" s="559"/>
      <c r="Z121" s="559"/>
      <c r="AA121" s="559"/>
      <c r="AB121" s="559"/>
      <c r="AC121" s="559"/>
      <c r="AD121" s="559"/>
      <c r="AE121" s="559"/>
      <c r="AF121" s="559"/>
      <c r="AG121" s="559"/>
    </row>
    <row r="122" spans="1:33" ht="18" x14ac:dyDescent="0.35">
      <c r="A122" s="559"/>
      <c r="B122" s="622" t="s">
        <v>80</v>
      </c>
      <c r="C122" s="584">
        <f>VLOOKUP(B118,'Objet 2 à 6'!Moussecal1,14)</f>
        <v>0</v>
      </c>
      <c r="D122" s="631">
        <f>VLOOKUP(B118,'Objet 2 à 6'!Moussecal1,15)</f>
        <v>0</v>
      </c>
      <c r="E122" s="631">
        <f>VLOOKUP(B118,'Objet 2 à 6'!Moussecal1,16)</f>
        <v>0</v>
      </c>
      <c r="F122" s="631">
        <f>VLOOKUP(B118,'Objet 2 à 6'!Moussecal1,17)</f>
        <v>0</v>
      </c>
      <c r="G122" s="559">
        <f t="shared" ref="G122:G125" si="59">C122</f>
        <v>0</v>
      </c>
      <c r="H122" s="559"/>
      <c r="I122" s="559"/>
      <c r="J122" s="559">
        <f t="shared" si="54"/>
        <v>0</v>
      </c>
      <c r="K122" s="559">
        <f t="shared" si="53"/>
        <v>0</v>
      </c>
      <c r="L122" s="71">
        <f>IF(E122=0,0,VLOOKUP(E122,'Prix Matiere'!$A$4:$J$65,10))</f>
        <v>0</v>
      </c>
      <c r="M122" s="625">
        <f t="shared" si="55"/>
        <v>0</v>
      </c>
      <c r="N122" s="626">
        <f t="shared" ref="N122:N130" si="60">IF(J122=0,0,4.7283*J122+2)</f>
        <v>0</v>
      </c>
      <c r="O122" s="625">
        <f t="shared" si="57"/>
        <v>0</v>
      </c>
      <c r="P122" s="559"/>
      <c r="Q122" s="627">
        <v>0</v>
      </c>
      <c r="R122" s="559"/>
      <c r="S122" s="559"/>
      <c r="T122" s="559"/>
      <c r="U122" s="559"/>
      <c r="V122" s="559"/>
      <c r="W122" s="559"/>
      <c r="X122" s="559"/>
      <c r="Y122" s="559"/>
      <c r="Z122" s="559"/>
      <c r="AA122" s="559"/>
      <c r="AB122" s="559"/>
      <c r="AC122" s="559"/>
      <c r="AD122" s="559"/>
      <c r="AE122" s="559"/>
      <c r="AF122" s="559"/>
      <c r="AG122" s="559"/>
    </row>
    <row r="123" spans="1:33" ht="18" x14ac:dyDescent="0.35">
      <c r="A123" s="559"/>
      <c r="B123" s="622"/>
      <c r="C123" s="584">
        <f>VLOOKUP(B118,'Objet 2 à 6'!Moussecal1,18)</f>
        <v>0</v>
      </c>
      <c r="D123" s="631">
        <f>VLOOKUP(B118,'Objet 2 à 6'!Moussecal1,19)</f>
        <v>0</v>
      </c>
      <c r="E123" s="631">
        <f>VLOOKUP(B118,'Objet 2 à 6'!Moussecal1,20)</f>
        <v>0</v>
      </c>
      <c r="F123" s="631">
        <f>VLOOKUP(B118,'Objet 2 à 6'!Moussecal1,21)</f>
        <v>0</v>
      </c>
      <c r="G123" s="559">
        <f t="shared" si="59"/>
        <v>0</v>
      </c>
      <c r="H123" s="559"/>
      <c r="I123" s="559"/>
      <c r="J123" s="559">
        <f t="shared" si="54"/>
        <v>0</v>
      </c>
      <c r="K123" s="559">
        <f t="shared" si="53"/>
        <v>0</v>
      </c>
      <c r="L123" s="71">
        <f>IF(E123=0,0,VLOOKUP(E123,'Prix Matiere'!$A$4:$J$65,10))</f>
        <v>0</v>
      </c>
      <c r="M123" s="625">
        <f t="shared" si="55"/>
        <v>0</v>
      </c>
      <c r="N123" s="626">
        <f t="shared" si="60"/>
        <v>0</v>
      </c>
      <c r="O123" s="625">
        <f t="shared" si="57"/>
        <v>0</v>
      </c>
      <c r="P123" s="559"/>
      <c r="Q123" s="627">
        <v>0</v>
      </c>
      <c r="R123" s="559"/>
      <c r="S123" s="559"/>
      <c r="T123" s="559"/>
      <c r="U123" s="559"/>
      <c r="V123" s="559"/>
      <c r="W123" s="559"/>
      <c r="X123" s="559"/>
      <c r="Y123" s="559"/>
      <c r="Z123" s="559"/>
      <c r="AA123" s="559"/>
      <c r="AB123" s="559"/>
      <c r="AC123" s="559"/>
      <c r="AD123" s="559"/>
      <c r="AE123" s="559"/>
      <c r="AF123" s="559"/>
      <c r="AG123" s="559"/>
    </row>
    <row r="124" spans="1:33" ht="18" x14ac:dyDescent="0.35">
      <c r="A124" s="559"/>
      <c r="B124" s="622"/>
      <c r="C124" s="584">
        <f>VLOOKUP(B118,'Objet 2 à 6'!Moussecal1,28)</f>
        <v>0</v>
      </c>
      <c r="D124" s="631">
        <f>VLOOKUP(B118,'Objet 2 à 6'!Moussecal1,29)</f>
        <v>0</v>
      </c>
      <c r="E124" s="631">
        <f>VLOOKUP(B118,'Objet 2 à 6'!Moussecal1,30)</f>
        <v>0</v>
      </c>
      <c r="F124" s="631">
        <f>VLOOKUP(B118,'Objet 2 à 6'!Moussecal1,31)</f>
        <v>0</v>
      </c>
      <c r="G124" s="559">
        <f t="shared" si="59"/>
        <v>0</v>
      </c>
      <c r="H124" s="559"/>
      <c r="I124" s="559"/>
      <c r="J124" s="559">
        <f t="shared" si="54"/>
        <v>0</v>
      </c>
      <c r="K124" s="559">
        <f t="shared" si="53"/>
        <v>0</v>
      </c>
      <c r="L124" s="71">
        <f>IF(E124=0,0,VLOOKUP(E124,'Prix Matiere'!$A$4:$J$65,10))</f>
        <v>0</v>
      </c>
      <c r="M124" s="625">
        <f t="shared" si="55"/>
        <v>0</v>
      </c>
      <c r="N124" s="626">
        <f t="shared" si="60"/>
        <v>0</v>
      </c>
      <c r="O124" s="625">
        <f t="shared" si="57"/>
        <v>0</v>
      </c>
      <c r="P124" s="559"/>
      <c r="Q124" s="627">
        <v>0</v>
      </c>
      <c r="R124" s="559"/>
      <c r="S124" s="559"/>
      <c r="T124" s="559"/>
      <c r="U124" s="559"/>
      <c r="V124" s="559"/>
      <c r="W124" s="559"/>
      <c r="X124" s="559"/>
      <c r="Y124" s="559"/>
      <c r="Z124" s="559"/>
      <c r="AA124" s="559"/>
      <c r="AB124" s="559"/>
      <c r="AC124" s="559"/>
      <c r="AD124" s="559"/>
      <c r="AE124" s="559"/>
      <c r="AF124" s="559"/>
      <c r="AG124" s="559"/>
    </row>
    <row r="125" spans="1:33" ht="18" x14ac:dyDescent="0.35">
      <c r="A125" s="559"/>
      <c r="B125" s="584"/>
      <c r="C125" s="584">
        <f>VLOOKUP(B118,'Objet 2 à 6'!Moussecal1,22)</f>
        <v>0</v>
      </c>
      <c r="D125" s="631">
        <f>VLOOKUP(B118,'Objet 2 à 6'!Moussecal1,25)</f>
        <v>0</v>
      </c>
      <c r="E125" s="631">
        <f>VLOOKUP(B118,'Objet 2 à 6'!Moussecal1,26)</f>
        <v>0</v>
      </c>
      <c r="F125" s="631">
        <f>IF(D125=0,0,1)</f>
        <v>0</v>
      </c>
      <c r="G125" s="559">
        <f t="shared" si="59"/>
        <v>0</v>
      </c>
      <c r="H125" s="559"/>
      <c r="I125" s="559"/>
      <c r="J125" s="559">
        <f t="shared" si="54"/>
        <v>0</v>
      </c>
      <c r="K125" s="559">
        <f t="shared" si="53"/>
        <v>0</v>
      </c>
      <c r="L125" s="71">
        <f>IF(E125=0,0,VLOOKUP(E125,'Prix Matiere'!$A$4:$J$65,10))</f>
        <v>0</v>
      </c>
      <c r="M125" s="625">
        <f t="shared" si="55"/>
        <v>0</v>
      </c>
      <c r="N125" s="626">
        <f t="shared" si="60"/>
        <v>0</v>
      </c>
      <c r="O125" s="625">
        <f t="shared" si="57"/>
        <v>0</v>
      </c>
      <c r="P125" s="559"/>
      <c r="Q125" s="627">
        <v>0</v>
      </c>
      <c r="R125" s="559"/>
      <c r="S125" s="559"/>
      <c r="T125" s="559"/>
      <c r="U125" s="559"/>
      <c r="V125" s="559"/>
      <c r="W125" s="559"/>
      <c r="X125" s="559"/>
      <c r="Y125" s="559"/>
      <c r="Z125" s="559"/>
      <c r="AA125" s="559"/>
      <c r="AB125" s="559"/>
      <c r="AC125" s="559"/>
      <c r="AD125" s="559"/>
      <c r="AE125" s="559"/>
      <c r="AF125" s="559"/>
      <c r="AG125" s="559"/>
    </row>
    <row r="126" spans="1:33" ht="18" x14ac:dyDescent="0.35">
      <c r="A126" s="559"/>
      <c r="B126" s="584"/>
      <c r="C126" s="584"/>
      <c r="D126" s="631"/>
      <c r="E126" s="631"/>
      <c r="F126" s="631"/>
      <c r="G126" s="559"/>
      <c r="H126" s="559"/>
      <c r="I126" s="559"/>
      <c r="J126" s="559">
        <f t="shared" si="54"/>
        <v>0</v>
      </c>
      <c r="K126" s="559">
        <f t="shared" si="53"/>
        <v>0</v>
      </c>
      <c r="L126" s="71">
        <f>IF(E126=0,0,VLOOKUP(E126,'Prix Matiere'!$A$4:$J$65,10))</f>
        <v>0</v>
      </c>
      <c r="M126" s="625">
        <f t="shared" si="55"/>
        <v>0</v>
      </c>
      <c r="N126" s="626">
        <f t="shared" si="60"/>
        <v>0</v>
      </c>
      <c r="O126" s="625">
        <f t="shared" si="57"/>
        <v>0</v>
      </c>
      <c r="P126" s="559"/>
      <c r="Q126" s="627">
        <v>0</v>
      </c>
      <c r="R126" s="559"/>
      <c r="S126" s="559"/>
      <c r="T126" s="559"/>
      <c r="U126" s="559"/>
      <c r="V126" s="559"/>
      <c r="W126" s="559"/>
      <c r="X126" s="559"/>
      <c r="Y126" s="559"/>
      <c r="Z126" s="559"/>
      <c r="AA126" s="559"/>
      <c r="AB126" s="559"/>
      <c r="AC126" s="559"/>
      <c r="AD126" s="559"/>
      <c r="AE126" s="559"/>
      <c r="AF126" s="559"/>
      <c r="AG126" s="559"/>
    </row>
    <row r="127" spans="1:33" ht="18" x14ac:dyDescent="0.35">
      <c r="A127" s="559"/>
      <c r="B127" s="584"/>
      <c r="C127" s="584"/>
      <c r="D127" s="630"/>
      <c r="E127" s="630"/>
      <c r="F127" s="631"/>
      <c r="G127" s="559"/>
      <c r="H127" s="559"/>
      <c r="I127" s="559"/>
      <c r="J127" s="559">
        <f t="shared" si="54"/>
        <v>0</v>
      </c>
      <c r="K127" s="559">
        <f t="shared" si="53"/>
        <v>0</v>
      </c>
      <c r="L127" s="71">
        <f>IF(E127=0,0,VLOOKUP(E127,'Prix Matiere'!$A$4:$J$65,10))</f>
        <v>0</v>
      </c>
      <c r="M127" s="625">
        <f t="shared" si="55"/>
        <v>0</v>
      </c>
      <c r="N127" s="626">
        <f t="shared" si="60"/>
        <v>0</v>
      </c>
      <c r="O127" s="625">
        <f t="shared" si="57"/>
        <v>0</v>
      </c>
      <c r="P127" s="559"/>
      <c r="Q127" s="627">
        <v>0</v>
      </c>
      <c r="R127" s="559"/>
      <c r="S127" s="559"/>
      <c r="T127" s="559"/>
      <c r="U127" s="559"/>
      <c r="V127" s="559"/>
      <c r="W127" s="559"/>
      <c r="X127" s="559"/>
      <c r="Y127" s="559"/>
      <c r="Z127" s="559"/>
      <c r="AA127" s="559"/>
      <c r="AB127" s="559"/>
      <c r="AC127" s="559"/>
      <c r="AD127" s="559"/>
      <c r="AE127" s="559"/>
      <c r="AF127" s="559"/>
      <c r="AG127" s="559"/>
    </row>
    <row r="128" spans="1:33" ht="18" x14ac:dyDescent="0.35">
      <c r="A128" s="559"/>
      <c r="B128" s="584"/>
      <c r="C128" s="584"/>
      <c r="D128" s="630"/>
      <c r="E128" s="630"/>
      <c r="F128" s="631"/>
      <c r="G128" s="559"/>
      <c r="H128" s="559"/>
      <c r="I128" s="559"/>
      <c r="J128" s="559">
        <f t="shared" si="54"/>
        <v>0</v>
      </c>
      <c r="K128" s="559">
        <f t="shared" si="53"/>
        <v>0</v>
      </c>
      <c r="L128" s="71">
        <f>IF(E128=0,0,VLOOKUP(E128,'Prix Matiere'!$A$4:$J$65,10))</f>
        <v>0</v>
      </c>
      <c r="M128" s="625">
        <f t="shared" si="55"/>
        <v>0</v>
      </c>
      <c r="N128" s="626">
        <f t="shared" si="60"/>
        <v>0</v>
      </c>
      <c r="O128" s="625">
        <f t="shared" si="57"/>
        <v>0</v>
      </c>
      <c r="P128" s="559"/>
      <c r="Q128" s="627">
        <v>0</v>
      </c>
      <c r="R128" s="559"/>
      <c r="S128" s="559"/>
      <c r="T128" s="559"/>
      <c r="U128" s="559"/>
      <c r="V128" s="559"/>
      <c r="W128" s="559"/>
      <c r="X128" s="559"/>
      <c r="Y128" s="559"/>
      <c r="Z128" s="559"/>
      <c r="AA128" s="559"/>
      <c r="AB128" s="559"/>
      <c r="AC128" s="559"/>
      <c r="AD128" s="559"/>
      <c r="AE128" s="559"/>
      <c r="AF128" s="559"/>
      <c r="AG128" s="559"/>
    </row>
    <row r="129" spans="1:33" ht="18" x14ac:dyDescent="0.35">
      <c r="A129" s="559"/>
      <c r="B129" s="584"/>
      <c r="C129" s="584"/>
      <c r="D129" s="630"/>
      <c r="E129" s="630"/>
      <c r="F129" s="631"/>
      <c r="G129" s="559"/>
      <c r="H129" s="559"/>
      <c r="I129" s="559"/>
      <c r="J129" s="559">
        <f t="shared" si="54"/>
        <v>0</v>
      </c>
      <c r="K129" s="559">
        <f t="shared" si="53"/>
        <v>0</v>
      </c>
      <c r="L129" s="71">
        <f>IF(E129=0,0,VLOOKUP(E129,'Prix Matiere'!$A$4:$J$65,10))</f>
        <v>0</v>
      </c>
      <c r="M129" s="625">
        <f t="shared" si="55"/>
        <v>0</v>
      </c>
      <c r="N129" s="626">
        <f t="shared" si="60"/>
        <v>0</v>
      </c>
      <c r="O129" s="625">
        <f t="shared" si="57"/>
        <v>0</v>
      </c>
      <c r="P129" s="559"/>
      <c r="Q129" s="627">
        <v>0</v>
      </c>
      <c r="R129" s="559"/>
      <c r="S129" s="559"/>
      <c r="T129" s="559"/>
      <c r="U129" s="559"/>
      <c r="V129" s="559"/>
      <c r="W129" s="559"/>
      <c r="X129" s="559"/>
      <c r="Y129" s="559"/>
      <c r="Z129" s="559"/>
      <c r="AA129" s="559"/>
      <c r="AB129" s="559"/>
      <c r="AC129" s="559"/>
      <c r="AD129" s="559"/>
      <c r="AE129" s="559"/>
      <c r="AF129" s="559"/>
      <c r="AG129" s="559"/>
    </row>
    <row r="130" spans="1:33" ht="18" x14ac:dyDescent="0.35">
      <c r="A130" s="559"/>
      <c r="B130" s="579" t="s">
        <v>176</v>
      </c>
      <c r="C130" s="584" t="str">
        <f>'Objet 2 à 6'!plat1</f>
        <v>Aucun</v>
      </c>
      <c r="D130" s="630">
        <f>IF(C130="Aucun",0,'Objet 2 à 6'!Lnec1-0.3)</f>
        <v>0</v>
      </c>
      <c r="E130" s="630">
        <f>IF(C130="Aucun",0,'Objet 2 à 6'!lanec1-0.3)</f>
        <v>0</v>
      </c>
      <c r="F130" s="631">
        <f>IF(C130="Aucun",0,1)</f>
        <v>0</v>
      </c>
      <c r="G130" s="559"/>
      <c r="H130" s="559"/>
      <c r="I130" s="559"/>
      <c r="J130" s="559">
        <f t="shared" si="54"/>
        <v>0</v>
      </c>
      <c r="K130" s="559">
        <f t="shared" si="53"/>
        <v>0</v>
      </c>
      <c r="L130" s="71">
        <f>IF(E130=0,0,VLOOKUP(E130,'Prix Matiere'!$A$4:$J$65,10))</f>
        <v>0</v>
      </c>
      <c r="M130" s="625">
        <f t="shared" si="55"/>
        <v>0</v>
      </c>
      <c r="N130" s="626">
        <f t="shared" si="60"/>
        <v>0</v>
      </c>
      <c r="O130" s="625">
        <f t="shared" si="57"/>
        <v>0</v>
      </c>
      <c r="P130" s="559"/>
      <c r="Q130" s="627">
        <f>IF(J130=0,0,J130*VLOOKUP(C130,$A$274:$D$280,4))</f>
        <v>0</v>
      </c>
      <c r="R130" s="559"/>
      <c r="S130" s="559"/>
      <c r="T130" s="559"/>
      <c r="U130" s="559"/>
      <c r="V130" s="559"/>
      <c r="W130" s="559"/>
      <c r="X130" s="559"/>
      <c r="Y130" s="559"/>
      <c r="Z130" s="559"/>
      <c r="AA130" s="559"/>
      <c r="AB130" s="559"/>
      <c r="AC130" s="559"/>
      <c r="AD130" s="559"/>
      <c r="AE130" s="559"/>
      <c r="AF130" s="559"/>
      <c r="AG130" s="559"/>
    </row>
    <row r="131" spans="1:33" ht="18" x14ac:dyDescent="0.35">
      <c r="A131" s="559"/>
      <c r="B131" s="584"/>
      <c r="C131" s="584"/>
      <c r="D131" s="630"/>
      <c r="E131" s="630"/>
      <c r="F131" s="631"/>
      <c r="G131" s="559"/>
      <c r="H131" s="559"/>
      <c r="I131" s="559">
        <f>IF('Objet 2 à 6'!Lnec1=0,0,"Forfait rattrapage")</f>
        <v>0</v>
      </c>
      <c r="J131" s="559"/>
      <c r="K131" s="559"/>
      <c r="L131" s="71">
        <f>IF(E131=0,0,VLOOKUP(E131,'Prix Matiere'!$A$4:$J$65,10))</f>
        <v>0</v>
      </c>
      <c r="M131" s="625">
        <f>IF(I131="Forfait rattrapage",10,0)</f>
        <v>0</v>
      </c>
      <c r="N131" s="626">
        <f>IF(I131="Forfait rattrapage",12,0)</f>
        <v>0</v>
      </c>
      <c r="O131" s="625">
        <f t="shared" si="57"/>
        <v>0</v>
      </c>
      <c r="P131" s="559"/>
      <c r="Q131" s="627">
        <v>0</v>
      </c>
      <c r="R131" s="559"/>
      <c r="S131" s="559"/>
      <c r="T131" s="559"/>
      <c r="U131" s="559"/>
      <c r="V131" s="559"/>
      <c r="W131" s="559"/>
      <c r="X131" s="559"/>
      <c r="Y131" s="559"/>
      <c r="Z131" s="559"/>
      <c r="AA131" s="559"/>
      <c r="AB131" s="559"/>
      <c r="AC131" s="559"/>
      <c r="AD131" s="559"/>
      <c r="AE131" s="559"/>
      <c r="AF131" s="559"/>
      <c r="AG131" s="559"/>
    </row>
    <row r="132" spans="1:33" ht="18" x14ac:dyDescent="0.35">
      <c r="A132" s="559"/>
      <c r="B132" s="559"/>
      <c r="C132" s="559"/>
      <c r="D132" s="559"/>
      <c r="E132" s="559"/>
      <c r="F132" s="559"/>
      <c r="G132" s="559"/>
      <c r="H132" s="559"/>
      <c r="I132" s="559"/>
      <c r="J132" s="559">
        <f t="shared" ref="J132:J134" si="61">IF(C132=0,0,(C132/100)*(D132/100)*F132)</f>
        <v>0</v>
      </c>
      <c r="K132" s="559">
        <f t="shared" ref="K132:K146" si="62">J132/0.8</f>
        <v>0</v>
      </c>
      <c r="L132" s="71">
        <f>IF(E132=0,0,VLOOKUP(E132,'Prix Matiere'!$A$4:$J$65,10))</f>
        <v>0</v>
      </c>
      <c r="M132" s="625"/>
      <c r="N132" s="626"/>
      <c r="O132" s="625"/>
      <c r="P132" s="559"/>
      <c r="Q132" s="627">
        <v>0</v>
      </c>
      <c r="R132" s="559"/>
      <c r="S132" s="559"/>
      <c r="T132" s="559"/>
      <c r="U132" s="559"/>
      <c r="V132" s="559"/>
      <c r="W132" s="559"/>
      <c r="X132" s="559"/>
      <c r="Y132" s="559"/>
      <c r="Z132" s="559"/>
      <c r="AA132" s="559"/>
      <c r="AB132" s="559"/>
      <c r="AC132" s="559"/>
      <c r="AD132" s="559"/>
      <c r="AE132" s="559"/>
      <c r="AF132" s="559"/>
      <c r="AG132" s="559"/>
    </row>
    <row r="133" spans="1:33" ht="18" x14ac:dyDescent="0.35">
      <c r="A133" s="559"/>
      <c r="B133" s="560" t="s">
        <v>159</v>
      </c>
      <c r="C133" s="559"/>
      <c r="D133" s="559"/>
      <c r="E133" s="559"/>
      <c r="F133" s="559"/>
      <c r="G133" s="559"/>
      <c r="H133" s="559"/>
      <c r="I133" s="559"/>
      <c r="J133" s="559">
        <f t="shared" si="61"/>
        <v>0</v>
      </c>
      <c r="K133" s="559">
        <f t="shared" si="62"/>
        <v>0</v>
      </c>
      <c r="L133" s="71">
        <f>IF(E133=0,0,VLOOKUP(E133,'Prix Matiere'!$A$4:$J$65,10))</f>
        <v>0</v>
      </c>
      <c r="M133" s="625"/>
      <c r="N133" s="626"/>
      <c r="O133" s="625"/>
      <c r="P133" s="559"/>
      <c r="Q133" s="627">
        <v>0</v>
      </c>
      <c r="R133" s="559"/>
      <c r="S133" s="559"/>
      <c r="T133" s="559"/>
      <c r="U133" s="559"/>
      <c r="V133" s="559"/>
      <c r="W133" s="559"/>
      <c r="X133" s="559"/>
      <c r="Y133" s="559"/>
      <c r="Z133" s="559"/>
      <c r="AA133" s="559"/>
      <c r="AB133" s="559"/>
      <c r="AC133" s="559"/>
      <c r="AD133" s="559"/>
      <c r="AE133" s="559"/>
      <c r="AF133" s="559"/>
      <c r="AG133" s="559"/>
    </row>
    <row r="134" spans="1:33" ht="18" x14ac:dyDescent="0.35">
      <c r="A134" s="559"/>
      <c r="B134" s="629" t="str">
        <f>C34</f>
        <v>Aucun</v>
      </c>
      <c r="C134" s="622"/>
      <c r="D134" s="630" t="s">
        <v>28</v>
      </c>
      <c r="E134" s="630" t="s">
        <v>33</v>
      </c>
      <c r="F134" s="631" t="s">
        <v>34</v>
      </c>
      <c r="G134" s="559"/>
      <c r="H134" s="559"/>
      <c r="I134" s="559"/>
      <c r="J134" s="559">
        <f t="shared" si="61"/>
        <v>0</v>
      </c>
      <c r="K134" s="559">
        <f t="shared" si="62"/>
        <v>0</v>
      </c>
      <c r="L134" s="71"/>
      <c r="M134" s="625"/>
      <c r="N134" s="626"/>
      <c r="O134" s="625"/>
      <c r="P134" s="559"/>
      <c r="Q134" s="627">
        <v>0</v>
      </c>
      <c r="R134" s="559"/>
      <c r="S134" s="559"/>
      <c r="T134" s="559"/>
      <c r="U134" s="559"/>
      <c r="V134" s="559"/>
      <c r="W134" s="559"/>
      <c r="X134" s="559"/>
      <c r="Y134" s="559"/>
      <c r="Z134" s="559"/>
      <c r="AA134" s="559"/>
      <c r="AB134" s="559"/>
      <c r="AC134" s="559"/>
      <c r="AD134" s="559"/>
      <c r="AE134" s="559"/>
      <c r="AF134" s="559"/>
      <c r="AG134" s="559"/>
    </row>
    <row r="135" spans="1:33" ht="18" x14ac:dyDescent="0.35">
      <c r="A135" s="559"/>
      <c r="B135" s="622" t="s">
        <v>22</v>
      </c>
      <c r="C135" s="584">
        <f>VLOOKUP(B134,'Objet 2 à 6'!Moussecal2,2)</f>
        <v>0</v>
      </c>
      <c r="D135" s="631">
        <f>VLOOKUP(B134,'Objet 2 à 6'!Moussecal2,3)</f>
        <v>0</v>
      </c>
      <c r="E135" s="631">
        <f>VLOOKUP(B134,'Objet 2 à 6'!Moussecal2,4)</f>
        <v>0</v>
      </c>
      <c r="F135" s="631">
        <f>VLOOKUP(B134,'Objet 2 à 6'!Moussecal2,5)</f>
        <v>0</v>
      </c>
      <c r="G135" s="559">
        <f t="shared" ref="G135:G137" si="63">IF(C135=0,0,"Barres 21 R4F")</f>
        <v>0</v>
      </c>
      <c r="H135" s="559"/>
      <c r="I135" s="559"/>
      <c r="J135" s="559">
        <f t="shared" ref="J135:J146" si="64">IF(D135=0,0,(D135/100)*(E135/100)*F135)</f>
        <v>0</v>
      </c>
      <c r="K135" s="559">
        <f t="shared" si="62"/>
        <v>0</v>
      </c>
      <c r="L135" s="71">
        <f>IF(E135=0,0,VLOOKUP(E135,'Prix Matiere'!$A$4:$J$65,10))</f>
        <v>0</v>
      </c>
      <c r="M135" s="625">
        <f t="shared" ref="M135:M146" si="65">L135*K135</f>
        <v>0</v>
      </c>
      <c r="N135" s="626">
        <f t="shared" ref="N135:N137" si="66">IF(J135=0,0,2+(6*J135))</f>
        <v>0</v>
      </c>
      <c r="O135" s="625">
        <f t="shared" ref="O135:O147" si="67">N135*'Objet 2 à 6'!MinuteMO</f>
        <v>0</v>
      </c>
      <c r="P135" s="559"/>
      <c r="Q135" s="627">
        <v>0</v>
      </c>
      <c r="R135" s="559"/>
      <c r="S135" s="559"/>
      <c r="T135" s="559"/>
      <c r="U135" s="559"/>
      <c r="V135" s="559"/>
      <c r="W135" s="559"/>
      <c r="X135" s="559"/>
      <c r="Y135" s="559"/>
      <c r="Z135" s="559"/>
      <c r="AA135" s="559"/>
      <c r="AB135" s="559"/>
      <c r="AC135" s="559"/>
      <c r="AD135" s="559"/>
      <c r="AE135" s="559"/>
      <c r="AF135" s="559"/>
      <c r="AG135" s="559"/>
    </row>
    <row r="136" spans="1:33" ht="18" x14ac:dyDescent="0.35">
      <c r="A136" s="559"/>
      <c r="B136" s="622"/>
      <c r="C136" s="584">
        <f>VLOOKUP(B134,'Objet 2 à 6'!Moussecal2,6)</f>
        <v>0</v>
      </c>
      <c r="D136" s="631">
        <f>VLOOKUP(B134,'Objet 2 à 6'!Moussecal2,7)</f>
        <v>0</v>
      </c>
      <c r="E136" s="631">
        <f>VLOOKUP(B134,'Objet 2 à 6'!Moussecal2,8)</f>
        <v>0</v>
      </c>
      <c r="F136" s="631">
        <f>VLOOKUP(B134,'Objet 2 à 6'!Moussecal2,9)</f>
        <v>0</v>
      </c>
      <c r="G136" s="559">
        <f t="shared" si="63"/>
        <v>0</v>
      </c>
      <c r="H136" s="559"/>
      <c r="I136" s="559"/>
      <c r="J136" s="559">
        <f t="shared" si="64"/>
        <v>0</v>
      </c>
      <c r="K136" s="559">
        <f t="shared" si="62"/>
        <v>0</v>
      </c>
      <c r="L136" s="71">
        <f>IF(E136=0,0,VLOOKUP(E136,'Prix Matiere'!$A$4:$J$65,10))</f>
        <v>0</v>
      </c>
      <c r="M136" s="625">
        <f t="shared" si="65"/>
        <v>0</v>
      </c>
      <c r="N136" s="626">
        <f t="shared" si="66"/>
        <v>0</v>
      </c>
      <c r="O136" s="625">
        <f t="shared" si="67"/>
        <v>0</v>
      </c>
      <c r="P136" s="559"/>
      <c r="Q136" s="627">
        <v>0</v>
      </c>
      <c r="R136" s="559"/>
      <c r="S136" s="559"/>
      <c r="T136" s="559"/>
      <c r="U136" s="559"/>
      <c r="V136" s="559"/>
      <c r="W136" s="559"/>
      <c r="X136" s="559"/>
      <c r="Y136" s="559"/>
      <c r="Z136" s="559"/>
      <c r="AA136" s="559"/>
      <c r="AB136" s="559"/>
      <c r="AC136" s="559"/>
      <c r="AD136" s="559"/>
      <c r="AE136" s="559"/>
      <c r="AF136" s="559"/>
      <c r="AG136" s="559"/>
    </row>
    <row r="137" spans="1:33" ht="18" x14ac:dyDescent="0.35">
      <c r="A137" s="559"/>
      <c r="B137" s="622"/>
      <c r="C137" s="584">
        <f>VLOOKUP(B134,'Objet 2 à 6'!Moussecal2,10)</f>
        <v>0</v>
      </c>
      <c r="D137" s="631">
        <f>VLOOKUP(B134,'Objet 2 à 6'!Moussecal2,11)</f>
        <v>0</v>
      </c>
      <c r="E137" s="631">
        <f>VLOOKUP(B134,'Objet 2 à 6'!Moussecal2,12)</f>
        <v>0</v>
      </c>
      <c r="F137" s="631">
        <f>VLOOKUP(B134,'Objet 2 à 6'!Moussecal2,13)</f>
        <v>0</v>
      </c>
      <c r="G137" s="559">
        <f t="shared" si="63"/>
        <v>0</v>
      </c>
      <c r="H137" s="559"/>
      <c r="I137" s="559"/>
      <c r="J137" s="559">
        <f t="shared" si="64"/>
        <v>0</v>
      </c>
      <c r="K137" s="559">
        <f t="shared" si="62"/>
        <v>0</v>
      </c>
      <c r="L137" s="71">
        <f>IF(E137=0,0,VLOOKUP(E137,'Prix Matiere'!$A$4:$J$65,10))</f>
        <v>0</v>
      </c>
      <c r="M137" s="625">
        <f t="shared" si="65"/>
        <v>0</v>
      </c>
      <c r="N137" s="626">
        <f t="shared" si="66"/>
        <v>0</v>
      </c>
      <c r="O137" s="625">
        <f t="shared" si="67"/>
        <v>0</v>
      </c>
      <c r="P137" s="559"/>
      <c r="Q137" s="627">
        <v>0</v>
      </c>
      <c r="R137" s="559"/>
      <c r="S137" s="559"/>
      <c r="T137" s="559"/>
      <c r="U137" s="559"/>
      <c r="V137" s="559"/>
      <c r="W137" s="559"/>
      <c r="X137" s="559"/>
      <c r="Y137" s="559"/>
      <c r="Z137" s="559"/>
      <c r="AA137" s="559"/>
      <c r="AB137" s="559"/>
      <c r="AC137" s="559"/>
      <c r="AD137" s="559"/>
      <c r="AE137" s="559"/>
      <c r="AF137" s="559"/>
      <c r="AG137" s="559"/>
    </row>
    <row r="138" spans="1:33" ht="18" x14ac:dyDescent="0.35">
      <c r="A138" s="559"/>
      <c r="B138" s="622" t="s">
        <v>80</v>
      </c>
      <c r="C138" s="584">
        <f>VLOOKUP(B134,'Objet 2 à 6'!Moussecal2,14)</f>
        <v>0</v>
      </c>
      <c r="D138" s="631">
        <f>VLOOKUP(B134,'Objet 2 à 6'!Moussecal2,15)</f>
        <v>0</v>
      </c>
      <c r="E138" s="631">
        <f>VLOOKUP(B134,'Objet 2 à 6'!Moussecal2,16)</f>
        <v>0</v>
      </c>
      <c r="F138" s="631">
        <f>VLOOKUP(B134,'Objet 2 à 6'!Moussecal2,17)</f>
        <v>0</v>
      </c>
      <c r="G138" s="559">
        <f t="shared" ref="G138:G141" si="68">C138</f>
        <v>0</v>
      </c>
      <c r="H138" s="559"/>
      <c r="I138" s="559"/>
      <c r="J138" s="559">
        <f t="shared" si="64"/>
        <v>0</v>
      </c>
      <c r="K138" s="559">
        <f t="shared" si="62"/>
        <v>0</v>
      </c>
      <c r="L138" s="71">
        <f>IF(E138=0,0,VLOOKUP(E138,'Prix Matiere'!$A$4:$J$65,10))</f>
        <v>0</v>
      </c>
      <c r="M138" s="625">
        <f t="shared" si="65"/>
        <v>0</v>
      </c>
      <c r="N138" s="626">
        <f t="shared" ref="N138:N146" si="69">IF(J138=0,0,4.7283*J138+2)</f>
        <v>0</v>
      </c>
      <c r="O138" s="625">
        <f t="shared" si="67"/>
        <v>0</v>
      </c>
      <c r="P138" s="559"/>
      <c r="Q138" s="627">
        <v>0</v>
      </c>
      <c r="R138" s="559"/>
      <c r="S138" s="559"/>
      <c r="T138" s="559"/>
      <c r="U138" s="559"/>
      <c r="V138" s="559"/>
      <c r="W138" s="559"/>
      <c r="X138" s="559"/>
      <c r="Y138" s="559"/>
      <c r="Z138" s="559"/>
      <c r="AA138" s="559"/>
      <c r="AB138" s="559"/>
      <c r="AC138" s="559"/>
      <c r="AD138" s="559"/>
      <c r="AE138" s="559"/>
      <c r="AF138" s="559"/>
      <c r="AG138" s="559"/>
    </row>
    <row r="139" spans="1:33" ht="18" x14ac:dyDescent="0.35">
      <c r="A139" s="559"/>
      <c r="B139" s="622"/>
      <c r="C139" s="584">
        <f>VLOOKUP(B134,'Objet 2 à 6'!Moussecal2,18)</f>
        <v>0</v>
      </c>
      <c r="D139" s="631">
        <f>VLOOKUP(B134,'Objet 2 à 6'!Moussecal2,19)</f>
        <v>0</v>
      </c>
      <c r="E139" s="631">
        <f>VLOOKUP(B134,'Objet 2 à 6'!Moussecal2,20)</f>
        <v>0</v>
      </c>
      <c r="F139" s="631">
        <f>VLOOKUP(B134,'Objet 2 à 6'!Moussecal2,21)</f>
        <v>0</v>
      </c>
      <c r="G139" s="559">
        <f t="shared" si="68"/>
        <v>0</v>
      </c>
      <c r="H139" s="559"/>
      <c r="I139" s="559"/>
      <c r="J139" s="559">
        <f t="shared" si="64"/>
        <v>0</v>
      </c>
      <c r="K139" s="559">
        <f t="shared" si="62"/>
        <v>0</v>
      </c>
      <c r="L139" s="71">
        <f>IF(E139=0,0,VLOOKUP(E139,'Prix Matiere'!$A$4:$J$65,10))</f>
        <v>0</v>
      </c>
      <c r="M139" s="625">
        <f t="shared" si="65"/>
        <v>0</v>
      </c>
      <c r="N139" s="626">
        <f t="shared" si="69"/>
        <v>0</v>
      </c>
      <c r="O139" s="625">
        <f t="shared" si="67"/>
        <v>0</v>
      </c>
      <c r="P139" s="559"/>
      <c r="Q139" s="627">
        <v>0</v>
      </c>
      <c r="R139" s="559"/>
      <c r="S139" s="559"/>
      <c r="T139" s="559"/>
      <c r="U139" s="559"/>
      <c r="V139" s="559"/>
      <c r="W139" s="559"/>
      <c r="X139" s="559"/>
      <c r="Y139" s="559"/>
      <c r="Z139" s="559"/>
      <c r="AA139" s="559"/>
      <c r="AB139" s="559"/>
      <c r="AC139" s="559"/>
      <c r="AD139" s="559"/>
      <c r="AE139" s="559"/>
      <c r="AF139" s="559"/>
      <c r="AG139" s="559"/>
    </row>
    <row r="140" spans="1:33" ht="18" x14ac:dyDescent="0.35">
      <c r="A140" s="559"/>
      <c r="B140" s="622"/>
      <c r="C140" s="584">
        <f>VLOOKUP(B134,'Objet 2 à 6'!Moussecal2,28)</f>
        <v>0</v>
      </c>
      <c r="D140" s="631">
        <f>VLOOKUP(B134,'Objet 2 à 6'!Moussecal2,29)</f>
        <v>0</v>
      </c>
      <c r="E140" s="631">
        <f>VLOOKUP(B134,'Objet 2 à 6'!Moussecal2,30)</f>
        <v>0</v>
      </c>
      <c r="F140" s="631">
        <f>VLOOKUP(B134,'Objet 2 à 6'!Moussecal2,31)</f>
        <v>0</v>
      </c>
      <c r="G140" s="559">
        <f t="shared" si="68"/>
        <v>0</v>
      </c>
      <c r="H140" s="559"/>
      <c r="I140" s="559"/>
      <c r="J140" s="559">
        <f t="shared" si="64"/>
        <v>0</v>
      </c>
      <c r="K140" s="559">
        <f t="shared" si="62"/>
        <v>0</v>
      </c>
      <c r="L140" s="71">
        <f>IF(E140=0,0,VLOOKUP(E140,'Prix Matiere'!$A$4:$J$65,10))</f>
        <v>0</v>
      </c>
      <c r="M140" s="625">
        <f t="shared" si="65"/>
        <v>0</v>
      </c>
      <c r="N140" s="626">
        <f t="shared" si="69"/>
        <v>0</v>
      </c>
      <c r="O140" s="625">
        <f t="shared" si="67"/>
        <v>0</v>
      </c>
      <c r="P140" s="559"/>
      <c r="Q140" s="627">
        <v>0</v>
      </c>
      <c r="R140" s="559"/>
      <c r="S140" s="559"/>
      <c r="T140" s="559"/>
      <c r="U140" s="559"/>
      <c r="V140" s="559"/>
      <c r="W140" s="559"/>
      <c r="X140" s="559"/>
      <c r="Y140" s="559"/>
      <c r="Z140" s="559"/>
      <c r="AA140" s="559"/>
      <c r="AB140" s="559"/>
      <c r="AC140" s="559"/>
      <c r="AD140" s="559"/>
      <c r="AE140" s="559"/>
      <c r="AF140" s="559"/>
      <c r="AG140" s="559"/>
    </row>
    <row r="141" spans="1:33" ht="18" x14ac:dyDescent="0.35">
      <c r="A141" s="559"/>
      <c r="B141" s="584"/>
      <c r="C141" s="584">
        <f>VLOOKUP(B134,'Objet 2 à 6'!Moussecal2,22)</f>
        <v>0</v>
      </c>
      <c r="D141" s="631">
        <f>VLOOKUP(B134,'Objet 2 à 6'!Moussecal2,25)</f>
        <v>0</v>
      </c>
      <c r="E141" s="631">
        <f>VLOOKUP(B134,'Objet 2 à 6'!Moussecal2,26)</f>
        <v>0</v>
      </c>
      <c r="F141" s="631">
        <f>IF(D141=0,0,1)</f>
        <v>0</v>
      </c>
      <c r="G141" s="559">
        <f t="shared" si="68"/>
        <v>0</v>
      </c>
      <c r="H141" s="559"/>
      <c r="I141" s="559"/>
      <c r="J141" s="559">
        <f t="shared" si="64"/>
        <v>0</v>
      </c>
      <c r="K141" s="559">
        <f t="shared" si="62"/>
        <v>0</v>
      </c>
      <c r="L141" s="71">
        <f>IF(E141=0,0,VLOOKUP(E141,'Prix Matiere'!$A$4:$J$65,10))</f>
        <v>0</v>
      </c>
      <c r="M141" s="625">
        <f t="shared" si="65"/>
        <v>0</v>
      </c>
      <c r="N141" s="626">
        <f t="shared" si="69"/>
        <v>0</v>
      </c>
      <c r="O141" s="625">
        <f t="shared" si="67"/>
        <v>0</v>
      </c>
      <c r="P141" s="559"/>
      <c r="Q141" s="627">
        <v>0</v>
      </c>
      <c r="R141" s="559"/>
      <c r="S141" s="559"/>
      <c r="T141" s="559"/>
      <c r="U141" s="559"/>
      <c r="V141" s="559"/>
      <c r="W141" s="559"/>
      <c r="X141" s="559"/>
      <c r="Y141" s="559"/>
      <c r="Z141" s="559"/>
      <c r="AA141" s="559"/>
      <c r="AB141" s="559"/>
      <c r="AC141" s="559"/>
      <c r="AD141" s="559"/>
      <c r="AE141" s="559"/>
      <c r="AF141" s="559"/>
      <c r="AG141" s="559"/>
    </row>
    <row r="142" spans="1:33" ht="18" x14ac:dyDescent="0.35">
      <c r="A142" s="559"/>
      <c r="B142" s="584"/>
      <c r="C142" s="584"/>
      <c r="D142" s="631"/>
      <c r="E142" s="631"/>
      <c r="F142" s="631"/>
      <c r="G142" s="559"/>
      <c r="H142" s="559"/>
      <c r="I142" s="559"/>
      <c r="J142" s="559">
        <f t="shared" si="64"/>
        <v>0</v>
      </c>
      <c r="K142" s="559">
        <f t="shared" si="62"/>
        <v>0</v>
      </c>
      <c r="L142" s="71">
        <f>IF(E142=0,0,VLOOKUP(E142,'Prix Matiere'!$A$4:$J$65,10))</f>
        <v>0</v>
      </c>
      <c r="M142" s="625">
        <f t="shared" si="65"/>
        <v>0</v>
      </c>
      <c r="N142" s="626">
        <f t="shared" si="69"/>
        <v>0</v>
      </c>
      <c r="O142" s="625">
        <f t="shared" si="67"/>
        <v>0</v>
      </c>
      <c r="P142" s="559"/>
      <c r="Q142" s="627">
        <v>0</v>
      </c>
      <c r="R142" s="559"/>
      <c r="S142" s="559"/>
      <c r="T142" s="559"/>
      <c r="U142" s="559"/>
      <c r="V142" s="559"/>
      <c r="W142" s="559"/>
      <c r="X142" s="559"/>
      <c r="Y142" s="559"/>
      <c r="Z142" s="559"/>
      <c r="AA142" s="559"/>
      <c r="AB142" s="559"/>
      <c r="AC142" s="559"/>
      <c r="AD142" s="559"/>
      <c r="AE142" s="559"/>
      <c r="AF142" s="559"/>
      <c r="AG142" s="559"/>
    </row>
    <row r="143" spans="1:33" ht="18" x14ac:dyDescent="0.35">
      <c r="A143" s="559"/>
      <c r="B143" s="584"/>
      <c r="C143" s="584"/>
      <c r="D143" s="630"/>
      <c r="E143" s="630"/>
      <c r="F143" s="631"/>
      <c r="G143" s="559"/>
      <c r="H143" s="559"/>
      <c r="I143" s="559"/>
      <c r="J143" s="559">
        <f t="shared" si="64"/>
        <v>0</v>
      </c>
      <c r="K143" s="559">
        <f t="shared" si="62"/>
        <v>0</v>
      </c>
      <c r="L143" s="71">
        <f>IF(E143=0,0,VLOOKUP(E143,'Prix Matiere'!$A$4:$J$65,10))</f>
        <v>0</v>
      </c>
      <c r="M143" s="625">
        <f t="shared" si="65"/>
        <v>0</v>
      </c>
      <c r="N143" s="626">
        <f t="shared" si="69"/>
        <v>0</v>
      </c>
      <c r="O143" s="625">
        <f t="shared" si="67"/>
        <v>0</v>
      </c>
      <c r="P143" s="559"/>
      <c r="Q143" s="627">
        <v>0</v>
      </c>
      <c r="R143" s="559"/>
      <c r="S143" s="559"/>
      <c r="T143" s="559"/>
      <c r="U143" s="559"/>
      <c r="V143" s="559"/>
      <c r="W143" s="559"/>
      <c r="X143" s="559"/>
      <c r="Y143" s="559"/>
      <c r="Z143" s="559"/>
      <c r="AA143" s="559"/>
      <c r="AB143" s="559"/>
      <c r="AC143" s="559"/>
      <c r="AD143" s="559"/>
      <c r="AE143" s="559"/>
      <c r="AF143" s="559"/>
      <c r="AG143" s="559"/>
    </row>
    <row r="144" spans="1:33" ht="18" x14ac:dyDescent="0.35">
      <c r="A144" s="559"/>
      <c r="B144" s="584"/>
      <c r="C144" s="584"/>
      <c r="D144" s="630"/>
      <c r="E144" s="630"/>
      <c r="F144" s="631"/>
      <c r="G144" s="559"/>
      <c r="H144" s="559"/>
      <c r="I144" s="559"/>
      <c r="J144" s="559">
        <f t="shared" si="64"/>
        <v>0</v>
      </c>
      <c r="K144" s="559">
        <f t="shared" si="62"/>
        <v>0</v>
      </c>
      <c r="L144" s="71">
        <f>IF(E144=0,0,VLOOKUP(E144,'Prix Matiere'!$A$4:$J$65,10))</f>
        <v>0</v>
      </c>
      <c r="M144" s="625">
        <f t="shared" si="65"/>
        <v>0</v>
      </c>
      <c r="N144" s="626">
        <f t="shared" si="69"/>
        <v>0</v>
      </c>
      <c r="O144" s="625">
        <f t="shared" si="67"/>
        <v>0</v>
      </c>
      <c r="P144" s="559"/>
      <c r="Q144" s="627">
        <v>0</v>
      </c>
      <c r="R144" s="559"/>
      <c r="S144" s="559"/>
      <c r="T144" s="559"/>
      <c r="U144" s="559"/>
      <c r="V144" s="559"/>
      <c r="W144" s="559"/>
      <c r="X144" s="559"/>
      <c r="Y144" s="559"/>
      <c r="Z144" s="559"/>
      <c r="AA144" s="559"/>
      <c r="AB144" s="559"/>
      <c r="AC144" s="559"/>
      <c r="AD144" s="559"/>
      <c r="AE144" s="559"/>
      <c r="AF144" s="559"/>
      <c r="AG144" s="559"/>
    </row>
    <row r="145" spans="1:33" ht="18" x14ac:dyDescent="0.35">
      <c r="A145" s="559"/>
      <c r="B145" s="584"/>
      <c r="C145" s="584"/>
      <c r="D145" s="630"/>
      <c r="E145" s="630"/>
      <c r="F145" s="631"/>
      <c r="G145" s="559"/>
      <c r="H145" s="559"/>
      <c r="I145" s="559"/>
      <c r="J145" s="559">
        <f t="shared" si="64"/>
        <v>0</v>
      </c>
      <c r="K145" s="559">
        <f t="shared" si="62"/>
        <v>0</v>
      </c>
      <c r="L145" s="71">
        <f>IF(E145=0,0,VLOOKUP(E145,'Prix Matiere'!$A$4:$J$65,10))</f>
        <v>0</v>
      </c>
      <c r="M145" s="625">
        <f t="shared" si="65"/>
        <v>0</v>
      </c>
      <c r="N145" s="626">
        <f t="shared" si="69"/>
        <v>0</v>
      </c>
      <c r="O145" s="625">
        <f t="shared" si="67"/>
        <v>0</v>
      </c>
      <c r="P145" s="559"/>
      <c r="Q145" s="627">
        <v>0</v>
      </c>
      <c r="R145" s="559"/>
      <c r="S145" s="559"/>
      <c r="T145" s="559"/>
      <c r="U145" s="559"/>
      <c r="V145" s="559"/>
      <c r="W145" s="559"/>
      <c r="X145" s="559"/>
      <c r="Y145" s="559"/>
      <c r="Z145" s="559"/>
      <c r="AA145" s="559"/>
      <c r="AB145" s="559"/>
      <c r="AC145" s="559"/>
      <c r="AD145" s="559"/>
      <c r="AE145" s="559"/>
      <c r="AF145" s="559"/>
      <c r="AG145" s="559"/>
    </row>
    <row r="146" spans="1:33" ht="18" x14ac:dyDescent="0.35">
      <c r="A146" s="559"/>
      <c r="B146" s="579" t="s">
        <v>176</v>
      </c>
      <c r="C146" s="584" t="str">
        <f>'Objet 2 à 6'!plat2</f>
        <v>Aucun</v>
      </c>
      <c r="D146" s="630">
        <f>IF(C146="Aucun",0,'Objet 2 à 6'!Lnec2-0.3)</f>
        <v>0</v>
      </c>
      <c r="E146" s="630">
        <f>IF(C146="Aucun",0,'Objet 2 à 6'!lanec2-0.3)</f>
        <v>0</v>
      </c>
      <c r="F146" s="631">
        <f>IF(C146="Aucun",0,1)</f>
        <v>0</v>
      </c>
      <c r="G146" s="559"/>
      <c r="H146" s="559"/>
      <c r="I146" s="559"/>
      <c r="J146" s="559">
        <f t="shared" si="64"/>
        <v>0</v>
      </c>
      <c r="K146" s="559">
        <f t="shared" si="62"/>
        <v>0</v>
      </c>
      <c r="L146" s="71">
        <f>IF(E146=0,0,VLOOKUP(E146,'Prix Matiere'!$A$4:$J$65,10))</f>
        <v>0</v>
      </c>
      <c r="M146" s="625">
        <f t="shared" si="65"/>
        <v>0</v>
      </c>
      <c r="N146" s="626">
        <f t="shared" si="69"/>
        <v>0</v>
      </c>
      <c r="O146" s="625">
        <f t="shared" si="67"/>
        <v>0</v>
      </c>
      <c r="P146" s="559"/>
      <c r="Q146" s="627">
        <f>IF(J146=0,0,J146*VLOOKUP(C146,$A$274:$D$280,4))</f>
        <v>0</v>
      </c>
      <c r="R146" s="559"/>
      <c r="S146" s="559"/>
      <c r="T146" s="559"/>
      <c r="U146" s="559"/>
      <c r="V146" s="559"/>
      <c r="W146" s="559"/>
      <c r="X146" s="559"/>
      <c r="Y146" s="559"/>
      <c r="Z146" s="559"/>
      <c r="AA146" s="559"/>
      <c r="AB146" s="559"/>
      <c r="AC146" s="559"/>
      <c r="AD146" s="559"/>
      <c r="AE146" s="559"/>
      <c r="AF146" s="559"/>
      <c r="AG146" s="559"/>
    </row>
    <row r="147" spans="1:33" ht="18" x14ac:dyDescent="0.35">
      <c r="A147" s="559"/>
      <c r="B147" s="584"/>
      <c r="C147" s="584"/>
      <c r="D147" s="630"/>
      <c r="E147" s="630"/>
      <c r="F147" s="631"/>
      <c r="G147" s="559"/>
      <c r="H147" s="559"/>
      <c r="I147" s="559">
        <f>IF('Objet 2 à 6'!Lnec2=0,0,"Forfait rattrapage")</f>
        <v>0</v>
      </c>
      <c r="J147" s="559"/>
      <c r="K147" s="559"/>
      <c r="L147" s="71">
        <f>IF(E147=0,0,VLOOKUP(E147,'Prix Matiere'!$A$4:$J$65,10))</f>
        <v>0</v>
      </c>
      <c r="M147" s="625">
        <f>IF(I147="Forfait rattrapage",10,0)</f>
        <v>0</v>
      </c>
      <c r="N147" s="626">
        <f>IF(I147="Forfait rattrapage",12,0)</f>
        <v>0</v>
      </c>
      <c r="O147" s="625">
        <f t="shared" si="67"/>
        <v>0</v>
      </c>
      <c r="P147" s="559"/>
      <c r="Q147" s="627">
        <v>0</v>
      </c>
      <c r="R147" s="559"/>
      <c r="S147" s="559"/>
      <c r="T147" s="559"/>
      <c r="U147" s="559"/>
      <c r="V147" s="559"/>
      <c r="W147" s="559"/>
      <c r="X147" s="559"/>
      <c r="Y147" s="559"/>
      <c r="Z147" s="559"/>
      <c r="AA147" s="559"/>
      <c r="AB147" s="559"/>
      <c r="AC147" s="559"/>
      <c r="AD147" s="559"/>
      <c r="AE147" s="559"/>
      <c r="AF147" s="559"/>
      <c r="AG147" s="559"/>
    </row>
    <row r="148" spans="1:33" ht="18" x14ac:dyDescent="0.35">
      <c r="A148" s="559"/>
      <c r="B148" s="559"/>
      <c r="C148" s="559"/>
      <c r="D148" s="559"/>
      <c r="E148" s="559"/>
      <c r="F148" s="559"/>
      <c r="G148" s="559"/>
      <c r="H148" s="559"/>
      <c r="I148" s="559"/>
      <c r="J148" s="559">
        <f t="shared" ref="J148:J150" si="70">IF(C148=0,0,(C148/100)*(D148/100)*F148)</f>
        <v>0</v>
      </c>
      <c r="K148" s="559">
        <f t="shared" ref="K148:K162" si="71">J148/0.8</f>
        <v>0</v>
      </c>
      <c r="L148" s="71">
        <f>IF(E148=0,0,VLOOKUP(E148,'Prix Matiere'!$A$4:$J$65,10))</f>
        <v>0</v>
      </c>
      <c r="M148" s="625"/>
      <c r="N148" s="626"/>
      <c r="O148" s="625"/>
      <c r="P148" s="559"/>
      <c r="Q148" s="627">
        <v>0</v>
      </c>
      <c r="R148" s="559"/>
      <c r="S148" s="559"/>
      <c r="T148" s="559"/>
      <c r="U148" s="559"/>
      <c r="V148" s="559"/>
      <c r="W148" s="559"/>
      <c r="X148" s="559"/>
      <c r="Y148" s="559"/>
      <c r="Z148" s="559"/>
      <c r="AA148" s="559"/>
      <c r="AB148" s="559"/>
      <c r="AC148" s="559"/>
      <c r="AD148" s="559"/>
      <c r="AE148" s="559"/>
      <c r="AF148" s="559"/>
      <c r="AG148" s="559"/>
    </row>
    <row r="149" spans="1:33" ht="18" x14ac:dyDescent="0.35">
      <c r="A149" s="559"/>
      <c r="B149" s="560" t="s">
        <v>161</v>
      </c>
      <c r="C149" s="559"/>
      <c r="D149" s="559"/>
      <c r="E149" s="559"/>
      <c r="F149" s="559"/>
      <c r="G149" s="559"/>
      <c r="H149" s="559"/>
      <c r="I149" s="559"/>
      <c r="J149" s="559">
        <f t="shared" si="70"/>
        <v>0</v>
      </c>
      <c r="K149" s="559">
        <f t="shared" si="71"/>
        <v>0</v>
      </c>
      <c r="L149" s="71">
        <f>IF(E149=0,0,VLOOKUP(E149,'Prix Matiere'!$A$4:$J$65,10))</f>
        <v>0</v>
      </c>
      <c r="M149" s="625"/>
      <c r="N149" s="626"/>
      <c r="O149" s="625"/>
      <c r="P149" s="559"/>
      <c r="Q149" s="627">
        <v>0</v>
      </c>
      <c r="R149" s="559"/>
      <c r="S149" s="559"/>
      <c r="T149" s="559"/>
      <c r="U149" s="559"/>
      <c r="V149" s="559"/>
      <c r="W149" s="559"/>
      <c r="X149" s="559"/>
      <c r="Y149" s="559"/>
      <c r="Z149" s="559"/>
      <c r="AA149" s="559"/>
      <c r="AB149" s="559"/>
      <c r="AC149" s="559"/>
      <c r="AD149" s="559"/>
      <c r="AE149" s="559"/>
      <c r="AF149" s="559"/>
      <c r="AG149" s="559"/>
    </row>
    <row r="150" spans="1:33" ht="18" x14ac:dyDescent="0.35">
      <c r="A150" s="559"/>
      <c r="B150" s="629" t="str">
        <f>C41</f>
        <v>Aucun</v>
      </c>
      <c r="C150" s="622"/>
      <c r="D150" s="630" t="s">
        <v>28</v>
      </c>
      <c r="E150" s="630" t="s">
        <v>33</v>
      </c>
      <c r="F150" s="631" t="s">
        <v>34</v>
      </c>
      <c r="G150" s="559"/>
      <c r="H150" s="559"/>
      <c r="I150" s="559"/>
      <c r="J150" s="559">
        <f t="shared" si="70"/>
        <v>0</v>
      </c>
      <c r="K150" s="559">
        <f t="shared" si="71"/>
        <v>0</v>
      </c>
      <c r="L150" s="71"/>
      <c r="M150" s="625"/>
      <c r="N150" s="626"/>
      <c r="O150" s="625"/>
      <c r="P150" s="559"/>
      <c r="Q150" s="627">
        <v>0</v>
      </c>
      <c r="R150" s="559"/>
      <c r="S150" s="559"/>
      <c r="T150" s="559"/>
      <c r="U150" s="559"/>
      <c r="V150" s="559"/>
      <c r="W150" s="559"/>
      <c r="X150" s="559"/>
      <c r="Y150" s="559"/>
      <c r="Z150" s="559"/>
      <c r="AA150" s="559"/>
      <c r="AB150" s="559"/>
      <c r="AC150" s="559"/>
      <c r="AD150" s="559"/>
      <c r="AE150" s="559"/>
      <c r="AF150" s="559"/>
      <c r="AG150" s="559"/>
    </row>
    <row r="151" spans="1:33" ht="18" x14ac:dyDescent="0.35">
      <c r="A151" s="559"/>
      <c r="B151" s="622" t="s">
        <v>22</v>
      </c>
      <c r="C151" s="584">
        <f>VLOOKUP(B150,'Objet 2 à 6'!Moussecal3,2)</f>
        <v>0</v>
      </c>
      <c r="D151" s="631">
        <f>VLOOKUP(B150,'Objet 2 à 6'!Moussecal3,3)</f>
        <v>0</v>
      </c>
      <c r="E151" s="631">
        <f>VLOOKUP(B150,'Objet 2 à 6'!Moussecal3,4)</f>
        <v>0</v>
      </c>
      <c r="F151" s="631">
        <f>VLOOKUP(B150,'Objet 2 à 6'!Moussecal3,5)</f>
        <v>0</v>
      </c>
      <c r="G151" s="559">
        <f>IF(F151=0,0,"Barres 21 R4F")</f>
        <v>0</v>
      </c>
      <c r="H151" s="559"/>
      <c r="I151" s="559"/>
      <c r="J151" s="559">
        <f t="shared" ref="J151:J162" si="72">IF(D151=0,0,(D151/100)*(E151/100)*F151)</f>
        <v>0</v>
      </c>
      <c r="K151" s="559">
        <f t="shared" si="71"/>
        <v>0</v>
      </c>
      <c r="L151" s="71">
        <f>IF(E151=0,0,VLOOKUP(E151,'Prix Matiere'!$A$4:$J$65,10))</f>
        <v>0</v>
      </c>
      <c r="M151" s="625">
        <f t="shared" ref="M151:M162" si="73">L151*K151</f>
        <v>0</v>
      </c>
      <c r="N151" s="626">
        <f t="shared" ref="N151:N153" si="74">IF(J151=0,0,2+(6*J151))</f>
        <v>0</v>
      </c>
      <c r="O151" s="625">
        <f t="shared" ref="O151:O163" si="75">N151*'Objet 2 à 6'!MinuteMO</f>
        <v>0</v>
      </c>
      <c r="P151" s="559"/>
      <c r="Q151" s="627">
        <v>0</v>
      </c>
      <c r="R151" s="559"/>
      <c r="S151" s="559"/>
      <c r="T151" s="559"/>
      <c r="U151" s="559"/>
      <c r="V151" s="559"/>
      <c r="W151" s="559"/>
      <c r="X151" s="559"/>
      <c r="Y151" s="559"/>
      <c r="Z151" s="559"/>
      <c r="AA151" s="559"/>
      <c r="AB151" s="559"/>
      <c r="AC151" s="559"/>
      <c r="AD151" s="559"/>
      <c r="AE151" s="559"/>
      <c r="AF151" s="559"/>
      <c r="AG151" s="559"/>
    </row>
    <row r="152" spans="1:33" ht="18" x14ac:dyDescent="0.35">
      <c r="A152" s="559"/>
      <c r="B152" s="622"/>
      <c r="C152" s="584">
        <f>VLOOKUP(B150,'Objet 2 à 6'!Moussecal3,6)</f>
        <v>0</v>
      </c>
      <c r="D152" s="631">
        <f>VLOOKUP(B150,'Objet 2 à 6'!Moussecal3,7)</f>
        <v>0</v>
      </c>
      <c r="E152" s="631">
        <f>VLOOKUP(B150,'Objet 2 à 6'!Moussecal3,8)</f>
        <v>0</v>
      </c>
      <c r="F152" s="631">
        <f>VLOOKUP(B150,'Objet 2 à 6'!Moussecal3,9)</f>
        <v>0</v>
      </c>
      <c r="G152" s="559">
        <f t="shared" ref="G152:G153" si="76">IF(C152=0,0,"Barres 21 R4F")</f>
        <v>0</v>
      </c>
      <c r="H152" s="559"/>
      <c r="I152" s="559"/>
      <c r="J152" s="559">
        <f t="shared" si="72"/>
        <v>0</v>
      </c>
      <c r="K152" s="559">
        <f t="shared" si="71"/>
        <v>0</v>
      </c>
      <c r="L152" s="71">
        <f>IF(E152=0,0,VLOOKUP(E152,'Prix Matiere'!$A$4:$J$65,10))</f>
        <v>0</v>
      </c>
      <c r="M152" s="625">
        <f t="shared" si="73"/>
        <v>0</v>
      </c>
      <c r="N152" s="626">
        <f t="shared" si="74"/>
        <v>0</v>
      </c>
      <c r="O152" s="625">
        <f t="shared" si="75"/>
        <v>0</v>
      </c>
      <c r="P152" s="559"/>
      <c r="Q152" s="627">
        <v>0</v>
      </c>
      <c r="R152" s="559"/>
      <c r="S152" s="559"/>
      <c r="T152" s="559"/>
      <c r="U152" s="559"/>
      <c r="V152" s="559"/>
      <c r="W152" s="559"/>
      <c r="X152" s="559"/>
      <c r="Y152" s="559"/>
      <c r="Z152" s="559"/>
      <c r="AA152" s="559"/>
      <c r="AB152" s="559"/>
      <c r="AC152" s="559"/>
      <c r="AD152" s="559"/>
      <c r="AE152" s="559"/>
      <c r="AF152" s="559"/>
      <c r="AG152" s="559"/>
    </row>
    <row r="153" spans="1:33" ht="18" x14ac:dyDescent="0.35">
      <c r="A153" s="559"/>
      <c r="B153" s="622"/>
      <c r="C153" s="584">
        <f>VLOOKUP(B150,'Objet 2 à 6'!Moussecal3,10)</f>
        <v>0</v>
      </c>
      <c r="D153" s="631">
        <f>VLOOKUP(B150,'Objet 2 à 6'!Moussecal3,11)</f>
        <v>0</v>
      </c>
      <c r="E153" s="631">
        <f>VLOOKUP(B150,'Objet 2 à 6'!Moussecal3,12)</f>
        <v>0</v>
      </c>
      <c r="F153" s="631">
        <f>VLOOKUP(B150,'Objet 2 à 6'!Moussecal3,13)</f>
        <v>0</v>
      </c>
      <c r="G153" s="559">
        <f t="shared" si="76"/>
        <v>0</v>
      </c>
      <c r="H153" s="559"/>
      <c r="I153" s="559"/>
      <c r="J153" s="559">
        <f t="shared" si="72"/>
        <v>0</v>
      </c>
      <c r="K153" s="559">
        <f t="shared" si="71"/>
        <v>0</v>
      </c>
      <c r="L153" s="71">
        <f>IF(E153=0,0,VLOOKUP(E153,'Prix Matiere'!$A$4:$J$65,10))</f>
        <v>0</v>
      </c>
      <c r="M153" s="625">
        <f t="shared" si="73"/>
        <v>0</v>
      </c>
      <c r="N153" s="626">
        <f t="shared" si="74"/>
        <v>0</v>
      </c>
      <c r="O153" s="625">
        <f t="shared" si="75"/>
        <v>0</v>
      </c>
      <c r="P153" s="559"/>
      <c r="Q153" s="627">
        <v>0</v>
      </c>
      <c r="R153" s="559"/>
      <c r="S153" s="559"/>
      <c r="T153" s="559"/>
      <c r="U153" s="559"/>
      <c r="V153" s="559"/>
      <c r="W153" s="559"/>
      <c r="X153" s="559"/>
      <c r="Y153" s="559"/>
      <c r="Z153" s="559"/>
      <c r="AA153" s="559"/>
      <c r="AB153" s="559"/>
      <c r="AC153" s="559"/>
      <c r="AD153" s="559"/>
      <c r="AE153" s="559"/>
      <c r="AF153" s="559"/>
      <c r="AG153" s="559"/>
    </row>
    <row r="154" spans="1:33" ht="18" x14ac:dyDescent="0.35">
      <c r="A154" s="559"/>
      <c r="B154" s="622" t="s">
        <v>80</v>
      </c>
      <c r="C154" s="584">
        <f>VLOOKUP(B150,'Objet 2 à 6'!Moussecal3,14)</f>
        <v>0</v>
      </c>
      <c r="D154" s="631">
        <f>VLOOKUP(B150,'Objet 2 à 6'!Moussecal3,15)</f>
        <v>0</v>
      </c>
      <c r="E154" s="631">
        <f>VLOOKUP(B150,'Objet 2 à 6'!Moussecal3,16)</f>
        <v>0</v>
      </c>
      <c r="F154" s="631">
        <f>VLOOKUP(B150,'Objet 2 à 6'!Moussecal3,17)</f>
        <v>0</v>
      </c>
      <c r="G154" s="559">
        <f t="shared" ref="G154:G157" si="77">C154</f>
        <v>0</v>
      </c>
      <c r="H154" s="559"/>
      <c r="I154" s="559"/>
      <c r="J154" s="559">
        <f t="shared" si="72"/>
        <v>0</v>
      </c>
      <c r="K154" s="559">
        <f t="shared" si="71"/>
        <v>0</v>
      </c>
      <c r="L154" s="71">
        <f>IF(E154=0,0,VLOOKUP(E154,'Prix Matiere'!$A$4:$J$65,10))</f>
        <v>0</v>
      </c>
      <c r="M154" s="625">
        <f t="shared" si="73"/>
        <v>0</v>
      </c>
      <c r="N154" s="626">
        <f t="shared" ref="N154:N162" si="78">IF(J154=0,0,4.7283*J154+2)</f>
        <v>0</v>
      </c>
      <c r="O154" s="625">
        <f t="shared" si="75"/>
        <v>0</v>
      </c>
      <c r="P154" s="559"/>
      <c r="Q154" s="627">
        <v>0</v>
      </c>
      <c r="R154" s="559"/>
      <c r="S154" s="559"/>
      <c r="T154" s="559"/>
      <c r="U154" s="559"/>
      <c r="V154" s="559"/>
      <c r="W154" s="559"/>
      <c r="X154" s="559"/>
      <c r="Y154" s="559"/>
      <c r="Z154" s="559"/>
      <c r="AA154" s="559"/>
      <c r="AB154" s="559"/>
      <c r="AC154" s="559"/>
      <c r="AD154" s="559"/>
      <c r="AE154" s="559"/>
      <c r="AF154" s="559"/>
      <c r="AG154" s="559"/>
    </row>
    <row r="155" spans="1:33" ht="18" x14ac:dyDescent="0.35">
      <c r="A155" s="559"/>
      <c r="B155" s="622"/>
      <c r="C155" s="584">
        <f>VLOOKUP(B150,'Objet 2 à 6'!Moussecal3,18)</f>
        <v>0</v>
      </c>
      <c r="D155" s="631">
        <f>VLOOKUP(B150,'Objet 2 à 6'!Moussecal3,19)</f>
        <v>0</v>
      </c>
      <c r="E155" s="631">
        <f>VLOOKUP(B150,'Objet 2 à 6'!Moussecal3,20)</f>
        <v>0</v>
      </c>
      <c r="F155" s="631">
        <f>VLOOKUP(B150,'Objet 2 à 6'!Moussecal3,21)</f>
        <v>0</v>
      </c>
      <c r="G155" s="559">
        <f t="shared" si="77"/>
        <v>0</v>
      </c>
      <c r="H155" s="559"/>
      <c r="I155" s="559"/>
      <c r="J155" s="559">
        <f t="shared" si="72"/>
        <v>0</v>
      </c>
      <c r="K155" s="559">
        <f t="shared" si="71"/>
        <v>0</v>
      </c>
      <c r="L155" s="71">
        <f>IF(E155=0,0,VLOOKUP(E155,'Prix Matiere'!$A$4:$J$65,10))</f>
        <v>0</v>
      </c>
      <c r="M155" s="625">
        <f t="shared" si="73"/>
        <v>0</v>
      </c>
      <c r="N155" s="626">
        <f t="shared" si="78"/>
        <v>0</v>
      </c>
      <c r="O155" s="625">
        <f t="shared" si="75"/>
        <v>0</v>
      </c>
      <c r="P155" s="559"/>
      <c r="Q155" s="627">
        <v>0</v>
      </c>
      <c r="R155" s="559"/>
      <c r="S155" s="559"/>
      <c r="T155" s="559"/>
      <c r="U155" s="559"/>
      <c r="V155" s="559"/>
      <c r="W155" s="559"/>
      <c r="X155" s="559"/>
      <c r="Y155" s="559"/>
      <c r="Z155" s="559"/>
      <c r="AA155" s="559"/>
      <c r="AB155" s="559"/>
      <c r="AC155" s="559"/>
      <c r="AD155" s="559"/>
      <c r="AE155" s="559"/>
      <c r="AF155" s="559"/>
      <c r="AG155" s="559"/>
    </row>
    <row r="156" spans="1:33" ht="18" x14ac:dyDescent="0.35">
      <c r="A156" s="559"/>
      <c r="B156" s="622"/>
      <c r="C156" s="584">
        <f>VLOOKUP(B150,'Objet 2 à 6'!Moussecal3,28)</f>
        <v>0</v>
      </c>
      <c r="D156" s="631">
        <f>VLOOKUP(B150,'Objet 2 à 6'!Moussecal3,29)</f>
        <v>0</v>
      </c>
      <c r="E156" s="631">
        <f>VLOOKUP(B150,'Objet 2 à 6'!Moussecal3,30)</f>
        <v>0</v>
      </c>
      <c r="F156" s="631">
        <f>VLOOKUP(B150,'Objet 2 à 6'!Moussecal3,31)</f>
        <v>0</v>
      </c>
      <c r="G156" s="559">
        <f t="shared" si="77"/>
        <v>0</v>
      </c>
      <c r="H156" s="559"/>
      <c r="I156" s="559"/>
      <c r="J156" s="559">
        <f t="shared" si="72"/>
        <v>0</v>
      </c>
      <c r="K156" s="559">
        <f t="shared" si="71"/>
        <v>0</v>
      </c>
      <c r="L156" s="71">
        <f>IF(E156=0,0,VLOOKUP(E156,'Prix Matiere'!$A$4:$J$65,10))</f>
        <v>0</v>
      </c>
      <c r="M156" s="625">
        <f t="shared" si="73"/>
        <v>0</v>
      </c>
      <c r="N156" s="626">
        <f t="shared" si="78"/>
        <v>0</v>
      </c>
      <c r="O156" s="625">
        <f t="shared" si="75"/>
        <v>0</v>
      </c>
      <c r="P156" s="559"/>
      <c r="Q156" s="627">
        <v>0</v>
      </c>
      <c r="R156" s="559"/>
      <c r="S156" s="559"/>
      <c r="T156" s="559"/>
      <c r="U156" s="559"/>
      <c r="V156" s="559"/>
      <c r="W156" s="559"/>
      <c r="X156" s="559"/>
      <c r="Y156" s="559"/>
      <c r="Z156" s="559"/>
      <c r="AA156" s="559"/>
      <c r="AB156" s="559"/>
      <c r="AC156" s="559"/>
      <c r="AD156" s="559"/>
      <c r="AE156" s="559"/>
      <c r="AF156" s="559"/>
      <c r="AG156" s="559"/>
    </row>
    <row r="157" spans="1:33" ht="18" x14ac:dyDescent="0.35">
      <c r="A157" s="559"/>
      <c r="B157" s="584"/>
      <c r="C157" s="584">
        <f>VLOOKUP(B150,'Objet 2 à 6'!Moussecal3,22)</f>
        <v>0</v>
      </c>
      <c r="D157" s="631">
        <f>VLOOKUP(B150,'Objet 2 à 6'!Moussecal3,25)</f>
        <v>0</v>
      </c>
      <c r="E157" s="631">
        <f>VLOOKUP(B150,'Objet 2 à 6'!Moussecal3,26)</f>
        <v>0</v>
      </c>
      <c r="F157" s="631">
        <f>IF(D157=0,0,1)</f>
        <v>0</v>
      </c>
      <c r="G157" s="559">
        <f t="shared" si="77"/>
        <v>0</v>
      </c>
      <c r="H157" s="559"/>
      <c r="I157" s="559"/>
      <c r="J157" s="559">
        <f t="shared" si="72"/>
        <v>0</v>
      </c>
      <c r="K157" s="559">
        <f t="shared" si="71"/>
        <v>0</v>
      </c>
      <c r="L157" s="71">
        <f>IF(E157=0,0,VLOOKUP(E157,'Prix Matiere'!$A$4:$J$65,10))</f>
        <v>0</v>
      </c>
      <c r="M157" s="625">
        <f t="shared" si="73"/>
        <v>0</v>
      </c>
      <c r="N157" s="626">
        <f t="shared" si="78"/>
        <v>0</v>
      </c>
      <c r="O157" s="625">
        <f t="shared" si="75"/>
        <v>0</v>
      </c>
      <c r="P157" s="559"/>
      <c r="Q157" s="627">
        <v>0</v>
      </c>
      <c r="R157" s="559"/>
      <c r="S157" s="559"/>
      <c r="T157" s="559"/>
      <c r="U157" s="559"/>
      <c r="V157" s="559"/>
      <c r="W157" s="559"/>
      <c r="X157" s="559"/>
      <c r="Y157" s="559"/>
      <c r="Z157" s="559"/>
      <c r="AA157" s="559"/>
      <c r="AB157" s="559"/>
      <c r="AC157" s="559"/>
      <c r="AD157" s="559"/>
      <c r="AE157" s="559"/>
      <c r="AF157" s="559"/>
      <c r="AG157" s="559"/>
    </row>
    <row r="158" spans="1:33" ht="18" x14ac:dyDescent="0.35">
      <c r="A158" s="559"/>
      <c r="B158" s="584"/>
      <c r="C158" s="584"/>
      <c r="D158" s="631"/>
      <c r="E158" s="631"/>
      <c r="F158" s="631"/>
      <c r="G158" s="559"/>
      <c r="H158" s="559"/>
      <c r="I158" s="559"/>
      <c r="J158" s="559">
        <f t="shared" si="72"/>
        <v>0</v>
      </c>
      <c r="K158" s="559">
        <f t="shared" si="71"/>
        <v>0</v>
      </c>
      <c r="L158" s="71">
        <f>IF(E158=0,0,VLOOKUP(E158,'Prix Matiere'!$A$4:$J$65,10))</f>
        <v>0</v>
      </c>
      <c r="M158" s="625">
        <f t="shared" si="73"/>
        <v>0</v>
      </c>
      <c r="N158" s="626">
        <f t="shared" si="78"/>
        <v>0</v>
      </c>
      <c r="O158" s="625">
        <f t="shared" si="75"/>
        <v>0</v>
      </c>
      <c r="P158" s="559"/>
      <c r="Q158" s="627">
        <v>0</v>
      </c>
      <c r="R158" s="559"/>
      <c r="S158" s="559"/>
      <c r="T158" s="559"/>
      <c r="U158" s="559"/>
      <c r="V158" s="559"/>
      <c r="W158" s="559"/>
      <c r="X158" s="559"/>
      <c r="Y158" s="559"/>
      <c r="Z158" s="559"/>
      <c r="AA158" s="559"/>
      <c r="AB158" s="559"/>
      <c r="AC158" s="559"/>
      <c r="AD158" s="559"/>
      <c r="AE158" s="559"/>
      <c r="AF158" s="559"/>
      <c r="AG158" s="559"/>
    </row>
    <row r="159" spans="1:33" ht="18" x14ac:dyDescent="0.35">
      <c r="A159" s="559"/>
      <c r="B159" s="584"/>
      <c r="C159" s="584"/>
      <c r="D159" s="630"/>
      <c r="E159" s="630"/>
      <c r="F159" s="631"/>
      <c r="G159" s="559"/>
      <c r="H159" s="559"/>
      <c r="I159" s="559"/>
      <c r="J159" s="559">
        <f t="shared" si="72"/>
        <v>0</v>
      </c>
      <c r="K159" s="559">
        <f t="shared" si="71"/>
        <v>0</v>
      </c>
      <c r="L159" s="71">
        <f>IF(E159=0,0,VLOOKUP(E159,'Prix Matiere'!$A$4:$J$65,10))</f>
        <v>0</v>
      </c>
      <c r="M159" s="625">
        <f t="shared" si="73"/>
        <v>0</v>
      </c>
      <c r="N159" s="626">
        <f t="shared" si="78"/>
        <v>0</v>
      </c>
      <c r="O159" s="625">
        <f t="shared" si="75"/>
        <v>0</v>
      </c>
      <c r="P159" s="559"/>
      <c r="Q159" s="627">
        <v>0</v>
      </c>
      <c r="R159" s="559"/>
      <c r="S159" s="559"/>
      <c r="T159" s="559"/>
      <c r="U159" s="559"/>
      <c r="V159" s="559"/>
      <c r="W159" s="559"/>
      <c r="X159" s="559"/>
      <c r="Y159" s="559"/>
      <c r="Z159" s="559"/>
      <c r="AA159" s="559"/>
      <c r="AB159" s="559"/>
      <c r="AC159" s="559"/>
      <c r="AD159" s="559"/>
      <c r="AE159" s="559"/>
      <c r="AF159" s="559"/>
      <c r="AG159" s="559"/>
    </row>
    <row r="160" spans="1:33" ht="18" x14ac:dyDescent="0.35">
      <c r="A160" s="559"/>
      <c r="B160" s="584"/>
      <c r="C160" s="584"/>
      <c r="D160" s="630"/>
      <c r="E160" s="630"/>
      <c r="F160" s="631"/>
      <c r="G160" s="559"/>
      <c r="H160" s="559"/>
      <c r="I160" s="559"/>
      <c r="J160" s="559">
        <f t="shared" si="72"/>
        <v>0</v>
      </c>
      <c r="K160" s="559">
        <f t="shared" si="71"/>
        <v>0</v>
      </c>
      <c r="L160" s="71">
        <f>IF(E160=0,0,VLOOKUP(E160,'Prix Matiere'!$A$4:$J$65,10))</f>
        <v>0</v>
      </c>
      <c r="M160" s="625">
        <f t="shared" si="73"/>
        <v>0</v>
      </c>
      <c r="N160" s="626">
        <f t="shared" si="78"/>
        <v>0</v>
      </c>
      <c r="O160" s="625">
        <f t="shared" si="75"/>
        <v>0</v>
      </c>
      <c r="P160" s="559"/>
      <c r="Q160" s="627">
        <v>0</v>
      </c>
      <c r="R160" s="559"/>
      <c r="S160" s="559"/>
      <c r="T160" s="559"/>
      <c r="U160" s="559"/>
      <c r="V160" s="559"/>
      <c r="W160" s="559"/>
      <c r="X160" s="559"/>
      <c r="Y160" s="559"/>
      <c r="Z160" s="559"/>
      <c r="AA160" s="559"/>
      <c r="AB160" s="559"/>
      <c r="AC160" s="559"/>
      <c r="AD160" s="559"/>
      <c r="AE160" s="559"/>
      <c r="AF160" s="559"/>
      <c r="AG160" s="559"/>
    </row>
    <row r="161" spans="1:33" ht="18" x14ac:dyDescent="0.35">
      <c r="A161" s="559"/>
      <c r="B161" s="584"/>
      <c r="C161" s="584"/>
      <c r="D161" s="630"/>
      <c r="E161" s="630"/>
      <c r="F161" s="631"/>
      <c r="G161" s="559"/>
      <c r="H161" s="559"/>
      <c r="I161" s="559"/>
      <c r="J161" s="559">
        <f t="shared" si="72"/>
        <v>0</v>
      </c>
      <c r="K161" s="559">
        <f t="shared" si="71"/>
        <v>0</v>
      </c>
      <c r="L161" s="71">
        <f>IF(E161=0,0,VLOOKUP(E161,'Prix Matiere'!$A$4:$J$65,10))</f>
        <v>0</v>
      </c>
      <c r="M161" s="625">
        <f t="shared" si="73"/>
        <v>0</v>
      </c>
      <c r="N161" s="626">
        <f t="shared" si="78"/>
        <v>0</v>
      </c>
      <c r="O161" s="625">
        <f t="shared" si="75"/>
        <v>0</v>
      </c>
      <c r="P161" s="559"/>
      <c r="Q161" s="627">
        <v>0</v>
      </c>
      <c r="R161" s="559"/>
      <c r="S161" s="559"/>
      <c r="T161" s="559"/>
      <c r="U161" s="559"/>
      <c r="V161" s="559"/>
      <c r="W161" s="559"/>
      <c r="X161" s="559"/>
      <c r="Y161" s="559"/>
      <c r="Z161" s="559"/>
      <c r="AA161" s="559"/>
      <c r="AB161" s="559"/>
      <c r="AC161" s="559"/>
      <c r="AD161" s="559"/>
      <c r="AE161" s="559"/>
      <c r="AF161" s="559"/>
      <c r="AG161" s="559"/>
    </row>
    <row r="162" spans="1:33" ht="18" x14ac:dyDescent="0.35">
      <c r="A162" s="559"/>
      <c r="B162" s="579" t="s">
        <v>176</v>
      </c>
      <c r="C162" s="584" t="str">
        <f>'Objet 2 à 6'!plat3</f>
        <v>Aucun</v>
      </c>
      <c r="D162" s="630">
        <f>IF(C162="Aucun",0,'Objet 2 à 6'!Lnec3-0.3)</f>
        <v>0</v>
      </c>
      <c r="E162" s="630">
        <f>IF(C162="Aucun",0,'Objet 2 à 6'!lanec3-0.3)</f>
        <v>0</v>
      </c>
      <c r="F162" s="631">
        <f>IF(C162="Aucun",0,1)</f>
        <v>0</v>
      </c>
      <c r="G162" s="559"/>
      <c r="H162" s="559"/>
      <c r="I162" s="559"/>
      <c r="J162" s="559">
        <f t="shared" si="72"/>
        <v>0</v>
      </c>
      <c r="K162" s="559">
        <f t="shared" si="71"/>
        <v>0</v>
      </c>
      <c r="L162" s="71">
        <f>IF(E162=0,0,VLOOKUP(E162,'Prix Matiere'!$A$4:$J$65,10))</f>
        <v>0</v>
      </c>
      <c r="M162" s="625">
        <f t="shared" si="73"/>
        <v>0</v>
      </c>
      <c r="N162" s="626">
        <f t="shared" si="78"/>
        <v>0</v>
      </c>
      <c r="O162" s="625">
        <f t="shared" si="75"/>
        <v>0</v>
      </c>
      <c r="P162" s="559"/>
      <c r="Q162" s="627">
        <v>0</v>
      </c>
      <c r="R162" s="559"/>
      <c r="S162" s="559"/>
      <c r="T162" s="559"/>
      <c r="U162" s="559"/>
      <c r="V162" s="559"/>
      <c r="W162" s="559"/>
      <c r="X162" s="559"/>
      <c r="Y162" s="559"/>
      <c r="Z162" s="559"/>
      <c r="AA162" s="559"/>
      <c r="AB162" s="559"/>
      <c r="AC162" s="559"/>
      <c r="AD162" s="559"/>
      <c r="AE162" s="559"/>
      <c r="AF162" s="559"/>
      <c r="AG162" s="559"/>
    </row>
    <row r="163" spans="1:33" ht="18" x14ac:dyDescent="0.35">
      <c r="A163" s="559"/>
      <c r="B163" s="584"/>
      <c r="C163" s="584"/>
      <c r="D163" s="630"/>
      <c r="E163" s="630"/>
      <c r="F163" s="631"/>
      <c r="G163" s="559"/>
      <c r="H163" s="559"/>
      <c r="I163" s="559">
        <f>IF('Objet 2 à 6'!Lnec3=0,0,"Forfait rattrapage")</f>
        <v>0</v>
      </c>
      <c r="J163" s="559"/>
      <c r="K163" s="559"/>
      <c r="L163" s="71">
        <f>IF(E163=0,0,VLOOKUP(E163,'Prix Matiere'!$A$4:$J$65,10))</f>
        <v>0</v>
      </c>
      <c r="M163" s="625">
        <f>IF(I163="Forfait rattrapage",10,0)</f>
        <v>0</v>
      </c>
      <c r="N163" s="626">
        <f>IF(I163="Forfait rattrapage",12,0)</f>
        <v>0</v>
      </c>
      <c r="O163" s="625">
        <f t="shared" si="75"/>
        <v>0</v>
      </c>
      <c r="P163" s="559"/>
      <c r="Q163" s="627">
        <v>0</v>
      </c>
      <c r="R163" s="559"/>
      <c r="S163" s="559"/>
      <c r="T163" s="559"/>
      <c r="U163" s="559"/>
      <c r="V163" s="559"/>
      <c r="W163" s="559"/>
      <c r="X163" s="559"/>
      <c r="Y163" s="559"/>
      <c r="Z163" s="559"/>
      <c r="AA163" s="559"/>
      <c r="AB163" s="559"/>
      <c r="AC163" s="559"/>
      <c r="AD163" s="559"/>
      <c r="AE163" s="559"/>
      <c r="AF163" s="559"/>
      <c r="AG163" s="559"/>
    </row>
    <row r="164" spans="1:33" ht="18" x14ac:dyDescent="0.35">
      <c r="A164" s="559"/>
      <c r="B164" s="559"/>
      <c r="C164" s="559"/>
      <c r="D164" s="559"/>
      <c r="E164" s="559"/>
      <c r="F164" s="559"/>
      <c r="G164" s="559"/>
      <c r="H164" s="559"/>
      <c r="I164" s="559"/>
      <c r="J164" s="559">
        <f t="shared" ref="J164:J166" si="79">IF(C164=0,0,(C164/100)*(D164/100)*F164)</f>
        <v>0</v>
      </c>
      <c r="K164" s="559">
        <f t="shared" ref="K164:K178" si="80">J164/0.8</f>
        <v>0</v>
      </c>
      <c r="L164" s="71">
        <f>IF(E164=0,0,VLOOKUP(E164,'Prix Matiere'!$A$4:$J$65,10))</f>
        <v>0</v>
      </c>
      <c r="M164" s="625"/>
      <c r="N164" s="626"/>
      <c r="O164" s="625"/>
      <c r="P164" s="559"/>
      <c r="Q164" s="627">
        <v>0</v>
      </c>
      <c r="R164" s="559"/>
      <c r="S164" s="559"/>
      <c r="T164" s="559"/>
      <c r="U164" s="559"/>
      <c r="V164" s="559"/>
      <c r="W164" s="559"/>
      <c r="X164" s="559"/>
      <c r="Y164" s="559"/>
      <c r="Z164" s="559"/>
      <c r="AA164" s="559"/>
      <c r="AB164" s="559"/>
      <c r="AC164" s="559"/>
      <c r="AD164" s="559"/>
      <c r="AE164" s="559"/>
      <c r="AF164" s="559"/>
      <c r="AG164" s="559"/>
    </row>
    <row r="165" spans="1:33" ht="18" x14ac:dyDescent="0.35">
      <c r="A165" s="559"/>
      <c r="B165" s="560" t="s">
        <v>162</v>
      </c>
      <c r="C165" s="559"/>
      <c r="D165" s="559"/>
      <c r="E165" s="559"/>
      <c r="F165" s="559"/>
      <c r="G165" s="559"/>
      <c r="H165" s="559"/>
      <c r="I165" s="559"/>
      <c r="J165" s="559">
        <f t="shared" si="79"/>
        <v>0</v>
      </c>
      <c r="K165" s="559">
        <f t="shared" si="80"/>
        <v>0</v>
      </c>
      <c r="L165" s="71">
        <f>IF(E165=0,0,VLOOKUP(E165,'Prix Matiere'!$A$4:$J$65,10))</f>
        <v>0</v>
      </c>
      <c r="M165" s="625"/>
      <c r="N165" s="626"/>
      <c r="O165" s="625"/>
      <c r="P165" s="559"/>
      <c r="Q165" s="627">
        <v>0</v>
      </c>
      <c r="R165" s="559"/>
      <c r="S165" s="559"/>
      <c r="T165" s="559"/>
      <c r="U165" s="559"/>
      <c r="V165" s="559"/>
      <c r="W165" s="559"/>
      <c r="X165" s="559"/>
      <c r="Y165" s="559"/>
      <c r="Z165" s="559"/>
      <c r="AA165" s="559"/>
      <c r="AB165" s="559"/>
      <c r="AC165" s="559"/>
      <c r="AD165" s="559"/>
      <c r="AE165" s="559"/>
      <c r="AF165" s="559"/>
      <c r="AG165" s="559"/>
    </row>
    <row r="166" spans="1:33" ht="18" x14ac:dyDescent="0.35">
      <c r="A166" s="559"/>
      <c r="B166" s="629" t="str">
        <f>H27</f>
        <v>Aucun</v>
      </c>
      <c r="C166" s="622"/>
      <c r="D166" s="630" t="s">
        <v>28</v>
      </c>
      <c r="E166" s="630" t="s">
        <v>33</v>
      </c>
      <c r="F166" s="631" t="s">
        <v>34</v>
      </c>
      <c r="G166" s="559"/>
      <c r="H166" s="559"/>
      <c r="I166" s="559"/>
      <c r="J166" s="559">
        <f t="shared" si="79"/>
        <v>0</v>
      </c>
      <c r="K166" s="559">
        <f t="shared" si="80"/>
        <v>0</v>
      </c>
      <c r="L166" s="71"/>
      <c r="M166" s="625"/>
      <c r="N166" s="626"/>
      <c r="O166" s="625"/>
      <c r="P166" s="559"/>
      <c r="Q166" s="627">
        <v>0</v>
      </c>
      <c r="R166" s="559"/>
      <c r="S166" s="559"/>
      <c r="T166" s="559"/>
      <c r="U166" s="559"/>
      <c r="V166" s="559"/>
      <c r="W166" s="559"/>
      <c r="X166" s="559"/>
      <c r="Y166" s="559"/>
      <c r="Z166" s="559"/>
      <c r="AA166" s="559"/>
      <c r="AB166" s="559"/>
      <c r="AC166" s="559"/>
      <c r="AD166" s="559"/>
      <c r="AE166" s="559"/>
      <c r="AF166" s="559"/>
      <c r="AG166" s="559"/>
    </row>
    <row r="167" spans="1:33" ht="18" x14ac:dyDescent="0.35">
      <c r="A167" s="559"/>
      <c r="B167" s="622" t="s">
        <v>22</v>
      </c>
      <c r="C167" s="584">
        <f>VLOOKUP(B166,'Objet 2 à 6'!Moussecal4,2)</f>
        <v>0</v>
      </c>
      <c r="D167" s="631">
        <f>VLOOKUP(B166,'Objet 2 à 6'!Moussecal4,3)</f>
        <v>0</v>
      </c>
      <c r="E167" s="631">
        <f>VLOOKUP(B166,'Objet 2 à 6'!Moussecal4,4)</f>
        <v>0</v>
      </c>
      <c r="F167" s="631">
        <f>VLOOKUP(B166,'Objet 2 à 6'!Moussecal4,5)</f>
        <v>0</v>
      </c>
      <c r="G167" s="559">
        <f>IF(F167=0,0,"Barres 21 R4F")</f>
        <v>0</v>
      </c>
      <c r="H167" s="559"/>
      <c r="I167" s="559"/>
      <c r="J167" s="559">
        <f t="shared" ref="J167:J178" si="81">IF(D167=0,0,(D167/100)*(E167/100)*F167)</f>
        <v>0</v>
      </c>
      <c r="K167" s="559">
        <f t="shared" si="80"/>
        <v>0</v>
      </c>
      <c r="L167" s="71">
        <f>IF(E167=0,0,VLOOKUP(E167,'Prix Matiere'!$A$4:$J$65,10))</f>
        <v>0</v>
      </c>
      <c r="M167" s="625">
        <f t="shared" ref="M167:M178" si="82">L167*K167</f>
        <v>0</v>
      </c>
      <c r="N167" s="626">
        <f t="shared" ref="N167:N169" si="83">IF(J167=0,0,2+(6*J167))</f>
        <v>0</v>
      </c>
      <c r="O167" s="625">
        <f t="shared" ref="O167:O179" si="84">N167*'Objet 2 à 6'!MinuteMO</f>
        <v>0</v>
      </c>
      <c r="P167" s="559"/>
      <c r="Q167" s="627">
        <v>0</v>
      </c>
      <c r="R167" s="559"/>
      <c r="S167" s="559"/>
      <c r="T167" s="559"/>
      <c r="U167" s="559"/>
      <c r="V167" s="559"/>
      <c r="W167" s="559"/>
      <c r="X167" s="559"/>
      <c r="Y167" s="559"/>
      <c r="Z167" s="559"/>
      <c r="AA167" s="559"/>
      <c r="AB167" s="559"/>
      <c r="AC167" s="559"/>
      <c r="AD167" s="559"/>
      <c r="AE167" s="559"/>
      <c r="AF167" s="559"/>
      <c r="AG167" s="559"/>
    </row>
    <row r="168" spans="1:33" ht="18" x14ac:dyDescent="0.35">
      <c r="A168" s="559"/>
      <c r="B168" s="622"/>
      <c r="C168" s="584">
        <f>VLOOKUP(B166,'Objet 2 à 6'!Moussecal4,6)</f>
        <v>0</v>
      </c>
      <c r="D168" s="631">
        <f>VLOOKUP(B166,'Objet 2 à 6'!Moussecal4,7)</f>
        <v>0</v>
      </c>
      <c r="E168" s="631">
        <f>VLOOKUP(B166,'Objet 2 à 6'!Moussecal4,8)</f>
        <v>0</v>
      </c>
      <c r="F168" s="631">
        <f>VLOOKUP(B166,'Objet 2 à 6'!Moussecal4,9)</f>
        <v>0</v>
      </c>
      <c r="G168" s="559">
        <f t="shared" ref="G168:G169" si="85">IF(C168=0,0,"Barres 21 R4F")</f>
        <v>0</v>
      </c>
      <c r="H168" s="559"/>
      <c r="I168" s="559"/>
      <c r="J168" s="559">
        <f t="shared" si="81"/>
        <v>0</v>
      </c>
      <c r="K168" s="559">
        <f t="shared" si="80"/>
        <v>0</v>
      </c>
      <c r="L168" s="71">
        <f>IF(E168=0,0,VLOOKUP(E168,'Prix Matiere'!$A$4:$J$65,10))</f>
        <v>0</v>
      </c>
      <c r="M168" s="625">
        <f t="shared" si="82"/>
        <v>0</v>
      </c>
      <c r="N168" s="626">
        <f t="shared" si="83"/>
        <v>0</v>
      </c>
      <c r="O168" s="625">
        <f t="shared" si="84"/>
        <v>0</v>
      </c>
      <c r="P168" s="559"/>
      <c r="Q168" s="627">
        <v>0</v>
      </c>
      <c r="R168" s="559"/>
      <c r="S168" s="559"/>
      <c r="T168" s="559"/>
      <c r="U168" s="559"/>
      <c r="V168" s="559"/>
      <c r="W168" s="559"/>
      <c r="X168" s="559"/>
      <c r="Y168" s="559"/>
      <c r="Z168" s="559"/>
      <c r="AA168" s="559"/>
      <c r="AB168" s="559"/>
      <c r="AC168" s="559"/>
      <c r="AD168" s="559"/>
      <c r="AE168" s="559"/>
      <c r="AF168" s="559"/>
      <c r="AG168" s="559"/>
    </row>
    <row r="169" spans="1:33" ht="18" x14ac:dyDescent="0.35">
      <c r="A169" s="559"/>
      <c r="B169" s="622"/>
      <c r="C169" s="584">
        <f>VLOOKUP(B166,'Objet 2 à 6'!Moussecal4,10)</f>
        <v>0</v>
      </c>
      <c r="D169" s="631">
        <f>VLOOKUP(B166,'Objet 2 à 6'!Moussecal4,11)</f>
        <v>0</v>
      </c>
      <c r="E169" s="631">
        <f>VLOOKUP(B166,'Objet 2 à 6'!Moussecal4,12)</f>
        <v>0</v>
      </c>
      <c r="F169" s="631">
        <f>VLOOKUP(B166,'Objet 2 à 6'!Moussecal4,13)</f>
        <v>0</v>
      </c>
      <c r="G169" s="559">
        <f t="shared" si="85"/>
        <v>0</v>
      </c>
      <c r="H169" s="559"/>
      <c r="I169" s="559"/>
      <c r="J169" s="559">
        <f t="shared" si="81"/>
        <v>0</v>
      </c>
      <c r="K169" s="559">
        <f t="shared" si="80"/>
        <v>0</v>
      </c>
      <c r="L169" s="71">
        <f>IF(E169=0,0,VLOOKUP(E169,'Prix Matiere'!$A$4:$J$65,10))</f>
        <v>0</v>
      </c>
      <c r="M169" s="625">
        <f t="shared" si="82"/>
        <v>0</v>
      </c>
      <c r="N169" s="626">
        <f t="shared" si="83"/>
        <v>0</v>
      </c>
      <c r="O169" s="625">
        <f t="shared" si="84"/>
        <v>0</v>
      </c>
      <c r="P169" s="559"/>
      <c r="Q169" s="627">
        <v>0</v>
      </c>
      <c r="R169" s="559"/>
      <c r="S169" s="559"/>
      <c r="T169" s="559"/>
      <c r="U169" s="559"/>
      <c r="V169" s="559"/>
      <c r="W169" s="559"/>
      <c r="X169" s="559"/>
      <c r="Y169" s="559"/>
      <c r="Z169" s="559"/>
      <c r="AA169" s="559"/>
      <c r="AB169" s="559"/>
      <c r="AC169" s="559"/>
      <c r="AD169" s="559"/>
      <c r="AE169" s="559"/>
      <c r="AF169" s="559"/>
      <c r="AG169" s="559"/>
    </row>
    <row r="170" spans="1:33" ht="18" x14ac:dyDescent="0.35">
      <c r="A170" s="559"/>
      <c r="B170" s="622" t="s">
        <v>80</v>
      </c>
      <c r="C170" s="584">
        <f>VLOOKUP(B166,'Objet 2 à 6'!Moussecal4,14)</f>
        <v>0</v>
      </c>
      <c r="D170" s="631">
        <f>VLOOKUP(B166,'Objet 2 à 6'!Moussecal4,15)</f>
        <v>0</v>
      </c>
      <c r="E170" s="631">
        <f>VLOOKUP(B166,'Objet 2 à 6'!Moussecal4,16)</f>
        <v>0</v>
      </c>
      <c r="F170" s="631">
        <f>VLOOKUP(B166,'Objet 2 à 6'!Moussecal4,17)</f>
        <v>0</v>
      </c>
      <c r="G170" s="559">
        <f t="shared" ref="G170:G173" si="86">C170</f>
        <v>0</v>
      </c>
      <c r="H170" s="559"/>
      <c r="I170" s="559"/>
      <c r="J170" s="559">
        <f t="shared" si="81"/>
        <v>0</v>
      </c>
      <c r="K170" s="559">
        <f t="shared" si="80"/>
        <v>0</v>
      </c>
      <c r="L170" s="71">
        <f>IF(E170=0,0,VLOOKUP(E170,'Prix Matiere'!$A$4:$J$65,10))</f>
        <v>0</v>
      </c>
      <c r="M170" s="625">
        <f t="shared" si="82"/>
        <v>0</v>
      </c>
      <c r="N170" s="626">
        <f t="shared" ref="N170:N178" si="87">IF(J170=0,0,4.7283*J170+2)</f>
        <v>0</v>
      </c>
      <c r="O170" s="625">
        <f t="shared" si="84"/>
        <v>0</v>
      </c>
      <c r="P170" s="559"/>
      <c r="Q170" s="627">
        <v>0</v>
      </c>
      <c r="R170" s="559"/>
      <c r="S170" s="559"/>
      <c r="T170" s="559"/>
      <c r="U170" s="559"/>
      <c r="V170" s="559"/>
      <c r="W170" s="559"/>
      <c r="X170" s="559"/>
      <c r="Y170" s="559"/>
      <c r="Z170" s="559"/>
      <c r="AA170" s="559"/>
      <c r="AB170" s="559"/>
      <c r="AC170" s="559"/>
      <c r="AD170" s="559"/>
      <c r="AE170" s="559"/>
      <c r="AF170" s="559"/>
      <c r="AG170" s="559"/>
    </row>
    <row r="171" spans="1:33" ht="18" x14ac:dyDescent="0.35">
      <c r="A171" s="559"/>
      <c r="B171" s="622"/>
      <c r="C171" s="584">
        <f>VLOOKUP(B166,'Objet 2 à 6'!Moussecal4,18)</f>
        <v>0</v>
      </c>
      <c r="D171" s="631">
        <f>VLOOKUP(B166,'Objet 2 à 6'!Moussecal4,19)</f>
        <v>0</v>
      </c>
      <c r="E171" s="631">
        <f>VLOOKUP(B166,'Objet 2 à 6'!Moussecal4,20)</f>
        <v>0</v>
      </c>
      <c r="F171" s="631">
        <f>VLOOKUP(B166,'Objet 2 à 6'!Moussecal4,21)</f>
        <v>0</v>
      </c>
      <c r="G171" s="559">
        <f t="shared" si="86"/>
        <v>0</v>
      </c>
      <c r="H171" s="559"/>
      <c r="I171" s="559"/>
      <c r="J171" s="559">
        <f t="shared" si="81"/>
        <v>0</v>
      </c>
      <c r="K171" s="559">
        <f t="shared" si="80"/>
        <v>0</v>
      </c>
      <c r="L171" s="71">
        <f>IF(E171=0,0,VLOOKUP(E171,'Prix Matiere'!$A$4:$J$65,10))</f>
        <v>0</v>
      </c>
      <c r="M171" s="625">
        <f t="shared" si="82"/>
        <v>0</v>
      </c>
      <c r="N171" s="626">
        <f t="shared" si="87"/>
        <v>0</v>
      </c>
      <c r="O171" s="625">
        <f t="shared" si="84"/>
        <v>0</v>
      </c>
      <c r="P171" s="559"/>
      <c r="Q171" s="627">
        <v>0</v>
      </c>
      <c r="R171" s="559"/>
      <c r="S171" s="559"/>
      <c r="T171" s="559"/>
      <c r="U171" s="559"/>
      <c r="V171" s="559"/>
      <c r="W171" s="559"/>
      <c r="X171" s="559"/>
      <c r="Y171" s="559"/>
      <c r="Z171" s="559"/>
      <c r="AA171" s="559"/>
      <c r="AB171" s="559"/>
      <c r="AC171" s="559"/>
      <c r="AD171" s="559"/>
      <c r="AE171" s="559"/>
      <c r="AF171" s="559"/>
      <c r="AG171" s="559"/>
    </row>
    <row r="172" spans="1:33" ht="18" x14ac:dyDescent="0.35">
      <c r="A172" s="559"/>
      <c r="B172" s="622"/>
      <c r="C172" s="584">
        <f>VLOOKUP(B166,'Objet 2 à 6'!Moussecal4,28)</f>
        <v>0</v>
      </c>
      <c r="D172" s="631">
        <f>VLOOKUP(B166,'Objet 2 à 6'!Moussecal4,29)</f>
        <v>0</v>
      </c>
      <c r="E172" s="631">
        <f>VLOOKUP(B166,'Objet 2 à 6'!Moussecal4,30)</f>
        <v>0</v>
      </c>
      <c r="F172" s="631">
        <f>VLOOKUP(B166,'Objet 2 à 6'!Moussecal4,31)</f>
        <v>0</v>
      </c>
      <c r="G172" s="559">
        <f t="shared" si="86"/>
        <v>0</v>
      </c>
      <c r="H172" s="559"/>
      <c r="I172" s="559"/>
      <c r="J172" s="559">
        <f t="shared" si="81"/>
        <v>0</v>
      </c>
      <c r="K172" s="559">
        <f t="shared" si="80"/>
        <v>0</v>
      </c>
      <c r="L172" s="71">
        <f>IF(E172=0,0,VLOOKUP(E172,'Prix Matiere'!$A$4:$J$65,10))</f>
        <v>0</v>
      </c>
      <c r="M172" s="625">
        <f t="shared" si="82"/>
        <v>0</v>
      </c>
      <c r="N172" s="626">
        <f t="shared" si="87"/>
        <v>0</v>
      </c>
      <c r="O172" s="625">
        <f t="shared" si="84"/>
        <v>0</v>
      </c>
      <c r="P172" s="559"/>
      <c r="Q172" s="627">
        <v>0</v>
      </c>
      <c r="R172" s="559"/>
      <c r="S172" s="559"/>
      <c r="T172" s="559"/>
      <c r="U172" s="559"/>
      <c r="V172" s="559"/>
      <c r="W172" s="559"/>
      <c r="X172" s="559"/>
      <c r="Y172" s="559"/>
      <c r="Z172" s="559"/>
      <c r="AA172" s="559"/>
      <c r="AB172" s="559"/>
      <c r="AC172" s="559"/>
      <c r="AD172" s="559"/>
      <c r="AE172" s="559"/>
      <c r="AF172" s="559"/>
      <c r="AG172" s="559"/>
    </row>
    <row r="173" spans="1:33" ht="18" x14ac:dyDescent="0.35">
      <c r="A173" s="559"/>
      <c r="B173" s="584"/>
      <c r="C173" s="584">
        <f>VLOOKUP(B166,'Objet 2 à 6'!Moussecal4,22)</f>
        <v>0</v>
      </c>
      <c r="D173" s="631">
        <f>VLOOKUP(B166,'Objet 2 à 6'!Moussecal4,25)</f>
        <v>0</v>
      </c>
      <c r="E173" s="631">
        <f>VLOOKUP(B166,'Objet 2 à 6'!Moussecal4,26)</f>
        <v>0</v>
      </c>
      <c r="F173" s="631">
        <f>IF(D173=0,0,1)</f>
        <v>0</v>
      </c>
      <c r="G173" s="559">
        <f t="shared" si="86"/>
        <v>0</v>
      </c>
      <c r="H173" s="559"/>
      <c r="I173" s="559"/>
      <c r="J173" s="559">
        <f t="shared" si="81"/>
        <v>0</v>
      </c>
      <c r="K173" s="559">
        <f t="shared" si="80"/>
        <v>0</v>
      </c>
      <c r="L173" s="71">
        <f>IF(E173=0,0,VLOOKUP(E173,'Prix Matiere'!$A$4:$J$65,10))</f>
        <v>0</v>
      </c>
      <c r="M173" s="625">
        <f t="shared" si="82"/>
        <v>0</v>
      </c>
      <c r="N173" s="626">
        <f t="shared" si="87"/>
        <v>0</v>
      </c>
      <c r="O173" s="625">
        <f t="shared" si="84"/>
        <v>0</v>
      </c>
      <c r="P173" s="559"/>
      <c r="Q173" s="627">
        <v>0</v>
      </c>
      <c r="R173" s="559"/>
      <c r="S173" s="559"/>
      <c r="T173" s="559"/>
      <c r="U173" s="559"/>
      <c r="V173" s="559"/>
      <c r="W173" s="559"/>
      <c r="X173" s="559"/>
      <c r="Y173" s="559"/>
      <c r="Z173" s="559"/>
      <c r="AA173" s="559"/>
      <c r="AB173" s="559"/>
      <c r="AC173" s="559"/>
      <c r="AD173" s="559"/>
      <c r="AE173" s="559"/>
      <c r="AF173" s="559"/>
      <c r="AG173" s="559"/>
    </row>
    <row r="174" spans="1:33" ht="18" x14ac:dyDescent="0.35">
      <c r="A174" s="559"/>
      <c r="B174" s="584"/>
      <c r="C174" s="584"/>
      <c r="D174" s="631"/>
      <c r="E174" s="631"/>
      <c r="F174" s="631"/>
      <c r="G174" s="559"/>
      <c r="H174" s="559"/>
      <c r="I174" s="559"/>
      <c r="J174" s="559">
        <f t="shared" si="81"/>
        <v>0</v>
      </c>
      <c r="K174" s="559">
        <f t="shared" si="80"/>
        <v>0</v>
      </c>
      <c r="L174" s="71">
        <f>IF(E174=0,0,VLOOKUP(E174,'Prix Matiere'!$A$4:$J$65,10))</f>
        <v>0</v>
      </c>
      <c r="M174" s="625">
        <f t="shared" si="82"/>
        <v>0</v>
      </c>
      <c r="N174" s="626">
        <f t="shared" si="87"/>
        <v>0</v>
      </c>
      <c r="O174" s="625">
        <f t="shared" si="84"/>
        <v>0</v>
      </c>
      <c r="P174" s="559"/>
      <c r="Q174" s="627">
        <v>0</v>
      </c>
      <c r="R174" s="559"/>
      <c r="S174" s="559"/>
      <c r="T174" s="559"/>
      <c r="U174" s="559"/>
      <c r="V174" s="559"/>
      <c r="W174" s="559"/>
      <c r="X174" s="559"/>
      <c r="Y174" s="559"/>
      <c r="Z174" s="559"/>
      <c r="AA174" s="559"/>
      <c r="AB174" s="559"/>
      <c r="AC174" s="559"/>
      <c r="AD174" s="559"/>
      <c r="AE174" s="559"/>
      <c r="AF174" s="559"/>
      <c r="AG174" s="559"/>
    </row>
    <row r="175" spans="1:33" ht="18" x14ac:dyDescent="0.35">
      <c r="A175" s="559"/>
      <c r="B175" s="584"/>
      <c r="C175" s="584"/>
      <c r="D175" s="630"/>
      <c r="E175" s="630"/>
      <c r="F175" s="631"/>
      <c r="G175" s="559"/>
      <c r="H175" s="559"/>
      <c r="I175" s="559"/>
      <c r="J175" s="559">
        <f t="shared" si="81"/>
        <v>0</v>
      </c>
      <c r="K175" s="559">
        <f t="shared" si="80"/>
        <v>0</v>
      </c>
      <c r="L175" s="71">
        <f>IF(E175=0,0,VLOOKUP(E175,'Prix Matiere'!$A$4:$J$65,10))</f>
        <v>0</v>
      </c>
      <c r="M175" s="625">
        <f t="shared" si="82"/>
        <v>0</v>
      </c>
      <c r="N175" s="626">
        <f t="shared" si="87"/>
        <v>0</v>
      </c>
      <c r="O175" s="625">
        <f t="shared" si="84"/>
        <v>0</v>
      </c>
      <c r="P175" s="559"/>
      <c r="Q175" s="627">
        <v>0</v>
      </c>
      <c r="R175" s="559"/>
      <c r="S175" s="559"/>
      <c r="T175" s="559"/>
      <c r="U175" s="559"/>
      <c r="V175" s="559"/>
      <c r="W175" s="559"/>
      <c r="X175" s="559"/>
      <c r="Y175" s="559"/>
      <c r="Z175" s="559"/>
      <c r="AA175" s="559"/>
      <c r="AB175" s="559"/>
      <c r="AC175" s="559"/>
      <c r="AD175" s="559"/>
      <c r="AE175" s="559"/>
      <c r="AF175" s="559"/>
      <c r="AG175" s="559"/>
    </row>
    <row r="176" spans="1:33" ht="18" x14ac:dyDescent="0.35">
      <c r="A176" s="559"/>
      <c r="B176" s="584"/>
      <c r="C176" s="584"/>
      <c r="D176" s="630"/>
      <c r="E176" s="630"/>
      <c r="F176" s="631"/>
      <c r="G176" s="559"/>
      <c r="H176" s="559"/>
      <c r="I176" s="559"/>
      <c r="J176" s="559">
        <f t="shared" si="81"/>
        <v>0</v>
      </c>
      <c r="K176" s="559">
        <f t="shared" si="80"/>
        <v>0</v>
      </c>
      <c r="L176" s="71">
        <f>IF(E176=0,0,VLOOKUP(E176,'Prix Matiere'!$A$4:$J$65,10))</f>
        <v>0</v>
      </c>
      <c r="M176" s="625">
        <f t="shared" si="82"/>
        <v>0</v>
      </c>
      <c r="N176" s="626">
        <f t="shared" si="87"/>
        <v>0</v>
      </c>
      <c r="O176" s="625">
        <f t="shared" si="84"/>
        <v>0</v>
      </c>
      <c r="P176" s="559"/>
      <c r="Q176" s="627">
        <v>0</v>
      </c>
      <c r="R176" s="559"/>
      <c r="S176" s="559"/>
      <c r="T176" s="559"/>
      <c r="U176" s="559"/>
      <c r="V176" s="559"/>
      <c r="W176" s="559"/>
      <c r="X176" s="559"/>
      <c r="Y176" s="559"/>
      <c r="Z176" s="559"/>
      <c r="AA176" s="559"/>
      <c r="AB176" s="559"/>
      <c r="AC176" s="559"/>
      <c r="AD176" s="559"/>
      <c r="AE176" s="559"/>
      <c r="AF176" s="559"/>
      <c r="AG176" s="559"/>
    </row>
    <row r="177" spans="1:33" ht="18" x14ac:dyDescent="0.35">
      <c r="A177" s="559"/>
      <c r="B177" s="584"/>
      <c r="C177" s="584"/>
      <c r="D177" s="630"/>
      <c r="E177" s="630"/>
      <c r="F177" s="631"/>
      <c r="G177" s="559"/>
      <c r="H177" s="559"/>
      <c r="I177" s="559"/>
      <c r="J177" s="559">
        <f t="shared" si="81"/>
        <v>0</v>
      </c>
      <c r="K177" s="559">
        <f t="shared" si="80"/>
        <v>0</v>
      </c>
      <c r="L177" s="71">
        <f>IF(E177=0,0,VLOOKUP(E177,'Prix Matiere'!$A$4:$J$65,10))</f>
        <v>0</v>
      </c>
      <c r="M177" s="625">
        <f t="shared" si="82"/>
        <v>0</v>
      </c>
      <c r="N177" s="626">
        <f t="shared" si="87"/>
        <v>0</v>
      </c>
      <c r="O177" s="625">
        <f t="shared" si="84"/>
        <v>0</v>
      </c>
      <c r="P177" s="559"/>
      <c r="Q177" s="627">
        <v>0</v>
      </c>
      <c r="R177" s="559"/>
      <c r="S177" s="559"/>
      <c r="T177" s="559"/>
      <c r="U177" s="559"/>
      <c r="V177" s="559"/>
      <c r="W177" s="559"/>
      <c r="X177" s="559"/>
      <c r="Y177" s="559"/>
      <c r="Z177" s="559"/>
      <c r="AA177" s="559"/>
      <c r="AB177" s="559"/>
      <c r="AC177" s="559"/>
      <c r="AD177" s="559"/>
      <c r="AE177" s="559"/>
      <c r="AF177" s="559"/>
      <c r="AG177" s="559"/>
    </row>
    <row r="178" spans="1:33" ht="18" x14ac:dyDescent="0.35">
      <c r="A178" s="559"/>
      <c r="B178" s="579" t="s">
        <v>176</v>
      </c>
      <c r="C178" s="584" t="str">
        <f>'Objet 2 à 6'!plat4</f>
        <v>Aucun</v>
      </c>
      <c r="D178" s="630">
        <f>IF(C178="Aucun",0,'Objet 2 à 6'!Lnec4-0.3)</f>
        <v>0</v>
      </c>
      <c r="E178" s="630">
        <f>IF(C178="Aucun",0,'Objet 2 à 6'!lanec4-0.3)</f>
        <v>0</v>
      </c>
      <c r="F178" s="631">
        <f>IF(C178="Aucun",0,1)</f>
        <v>0</v>
      </c>
      <c r="G178" s="559"/>
      <c r="H178" s="559"/>
      <c r="I178" s="559"/>
      <c r="J178" s="559">
        <f t="shared" si="81"/>
        <v>0</v>
      </c>
      <c r="K178" s="559">
        <f t="shared" si="80"/>
        <v>0</v>
      </c>
      <c r="L178" s="71">
        <f>IF(E178=0,0,VLOOKUP(E178,'Prix Matiere'!$A$4:$J$65,10))</f>
        <v>0</v>
      </c>
      <c r="M178" s="625">
        <f t="shared" si="82"/>
        <v>0</v>
      </c>
      <c r="N178" s="626">
        <f t="shared" si="87"/>
        <v>0</v>
      </c>
      <c r="O178" s="625">
        <f t="shared" si="84"/>
        <v>0</v>
      </c>
      <c r="P178" s="559"/>
      <c r="Q178" s="627">
        <f>IF(J178=0,0,J178*VLOOKUP(C178,$A$274:$D$280,4))</f>
        <v>0</v>
      </c>
      <c r="R178" s="559"/>
      <c r="S178" s="559"/>
      <c r="T178" s="559"/>
      <c r="U178" s="559"/>
      <c r="V178" s="559"/>
      <c r="W178" s="559"/>
      <c r="X178" s="559"/>
      <c r="Y178" s="559"/>
      <c r="Z178" s="559"/>
      <c r="AA178" s="559"/>
      <c r="AB178" s="559"/>
      <c r="AC178" s="559"/>
      <c r="AD178" s="559"/>
      <c r="AE178" s="559"/>
      <c r="AF178" s="559"/>
      <c r="AG178" s="559"/>
    </row>
    <row r="179" spans="1:33" ht="18" x14ac:dyDescent="0.35">
      <c r="A179" s="559"/>
      <c r="B179" s="584"/>
      <c r="C179" s="584"/>
      <c r="D179" s="630"/>
      <c r="E179" s="630"/>
      <c r="F179" s="631"/>
      <c r="G179" s="559"/>
      <c r="H179" s="559"/>
      <c r="I179" s="559">
        <f>IF('Objet 2 à 6'!Lnec4=0,0,"Forfait rattrapage")</f>
        <v>0</v>
      </c>
      <c r="J179" s="559"/>
      <c r="K179" s="559"/>
      <c r="L179" s="71">
        <f>IF(E179=0,0,VLOOKUP(E179,'Prix Matiere'!$A$4:$J$65,10))</f>
        <v>0</v>
      </c>
      <c r="M179" s="625">
        <f>IF(I179="Forfait rattrapage",10,0)</f>
        <v>0</v>
      </c>
      <c r="N179" s="626">
        <f>IF(I179="Forfait rattrapage",12,0)</f>
        <v>0</v>
      </c>
      <c r="O179" s="625">
        <f t="shared" si="84"/>
        <v>0</v>
      </c>
      <c r="P179" s="559"/>
      <c r="Q179" s="627">
        <v>0</v>
      </c>
      <c r="R179" s="559"/>
      <c r="S179" s="559"/>
      <c r="T179" s="559"/>
      <c r="U179" s="559"/>
      <c r="V179" s="559"/>
      <c r="W179" s="559"/>
      <c r="X179" s="559"/>
      <c r="Y179" s="559"/>
      <c r="Z179" s="559"/>
      <c r="AA179" s="559"/>
      <c r="AB179" s="559"/>
      <c r="AC179" s="559"/>
      <c r="AD179" s="559"/>
      <c r="AE179" s="559"/>
      <c r="AF179" s="559"/>
      <c r="AG179" s="559"/>
    </row>
    <row r="180" spans="1:33" ht="18" x14ac:dyDescent="0.35">
      <c r="A180" s="559"/>
      <c r="B180" s="559"/>
      <c r="C180" s="559"/>
      <c r="D180" s="559"/>
      <c r="E180" s="559"/>
      <c r="F180" s="559"/>
      <c r="G180" s="559"/>
      <c r="H180" s="559"/>
      <c r="I180" s="559"/>
      <c r="J180" s="559">
        <f t="shared" ref="J180:J182" si="88">IF(C180=0,0,(C180/100)*(D180/100)*F180)</f>
        <v>0</v>
      </c>
      <c r="K180" s="559">
        <f t="shared" ref="K180:K194" si="89">J180/0.8</f>
        <v>0</v>
      </c>
      <c r="L180" s="71">
        <f>IF(E180=0,0,VLOOKUP(E180,'Prix Matiere'!$A$4:$J$65,10))</f>
        <v>0</v>
      </c>
      <c r="M180" s="625"/>
      <c r="N180" s="626"/>
      <c r="O180" s="625"/>
      <c r="P180" s="559"/>
      <c r="Q180" s="627">
        <v>0</v>
      </c>
      <c r="R180" s="559"/>
      <c r="S180" s="559"/>
      <c r="T180" s="559"/>
      <c r="U180" s="559"/>
      <c r="V180" s="559"/>
      <c r="W180" s="559"/>
      <c r="X180" s="559"/>
      <c r="Y180" s="559"/>
      <c r="Z180" s="559"/>
      <c r="AA180" s="559"/>
      <c r="AB180" s="559"/>
      <c r="AC180" s="559"/>
      <c r="AD180" s="559"/>
      <c r="AE180" s="559"/>
      <c r="AF180" s="559"/>
      <c r="AG180" s="559"/>
    </row>
    <row r="181" spans="1:33" ht="18" x14ac:dyDescent="0.35">
      <c r="A181" s="559"/>
      <c r="B181" s="560" t="s">
        <v>164</v>
      </c>
      <c r="C181" s="559"/>
      <c r="D181" s="559"/>
      <c r="E181" s="559"/>
      <c r="F181" s="559"/>
      <c r="G181" s="559"/>
      <c r="H181" s="559"/>
      <c r="I181" s="559"/>
      <c r="J181" s="559">
        <f t="shared" si="88"/>
        <v>0</v>
      </c>
      <c r="K181" s="559">
        <f t="shared" si="89"/>
        <v>0</v>
      </c>
      <c r="L181" s="71">
        <f>IF(E181=0,0,VLOOKUP(E181,'Prix Matiere'!$A$4:$J$65,10))</f>
        <v>0</v>
      </c>
      <c r="M181" s="625"/>
      <c r="N181" s="626"/>
      <c r="O181" s="625"/>
      <c r="P181" s="559"/>
      <c r="Q181" s="627">
        <v>0</v>
      </c>
      <c r="R181" s="559"/>
      <c r="S181" s="559"/>
      <c r="T181" s="559"/>
      <c r="U181" s="559"/>
      <c r="V181" s="559"/>
      <c r="W181" s="559"/>
      <c r="X181" s="559"/>
      <c r="Y181" s="559"/>
      <c r="Z181" s="559"/>
      <c r="AA181" s="559"/>
      <c r="AB181" s="559"/>
      <c r="AC181" s="559"/>
      <c r="AD181" s="559"/>
      <c r="AE181" s="559"/>
      <c r="AF181" s="559"/>
      <c r="AG181" s="559"/>
    </row>
    <row r="182" spans="1:33" ht="18" x14ac:dyDescent="0.35">
      <c r="A182" s="559"/>
      <c r="B182" s="629" t="str">
        <f>H34</f>
        <v>Aucun</v>
      </c>
      <c r="C182" s="622"/>
      <c r="D182" s="630" t="s">
        <v>28</v>
      </c>
      <c r="E182" s="630" t="s">
        <v>33</v>
      </c>
      <c r="F182" s="631" t="s">
        <v>34</v>
      </c>
      <c r="G182" s="559"/>
      <c r="H182" s="559"/>
      <c r="I182" s="559"/>
      <c r="J182" s="559">
        <f t="shared" si="88"/>
        <v>0</v>
      </c>
      <c r="K182" s="559">
        <f t="shared" si="89"/>
        <v>0</v>
      </c>
      <c r="L182" s="71"/>
      <c r="M182" s="625"/>
      <c r="N182" s="626"/>
      <c r="O182" s="625"/>
      <c r="P182" s="559"/>
      <c r="Q182" s="627">
        <v>0</v>
      </c>
      <c r="R182" s="559"/>
      <c r="S182" s="559"/>
      <c r="T182" s="559"/>
      <c r="U182" s="559"/>
      <c r="V182" s="559"/>
      <c r="W182" s="559"/>
      <c r="X182" s="559"/>
      <c r="Y182" s="559"/>
      <c r="Z182" s="559"/>
      <c r="AA182" s="559"/>
      <c r="AB182" s="559"/>
      <c r="AC182" s="559"/>
      <c r="AD182" s="559"/>
      <c r="AE182" s="559"/>
      <c r="AF182" s="559"/>
      <c r="AG182" s="559"/>
    </row>
    <row r="183" spans="1:33" ht="18" x14ac:dyDescent="0.35">
      <c r="A183" s="559"/>
      <c r="B183" s="622" t="s">
        <v>22</v>
      </c>
      <c r="C183" s="584">
        <f>VLOOKUP(B182,'Objet 2 à 6'!Moussecal5,2)</f>
        <v>0</v>
      </c>
      <c r="D183" s="631">
        <f>VLOOKUP(B182,'Objet 2 à 6'!Moussecal5,3)</f>
        <v>0</v>
      </c>
      <c r="E183" s="631">
        <f>VLOOKUP(B182,'Objet 2 à 6'!Moussecal5,4)</f>
        <v>0</v>
      </c>
      <c r="F183" s="631">
        <f>VLOOKUP(B182,'Objet 2 à 6'!Moussecal5,5)</f>
        <v>0</v>
      </c>
      <c r="G183" s="559">
        <f>IF(F183=0,0,"Barres 21 R4F")</f>
        <v>0</v>
      </c>
      <c r="H183" s="559"/>
      <c r="I183" s="559"/>
      <c r="J183" s="559">
        <f t="shared" ref="J183:J194" si="90">IF(D183=0,0,(D183/100)*(E183/100)*F183)</f>
        <v>0</v>
      </c>
      <c r="K183" s="559">
        <f t="shared" si="89"/>
        <v>0</v>
      </c>
      <c r="L183" s="71">
        <f>IF(E183=0,0,VLOOKUP(E183,'Prix Matiere'!$A$4:$J$65,10))</f>
        <v>0</v>
      </c>
      <c r="M183" s="625">
        <f t="shared" ref="M183:M194" si="91">L183*K183</f>
        <v>0</v>
      </c>
      <c r="N183" s="626">
        <f t="shared" ref="N183:N185" si="92">IF(J183=0,0,2+(6*J183))</f>
        <v>0</v>
      </c>
      <c r="O183" s="625">
        <f t="shared" ref="O183:O195" si="93">N183*'Objet 2 à 6'!MinuteMO</f>
        <v>0</v>
      </c>
      <c r="P183" s="559"/>
      <c r="Q183" s="627">
        <v>0</v>
      </c>
      <c r="R183" s="559"/>
      <c r="S183" s="559"/>
      <c r="T183" s="559"/>
      <c r="U183" s="559"/>
      <c r="V183" s="559"/>
      <c r="W183" s="559"/>
      <c r="X183" s="559"/>
      <c r="Y183" s="559"/>
      <c r="Z183" s="559"/>
      <c r="AA183" s="559"/>
      <c r="AB183" s="559"/>
      <c r="AC183" s="559"/>
      <c r="AD183" s="559"/>
      <c r="AE183" s="559"/>
      <c r="AF183" s="559"/>
      <c r="AG183" s="559"/>
    </row>
    <row r="184" spans="1:33" ht="18" x14ac:dyDescent="0.35">
      <c r="A184" s="559"/>
      <c r="B184" s="622"/>
      <c r="C184" s="584">
        <f>VLOOKUP(B182,'Objet 2 à 6'!Moussecal5,6)</f>
        <v>0</v>
      </c>
      <c r="D184" s="631">
        <f>VLOOKUP(B182,'Objet 2 à 6'!Moussecal5,7)</f>
        <v>0</v>
      </c>
      <c r="E184" s="631">
        <f>VLOOKUP(B182,'Objet 2 à 6'!Moussecal5,8)</f>
        <v>0</v>
      </c>
      <c r="F184" s="631">
        <f>VLOOKUP(B182,'Objet 2 à 6'!Moussecal5,9)</f>
        <v>0</v>
      </c>
      <c r="G184" s="559">
        <f t="shared" ref="G184:G185" si="94">IF(C184=0,0,"Barres 21 R4F")</f>
        <v>0</v>
      </c>
      <c r="H184" s="559"/>
      <c r="I184" s="559"/>
      <c r="J184" s="559">
        <f t="shared" si="90"/>
        <v>0</v>
      </c>
      <c r="K184" s="559">
        <f t="shared" si="89"/>
        <v>0</v>
      </c>
      <c r="L184" s="71">
        <f>IF(E184=0,0,VLOOKUP(E184,'Prix Matiere'!$A$4:$J$65,10))</f>
        <v>0</v>
      </c>
      <c r="M184" s="625">
        <f t="shared" si="91"/>
        <v>0</v>
      </c>
      <c r="N184" s="626">
        <f t="shared" si="92"/>
        <v>0</v>
      </c>
      <c r="O184" s="625">
        <f t="shared" si="93"/>
        <v>0</v>
      </c>
      <c r="P184" s="559"/>
      <c r="Q184" s="627">
        <v>0</v>
      </c>
      <c r="R184" s="559"/>
      <c r="S184" s="559"/>
      <c r="T184" s="559"/>
      <c r="U184" s="559"/>
      <c r="V184" s="559"/>
      <c r="W184" s="559"/>
      <c r="X184" s="559"/>
      <c r="Y184" s="559"/>
      <c r="Z184" s="559"/>
      <c r="AA184" s="559"/>
      <c r="AB184" s="559"/>
      <c r="AC184" s="559"/>
      <c r="AD184" s="559"/>
      <c r="AE184" s="559"/>
      <c r="AF184" s="559"/>
      <c r="AG184" s="559"/>
    </row>
    <row r="185" spans="1:33" ht="18" x14ac:dyDescent="0.35">
      <c r="A185" s="559"/>
      <c r="B185" s="622"/>
      <c r="C185" s="584">
        <f>VLOOKUP(B182,'Objet 2 à 6'!Moussecal5,10)</f>
        <v>0</v>
      </c>
      <c r="D185" s="631">
        <f>VLOOKUP(B182,'Objet 2 à 6'!Moussecal5,11)</f>
        <v>0</v>
      </c>
      <c r="E185" s="631">
        <f>VLOOKUP(B182,'Objet 2 à 6'!Moussecal5,12)</f>
        <v>0</v>
      </c>
      <c r="F185" s="631">
        <f>VLOOKUP(B182,'Objet 2 à 6'!Moussecal5,13)</f>
        <v>0</v>
      </c>
      <c r="G185" s="559">
        <f t="shared" si="94"/>
        <v>0</v>
      </c>
      <c r="H185" s="559"/>
      <c r="I185" s="559"/>
      <c r="J185" s="559">
        <f t="shared" si="90"/>
        <v>0</v>
      </c>
      <c r="K185" s="559">
        <f t="shared" si="89"/>
        <v>0</v>
      </c>
      <c r="L185" s="71">
        <f>IF(E185=0,0,VLOOKUP(E185,'Prix Matiere'!$A$4:$J$65,10))</f>
        <v>0</v>
      </c>
      <c r="M185" s="625">
        <f t="shared" si="91"/>
        <v>0</v>
      </c>
      <c r="N185" s="626">
        <f t="shared" si="92"/>
        <v>0</v>
      </c>
      <c r="O185" s="625">
        <f t="shared" si="93"/>
        <v>0</v>
      </c>
      <c r="P185" s="559"/>
      <c r="Q185" s="627">
        <v>0</v>
      </c>
      <c r="R185" s="559"/>
      <c r="S185" s="559"/>
      <c r="T185" s="559"/>
      <c r="U185" s="559"/>
      <c r="V185" s="559"/>
      <c r="W185" s="559"/>
      <c r="X185" s="559"/>
      <c r="Y185" s="559"/>
      <c r="Z185" s="559"/>
      <c r="AA185" s="559"/>
      <c r="AB185" s="559"/>
      <c r="AC185" s="559"/>
      <c r="AD185" s="559"/>
      <c r="AE185" s="559"/>
      <c r="AF185" s="559"/>
      <c r="AG185" s="559"/>
    </row>
    <row r="186" spans="1:33" ht="18" x14ac:dyDescent="0.35">
      <c r="A186" s="559"/>
      <c r="B186" s="622" t="s">
        <v>80</v>
      </c>
      <c r="C186" s="584">
        <f>VLOOKUP(B182,'Objet 2 à 6'!Moussecal5,14)</f>
        <v>0</v>
      </c>
      <c r="D186" s="631">
        <f>VLOOKUP(B182,'Objet 2 à 6'!Moussecal5,15)</f>
        <v>0</v>
      </c>
      <c r="E186" s="631">
        <f>VLOOKUP(B182,'Objet 2 à 6'!Moussecal5,16)</f>
        <v>0</v>
      </c>
      <c r="F186" s="631">
        <f>VLOOKUP(B182,'Objet 2 à 6'!Moussecal5,17)</f>
        <v>0</v>
      </c>
      <c r="G186" s="559">
        <f t="shared" ref="G186:G189" si="95">C186</f>
        <v>0</v>
      </c>
      <c r="H186" s="559"/>
      <c r="I186" s="559"/>
      <c r="J186" s="559">
        <f t="shared" si="90"/>
        <v>0</v>
      </c>
      <c r="K186" s="559">
        <f t="shared" si="89"/>
        <v>0</v>
      </c>
      <c r="L186" s="71">
        <f>IF(E186=0,0,VLOOKUP(E186,'Prix Matiere'!$A$4:$J$65,10))</f>
        <v>0</v>
      </c>
      <c r="M186" s="625">
        <f t="shared" si="91"/>
        <v>0</v>
      </c>
      <c r="N186" s="626">
        <f t="shared" ref="N186:N194" si="96">IF(J186=0,0,4.7283*J186+2)</f>
        <v>0</v>
      </c>
      <c r="O186" s="625">
        <f t="shared" si="93"/>
        <v>0</v>
      </c>
      <c r="P186" s="559"/>
      <c r="Q186" s="627">
        <v>0</v>
      </c>
      <c r="R186" s="559"/>
      <c r="S186" s="559"/>
      <c r="T186" s="559"/>
      <c r="U186" s="559"/>
      <c r="V186" s="559"/>
      <c r="W186" s="559"/>
      <c r="X186" s="559"/>
      <c r="Y186" s="559"/>
      <c r="Z186" s="559"/>
      <c r="AA186" s="559"/>
      <c r="AB186" s="559"/>
      <c r="AC186" s="559"/>
      <c r="AD186" s="559"/>
      <c r="AE186" s="559"/>
      <c r="AF186" s="559"/>
      <c r="AG186" s="559"/>
    </row>
    <row r="187" spans="1:33" ht="18" x14ac:dyDescent="0.35">
      <c r="A187" s="559"/>
      <c r="B187" s="622"/>
      <c r="C187" s="584">
        <f>VLOOKUP(B182,'Objet 2 à 6'!Moussecal5,18)</f>
        <v>0</v>
      </c>
      <c r="D187" s="631">
        <f>VLOOKUP(B182,'Objet 2 à 6'!Moussecal5,19)</f>
        <v>0</v>
      </c>
      <c r="E187" s="631">
        <f>VLOOKUP(B182,'Objet 2 à 6'!Moussecal5,20)</f>
        <v>0</v>
      </c>
      <c r="F187" s="631">
        <f>VLOOKUP(B182,'Objet 2 à 6'!Moussecal5,21)</f>
        <v>0</v>
      </c>
      <c r="G187" s="559">
        <f t="shared" si="95"/>
        <v>0</v>
      </c>
      <c r="H187" s="559"/>
      <c r="I187" s="559"/>
      <c r="J187" s="559">
        <f t="shared" si="90"/>
        <v>0</v>
      </c>
      <c r="K187" s="559">
        <f t="shared" si="89"/>
        <v>0</v>
      </c>
      <c r="L187" s="71">
        <f>IF(E187=0,0,VLOOKUP(E187,'Prix Matiere'!$A$4:$J$65,10))</f>
        <v>0</v>
      </c>
      <c r="M187" s="625">
        <f t="shared" si="91"/>
        <v>0</v>
      </c>
      <c r="N187" s="626">
        <f t="shared" si="96"/>
        <v>0</v>
      </c>
      <c r="O187" s="625">
        <f t="shared" si="93"/>
        <v>0</v>
      </c>
      <c r="P187" s="559"/>
      <c r="Q187" s="627">
        <v>0</v>
      </c>
      <c r="R187" s="559"/>
      <c r="S187" s="559"/>
      <c r="T187" s="559"/>
      <c r="U187" s="559"/>
      <c r="V187" s="559"/>
      <c r="W187" s="559"/>
      <c r="X187" s="559"/>
      <c r="Y187" s="559"/>
      <c r="Z187" s="559"/>
      <c r="AA187" s="559"/>
      <c r="AB187" s="559"/>
      <c r="AC187" s="559"/>
      <c r="AD187" s="559"/>
      <c r="AE187" s="559"/>
      <c r="AF187" s="559"/>
      <c r="AG187" s="559"/>
    </row>
    <row r="188" spans="1:33" ht="18" x14ac:dyDescent="0.35">
      <c r="A188" s="559"/>
      <c r="B188" s="622"/>
      <c r="C188" s="584">
        <f>VLOOKUP(B182,'Objet 2 à 6'!Moussecal5,28)</f>
        <v>0</v>
      </c>
      <c r="D188" s="631">
        <f>VLOOKUP(B182,'Objet 2 à 6'!Moussecal5,29)</f>
        <v>0</v>
      </c>
      <c r="E188" s="631">
        <f>VLOOKUP(B182,'Objet 2 à 6'!Moussecal5,30)</f>
        <v>0</v>
      </c>
      <c r="F188" s="631">
        <f>VLOOKUP(B182,'Objet 2 à 6'!Moussecal5,31)</f>
        <v>0</v>
      </c>
      <c r="G188" s="559">
        <f t="shared" si="95"/>
        <v>0</v>
      </c>
      <c r="H188" s="559"/>
      <c r="I188" s="559"/>
      <c r="J188" s="559">
        <f t="shared" si="90"/>
        <v>0</v>
      </c>
      <c r="K188" s="559">
        <f t="shared" si="89"/>
        <v>0</v>
      </c>
      <c r="L188" s="71">
        <f>IF(E188=0,0,VLOOKUP(E188,'Prix Matiere'!$A$4:$J$65,10))</f>
        <v>0</v>
      </c>
      <c r="M188" s="625">
        <f t="shared" si="91"/>
        <v>0</v>
      </c>
      <c r="N188" s="626">
        <f t="shared" si="96"/>
        <v>0</v>
      </c>
      <c r="O188" s="625">
        <f t="shared" si="93"/>
        <v>0</v>
      </c>
      <c r="P188" s="559"/>
      <c r="Q188" s="627">
        <v>0</v>
      </c>
      <c r="R188" s="559"/>
      <c r="S188" s="559"/>
      <c r="T188" s="559"/>
      <c r="U188" s="559"/>
      <c r="V188" s="559"/>
      <c r="W188" s="559"/>
      <c r="X188" s="559"/>
      <c r="Y188" s="559"/>
      <c r="Z188" s="559"/>
      <c r="AA188" s="559"/>
      <c r="AB188" s="559"/>
      <c r="AC188" s="559"/>
      <c r="AD188" s="559"/>
      <c r="AE188" s="559"/>
      <c r="AF188" s="559"/>
      <c r="AG188" s="559"/>
    </row>
    <row r="189" spans="1:33" ht="18" x14ac:dyDescent="0.35">
      <c r="A189" s="559"/>
      <c r="B189" s="584"/>
      <c r="C189" s="584">
        <f>VLOOKUP(B182,'Objet 2 à 6'!Moussecal5,22)</f>
        <v>0</v>
      </c>
      <c r="D189" s="631">
        <f>VLOOKUP(B182,'Objet 2 à 6'!Moussecal5,25)</f>
        <v>0</v>
      </c>
      <c r="E189" s="631">
        <f>VLOOKUP(B182,'Objet 2 à 6'!Moussecal5,26)</f>
        <v>0</v>
      </c>
      <c r="F189" s="631">
        <f>IF(D189=0,0,1)</f>
        <v>0</v>
      </c>
      <c r="G189" s="559">
        <f t="shared" si="95"/>
        <v>0</v>
      </c>
      <c r="H189" s="559"/>
      <c r="I189" s="559"/>
      <c r="J189" s="559">
        <f t="shared" si="90"/>
        <v>0</v>
      </c>
      <c r="K189" s="559">
        <f t="shared" si="89"/>
        <v>0</v>
      </c>
      <c r="L189" s="71">
        <f>IF(E189=0,0,VLOOKUP(E189,'Prix Matiere'!$A$4:$J$65,10))</f>
        <v>0</v>
      </c>
      <c r="M189" s="625">
        <f t="shared" si="91"/>
        <v>0</v>
      </c>
      <c r="N189" s="626">
        <f t="shared" si="96"/>
        <v>0</v>
      </c>
      <c r="O189" s="625">
        <f t="shared" si="93"/>
        <v>0</v>
      </c>
      <c r="P189" s="559"/>
      <c r="Q189" s="627">
        <v>0</v>
      </c>
      <c r="R189" s="559"/>
      <c r="S189" s="559"/>
      <c r="T189" s="559"/>
      <c r="U189" s="559"/>
      <c r="V189" s="559"/>
      <c r="W189" s="559"/>
      <c r="X189" s="559"/>
      <c r="Y189" s="559"/>
      <c r="Z189" s="559"/>
      <c r="AA189" s="559"/>
      <c r="AB189" s="559"/>
      <c r="AC189" s="559"/>
      <c r="AD189" s="559"/>
      <c r="AE189" s="559"/>
      <c r="AF189" s="559"/>
      <c r="AG189" s="559"/>
    </row>
    <row r="190" spans="1:33" ht="18" x14ac:dyDescent="0.35">
      <c r="A190" s="559"/>
      <c r="B190" s="584"/>
      <c r="C190" s="584"/>
      <c r="D190" s="631"/>
      <c r="E190" s="631"/>
      <c r="F190" s="631"/>
      <c r="G190" s="559"/>
      <c r="H190" s="559"/>
      <c r="I190" s="559"/>
      <c r="J190" s="559">
        <f t="shared" si="90"/>
        <v>0</v>
      </c>
      <c r="K190" s="559">
        <f t="shared" si="89"/>
        <v>0</v>
      </c>
      <c r="L190" s="71">
        <f>IF(E190=0,0,VLOOKUP(E190,'Prix Matiere'!$A$4:$J$65,10))</f>
        <v>0</v>
      </c>
      <c r="M190" s="625">
        <f t="shared" si="91"/>
        <v>0</v>
      </c>
      <c r="N190" s="626">
        <f t="shared" si="96"/>
        <v>0</v>
      </c>
      <c r="O190" s="625">
        <f t="shared" si="93"/>
        <v>0</v>
      </c>
      <c r="P190" s="559"/>
      <c r="Q190" s="627">
        <v>0</v>
      </c>
      <c r="R190" s="559"/>
      <c r="S190" s="559"/>
      <c r="T190" s="559"/>
      <c r="U190" s="559"/>
      <c r="V190" s="559"/>
      <c r="W190" s="559"/>
      <c r="X190" s="559"/>
      <c r="Y190" s="559"/>
      <c r="Z190" s="559"/>
      <c r="AA190" s="559"/>
      <c r="AB190" s="559"/>
      <c r="AC190" s="559"/>
      <c r="AD190" s="559"/>
      <c r="AE190" s="559"/>
      <c r="AF190" s="559"/>
      <c r="AG190" s="559"/>
    </row>
    <row r="191" spans="1:33" ht="18" x14ac:dyDescent="0.35">
      <c r="A191" s="559"/>
      <c r="B191" s="584"/>
      <c r="C191" s="584"/>
      <c r="D191" s="630"/>
      <c r="E191" s="630"/>
      <c r="F191" s="631"/>
      <c r="G191" s="559"/>
      <c r="H191" s="559"/>
      <c r="I191" s="559"/>
      <c r="J191" s="559">
        <f t="shared" si="90"/>
        <v>0</v>
      </c>
      <c r="K191" s="559">
        <f t="shared" si="89"/>
        <v>0</v>
      </c>
      <c r="L191" s="71">
        <f>IF(E191=0,0,VLOOKUP(E191,'Prix Matiere'!$A$4:$J$65,10))</f>
        <v>0</v>
      </c>
      <c r="M191" s="625">
        <f t="shared" si="91"/>
        <v>0</v>
      </c>
      <c r="N191" s="626">
        <f t="shared" si="96"/>
        <v>0</v>
      </c>
      <c r="O191" s="625">
        <f t="shared" si="93"/>
        <v>0</v>
      </c>
      <c r="P191" s="559"/>
      <c r="Q191" s="627">
        <v>0</v>
      </c>
      <c r="R191" s="559"/>
      <c r="S191" s="559"/>
      <c r="T191" s="559"/>
      <c r="U191" s="559"/>
      <c r="V191" s="559"/>
      <c r="W191" s="559"/>
      <c r="X191" s="559"/>
      <c r="Y191" s="559"/>
      <c r="Z191" s="559"/>
      <c r="AA191" s="559"/>
      <c r="AB191" s="559"/>
      <c r="AC191" s="559"/>
      <c r="AD191" s="559"/>
      <c r="AE191" s="559"/>
      <c r="AF191" s="559"/>
      <c r="AG191" s="559"/>
    </row>
    <row r="192" spans="1:33" ht="18" x14ac:dyDescent="0.35">
      <c r="A192" s="559"/>
      <c r="B192" s="584"/>
      <c r="C192" s="584"/>
      <c r="D192" s="630"/>
      <c r="E192" s="630"/>
      <c r="F192" s="631"/>
      <c r="G192" s="559"/>
      <c r="H192" s="559"/>
      <c r="I192" s="559"/>
      <c r="J192" s="559">
        <f t="shared" si="90"/>
        <v>0</v>
      </c>
      <c r="K192" s="559">
        <f t="shared" si="89"/>
        <v>0</v>
      </c>
      <c r="L192" s="71">
        <f>IF(E192=0,0,VLOOKUP(E192,'Prix Matiere'!$A$4:$J$65,10))</f>
        <v>0</v>
      </c>
      <c r="M192" s="625">
        <f t="shared" si="91"/>
        <v>0</v>
      </c>
      <c r="N192" s="626">
        <f t="shared" si="96"/>
        <v>0</v>
      </c>
      <c r="O192" s="625">
        <f t="shared" si="93"/>
        <v>0</v>
      </c>
      <c r="P192" s="559"/>
      <c r="Q192" s="627">
        <v>0</v>
      </c>
      <c r="R192" s="559"/>
      <c r="S192" s="559"/>
      <c r="T192" s="559"/>
      <c r="U192" s="559"/>
      <c r="V192" s="559"/>
      <c r="W192" s="559"/>
      <c r="X192" s="559"/>
      <c r="Y192" s="559"/>
      <c r="Z192" s="559"/>
      <c r="AA192" s="559"/>
      <c r="AB192" s="559"/>
      <c r="AC192" s="559"/>
      <c r="AD192" s="559"/>
      <c r="AE192" s="559"/>
      <c r="AF192" s="559"/>
      <c r="AG192" s="559"/>
    </row>
    <row r="193" spans="1:33" ht="18" x14ac:dyDescent="0.35">
      <c r="A193" s="559"/>
      <c r="B193" s="584"/>
      <c r="C193" s="584"/>
      <c r="D193" s="630"/>
      <c r="E193" s="630"/>
      <c r="F193" s="631"/>
      <c r="G193" s="559"/>
      <c r="H193" s="559"/>
      <c r="I193" s="559"/>
      <c r="J193" s="559">
        <f t="shared" si="90"/>
        <v>0</v>
      </c>
      <c r="K193" s="559">
        <f t="shared" si="89"/>
        <v>0</v>
      </c>
      <c r="L193" s="71">
        <f>IF(E193=0,0,VLOOKUP(E193,'Prix Matiere'!$A$4:$J$65,10))</f>
        <v>0</v>
      </c>
      <c r="M193" s="625">
        <f t="shared" si="91"/>
        <v>0</v>
      </c>
      <c r="N193" s="626">
        <f t="shared" si="96"/>
        <v>0</v>
      </c>
      <c r="O193" s="625">
        <f t="shared" si="93"/>
        <v>0</v>
      </c>
      <c r="P193" s="559"/>
      <c r="Q193" s="627">
        <v>0</v>
      </c>
      <c r="R193" s="559"/>
      <c r="S193" s="559"/>
      <c r="T193" s="559"/>
      <c r="U193" s="559"/>
      <c r="V193" s="559"/>
      <c r="W193" s="559"/>
      <c r="X193" s="559"/>
      <c r="Y193" s="559"/>
      <c r="Z193" s="559"/>
      <c r="AA193" s="559"/>
      <c r="AB193" s="559"/>
      <c r="AC193" s="559"/>
      <c r="AD193" s="559"/>
      <c r="AE193" s="559"/>
      <c r="AF193" s="559"/>
      <c r="AG193" s="559"/>
    </row>
    <row r="194" spans="1:33" ht="18" x14ac:dyDescent="0.35">
      <c r="A194" s="559"/>
      <c r="B194" s="579" t="s">
        <v>176</v>
      </c>
      <c r="C194" s="584" t="str">
        <f>'Objet 2 à 6'!plat5</f>
        <v>Aucun</v>
      </c>
      <c r="D194" s="630">
        <f>IF(C194="Aucun",0,'Objet 2 à 6'!Lnec5-0.3)</f>
        <v>0</v>
      </c>
      <c r="E194" s="630">
        <f>IF(C194="Aucun",0,'Objet 2 à 6'!lanec5-0.3)</f>
        <v>0</v>
      </c>
      <c r="F194" s="631">
        <f>IF(C194="Aucun",0,1)</f>
        <v>0</v>
      </c>
      <c r="G194" s="559"/>
      <c r="H194" s="559"/>
      <c r="I194" s="559"/>
      <c r="J194" s="559">
        <f t="shared" si="90"/>
        <v>0</v>
      </c>
      <c r="K194" s="559">
        <f t="shared" si="89"/>
        <v>0</v>
      </c>
      <c r="L194" s="71">
        <f>IF(E194=0,0,VLOOKUP(E194,'Prix Matiere'!$A$4:$J$65,10))</f>
        <v>0</v>
      </c>
      <c r="M194" s="625">
        <f t="shared" si="91"/>
        <v>0</v>
      </c>
      <c r="N194" s="626">
        <f t="shared" si="96"/>
        <v>0</v>
      </c>
      <c r="O194" s="625">
        <f t="shared" si="93"/>
        <v>0</v>
      </c>
      <c r="P194" s="559"/>
      <c r="Q194" s="627">
        <f>IF(J194=0,0,J194*VLOOKUP(C194,$A$274:$D$280,4))</f>
        <v>0</v>
      </c>
      <c r="R194" s="559"/>
      <c r="S194" s="559"/>
      <c r="T194" s="559"/>
      <c r="U194" s="559"/>
      <c r="V194" s="559"/>
      <c r="W194" s="559"/>
      <c r="X194" s="559"/>
      <c r="Y194" s="559"/>
      <c r="Z194" s="559"/>
      <c r="AA194" s="559"/>
      <c r="AB194" s="559"/>
      <c r="AC194" s="559"/>
      <c r="AD194" s="559"/>
      <c r="AE194" s="559"/>
      <c r="AF194" s="559"/>
      <c r="AG194" s="559"/>
    </row>
    <row r="195" spans="1:33" ht="18" x14ac:dyDescent="0.35">
      <c r="A195" s="559"/>
      <c r="B195" s="584"/>
      <c r="C195" s="584"/>
      <c r="D195" s="630"/>
      <c r="E195" s="630"/>
      <c r="F195" s="631"/>
      <c r="G195" s="559"/>
      <c r="H195" s="559"/>
      <c r="I195" s="559">
        <f>IF('Objet 2 à 6'!Lnec5=0,0,"Forfait rattrapage")</f>
        <v>0</v>
      </c>
      <c r="J195" s="559"/>
      <c r="K195" s="559"/>
      <c r="L195" s="71">
        <f>IF(E195=0,0,VLOOKUP(E195,'Prix Matiere'!$A$4:$J$65,10))</f>
        <v>0</v>
      </c>
      <c r="M195" s="625">
        <f>IF(I195="Forfait rattrapage",10,0)</f>
        <v>0</v>
      </c>
      <c r="N195" s="626">
        <f>IF(I195="Forfait rattrapage",12,0)</f>
        <v>0</v>
      </c>
      <c r="O195" s="625">
        <f t="shared" si="93"/>
        <v>0</v>
      </c>
      <c r="P195" s="559"/>
      <c r="Q195" s="627">
        <v>0</v>
      </c>
      <c r="R195" s="559"/>
      <c r="S195" s="559"/>
      <c r="T195" s="559"/>
      <c r="U195" s="559"/>
      <c r="V195" s="559"/>
      <c r="W195" s="559"/>
      <c r="X195" s="559"/>
      <c r="Y195" s="559"/>
      <c r="Z195" s="559"/>
      <c r="AA195" s="559"/>
      <c r="AB195" s="559"/>
      <c r="AC195" s="559"/>
      <c r="AD195" s="559"/>
      <c r="AE195" s="559"/>
      <c r="AF195" s="559"/>
      <c r="AG195" s="559"/>
    </row>
    <row r="196" spans="1:33" ht="18" x14ac:dyDescent="0.35">
      <c r="A196" s="559"/>
      <c r="B196" s="559"/>
      <c r="C196" s="559"/>
      <c r="D196" s="559"/>
      <c r="E196" s="559"/>
      <c r="F196" s="559"/>
      <c r="G196" s="559"/>
      <c r="H196" s="559"/>
      <c r="I196" s="559"/>
      <c r="J196" s="559">
        <f t="shared" ref="J196:J198" si="97">IF(C196=0,0,(C196/100)*(D196/100)*F196)</f>
        <v>0</v>
      </c>
      <c r="K196" s="559">
        <f t="shared" ref="K196:K210" si="98">J196/0.8</f>
        <v>0</v>
      </c>
      <c r="L196" s="71">
        <f>IF(E196=0,0,VLOOKUP(E196,'Prix Matiere'!$A$4:$J$65,10))</f>
        <v>0</v>
      </c>
      <c r="M196" s="625"/>
      <c r="N196" s="626"/>
      <c r="O196" s="625"/>
      <c r="P196" s="559"/>
      <c r="Q196" s="627">
        <v>0</v>
      </c>
      <c r="R196" s="559"/>
      <c r="S196" s="559"/>
      <c r="T196" s="559"/>
      <c r="U196" s="559"/>
      <c r="V196" s="559"/>
      <c r="W196" s="559"/>
      <c r="X196" s="559"/>
      <c r="Y196" s="559"/>
      <c r="Z196" s="559"/>
      <c r="AA196" s="559"/>
      <c r="AB196" s="559"/>
      <c r="AC196" s="559"/>
      <c r="AD196" s="559"/>
      <c r="AE196" s="559"/>
      <c r="AF196" s="559"/>
      <c r="AG196" s="559"/>
    </row>
    <row r="197" spans="1:33" ht="18" x14ac:dyDescent="0.35">
      <c r="A197" s="559"/>
      <c r="B197" s="560" t="s">
        <v>165</v>
      </c>
      <c r="C197" s="559"/>
      <c r="D197" s="559"/>
      <c r="E197" s="559"/>
      <c r="F197" s="559"/>
      <c r="G197" s="559"/>
      <c r="H197" s="559"/>
      <c r="I197" s="559"/>
      <c r="J197" s="559">
        <f t="shared" si="97"/>
        <v>0</v>
      </c>
      <c r="K197" s="559">
        <f t="shared" si="98"/>
        <v>0</v>
      </c>
      <c r="L197" s="71">
        <f>IF(E197=0,0,VLOOKUP(E197,'Prix Matiere'!$A$4:$J$65,10))</f>
        <v>0</v>
      </c>
      <c r="M197" s="625"/>
      <c r="N197" s="626"/>
      <c r="O197" s="625"/>
      <c r="P197" s="559"/>
      <c r="Q197" s="627">
        <v>0</v>
      </c>
      <c r="R197" s="559"/>
      <c r="S197" s="559"/>
      <c r="T197" s="559"/>
      <c r="U197" s="559"/>
      <c r="V197" s="559"/>
      <c r="W197" s="559"/>
      <c r="X197" s="559"/>
      <c r="Y197" s="559"/>
      <c r="Z197" s="559"/>
      <c r="AA197" s="559"/>
      <c r="AB197" s="559"/>
      <c r="AC197" s="559"/>
      <c r="AD197" s="559"/>
      <c r="AE197" s="559"/>
      <c r="AF197" s="559"/>
      <c r="AG197" s="559"/>
    </row>
    <row r="198" spans="1:33" ht="18" x14ac:dyDescent="0.35">
      <c r="A198" s="559"/>
      <c r="B198" s="629" t="str">
        <f>H41</f>
        <v>Aucun</v>
      </c>
      <c r="C198" s="622"/>
      <c r="D198" s="630" t="s">
        <v>28</v>
      </c>
      <c r="E198" s="630" t="s">
        <v>33</v>
      </c>
      <c r="F198" s="631" t="s">
        <v>34</v>
      </c>
      <c r="G198" s="559"/>
      <c r="H198" s="559"/>
      <c r="I198" s="559"/>
      <c r="J198" s="559">
        <f t="shared" si="97"/>
        <v>0</v>
      </c>
      <c r="K198" s="559">
        <f t="shared" si="98"/>
        <v>0</v>
      </c>
      <c r="L198" s="71"/>
      <c r="M198" s="625"/>
      <c r="N198" s="626"/>
      <c r="O198" s="625"/>
      <c r="P198" s="559"/>
      <c r="Q198" s="627">
        <v>0</v>
      </c>
      <c r="R198" s="559"/>
      <c r="S198" s="559"/>
      <c r="T198" s="559"/>
      <c r="U198" s="559"/>
      <c r="V198" s="559"/>
      <c r="W198" s="559"/>
      <c r="X198" s="559"/>
      <c r="Y198" s="559"/>
      <c r="Z198" s="559"/>
      <c r="AA198" s="559"/>
      <c r="AB198" s="559"/>
      <c r="AC198" s="559"/>
      <c r="AD198" s="559"/>
      <c r="AE198" s="559"/>
      <c r="AF198" s="559"/>
      <c r="AG198" s="559"/>
    </row>
    <row r="199" spans="1:33" ht="18" x14ac:dyDescent="0.35">
      <c r="A199" s="559"/>
      <c r="B199" s="622" t="s">
        <v>22</v>
      </c>
      <c r="C199" s="584">
        <f>VLOOKUP(B198,'Objet 2 à 6'!Moussecal6,2)</f>
        <v>0</v>
      </c>
      <c r="D199" s="631">
        <f>VLOOKUP(B198,'Objet 2 à 6'!Moussecal6,3)</f>
        <v>0</v>
      </c>
      <c r="E199" s="631">
        <f>VLOOKUP(B198,'Objet 2 à 6'!Moussecal6,4)</f>
        <v>0</v>
      </c>
      <c r="F199" s="631">
        <f>VLOOKUP(B198,'Objet 2 à 6'!Moussecal6,5)</f>
        <v>0</v>
      </c>
      <c r="G199" s="559">
        <f>IF(F199=0,0,"Barres 21 R4F")</f>
        <v>0</v>
      </c>
      <c r="H199" s="559"/>
      <c r="I199" s="559"/>
      <c r="J199" s="559">
        <f t="shared" ref="J199:J210" si="99">IF(D199=0,0,(D199/100)*(E199/100)*F199)</f>
        <v>0</v>
      </c>
      <c r="K199" s="559">
        <f t="shared" si="98"/>
        <v>0</v>
      </c>
      <c r="L199" s="71">
        <f>IF(E199=0,0,VLOOKUP(E199,'Prix Matiere'!$A$4:$J$65,10))</f>
        <v>0</v>
      </c>
      <c r="M199" s="625">
        <f t="shared" ref="M199:M210" si="100">L199*K199</f>
        <v>0</v>
      </c>
      <c r="N199" s="626">
        <f t="shared" ref="N199:N201" si="101">IF(J199=0,0,2+(6*J199))</f>
        <v>0</v>
      </c>
      <c r="O199" s="625">
        <f t="shared" ref="O199:O211" si="102">N199*'Objet 2 à 6'!MinuteMO</f>
        <v>0</v>
      </c>
      <c r="P199" s="559"/>
      <c r="Q199" s="627">
        <v>0</v>
      </c>
      <c r="R199" s="559"/>
      <c r="S199" s="559"/>
      <c r="T199" s="559"/>
      <c r="U199" s="559"/>
      <c r="V199" s="559"/>
      <c r="W199" s="559"/>
      <c r="X199" s="559"/>
      <c r="Y199" s="559"/>
      <c r="Z199" s="559"/>
      <c r="AA199" s="559"/>
      <c r="AB199" s="559"/>
      <c r="AC199" s="559"/>
      <c r="AD199" s="559"/>
      <c r="AE199" s="559"/>
      <c r="AF199" s="559"/>
      <c r="AG199" s="559"/>
    </row>
    <row r="200" spans="1:33" ht="18" x14ac:dyDescent="0.35">
      <c r="A200" s="559"/>
      <c r="B200" s="622"/>
      <c r="C200" s="584">
        <f>VLOOKUP(B198,'Objet 2 à 6'!Moussecal6,6)</f>
        <v>0</v>
      </c>
      <c r="D200" s="631">
        <f>VLOOKUP(B198,'Objet 2 à 6'!Moussecal6,7)</f>
        <v>0</v>
      </c>
      <c r="E200" s="631">
        <f>VLOOKUP(B198,'Objet 2 à 6'!Moussecal6,8)</f>
        <v>0</v>
      </c>
      <c r="F200" s="631">
        <f>VLOOKUP(B198,'Objet 2 à 6'!Moussecal6,9)</f>
        <v>0</v>
      </c>
      <c r="G200" s="559">
        <f t="shared" ref="G200:G201" si="103">IF(C200=0,0,"Barres 21 R4F")</f>
        <v>0</v>
      </c>
      <c r="H200" s="559"/>
      <c r="I200" s="559"/>
      <c r="J200" s="559">
        <f t="shared" si="99"/>
        <v>0</v>
      </c>
      <c r="K200" s="559">
        <f t="shared" si="98"/>
        <v>0</v>
      </c>
      <c r="L200" s="71">
        <f>IF(E200=0,0,VLOOKUP(E200,'Prix Matiere'!$A$4:$J$65,10))</f>
        <v>0</v>
      </c>
      <c r="M200" s="625">
        <f t="shared" si="100"/>
        <v>0</v>
      </c>
      <c r="N200" s="626">
        <f t="shared" si="101"/>
        <v>0</v>
      </c>
      <c r="O200" s="625">
        <f t="shared" si="102"/>
        <v>0</v>
      </c>
      <c r="P200" s="559"/>
      <c r="Q200" s="627">
        <v>0</v>
      </c>
      <c r="R200" s="559"/>
      <c r="S200" s="559"/>
      <c r="T200" s="559"/>
      <c r="U200" s="559"/>
      <c r="V200" s="559"/>
      <c r="W200" s="559"/>
      <c r="X200" s="559"/>
      <c r="Y200" s="559"/>
      <c r="Z200" s="559"/>
      <c r="AA200" s="559"/>
      <c r="AB200" s="559"/>
      <c r="AC200" s="559"/>
      <c r="AD200" s="559"/>
      <c r="AE200" s="559"/>
      <c r="AF200" s="559"/>
      <c r="AG200" s="559"/>
    </row>
    <row r="201" spans="1:33" ht="18" x14ac:dyDescent="0.35">
      <c r="A201" s="559"/>
      <c r="B201" s="622"/>
      <c r="C201" s="584">
        <f>VLOOKUP(B198,'Objet 2 à 6'!Moussecal6,10)</f>
        <v>0</v>
      </c>
      <c r="D201" s="631">
        <f>VLOOKUP(B198,'Objet 2 à 6'!Moussecal6,11)</f>
        <v>0</v>
      </c>
      <c r="E201" s="631">
        <f>VLOOKUP(B198,'Objet 2 à 6'!Moussecal6,12)</f>
        <v>0</v>
      </c>
      <c r="F201" s="631">
        <f>VLOOKUP(B198,'Objet 2 à 6'!Moussecal6,13)</f>
        <v>0</v>
      </c>
      <c r="G201" s="559">
        <f t="shared" si="103"/>
        <v>0</v>
      </c>
      <c r="H201" s="559"/>
      <c r="I201" s="559"/>
      <c r="J201" s="559">
        <f t="shared" si="99"/>
        <v>0</v>
      </c>
      <c r="K201" s="559">
        <f t="shared" si="98"/>
        <v>0</v>
      </c>
      <c r="L201" s="71">
        <f>IF(E201=0,0,VLOOKUP(E201,'Prix Matiere'!$A$4:$J$65,10))</f>
        <v>0</v>
      </c>
      <c r="M201" s="625">
        <f t="shared" si="100"/>
        <v>0</v>
      </c>
      <c r="N201" s="626">
        <f t="shared" si="101"/>
        <v>0</v>
      </c>
      <c r="O201" s="625">
        <f t="shared" si="102"/>
        <v>0</v>
      </c>
      <c r="P201" s="559"/>
      <c r="Q201" s="627">
        <v>0</v>
      </c>
      <c r="R201" s="559"/>
      <c r="S201" s="559"/>
      <c r="T201" s="559"/>
      <c r="U201" s="559"/>
      <c r="V201" s="559"/>
      <c r="W201" s="559"/>
      <c r="X201" s="559"/>
      <c r="Y201" s="559"/>
      <c r="Z201" s="559"/>
      <c r="AA201" s="559"/>
      <c r="AB201" s="559"/>
      <c r="AC201" s="559"/>
      <c r="AD201" s="559"/>
      <c r="AE201" s="559"/>
      <c r="AF201" s="559"/>
      <c r="AG201" s="559"/>
    </row>
    <row r="202" spans="1:33" ht="18" x14ac:dyDescent="0.35">
      <c r="A202" s="559"/>
      <c r="B202" s="622" t="s">
        <v>80</v>
      </c>
      <c r="C202" s="584">
        <f>VLOOKUP(B198,'Objet 2 à 6'!Moussecal6,14)</f>
        <v>0</v>
      </c>
      <c r="D202" s="631">
        <f>VLOOKUP(B198,'Objet 2 à 6'!Moussecal6,15)</f>
        <v>0</v>
      </c>
      <c r="E202" s="631">
        <f>VLOOKUP(B198,'Objet 2 à 6'!Moussecal6,16)</f>
        <v>0</v>
      </c>
      <c r="F202" s="631">
        <f>VLOOKUP(B198,'Objet 2 à 6'!Moussecal6,17)</f>
        <v>0</v>
      </c>
      <c r="G202" s="559">
        <f t="shared" ref="G202:G205" si="104">C202</f>
        <v>0</v>
      </c>
      <c r="H202" s="559"/>
      <c r="I202" s="559"/>
      <c r="J202" s="559">
        <f t="shared" si="99"/>
        <v>0</v>
      </c>
      <c r="K202" s="559">
        <f t="shared" si="98"/>
        <v>0</v>
      </c>
      <c r="L202" s="71">
        <f>IF(E202=0,0,VLOOKUP(E202,'Prix Matiere'!$A$4:$J$65,10))</f>
        <v>0</v>
      </c>
      <c r="M202" s="625">
        <f t="shared" si="100"/>
        <v>0</v>
      </c>
      <c r="N202" s="626">
        <f t="shared" ref="N202:N210" si="105">IF(J202=0,0,4.7283*J202+2)</f>
        <v>0</v>
      </c>
      <c r="O202" s="625">
        <f t="shared" si="102"/>
        <v>0</v>
      </c>
      <c r="P202" s="559"/>
      <c r="Q202" s="627">
        <v>0</v>
      </c>
      <c r="R202" s="559"/>
      <c r="S202" s="559"/>
      <c r="T202" s="559"/>
      <c r="U202" s="559"/>
      <c r="V202" s="559"/>
      <c r="W202" s="559"/>
      <c r="X202" s="559"/>
      <c r="Y202" s="559"/>
      <c r="Z202" s="559"/>
      <c r="AA202" s="559"/>
      <c r="AB202" s="559"/>
      <c r="AC202" s="559"/>
      <c r="AD202" s="559"/>
      <c r="AE202" s="559"/>
      <c r="AF202" s="559"/>
      <c r="AG202" s="559"/>
    </row>
    <row r="203" spans="1:33" ht="18" x14ac:dyDescent="0.35">
      <c r="A203" s="559"/>
      <c r="B203" s="622"/>
      <c r="C203" s="584">
        <f>VLOOKUP(B198,'Objet 2 à 6'!Moussecal6,18)</f>
        <v>0</v>
      </c>
      <c r="D203" s="631">
        <f>VLOOKUP(B198,'Objet 2 à 6'!Moussecal6,19)</f>
        <v>0</v>
      </c>
      <c r="E203" s="631">
        <f>VLOOKUP(B198,'Objet 2 à 6'!Moussecal6,20)</f>
        <v>0</v>
      </c>
      <c r="F203" s="631">
        <f>VLOOKUP(B198,'Objet 2 à 6'!Moussecal6,21)</f>
        <v>0</v>
      </c>
      <c r="G203" s="559">
        <f t="shared" si="104"/>
        <v>0</v>
      </c>
      <c r="H203" s="559"/>
      <c r="I203" s="559"/>
      <c r="J203" s="559">
        <f t="shared" si="99"/>
        <v>0</v>
      </c>
      <c r="K203" s="559">
        <f t="shared" si="98"/>
        <v>0</v>
      </c>
      <c r="L203" s="71">
        <f>IF(E203=0,0,VLOOKUP(E203,'Prix Matiere'!$A$4:$J$65,10))</f>
        <v>0</v>
      </c>
      <c r="M203" s="625">
        <f t="shared" si="100"/>
        <v>0</v>
      </c>
      <c r="N203" s="626">
        <f t="shared" si="105"/>
        <v>0</v>
      </c>
      <c r="O203" s="625">
        <f t="shared" si="102"/>
        <v>0</v>
      </c>
      <c r="P203" s="559"/>
      <c r="Q203" s="627">
        <v>0</v>
      </c>
      <c r="R203" s="559"/>
      <c r="S203" s="559"/>
      <c r="T203" s="559"/>
      <c r="U203" s="559"/>
      <c r="V203" s="559"/>
      <c r="W203" s="559"/>
      <c r="X203" s="559"/>
      <c r="Y203" s="559"/>
      <c r="Z203" s="559"/>
      <c r="AA203" s="559"/>
      <c r="AB203" s="559"/>
      <c r="AC203" s="559"/>
      <c r="AD203" s="559"/>
      <c r="AE203" s="559"/>
      <c r="AF203" s="559"/>
      <c r="AG203" s="559"/>
    </row>
    <row r="204" spans="1:33" ht="18" x14ac:dyDescent="0.35">
      <c r="A204" s="559"/>
      <c r="B204" s="622"/>
      <c r="C204" s="584">
        <f>VLOOKUP(B198,'Objet 2 à 6'!Moussecal6,28)</f>
        <v>0</v>
      </c>
      <c r="D204" s="631">
        <f>VLOOKUP(B198,'Objet 2 à 6'!Moussecal6,29)</f>
        <v>0</v>
      </c>
      <c r="E204" s="631">
        <f>VLOOKUP(B198,'Objet 2 à 6'!Moussecal6,30)</f>
        <v>0</v>
      </c>
      <c r="F204" s="631">
        <f>VLOOKUP(B198,'Objet 2 à 6'!Moussecal6,31)</f>
        <v>0</v>
      </c>
      <c r="G204" s="559">
        <f t="shared" si="104"/>
        <v>0</v>
      </c>
      <c r="H204" s="559"/>
      <c r="I204" s="559"/>
      <c r="J204" s="559">
        <f t="shared" si="99"/>
        <v>0</v>
      </c>
      <c r="K204" s="559">
        <f t="shared" si="98"/>
        <v>0</v>
      </c>
      <c r="L204" s="71">
        <f>IF(E204=0,0,VLOOKUP(E204,'Prix Matiere'!$A$4:$J$65,10))</f>
        <v>0</v>
      </c>
      <c r="M204" s="625">
        <f t="shared" si="100"/>
        <v>0</v>
      </c>
      <c r="N204" s="626">
        <f t="shared" si="105"/>
        <v>0</v>
      </c>
      <c r="O204" s="625">
        <f t="shared" si="102"/>
        <v>0</v>
      </c>
      <c r="P204" s="559"/>
      <c r="Q204" s="627">
        <v>0</v>
      </c>
      <c r="R204" s="559"/>
      <c r="S204" s="559"/>
      <c r="T204" s="559"/>
      <c r="U204" s="559"/>
      <c r="V204" s="559"/>
      <c r="W204" s="559"/>
      <c r="X204" s="559"/>
      <c r="Y204" s="559"/>
      <c r="Z204" s="559"/>
      <c r="AA204" s="559"/>
      <c r="AB204" s="559"/>
      <c r="AC204" s="559"/>
      <c r="AD204" s="559"/>
      <c r="AE204" s="559"/>
      <c r="AF204" s="559"/>
      <c r="AG204" s="559"/>
    </row>
    <row r="205" spans="1:33" ht="18" x14ac:dyDescent="0.35">
      <c r="A205" s="559"/>
      <c r="B205" s="584"/>
      <c r="C205" s="584">
        <f>VLOOKUP(B198,'Objet 2 à 6'!Moussecal6,22)</f>
        <v>0</v>
      </c>
      <c r="D205" s="631">
        <f>VLOOKUP(B198,'Objet 2 à 6'!Moussecal6,25)</f>
        <v>0</v>
      </c>
      <c r="E205" s="631">
        <f>VLOOKUP(B198,'Objet 2 à 6'!Moussecal6,26)</f>
        <v>0</v>
      </c>
      <c r="F205" s="631">
        <f>IF(D205=0,0,1)</f>
        <v>0</v>
      </c>
      <c r="G205" s="559">
        <f t="shared" si="104"/>
        <v>0</v>
      </c>
      <c r="H205" s="559"/>
      <c r="I205" s="559"/>
      <c r="J205" s="559">
        <f t="shared" si="99"/>
        <v>0</v>
      </c>
      <c r="K205" s="559">
        <f t="shared" si="98"/>
        <v>0</v>
      </c>
      <c r="L205" s="71">
        <f>IF(E205=0,0,VLOOKUP(E205,'Prix Matiere'!$A$4:$J$65,10))</f>
        <v>0</v>
      </c>
      <c r="M205" s="625">
        <f t="shared" si="100"/>
        <v>0</v>
      </c>
      <c r="N205" s="626">
        <f t="shared" si="105"/>
        <v>0</v>
      </c>
      <c r="O205" s="625">
        <f t="shared" si="102"/>
        <v>0</v>
      </c>
      <c r="P205" s="559"/>
      <c r="Q205" s="627">
        <v>0</v>
      </c>
      <c r="R205" s="559"/>
      <c r="S205" s="559"/>
      <c r="T205" s="559"/>
      <c r="U205" s="559"/>
      <c r="V205" s="559"/>
      <c r="W205" s="559"/>
      <c r="X205" s="559"/>
      <c r="Y205" s="559"/>
      <c r="Z205" s="559"/>
      <c r="AA205" s="559"/>
      <c r="AB205" s="559"/>
      <c r="AC205" s="559"/>
      <c r="AD205" s="559"/>
      <c r="AE205" s="559"/>
      <c r="AF205" s="559"/>
      <c r="AG205" s="559"/>
    </row>
    <row r="206" spans="1:33" ht="18" x14ac:dyDescent="0.35">
      <c r="A206" s="559"/>
      <c r="B206" s="584"/>
      <c r="C206" s="584"/>
      <c r="D206" s="631"/>
      <c r="E206" s="631"/>
      <c r="F206" s="631"/>
      <c r="G206" s="559"/>
      <c r="H206" s="559"/>
      <c r="I206" s="559"/>
      <c r="J206" s="559">
        <f t="shared" si="99"/>
        <v>0</v>
      </c>
      <c r="K206" s="559">
        <f t="shared" si="98"/>
        <v>0</v>
      </c>
      <c r="L206" s="71">
        <f>IF(E206=0,0,VLOOKUP(E206,'Prix Matiere'!$A$4:$J$65,10))</f>
        <v>0</v>
      </c>
      <c r="M206" s="625">
        <f t="shared" si="100"/>
        <v>0</v>
      </c>
      <c r="N206" s="626">
        <f t="shared" si="105"/>
        <v>0</v>
      </c>
      <c r="O206" s="625">
        <f t="shared" si="102"/>
        <v>0</v>
      </c>
      <c r="P206" s="559"/>
      <c r="Q206" s="627">
        <v>0</v>
      </c>
      <c r="R206" s="559"/>
      <c r="S206" s="559"/>
      <c r="T206" s="559"/>
      <c r="U206" s="559"/>
      <c r="V206" s="559"/>
      <c r="W206" s="559"/>
      <c r="X206" s="559"/>
      <c r="Y206" s="559"/>
      <c r="Z206" s="559"/>
      <c r="AA206" s="559"/>
      <c r="AB206" s="559"/>
      <c r="AC206" s="559"/>
      <c r="AD206" s="559"/>
      <c r="AE206" s="559"/>
      <c r="AF206" s="559"/>
      <c r="AG206" s="559"/>
    </row>
    <row r="207" spans="1:33" ht="18" x14ac:dyDescent="0.35">
      <c r="A207" s="559"/>
      <c r="B207" s="584"/>
      <c r="C207" s="584"/>
      <c r="D207" s="630"/>
      <c r="E207" s="630"/>
      <c r="F207" s="631"/>
      <c r="G207" s="559"/>
      <c r="H207" s="559"/>
      <c r="I207" s="559"/>
      <c r="J207" s="559">
        <f t="shared" si="99"/>
        <v>0</v>
      </c>
      <c r="K207" s="559">
        <f t="shared" si="98"/>
        <v>0</v>
      </c>
      <c r="L207" s="71">
        <f>IF(E207=0,0,VLOOKUP(E207,'Prix Matiere'!$A$4:$J$65,10))</f>
        <v>0</v>
      </c>
      <c r="M207" s="625">
        <f t="shared" si="100"/>
        <v>0</v>
      </c>
      <c r="N207" s="626">
        <f t="shared" si="105"/>
        <v>0</v>
      </c>
      <c r="O207" s="625">
        <f t="shared" si="102"/>
        <v>0</v>
      </c>
      <c r="P207" s="559"/>
      <c r="Q207" s="627">
        <v>0</v>
      </c>
      <c r="R207" s="559"/>
      <c r="S207" s="559"/>
      <c r="T207" s="559"/>
      <c r="U207" s="559"/>
      <c r="V207" s="559"/>
      <c r="W207" s="559"/>
      <c r="X207" s="559"/>
      <c r="Y207" s="559"/>
      <c r="Z207" s="559"/>
      <c r="AA207" s="559"/>
      <c r="AB207" s="559"/>
      <c r="AC207" s="559"/>
      <c r="AD207" s="559"/>
      <c r="AE207" s="559"/>
      <c r="AF207" s="559"/>
      <c r="AG207" s="559"/>
    </row>
    <row r="208" spans="1:33" ht="18" x14ac:dyDescent="0.35">
      <c r="A208" s="559"/>
      <c r="B208" s="584"/>
      <c r="C208" s="584"/>
      <c r="D208" s="630"/>
      <c r="E208" s="630"/>
      <c r="F208" s="631"/>
      <c r="G208" s="559"/>
      <c r="H208" s="559"/>
      <c r="I208" s="559"/>
      <c r="J208" s="559">
        <f t="shared" si="99"/>
        <v>0</v>
      </c>
      <c r="K208" s="559">
        <f t="shared" si="98"/>
        <v>0</v>
      </c>
      <c r="L208" s="71">
        <f>IF(E208=0,0,VLOOKUP(E208,'Prix Matiere'!$A$4:$J$65,10))</f>
        <v>0</v>
      </c>
      <c r="M208" s="625">
        <f t="shared" si="100"/>
        <v>0</v>
      </c>
      <c r="N208" s="626">
        <f t="shared" si="105"/>
        <v>0</v>
      </c>
      <c r="O208" s="625">
        <f t="shared" si="102"/>
        <v>0</v>
      </c>
      <c r="P208" s="559"/>
      <c r="Q208" s="627">
        <v>0</v>
      </c>
      <c r="R208" s="559"/>
      <c r="S208" s="559"/>
      <c r="T208" s="559"/>
      <c r="U208" s="559"/>
      <c r="V208" s="559"/>
      <c r="W208" s="559"/>
      <c r="X208" s="559"/>
      <c r="Y208" s="559"/>
      <c r="Z208" s="559"/>
      <c r="AA208" s="559"/>
      <c r="AB208" s="559"/>
      <c r="AC208" s="559"/>
      <c r="AD208" s="559"/>
      <c r="AE208" s="559"/>
      <c r="AF208" s="559"/>
      <c r="AG208" s="559"/>
    </row>
    <row r="209" spans="1:33" ht="18" x14ac:dyDescent="0.35">
      <c r="A209" s="559"/>
      <c r="B209" s="584"/>
      <c r="C209" s="584"/>
      <c r="D209" s="630"/>
      <c r="E209" s="630"/>
      <c r="F209" s="631"/>
      <c r="G209" s="559"/>
      <c r="H209" s="559"/>
      <c r="I209" s="559"/>
      <c r="J209" s="559">
        <f t="shared" si="99"/>
        <v>0</v>
      </c>
      <c r="K209" s="559">
        <f t="shared" si="98"/>
        <v>0</v>
      </c>
      <c r="L209" s="71">
        <f>IF(E209=0,0,VLOOKUP(E209,'Prix Matiere'!$A$4:$J$65,10))</f>
        <v>0</v>
      </c>
      <c r="M209" s="625">
        <f t="shared" si="100"/>
        <v>0</v>
      </c>
      <c r="N209" s="626">
        <f t="shared" si="105"/>
        <v>0</v>
      </c>
      <c r="O209" s="625">
        <f t="shared" si="102"/>
        <v>0</v>
      </c>
      <c r="P209" s="559"/>
      <c r="Q209" s="627">
        <v>0</v>
      </c>
      <c r="R209" s="559"/>
      <c r="S209" s="559"/>
      <c r="T209" s="559"/>
      <c r="U209" s="559"/>
      <c r="V209" s="559"/>
      <c r="W209" s="559"/>
      <c r="X209" s="559"/>
      <c r="Y209" s="559"/>
      <c r="Z209" s="559"/>
      <c r="AA209" s="559"/>
      <c r="AB209" s="559"/>
      <c r="AC209" s="559"/>
      <c r="AD209" s="559"/>
      <c r="AE209" s="559"/>
      <c r="AF209" s="559"/>
      <c r="AG209" s="559"/>
    </row>
    <row r="210" spans="1:33" ht="18" x14ac:dyDescent="0.35">
      <c r="A210" s="559"/>
      <c r="B210" s="579" t="s">
        <v>176</v>
      </c>
      <c r="C210" s="584" t="str">
        <f>'Objet 2 à 6'!plat6</f>
        <v>Aucun</v>
      </c>
      <c r="D210" s="630">
        <f>IF(C210="Aucun",0,'Objet 2 à 6'!Lnec6-0.3)</f>
        <v>0</v>
      </c>
      <c r="E210" s="630">
        <f>IF(C210="Aucun",0,'Objet 2 à 6'!lanec6-0.3)</f>
        <v>0</v>
      </c>
      <c r="F210" s="631">
        <f>IF(C210="Aucun",0,1)</f>
        <v>0</v>
      </c>
      <c r="G210" s="559"/>
      <c r="H210" s="559"/>
      <c r="I210" s="559"/>
      <c r="J210" s="559">
        <f t="shared" si="99"/>
        <v>0</v>
      </c>
      <c r="K210" s="559">
        <f t="shared" si="98"/>
        <v>0</v>
      </c>
      <c r="L210" s="71">
        <f>IF(E210=0,0,VLOOKUP(E210,'Prix Matiere'!$A$4:$J$65,10))</f>
        <v>0</v>
      </c>
      <c r="M210" s="625">
        <f t="shared" si="100"/>
        <v>0</v>
      </c>
      <c r="N210" s="626">
        <f t="shared" si="105"/>
        <v>0</v>
      </c>
      <c r="O210" s="625">
        <f t="shared" si="102"/>
        <v>0</v>
      </c>
      <c r="P210" s="559"/>
      <c r="Q210" s="627">
        <f>IF(J210=0,0,J210*VLOOKUP(C210,$A$274:$D$280,4))</f>
        <v>0</v>
      </c>
      <c r="R210" s="559"/>
      <c r="S210" s="559"/>
      <c r="T210" s="559"/>
      <c r="U210" s="559"/>
      <c r="V210" s="559"/>
      <c r="W210" s="559"/>
      <c r="X210" s="559"/>
      <c r="Y210" s="559"/>
      <c r="Z210" s="559"/>
      <c r="AA210" s="559"/>
      <c r="AB210" s="559"/>
      <c r="AC210" s="559"/>
      <c r="AD210" s="559"/>
      <c r="AE210" s="559"/>
      <c r="AF210" s="559"/>
      <c r="AG210" s="559"/>
    </row>
    <row r="211" spans="1:33" ht="18" x14ac:dyDescent="0.35">
      <c r="A211" s="559"/>
      <c r="B211" s="584"/>
      <c r="C211" s="584"/>
      <c r="D211" s="630"/>
      <c r="E211" s="630"/>
      <c r="F211" s="631"/>
      <c r="G211" s="559"/>
      <c r="H211" s="559"/>
      <c r="I211" s="559">
        <f>IF('Objet 2 à 6'!Lnec6=0,0,"Forfait rattrapage")</f>
        <v>0</v>
      </c>
      <c r="J211" s="559"/>
      <c r="K211" s="559"/>
      <c r="L211" s="71">
        <f>IF(E211=0,0,VLOOKUP(E211,'Prix Matiere'!$A$4:$J$65,10))</f>
        <v>0</v>
      </c>
      <c r="M211" s="625">
        <f>IF(I211="Forfait rattrapage",10,0)</f>
        <v>0</v>
      </c>
      <c r="N211" s="626">
        <f>IF(I211="Forfait rattrapage",12,0)</f>
        <v>0</v>
      </c>
      <c r="O211" s="625">
        <f t="shared" si="102"/>
        <v>0</v>
      </c>
      <c r="P211" s="559"/>
      <c r="Q211" s="627">
        <f>IF(J211=0,0,J211*VLOOKUP(G211,'[1]Prix Matiere'!$A$4:$L$60,12))</f>
        <v>0</v>
      </c>
      <c r="R211" s="559"/>
      <c r="S211" s="559"/>
      <c r="T211" s="559"/>
      <c r="U211" s="559"/>
      <c r="V211" s="559"/>
      <c r="W211" s="559"/>
      <c r="X211" s="559"/>
      <c r="Y211" s="559"/>
      <c r="Z211" s="559"/>
      <c r="AA211" s="559"/>
      <c r="AB211" s="559"/>
      <c r="AC211" s="559"/>
      <c r="AD211" s="559"/>
      <c r="AE211" s="559"/>
      <c r="AF211" s="559"/>
      <c r="AG211" s="559"/>
    </row>
    <row r="212" spans="1:33" ht="18" x14ac:dyDescent="0.35">
      <c r="A212" s="559"/>
      <c r="B212" s="559"/>
      <c r="C212" s="559"/>
      <c r="D212" s="559"/>
      <c r="E212" s="559"/>
      <c r="F212" s="559"/>
      <c r="G212" s="559"/>
      <c r="H212" s="559"/>
      <c r="I212" s="559"/>
      <c r="J212" s="559"/>
      <c r="K212" s="559"/>
      <c r="L212" s="559"/>
      <c r="M212" s="559"/>
      <c r="N212" s="626"/>
      <c r="O212" s="559"/>
      <c r="P212" s="559"/>
      <c r="Q212" s="559"/>
      <c r="R212" s="559"/>
      <c r="S212" s="559"/>
      <c r="T212" s="559"/>
      <c r="U212" s="559"/>
      <c r="V212" s="559"/>
      <c r="W212" s="559"/>
      <c r="X212" s="559"/>
      <c r="Y212" s="559"/>
      <c r="Z212" s="559"/>
      <c r="AA212" s="559"/>
      <c r="AB212" s="559"/>
      <c r="AC212" s="559"/>
      <c r="AD212" s="559"/>
      <c r="AE212" s="559"/>
      <c r="AF212" s="559"/>
      <c r="AG212" s="559"/>
    </row>
    <row r="213" spans="1:33" ht="18" x14ac:dyDescent="0.35">
      <c r="A213" s="559"/>
      <c r="B213" s="559"/>
      <c r="C213" s="559"/>
      <c r="D213" s="559"/>
      <c r="E213" s="559"/>
      <c r="F213" s="559"/>
      <c r="G213" s="559"/>
      <c r="H213" s="559"/>
      <c r="I213" s="559"/>
      <c r="J213" s="559"/>
      <c r="K213" s="559"/>
      <c r="L213" s="559"/>
      <c r="M213" s="559"/>
      <c r="N213" s="626"/>
      <c r="O213" s="559"/>
      <c r="P213" s="559"/>
      <c r="Q213" s="559"/>
      <c r="R213" s="559"/>
      <c r="S213" s="559"/>
      <c r="T213" s="559"/>
      <c r="U213" s="559"/>
      <c r="V213" s="559"/>
      <c r="W213" s="559"/>
      <c r="X213" s="559"/>
      <c r="Y213" s="559"/>
      <c r="Z213" s="559"/>
      <c r="AA213" s="559"/>
      <c r="AB213" s="559"/>
      <c r="AC213" s="559"/>
      <c r="AD213" s="559"/>
      <c r="AE213" s="559"/>
      <c r="AF213" s="559"/>
      <c r="AG213" s="559"/>
    </row>
    <row r="214" spans="1:33" ht="18" x14ac:dyDescent="0.35">
      <c r="A214" s="559" t="s">
        <v>19</v>
      </c>
      <c r="B214" s="559">
        <f>IF(F18="Non",0,"Peinture")</f>
        <v>0</v>
      </c>
      <c r="C214" s="559"/>
      <c r="D214" s="559"/>
      <c r="E214" s="559"/>
      <c r="F214" s="559"/>
      <c r="G214" s="559"/>
      <c r="H214" s="559"/>
      <c r="I214" s="559"/>
      <c r="J214" s="559">
        <f>IF(B214=0,0,(((C58/100)*(D58/100))+((C58/100)*(E58/100))+((D58/100)*(E58/100)))*2)</f>
        <v>0</v>
      </c>
      <c r="K214" s="559">
        <f>J214*0.5</f>
        <v>0</v>
      </c>
      <c r="L214" s="625">
        <f>IF(B214=0,0,VLOOKUP(B214,'[1]Prix Matiere'!$A$4:$J$60,10))</f>
        <v>0</v>
      </c>
      <c r="M214" s="625">
        <f>K214*L214</f>
        <v>0</v>
      </c>
      <c r="N214" s="626">
        <f>IF(J214=0,0,IF(B214="Peinture",30+J214*15))</f>
        <v>0</v>
      </c>
      <c r="O214" s="625">
        <f t="shared" ref="O214:O215" si="106">N214*'Objet 2 à 6'!MinuteMO</f>
        <v>0</v>
      </c>
      <c r="P214" s="559"/>
      <c r="Q214" s="559"/>
      <c r="R214" s="559"/>
      <c r="S214" s="559"/>
      <c r="T214" s="559"/>
      <c r="U214" s="559"/>
      <c r="V214" s="559"/>
      <c r="W214" s="559"/>
      <c r="X214" s="559"/>
      <c r="Y214" s="559"/>
      <c r="Z214" s="559"/>
      <c r="AA214" s="559"/>
      <c r="AB214" s="559"/>
      <c r="AC214" s="559"/>
      <c r="AD214" s="559"/>
      <c r="AE214" s="559"/>
      <c r="AF214" s="559"/>
      <c r="AG214" s="559"/>
    </row>
    <row r="215" spans="1:33" ht="18" x14ac:dyDescent="0.35">
      <c r="A215" s="559" t="s">
        <v>72</v>
      </c>
      <c r="B215" s="559" t="str">
        <f>C19</f>
        <v>Vis bois</v>
      </c>
      <c r="C215" s="559"/>
      <c r="D215" s="559"/>
      <c r="E215" s="559"/>
      <c r="F215" s="559"/>
      <c r="G215" s="559"/>
      <c r="H215" s="559"/>
      <c r="I215" s="559"/>
      <c r="J215" s="559"/>
      <c r="K215" s="559"/>
      <c r="L215" s="559"/>
      <c r="M215" s="625">
        <f>IF(B215="Vis bois",0,(D4*2+G4*2+D6*2+G6*2)*1.5)</f>
        <v>0</v>
      </c>
      <c r="N215" s="626">
        <f>IF(B215="Vis bois",0,60)</f>
        <v>0</v>
      </c>
      <c r="O215" s="625">
        <f t="shared" si="106"/>
        <v>0</v>
      </c>
      <c r="P215" s="559"/>
      <c r="Q215" s="559"/>
      <c r="R215" s="559"/>
      <c r="S215" s="559"/>
      <c r="T215" s="559"/>
      <c r="U215" s="559"/>
      <c r="V215" s="559"/>
      <c r="W215" s="559"/>
      <c r="X215" s="559"/>
      <c r="Y215" s="559"/>
      <c r="Z215" s="559"/>
      <c r="AA215" s="559"/>
      <c r="AB215" s="559"/>
      <c r="AC215" s="559"/>
      <c r="AD215" s="559"/>
      <c r="AE215" s="559"/>
      <c r="AF215" s="559"/>
      <c r="AG215" s="559"/>
    </row>
    <row r="216" spans="1:33" ht="18" x14ac:dyDescent="0.35">
      <c r="A216" s="559" t="s">
        <v>21</v>
      </c>
      <c r="B216" s="559" t="str">
        <f>C21</f>
        <v>Bois</v>
      </c>
      <c r="C216" s="559"/>
      <c r="D216" s="559"/>
      <c r="E216" s="559"/>
      <c r="F216" s="559"/>
      <c r="G216" s="559"/>
      <c r="H216" s="559"/>
      <c r="I216" s="559"/>
      <c r="J216" s="559"/>
      <c r="K216" s="559"/>
      <c r="L216" s="559"/>
      <c r="M216" s="625"/>
      <c r="N216" s="626"/>
      <c r="O216" s="625"/>
      <c r="P216" s="559"/>
      <c r="Q216" s="559"/>
      <c r="R216" s="559"/>
      <c r="S216" s="559"/>
      <c r="T216" s="559"/>
      <c r="U216" s="559"/>
      <c r="V216" s="559"/>
      <c r="W216" s="559"/>
      <c r="X216" s="559"/>
      <c r="Y216" s="559"/>
      <c r="Z216" s="559"/>
      <c r="AA216" s="559"/>
      <c r="AB216" s="559"/>
      <c r="AC216" s="559"/>
      <c r="AD216" s="559"/>
      <c r="AE216" s="559"/>
      <c r="AF216" s="559"/>
      <c r="AG216" s="559"/>
    </row>
    <row r="217" spans="1:33" ht="18" x14ac:dyDescent="0.35">
      <c r="A217" s="559"/>
      <c r="B217" s="559"/>
      <c r="C217" s="559"/>
      <c r="D217" s="559"/>
      <c r="E217" s="559"/>
      <c r="F217" s="559"/>
      <c r="G217" s="559"/>
      <c r="H217" s="559"/>
      <c r="I217" s="559"/>
      <c r="J217" s="559"/>
      <c r="K217" s="559"/>
      <c r="L217" s="559"/>
      <c r="M217" s="559"/>
      <c r="N217" s="626"/>
      <c r="O217" s="559"/>
      <c r="P217" s="559"/>
      <c r="Q217" s="559"/>
      <c r="R217" s="559"/>
      <c r="S217" s="559"/>
      <c r="T217" s="559"/>
      <c r="U217" s="559"/>
      <c r="V217" s="559"/>
      <c r="W217" s="559"/>
      <c r="X217" s="559"/>
      <c r="Y217" s="559"/>
      <c r="Z217" s="559"/>
      <c r="AA217" s="559"/>
      <c r="AB217" s="559"/>
      <c r="AC217" s="559"/>
      <c r="AD217" s="559"/>
      <c r="AE217" s="559"/>
      <c r="AF217" s="559"/>
      <c r="AG217" s="559"/>
    </row>
    <row r="218" spans="1:33" ht="18" x14ac:dyDescent="0.35">
      <c r="A218" s="559"/>
      <c r="B218" s="559"/>
      <c r="C218" s="559"/>
      <c r="D218" s="559"/>
      <c r="E218" s="559"/>
      <c r="F218" s="559"/>
      <c r="G218" s="559"/>
      <c r="H218" s="559"/>
      <c r="I218" s="559"/>
      <c r="J218" s="559"/>
      <c r="K218" s="559"/>
      <c r="L218" s="614"/>
      <c r="M218" s="614">
        <f t="shared" ref="M218:O218" si="107">SUM(M63:M217)</f>
        <v>0.24833616881443277</v>
      </c>
      <c r="N218" s="638">
        <f t="shared" si="107"/>
        <v>67.0629845972</v>
      </c>
      <c r="O218" s="614">
        <f t="shared" si="107"/>
        <v>57.003536907619996</v>
      </c>
      <c r="P218" s="559"/>
      <c r="Q218" s="627">
        <f>SUM(Q63:Q210)</f>
        <v>0</v>
      </c>
      <c r="R218" s="559"/>
      <c r="S218" s="559"/>
      <c r="T218" s="559"/>
      <c r="U218" s="559"/>
      <c r="V218" s="559"/>
      <c r="W218" s="559"/>
      <c r="X218" s="559"/>
      <c r="Y218" s="559"/>
      <c r="Z218" s="559"/>
      <c r="AA218" s="559"/>
      <c r="AB218" s="559"/>
      <c r="AC218" s="559"/>
      <c r="AD218" s="559"/>
      <c r="AE218" s="559"/>
      <c r="AF218" s="559"/>
      <c r="AG218" s="559"/>
    </row>
    <row r="219" spans="1:33" ht="18" x14ac:dyDescent="0.35">
      <c r="A219" s="559"/>
      <c r="B219" s="639" t="s">
        <v>73</v>
      </c>
      <c r="C219" s="640">
        <f>IF($F$9=0,0,M218)</f>
        <v>0.24833616881443277</v>
      </c>
      <c r="D219" s="641"/>
      <c r="E219" s="642" t="s">
        <v>74</v>
      </c>
      <c r="F219" s="643" t="str">
        <f>CONCATENATE(ROUNDUP(SUM(K63:K66)+SUM(K93:K94)+SUM(K104:K107)+SUM(K111:K115)+K130+K146+K162+K178+K194+K210,2)," m²")</f>
        <v>0,03 m²</v>
      </c>
      <c r="G219" s="644">
        <f>(SUM(M63:M66)+SUM(M93:M94)+SUM(M104:M107)+SUM(M111:M115)+M130+M146+M162+M178+M194+M210)</f>
        <v>0.40767637499999998</v>
      </c>
      <c r="H219" s="559"/>
      <c r="I219" s="559"/>
      <c r="J219" s="559"/>
      <c r="K219" s="559"/>
      <c r="L219" s="559"/>
      <c r="M219" s="559"/>
      <c r="N219" s="559"/>
      <c r="O219" s="559"/>
      <c r="P219" s="559"/>
      <c r="Q219" s="559"/>
      <c r="R219" s="559"/>
      <c r="S219" s="559"/>
      <c r="T219" s="559"/>
      <c r="U219" s="559"/>
      <c r="V219" s="559"/>
      <c r="W219" s="559"/>
      <c r="X219" s="559"/>
      <c r="Y219" s="559"/>
      <c r="Z219" s="559"/>
      <c r="AA219" s="559"/>
      <c r="AB219" s="559"/>
      <c r="AC219" s="559"/>
      <c r="AD219" s="559"/>
      <c r="AE219" s="559"/>
      <c r="AF219" s="559"/>
      <c r="AG219" s="559"/>
    </row>
    <row r="220" spans="1:33" ht="18" x14ac:dyDescent="0.35">
      <c r="A220" s="559"/>
      <c r="B220" s="645" t="s">
        <v>75</v>
      </c>
      <c r="C220" s="625">
        <f>IF($F$9=0,0,O218)</f>
        <v>57.003536907619996</v>
      </c>
      <c r="D220" s="646">
        <f>IF($F$9=0,0,N218)</f>
        <v>67.0629845972</v>
      </c>
      <c r="E220" s="647" t="s">
        <v>76</v>
      </c>
      <c r="F220" s="648" t="str">
        <f>CONCATENATE(ROUNDUP(SUM(K69:K78)+SUM(K119:K121)+SUM(K135:K137)+SUM(K151:K153)+SUM(K167:K169)+SUM(K183:K185)+SUM(K199:K201),2)," m²")</f>
        <v>-0,01 m²</v>
      </c>
      <c r="G220" s="649">
        <f>(SUM(M69:M78)+SUM(M119:M121)+SUM(M135:M137)+SUM(M151:M153)+SUM(M167:M169)+SUM(M183:M185)+SUM(M199:M201))</f>
        <v>-0.15934020618556724</v>
      </c>
      <c r="H220" s="559"/>
      <c r="I220" s="559"/>
      <c r="J220" s="559"/>
      <c r="K220" s="559"/>
      <c r="L220" s="559"/>
      <c r="M220" s="559"/>
      <c r="N220" s="559"/>
      <c r="O220" s="559"/>
      <c r="P220" s="559"/>
      <c r="Q220" s="559"/>
      <c r="R220" s="559"/>
      <c r="S220" s="559"/>
      <c r="T220" s="559"/>
      <c r="U220" s="559"/>
      <c r="V220" s="559"/>
      <c r="W220" s="559"/>
      <c r="X220" s="559"/>
      <c r="Y220" s="559"/>
      <c r="Z220" s="559"/>
      <c r="AA220" s="559"/>
      <c r="AB220" s="559"/>
      <c r="AC220" s="559"/>
      <c r="AD220" s="559"/>
      <c r="AE220" s="559"/>
      <c r="AF220" s="559"/>
      <c r="AG220" s="559"/>
    </row>
    <row r="221" spans="1:33" ht="18" x14ac:dyDescent="0.35">
      <c r="A221" s="559"/>
      <c r="B221" s="645" t="s">
        <v>77</v>
      </c>
      <c r="C221" s="625">
        <f>IF($F$9=0,0,((C219+C220)/'Objet 2 à 6'!Frais_Généraux)-(C219+C220))</f>
        <v>30.827931656541615</v>
      </c>
      <c r="D221" s="650"/>
      <c r="E221" s="647" t="s">
        <v>78</v>
      </c>
      <c r="F221" s="648" t="str">
        <f>CONCATENATE(ROUNDUP(SUM(K87:K89)+SUM(K98:K100),2)," m²")</f>
        <v>0 m²</v>
      </c>
      <c r="G221" s="649">
        <f>(SUM(M87:M89)+SUM(M98:M100))</f>
        <v>0</v>
      </c>
      <c r="H221" s="559"/>
      <c r="I221" s="559"/>
      <c r="J221" s="559"/>
      <c r="K221" s="559"/>
      <c r="L221" s="559"/>
      <c r="M221" s="559"/>
      <c r="N221" s="559"/>
      <c r="O221" s="559"/>
      <c r="P221" s="559"/>
      <c r="Q221" s="559"/>
      <c r="R221" s="559"/>
      <c r="S221" s="559"/>
      <c r="T221" s="559"/>
      <c r="U221" s="559"/>
      <c r="V221" s="559"/>
      <c r="W221" s="559"/>
      <c r="X221" s="559"/>
      <c r="Y221" s="559"/>
      <c r="Z221" s="559"/>
      <c r="AA221" s="559"/>
      <c r="AB221" s="559"/>
      <c r="AC221" s="559"/>
      <c r="AD221" s="559"/>
      <c r="AE221" s="559"/>
      <c r="AF221" s="559"/>
      <c r="AG221" s="559"/>
    </row>
    <row r="222" spans="1:33" ht="18" x14ac:dyDescent="0.35">
      <c r="A222" s="559"/>
      <c r="B222" s="645" t="s">
        <v>79</v>
      </c>
      <c r="C222" s="625">
        <f>IF($F$9=0,0,SUM(C219:C221))</f>
        <v>88.079804732976044</v>
      </c>
      <c r="D222" s="650"/>
      <c r="E222" s="647" t="s">
        <v>80</v>
      </c>
      <c r="F222" s="648" t="str">
        <f>CONCATENATE(ROUNDUP(SUM(K81:K83)+SUM(K122:K129)+SUM(K138:K145)+SUM(K154:K161)+SUM(K170:K177)+SUM(K186:K193)+SUM(K202:K209),2)," m²")</f>
        <v>0 m²</v>
      </c>
      <c r="G222" s="649">
        <f>(SUM(M81:M83)+SUM(M122:M129)+SUM(M138:M145)+SUM(M154:M161)+SUM(M170:M177)+SUM(M186:M193)+SUM(M202:M209))</f>
        <v>0</v>
      </c>
      <c r="H222" s="559"/>
      <c r="I222" s="559"/>
      <c r="J222" s="559"/>
      <c r="K222" s="559"/>
      <c r="L222" s="559"/>
      <c r="M222" s="559"/>
      <c r="N222" s="559"/>
      <c r="O222" s="559"/>
      <c r="P222" s="559"/>
      <c r="Q222" s="559"/>
      <c r="R222" s="559"/>
      <c r="S222" s="559"/>
      <c r="T222" s="559"/>
      <c r="U222" s="559"/>
      <c r="V222" s="559"/>
      <c r="W222" s="559"/>
      <c r="X222" s="559"/>
      <c r="Y222" s="559"/>
      <c r="Z222" s="559"/>
      <c r="AA222" s="559"/>
      <c r="AB222" s="559"/>
      <c r="AC222" s="559"/>
      <c r="AD222" s="559"/>
      <c r="AE222" s="559"/>
      <c r="AF222" s="559"/>
      <c r="AG222" s="559"/>
    </row>
    <row r="223" spans="1:33" ht="18" x14ac:dyDescent="0.35">
      <c r="A223" s="559"/>
      <c r="B223" s="645" t="s">
        <v>81</v>
      </c>
      <c r="C223" s="625">
        <f>IF($F$9=0,0,(C222/(1-'Objet 2 à 6'!Marge)-C222))</f>
        <v>6.6296627218369082</v>
      </c>
      <c r="D223" s="651">
        <f>C222+C223</f>
        <v>94.709467454812952</v>
      </c>
      <c r="E223" s="647"/>
      <c r="F223" s="648"/>
      <c r="G223" s="711"/>
      <c r="H223" s="559"/>
      <c r="I223" s="559"/>
      <c r="J223" s="559"/>
      <c r="K223" s="559"/>
      <c r="L223" s="559"/>
      <c r="M223" s="559"/>
      <c r="N223" s="559"/>
      <c r="O223" s="559"/>
      <c r="P223" s="559"/>
      <c r="Q223" s="559"/>
      <c r="R223" s="559"/>
      <c r="S223" s="559"/>
      <c r="T223" s="559"/>
      <c r="U223" s="559"/>
      <c r="V223" s="559"/>
      <c r="W223" s="559"/>
      <c r="X223" s="559"/>
      <c r="Y223" s="559"/>
      <c r="Z223" s="559"/>
      <c r="AA223" s="559"/>
      <c r="AB223" s="559"/>
      <c r="AC223" s="559"/>
      <c r="AD223" s="559"/>
      <c r="AE223" s="559"/>
      <c r="AF223" s="559"/>
      <c r="AG223" s="559"/>
    </row>
    <row r="224" spans="1:33" ht="18" x14ac:dyDescent="0.35">
      <c r="A224" s="559"/>
      <c r="B224" s="645" t="s">
        <v>83</v>
      </c>
      <c r="C224" s="625">
        <f>IF($F$10="BOVIS",((C222+C223)*(1+C225))-(C222+C223),((C222+C223)*(1+D224))-(C222+C223))</f>
        <v>0</v>
      </c>
      <c r="D224" s="22"/>
      <c r="E224" s="647"/>
      <c r="F224" s="648"/>
      <c r="G224" s="711"/>
      <c r="H224" s="559"/>
      <c r="I224" s="559"/>
      <c r="J224" s="559"/>
      <c r="K224" s="559"/>
      <c r="L224" s="559"/>
      <c r="M224" s="559"/>
      <c r="N224" s="559"/>
      <c r="O224" s="559"/>
      <c r="P224" s="559"/>
      <c r="Q224" s="559"/>
      <c r="R224" s="559"/>
      <c r="S224" s="559"/>
      <c r="T224" s="559"/>
      <c r="U224" s="559"/>
      <c r="V224" s="559"/>
      <c r="W224" s="559"/>
      <c r="X224" s="559"/>
      <c r="Y224" s="559"/>
      <c r="Z224" s="559"/>
      <c r="AA224" s="559"/>
      <c r="AB224" s="559"/>
      <c r="AC224" s="559"/>
      <c r="AD224" s="559"/>
      <c r="AE224" s="559"/>
      <c r="AF224" s="559"/>
      <c r="AG224" s="559"/>
    </row>
    <row r="225" spans="1:33" ht="18" x14ac:dyDescent="0.35">
      <c r="A225" s="559"/>
      <c r="B225" s="645"/>
      <c r="C225" s="653">
        <f>IF($F$10="BOVIS",0.03,0)</f>
        <v>0</v>
      </c>
      <c r="D225" s="654"/>
      <c r="E225" s="647"/>
      <c r="F225" s="648"/>
      <c r="G225" s="711"/>
      <c r="H225" s="559"/>
      <c r="I225" s="559"/>
      <c r="J225" s="559"/>
      <c r="K225" s="559"/>
      <c r="L225" s="559"/>
      <c r="M225" s="559"/>
      <c r="N225" s="559"/>
      <c r="O225" s="559"/>
      <c r="P225" s="559"/>
      <c r="Q225" s="559"/>
      <c r="R225" s="559"/>
      <c r="S225" s="559"/>
      <c r="T225" s="559"/>
      <c r="U225" s="559"/>
      <c r="V225" s="559"/>
      <c r="W225" s="559"/>
      <c r="X225" s="559"/>
      <c r="Y225" s="559"/>
      <c r="Z225" s="559"/>
      <c r="AA225" s="559"/>
      <c r="AB225" s="559"/>
      <c r="AC225" s="559"/>
      <c r="AD225" s="559"/>
      <c r="AE225" s="559"/>
      <c r="AF225" s="559"/>
      <c r="AG225" s="559"/>
    </row>
    <row r="226" spans="1:33" ht="18" x14ac:dyDescent="0.35">
      <c r="A226" s="559"/>
      <c r="B226" s="655" t="s">
        <v>84</v>
      </c>
      <c r="C226" s="656">
        <f>SUM(C222:C225)</f>
        <v>94.709467454812952</v>
      </c>
      <c r="D226" s="657"/>
      <c r="E226" s="658" t="s">
        <v>85</v>
      </c>
      <c r="F226" s="567"/>
      <c r="G226" s="712">
        <f>C219-SUM(G219:G223)</f>
        <v>0</v>
      </c>
      <c r="H226" s="559"/>
      <c r="I226" s="559"/>
      <c r="J226" s="559"/>
      <c r="K226" s="559"/>
      <c r="L226" s="559"/>
      <c r="M226" s="559"/>
      <c r="N226" s="559"/>
      <c r="O226" s="559"/>
      <c r="P226" s="559"/>
      <c r="Q226" s="559"/>
      <c r="R226" s="559"/>
      <c r="S226" s="559"/>
      <c r="T226" s="559"/>
      <c r="U226" s="559"/>
      <c r="V226" s="559"/>
      <c r="W226" s="559"/>
      <c r="X226" s="559"/>
      <c r="Y226" s="559"/>
      <c r="Z226" s="559"/>
      <c r="AA226" s="559"/>
      <c r="AB226" s="559"/>
      <c r="AC226" s="559"/>
      <c r="AD226" s="559"/>
      <c r="AE226" s="559"/>
      <c r="AF226" s="559"/>
      <c r="AG226" s="559"/>
    </row>
    <row r="227" spans="1:33" ht="18" x14ac:dyDescent="0.35">
      <c r="A227" s="559"/>
      <c r="B227" s="559"/>
      <c r="C227" s="559"/>
      <c r="D227" s="559"/>
      <c r="E227" s="559"/>
      <c r="F227" s="559"/>
      <c r="G227" s="559"/>
      <c r="H227" s="559"/>
      <c r="I227" s="559"/>
      <c r="J227" s="559"/>
      <c r="K227" s="559"/>
      <c r="L227" s="559"/>
      <c r="M227" s="559"/>
      <c r="N227" s="559"/>
      <c r="O227" s="559"/>
      <c r="P227" s="559"/>
      <c r="Q227" s="559"/>
      <c r="R227" s="559"/>
      <c r="S227" s="559"/>
      <c r="T227" s="559"/>
      <c r="U227" s="559"/>
      <c r="V227" s="559"/>
      <c r="W227" s="559"/>
      <c r="X227" s="559"/>
      <c r="Y227" s="559"/>
      <c r="Z227" s="559"/>
      <c r="AA227" s="559"/>
      <c r="AB227" s="559"/>
      <c r="AC227" s="559"/>
      <c r="AD227" s="559"/>
      <c r="AE227" s="559"/>
      <c r="AF227" s="559"/>
      <c r="AG227" s="559"/>
    </row>
    <row r="228" spans="1:33" ht="18" x14ac:dyDescent="0.35">
      <c r="A228" s="559"/>
      <c r="B228" s="559"/>
      <c r="C228" s="559"/>
      <c r="D228" s="559"/>
      <c r="E228" s="559"/>
      <c r="F228" s="559"/>
      <c r="G228" s="559"/>
      <c r="H228" s="559"/>
      <c r="I228" s="559"/>
      <c r="J228" s="559"/>
      <c r="K228" s="559"/>
      <c r="L228" s="559"/>
      <c r="M228" s="559"/>
      <c r="N228" s="559"/>
      <c r="O228" s="559"/>
      <c r="P228" s="559"/>
      <c r="Q228" s="559"/>
      <c r="R228" s="559"/>
      <c r="S228" s="559"/>
      <c r="T228" s="559"/>
      <c r="U228" s="559"/>
      <c r="V228" s="559"/>
      <c r="W228" s="559"/>
      <c r="X228" s="559"/>
      <c r="Y228" s="559"/>
      <c r="Z228" s="559"/>
      <c r="AA228" s="559"/>
      <c r="AB228" s="559"/>
      <c r="AC228" s="559"/>
      <c r="AD228" s="559"/>
      <c r="AE228" s="559"/>
      <c r="AF228" s="559"/>
      <c r="AG228" s="559"/>
    </row>
    <row r="229" spans="1:33" ht="18" x14ac:dyDescent="0.35">
      <c r="A229" s="559"/>
      <c r="B229" s="559"/>
      <c r="C229" s="559"/>
      <c r="D229" s="559"/>
      <c r="E229" s="559"/>
      <c r="F229" s="559"/>
      <c r="G229" s="559"/>
      <c r="H229" s="559"/>
      <c r="I229" s="559"/>
      <c r="J229" s="559"/>
      <c r="K229" s="559"/>
      <c r="L229" s="559"/>
      <c r="M229" s="559"/>
      <c r="N229" s="559"/>
      <c r="O229" s="559"/>
      <c r="P229" s="559"/>
      <c r="Q229" s="559"/>
      <c r="R229" s="559"/>
      <c r="S229" s="559"/>
      <c r="T229" s="559"/>
      <c r="U229" s="559"/>
      <c r="V229" s="559"/>
      <c r="W229" s="559"/>
      <c r="X229" s="559"/>
      <c r="Y229" s="559"/>
      <c r="Z229" s="559"/>
      <c r="AA229" s="559"/>
      <c r="AB229" s="559"/>
      <c r="AC229" s="559"/>
      <c r="AD229" s="559"/>
      <c r="AE229" s="559"/>
      <c r="AF229" s="559"/>
      <c r="AG229" s="559"/>
    </row>
    <row r="230" spans="1:33" ht="18" x14ac:dyDescent="0.35">
      <c r="A230" s="559"/>
      <c r="B230" s="559"/>
      <c r="C230" s="559"/>
      <c r="D230" s="559"/>
      <c r="E230" s="559"/>
      <c r="F230" s="559"/>
      <c r="G230" s="559"/>
      <c r="H230" s="559"/>
      <c r="I230" s="559"/>
      <c r="J230" s="559"/>
      <c r="K230" s="559"/>
      <c r="L230" s="559"/>
      <c r="M230" s="559"/>
      <c r="N230" s="559"/>
      <c r="O230" s="559"/>
      <c r="P230" s="559"/>
      <c r="Q230" s="559"/>
      <c r="R230" s="559"/>
      <c r="S230" s="559"/>
      <c r="T230" s="559"/>
      <c r="U230" s="559"/>
      <c r="V230" s="559"/>
      <c r="W230" s="559"/>
      <c r="X230" s="559"/>
      <c r="Y230" s="559"/>
      <c r="Z230" s="559"/>
      <c r="AA230" s="559"/>
      <c r="AB230" s="559"/>
      <c r="AC230" s="559"/>
      <c r="AD230" s="559"/>
      <c r="AE230" s="559"/>
      <c r="AF230" s="559"/>
      <c r="AG230" s="559"/>
    </row>
    <row r="231" spans="1:33" ht="18" x14ac:dyDescent="0.35">
      <c r="A231" s="559"/>
      <c r="B231" s="559"/>
      <c r="C231" s="559"/>
      <c r="D231" s="559"/>
      <c r="E231" s="559"/>
      <c r="F231" s="559"/>
      <c r="G231" s="559"/>
      <c r="H231" s="559"/>
      <c r="I231" s="559"/>
      <c r="J231" s="559"/>
      <c r="K231" s="559"/>
      <c r="L231" s="559"/>
      <c r="M231" s="559"/>
      <c r="N231" s="559"/>
      <c r="O231" s="559"/>
      <c r="P231" s="559"/>
      <c r="Q231" s="559"/>
      <c r="R231" s="559"/>
      <c r="S231" s="559"/>
      <c r="T231" s="559"/>
      <c r="U231" s="559"/>
      <c r="V231" s="559"/>
      <c r="W231" s="559"/>
      <c r="X231" s="559"/>
      <c r="Y231" s="559"/>
      <c r="Z231" s="559"/>
      <c r="AA231" s="559"/>
      <c r="AB231" s="559"/>
      <c r="AC231" s="559"/>
      <c r="AD231" s="559"/>
      <c r="AE231" s="559"/>
      <c r="AF231" s="559"/>
      <c r="AG231" s="559"/>
    </row>
    <row r="232" spans="1:33" x14ac:dyDescent="0.3">
      <c r="A232" s="660"/>
      <c r="B232" s="661" t="s">
        <v>114</v>
      </c>
      <c r="C232" s="661" t="s">
        <v>115</v>
      </c>
      <c r="D232" s="661" t="s">
        <v>116</v>
      </c>
      <c r="E232" s="661" t="s">
        <v>117</v>
      </c>
      <c r="F232" s="661" t="s">
        <v>118</v>
      </c>
      <c r="G232" s="661" t="s">
        <v>119</v>
      </c>
      <c r="H232" s="661" t="s">
        <v>120</v>
      </c>
      <c r="I232" s="661" t="s">
        <v>121</v>
      </c>
      <c r="J232" s="661" t="s">
        <v>122</v>
      </c>
      <c r="K232" s="661" t="s">
        <v>123</v>
      </c>
      <c r="L232" s="661" t="s">
        <v>82</v>
      </c>
      <c r="M232" s="661"/>
      <c r="N232" s="661"/>
      <c r="O232" s="661"/>
      <c r="P232" s="661"/>
      <c r="Q232" s="661"/>
      <c r="R232" s="661" t="s">
        <v>312</v>
      </c>
      <c r="S232" s="662"/>
      <c r="T232" s="663"/>
      <c r="U232" s="663"/>
      <c r="V232" s="663"/>
      <c r="W232" s="663"/>
      <c r="X232" s="663"/>
      <c r="Y232" s="663"/>
      <c r="Z232" s="663"/>
      <c r="AA232" s="663"/>
      <c r="AB232" s="663"/>
      <c r="AC232" s="663"/>
      <c r="AD232" s="663"/>
      <c r="AE232" s="663"/>
      <c r="AF232" s="663"/>
      <c r="AG232" s="663"/>
    </row>
    <row r="233" spans="1:33" x14ac:dyDescent="0.3">
      <c r="A233" s="664">
        <v>1</v>
      </c>
      <c r="B233" s="663">
        <v>2</v>
      </c>
      <c r="C233" s="663">
        <v>3</v>
      </c>
      <c r="D233" s="663">
        <v>4</v>
      </c>
      <c r="E233" s="663">
        <v>5</v>
      </c>
      <c r="F233" s="663">
        <v>6</v>
      </c>
      <c r="G233" s="663">
        <v>7</v>
      </c>
      <c r="H233" s="663">
        <v>8</v>
      </c>
      <c r="I233" s="663">
        <v>9</v>
      </c>
      <c r="J233" s="663">
        <v>10</v>
      </c>
      <c r="K233" s="663">
        <v>11</v>
      </c>
      <c r="L233" s="663">
        <v>12</v>
      </c>
      <c r="M233" s="663">
        <v>13</v>
      </c>
      <c r="N233" s="663">
        <v>14</v>
      </c>
      <c r="O233" s="663">
        <v>15</v>
      </c>
      <c r="P233" s="663">
        <v>16</v>
      </c>
      <c r="Q233" s="663">
        <v>17</v>
      </c>
      <c r="R233" s="663" t="s">
        <v>28</v>
      </c>
      <c r="S233" s="665" t="s">
        <v>313</v>
      </c>
      <c r="T233" s="663"/>
      <c r="U233" s="663"/>
      <c r="V233" s="663"/>
      <c r="W233" s="663"/>
      <c r="X233" s="663"/>
      <c r="Y233" s="663"/>
      <c r="Z233" s="663"/>
      <c r="AA233" s="663"/>
      <c r="AB233" s="663"/>
      <c r="AC233" s="663"/>
      <c r="AD233" s="663"/>
      <c r="AE233" s="663"/>
      <c r="AF233" s="663"/>
      <c r="AG233" s="663"/>
    </row>
    <row r="234" spans="1:33" x14ac:dyDescent="0.3">
      <c r="A234" s="664" t="s">
        <v>16</v>
      </c>
      <c r="B234" s="663">
        <v>0</v>
      </c>
      <c r="C234" s="663">
        <v>0</v>
      </c>
      <c r="D234" s="663">
        <v>0</v>
      </c>
      <c r="E234" s="663">
        <v>0</v>
      </c>
      <c r="F234" s="663">
        <v>0</v>
      </c>
      <c r="G234" s="663">
        <v>0</v>
      </c>
      <c r="H234" s="663">
        <v>0</v>
      </c>
      <c r="I234" s="663">
        <v>0</v>
      </c>
      <c r="J234" s="663">
        <v>0</v>
      </c>
      <c r="K234" s="663">
        <v>0</v>
      </c>
      <c r="L234" s="663">
        <v>0</v>
      </c>
      <c r="M234" s="663">
        <v>0</v>
      </c>
      <c r="N234" s="663">
        <v>0</v>
      </c>
      <c r="O234" s="663">
        <v>0</v>
      </c>
      <c r="P234" s="663">
        <v>0</v>
      </c>
      <c r="Q234" s="663">
        <v>0</v>
      </c>
      <c r="R234" s="663">
        <v>0</v>
      </c>
      <c r="S234" s="665">
        <v>0</v>
      </c>
      <c r="T234" s="663"/>
      <c r="U234" s="663"/>
      <c r="V234" s="663"/>
      <c r="W234" s="663"/>
      <c r="X234" s="663"/>
      <c r="Y234" s="663"/>
      <c r="Z234" s="663"/>
      <c r="AA234" s="663"/>
      <c r="AB234" s="663"/>
      <c r="AC234" s="663"/>
      <c r="AD234" s="663"/>
      <c r="AE234" s="663"/>
      <c r="AF234" s="663"/>
      <c r="AG234" s="663"/>
    </row>
    <row r="235" spans="1:33" x14ac:dyDescent="0.3">
      <c r="A235" s="664" t="s">
        <v>316</v>
      </c>
      <c r="B235" s="663">
        <v>20</v>
      </c>
      <c r="C235" s="663">
        <v>20</v>
      </c>
      <c r="D235" s="663">
        <v>14</v>
      </c>
      <c r="E235" s="663">
        <v>10</v>
      </c>
      <c r="F235" s="663">
        <v>0.2</v>
      </c>
      <c r="G235" s="663">
        <v>1</v>
      </c>
      <c r="H235" s="663" t="s">
        <v>37</v>
      </c>
      <c r="I235" s="663" t="s">
        <v>27</v>
      </c>
      <c r="J235" s="663">
        <v>-0.5</v>
      </c>
      <c r="K235" s="663">
        <v>1</v>
      </c>
      <c r="L235" s="663">
        <v>0</v>
      </c>
      <c r="M235" s="663" t="s">
        <v>317</v>
      </c>
      <c r="N235" s="663" t="s">
        <v>318</v>
      </c>
      <c r="O235" s="663">
        <v>1</v>
      </c>
      <c r="P235" s="663"/>
      <c r="Q235" s="663"/>
      <c r="R235" s="663">
        <v>1</v>
      </c>
      <c r="S235" s="665">
        <v>0</v>
      </c>
      <c r="T235" s="663"/>
      <c r="U235" s="663"/>
      <c r="V235" s="663"/>
      <c r="W235" s="663"/>
      <c r="X235" s="663"/>
      <c r="Y235" s="663"/>
      <c r="Z235" s="663"/>
      <c r="AA235" s="663"/>
      <c r="AB235" s="663"/>
      <c r="AC235" s="663"/>
      <c r="AD235" s="663"/>
      <c r="AE235" s="663"/>
      <c r="AF235" s="663"/>
      <c r="AG235" s="663"/>
    </row>
    <row r="236" spans="1:33" x14ac:dyDescent="0.3">
      <c r="A236" s="664" t="s">
        <v>319</v>
      </c>
      <c r="B236" s="663">
        <v>14</v>
      </c>
      <c r="C236" s="663">
        <v>14</v>
      </c>
      <c r="D236" s="663">
        <v>7</v>
      </c>
      <c r="E236" s="663">
        <v>10</v>
      </c>
      <c r="F236" s="663">
        <v>0.2</v>
      </c>
      <c r="G236" s="663">
        <v>1</v>
      </c>
      <c r="H236" s="663" t="s">
        <v>37</v>
      </c>
      <c r="I236" s="663" t="s">
        <v>27</v>
      </c>
      <c r="J236" s="663">
        <v>-0.5</v>
      </c>
      <c r="K236" s="663">
        <v>1</v>
      </c>
      <c r="L236" s="663">
        <v>0</v>
      </c>
      <c r="M236" s="663" t="s">
        <v>317</v>
      </c>
      <c r="N236" s="663" t="s">
        <v>318</v>
      </c>
      <c r="O236" s="663">
        <v>1</v>
      </c>
      <c r="P236" s="663"/>
      <c r="Q236" s="663"/>
      <c r="R236" s="663">
        <v>1</v>
      </c>
      <c r="S236" s="665">
        <v>1</v>
      </c>
      <c r="T236" s="663"/>
      <c r="U236" s="663"/>
      <c r="V236" s="663"/>
      <c r="W236" s="663"/>
      <c r="X236" s="663"/>
      <c r="Y236" s="663"/>
      <c r="Z236" s="663"/>
      <c r="AA236" s="663"/>
      <c r="AB236" s="663"/>
      <c r="AC236" s="663"/>
      <c r="AD236" s="663"/>
      <c r="AE236" s="663"/>
      <c r="AF236" s="663"/>
      <c r="AG236" s="663"/>
    </row>
    <row r="237" spans="1:33" x14ac:dyDescent="0.3">
      <c r="A237" s="664" t="s">
        <v>371</v>
      </c>
      <c r="B237" s="663">
        <v>10.199999999999999</v>
      </c>
      <c r="C237" s="663">
        <v>10.199999999999999</v>
      </c>
      <c r="D237" s="663">
        <v>5.2</v>
      </c>
      <c r="E237" s="663">
        <v>10.7</v>
      </c>
      <c r="F237" s="663">
        <v>0.2</v>
      </c>
      <c r="G237" s="663">
        <v>2</v>
      </c>
      <c r="H237" s="663" t="s">
        <v>37</v>
      </c>
      <c r="I237" s="663" t="s">
        <v>37</v>
      </c>
      <c r="J237" s="663">
        <v>-0.5</v>
      </c>
      <c r="K237" s="663">
        <v>2</v>
      </c>
      <c r="L237" s="663">
        <v>1</v>
      </c>
      <c r="M237" s="663" t="s">
        <v>321</v>
      </c>
      <c r="N237" s="663"/>
      <c r="O237" s="663">
        <v>2</v>
      </c>
      <c r="P237" s="663"/>
      <c r="Q237" s="663"/>
      <c r="R237" s="663">
        <v>0</v>
      </c>
      <c r="S237" s="665">
        <v>0</v>
      </c>
      <c r="T237" s="663"/>
      <c r="U237" s="663"/>
      <c r="V237" s="663"/>
      <c r="W237" s="663"/>
      <c r="X237" s="663"/>
      <c r="Y237" s="663"/>
      <c r="Z237" s="663"/>
      <c r="AA237" s="663"/>
      <c r="AB237" s="663"/>
      <c r="AC237" s="663"/>
      <c r="AD237" s="663"/>
      <c r="AE237" s="663"/>
      <c r="AF237" s="663"/>
      <c r="AG237" s="663"/>
    </row>
    <row r="238" spans="1:33" x14ac:dyDescent="0.3">
      <c r="A238" s="664" t="s">
        <v>372</v>
      </c>
      <c r="B238" s="663">
        <v>6.2</v>
      </c>
      <c r="C238" s="663">
        <v>6.2</v>
      </c>
      <c r="D238" s="663">
        <v>3.2</v>
      </c>
      <c r="E238" s="663">
        <v>10.7</v>
      </c>
      <c r="F238" s="663">
        <v>0.2</v>
      </c>
      <c r="G238" s="663">
        <v>2</v>
      </c>
      <c r="H238" s="663" t="s">
        <v>262</v>
      </c>
      <c r="I238" s="663" t="s">
        <v>262</v>
      </c>
      <c r="J238" s="663">
        <v>-0.5</v>
      </c>
      <c r="K238" s="663">
        <v>2</v>
      </c>
      <c r="L238" s="663">
        <v>1</v>
      </c>
      <c r="M238" s="663" t="s">
        <v>321</v>
      </c>
      <c r="N238" s="663"/>
      <c r="O238" s="663">
        <v>2</v>
      </c>
      <c r="P238" s="663"/>
      <c r="Q238" s="663"/>
      <c r="R238" s="663">
        <v>0</v>
      </c>
      <c r="S238" s="665">
        <v>0</v>
      </c>
      <c r="T238" s="663"/>
      <c r="U238" s="663"/>
      <c r="V238" s="663"/>
      <c r="W238" s="663"/>
      <c r="X238" s="663"/>
      <c r="Y238" s="663"/>
      <c r="Z238" s="663"/>
      <c r="AA238" s="663"/>
      <c r="AB238" s="663"/>
      <c r="AC238" s="663"/>
      <c r="AD238" s="663"/>
      <c r="AE238" s="663"/>
      <c r="AF238" s="663"/>
      <c r="AG238" s="663"/>
    </row>
    <row r="239" spans="1:33" x14ac:dyDescent="0.3">
      <c r="A239" s="664" t="s">
        <v>324</v>
      </c>
      <c r="B239" s="663">
        <v>10.199999999999999</v>
      </c>
      <c r="C239" s="663">
        <v>10.199999999999999</v>
      </c>
      <c r="D239" s="663">
        <v>5.2</v>
      </c>
      <c r="E239" s="663">
        <v>5.7</v>
      </c>
      <c r="F239" s="663">
        <v>10.199999999999999</v>
      </c>
      <c r="G239" s="663">
        <v>2</v>
      </c>
      <c r="H239" s="663" t="s">
        <v>27</v>
      </c>
      <c r="I239" s="663" t="s">
        <v>27</v>
      </c>
      <c r="J239" s="663">
        <v>-0.5</v>
      </c>
      <c r="K239" s="663">
        <v>2</v>
      </c>
      <c r="L239" s="663">
        <v>1</v>
      </c>
      <c r="M239" s="663" t="s">
        <v>321</v>
      </c>
      <c r="N239" s="663"/>
      <c r="O239" s="663">
        <v>3</v>
      </c>
      <c r="P239" s="663"/>
      <c r="Q239" s="663"/>
      <c r="R239" s="663">
        <v>0</v>
      </c>
      <c r="S239" s="665">
        <v>0</v>
      </c>
      <c r="T239" s="663"/>
      <c r="U239" s="663"/>
      <c r="V239" s="663"/>
      <c r="W239" s="663"/>
      <c r="X239" s="663"/>
      <c r="Y239" s="663"/>
      <c r="Z239" s="663"/>
      <c r="AA239" s="663"/>
      <c r="AB239" s="663"/>
      <c r="AC239" s="663"/>
      <c r="AD239" s="663"/>
      <c r="AE239" s="663"/>
      <c r="AF239" s="663"/>
      <c r="AG239" s="663"/>
    </row>
    <row r="240" spans="1:33" x14ac:dyDescent="0.3">
      <c r="A240" s="664" t="s">
        <v>325</v>
      </c>
      <c r="B240" s="663">
        <v>10.199999999999999</v>
      </c>
      <c r="C240" s="663">
        <v>10.199999999999999</v>
      </c>
      <c r="D240" s="663">
        <v>5.2</v>
      </c>
      <c r="E240" s="663">
        <v>5</v>
      </c>
      <c r="F240" s="663">
        <v>0.2</v>
      </c>
      <c r="G240" s="663">
        <v>2</v>
      </c>
      <c r="H240" s="663" t="s">
        <v>27</v>
      </c>
      <c r="I240" s="663" t="s">
        <v>27</v>
      </c>
      <c r="J240" s="663">
        <v>9.4</v>
      </c>
      <c r="K240" s="663">
        <v>2</v>
      </c>
      <c r="L240" s="663">
        <v>1</v>
      </c>
      <c r="M240" s="663" t="s">
        <v>321</v>
      </c>
      <c r="N240" s="663"/>
      <c r="O240" s="663">
        <v>3</v>
      </c>
      <c r="P240" s="663"/>
      <c r="Q240" s="663"/>
      <c r="R240" s="663">
        <v>0</v>
      </c>
      <c r="S240" s="665">
        <v>0</v>
      </c>
      <c r="T240" s="663"/>
      <c r="U240" s="663"/>
      <c r="V240" s="663"/>
      <c r="W240" s="663"/>
      <c r="X240" s="663"/>
      <c r="Y240" s="663"/>
      <c r="Z240" s="663"/>
      <c r="AA240" s="663"/>
      <c r="AB240" s="663"/>
      <c r="AC240" s="663"/>
      <c r="AD240" s="663"/>
      <c r="AE240" s="663"/>
      <c r="AF240" s="663"/>
      <c r="AG240" s="663"/>
    </row>
    <row r="241" spans="1:33" x14ac:dyDescent="0.3">
      <c r="A241" s="664" t="s">
        <v>326</v>
      </c>
      <c r="B241" s="663">
        <v>14</v>
      </c>
      <c r="C241" s="663">
        <v>14</v>
      </c>
      <c r="D241" s="663">
        <v>7</v>
      </c>
      <c r="E241" s="663">
        <v>10.199999999999999</v>
      </c>
      <c r="F241" s="663">
        <v>0.2</v>
      </c>
      <c r="G241" s="663">
        <v>2</v>
      </c>
      <c r="H241" s="663" t="s">
        <v>37</v>
      </c>
      <c r="I241" s="663" t="s">
        <v>327</v>
      </c>
      <c r="J241" s="663">
        <v>-0.5</v>
      </c>
      <c r="K241" s="663">
        <v>1</v>
      </c>
      <c r="L241" s="663">
        <v>0</v>
      </c>
      <c r="M241" s="663" t="s">
        <v>317</v>
      </c>
      <c r="N241" s="663" t="s">
        <v>318</v>
      </c>
      <c r="O241" s="663">
        <v>4</v>
      </c>
      <c r="P241" s="663"/>
      <c r="Q241" s="663"/>
      <c r="R241" s="663">
        <v>1</v>
      </c>
      <c r="S241" s="665">
        <v>0</v>
      </c>
      <c r="T241" s="663"/>
      <c r="U241" s="663"/>
      <c r="V241" s="663"/>
      <c r="W241" s="663"/>
      <c r="X241" s="663"/>
      <c r="Y241" s="663"/>
      <c r="Z241" s="663"/>
      <c r="AA241" s="663"/>
      <c r="AB241" s="663"/>
      <c r="AC241" s="663"/>
      <c r="AD241" s="663"/>
      <c r="AE241" s="663"/>
      <c r="AF241" s="663"/>
      <c r="AG241" s="663"/>
    </row>
    <row r="242" spans="1:33" x14ac:dyDescent="0.3">
      <c r="A242" s="664" t="s">
        <v>328</v>
      </c>
      <c r="B242" s="663">
        <v>14</v>
      </c>
      <c r="C242" s="663">
        <v>14</v>
      </c>
      <c r="D242" s="663">
        <v>7</v>
      </c>
      <c r="E242" s="663">
        <v>10.199999999999999</v>
      </c>
      <c r="F242" s="663">
        <v>0.2</v>
      </c>
      <c r="G242" s="663">
        <v>2</v>
      </c>
      <c r="H242" s="663" t="s">
        <v>37</v>
      </c>
      <c r="I242" s="663" t="s">
        <v>327</v>
      </c>
      <c r="J242" s="663">
        <v>-0.5</v>
      </c>
      <c r="K242" s="663">
        <v>1</v>
      </c>
      <c r="L242" s="663">
        <v>0</v>
      </c>
      <c r="M242" s="663" t="s">
        <v>317</v>
      </c>
      <c r="N242" s="663" t="s">
        <v>318</v>
      </c>
      <c r="O242" s="663">
        <v>4</v>
      </c>
      <c r="P242" s="663"/>
      <c r="Q242" s="663"/>
      <c r="R242" s="663">
        <v>0</v>
      </c>
      <c r="S242" s="665">
        <v>1</v>
      </c>
      <c r="T242" s="663"/>
      <c r="U242" s="663"/>
      <c r="V242" s="663"/>
      <c r="W242" s="663"/>
      <c r="X242" s="663"/>
      <c r="Y242" s="663"/>
      <c r="Z242" s="663"/>
      <c r="AA242" s="663"/>
      <c r="AB242" s="663"/>
      <c r="AC242" s="663"/>
      <c r="AD242" s="663"/>
      <c r="AE242" s="663"/>
      <c r="AF242" s="663"/>
      <c r="AG242" s="663"/>
    </row>
    <row r="243" spans="1:33" x14ac:dyDescent="0.3">
      <c r="A243" s="664" t="s">
        <v>373</v>
      </c>
      <c r="B243" s="663">
        <v>10.199999999999999</v>
      </c>
      <c r="C243" s="663">
        <v>10.199999999999999</v>
      </c>
      <c r="D243" s="663">
        <v>5.2</v>
      </c>
      <c r="E243" s="663">
        <v>10.7</v>
      </c>
      <c r="F243" s="663">
        <v>0.2</v>
      </c>
      <c r="G243" s="663">
        <v>2</v>
      </c>
      <c r="H243" s="663" t="s">
        <v>27</v>
      </c>
      <c r="I243" s="663" t="s">
        <v>27</v>
      </c>
      <c r="J243" s="663">
        <v>-0.5</v>
      </c>
      <c r="K243" s="663">
        <v>2</v>
      </c>
      <c r="L243" s="663">
        <v>1</v>
      </c>
      <c r="M243" s="663" t="s">
        <v>321</v>
      </c>
      <c r="N243" s="663"/>
      <c r="O243" s="663">
        <v>5</v>
      </c>
      <c r="P243" s="663"/>
      <c r="Q243" s="663"/>
      <c r="R243" s="663">
        <v>0</v>
      </c>
      <c r="S243" s="665">
        <v>0</v>
      </c>
      <c r="T243" s="663"/>
      <c r="U243" s="663"/>
      <c r="V243" s="663"/>
      <c r="W243" s="663"/>
      <c r="X243" s="663"/>
      <c r="Y243" s="663"/>
      <c r="Z243" s="663"/>
      <c r="AA243" s="663"/>
      <c r="AB243" s="663"/>
      <c r="AC243" s="663"/>
      <c r="AD243" s="663"/>
      <c r="AE243" s="663"/>
      <c r="AF243" s="663"/>
      <c r="AG243" s="663"/>
    </row>
    <row r="244" spans="1:33" x14ac:dyDescent="0.3">
      <c r="A244" s="666" t="s">
        <v>374</v>
      </c>
      <c r="B244" s="667">
        <v>6.2</v>
      </c>
      <c r="C244" s="667">
        <v>6.2</v>
      </c>
      <c r="D244" s="667">
        <v>3.2</v>
      </c>
      <c r="E244" s="667">
        <v>10.7</v>
      </c>
      <c r="F244" s="667">
        <v>0.2</v>
      </c>
      <c r="G244" s="667">
        <v>2</v>
      </c>
      <c r="H244" s="667" t="s">
        <v>105</v>
      </c>
      <c r="I244" s="667" t="s">
        <v>105</v>
      </c>
      <c r="J244" s="667">
        <v>-0.5</v>
      </c>
      <c r="K244" s="667">
        <v>2</v>
      </c>
      <c r="L244" s="667">
        <v>1</v>
      </c>
      <c r="M244" s="667" t="s">
        <v>321</v>
      </c>
      <c r="N244" s="667"/>
      <c r="O244" s="667">
        <v>5</v>
      </c>
      <c r="P244" s="667"/>
      <c r="Q244" s="667"/>
      <c r="R244" s="667">
        <v>0</v>
      </c>
      <c r="S244" s="668">
        <v>0</v>
      </c>
      <c r="T244" s="663"/>
      <c r="U244" s="663"/>
      <c r="V244" s="663"/>
      <c r="W244" s="663"/>
      <c r="X244" s="663"/>
      <c r="Y244" s="663"/>
      <c r="Z244" s="663"/>
      <c r="AA244" s="663"/>
      <c r="AB244" s="663"/>
      <c r="AC244" s="663"/>
      <c r="AD244" s="663"/>
      <c r="AE244" s="663"/>
      <c r="AF244" s="663"/>
      <c r="AG244" s="663"/>
    </row>
    <row r="245" spans="1:33" x14ac:dyDescent="0.3">
      <c r="A245" s="663"/>
      <c r="B245" s="663"/>
      <c r="C245" s="663"/>
      <c r="D245" s="663"/>
      <c r="E245" s="663"/>
      <c r="F245" s="663"/>
      <c r="G245" s="663"/>
      <c r="H245" s="663"/>
      <c r="I245" s="663"/>
      <c r="J245" s="663"/>
      <c r="K245" s="663"/>
      <c r="L245" s="663"/>
      <c r="M245" s="663"/>
      <c r="N245" s="663"/>
      <c r="O245" s="663"/>
      <c r="P245" s="663"/>
      <c r="Q245" s="663"/>
      <c r="R245" s="663"/>
      <c r="S245" s="663"/>
      <c r="T245" s="663"/>
      <c r="U245" s="663"/>
      <c r="V245" s="663"/>
      <c r="W245" s="663"/>
      <c r="X245" s="663"/>
      <c r="Y245" s="663"/>
      <c r="Z245" s="663"/>
      <c r="AA245" s="663"/>
      <c r="AB245" s="663"/>
      <c r="AC245" s="663"/>
      <c r="AD245" s="663"/>
      <c r="AE245" s="663"/>
      <c r="AF245" s="663"/>
      <c r="AG245" s="663"/>
    </row>
    <row r="246" spans="1:33" x14ac:dyDescent="0.3">
      <c r="A246" s="660">
        <v>1</v>
      </c>
      <c r="B246" s="661">
        <v>2</v>
      </c>
      <c r="C246" s="661">
        <v>3</v>
      </c>
      <c r="D246" s="661">
        <v>4</v>
      </c>
      <c r="E246" s="661">
        <v>5</v>
      </c>
      <c r="F246" s="661">
        <v>6</v>
      </c>
      <c r="G246" s="661">
        <v>7</v>
      </c>
      <c r="H246" s="661">
        <v>8</v>
      </c>
      <c r="I246" s="661">
        <v>9</v>
      </c>
      <c r="J246" s="661">
        <v>10</v>
      </c>
      <c r="K246" s="661">
        <v>11</v>
      </c>
      <c r="L246" s="661">
        <v>12</v>
      </c>
      <c r="M246" s="661">
        <v>13</v>
      </c>
      <c r="N246" s="661">
        <v>14</v>
      </c>
      <c r="O246" s="661">
        <v>15</v>
      </c>
      <c r="P246" s="661">
        <v>16</v>
      </c>
      <c r="Q246" s="661">
        <v>17</v>
      </c>
      <c r="R246" s="661"/>
      <c r="S246" s="662"/>
      <c r="T246" s="663"/>
      <c r="U246" s="663"/>
      <c r="V246" s="663"/>
      <c r="W246" s="663"/>
      <c r="X246" s="663"/>
      <c r="Y246" s="663"/>
      <c r="Z246" s="663"/>
      <c r="AA246" s="663"/>
      <c r="AB246" s="663"/>
      <c r="AC246" s="663"/>
      <c r="AD246" s="663"/>
      <c r="AE246" s="663"/>
      <c r="AF246" s="663"/>
      <c r="AG246" s="663"/>
    </row>
    <row r="247" spans="1:33" ht="28.8" x14ac:dyDescent="0.3">
      <c r="A247" s="669"/>
      <c r="B247" s="670"/>
      <c r="C247" s="670"/>
      <c r="D247" s="670"/>
      <c r="E247" s="670" t="s">
        <v>80</v>
      </c>
      <c r="F247" s="670" t="s">
        <v>91</v>
      </c>
      <c r="G247" s="670" t="s">
        <v>34</v>
      </c>
      <c r="H247" s="670" t="s">
        <v>65</v>
      </c>
      <c r="I247" s="670" t="s">
        <v>92</v>
      </c>
      <c r="J247" s="670" t="s">
        <v>93</v>
      </c>
      <c r="K247" s="670" t="s">
        <v>67</v>
      </c>
      <c r="L247" s="670" t="s">
        <v>94</v>
      </c>
      <c r="M247" s="670" t="s">
        <v>95</v>
      </c>
      <c r="N247" s="670" t="s">
        <v>69</v>
      </c>
      <c r="O247" s="670" t="s">
        <v>96</v>
      </c>
      <c r="P247" s="670" t="s">
        <v>97</v>
      </c>
      <c r="Q247" s="670" t="s">
        <v>333</v>
      </c>
      <c r="R247" s="670"/>
      <c r="S247" s="671"/>
      <c r="T247" s="670"/>
      <c r="U247" s="670"/>
      <c r="V247" s="670"/>
      <c r="W247" s="670"/>
      <c r="X247" s="670"/>
      <c r="Y247" s="670"/>
      <c r="Z247" s="670"/>
      <c r="AA247" s="670"/>
      <c r="AB247" s="670"/>
      <c r="AC247" s="670"/>
      <c r="AD247" s="670"/>
      <c r="AE247" s="670"/>
      <c r="AF247" s="670"/>
      <c r="AG247" s="670"/>
    </row>
    <row r="248" spans="1:33" x14ac:dyDescent="0.3">
      <c r="A248" s="664"/>
      <c r="B248" s="663"/>
      <c r="C248" s="663"/>
      <c r="D248" s="663"/>
      <c r="E248" s="663"/>
      <c r="F248" s="663"/>
      <c r="G248" s="663"/>
      <c r="H248" s="663"/>
      <c r="I248" s="663"/>
      <c r="J248" s="663"/>
      <c r="K248" s="663"/>
      <c r="L248" s="663"/>
      <c r="M248" s="663"/>
      <c r="N248" s="663"/>
      <c r="O248" s="663"/>
      <c r="P248" s="663"/>
      <c r="Q248" s="663"/>
      <c r="R248" s="663"/>
      <c r="S248" s="665"/>
      <c r="T248" s="663"/>
      <c r="U248" s="663"/>
      <c r="V248" s="663"/>
      <c r="W248" s="663"/>
      <c r="X248" s="663"/>
      <c r="Y248" s="663"/>
      <c r="Z248" s="663"/>
      <c r="AA248" s="663"/>
      <c r="AB248" s="663"/>
      <c r="AC248" s="663"/>
      <c r="AD248" s="663"/>
      <c r="AE248" s="663"/>
      <c r="AF248" s="663"/>
      <c r="AG248" s="663"/>
    </row>
    <row r="249" spans="1:33" x14ac:dyDescent="0.3">
      <c r="A249" s="664" t="s">
        <v>16</v>
      </c>
      <c r="B249" s="663">
        <v>0</v>
      </c>
      <c r="C249" s="663">
        <v>0</v>
      </c>
      <c r="D249" s="663">
        <v>0</v>
      </c>
      <c r="E249" s="663">
        <v>0</v>
      </c>
      <c r="F249" s="663">
        <v>0</v>
      </c>
      <c r="G249" s="663">
        <v>0</v>
      </c>
      <c r="H249" s="663">
        <v>0</v>
      </c>
      <c r="I249" s="663">
        <v>0</v>
      </c>
      <c r="J249" s="663">
        <v>0</v>
      </c>
      <c r="K249" s="663">
        <v>0</v>
      </c>
      <c r="L249" s="663">
        <v>0</v>
      </c>
      <c r="M249" s="663">
        <v>0</v>
      </c>
      <c r="N249" s="663">
        <v>0</v>
      </c>
      <c r="O249" s="663">
        <v>0</v>
      </c>
      <c r="P249" s="663">
        <v>0</v>
      </c>
      <c r="Q249" s="663">
        <v>0</v>
      </c>
      <c r="R249" s="663">
        <v>0</v>
      </c>
      <c r="S249" s="665">
        <v>0</v>
      </c>
      <c r="T249" s="663"/>
      <c r="U249" s="663"/>
      <c r="V249" s="663"/>
      <c r="W249" s="663"/>
      <c r="X249" s="663"/>
      <c r="Y249" s="663"/>
      <c r="Z249" s="663"/>
      <c r="AA249" s="663"/>
      <c r="AB249" s="663"/>
      <c r="AC249" s="663"/>
      <c r="AD249" s="663"/>
      <c r="AE249" s="663"/>
      <c r="AF249" s="663"/>
      <c r="AG249" s="663"/>
    </row>
    <row r="250" spans="1:33" x14ac:dyDescent="0.3">
      <c r="A250" s="664" t="s">
        <v>98</v>
      </c>
      <c r="B250" s="663">
        <f t="shared" ref="B250:D250" si="108">(3+1.25+3)*2</f>
        <v>14.5</v>
      </c>
      <c r="C250" s="663">
        <f t="shared" si="108"/>
        <v>14.5</v>
      </c>
      <c r="D250" s="663">
        <f t="shared" si="108"/>
        <v>14.5</v>
      </c>
      <c r="E250" s="663">
        <v>0</v>
      </c>
      <c r="F250" s="663">
        <v>0</v>
      </c>
      <c r="G250" s="663">
        <v>0</v>
      </c>
      <c r="H250" s="663">
        <v>6</v>
      </c>
      <c r="I250" s="663" t="s">
        <v>99</v>
      </c>
      <c r="J250" s="663">
        <v>2</v>
      </c>
      <c r="K250" s="663">
        <v>2.5</v>
      </c>
      <c r="L250" s="663" t="s">
        <v>86</v>
      </c>
      <c r="M250" s="713">
        <v>4</v>
      </c>
      <c r="N250" s="663">
        <v>6</v>
      </c>
      <c r="O250" s="663" t="s">
        <v>99</v>
      </c>
      <c r="P250" s="714">
        <v>2</v>
      </c>
      <c r="Q250" s="663">
        <v>2</v>
      </c>
      <c r="R250" s="663">
        <v>2</v>
      </c>
      <c r="S250" s="665">
        <v>1</v>
      </c>
      <c r="T250" s="663"/>
      <c r="U250" s="663"/>
      <c r="V250" s="663"/>
      <c r="W250" s="663"/>
      <c r="X250" s="663"/>
      <c r="Y250" s="663"/>
      <c r="Z250" s="663"/>
      <c r="AA250" s="663"/>
      <c r="AB250" s="663"/>
      <c r="AC250" s="663"/>
      <c r="AD250" s="663"/>
      <c r="AE250" s="663"/>
      <c r="AF250" s="663"/>
      <c r="AG250" s="663"/>
    </row>
    <row r="251" spans="1:33" x14ac:dyDescent="0.3">
      <c r="A251" s="664" t="s">
        <v>100</v>
      </c>
      <c r="B251" s="663">
        <f t="shared" ref="B251:D251" si="109">(5.1+1.25+5.1)*2</f>
        <v>22.9</v>
      </c>
      <c r="C251" s="663">
        <f t="shared" si="109"/>
        <v>22.9</v>
      </c>
      <c r="D251" s="663">
        <f t="shared" si="109"/>
        <v>22.9</v>
      </c>
      <c r="E251" s="663">
        <v>0</v>
      </c>
      <c r="F251" s="663">
        <v>0</v>
      </c>
      <c r="G251" s="663">
        <v>0</v>
      </c>
      <c r="H251" s="663">
        <v>10.199999999999999</v>
      </c>
      <c r="I251" s="663" t="s">
        <v>101</v>
      </c>
      <c r="J251" s="663">
        <v>2</v>
      </c>
      <c r="K251" s="663">
        <v>2.5</v>
      </c>
      <c r="L251" s="663" t="s">
        <v>86</v>
      </c>
      <c r="M251" s="713">
        <v>4</v>
      </c>
      <c r="N251" s="663">
        <v>10.199999999999999</v>
      </c>
      <c r="O251" s="663" t="s">
        <v>101</v>
      </c>
      <c r="P251" s="714">
        <v>2</v>
      </c>
      <c r="Q251" s="663">
        <v>2</v>
      </c>
      <c r="R251" s="663">
        <v>2</v>
      </c>
      <c r="S251" s="665">
        <v>1</v>
      </c>
      <c r="T251" s="663"/>
      <c r="U251" s="663"/>
      <c r="V251" s="663"/>
      <c r="W251" s="663"/>
      <c r="X251" s="663"/>
      <c r="Y251" s="663"/>
      <c r="Z251" s="663"/>
      <c r="AA251" s="663"/>
      <c r="AB251" s="663"/>
      <c r="AC251" s="663"/>
      <c r="AD251" s="663"/>
      <c r="AE251" s="663"/>
      <c r="AF251" s="663"/>
      <c r="AG251" s="663"/>
    </row>
    <row r="252" spans="1:33" x14ac:dyDescent="0.3">
      <c r="A252" s="664" t="s">
        <v>102</v>
      </c>
      <c r="B252" s="663">
        <f t="shared" ref="B252:D252" si="110">(3)*2</f>
        <v>6</v>
      </c>
      <c r="C252" s="663">
        <f t="shared" si="110"/>
        <v>6</v>
      </c>
      <c r="D252" s="663">
        <f t="shared" si="110"/>
        <v>6</v>
      </c>
      <c r="E252" s="663">
        <v>0</v>
      </c>
      <c r="F252" s="663">
        <v>0</v>
      </c>
      <c r="G252" s="663">
        <v>0</v>
      </c>
      <c r="H252" s="663">
        <v>6</v>
      </c>
      <c r="I252" s="663" t="s">
        <v>99</v>
      </c>
      <c r="J252" s="663">
        <v>2</v>
      </c>
      <c r="K252" s="663">
        <v>0</v>
      </c>
      <c r="L252" s="663">
        <v>0</v>
      </c>
      <c r="M252" s="713">
        <v>0</v>
      </c>
      <c r="N252" s="663">
        <v>0</v>
      </c>
      <c r="O252" s="663"/>
      <c r="P252" s="714">
        <v>0</v>
      </c>
      <c r="Q252" s="663">
        <v>0</v>
      </c>
      <c r="R252" s="663">
        <v>2</v>
      </c>
      <c r="S252" s="665">
        <v>1</v>
      </c>
      <c r="T252" s="663"/>
      <c r="U252" s="663"/>
      <c r="V252" s="663"/>
      <c r="W252" s="663"/>
      <c r="X252" s="663"/>
      <c r="Y252" s="663"/>
      <c r="Z252" s="663"/>
      <c r="AA252" s="663"/>
      <c r="AB252" s="663"/>
      <c r="AC252" s="663"/>
      <c r="AD252" s="663"/>
      <c r="AE252" s="663"/>
      <c r="AF252" s="663"/>
      <c r="AG252" s="663"/>
    </row>
    <row r="253" spans="1:33" x14ac:dyDescent="0.3">
      <c r="A253" s="664" t="s">
        <v>103</v>
      </c>
      <c r="B253" s="663">
        <f t="shared" ref="B253:D253" si="111">(5.1)*2</f>
        <v>10.199999999999999</v>
      </c>
      <c r="C253" s="663">
        <f t="shared" si="111"/>
        <v>10.199999999999999</v>
      </c>
      <c r="D253" s="663">
        <f t="shared" si="111"/>
        <v>10.199999999999999</v>
      </c>
      <c r="E253" s="663">
        <v>0</v>
      </c>
      <c r="F253" s="663">
        <v>0</v>
      </c>
      <c r="G253" s="663">
        <v>0</v>
      </c>
      <c r="H253" s="663">
        <v>10.199999999999999</v>
      </c>
      <c r="I253" s="663" t="s">
        <v>101</v>
      </c>
      <c r="J253" s="663">
        <v>2</v>
      </c>
      <c r="K253" s="663">
        <v>0</v>
      </c>
      <c r="L253" s="663">
        <v>0</v>
      </c>
      <c r="M253" s="713">
        <v>0</v>
      </c>
      <c r="N253" s="663">
        <v>0</v>
      </c>
      <c r="O253" s="663"/>
      <c r="P253" s="714">
        <v>0</v>
      </c>
      <c r="Q253" s="663">
        <v>0</v>
      </c>
      <c r="R253" s="663">
        <v>2</v>
      </c>
      <c r="S253" s="665">
        <v>1</v>
      </c>
      <c r="T253" s="663"/>
      <c r="U253" s="663"/>
      <c r="V253" s="663"/>
      <c r="W253" s="663"/>
      <c r="X253" s="663"/>
      <c r="Y253" s="663"/>
      <c r="Z253" s="663"/>
      <c r="AA253" s="663"/>
      <c r="AB253" s="663"/>
      <c r="AC253" s="663"/>
      <c r="AD253" s="663"/>
      <c r="AE253" s="663"/>
      <c r="AF253" s="663"/>
      <c r="AG253" s="663"/>
    </row>
    <row r="254" spans="1:33" x14ac:dyDescent="0.3">
      <c r="A254" s="664" t="s">
        <v>104</v>
      </c>
      <c r="B254" s="663">
        <f t="shared" ref="B254:D254" si="112">(3+3+1.25+3)*2</f>
        <v>20.5</v>
      </c>
      <c r="C254" s="663">
        <f t="shared" si="112"/>
        <v>20.5</v>
      </c>
      <c r="D254" s="663">
        <f t="shared" si="112"/>
        <v>20.5</v>
      </c>
      <c r="E254" s="663">
        <v>6</v>
      </c>
      <c r="F254" s="663" t="s">
        <v>105</v>
      </c>
      <c r="G254" s="663">
        <v>2</v>
      </c>
      <c r="H254" s="663">
        <v>6</v>
      </c>
      <c r="I254" s="663" t="s">
        <v>99</v>
      </c>
      <c r="J254" s="663">
        <v>2</v>
      </c>
      <c r="K254" s="663">
        <v>2.5</v>
      </c>
      <c r="L254" s="663" t="s">
        <v>86</v>
      </c>
      <c r="M254" s="713">
        <v>4</v>
      </c>
      <c r="N254" s="663">
        <v>6</v>
      </c>
      <c r="O254" s="663" t="s">
        <v>99</v>
      </c>
      <c r="P254" s="714">
        <v>2</v>
      </c>
      <c r="Q254" s="663">
        <v>2</v>
      </c>
      <c r="R254" s="663">
        <v>2</v>
      </c>
      <c r="S254" s="665">
        <v>1</v>
      </c>
      <c r="T254" s="663"/>
      <c r="U254" s="663"/>
      <c r="V254" s="663"/>
      <c r="W254" s="663"/>
      <c r="X254" s="663"/>
      <c r="Y254" s="663"/>
      <c r="Z254" s="663"/>
      <c r="AA254" s="663"/>
      <c r="AB254" s="663"/>
      <c r="AC254" s="663"/>
      <c r="AD254" s="663"/>
      <c r="AE254" s="663"/>
      <c r="AF254" s="663"/>
      <c r="AG254" s="663"/>
    </row>
    <row r="255" spans="1:33" x14ac:dyDescent="0.3">
      <c r="A255" s="666" t="s">
        <v>106</v>
      </c>
      <c r="B255" s="667">
        <f t="shared" ref="B255:D255" si="113">(5+5.1+1.25+5.1)*2</f>
        <v>32.9</v>
      </c>
      <c r="C255" s="667">
        <f t="shared" si="113"/>
        <v>32.9</v>
      </c>
      <c r="D255" s="667">
        <f t="shared" si="113"/>
        <v>32.9</v>
      </c>
      <c r="E255" s="667">
        <v>10.199999999999999</v>
      </c>
      <c r="F255" s="667" t="s">
        <v>27</v>
      </c>
      <c r="G255" s="667">
        <v>2</v>
      </c>
      <c r="H255" s="667">
        <v>10.199999999999999</v>
      </c>
      <c r="I255" s="667" t="s">
        <v>101</v>
      </c>
      <c r="J255" s="667">
        <v>2</v>
      </c>
      <c r="K255" s="667">
        <v>2.5</v>
      </c>
      <c r="L255" s="667" t="s">
        <v>86</v>
      </c>
      <c r="M255" s="715">
        <v>4</v>
      </c>
      <c r="N255" s="667">
        <v>10.199999999999999</v>
      </c>
      <c r="O255" s="667" t="s">
        <v>101</v>
      </c>
      <c r="P255" s="716">
        <v>2</v>
      </c>
      <c r="Q255" s="667">
        <v>2</v>
      </c>
      <c r="R255" s="667">
        <v>2</v>
      </c>
      <c r="S255" s="668">
        <v>1</v>
      </c>
      <c r="T255" s="663"/>
      <c r="U255" s="663"/>
      <c r="V255" s="663"/>
      <c r="W255" s="663"/>
      <c r="X255" s="663"/>
      <c r="Y255" s="663"/>
      <c r="Z255" s="663"/>
      <c r="AA255" s="663"/>
      <c r="AB255" s="663"/>
      <c r="AC255" s="663"/>
      <c r="AD255" s="663"/>
      <c r="AE255" s="663"/>
      <c r="AF255" s="663"/>
      <c r="AG255" s="663"/>
    </row>
    <row r="256" spans="1:33" x14ac:dyDescent="0.3">
      <c r="A256" s="663"/>
      <c r="B256" s="663"/>
      <c r="C256" s="663"/>
      <c r="D256" s="663"/>
      <c r="E256" s="663"/>
      <c r="F256" s="663"/>
      <c r="G256" s="663"/>
      <c r="H256" s="663"/>
      <c r="I256" s="663"/>
      <c r="J256" s="663"/>
      <c r="K256" s="663"/>
      <c r="L256" s="663"/>
      <c r="M256" s="663"/>
      <c r="N256" s="663"/>
      <c r="O256" s="663"/>
      <c r="P256" s="663"/>
      <c r="Q256" s="663"/>
      <c r="R256" s="663"/>
      <c r="S256" s="663"/>
      <c r="T256" s="663"/>
      <c r="U256" s="663"/>
      <c r="V256" s="663"/>
      <c r="W256" s="663"/>
      <c r="X256" s="663"/>
      <c r="Y256" s="663"/>
      <c r="Z256" s="663"/>
      <c r="AA256" s="663"/>
      <c r="AB256" s="663"/>
      <c r="AC256" s="663"/>
      <c r="AD256" s="663"/>
      <c r="AE256" s="663"/>
      <c r="AF256" s="663"/>
      <c r="AG256" s="663"/>
    </row>
    <row r="257" spans="1:33" x14ac:dyDescent="0.3">
      <c r="A257" s="660" t="s">
        <v>107</v>
      </c>
      <c r="B257" s="662">
        <v>1</v>
      </c>
      <c r="C257" s="663"/>
      <c r="D257" s="663"/>
      <c r="E257" s="663"/>
      <c r="F257" s="663"/>
      <c r="G257" s="663"/>
      <c r="H257" s="663"/>
      <c r="I257" s="663"/>
      <c r="J257" s="663"/>
      <c r="K257" s="663"/>
      <c r="L257" s="663"/>
      <c r="M257" s="663"/>
      <c r="N257" s="663"/>
      <c r="O257" s="663"/>
      <c r="P257" s="663"/>
      <c r="Q257" s="663"/>
      <c r="R257" s="663"/>
      <c r="S257" s="663"/>
      <c r="T257" s="663"/>
      <c r="U257" s="663"/>
      <c r="V257" s="663"/>
      <c r="W257" s="663"/>
      <c r="X257" s="663"/>
      <c r="Y257" s="663"/>
      <c r="Z257" s="663"/>
      <c r="AA257" s="663"/>
      <c r="AB257" s="663"/>
      <c r="AC257" s="663"/>
      <c r="AD257" s="663"/>
      <c r="AE257" s="663"/>
      <c r="AF257" s="663"/>
      <c r="AG257" s="663"/>
    </row>
    <row r="258" spans="1:33" x14ac:dyDescent="0.3">
      <c r="A258" s="666" t="s">
        <v>18</v>
      </c>
      <c r="B258" s="668">
        <v>0</v>
      </c>
      <c r="C258" s="663"/>
      <c r="D258" s="663"/>
      <c r="E258" s="663"/>
      <c r="F258" s="663"/>
      <c r="G258" s="663"/>
      <c r="H258" s="663"/>
      <c r="I258" s="663"/>
      <c r="J258" s="663"/>
      <c r="K258" s="663"/>
      <c r="L258" s="663"/>
      <c r="M258" s="663"/>
      <c r="N258" s="663"/>
      <c r="O258" s="663"/>
      <c r="P258" s="663"/>
      <c r="Q258" s="663"/>
      <c r="R258" s="663"/>
      <c r="S258" s="663"/>
      <c r="T258" s="663"/>
      <c r="U258" s="663"/>
      <c r="V258" s="663"/>
      <c r="W258" s="663"/>
      <c r="X258" s="663"/>
      <c r="Y258" s="663"/>
      <c r="Z258" s="663"/>
      <c r="AA258" s="663"/>
      <c r="AB258" s="663"/>
      <c r="AC258" s="663"/>
      <c r="AD258" s="663"/>
      <c r="AE258" s="663"/>
      <c r="AF258" s="663"/>
      <c r="AG258" s="663"/>
    </row>
    <row r="259" spans="1:33" x14ac:dyDescent="0.3">
      <c r="A259" s="663"/>
      <c r="B259" s="663"/>
      <c r="C259" s="663"/>
      <c r="D259" s="663"/>
      <c r="E259" s="663"/>
      <c r="F259" s="663"/>
      <c r="G259" s="663"/>
      <c r="H259" s="663"/>
      <c r="I259" s="663"/>
      <c r="J259" s="663"/>
      <c r="K259" s="663"/>
      <c r="L259" s="663"/>
      <c r="M259" s="663"/>
      <c r="N259" s="663"/>
      <c r="O259" s="663"/>
      <c r="P259" s="663"/>
      <c r="Q259" s="663"/>
      <c r="R259" s="663"/>
      <c r="S259" s="663"/>
      <c r="T259" s="663"/>
      <c r="U259" s="663"/>
      <c r="V259" s="663"/>
      <c r="W259" s="663"/>
      <c r="X259" s="663"/>
      <c r="Y259" s="663"/>
      <c r="Z259" s="663"/>
      <c r="AA259" s="663"/>
      <c r="AB259" s="663"/>
      <c r="AC259" s="663"/>
      <c r="AD259" s="663"/>
      <c r="AE259" s="663"/>
      <c r="AF259" s="663"/>
      <c r="AG259" s="663"/>
    </row>
    <row r="260" spans="1:33" ht="18" x14ac:dyDescent="0.35">
      <c r="A260" s="660" t="s">
        <v>135</v>
      </c>
      <c r="B260" s="641"/>
      <c r="C260" s="663"/>
      <c r="D260" s="663"/>
      <c r="E260" s="663"/>
      <c r="F260" s="663"/>
      <c r="G260" s="663"/>
      <c r="H260" s="663"/>
      <c r="I260" s="663"/>
      <c r="J260" s="663"/>
      <c r="K260" s="663"/>
      <c r="L260" s="663"/>
      <c r="M260" s="663"/>
      <c r="N260" s="663"/>
      <c r="O260" s="663"/>
      <c r="P260" s="663"/>
      <c r="Q260" s="663"/>
      <c r="R260" s="663"/>
      <c r="S260" s="663"/>
      <c r="T260" s="663"/>
      <c r="U260" s="663"/>
      <c r="V260" s="663"/>
      <c r="W260" s="663"/>
      <c r="X260" s="663"/>
      <c r="Y260" s="663"/>
      <c r="Z260" s="663"/>
      <c r="AA260" s="663"/>
      <c r="AB260" s="663"/>
      <c r="AC260" s="663"/>
      <c r="AD260" s="663"/>
      <c r="AE260" s="663"/>
      <c r="AF260" s="663"/>
      <c r="AG260" s="663"/>
    </row>
    <row r="261" spans="1:33" ht="18" x14ac:dyDescent="0.35">
      <c r="A261" s="664" t="s">
        <v>136</v>
      </c>
      <c r="B261" s="650"/>
      <c r="C261" s="663"/>
      <c r="D261" s="663"/>
      <c r="E261" s="663"/>
      <c r="F261" s="663"/>
      <c r="G261" s="663"/>
      <c r="H261" s="663"/>
      <c r="I261" s="663"/>
      <c r="J261" s="663"/>
      <c r="K261" s="663"/>
      <c r="L261" s="663"/>
      <c r="M261" s="663"/>
      <c r="N261" s="663"/>
      <c r="O261" s="663"/>
      <c r="P261" s="663"/>
      <c r="Q261" s="663"/>
      <c r="R261" s="663"/>
      <c r="S261" s="663"/>
      <c r="T261" s="663"/>
      <c r="U261" s="663"/>
      <c r="V261" s="663"/>
      <c r="W261" s="663"/>
      <c r="X261" s="663"/>
      <c r="Y261" s="663"/>
      <c r="Z261" s="663"/>
      <c r="AA261" s="663"/>
      <c r="AB261" s="663"/>
      <c r="AC261" s="663"/>
      <c r="AD261" s="663"/>
      <c r="AE261" s="663"/>
      <c r="AF261" s="663"/>
      <c r="AG261" s="663"/>
    </row>
    <row r="262" spans="1:33" ht="18" x14ac:dyDescent="0.35">
      <c r="A262" s="666" t="s">
        <v>24</v>
      </c>
      <c r="B262" s="657"/>
      <c r="C262" s="663"/>
      <c r="D262" s="663"/>
      <c r="E262" s="663"/>
      <c r="F262" s="663"/>
      <c r="G262" s="663"/>
      <c r="H262" s="663"/>
      <c r="I262" s="663"/>
      <c r="J262" s="663"/>
      <c r="K262" s="663"/>
      <c r="L262" s="663"/>
      <c r="M262" s="663"/>
      <c r="N262" s="663"/>
      <c r="O262" s="663"/>
      <c r="P262" s="663"/>
      <c r="Q262" s="663"/>
      <c r="R262" s="663"/>
      <c r="S262" s="663"/>
      <c r="T262" s="663"/>
      <c r="U262" s="663"/>
      <c r="V262" s="663"/>
      <c r="W262" s="663"/>
      <c r="X262" s="663"/>
      <c r="Y262" s="663"/>
      <c r="Z262" s="663"/>
      <c r="AA262" s="663"/>
      <c r="AB262" s="663"/>
      <c r="AC262" s="663"/>
      <c r="AD262" s="663"/>
      <c r="AE262" s="663"/>
      <c r="AF262" s="663"/>
      <c r="AG262" s="663"/>
    </row>
    <row r="263" spans="1:33" x14ac:dyDescent="0.3">
      <c r="A263" s="663"/>
      <c r="B263" s="663"/>
      <c r="C263" s="663"/>
      <c r="D263" s="663"/>
      <c r="E263" s="663"/>
      <c r="F263" s="663"/>
      <c r="G263" s="663"/>
      <c r="H263" s="663"/>
      <c r="I263" s="663"/>
      <c r="J263" s="663"/>
      <c r="K263" s="663"/>
      <c r="L263" s="663"/>
      <c r="M263" s="663"/>
      <c r="N263" s="663"/>
      <c r="O263" s="663"/>
      <c r="P263" s="663"/>
      <c r="Q263" s="663"/>
      <c r="R263" s="663"/>
      <c r="S263" s="663"/>
      <c r="T263" s="663"/>
      <c r="U263" s="663"/>
      <c r="V263" s="663"/>
      <c r="W263" s="663"/>
      <c r="X263" s="663"/>
      <c r="Y263" s="663"/>
      <c r="Z263" s="663"/>
      <c r="AA263" s="663"/>
      <c r="AB263" s="663"/>
      <c r="AC263" s="663"/>
      <c r="AD263" s="663"/>
      <c r="AE263" s="663"/>
      <c r="AF263" s="663"/>
      <c r="AG263" s="663"/>
    </row>
    <row r="264" spans="1:33" x14ac:dyDescent="0.3">
      <c r="A264" s="672" t="s">
        <v>22</v>
      </c>
      <c r="B264" s="662">
        <v>4.2</v>
      </c>
      <c r="C264" s="663"/>
      <c r="D264" s="663"/>
      <c r="E264" s="663"/>
      <c r="F264" s="663"/>
      <c r="G264" s="663"/>
      <c r="H264" s="663"/>
      <c r="I264" s="663"/>
      <c r="J264" s="663"/>
      <c r="K264" s="663"/>
      <c r="L264" s="663"/>
      <c r="M264" s="663"/>
      <c r="N264" s="663"/>
      <c r="O264" s="663"/>
      <c r="P264" s="663"/>
      <c r="Q264" s="663"/>
      <c r="R264" s="663"/>
      <c r="S264" s="663"/>
      <c r="T264" s="663"/>
      <c r="U264" s="663"/>
      <c r="V264" s="663"/>
      <c r="W264" s="663"/>
      <c r="X264" s="663"/>
      <c r="Y264" s="663"/>
      <c r="Z264" s="663"/>
      <c r="AA264" s="663"/>
      <c r="AB264" s="663"/>
      <c r="AC264" s="663"/>
      <c r="AD264" s="663"/>
      <c r="AE264" s="663"/>
      <c r="AF264" s="663"/>
      <c r="AG264" s="663"/>
    </row>
    <row r="265" spans="1:33" x14ac:dyDescent="0.3">
      <c r="A265" s="673" t="s">
        <v>20</v>
      </c>
      <c r="B265" s="665">
        <v>0</v>
      </c>
      <c r="C265" s="663"/>
      <c r="D265" s="663"/>
      <c r="E265" s="663"/>
      <c r="F265" s="663"/>
      <c r="G265" s="663"/>
      <c r="H265" s="663"/>
      <c r="I265" s="663"/>
      <c r="J265" s="663"/>
      <c r="K265" s="663"/>
      <c r="L265" s="663"/>
      <c r="M265" s="663"/>
      <c r="N265" s="663"/>
      <c r="O265" s="663"/>
      <c r="P265" s="663"/>
      <c r="Q265" s="663"/>
      <c r="R265" s="663"/>
      <c r="S265" s="663"/>
      <c r="T265" s="663"/>
      <c r="U265" s="663"/>
      <c r="V265" s="663"/>
      <c r="W265" s="663"/>
      <c r="X265" s="663"/>
      <c r="Y265" s="663"/>
      <c r="Z265" s="663"/>
      <c r="AA265" s="663"/>
      <c r="AB265" s="663"/>
      <c r="AC265" s="663"/>
      <c r="AD265" s="663"/>
      <c r="AE265" s="663"/>
      <c r="AF265" s="663"/>
      <c r="AG265" s="663"/>
    </row>
    <row r="266" spans="1:33" x14ac:dyDescent="0.3">
      <c r="A266" s="674"/>
      <c r="B266" s="668"/>
      <c r="C266" s="663"/>
      <c r="D266" s="663"/>
      <c r="E266" s="663"/>
      <c r="F266" s="663"/>
      <c r="G266" s="663"/>
      <c r="H266" s="663"/>
      <c r="I266" s="663"/>
      <c r="J266" s="663"/>
      <c r="K266" s="663"/>
      <c r="L266" s="663"/>
      <c r="M266" s="663"/>
      <c r="N266" s="663"/>
      <c r="O266" s="663"/>
      <c r="P266" s="663"/>
      <c r="Q266" s="663"/>
      <c r="R266" s="663"/>
      <c r="S266" s="663"/>
      <c r="T266" s="663"/>
      <c r="U266" s="663"/>
      <c r="V266" s="663"/>
      <c r="W266" s="663"/>
      <c r="X266" s="663"/>
      <c r="Y266" s="663"/>
      <c r="Z266" s="663"/>
      <c r="AA266" s="663"/>
      <c r="AB266" s="663"/>
      <c r="AC266" s="663"/>
      <c r="AD266" s="663"/>
      <c r="AE266" s="663"/>
      <c r="AF266" s="663"/>
      <c r="AG266" s="663"/>
    </row>
    <row r="267" spans="1:33" x14ac:dyDescent="0.3">
      <c r="A267" s="663"/>
      <c r="B267" s="663"/>
      <c r="C267" s="663"/>
      <c r="D267" s="663"/>
      <c r="E267" s="663"/>
      <c r="F267" s="663"/>
      <c r="G267" s="663"/>
      <c r="H267" s="663"/>
      <c r="I267" s="663"/>
      <c r="J267" s="663"/>
      <c r="K267" s="663"/>
      <c r="L267" s="663"/>
      <c r="M267" s="663"/>
      <c r="N267" s="663"/>
      <c r="O267" s="663"/>
      <c r="P267" s="663"/>
      <c r="Q267" s="663"/>
      <c r="R267" s="663"/>
      <c r="S267" s="663"/>
      <c r="T267" s="663"/>
      <c r="U267" s="663"/>
      <c r="V267" s="663"/>
      <c r="W267" s="663"/>
      <c r="X267" s="663"/>
      <c r="Y267" s="663"/>
      <c r="Z267" s="663"/>
      <c r="AA267" s="663"/>
      <c r="AB267" s="663"/>
      <c r="AC267" s="663"/>
      <c r="AD267" s="663"/>
      <c r="AE267" s="663"/>
      <c r="AF267" s="663"/>
      <c r="AG267" s="663"/>
    </row>
    <row r="268" spans="1:33" x14ac:dyDescent="0.3">
      <c r="A268" s="660" t="s">
        <v>86</v>
      </c>
      <c r="B268" s="661" t="s">
        <v>86</v>
      </c>
      <c r="C268" s="661" t="s">
        <v>10</v>
      </c>
      <c r="D268" s="661">
        <v>1</v>
      </c>
      <c r="E268" s="662">
        <v>1.5</v>
      </c>
      <c r="F268" s="663"/>
      <c r="G268" s="663"/>
      <c r="H268" s="663"/>
      <c r="I268" s="663"/>
      <c r="J268" s="663"/>
      <c r="K268" s="663"/>
      <c r="L268" s="663"/>
      <c r="M268" s="663"/>
      <c r="N268" s="663"/>
      <c r="O268" s="663"/>
      <c r="P268" s="663"/>
      <c r="Q268" s="663"/>
      <c r="R268" s="663"/>
      <c r="S268" s="663"/>
      <c r="T268" s="663"/>
      <c r="U268" s="663"/>
      <c r="V268" s="663"/>
      <c r="W268" s="663"/>
      <c r="X268" s="663"/>
      <c r="Y268" s="663"/>
      <c r="Z268" s="663"/>
      <c r="AA268" s="663"/>
      <c r="AB268" s="663"/>
      <c r="AC268" s="663"/>
      <c r="AD268" s="663"/>
      <c r="AE268" s="663"/>
      <c r="AF268" s="663"/>
      <c r="AG268" s="663"/>
    </row>
    <row r="269" spans="1:33" x14ac:dyDescent="0.3">
      <c r="A269" s="666" t="s">
        <v>10</v>
      </c>
      <c r="B269" s="667" t="s">
        <v>10</v>
      </c>
      <c r="C269" s="667" t="s">
        <v>10</v>
      </c>
      <c r="D269" s="667">
        <v>1.5</v>
      </c>
      <c r="E269" s="668">
        <v>1.5</v>
      </c>
      <c r="F269" s="663"/>
      <c r="G269" s="663"/>
      <c r="H269" s="663"/>
      <c r="I269" s="663"/>
      <c r="J269" s="663"/>
      <c r="K269" s="663"/>
      <c r="L269" s="663"/>
      <c r="M269" s="663"/>
      <c r="N269" s="663"/>
      <c r="O269" s="663"/>
      <c r="P269" s="663"/>
      <c r="Q269" s="663"/>
      <c r="R269" s="663"/>
      <c r="S269" s="663"/>
      <c r="T269" s="663"/>
      <c r="U269" s="663"/>
      <c r="V269" s="663"/>
      <c r="W269" s="663"/>
      <c r="X269" s="663"/>
      <c r="Y269" s="663"/>
      <c r="Z269" s="663"/>
      <c r="AA269" s="663"/>
      <c r="AB269" s="663"/>
      <c r="AC269" s="663"/>
      <c r="AD269" s="663"/>
      <c r="AE269" s="663"/>
      <c r="AF269" s="663"/>
      <c r="AG269" s="663"/>
    </row>
    <row r="270" spans="1:33" x14ac:dyDescent="0.3">
      <c r="A270" s="663"/>
      <c r="B270" s="663"/>
      <c r="C270" s="663"/>
      <c r="D270" s="663"/>
      <c r="E270" s="663"/>
      <c r="F270" s="663"/>
      <c r="G270" s="663"/>
      <c r="H270" s="663"/>
      <c r="I270" s="663"/>
      <c r="J270" s="663"/>
      <c r="K270" s="663"/>
      <c r="L270" s="663"/>
      <c r="M270" s="663"/>
      <c r="N270" s="663"/>
      <c r="O270" s="663"/>
      <c r="P270" s="663"/>
      <c r="Q270" s="663"/>
      <c r="R270" s="663"/>
      <c r="S270" s="663"/>
      <c r="T270" s="663"/>
      <c r="U270" s="663"/>
      <c r="V270" s="663"/>
      <c r="W270" s="663"/>
      <c r="X270" s="663"/>
      <c r="Y270" s="663"/>
      <c r="Z270" s="663"/>
      <c r="AA270" s="663"/>
      <c r="AB270" s="663"/>
      <c r="AC270" s="663"/>
      <c r="AD270" s="663"/>
      <c r="AE270" s="663"/>
      <c r="AF270" s="663"/>
      <c r="AG270" s="663"/>
    </row>
    <row r="271" spans="1:33" x14ac:dyDescent="0.3">
      <c r="A271" s="660" t="s">
        <v>88</v>
      </c>
      <c r="B271" s="661" t="s">
        <v>89</v>
      </c>
      <c r="C271" s="661" t="s">
        <v>89</v>
      </c>
      <c r="D271" s="662">
        <v>1.9</v>
      </c>
      <c r="E271" s="663"/>
      <c r="F271" s="663"/>
      <c r="G271" s="663"/>
      <c r="H271" s="663"/>
      <c r="I271" s="663"/>
      <c r="J271" s="663"/>
      <c r="K271" s="663"/>
      <c r="L271" s="663"/>
      <c r="M271" s="663"/>
      <c r="N271" s="663"/>
      <c r="O271" s="663"/>
      <c r="P271" s="663"/>
      <c r="Q271" s="663"/>
      <c r="R271" s="663"/>
      <c r="S271" s="663"/>
      <c r="T271" s="663"/>
      <c r="U271" s="663"/>
      <c r="V271" s="663"/>
      <c r="W271" s="663"/>
      <c r="X271" s="663"/>
      <c r="Y271" s="663"/>
      <c r="Z271" s="663"/>
      <c r="AA271" s="663"/>
      <c r="AB271" s="663"/>
      <c r="AC271" s="663"/>
      <c r="AD271" s="663"/>
      <c r="AE271" s="663"/>
      <c r="AF271" s="663"/>
      <c r="AG271" s="663"/>
    </row>
    <row r="272" spans="1:33" x14ac:dyDescent="0.3">
      <c r="A272" s="666" t="s">
        <v>12</v>
      </c>
      <c r="B272" s="667" t="s">
        <v>90</v>
      </c>
      <c r="C272" s="667" t="s">
        <v>90</v>
      </c>
      <c r="D272" s="668">
        <v>2.1</v>
      </c>
      <c r="E272" s="663"/>
      <c r="F272" s="663"/>
      <c r="G272" s="663"/>
      <c r="H272" s="663"/>
      <c r="I272" s="663"/>
      <c r="J272" s="663"/>
      <c r="K272" s="663"/>
      <c r="L272" s="663"/>
      <c r="M272" s="663"/>
      <c r="N272" s="663"/>
      <c r="O272" s="663"/>
      <c r="P272" s="663"/>
      <c r="Q272" s="663"/>
      <c r="R272" s="663"/>
      <c r="S272" s="663"/>
      <c r="T272" s="663"/>
      <c r="U272" s="663"/>
      <c r="V272" s="663"/>
      <c r="W272" s="663"/>
      <c r="X272" s="663"/>
      <c r="Y272" s="663"/>
      <c r="Z272" s="663"/>
      <c r="AA272" s="663"/>
      <c r="AB272" s="663"/>
      <c r="AC272" s="663"/>
      <c r="AD272" s="663"/>
      <c r="AE272" s="663"/>
      <c r="AF272" s="663"/>
      <c r="AG272" s="663"/>
    </row>
    <row r="273" spans="1:33" x14ac:dyDescent="0.3">
      <c r="A273" s="663"/>
      <c r="B273" s="663"/>
      <c r="C273" s="663"/>
      <c r="D273" s="663"/>
      <c r="E273" s="663"/>
      <c r="F273" s="663"/>
      <c r="G273" s="663"/>
      <c r="H273" s="663"/>
      <c r="I273" s="663"/>
      <c r="J273" s="663"/>
      <c r="K273" s="663"/>
      <c r="L273" s="663"/>
      <c r="M273" s="663"/>
      <c r="N273" s="663"/>
      <c r="O273" s="663"/>
      <c r="P273" s="663"/>
      <c r="Q273" s="663"/>
      <c r="R273" s="663"/>
      <c r="S273" s="663"/>
      <c r="T273" s="663"/>
      <c r="U273" s="663"/>
      <c r="V273" s="663"/>
      <c r="W273" s="663"/>
      <c r="X273" s="663"/>
      <c r="Y273" s="663"/>
      <c r="Z273" s="663"/>
      <c r="AA273" s="663"/>
      <c r="AB273" s="663"/>
      <c r="AC273" s="663"/>
      <c r="AD273" s="663"/>
      <c r="AE273" s="663"/>
      <c r="AF273" s="663"/>
      <c r="AG273" s="663"/>
    </row>
    <row r="274" spans="1:33" x14ac:dyDescent="0.3">
      <c r="A274" s="660" t="s">
        <v>16</v>
      </c>
      <c r="B274" s="661">
        <v>0</v>
      </c>
      <c r="C274" s="662">
        <v>0</v>
      </c>
      <c r="D274" s="663"/>
      <c r="E274" s="663"/>
      <c r="F274" s="663"/>
      <c r="G274" s="663"/>
      <c r="H274" s="663"/>
      <c r="I274" s="663"/>
      <c r="J274" s="663"/>
      <c r="K274" s="663"/>
      <c r="L274" s="663"/>
      <c r="M274" s="663"/>
      <c r="N274" s="663"/>
      <c r="O274" s="663"/>
      <c r="P274" s="663"/>
      <c r="Q274" s="663"/>
      <c r="R274" s="663"/>
      <c r="S274" s="663"/>
      <c r="T274" s="663"/>
      <c r="U274" s="663"/>
      <c r="V274" s="663"/>
      <c r="W274" s="663"/>
      <c r="X274" s="663"/>
      <c r="Y274" s="663"/>
      <c r="Z274" s="663"/>
      <c r="AA274" s="663"/>
      <c r="AB274" s="663"/>
      <c r="AC274" s="663"/>
      <c r="AD274" s="663"/>
      <c r="AE274" s="663"/>
      <c r="AF274" s="663"/>
      <c r="AG274" s="663"/>
    </row>
    <row r="275" spans="1:33" x14ac:dyDescent="0.3">
      <c r="A275" s="664" t="s">
        <v>334</v>
      </c>
      <c r="B275" s="663">
        <v>0.7</v>
      </c>
      <c r="C275" s="665">
        <v>2</v>
      </c>
      <c r="D275" s="663">
        <v>1</v>
      </c>
      <c r="E275" s="663"/>
      <c r="F275" s="663"/>
      <c r="G275" s="663"/>
      <c r="H275" s="663"/>
      <c r="I275" s="663"/>
      <c r="J275" s="663"/>
      <c r="K275" s="663"/>
      <c r="L275" s="663"/>
      <c r="M275" s="663"/>
      <c r="N275" s="663"/>
      <c r="O275" s="663"/>
      <c r="P275" s="663"/>
      <c r="Q275" s="663"/>
      <c r="R275" s="663"/>
      <c r="S275" s="663"/>
      <c r="T275" s="663"/>
      <c r="U275" s="663"/>
      <c r="V275" s="663"/>
      <c r="W275" s="663"/>
      <c r="X275" s="663"/>
      <c r="Y275" s="663"/>
      <c r="Z275" s="663"/>
      <c r="AA275" s="663"/>
      <c r="AB275" s="663"/>
      <c r="AC275" s="663"/>
      <c r="AD275" s="663"/>
      <c r="AE275" s="663"/>
      <c r="AF275" s="663"/>
      <c r="AG275" s="663"/>
    </row>
    <row r="276" spans="1:33" x14ac:dyDescent="0.3">
      <c r="A276" s="664" t="s">
        <v>335</v>
      </c>
      <c r="B276" s="663">
        <v>1</v>
      </c>
      <c r="C276" s="665">
        <v>8</v>
      </c>
      <c r="D276" s="663">
        <v>5.3</v>
      </c>
      <c r="E276" s="663"/>
      <c r="F276" s="663"/>
      <c r="G276" s="663"/>
      <c r="H276" s="663"/>
      <c r="I276" s="663"/>
      <c r="J276" s="663"/>
      <c r="K276" s="663"/>
      <c r="L276" s="663"/>
      <c r="M276" s="663"/>
      <c r="N276" s="663"/>
      <c r="O276" s="663"/>
      <c r="P276" s="663"/>
      <c r="Q276" s="663"/>
      <c r="R276" s="663"/>
      <c r="S276" s="663"/>
      <c r="T276" s="663"/>
      <c r="U276" s="663"/>
      <c r="V276" s="663"/>
      <c r="W276" s="663"/>
      <c r="X276" s="663"/>
      <c r="Y276" s="663"/>
      <c r="Z276" s="663"/>
      <c r="AA276" s="663"/>
      <c r="AB276" s="663"/>
      <c r="AC276" s="663"/>
      <c r="AD276" s="663"/>
      <c r="AE276" s="663"/>
      <c r="AF276" s="663"/>
      <c r="AG276" s="663"/>
    </row>
    <row r="277" spans="1:33" x14ac:dyDescent="0.3">
      <c r="A277" s="664" t="s">
        <v>336</v>
      </c>
      <c r="B277" s="663">
        <f>1.5+2</f>
        <v>3.5</v>
      </c>
      <c r="C277" s="665">
        <v>19</v>
      </c>
      <c r="D277" s="663">
        <v>6.3</v>
      </c>
      <c r="E277" s="663"/>
      <c r="F277" s="663"/>
      <c r="G277" s="663"/>
      <c r="H277" s="663"/>
      <c r="I277" s="663"/>
      <c r="J277" s="663"/>
      <c r="K277" s="663"/>
      <c r="L277" s="663"/>
      <c r="M277" s="663"/>
      <c r="N277" s="663"/>
      <c r="O277" s="663"/>
      <c r="P277" s="663"/>
      <c r="Q277" s="663"/>
      <c r="R277" s="663"/>
      <c r="S277" s="663"/>
      <c r="T277" s="663"/>
      <c r="U277" s="663"/>
      <c r="V277" s="663"/>
      <c r="W277" s="663"/>
      <c r="X277" s="663"/>
      <c r="Y277" s="663"/>
      <c r="Z277" s="663"/>
      <c r="AA277" s="663"/>
      <c r="AB277" s="663"/>
      <c r="AC277" s="663"/>
      <c r="AD277" s="663"/>
      <c r="AE277" s="663"/>
      <c r="AF277" s="663"/>
      <c r="AG277" s="663"/>
    </row>
    <row r="278" spans="1:33" x14ac:dyDescent="0.3">
      <c r="A278" s="664" t="s">
        <v>337</v>
      </c>
      <c r="B278" s="663">
        <f>1.5+2+1</f>
        <v>4.5</v>
      </c>
      <c r="C278" s="665">
        <v>22</v>
      </c>
      <c r="D278" s="663">
        <v>6.5</v>
      </c>
      <c r="E278" s="663"/>
      <c r="F278" s="663"/>
      <c r="G278" s="663"/>
      <c r="H278" s="663"/>
      <c r="I278" s="663"/>
      <c r="J278" s="663"/>
      <c r="K278" s="663"/>
      <c r="L278" s="663"/>
      <c r="M278" s="663"/>
      <c r="N278" s="663"/>
      <c r="O278" s="663"/>
      <c r="P278" s="663"/>
      <c r="Q278" s="663"/>
      <c r="R278" s="663"/>
      <c r="S278" s="663"/>
      <c r="T278" s="663"/>
      <c r="U278" s="663"/>
      <c r="V278" s="663"/>
      <c r="W278" s="663"/>
      <c r="X278" s="663"/>
      <c r="Y278" s="663"/>
      <c r="Z278" s="663"/>
      <c r="AA278" s="663"/>
      <c r="AB278" s="663"/>
      <c r="AC278" s="663"/>
      <c r="AD278" s="663"/>
      <c r="AE278" s="663"/>
      <c r="AF278" s="663"/>
      <c r="AG278" s="663"/>
    </row>
    <row r="279" spans="1:33" x14ac:dyDescent="0.3">
      <c r="A279" s="664" t="s">
        <v>338</v>
      </c>
      <c r="B279" s="663">
        <v>1.5</v>
      </c>
      <c r="C279" s="665">
        <v>11</v>
      </c>
      <c r="D279" s="663">
        <v>5.95</v>
      </c>
      <c r="E279" s="663"/>
      <c r="F279" s="663"/>
      <c r="G279" s="663"/>
      <c r="H279" s="663"/>
      <c r="I279" s="663"/>
      <c r="J279" s="663"/>
      <c r="K279" s="663"/>
      <c r="L279" s="663"/>
      <c r="M279" s="663"/>
      <c r="N279" s="663"/>
      <c r="O279" s="663"/>
      <c r="P279" s="663"/>
      <c r="Q279" s="663"/>
      <c r="R279" s="663"/>
      <c r="S279" s="663"/>
      <c r="T279" s="663"/>
      <c r="U279" s="663"/>
      <c r="V279" s="663"/>
      <c r="W279" s="663"/>
      <c r="X279" s="663"/>
      <c r="Y279" s="663"/>
      <c r="Z279" s="663"/>
      <c r="AA279" s="663"/>
      <c r="AB279" s="663"/>
      <c r="AC279" s="663"/>
      <c r="AD279" s="663"/>
      <c r="AE279" s="663"/>
      <c r="AF279" s="663"/>
      <c r="AG279" s="663"/>
    </row>
    <row r="280" spans="1:33" x14ac:dyDescent="0.3">
      <c r="A280" s="666" t="s">
        <v>339</v>
      </c>
      <c r="B280" s="667">
        <v>2.5</v>
      </c>
      <c r="C280" s="668">
        <v>13</v>
      </c>
      <c r="D280" s="663">
        <v>6.1</v>
      </c>
      <c r="E280" s="663"/>
      <c r="F280" s="663"/>
      <c r="G280" s="663"/>
      <c r="H280" s="663"/>
      <c r="I280" s="663"/>
      <c r="J280" s="663"/>
      <c r="K280" s="663"/>
      <c r="L280" s="663"/>
      <c r="M280" s="663"/>
      <c r="N280" s="663"/>
      <c r="O280" s="663"/>
      <c r="P280" s="663"/>
      <c r="Q280" s="663"/>
      <c r="R280" s="663"/>
      <c r="S280" s="663"/>
      <c r="T280" s="663"/>
      <c r="U280" s="663"/>
      <c r="V280" s="663"/>
      <c r="W280" s="663"/>
      <c r="X280" s="663"/>
      <c r="Y280" s="663"/>
      <c r="Z280" s="663"/>
      <c r="AA280" s="663"/>
      <c r="AB280" s="663"/>
      <c r="AC280" s="663"/>
      <c r="AD280" s="663"/>
      <c r="AE280" s="663"/>
      <c r="AF280" s="663"/>
      <c r="AG280" s="663"/>
    </row>
    <row r="281" spans="1:33" x14ac:dyDescent="0.3">
      <c r="A281" s="663"/>
      <c r="B281" s="663"/>
      <c r="C281" s="663"/>
      <c r="D281" s="663"/>
      <c r="E281" s="663"/>
      <c r="F281" s="663"/>
      <c r="G281" s="663"/>
      <c r="H281" s="663"/>
      <c r="I281" s="663"/>
      <c r="J281" s="663"/>
      <c r="K281" s="663"/>
      <c r="L281" s="663"/>
      <c r="M281" s="663"/>
      <c r="N281" s="663"/>
      <c r="O281" s="663"/>
      <c r="P281" s="663"/>
      <c r="Q281" s="663"/>
      <c r="R281" s="663"/>
      <c r="S281" s="663"/>
      <c r="T281" s="663"/>
      <c r="U281" s="663"/>
      <c r="V281" s="663"/>
      <c r="W281" s="663"/>
      <c r="X281" s="663"/>
      <c r="Y281" s="663"/>
      <c r="Z281" s="663"/>
      <c r="AA281" s="663"/>
      <c r="AB281" s="663"/>
      <c r="AC281" s="663"/>
      <c r="AD281" s="663"/>
      <c r="AE281" s="663"/>
      <c r="AF281" s="663"/>
      <c r="AG281" s="663"/>
    </row>
    <row r="282" spans="1:33" x14ac:dyDescent="0.3">
      <c r="A282" s="663"/>
      <c r="B282" s="663"/>
      <c r="C282" s="663"/>
      <c r="D282" s="663"/>
      <c r="E282" s="663"/>
      <c r="F282" s="663"/>
      <c r="G282" s="663"/>
      <c r="H282" s="663"/>
      <c r="I282" s="663"/>
      <c r="J282" s="663"/>
      <c r="K282" s="663"/>
      <c r="L282" s="663"/>
      <c r="M282" s="663"/>
      <c r="N282" s="663"/>
      <c r="O282" s="663"/>
      <c r="P282" s="663"/>
      <c r="Q282" s="663"/>
      <c r="R282" s="663"/>
      <c r="S282" s="663"/>
      <c r="T282" s="663"/>
      <c r="U282" s="663"/>
      <c r="V282" s="663"/>
      <c r="W282" s="663"/>
      <c r="X282" s="663"/>
      <c r="Y282" s="663"/>
      <c r="Z282" s="663"/>
      <c r="AA282" s="663"/>
      <c r="AB282" s="663"/>
      <c r="AC282" s="663"/>
      <c r="AD282" s="663"/>
      <c r="AE282" s="663"/>
      <c r="AF282" s="663"/>
      <c r="AG282" s="663"/>
    </row>
    <row r="283" spans="1:33" x14ac:dyDescent="0.3">
      <c r="A283" s="660" t="s">
        <v>375</v>
      </c>
      <c r="B283" s="661">
        <v>1</v>
      </c>
      <c r="C283" s="662">
        <v>3</v>
      </c>
      <c r="D283" s="663"/>
      <c r="E283" s="663"/>
      <c r="F283" s="663"/>
      <c r="G283" s="663"/>
      <c r="H283" s="663"/>
      <c r="I283" s="663"/>
      <c r="J283" s="663"/>
      <c r="K283" s="663"/>
      <c r="L283" s="663"/>
      <c r="M283" s="663"/>
      <c r="N283" s="663"/>
      <c r="O283" s="663"/>
      <c r="P283" s="663"/>
      <c r="Q283" s="663"/>
      <c r="R283" s="663"/>
      <c r="S283" s="663"/>
      <c r="T283" s="663"/>
      <c r="U283" s="663"/>
      <c r="V283" s="663"/>
      <c r="W283" s="663"/>
      <c r="X283" s="663"/>
      <c r="Y283" s="663"/>
      <c r="Z283" s="663"/>
      <c r="AA283" s="663"/>
      <c r="AB283" s="663"/>
      <c r="AC283" s="663"/>
      <c r="AD283" s="663"/>
      <c r="AE283" s="663"/>
      <c r="AF283" s="663"/>
      <c r="AG283" s="663"/>
    </row>
    <row r="284" spans="1:33" x14ac:dyDescent="0.3">
      <c r="A284" s="664" t="s">
        <v>113</v>
      </c>
      <c r="B284" s="663">
        <v>1</v>
      </c>
      <c r="C284" s="665">
        <v>5</v>
      </c>
      <c r="D284" s="663"/>
      <c r="E284" s="663"/>
      <c r="F284" s="663"/>
      <c r="G284" s="663"/>
      <c r="H284" s="663"/>
      <c r="I284" s="663"/>
      <c r="J284" s="663"/>
      <c r="K284" s="663"/>
      <c r="L284" s="663"/>
      <c r="M284" s="663"/>
      <c r="N284" s="663"/>
      <c r="O284" s="663"/>
      <c r="P284" s="663"/>
      <c r="Q284" s="663"/>
      <c r="R284" s="663"/>
      <c r="S284" s="663"/>
      <c r="T284" s="663"/>
      <c r="U284" s="663"/>
      <c r="V284" s="663"/>
      <c r="W284" s="663"/>
      <c r="X284" s="663"/>
      <c r="Y284" s="663"/>
      <c r="Z284" s="663"/>
      <c r="AA284" s="663"/>
      <c r="AB284" s="663"/>
      <c r="AC284" s="663"/>
      <c r="AD284" s="663"/>
      <c r="AE284" s="663"/>
      <c r="AF284" s="663"/>
      <c r="AG284" s="663"/>
    </row>
    <row r="285" spans="1:33" x14ac:dyDescent="0.3">
      <c r="A285" s="664" t="s">
        <v>16</v>
      </c>
      <c r="B285" s="663"/>
      <c r="C285" s="665"/>
      <c r="D285" s="663"/>
      <c r="E285" s="663"/>
      <c r="F285" s="663"/>
      <c r="G285" s="663"/>
      <c r="H285" s="663"/>
      <c r="I285" s="663"/>
      <c r="J285" s="663"/>
      <c r="K285" s="663"/>
      <c r="L285" s="663"/>
      <c r="M285" s="663"/>
      <c r="N285" s="663"/>
      <c r="O285" s="663"/>
      <c r="P285" s="663"/>
      <c r="Q285" s="663"/>
      <c r="R285" s="663"/>
      <c r="S285" s="663"/>
      <c r="T285" s="663"/>
      <c r="U285" s="663"/>
      <c r="V285" s="663"/>
      <c r="W285" s="663"/>
      <c r="X285" s="663"/>
      <c r="Y285" s="663"/>
      <c r="Z285" s="663"/>
      <c r="AA285" s="663"/>
      <c r="AB285" s="663"/>
      <c r="AC285" s="663"/>
      <c r="AD285" s="663"/>
      <c r="AE285" s="663"/>
      <c r="AF285" s="663"/>
      <c r="AG285" s="663"/>
    </row>
    <row r="286" spans="1:33" x14ac:dyDescent="0.3">
      <c r="A286" s="664" t="s">
        <v>105</v>
      </c>
      <c r="B286" s="663">
        <v>1</v>
      </c>
      <c r="C286" s="665">
        <v>3</v>
      </c>
      <c r="D286" s="663"/>
      <c r="E286" s="663"/>
      <c r="F286" s="663"/>
      <c r="G286" s="663"/>
      <c r="H286" s="663"/>
      <c r="I286" s="663"/>
      <c r="J286" s="663"/>
      <c r="K286" s="663"/>
      <c r="L286" s="663"/>
      <c r="M286" s="663"/>
      <c r="N286" s="663"/>
      <c r="O286" s="663"/>
      <c r="P286" s="663"/>
      <c r="Q286" s="663"/>
      <c r="R286" s="663"/>
      <c r="S286" s="663"/>
      <c r="T286" s="663"/>
      <c r="U286" s="663"/>
      <c r="V286" s="663"/>
      <c r="W286" s="663"/>
      <c r="X286" s="663"/>
      <c r="Y286" s="663"/>
      <c r="Z286" s="663"/>
      <c r="AA286" s="663"/>
      <c r="AB286" s="663"/>
      <c r="AC286" s="663"/>
      <c r="AD286" s="663"/>
      <c r="AE286" s="663"/>
      <c r="AF286" s="663"/>
      <c r="AG286" s="663"/>
    </row>
    <row r="287" spans="1:33" x14ac:dyDescent="0.3">
      <c r="A287" s="664" t="s">
        <v>27</v>
      </c>
      <c r="B287" s="663">
        <v>1</v>
      </c>
      <c r="C287" s="665">
        <v>5</v>
      </c>
      <c r="D287" s="663"/>
      <c r="E287" s="663"/>
      <c r="F287" s="663"/>
      <c r="G287" s="663"/>
      <c r="H287" s="663"/>
      <c r="I287" s="663"/>
      <c r="J287" s="663"/>
      <c r="K287" s="663"/>
      <c r="L287" s="663"/>
      <c r="M287" s="663"/>
      <c r="N287" s="663"/>
      <c r="O287" s="663"/>
      <c r="P287" s="663"/>
      <c r="Q287" s="663"/>
      <c r="R287" s="663"/>
      <c r="S287" s="663"/>
      <c r="T287" s="663"/>
      <c r="U287" s="663"/>
      <c r="V287" s="663"/>
      <c r="W287" s="663"/>
      <c r="X287" s="663"/>
      <c r="Y287" s="663"/>
      <c r="Z287" s="663"/>
      <c r="AA287" s="663"/>
      <c r="AB287" s="663"/>
      <c r="AC287" s="663"/>
      <c r="AD287" s="663"/>
      <c r="AE287" s="663"/>
      <c r="AF287" s="663"/>
      <c r="AG287" s="663"/>
    </row>
    <row r="288" spans="1:33" x14ac:dyDescent="0.3">
      <c r="A288" s="664" t="s">
        <v>126</v>
      </c>
      <c r="B288" s="663">
        <v>1</v>
      </c>
      <c r="C288" s="665">
        <v>2.2000000000000002</v>
      </c>
      <c r="D288" s="663"/>
      <c r="E288" s="663"/>
      <c r="F288" s="663"/>
      <c r="G288" s="663"/>
      <c r="H288" s="663"/>
      <c r="I288" s="663"/>
      <c r="J288" s="663"/>
      <c r="K288" s="663"/>
      <c r="L288" s="663"/>
      <c r="M288" s="663"/>
      <c r="N288" s="663"/>
      <c r="O288" s="663"/>
      <c r="P288" s="663"/>
      <c r="Q288" s="663"/>
      <c r="R288" s="663"/>
      <c r="S288" s="663"/>
      <c r="T288" s="663"/>
      <c r="U288" s="663"/>
      <c r="V288" s="663"/>
      <c r="W288" s="663"/>
      <c r="X288" s="663"/>
      <c r="Y288" s="663"/>
      <c r="Z288" s="663"/>
      <c r="AA288" s="663"/>
      <c r="AB288" s="663"/>
      <c r="AC288" s="663"/>
      <c r="AD288" s="663"/>
      <c r="AE288" s="663"/>
      <c r="AF288" s="663"/>
      <c r="AG288" s="663"/>
    </row>
    <row r="289" spans="1:33" x14ac:dyDescent="0.3">
      <c r="A289" s="664" t="s">
        <v>128</v>
      </c>
      <c r="B289" s="663">
        <v>1</v>
      </c>
      <c r="C289" s="665">
        <v>3.2</v>
      </c>
      <c r="D289" s="663"/>
      <c r="E289" s="663"/>
      <c r="F289" s="663"/>
      <c r="G289" s="663"/>
      <c r="H289" s="663"/>
      <c r="I289" s="663"/>
      <c r="J289" s="663"/>
      <c r="K289" s="663"/>
      <c r="L289" s="663"/>
      <c r="M289" s="663"/>
      <c r="N289" s="663"/>
      <c r="O289" s="663"/>
      <c r="P289" s="663"/>
      <c r="Q289" s="663"/>
      <c r="R289" s="663"/>
      <c r="S289" s="663"/>
      <c r="T289" s="663"/>
      <c r="U289" s="663"/>
      <c r="V289" s="663"/>
      <c r="W289" s="663"/>
      <c r="X289" s="663"/>
      <c r="Y289" s="663"/>
      <c r="Z289" s="663"/>
      <c r="AA289" s="663"/>
      <c r="AB289" s="663"/>
      <c r="AC289" s="663"/>
      <c r="AD289" s="663"/>
      <c r="AE289" s="663"/>
      <c r="AF289" s="663"/>
      <c r="AG289" s="663"/>
    </row>
    <row r="290" spans="1:33" x14ac:dyDescent="0.3">
      <c r="A290" s="664" t="s">
        <v>376</v>
      </c>
      <c r="B290" s="663">
        <v>1</v>
      </c>
      <c r="C290" s="665">
        <v>3.2</v>
      </c>
      <c r="D290" s="663"/>
      <c r="E290" s="663"/>
      <c r="F290" s="663"/>
      <c r="G290" s="663"/>
      <c r="H290" s="663"/>
      <c r="I290" s="663"/>
      <c r="J290" s="663"/>
      <c r="K290" s="663"/>
      <c r="L290" s="663"/>
      <c r="M290" s="663"/>
      <c r="N290" s="663"/>
      <c r="O290" s="663"/>
      <c r="P290" s="663"/>
      <c r="Q290" s="663"/>
      <c r="R290" s="663"/>
      <c r="S290" s="663"/>
      <c r="T290" s="663"/>
      <c r="U290" s="663"/>
      <c r="V290" s="663"/>
      <c r="W290" s="663"/>
      <c r="X290" s="663"/>
      <c r="Y290" s="663"/>
      <c r="Z290" s="663"/>
      <c r="AA290" s="663"/>
      <c r="AB290" s="663"/>
      <c r="AC290" s="663"/>
      <c r="AD290" s="663"/>
      <c r="AE290" s="663"/>
      <c r="AF290" s="663"/>
      <c r="AG290" s="663"/>
    </row>
    <row r="291" spans="1:33" x14ac:dyDescent="0.3">
      <c r="A291" s="664" t="s">
        <v>203</v>
      </c>
      <c r="B291" s="663">
        <v>1</v>
      </c>
      <c r="C291" s="665">
        <v>5.3</v>
      </c>
      <c r="D291" s="663"/>
      <c r="E291" s="663"/>
      <c r="F291" s="663"/>
      <c r="G291" s="663"/>
      <c r="H291" s="663"/>
      <c r="I291" s="663"/>
      <c r="J291" s="663"/>
      <c r="K291" s="663"/>
      <c r="L291" s="663"/>
      <c r="M291" s="663"/>
      <c r="N291" s="663"/>
      <c r="O291" s="663"/>
      <c r="P291" s="663"/>
      <c r="Q291" s="663"/>
      <c r="R291" s="663"/>
      <c r="S291" s="663"/>
      <c r="T291" s="663"/>
      <c r="U291" s="663"/>
      <c r="V291" s="663"/>
      <c r="W291" s="663"/>
      <c r="X291" s="663"/>
      <c r="Y291" s="663"/>
      <c r="Z291" s="663"/>
      <c r="AA291" s="663"/>
      <c r="AB291" s="663"/>
      <c r="AC291" s="663"/>
      <c r="AD291" s="663"/>
      <c r="AE291" s="663"/>
      <c r="AF291" s="663"/>
      <c r="AG291" s="663"/>
    </row>
    <row r="292" spans="1:33" x14ac:dyDescent="0.3">
      <c r="A292" s="664" t="s">
        <v>203</v>
      </c>
      <c r="B292" s="663">
        <v>1</v>
      </c>
      <c r="C292" s="665">
        <v>5.3</v>
      </c>
      <c r="D292" s="663"/>
      <c r="E292" s="663"/>
      <c r="F292" s="663"/>
      <c r="G292" s="663"/>
      <c r="H292" s="663"/>
      <c r="I292" s="663"/>
      <c r="J292" s="663"/>
      <c r="K292" s="663"/>
      <c r="L292" s="663"/>
      <c r="M292" s="663"/>
      <c r="N292" s="663"/>
      <c r="O292" s="663"/>
      <c r="P292" s="663"/>
      <c r="Q292" s="663"/>
      <c r="R292" s="663"/>
      <c r="S292" s="663"/>
      <c r="T292" s="663"/>
      <c r="U292" s="663"/>
      <c r="V292" s="663"/>
      <c r="W292" s="663"/>
      <c r="X292" s="663"/>
      <c r="Y292" s="663"/>
      <c r="Z292" s="663"/>
      <c r="AA292" s="663"/>
      <c r="AB292" s="663"/>
      <c r="AC292" s="663"/>
      <c r="AD292" s="663"/>
      <c r="AE292" s="663"/>
      <c r="AF292" s="663"/>
      <c r="AG292" s="663"/>
    </row>
    <row r="293" spans="1:33" x14ac:dyDescent="0.3">
      <c r="A293" s="666" t="s">
        <v>377</v>
      </c>
      <c r="B293" s="667">
        <v>1</v>
      </c>
      <c r="C293" s="668">
        <v>5.3</v>
      </c>
      <c r="D293" s="663"/>
      <c r="E293" s="663"/>
      <c r="F293" s="663"/>
      <c r="G293" s="663"/>
      <c r="H293" s="663"/>
      <c r="I293" s="663"/>
      <c r="J293" s="663"/>
      <c r="K293" s="663"/>
      <c r="L293" s="663"/>
      <c r="M293" s="663"/>
      <c r="N293" s="663"/>
      <c r="O293" s="663"/>
      <c r="P293" s="663"/>
      <c r="Q293" s="663"/>
      <c r="R293" s="663"/>
      <c r="S293" s="663"/>
      <c r="T293" s="663"/>
      <c r="U293" s="663"/>
      <c r="V293" s="663"/>
      <c r="W293" s="663"/>
      <c r="X293" s="663"/>
      <c r="Y293" s="663"/>
      <c r="Z293" s="663"/>
      <c r="AA293" s="663"/>
      <c r="AB293" s="663"/>
      <c r="AC293" s="663"/>
      <c r="AD293" s="663"/>
      <c r="AE293" s="663"/>
      <c r="AF293" s="663"/>
      <c r="AG293" s="663"/>
    </row>
    <row r="294" spans="1:33" x14ac:dyDescent="0.3">
      <c r="A294" s="663"/>
      <c r="B294" s="663"/>
      <c r="C294" s="663"/>
      <c r="D294" s="663"/>
      <c r="E294" s="663"/>
      <c r="F294" s="663"/>
      <c r="G294" s="663"/>
      <c r="H294" s="663"/>
      <c r="I294" s="663"/>
      <c r="J294" s="663"/>
      <c r="K294" s="663"/>
      <c r="L294" s="663"/>
      <c r="M294" s="663"/>
      <c r="N294" s="663"/>
      <c r="O294" s="663"/>
      <c r="P294" s="663"/>
      <c r="Q294" s="663"/>
      <c r="R294" s="663"/>
      <c r="S294" s="663"/>
      <c r="T294" s="663"/>
      <c r="U294" s="663"/>
      <c r="V294" s="663"/>
      <c r="W294" s="663"/>
      <c r="X294" s="663"/>
      <c r="Y294" s="663"/>
      <c r="Z294" s="663"/>
      <c r="AA294" s="663"/>
      <c r="AB294" s="663"/>
      <c r="AC294" s="663"/>
      <c r="AD294" s="663"/>
      <c r="AE294" s="663"/>
      <c r="AF294" s="663"/>
      <c r="AG294" s="663"/>
    </row>
    <row r="295" spans="1:33" x14ac:dyDescent="0.3">
      <c r="A295" s="660" t="s">
        <v>342</v>
      </c>
      <c r="B295" s="661">
        <v>8</v>
      </c>
      <c r="C295" s="661" t="s">
        <v>342</v>
      </c>
      <c r="D295" s="662" t="s">
        <v>37</v>
      </c>
      <c r="E295" s="663"/>
      <c r="F295" s="663"/>
      <c r="G295" s="663"/>
      <c r="H295" s="663"/>
      <c r="I295" s="663"/>
      <c r="J295" s="663"/>
      <c r="K295" s="663"/>
      <c r="L295" s="663"/>
      <c r="M295" s="663"/>
      <c r="N295" s="663"/>
      <c r="O295" s="663"/>
      <c r="P295" s="663"/>
      <c r="Q295" s="663"/>
      <c r="R295" s="663"/>
      <c r="S295" s="663"/>
      <c r="T295" s="663"/>
      <c r="U295" s="663"/>
      <c r="V295" s="663"/>
      <c r="W295" s="663"/>
      <c r="X295" s="663"/>
      <c r="Y295" s="663"/>
      <c r="Z295" s="663"/>
      <c r="AA295" s="663"/>
      <c r="AB295" s="663"/>
      <c r="AC295" s="663"/>
      <c r="AD295" s="663"/>
      <c r="AE295" s="663"/>
      <c r="AF295" s="663"/>
      <c r="AG295" s="663"/>
    </row>
    <row r="296" spans="1:33" x14ac:dyDescent="0.3">
      <c r="A296" s="664" t="s">
        <v>307</v>
      </c>
      <c r="B296" s="663">
        <v>5.2</v>
      </c>
      <c r="C296" s="663" t="s">
        <v>343</v>
      </c>
      <c r="D296" s="665" t="s">
        <v>203</v>
      </c>
      <c r="E296" s="663"/>
      <c r="F296" s="663"/>
      <c r="G296" s="663"/>
      <c r="H296" s="663"/>
      <c r="I296" s="663"/>
      <c r="J296" s="663"/>
      <c r="K296" s="663"/>
      <c r="L296" s="663"/>
      <c r="M296" s="663"/>
      <c r="N296" s="663"/>
      <c r="O296" s="663"/>
      <c r="P296" s="663"/>
      <c r="Q296" s="663"/>
      <c r="R296" s="663"/>
      <c r="S296" s="663"/>
      <c r="T296" s="663"/>
      <c r="U296" s="663"/>
      <c r="V296" s="663"/>
      <c r="W296" s="663"/>
      <c r="X296" s="663"/>
      <c r="Y296" s="663"/>
      <c r="Z296" s="663"/>
      <c r="AA296" s="663"/>
      <c r="AB296" s="663"/>
      <c r="AC296" s="663"/>
      <c r="AD296" s="663"/>
      <c r="AE296" s="663"/>
      <c r="AF296" s="663"/>
      <c r="AG296" s="663"/>
    </row>
    <row r="297" spans="1:33" x14ac:dyDescent="0.3">
      <c r="A297" s="666" t="s">
        <v>344</v>
      </c>
      <c r="B297" s="667">
        <v>5.2</v>
      </c>
      <c r="C297" s="667" t="s">
        <v>341</v>
      </c>
      <c r="D297" s="668" t="s">
        <v>341</v>
      </c>
      <c r="E297" s="663"/>
      <c r="F297" s="663"/>
      <c r="G297" s="663"/>
      <c r="H297" s="663"/>
      <c r="I297" s="663"/>
      <c r="J297" s="663"/>
      <c r="K297" s="663"/>
      <c r="L297" s="663"/>
      <c r="M297" s="663"/>
      <c r="N297" s="663"/>
      <c r="O297" s="663"/>
      <c r="P297" s="663"/>
      <c r="Q297" s="663"/>
      <c r="R297" s="663"/>
      <c r="S297" s="663"/>
      <c r="T297" s="663"/>
      <c r="U297" s="663"/>
      <c r="V297" s="663"/>
      <c r="W297" s="663"/>
      <c r="X297" s="663"/>
      <c r="Y297" s="663"/>
      <c r="Z297" s="663"/>
      <c r="AA297" s="663"/>
      <c r="AB297" s="663"/>
      <c r="AC297" s="663"/>
      <c r="AD297" s="663"/>
      <c r="AE297" s="663"/>
      <c r="AF297" s="663"/>
      <c r="AG297" s="663"/>
    </row>
    <row r="298" spans="1:33" x14ac:dyDescent="0.3">
      <c r="A298" s="673"/>
      <c r="B298" s="663"/>
      <c r="C298" s="663"/>
      <c r="D298" s="663"/>
      <c r="E298" s="663"/>
      <c r="F298" s="663"/>
      <c r="G298" s="663"/>
      <c r="H298" s="663"/>
      <c r="I298" s="663"/>
      <c r="J298" s="663"/>
      <c r="K298" s="663"/>
      <c r="L298" s="663"/>
      <c r="M298" s="663"/>
      <c r="N298" s="663"/>
      <c r="O298" s="663"/>
      <c r="P298" s="663"/>
      <c r="Q298" s="663"/>
      <c r="R298" s="663"/>
      <c r="S298" s="663"/>
      <c r="T298" s="663"/>
      <c r="U298" s="663"/>
      <c r="V298" s="663"/>
      <c r="W298" s="663"/>
      <c r="X298" s="663"/>
      <c r="Y298" s="663"/>
      <c r="Z298" s="663"/>
      <c r="AA298" s="663"/>
      <c r="AB298" s="663"/>
      <c r="AC298" s="663"/>
      <c r="AD298" s="663"/>
      <c r="AE298" s="663"/>
      <c r="AF298" s="663"/>
      <c r="AG298" s="663"/>
    </row>
    <row r="299" spans="1:33" x14ac:dyDescent="0.3">
      <c r="A299" s="660" t="s">
        <v>290</v>
      </c>
      <c r="B299" s="661">
        <v>5.0999999999999996</v>
      </c>
      <c r="C299" s="661">
        <v>3.1</v>
      </c>
      <c r="D299" s="662">
        <v>2.1</v>
      </c>
      <c r="E299" s="663"/>
      <c r="F299" s="663"/>
      <c r="G299" s="663"/>
      <c r="H299" s="663"/>
      <c r="I299" s="663"/>
      <c r="J299" s="663"/>
      <c r="K299" s="663"/>
      <c r="L299" s="663"/>
      <c r="M299" s="663"/>
      <c r="N299" s="663"/>
      <c r="O299" s="663"/>
      <c r="P299" s="663"/>
      <c r="Q299" s="663"/>
      <c r="R299" s="663"/>
      <c r="S299" s="663"/>
      <c r="T299" s="663"/>
      <c r="U299" s="663"/>
      <c r="V299" s="663"/>
      <c r="W299" s="663"/>
      <c r="X299" s="663"/>
      <c r="Y299" s="663"/>
      <c r="Z299" s="663"/>
      <c r="AA299" s="663"/>
      <c r="AB299" s="663"/>
      <c r="AC299" s="663"/>
      <c r="AD299" s="663"/>
      <c r="AE299" s="663"/>
      <c r="AF299" s="663"/>
      <c r="AG299" s="663"/>
    </row>
    <row r="300" spans="1:33" x14ac:dyDescent="0.3">
      <c r="A300" s="664" t="s">
        <v>305</v>
      </c>
      <c r="B300" s="663">
        <v>5.0999999999999996</v>
      </c>
      <c r="C300" s="663">
        <v>3.1</v>
      </c>
      <c r="D300" s="665">
        <v>2.1</v>
      </c>
      <c r="E300" s="663"/>
      <c r="F300" s="663"/>
      <c r="G300" s="663"/>
      <c r="H300" s="663"/>
      <c r="I300" s="663"/>
      <c r="J300" s="663"/>
      <c r="K300" s="663"/>
      <c r="L300" s="663"/>
      <c r="M300" s="663"/>
      <c r="N300" s="663"/>
      <c r="O300" s="663"/>
      <c r="P300" s="663"/>
      <c r="Q300" s="663"/>
      <c r="R300" s="663"/>
      <c r="S300" s="663"/>
      <c r="T300" s="663"/>
      <c r="U300" s="663"/>
      <c r="V300" s="663"/>
      <c r="W300" s="663"/>
      <c r="X300" s="663"/>
      <c r="Y300" s="663"/>
      <c r="Z300" s="663"/>
      <c r="AA300" s="663"/>
      <c r="AB300" s="663"/>
      <c r="AC300" s="663"/>
      <c r="AD300" s="663"/>
      <c r="AE300" s="663"/>
      <c r="AF300" s="663"/>
      <c r="AG300" s="663"/>
    </row>
    <row r="301" spans="1:33" x14ac:dyDescent="0.3">
      <c r="A301" s="666" t="s">
        <v>347</v>
      </c>
      <c r="B301" s="667">
        <v>5.5</v>
      </c>
      <c r="C301" s="667">
        <v>3.2</v>
      </c>
      <c r="D301" s="668">
        <v>2.2000000000000002</v>
      </c>
      <c r="E301" s="663"/>
      <c r="F301" s="663"/>
      <c r="G301" s="663"/>
      <c r="H301" s="663"/>
      <c r="I301" s="663"/>
      <c r="J301" s="663"/>
      <c r="K301" s="663"/>
      <c r="L301" s="663"/>
      <c r="M301" s="663"/>
      <c r="N301" s="663"/>
      <c r="O301" s="663"/>
      <c r="P301" s="663"/>
      <c r="Q301" s="663"/>
      <c r="R301" s="663"/>
      <c r="S301" s="663"/>
      <c r="T301" s="663"/>
      <c r="U301" s="663"/>
      <c r="V301" s="663"/>
      <c r="W301" s="663"/>
      <c r="X301" s="663"/>
      <c r="Y301" s="663"/>
      <c r="Z301" s="663"/>
      <c r="AA301" s="663"/>
      <c r="AB301" s="663"/>
      <c r="AC301" s="663"/>
      <c r="AD301" s="663"/>
      <c r="AE301" s="663"/>
      <c r="AF301" s="663"/>
      <c r="AG301" s="663"/>
    </row>
    <row r="302" spans="1:33" x14ac:dyDescent="0.3">
      <c r="A302" s="673"/>
      <c r="B302" s="663"/>
      <c r="C302" s="663"/>
      <c r="D302" s="663"/>
      <c r="E302" s="663"/>
      <c r="F302" s="663"/>
      <c r="G302" s="663"/>
      <c r="H302" s="663"/>
      <c r="I302" s="663"/>
      <c r="J302" s="663"/>
      <c r="K302" s="663"/>
      <c r="L302" s="663"/>
      <c r="M302" s="663"/>
      <c r="N302" s="663"/>
      <c r="O302" s="663"/>
      <c r="P302" s="663"/>
      <c r="Q302" s="663"/>
      <c r="R302" s="663"/>
      <c r="S302" s="663"/>
      <c r="T302" s="663"/>
      <c r="U302" s="663"/>
      <c r="V302" s="663"/>
      <c r="W302" s="663"/>
      <c r="X302" s="663"/>
      <c r="Y302" s="663"/>
      <c r="Z302" s="663"/>
      <c r="AA302" s="663"/>
      <c r="AB302" s="663"/>
      <c r="AC302" s="663"/>
      <c r="AD302" s="663"/>
      <c r="AE302" s="663"/>
      <c r="AF302" s="663"/>
      <c r="AG302" s="663"/>
    </row>
    <row r="303" spans="1:33" x14ac:dyDescent="0.3">
      <c r="A303" s="672">
        <v>1</v>
      </c>
      <c r="B303" s="663"/>
      <c r="C303" s="663"/>
      <c r="D303" s="663"/>
      <c r="E303" s="663"/>
      <c r="F303" s="663"/>
      <c r="G303" s="663"/>
      <c r="H303" s="663"/>
      <c r="I303" s="663"/>
      <c r="J303" s="663"/>
      <c r="K303" s="663"/>
      <c r="L303" s="663"/>
      <c r="M303" s="663"/>
      <c r="N303" s="663"/>
      <c r="O303" s="663"/>
      <c r="P303" s="663"/>
      <c r="Q303" s="663"/>
      <c r="R303" s="663"/>
      <c r="S303" s="663"/>
      <c r="T303" s="663"/>
      <c r="U303" s="663"/>
      <c r="V303" s="663"/>
      <c r="W303" s="663"/>
      <c r="X303" s="663"/>
      <c r="Y303" s="663"/>
      <c r="Z303" s="663"/>
      <c r="AA303" s="663"/>
      <c r="AB303" s="663"/>
      <c r="AC303" s="663"/>
      <c r="AD303" s="663"/>
      <c r="AE303" s="663"/>
      <c r="AF303" s="663"/>
      <c r="AG303" s="663"/>
    </row>
    <row r="304" spans="1:33" x14ac:dyDescent="0.3">
      <c r="A304" s="673">
        <v>2</v>
      </c>
      <c r="B304" s="663"/>
      <c r="C304" s="663"/>
      <c r="D304" s="663"/>
      <c r="E304" s="663"/>
      <c r="F304" s="663"/>
      <c r="G304" s="663"/>
      <c r="H304" s="663"/>
      <c r="I304" s="663"/>
      <c r="J304" s="663"/>
      <c r="K304" s="663"/>
      <c r="L304" s="663"/>
      <c r="M304" s="663"/>
      <c r="N304" s="663"/>
      <c r="O304" s="663"/>
      <c r="P304" s="663"/>
      <c r="Q304" s="663"/>
      <c r="R304" s="663"/>
      <c r="S304" s="663"/>
      <c r="T304" s="663"/>
      <c r="U304" s="663"/>
      <c r="V304" s="663"/>
      <c r="W304" s="663"/>
      <c r="X304" s="663"/>
      <c r="Y304" s="663"/>
      <c r="Z304" s="663"/>
      <c r="AA304" s="663"/>
      <c r="AB304" s="663"/>
      <c r="AC304" s="663"/>
      <c r="AD304" s="663"/>
      <c r="AE304" s="663"/>
      <c r="AF304" s="663"/>
      <c r="AG304" s="663"/>
    </row>
    <row r="305" spans="1:33" x14ac:dyDescent="0.3">
      <c r="A305" s="673">
        <v>3</v>
      </c>
      <c r="B305" s="663"/>
      <c r="C305" s="663"/>
      <c r="D305" s="663"/>
      <c r="E305" s="663"/>
      <c r="F305" s="663"/>
      <c r="G305" s="663"/>
      <c r="H305" s="663"/>
      <c r="I305" s="663"/>
      <c r="J305" s="663"/>
      <c r="K305" s="663"/>
      <c r="L305" s="663"/>
      <c r="M305" s="663"/>
      <c r="N305" s="663"/>
      <c r="O305" s="663"/>
      <c r="P305" s="663"/>
      <c r="Q305" s="663"/>
      <c r="R305" s="663"/>
      <c r="S305" s="663"/>
      <c r="T305" s="663"/>
      <c r="U305" s="663"/>
      <c r="V305" s="663"/>
      <c r="W305" s="663"/>
      <c r="X305" s="663"/>
      <c r="Y305" s="663"/>
      <c r="Z305" s="663"/>
      <c r="AA305" s="663"/>
      <c r="AB305" s="663"/>
      <c r="AC305" s="663"/>
      <c r="AD305" s="663"/>
      <c r="AE305" s="663"/>
      <c r="AF305" s="663"/>
      <c r="AG305" s="663"/>
    </row>
    <row r="306" spans="1:33" x14ac:dyDescent="0.3">
      <c r="A306" s="673">
        <v>4</v>
      </c>
      <c r="B306" s="663"/>
      <c r="C306" s="663"/>
      <c r="D306" s="663"/>
      <c r="E306" s="663"/>
      <c r="F306" s="663"/>
      <c r="G306" s="663"/>
      <c r="H306" s="663"/>
      <c r="I306" s="663"/>
      <c r="J306" s="663"/>
      <c r="K306" s="663"/>
      <c r="L306" s="663"/>
      <c r="M306" s="663"/>
      <c r="N306" s="663"/>
      <c r="O306" s="663"/>
      <c r="P306" s="663"/>
      <c r="Q306" s="663"/>
      <c r="R306" s="663"/>
      <c r="S306" s="663"/>
      <c r="T306" s="663"/>
      <c r="U306" s="663"/>
      <c r="V306" s="663"/>
      <c r="W306" s="663"/>
      <c r="X306" s="663"/>
      <c r="Y306" s="663"/>
      <c r="Z306" s="663"/>
      <c r="AA306" s="663"/>
      <c r="AB306" s="663"/>
      <c r="AC306" s="663"/>
      <c r="AD306" s="663"/>
      <c r="AE306" s="663"/>
      <c r="AF306" s="663"/>
      <c r="AG306" s="663"/>
    </row>
    <row r="307" spans="1:33" x14ac:dyDescent="0.3">
      <c r="A307" s="673">
        <v>5</v>
      </c>
      <c r="B307" s="663"/>
      <c r="C307" s="663"/>
      <c r="D307" s="663"/>
      <c r="E307" s="663"/>
      <c r="F307" s="663"/>
      <c r="G307" s="663"/>
      <c r="H307" s="663"/>
      <c r="I307" s="663"/>
      <c r="J307" s="663"/>
      <c r="K307" s="663"/>
      <c r="L307" s="663"/>
      <c r="M307" s="663"/>
      <c r="N307" s="663"/>
      <c r="O307" s="663"/>
      <c r="P307" s="663"/>
      <c r="Q307" s="663"/>
      <c r="R307" s="663"/>
      <c r="S307" s="663"/>
      <c r="T307" s="663"/>
      <c r="U307" s="663"/>
      <c r="V307" s="663"/>
      <c r="W307" s="663"/>
      <c r="X307" s="663"/>
      <c r="Y307" s="663"/>
      <c r="Z307" s="663"/>
      <c r="AA307" s="663"/>
      <c r="AB307" s="663"/>
      <c r="AC307" s="663"/>
      <c r="AD307" s="663"/>
      <c r="AE307" s="663"/>
      <c r="AF307" s="663"/>
      <c r="AG307" s="663"/>
    </row>
    <row r="308" spans="1:33" x14ac:dyDescent="0.3">
      <c r="A308" s="674">
        <v>6</v>
      </c>
      <c r="B308" s="663"/>
      <c r="C308" s="663"/>
      <c r="D308" s="663"/>
      <c r="E308" s="663"/>
      <c r="F308" s="663"/>
      <c r="G308" s="663"/>
      <c r="H308" s="663"/>
      <c r="I308" s="663"/>
      <c r="J308" s="663"/>
      <c r="K308" s="663"/>
      <c r="L308" s="663"/>
      <c r="M308" s="663"/>
      <c r="N308" s="663"/>
      <c r="O308" s="663"/>
      <c r="P308" s="663"/>
      <c r="Q308" s="663"/>
      <c r="R308" s="663"/>
      <c r="S308" s="663"/>
      <c r="T308" s="663"/>
      <c r="U308" s="663"/>
      <c r="V308" s="663"/>
      <c r="W308" s="663"/>
      <c r="X308" s="663"/>
      <c r="Y308" s="663"/>
      <c r="Z308" s="663"/>
      <c r="AA308" s="663"/>
      <c r="AB308" s="663"/>
      <c r="AC308" s="663"/>
      <c r="AD308" s="663"/>
      <c r="AE308" s="663"/>
      <c r="AF308" s="663"/>
      <c r="AG308" s="663"/>
    </row>
    <row r="309" spans="1:33" x14ac:dyDescent="0.3">
      <c r="A309" s="663"/>
      <c r="B309" s="663"/>
      <c r="C309" s="663"/>
      <c r="D309" s="663"/>
      <c r="E309" s="663"/>
      <c r="F309" s="663"/>
      <c r="G309" s="663"/>
      <c r="H309" s="663"/>
      <c r="I309" s="663"/>
      <c r="J309" s="663"/>
      <c r="K309" s="663"/>
      <c r="L309" s="663"/>
      <c r="M309" s="663"/>
      <c r="N309" s="663"/>
      <c r="O309" s="663"/>
      <c r="P309" s="663"/>
      <c r="Q309" s="663"/>
      <c r="R309" s="663"/>
      <c r="S309" s="663"/>
      <c r="T309" s="663"/>
      <c r="U309" s="663"/>
      <c r="V309" s="663"/>
      <c r="W309" s="663"/>
      <c r="X309" s="663"/>
      <c r="Y309" s="663"/>
      <c r="Z309" s="663"/>
      <c r="AA309" s="663"/>
      <c r="AB309" s="663"/>
      <c r="AC309" s="663"/>
      <c r="AD309" s="663"/>
      <c r="AE309" s="663"/>
      <c r="AF309" s="663"/>
      <c r="AG309" s="663"/>
    </row>
    <row r="310" spans="1:33" x14ac:dyDescent="0.3">
      <c r="A310" s="672" t="s">
        <v>16</v>
      </c>
      <c r="B310" s="663"/>
      <c r="C310" s="663"/>
      <c r="D310" s="663"/>
      <c r="E310" s="663"/>
      <c r="F310" s="663"/>
      <c r="G310" s="663"/>
      <c r="H310" s="663"/>
      <c r="I310" s="663"/>
      <c r="J310" s="663"/>
      <c r="K310" s="663"/>
      <c r="L310" s="663"/>
      <c r="M310" s="663"/>
      <c r="N310" s="663"/>
      <c r="O310" s="663"/>
      <c r="P310" s="663"/>
      <c r="Q310" s="663"/>
      <c r="R310" s="663"/>
      <c r="S310" s="663"/>
      <c r="T310" s="663"/>
      <c r="U310" s="663"/>
      <c r="V310" s="663"/>
      <c r="W310" s="663"/>
      <c r="X310" s="663"/>
      <c r="Y310" s="663"/>
      <c r="Z310" s="663"/>
      <c r="AA310" s="663"/>
      <c r="AB310" s="663"/>
      <c r="AC310" s="663"/>
      <c r="AD310" s="663"/>
      <c r="AE310" s="663"/>
      <c r="AF310" s="663"/>
      <c r="AG310" s="663"/>
    </row>
    <row r="311" spans="1:33" x14ac:dyDescent="0.3">
      <c r="A311" s="673" t="s">
        <v>378</v>
      </c>
      <c r="B311" s="663"/>
      <c r="C311" s="663"/>
      <c r="D311" s="663"/>
      <c r="E311" s="663"/>
      <c r="F311" s="663"/>
      <c r="G311" s="663"/>
      <c r="H311" s="663"/>
      <c r="I311" s="663"/>
      <c r="J311" s="663"/>
      <c r="K311" s="663"/>
      <c r="L311" s="663"/>
      <c r="M311" s="663"/>
      <c r="N311" s="663"/>
      <c r="O311" s="663"/>
      <c r="P311" s="663"/>
      <c r="Q311" s="663"/>
      <c r="R311" s="663"/>
      <c r="S311" s="663"/>
      <c r="T311" s="663"/>
      <c r="U311" s="663"/>
      <c r="V311" s="663"/>
      <c r="W311" s="663"/>
      <c r="X311" s="663"/>
      <c r="Y311" s="663"/>
      <c r="Z311" s="663"/>
      <c r="AA311" s="663"/>
      <c r="AB311" s="663"/>
      <c r="AC311" s="663"/>
      <c r="AD311" s="663"/>
      <c r="AE311" s="663"/>
      <c r="AF311" s="663"/>
      <c r="AG311" s="663"/>
    </row>
    <row r="312" spans="1:33" x14ac:dyDescent="0.3">
      <c r="A312" s="674" t="s">
        <v>379</v>
      </c>
      <c r="B312" s="663"/>
      <c r="C312" s="663"/>
      <c r="D312" s="663"/>
      <c r="E312" s="663"/>
      <c r="F312" s="663"/>
      <c r="G312" s="663"/>
      <c r="H312" s="663"/>
      <c r="I312" s="663"/>
      <c r="J312" s="663"/>
      <c r="K312" s="663"/>
      <c r="L312" s="663"/>
      <c r="M312" s="663"/>
      <c r="N312" s="663"/>
      <c r="O312" s="663"/>
      <c r="P312" s="663"/>
      <c r="Q312" s="663"/>
      <c r="R312" s="663"/>
      <c r="S312" s="663"/>
      <c r="T312" s="663"/>
      <c r="U312" s="663"/>
      <c r="V312" s="663"/>
      <c r="W312" s="663"/>
      <c r="X312" s="663"/>
      <c r="Y312" s="663"/>
      <c r="Z312" s="663"/>
      <c r="AA312" s="663"/>
      <c r="AB312" s="663"/>
      <c r="AC312" s="663"/>
      <c r="AD312" s="663"/>
      <c r="AE312" s="663"/>
      <c r="AF312" s="663"/>
      <c r="AG312" s="663"/>
    </row>
    <row r="313" spans="1:33" x14ac:dyDescent="0.3">
      <c r="A313" s="663"/>
      <c r="B313" s="663"/>
      <c r="C313" s="663"/>
      <c r="D313" s="663"/>
      <c r="E313" s="663"/>
      <c r="F313" s="663"/>
      <c r="G313" s="663"/>
      <c r="H313" s="663"/>
      <c r="I313" s="663"/>
      <c r="J313" s="663"/>
      <c r="K313" s="663"/>
      <c r="L313" s="663"/>
      <c r="M313" s="663"/>
      <c r="N313" s="663"/>
      <c r="O313" s="663"/>
      <c r="P313" s="663"/>
      <c r="Q313" s="663"/>
      <c r="R313" s="663"/>
      <c r="S313" s="663"/>
      <c r="T313" s="663"/>
      <c r="U313" s="663"/>
      <c r="V313" s="663"/>
      <c r="W313" s="663"/>
      <c r="X313" s="663"/>
      <c r="Y313" s="663"/>
      <c r="Z313" s="663"/>
      <c r="AA313" s="663"/>
      <c r="AB313" s="663"/>
      <c r="AC313" s="663"/>
      <c r="AD313" s="663"/>
      <c r="AE313" s="663"/>
      <c r="AF313" s="663"/>
      <c r="AG313" s="663"/>
    </row>
    <row r="314" spans="1:33" x14ac:dyDescent="0.3">
      <c r="A314" s="672" t="s">
        <v>133</v>
      </c>
      <c r="B314" s="663"/>
      <c r="C314" s="663"/>
      <c r="D314" s="663"/>
      <c r="E314" s="663"/>
      <c r="F314" s="663"/>
      <c r="G314" s="663"/>
      <c r="H314" s="663"/>
      <c r="I314" s="663"/>
      <c r="J314" s="663"/>
      <c r="K314" s="663"/>
      <c r="L314" s="663"/>
      <c r="M314" s="663"/>
      <c r="N314" s="663"/>
      <c r="O314" s="663"/>
      <c r="P314" s="663"/>
      <c r="Q314" s="663"/>
      <c r="R314" s="663"/>
      <c r="S314" s="663"/>
      <c r="T314" s="663"/>
      <c r="U314" s="663"/>
      <c r="V314" s="663"/>
      <c r="W314" s="663"/>
      <c r="X314" s="663"/>
      <c r="Y314" s="663"/>
      <c r="Z314" s="663"/>
      <c r="AA314" s="663"/>
      <c r="AB314" s="663"/>
      <c r="AC314" s="663"/>
      <c r="AD314" s="663"/>
      <c r="AE314" s="663"/>
      <c r="AF314" s="663"/>
      <c r="AG314" s="663"/>
    </row>
    <row r="315" spans="1:33" x14ac:dyDescent="0.3">
      <c r="A315" s="674" t="s">
        <v>134</v>
      </c>
      <c r="B315" s="663"/>
      <c r="C315" s="663"/>
      <c r="D315" s="663"/>
      <c r="E315" s="663"/>
      <c r="F315" s="663"/>
      <c r="G315" s="663"/>
      <c r="H315" s="663"/>
      <c r="I315" s="663"/>
      <c r="J315" s="663"/>
      <c r="K315" s="663"/>
      <c r="L315" s="663"/>
      <c r="M315" s="663"/>
      <c r="N315" s="663"/>
      <c r="O315" s="663"/>
      <c r="P315" s="663"/>
      <c r="Q315" s="663"/>
      <c r="R315" s="663"/>
      <c r="S315" s="663"/>
      <c r="T315" s="663"/>
      <c r="U315" s="663"/>
      <c r="V315" s="663"/>
      <c r="W315" s="663"/>
      <c r="X315" s="663"/>
      <c r="Y315" s="663"/>
      <c r="Z315" s="663"/>
      <c r="AA315" s="663"/>
      <c r="AB315" s="663"/>
      <c r="AC315" s="663"/>
      <c r="AD315" s="663"/>
      <c r="AE315" s="663"/>
      <c r="AF315" s="663"/>
      <c r="AG315" s="663"/>
    </row>
    <row r="316" spans="1:33" x14ac:dyDescent="0.3">
      <c r="A316" s="663"/>
      <c r="B316" s="663"/>
      <c r="C316" s="663"/>
      <c r="D316" s="663"/>
      <c r="E316" s="663"/>
      <c r="F316" s="663"/>
      <c r="G316" s="663"/>
      <c r="H316" s="663"/>
      <c r="I316" s="663"/>
      <c r="J316" s="663"/>
      <c r="K316" s="663"/>
      <c r="L316" s="663"/>
      <c r="M316" s="663"/>
      <c r="N316" s="663"/>
      <c r="O316" s="663"/>
      <c r="P316" s="663"/>
      <c r="Q316" s="663"/>
      <c r="R316" s="663"/>
      <c r="S316" s="663"/>
      <c r="T316" s="663"/>
      <c r="U316" s="663"/>
      <c r="V316" s="663"/>
      <c r="W316" s="663"/>
      <c r="X316" s="663"/>
      <c r="Y316" s="663"/>
      <c r="Z316" s="663"/>
      <c r="AA316" s="663"/>
      <c r="AB316" s="663"/>
      <c r="AC316" s="663"/>
      <c r="AD316" s="663"/>
      <c r="AE316" s="663"/>
      <c r="AF316" s="663"/>
      <c r="AG316" s="663"/>
    </row>
    <row r="317" spans="1:33" x14ac:dyDescent="0.3">
      <c r="A317" s="672" t="s">
        <v>20</v>
      </c>
      <c r="B317" s="663"/>
      <c r="C317" s="663"/>
      <c r="D317" s="663"/>
      <c r="E317" s="663"/>
      <c r="F317" s="663"/>
      <c r="G317" s="663"/>
      <c r="H317" s="663"/>
      <c r="I317" s="663"/>
      <c r="J317" s="663"/>
      <c r="K317" s="663"/>
      <c r="L317" s="663"/>
      <c r="M317" s="663"/>
      <c r="N317" s="663"/>
      <c r="O317" s="663"/>
      <c r="P317" s="663"/>
      <c r="Q317" s="663"/>
      <c r="R317" s="663"/>
      <c r="S317" s="663"/>
      <c r="T317" s="663"/>
      <c r="U317" s="663"/>
      <c r="V317" s="663"/>
      <c r="W317" s="663"/>
      <c r="X317" s="663"/>
      <c r="Y317" s="663"/>
      <c r="Z317" s="663"/>
      <c r="AA317" s="663"/>
      <c r="AB317" s="663"/>
      <c r="AC317" s="663"/>
      <c r="AD317" s="663"/>
      <c r="AE317" s="663"/>
      <c r="AF317" s="663"/>
      <c r="AG317" s="663"/>
    </row>
    <row r="318" spans="1:33" x14ac:dyDescent="0.3">
      <c r="A318" s="674" t="s">
        <v>14</v>
      </c>
      <c r="B318" s="663"/>
      <c r="C318" s="663"/>
      <c r="D318" s="663"/>
      <c r="E318" s="663"/>
      <c r="F318" s="663"/>
      <c r="G318" s="663"/>
      <c r="H318" s="663"/>
      <c r="I318" s="663"/>
      <c r="J318" s="663"/>
      <c r="K318" s="663"/>
      <c r="L318" s="663"/>
      <c r="M318" s="663"/>
      <c r="N318" s="663"/>
      <c r="O318" s="663"/>
      <c r="P318" s="663"/>
      <c r="Q318" s="663"/>
      <c r="R318" s="663"/>
      <c r="S318" s="663"/>
      <c r="T318" s="663"/>
      <c r="U318" s="663"/>
      <c r="V318" s="663"/>
      <c r="W318" s="663"/>
      <c r="X318" s="663"/>
      <c r="Y318" s="663"/>
      <c r="Z318" s="663"/>
      <c r="AA318" s="663"/>
      <c r="AB318" s="663"/>
      <c r="AC318" s="663"/>
      <c r="AD318" s="663"/>
      <c r="AE318" s="663"/>
      <c r="AF318" s="663"/>
      <c r="AG318" s="663"/>
    </row>
    <row r="319" spans="1:33" x14ac:dyDescent="0.3">
      <c r="A319" s="663"/>
      <c r="B319" s="663"/>
      <c r="C319" s="663"/>
      <c r="D319" s="663"/>
      <c r="E319" s="663"/>
      <c r="F319" s="663"/>
      <c r="G319" s="663"/>
      <c r="H319" s="663"/>
      <c r="I319" s="663"/>
      <c r="J319" s="663"/>
      <c r="K319" s="663"/>
      <c r="L319" s="663"/>
      <c r="M319" s="663"/>
      <c r="N319" s="663"/>
      <c r="O319" s="663"/>
      <c r="P319" s="663"/>
      <c r="Q319" s="663"/>
      <c r="R319" s="663"/>
      <c r="S319" s="663"/>
      <c r="T319" s="663"/>
      <c r="U319" s="663"/>
      <c r="V319" s="663"/>
      <c r="W319" s="663"/>
      <c r="X319" s="663"/>
      <c r="Y319" s="663"/>
      <c r="Z319" s="663"/>
      <c r="AA319" s="663"/>
      <c r="AB319" s="663"/>
      <c r="AC319" s="663"/>
      <c r="AD319" s="663"/>
      <c r="AE319" s="663"/>
      <c r="AF319" s="663"/>
      <c r="AG319" s="663"/>
    </row>
    <row r="320" spans="1:33" x14ac:dyDescent="0.3">
      <c r="A320" s="660">
        <v>1</v>
      </c>
      <c r="B320" s="661">
        <f t="shared" ref="B320:V320" si="114">A320+1</f>
        <v>2</v>
      </c>
      <c r="C320" s="661">
        <f t="shared" si="114"/>
        <v>3</v>
      </c>
      <c r="D320" s="661">
        <f t="shared" si="114"/>
        <v>4</v>
      </c>
      <c r="E320" s="661">
        <f t="shared" si="114"/>
        <v>5</v>
      </c>
      <c r="F320" s="661">
        <f t="shared" si="114"/>
        <v>6</v>
      </c>
      <c r="G320" s="661">
        <f t="shared" si="114"/>
        <v>7</v>
      </c>
      <c r="H320" s="661">
        <f t="shared" si="114"/>
        <v>8</v>
      </c>
      <c r="I320" s="661">
        <f t="shared" si="114"/>
        <v>9</v>
      </c>
      <c r="J320" s="661">
        <f t="shared" si="114"/>
        <v>10</v>
      </c>
      <c r="K320" s="661">
        <f t="shared" si="114"/>
        <v>11</v>
      </c>
      <c r="L320" s="661">
        <f t="shared" si="114"/>
        <v>12</v>
      </c>
      <c r="M320" s="661">
        <f t="shared" si="114"/>
        <v>13</v>
      </c>
      <c r="N320" s="661">
        <f t="shared" si="114"/>
        <v>14</v>
      </c>
      <c r="O320" s="661">
        <f t="shared" si="114"/>
        <v>15</v>
      </c>
      <c r="P320" s="661">
        <f t="shared" si="114"/>
        <v>16</v>
      </c>
      <c r="Q320" s="661">
        <f t="shared" si="114"/>
        <v>17</v>
      </c>
      <c r="R320" s="661">
        <f t="shared" si="114"/>
        <v>18</v>
      </c>
      <c r="S320" s="661">
        <f t="shared" si="114"/>
        <v>19</v>
      </c>
      <c r="T320" s="661">
        <f t="shared" si="114"/>
        <v>20</v>
      </c>
      <c r="U320" s="661">
        <f t="shared" si="114"/>
        <v>21</v>
      </c>
      <c r="V320" s="661">
        <f t="shared" si="114"/>
        <v>22</v>
      </c>
      <c r="W320" s="661">
        <v>23</v>
      </c>
      <c r="X320" s="661">
        <v>24</v>
      </c>
      <c r="Y320" s="661">
        <v>25</v>
      </c>
      <c r="Z320" s="661">
        <f t="shared" ref="Z320:AG320" si="115">Y320+1</f>
        <v>26</v>
      </c>
      <c r="AA320" s="661">
        <f t="shared" si="115"/>
        <v>27</v>
      </c>
      <c r="AB320" s="661">
        <f t="shared" si="115"/>
        <v>28</v>
      </c>
      <c r="AC320" s="661">
        <f t="shared" si="115"/>
        <v>29</v>
      </c>
      <c r="AD320" s="661">
        <f t="shared" si="115"/>
        <v>30</v>
      </c>
      <c r="AE320" s="661">
        <f t="shared" si="115"/>
        <v>31</v>
      </c>
      <c r="AF320" s="661">
        <f t="shared" si="115"/>
        <v>32</v>
      </c>
      <c r="AG320" s="662">
        <f t="shared" si="115"/>
        <v>33</v>
      </c>
    </row>
    <row r="321" spans="1:33" ht="28.8" x14ac:dyDescent="0.3">
      <c r="A321" s="717" t="s">
        <v>380</v>
      </c>
      <c r="B321" s="670" t="s">
        <v>348</v>
      </c>
      <c r="C321" s="670" t="s">
        <v>28</v>
      </c>
      <c r="D321" s="670" t="s">
        <v>33</v>
      </c>
      <c r="E321" s="670" t="s">
        <v>34</v>
      </c>
      <c r="F321" s="670" t="s">
        <v>348</v>
      </c>
      <c r="G321" s="670" t="s">
        <v>28</v>
      </c>
      <c r="H321" s="670" t="s">
        <v>33</v>
      </c>
      <c r="I321" s="670" t="s">
        <v>34</v>
      </c>
      <c r="J321" s="670" t="s">
        <v>349</v>
      </c>
      <c r="K321" s="670" t="s">
        <v>28</v>
      </c>
      <c r="L321" s="670" t="s">
        <v>33</v>
      </c>
      <c r="M321" s="670" t="s">
        <v>34</v>
      </c>
      <c r="N321" s="670"/>
      <c r="O321" s="670" t="s">
        <v>28</v>
      </c>
      <c r="P321" s="670" t="s">
        <v>33</v>
      </c>
      <c r="Q321" s="670" t="s">
        <v>34</v>
      </c>
      <c r="R321" s="670"/>
      <c r="S321" s="670" t="s">
        <v>28</v>
      </c>
      <c r="T321" s="670" t="s">
        <v>33</v>
      </c>
      <c r="U321" s="670" t="s">
        <v>34</v>
      </c>
      <c r="V321" s="670" t="s">
        <v>308</v>
      </c>
      <c r="W321" s="670" t="s">
        <v>350</v>
      </c>
      <c r="X321" s="670" t="s">
        <v>351</v>
      </c>
      <c r="Y321" s="670" t="s">
        <v>28</v>
      </c>
      <c r="Z321" s="670" t="s">
        <v>33</v>
      </c>
      <c r="AA321" s="670" t="s">
        <v>269</v>
      </c>
      <c r="AB321" s="670"/>
      <c r="AC321" s="670" t="s">
        <v>28</v>
      </c>
      <c r="AD321" s="670" t="s">
        <v>33</v>
      </c>
      <c r="AE321" s="670" t="s">
        <v>34</v>
      </c>
      <c r="AF321" s="670"/>
      <c r="AG321" s="671"/>
    </row>
    <row r="322" spans="1:33" x14ac:dyDescent="0.3">
      <c r="A322" s="669" t="s">
        <v>16</v>
      </c>
      <c r="B322" s="670">
        <v>0</v>
      </c>
      <c r="C322" s="670">
        <v>0</v>
      </c>
      <c r="D322" s="670">
        <v>0</v>
      </c>
      <c r="E322" s="670">
        <v>0</v>
      </c>
      <c r="F322" s="670">
        <v>0</v>
      </c>
      <c r="G322" s="670">
        <v>0</v>
      </c>
      <c r="H322" s="670">
        <v>0</v>
      </c>
      <c r="I322" s="670">
        <v>0</v>
      </c>
      <c r="J322" s="670">
        <v>0</v>
      </c>
      <c r="K322" s="670">
        <v>0</v>
      </c>
      <c r="L322" s="670">
        <v>0</v>
      </c>
      <c r="M322" s="670">
        <v>0</v>
      </c>
      <c r="N322" s="670">
        <v>0</v>
      </c>
      <c r="O322" s="670">
        <v>0</v>
      </c>
      <c r="P322" s="670">
        <v>0</v>
      </c>
      <c r="Q322" s="670">
        <v>0</v>
      </c>
      <c r="R322" s="670">
        <v>0</v>
      </c>
      <c r="S322" s="670">
        <v>0</v>
      </c>
      <c r="T322" s="670">
        <v>0</v>
      </c>
      <c r="U322" s="670">
        <v>0</v>
      </c>
      <c r="V322" s="670">
        <v>0</v>
      </c>
      <c r="W322" s="670">
        <v>0</v>
      </c>
      <c r="X322" s="670">
        <v>0</v>
      </c>
      <c r="Y322" s="670">
        <v>0</v>
      </c>
      <c r="Z322" s="670">
        <v>0</v>
      </c>
      <c r="AA322" s="670">
        <v>0</v>
      </c>
      <c r="AB322" s="670">
        <v>0</v>
      </c>
      <c r="AC322" s="670">
        <v>0</v>
      </c>
      <c r="AD322" s="670">
        <v>0</v>
      </c>
      <c r="AE322" s="670">
        <v>0</v>
      </c>
      <c r="AF322" s="670">
        <v>0</v>
      </c>
      <c r="AG322" s="671">
        <v>0</v>
      </c>
    </row>
    <row r="323" spans="1:33" x14ac:dyDescent="0.3">
      <c r="A323" s="669" t="s">
        <v>316</v>
      </c>
      <c r="B323" s="670" t="s">
        <v>352</v>
      </c>
      <c r="C323" s="670">
        <f>'Objet 2 à 6'!Lnec1</f>
        <v>0</v>
      </c>
      <c r="D323" s="670">
        <v>9.4</v>
      </c>
      <c r="E323" s="670" t="e">
        <f>'Objet 2 à 6'!nbcal1*4+1</f>
        <v>#VALUE!</v>
      </c>
      <c r="F323" s="670" t="s">
        <v>353</v>
      </c>
      <c r="G323" s="670">
        <f>'Objet 2 à 6'!lanec1</f>
        <v>0</v>
      </c>
      <c r="H323" s="670">
        <f>IF('Objet 2 à 6'!hnec1&lt;120,9.4,14.4)</f>
        <v>9.4</v>
      </c>
      <c r="I323" s="670" t="e">
        <f>'Objet 2 à 6'!nbcal1*2</f>
        <v>#VALUE!</v>
      </c>
      <c r="J323" s="670" t="s">
        <v>349</v>
      </c>
      <c r="K323" s="670">
        <f>'Objet 2 à 6'!lanec1</f>
        <v>0</v>
      </c>
      <c r="L323" s="670">
        <v>7</v>
      </c>
      <c r="M323" s="670" t="e">
        <f>'Objet 2 à 6'!nbcal1*4</f>
        <v>#VALUE!</v>
      </c>
      <c r="N323" s="670" t="e">
        <f t="shared" ref="N323:N324" si="116">VLOOKUP($D$29,$A$295:$D$297,3)</f>
        <v>#N/A</v>
      </c>
      <c r="O323" s="670">
        <f>'Objet 2 à 6'!Lnec1</f>
        <v>0</v>
      </c>
      <c r="P323" s="670">
        <f>IF('Objet 2 à 6'!hnec1&lt;120,9.4,14.4)</f>
        <v>9.4</v>
      </c>
      <c r="Q323" s="670" t="e">
        <f>'Objet 2 à 6'!nbcal1*2+1</f>
        <v>#VALUE!</v>
      </c>
      <c r="R323" s="670" t="e">
        <f t="shared" ref="R323:R324" si="117">VLOOKUP($D$29,$A$295:$D$297,4)</f>
        <v>#N/A</v>
      </c>
      <c r="S323" s="670"/>
      <c r="T323" s="670"/>
      <c r="U323" s="670"/>
      <c r="V323" s="670" t="str">
        <f>'Objet 2 à 6'!Base1</f>
        <v>Aucun</v>
      </c>
      <c r="W323" s="670">
        <f t="shared" ref="W323:W332" si="118">VLOOKUP(V323,$A$283:$C$293,3)</f>
        <v>0</v>
      </c>
      <c r="X323" s="670">
        <f>VLOOKUP('Objet 2 à 6'!plat1,$A$274:$B$280,2)</f>
        <v>0</v>
      </c>
      <c r="Y323" s="670">
        <f>'Objet 2 à 6'!Lnec1</f>
        <v>0</v>
      </c>
      <c r="Z323" s="670">
        <f>'Objet 2 à 6'!lanec1</f>
        <v>0</v>
      </c>
      <c r="AA323" s="670">
        <f t="shared" ref="AA323:AA332" si="119">W323+X323</f>
        <v>0</v>
      </c>
      <c r="AB323" s="670"/>
      <c r="AC323" s="670"/>
      <c r="AD323" s="670"/>
      <c r="AE323" s="670"/>
      <c r="AF323" s="670"/>
      <c r="AG323" s="671"/>
    </row>
    <row r="324" spans="1:33" x14ac:dyDescent="0.3">
      <c r="A324" s="669" t="s">
        <v>319</v>
      </c>
      <c r="B324" s="670" t="s">
        <v>352</v>
      </c>
      <c r="C324" s="670">
        <f>'Objet 2 à 6'!Lnec1</f>
        <v>0</v>
      </c>
      <c r="D324" s="670">
        <v>9.4</v>
      </c>
      <c r="E324" s="670" t="e">
        <f>'Objet 2 à 6'!nbcal1*2+1</f>
        <v>#VALUE!</v>
      </c>
      <c r="F324" s="670" t="s">
        <v>353</v>
      </c>
      <c r="G324" s="670">
        <f>'Objet 2 à 6'!lanec1</f>
        <v>0</v>
      </c>
      <c r="H324" s="670">
        <f>IF('Objet 2 à 6'!hnec1&lt;120,9.4,14.4)</f>
        <v>9.4</v>
      </c>
      <c r="I324" s="670" t="e">
        <f>'Objet 2 à 6'!nbcal1*2</f>
        <v>#VALUE!</v>
      </c>
      <c r="J324" s="670"/>
      <c r="K324" s="670"/>
      <c r="L324" s="670"/>
      <c r="M324" s="670"/>
      <c r="N324" s="670" t="e">
        <f t="shared" si="116"/>
        <v>#N/A</v>
      </c>
      <c r="O324" s="670">
        <f>'Objet 2 à 6'!Lnec1</f>
        <v>0</v>
      </c>
      <c r="P324" s="670">
        <f>IF('Objet 2 à 6'!hnec1&lt;120,9.4,14.4)</f>
        <v>9.4</v>
      </c>
      <c r="Q324" s="670" t="e">
        <f>'Objet 2 à 6'!nbcal1*2+1</f>
        <v>#VALUE!</v>
      </c>
      <c r="R324" s="670" t="e">
        <f t="shared" si="117"/>
        <v>#N/A</v>
      </c>
      <c r="S324" s="670">
        <f>'Objet 2 à 6'!lanec1</f>
        <v>0</v>
      </c>
      <c r="T324" s="670">
        <f>IF('Objet 2 à 6'!hnec1&lt;120,9.4,14.4)</f>
        <v>9.4</v>
      </c>
      <c r="U324" s="670" t="e">
        <f>'Objet 2 à 6'!nbcal1*2</f>
        <v>#VALUE!</v>
      </c>
      <c r="V324" s="670" t="str">
        <f>'Objet 2 à 6'!Base1</f>
        <v>Aucun</v>
      </c>
      <c r="W324" s="670">
        <f t="shared" si="118"/>
        <v>0</v>
      </c>
      <c r="X324" s="670">
        <f>VLOOKUP('Objet 2 à 6'!plat1,$A$274:$B$280,2)</f>
        <v>0</v>
      </c>
      <c r="Y324" s="670">
        <f>'Objet 2 à 6'!Lnec1</f>
        <v>0</v>
      </c>
      <c r="Z324" s="670">
        <f>'Objet 2 à 6'!lanec1</f>
        <v>0</v>
      </c>
      <c r="AA324" s="670">
        <f t="shared" si="119"/>
        <v>0</v>
      </c>
      <c r="AB324" s="670"/>
      <c r="AC324" s="670"/>
      <c r="AD324" s="670"/>
      <c r="AE324" s="670"/>
      <c r="AF324" s="670"/>
      <c r="AG324" s="671"/>
    </row>
    <row r="325" spans="1:33" ht="28.8" x14ac:dyDescent="0.3">
      <c r="A325" s="669" t="s">
        <v>371</v>
      </c>
      <c r="B325" s="670"/>
      <c r="C325" s="670"/>
      <c r="D325" s="670"/>
      <c r="E325" s="670"/>
      <c r="F325" s="670"/>
      <c r="G325" s="670"/>
      <c r="H325" s="670"/>
      <c r="I325" s="670"/>
      <c r="J325" s="670"/>
      <c r="K325" s="670"/>
      <c r="L325" s="670"/>
      <c r="M325" s="670"/>
      <c r="N325" s="670" t="str">
        <f>IF('Objet 2 à 6'!nbcal1="PU","PU 50 mm",IF('Objet 2 à 6'!nbcal1="Ethafoam","Ethafoam 50 mm",IF('Objet 2 à 6'!nbcal1="Stratocell","Stratocell 50 mm",0)))</f>
        <v>PU 50 mm</v>
      </c>
      <c r="O325" s="670">
        <f>'Objet 2 à 6'!Lnec1</f>
        <v>0</v>
      </c>
      <c r="P325" s="670">
        <v>12</v>
      </c>
      <c r="Q325" s="670">
        <f>IF('Objet 2 à 6'!hnec1&lt;80,4,6)</f>
        <v>4</v>
      </c>
      <c r="R325" s="670" t="str">
        <f>IF('Objet 2 à 6'!nbcal1="PU","PU 50 mm",IF('Objet 2 à 6'!nbcal1="Ethafoam","Ethafoam 50 mm",IF('Objet 2 à 6'!nbcal1="Stratocell","Stratocell 50 mm",0)))</f>
        <v>PU 50 mm</v>
      </c>
      <c r="S325" s="670">
        <f>'Objet 2 à 6'!lanec1-10</f>
        <v>-10</v>
      </c>
      <c r="T325" s="670">
        <v>12</v>
      </c>
      <c r="U325" s="670">
        <f t="shared" ref="U325:U326" si="120">Q325</f>
        <v>4</v>
      </c>
      <c r="V325" s="670" t="str">
        <f>'Objet 2 à 6'!Base1</f>
        <v>Aucun</v>
      </c>
      <c r="W325" s="670">
        <f t="shared" si="118"/>
        <v>0</v>
      </c>
      <c r="X325" s="670">
        <f>VLOOKUP('Objet 2 à 6'!plat1,$A$274:$B$280,2)</f>
        <v>0</v>
      </c>
      <c r="Y325" s="670">
        <f>'Objet 2 à 6'!Lnec1</f>
        <v>0</v>
      </c>
      <c r="Z325" s="670">
        <f>'Objet 2 à 6'!lanec1</f>
        <v>0</v>
      </c>
      <c r="AA325" s="670">
        <f t="shared" si="119"/>
        <v>0</v>
      </c>
      <c r="AB325" s="670" t="str">
        <f>IF('Objet 2 à 6'!nbcal1="PU","PU 50 mm",IF('Objet 2 à 6'!nbcal1="Ethafoam","Ethafoam 50 mm",IF('Objet 2 à 6'!nbcal1="Stratocell","Stratocell 50 mm",0)))</f>
        <v>PU 50 mm</v>
      </c>
      <c r="AC325" s="670">
        <f>'Objet 2 à 6'!Lnec1</f>
        <v>0</v>
      </c>
      <c r="AD325" s="670">
        <v>12</v>
      </c>
      <c r="AE325" s="670">
        <f>IF('Objet 2 à 6'!Lnec1&lt;100,3,4)</f>
        <v>3</v>
      </c>
      <c r="AF325" s="670"/>
      <c r="AG325" s="671"/>
    </row>
    <row r="326" spans="1:33" x14ac:dyDescent="0.3">
      <c r="A326" s="669" t="s">
        <v>372</v>
      </c>
      <c r="B326" s="670"/>
      <c r="C326" s="670"/>
      <c r="D326" s="670"/>
      <c r="E326" s="670"/>
      <c r="F326" s="670"/>
      <c r="G326" s="670"/>
      <c r="H326" s="670"/>
      <c r="I326" s="670"/>
      <c r="J326" s="670"/>
      <c r="K326" s="670"/>
      <c r="L326" s="670"/>
      <c r="M326" s="670"/>
      <c r="N326" s="670" t="str">
        <f>IF('Objet 2 à 6'!nbcal1="PU","PU 30 mm",IF('Objet 2 à 6'!nbcal1="Ethafoam","Ethafoam 30 mm",IF('Objet 2 à 6'!nbcal1="Stratocell","Stratocell 30 mm",0)))</f>
        <v>PU 30 mm</v>
      </c>
      <c r="O326" s="670">
        <f>'Objet 2 à 6'!Lnec1</f>
        <v>0</v>
      </c>
      <c r="P326" s="670">
        <v>12</v>
      </c>
      <c r="Q326" s="670">
        <f>IF('Objet 2 à 6'!hnec1&lt;80,4,6)</f>
        <v>4</v>
      </c>
      <c r="R326" s="670" t="str">
        <f>IF('Objet 2 à 6'!nbcal1="PU","PU 30 mm",IF('Objet 2 à 6'!nbcal1="Ethafoam","Ethafoam 30 mm",IF('Objet 2 à 6'!nbcal1="Stratocell","Stratocell 30 mm",0)))</f>
        <v>PU 30 mm</v>
      </c>
      <c r="S326" s="670">
        <f>'Objet 2 à 6'!lanec1-6</f>
        <v>-6</v>
      </c>
      <c r="T326" s="670">
        <v>12</v>
      </c>
      <c r="U326" s="670">
        <f t="shared" si="120"/>
        <v>4</v>
      </c>
      <c r="V326" s="670" t="str">
        <f>'Objet 2 à 6'!Base1</f>
        <v>Aucun</v>
      </c>
      <c r="W326" s="670">
        <f t="shared" si="118"/>
        <v>0</v>
      </c>
      <c r="X326" s="670">
        <f>VLOOKUP('Objet 2 à 6'!plat1,$A$274:$B$280,2)</f>
        <v>0</v>
      </c>
      <c r="Y326" s="670">
        <f>'Objet 2 à 6'!Lnec1</f>
        <v>0</v>
      </c>
      <c r="Z326" s="670">
        <f>'Objet 2 à 6'!lanec1</f>
        <v>0</v>
      </c>
      <c r="AA326" s="670">
        <f t="shared" si="119"/>
        <v>0</v>
      </c>
      <c r="AB326" s="670" t="str">
        <f>IF('Objet 2 à 6'!nbcal1="PU","PU 30 mm",IF('Objet 2 à 6'!nbcal1="Ethafoam","Ethafoam 30 mm",IF('Objet 2 à 6'!nbcal1="Stratocell","Stratocell 30 mm",0)))</f>
        <v>PU 30 mm</v>
      </c>
      <c r="AC326" s="670">
        <f>'Objet 2 à 6'!lanec1</f>
        <v>0</v>
      </c>
      <c r="AD326" s="670">
        <v>12</v>
      </c>
      <c r="AE326" s="670">
        <f>IF('Objet 2 à 6'!Lnec1&lt;100,3,4)</f>
        <v>3</v>
      </c>
      <c r="AF326" s="670"/>
      <c r="AG326" s="671"/>
    </row>
    <row r="327" spans="1:33" x14ac:dyDescent="0.3">
      <c r="A327" s="669" t="s">
        <v>324</v>
      </c>
      <c r="B327" s="670"/>
      <c r="C327" s="670"/>
      <c r="D327" s="670"/>
      <c r="E327" s="670"/>
      <c r="F327" s="670"/>
      <c r="G327" s="670"/>
      <c r="H327" s="670"/>
      <c r="I327" s="670"/>
      <c r="J327" s="670"/>
      <c r="K327" s="670"/>
      <c r="L327" s="670"/>
      <c r="M327" s="670"/>
      <c r="N327" s="670" t="s">
        <v>27</v>
      </c>
      <c r="O327" s="670">
        <f>'Objet 2 à 6'!Lnec1-0.3</f>
        <v>-0.3</v>
      </c>
      <c r="P327" s="670">
        <f>'Objet 2 à 6'!lanec1-0.3</f>
        <v>-0.3</v>
      </c>
      <c r="Q327" s="670">
        <f>('Objet 2 à 6'!hnec1-AA327)/5</f>
        <v>0</v>
      </c>
      <c r="R327" s="670"/>
      <c r="S327" s="670"/>
      <c r="T327" s="670"/>
      <c r="U327" s="670"/>
      <c r="V327" s="670" t="str">
        <f>'Objet 2 à 6'!Base1</f>
        <v>Aucun</v>
      </c>
      <c r="W327" s="670">
        <f t="shared" si="118"/>
        <v>0</v>
      </c>
      <c r="X327" s="670">
        <f>VLOOKUP('Objet 2 à 6'!plat1,$A$274:$B$280,2)</f>
        <v>0</v>
      </c>
      <c r="Y327" s="670">
        <f>'Objet 2 à 6'!Lnec1</f>
        <v>0</v>
      </c>
      <c r="Z327" s="670">
        <f>'Objet 2 à 6'!lanec1</f>
        <v>0</v>
      </c>
      <c r="AA327" s="670">
        <f t="shared" si="119"/>
        <v>0</v>
      </c>
      <c r="AB327" s="670"/>
      <c r="AC327" s="670"/>
      <c r="AD327" s="670"/>
      <c r="AE327" s="670"/>
      <c r="AF327" s="670"/>
      <c r="AG327" s="671"/>
    </row>
    <row r="328" spans="1:33" x14ac:dyDescent="0.3">
      <c r="A328" s="669" t="s">
        <v>325</v>
      </c>
      <c r="B328" s="670"/>
      <c r="C328" s="670"/>
      <c r="D328" s="670"/>
      <c r="E328" s="670"/>
      <c r="F328" s="670"/>
      <c r="G328" s="670"/>
      <c r="H328" s="670"/>
      <c r="I328" s="670"/>
      <c r="J328" s="670"/>
      <c r="K328" s="670"/>
      <c r="L328" s="670"/>
      <c r="M328" s="670"/>
      <c r="N328" s="670" t="s">
        <v>27</v>
      </c>
      <c r="O328" s="670">
        <f>'Objet 2 à 6'!Lnec1-0.3</f>
        <v>-0.3</v>
      </c>
      <c r="P328" s="670">
        <f>'Objet 2 à 6'!hnec1-AA328</f>
        <v>0</v>
      </c>
      <c r="Q328" s="670">
        <f>'Objet 2 à 6'!lanec1/5</f>
        <v>0</v>
      </c>
      <c r="R328" s="670"/>
      <c r="S328" s="670"/>
      <c r="T328" s="670"/>
      <c r="U328" s="670"/>
      <c r="V328" s="670" t="str">
        <f>'Objet 2 à 6'!Base1</f>
        <v>Aucun</v>
      </c>
      <c r="W328" s="670">
        <f t="shared" si="118"/>
        <v>0</v>
      </c>
      <c r="X328" s="670">
        <f>VLOOKUP('Objet 2 à 6'!plat1,$A$274:$B$280,2)</f>
        <v>0</v>
      </c>
      <c r="Y328" s="670">
        <f>'Objet 2 à 6'!Lnec1</f>
        <v>0</v>
      </c>
      <c r="Z328" s="670">
        <f>'Objet 2 à 6'!lanec1</f>
        <v>0</v>
      </c>
      <c r="AA328" s="670">
        <f t="shared" si="119"/>
        <v>0</v>
      </c>
      <c r="AB328" s="670"/>
      <c r="AC328" s="670"/>
      <c r="AD328" s="670"/>
      <c r="AE328" s="670"/>
      <c r="AF328" s="670"/>
      <c r="AG328" s="671"/>
    </row>
    <row r="329" spans="1:33" x14ac:dyDescent="0.3">
      <c r="A329" s="669" t="s">
        <v>326</v>
      </c>
      <c r="B329" s="670" t="s">
        <v>354</v>
      </c>
      <c r="C329" s="670">
        <f>'Objet 2 à 6'!Lnec1</f>
        <v>0</v>
      </c>
      <c r="D329" s="670">
        <v>9.4</v>
      </c>
      <c r="E329" s="670">
        <f>1</f>
        <v>1</v>
      </c>
      <c r="F329" s="670" t="s">
        <v>355</v>
      </c>
      <c r="G329" s="670">
        <f>'Objet 2 à 6'!Lnec1</f>
        <v>0</v>
      </c>
      <c r="H329" s="670" t="e">
        <f t="shared" ref="H329:H330" si="121">VLOOKUP($D$29,$A$295:$D$297,2)</f>
        <v>#N/A</v>
      </c>
      <c r="I329" s="670" t="e">
        <f>'Objet 2 à 6'!nbcal1*2</f>
        <v>#VALUE!</v>
      </c>
      <c r="J329" s="670" t="s">
        <v>349</v>
      </c>
      <c r="K329" s="670">
        <f>'Objet 2 à 6'!lanec1</f>
        <v>0</v>
      </c>
      <c r="L329" s="670">
        <v>7</v>
      </c>
      <c r="M329" s="670" t="e">
        <f>'Objet 2 à 6'!nbcal1*4</f>
        <v>#VALUE!</v>
      </c>
      <c r="N329" s="670" t="e">
        <f t="shared" ref="N329:N330" si="122">VLOOKUP($D$29,$A$295:$D$297,3)</f>
        <v>#N/A</v>
      </c>
      <c r="O329" s="670">
        <f>'Objet 2 à 6'!Lnec1</f>
        <v>0</v>
      </c>
      <c r="P329" s="670">
        <f>'Objet 2 à 6'!lanec1-4.2</f>
        <v>-4.2</v>
      </c>
      <c r="Q329" s="670" t="str">
        <f>'Objet 2 à 6'!nbcal1</f>
        <v>PU</v>
      </c>
      <c r="R329" s="670" t="e">
        <f>VLOOKUP($D$29,$A$295:$D$297,4)</f>
        <v>#N/A</v>
      </c>
      <c r="S329" s="670">
        <f>'Objet 2 à 6'!lanec1</f>
        <v>0</v>
      </c>
      <c r="T329" s="670">
        <f>IF('Objet 2 à 6'!hnec1&lt;120,9.4,14.4)</f>
        <v>9.4</v>
      </c>
      <c r="U329" s="670">
        <f>1</f>
        <v>1</v>
      </c>
      <c r="V329" s="670" t="str">
        <f>'Objet 2 à 6'!Base1</f>
        <v>Aucun</v>
      </c>
      <c r="W329" s="670">
        <f t="shared" si="118"/>
        <v>0</v>
      </c>
      <c r="X329" s="670">
        <f>VLOOKUP('Objet 2 à 6'!plat1,$A$274:$B$280,2)</f>
        <v>0</v>
      </c>
      <c r="Y329" s="670">
        <f>'Objet 2 à 6'!Lnec1</f>
        <v>0</v>
      </c>
      <c r="Z329" s="670">
        <f>'Objet 2 à 6'!lanec1</f>
        <v>0</v>
      </c>
      <c r="AA329" s="670">
        <f t="shared" si="119"/>
        <v>0</v>
      </c>
      <c r="AB329" s="670"/>
      <c r="AC329" s="670"/>
      <c r="AD329" s="670"/>
      <c r="AE329" s="670"/>
      <c r="AF329" s="670"/>
      <c r="AG329" s="671"/>
    </row>
    <row r="330" spans="1:33" x14ac:dyDescent="0.3">
      <c r="A330" s="669" t="s">
        <v>328</v>
      </c>
      <c r="B330" s="670"/>
      <c r="C330" s="670"/>
      <c r="D330" s="670"/>
      <c r="E330" s="670"/>
      <c r="F330" s="670" t="s">
        <v>355</v>
      </c>
      <c r="G330" s="670">
        <f>'Objet 2 à 6'!lanec1</f>
        <v>0</v>
      </c>
      <c r="H330" s="670" t="e">
        <f t="shared" si="121"/>
        <v>#N/A</v>
      </c>
      <c r="I330" s="670" t="str">
        <f>'Objet 2 à 6'!nbcal1</f>
        <v>PU</v>
      </c>
      <c r="J330" s="670" t="s">
        <v>349</v>
      </c>
      <c r="K330" s="670">
        <f>'Objet 2 à 6'!hnec1-AA330</f>
        <v>0</v>
      </c>
      <c r="L330" s="670">
        <v>7</v>
      </c>
      <c r="M330" s="670" t="e">
        <f>'Objet 2 à 6'!nbcal1*4</f>
        <v>#VALUE!</v>
      </c>
      <c r="N330" s="670" t="e">
        <f t="shared" si="122"/>
        <v>#N/A</v>
      </c>
      <c r="O330" s="670">
        <f>'Objet 2 à 6'!lanec1</f>
        <v>0</v>
      </c>
      <c r="P330" s="670">
        <f>'Objet 2 à 6'!hnec1-2.1-AA330</f>
        <v>-2.1</v>
      </c>
      <c r="Q330" s="670" t="str">
        <f>'Objet 2 à 6'!nbcal1</f>
        <v>PU</v>
      </c>
      <c r="R330" s="670"/>
      <c r="S330" s="670"/>
      <c r="T330" s="670"/>
      <c r="U330" s="670"/>
      <c r="V330" s="670" t="str">
        <f>'Objet 2 à 6'!Base1</f>
        <v>Aucun</v>
      </c>
      <c r="W330" s="670">
        <f t="shared" si="118"/>
        <v>0</v>
      </c>
      <c r="X330" s="670">
        <f>VLOOKUP('Objet 2 à 6'!plat1,$A$274:$B$280,2)</f>
        <v>0</v>
      </c>
      <c r="Y330" s="670">
        <f>'Objet 2 à 6'!Lnec1</f>
        <v>0</v>
      </c>
      <c r="Z330" s="670">
        <f>'Objet 2 à 6'!lanec1</f>
        <v>0</v>
      </c>
      <c r="AA330" s="670">
        <f t="shared" si="119"/>
        <v>0</v>
      </c>
      <c r="AB330" s="670"/>
      <c r="AC330" s="670"/>
      <c r="AD330" s="670"/>
      <c r="AE330" s="670"/>
      <c r="AF330" s="670"/>
      <c r="AG330" s="671"/>
    </row>
    <row r="331" spans="1:33" ht="28.8" x14ac:dyDescent="0.3">
      <c r="A331" s="669" t="s">
        <v>373</v>
      </c>
      <c r="B331" s="670"/>
      <c r="C331" s="670"/>
      <c r="D331" s="670"/>
      <c r="E331" s="670"/>
      <c r="F331" s="670"/>
      <c r="G331" s="670"/>
      <c r="H331" s="670"/>
      <c r="I331" s="670"/>
      <c r="J331" s="670"/>
      <c r="K331" s="670"/>
      <c r="L331" s="670"/>
      <c r="M331" s="670"/>
      <c r="N331" s="670" t="str">
        <f>IF('Objet 2 à 6'!nbcal1="PU","PU 50 mm",IF('Objet 2 à 6'!nbcal1="Ethafoam","Ethafoam 50 mm",IF('Objet 2 à 6'!nbcal1="Stratocell","Stratocell 50 mm",0)))</f>
        <v>PU 50 mm</v>
      </c>
      <c r="O331" s="670">
        <f>'Objet 2 à 6'!Lnec1</f>
        <v>0</v>
      </c>
      <c r="P331" s="670">
        <f>'Objet 2 à 6'!lanec1</f>
        <v>0</v>
      </c>
      <c r="Q331" s="670">
        <v>1</v>
      </c>
      <c r="R331" s="670" t="str">
        <f>IF('Objet 2 à 6'!nbcal1="PU","PU 50 mm",IF('Objet 2 à 6'!nbcal1="Ethafoam","Ethafoam 50 mm",IF('Objet 2 à 6'!nbcal1="Stratocell","Stratocell 50 mm",0)))</f>
        <v>PU 50 mm</v>
      </c>
      <c r="S331" s="670">
        <f>'Objet 2 à 6'!Lnec1</f>
        <v>0</v>
      </c>
      <c r="T331" s="670">
        <f>'Objet 2 à 6'!hnec1-5-AA331</f>
        <v>-5</v>
      </c>
      <c r="U331" s="670">
        <v>2</v>
      </c>
      <c r="V331" s="670" t="str">
        <f>'Objet 2 à 6'!Base1</f>
        <v>Aucun</v>
      </c>
      <c r="W331" s="670">
        <f t="shared" si="118"/>
        <v>0</v>
      </c>
      <c r="X331" s="670">
        <f>VLOOKUP('Objet 2 à 6'!plat1,$A$274:$B$280,2)</f>
        <v>0</v>
      </c>
      <c r="Y331" s="670">
        <f>'Objet 2 à 6'!Lnec1</f>
        <v>0</v>
      </c>
      <c r="Z331" s="670">
        <f>'Objet 2 à 6'!lanec1</f>
        <v>0</v>
      </c>
      <c r="AA331" s="670">
        <f t="shared" si="119"/>
        <v>0</v>
      </c>
      <c r="AB331" s="670" t="str">
        <f>IF('Objet 2 à 6'!nbcal1="PU","PU 50 mm",IF('Objet 2 à 6'!nbcal1="Ethafoam","Ethafoam 50 mm",IF('Objet 2 à 6'!nbcal1="Stratocell","Stratocell 50 mm",0)))</f>
        <v>PU 50 mm</v>
      </c>
      <c r="AC331" s="670">
        <f>'Objet 2 à 6'!lanec1-10</f>
        <v>-10</v>
      </c>
      <c r="AD331" s="670">
        <f>'Objet 2 à 6'!hnec1-5-AA331</f>
        <v>-5</v>
      </c>
      <c r="AE331" s="670">
        <v>2</v>
      </c>
      <c r="AF331" s="670"/>
      <c r="AG331" s="671"/>
    </row>
    <row r="332" spans="1:33" x14ac:dyDescent="0.3">
      <c r="A332" s="678" t="s">
        <v>374</v>
      </c>
      <c r="B332" s="679"/>
      <c r="C332" s="679"/>
      <c r="D332" s="679"/>
      <c r="E332" s="679"/>
      <c r="F332" s="679"/>
      <c r="G332" s="679"/>
      <c r="H332" s="679"/>
      <c r="I332" s="679"/>
      <c r="J332" s="679"/>
      <c r="K332" s="679"/>
      <c r="L332" s="679"/>
      <c r="M332" s="679"/>
      <c r="N332" s="670" t="str">
        <f>IF('Objet 2 à 6'!nbcal1="PU","PU 30 mm",IF('Objet 2 à 6'!nbcal1="Ethafoam","Ethafoam 30 mm",IF('Objet 2 à 6'!nbcal1="Stratocell","Stratocell 30 mm",0)))</f>
        <v>PU 30 mm</v>
      </c>
      <c r="O332" s="679">
        <f>'Objet 2 à 6'!Lnec1</f>
        <v>0</v>
      </c>
      <c r="P332" s="679">
        <f>'Objet 2 à 6'!lanec1</f>
        <v>0</v>
      </c>
      <c r="Q332" s="679">
        <v>1</v>
      </c>
      <c r="R332" s="670" t="str">
        <f>IF('Objet 2 à 6'!nbcal1="PU","PU 30 mm",IF('Objet 2 à 6'!nbcal1="Ethafoam","Ethafoam 30 mm",IF('Objet 2 à 6'!nbcal1="Stratocell","Stratocell 30 mm",0)))</f>
        <v>PU 30 mm</v>
      </c>
      <c r="S332" s="670">
        <f>'Objet 2 à 6'!Lnec1</f>
        <v>0</v>
      </c>
      <c r="T332" s="679">
        <f>'Objet 2 à 6'!hnec1-3-AA332</f>
        <v>-3</v>
      </c>
      <c r="U332" s="679">
        <v>2</v>
      </c>
      <c r="V332" s="679" t="str">
        <f>'Objet 2 à 6'!Base1</f>
        <v>Aucun</v>
      </c>
      <c r="W332" s="670">
        <f t="shared" si="118"/>
        <v>0</v>
      </c>
      <c r="X332" s="670">
        <f>VLOOKUP('Objet 2 à 6'!plat1,$A$274:$B$280,2)</f>
        <v>0</v>
      </c>
      <c r="Y332" s="670">
        <f>'Objet 2 à 6'!Lnec1</f>
        <v>0</v>
      </c>
      <c r="Z332" s="670">
        <f>'Objet 2 à 6'!lanec1</f>
        <v>0</v>
      </c>
      <c r="AA332" s="679">
        <f t="shared" si="119"/>
        <v>0</v>
      </c>
      <c r="AB332" s="670" t="str">
        <f>IF('Objet 2 à 6'!nbcal1="PU","PU 30 mm",IF('Objet 2 à 6'!nbcal1="Ethafoam","Ethafoam 30 mm",IF('Objet 2 à 6'!nbcal1="Stratocell","Stratocell 30 mm",0)))</f>
        <v>PU 30 mm</v>
      </c>
      <c r="AC332" s="679">
        <f>'Objet 2 à 6'!lanec1-6</f>
        <v>-6</v>
      </c>
      <c r="AD332" s="679">
        <f>'Objet 2 à 6'!hnec1-3-AA332</f>
        <v>-3</v>
      </c>
      <c r="AE332" s="679">
        <v>2</v>
      </c>
      <c r="AF332" s="679"/>
      <c r="AG332" s="680"/>
    </row>
    <row r="333" spans="1:33" ht="18" x14ac:dyDescent="0.35">
      <c r="A333" s="559"/>
      <c r="B333" s="559"/>
      <c r="C333" s="559"/>
      <c r="D333" s="559"/>
      <c r="E333" s="559"/>
      <c r="F333" s="559"/>
      <c r="G333" s="559"/>
      <c r="H333" s="559"/>
      <c r="I333" s="559"/>
      <c r="J333" s="559"/>
      <c r="K333" s="559"/>
      <c r="L333" s="559"/>
      <c r="M333" s="559"/>
      <c r="N333" s="559"/>
      <c r="O333" s="559"/>
      <c r="P333" s="559"/>
      <c r="Q333" s="559"/>
      <c r="R333" s="559"/>
      <c r="S333" s="559"/>
      <c r="T333" s="559"/>
      <c r="U333" s="559"/>
      <c r="V333" s="559"/>
      <c r="W333" s="559"/>
      <c r="X333" s="559"/>
      <c r="Y333" s="559"/>
      <c r="Z333" s="559"/>
      <c r="AA333" s="559"/>
      <c r="AB333" s="559"/>
      <c r="AC333" s="559"/>
      <c r="AD333" s="559"/>
      <c r="AE333" s="559"/>
      <c r="AF333" s="559"/>
      <c r="AG333" s="559"/>
    </row>
    <row r="334" spans="1:33" x14ac:dyDescent="0.3">
      <c r="A334" s="660">
        <v>1</v>
      </c>
      <c r="B334" s="661">
        <f t="shared" ref="B334:V334" si="123">A334+1</f>
        <v>2</v>
      </c>
      <c r="C334" s="661">
        <f t="shared" si="123"/>
        <v>3</v>
      </c>
      <c r="D334" s="661">
        <f t="shared" si="123"/>
        <v>4</v>
      </c>
      <c r="E334" s="661">
        <f t="shared" si="123"/>
        <v>5</v>
      </c>
      <c r="F334" s="661">
        <f t="shared" si="123"/>
        <v>6</v>
      </c>
      <c r="G334" s="661">
        <f t="shared" si="123"/>
        <v>7</v>
      </c>
      <c r="H334" s="661">
        <f t="shared" si="123"/>
        <v>8</v>
      </c>
      <c r="I334" s="661">
        <f t="shared" si="123"/>
        <v>9</v>
      </c>
      <c r="J334" s="661">
        <f t="shared" si="123"/>
        <v>10</v>
      </c>
      <c r="K334" s="661">
        <f t="shared" si="123"/>
        <v>11</v>
      </c>
      <c r="L334" s="661">
        <f t="shared" si="123"/>
        <v>12</v>
      </c>
      <c r="M334" s="661">
        <f t="shared" si="123"/>
        <v>13</v>
      </c>
      <c r="N334" s="661">
        <f t="shared" si="123"/>
        <v>14</v>
      </c>
      <c r="O334" s="661">
        <f t="shared" si="123"/>
        <v>15</v>
      </c>
      <c r="P334" s="661">
        <f t="shared" si="123"/>
        <v>16</v>
      </c>
      <c r="Q334" s="661">
        <f t="shared" si="123"/>
        <v>17</v>
      </c>
      <c r="R334" s="661">
        <f t="shared" si="123"/>
        <v>18</v>
      </c>
      <c r="S334" s="661">
        <f t="shared" si="123"/>
        <v>19</v>
      </c>
      <c r="T334" s="661">
        <f t="shared" si="123"/>
        <v>20</v>
      </c>
      <c r="U334" s="661">
        <f t="shared" si="123"/>
        <v>21</v>
      </c>
      <c r="V334" s="661">
        <f t="shared" si="123"/>
        <v>22</v>
      </c>
      <c r="W334" s="661">
        <v>23</v>
      </c>
      <c r="X334" s="661">
        <v>24</v>
      </c>
      <c r="Y334" s="661">
        <v>25</v>
      </c>
      <c r="Z334" s="661">
        <f t="shared" ref="Z334:AG334" si="124">Y334+1</f>
        <v>26</v>
      </c>
      <c r="AA334" s="661">
        <f t="shared" si="124"/>
        <v>27</v>
      </c>
      <c r="AB334" s="661">
        <f t="shared" si="124"/>
        <v>28</v>
      </c>
      <c r="AC334" s="661">
        <f t="shared" si="124"/>
        <v>29</v>
      </c>
      <c r="AD334" s="661">
        <f t="shared" si="124"/>
        <v>30</v>
      </c>
      <c r="AE334" s="661">
        <f t="shared" si="124"/>
        <v>31</v>
      </c>
      <c r="AF334" s="661">
        <f t="shared" si="124"/>
        <v>32</v>
      </c>
      <c r="AG334" s="662">
        <f t="shared" si="124"/>
        <v>33</v>
      </c>
    </row>
    <row r="335" spans="1:33" ht="28.8" x14ac:dyDescent="0.3">
      <c r="A335" s="717" t="s">
        <v>381</v>
      </c>
      <c r="B335" s="670" t="s">
        <v>348</v>
      </c>
      <c r="C335" s="670" t="s">
        <v>28</v>
      </c>
      <c r="D335" s="670" t="s">
        <v>33</v>
      </c>
      <c r="E335" s="670" t="s">
        <v>34</v>
      </c>
      <c r="F335" s="670" t="s">
        <v>348</v>
      </c>
      <c r="G335" s="670" t="s">
        <v>28</v>
      </c>
      <c r="H335" s="670" t="s">
        <v>33</v>
      </c>
      <c r="I335" s="670" t="s">
        <v>34</v>
      </c>
      <c r="J335" s="670" t="s">
        <v>349</v>
      </c>
      <c r="K335" s="670" t="s">
        <v>28</v>
      </c>
      <c r="L335" s="670" t="s">
        <v>33</v>
      </c>
      <c r="M335" s="670" t="s">
        <v>34</v>
      </c>
      <c r="N335" s="670"/>
      <c r="O335" s="670" t="s">
        <v>28</v>
      </c>
      <c r="P335" s="670" t="s">
        <v>33</v>
      </c>
      <c r="Q335" s="670" t="s">
        <v>34</v>
      </c>
      <c r="R335" s="670"/>
      <c r="S335" s="670" t="s">
        <v>28</v>
      </c>
      <c r="T335" s="670" t="s">
        <v>33</v>
      </c>
      <c r="U335" s="670" t="s">
        <v>34</v>
      </c>
      <c r="V335" s="670" t="s">
        <v>308</v>
      </c>
      <c r="W335" s="670" t="s">
        <v>350</v>
      </c>
      <c r="X335" s="670" t="s">
        <v>351</v>
      </c>
      <c r="Y335" s="670" t="s">
        <v>28</v>
      </c>
      <c r="Z335" s="670" t="s">
        <v>33</v>
      </c>
      <c r="AA335" s="670" t="s">
        <v>269</v>
      </c>
      <c r="AB335" s="670"/>
      <c r="AC335" s="670" t="s">
        <v>28</v>
      </c>
      <c r="AD335" s="670" t="s">
        <v>33</v>
      </c>
      <c r="AE335" s="670" t="s">
        <v>34</v>
      </c>
      <c r="AF335" s="670"/>
      <c r="AG335" s="671"/>
    </row>
    <row r="336" spans="1:33" x14ac:dyDescent="0.3">
      <c r="A336" s="669" t="s">
        <v>16</v>
      </c>
      <c r="B336" s="670">
        <v>0</v>
      </c>
      <c r="C336" s="670">
        <v>0</v>
      </c>
      <c r="D336" s="670">
        <v>0</v>
      </c>
      <c r="E336" s="670">
        <v>0</v>
      </c>
      <c r="F336" s="670">
        <v>0</v>
      </c>
      <c r="G336" s="670">
        <v>0</v>
      </c>
      <c r="H336" s="670">
        <v>0</v>
      </c>
      <c r="I336" s="670">
        <v>0</v>
      </c>
      <c r="J336" s="670">
        <v>0</v>
      </c>
      <c r="K336" s="670">
        <v>0</v>
      </c>
      <c r="L336" s="670">
        <v>0</v>
      </c>
      <c r="M336" s="670">
        <v>0</v>
      </c>
      <c r="N336" s="670">
        <v>0</v>
      </c>
      <c r="O336" s="670">
        <v>0</v>
      </c>
      <c r="P336" s="670">
        <v>0</v>
      </c>
      <c r="Q336" s="670">
        <v>0</v>
      </c>
      <c r="R336" s="670">
        <v>0</v>
      </c>
      <c r="S336" s="670">
        <v>0</v>
      </c>
      <c r="T336" s="670">
        <v>0</v>
      </c>
      <c r="U336" s="670">
        <v>0</v>
      </c>
      <c r="V336" s="670">
        <v>0</v>
      </c>
      <c r="W336" s="670">
        <v>0</v>
      </c>
      <c r="X336" s="670">
        <v>0</v>
      </c>
      <c r="Y336" s="670">
        <v>0</v>
      </c>
      <c r="Z336" s="670">
        <v>0</v>
      </c>
      <c r="AA336" s="670">
        <v>0</v>
      </c>
      <c r="AB336" s="670">
        <v>0</v>
      </c>
      <c r="AC336" s="670">
        <v>0</v>
      </c>
      <c r="AD336" s="670">
        <v>0</v>
      </c>
      <c r="AE336" s="670">
        <v>0</v>
      </c>
      <c r="AF336" s="670">
        <v>0</v>
      </c>
      <c r="AG336" s="671">
        <v>0</v>
      </c>
    </row>
    <row r="337" spans="1:33" x14ac:dyDescent="0.3">
      <c r="A337" s="669" t="s">
        <v>316</v>
      </c>
      <c r="B337" s="670" t="s">
        <v>352</v>
      </c>
      <c r="C337" s="670">
        <f>'Objet 2 à 6'!Lnec2</f>
        <v>0</v>
      </c>
      <c r="D337" s="670">
        <v>9.4</v>
      </c>
      <c r="E337" s="670" t="e">
        <f>('Objet 2 à 6'!nbcal2*4)+1</f>
        <v>#VALUE!</v>
      </c>
      <c r="F337" s="670" t="s">
        <v>353</v>
      </c>
      <c r="G337" s="670">
        <f>'Objet 2 à 6'!lanec2</f>
        <v>0</v>
      </c>
      <c r="H337" s="670">
        <f>IF('Objet 2 à 6'!hnec2&lt;120,9.4,14.4)</f>
        <v>9.4</v>
      </c>
      <c r="I337" s="670" t="e">
        <f>'Objet 2 à 6'!nbcal2*2</f>
        <v>#VALUE!</v>
      </c>
      <c r="J337" s="670" t="s">
        <v>349</v>
      </c>
      <c r="K337" s="670">
        <f>'Objet 2 à 6'!lanec2</f>
        <v>0</v>
      </c>
      <c r="L337" s="670">
        <v>7</v>
      </c>
      <c r="M337" s="670" t="e">
        <f>'Objet 2 à 6'!nbcal2*4</f>
        <v>#VALUE!</v>
      </c>
      <c r="N337" s="670" t="e">
        <f t="shared" ref="N337:N338" si="125">VLOOKUP($D$36,$A$295:$D$297,3)</f>
        <v>#N/A</v>
      </c>
      <c r="O337" s="670">
        <f>'Objet 2 à 6'!Lnec2</f>
        <v>0</v>
      </c>
      <c r="P337" s="670">
        <f>IF('Objet 2 à 6'!hnec2&lt;120,9.4,14.4)</f>
        <v>9.4</v>
      </c>
      <c r="Q337" s="670" t="e">
        <f>'Objet 2 à 6'!nbcal2*2+1</f>
        <v>#VALUE!</v>
      </c>
      <c r="R337" s="670" t="e">
        <f t="shared" ref="R337:R338" si="126">VLOOKUP($D$36,$A$295:$D$297,4)</f>
        <v>#N/A</v>
      </c>
      <c r="S337" s="670"/>
      <c r="T337" s="670"/>
      <c r="U337" s="670"/>
      <c r="V337" s="670" t="str">
        <f>'Objet 2 à 6'!Base2</f>
        <v>Aucun</v>
      </c>
      <c r="W337" s="670">
        <f t="shared" ref="W337:W346" si="127">VLOOKUP(V337,$A$283:$C$293,3)</f>
        <v>0</v>
      </c>
      <c r="X337" s="670">
        <f>VLOOKUP('Objet 2 à 6'!plat2,$A$274:$B$280,2)</f>
        <v>0</v>
      </c>
      <c r="Y337" s="670">
        <f>'Objet 2 à 6'!Lnec2</f>
        <v>0</v>
      </c>
      <c r="Z337" s="670">
        <f>'Objet 2 à 6'!lanec2</f>
        <v>0</v>
      </c>
      <c r="AA337" s="670">
        <f t="shared" ref="AA337:AA346" si="128">W337+X337</f>
        <v>0</v>
      </c>
      <c r="AB337" s="670"/>
      <c r="AC337" s="670"/>
      <c r="AD337" s="670"/>
      <c r="AE337" s="670"/>
      <c r="AF337" s="670"/>
      <c r="AG337" s="671"/>
    </row>
    <row r="338" spans="1:33" x14ac:dyDescent="0.3">
      <c r="A338" s="669" t="s">
        <v>319</v>
      </c>
      <c r="B338" s="670" t="s">
        <v>352</v>
      </c>
      <c r="C338" s="670">
        <f>'Objet 2 à 6'!Lnec2</f>
        <v>0</v>
      </c>
      <c r="D338" s="670">
        <v>9.4</v>
      </c>
      <c r="E338" s="670" t="e">
        <f>'Objet 2 à 6'!nbcal2*2+1</f>
        <v>#VALUE!</v>
      </c>
      <c r="F338" s="670" t="s">
        <v>353</v>
      </c>
      <c r="G338" s="670">
        <f>'Objet 2 à 6'!lanec2</f>
        <v>0</v>
      </c>
      <c r="H338" s="670">
        <f>IF('Objet 2 à 6'!hnec2&lt;120,9.4,14.4)</f>
        <v>9.4</v>
      </c>
      <c r="I338" s="670" t="e">
        <f>'Objet 2 à 6'!nbcal2*2</f>
        <v>#VALUE!</v>
      </c>
      <c r="J338" s="670"/>
      <c r="K338" s="670"/>
      <c r="L338" s="670"/>
      <c r="M338" s="670"/>
      <c r="N338" s="670" t="e">
        <f t="shared" si="125"/>
        <v>#N/A</v>
      </c>
      <c r="O338" s="670">
        <f>'Objet 2 à 6'!Lnec2</f>
        <v>0</v>
      </c>
      <c r="P338" s="670">
        <f>IF('Objet 2 à 6'!hnec2&lt;120,9.4,14.4)</f>
        <v>9.4</v>
      </c>
      <c r="Q338" s="670" t="e">
        <f>'Objet 2 à 6'!nbcal2*2+1</f>
        <v>#VALUE!</v>
      </c>
      <c r="R338" s="670" t="e">
        <f t="shared" si="126"/>
        <v>#N/A</v>
      </c>
      <c r="S338" s="670">
        <f>'Objet 2 à 6'!lanec2</f>
        <v>0</v>
      </c>
      <c r="T338" s="670">
        <f>IF('Objet 2 à 6'!hnec2&lt;120,9.4,14.4)</f>
        <v>9.4</v>
      </c>
      <c r="U338" s="670" t="e">
        <f>'Objet 2 à 6'!nbcal2*2</f>
        <v>#VALUE!</v>
      </c>
      <c r="V338" s="670" t="str">
        <f>'Objet 2 à 6'!Base2</f>
        <v>Aucun</v>
      </c>
      <c r="W338" s="670">
        <f t="shared" si="127"/>
        <v>0</v>
      </c>
      <c r="X338" s="670">
        <f>VLOOKUP('Objet 2 à 6'!plat2,$A$274:$B$280,2)</f>
        <v>0</v>
      </c>
      <c r="Y338" s="670">
        <f>'Objet 2 à 6'!Lnec2</f>
        <v>0</v>
      </c>
      <c r="Z338" s="670">
        <f>'Objet 2 à 6'!lanec2</f>
        <v>0</v>
      </c>
      <c r="AA338" s="670">
        <f t="shared" si="128"/>
        <v>0</v>
      </c>
      <c r="AB338" s="670"/>
      <c r="AC338" s="670"/>
      <c r="AD338" s="670"/>
      <c r="AE338" s="670"/>
      <c r="AF338" s="670"/>
      <c r="AG338" s="671"/>
    </row>
    <row r="339" spans="1:33" ht="28.8" x14ac:dyDescent="0.3">
      <c r="A339" s="669" t="s">
        <v>371</v>
      </c>
      <c r="B339" s="670"/>
      <c r="C339" s="670"/>
      <c r="D339" s="670"/>
      <c r="E339" s="670"/>
      <c r="F339" s="670"/>
      <c r="G339" s="670"/>
      <c r="H339" s="670"/>
      <c r="I339" s="670"/>
      <c r="J339" s="670"/>
      <c r="K339" s="670"/>
      <c r="L339" s="670"/>
      <c r="M339" s="670"/>
      <c r="N339" s="670" t="str">
        <f>IF('Objet 2 à 6'!nbcal2="PU","PU 50 mm",IF('Objet 2 à 6'!nbcal2="Ethafoam","Ethafoam 50 mm",IF('Objet 2 à 6'!nbcal2="Stratocell","Stratocell 50 mm",0)))</f>
        <v>PU 50 mm</v>
      </c>
      <c r="O339" s="670">
        <f>'Objet 2 à 6'!Lnec2</f>
        <v>0</v>
      </c>
      <c r="P339" s="670">
        <v>12</v>
      </c>
      <c r="Q339" s="670">
        <f>IF('Objet 2 à 6'!hnec2&lt;80,4,6)</f>
        <v>4</v>
      </c>
      <c r="R339" s="670" t="str">
        <f>IF('Objet 2 à 6'!nbcal2="PU","PU 50 mm",IF('Objet 2 à 6'!nbcal2="Ethafoam","Ethafoam 50 mm",IF('Objet 2 à 6'!nbcal2="Stratocell","Stratocell 50 mm",0)))</f>
        <v>PU 50 mm</v>
      </c>
      <c r="S339" s="670">
        <f>'Objet 2 à 6'!lanec2-10</f>
        <v>-10</v>
      </c>
      <c r="T339" s="670">
        <v>12</v>
      </c>
      <c r="U339" s="670">
        <f t="shared" ref="U339:U340" si="129">Q339</f>
        <v>4</v>
      </c>
      <c r="V339" s="670" t="str">
        <f>'Objet 2 à 6'!Base2</f>
        <v>Aucun</v>
      </c>
      <c r="W339" s="670">
        <f t="shared" si="127"/>
        <v>0</v>
      </c>
      <c r="X339" s="670">
        <f>VLOOKUP('Objet 2 à 6'!plat2,$A$274:$B$280,2)</f>
        <v>0</v>
      </c>
      <c r="Y339" s="670">
        <f>'Objet 2 à 6'!Lnec2</f>
        <v>0</v>
      </c>
      <c r="Z339" s="670">
        <f>'Objet 2 à 6'!lanec2</f>
        <v>0</v>
      </c>
      <c r="AA339" s="670">
        <f t="shared" si="128"/>
        <v>0</v>
      </c>
      <c r="AB339" s="670" t="str">
        <f>IF('Objet 2 à 6'!nbcal2="PU","PU 50 mm",IF('Objet 2 à 6'!nbcal2="Ethafoam","Ethafoam 50 mm",IF('Objet 2 à 6'!nbcal2="Stratocell","Stratocell 50 mm",0)))</f>
        <v>PU 50 mm</v>
      </c>
      <c r="AC339" s="670">
        <f>'Objet 2 à 6'!Lnec2</f>
        <v>0</v>
      </c>
      <c r="AD339" s="670">
        <v>12</v>
      </c>
      <c r="AE339" s="670">
        <f>IF('Objet 2 à 6'!Lnec2&lt;100,3,4)</f>
        <v>3</v>
      </c>
      <c r="AF339" s="670"/>
      <c r="AG339" s="671"/>
    </row>
    <row r="340" spans="1:33" x14ac:dyDescent="0.3">
      <c r="A340" s="669" t="s">
        <v>372</v>
      </c>
      <c r="B340" s="670"/>
      <c r="C340" s="670"/>
      <c r="D340" s="670"/>
      <c r="E340" s="670"/>
      <c r="F340" s="670"/>
      <c r="G340" s="670"/>
      <c r="H340" s="670"/>
      <c r="I340" s="670"/>
      <c r="J340" s="670"/>
      <c r="K340" s="670"/>
      <c r="L340" s="670"/>
      <c r="M340" s="670"/>
      <c r="N340" s="670" t="str">
        <f>IF('Objet 2 à 6'!nbcal2="PU","PU 30 mm",IF('Objet 2 à 6'!nbcal2="Ethafoam","Ethafoam 30 mm",IF('Objet 2 à 6'!nbcal2="Stratocell","Stratocell 30 mm",0)))</f>
        <v>PU 30 mm</v>
      </c>
      <c r="O340" s="670">
        <f>'Objet 2 à 6'!Lnec2</f>
        <v>0</v>
      </c>
      <c r="P340" s="670">
        <v>12</v>
      </c>
      <c r="Q340" s="670">
        <f>IF('Objet 2 à 6'!hnec2&lt;80,4,6)</f>
        <v>4</v>
      </c>
      <c r="R340" s="670" t="str">
        <f>IF('Objet 2 à 6'!nbcal2="PU","PU 30 mm",IF('Objet 2 à 6'!nbcal2="Ethafoam","Ethafoam 30 mm",IF('Objet 2 à 6'!nbcal2="Stratocell","Stratocell 30 mm",0)))</f>
        <v>PU 30 mm</v>
      </c>
      <c r="S340" s="670">
        <f>'Objet 2 à 6'!lanec2-6</f>
        <v>-6</v>
      </c>
      <c r="T340" s="670">
        <v>12</v>
      </c>
      <c r="U340" s="670">
        <f t="shared" si="129"/>
        <v>4</v>
      </c>
      <c r="V340" s="670" t="str">
        <f>'Objet 2 à 6'!Base2</f>
        <v>Aucun</v>
      </c>
      <c r="W340" s="670">
        <f t="shared" si="127"/>
        <v>0</v>
      </c>
      <c r="X340" s="670">
        <f>VLOOKUP('Objet 2 à 6'!plat2,$A$274:$B$280,2)</f>
        <v>0</v>
      </c>
      <c r="Y340" s="670">
        <f>'Objet 2 à 6'!Lnec2</f>
        <v>0</v>
      </c>
      <c r="Z340" s="670">
        <f>'Objet 2 à 6'!lanec2</f>
        <v>0</v>
      </c>
      <c r="AA340" s="670">
        <f t="shared" si="128"/>
        <v>0</v>
      </c>
      <c r="AB340" s="670" t="str">
        <f>IF('Objet 2 à 6'!nbcal2="PU","PU 30 mm",IF('Objet 2 à 6'!nbcal2="Ethafoam","Ethafoam 30 mm",IF('Objet 2 à 6'!nbcal2="Stratocell","Stratocell 30 mm",0)))</f>
        <v>PU 30 mm</v>
      </c>
      <c r="AC340" s="670">
        <f>'Objet 2 à 6'!lanec2</f>
        <v>0</v>
      </c>
      <c r="AD340" s="670">
        <v>12</v>
      </c>
      <c r="AE340" s="670">
        <f>IF('Objet 2 à 6'!Lnec2&lt;100,3,4)</f>
        <v>3</v>
      </c>
      <c r="AF340" s="670"/>
      <c r="AG340" s="671"/>
    </row>
    <row r="341" spans="1:33" x14ac:dyDescent="0.3">
      <c r="A341" s="669" t="s">
        <v>324</v>
      </c>
      <c r="B341" s="670"/>
      <c r="C341" s="670"/>
      <c r="D341" s="670"/>
      <c r="E341" s="670"/>
      <c r="F341" s="670"/>
      <c r="G341" s="670"/>
      <c r="H341" s="670"/>
      <c r="I341" s="670"/>
      <c r="J341" s="670"/>
      <c r="K341" s="670"/>
      <c r="L341" s="670"/>
      <c r="M341" s="670"/>
      <c r="N341" s="670" t="s">
        <v>27</v>
      </c>
      <c r="O341" s="670">
        <f>'Objet 2 à 6'!Lnec2-0.3</f>
        <v>-0.3</v>
      </c>
      <c r="P341" s="670">
        <f>'Objet 2 à 6'!lanec2-0.3</f>
        <v>-0.3</v>
      </c>
      <c r="Q341" s="670">
        <f>('Objet 2 à 6'!hnec2-AA341)/5</f>
        <v>0</v>
      </c>
      <c r="R341" s="670"/>
      <c r="S341" s="670"/>
      <c r="T341" s="670"/>
      <c r="U341" s="670"/>
      <c r="V341" s="670" t="str">
        <f>'Objet 2 à 6'!Base2</f>
        <v>Aucun</v>
      </c>
      <c r="W341" s="670">
        <f t="shared" si="127"/>
        <v>0</v>
      </c>
      <c r="X341" s="670">
        <f>VLOOKUP('Objet 2 à 6'!plat2,$A$274:$B$280,2)</f>
        <v>0</v>
      </c>
      <c r="Y341" s="670">
        <f>'Objet 2 à 6'!Lnec2</f>
        <v>0</v>
      </c>
      <c r="Z341" s="670">
        <f>'Objet 2 à 6'!lanec2</f>
        <v>0</v>
      </c>
      <c r="AA341" s="670">
        <f t="shared" si="128"/>
        <v>0</v>
      </c>
      <c r="AB341" s="670"/>
      <c r="AC341" s="670"/>
      <c r="AD341" s="670"/>
      <c r="AE341" s="670"/>
      <c r="AF341" s="670"/>
      <c r="AG341" s="671"/>
    </row>
    <row r="342" spans="1:33" x14ac:dyDescent="0.3">
      <c r="A342" s="669" t="s">
        <v>325</v>
      </c>
      <c r="B342" s="670"/>
      <c r="C342" s="670"/>
      <c r="D342" s="670"/>
      <c r="E342" s="670"/>
      <c r="F342" s="670"/>
      <c r="G342" s="670"/>
      <c r="H342" s="670"/>
      <c r="I342" s="670"/>
      <c r="J342" s="670"/>
      <c r="K342" s="670"/>
      <c r="L342" s="670"/>
      <c r="M342" s="670"/>
      <c r="N342" s="670" t="s">
        <v>27</v>
      </c>
      <c r="O342" s="670">
        <f>'Objet 2 à 6'!Lnec2-0.3</f>
        <v>-0.3</v>
      </c>
      <c r="P342" s="670">
        <f>'Objet 2 à 6'!hnec2-AA342</f>
        <v>0</v>
      </c>
      <c r="Q342" s="670">
        <f>'Objet 2 à 6'!lanec2/5</f>
        <v>0</v>
      </c>
      <c r="R342" s="670"/>
      <c r="S342" s="670"/>
      <c r="T342" s="670"/>
      <c r="U342" s="670"/>
      <c r="V342" s="670" t="str">
        <f>'Objet 2 à 6'!Base2</f>
        <v>Aucun</v>
      </c>
      <c r="W342" s="670">
        <f t="shared" si="127"/>
        <v>0</v>
      </c>
      <c r="X342" s="670">
        <f>VLOOKUP('Objet 2 à 6'!plat2,$A$274:$B$280,2)</f>
        <v>0</v>
      </c>
      <c r="Y342" s="670">
        <f>'Objet 2 à 6'!Lnec2</f>
        <v>0</v>
      </c>
      <c r="Z342" s="670">
        <f>'Objet 2 à 6'!lanec2</f>
        <v>0</v>
      </c>
      <c r="AA342" s="670">
        <f t="shared" si="128"/>
        <v>0</v>
      </c>
      <c r="AB342" s="670"/>
      <c r="AC342" s="670"/>
      <c r="AD342" s="670"/>
      <c r="AE342" s="670"/>
      <c r="AF342" s="670"/>
      <c r="AG342" s="671"/>
    </row>
    <row r="343" spans="1:33" x14ac:dyDescent="0.3">
      <c r="A343" s="669" t="s">
        <v>326</v>
      </c>
      <c r="B343" s="670" t="s">
        <v>354</v>
      </c>
      <c r="C343" s="670">
        <f>'Objet 2 à 6'!Lnec2</f>
        <v>0</v>
      </c>
      <c r="D343" s="670">
        <v>9.4</v>
      </c>
      <c r="E343" s="670">
        <f>1</f>
        <v>1</v>
      </c>
      <c r="F343" s="670" t="s">
        <v>355</v>
      </c>
      <c r="G343" s="670">
        <f>'Objet 2 à 6'!Lnec2</f>
        <v>0</v>
      </c>
      <c r="H343" s="670" t="e">
        <f t="shared" ref="H343:H344" si="130">VLOOKUP($D$36,$A$295:$D$297,2)</f>
        <v>#N/A</v>
      </c>
      <c r="I343" s="670" t="e">
        <f>'Objet 2 à 6'!nbcal2*2</f>
        <v>#VALUE!</v>
      </c>
      <c r="J343" s="670" t="s">
        <v>349</v>
      </c>
      <c r="K343" s="670">
        <f>'Objet 2 à 6'!lanec2</f>
        <v>0</v>
      </c>
      <c r="L343" s="670">
        <v>7</v>
      </c>
      <c r="M343" s="670" t="e">
        <f>'Objet 2 à 6'!nbcal2*4</f>
        <v>#VALUE!</v>
      </c>
      <c r="N343" s="670" t="e">
        <f t="shared" ref="N343:N344" si="131">VLOOKUP($D$36,$A$295:$D$297,3)</f>
        <v>#N/A</v>
      </c>
      <c r="O343" s="670">
        <f>'Objet 2 à 6'!Lnec2</f>
        <v>0</v>
      </c>
      <c r="P343" s="670">
        <f>'Objet 2 à 6'!lanec2-4.2</f>
        <v>-4.2</v>
      </c>
      <c r="Q343" s="670" t="str">
        <f>'Objet 2 à 6'!nbcal2</f>
        <v>PU</v>
      </c>
      <c r="R343" s="670" t="e">
        <f>VLOOKUP($D$36,$A$295:$D$297,4)</f>
        <v>#N/A</v>
      </c>
      <c r="S343" s="670">
        <f>'Objet 2 à 6'!lanec2</f>
        <v>0</v>
      </c>
      <c r="T343" s="670">
        <f>IF('Objet 2 à 6'!hnec2&lt;120,9.4,14.4)</f>
        <v>9.4</v>
      </c>
      <c r="U343" s="670">
        <f>1</f>
        <v>1</v>
      </c>
      <c r="V343" s="670" t="str">
        <f>'Objet 2 à 6'!Base2</f>
        <v>Aucun</v>
      </c>
      <c r="W343" s="670">
        <f t="shared" si="127"/>
        <v>0</v>
      </c>
      <c r="X343" s="670">
        <f>VLOOKUP('Objet 2 à 6'!plat2,$A$274:$B$280,2)</f>
        <v>0</v>
      </c>
      <c r="Y343" s="670">
        <f>'Objet 2 à 6'!Lnec2</f>
        <v>0</v>
      </c>
      <c r="Z343" s="670">
        <f>'Objet 2 à 6'!lanec2</f>
        <v>0</v>
      </c>
      <c r="AA343" s="670">
        <f t="shared" si="128"/>
        <v>0</v>
      </c>
      <c r="AB343" s="670"/>
      <c r="AC343" s="670"/>
      <c r="AD343" s="670"/>
      <c r="AE343" s="670"/>
      <c r="AF343" s="670"/>
      <c r="AG343" s="671"/>
    </row>
    <row r="344" spans="1:33" x14ac:dyDescent="0.3">
      <c r="A344" s="669" t="s">
        <v>328</v>
      </c>
      <c r="B344" s="670"/>
      <c r="C344" s="670"/>
      <c r="D344" s="670"/>
      <c r="E344" s="670"/>
      <c r="F344" s="670" t="s">
        <v>355</v>
      </c>
      <c r="G344" s="670">
        <f>'Objet 2 à 6'!lanec2</f>
        <v>0</v>
      </c>
      <c r="H344" s="670" t="e">
        <f t="shared" si="130"/>
        <v>#N/A</v>
      </c>
      <c r="I344" s="670" t="str">
        <f>'Objet 2 à 6'!nbcal2</f>
        <v>PU</v>
      </c>
      <c r="J344" s="670" t="s">
        <v>349</v>
      </c>
      <c r="K344" s="670">
        <f>'Objet 2 à 6'!hnec2-AA344</f>
        <v>0</v>
      </c>
      <c r="L344" s="670">
        <v>7</v>
      </c>
      <c r="M344" s="670" t="e">
        <f>'Objet 2 à 6'!nbcal2*4</f>
        <v>#VALUE!</v>
      </c>
      <c r="N344" s="670" t="e">
        <f t="shared" si="131"/>
        <v>#N/A</v>
      </c>
      <c r="O344" s="670">
        <f>'Objet 2 à 6'!lanec2</f>
        <v>0</v>
      </c>
      <c r="P344" s="670">
        <f>'Objet 2 à 6'!hnec2-2.1-AA344</f>
        <v>-2.1</v>
      </c>
      <c r="Q344" s="670" t="str">
        <f>'Objet 2 à 6'!nbcal2</f>
        <v>PU</v>
      </c>
      <c r="R344" s="670"/>
      <c r="S344" s="670"/>
      <c r="T344" s="670"/>
      <c r="U344" s="670"/>
      <c r="V344" s="670" t="str">
        <f>'Objet 2 à 6'!Base2</f>
        <v>Aucun</v>
      </c>
      <c r="W344" s="670">
        <f t="shared" si="127"/>
        <v>0</v>
      </c>
      <c r="X344" s="670">
        <f>VLOOKUP('Objet 2 à 6'!plat2,$A$274:$B$280,2)</f>
        <v>0</v>
      </c>
      <c r="Y344" s="670">
        <f>'Objet 2 à 6'!Lnec2</f>
        <v>0</v>
      </c>
      <c r="Z344" s="670">
        <f>'Objet 2 à 6'!lanec2</f>
        <v>0</v>
      </c>
      <c r="AA344" s="670">
        <f t="shared" si="128"/>
        <v>0</v>
      </c>
      <c r="AB344" s="670"/>
      <c r="AC344" s="670"/>
      <c r="AD344" s="670"/>
      <c r="AE344" s="670"/>
      <c r="AF344" s="670"/>
      <c r="AG344" s="671"/>
    </row>
    <row r="345" spans="1:33" ht="28.8" x14ac:dyDescent="0.3">
      <c r="A345" s="669" t="s">
        <v>373</v>
      </c>
      <c r="B345" s="670"/>
      <c r="C345" s="670"/>
      <c r="D345" s="670"/>
      <c r="E345" s="670"/>
      <c r="F345" s="670"/>
      <c r="G345" s="670"/>
      <c r="H345" s="670"/>
      <c r="I345" s="670"/>
      <c r="J345" s="670"/>
      <c r="K345" s="670"/>
      <c r="L345" s="670"/>
      <c r="M345" s="670"/>
      <c r="N345" s="670" t="str">
        <f>IF('Objet 2 à 6'!nbcal2="PU","PU 50 mm",IF('Objet 2 à 6'!nbcal2="Ethafoam","Ethafoam 50 mm",IF('Objet 2 à 6'!nbcal2="Stratocell","Stratocell 50 mm",0)))</f>
        <v>PU 50 mm</v>
      </c>
      <c r="O345" s="670">
        <f>'Objet 2 à 6'!Lnec2</f>
        <v>0</v>
      </c>
      <c r="P345" s="670">
        <f>'Objet 2 à 6'!lanec2</f>
        <v>0</v>
      </c>
      <c r="Q345" s="670">
        <v>1</v>
      </c>
      <c r="R345" s="670" t="str">
        <f>IF('Objet 2 à 6'!nbcal2="PU","PU 50 mm",IF('Objet 2 à 6'!nbcal2="Ethafoam","Ethafoam 50 mm",IF('Objet 2 à 6'!nbcal2="Stratocell","Stratocell 50 mm",0)))</f>
        <v>PU 50 mm</v>
      </c>
      <c r="S345" s="670">
        <f>'Objet 2 à 6'!Lnec2</f>
        <v>0</v>
      </c>
      <c r="T345" s="670">
        <f>'Objet 2 à 6'!hnec2-5-AA345</f>
        <v>-5</v>
      </c>
      <c r="U345" s="670">
        <v>2</v>
      </c>
      <c r="V345" s="670" t="str">
        <f>'Objet 2 à 6'!Base2</f>
        <v>Aucun</v>
      </c>
      <c r="W345" s="670">
        <f t="shared" si="127"/>
        <v>0</v>
      </c>
      <c r="X345" s="670">
        <f>VLOOKUP('Objet 2 à 6'!plat2,$A$274:$B$280,2)</f>
        <v>0</v>
      </c>
      <c r="Y345" s="670">
        <f>'Objet 2 à 6'!Lnec2</f>
        <v>0</v>
      </c>
      <c r="Z345" s="670">
        <f>'Objet 2 à 6'!lanec2</f>
        <v>0</v>
      </c>
      <c r="AA345" s="670">
        <f t="shared" si="128"/>
        <v>0</v>
      </c>
      <c r="AB345" s="670" t="str">
        <f>IF('Objet 2 à 6'!nbcal2="PU","PU 50 mm",IF('Objet 2 à 6'!nbcal2="Ethafoam","Ethafoam 50 mm",IF('Objet 2 à 6'!nbcal2="Stratocell","Stratocell 50 mm",0)))</f>
        <v>PU 50 mm</v>
      </c>
      <c r="AC345" s="670">
        <f>'Objet 2 à 6'!lanec2-10</f>
        <v>-10</v>
      </c>
      <c r="AD345" s="670">
        <f>'Objet 2 à 6'!hnec2-5-AA345</f>
        <v>-5</v>
      </c>
      <c r="AE345" s="670">
        <v>2</v>
      </c>
      <c r="AF345" s="670"/>
      <c r="AG345" s="671"/>
    </row>
    <row r="346" spans="1:33" x14ac:dyDescent="0.3">
      <c r="A346" s="678" t="s">
        <v>374</v>
      </c>
      <c r="B346" s="679"/>
      <c r="C346" s="679"/>
      <c r="D346" s="679"/>
      <c r="E346" s="679"/>
      <c r="F346" s="679"/>
      <c r="G346" s="679"/>
      <c r="H346" s="679"/>
      <c r="I346" s="679"/>
      <c r="J346" s="679"/>
      <c r="K346" s="679"/>
      <c r="L346" s="679"/>
      <c r="M346" s="679"/>
      <c r="N346" s="670" t="str">
        <f>IF('Objet 2 à 6'!nbcal2="PU","PU 30 mm",IF('Objet 2 à 6'!nbcal2="Ethafoam","Ethafoam 30 mm",IF('Objet 2 à 6'!nbcal2="Stratocell","Stratocell 30 mm",0)))</f>
        <v>PU 30 mm</v>
      </c>
      <c r="O346" s="679">
        <f>'Objet 2 à 6'!Lnec2</f>
        <v>0</v>
      </c>
      <c r="P346" s="679">
        <f>'Objet 2 à 6'!lanec2</f>
        <v>0</v>
      </c>
      <c r="Q346" s="679">
        <v>1</v>
      </c>
      <c r="R346" s="670" t="str">
        <f>IF('Objet 2 à 6'!nbcal2="PU","PU 30 mm",IF('Objet 2 à 6'!nbcal2="Ethafoam","Ethafoam 30 mm",IF('Objet 2 à 6'!nbcal2="Stratocell","Stratocell 30 mm",0)))</f>
        <v>PU 30 mm</v>
      </c>
      <c r="S346" s="670">
        <f>'Objet 2 à 6'!Lnec2</f>
        <v>0</v>
      </c>
      <c r="T346" s="679">
        <f>'Objet 2 à 6'!hnec2-3-AA346</f>
        <v>-3</v>
      </c>
      <c r="U346" s="679">
        <v>2</v>
      </c>
      <c r="V346" s="670" t="str">
        <f>'Objet 2 à 6'!Base2</f>
        <v>Aucun</v>
      </c>
      <c r="W346" s="670">
        <f t="shared" si="127"/>
        <v>0</v>
      </c>
      <c r="X346" s="670">
        <f>VLOOKUP('Objet 2 à 6'!plat2,$A$274:$B$280,2)</f>
        <v>0</v>
      </c>
      <c r="Y346" s="670">
        <f>'Objet 2 à 6'!Lnec2</f>
        <v>0</v>
      </c>
      <c r="Z346" s="670">
        <f>'Objet 2 à 6'!lanec2</f>
        <v>0</v>
      </c>
      <c r="AA346" s="679">
        <f t="shared" si="128"/>
        <v>0</v>
      </c>
      <c r="AB346" s="670" t="str">
        <f>IF('Objet 2 à 6'!nbcal2="PU","PU 30 mm",IF('Objet 2 à 6'!nbcal2="Ethafoam","Ethafoam 30 mm",IF('Objet 2 à 6'!nbcal2="Stratocell","Stratocell 30 mm",0)))</f>
        <v>PU 30 mm</v>
      </c>
      <c r="AC346" s="679">
        <f>'Objet 2 à 6'!lanec2-6</f>
        <v>-6</v>
      </c>
      <c r="AD346" s="679">
        <f>'Objet 2 à 6'!hnec2-3-AA346</f>
        <v>-3</v>
      </c>
      <c r="AE346" s="679">
        <v>2</v>
      </c>
      <c r="AF346" s="679"/>
      <c r="AG346" s="680"/>
    </row>
    <row r="347" spans="1:33" ht="18" x14ac:dyDescent="0.35">
      <c r="A347" s="559"/>
      <c r="B347" s="559"/>
      <c r="C347" s="559"/>
      <c r="D347" s="559"/>
      <c r="E347" s="559"/>
      <c r="F347" s="559"/>
      <c r="G347" s="559"/>
      <c r="H347" s="559"/>
      <c r="I347" s="559"/>
      <c r="J347" s="559"/>
      <c r="K347" s="559"/>
      <c r="L347" s="559"/>
      <c r="M347" s="559"/>
      <c r="N347" s="559"/>
      <c r="O347" s="559"/>
      <c r="P347" s="559"/>
      <c r="Q347" s="559"/>
      <c r="R347" s="559"/>
      <c r="S347" s="559"/>
      <c r="T347" s="559"/>
      <c r="U347" s="559"/>
      <c r="V347" s="559"/>
      <c r="W347" s="559"/>
      <c r="X347" s="559"/>
      <c r="Y347" s="559"/>
      <c r="Z347" s="559"/>
      <c r="AA347" s="559"/>
      <c r="AB347" s="559"/>
      <c r="AC347" s="559"/>
      <c r="AD347" s="559"/>
      <c r="AE347" s="559"/>
      <c r="AF347" s="559"/>
      <c r="AG347" s="559"/>
    </row>
    <row r="348" spans="1:33" x14ac:dyDescent="0.3">
      <c r="A348" s="660">
        <v>1</v>
      </c>
      <c r="B348" s="661">
        <f t="shared" ref="B348:V348" si="132">A348+1</f>
        <v>2</v>
      </c>
      <c r="C348" s="661">
        <f t="shared" si="132"/>
        <v>3</v>
      </c>
      <c r="D348" s="661">
        <f t="shared" si="132"/>
        <v>4</v>
      </c>
      <c r="E348" s="661">
        <f t="shared" si="132"/>
        <v>5</v>
      </c>
      <c r="F348" s="661">
        <f t="shared" si="132"/>
        <v>6</v>
      </c>
      <c r="G348" s="661">
        <f t="shared" si="132"/>
        <v>7</v>
      </c>
      <c r="H348" s="661">
        <f t="shared" si="132"/>
        <v>8</v>
      </c>
      <c r="I348" s="661">
        <f t="shared" si="132"/>
        <v>9</v>
      </c>
      <c r="J348" s="661">
        <f t="shared" si="132"/>
        <v>10</v>
      </c>
      <c r="K348" s="661">
        <f t="shared" si="132"/>
        <v>11</v>
      </c>
      <c r="L348" s="661">
        <f t="shared" si="132"/>
        <v>12</v>
      </c>
      <c r="M348" s="661">
        <f t="shared" si="132"/>
        <v>13</v>
      </c>
      <c r="N348" s="661">
        <f t="shared" si="132"/>
        <v>14</v>
      </c>
      <c r="O348" s="661">
        <f t="shared" si="132"/>
        <v>15</v>
      </c>
      <c r="P348" s="661">
        <f t="shared" si="132"/>
        <v>16</v>
      </c>
      <c r="Q348" s="661">
        <f t="shared" si="132"/>
        <v>17</v>
      </c>
      <c r="R348" s="661">
        <f t="shared" si="132"/>
        <v>18</v>
      </c>
      <c r="S348" s="661">
        <f t="shared" si="132"/>
        <v>19</v>
      </c>
      <c r="T348" s="661">
        <f t="shared" si="132"/>
        <v>20</v>
      </c>
      <c r="U348" s="661">
        <f t="shared" si="132"/>
        <v>21</v>
      </c>
      <c r="V348" s="661">
        <f t="shared" si="132"/>
        <v>22</v>
      </c>
      <c r="W348" s="661">
        <v>23</v>
      </c>
      <c r="X348" s="661">
        <v>24</v>
      </c>
      <c r="Y348" s="661">
        <v>25</v>
      </c>
      <c r="Z348" s="661">
        <f t="shared" ref="Z348:AG348" si="133">Y348+1</f>
        <v>26</v>
      </c>
      <c r="AA348" s="661">
        <f t="shared" si="133"/>
        <v>27</v>
      </c>
      <c r="AB348" s="661">
        <f t="shared" si="133"/>
        <v>28</v>
      </c>
      <c r="AC348" s="661">
        <f t="shared" si="133"/>
        <v>29</v>
      </c>
      <c r="AD348" s="661">
        <f t="shared" si="133"/>
        <v>30</v>
      </c>
      <c r="AE348" s="661">
        <f t="shared" si="133"/>
        <v>31</v>
      </c>
      <c r="AF348" s="661">
        <f t="shared" si="133"/>
        <v>32</v>
      </c>
      <c r="AG348" s="662">
        <f t="shared" si="133"/>
        <v>33</v>
      </c>
    </row>
    <row r="349" spans="1:33" ht="28.8" x14ac:dyDescent="0.3">
      <c r="A349" s="717" t="s">
        <v>382</v>
      </c>
      <c r="B349" s="670" t="s">
        <v>348</v>
      </c>
      <c r="C349" s="670" t="s">
        <v>28</v>
      </c>
      <c r="D349" s="670" t="s">
        <v>33</v>
      </c>
      <c r="E349" s="670" t="s">
        <v>34</v>
      </c>
      <c r="F349" s="670" t="s">
        <v>348</v>
      </c>
      <c r="G349" s="670" t="s">
        <v>28</v>
      </c>
      <c r="H349" s="670" t="s">
        <v>33</v>
      </c>
      <c r="I349" s="670" t="s">
        <v>34</v>
      </c>
      <c r="J349" s="670" t="s">
        <v>349</v>
      </c>
      <c r="K349" s="670" t="s">
        <v>28</v>
      </c>
      <c r="L349" s="670" t="s">
        <v>33</v>
      </c>
      <c r="M349" s="670" t="s">
        <v>34</v>
      </c>
      <c r="N349" s="670"/>
      <c r="O349" s="670" t="s">
        <v>28</v>
      </c>
      <c r="P349" s="670" t="s">
        <v>33</v>
      </c>
      <c r="Q349" s="670" t="s">
        <v>34</v>
      </c>
      <c r="R349" s="670"/>
      <c r="S349" s="670" t="s">
        <v>28</v>
      </c>
      <c r="T349" s="670" t="s">
        <v>33</v>
      </c>
      <c r="U349" s="670" t="s">
        <v>34</v>
      </c>
      <c r="V349" s="670" t="s">
        <v>308</v>
      </c>
      <c r="W349" s="670" t="s">
        <v>350</v>
      </c>
      <c r="X349" s="670" t="s">
        <v>351</v>
      </c>
      <c r="Y349" s="670" t="s">
        <v>28</v>
      </c>
      <c r="Z349" s="670" t="s">
        <v>33</v>
      </c>
      <c r="AA349" s="670" t="s">
        <v>269</v>
      </c>
      <c r="AB349" s="670"/>
      <c r="AC349" s="670" t="s">
        <v>28</v>
      </c>
      <c r="AD349" s="670" t="s">
        <v>33</v>
      </c>
      <c r="AE349" s="670" t="s">
        <v>34</v>
      </c>
      <c r="AF349" s="670"/>
      <c r="AG349" s="671"/>
    </row>
    <row r="350" spans="1:33" x14ac:dyDescent="0.3">
      <c r="A350" s="669" t="s">
        <v>16</v>
      </c>
      <c r="B350" s="670">
        <v>0</v>
      </c>
      <c r="C350" s="670">
        <v>0</v>
      </c>
      <c r="D350" s="670">
        <v>0</v>
      </c>
      <c r="E350" s="670">
        <v>0</v>
      </c>
      <c r="F350" s="670">
        <v>0</v>
      </c>
      <c r="G350" s="670">
        <v>0</v>
      </c>
      <c r="H350" s="670">
        <v>0</v>
      </c>
      <c r="I350" s="670">
        <v>0</v>
      </c>
      <c r="J350" s="670">
        <v>0</v>
      </c>
      <c r="K350" s="670">
        <v>0</v>
      </c>
      <c r="L350" s="670">
        <v>0</v>
      </c>
      <c r="M350" s="670">
        <v>0</v>
      </c>
      <c r="N350" s="670">
        <v>0</v>
      </c>
      <c r="O350" s="670">
        <v>0</v>
      </c>
      <c r="P350" s="670">
        <v>0</v>
      </c>
      <c r="Q350" s="670">
        <v>0</v>
      </c>
      <c r="R350" s="670">
        <v>0</v>
      </c>
      <c r="S350" s="670">
        <v>0</v>
      </c>
      <c r="T350" s="670">
        <v>0</v>
      </c>
      <c r="U350" s="670">
        <v>0</v>
      </c>
      <c r="V350" s="670">
        <v>0</v>
      </c>
      <c r="W350" s="670">
        <v>0</v>
      </c>
      <c r="X350" s="670">
        <v>0</v>
      </c>
      <c r="Y350" s="670">
        <v>0</v>
      </c>
      <c r="Z350" s="670">
        <v>0</v>
      </c>
      <c r="AA350" s="670">
        <v>0</v>
      </c>
      <c r="AB350" s="670">
        <v>0</v>
      </c>
      <c r="AC350" s="670">
        <v>0</v>
      </c>
      <c r="AD350" s="670">
        <v>0</v>
      </c>
      <c r="AE350" s="670">
        <v>0</v>
      </c>
      <c r="AF350" s="670">
        <v>0</v>
      </c>
      <c r="AG350" s="671">
        <v>0</v>
      </c>
    </row>
    <row r="351" spans="1:33" x14ac:dyDescent="0.3">
      <c r="A351" s="669" t="s">
        <v>316</v>
      </c>
      <c r="B351" s="670" t="s">
        <v>352</v>
      </c>
      <c r="C351" s="670">
        <f>'Objet 2 à 6'!Lnec3</f>
        <v>0</v>
      </c>
      <c r="D351" s="670">
        <v>9.4</v>
      </c>
      <c r="E351" s="670">
        <f>'Objet 2 à 6'!nbcal3*4+1</f>
        <v>9</v>
      </c>
      <c r="F351" s="670" t="s">
        <v>353</v>
      </c>
      <c r="G351" s="670">
        <f>'Objet 2 à 6'!lanec3</f>
        <v>0</v>
      </c>
      <c r="H351" s="670">
        <f>IF('Objet 2 à 6'!hnec3&lt;120,9.4,14.4)</f>
        <v>9.4</v>
      </c>
      <c r="I351" s="670">
        <f>'Objet 2 à 6'!nbcal3*2</f>
        <v>4</v>
      </c>
      <c r="J351" s="670" t="s">
        <v>349</v>
      </c>
      <c r="K351" s="670">
        <f>'Objet 2 à 6'!lanec3</f>
        <v>0</v>
      </c>
      <c r="L351" s="670">
        <v>7</v>
      </c>
      <c r="M351" s="670">
        <f>'Objet 2 à 6'!nbcal3*4</f>
        <v>8</v>
      </c>
      <c r="N351" s="670" t="e">
        <f t="shared" ref="N351:N352" si="134">VLOOKUP($D$43,$A$295:$D$297,3)</f>
        <v>#N/A</v>
      </c>
      <c r="O351" s="670">
        <f>'Objet 2 à 6'!Lnec3</f>
        <v>0</v>
      </c>
      <c r="P351" s="670">
        <f>IF('Objet 2 à 6'!hnec3&lt;120,9.4,14.4)</f>
        <v>9.4</v>
      </c>
      <c r="Q351" s="670">
        <f>'Objet 2 à 6'!nbcal3*2+1</f>
        <v>5</v>
      </c>
      <c r="R351" s="670" t="e">
        <f t="shared" ref="R351:R352" si="135">VLOOKUP($D$43,$A$295:$D$297,4)</f>
        <v>#N/A</v>
      </c>
      <c r="S351" s="670"/>
      <c r="T351" s="670"/>
      <c r="U351" s="670"/>
      <c r="V351" s="670" t="str">
        <f>'Objet 2 à 6'!Base3</f>
        <v>Aucun</v>
      </c>
      <c r="W351" s="670">
        <f t="shared" ref="W351:W360" si="136">VLOOKUP(V351,$A$283:$C$293,3)</f>
        <v>0</v>
      </c>
      <c r="X351" s="670">
        <f>VLOOKUP('Objet 2 à 6'!plat3,$A$274:$B$280,2)</f>
        <v>0</v>
      </c>
      <c r="Y351" s="670">
        <f>'Objet 2 à 6'!Lnec3</f>
        <v>0</v>
      </c>
      <c r="Z351" s="670">
        <f>'Objet 2 à 6'!lanec3</f>
        <v>0</v>
      </c>
      <c r="AA351" s="670">
        <f t="shared" ref="AA351:AA360" si="137">W351+X351</f>
        <v>0</v>
      </c>
      <c r="AB351" s="670"/>
      <c r="AC351" s="670"/>
      <c r="AD351" s="670"/>
      <c r="AE351" s="670"/>
      <c r="AF351" s="670"/>
      <c r="AG351" s="671"/>
    </row>
    <row r="352" spans="1:33" x14ac:dyDescent="0.3">
      <c r="A352" s="669" t="s">
        <v>319</v>
      </c>
      <c r="B352" s="670" t="s">
        <v>352</v>
      </c>
      <c r="C352" s="670">
        <f>'Objet 2 à 6'!Lnec3</f>
        <v>0</v>
      </c>
      <c r="D352" s="670">
        <v>9.4</v>
      </c>
      <c r="E352" s="670">
        <f>'Objet 2 à 6'!nbcal3*2+1</f>
        <v>5</v>
      </c>
      <c r="F352" s="670" t="s">
        <v>353</v>
      </c>
      <c r="G352" s="670">
        <f>'Objet 2 à 6'!lanec3</f>
        <v>0</v>
      </c>
      <c r="H352" s="670">
        <f>IF('Objet 2 à 6'!hnec3&lt;120,9.4,14.4)</f>
        <v>9.4</v>
      </c>
      <c r="I352" s="670">
        <f>'Objet 2 à 6'!nbcal3*2</f>
        <v>4</v>
      </c>
      <c r="J352" s="670"/>
      <c r="K352" s="670"/>
      <c r="L352" s="670"/>
      <c r="M352" s="670"/>
      <c r="N352" s="670" t="e">
        <f t="shared" si="134"/>
        <v>#N/A</v>
      </c>
      <c r="O352" s="670">
        <f>'Objet 2 à 6'!Lnec3</f>
        <v>0</v>
      </c>
      <c r="P352" s="670">
        <f>IF('Objet 2 à 6'!hnec3&lt;120,9.4,14.4)</f>
        <v>9.4</v>
      </c>
      <c r="Q352" s="670">
        <f>'Objet 2 à 6'!nbcal3*2+1</f>
        <v>5</v>
      </c>
      <c r="R352" s="670" t="e">
        <f t="shared" si="135"/>
        <v>#N/A</v>
      </c>
      <c r="S352" s="670">
        <f>'Objet 2 à 6'!lanec3</f>
        <v>0</v>
      </c>
      <c r="T352" s="670">
        <f>IF('Objet 2 à 6'!hnec3&lt;120,9.4,14.4)</f>
        <v>9.4</v>
      </c>
      <c r="U352" s="670">
        <f>'Objet 2 à 6'!nbcal3*2</f>
        <v>4</v>
      </c>
      <c r="V352" s="670" t="str">
        <f>'Objet 2 à 6'!Base3</f>
        <v>Aucun</v>
      </c>
      <c r="W352" s="670">
        <f t="shared" si="136"/>
        <v>0</v>
      </c>
      <c r="X352" s="670">
        <f>VLOOKUP('Objet 2 à 6'!plat3,$A$274:$B$280,2)</f>
        <v>0</v>
      </c>
      <c r="Y352" s="670">
        <f>'Objet 2 à 6'!Lnec3</f>
        <v>0</v>
      </c>
      <c r="Z352" s="670">
        <f>'Objet 2 à 6'!lanec3</f>
        <v>0</v>
      </c>
      <c r="AA352" s="670">
        <f t="shared" si="137"/>
        <v>0</v>
      </c>
      <c r="AB352" s="670"/>
      <c r="AC352" s="670"/>
      <c r="AD352" s="670"/>
      <c r="AE352" s="670"/>
      <c r="AF352" s="670"/>
      <c r="AG352" s="671"/>
    </row>
    <row r="353" spans="1:33" ht="28.8" x14ac:dyDescent="0.3">
      <c r="A353" s="669" t="s">
        <v>371</v>
      </c>
      <c r="B353" s="670"/>
      <c r="C353" s="670"/>
      <c r="D353" s="670"/>
      <c r="E353" s="670"/>
      <c r="F353" s="670"/>
      <c r="G353" s="670"/>
      <c r="H353" s="670"/>
      <c r="I353" s="670"/>
      <c r="J353" s="670"/>
      <c r="K353" s="670"/>
      <c r="L353" s="670"/>
      <c r="M353" s="670"/>
      <c r="N353" s="670">
        <f>IF('Objet 2 à 6'!nbcal3="PU","PU 50 mm",IF('Objet 2 à 6'!nbcal3="Ethafoam","Ethafoam 50 mm",IF('Objet 2 à 6'!nbcal3="Stratocell","Stratocell 50 mm",0)))</f>
        <v>0</v>
      </c>
      <c r="O353" s="670">
        <f>'Objet 2 à 6'!Lnec3</f>
        <v>0</v>
      </c>
      <c r="P353" s="670">
        <v>12</v>
      </c>
      <c r="Q353" s="670">
        <f>IF('Objet 2 à 6'!hnec3&lt;80,4,6)</f>
        <v>4</v>
      </c>
      <c r="R353" s="670">
        <f>IF('Objet 2 à 6'!nbcal3="PU","PU 50 mm",IF('Objet 2 à 6'!nbcal3="Ethafoam","Ethafoam 50 mm",IF('Objet 2 à 6'!nbcal3="Stratocell","Stratocell 50 mm",0)))</f>
        <v>0</v>
      </c>
      <c r="S353" s="670">
        <f>'Objet 2 à 6'!lanec3-10</f>
        <v>-10</v>
      </c>
      <c r="T353" s="670">
        <v>12</v>
      </c>
      <c r="U353" s="670">
        <f t="shared" ref="U353:U354" si="138">Q353</f>
        <v>4</v>
      </c>
      <c r="V353" s="670" t="str">
        <f>'Objet 2 à 6'!Base3</f>
        <v>Aucun</v>
      </c>
      <c r="W353" s="670">
        <f t="shared" si="136"/>
        <v>0</v>
      </c>
      <c r="X353" s="670">
        <f>VLOOKUP('Objet 2 à 6'!plat3,$A$274:$B$280,2)</f>
        <v>0</v>
      </c>
      <c r="Y353" s="670">
        <f>'Objet 2 à 6'!Lnec3</f>
        <v>0</v>
      </c>
      <c r="Z353" s="670">
        <f>'Objet 2 à 6'!lanec3</f>
        <v>0</v>
      </c>
      <c r="AA353" s="670">
        <f t="shared" si="137"/>
        <v>0</v>
      </c>
      <c r="AB353" s="670">
        <f>IF('Objet 2 à 6'!nbcal3="PU","PU 50 mm",IF('Objet 2 à 6'!nbcal3="Ethafoam","Ethafoam 50 mm",IF('Objet 2 à 6'!nbcal3="Stratocell","Stratocell 50 mm",0)))</f>
        <v>0</v>
      </c>
      <c r="AC353" s="670">
        <f>'Objet 2 à 6'!Lnec3</f>
        <v>0</v>
      </c>
      <c r="AD353" s="670">
        <v>12</v>
      </c>
      <c r="AE353" s="670">
        <f>IF('Objet 2 à 6'!Lnec3&lt;100,3,4)</f>
        <v>3</v>
      </c>
      <c r="AF353" s="670"/>
      <c r="AG353" s="671"/>
    </row>
    <row r="354" spans="1:33" x14ac:dyDescent="0.3">
      <c r="A354" s="669" t="s">
        <v>372</v>
      </c>
      <c r="B354" s="670"/>
      <c r="C354" s="670"/>
      <c r="D354" s="670"/>
      <c r="E354" s="670"/>
      <c r="F354" s="670"/>
      <c r="G354" s="670"/>
      <c r="H354" s="670"/>
      <c r="I354" s="670"/>
      <c r="J354" s="670"/>
      <c r="K354" s="670"/>
      <c r="L354" s="670"/>
      <c r="M354" s="670"/>
      <c r="N354" s="670">
        <f>IF('Objet 2 à 6'!nbcal3="PU","PU 30 mm",IF('Objet 2 à 6'!nbcal3="Ethafoam","Ethafoam 30 mm",IF('Objet 2 à 6'!nbcal3="Stratocell","Stratocell 30 mm",0)))</f>
        <v>0</v>
      </c>
      <c r="O354" s="670">
        <f>'Objet 2 à 6'!Lnec3</f>
        <v>0</v>
      </c>
      <c r="P354" s="670">
        <v>12</v>
      </c>
      <c r="Q354" s="670">
        <f>IF('Objet 2 à 6'!hnec3&lt;80,4,6)</f>
        <v>4</v>
      </c>
      <c r="R354" s="670">
        <f>IF('Objet 2 à 6'!nbcal3="PU","PU 30 mm",IF('Objet 2 à 6'!nbcal3="Ethafoam","Ethafoam 30 mm",IF('Objet 2 à 6'!nbcal3="Stratocell","Stratocell 30 mm",0)))</f>
        <v>0</v>
      </c>
      <c r="S354" s="670">
        <f>'Objet 2 à 6'!lanec3-6</f>
        <v>-6</v>
      </c>
      <c r="T354" s="670">
        <v>12</v>
      </c>
      <c r="U354" s="670">
        <f t="shared" si="138"/>
        <v>4</v>
      </c>
      <c r="V354" s="670" t="str">
        <f>'Objet 2 à 6'!Base3</f>
        <v>Aucun</v>
      </c>
      <c r="W354" s="670">
        <f t="shared" si="136"/>
        <v>0</v>
      </c>
      <c r="X354" s="670">
        <f>VLOOKUP('Objet 2 à 6'!plat3,$A$274:$B$280,2)</f>
        <v>0</v>
      </c>
      <c r="Y354" s="670">
        <f>'Objet 2 à 6'!Lnec3</f>
        <v>0</v>
      </c>
      <c r="Z354" s="670">
        <f>'Objet 2 à 6'!lanec3</f>
        <v>0</v>
      </c>
      <c r="AA354" s="670">
        <f t="shared" si="137"/>
        <v>0</v>
      </c>
      <c r="AB354" s="670">
        <f>IF('Objet 2 à 6'!nbcal3="PU","PU 30 mm",IF('Objet 2 à 6'!nbcal3="Ethafoam","Ethafoam 30 mm",IF('Objet 2 à 6'!nbcal3="Stratocell","Stratocell 30 mm",0)))</f>
        <v>0</v>
      </c>
      <c r="AC354" s="670">
        <f>'Objet 2 à 6'!lanec3</f>
        <v>0</v>
      </c>
      <c r="AD354" s="670">
        <v>12</v>
      </c>
      <c r="AE354" s="670">
        <f>IF('Objet 2 à 6'!Lnec3&lt;100,3,4)</f>
        <v>3</v>
      </c>
      <c r="AF354" s="670"/>
      <c r="AG354" s="671"/>
    </row>
    <row r="355" spans="1:33" x14ac:dyDescent="0.3">
      <c r="A355" s="669" t="s">
        <v>324</v>
      </c>
      <c r="B355" s="670"/>
      <c r="C355" s="670"/>
      <c r="D355" s="670"/>
      <c r="E355" s="670"/>
      <c r="F355" s="670"/>
      <c r="G355" s="670"/>
      <c r="H355" s="670"/>
      <c r="I355" s="670"/>
      <c r="J355" s="670"/>
      <c r="K355" s="670"/>
      <c r="L355" s="670"/>
      <c r="M355" s="670"/>
      <c r="N355" s="670" t="s">
        <v>27</v>
      </c>
      <c r="O355" s="670">
        <f>'Objet 2 à 6'!Lnec3-0.3</f>
        <v>-0.3</v>
      </c>
      <c r="P355" s="670">
        <f>'Objet 2 à 6'!lanec3-0.3</f>
        <v>-0.3</v>
      </c>
      <c r="Q355" s="670">
        <f>('Objet 2 à 6'!hnec3-AA355)/5</f>
        <v>0</v>
      </c>
      <c r="R355" s="670"/>
      <c r="S355" s="670"/>
      <c r="T355" s="670"/>
      <c r="U355" s="670"/>
      <c r="V355" s="670" t="str">
        <f>'Objet 2 à 6'!Base3</f>
        <v>Aucun</v>
      </c>
      <c r="W355" s="670">
        <f t="shared" si="136"/>
        <v>0</v>
      </c>
      <c r="X355" s="670">
        <f>VLOOKUP('Objet 2 à 6'!plat3,$A$274:$B$280,2)</f>
        <v>0</v>
      </c>
      <c r="Y355" s="670">
        <f>'Objet 2 à 6'!Lnec3</f>
        <v>0</v>
      </c>
      <c r="Z355" s="670">
        <f>'Objet 2 à 6'!lanec3</f>
        <v>0</v>
      </c>
      <c r="AA355" s="670">
        <f t="shared" si="137"/>
        <v>0</v>
      </c>
      <c r="AB355" s="670"/>
      <c r="AC355" s="670"/>
      <c r="AD355" s="670"/>
      <c r="AE355" s="670"/>
      <c r="AF355" s="670"/>
      <c r="AG355" s="671"/>
    </row>
    <row r="356" spans="1:33" x14ac:dyDescent="0.3">
      <c r="A356" s="669" t="s">
        <v>325</v>
      </c>
      <c r="B356" s="670"/>
      <c r="C356" s="670"/>
      <c r="D356" s="670"/>
      <c r="E356" s="670"/>
      <c r="F356" s="670"/>
      <c r="G356" s="670"/>
      <c r="H356" s="670"/>
      <c r="I356" s="670"/>
      <c r="J356" s="670"/>
      <c r="K356" s="670"/>
      <c r="L356" s="670"/>
      <c r="M356" s="670"/>
      <c r="N356" s="670" t="s">
        <v>27</v>
      </c>
      <c r="O356" s="670">
        <f>'Objet 2 à 6'!Lnec3-0.3</f>
        <v>-0.3</v>
      </c>
      <c r="P356" s="670">
        <f>'Objet 2 à 6'!hnec3-AA356</f>
        <v>0</v>
      </c>
      <c r="Q356" s="670">
        <f>'Objet 2 à 6'!lanec3/5</f>
        <v>0</v>
      </c>
      <c r="R356" s="670"/>
      <c r="S356" s="670"/>
      <c r="T356" s="670"/>
      <c r="U356" s="670"/>
      <c r="V356" s="670" t="str">
        <f>'Objet 2 à 6'!Base3</f>
        <v>Aucun</v>
      </c>
      <c r="W356" s="670">
        <f t="shared" si="136"/>
        <v>0</v>
      </c>
      <c r="X356" s="670">
        <f>VLOOKUP('Objet 2 à 6'!plat3,$A$274:$B$280,2)</f>
        <v>0</v>
      </c>
      <c r="Y356" s="670">
        <f>'Objet 2 à 6'!Lnec3</f>
        <v>0</v>
      </c>
      <c r="Z356" s="670">
        <f>'Objet 2 à 6'!lanec3</f>
        <v>0</v>
      </c>
      <c r="AA356" s="670">
        <f t="shared" si="137"/>
        <v>0</v>
      </c>
      <c r="AB356" s="670"/>
      <c r="AC356" s="670"/>
      <c r="AD356" s="670"/>
      <c r="AE356" s="670"/>
      <c r="AF356" s="670"/>
      <c r="AG356" s="671"/>
    </row>
    <row r="357" spans="1:33" x14ac:dyDescent="0.3">
      <c r="A357" s="669" t="s">
        <v>326</v>
      </c>
      <c r="B357" s="670" t="s">
        <v>354</v>
      </c>
      <c r="C357" s="670">
        <f>'Objet 2 à 6'!Lnec3</f>
        <v>0</v>
      </c>
      <c r="D357" s="670">
        <v>9.4</v>
      </c>
      <c r="E357" s="670">
        <f>1</f>
        <v>1</v>
      </c>
      <c r="F357" s="670" t="s">
        <v>355</v>
      </c>
      <c r="G357" s="670">
        <f>'Objet 2 à 6'!Lnec3</f>
        <v>0</v>
      </c>
      <c r="H357" s="670" t="e">
        <f t="shared" ref="H357:H358" si="139">VLOOKUP($D$43,$A$295:$D$297,2)</f>
        <v>#N/A</v>
      </c>
      <c r="I357" s="670">
        <f>'Objet 2 à 6'!nbcal3*2</f>
        <v>4</v>
      </c>
      <c r="J357" s="670" t="s">
        <v>349</v>
      </c>
      <c r="K357" s="670">
        <f>'Objet 2 à 6'!lanec3</f>
        <v>0</v>
      </c>
      <c r="L357" s="670">
        <v>7</v>
      </c>
      <c r="M357" s="670">
        <f>'Objet 2 à 6'!nbcal3*4</f>
        <v>8</v>
      </c>
      <c r="N357" s="670" t="e">
        <f t="shared" ref="N357:N358" si="140">VLOOKUP($D$43,$A$295:$D$297,3)</f>
        <v>#N/A</v>
      </c>
      <c r="O357" s="670">
        <f>'Objet 2 à 6'!Lnec3</f>
        <v>0</v>
      </c>
      <c r="P357" s="670">
        <f>'Objet 2 à 6'!lanec3-4.2</f>
        <v>-4.2</v>
      </c>
      <c r="Q357" s="670">
        <f>'Objet 2 à 6'!nbcal3</f>
        <v>2</v>
      </c>
      <c r="R357" s="670" t="e">
        <f>VLOOKUP($D$43,$A$295:$D$297,4)</f>
        <v>#N/A</v>
      </c>
      <c r="S357" s="670">
        <f>'Objet 2 à 6'!lanec3</f>
        <v>0</v>
      </c>
      <c r="T357" s="670">
        <f>IF('Objet 2 à 6'!hnec3&lt;120,9.4,14.4)</f>
        <v>9.4</v>
      </c>
      <c r="U357" s="670">
        <f>1</f>
        <v>1</v>
      </c>
      <c r="V357" s="670" t="str">
        <f>'Objet 2 à 6'!Base3</f>
        <v>Aucun</v>
      </c>
      <c r="W357" s="670">
        <f t="shared" si="136"/>
        <v>0</v>
      </c>
      <c r="X357" s="670">
        <f>VLOOKUP('Objet 2 à 6'!plat3,$A$274:$B$280,2)</f>
        <v>0</v>
      </c>
      <c r="Y357" s="670">
        <f>'Objet 2 à 6'!Lnec3</f>
        <v>0</v>
      </c>
      <c r="Z357" s="670">
        <f>'Objet 2 à 6'!lanec3</f>
        <v>0</v>
      </c>
      <c r="AA357" s="670">
        <f t="shared" si="137"/>
        <v>0</v>
      </c>
      <c r="AB357" s="670"/>
      <c r="AC357" s="670"/>
      <c r="AD357" s="670"/>
      <c r="AE357" s="670"/>
      <c r="AF357" s="670"/>
      <c r="AG357" s="671"/>
    </row>
    <row r="358" spans="1:33" x14ac:dyDescent="0.3">
      <c r="A358" s="669" t="s">
        <v>328</v>
      </c>
      <c r="B358" s="670"/>
      <c r="C358" s="670"/>
      <c r="D358" s="670"/>
      <c r="E358" s="670"/>
      <c r="F358" s="670" t="s">
        <v>355</v>
      </c>
      <c r="G358" s="670">
        <f>'Objet 2 à 6'!lanec3</f>
        <v>0</v>
      </c>
      <c r="H358" s="670" t="e">
        <f t="shared" si="139"/>
        <v>#N/A</v>
      </c>
      <c r="I358" s="670">
        <f>'Objet 2 à 6'!nbcal3</f>
        <v>2</v>
      </c>
      <c r="J358" s="670" t="s">
        <v>349</v>
      </c>
      <c r="K358" s="670">
        <f>'Objet 2 à 6'!hnec3-AA358</f>
        <v>0</v>
      </c>
      <c r="L358" s="670">
        <v>7</v>
      </c>
      <c r="M358" s="670">
        <f>'Objet 2 à 6'!nbcal3*4</f>
        <v>8</v>
      </c>
      <c r="N358" s="670" t="e">
        <f t="shared" si="140"/>
        <v>#N/A</v>
      </c>
      <c r="O358" s="670">
        <f>'Objet 2 à 6'!lanec3</f>
        <v>0</v>
      </c>
      <c r="P358" s="670">
        <f>'Objet 2 à 6'!hnec3-2.1-AA358</f>
        <v>-2.1</v>
      </c>
      <c r="Q358" s="670">
        <f>'Objet 2 à 6'!nbcal3</f>
        <v>2</v>
      </c>
      <c r="R358" s="670"/>
      <c r="S358" s="670"/>
      <c r="T358" s="670"/>
      <c r="U358" s="670"/>
      <c r="V358" s="670" t="str">
        <f>'Objet 2 à 6'!Base3</f>
        <v>Aucun</v>
      </c>
      <c r="W358" s="670">
        <f t="shared" si="136"/>
        <v>0</v>
      </c>
      <c r="X358" s="670">
        <f>VLOOKUP('Objet 2 à 6'!plat3,$A$274:$B$280,2)</f>
        <v>0</v>
      </c>
      <c r="Y358" s="670">
        <f>'Objet 2 à 6'!Lnec3</f>
        <v>0</v>
      </c>
      <c r="Z358" s="670">
        <f>'Objet 2 à 6'!lanec3</f>
        <v>0</v>
      </c>
      <c r="AA358" s="670">
        <f t="shared" si="137"/>
        <v>0</v>
      </c>
      <c r="AB358" s="670"/>
      <c r="AC358" s="670"/>
      <c r="AD358" s="670"/>
      <c r="AE358" s="670"/>
      <c r="AF358" s="670"/>
      <c r="AG358" s="671"/>
    </row>
    <row r="359" spans="1:33" ht="28.8" x14ac:dyDescent="0.3">
      <c r="A359" s="669" t="s">
        <v>373</v>
      </c>
      <c r="B359" s="670"/>
      <c r="C359" s="670"/>
      <c r="D359" s="670"/>
      <c r="E359" s="670"/>
      <c r="F359" s="670"/>
      <c r="G359" s="670"/>
      <c r="H359" s="670"/>
      <c r="I359" s="670"/>
      <c r="J359" s="670"/>
      <c r="K359" s="670"/>
      <c r="L359" s="670"/>
      <c r="M359" s="670"/>
      <c r="N359" s="670">
        <f>IF('Objet 2 à 6'!nbcal3="PU","PU 50 mm",IF('Objet 2 à 6'!nbcal3="Ethafoam","Ethafoam 50 mm",IF('Objet 2 à 6'!nbcal3="Stratocell","Stratocell 50 mm",0)))</f>
        <v>0</v>
      </c>
      <c r="O359" s="670">
        <f>'Objet 2 à 6'!Lnec3</f>
        <v>0</v>
      </c>
      <c r="P359" s="670">
        <f>'Objet 2 à 6'!lanec3</f>
        <v>0</v>
      </c>
      <c r="Q359" s="670">
        <v>1</v>
      </c>
      <c r="R359" s="670">
        <f>IF('Objet 2 à 6'!nbcal3="PU","PU 50 mm",IF('Objet 2 à 6'!nbcal3="Ethafoam","Ethafoam 50 mm",IF('Objet 2 à 6'!nbcal3="Stratocell","Stratocell 50 mm",0)))</f>
        <v>0</v>
      </c>
      <c r="S359" s="670">
        <f>'Objet 2 à 6'!Lnec3</f>
        <v>0</v>
      </c>
      <c r="T359" s="670">
        <f>'Objet 2 à 6'!hnec3-5-AA359</f>
        <v>-5</v>
      </c>
      <c r="U359" s="670">
        <v>2</v>
      </c>
      <c r="V359" s="670" t="str">
        <f>'Objet 2 à 6'!Base3</f>
        <v>Aucun</v>
      </c>
      <c r="W359" s="670">
        <f t="shared" si="136"/>
        <v>0</v>
      </c>
      <c r="X359" s="670">
        <f>VLOOKUP('Objet 2 à 6'!plat3,$A$274:$B$280,2)</f>
        <v>0</v>
      </c>
      <c r="Y359" s="670">
        <f>'Objet 2 à 6'!Lnec3</f>
        <v>0</v>
      </c>
      <c r="Z359" s="670">
        <f>'Objet 2 à 6'!lanec3</f>
        <v>0</v>
      </c>
      <c r="AA359" s="670">
        <f t="shared" si="137"/>
        <v>0</v>
      </c>
      <c r="AB359" s="670">
        <f>IF('Objet 2 à 6'!nbcal3="PU","PU 50 mm",IF('Objet 2 à 6'!nbcal3="Ethafoam","Ethafoam 50 mm",IF('Objet 2 à 6'!nbcal3="Stratocell","Stratocell 50 mm",0)))</f>
        <v>0</v>
      </c>
      <c r="AC359" s="670">
        <f>'Objet 2 à 6'!lanec3-10</f>
        <v>-10</v>
      </c>
      <c r="AD359" s="670">
        <f>'Objet 2 à 6'!hnec3-5-AA359</f>
        <v>-5</v>
      </c>
      <c r="AE359" s="670">
        <v>2</v>
      </c>
      <c r="AF359" s="670"/>
      <c r="AG359" s="671"/>
    </row>
    <row r="360" spans="1:33" x14ac:dyDescent="0.3">
      <c r="A360" s="678" t="s">
        <v>374</v>
      </c>
      <c r="B360" s="679"/>
      <c r="C360" s="679"/>
      <c r="D360" s="679"/>
      <c r="E360" s="679"/>
      <c r="F360" s="679"/>
      <c r="G360" s="679"/>
      <c r="H360" s="679"/>
      <c r="I360" s="679"/>
      <c r="J360" s="679"/>
      <c r="K360" s="679"/>
      <c r="L360" s="679"/>
      <c r="M360" s="679"/>
      <c r="N360" s="670">
        <f>IF('Objet 2 à 6'!nbcal3="PU","PU 30 mm",IF('Objet 2 à 6'!nbcal3="Ethafoam","Ethafoam 30 mm",IF('Objet 2 à 6'!nbcal3="Stratocell","Stratocell 30 mm",0)))</f>
        <v>0</v>
      </c>
      <c r="O360" s="679">
        <f>'Objet 2 à 6'!Lnec3</f>
        <v>0</v>
      </c>
      <c r="P360" s="679">
        <f>'Objet 2 à 6'!lanec3</f>
        <v>0</v>
      </c>
      <c r="Q360" s="679">
        <v>1</v>
      </c>
      <c r="R360" s="670">
        <f>IF('Objet 2 à 6'!nbcal3="PU","PU 30 mm",IF('Objet 2 à 6'!nbcal3="Ethafoam","Ethafoam 30 mm",IF('Objet 2 à 6'!nbcal3="Stratocell","Stratocell 30 mm",0)))</f>
        <v>0</v>
      </c>
      <c r="S360" s="670">
        <f>'Objet 2 à 6'!Lnec3</f>
        <v>0</v>
      </c>
      <c r="T360" s="679">
        <f>'Objet 2 à 6'!hnec3-3-AA360</f>
        <v>-3</v>
      </c>
      <c r="U360" s="679">
        <v>2</v>
      </c>
      <c r="V360" s="670" t="str">
        <f>'Objet 2 à 6'!Base3</f>
        <v>Aucun</v>
      </c>
      <c r="W360" s="670">
        <f t="shared" si="136"/>
        <v>0</v>
      </c>
      <c r="X360" s="670">
        <f>VLOOKUP('Objet 2 à 6'!plat3,$A$274:$B$280,2)</f>
        <v>0</v>
      </c>
      <c r="Y360" s="670">
        <f>'Objet 2 à 6'!Lnec3</f>
        <v>0</v>
      </c>
      <c r="Z360" s="670">
        <f>'Objet 2 à 6'!lanec3</f>
        <v>0</v>
      </c>
      <c r="AA360" s="679">
        <f t="shared" si="137"/>
        <v>0</v>
      </c>
      <c r="AB360" s="670">
        <f>IF('Objet 2 à 6'!nbcal3="PU","PU 30 mm",IF('Objet 2 à 6'!nbcal3="Ethafoam","Ethafoam 30 mm",IF('Objet 2 à 6'!nbcal3="Stratocell","Stratocell 30 mm",0)))</f>
        <v>0</v>
      </c>
      <c r="AC360" s="679">
        <f>'Objet 2 à 6'!lanec3-6</f>
        <v>-6</v>
      </c>
      <c r="AD360" s="679">
        <f>'Objet 2 à 6'!hnec3-3-AA360</f>
        <v>-3</v>
      </c>
      <c r="AE360" s="679">
        <v>2</v>
      </c>
      <c r="AF360" s="679"/>
      <c r="AG360" s="680"/>
    </row>
    <row r="361" spans="1:33" ht="18" x14ac:dyDescent="0.35">
      <c r="A361" s="559"/>
      <c r="B361" s="559"/>
      <c r="C361" s="559"/>
      <c r="D361" s="559"/>
      <c r="E361" s="559"/>
      <c r="F361" s="559"/>
      <c r="G361" s="559"/>
      <c r="H361" s="559"/>
      <c r="I361" s="559"/>
      <c r="J361" s="559"/>
      <c r="K361" s="559"/>
      <c r="L361" s="559"/>
      <c r="M361" s="559"/>
      <c r="N361" s="559"/>
      <c r="O361" s="559"/>
      <c r="P361" s="559"/>
      <c r="Q361" s="559"/>
      <c r="R361" s="559"/>
      <c r="S361" s="559"/>
      <c r="T361" s="559"/>
      <c r="U361" s="559"/>
      <c r="V361" s="559"/>
      <c r="W361" s="559"/>
      <c r="X361" s="559"/>
      <c r="Y361" s="559"/>
      <c r="Z361" s="559"/>
      <c r="AA361" s="559"/>
      <c r="AB361" s="559"/>
      <c r="AC361" s="559"/>
      <c r="AD361" s="559"/>
      <c r="AE361" s="559"/>
      <c r="AF361" s="559"/>
      <c r="AG361" s="559"/>
    </row>
    <row r="362" spans="1:33" x14ac:dyDescent="0.3">
      <c r="A362" s="660">
        <v>1</v>
      </c>
      <c r="B362" s="661">
        <f t="shared" ref="B362:V362" si="141">A362+1</f>
        <v>2</v>
      </c>
      <c r="C362" s="661">
        <f t="shared" si="141"/>
        <v>3</v>
      </c>
      <c r="D362" s="661">
        <f t="shared" si="141"/>
        <v>4</v>
      </c>
      <c r="E362" s="661">
        <f t="shared" si="141"/>
        <v>5</v>
      </c>
      <c r="F362" s="661">
        <f t="shared" si="141"/>
        <v>6</v>
      </c>
      <c r="G362" s="661">
        <f t="shared" si="141"/>
        <v>7</v>
      </c>
      <c r="H362" s="661">
        <f t="shared" si="141"/>
        <v>8</v>
      </c>
      <c r="I362" s="661">
        <f t="shared" si="141"/>
        <v>9</v>
      </c>
      <c r="J362" s="661">
        <f t="shared" si="141"/>
        <v>10</v>
      </c>
      <c r="K362" s="661">
        <f t="shared" si="141"/>
        <v>11</v>
      </c>
      <c r="L362" s="661">
        <f t="shared" si="141"/>
        <v>12</v>
      </c>
      <c r="M362" s="661">
        <f t="shared" si="141"/>
        <v>13</v>
      </c>
      <c r="N362" s="661">
        <f t="shared" si="141"/>
        <v>14</v>
      </c>
      <c r="O362" s="661">
        <f t="shared" si="141"/>
        <v>15</v>
      </c>
      <c r="P362" s="661">
        <f t="shared" si="141"/>
        <v>16</v>
      </c>
      <c r="Q362" s="661">
        <f t="shared" si="141"/>
        <v>17</v>
      </c>
      <c r="R362" s="661">
        <f t="shared" si="141"/>
        <v>18</v>
      </c>
      <c r="S362" s="661">
        <f t="shared" si="141"/>
        <v>19</v>
      </c>
      <c r="T362" s="661">
        <f t="shared" si="141"/>
        <v>20</v>
      </c>
      <c r="U362" s="661">
        <f t="shared" si="141"/>
        <v>21</v>
      </c>
      <c r="V362" s="661">
        <f t="shared" si="141"/>
        <v>22</v>
      </c>
      <c r="W362" s="661">
        <v>23</v>
      </c>
      <c r="X362" s="661">
        <v>24</v>
      </c>
      <c r="Y362" s="661">
        <v>25</v>
      </c>
      <c r="Z362" s="661">
        <f t="shared" ref="Z362:AG362" si="142">Y362+1</f>
        <v>26</v>
      </c>
      <c r="AA362" s="661">
        <f t="shared" si="142"/>
        <v>27</v>
      </c>
      <c r="AB362" s="661">
        <f t="shared" si="142"/>
        <v>28</v>
      </c>
      <c r="AC362" s="661">
        <f t="shared" si="142"/>
        <v>29</v>
      </c>
      <c r="AD362" s="661">
        <f t="shared" si="142"/>
        <v>30</v>
      </c>
      <c r="AE362" s="661">
        <f t="shared" si="142"/>
        <v>31</v>
      </c>
      <c r="AF362" s="661">
        <f t="shared" si="142"/>
        <v>32</v>
      </c>
      <c r="AG362" s="662">
        <f t="shared" si="142"/>
        <v>33</v>
      </c>
    </row>
    <row r="363" spans="1:33" ht="28.8" x14ac:dyDescent="0.3">
      <c r="A363" s="717" t="s">
        <v>383</v>
      </c>
      <c r="B363" s="670" t="s">
        <v>348</v>
      </c>
      <c r="C363" s="670" t="s">
        <v>28</v>
      </c>
      <c r="D363" s="670" t="s">
        <v>33</v>
      </c>
      <c r="E363" s="670" t="s">
        <v>34</v>
      </c>
      <c r="F363" s="670" t="s">
        <v>348</v>
      </c>
      <c r="G363" s="670" t="s">
        <v>28</v>
      </c>
      <c r="H363" s="670" t="s">
        <v>33</v>
      </c>
      <c r="I363" s="670" t="s">
        <v>34</v>
      </c>
      <c r="J363" s="670" t="s">
        <v>349</v>
      </c>
      <c r="K363" s="670" t="s">
        <v>28</v>
      </c>
      <c r="L363" s="670" t="s">
        <v>33</v>
      </c>
      <c r="M363" s="670" t="s">
        <v>34</v>
      </c>
      <c r="N363" s="670"/>
      <c r="O363" s="670" t="s">
        <v>28</v>
      </c>
      <c r="P363" s="670" t="s">
        <v>33</v>
      </c>
      <c r="Q363" s="670" t="s">
        <v>34</v>
      </c>
      <c r="R363" s="670"/>
      <c r="S363" s="670" t="s">
        <v>28</v>
      </c>
      <c r="T363" s="670" t="s">
        <v>33</v>
      </c>
      <c r="U363" s="670" t="s">
        <v>34</v>
      </c>
      <c r="V363" s="670" t="s">
        <v>308</v>
      </c>
      <c r="W363" s="670" t="s">
        <v>350</v>
      </c>
      <c r="X363" s="670" t="s">
        <v>351</v>
      </c>
      <c r="Y363" s="670" t="s">
        <v>28</v>
      </c>
      <c r="Z363" s="670" t="s">
        <v>33</v>
      </c>
      <c r="AA363" s="670" t="s">
        <v>269</v>
      </c>
      <c r="AB363" s="670"/>
      <c r="AC363" s="670" t="s">
        <v>28</v>
      </c>
      <c r="AD363" s="670" t="s">
        <v>33</v>
      </c>
      <c r="AE363" s="670" t="s">
        <v>34</v>
      </c>
      <c r="AF363" s="670"/>
      <c r="AG363" s="671"/>
    </row>
    <row r="364" spans="1:33" x14ac:dyDescent="0.3">
      <c r="A364" s="669" t="s">
        <v>16</v>
      </c>
      <c r="B364" s="670">
        <v>0</v>
      </c>
      <c r="C364" s="670">
        <v>0</v>
      </c>
      <c r="D364" s="670">
        <v>0</v>
      </c>
      <c r="E364" s="670">
        <v>0</v>
      </c>
      <c r="F364" s="670">
        <v>0</v>
      </c>
      <c r="G364" s="670">
        <v>0</v>
      </c>
      <c r="H364" s="670">
        <v>0</v>
      </c>
      <c r="I364" s="670">
        <v>0</v>
      </c>
      <c r="J364" s="670">
        <v>0</v>
      </c>
      <c r="K364" s="670">
        <v>0</v>
      </c>
      <c r="L364" s="670">
        <v>0</v>
      </c>
      <c r="M364" s="670">
        <v>0</v>
      </c>
      <c r="N364" s="670">
        <v>0</v>
      </c>
      <c r="O364" s="670">
        <v>0</v>
      </c>
      <c r="P364" s="670">
        <v>0</v>
      </c>
      <c r="Q364" s="670">
        <v>0</v>
      </c>
      <c r="R364" s="670">
        <v>0</v>
      </c>
      <c r="S364" s="670">
        <v>0</v>
      </c>
      <c r="T364" s="670">
        <v>0</v>
      </c>
      <c r="U364" s="670">
        <v>0</v>
      </c>
      <c r="V364" s="670">
        <v>0</v>
      </c>
      <c r="W364" s="670">
        <v>0</v>
      </c>
      <c r="X364" s="670">
        <v>0</v>
      </c>
      <c r="Y364" s="670">
        <v>0</v>
      </c>
      <c r="Z364" s="670">
        <v>0</v>
      </c>
      <c r="AA364" s="670">
        <v>0</v>
      </c>
      <c r="AB364" s="670">
        <v>0</v>
      </c>
      <c r="AC364" s="670">
        <v>0</v>
      </c>
      <c r="AD364" s="670">
        <v>0</v>
      </c>
      <c r="AE364" s="670">
        <v>0</v>
      </c>
      <c r="AF364" s="670">
        <v>0</v>
      </c>
      <c r="AG364" s="671">
        <v>0</v>
      </c>
    </row>
    <row r="365" spans="1:33" x14ac:dyDescent="0.3">
      <c r="A365" s="669" t="s">
        <v>316</v>
      </c>
      <c r="B365" s="670" t="s">
        <v>352</v>
      </c>
      <c r="C365" s="670">
        <f>'Objet 2 à 6'!Lnec4</f>
        <v>0</v>
      </c>
      <c r="D365" s="670">
        <v>9.4</v>
      </c>
      <c r="E365" s="670" t="e">
        <f>'Objet 2 à 6'!nbcal4*4+1</f>
        <v>#VALUE!</v>
      </c>
      <c r="F365" s="670" t="s">
        <v>353</v>
      </c>
      <c r="G365" s="670">
        <f>'Objet 2 à 6'!lanec4</f>
        <v>0</v>
      </c>
      <c r="H365" s="670">
        <f>IF('Objet 2 à 6'!hnec4&lt;120,9.4,14.4)</f>
        <v>9.4</v>
      </c>
      <c r="I365" s="670" t="e">
        <f>'Objet 2 à 6'!nbcal4*2</f>
        <v>#VALUE!</v>
      </c>
      <c r="J365" s="670" t="s">
        <v>349</v>
      </c>
      <c r="K365" s="670">
        <f>'Objet 2 à 6'!lanec4</f>
        <v>0</v>
      </c>
      <c r="L365" s="670">
        <v>7</v>
      </c>
      <c r="M365" s="670" t="e">
        <f>'Objet 2 à 6'!nbcal4*4</f>
        <v>#VALUE!</v>
      </c>
      <c r="N365" s="670" t="e">
        <f t="shared" ref="N365:N366" si="143">VLOOKUP($I$29,$A$295:$D$297,3)</f>
        <v>#N/A</v>
      </c>
      <c r="O365" s="670">
        <f>'Objet 2 à 6'!Lnec4</f>
        <v>0</v>
      </c>
      <c r="P365" s="670">
        <f>IF('Objet 2 à 6'!hnec4&lt;120,9.4,14.4)</f>
        <v>9.4</v>
      </c>
      <c r="Q365" s="670" t="e">
        <f>'Objet 2 à 6'!nbcal4*2+1</f>
        <v>#VALUE!</v>
      </c>
      <c r="R365" s="670" t="e">
        <f t="shared" ref="R365:R366" si="144">VLOOKUP($I$29,$A$295:$D$297,4)</f>
        <v>#N/A</v>
      </c>
      <c r="S365" s="670"/>
      <c r="T365" s="670"/>
      <c r="U365" s="670"/>
      <c r="V365" s="670" t="str">
        <f>'Objet 2 à 6'!Base4</f>
        <v>Aucun</v>
      </c>
      <c r="W365" s="670">
        <f t="shared" ref="W365:W374" si="145">VLOOKUP(V365,$A$283:$C$293,3)</f>
        <v>0</v>
      </c>
      <c r="X365" s="670">
        <f>VLOOKUP('Objet 2 à 6'!plat4,$A$274:$B$280,2)</f>
        <v>0</v>
      </c>
      <c r="Y365" s="670">
        <f>'Objet 2 à 6'!Lnec4</f>
        <v>0</v>
      </c>
      <c r="Z365" s="670">
        <f>'Objet 2 à 6'!lanec4</f>
        <v>0</v>
      </c>
      <c r="AA365" s="670">
        <f t="shared" ref="AA365:AA374" si="146">W365+X365</f>
        <v>0</v>
      </c>
      <c r="AB365" s="670"/>
      <c r="AC365" s="670"/>
      <c r="AD365" s="670"/>
      <c r="AE365" s="670"/>
      <c r="AF365" s="670"/>
      <c r="AG365" s="671"/>
    </row>
    <row r="366" spans="1:33" x14ac:dyDescent="0.3">
      <c r="A366" s="669" t="s">
        <v>319</v>
      </c>
      <c r="B366" s="670" t="s">
        <v>352</v>
      </c>
      <c r="C366" s="670">
        <f>'Objet 2 à 6'!Lnec4</f>
        <v>0</v>
      </c>
      <c r="D366" s="670">
        <v>9.4</v>
      </c>
      <c r="E366" s="670" t="e">
        <f>'Objet 2 à 6'!nbcal4*2+1</f>
        <v>#VALUE!</v>
      </c>
      <c r="F366" s="670" t="s">
        <v>353</v>
      </c>
      <c r="G366" s="670">
        <f>'Objet 2 à 6'!lanec4</f>
        <v>0</v>
      </c>
      <c r="H366" s="670">
        <f>IF('Objet 2 à 6'!hnec4&lt;120,9.4,14.4)</f>
        <v>9.4</v>
      </c>
      <c r="I366" s="670" t="e">
        <f>'Objet 2 à 6'!nbcal4*2</f>
        <v>#VALUE!</v>
      </c>
      <c r="J366" s="670"/>
      <c r="K366" s="670"/>
      <c r="L366" s="670"/>
      <c r="M366" s="670"/>
      <c r="N366" s="670" t="e">
        <f t="shared" si="143"/>
        <v>#N/A</v>
      </c>
      <c r="O366" s="670">
        <f>'Objet 2 à 6'!Lnec4</f>
        <v>0</v>
      </c>
      <c r="P366" s="670">
        <f>IF('Objet 2 à 6'!hnec4&lt;120,9.4,14.4)</f>
        <v>9.4</v>
      </c>
      <c r="Q366" s="670" t="e">
        <f>'Objet 2 à 6'!nbcal4*2+1</f>
        <v>#VALUE!</v>
      </c>
      <c r="R366" s="670" t="e">
        <f t="shared" si="144"/>
        <v>#N/A</v>
      </c>
      <c r="S366" s="670">
        <f>'Objet 2 à 6'!lanec4</f>
        <v>0</v>
      </c>
      <c r="T366" s="670">
        <f>IF('Objet 2 à 6'!hnec4&lt;120,9.4,14.4)</f>
        <v>9.4</v>
      </c>
      <c r="U366" s="670" t="e">
        <f>'Objet 2 à 6'!nbcal4*2</f>
        <v>#VALUE!</v>
      </c>
      <c r="V366" s="670" t="str">
        <f>'Objet 2 à 6'!Base4</f>
        <v>Aucun</v>
      </c>
      <c r="W366" s="670">
        <f t="shared" si="145"/>
        <v>0</v>
      </c>
      <c r="X366" s="670">
        <f>VLOOKUP('Objet 2 à 6'!plat4,$A$274:$B$280,2)</f>
        <v>0</v>
      </c>
      <c r="Y366" s="670">
        <f>'Objet 2 à 6'!Lnec4</f>
        <v>0</v>
      </c>
      <c r="Z366" s="670">
        <f>'Objet 2 à 6'!lanec4</f>
        <v>0</v>
      </c>
      <c r="AA366" s="670">
        <f t="shared" si="146"/>
        <v>0</v>
      </c>
      <c r="AB366" s="670"/>
      <c r="AC366" s="670"/>
      <c r="AD366" s="670"/>
      <c r="AE366" s="670"/>
      <c r="AF366" s="670"/>
      <c r="AG366" s="671"/>
    </row>
    <row r="367" spans="1:33" ht="28.8" x14ac:dyDescent="0.3">
      <c r="A367" s="669" t="s">
        <v>371</v>
      </c>
      <c r="B367" s="670"/>
      <c r="C367" s="670"/>
      <c r="D367" s="670"/>
      <c r="E367" s="670"/>
      <c r="F367" s="670"/>
      <c r="G367" s="670"/>
      <c r="H367" s="670"/>
      <c r="I367" s="670"/>
      <c r="J367" s="670"/>
      <c r="K367" s="670"/>
      <c r="L367" s="670"/>
      <c r="M367" s="670"/>
      <c r="N367" s="670" t="str">
        <f>IF('Objet 2 à 6'!nbcal4="PU","PU 50 mm",IF('Objet 2 à 6'!nbcal4="Ethafoam","Ethafoam 50 mm",IF('Objet 2 à 6'!nbcal4="Stratocell","Stratocell 50 mm",0)))</f>
        <v>PU 50 mm</v>
      </c>
      <c r="O367" s="670">
        <f>'Objet 2 à 6'!Lnec4</f>
        <v>0</v>
      </c>
      <c r="P367" s="670">
        <v>12</v>
      </c>
      <c r="Q367" s="670">
        <f>IF('Objet 2 à 6'!hnec4&lt;80,4,6)</f>
        <v>4</v>
      </c>
      <c r="R367" s="670" t="str">
        <f>IF('Objet 2 à 6'!nbcal4="PU","PU 50 mm",IF('Objet 2 à 6'!nbcal4="Ethafoam","Ethafoam 50 mm",IF('Objet 2 à 6'!nbcal4="Stratocell","Stratocell 50 mm",0)))</f>
        <v>PU 50 mm</v>
      </c>
      <c r="S367" s="670">
        <f>'Objet 2 à 6'!lanec4-10</f>
        <v>-10</v>
      </c>
      <c r="T367" s="670">
        <v>12</v>
      </c>
      <c r="U367" s="670">
        <f t="shared" ref="U367:U368" si="147">Q367</f>
        <v>4</v>
      </c>
      <c r="V367" s="670" t="str">
        <f>'Objet 2 à 6'!Base4</f>
        <v>Aucun</v>
      </c>
      <c r="W367" s="670">
        <f t="shared" si="145"/>
        <v>0</v>
      </c>
      <c r="X367" s="670">
        <f>VLOOKUP('Objet 2 à 6'!plat4,$A$274:$B$280,2)</f>
        <v>0</v>
      </c>
      <c r="Y367" s="670">
        <f>'Objet 2 à 6'!Lnec4</f>
        <v>0</v>
      </c>
      <c r="Z367" s="670">
        <f>'Objet 2 à 6'!lanec4</f>
        <v>0</v>
      </c>
      <c r="AA367" s="670">
        <f t="shared" si="146"/>
        <v>0</v>
      </c>
      <c r="AB367" s="670" t="str">
        <f>IF('Objet 2 à 6'!nbcal4="PU","PU 50 mm",IF('Objet 2 à 6'!nbcal4="Ethafoam","Ethafoam 50 mm",IF('Objet 2 à 6'!nbcal4="Stratocell","Stratocell 50 mm",0)))</f>
        <v>PU 50 mm</v>
      </c>
      <c r="AC367" s="670">
        <f>'Objet 2 à 6'!Lnec4</f>
        <v>0</v>
      </c>
      <c r="AD367" s="670">
        <v>12</v>
      </c>
      <c r="AE367" s="670">
        <f>IF('Objet 2 à 6'!Lnec4&lt;100,3,4)</f>
        <v>3</v>
      </c>
      <c r="AF367" s="670"/>
      <c r="AG367" s="671"/>
    </row>
    <row r="368" spans="1:33" x14ac:dyDescent="0.3">
      <c r="A368" s="669" t="s">
        <v>372</v>
      </c>
      <c r="B368" s="670"/>
      <c r="C368" s="670"/>
      <c r="D368" s="670"/>
      <c r="E368" s="670"/>
      <c r="F368" s="670"/>
      <c r="G368" s="670"/>
      <c r="H368" s="670"/>
      <c r="I368" s="670"/>
      <c r="J368" s="670"/>
      <c r="K368" s="670"/>
      <c r="L368" s="670"/>
      <c r="M368" s="670"/>
      <c r="N368" s="670" t="str">
        <f>IF('Objet 2 à 6'!nbcal4="PU","PU 30 mm",IF('Objet 2 à 6'!nbcal4="Ethafoam","Ethafoam 30 mm",IF('Objet 2 à 6'!nbcal4="Stratocell","Stratocell 30 mm",0)))</f>
        <v>PU 30 mm</v>
      </c>
      <c r="O368" s="670">
        <f>'Objet 2 à 6'!Lnec4</f>
        <v>0</v>
      </c>
      <c r="P368" s="670">
        <v>12</v>
      </c>
      <c r="Q368" s="670">
        <f>IF('Objet 2 à 6'!hnec4&lt;80,4,6)</f>
        <v>4</v>
      </c>
      <c r="R368" s="670" t="str">
        <f>IF('Objet 2 à 6'!nbcal4="PU","PU 30 mm",IF('Objet 2 à 6'!nbcal4="Ethafoam","Ethafoam 30 mm",IF('Objet 2 à 6'!nbcal4="Stratocell","Stratocell 30 mm",0)))</f>
        <v>PU 30 mm</v>
      </c>
      <c r="S368" s="670">
        <f>'Objet 2 à 6'!lanec4-6</f>
        <v>-6</v>
      </c>
      <c r="T368" s="670">
        <v>12</v>
      </c>
      <c r="U368" s="670">
        <f t="shared" si="147"/>
        <v>4</v>
      </c>
      <c r="V368" s="670" t="str">
        <f>'Objet 2 à 6'!Base4</f>
        <v>Aucun</v>
      </c>
      <c r="W368" s="670">
        <f t="shared" si="145"/>
        <v>0</v>
      </c>
      <c r="X368" s="670">
        <f>VLOOKUP('Objet 2 à 6'!plat4,$A$274:$B$280,2)</f>
        <v>0</v>
      </c>
      <c r="Y368" s="670">
        <f>'Objet 2 à 6'!Lnec4</f>
        <v>0</v>
      </c>
      <c r="Z368" s="670">
        <f>'Objet 2 à 6'!lanec4</f>
        <v>0</v>
      </c>
      <c r="AA368" s="670">
        <f t="shared" si="146"/>
        <v>0</v>
      </c>
      <c r="AB368" s="670" t="str">
        <f>IF('Objet 2 à 6'!nbcal4="PU","PU 30 mm",IF('Objet 2 à 6'!nbcal4="Ethafoam","Ethafoam 30 mm",IF('Objet 2 à 6'!nbcal4="Stratocell","Stratocell 30 mm",0)))</f>
        <v>PU 30 mm</v>
      </c>
      <c r="AC368" s="670">
        <f>'Objet 2 à 6'!lanec4</f>
        <v>0</v>
      </c>
      <c r="AD368" s="670">
        <v>12</v>
      </c>
      <c r="AE368" s="670">
        <f>IF('Objet 2 à 6'!Lnec4&lt;100,3,4)</f>
        <v>3</v>
      </c>
      <c r="AF368" s="670"/>
      <c r="AG368" s="671"/>
    </row>
    <row r="369" spans="1:33" x14ac:dyDescent="0.3">
      <c r="A369" s="669" t="s">
        <v>324</v>
      </c>
      <c r="B369" s="670"/>
      <c r="C369" s="670"/>
      <c r="D369" s="670"/>
      <c r="E369" s="670"/>
      <c r="F369" s="670"/>
      <c r="G369" s="670"/>
      <c r="H369" s="670"/>
      <c r="I369" s="670"/>
      <c r="J369" s="670"/>
      <c r="K369" s="670"/>
      <c r="L369" s="670"/>
      <c r="M369" s="670"/>
      <c r="N369" s="670" t="s">
        <v>27</v>
      </c>
      <c r="O369" s="670">
        <f>'Objet 2 à 6'!Lnec4-0.3</f>
        <v>-0.3</v>
      </c>
      <c r="P369" s="670">
        <f>'Objet 2 à 6'!lanec4-0.3</f>
        <v>-0.3</v>
      </c>
      <c r="Q369" s="670">
        <f>('Objet 2 à 6'!hnec4-AA369)/5</f>
        <v>0</v>
      </c>
      <c r="R369" s="670"/>
      <c r="S369" s="670"/>
      <c r="T369" s="670"/>
      <c r="U369" s="670"/>
      <c r="V369" s="670" t="str">
        <f>'Objet 2 à 6'!Base4</f>
        <v>Aucun</v>
      </c>
      <c r="W369" s="670">
        <f t="shared" si="145"/>
        <v>0</v>
      </c>
      <c r="X369" s="670">
        <f>VLOOKUP('Objet 2 à 6'!plat4,$A$274:$B$280,2)</f>
        <v>0</v>
      </c>
      <c r="Y369" s="670">
        <f>'Objet 2 à 6'!Lnec4</f>
        <v>0</v>
      </c>
      <c r="Z369" s="670">
        <f>'Objet 2 à 6'!lanec4</f>
        <v>0</v>
      </c>
      <c r="AA369" s="670">
        <f t="shared" si="146"/>
        <v>0</v>
      </c>
      <c r="AB369" s="670"/>
      <c r="AC369" s="670"/>
      <c r="AD369" s="670"/>
      <c r="AE369" s="670"/>
      <c r="AF369" s="670"/>
      <c r="AG369" s="671"/>
    </row>
    <row r="370" spans="1:33" x14ac:dyDescent="0.3">
      <c r="A370" s="669" t="s">
        <v>325</v>
      </c>
      <c r="B370" s="670"/>
      <c r="C370" s="670"/>
      <c r="D370" s="670"/>
      <c r="E370" s="670"/>
      <c r="F370" s="670"/>
      <c r="G370" s="670"/>
      <c r="H370" s="670"/>
      <c r="I370" s="670"/>
      <c r="J370" s="670"/>
      <c r="K370" s="670"/>
      <c r="L370" s="670"/>
      <c r="M370" s="670"/>
      <c r="N370" s="670" t="s">
        <v>27</v>
      </c>
      <c r="O370" s="670">
        <f>'Objet 2 à 6'!Lnec4-0.3</f>
        <v>-0.3</v>
      </c>
      <c r="P370" s="670">
        <f>'Objet 2 à 6'!hnec4-AA370</f>
        <v>0</v>
      </c>
      <c r="Q370" s="670">
        <f>'Objet 2 à 6'!lanec4/5</f>
        <v>0</v>
      </c>
      <c r="R370" s="670"/>
      <c r="S370" s="670"/>
      <c r="T370" s="670"/>
      <c r="U370" s="670"/>
      <c r="V370" s="670" t="str">
        <f>'Objet 2 à 6'!Base4</f>
        <v>Aucun</v>
      </c>
      <c r="W370" s="670">
        <f t="shared" si="145"/>
        <v>0</v>
      </c>
      <c r="X370" s="670">
        <f>VLOOKUP('Objet 2 à 6'!plat4,$A$274:$B$280,2)</f>
        <v>0</v>
      </c>
      <c r="Y370" s="670">
        <f>'Objet 2 à 6'!Lnec4</f>
        <v>0</v>
      </c>
      <c r="Z370" s="670">
        <f>'Objet 2 à 6'!lanec4</f>
        <v>0</v>
      </c>
      <c r="AA370" s="670">
        <f t="shared" si="146"/>
        <v>0</v>
      </c>
      <c r="AB370" s="670"/>
      <c r="AC370" s="670"/>
      <c r="AD370" s="670"/>
      <c r="AE370" s="670"/>
      <c r="AF370" s="670"/>
      <c r="AG370" s="671"/>
    </row>
    <row r="371" spans="1:33" x14ac:dyDescent="0.3">
      <c r="A371" s="669" t="s">
        <v>326</v>
      </c>
      <c r="B371" s="670" t="s">
        <v>354</v>
      </c>
      <c r="C371" s="670">
        <f>'Objet 2 à 6'!Lnec4</f>
        <v>0</v>
      </c>
      <c r="D371" s="670">
        <v>9.4</v>
      </c>
      <c r="E371" s="670">
        <f>1</f>
        <v>1</v>
      </c>
      <c r="F371" s="670" t="s">
        <v>355</v>
      </c>
      <c r="G371" s="670">
        <f>'Objet 2 à 6'!Lnec4</f>
        <v>0</v>
      </c>
      <c r="H371" s="670" t="e">
        <f t="shared" ref="H371:H372" si="148">VLOOKUP($I$29,$A$295:$D$297,2)</f>
        <v>#N/A</v>
      </c>
      <c r="I371" s="670" t="e">
        <f>'Objet 2 à 6'!nbcal4*2</f>
        <v>#VALUE!</v>
      </c>
      <c r="J371" s="670" t="s">
        <v>349</v>
      </c>
      <c r="K371" s="670">
        <f>'Objet 2 à 6'!lanec4</f>
        <v>0</v>
      </c>
      <c r="L371" s="670">
        <v>7</v>
      </c>
      <c r="M371" s="670" t="e">
        <f>'Objet 2 à 6'!nbcal4*4</f>
        <v>#VALUE!</v>
      </c>
      <c r="N371" s="670" t="e">
        <f t="shared" ref="N371:N372" si="149">VLOOKUP($I$29,$A$295:$D$297,3)</f>
        <v>#N/A</v>
      </c>
      <c r="O371" s="670">
        <f>'Objet 2 à 6'!Lnec4</f>
        <v>0</v>
      </c>
      <c r="P371" s="670">
        <f>'Objet 2 à 6'!lanec4-4.2</f>
        <v>-4.2</v>
      </c>
      <c r="Q371" s="670" t="str">
        <f>'Objet 2 à 6'!nbcal4</f>
        <v>PU</v>
      </c>
      <c r="R371" s="670" t="e">
        <f>VLOOKUP($I$29,$A$295:$D$297,4)</f>
        <v>#N/A</v>
      </c>
      <c r="S371" s="670">
        <f>'Objet 2 à 6'!lanec4</f>
        <v>0</v>
      </c>
      <c r="T371" s="670">
        <f>IF('Objet 2 à 6'!hnec4&lt;120,9.4,14.4)</f>
        <v>9.4</v>
      </c>
      <c r="U371" s="670">
        <f>1</f>
        <v>1</v>
      </c>
      <c r="V371" s="670" t="str">
        <f>'Objet 2 à 6'!Base4</f>
        <v>Aucun</v>
      </c>
      <c r="W371" s="670">
        <f t="shared" si="145"/>
        <v>0</v>
      </c>
      <c r="X371" s="670">
        <f>VLOOKUP('Objet 2 à 6'!plat4,$A$274:$B$280,2)</f>
        <v>0</v>
      </c>
      <c r="Y371" s="670">
        <f>'Objet 2 à 6'!Lnec4</f>
        <v>0</v>
      </c>
      <c r="Z371" s="670">
        <f>'Objet 2 à 6'!lanec4</f>
        <v>0</v>
      </c>
      <c r="AA371" s="670">
        <f t="shared" si="146"/>
        <v>0</v>
      </c>
      <c r="AB371" s="670"/>
      <c r="AC371" s="670"/>
      <c r="AD371" s="670"/>
      <c r="AE371" s="670"/>
      <c r="AF371" s="670"/>
      <c r="AG371" s="671"/>
    </row>
    <row r="372" spans="1:33" x14ac:dyDescent="0.3">
      <c r="A372" s="669" t="s">
        <v>328</v>
      </c>
      <c r="B372" s="670"/>
      <c r="C372" s="670"/>
      <c r="D372" s="670"/>
      <c r="E372" s="670"/>
      <c r="F372" s="670" t="s">
        <v>355</v>
      </c>
      <c r="G372" s="670">
        <f>'Objet 2 à 6'!lanec4</f>
        <v>0</v>
      </c>
      <c r="H372" s="670" t="e">
        <f t="shared" si="148"/>
        <v>#N/A</v>
      </c>
      <c r="I372" s="670" t="str">
        <f>'Objet 2 à 6'!nbcal4</f>
        <v>PU</v>
      </c>
      <c r="J372" s="670" t="s">
        <v>349</v>
      </c>
      <c r="K372" s="670">
        <f>'Objet 2 à 6'!hnec4-AA372</f>
        <v>0</v>
      </c>
      <c r="L372" s="670">
        <v>7</v>
      </c>
      <c r="M372" s="670" t="e">
        <f>'Objet 2 à 6'!nbcal4*4</f>
        <v>#VALUE!</v>
      </c>
      <c r="N372" s="670" t="e">
        <f t="shared" si="149"/>
        <v>#N/A</v>
      </c>
      <c r="O372" s="670">
        <f>'Objet 2 à 6'!lanec4</f>
        <v>0</v>
      </c>
      <c r="P372" s="670">
        <f>'Objet 2 à 6'!hnec4-2.1-AA372</f>
        <v>-2.1</v>
      </c>
      <c r="Q372" s="670" t="str">
        <f>'Objet 2 à 6'!nbcal4</f>
        <v>PU</v>
      </c>
      <c r="R372" s="670"/>
      <c r="S372" s="670"/>
      <c r="T372" s="670"/>
      <c r="U372" s="670"/>
      <c r="V372" s="670" t="str">
        <f>'Objet 2 à 6'!Base4</f>
        <v>Aucun</v>
      </c>
      <c r="W372" s="670">
        <f t="shared" si="145"/>
        <v>0</v>
      </c>
      <c r="X372" s="670">
        <f>VLOOKUP('Objet 2 à 6'!plat4,$A$274:$B$280,2)</f>
        <v>0</v>
      </c>
      <c r="Y372" s="670">
        <f>'Objet 2 à 6'!Lnec4</f>
        <v>0</v>
      </c>
      <c r="Z372" s="670">
        <f>'Objet 2 à 6'!lanec4</f>
        <v>0</v>
      </c>
      <c r="AA372" s="670">
        <f t="shared" si="146"/>
        <v>0</v>
      </c>
      <c r="AB372" s="670"/>
      <c r="AC372" s="670"/>
      <c r="AD372" s="670"/>
      <c r="AE372" s="670"/>
      <c r="AF372" s="670"/>
      <c r="AG372" s="671"/>
    </row>
    <row r="373" spans="1:33" ht="28.8" x14ac:dyDescent="0.3">
      <c r="A373" s="669" t="s">
        <v>373</v>
      </c>
      <c r="B373" s="670"/>
      <c r="C373" s="670"/>
      <c r="D373" s="670"/>
      <c r="E373" s="670"/>
      <c r="F373" s="670"/>
      <c r="G373" s="670"/>
      <c r="H373" s="670"/>
      <c r="I373" s="670"/>
      <c r="J373" s="670"/>
      <c r="K373" s="670"/>
      <c r="L373" s="670"/>
      <c r="M373" s="670"/>
      <c r="N373" s="670" t="str">
        <f>IF('Objet 2 à 6'!nbcal4="PU","PU 50 mm",IF('Objet 2 à 6'!nbcal4="Ethafoam","Ethafoam 50 mm",IF('Objet 2 à 6'!nbcal4="Stratocell","Stratocell 50 mm",0)))</f>
        <v>PU 50 mm</v>
      </c>
      <c r="O373" s="670">
        <f>'Objet 2 à 6'!Lnec4</f>
        <v>0</v>
      </c>
      <c r="P373" s="670">
        <f>'Objet 2 à 6'!lanec4</f>
        <v>0</v>
      </c>
      <c r="Q373" s="670">
        <v>1</v>
      </c>
      <c r="R373" s="670" t="str">
        <f>IF('Objet 2 à 6'!nbcal4="PU","PU 50 mm",IF('Objet 2 à 6'!nbcal4="Ethafoam","Ethafoam 50 mm",IF('Objet 2 à 6'!nbcal4="Stratocell","Stratocell 50 mm",0)))</f>
        <v>PU 50 mm</v>
      </c>
      <c r="S373" s="670">
        <f>'Objet 2 à 6'!Lnec4</f>
        <v>0</v>
      </c>
      <c r="T373" s="670">
        <f>'Objet 2 à 6'!hnec4-5-AA373</f>
        <v>-5</v>
      </c>
      <c r="U373" s="670">
        <v>2</v>
      </c>
      <c r="V373" s="670" t="str">
        <f>'Objet 2 à 6'!Base4</f>
        <v>Aucun</v>
      </c>
      <c r="W373" s="670">
        <f t="shared" si="145"/>
        <v>0</v>
      </c>
      <c r="X373" s="670">
        <f>VLOOKUP('Objet 2 à 6'!plat4,$A$274:$B$280,2)</f>
        <v>0</v>
      </c>
      <c r="Y373" s="670">
        <f>'Objet 2 à 6'!Lnec4</f>
        <v>0</v>
      </c>
      <c r="Z373" s="670">
        <f>'Objet 2 à 6'!lanec4</f>
        <v>0</v>
      </c>
      <c r="AA373" s="670">
        <f t="shared" si="146"/>
        <v>0</v>
      </c>
      <c r="AB373" s="670" t="str">
        <f>IF('Objet 2 à 6'!nbcal4="PU","PU 50 mm",IF('Objet 2 à 6'!nbcal4="Ethafoam","Ethafoam 50 mm",IF('Objet 2 à 6'!nbcal4="Stratocell","Stratocell 50 mm",0)))</f>
        <v>PU 50 mm</v>
      </c>
      <c r="AC373" s="670">
        <f>'Objet 2 à 6'!lanec4-10</f>
        <v>-10</v>
      </c>
      <c r="AD373" s="670">
        <f>'Objet 2 à 6'!hnec4-5-AA373</f>
        <v>-5</v>
      </c>
      <c r="AE373" s="670">
        <v>2</v>
      </c>
      <c r="AF373" s="670"/>
      <c r="AG373" s="671"/>
    </row>
    <row r="374" spans="1:33" x14ac:dyDescent="0.3">
      <c r="A374" s="678" t="s">
        <v>374</v>
      </c>
      <c r="B374" s="679"/>
      <c r="C374" s="679"/>
      <c r="D374" s="679"/>
      <c r="E374" s="679"/>
      <c r="F374" s="679"/>
      <c r="G374" s="679"/>
      <c r="H374" s="679"/>
      <c r="I374" s="679"/>
      <c r="J374" s="679"/>
      <c r="K374" s="679"/>
      <c r="L374" s="679"/>
      <c r="M374" s="679"/>
      <c r="N374" s="670" t="str">
        <f>IF('Objet 2 à 6'!nbcal4="PU","PU 30 mm",IF('Objet 2 à 6'!nbcal4="Ethafoam","Ethafoam 30 mm",IF('Objet 2 à 6'!nbcal4="Stratocell","Stratocell 30 mm",0)))</f>
        <v>PU 30 mm</v>
      </c>
      <c r="O374" s="679">
        <f>'Objet 2 à 6'!Lnec4</f>
        <v>0</v>
      </c>
      <c r="P374" s="679">
        <f>'Objet 2 à 6'!lanec4</f>
        <v>0</v>
      </c>
      <c r="Q374" s="679">
        <v>1</v>
      </c>
      <c r="R374" s="670" t="str">
        <f>IF('Objet 2 à 6'!nbcal4="PU","PU 30 mm",IF('Objet 2 à 6'!nbcal4="Ethafoam","Ethafoam 30 mm",IF('Objet 2 à 6'!nbcal4="Stratocell","Stratocell 30 mm",0)))</f>
        <v>PU 30 mm</v>
      </c>
      <c r="S374" s="670">
        <f>'Objet 2 à 6'!Lnec4</f>
        <v>0</v>
      </c>
      <c r="T374" s="679">
        <f>'Objet 2 à 6'!hnec4-3-AA374</f>
        <v>-3</v>
      </c>
      <c r="U374" s="679">
        <v>2</v>
      </c>
      <c r="V374" s="679" t="str">
        <f>'Objet 2 à 6'!Base4</f>
        <v>Aucun</v>
      </c>
      <c r="W374" s="670">
        <f t="shared" si="145"/>
        <v>0</v>
      </c>
      <c r="X374" s="670">
        <f>VLOOKUP('Objet 2 à 6'!plat4,$A$274:$B$280,2)</f>
        <v>0</v>
      </c>
      <c r="Y374" s="670">
        <f>'Objet 2 à 6'!Lnec4</f>
        <v>0</v>
      </c>
      <c r="Z374" s="670">
        <f>'Objet 2 à 6'!lanec4</f>
        <v>0</v>
      </c>
      <c r="AA374" s="679">
        <f t="shared" si="146"/>
        <v>0</v>
      </c>
      <c r="AB374" s="670" t="str">
        <f>IF('Objet 2 à 6'!nbcal4="PU","PU 30 mm",IF('Objet 2 à 6'!nbcal4="Ethafoam","Ethafoam 30 mm",IF('Objet 2 à 6'!nbcal4="Stratocell","Stratocell 30 mm",0)))</f>
        <v>PU 30 mm</v>
      </c>
      <c r="AC374" s="679">
        <f>'Objet 2 à 6'!lanec4-6</f>
        <v>-6</v>
      </c>
      <c r="AD374" s="679">
        <f>'Objet 2 à 6'!hnec4-3-AA374</f>
        <v>-3</v>
      </c>
      <c r="AE374" s="679">
        <v>2</v>
      </c>
      <c r="AF374" s="679"/>
      <c r="AG374" s="680"/>
    </row>
    <row r="375" spans="1:33" ht="18" x14ac:dyDescent="0.35">
      <c r="A375" s="559"/>
      <c r="B375" s="559"/>
      <c r="C375" s="559"/>
      <c r="D375" s="559"/>
      <c r="E375" s="559"/>
      <c r="F375" s="559"/>
      <c r="G375" s="559"/>
      <c r="H375" s="559"/>
      <c r="I375" s="559"/>
      <c r="J375" s="559"/>
      <c r="K375" s="559"/>
      <c r="L375" s="559"/>
      <c r="M375" s="559"/>
      <c r="N375" s="559"/>
      <c r="O375" s="559"/>
      <c r="P375" s="559"/>
      <c r="Q375" s="559"/>
      <c r="R375" s="559"/>
      <c r="S375" s="559"/>
      <c r="T375" s="559"/>
      <c r="U375" s="559"/>
      <c r="V375" s="559"/>
      <c r="W375" s="559"/>
      <c r="X375" s="559"/>
      <c r="Y375" s="559"/>
      <c r="Z375" s="559"/>
      <c r="AA375" s="559"/>
      <c r="AB375" s="559"/>
      <c r="AC375" s="559"/>
      <c r="AD375" s="559"/>
      <c r="AE375" s="559"/>
      <c r="AF375" s="559"/>
      <c r="AG375" s="559"/>
    </row>
    <row r="376" spans="1:33" x14ac:dyDescent="0.3">
      <c r="A376" s="660">
        <v>1</v>
      </c>
      <c r="B376" s="661">
        <f t="shared" ref="B376:V376" si="150">A376+1</f>
        <v>2</v>
      </c>
      <c r="C376" s="661">
        <f t="shared" si="150"/>
        <v>3</v>
      </c>
      <c r="D376" s="661">
        <f t="shared" si="150"/>
        <v>4</v>
      </c>
      <c r="E376" s="661">
        <f t="shared" si="150"/>
        <v>5</v>
      </c>
      <c r="F376" s="661">
        <f t="shared" si="150"/>
        <v>6</v>
      </c>
      <c r="G376" s="661">
        <f t="shared" si="150"/>
        <v>7</v>
      </c>
      <c r="H376" s="661">
        <f t="shared" si="150"/>
        <v>8</v>
      </c>
      <c r="I376" s="661">
        <f t="shared" si="150"/>
        <v>9</v>
      </c>
      <c r="J376" s="661">
        <f t="shared" si="150"/>
        <v>10</v>
      </c>
      <c r="K376" s="661">
        <f t="shared" si="150"/>
        <v>11</v>
      </c>
      <c r="L376" s="661">
        <f t="shared" si="150"/>
        <v>12</v>
      </c>
      <c r="M376" s="661">
        <f t="shared" si="150"/>
        <v>13</v>
      </c>
      <c r="N376" s="661">
        <f t="shared" si="150"/>
        <v>14</v>
      </c>
      <c r="O376" s="661">
        <f t="shared" si="150"/>
        <v>15</v>
      </c>
      <c r="P376" s="661">
        <f t="shared" si="150"/>
        <v>16</v>
      </c>
      <c r="Q376" s="661">
        <f t="shared" si="150"/>
        <v>17</v>
      </c>
      <c r="R376" s="661">
        <f t="shared" si="150"/>
        <v>18</v>
      </c>
      <c r="S376" s="661">
        <f t="shared" si="150"/>
        <v>19</v>
      </c>
      <c r="T376" s="661">
        <f t="shared" si="150"/>
        <v>20</v>
      </c>
      <c r="U376" s="661">
        <f t="shared" si="150"/>
        <v>21</v>
      </c>
      <c r="V376" s="661">
        <f t="shared" si="150"/>
        <v>22</v>
      </c>
      <c r="W376" s="661">
        <v>23</v>
      </c>
      <c r="X376" s="661">
        <v>24</v>
      </c>
      <c r="Y376" s="661">
        <v>25</v>
      </c>
      <c r="Z376" s="661">
        <f t="shared" ref="Z376:AG376" si="151">Y376+1</f>
        <v>26</v>
      </c>
      <c r="AA376" s="661">
        <f t="shared" si="151"/>
        <v>27</v>
      </c>
      <c r="AB376" s="661">
        <f t="shared" si="151"/>
        <v>28</v>
      </c>
      <c r="AC376" s="661">
        <f t="shared" si="151"/>
        <v>29</v>
      </c>
      <c r="AD376" s="661">
        <f t="shared" si="151"/>
        <v>30</v>
      </c>
      <c r="AE376" s="661">
        <f t="shared" si="151"/>
        <v>31</v>
      </c>
      <c r="AF376" s="661">
        <f t="shared" si="151"/>
        <v>32</v>
      </c>
      <c r="AG376" s="662">
        <f t="shared" si="151"/>
        <v>33</v>
      </c>
    </row>
    <row r="377" spans="1:33" ht="28.8" x14ac:dyDescent="0.3">
      <c r="A377" s="717" t="s">
        <v>384</v>
      </c>
      <c r="B377" s="670" t="s">
        <v>348</v>
      </c>
      <c r="C377" s="670" t="s">
        <v>28</v>
      </c>
      <c r="D377" s="670" t="s">
        <v>33</v>
      </c>
      <c r="E377" s="670" t="s">
        <v>34</v>
      </c>
      <c r="F377" s="670" t="s">
        <v>348</v>
      </c>
      <c r="G377" s="670" t="s">
        <v>28</v>
      </c>
      <c r="H377" s="670" t="s">
        <v>33</v>
      </c>
      <c r="I377" s="670" t="s">
        <v>34</v>
      </c>
      <c r="J377" s="670" t="s">
        <v>349</v>
      </c>
      <c r="K377" s="670" t="s">
        <v>28</v>
      </c>
      <c r="L377" s="670" t="s">
        <v>33</v>
      </c>
      <c r="M377" s="670" t="s">
        <v>34</v>
      </c>
      <c r="N377" s="670"/>
      <c r="O377" s="670" t="s">
        <v>28</v>
      </c>
      <c r="P377" s="670" t="s">
        <v>33</v>
      </c>
      <c r="Q377" s="670" t="s">
        <v>34</v>
      </c>
      <c r="R377" s="670"/>
      <c r="S377" s="670" t="s">
        <v>28</v>
      </c>
      <c r="T377" s="670" t="s">
        <v>33</v>
      </c>
      <c r="U377" s="670" t="s">
        <v>34</v>
      </c>
      <c r="V377" s="670" t="s">
        <v>308</v>
      </c>
      <c r="W377" s="670" t="s">
        <v>350</v>
      </c>
      <c r="X377" s="670" t="s">
        <v>351</v>
      </c>
      <c r="Y377" s="670" t="s">
        <v>28</v>
      </c>
      <c r="Z377" s="670" t="s">
        <v>33</v>
      </c>
      <c r="AA377" s="670" t="s">
        <v>269</v>
      </c>
      <c r="AB377" s="670"/>
      <c r="AC377" s="670" t="s">
        <v>28</v>
      </c>
      <c r="AD377" s="670" t="s">
        <v>33</v>
      </c>
      <c r="AE377" s="670" t="s">
        <v>34</v>
      </c>
      <c r="AF377" s="670"/>
      <c r="AG377" s="671"/>
    </row>
    <row r="378" spans="1:33" x14ac:dyDescent="0.3">
      <c r="A378" s="669" t="s">
        <v>16</v>
      </c>
      <c r="B378" s="670">
        <v>0</v>
      </c>
      <c r="C378" s="670">
        <v>0</v>
      </c>
      <c r="D378" s="670">
        <v>0</v>
      </c>
      <c r="E378" s="670">
        <v>0</v>
      </c>
      <c r="F378" s="670">
        <v>0</v>
      </c>
      <c r="G378" s="670">
        <v>0</v>
      </c>
      <c r="H378" s="670">
        <v>0</v>
      </c>
      <c r="I378" s="670">
        <v>0</v>
      </c>
      <c r="J378" s="670">
        <v>0</v>
      </c>
      <c r="K378" s="670">
        <v>0</v>
      </c>
      <c r="L378" s="670">
        <v>0</v>
      </c>
      <c r="M378" s="670">
        <v>0</v>
      </c>
      <c r="N378" s="670">
        <v>0</v>
      </c>
      <c r="O378" s="670">
        <v>0</v>
      </c>
      <c r="P378" s="670">
        <v>0</v>
      </c>
      <c r="Q378" s="670">
        <v>0</v>
      </c>
      <c r="R378" s="670">
        <v>0</v>
      </c>
      <c r="S378" s="670">
        <v>0</v>
      </c>
      <c r="T378" s="670">
        <v>0</v>
      </c>
      <c r="U378" s="670">
        <v>0</v>
      </c>
      <c r="V378" s="670">
        <v>0</v>
      </c>
      <c r="W378" s="670">
        <v>0</v>
      </c>
      <c r="X378" s="670">
        <v>0</v>
      </c>
      <c r="Y378" s="670">
        <v>0</v>
      </c>
      <c r="Z378" s="670">
        <v>0</v>
      </c>
      <c r="AA378" s="670">
        <v>0</v>
      </c>
      <c r="AB378" s="670">
        <v>0</v>
      </c>
      <c r="AC378" s="670">
        <v>0</v>
      </c>
      <c r="AD378" s="670">
        <v>0</v>
      </c>
      <c r="AE378" s="670">
        <v>0</v>
      </c>
      <c r="AF378" s="670">
        <v>0</v>
      </c>
      <c r="AG378" s="671">
        <v>0</v>
      </c>
    </row>
    <row r="379" spans="1:33" x14ac:dyDescent="0.3">
      <c r="A379" s="669" t="s">
        <v>316</v>
      </c>
      <c r="B379" s="670" t="s">
        <v>352</v>
      </c>
      <c r="C379" s="670">
        <f>'Objet 2 à 6'!Lnec5</f>
        <v>0</v>
      </c>
      <c r="D379" s="670">
        <v>9.4</v>
      </c>
      <c r="E379" s="670" t="e">
        <f>'Objet 2 à 6'!nbcal5*4+1</f>
        <v>#VALUE!</v>
      </c>
      <c r="F379" s="670" t="s">
        <v>353</v>
      </c>
      <c r="G379" s="670">
        <f>'Objet 2 à 6'!lanec5</f>
        <v>0</v>
      </c>
      <c r="H379" s="670">
        <f>IF('Objet 2 à 6'!hnec5&lt;120,9.4,14.4)</f>
        <v>9.4</v>
      </c>
      <c r="I379" s="670" t="e">
        <f>'Objet 2 à 6'!nbcal5*2</f>
        <v>#VALUE!</v>
      </c>
      <c r="J379" s="670" t="s">
        <v>349</v>
      </c>
      <c r="K379" s="670">
        <f>'Objet 2 à 6'!lanec5</f>
        <v>0</v>
      </c>
      <c r="L379" s="670">
        <v>7</v>
      </c>
      <c r="M379" s="670" t="e">
        <f>'Objet 2 à 6'!nbcal5*4</f>
        <v>#VALUE!</v>
      </c>
      <c r="N379" s="670" t="e">
        <f t="shared" ref="N379:N380" si="152">VLOOKUP($I$36,$A$295:$D$297,3)</f>
        <v>#N/A</v>
      </c>
      <c r="O379" s="670">
        <f>'Objet 2 à 6'!Lnec5</f>
        <v>0</v>
      </c>
      <c r="P379" s="670">
        <f>IF('Objet 2 à 6'!hnec5&lt;120,9.4,14.4)</f>
        <v>9.4</v>
      </c>
      <c r="Q379" s="670" t="e">
        <f>'Objet 2 à 6'!nbcal5*2+1</f>
        <v>#VALUE!</v>
      </c>
      <c r="R379" s="670" t="e">
        <f t="shared" ref="R379:R380" si="153">VLOOKUP($I$36,$A$295:$D$297,4)</f>
        <v>#N/A</v>
      </c>
      <c r="S379" s="670"/>
      <c r="T379" s="670"/>
      <c r="U379" s="670"/>
      <c r="V379" s="670" t="str">
        <f>'Objet 2 à 6'!Base5</f>
        <v>Aucun</v>
      </c>
      <c r="W379" s="670">
        <f t="shared" ref="W379:W388" si="154">VLOOKUP(V379,$A$283:$C$293,3)</f>
        <v>0</v>
      </c>
      <c r="X379" s="670">
        <f>VLOOKUP('Objet 2 à 6'!plat5,$A$274:$B$280,2)</f>
        <v>0</v>
      </c>
      <c r="Y379" s="670">
        <f>'Objet 2 à 6'!Lnec5</f>
        <v>0</v>
      </c>
      <c r="Z379" s="670">
        <f>'Objet 2 à 6'!lanec5</f>
        <v>0</v>
      </c>
      <c r="AA379" s="670">
        <f t="shared" ref="AA379:AA388" si="155">W379+X379</f>
        <v>0</v>
      </c>
      <c r="AB379" s="670"/>
      <c r="AC379" s="670"/>
      <c r="AD379" s="670"/>
      <c r="AE379" s="670"/>
      <c r="AF379" s="670"/>
      <c r="AG379" s="671"/>
    </row>
    <row r="380" spans="1:33" x14ac:dyDescent="0.3">
      <c r="A380" s="669" t="s">
        <v>319</v>
      </c>
      <c r="B380" s="670" t="s">
        <v>352</v>
      </c>
      <c r="C380" s="670">
        <f>'Objet 2 à 6'!Lnec5</f>
        <v>0</v>
      </c>
      <c r="D380" s="670">
        <v>9.4</v>
      </c>
      <c r="E380" s="670" t="e">
        <f>'Objet 2 à 6'!nbcal5*2+1</f>
        <v>#VALUE!</v>
      </c>
      <c r="F380" s="670" t="s">
        <v>353</v>
      </c>
      <c r="G380" s="670">
        <f>'Objet 2 à 6'!lanec5</f>
        <v>0</v>
      </c>
      <c r="H380" s="670">
        <f>IF('Objet 2 à 6'!hnec5&lt;120,9.4,14.4)</f>
        <v>9.4</v>
      </c>
      <c r="I380" s="670" t="e">
        <f>'Objet 2 à 6'!nbcal5*2</f>
        <v>#VALUE!</v>
      </c>
      <c r="J380" s="670"/>
      <c r="K380" s="670"/>
      <c r="L380" s="670"/>
      <c r="M380" s="670"/>
      <c r="N380" s="670" t="e">
        <f t="shared" si="152"/>
        <v>#N/A</v>
      </c>
      <c r="O380" s="670">
        <f>'Objet 2 à 6'!Lnec5</f>
        <v>0</v>
      </c>
      <c r="P380" s="670">
        <f>IF('Objet 2 à 6'!hnec5&lt;120,9.4,14.4)</f>
        <v>9.4</v>
      </c>
      <c r="Q380" s="670" t="e">
        <f>'Objet 2 à 6'!nbcal5*2+1</f>
        <v>#VALUE!</v>
      </c>
      <c r="R380" s="670" t="e">
        <f t="shared" si="153"/>
        <v>#N/A</v>
      </c>
      <c r="S380" s="670">
        <f>'Objet 2 à 6'!lanec5</f>
        <v>0</v>
      </c>
      <c r="T380" s="670">
        <f>IF('Objet 2 à 6'!hnec5&lt;120,9.4,14.4)</f>
        <v>9.4</v>
      </c>
      <c r="U380" s="670" t="e">
        <f>'Objet 2 à 6'!nbcal5*2</f>
        <v>#VALUE!</v>
      </c>
      <c r="V380" s="670" t="str">
        <f>'Objet 2 à 6'!Base5</f>
        <v>Aucun</v>
      </c>
      <c r="W380" s="670">
        <f t="shared" si="154"/>
        <v>0</v>
      </c>
      <c r="X380" s="670">
        <f>VLOOKUP('Objet 2 à 6'!plat5,$A$274:$B$280,2)</f>
        <v>0</v>
      </c>
      <c r="Y380" s="670">
        <f>'Objet 2 à 6'!Lnec5</f>
        <v>0</v>
      </c>
      <c r="Z380" s="670">
        <f>'Objet 2 à 6'!lanec5</f>
        <v>0</v>
      </c>
      <c r="AA380" s="670">
        <f t="shared" si="155"/>
        <v>0</v>
      </c>
      <c r="AB380" s="670"/>
      <c r="AC380" s="670"/>
      <c r="AD380" s="670"/>
      <c r="AE380" s="670"/>
      <c r="AF380" s="670"/>
      <c r="AG380" s="671"/>
    </row>
    <row r="381" spans="1:33" ht="28.8" x14ac:dyDescent="0.3">
      <c r="A381" s="669" t="s">
        <v>371</v>
      </c>
      <c r="B381" s="670"/>
      <c r="C381" s="670"/>
      <c r="D381" s="670"/>
      <c r="E381" s="670"/>
      <c r="F381" s="670"/>
      <c r="G381" s="670"/>
      <c r="H381" s="670"/>
      <c r="I381" s="670"/>
      <c r="J381" s="670"/>
      <c r="K381" s="670"/>
      <c r="L381" s="670"/>
      <c r="M381" s="670"/>
      <c r="N381" s="670" t="str">
        <f>IF('Objet 2 à 6'!nbcal5="PU","PU 50 mm",IF('Objet 2 à 6'!nbcal5="Ethafoam","Ethafoam 50 mm",IF('Objet 2 à 6'!nbcal5="Stratocell","Stratocell 50 mm",0)))</f>
        <v>PU 50 mm</v>
      </c>
      <c r="O381" s="670">
        <f>'Objet 2 à 6'!Lnec5</f>
        <v>0</v>
      </c>
      <c r="P381" s="670">
        <v>12</v>
      </c>
      <c r="Q381" s="670">
        <f>IF('Objet 2 à 6'!hnec5&lt;80,4,6)</f>
        <v>4</v>
      </c>
      <c r="R381" s="670" t="str">
        <f>IF('Objet 2 à 6'!nbcal5="PU","PU 50 mm",IF('Objet 2 à 6'!nbcal5="Ethafoam","Ethafoam 50 mm",IF('Objet 2 à 6'!nbcal5="Stratocell","Stratocell 50 mm",0)))</f>
        <v>PU 50 mm</v>
      </c>
      <c r="S381" s="670">
        <f>'Objet 2 à 6'!lanec5-10</f>
        <v>-10</v>
      </c>
      <c r="T381" s="670">
        <v>12</v>
      </c>
      <c r="U381" s="670">
        <f t="shared" ref="U381:U382" si="156">Q381</f>
        <v>4</v>
      </c>
      <c r="V381" s="670" t="str">
        <f>'Objet 2 à 6'!Base5</f>
        <v>Aucun</v>
      </c>
      <c r="W381" s="670">
        <f t="shared" si="154"/>
        <v>0</v>
      </c>
      <c r="X381" s="670">
        <f>VLOOKUP('Objet 2 à 6'!plat5,$A$274:$B$280,2)</f>
        <v>0</v>
      </c>
      <c r="Y381" s="670">
        <f>'Objet 2 à 6'!Lnec5</f>
        <v>0</v>
      </c>
      <c r="Z381" s="670">
        <f>'Objet 2 à 6'!lanec5</f>
        <v>0</v>
      </c>
      <c r="AA381" s="670">
        <f t="shared" si="155"/>
        <v>0</v>
      </c>
      <c r="AB381" s="670" t="str">
        <f>IF('Objet 2 à 6'!nbcal5="PU","PU 50 mm",IF('Objet 2 à 6'!nbcal5="Ethafoam","Ethafoam 50 mm",IF('Objet 2 à 6'!nbcal5="Stratocell","Stratocell 50 mm",0)))</f>
        <v>PU 50 mm</v>
      </c>
      <c r="AC381" s="670">
        <f>'Objet 2 à 6'!Lnec5</f>
        <v>0</v>
      </c>
      <c r="AD381" s="670">
        <v>12</v>
      </c>
      <c r="AE381" s="670">
        <f>IF('Objet 2 à 6'!Lnec5&lt;100,3,4)</f>
        <v>3</v>
      </c>
      <c r="AF381" s="670"/>
      <c r="AG381" s="671"/>
    </row>
    <row r="382" spans="1:33" x14ac:dyDescent="0.3">
      <c r="A382" s="669" t="s">
        <v>372</v>
      </c>
      <c r="B382" s="670"/>
      <c r="C382" s="670"/>
      <c r="D382" s="670"/>
      <c r="E382" s="670"/>
      <c r="F382" s="670"/>
      <c r="G382" s="670"/>
      <c r="H382" s="670"/>
      <c r="I382" s="670"/>
      <c r="J382" s="670"/>
      <c r="K382" s="670"/>
      <c r="L382" s="670"/>
      <c r="M382" s="670"/>
      <c r="N382" s="670" t="str">
        <f>IF('Objet 2 à 6'!nbcal5="PU","PU 30 mm",IF('Objet 2 à 6'!nbcal5="Ethafoam","Ethafoam 30 mm",IF('Objet 2 à 6'!nbcal5="Stratocell","Stratocell 30 mm",0)))</f>
        <v>PU 30 mm</v>
      </c>
      <c r="O382" s="670">
        <f>'Objet 2 à 6'!Lnec5</f>
        <v>0</v>
      </c>
      <c r="P382" s="670">
        <v>12</v>
      </c>
      <c r="Q382" s="670">
        <f>IF('Objet 2 à 6'!hnec5&lt;80,4,6)</f>
        <v>4</v>
      </c>
      <c r="R382" s="670" t="str">
        <f>IF('Objet 2 à 6'!nbcal5="PU","PU 30 mm",IF('Objet 2 à 6'!nbcal5="Ethafoam","Ethafoam 30 mm",IF('Objet 2 à 6'!nbcal5="Stratocell","Stratocell 30 mm",0)))</f>
        <v>PU 30 mm</v>
      </c>
      <c r="S382" s="670">
        <f>'Objet 2 à 6'!lanec5-6</f>
        <v>-6</v>
      </c>
      <c r="T382" s="670">
        <v>12</v>
      </c>
      <c r="U382" s="670">
        <f t="shared" si="156"/>
        <v>4</v>
      </c>
      <c r="V382" s="670" t="str">
        <f>'Objet 2 à 6'!Base5</f>
        <v>Aucun</v>
      </c>
      <c r="W382" s="670">
        <f t="shared" si="154"/>
        <v>0</v>
      </c>
      <c r="X382" s="670">
        <f>VLOOKUP('Objet 2 à 6'!plat5,$A$274:$B$280,2)</f>
        <v>0</v>
      </c>
      <c r="Y382" s="670">
        <f>'Objet 2 à 6'!Lnec5</f>
        <v>0</v>
      </c>
      <c r="Z382" s="670">
        <f>'Objet 2 à 6'!lanec5</f>
        <v>0</v>
      </c>
      <c r="AA382" s="670">
        <f t="shared" si="155"/>
        <v>0</v>
      </c>
      <c r="AB382" s="670" t="str">
        <f>IF('Objet 2 à 6'!nbcal5="PU","PU 30 mm",IF('Objet 2 à 6'!nbcal5="Ethafoam","Ethafoam 30 mm",IF('Objet 2 à 6'!nbcal5="Stratocell","Stratocell 30 mm",0)))</f>
        <v>PU 30 mm</v>
      </c>
      <c r="AC382" s="670">
        <f>'Objet 2 à 6'!lanec5</f>
        <v>0</v>
      </c>
      <c r="AD382" s="670">
        <v>12</v>
      </c>
      <c r="AE382" s="670">
        <f>IF('Objet 2 à 6'!Lnec5&lt;100,3,4)</f>
        <v>3</v>
      </c>
      <c r="AF382" s="670"/>
      <c r="AG382" s="671"/>
    </row>
    <row r="383" spans="1:33" x14ac:dyDescent="0.3">
      <c r="A383" s="669" t="s">
        <v>324</v>
      </c>
      <c r="B383" s="670"/>
      <c r="C383" s="670"/>
      <c r="D383" s="670"/>
      <c r="E383" s="670"/>
      <c r="F383" s="670"/>
      <c r="G383" s="670"/>
      <c r="H383" s="670"/>
      <c r="I383" s="670"/>
      <c r="J383" s="670"/>
      <c r="K383" s="670"/>
      <c r="L383" s="670"/>
      <c r="M383" s="670"/>
      <c r="N383" s="670" t="s">
        <v>27</v>
      </c>
      <c r="O383" s="670">
        <f>'Objet 2 à 6'!Lnec5-0.3</f>
        <v>-0.3</v>
      </c>
      <c r="P383" s="670">
        <f>'Objet 2 à 6'!lanec5-0.3</f>
        <v>-0.3</v>
      </c>
      <c r="Q383" s="670">
        <f>('Objet 2 à 6'!hnec5-AA383)/5</f>
        <v>0</v>
      </c>
      <c r="R383" s="670"/>
      <c r="S383" s="670"/>
      <c r="T383" s="670"/>
      <c r="U383" s="670"/>
      <c r="V383" s="670" t="str">
        <f>'Objet 2 à 6'!Base5</f>
        <v>Aucun</v>
      </c>
      <c r="W383" s="670">
        <f t="shared" si="154"/>
        <v>0</v>
      </c>
      <c r="X383" s="670">
        <f>VLOOKUP('Objet 2 à 6'!plat5,$A$274:$B$280,2)</f>
        <v>0</v>
      </c>
      <c r="Y383" s="670">
        <f>'Objet 2 à 6'!Lnec5</f>
        <v>0</v>
      </c>
      <c r="Z383" s="670">
        <f>'Objet 2 à 6'!lanec5</f>
        <v>0</v>
      </c>
      <c r="AA383" s="670">
        <f t="shared" si="155"/>
        <v>0</v>
      </c>
      <c r="AB383" s="670"/>
      <c r="AC383" s="670"/>
      <c r="AD383" s="670"/>
      <c r="AE383" s="670"/>
      <c r="AF383" s="670"/>
      <c r="AG383" s="671"/>
    </row>
    <row r="384" spans="1:33" x14ac:dyDescent="0.3">
      <c r="A384" s="669" t="s">
        <v>325</v>
      </c>
      <c r="B384" s="670"/>
      <c r="C384" s="670"/>
      <c r="D384" s="670"/>
      <c r="E384" s="670"/>
      <c r="F384" s="670"/>
      <c r="G384" s="670"/>
      <c r="H384" s="670"/>
      <c r="I384" s="670"/>
      <c r="J384" s="670"/>
      <c r="K384" s="670"/>
      <c r="L384" s="670"/>
      <c r="M384" s="670"/>
      <c r="N384" s="670" t="s">
        <v>27</v>
      </c>
      <c r="O384" s="670">
        <f>'Objet 2 à 6'!Lnec5-0.3</f>
        <v>-0.3</v>
      </c>
      <c r="P384" s="670">
        <f>'Objet 2 à 6'!hnec5-AA384</f>
        <v>0</v>
      </c>
      <c r="Q384" s="670">
        <f>'Objet 2 à 6'!lanec5/5</f>
        <v>0</v>
      </c>
      <c r="R384" s="670"/>
      <c r="S384" s="670"/>
      <c r="T384" s="670"/>
      <c r="U384" s="670"/>
      <c r="V384" s="670" t="str">
        <f>'Objet 2 à 6'!Base5</f>
        <v>Aucun</v>
      </c>
      <c r="W384" s="670">
        <f t="shared" si="154"/>
        <v>0</v>
      </c>
      <c r="X384" s="670">
        <f>VLOOKUP('Objet 2 à 6'!plat5,$A$274:$B$280,2)</f>
        <v>0</v>
      </c>
      <c r="Y384" s="670">
        <f>'Objet 2 à 6'!Lnec5</f>
        <v>0</v>
      </c>
      <c r="Z384" s="670">
        <f>'Objet 2 à 6'!lanec5</f>
        <v>0</v>
      </c>
      <c r="AA384" s="670">
        <f t="shared" si="155"/>
        <v>0</v>
      </c>
      <c r="AB384" s="670"/>
      <c r="AC384" s="670"/>
      <c r="AD384" s="670"/>
      <c r="AE384" s="670"/>
      <c r="AF384" s="670"/>
      <c r="AG384" s="671"/>
    </row>
    <row r="385" spans="1:33" x14ac:dyDescent="0.3">
      <c r="A385" s="669" t="s">
        <v>326</v>
      </c>
      <c r="B385" s="670" t="s">
        <v>354</v>
      </c>
      <c r="C385" s="670">
        <f>'Objet 2 à 6'!Lnec5</f>
        <v>0</v>
      </c>
      <c r="D385" s="670">
        <v>9.4</v>
      </c>
      <c r="E385" s="670">
        <f>1</f>
        <v>1</v>
      </c>
      <c r="F385" s="670" t="s">
        <v>355</v>
      </c>
      <c r="G385" s="670">
        <f>'Objet 2 à 6'!Lnec5</f>
        <v>0</v>
      </c>
      <c r="H385" s="670" t="e">
        <f t="shared" ref="H385:H386" si="157">VLOOKUP($I$36,$A$295:$D$297,2)</f>
        <v>#N/A</v>
      </c>
      <c r="I385" s="670" t="e">
        <f>'Objet 2 à 6'!nbcal5*2</f>
        <v>#VALUE!</v>
      </c>
      <c r="J385" s="670" t="s">
        <v>349</v>
      </c>
      <c r="K385" s="670">
        <f>'Objet 2 à 6'!lanec5</f>
        <v>0</v>
      </c>
      <c r="L385" s="670">
        <v>7</v>
      </c>
      <c r="M385" s="670" t="e">
        <f>'Objet 2 à 6'!nbcal5*4</f>
        <v>#VALUE!</v>
      </c>
      <c r="N385" s="670" t="e">
        <f t="shared" ref="N385:N386" si="158">VLOOKUP($I$36,$A$295:$D$297,3)</f>
        <v>#N/A</v>
      </c>
      <c r="O385" s="670">
        <f>'Objet 2 à 6'!Lnec5</f>
        <v>0</v>
      </c>
      <c r="P385" s="670">
        <f>'Objet 2 à 6'!lanec5-4.2</f>
        <v>-4.2</v>
      </c>
      <c r="Q385" s="670" t="str">
        <f>'Objet 2 à 6'!nbcal5</f>
        <v>PU</v>
      </c>
      <c r="R385" s="670" t="e">
        <f>VLOOKUP($I$36,$A$295:$D$297,4)</f>
        <v>#N/A</v>
      </c>
      <c r="S385" s="670">
        <f>'Objet 2 à 6'!lanec5</f>
        <v>0</v>
      </c>
      <c r="T385" s="670">
        <f>IF('Objet 2 à 6'!hnec5&lt;120,9.4,14.4)</f>
        <v>9.4</v>
      </c>
      <c r="U385" s="670">
        <f>1</f>
        <v>1</v>
      </c>
      <c r="V385" s="670" t="str">
        <f>'Objet 2 à 6'!Base5</f>
        <v>Aucun</v>
      </c>
      <c r="W385" s="670">
        <f t="shared" si="154"/>
        <v>0</v>
      </c>
      <c r="X385" s="670">
        <f>VLOOKUP('Objet 2 à 6'!plat5,$A$274:$B$280,2)</f>
        <v>0</v>
      </c>
      <c r="Y385" s="670">
        <f>'Objet 2 à 6'!Lnec5</f>
        <v>0</v>
      </c>
      <c r="Z385" s="670">
        <f>'Objet 2 à 6'!lanec5</f>
        <v>0</v>
      </c>
      <c r="AA385" s="670">
        <f t="shared" si="155"/>
        <v>0</v>
      </c>
      <c r="AB385" s="670"/>
      <c r="AC385" s="670"/>
      <c r="AD385" s="670"/>
      <c r="AE385" s="670"/>
      <c r="AF385" s="670"/>
      <c r="AG385" s="671"/>
    </row>
    <row r="386" spans="1:33" x14ac:dyDescent="0.3">
      <c r="A386" s="669" t="s">
        <v>328</v>
      </c>
      <c r="B386" s="670"/>
      <c r="C386" s="670"/>
      <c r="D386" s="670"/>
      <c r="E386" s="670"/>
      <c r="F386" s="670" t="s">
        <v>355</v>
      </c>
      <c r="G386" s="670">
        <f>'Objet 2 à 6'!lanec5</f>
        <v>0</v>
      </c>
      <c r="H386" s="670" t="e">
        <f t="shared" si="157"/>
        <v>#N/A</v>
      </c>
      <c r="I386" s="670" t="str">
        <f>'Objet 2 à 6'!nbcal5</f>
        <v>PU</v>
      </c>
      <c r="J386" s="670" t="s">
        <v>349</v>
      </c>
      <c r="K386" s="670">
        <f>'Objet 2 à 6'!hnec5-AA386</f>
        <v>0</v>
      </c>
      <c r="L386" s="670">
        <v>7</v>
      </c>
      <c r="M386" s="670" t="e">
        <f>'Objet 2 à 6'!nbcal5*4</f>
        <v>#VALUE!</v>
      </c>
      <c r="N386" s="670" t="e">
        <f t="shared" si="158"/>
        <v>#N/A</v>
      </c>
      <c r="O386" s="670">
        <f>'Objet 2 à 6'!lanec5</f>
        <v>0</v>
      </c>
      <c r="P386" s="670">
        <f>'Objet 2 à 6'!hnec5-2.1-AA386</f>
        <v>-2.1</v>
      </c>
      <c r="Q386" s="670" t="str">
        <f>'Objet 2 à 6'!nbcal5</f>
        <v>PU</v>
      </c>
      <c r="R386" s="670"/>
      <c r="S386" s="670"/>
      <c r="T386" s="670"/>
      <c r="U386" s="670"/>
      <c r="V386" s="670" t="str">
        <f>'Objet 2 à 6'!Base5</f>
        <v>Aucun</v>
      </c>
      <c r="W386" s="670">
        <f t="shared" si="154"/>
        <v>0</v>
      </c>
      <c r="X386" s="670">
        <f>VLOOKUP('Objet 2 à 6'!plat5,$A$274:$B$280,2)</f>
        <v>0</v>
      </c>
      <c r="Y386" s="670">
        <f>'Objet 2 à 6'!Lnec5</f>
        <v>0</v>
      </c>
      <c r="Z386" s="670">
        <f>'Objet 2 à 6'!lanec5</f>
        <v>0</v>
      </c>
      <c r="AA386" s="670">
        <f t="shared" si="155"/>
        <v>0</v>
      </c>
      <c r="AB386" s="670"/>
      <c r="AC386" s="670"/>
      <c r="AD386" s="670"/>
      <c r="AE386" s="670"/>
      <c r="AF386" s="670"/>
      <c r="AG386" s="671"/>
    </row>
    <row r="387" spans="1:33" ht="28.8" x14ac:dyDescent="0.3">
      <c r="A387" s="669" t="s">
        <v>373</v>
      </c>
      <c r="B387" s="670"/>
      <c r="C387" s="670"/>
      <c r="D387" s="670"/>
      <c r="E387" s="670"/>
      <c r="F387" s="670"/>
      <c r="G387" s="670"/>
      <c r="H387" s="670"/>
      <c r="I387" s="670"/>
      <c r="J387" s="670"/>
      <c r="K387" s="670"/>
      <c r="L387" s="670"/>
      <c r="M387" s="670"/>
      <c r="N387" s="670" t="str">
        <f>IF('Objet 2 à 6'!nbcal5="PU","PU 50 mm",IF('Objet 2 à 6'!nbcal5="Ethafoam","Ethafoam 50 mm",IF('Objet 2 à 6'!nbcal5="Stratocell","Stratocell 50 mm",0)))</f>
        <v>PU 50 mm</v>
      </c>
      <c r="O387" s="670">
        <f>'Objet 2 à 6'!Lnec5</f>
        <v>0</v>
      </c>
      <c r="P387" s="670">
        <f>'Objet 2 à 6'!lanec5</f>
        <v>0</v>
      </c>
      <c r="Q387" s="670">
        <v>1</v>
      </c>
      <c r="R387" s="670" t="str">
        <f>IF('Objet 2 à 6'!nbcal5="PU","PU 50 mm",IF('Objet 2 à 6'!nbcal5="Ethafoam","Ethafoam 50 mm",IF('Objet 2 à 6'!nbcal5="Stratocell","Stratocell 50 mm",0)))</f>
        <v>PU 50 mm</v>
      </c>
      <c r="S387" s="670">
        <f>'Objet 2 à 6'!Lnec5</f>
        <v>0</v>
      </c>
      <c r="T387" s="670">
        <f>'Objet 2 à 6'!hnec5-5-AA387</f>
        <v>-5</v>
      </c>
      <c r="U387" s="670">
        <v>2</v>
      </c>
      <c r="V387" s="670" t="str">
        <f>'Objet 2 à 6'!Base5</f>
        <v>Aucun</v>
      </c>
      <c r="W387" s="670">
        <f t="shared" si="154"/>
        <v>0</v>
      </c>
      <c r="X387" s="670">
        <f>VLOOKUP('Objet 2 à 6'!plat5,$A$274:$B$280,2)</f>
        <v>0</v>
      </c>
      <c r="Y387" s="670">
        <f>'Objet 2 à 6'!Lnec5</f>
        <v>0</v>
      </c>
      <c r="Z387" s="670">
        <f>'Objet 2 à 6'!lanec5</f>
        <v>0</v>
      </c>
      <c r="AA387" s="670">
        <f t="shared" si="155"/>
        <v>0</v>
      </c>
      <c r="AB387" s="670" t="str">
        <f>IF('Objet 2 à 6'!nbcal5="PU","PU 50 mm",IF('Objet 2 à 6'!nbcal5="Ethafoam","Ethafoam 50 mm",IF('Objet 2 à 6'!nbcal5="Stratocell","Stratocell 50 mm",0)))</f>
        <v>PU 50 mm</v>
      </c>
      <c r="AC387" s="670">
        <f>'Objet 2 à 6'!lanec5-10</f>
        <v>-10</v>
      </c>
      <c r="AD387" s="670">
        <f>'Objet 2 à 6'!hnec5-5-AA387</f>
        <v>-5</v>
      </c>
      <c r="AE387" s="670">
        <v>2</v>
      </c>
      <c r="AF387" s="670"/>
      <c r="AG387" s="671"/>
    </row>
    <row r="388" spans="1:33" x14ac:dyDescent="0.3">
      <c r="A388" s="678" t="s">
        <v>374</v>
      </c>
      <c r="B388" s="679"/>
      <c r="C388" s="679"/>
      <c r="D388" s="679"/>
      <c r="E388" s="679"/>
      <c r="F388" s="679"/>
      <c r="G388" s="679"/>
      <c r="H388" s="679"/>
      <c r="I388" s="679"/>
      <c r="J388" s="679"/>
      <c r="K388" s="679"/>
      <c r="L388" s="679"/>
      <c r="M388" s="679"/>
      <c r="N388" s="670" t="str">
        <f>IF('Objet 2 à 6'!nbcal5="PU","PU 30 mm",IF('Objet 2 à 6'!nbcal5="Ethafoam","Ethafoam 30 mm",IF('Objet 2 à 6'!nbcal5="Stratocell","Stratocell 30 mm",0)))</f>
        <v>PU 30 mm</v>
      </c>
      <c r="O388" s="679">
        <f>'Objet 2 à 6'!Lnec5</f>
        <v>0</v>
      </c>
      <c r="P388" s="679">
        <f>'Objet 2 à 6'!lanec5</f>
        <v>0</v>
      </c>
      <c r="Q388" s="679">
        <v>1</v>
      </c>
      <c r="R388" s="670" t="str">
        <f>IF('Objet 2 à 6'!nbcal5="PU","PU 30 mm",IF('Objet 2 à 6'!nbcal5="Ethafoam","Ethafoam 30 mm",IF('Objet 2 à 6'!nbcal5="Stratocell","Stratocell 30 mm",0)))</f>
        <v>PU 30 mm</v>
      </c>
      <c r="S388" s="670">
        <f>'Objet 2 à 6'!Lnec5</f>
        <v>0</v>
      </c>
      <c r="T388" s="679">
        <f>'Objet 2 à 6'!hnec5-3-AA388</f>
        <v>-3</v>
      </c>
      <c r="U388" s="679">
        <v>2</v>
      </c>
      <c r="V388" s="679" t="str">
        <f>'Objet 2 à 6'!Base5</f>
        <v>Aucun</v>
      </c>
      <c r="W388" s="670">
        <f t="shared" si="154"/>
        <v>0</v>
      </c>
      <c r="X388" s="670">
        <f>VLOOKUP('Objet 2 à 6'!plat5,$A$274:$B$280,2)</f>
        <v>0</v>
      </c>
      <c r="Y388" s="670">
        <f>'Objet 2 à 6'!Lnec5</f>
        <v>0</v>
      </c>
      <c r="Z388" s="670">
        <f>'Objet 2 à 6'!lanec5</f>
        <v>0</v>
      </c>
      <c r="AA388" s="679">
        <f t="shared" si="155"/>
        <v>0</v>
      </c>
      <c r="AB388" s="670" t="str">
        <f>IF('Objet 2 à 6'!nbcal5="PU","PU 30 mm",IF('Objet 2 à 6'!nbcal5="Ethafoam","Ethafoam 30 mm",IF('Objet 2 à 6'!nbcal5="Stratocell","Stratocell 30 mm",0)))</f>
        <v>PU 30 mm</v>
      </c>
      <c r="AC388" s="679">
        <f>'Objet 2 à 6'!lanec5-6</f>
        <v>-6</v>
      </c>
      <c r="AD388" s="679">
        <f>'Objet 2 à 6'!hnec5-3-AA388</f>
        <v>-3</v>
      </c>
      <c r="AE388" s="679">
        <v>2</v>
      </c>
      <c r="AF388" s="679"/>
      <c r="AG388" s="680"/>
    </row>
    <row r="389" spans="1:33" ht="18" x14ac:dyDescent="0.35">
      <c r="A389" s="559"/>
      <c r="B389" s="559"/>
      <c r="C389" s="559"/>
      <c r="D389" s="559"/>
      <c r="E389" s="559"/>
      <c r="F389" s="559"/>
      <c r="G389" s="559"/>
      <c r="H389" s="559"/>
      <c r="I389" s="559"/>
      <c r="J389" s="559"/>
      <c r="K389" s="559"/>
      <c r="L389" s="559"/>
      <c r="M389" s="559"/>
      <c r="N389" s="559"/>
      <c r="O389" s="559"/>
      <c r="P389" s="559"/>
      <c r="Q389" s="559"/>
      <c r="R389" s="559"/>
      <c r="S389" s="559"/>
      <c r="T389" s="559"/>
      <c r="U389" s="559"/>
      <c r="V389" s="559"/>
      <c r="W389" s="559"/>
      <c r="X389" s="559"/>
      <c r="Y389" s="559"/>
      <c r="Z389" s="559"/>
      <c r="AA389" s="559"/>
      <c r="AB389" s="559"/>
      <c r="AC389" s="559"/>
      <c r="AD389" s="559"/>
      <c r="AE389" s="559"/>
      <c r="AF389" s="559"/>
      <c r="AG389" s="559"/>
    </row>
    <row r="390" spans="1:33" x14ac:dyDescent="0.3">
      <c r="A390" s="660">
        <v>1</v>
      </c>
      <c r="B390" s="661">
        <f t="shared" ref="B390:V390" si="159">A390+1</f>
        <v>2</v>
      </c>
      <c r="C390" s="661">
        <f t="shared" si="159"/>
        <v>3</v>
      </c>
      <c r="D390" s="661">
        <f t="shared" si="159"/>
        <v>4</v>
      </c>
      <c r="E390" s="661">
        <f t="shared" si="159"/>
        <v>5</v>
      </c>
      <c r="F390" s="661">
        <f t="shared" si="159"/>
        <v>6</v>
      </c>
      <c r="G390" s="661">
        <f t="shared" si="159"/>
        <v>7</v>
      </c>
      <c r="H390" s="661">
        <f t="shared" si="159"/>
        <v>8</v>
      </c>
      <c r="I390" s="661">
        <f t="shared" si="159"/>
        <v>9</v>
      </c>
      <c r="J390" s="661">
        <f t="shared" si="159"/>
        <v>10</v>
      </c>
      <c r="K390" s="661">
        <f t="shared" si="159"/>
        <v>11</v>
      </c>
      <c r="L390" s="661">
        <f t="shared" si="159"/>
        <v>12</v>
      </c>
      <c r="M390" s="661">
        <f t="shared" si="159"/>
        <v>13</v>
      </c>
      <c r="N390" s="661">
        <f t="shared" si="159"/>
        <v>14</v>
      </c>
      <c r="O390" s="661">
        <f t="shared" si="159"/>
        <v>15</v>
      </c>
      <c r="P390" s="661">
        <f t="shared" si="159"/>
        <v>16</v>
      </c>
      <c r="Q390" s="661">
        <f t="shared" si="159"/>
        <v>17</v>
      </c>
      <c r="R390" s="661">
        <f t="shared" si="159"/>
        <v>18</v>
      </c>
      <c r="S390" s="661">
        <f t="shared" si="159"/>
        <v>19</v>
      </c>
      <c r="T390" s="661">
        <f t="shared" si="159"/>
        <v>20</v>
      </c>
      <c r="U390" s="661">
        <f t="shared" si="159"/>
        <v>21</v>
      </c>
      <c r="V390" s="661">
        <f t="shared" si="159"/>
        <v>22</v>
      </c>
      <c r="W390" s="661">
        <v>23</v>
      </c>
      <c r="X390" s="661">
        <v>24</v>
      </c>
      <c r="Y390" s="661">
        <v>25</v>
      </c>
      <c r="Z390" s="661">
        <f t="shared" ref="Z390:AG390" si="160">Y390+1</f>
        <v>26</v>
      </c>
      <c r="AA390" s="661">
        <f t="shared" si="160"/>
        <v>27</v>
      </c>
      <c r="AB390" s="661">
        <f t="shared" si="160"/>
        <v>28</v>
      </c>
      <c r="AC390" s="661">
        <f t="shared" si="160"/>
        <v>29</v>
      </c>
      <c r="AD390" s="661">
        <f t="shared" si="160"/>
        <v>30</v>
      </c>
      <c r="AE390" s="661">
        <f t="shared" si="160"/>
        <v>31</v>
      </c>
      <c r="AF390" s="661">
        <f t="shared" si="160"/>
        <v>32</v>
      </c>
      <c r="AG390" s="662">
        <f t="shared" si="160"/>
        <v>33</v>
      </c>
    </row>
    <row r="391" spans="1:33" ht="28.8" x14ac:dyDescent="0.3">
      <c r="A391" s="717" t="s">
        <v>385</v>
      </c>
      <c r="B391" s="670" t="s">
        <v>348</v>
      </c>
      <c r="C391" s="670" t="s">
        <v>28</v>
      </c>
      <c r="D391" s="670" t="s">
        <v>33</v>
      </c>
      <c r="E391" s="670" t="s">
        <v>34</v>
      </c>
      <c r="F391" s="670" t="s">
        <v>348</v>
      </c>
      <c r="G391" s="670" t="s">
        <v>28</v>
      </c>
      <c r="H391" s="670" t="s">
        <v>33</v>
      </c>
      <c r="I391" s="670" t="s">
        <v>34</v>
      </c>
      <c r="J391" s="670" t="s">
        <v>349</v>
      </c>
      <c r="K391" s="670" t="s">
        <v>28</v>
      </c>
      <c r="L391" s="670" t="s">
        <v>33</v>
      </c>
      <c r="M391" s="670" t="s">
        <v>34</v>
      </c>
      <c r="N391" s="670"/>
      <c r="O391" s="670" t="s">
        <v>28</v>
      </c>
      <c r="P391" s="670" t="s">
        <v>33</v>
      </c>
      <c r="Q391" s="670" t="s">
        <v>34</v>
      </c>
      <c r="R391" s="670"/>
      <c r="S391" s="670" t="s">
        <v>28</v>
      </c>
      <c r="T391" s="670" t="s">
        <v>33</v>
      </c>
      <c r="U391" s="670" t="s">
        <v>34</v>
      </c>
      <c r="V391" s="670" t="s">
        <v>308</v>
      </c>
      <c r="W391" s="670" t="s">
        <v>350</v>
      </c>
      <c r="X391" s="670" t="s">
        <v>351</v>
      </c>
      <c r="Y391" s="670" t="s">
        <v>28</v>
      </c>
      <c r="Z391" s="670" t="s">
        <v>33</v>
      </c>
      <c r="AA391" s="670" t="s">
        <v>269</v>
      </c>
      <c r="AB391" s="670"/>
      <c r="AC391" s="670" t="s">
        <v>28</v>
      </c>
      <c r="AD391" s="670" t="s">
        <v>33</v>
      </c>
      <c r="AE391" s="670" t="s">
        <v>34</v>
      </c>
      <c r="AF391" s="670"/>
      <c r="AG391" s="671"/>
    </row>
    <row r="392" spans="1:33" x14ac:dyDescent="0.3">
      <c r="A392" s="669" t="s">
        <v>16</v>
      </c>
      <c r="B392" s="670">
        <v>0</v>
      </c>
      <c r="C392" s="670">
        <v>0</v>
      </c>
      <c r="D392" s="670">
        <v>0</v>
      </c>
      <c r="E392" s="670">
        <v>0</v>
      </c>
      <c r="F392" s="670">
        <v>0</v>
      </c>
      <c r="G392" s="670">
        <v>0</v>
      </c>
      <c r="H392" s="670">
        <v>0</v>
      </c>
      <c r="I392" s="670">
        <v>0</v>
      </c>
      <c r="J392" s="670">
        <v>0</v>
      </c>
      <c r="K392" s="670">
        <v>0</v>
      </c>
      <c r="L392" s="670">
        <v>0</v>
      </c>
      <c r="M392" s="670">
        <v>0</v>
      </c>
      <c r="N392" s="670">
        <v>0</v>
      </c>
      <c r="O392" s="670">
        <v>0</v>
      </c>
      <c r="P392" s="670">
        <v>0</v>
      </c>
      <c r="Q392" s="670">
        <v>0</v>
      </c>
      <c r="R392" s="670">
        <v>0</v>
      </c>
      <c r="S392" s="670">
        <v>0</v>
      </c>
      <c r="T392" s="670">
        <v>0</v>
      </c>
      <c r="U392" s="670">
        <v>0</v>
      </c>
      <c r="V392" s="670">
        <v>0</v>
      </c>
      <c r="W392" s="670">
        <v>0</v>
      </c>
      <c r="X392" s="670">
        <v>0</v>
      </c>
      <c r="Y392" s="670">
        <v>0</v>
      </c>
      <c r="Z392" s="670">
        <v>0</v>
      </c>
      <c r="AA392" s="670">
        <v>0</v>
      </c>
      <c r="AB392" s="670">
        <v>0</v>
      </c>
      <c r="AC392" s="670">
        <v>0</v>
      </c>
      <c r="AD392" s="670">
        <v>0</v>
      </c>
      <c r="AE392" s="670">
        <v>0</v>
      </c>
      <c r="AF392" s="670">
        <v>0</v>
      </c>
      <c r="AG392" s="671">
        <v>0</v>
      </c>
    </row>
    <row r="393" spans="1:33" x14ac:dyDescent="0.3">
      <c r="A393" s="669" t="s">
        <v>316</v>
      </c>
      <c r="B393" s="670" t="s">
        <v>352</v>
      </c>
      <c r="C393" s="670">
        <f>'Objet 2 à 6'!Lnec6</f>
        <v>0</v>
      </c>
      <c r="D393" s="670">
        <v>9.4</v>
      </c>
      <c r="E393" s="670">
        <f>'Objet 2 à 6'!nbcal6*4+1</f>
        <v>9</v>
      </c>
      <c r="F393" s="670" t="s">
        <v>353</v>
      </c>
      <c r="G393" s="670">
        <f>'Objet 2 à 6'!lanec6</f>
        <v>0</v>
      </c>
      <c r="H393" s="670">
        <f>IF('Objet 2 à 6'!hnec6&lt;120,9.4,14.4)</f>
        <v>9.4</v>
      </c>
      <c r="I393" s="670">
        <f>'Objet 2 à 6'!nbcal6*2</f>
        <v>4</v>
      </c>
      <c r="J393" s="670" t="s">
        <v>349</v>
      </c>
      <c r="K393" s="670">
        <f>'Objet 2 à 6'!lanec6</f>
        <v>0</v>
      </c>
      <c r="L393" s="670">
        <v>7</v>
      </c>
      <c r="M393" s="670">
        <f>'Objet 2 à 6'!nbcal6*4</f>
        <v>8</v>
      </c>
      <c r="N393" s="670" t="e">
        <f t="shared" ref="N393:N394" si="161">VLOOKUP($I$43,$A$295:$D$297,3)</f>
        <v>#N/A</v>
      </c>
      <c r="O393" s="670">
        <f>'Objet 2 à 6'!Lnec6</f>
        <v>0</v>
      </c>
      <c r="P393" s="670">
        <f>IF('Objet 2 à 6'!hnec6&lt;120,9.4,14.4)</f>
        <v>9.4</v>
      </c>
      <c r="Q393" s="670">
        <f>'Objet 2 à 6'!nbcal6*2+1</f>
        <v>5</v>
      </c>
      <c r="R393" s="670" t="e">
        <f t="shared" ref="R393:R394" si="162">VLOOKUP($I$43,$A$295:$D$297,4)</f>
        <v>#N/A</v>
      </c>
      <c r="S393" s="670"/>
      <c r="T393" s="670"/>
      <c r="U393" s="670"/>
      <c r="V393" s="670" t="str">
        <f>'Objet 2 à 6'!Base6</f>
        <v>Aucun</v>
      </c>
      <c r="W393" s="670">
        <f t="shared" ref="W393:W402" si="163">VLOOKUP(V393,$A$283:$C$293,3)</f>
        <v>0</v>
      </c>
      <c r="X393" s="670">
        <f>VLOOKUP('Objet 2 à 6'!plat6,$A$274:$B$280,2)</f>
        <v>0</v>
      </c>
      <c r="Y393" s="670">
        <f>'Objet 2 à 6'!Lnec6</f>
        <v>0</v>
      </c>
      <c r="Z393" s="670">
        <f>'Objet 2 à 6'!lanec6</f>
        <v>0</v>
      </c>
      <c r="AA393" s="670">
        <f t="shared" ref="AA393:AA402" si="164">W393+X393</f>
        <v>0</v>
      </c>
      <c r="AB393" s="670"/>
      <c r="AC393" s="670"/>
      <c r="AD393" s="670"/>
      <c r="AE393" s="670"/>
      <c r="AF393" s="670"/>
      <c r="AG393" s="671"/>
    </row>
    <row r="394" spans="1:33" x14ac:dyDescent="0.3">
      <c r="A394" s="669" t="s">
        <v>319</v>
      </c>
      <c r="B394" s="670" t="s">
        <v>352</v>
      </c>
      <c r="C394" s="670">
        <f>'Objet 2 à 6'!Lnec6</f>
        <v>0</v>
      </c>
      <c r="D394" s="670">
        <v>9.4</v>
      </c>
      <c r="E394" s="670">
        <f>'Objet 2 à 6'!nbcal6*2+1</f>
        <v>5</v>
      </c>
      <c r="F394" s="670" t="s">
        <v>353</v>
      </c>
      <c r="G394" s="670">
        <f>'Objet 2 à 6'!lanec6</f>
        <v>0</v>
      </c>
      <c r="H394" s="670">
        <f>IF('Objet 2 à 6'!hnec6&lt;120,9.4,14.4)</f>
        <v>9.4</v>
      </c>
      <c r="I394" s="670">
        <f>'Objet 2 à 6'!nbcal6*2</f>
        <v>4</v>
      </c>
      <c r="J394" s="670"/>
      <c r="K394" s="670"/>
      <c r="L394" s="670"/>
      <c r="M394" s="670"/>
      <c r="N394" s="670" t="e">
        <f t="shared" si="161"/>
        <v>#N/A</v>
      </c>
      <c r="O394" s="670">
        <f>'Objet 2 à 6'!Lnec6</f>
        <v>0</v>
      </c>
      <c r="P394" s="670">
        <f>IF('Objet 2 à 6'!hnec6&lt;120,9.4,14.4)</f>
        <v>9.4</v>
      </c>
      <c r="Q394" s="670">
        <f>'Objet 2 à 6'!nbcal6*2+1</f>
        <v>5</v>
      </c>
      <c r="R394" s="670" t="e">
        <f t="shared" si="162"/>
        <v>#N/A</v>
      </c>
      <c r="S394" s="670">
        <f>'Objet 2 à 6'!lanec6</f>
        <v>0</v>
      </c>
      <c r="T394" s="670">
        <f>IF('Objet 2 à 6'!hnec6&lt;120,9.4,14.4)</f>
        <v>9.4</v>
      </c>
      <c r="U394" s="670">
        <f>'Objet 2 à 6'!nbcal6*2</f>
        <v>4</v>
      </c>
      <c r="V394" s="670" t="str">
        <f>'Objet 2 à 6'!Base6</f>
        <v>Aucun</v>
      </c>
      <c r="W394" s="670">
        <f t="shared" si="163"/>
        <v>0</v>
      </c>
      <c r="X394" s="670">
        <f>VLOOKUP('Objet 2 à 6'!plat6,$A$274:$B$280,2)</f>
        <v>0</v>
      </c>
      <c r="Y394" s="670">
        <f>'Objet 2 à 6'!Lnec6</f>
        <v>0</v>
      </c>
      <c r="Z394" s="670">
        <f>'Objet 2 à 6'!lanec6</f>
        <v>0</v>
      </c>
      <c r="AA394" s="670">
        <f t="shared" si="164"/>
        <v>0</v>
      </c>
      <c r="AB394" s="670"/>
      <c r="AC394" s="670"/>
      <c r="AD394" s="670"/>
      <c r="AE394" s="670"/>
      <c r="AF394" s="670"/>
      <c r="AG394" s="671"/>
    </row>
    <row r="395" spans="1:33" ht="28.8" x14ac:dyDescent="0.3">
      <c r="A395" s="669" t="s">
        <v>371</v>
      </c>
      <c r="B395" s="670"/>
      <c r="C395" s="670"/>
      <c r="D395" s="670"/>
      <c r="E395" s="670"/>
      <c r="F395" s="670"/>
      <c r="G395" s="670"/>
      <c r="H395" s="670"/>
      <c r="I395" s="670"/>
      <c r="J395" s="670"/>
      <c r="K395" s="670"/>
      <c r="L395" s="670"/>
      <c r="M395" s="670"/>
      <c r="N395" s="670">
        <f>IF('Objet 2 à 6'!nbcal6="PU","PU 50 mm",IF('Objet 2 à 6'!nbcal6="Ethafoam","Ethafoam 50 mm",IF('Objet 2 à 6'!nbcal6="Stratocell","Stratocell 50 mm",0)))</f>
        <v>0</v>
      </c>
      <c r="O395" s="670">
        <f>'Objet 2 à 6'!Lnec6</f>
        <v>0</v>
      </c>
      <c r="P395" s="670">
        <v>12</v>
      </c>
      <c r="Q395" s="670">
        <f>IF('Objet 2 à 6'!hnec6&lt;80,4,6)</f>
        <v>4</v>
      </c>
      <c r="R395" s="670">
        <f>IF('Objet 2 à 6'!nbcal6="PU","PU 50 mm",IF('Objet 2 à 6'!nbcal6="Ethafoam","Ethafoam 50 mm",IF('Objet 2 à 6'!nbcal6="Stratocell","Stratocell 50 mm",0)))</f>
        <v>0</v>
      </c>
      <c r="S395" s="670">
        <f>'Objet 2 à 6'!lanec6-10</f>
        <v>-10</v>
      </c>
      <c r="T395" s="670">
        <v>12</v>
      </c>
      <c r="U395" s="670">
        <f t="shared" ref="U395:U396" si="165">Q395</f>
        <v>4</v>
      </c>
      <c r="V395" s="670" t="str">
        <f>'Objet 2 à 6'!Base6</f>
        <v>Aucun</v>
      </c>
      <c r="W395" s="670">
        <f t="shared" si="163"/>
        <v>0</v>
      </c>
      <c r="X395" s="670">
        <f>VLOOKUP('Objet 2 à 6'!plat6,$A$274:$B$280,2)</f>
        <v>0</v>
      </c>
      <c r="Y395" s="670">
        <f>'Objet 2 à 6'!Lnec6</f>
        <v>0</v>
      </c>
      <c r="Z395" s="670">
        <f>'Objet 2 à 6'!lanec6</f>
        <v>0</v>
      </c>
      <c r="AA395" s="670">
        <f t="shared" si="164"/>
        <v>0</v>
      </c>
      <c r="AB395" s="670">
        <f>IF('Objet 2 à 6'!nbcal6="PU","PU 50 mm",IF('Objet 2 à 6'!nbcal6="Ethafoam","Ethafoam 50 mm",IF('Objet 2 à 6'!nbcal6="Stratocell","Stratocell 50 mm",0)))</f>
        <v>0</v>
      </c>
      <c r="AC395" s="670">
        <f>'Objet 2 à 6'!Lnec6</f>
        <v>0</v>
      </c>
      <c r="AD395" s="670">
        <v>12</v>
      </c>
      <c r="AE395" s="670">
        <f>IF('Objet 2 à 6'!Lnec6&lt;100,3,4)</f>
        <v>3</v>
      </c>
      <c r="AF395" s="670"/>
      <c r="AG395" s="671"/>
    </row>
    <row r="396" spans="1:33" x14ac:dyDescent="0.3">
      <c r="A396" s="669" t="s">
        <v>372</v>
      </c>
      <c r="B396" s="670"/>
      <c r="C396" s="670"/>
      <c r="D396" s="670"/>
      <c r="E396" s="670"/>
      <c r="F396" s="670"/>
      <c r="G396" s="670"/>
      <c r="H396" s="670"/>
      <c r="I396" s="670"/>
      <c r="J396" s="670"/>
      <c r="K396" s="670"/>
      <c r="L396" s="670"/>
      <c r="M396" s="670"/>
      <c r="N396" s="670">
        <f>IF('Objet 2 à 6'!nbcal6="PU","PU 30 mm",IF('Objet 2 à 6'!nbcal6="Ethafoam","Ethafoam 30 mm",IF('Objet 2 à 6'!nbcal6="Stratocell","Stratocell 30 mm",0)))</f>
        <v>0</v>
      </c>
      <c r="O396" s="670">
        <f>'Objet 2 à 6'!Lnec6</f>
        <v>0</v>
      </c>
      <c r="P396" s="670">
        <v>12</v>
      </c>
      <c r="Q396" s="670">
        <f>IF('Objet 2 à 6'!hnec6&lt;80,4,6)</f>
        <v>4</v>
      </c>
      <c r="R396" s="670">
        <f>IF('Objet 2 à 6'!nbcal6="PU","PU 30 mm",IF('Objet 2 à 6'!nbcal6="Ethafoam","Ethafoam 30 mm",IF('Objet 2 à 6'!nbcal6="Stratocell","Stratocell 30 mm",0)))</f>
        <v>0</v>
      </c>
      <c r="S396" s="670">
        <f>'Objet 2 à 6'!lanec6-6</f>
        <v>-6</v>
      </c>
      <c r="T396" s="670">
        <v>12</v>
      </c>
      <c r="U396" s="670">
        <f t="shared" si="165"/>
        <v>4</v>
      </c>
      <c r="V396" s="670" t="str">
        <f>'Objet 2 à 6'!Base6</f>
        <v>Aucun</v>
      </c>
      <c r="W396" s="670">
        <f t="shared" si="163"/>
        <v>0</v>
      </c>
      <c r="X396" s="670">
        <f>VLOOKUP('Objet 2 à 6'!plat6,$A$274:$B$280,2)</f>
        <v>0</v>
      </c>
      <c r="Y396" s="670">
        <f>'Objet 2 à 6'!Lnec6</f>
        <v>0</v>
      </c>
      <c r="Z396" s="670">
        <f>'Objet 2 à 6'!lanec6</f>
        <v>0</v>
      </c>
      <c r="AA396" s="670">
        <f t="shared" si="164"/>
        <v>0</v>
      </c>
      <c r="AB396" s="670">
        <f>IF('Objet 2 à 6'!nbcal6="PU","PU 30 mm",IF('Objet 2 à 6'!nbcal6="Ethafoam","Ethafoam 30 mm",IF('Objet 2 à 6'!nbcal6="Stratocell","Stratocell 30 mm",0)))</f>
        <v>0</v>
      </c>
      <c r="AC396" s="670">
        <f>'Objet 2 à 6'!lanec6</f>
        <v>0</v>
      </c>
      <c r="AD396" s="670">
        <v>12</v>
      </c>
      <c r="AE396" s="670">
        <f>IF('Objet 2 à 6'!Lnec6&lt;100,3,4)</f>
        <v>3</v>
      </c>
      <c r="AF396" s="670"/>
      <c r="AG396" s="671"/>
    </row>
    <row r="397" spans="1:33" x14ac:dyDescent="0.3">
      <c r="A397" s="669" t="s">
        <v>324</v>
      </c>
      <c r="B397" s="670"/>
      <c r="C397" s="670"/>
      <c r="D397" s="670"/>
      <c r="E397" s="670"/>
      <c r="F397" s="670"/>
      <c r="G397" s="670"/>
      <c r="H397" s="670"/>
      <c r="I397" s="670"/>
      <c r="J397" s="670"/>
      <c r="K397" s="670"/>
      <c r="L397" s="670"/>
      <c r="M397" s="670"/>
      <c r="N397" s="670" t="s">
        <v>27</v>
      </c>
      <c r="O397" s="670">
        <f>'Objet 2 à 6'!Lnec6-0.3</f>
        <v>-0.3</v>
      </c>
      <c r="P397" s="670">
        <f>'Objet 2 à 6'!lanec6-0.3</f>
        <v>-0.3</v>
      </c>
      <c r="Q397" s="670">
        <f>('Objet 2 à 6'!hnec6-AA397)/5</f>
        <v>0</v>
      </c>
      <c r="R397" s="670"/>
      <c r="S397" s="670"/>
      <c r="T397" s="670"/>
      <c r="U397" s="670"/>
      <c r="V397" s="670" t="str">
        <f>'Objet 2 à 6'!Base6</f>
        <v>Aucun</v>
      </c>
      <c r="W397" s="670">
        <f t="shared" si="163"/>
        <v>0</v>
      </c>
      <c r="X397" s="670">
        <f>VLOOKUP('Objet 2 à 6'!plat6,$A$274:$B$280,2)</f>
        <v>0</v>
      </c>
      <c r="Y397" s="670">
        <f>'Objet 2 à 6'!Lnec6</f>
        <v>0</v>
      </c>
      <c r="Z397" s="670">
        <f>'Objet 2 à 6'!lanec6</f>
        <v>0</v>
      </c>
      <c r="AA397" s="670">
        <f t="shared" si="164"/>
        <v>0</v>
      </c>
      <c r="AB397" s="670"/>
      <c r="AC397" s="670"/>
      <c r="AD397" s="670"/>
      <c r="AE397" s="670"/>
      <c r="AF397" s="670"/>
      <c r="AG397" s="671"/>
    </row>
    <row r="398" spans="1:33" x14ac:dyDescent="0.3">
      <c r="A398" s="669" t="s">
        <v>325</v>
      </c>
      <c r="B398" s="670"/>
      <c r="C398" s="670"/>
      <c r="D398" s="670"/>
      <c r="E398" s="670"/>
      <c r="F398" s="670"/>
      <c r="G398" s="670"/>
      <c r="H398" s="670"/>
      <c r="I398" s="670"/>
      <c r="J398" s="670"/>
      <c r="K398" s="670"/>
      <c r="L398" s="670"/>
      <c r="M398" s="670"/>
      <c r="N398" s="670" t="s">
        <v>27</v>
      </c>
      <c r="O398" s="670">
        <f>'Objet 2 à 6'!Lnec6-0.3</f>
        <v>-0.3</v>
      </c>
      <c r="P398" s="670">
        <f>'Objet 2 à 6'!hnec6-AA398</f>
        <v>0</v>
      </c>
      <c r="Q398" s="670">
        <f>'Objet 2 à 6'!lanec6/5</f>
        <v>0</v>
      </c>
      <c r="R398" s="670"/>
      <c r="S398" s="670"/>
      <c r="T398" s="670"/>
      <c r="U398" s="670"/>
      <c r="V398" s="670" t="str">
        <f>'Objet 2 à 6'!Base6</f>
        <v>Aucun</v>
      </c>
      <c r="W398" s="670">
        <f t="shared" si="163"/>
        <v>0</v>
      </c>
      <c r="X398" s="670">
        <f>VLOOKUP('Objet 2 à 6'!plat6,$A$274:$B$280,2)</f>
        <v>0</v>
      </c>
      <c r="Y398" s="670">
        <f>'Objet 2 à 6'!Lnec6</f>
        <v>0</v>
      </c>
      <c r="Z398" s="670">
        <f>'Objet 2 à 6'!lanec6</f>
        <v>0</v>
      </c>
      <c r="AA398" s="670">
        <f t="shared" si="164"/>
        <v>0</v>
      </c>
      <c r="AB398" s="670"/>
      <c r="AC398" s="670"/>
      <c r="AD398" s="670"/>
      <c r="AE398" s="670"/>
      <c r="AF398" s="670"/>
      <c r="AG398" s="671"/>
    </row>
    <row r="399" spans="1:33" x14ac:dyDescent="0.3">
      <c r="A399" s="669" t="s">
        <v>326</v>
      </c>
      <c r="B399" s="670" t="s">
        <v>354</v>
      </c>
      <c r="C399" s="670">
        <f>'Objet 2 à 6'!Lnec6</f>
        <v>0</v>
      </c>
      <c r="D399" s="670">
        <v>9.4</v>
      </c>
      <c r="E399" s="670">
        <f>1</f>
        <v>1</v>
      </c>
      <c r="F399" s="670" t="s">
        <v>355</v>
      </c>
      <c r="G399" s="670">
        <f>'Objet 2 à 6'!Lnec6</f>
        <v>0</v>
      </c>
      <c r="H399" s="670" t="e">
        <f t="shared" ref="H399:H400" si="166">VLOOKUP($I$43,$A$295:$D$297,2)</f>
        <v>#N/A</v>
      </c>
      <c r="I399" s="670">
        <f>'Objet 2 à 6'!nbcal6*2</f>
        <v>4</v>
      </c>
      <c r="J399" s="670" t="s">
        <v>349</v>
      </c>
      <c r="K399" s="670">
        <f>'Objet 2 à 6'!lanec6</f>
        <v>0</v>
      </c>
      <c r="L399" s="670">
        <v>7</v>
      </c>
      <c r="M399" s="670">
        <f>'Objet 2 à 6'!nbcal6*4</f>
        <v>8</v>
      </c>
      <c r="N399" s="670" t="e">
        <f t="shared" ref="N399:N400" si="167">VLOOKUP($I$43,$A$295:$D$297,3)</f>
        <v>#N/A</v>
      </c>
      <c r="O399" s="670">
        <f>'Objet 2 à 6'!Lnec6</f>
        <v>0</v>
      </c>
      <c r="P399" s="670">
        <f>'Objet 2 à 6'!lanec6-4.2</f>
        <v>-4.2</v>
      </c>
      <c r="Q399" s="670">
        <f>'Objet 2 à 6'!nbcal6</f>
        <v>2</v>
      </c>
      <c r="R399" s="670" t="e">
        <f>VLOOKUP($I$43,$A$295:$D$297,4)</f>
        <v>#N/A</v>
      </c>
      <c r="S399" s="670">
        <f>'Objet 2 à 6'!lanec6</f>
        <v>0</v>
      </c>
      <c r="T399" s="670">
        <f>IF('Objet 2 à 6'!hnec6&lt;120,9.4,14.4)</f>
        <v>9.4</v>
      </c>
      <c r="U399" s="670">
        <f>1</f>
        <v>1</v>
      </c>
      <c r="V399" s="670" t="str">
        <f>'Objet 2 à 6'!Base6</f>
        <v>Aucun</v>
      </c>
      <c r="W399" s="670">
        <f t="shared" si="163"/>
        <v>0</v>
      </c>
      <c r="X399" s="670">
        <f>VLOOKUP('Objet 2 à 6'!plat6,$A$274:$B$280,2)</f>
        <v>0</v>
      </c>
      <c r="Y399" s="670">
        <f>'Objet 2 à 6'!Lnec6</f>
        <v>0</v>
      </c>
      <c r="Z399" s="670">
        <f>'Objet 2 à 6'!lanec6</f>
        <v>0</v>
      </c>
      <c r="AA399" s="670">
        <f t="shared" si="164"/>
        <v>0</v>
      </c>
      <c r="AB399" s="670"/>
      <c r="AC399" s="670"/>
      <c r="AD399" s="670"/>
      <c r="AE399" s="670"/>
      <c r="AF399" s="670"/>
      <c r="AG399" s="671"/>
    </row>
    <row r="400" spans="1:33" x14ac:dyDescent="0.3">
      <c r="A400" s="669" t="s">
        <v>328</v>
      </c>
      <c r="B400" s="670"/>
      <c r="C400" s="670"/>
      <c r="D400" s="670"/>
      <c r="E400" s="670"/>
      <c r="F400" s="670" t="s">
        <v>355</v>
      </c>
      <c r="G400" s="670">
        <f>'Objet 2 à 6'!lanec6</f>
        <v>0</v>
      </c>
      <c r="H400" s="670" t="e">
        <f t="shared" si="166"/>
        <v>#N/A</v>
      </c>
      <c r="I400" s="670">
        <f>'Objet 2 à 6'!nbcal6</f>
        <v>2</v>
      </c>
      <c r="J400" s="670" t="s">
        <v>349</v>
      </c>
      <c r="K400" s="670">
        <f>'Objet 2 à 6'!hnec6-AA400</f>
        <v>0</v>
      </c>
      <c r="L400" s="670">
        <v>7</v>
      </c>
      <c r="M400" s="670">
        <f>'Objet 2 à 6'!nbcal6*4</f>
        <v>8</v>
      </c>
      <c r="N400" s="670" t="e">
        <f t="shared" si="167"/>
        <v>#N/A</v>
      </c>
      <c r="O400" s="670">
        <f>'Objet 2 à 6'!lanec6</f>
        <v>0</v>
      </c>
      <c r="P400" s="670">
        <f>'Objet 2 à 6'!hnec6-2.1-AA400</f>
        <v>-2.1</v>
      </c>
      <c r="Q400" s="670">
        <f>'Objet 2 à 6'!nbcal6</f>
        <v>2</v>
      </c>
      <c r="R400" s="670"/>
      <c r="S400" s="670"/>
      <c r="T400" s="670"/>
      <c r="U400" s="670"/>
      <c r="V400" s="670" t="str">
        <f>'Objet 2 à 6'!Base6</f>
        <v>Aucun</v>
      </c>
      <c r="W400" s="670">
        <f t="shared" si="163"/>
        <v>0</v>
      </c>
      <c r="X400" s="670">
        <f>VLOOKUP('Objet 2 à 6'!plat6,$A$274:$B$280,2)</f>
        <v>0</v>
      </c>
      <c r="Y400" s="670">
        <f>'Objet 2 à 6'!Lnec6</f>
        <v>0</v>
      </c>
      <c r="Z400" s="670">
        <f>'Objet 2 à 6'!lanec6</f>
        <v>0</v>
      </c>
      <c r="AA400" s="670">
        <f t="shared" si="164"/>
        <v>0</v>
      </c>
      <c r="AB400" s="670"/>
      <c r="AC400" s="670"/>
      <c r="AD400" s="670"/>
      <c r="AE400" s="670"/>
      <c r="AF400" s="670"/>
      <c r="AG400" s="671"/>
    </row>
    <row r="401" spans="1:33" ht="28.8" x14ac:dyDescent="0.3">
      <c r="A401" s="669" t="s">
        <v>373</v>
      </c>
      <c r="B401" s="670"/>
      <c r="C401" s="670"/>
      <c r="D401" s="670"/>
      <c r="E401" s="670"/>
      <c r="F401" s="670"/>
      <c r="G401" s="670"/>
      <c r="H401" s="670"/>
      <c r="I401" s="670"/>
      <c r="J401" s="670"/>
      <c r="K401" s="670"/>
      <c r="L401" s="670"/>
      <c r="M401" s="670"/>
      <c r="N401" s="670">
        <f>IF('Objet 2 à 6'!nbcal6="PU","PU 50 mm",IF('Objet 2 à 6'!nbcal6="Ethafoam","Ethafoam 50 mm",IF('Objet 2 à 6'!nbcal6="Stratocell","Stratocell 50 mm",0)))</f>
        <v>0</v>
      </c>
      <c r="O401" s="670">
        <f>'Objet 2 à 6'!Lnec6</f>
        <v>0</v>
      </c>
      <c r="P401" s="670">
        <f>'Objet 2 à 6'!lanec6</f>
        <v>0</v>
      </c>
      <c r="Q401" s="670">
        <v>1</v>
      </c>
      <c r="R401" s="670">
        <f>IF('Objet 2 à 6'!nbcal6="PU","PU 50 mm",IF('Objet 2 à 6'!nbcal6="Ethafoam","Ethafoam 50 mm",IF('Objet 2 à 6'!nbcal6="Stratocell","Stratocell 50 mm",0)))</f>
        <v>0</v>
      </c>
      <c r="S401" s="670">
        <f>'Objet 2 à 6'!Lnec6</f>
        <v>0</v>
      </c>
      <c r="T401" s="670">
        <f>'Objet 2 à 6'!hnec6-5-AA401</f>
        <v>-5</v>
      </c>
      <c r="U401" s="670">
        <v>2</v>
      </c>
      <c r="V401" s="670" t="str">
        <f>'Objet 2 à 6'!Base6</f>
        <v>Aucun</v>
      </c>
      <c r="W401" s="670">
        <f t="shared" si="163"/>
        <v>0</v>
      </c>
      <c r="X401" s="670">
        <f>VLOOKUP('Objet 2 à 6'!plat6,$A$274:$B$280,2)</f>
        <v>0</v>
      </c>
      <c r="Y401" s="670">
        <f>'Objet 2 à 6'!Lnec6</f>
        <v>0</v>
      </c>
      <c r="Z401" s="670">
        <f>'Objet 2 à 6'!lanec6</f>
        <v>0</v>
      </c>
      <c r="AA401" s="670">
        <f t="shared" si="164"/>
        <v>0</v>
      </c>
      <c r="AB401" s="670">
        <f>IF('Objet 2 à 6'!nbcal6="PU","PU 50 mm",IF('Objet 2 à 6'!nbcal6="Ethafoam","Ethafoam 50 mm",IF('Objet 2 à 6'!nbcal6="Stratocell","Stratocell 50 mm",0)))</f>
        <v>0</v>
      </c>
      <c r="AC401" s="670">
        <f>'Objet 2 à 6'!lanec6-10</f>
        <v>-10</v>
      </c>
      <c r="AD401" s="670">
        <f>'Objet 2 à 6'!hnec6-5-AA401</f>
        <v>-5</v>
      </c>
      <c r="AE401" s="670">
        <v>2</v>
      </c>
      <c r="AF401" s="670"/>
      <c r="AG401" s="671"/>
    </row>
    <row r="402" spans="1:33" x14ac:dyDescent="0.3">
      <c r="A402" s="678" t="s">
        <v>374</v>
      </c>
      <c r="B402" s="679"/>
      <c r="C402" s="679"/>
      <c r="D402" s="679"/>
      <c r="E402" s="679"/>
      <c r="F402" s="679"/>
      <c r="G402" s="679"/>
      <c r="H402" s="679"/>
      <c r="I402" s="679"/>
      <c r="J402" s="679"/>
      <c r="K402" s="679"/>
      <c r="L402" s="679"/>
      <c r="M402" s="679"/>
      <c r="N402" s="670">
        <f>IF('Objet 2 à 6'!nbcal6="PU","PU 30 mm",IF('Objet 2 à 6'!nbcal6="Ethafoam","Ethafoam 30 mm",IF('Objet 2 à 6'!nbcal6="Stratocell","Stratocell 30 mm",0)))</f>
        <v>0</v>
      </c>
      <c r="O402" s="679">
        <f>'Objet 2 à 6'!Lnec6</f>
        <v>0</v>
      </c>
      <c r="P402" s="679">
        <f>'Objet 2 à 6'!lanec6</f>
        <v>0</v>
      </c>
      <c r="Q402" s="679">
        <v>1</v>
      </c>
      <c r="R402" s="670">
        <f>IF('Objet 2 à 6'!nbcal6="PU","PU 30 mm",IF('Objet 2 à 6'!nbcal6="Ethafoam","Ethafoam 30 mm",IF('Objet 2 à 6'!nbcal6="Stratocell","Stratocell 30 mm",0)))</f>
        <v>0</v>
      </c>
      <c r="S402" s="670">
        <f>'Objet 2 à 6'!Lnec6</f>
        <v>0</v>
      </c>
      <c r="T402" s="679">
        <f>'Objet 2 à 6'!hnec6-3-AA402</f>
        <v>-3</v>
      </c>
      <c r="U402" s="679">
        <v>2</v>
      </c>
      <c r="V402" s="670" t="str">
        <f>'Objet 2 à 6'!Base6</f>
        <v>Aucun</v>
      </c>
      <c r="W402" s="670">
        <f t="shared" si="163"/>
        <v>0</v>
      </c>
      <c r="X402" s="670">
        <f>VLOOKUP('Objet 2 à 6'!plat6,$A$274:$B$280,2)</f>
        <v>0</v>
      </c>
      <c r="Y402" s="670">
        <f>'Objet 2 à 6'!Lnec6</f>
        <v>0</v>
      </c>
      <c r="Z402" s="670">
        <f>'Objet 2 à 6'!lanec6</f>
        <v>0</v>
      </c>
      <c r="AA402" s="679">
        <f t="shared" si="164"/>
        <v>0</v>
      </c>
      <c r="AB402" s="670">
        <f>IF('Objet 2 à 6'!nbcal6="PU","PU 30 mm",IF('Objet 2 à 6'!nbcal6="Ethafoam","Ethafoam 30 mm",IF('Objet 2 à 6'!nbcal6="Stratocell","Stratocell 30 mm",0)))</f>
        <v>0</v>
      </c>
      <c r="AC402" s="679">
        <f>'Objet 2 à 6'!lanec6-6</f>
        <v>-6</v>
      </c>
      <c r="AD402" s="679">
        <f>'Objet 2 à 6'!hnec6-3-AA402</f>
        <v>-3</v>
      </c>
      <c r="AE402" s="679">
        <v>2</v>
      </c>
      <c r="AF402" s="679"/>
      <c r="AG402" s="680"/>
    </row>
    <row r="403" spans="1:33" ht="18" x14ac:dyDescent="0.35">
      <c r="A403" s="559"/>
      <c r="B403" s="559"/>
      <c r="C403" s="559"/>
      <c r="D403" s="559"/>
      <c r="E403" s="559"/>
      <c r="F403" s="559"/>
      <c r="G403" s="559"/>
      <c r="H403" s="559"/>
      <c r="I403" s="559"/>
      <c r="J403" s="559"/>
      <c r="K403" s="559"/>
      <c r="L403" s="559"/>
      <c r="M403" s="559"/>
      <c r="N403" s="559"/>
      <c r="O403" s="559"/>
      <c r="P403" s="559"/>
      <c r="Q403" s="559"/>
      <c r="R403" s="559"/>
      <c r="S403" s="559"/>
      <c r="T403" s="559"/>
      <c r="U403" s="559"/>
      <c r="V403" s="559"/>
      <c r="W403" s="559"/>
      <c r="X403" s="559"/>
      <c r="Y403" s="559"/>
      <c r="Z403" s="559"/>
      <c r="AA403" s="559"/>
      <c r="AB403" s="559"/>
      <c r="AC403" s="559"/>
      <c r="AD403" s="559"/>
      <c r="AE403" s="559"/>
      <c r="AF403" s="559"/>
      <c r="AG403" s="559"/>
    </row>
    <row r="404" spans="1:33" ht="18" x14ac:dyDescent="0.35">
      <c r="A404" s="559"/>
      <c r="B404" s="559"/>
      <c r="C404" s="559"/>
      <c r="D404" s="559"/>
      <c r="E404" s="559"/>
      <c r="F404" s="559"/>
      <c r="G404" s="559"/>
      <c r="H404" s="559"/>
      <c r="I404" s="559"/>
      <c r="J404" s="559"/>
      <c r="K404" s="559"/>
      <c r="L404" s="559"/>
      <c r="M404" s="559"/>
      <c r="N404" s="559"/>
      <c r="O404" s="559"/>
      <c r="P404" s="559"/>
      <c r="Q404" s="559"/>
      <c r="R404" s="559"/>
      <c r="S404" s="559"/>
      <c r="T404" s="559"/>
      <c r="U404" s="559"/>
      <c r="V404" s="559"/>
      <c r="W404" s="559"/>
      <c r="X404" s="559"/>
      <c r="Y404" s="559"/>
      <c r="Z404" s="559"/>
      <c r="AA404" s="559"/>
      <c r="AB404" s="559"/>
      <c r="AC404" s="559"/>
      <c r="AD404" s="559"/>
      <c r="AE404" s="559"/>
      <c r="AF404" s="559"/>
      <c r="AG404" s="559"/>
    </row>
    <row r="405" spans="1:33" ht="18" x14ac:dyDescent="0.35">
      <c r="A405" s="559"/>
      <c r="B405" s="559"/>
      <c r="C405" s="559"/>
      <c r="D405" s="559"/>
      <c r="E405" s="559"/>
      <c r="F405" s="559"/>
      <c r="G405" s="559"/>
      <c r="H405" s="559"/>
      <c r="I405" s="559"/>
      <c r="J405" s="559"/>
      <c r="K405" s="559"/>
      <c r="L405" s="559"/>
      <c r="M405" s="559"/>
      <c r="N405" s="559"/>
      <c r="O405" s="559"/>
      <c r="P405" s="559"/>
      <c r="Q405" s="559"/>
      <c r="R405" s="559"/>
      <c r="S405" s="559"/>
      <c r="T405" s="559"/>
      <c r="U405" s="559"/>
      <c r="V405" s="559"/>
      <c r="W405" s="559"/>
      <c r="X405" s="559"/>
      <c r="Y405" s="559"/>
      <c r="Z405" s="559"/>
      <c r="AA405" s="559"/>
      <c r="AB405" s="559"/>
      <c r="AC405" s="559"/>
      <c r="AD405" s="559"/>
      <c r="AE405" s="559"/>
      <c r="AF405" s="559"/>
      <c r="AG405" s="559"/>
    </row>
    <row r="406" spans="1:33" ht="18" x14ac:dyDescent="0.35">
      <c r="A406" s="559"/>
      <c r="B406" s="559"/>
      <c r="C406" s="559"/>
      <c r="D406" s="559"/>
      <c r="E406" s="559"/>
      <c r="F406" s="559"/>
      <c r="G406" s="559"/>
      <c r="H406" s="559"/>
      <c r="I406" s="559"/>
      <c r="J406" s="559"/>
      <c r="K406" s="559"/>
      <c r="L406" s="559"/>
      <c r="M406" s="559"/>
      <c r="N406" s="559"/>
      <c r="O406" s="559"/>
      <c r="P406" s="559"/>
      <c r="Q406" s="559"/>
      <c r="R406" s="559"/>
      <c r="S406" s="559"/>
      <c r="T406" s="559"/>
      <c r="U406" s="559"/>
      <c r="V406" s="559"/>
      <c r="W406" s="559"/>
      <c r="X406" s="559"/>
      <c r="Y406" s="559"/>
      <c r="Z406" s="559"/>
      <c r="AA406" s="559"/>
      <c r="AB406" s="559"/>
      <c r="AC406" s="559"/>
      <c r="AD406" s="559"/>
      <c r="AE406" s="559"/>
      <c r="AF406" s="559"/>
      <c r="AG406" s="559"/>
    </row>
    <row r="407" spans="1:33" ht="18" x14ac:dyDescent="0.35">
      <c r="A407" s="559"/>
      <c r="B407" s="559"/>
      <c r="C407" s="559"/>
      <c r="D407" s="559"/>
      <c r="E407" s="559"/>
      <c r="F407" s="559"/>
      <c r="G407" s="559"/>
      <c r="H407" s="559"/>
      <c r="I407" s="559"/>
      <c r="J407" s="559"/>
      <c r="K407" s="559"/>
      <c r="L407" s="559"/>
      <c r="M407" s="559"/>
      <c r="N407" s="559"/>
      <c r="O407" s="559"/>
      <c r="P407" s="559"/>
      <c r="Q407" s="559"/>
      <c r="R407" s="559"/>
      <c r="S407" s="559"/>
      <c r="T407" s="559"/>
      <c r="U407" s="559"/>
      <c r="V407" s="559"/>
      <c r="W407" s="559"/>
      <c r="X407" s="559"/>
      <c r="Y407" s="559"/>
      <c r="Z407" s="559"/>
      <c r="AA407" s="559"/>
      <c r="AB407" s="559"/>
      <c r="AC407" s="559"/>
      <c r="AD407" s="559"/>
      <c r="AE407" s="559"/>
      <c r="AF407" s="559"/>
      <c r="AG407" s="559"/>
    </row>
    <row r="408" spans="1:33" ht="18" x14ac:dyDescent="0.35">
      <c r="A408" s="559"/>
      <c r="B408" s="559"/>
      <c r="C408" s="559"/>
      <c r="D408" s="559"/>
      <c r="E408" s="559"/>
      <c r="F408" s="559"/>
      <c r="G408" s="559"/>
      <c r="H408" s="559"/>
      <c r="I408" s="559"/>
      <c r="J408" s="559"/>
      <c r="K408" s="559"/>
      <c r="L408" s="559"/>
      <c r="M408" s="559"/>
      <c r="N408" s="559"/>
      <c r="O408" s="559"/>
      <c r="P408" s="559"/>
      <c r="Q408" s="559"/>
      <c r="R408" s="559"/>
      <c r="S408" s="559"/>
      <c r="T408" s="559"/>
      <c r="U408" s="559"/>
      <c r="V408" s="559"/>
      <c r="W408" s="559"/>
      <c r="X408" s="559"/>
      <c r="Y408" s="559"/>
      <c r="Z408" s="559"/>
      <c r="AA408" s="559"/>
      <c r="AB408" s="559"/>
      <c r="AC408" s="559"/>
      <c r="AD408" s="559"/>
      <c r="AE408" s="559"/>
      <c r="AF408" s="559"/>
      <c r="AG408" s="559"/>
    </row>
    <row r="409" spans="1:33" ht="18" x14ac:dyDescent="0.35">
      <c r="A409" s="559"/>
      <c r="B409" s="559"/>
      <c r="C409" s="559"/>
      <c r="D409" s="559"/>
      <c r="E409" s="559"/>
      <c r="F409" s="559"/>
      <c r="G409" s="559"/>
      <c r="H409" s="559"/>
      <c r="I409" s="559"/>
      <c r="J409" s="559"/>
      <c r="K409" s="559"/>
      <c r="L409" s="559"/>
      <c r="M409" s="559"/>
      <c r="N409" s="559"/>
      <c r="O409" s="559"/>
      <c r="P409" s="559"/>
      <c r="Q409" s="559"/>
      <c r="R409" s="559"/>
      <c r="S409" s="559"/>
      <c r="T409" s="559"/>
      <c r="U409" s="559"/>
      <c r="V409" s="559"/>
      <c r="W409" s="559"/>
      <c r="X409" s="559"/>
      <c r="Y409" s="559"/>
      <c r="Z409" s="559"/>
      <c r="AA409" s="559"/>
      <c r="AB409" s="559"/>
      <c r="AC409" s="559"/>
      <c r="AD409" s="559"/>
      <c r="AE409" s="559"/>
      <c r="AF409" s="559"/>
      <c r="AG409" s="559"/>
    </row>
    <row r="410" spans="1:33" ht="18" x14ac:dyDescent="0.35">
      <c r="A410" s="559"/>
      <c r="B410" s="559"/>
      <c r="C410" s="559"/>
      <c r="D410" s="559"/>
      <c r="E410" s="559"/>
      <c r="F410" s="559"/>
      <c r="G410" s="559"/>
      <c r="H410" s="559"/>
      <c r="I410" s="559"/>
      <c r="J410" s="559"/>
      <c r="K410" s="559"/>
      <c r="L410" s="559"/>
      <c r="M410" s="559"/>
      <c r="N410" s="559"/>
      <c r="O410" s="559"/>
      <c r="P410" s="559"/>
      <c r="Q410" s="559"/>
      <c r="R410" s="559"/>
      <c r="S410" s="559"/>
      <c r="T410" s="559"/>
      <c r="U410" s="559"/>
      <c r="V410" s="559"/>
      <c r="W410" s="559"/>
      <c r="X410" s="559"/>
      <c r="Y410" s="559"/>
      <c r="Z410" s="559"/>
      <c r="AA410" s="559"/>
      <c r="AB410" s="559"/>
      <c r="AC410" s="559"/>
      <c r="AD410" s="559"/>
      <c r="AE410" s="559"/>
      <c r="AF410" s="559"/>
      <c r="AG410" s="559"/>
    </row>
    <row r="411" spans="1:33" ht="18" x14ac:dyDescent="0.35">
      <c r="A411" s="559"/>
      <c r="B411" s="559"/>
      <c r="C411" s="559"/>
      <c r="D411" s="559"/>
      <c r="E411" s="559"/>
      <c r="F411" s="559"/>
      <c r="G411" s="559"/>
      <c r="H411" s="559"/>
      <c r="I411" s="559"/>
      <c r="J411" s="559"/>
      <c r="K411" s="559"/>
      <c r="L411" s="559"/>
      <c r="M411" s="559"/>
      <c r="N411" s="559"/>
      <c r="O411" s="559"/>
      <c r="P411" s="559"/>
      <c r="Q411" s="559"/>
      <c r="R411" s="559"/>
      <c r="S411" s="559"/>
      <c r="T411" s="559"/>
      <c r="U411" s="559"/>
      <c r="V411" s="559"/>
      <c r="W411" s="559"/>
      <c r="X411" s="559"/>
      <c r="Y411" s="559"/>
      <c r="Z411" s="559"/>
      <c r="AA411" s="559"/>
      <c r="AB411" s="559"/>
      <c r="AC411" s="559"/>
      <c r="AD411" s="559"/>
      <c r="AE411" s="559"/>
      <c r="AF411" s="559"/>
      <c r="AG411" s="559"/>
    </row>
    <row r="412" spans="1:33" ht="18" x14ac:dyDescent="0.35">
      <c r="A412" s="559"/>
      <c r="B412" s="559"/>
      <c r="C412" s="559"/>
      <c r="D412" s="559"/>
      <c r="E412" s="559"/>
      <c r="F412" s="559"/>
      <c r="G412" s="559"/>
      <c r="H412" s="559"/>
      <c r="I412" s="559"/>
      <c r="J412" s="559"/>
      <c r="K412" s="559"/>
      <c r="L412" s="559"/>
      <c r="M412" s="559"/>
      <c r="N412" s="559"/>
      <c r="O412" s="559"/>
      <c r="P412" s="559"/>
      <c r="Q412" s="559"/>
      <c r="R412" s="559"/>
      <c r="S412" s="559"/>
      <c r="T412" s="559"/>
      <c r="U412" s="559"/>
      <c r="V412" s="559"/>
      <c r="W412" s="559"/>
      <c r="X412" s="559"/>
      <c r="Y412" s="559"/>
      <c r="Z412" s="559"/>
      <c r="AA412" s="559"/>
      <c r="AB412" s="559"/>
      <c r="AC412" s="559"/>
      <c r="AD412" s="559"/>
      <c r="AE412" s="559"/>
      <c r="AF412" s="559"/>
      <c r="AG412" s="559"/>
    </row>
    <row r="413" spans="1:33" ht="18" x14ac:dyDescent="0.35">
      <c r="A413" s="559"/>
      <c r="B413" s="559"/>
      <c r="C413" s="559"/>
      <c r="D413" s="559"/>
      <c r="E413" s="559"/>
      <c r="F413" s="559"/>
      <c r="G413" s="559"/>
      <c r="H413" s="559"/>
      <c r="I413" s="559"/>
      <c r="J413" s="559"/>
      <c r="K413" s="559"/>
      <c r="L413" s="559"/>
      <c r="M413" s="559"/>
      <c r="N413" s="559"/>
      <c r="O413" s="559"/>
      <c r="P413" s="559"/>
      <c r="Q413" s="559"/>
      <c r="R413" s="559"/>
      <c r="S413" s="559"/>
      <c r="T413" s="559"/>
      <c r="U413" s="559"/>
      <c r="V413" s="559"/>
      <c r="W413" s="559"/>
      <c r="X413" s="559"/>
      <c r="Y413" s="559"/>
      <c r="Z413" s="559"/>
      <c r="AA413" s="559"/>
      <c r="AB413" s="559"/>
      <c r="AC413" s="559"/>
      <c r="AD413" s="559"/>
      <c r="AE413" s="559"/>
      <c r="AF413" s="559"/>
      <c r="AG413" s="559"/>
    </row>
    <row r="414" spans="1:33" ht="18" x14ac:dyDescent="0.35">
      <c r="A414" s="559"/>
      <c r="B414" s="559"/>
      <c r="C414" s="559"/>
      <c r="D414" s="559"/>
      <c r="E414" s="559"/>
      <c r="F414" s="559"/>
      <c r="G414" s="559"/>
      <c r="H414" s="559"/>
      <c r="I414" s="559"/>
      <c r="J414" s="559"/>
      <c r="K414" s="559"/>
      <c r="L414" s="559"/>
      <c r="M414" s="559"/>
      <c r="N414" s="559"/>
      <c r="O414" s="559"/>
      <c r="P414" s="559"/>
      <c r="Q414" s="559"/>
      <c r="R414" s="559"/>
      <c r="S414" s="559"/>
      <c r="T414" s="559"/>
      <c r="U414" s="559"/>
      <c r="V414" s="559"/>
      <c r="W414" s="559"/>
      <c r="X414" s="559"/>
      <c r="Y414" s="559"/>
      <c r="Z414" s="559"/>
      <c r="AA414" s="559"/>
      <c r="AB414" s="559"/>
      <c r="AC414" s="559"/>
      <c r="AD414" s="559"/>
      <c r="AE414" s="559"/>
      <c r="AF414" s="559"/>
      <c r="AG414" s="559"/>
    </row>
    <row r="415" spans="1:33" ht="18" x14ac:dyDescent="0.35">
      <c r="A415" s="559"/>
      <c r="B415" s="559"/>
      <c r="C415" s="559"/>
      <c r="D415" s="559"/>
      <c r="E415" s="559"/>
      <c r="F415" s="559"/>
      <c r="G415" s="559"/>
      <c r="H415" s="559"/>
      <c r="I415" s="559"/>
      <c r="J415" s="559"/>
      <c r="K415" s="559"/>
      <c r="L415" s="559"/>
      <c r="M415" s="559"/>
      <c r="N415" s="559"/>
      <c r="O415" s="559"/>
      <c r="P415" s="559"/>
      <c r="Q415" s="559"/>
      <c r="R415" s="559"/>
      <c r="S415" s="559"/>
      <c r="T415" s="559"/>
      <c r="U415" s="559"/>
      <c r="V415" s="559"/>
      <c r="W415" s="559"/>
      <c r="X415" s="559"/>
      <c r="Y415" s="559"/>
      <c r="Z415" s="559"/>
      <c r="AA415" s="559"/>
      <c r="AB415" s="559"/>
      <c r="AC415" s="559"/>
      <c r="AD415" s="559"/>
      <c r="AE415" s="559"/>
      <c r="AF415" s="559"/>
      <c r="AG415" s="559"/>
    </row>
    <row r="416" spans="1:33" ht="18" x14ac:dyDescent="0.35">
      <c r="A416" s="559"/>
      <c r="B416" s="559"/>
      <c r="C416" s="559"/>
      <c r="D416" s="559"/>
      <c r="E416" s="559"/>
      <c r="F416" s="559"/>
      <c r="G416" s="559"/>
      <c r="H416" s="559"/>
      <c r="I416" s="559"/>
      <c r="J416" s="559"/>
      <c r="K416" s="559"/>
      <c r="L416" s="559"/>
      <c r="M416" s="559"/>
      <c r="N416" s="559"/>
      <c r="O416" s="559"/>
      <c r="P416" s="559"/>
      <c r="Q416" s="559"/>
      <c r="R416" s="559"/>
      <c r="S416" s="559"/>
      <c r="T416" s="559"/>
      <c r="U416" s="559"/>
      <c r="V416" s="559"/>
      <c r="W416" s="559"/>
      <c r="X416" s="559"/>
      <c r="Y416" s="559"/>
      <c r="Z416" s="559"/>
      <c r="AA416" s="559"/>
      <c r="AB416" s="559"/>
      <c r="AC416" s="559"/>
      <c r="AD416" s="559"/>
      <c r="AE416" s="559"/>
      <c r="AF416" s="559"/>
      <c r="AG416" s="559"/>
    </row>
    <row r="417" spans="1:33" ht="18" x14ac:dyDescent="0.35">
      <c r="A417" s="559"/>
      <c r="B417" s="559"/>
      <c r="C417" s="559"/>
      <c r="D417" s="559"/>
      <c r="E417" s="559"/>
      <c r="F417" s="559"/>
      <c r="G417" s="559"/>
      <c r="H417" s="559"/>
      <c r="I417" s="559"/>
      <c r="J417" s="559"/>
      <c r="K417" s="559"/>
      <c r="L417" s="559"/>
      <c r="M417" s="559"/>
      <c r="N417" s="559"/>
      <c r="O417" s="559"/>
      <c r="P417" s="559"/>
      <c r="Q417" s="559"/>
      <c r="R417" s="559"/>
      <c r="S417" s="559"/>
      <c r="T417" s="559"/>
      <c r="U417" s="559"/>
      <c r="V417" s="559"/>
      <c r="W417" s="559"/>
      <c r="X417" s="559"/>
      <c r="Y417" s="559"/>
      <c r="Z417" s="559"/>
      <c r="AA417" s="559"/>
      <c r="AB417" s="559"/>
      <c r="AC417" s="559"/>
      <c r="AD417" s="559"/>
      <c r="AE417" s="559"/>
      <c r="AF417" s="559"/>
      <c r="AG417" s="559"/>
    </row>
    <row r="418" spans="1:33" ht="18" x14ac:dyDescent="0.35">
      <c r="A418" s="559"/>
      <c r="B418" s="559"/>
      <c r="C418" s="559"/>
      <c r="D418" s="559"/>
      <c r="E418" s="559"/>
      <c r="F418" s="559"/>
      <c r="G418" s="559"/>
      <c r="H418" s="559"/>
      <c r="I418" s="559"/>
      <c r="J418" s="559"/>
      <c r="K418" s="559"/>
      <c r="L418" s="559"/>
      <c r="M418" s="559"/>
      <c r="N418" s="559"/>
      <c r="O418" s="559"/>
      <c r="P418" s="559"/>
      <c r="Q418" s="559"/>
      <c r="R418" s="559"/>
      <c r="S418" s="559"/>
      <c r="T418" s="559"/>
      <c r="U418" s="559"/>
      <c r="V418" s="559"/>
      <c r="W418" s="559"/>
      <c r="X418" s="559"/>
      <c r="Y418" s="559"/>
      <c r="Z418" s="559"/>
      <c r="AA418" s="559"/>
      <c r="AB418" s="559"/>
      <c r="AC418" s="559"/>
      <c r="AD418" s="559"/>
      <c r="AE418" s="559"/>
      <c r="AF418" s="559"/>
      <c r="AG418" s="559"/>
    </row>
    <row r="419" spans="1:33" ht="18" x14ac:dyDescent="0.35">
      <c r="A419" s="559"/>
      <c r="B419" s="559"/>
      <c r="C419" s="559"/>
      <c r="D419" s="559"/>
      <c r="E419" s="559"/>
      <c r="F419" s="559"/>
      <c r="G419" s="559"/>
      <c r="H419" s="559"/>
      <c r="I419" s="559"/>
      <c r="J419" s="559"/>
      <c r="K419" s="559"/>
      <c r="L419" s="559"/>
      <c r="M419" s="559"/>
      <c r="N419" s="559"/>
      <c r="O419" s="559"/>
      <c r="P419" s="559"/>
      <c r="Q419" s="559"/>
      <c r="R419" s="559"/>
      <c r="S419" s="559"/>
      <c r="T419" s="559"/>
      <c r="U419" s="559"/>
      <c r="V419" s="559"/>
      <c r="W419" s="559"/>
      <c r="X419" s="559"/>
      <c r="Y419" s="559"/>
      <c r="Z419" s="559"/>
      <c r="AA419" s="559"/>
      <c r="AB419" s="559"/>
      <c r="AC419" s="559"/>
      <c r="AD419" s="559"/>
      <c r="AE419" s="559"/>
      <c r="AF419" s="559"/>
      <c r="AG419" s="559"/>
    </row>
    <row r="420" spans="1:33" ht="18" x14ac:dyDescent="0.35">
      <c r="A420" s="559"/>
      <c r="B420" s="559"/>
      <c r="C420" s="559"/>
      <c r="D420" s="559"/>
      <c r="E420" s="559"/>
      <c r="F420" s="559"/>
      <c r="G420" s="559"/>
      <c r="H420" s="559"/>
      <c r="I420" s="559"/>
      <c r="J420" s="559"/>
      <c r="K420" s="559"/>
      <c r="L420" s="559"/>
      <c r="M420" s="559"/>
      <c r="N420" s="559"/>
      <c r="O420" s="559"/>
      <c r="P420" s="559"/>
      <c r="Q420" s="559"/>
      <c r="R420" s="559"/>
      <c r="S420" s="559"/>
      <c r="T420" s="559"/>
      <c r="U420" s="559"/>
      <c r="V420" s="559"/>
      <c r="W420" s="559"/>
      <c r="X420" s="559"/>
      <c r="Y420" s="559"/>
      <c r="Z420" s="559"/>
      <c r="AA420" s="559"/>
      <c r="AB420" s="559"/>
      <c r="AC420" s="559"/>
      <c r="AD420" s="559"/>
      <c r="AE420" s="559"/>
      <c r="AF420" s="559"/>
      <c r="AG420" s="559"/>
    </row>
    <row r="421" spans="1:33" ht="18" x14ac:dyDescent="0.35">
      <c r="A421" s="559"/>
      <c r="B421" s="559"/>
      <c r="C421" s="559"/>
      <c r="D421" s="559"/>
      <c r="E421" s="559"/>
      <c r="F421" s="559"/>
      <c r="G421" s="559"/>
      <c r="H421" s="559"/>
      <c r="I421" s="559"/>
      <c r="J421" s="559"/>
      <c r="K421" s="559"/>
      <c r="L421" s="559"/>
      <c r="M421" s="559"/>
      <c r="N421" s="559"/>
      <c r="O421" s="559"/>
      <c r="P421" s="559"/>
      <c r="Q421" s="559"/>
      <c r="R421" s="559"/>
      <c r="S421" s="559"/>
      <c r="T421" s="559"/>
      <c r="U421" s="559"/>
      <c r="V421" s="559"/>
      <c r="W421" s="559"/>
      <c r="X421" s="559"/>
      <c r="Y421" s="559"/>
      <c r="Z421" s="559"/>
      <c r="AA421" s="559"/>
      <c r="AB421" s="559"/>
      <c r="AC421" s="559"/>
      <c r="AD421" s="559"/>
      <c r="AE421" s="559"/>
      <c r="AF421" s="559"/>
      <c r="AG421" s="559"/>
    </row>
    <row r="422" spans="1:33" ht="18" x14ac:dyDescent="0.35">
      <c r="A422" s="559"/>
      <c r="B422" s="559"/>
      <c r="C422" s="559"/>
      <c r="D422" s="559"/>
      <c r="E422" s="559"/>
      <c r="F422" s="559"/>
      <c r="G422" s="559"/>
      <c r="H422" s="559"/>
      <c r="I422" s="559"/>
      <c r="J422" s="559"/>
      <c r="K422" s="559"/>
      <c r="L422" s="559"/>
      <c r="M422" s="559"/>
      <c r="N422" s="559"/>
      <c r="O422" s="559"/>
      <c r="P422" s="559"/>
      <c r="Q422" s="559"/>
      <c r="R422" s="559"/>
      <c r="S422" s="559"/>
      <c r="T422" s="559"/>
      <c r="U422" s="559"/>
      <c r="V422" s="559"/>
      <c r="W422" s="559"/>
      <c r="X422" s="559"/>
      <c r="Y422" s="559"/>
      <c r="Z422" s="559"/>
      <c r="AA422" s="559"/>
      <c r="AB422" s="559"/>
      <c r="AC422" s="559"/>
      <c r="AD422" s="559"/>
      <c r="AE422" s="559"/>
      <c r="AF422" s="559"/>
      <c r="AG422" s="559"/>
    </row>
    <row r="423" spans="1:33" ht="18" x14ac:dyDescent="0.35">
      <c r="A423" s="559"/>
      <c r="B423" s="559"/>
      <c r="C423" s="559"/>
      <c r="D423" s="559"/>
      <c r="E423" s="559"/>
      <c r="F423" s="559"/>
      <c r="G423" s="559"/>
      <c r="H423" s="559"/>
      <c r="I423" s="559"/>
      <c r="J423" s="559"/>
      <c r="K423" s="559"/>
      <c r="L423" s="559"/>
      <c r="M423" s="559"/>
      <c r="N423" s="559"/>
      <c r="O423" s="559"/>
      <c r="P423" s="559"/>
      <c r="Q423" s="559"/>
      <c r="R423" s="559"/>
      <c r="S423" s="559"/>
      <c r="T423" s="559"/>
      <c r="U423" s="559"/>
      <c r="V423" s="559"/>
      <c r="W423" s="559"/>
      <c r="X423" s="559"/>
      <c r="Y423" s="559"/>
      <c r="Z423" s="559"/>
      <c r="AA423" s="559"/>
      <c r="AB423" s="559"/>
      <c r="AC423" s="559"/>
      <c r="AD423" s="559"/>
      <c r="AE423" s="559"/>
      <c r="AF423" s="559"/>
      <c r="AG423" s="559"/>
    </row>
    <row r="424" spans="1:33" ht="18" x14ac:dyDescent="0.35">
      <c r="A424" s="559"/>
      <c r="B424" s="559"/>
      <c r="C424" s="559"/>
      <c r="D424" s="559"/>
      <c r="E424" s="559"/>
      <c r="F424" s="559"/>
      <c r="G424" s="559"/>
      <c r="H424" s="559"/>
      <c r="I424" s="559"/>
      <c r="J424" s="559"/>
      <c r="K424" s="559"/>
      <c r="L424" s="559"/>
      <c r="M424" s="559"/>
      <c r="N424" s="559"/>
      <c r="O424" s="559"/>
      <c r="P424" s="559"/>
      <c r="Q424" s="559"/>
      <c r="R424" s="559"/>
      <c r="S424" s="559"/>
      <c r="T424" s="559"/>
      <c r="U424" s="559"/>
      <c r="V424" s="559"/>
      <c r="W424" s="559"/>
      <c r="X424" s="559"/>
      <c r="Y424" s="559"/>
      <c r="Z424" s="559"/>
      <c r="AA424" s="559"/>
      <c r="AB424" s="559"/>
      <c r="AC424" s="559"/>
      <c r="AD424" s="559"/>
      <c r="AE424" s="559"/>
      <c r="AF424" s="559"/>
      <c r="AG424" s="559"/>
    </row>
    <row r="425" spans="1:33" ht="18" x14ac:dyDescent="0.35">
      <c r="A425" s="559"/>
      <c r="B425" s="559"/>
      <c r="C425" s="559"/>
      <c r="D425" s="559"/>
      <c r="E425" s="559"/>
      <c r="F425" s="559"/>
      <c r="G425" s="559"/>
      <c r="H425" s="559"/>
      <c r="I425" s="559"/>
      <c r="J425" s="559"/>
      <c r="K425" s="559"/>
      <c r="L425" s="559"/>
      <c r="M425" s="559"/>
      <c r="N425" s="559"/>
      <c r="O425" s="559"/>
      <c r="P425" s="559"/>
      <c r="Q425" s="559"/>
      <c r="R425" s="559"/>
      <c r="S425" s="559"/>
      <c r="T425" s="559"/>
      <c r="U425" s="559"/>
      <c r="V425" s="559"/>
      <c r="W425" s="559"/>
      <c r="X425" s="559"/>
      <c r="Y425" s="559"/>
      <c r="Z425" s="559"/>
      <c r="AA425" s="559"/>
      <c r="AB425" s="559"/>
      <c r="AC425" s="559"/>
      <c r="AD425" s="559"/>
      <c r="AE425" s="559"/>
      <c r="AF425" s="559"/>
      <c r="AG425" s="559"/>
    </row>
    <row r="426" spans="1:33" ht="18" x14ac:dyDescent="0.35">
      <c r="A426" s="559"/>
      <c r="B426" s="559"/>
      <c r="C426" s="559"/>
      <c r="D426" s="559"/>
      <c r="E426" s="559"/>
      <c r="F426" s="559"/>
      <c r="G426" s="559"/>
      <c r="H426" s="559"/>
      <c r="I426" s="559"/>
      <c r="J426" s="559"/>
      <c r="K426" s="559"/>
      <c r="L426" s="559"/>
      <c r="M426" s="559"/>
      <c r="N426" s="559"/>
      <c r="O426" s="559"/>
      <c r="P426" s="559"/>
      <c r="Q426" s="559"/>
      <c r="R426" s="559"/>
      <c r="S426" s="559"/>
      <c r="T426" s="559"/>
      <c r="U426" s="559"/>
      <c r="V426" s="559"/>
      <c r="W426" s="559"/>
      <c r="X426" s="559"/>
      <c r="Y426" s="559"/>
      <c r="Z426" s="559"/>
      <c r="AA426" s="559"/>
      <c r="AB426" s="559"/>
      <c r="AC426" s="559"/>
      <c r="AD426" s="559"/>
      <c r="AE426" s="559"/>
      <c r="AF426" s="559"/>
      <c r="AG426" s="559"/>
    </row>
    <row r="427" spans="1:33" ht="18" x14ac:dyDescent="0.35">
      <c r="A427" s="559"/>
      <c r="B427" s="559"/>
      <c r="C427" s="559"/>
      <c r="D427" s="559"/>
      <c r="E427" s="559"/>
      <c r="F427" s="559"/>
      <c r="G427" s="559"/>
      <c r="H427" s="559"/>
      <c r="I427" s="559"/>
      <c r="J427" s="559"/>
      <c r="K427" s="559"/>
      <c r="L427" s="559"/>
      <c r="M427" s="559"/>
      <c r="N427" s="559"/>
      <c r="O427" s="559"/>
      <c r="P427" s="559"/>
      <c r="Q427" s="559"/>
      <c r="R427" s="559"/>
      <c r="S427" s="559"/>
      <c r="T427" s="559"/>
      <c r="U427" s="559"/>
      <c r="V427" s="559"/>
      <c r="W427" s="559"/>
      <c r="X427" s="559"/>
      <c r="Y427" s="559"/>
      <c r="Z427" s="559"/>
      <c r="AA427" s="559"/>
      <c r="AB427" s="559"/>
      <c r="AC427" s="559"/>
      <c r="AD427" s="559"/>
      <c r="AE427" s="559"/>
      <c r="AF427" s="559"/>
      <c r="AG427" s="559"/>
    </row>
    <row r="428" spans="1:33" ht="18" x14ac:dyDescent="0.35">
      <c r="A428" s="559"/>
      <c r="B428" s="559"/>
      <c r="C428" s="559"/>
      <c r="D428" s="559"/>
      <c r="E428" s="559"/>
      <c r="F428" s="559"/>
      <c r="G428" s="559"/>
      <c r="H428" s="559"/>
      <c r="I428" s="559"/>
      <c r="J428" s="559"/>
      <c r="K428" s="559"/>
      <c r="L428" s="559"/>
      <c r="M428" s="559"/>
      <c r="N428" s="559"/>
      <c r="O428" s="559"/>
      <c r="P428" s="559"/>
      <c r="Q428" s="559"/>
      <c r="R428" s="559"/>
      <c r="S428" s="559"/>
      <c r="T428" s="559"/>
      <c r="U428" s="559"/>
      <c r="V428" s="559"/>
      <c r="W428" s="559"/>
      <c r="X428" s="559"/>
      <c r="Y428" s="559"/>
      <c r="Z428" s="559"/>
      <c r="AA428" s="559"/>
      <c r="AB428" s="559"/>
      <c r="AC428" s="559"/>
      <c r="AD428" s="559"/>
      <c r="AE428" s="559"/>
      <c r="AF428" s="559"/>
      <c r="AG428" s="559"/>
    </row>
    <row r="429" spans="1:33" ht="18" x14ac:dyDescent="0.35">
      <c r="A429" s="559"/>
      <c r="B429" s="559"/>
      <c r="C429" s="559"/>
      <c r="D429" s="559"/>
      <c r="E429" s="559"/>
      <c r="F429" s="559"/>
      <c r="G429" s="559"/>
      <c r="H429" s="559"/>
      <c r="I429" s="559"/>
      <c r="J429" s="559"/>
      <c r="K429" s="559"/>
      <c r="L429" s="559"/>
      <c r="M429" s="559"/>
      <c r="N429" s="559"/>
      <c r="O429" s="559"/>
      <c r="P429" s="559"/>
      <c r="Q429" s="559"/>
      <c r="R429" s="559"/>
      <c r="S429" s="559"/>
      <c r="T429" s="559"/>
      <c r="U429" s="559"/>
      <c r="V429" s="559"/>
      <c r="W429" s="559"/>
      <c r="X429" s="559"/>
      <c r="Y429" s="559"/>
      <c r="Z429" s="559"/>
      <c r="AA429" s="559"/>
      <c r="AB429" s="559"/>
      <c r="AC429" s="559"/>
      <c r="AD429" s="559"/>
      <c r="AE429" s="559"/>
      <c r="AF429" s="559"/>
      <c r="AG429" s="559"/>
    </row>
    <row r="430" spans="1:33" ht="18" x14ac:dyDescent="0.35">
      <c r="A430" s="559"/>
      <c r="B430" s="559"/>
      <c r="C430" s="559"/>
      <c r="D430" s="559"/>
      <c r="E430" s="559"/>
      <c r="F430" s="559"/>
      <c r="G430" s="559"/>
      <c r="H430" s="559"/>
      <c r="I430" s="559"/>
      <c r="J430" s="559"/>
      <c r="K430" s="559"/>
      <c r="L430" s="559"/>
      <c r="M430" s="559"/>
      <c r="N430" s="559"/>
      <c r="O430" s="559"/>
      <c r="P430" s="559"/>
      <c r="Q430" s="559"/>
      <c r="R430" s="559"/>
      <c r="S430" s="559"/>
      <c r="T430" s="559"/>
      <c r="U430" s="559"/>
      <c r="V430" s="559"/>
      <c r="W430" s="559"/>
      <c r="X430" s="559"/>
      <c r="Y430" s="559"/>
      <c r="Z430" s="559"/>
      <c r="AA430" s="559"/>
      <c r="AB430" s="559"/>
      <c r="AC430" s="559"/>
      <c r="AD430" s="559"/>
      <c r="AE430" s="559"/>
      <c r="AF430" s="559"/>
      <c r="AG430" s="559"/>
    </row>
    <row r="431" spans="1:33" ht="18" x14ac:dyDescent="0.35">
      <c r="A431" s="559"/>
      <c r="B431" s="559"/>
      <c r="C431" s="559"/>
      <c r="D431" s="559"/>
      <c r="E431" s="559"/>
      <c r="F431" s="559"/>
      <c r="G431" s="559"/>
      <c r="H431" s="559"/>
      <c r="I431" s="559"/>
      <c r="J431" s="559"/>
      <c r="K431" s="559"/>
      <c r="L431" s="559"/>
      <c r="M431" s="559"/>
      <c r="N431" s="559"/>
      <c r="O431" s="559"/>
      <c r="P431" s="559"/>
      <c r="Q431" s="559"/>
      <c r="R431" s="559"/>
      <c r="S431" s="559"/>
      <c r="T431" s="559"/>
      <c r="U431" s="559"/>
      <c r="V431" s="559"/>
      <c r="W431" s="559"/>
      <c r="X431" s="559"/>
      <c r="Y431" s="559"/>
      <c r="Z431" s="559"/>
      <c r="AA431" s="559"/>
      <c r="AB431" s="559"/>
      <c r="AC431" s="559"/>
      <c r="AD431" s="559"/>
      <c r="AE431" s="559"/>
      <c r="AF431" s="559"/>
      <c r="AG431" s="559"/>
    </row>
    <row r="432" spans="1:33" ht="18" x14ac:dyDescent="0.35">
      <c r="A432" s="559"/>
      <c r="B432" s="559"/>
      <c r="C432" s="559"/>
      <c r="D432" s="559"/>
      <c r="E432" s="559"/>
      <c r="F432" s="559"/>
      <c r="G432" s="559"/>
      <c r="H432" s="559"/>
      <c r="I432" s="559"/>
      <c r="J432" s="559"/>
      <c r="K432" s="559"/>
      <c r="L432" s="559"/>
      <c r="M432" s="559"/>
      <c r="N432" s="559"/>
      <c r="O432" s="559"/>
      <c r="P432" s="559"/>
      <c r="Q432" s="559"/>
      <c r="R432" s="559"/>
      <c r="S432" s="559"/>
      <c r="T432" s="559"/>
      <c r="U432" s="559"/>
      <c r="V432" s="559"/>
      <c r="W432" s="559"/>
      <c r="X432" s="559"/>
      <c r="Y432" s="559"/>
      <c r="Z432" s="559"/>
      <c r="AA432" s="559"/>
      <c r="AB432" s="559"/>
      <c r="AC432" s="559"/>
      <c r="AD432" s="559"/>
      <c r="AE432" s="559"/>
      <c r="AF432" s="559"/>
      <c r="AG432" s="559"/>
    </row>
    <row r="433" spans="1:33" ht="18" x14ac:dyDescent="0.35">
      <c r="A433" s="559"/>
      <c r="B433" s="559"/>
      <c r="C433" s="559"/>
      <c r="D433" s="559"/>
      <c r="E433" s="559"/>
      <c r="F433" s="559"/>
      <c r="G433" s="559"/>
      <c r="H433" s="559"/>
      <c r="I433" s="559"/>
      <c r="J433" s="559"/>
      <c r="K433" s="559"/>
      <c r="L433" s="559"/>
      <c r="M433" s="559"/>
      <c r="N433" s="559"/>
      <c r="O433" s="559"/>
      <c r="P433" s="559"/>
      <c r="Q433" s="559"/>
      <c r="R433" s="559"/>
      <c r="S433" s="559"/>
      <c r="T433" s="559"/>
      <c r="U433" s="559"/>
      <c r="V433" s="559"/>
      <c r="W433" s="559"/>
      <c r="X433" s="559"/>
      <c r="Y433" s="559"/>
      <c r="Z433" s="559"/>
      <c r="AA433" s="559"/>
      <c r="AB433" s="559"/>
      <c r="AC433" s="559"/>
      <c r="AD433" s="559"/>
      <c r="AE433" s="559"/>
      <c r="AF433" s="559"/>
      <c r="AG433" s="559"/>
    </row>
    <row r="434" spans="1:33" ht="18" x14ac:dyDescent="0.35">
      <c r="A434" s="559"/>
      <c r="B434" s="559"/>
      <c r="C434" s="559"/>
      <c r="D434" s="559"/>
      <c r="E434" s="559"/>
      <c r="F434" s="559"/>
      <c r="G434" s="559"/>
      <c r="H434" s="559"/>
      <c r="I434" s="559"/>
      <c r="J434" s="559"/>
      <c r="K434" s="559"/>
      <c r="L434" s="559"/>
      <c r="M434" s="559"/>
      <c r="N434" s="559"/>
      <c r="O434" s="559"/>
      <c r="P434" s="559"/>
      <c r="Q434" s="559"/>
      <c r="R434" s="559"/>
      <c r="S434" s="559"/>
      <c r="T434" s="559"/>
      <c r="U434" s="559"/>
      <c r="V434" s="559"/>
      <c r="W434" s="559"/>
      <c r="X434" s="559"/>
      <c r="Y434" s="559"/>
      <c r="Z434" s="559"/>
      <c r="AA434" s="559"/>
      <c r="AB434" s="559"/>
      <c r="AC434" s="559"/>
      <c r="AD434" s="559"/>
      <c r="AE434" s="559"/>
      <c r="AF434" s="559"/>
      <c r="AG434" s="559"/>
    </row>
    <row r="435" spans="1:33" ht="18" x14ac:dyDescent="0.35">
      <c r="A435" s="559"/>
      <c r="B435" s="559"/>
      <c r="C435" s="559"/>
      <c r="D435" s="559"/>
      <c r="E435" s="559"/>
      <c r="F435" s="559"/>
      <c r="G435" s="559"/>
      <c r="H435" s="559"/>
      <c r="I435" s="559"/>
      <c r="J435" s="559"/>
      <c r="K435" s="559"/>
      <c r="L435" s="559"/>
      <c r="M435" s="559"/>
      <c r="N435" s="559"/>
      <c r="O435" s="559"/>
      <c r="P435" s="559"/>
      <c r="Q435" s="559"/>
      <c r="R435" s="559"/>
      <c r="S435" s="559"/>
      <c r="T435" s="559"/>
      <c r="U435" s="559"/>
      <c r="V435" s="559"/>
      <c r="W435" s="559"/>
      <c r="X435" s="559"/>
      <c r="Y435" s="559"/>
      <c r="Z435" s="559"/>
      <c r="AA435" s="559"/>
      <c r="AB435" s="559"/>
      <c r="AC435" s="559"/>
      <c r="AD435" s="559"/>
      <c r="AE435" s="559"/>
      <c r="AF435" s="559"/>
      <c r="AG435" s="559"/>
    </row>
    <row r="436" spans="1:33" ht="18" x14ac:dyDescent="0.35">
      <c r="A436" s="559"/>
      <c r="B436" s="559"/>
      <c r="C436" s="559"/>
      <c r="D436" s="559"/>
      <c r="E436" s="559"/>
      <c r="F436" s="559"/>
      <c r="G436" s="559"/>
      <c r="H436" s="559"/>
      <c r="I436" s="559"/>
      <c r="J436" s="559"/>
      <c r="K436" s="559"/>
      <c r="L436" s="559"/>
      <c r="M436" s="559"/>
      <c r="N436" s="559"/>
      <c r="O436" s="559"/>
      <c r="P436" s="559"/>
      <c r="Q436" s="559"/>
      <c r="R436" s="559"/>
      <c r="S436" s="559"/>
      <c r="T436" s="559"/>
      <c r="U436" s="559"/>
      <c r="V436" s="559"/>
      <c r="W436" s="559"/>
      <c r="X436" s="559"/>
      <c r="Y436" s="559"/>
      <c r="Z436" s="559"/>
      <c r="AA436" s="559"/>
      <c r="AB436" s="559"/>
      <c r="AC436" s="559"/>
      <c r="AD436" s="559"/>
      <c r="AE436" s="559"/>
      <c r="AF436" s="559"/>
      <c r="AG436" s="559"/>
    </row>
    <row r="437" spans="1:33" ht="18" x14ac:dyDescent="0.35">
      <c r="A437" s="559"/>
      <c r="B437" s="559"/>
      <c r="C437" s="559"/>
      <c r="D437" s="559"/>
      <c r="E437" s="559"/>
      <c r="F437" s="559"/>
      <c r="G437" s="559"/>
      <c r="H437" s="559"/>
      <c r="I437" s="559"/>
      <c r="J437" s="559"/>
      <c r="K437" s="559"/>
      <c r="L437" s="559"/>
      <c r="M437" s="559"/>
      <c r="N437" s="559"/>
      <c r="O437" s="559"/>
      <c r="P437" s="559"/>
      <c r="Q437" s="559"/>
      <c r="R437" s="559"/>
      <c r="S437" s="559"/>
      <c r="T437" s="559"/>
      <c r="U437" s="559"/>
      <c r="V437" s="559"/>
      <c r="W437" s="559"/>
      <c r="X437" s="559"/>
      <c r="Y437" s="559"/>
      <c r="Z437" s="559"/>
      <c r="AA437" s="559"/>
      <c r="AB437" s="559"/>
      <c r="AC437" s="559"/>
      <c r="AD437" s="559"/>
      <c r="AE437" s="559"/>
      <c r="AF437" s="559"/>
      <c r="AG437" s="559"/>
    </row>
    <row r="438" spans="1:33" ht="18" x14ac:dyDescent="0.35">
      <c r="A438" s="559"/>
      <c r="B438" s="559"/>
      <c r="C438" s="559"/>
      <c r="D438" s="559"/>
      <c r="E438" s="559"/>
      <c r="F438" s="559"/>
      <c r="G438" s="559"/>
      <c r="H438" s="559"/>
      <c r="I438" s="559"/>
      <c r="J438" s="559"/>
      <c r="K438" s="559"/>
      <c r="L438" s="559"/>
      <c r="M438" s="559"/>
      <c r="N438" s="559"/>
      <c r="O438" s="559"/>
      <c r="P438" s="559"/>
      <c r="Q438" s="559"/>
      <c r="R438" s="559"/>
      <c r="S438" s="559"/>
      <c r="T438" s="559"/>
      <c r="U438" s="559"/>
      <c r="V438" s="559"/>
      <c r="W438" s="559"/>
      <c r="X438" s="559"/>
      <c r="Y438" s="559"/>
      <c r="Z438" s="559"/>
      <c r="AA438" s="559"/>
      <c r="AB438" s="559"/>
      <c r="AC438" s="559"/>
      <c r="AD438" s="559"/>
      <c r="AE438" s="559"/>
      <c r="AF438" s="559"/>
      <c r="AG438" s="559"/>
    </row>
    <row r="439" spans="1:33" ht="18" x14ac:dyDescent="0.35">
      <c r="A439" s="559"/>
      <c r="B439" s="559"/>
      <c r="C439" s="559"/>
      <c r="D439" s="559"/>
      <c r="E439" s="559"/>
      <c r="F439" s="559"/>
      <c r="G439" s="559"/>
      <c r="H439" s="559"/>
      <c r="I439" s="559"/>
      <c r="J439" s="559"/>
      <c r="K439" s="559"/>
      <c r="L439" s="559"/>
      <c r="M439" s="559"/>
      <c r="N439" s="559"/>
      <c r="O439" s="559"/>
      <c r="P439" s="559"/>
      <c r="Q439" s="559"/>
      <c r="R439" s="559"/>
      <c r="S439" s="559"/>
      <c r="T439" s="559"/>
      <c r="U439" s="559"/>
      <c r="V439" s="559"/>
      <c r="W439" s="559"/>
      <c r="X439" s="559"/>
      <c r="Y439" s="559"/>
      <c r="Z439" s="559"/>
      <c r="AA439" s="559"/>
      <c r="AB439" s="559"/>
      <c r="AC439" s="559"/>
      <c r="AD439" s="559"/>
      <c r="AE439" s="559"/>
      <c r="AF439" s="559"/>
      <c r="AG439" s="559"/>
    </row>
    <row r="440" spans="1:33" ht="18" x14ac:dyDescent="0.35">
      <c r="A440" s="559"/>
      <c r="B440" s="559"/>
      <c r="C440" s="559"/>
      <c r="D440" s="559"/>
      <c r="E440" s="559"/>
      <c r="F440" s="559"/>
      <c r="G440" s="559"/>
      <c r="H440" s="559"/>
      <c r="I440" s="559"/>
      <c r="J440" s="559"/>
      <c r="K440" s="559"/>
      <c r="L440" s="559"/>
      <c r="M440" s="559"/>
      <c r="N440" s="559"/>
      <c r="O440" s="559"/>
      <c r="P440" s="559"/>
      <c r="Q440" s="559"/>
      <c r="R440" s="559"/>
      <c r="S440" s="559"/>
      <c r="T440" s="559"/>
      <c r="U440" s="559"/>
      <c r="V440" s="559"/>
      <c r="W440" s="559"/>
      <c r="X440" s="559"/>
      <c r="Y440" s="559"/>
      <c r="Z440" s="559"/>
      <c r="AA440" s="559"/>
      <c r="AB440" s="559"/>
      <c r="AC440" s="559"/>
      <c r="AD440" s="559"/>
      <c r="AE440" s="559"/>
      <c r="AF440" s="559"/>
      <c r="AG440" s="559"/>
    </row>
    <row r="441" spans="1:33" ht="18" x14ac:dyDescent="0.35">
      <c r="A441" s="559"/>
      <c r="B441" s="559"/>
      <c r="C441" s="559"/>
      <c r="D441" s="559"/>
      <c r="E441" s="559"/>
      <c r="F441" s="559"/>
      <c r="G441" s="559"/>
      <c r="H441" s="559"/>
      <c r="I441" s="559"/>
      <c r="J441" s="559"/>
      <c r="K441" s="559"/>
      <c r="L441" s="559"/>
      <c r="M441" s="559"/>
      <c r="N441" s="559"/>
      <c r="O441" s="559"/>
      <c r="P441" s="559"/>
      <c r="Q441" s="559"/>
      <c r="R441" s="559"/>
      <c r="S441" s="559"/>
      <c r="T441" s="559"/>
      <c r="U441" s="559"/>
      <c r="V441" s="559"/>
      <c r="W441" s="559"/>
      <c r="X441" s="559"/>
      <c r="Y441" s="559"/>
      <c r="Z441" s="559"/>
      <c r="AA441" s="559"/>
      <c r="AB441" s="559"/>
      <c r="AC441" s="559"/>
      <c r="AD441" s="559"/>
      <c r="AE441" s="559"/>
      <c r="AF441" s="559"/>
      <c r="AG441" s="559"/>
    </row>
    <row r="442" spans="1:33" ht="18" x14ac:dyDescent="0.35">
      <c r="A442" s="559"/>
      <c r="B442" s="559"/>
      <c r="C442" s="559"/>
      <c r="D442" s="559"/>
      <c r="E442" s="559"/>
      <c r="F442" s="559"/>
      <c r="G442" s="559"/>
      <c r="H442" s="559"/>
      <c r="I442" s="559"/>
      <c r="J442" s="559"/>
      <c r="K442" s="559"/>
      <c r="L442" s="559"/>
      <c r="M442" s="559"/>
      <c r="N442" s="559"/>
      <c r="O442" s="559"/>
      <c r="P442" s="559"/>
      <c r="Q442" s="559"/>
      <c r="R442" s="559"/>
      <c r="S442" s="559"/>
      <c r="T442" s="559"/>
      <c r="U442" s="559"/>
      <c r="V442" s="559"/>
      <c r="W442" s="559"/>
      <c r="X442" s="559"/>
      <c r="Y442" s="559"/>
      <c r="Z442" s="559"/>
      <c r="AA442" s="559"/>
      <c r="AB442" s="559"/>
      <c r="AC442" s="559"/>
      <c r="AD442" s="559"/>
      <c r="AE442" s="559"/>
      <c r="AF442" s="559"/>
      <c r="AG442" s="559"/>
    </row>
    <row r="443" spans="1:33" ht="18" x14ac:dyDescent="0.35">
      <c r="A443" s="559"/>
      <c r="B443" s="559"/>
      <c r="C443" s="559"/>
      <c r="D443" s="559"/>
      <c r="E443" s="559"/>
      <c r="F443" s="559"/>
      <c r="G443" s="559"/>
      <c r="H443" s="559"/>
      <c r="I443" s="559"/>
      <c r="J443" s="559"/>
      <c r="K443" s="559"/>
      <c r="L443" s="559"/>
      <c r="M443" s="559"/>
      <c r="N443" s="559"/>
      <c r="O443" s="559"/>
      <c r="P443" s="559"/>
      <c r="Q443" s="559"/>
      <c r="R443" s="559"/>
      <c r="S443" s="559"/>
      <c r="T443" s="559"/>
      <c r="U443" s="559"/>
      <c r="V443" s="559"/>
      <c r="W443" s="559"/>
      <c r="X443" s="559"/>
      <c r="Y443" s="559"/>
      <c r="Z443" s="559"/>
      <c r="AA443" s="559"/>
      <c r="AB443" s="559"/>
      <c r="AC443" s="559"/>
      <c r="AD443" s="559"/>
      <c r="AE443" s="559"/>
      <c r="AF443" s="559"/>
      <c r="AG443" s="559"/>
    </row>
    <row r="444" spans="1:33" ht="18" x14ac:dyDescent="0.35">
      <c r="A444" s="559"/>
      <c r="B444" s="559"/>
      <c r="C444" s="559"/>
      <c r="D444" s="559"/>
      <c r="E444" s="559"/>
      <c r="F444" s="559"/>
      <c r="G444" s="559"/>
      <c r="H444" s="559"/>
      <c r="I444" s="559"/>
      <c r="J444" s="559"/>
      <c r="K444" s="559"/>
      <c r="L444" s="559"/>
      <c r="M444" s="559"/>
      <c r="N444" s="559"/>
      <c r="O444" s="559"/>
      <c r="P444" s="559"/>
      <c r="Q444" s="559"/>
      <c r="R444" s="559"/>
      <c r="S444" s="559"/>
      <c r="T444" s="559"/>
      <c r="U444" s="559"/>
      <c r="V444" s="559"/>
      <c r="W444" s="559"/>
      <c r="X444" s="559"/>
      <c r="Y444" s="559"/>
      <c r="Z444" s="559"/>
      <c r="AA444" s="559"/>
      <c r="AB444" s="559"/>
      <c r="AC444" s="559"/>
      <c r="AD444" s="559"/>
      <c r="AE444" s="559"/>
      <c r="AF444" s="559"/>
      <c r="AG444" s="559"/>
    </row>
    <row r="445" spans="1:33" ht="18" x14ac:dyDescent="0.35">
      <c r="A445" s="559"/>
      <c r="B445" s="559"/>
      <c r="C445" s="559"/>
      <c r="D445" s="559"/>
      <c r="E445" s="559"/>
      <c r="F445" s="559"/>
      <c r="G445" s="559"/>
      <c r="H445" s="559"/>
      <c r="I445" s="559"/>
      <c r="J445" s="559"/>
      <c r="K445" s="559"/>
      <c r="L445" s="559"/>
      <c r="M445" s="559"/>
      <c r="N445" s="559"/>
      <c r="O445" s="559"/>
      <c r="P445" s="559"/>
      <c r="Q445" s="559"/>
      <c r="R445" s="559"/>
      <c r="S445" s="559"/>
      <c r="T445" s="559"/>
      <c r="U445" s="559"/>
      <c r="V445" s="559"/>
      <c r="W445" s="559"/>
      <c r="X445" s="559"/>
      <c r="Y445" s="559"/>
      <c r="Z445" s="559"/>
      <c r="AA445" s="559"/>
      <c r="AB445" s="559"/>
      <c r="AC445" s="559"/>
      <c r="AD445" s="559"/>
      <c r="AE445" s="559"/>
      <c r="AF445" s="559"/>
      <c r="AG445" s="559"/>
    </row>
    <row r="446" spans="1:33" ht="18" x14ac:dyDescent="0.35">
      <c r="A446" s="559"/>
      <c r="B446" s="559"/>
      <c r="C446" s="559"/>
      <c r="D446" s="559"/>
      <c r="E446" s="559"/>
      <c r="F446" s="559"/>
      <c r="G446" s="559"/>
      <c r="H446" s="559"/>
      <c r="I446" s="559"/>
      <c r="J446" s="559"/>
      <c r="K446" s="559"/>
      <c r="L446" s="559"/>
      <c r="M446" s="559"/>
      <c r="N446" s="559"/>
      <c r="O446" s="559"/>
      <c r="P446" s="559"/>
      <c r="Q446" s="559"/>
      <c r="R446" s="559"/>
      <c r="S446" s="559"/>
      <c r="T446" s="559"/>
      <c r="U446" s="559"/>
      <c r="V446" s="559"/>
      <c r="W446" s="559"/>
      <c r="X446" s="559"/>
      <c r="Y446" s="559"/>
      <c r="Z446" s="559"/>
      <c r="AA446" s="559"/>
      <c r="AB446" s="559"/>
      <c r="AC446" s="559"/>
      <c r="AD446" s="559"/>
      <c r="AE446" s="559"/>
      <c r="AF446" s="559"/>
      <c r="AG446" s="559"/>
    </row>
    <row r="447" spans="1:33" ht="18" x14ac:dyDescent="0.35">
      <c r="A447" s="559"/>
      <c r="B447" s="559"/>
      <c r="C447" s="559"/>
      <c r="D447" s="559"/>
      <c r="E447" s="559"/>
      <c r="F447" s="559"/>
      <c r="G447" s="559"/>
      <c r="H447" s="559"/>
      <c r="I447" s="559"/>
      <c r="J447" s="559"/>
      <c r="K447" s="559"/>
      <c r="L447" s="559"/>
      <c r="M447" s="559"/>
      <c r="N447" s="559"/>
      <c r="O447" s="559"/>
      <c r="P447" s="559"/>
      <c r="Q447" s="559"/>
      <c r="R447" s="559"/>
      <c r="S447" s="559"/>
      <c r="T447" s="559"/>
      <c r="U447" s="559"/>
      <c r="V447" s="559"/>
      <c r="W447" s="559"/>
      <c r="X447" s="559"/>
      <c r="Y447" s="559"/>
      <c r="Z447" s="559"/>
      <c r="AA447" s="559"/>
      <c r="AB447" s="559"/>
      <c r="AC447" s="559"/>
      <c r="AD447" s="559"/>
      <c r="AE447" s="559"/>
      <c r="AF447" s="559"/>
      <c r="AG447" s="559"/>
    </row>
    <row r="448" spans="1:33" ht="18" x14ac:dyDescent="0.35">
      <c r="A448" s="559"/>
      <c r="B448" s="559"/>
      <c r="C448" s="559"/>
      <c r="D448" s="559"/>
      <c r="E448" s="559"/>
      <c r="F448" s="559"/>
      <c r="G448" s="559"/>
      <c r="H448" s="559"/>
      <c r="I448" s="559"/>
      <c r="J448" s="559"/>
      <c r="K448" s="559"/>
      <c r="L448" s="559"/>
      <c r="M448" s="559"/>
      <c r="N448" s="559"/>
      <c r="O448" s="559"/>
      <c r="P448" s="559"/>
      <c r="Q448" s="559"/>
      <c r="R448" s="559"/>
      <c r="S448" s="559"/>
      <c r="T448" s="559"/>
      <c r="U448" s="559"/>
      <c r="V448" s="559"/>
      <c r="W448" s="559"/>
      <c r="X448" s="559"/>
      <c r="Y448" s="559"/>
      <c r="Z448" s="559"/>
      <c r="AA448" s="559"/>
      <c r="AB448" s="559"/>
      <c r="AC448" s="559"/>
      <c r="AD448" s="559"/>
      <c r="AE448" s="559"/>
      <c r="AF448" s="559"/>
      <c r="AG448" s="559"/>
    </row>
    <row r="449" spans="1:33" ht="18" x14ac:dyDescent="0.35">
      <c r="A449" s="559"/>
      <c r="B449" s="559"/>
      <c r="C449" s="559"/>
      <c r="D449" s="559"/>
      <c r="E449" s="559"/>
      <c r="F449" s="559"/>
      <c r="G449" s="559"/>
      <c r="H449" s="559"/>
      <c r="I449" s="559"/>
      <c r="J449" s="559"/>
      <c r="K449" s="559"/>
      <c r="L449" s="559"/>
      <c r="M449" s="559"/>
      <c r="N449" s="559"/>
      <c r="O449" s="559"/>
      <c r="P449" s="559"/>
      <c r="Q449" s="559"/>
      <c r="R449" s="559"/>
      <c r="S449" s="559"/>
      <c r="T449" s="559"/>
      <c r="U449" s="559"/>
      <c r="V449" s="559"/>
      <c r="W449" s="559"/>
      <c r="X449" s="559"/>
      <c r="Y449" s="559"/>
      <c r="Z449" s="559"/>
      <c r="AA449" s="559"/>
      <c r="AB449" s="559"/>
      <c r="AC449" s="559"/>
      <c r="AD449" s="559"/>
      <c r="AE449" s="559"/>
      <c r="AF449" s="559"/>
      <c r="AG449" s="559"/>
    </row>
    <row r="450" spans="1:33" ht="18" x14ac:dyDescent="0.35">
      <c r="A450" s="559"/>
      <c r="B450" s="559"/>
      <c r="C450" s="559"/>
      <c r="D450" s="559"/>
      <c r="E450" s="559"/>
      <c r="F450" s="559"/>
      <c r="G450" s="559"/>
      <c r="H450" s="559"/>
      <c r="I450" s="559"/>
      <c r="J450" s="559"/>
      <c r="K450" s="559"/>
      <c r="L450" s="559"/>
      <c r="M450" s="559"/>
      <c r="N450" s="559"/>
      <c r="O450" s="559"/>
      <c r="P450" s="559"/>
      <c r="Q450" s="559"/>
      <c r="R450" s="559"/>
      <c r="S450" s="559"/>
      <c r="T450" s="559"/>
      <c r="U450" s="559"/>
      <c r="V450" s="559"/>
      <c r="W450" s="559"/>
      <c r="X450" s="559"/>
      <c r="Y450" s="559"/>
      <c r="Z450" s="559"/>
      <c r="AA450" s="559"/>
      <c r="AB450" s="559"/>
      <c r="AC450" s="559"/>
      <c r="AD450" s="559"/>
      <c r="AE450" s="559"/>
      <c r="AF450" s="559"/>
      <c r="AG450" s="559"/>
    </row>
    <row r="451" spans="1:33" ht="18" x14ac:dyDescent="0.35">
      <c r="A451" s="559"/>
      <c r="B451" s="559"/>
      <c r="C451" s="559"/>
      <c r="D451" s="559"/>
      <c r="E451" s="559"/>
      <c r="F451" s="559"/>
      <c r="G451" s="559"/>
      <c r="H451" s="559"/>
      <c r="I451" s="559"/>
      <c r="J451" s="559"/>
      <c r="K451" s="559"/>
      <c r="L451" s="559"/>
      <c r="M451" s="559"/>
      <c r="N451" s="559"/>
      <c r="O451" s="559"/>
      <c r="P451" s="559"/>
      <c r="Q451" s="559"/>
      <c r="R451" s="559"/>
      <c r="S451" s="559"/>
      <c r="T451" s="559"/>
      <c r="U451" s="559"/>
      <c r="V451" s="559"/>
      <c r="W451" s="559"/>
      <c r="X451" s="559"/>
      <c r="Y451" s="559"/>
      <c r="Z451" s="559"/>
      <c r="AA451" s="559"/>
      <c r="AB451" s="559"/>
      <c r="AC451" s="559"/>
      <c r="AD451" s="559"/>
      <c r="AE451" s="559"/>
      <c r="AF451" s="559"/>
      <c r="AG451" s="559"/>
    </row>
    <row r="452" spans="1:33" ht="18" x14ac:dyDescent="0.35">
      <c r="A452" s="559"/>
      <c r="B452" s="559"/>
      <c r="C452" s="559"/>
      <c r="D452" s="559"/>
      <c r="E452" s="559"/>
      <c r="F452" s="559"/>
      <c r="G452" s="559"/>
      <c r="H452" s="559"/>
      <c r="I452" s="559"/>
      <c r="J452" s="559"/>
      <c r="K452" s="559"/>
      <c r="L452" s="559"/>
      <c r="M452" s="559"/>
      <c r="N452" s="559"/>
      <c r="O452" s="559"/>
      <c r="P452" s="559"/>
      <c r="Q452" s="559"/>
      <c r="R452" s="559"/>
      <c r="S452" s="559"/>
      <c r="T452" s="559"/>
      <c r="U452" s="559"/>
      <c r="V452" s="559"/>
      <c r="W452" s="559"/>
      <c r="X452" s="559"/>
      <c r="Y452" s="559"/>
      <c r="Z452" s="559"/>
      <c r="AA452" s="559"/>
      <c r="AB452" s="559"/>
      <c r="AC452" s="559"/>
      <c r="AD452" s="559"/>
      <c r="AE452" s="559"/>
      <c r="AF452" s="559"/>
      <c r="AG452" s="559"/>
    </row>
    <row r="453" spans="1:33" ht="18" x14ac:dyDescent="0.35">
      <c r="A453" s="559"/>
      <c r="B453" s="559"/>
      <c r="C453" s="559"/>
      <c r="D453" s="559"/>
      <c r="E453" s="559"/>
      <c r="F453" s="559"/>
      <c r="G453" s="559"/>
      <c r="H453" s="559"/>
      <c r="I453" s="559"/>
      <c r="J453" s="559"/>
      <c r="K453" s="559"/>
      <c r="L453" s="559"/>
      <c r="M453" s="559"/>
      <c r="N453" s="559"/>
      <c r="O453" s="559"/>
      <c r="P453" s="559"/>
      <c r="Q453" s="559"/>
      <c r="R453" s="559"/>
      <c r="S453" s="559"/>
      <c r="T453" s="559"/>
      <c r="U453" s="559"/>
      <c r="V453" s="559"/>
      <c r="W453" s="559"/>
      <c r="X453" s="559"/>
      <c r="Y453" s="559"/>
      <c r="Z453" s="559"/>
      <c r="AA453" s="559"/>
      <c r="AB453" s="559"/>
      <c r="AC453" s="559"/>
      <c r="AD453" s="559"/>
      <c r="AE453" s="559"/>
      <c r="AF453" s="559"/>
      <c r="AG453" s="559"/>
    </row>
    <row r="454" spans="1:33" ht="18" x14ac:dyDescent="0.35">
      <c r="A454" s="559"/>
      <c r="B454" s="559"/>
      <c r="C454" s="559"/>
      <c r="D454" s="559"/>
      <c r="E454" s="559"/>
      <c r="F454" s="559"/>
      <c r="G454" s="559"/>
      <c r="H454" s="559"/>
      <c r="I454" s="559"/>
      <c r="J454" s="559"/>
      <c r="K454" s="559"/>
      <c r="L454" s="559"/>
      <c r="M454" s="559"/>
      <c r="N454" s="559"/>
      <c r="O454" s="559"/>
      <c r="P454" s="559"/>
      <c r="Q454" s="559"/>
      <c r="R454" s="559"/>
      <c r="S454" s="559"/>
      <c r="T454" s="559"/>
      <c r="U454" s="559"/>
      <c r="V454" s="559"/>
      <c r="W454" s="559"/>
      <c r="X454" s="559"/>
      <c r="Y454" s="559"/>
      <c r="Z454" s="559"/>
      <c r="AA454" s="559"/>
      <c r="AB454" s="559"/>
      <c r="AC454" s="559"/>
      <c r="AD454" s="559"/>
      <c r="AE454" s="559"/>
      <c r="AF454" s="559"/>
      <c r="AG454" s="559"/>
    </row>
    <row r="455" spans="1:33" ht="18" x14ac:dyDescent="0.35">
      <c r="A455" s="559"/>
      <c r="B455" s="559"/>
      <c r="C455" s="559"/>
      <c r="D455" s="559"/>
      <c r="E455" s="559"/>
      <c r="F455" s="559"/>
      <c r="G455" s="559"/>
      <c r="H455" s="559"/>
      <c r="I455" s="559"/>
      <c r="J455" s="559"/>
      <c r="K455" s="559"/>
      <c r="L455" s="559"/>
      <c r="M455" s="559"/>
      <c r="N455" s="559"/>
      <c r="O455" s="559"/>
      <c r="P455" s="559"/>
      <c r="Q455" s="559"/>
      <c r="R455" s="559"/>
      <c r="S455" s="559"/>
      <c r="T455" s="559"/>
      <c r="U455" s="559"/>
      <c r="V455" s="559"/>
      <c r="W455" s="559"/>
      <c r="X455" s="559"/>
      <c r="Y455" s="559"/>
      <c r="Z455" s="559"/>
      <c r="AA455" s="559"/>
      <c r="AB455" s="559"/>
      <c r="AC455" s="559"/>
      <c r="AD455" s="559"/>
      <c r="AE455" s="559"/>
      <c r="AF455" s="559"/>
      <c r="AG455" s="559"/>
    </row>
    <row r="456" spans="1:33" ht="18" x14ac:dyDescent="0.35">
      <c r="A456" s="559"/>
      <c r="B456" s="559"/>
      <c r="C456" s="559"/>
      <c r="D456" s="559"/>
      <c r="E456" s="559"/>
      <c r="F456" s="559"/>
      <c r="G456" s="559"/>
      <c r="H456" s="559"/>
      <c r="I456" s="559"/>
      <c r="J456" s="559"/>
      <c r="K456" s="559"/>
      <c r="L456" s="559"/>
      <c r="M456" s="559"/>
      <c r="N456" s="559"/>
      <c r="O456" s="559"/>
      <c r="P456" s="559"/>
      <c r="Q456" s="559"/>
      <c r="R456" s="559"/>
      <c r="S456" s="559"/>
      <c r="T456" s="559"/>
      <c r="U456" s="559"/>
      <c r="V456" s="559"/>
      <c r="W456" s="559"/>
      <c r="X456" s="559"/>
      <c r="Y456" s="559"/>
      <c r="Z456" s="559"/>
      <c r="AA456" s="559"/>
      <c r="AB456" s="559"/>
      <c r="AC456" s="559"/>
      <c r="AD456" s="559"/>
      <c r="AE456" s="559"/>
      <c r="AF456" s="559"/>
      <c r="AG456" s="559"/>
    </row>
    <row r="457" spans="1:33" ht="18" x14ac:dyDescent="0.35">
      <c r="A457" s="559"/>
      <c r="B457" s="559"/>
      <c r="C457" s="559"/>
      <c r="D457" s="559"/>
      <c r="E457" s="559"/>
      <c r="F457" s="559"/>
      <c r="G457" s="559"/>
      <c r="H457" s="559"/>
      <c r="I457" s="559"/>
      <c r="J457" s="559"/>
      <c r="K457" s="559"/>
      <c r="L457" s="559"/>
      <c r="M457" s="559"/>
      <c r="N457" s="559"/>
      <c r="O457" s="559"/>
      <c r="P457" s="559"/>
      <c r="Q457" s="559"/>
      <c r="R457" s="559"/>
      <c r="S457" s="559"/>
      <c r="T457" s="559"/>
      <c r="U457" s="559"/>
      <c r="V457" s="559"/>
      <c r="W457" s="559"/>
      <c r="X457" s="559"/>
      <c r="Y457" s="559"/>
      <c r="Z457" s="559"/>
      <c r="AA457" s="559"/>
      <c r="AB457" s="559"/>
      <c r="AC457" s="559"/>
      <c r="AD457" s="559"/>
      <c r="AE457" s="559"/>
      <c r="AF457" s="559"/>
      <c r="AG457" s="559"/>
    </row>
    <row r="458" spans="1:33" ht="18" x14ac:dyDescent="0.35">
      <c r="A458" s="559"/>
      <c r="B458" s="559"/>
      <c r="C458" s="559"/>
      <c r="D458" s="559"/>
      <c r="E458" s="559"/>
      <c r="F458" s="559"/>
      <c r="G458" s="559"/>
      <c r="H458" s="559"/>
      <c r="I458" s="559"/>
      <c r="J458" s="559"/>
      <c r="K458" s="559"/>
      <c r="L458" s="559"/>
      <c r="M458" s="559"/>
      <c r="N458" s="559"/>
      <c r="O458" s="559"/>
      <c r="P458" s="559"/>
      <c r="Q458" s="559"/>
      <c r="R458" s="559"/>
      <c r="S458" s="559"/>
      <c r="T458" s="559"/>
      <c r="U458" s="559"/>
      <c r="V458" s="559"/>
      <c r="W458" s="559"/>
      <c r="X458" s="559"/>
      <c r="Y458" s="559"/>
      <c r="Z458" s="559"/>
      <c r="AA458" s="559"/>
      <c r="AB458" s="559"/>
      <c r="AC458" s="559"/>
      <c r="AD458" s="559"/>
      <c r="AE458" s="559"/>
      <c r="AF458" s="559"/>
      <c r="AG458" s="559"/>
    </row>
    <row r="459" spans="1:33" ht="18" x14ac:dyDescent="0.35">
      <c r="A459" s="559"/>
      <c r="B459" s="559"/>
      <c r="C459" s="559"/>
      <c r="D459" s="559"/>
      <c r="E459" s="559"/>
      <c r="F459" s="559"/>
      <c r="G459" s="559"/>
      <c r="H459" s="559"/>
      <c r="I459" s="559"/>
      <c r="J459" s="559"/>
      <c r="K459" s="559"/>
      <c r="L459" s="559"/>
      <c r="M459" s="559"/>
      <c r="N459" s="559"/>
      <c r="O459" s="559"/>
      <c r="P459" s="559"/>
      <c r="Q459" s="559"/>
      <c r="R459" s="559"/>
      <c r="S459" s="559"/>
      <c r="T459" s="559"/>
      <c r="U459" s="559"/>
      <c r="V459" s="559"/>
      <c r="W459" s="559"/>
      <c r="X459" s="559"/>
      <c r="Y459" s="559"/>
      <c r="Z459" s="559"/>
      <c r="AA459" s="559"/>
      <c r="AB459" s="559"/>
      <c r="AC459" s="559"/>
      <c r="AD459" s="559"/>
      <c r="AE459" s="559"/>
      <c r="AF459" s="559"/>
      <c r="AG459" s="559"/>
    </row>
    <row r="460" spans="1:33" ht="18" x14ac:dyDescent="0.35">
      <c r="A460" s="559"/>
      <c r="B460" s="559"/>
      <c r="C460" s="559"/>
      <c r="D460" s="559"/>
      <c r="E460" s="559"/>
      <c r="F460" s="559"/>
      <c r="G460" s="559"/>
      <c r="H460" s="559"/>
      <c r="I460" s="559"/>
      <c r="J460" s="559"/>
      <c r="K460" s="559"/>
      <c r="L460" s="559"/>
      <c r="M460" s="559"/>
      <c r="N460" s="559"/>
      <c r="O460" s="559"/>
      <c r="P460" s="559"/>
      <c r="Q460" s="559"/>
      <c r="R460" s="559"/>
      <c r="S460" s="559"/>
      <c r="T460" s="559"/>
      <c r="U460" s="559"/>
      <c r="V460" s="559"/>
      <c r="W460" s="559"/>
      <c r="X460" s="559"/>
      <c r="Y460" s="559"/>
      <c r="Z460" s="559"/>
      <c r="AA460" s="559"/>
      <c r="AB460" s="559"/>
      <c r="AC460" s="559"/>
      <c r="AD460" s="559"/>
      <c r="AE460" s="559"/>
      <c r="AF460" s="559"/>
      <c r="AG460" s="559"/>
    </row>
    <row r="461" spans="1:33" ht="18" x14ac:dyDescent="0.35">
      <c r="A461" s="559"/>
      <c r="B461" s="559"/>
      <c r="C461" s="559"/>
      <c r="D461" s="559"/>
      <c r="E461" s="559"/>
      <c r="F461" s="559"/>
      <c r="G461" s="559"/>
      <c r="H461" s="559"/>
      <c r="I461" s="559"/>
      <c r="J461" s="559"/>
      <c r="K461" s="559"/>
      <c r="L461" s="559"/>
      <c r="M461" s="559"/>
      <c r="N461" s="559"/>
      <c r="O461" s="559"/>
      <c r="P461" s="559"/>
      <c r="Q461" s="559"/>
      <c r="R461" s="559"/>
      <c r="S461" s="559"/>
      <c r="T461" s="559"/>
      <c r="U461" s="559"/>
      <c r="V461" s="559"/>
      <c r="W461" s="559"/>
      <c r="X461" s="559"/>
      <c r="Y461" s="559"/>
      <c r="Z461" s="559"/>
      <c r="AA461" s="559"/>
      <c r="AB461" s="559"/>
      <c r="AC461" s="559"/>
      <c r="AD461" s="559"/>
      <c r="AE461" s="559"/>
      <c r="AF461" s="559"/>
      <c r="AG461" s="559"/>
    </row>
    <row r="462" spans="1:33" ht="18" x14ac:dyDescent="0.35">
      <c r="A462" s="559"/>
      <c r="B462" s="559"/>
      <c r="C462" s="559"/>
      <c r="D462" s="559"/>
      <c r="E462" s="559"/>
      <c r="F462" s="559"/>
      <c r="G462" s="559"/>
      <c r="H462" s="559"/>
      <c r="I462" s="559"/>
      <c r="J462" s="559"/>
      <c r="K462" s="559"/>
      <c r="L462" s="559"/>
      <c r="M462" s="559"/>
      <c r="N462" s="559"/>
      <c r="O462" s="559"/>
      <c r="P462" s="559"/>
      <c r="Q462" s="559"/>
      <c r="R462" s="559"/>
      <c r="S462" s="559"/>
      <c r="T462" s="559"/>
      <c r="U462" s="559"/>
      <c r="V462" s="559"/>
      <c r="W462" s="559"/>
      <c r="X462" s="559"/>
      <c r="Y462" s="559"/>
      <c r="Z462" s="559"/>
      <c r="AA462" s="559"/>
      <c r="AB462" s="559"/>
      <c r="AC462" s="559"/>
      <c r="AD462" s="559"/>
      <c r="AE462" s="559"/>
      <c r="AF462" s="559"/>
      <c r="AG462" s="559"/>
    </row>
    <row r="463" spans="1:33" ht="18" x14ac:dyDescent="0.35">
      <c r="A463" s="559"/>
      <c r="B463" s="559"/>
      <c r="C463" s="559"/>
      <c r="D463" s="559"/>
      <c r="E463" s="559"/>
      <c r="F463" s="559"/>
      <c r="G463" s="559"/>
      <c r="H463" s="559"/>
      <c r="I463" s="559"/>
      <c r="J463" s="559"/>
      <c r="K463" s="559"/>
      <c r="L463" s="559"/>
      <c r="M463" s="559"/>
      <c r="N463" s="559"/>
      <c r="O463" s="559"/>
      <c r="P463" s="559"/>
      <c r="Q463" s="559"/>
      <c r="R463" s="559"/>
      <c r="S463" s="559"/>
      <c r="T463" s="559"/>
      <c r="U463" s="559"/>
      <c r="V463" s="559"/>
      <c r="W463" s="559"/>
      <c r="X463" s="559"/>
      <c r="Y463" s="559"/>
      <c r="Z463" s="559"/>
      <c r="AA463" s="559"/>
      <c r="AB463" s="559"/>
      <c r="AC463" s="559"/>
      <c r="AD463" s="559"/>
      <c r="AE463" s="559"/>
      <c r="AF463" s="559"/>
      <c r="AG463" s="559"/>
    </row>
    <row r="464" spans="1:33" ht="18" x14ac:dyDescent="0.35">
      <c r="A464" s="559"/>
      <c r="B464" s="559"/>
      <c r="C464" s="559"/>
      <c r="D464" s="559"/>
      <c r="E464" s="559"/>
      <c r="F464" s="559"/>
      <c r="G464" s="559"/>
      <c r="H464" s="559"/>
      <c r="I464" s="559"/>
      <c r="J464" s="559"/>
      <c r="K464" s="559"/>
      <c r="L464" s="559"/>
      <c r="M464" s="559"/>
      <c r="N464" s="559"/>
      <c r="O464" s="559"/>
      <c r="P464" s="559"/>
      <c r="Q464" s="559"/>
      <c r="R464" s="559"/>
      <c r="S464" s="559"/>
      <c r="T464" s="559"/>
      <c r="U464" s="559"/>
      <c r="V464" s="559"/>
      <c r="W464" s="559"/>
      <c r="X464" s="559"/>
      <c r="Y464" s="559"/>
      <c r="Z464" s="559"/>
      <c r="AA464" s="559"/>
      <c r="AB464" s="559"/>
      <c r="AC464" s="559"/>
      <c r="AD464" s="559"/>
      <c r="AE464" s="559"/>
      <c r="AF464" s="559"/>
      <c r="AG464" s="559"/>
    </row>
    <row r="465" spans="1:33" ht="18" x14ac:dyDescent="0.35">
      <c r="A465" s="559"/>
      <c r="B465" s="559"/>
      <c r="C465" s="559"/>
      <c r="D465" s="559"/>
      <c r="E465" s="559"/>
      <c r="F465" s="559"/>
      <c r="G465" s="559"/>
      <c r="H465" s="559"/>
      <c r="I465" s="559"/>
      <c r="J465" s="559"/>
      <c r="K465" s="559"/>
      <c r="L465" s="559"/>
      <c r="M465" s="559"/>
      <c r="N465" s="559"/>
      <c r="O465" s="559"/>
      <c r="P465" s="559"/>
      <c r="Q465" s="559"/>
      <c r="R465" s="559"/>
      <c r="S465" s="559"/>
      <c r="T465" s="559"/>
      <c r="U465" s="559"/>
      <c r="V465" s="559"/>
      <c r="W465" s="559"/>
      <c r="X465" s="559"/>
      <c r="Y465" s="559"/>
      <c r="Z465" s="559"/>
      <c r="AA465" s="559"/>
      <c r="AB465" s="559"/>
      <c r="AC465" s="559"/>
      <c r="AD465" s="559"/>
      <c r="AE465" s="559"/>
      <c r="AF465" s="559"/>
      <c r="AG465" s="559"/>
    </row>
    <row r="466" spans="1:33" ht="18" x14ac:dyDescent="0.35">
      <c r="A466" s="559"/>
      <c r="B466" s="559"/>
      <c r="C466" s="559"/>
      <c r="D466" s="559"/>
      <c r="E466" s="559"/>
      <c r="F466" s="559"/>
      <c r="G466" s="559"/>
      <c r="H466" s="559"/>
      <c r="I466" s="559"/>
      <c r="J466" s="559"/>
      <c r="K466" s="559"/>
      <c r="L466" s="559"/>
      <c r="M466" s="559"/>
      <c r="N466" s="559"/>
      <c r="O466" s="559"/>
      <c r="P466" s="559"/>
      <c r="Q466" s="559"/>
      <c r="R466" s="559"/>
      <c r="S466" s="559"/>
      <c r="T466" s="559"/>
      <c r="U466" s="559"/>
      <c r="V466" s="559"/>
      <c r="W466" s="559"/>
      <c r="X466" s="559"/>
      <c r="Y466" s="559"/>
      <c r="Z466" s="559"/>
      <c r="AA466" s="559"/>
      <c r="AB466" s="559"/>
      <c r="AC466" s="559"/>
      <c r="AD466" s="559"/>
      <c r="AE466" s="559"/>
      <c r="AF466" s="559"/>
      <c r="AG466" s="559"/>
    </row>
    <row r="467" spans="1:33" ht="18" x14ac:dyDescent="0.35">
      <c r="A467" s="559"/>
      <c r="B467" s="559"/>
      <c r="C467" s="559"/>
      <c r="D467" s="559"/>
      <c r="E467" s="559"/>
      <c r="F467" s="559"/>
      <c r="G467" s="559"/>
      <c r="H467" s="559"/>
      <c r="I467" s="559"/>
      <c r="J467" s="559"/>
      <c r="K467" s="559"/>
      <c r="L467" s="559"/>
      <c r="M467" s="559"/>
      <c r="N467" s="559"/>
      <c r="O467" s="559"/>
      <c r="P467" s="559"/>
      <c r="Q467" s="559"/>
      <c r="R467" s="559"/>
      <c r="S467" s="559"/>
      <c r="T467" s="559"/>
      <c r="U467" s="559"/>
      <c r="V467" s="559"/>
      <c r="W467" s="559"/>
      <c r="X467" s="559"/>
      <c r="Y467" s="559"/>
      <c r="Z467" s="559"/>
      <c r="AA467" s="559"/>
      <c r="AB467" s="559"/>
      <c r="AC467" s="559"/>
      <c r="AD467" s="559"/>
      <c r="AE467" s="559"/>
      <c r="AF467" s="559"/>
      <c r="AG467" s="559"/>
    </row>
    <row r="468" spans="1:33" ht="18" x14ac:dyDescent="0.35">
      <c r="A468" s="559"/>
      <c r="B468" s="559"/>
      <c r="C468" s="559"/>
      <c r="D468" s="559"/>
      <c r="E468" s="559"/>
      <c r="F468" s="559"/>
      <c r="G468" s="559"/>
      <c r="H468" s="559"/>
      <c r="I468" s="559"/>
      <c r="J468" s="559"/>
      <c r="K468" s="559"/>
      <c r="L468" s="559"/>
      <c r="M468" s="559"/>
      <c r="N468" s="559"/>
      <c r="O468" s="559"/>
      <c r="P468" s="559"/>
      <c r="Q468" s="559"/>
      <c r="R468" s="559"/>
      <c r="S468" s="559"/>
      <c r="T468" s="559"/>
      <c r="U468" s="559"/>
      <c r="V468" s="559"/>
      <c r="W468" s="559"/>
      <c r="X468" s="559"/>
      <c r="Y468" s="559"/>
      <c r="Z468" s="559"/>
      <c r="AA468" s="559"/>
      <c r="AB468" s="559"/>
      <c r="AC468" s="559"/>
      <c r="AD468" s="559"/>
      <c r="AE468" s="559"/>
      <c r="AF468" s="559"/>
      <c r="AG468" s="559"/>
    </row>
    <row r="469" spans="1:33" ht="18" x14ac:dyDescent="0.35">
      <c r="A469" s="559"/>
      <c r="B469" s="559"/>
      <c r="C469" s="559"/>
      <c r="D469" s="559"/>
      <c r="E469" s="559"/>
      <c r="F469" s="559"/>
      <c r="G469" s="559"/>
      <c r="H469" s="559"/>
      <c r="I469" s="559"/>
      <c r="J469" s="559"/>
      <c r="K469" s="559"/>
      <c r="L469" s="559"/>
      <c r="M469" s="559"/>
      <c r="N469" s="559"/>
      <c r="O469" s="559"/>
      <c r="P469" s="559"/>
      <c r="Q469" s="559"/>
      <c r="R469" s="559"/>
      <c r="S469" s="559"/>
      <c r="T469" s="559"/>
      <c r="U469" s="559"/>
      <c r="V469" s="559"/>
      <c r="W469" s="559"/>
      <c r="X469" s="559"/>
      <c r="Y469" s="559"/>
      <c r="Z469" s="559"/>
      <c r="AA469" s="559"/>
      <c r="AB469" s="559"/>
      <c r="AC469" s="559"/>
      <c r="AD469" s="559"/>
      <c r="AE469" s="559"/>
      <c r="AF469" s="559"/>
      <c r="AG469" s="559"/>
    </row>
    <row r="470" spans="1:33" ht="18" x14ac:dyDescent="0.35">
      <c r="A470" s="559"/>
      <c r="B470" s="559"/>
      <c r="C470" s="559"/>
      <c r="D470" s="559"/>
      <c r="E470" s="559"/>
      <c r="F470" s="559"/>
      <c r="G470" s="559"/>
      <c r="H470" s="559"/>
      <c r="I470" s="559"/>
      <c r="J470" s="559"/>
      <c r="K470" s="559"/>
      <c r="L470" s="559"/>
      <c r="M470" s="559"/>
      <c r="N470" s="559"/>
      <c r="O470" s="559"/>
      <c r="P470" s="559"/>
      <c r="Q470" s="559"/>
      <c r="R470" s="559"/>
      <c r="S470" s="559"/>
      <c r="T470" s="559"/>
      <c r="U470" s="559"/>
      <c r="V470" s="559"/>
      <c r="W470" s="559"/>
      <c r="X470" s="559"/>
      <c r="Y470" s="559"/>
      <c r="Z470" s="559"/>
      <c r="AA470" s="559"/>
      <c r="AB470" s="559"/>
      <c r="AC470" s="559"/>
      <c r="AD470" s="559"/>
      <c r="AE470" s="559"/>
      <c r="AF470" s="559"/>
      <c r="AG470" s="559"/>
    </row>
    <row r="471" spans="1:33" ht="18" x14ac:dyDescent="0.35">
      <c r="A471" s="559"/>
      <c r="B471" s="559"/>
      <c r="C471" s="559"/>
      <c r="D471" s="559"/>
      <c r="E471" s="559"/>
      <c r="F471" s="559"/>
      <c r="G471" s="559"/>
      <c r="H471" s="559"/>
      <c r="I471" s="559"/>
      <c r="J471" s="559"/>
      <c r="K471" s="559"/>
      <c r="L471" s="559"/>
      <c r="M471" s="559"/>
      <c r="N471" s="559"/>
      <c r="O471" s="559"/>
      <c r="P471" s="559"/>
      <c r="Q471" s="559"/>
      <c r="R471" s="559"/>
      <c r="S471" s="559"/>
      <c r="T471" s="559"/>
      <c r="U471" s="559"/>
      <c r="V471" s="559"/>
      <c r="W471" s="559"/>
      <c r="X471" s="559"/>
      <c r="Y471" s="559"/>
      <c r="Z471" s="559"/>
      <c r="AA471" s="559"/>
      <c r="AB471" s="559"/>
      <c r="AC471" s="559"/>
      <c r="AD471" s="559"/>
      <c r="AE471" s="559"/>
      <c r="AF471" s="559"/>
      <c r="AG471" s="559"/>
    </row>
    <row r="472" spans="1:33" ht="18" x14ac:dyDescent="0.35">
      <c r="A472" s="559"/>
      <c r="B472" s="559"/>
      <c r="C472" s="559"/>
      <c r="D472" s="559"/>
      <c r="E472" s="559"/>
      <c r="F472" s="559"/>
      <c r="G472" s="559"/>
      <c r="H472" s="559"/>
      <c r="I472" s="559"/>
      <c r="J472" s="559"/>
      <c r="K472" s="559"/>
      <c r="L472" s="559"/>
      <c r="M472" s="559"/>
      <c r="N472" s="559"/>
      <c r="O472" s="559"/>
      <c r="P472" s="559"/>
      <c r="Q472" s="559"/>
      <c r="R472" s="559"/>
      <c r="S472" s="559"/>
      <c r="T472" s="559"/>
      <c r="U472" s="559"/>
      <c r="V472" s="559"/>
      <c r="W472" s="559"/>
      <c r="X472" s="559"/>
      <c r="Y472" s="559"/>
      <c r="Z472" s="559"/>
      <c r="AA472" s="559"/>
      <c r="AB472" s="559"/>
      <c r="AC472" s="559"/>
      <c r="AD472" s="559"/>
      <c r="AE472" s="559"/>
      <c r="AF472" s="559"/>
      <c r="AG472" s="559"/>
    </row>
    <row r="473" spans="1:33" ht="18" x14ac:dyDescent="0.35">
      <c r="A473" s="559"/>
      <c r="B473" s="559"/>
      <c r="C473" s="559"/>
      <c r="D473" s="559"/>
      <c r="E473" s="559"/>
      <c r="F473" s="559"/>
      <c r="G473" s="559"/>
      <c r="H473" s="559"/>
      <c r="I473" s="559"/>
      <c r="J473" s="559"/>
      <c r="K473" s="559"/>
      <c r="L473" s="559"/>
      <c r="M473" s="559"/>
      <c r="N473" s="559"/>
      <c r="O473" s="559"/>
      <c r="P473" s="559"/>
      <c r="Q473" s="559"/>
      <c r="R473" s="559"/>
      <c r="S473" s="559"/>
      <c r="T473" s="559"/>
      <c r="U473" s="559"/>
      <c r="V473" s="559"/>
      <c r="W473" s="559"/>
      <c r="X473" s="559"/>
      <c r="Y473" s="559"/>
      <c r="Z473" s="559"/>
      <c r="AA473" s="559"/>
      <c r="AB473" s="559"/>
      <c r="AC473" s="559"/>
      <c r="AD473" s="559"/>
      <c r="AE473" s="559"/>
      <c r="AF473" s="559"/>
      <c r="AG473" s="559"/>
    </row>
    <row r="474" spans="1:33" ht="18" x14ac:dyDescent="0.35">
      <c r="A474" s="559"/>
      <c r="B474" s="559"/>
      <c r="C474" s="559"/>
      <c r="D474" s="559"/>
      <c r="E474" s="559"/>
      <c r="F474" s="559"/>
      <c r="G474" s="559"/>
      <c r="H474" s="559"/>
      <c r="I474" s="559"/>
      <c r="J474" s="559"/>
      <c r="K474" s="559"/>
      <c r="L474" s="559"/>
      <c r="M474" s="559"/>
      <c r="N474" s="559"/>
      <c r="O474" s="559"/>
      <c r="P474" s="559"/>
      <c r="Q474" s="559"/>
      <c r="R474" s="559"/>
      <c r="S474" s="559"/>
      <c r="T474" s="559"/>
      <c r="U474" s="559"/>
      <c r="V474" s="559"/>
      <c r="W474" s="559"/>
      <c r="X474" s="559"/>
      <c r="Y474" s="559"/>
      <c r="Z474" s="559"/>
      <c r="AA474" s="559"/>
      <c r="AB474" s="559"/>
      <c r="AC474" s="559"/>
      <c r="AD474" s="559"/>
      <c r="AE474" s="559"/>
      <c r="AF474" s="559"/>
      <c r="AG474" s="559"/>
    </row>
    <row r="475" spans="1:33" ht="18" x14ac:dyDescent="0.35">
      <c r="A475" s="559"/>
      <c r="B475" s="559"/>
      <c r="C475" s="559"/>
      <c r="D475" s="559"/>
      <c r="E475" s="559"/>
      <c r="F475" s="559"/>
      <c r="G475" s="559"/>
      <c r="H475" s="559"/>
      <c r="I475" s="559"/>
      <c r="J475" s="559"/>
      <c r="K475" s="559"/>
      <c r="L475" s="559"/>
      <c r="M475" s="559"/>
      <c r="N475" s="559"/>
      <c r="O475" s="559"/>
      <c r="P475" s="559"/>
      <c r="Q475" s="559"/>
      <c r="R475" s="559"/>
      <c r="S475" s="559"/>
      <c r="T475" s="559"/>
      <c r="U475" s="559"/>
      <c r="V475" s="559"/>
      <c r="W475" s="559"/>
      <c r="X475" s="559"/>
      <c r="Y475" s="559"/>
      <c r="Z475" s="559"/>
      <c r="AA475" s="559"/>
      <c r="AB475" s="559"/>
      <c r="AC475" s="559"/>
      <c r="AD475" s="559"/>
      <c r="AE475" s="559"/>
      <c r="AF475" s="559"/>
      <c r="AG475" s="559"/>
    </row>
    <row r="476" spans="1:33" ht="18" x14ac:dyDescent="0.35">
      <c r="A476" s="559"/>
      <c r="B476" s="559"/>
      <c r="C476" s="559"/>
      <c r="D476" s="559"/>
      <c r="E476" s="559"/>
      <c r="F476" s="559"/>
      <c r="G476" s="559"/>
      <c r="H476" s="559"/>
      <c r="I476" s="559"/>
      <c r="J476" s="559"/>
      <c r="K476" s="559"/>
      <c r="L476" s="559"/>
      <c r="M476" s="559"/>
      <c r="N476" s="559"/>
      <c r="O476" s="559"/>
      <c r="P476" s="559"/>
      <c r="Q476" s="559"/>
      <c r="R476" s="559"/>
      <c r="S476" s="559"/>
      <c r="T476" s="559"/>
      <c r="U476" s="559"/>
      <c r="V476" s="559"/>
      <c r="W476" s="559"/>
      <c r="X476" s="559"/>
      <c r="Y476" s="559"/>
      <c r="Z476" s="559"/>
      <c r="AA476" s="559"/>
      <c r="AB476" s="559"/>
      <c r="AC476" s="559"/>
      <c r="AD476" s="559"/>
      <c r="AE476" s="559"/>
      <c r="AF476" s="559"/>
      <c r="AG476" s="559"/>
    </row>
    <row r="477" spans="1:33" ht="18" x14ac:dyDescent="0.35">
      <c r="A477" s="559"/>
      <c r="B477" s="559"/>
      <c r="C477" s="559"/>
      <c r="D477" s="559"/>
      <c r="E477" s="559"/>
      <c r="F477" s="559"/>
      <c r="G477" s="559"/>
      <c r="H477" s="559"/>
      <c r="I477" s="559"/>
      <c r="J477" s="559"/>
      <c r="K477" s="559"/>
      <c r="L477" s="559"/>
      <c r="M477" s="559"/>
      <c r="N477" s="559"/>
      <c r="O477" s="559"/>
      <c r="P477" s="559"/>
      <c r="Q477" s="559"/>
      <c r="R477" s="559"/>
      <c r="S477" s="559"/>
      <c r="T477" s="559"/>
      <c r="U477" s="559"/>
      <c r="V477" s="559"/>
      <c r="W477" s="559"/>
      <c r="X477" s="559"/>
      <c r="Y477" s="559"/>
      <c r="Z477" s="559"/>
      <c r="AA477" s="559"/>
      <c r="AB477" s="559"/>
      <c r="AC477" s="559"/>
      <c r="AD477" s="559"/>
      <c r="AE477" s="559"/>
      <c r="AF477" s="559"/>
      <c r="AG477" s="559"/>
    </row>
    <row r="478" spans="1:33" ht="18" x14ac:dyDescent="0.35">
      <c r="A478" s="559"/>
      <c r="B478" s="559"/>
      <c r="C478" s="559"/>
      <c r="D478" s="559"/>
      <c r="E478" s="559"/>
      <c r="F478" s="559"/>
      <c r="G478" s="559"/>
      <c r="H478" s="559"/>
      <c r="I478" s="559"/>
      <c r="J478" s="559"/>
      <c r="K478" s="559"/>
      <c r="L478" s="559"/>
      <c r="M478" s="559"/>
      <c r="N478" s="559"/>
      <c r="O478" s="559"/>
      <c r="P478" s="559"/>
      <c r="Q478" s="559"/>
      <c r="R478" s="559"/>
      <c r="S478" s="559"/>
      <c r="T478" s="559"/>
      <c r="U478" s="559"/>
      <c r="V478" s="559"/>
      <c r="W478" s="559"/>
      <c r="X478" s="559"/>
      <c r="Y478" s="559"/>
      <c r="Z478" s="559"/>
      <c r="AA478" s="559"/>
      <c r="AB478" s="559"/>
      <c r="AC478" s="559"/>
      <c r="AD478" s="559"/>
      <c r="AE478" s="559"/>
      <c r="AF478" s="559"/>
      <c r="AG478" s="559"/>
    </row>
    <row r="479" spans="1:33" ht="18" x14ac:dyDescent="0.35">
      <c r="A479" s="559"/>
      <c r="B479" s="559"/>
      <c r="C479" s="559"/>
      <c r="D479" s="559"/>
      <c r="E479" s="559"/>
      <c r="F479" s="559"/>
      <c r="G479" s="559"/>
      <c r="H479" s="559"/>
      <c r="I479" s="559"/>
      <c r="J479" s="559"/>
      <c r="K479" s="559"/>
      <c r="L479" s="559"/>
      <c r="M479" s="559"/>
      <c r="N479" s="559"/>
      <c r="O479" s="559"/>
      <c r="P479" s="559"/>
      <c r="Q479" s="559"/>
      <c r="R479" s="559"/>
      <c r="S479" s="559"/>
      <c r="T479" s="559"/>
      <c r="U479" s="559"/>
      <c r="V479" s="559"/>
      <c r="W479" s="559"/>
      <c r="X479" s="559"/>
      <c r="Y479" s="559"/>
      <c r="Z479" s="559"/>
      <c r="AA479" s="559"/>
      <c r="AB479" s="559"/>
      <c r="AC479" s="559"/>
      <c r="AD479" s="559"/>
      <c r="AE479" s="559"/>
      <c r="AF479" s="559"/>
      <c r="AG479" s="559"/>
    </row>
    <row r="480" spans="1:33" ht="18" x14ac:dyDescent="0.35">
      <c r="A480" s="559"/>
      <c r="B480" s="559"/>
      <c r="C480" s="559"/>
      <c r="D480" s="559"/>
      <c r="E480" s="559"/>
      <c r="F480" s="559"/>
      <c r="G480" s="559"/>
      <c r="H480" s="559"/>
      <c r="I480" s="559"/>
      <c r="J480" s="559"/>
      <c r="K480" s="559"/>
      <c r="L480" s="559"/>
      <c r="M480" s="559"/>
      <c r="N480" s="559"/>
      <c r="O480" s="559"/>
      <c r="P480" s="559"/>
      <c r="Q480" s="559"/>
      <c r="R480" s="559"/>
      <c r="S480" s="559"/>
      <c r="T480" s="559"/>
      <c r="U480" s="559"/>
      <c r="V480" s="559"/>
      <c r="W480" s="559"/>
      <c r="X480" s="559"/>
      <c r="Y480" s="559"/>
      <c r="Z480" s="559"/>
      <c r="AA480" s="559"/>
      <c r="AB480" s="559"/>
      <c r="AC480" s="559"/>
      <c r="AD480" s="559"/>
      <c r="AE480" s="559"/>
      <c r="AF480" s="559"/>
      <c r="AG480" s="559"/>
    </row>
    <row r="481" spans="1:33" ht="18" x14ac:dyDescent="0.35">
      <c r="A481" s="559"/>
      <c r="B481" s="559"/>
      <c r="C481" s="559"/>
      <c r="D481" s="559"/>
      <c r="E481" s="559"/>
      <c r="F481" s="559"/>
      <c r="G481" s="559"/>
      <c r="H481" s="559"/>
      <c r="I481" s="559"/>
      <c r="J481" s="559"/>
      <c r="K481" s="559"/>
      <c r="L481" s="559"/>
      <c r="M481" s="559"/>
      <c r="N481" s="559"/>
      <c r="O481" s="559"/>
      <c r="P481" s="559"/>
      <c r="Q481" s="559"/>
      <c r="R481" s="559"/>
      <c r="S481" s="559"/>
      <c r="T481" s="559"/>
      <c r="U481" s="559"/>
      <c r="V481" s="559"/>
      <c r="W481" s="559"/>
      <c r="X481" s="559"/>
      <c r="Y481" s="559"/>
      <c r="Z481" s="559"/>
      <c r="AA481" s="559"/>
      <c r="AB481" s="559"/>
      <c r="AC481" s="559"/>
      <c r="AD481" s="559"/>
      <c r="AE481" s="559"/>
      <c r="AF481" s="559"/>
      <c r="AG481" s="559"/>
    </row>
    <row r="482" spans="1:33" ht="18" x14ac:dyDescent="0.35">
      <c r="A482" s="559"/>
      <c r="B482" s="559"/>
      <c r="C482" s="559"/>
      <c r="D482" s="559"/>
      <c r="E482" s="559"/>
      <c r="F482" s="559"/>
      <c r="G482" s="559"/>
      <c r="H482" s="559"/>
      <c r="I482" s="559"/>
      <c r="J482" s="559"/>
      <c r="K482" s="559"/>
      <c r="L482" s="559"/>
      <c r="M482" s="559"/>
      <c r="N482" s="559"/>
      <c r="O482" s="559"/>
      <c r="P482" s="559"/>
      <c r="Q482" s="559"/>
      <c r="R482" s="559"/>
      <c r="S482" s="559"/>
      <c r="T482" s="559"/>
      <c r="U482" s="559"/>
      <c r="V482" s="559"/>
      <c r="W482" s="559"/>
      <c r="X482" s="559"/>
      <c r="Y482" s="559"/>
      <c r="Z482" s="559"/>
      <c r="AA482" s="559"/>
      <c r="AB482" s="559"/>
      <c r="AC482" s="559"/>
      <c r="AD482" s="559"/>
      <c r="AE482" s="559"/>
      <c r="AF482" s="559"/>
      <c r="AG482" s="559"/>
    </row>
    <row r="483" spans="1:33" ht="18" x14ac:dyDescent="0.35">
      <c r="A483" s="559"/>
      <c r="B483" s="559"/>
      <c r="C483" s="559"/>
      <c r="D483" s="559"/>
      <c r="E483" s="559"/>
      <c r="F483" s="559"/>
      <c r="G483" s="559"/>
      <c r="H483" s="559"/>
      <c r="I483" s="559"/>
      <c r="J483" s="559"/>
      <c r="K483" s="559"/>
      <c r="L483" s="559"/>
      <c r="M483" s="559"/>
      <c r="N483" s="559"/>
      <c r="O483" s="559"/>
      <c r="P483" s="559"/>
      <c r="Q483" s="559"/>
      <c r="R483" s="559"/>
      <c r="S483" s="559"/>
      <c r="T483" s="559"/>
      <c r="U483" s="559"/>
      <c r="V483" s="559"/>
      <c r="W483" s="559"/>
      <c r="X483" s="559"/>
      <c r="Y483" s="559"/>
      <c r="Z483" s="559"/>
      <c r="AA483" s="559"/>
      <c r="AB483" s="559"/>
      <c r="AC483" s="559"/>
      <c r="AD483" s="559"/>
      <c r="AE483" s="559"/>
      <c r="AF483" s="559"/>
      <c r="AG483" s="559"/>
    </row>
    <row r="484" spans="1:33" ht="18" x14ac:dyDescent="0.35">
      <c r="A484" s="559"/>
      <c r="B484" s="559"/>
      <c r="C484" s="559"/>
      <c r="D484" s="559"/>
      <c r="E484" s="559"/>
      <c r="F484" s="559"/>
      <c r="G484" s="559"/>
      <c r="H484" s="559"/>
      <c r="I484" s="559"/>
      <c r="J484" s="559"/>
      <c r="K484" s="559"/>
      <c r="L484" s="559"/>
      <c r="M484" s="559"/>
      <c r="N484" s="559"/>
      <c r="O484" s="559"/>
      <c r="P484" s="559"/>
      <c r="Q484" s="559"/>
      <c r="R484" s="559"/>
      <c r="S484" s="559"/>
      <c r="T484" s="559"/>
      <c r="U484" s="559"/>
      <c r="V484" s="559"/>
      <c r="W484" s="559"/>
      <c r="X484" s="559"/>
      <c r="Y484" s="559"/>
      <c r="Z484" s="559"/>
      <c r="AA484" s="559"/>
      <c r="AB484" s="559"/>
      <c r="AC484" s="559"/>
      <c r="AD484" s="559"/>
      <c r="AE484" s="559"/>
      <c r="AF484" s="559"/>
      <c r="AG484" s="559"/>
    </row>
    <row r="485" spans="1:33" ht="18" x14ac:dyDescent="0.35">
      <c r="A485" s="559"/>
      <c r="B485" s="559"/>
      <c r="C485" s="559"/>
      <c r="D485" s="559"/>
      <c r="E485" s="559"/>
      <c r="F485" s="559"/>
      <c r="G485" s="559"/>
      <c r="H485" s="559"/>
      <c r="I485" s="559"/>
      <c r="J485" s="559"/>
      <c r="K485" s="559"/>
      <c r="L485" s="559"/>
      <c r="M485" s="559"/>
      <c r="N485" s="559"/>
      <c r="O485" s="559"/>
      <c r="P485" s="559"/>
      <c r="Q485" s="559"/>
      <c r="R485" s="559"/>
      <c r="S485" s="559"/>
      <c r="T485" s="559"/>
      <c r="U485" s="559"/>
      <c r="V485" s="559"/>
      <c r="W485" s="559"/>
      <c r="X485" s="559"/>
      <c r="Y485" s="559"/>
      <c r="Z485" s="559"/>
      <c r="AA485" s="559"/>
      <c r="AB485" s="559"/>
      <c r="AC485" s="559"/>
      <c r="AD485" s="559"/>
      <c r="AE485" s="559"/>
      <c r="AF485" s="559"/>
      <c r="AG485" s="559"/>
    </row>
    <row r="486" spans="1:33" ht="18" x14ac:dyDescent="0.35">
      <c r="A486" s="559"/>
      <c r="B486" s="559"/>
      <c r="C486" s="559"/>
      <c r="D486" s="559"/>
      <c r="E486" s="559"/>
      <c r="F486" s="559"/>
      <c r="G486" s="559"/>
      <c r="H486" s="559"/>
      <c r="I486" s="559"/>
      <c r="J486" s="559"/>
      <c r="K486" s="559"/>
      <c r="L486" s="559"/>
      <c r="M486" s="559"/>
      <c r="N486" s="559"/>
      <c r="O486" s="559"/>
      <c r="P486" s="559"/>
      <c r="Q486" s="559"/>
      <c r="R486" s="559"/>
      <c r="S486" s="559"/>
      <c r="T486" s="559"/>
      <c r="U486" s="559"/>
      <c r="V486" s="559"/>
      <c r="W486" s="559"/>
      <c r="X486" s="559"/>
      <c r="Y486" s="559"/>
      <c r="Z486" s="559"/>
      <c r="AA486" s="559"/>
      <c r="AB486" s="559"/>
      <c r="AC486" s="559"/>
      <c r="AD486" s="559"/>
      <c r="AE486" s="559"/>
      <c r="AF486" s="559"/>
      <c r="AG486" s="559"/>
    </row>
    <row r="487" spans="1:33" ht="18" x14ac:dyDescent="0.35">
      <c r="A487" s="559"/>
      <c r="B487" s="559"/>
      <c r="C487" s="559"/>
      <c r="D487" s="559"/>
      <c r="E487" s="559"/>
      <c r="F487" s="559"/>
      <c r="G487" s="559"/>
      <c r="H487" s="559"/>
      <c r="I487" s="559"/>
      <c r="J487" s="559"/>
      <c r="K487" s="559"/>
      <c r="L487" s="559"/>
      <c r="M487" s="559"/>
      <c r="N487" s="559"/>
      <c r="O487" s="559"/>
      <c r="P487" s="559"/>
      <c r="Q487" s="559"/>
      <c r="R487" s="559"/>
      <c r="S487" s="559"/>
      <c r="T487" s="559"/>
      <c r="U487" s="559"/>
      <c r="V487" s="559"/>
      <c r="W487" s="559"/>
      <c r="X487" s="559"/>
      <c r="Y487" s="559"/>
      <c r="Z487" s="559"/>
      <c r="AA487" s="559"/>
      <c r="AB487" s="559"/>
      <c r="AC487" s="559"/>
      <c r="AD487" s="559"/>
      <c r="AE487" s="559"/>
      <c r="AF487" s="559"/>
      <c r="AG487" s="559"/>
    </row>
    <row r="488" spans="1:33" ht="18" x14ac:dyDescent="0.35">
      <c r="A488" s="559"/>
      <c r="B488" s="559"/>
      <c r="C488" s="559"/>
      <c r="D488" s="559"/>
      <c r="E488" s="559"/>
      <c r="F488" s="559"/>
      <c r="G488" s="559"/>
      <c r="H488" s="559"/>
      <c r="I488" s="559"/>
      <c r="J488" s="559"/>
      <c r="K488" s="559"/>
      <c r="L488" s="559"/>
      <c r="M488" s="559"/>
      <c r="N488" s="559"/>
      <c r="O488" s="559"/>
      <c r="P488" s="559"/>
      <c r="Q488" s="559"/>
      <c r="R488" s="559"/>
      <c r="S488" s="559"/>
      <c r="T488" s="559"/>
      <c r="U488" s="559"/>
      <c r="V488" s="559"/>
      <c r="W488" s="559"/>
      <c r="X488" s="559"/>
      <c r="Y488" s="559"/>
      <c r="Z488" s="559"/>
      <c r="AA488" s="559"/>
      <c r="AB488" s="559"/>
      <c r="AC488" s="559"/>
      <c r="AD488" s="559"/>
      <c r="AE488" s="559"/>
      <c r="AF488" s="559"/>
      <c r="AG488" s="559"/>
    </row>
    <row r="489" spans="1:33" ht="18" x14ac:dyDescent="0.35">
      <c r="A489" s="559"/>
      <c r="B489" s="559"/>
      <c r="C489" s="559"/>
      <c r="D489" s="559"/>
      <c r="E489" s="559"/>
      <c r="F489" s="559"/>
      <c r="G489" s="559"/>
      <c r="H489" s="559"/>
      <c r="I489" s="559"/>
      <c r="J489" s="559"/>
      <c r="K489" s="559"/>
      <c r="L489" s="559"/>
      <c r="M489" s="559"/>
      <c r="N489" s="559"/>
      <c r="O489" s="559"/>
      <c r="P489" s="559"/>
      <c r="Q489" s="559"/>
      <c r="R489" s="559"/>
      <c r="S489" s="559"/>
      <c r="T489" s="559"/>
      <c r="U489" s="559"/>
      <c r="V489" s="559"/>
      <c r="W489" s="559"/>
      <c r="X489" s="559"/>
      <c r="Y489" s="559"/>
      <c r="Z489" s="559"/>
      <c r="AA489" s="559"/>
      <c r="AB489" s="559"/>
      <c r="AC489" s="559"/>
      <c r="AD489" s="559"/>
      <c r="AE489" s="559"/>
      <c r="AF489" s="559"/>
      <c r="AG489" s="559"/>
    </row>
    <row r="490" spans="1:33" ht="18" x14ac:dyDescent="0.35">
      <c r="A490" s="559"/>
      <c r="B490" s="559"/>
      <c r="C490" s="559"/>
      <c r="D490" s="559"/>
      <c r="E490" s="559"/>
      <c r="F490" s="559"/>
      <c r="G490" s="559"/>
      <c r="H490" s="559"/>
      <c r="I490" s="559"/>
      <c r="J490" s="559"/>
      <c r="K490" s="559"/>
      <c r="L490" s="559"/>
      <c r="M490" s="559"/>
      <c r="N490" s="559"/>
      <c r="O490" s="559"/>
      <c r="P490" s="559"/>
      <c r="Q490" s="559"/>
      <c r="R490" s="559"/>
      <c r="S490" s="559"/>
      <c r="T490" s="559"/>
      <c r="U490" s="559"/>
      <c r="V490" s="559"/>
      <c r="W490" s="559"/>
      <c r="X490" s="559"/>
      <c r="Y490" s="559"/>
      <c r="Z490" s="559"/>
      <c r="AA490" s="559"/>
      <c r="AB490" s="559"/>
      <c r="AC490" s="559"/>
      <c r="AD490" s="559"/>
      <c r="AE490" s="559"/>
      <c r="AF490" s="559"/>
      <c r="AG490" s="559"/>
    </row>
    <row r="491" spans="1:33" ht="18" x14ac:dyDescent="0.35">
      <c r="A491" s="559"/>
      <c r="B491" s="559"/>
      <c r="C491" s="559"/>
      <c r="D491" s="559"/>
      <c r="E491" s="559"/>
      <c r="F491" s="559"/>
      <c r="G491" s="559"/>
      <c r="H491" s="559"/>
      <c r="I491" s="559"/>
      <c r="J491" s="559"/>
      <c r="K491" s="559"/>
      <c r="L491" s="559"/>
      <c r="M491" s="559"/>
      <c r="N491" s="559"/>
      <c r="O491" s="559"/>
      <c r="P491" s="559"/>
      <c r="Q491" s="559"/>
      <c r="R491" s="559"/>
      <c r="S491" s="559"/>
      <c r="T491" s="559"/>
      <c r="U491" s="559"/>
      <c r="V491" s="559"/>
      <c r="W491" s="559"/>
      <c r="X491" s="559"/>
      <c r="Y491" s="559"/>
      <c r="Z491" s="559"/>
      <c r="AA491" s="559"/>
      <c r="AB491" s="559"/>
      <c r="AC491" s="559"/>
      <c r="AD491" s="559"/>
      <c r="AE491" s="559"/>
      <c r="AF491" s="559"/>
      <c r="AG491" s="559"/>
    </row>
    <row r="492" spans="1:33" ht="18" x14ac:dyDescent="0.35">
      <c r="A492" s="559"/>
      <c r="B492" s="559"/>
      <c r="C492" s="559"/>
      <c r="D492" s="559"/>
      <c r="E492" s="559"/>
      <c r="F492" s="559"/>
      <c r="G492" s="559"/>
      <c r="H492" s="559"/>
      <c r="I492" s="559"/>
      <c r="J492" s="559"/>
      <c r="K492" s="559"/>
      <c r="L492" s="559"/>
      <c r="M492" s="559"/>
      <c r="N492" s="559"/>
      <c r="O492" s="559"/>
      <c r="P492" s="559"/>
      <c r="Q492" s="559"/>
      <c r="R492" s="559"/>
      <c r="S492" s="559"/>
      <c r="T492" s="559"/>
      <c r="U492" s="559"/>
      <c r="V492" s="559"/>
      <c r="W492" s="559"/>
      <c r="X492" s="559"/>
      <c r="Y492" s="559"/>
      <c r="Z492" s="559"/>
      <c r="AA492" s="559"/>
      <c r="AB492" s="559"/>
      <c r="AC492" s="559"/>
      <c r="AD492" s="559"/>
      <c r="AE492" s="559"/>
      <c r="AF492" s="559"/>
      <c r="AG492" s="559"/>
    </row>
    <row r="493" spans="1:33" ht="18" x14ac:dyDescent="0.35">
      <c r="A493" s="559"/>
      <c r="B493" s="559"/>
      <c r="C493" s="559"/>
      <c r="D493" s="559"/>
      <c r="E493" s="559"/>
      <c r="F493" s="559"/>
      <c r="G493" s="559"/>
      <c r="H493" s="559"/>
      <c r="I493" s="559"/>
      <c r="J493" s="559"/>
      <c r="K493" s="559"/>
      <c r="L493" s="559"/>
      <c r="M493" s="559"/>
      <c r="N493" s="559"/>
      <c r="O493" s="559"/>
      <c r="P493" s="559"/>
      <c r="Q493" s="559"/>
      <c r="R493" s="559"/>
      <c r="S493" s="559"/>
      <c r="T493" s="559"/>
      <c r="U493" s="559"/>
      <c r="V493" s="559"/>
      <c r="W493" s="559"/>
      <c r="X493" s="559"/>
      <c r="Y493" s="559"/>
      <c r="Z493" s="559"/>
      <c r="AA493" s="559"/>
      <c r="AB493" s="559"/>
      <c r="AC493" s="559"/>
      <c r="AD493" s="559"/>
      <c r="AE493" s="559"/>
      <c r="AF493" s="559"/>
      <c r="AG493" s="559"/>
    </row>
    <row r="494" spans="1:33" ht="18" x14ac:dyDescent="0.35">
      <c r="A494" s="559"/>
      <c r="B494" s="559"/>
      <c r="C494" s="559"/>
      <c r="D494" s="559"/>
      <c r="E494" s="559"/>
      <c r="F494" s="559"/>
      <c r="G494" s="559"/>
      <c r="H494" s="559"/>
      <c r="I494" s="559"/>
      <c r="J494" s="559"/>
      <c r="K494" s="559"/>
      <c r="L494" s="559"/>
      <c r="M494" s="559"/>
      <c r="N494" s="559"/>
      <c r="O494" s="559"/>
      <c r="P494" s="559"/>
      <c r="Q494" s="559"/>
      <c r="R494" s="559"/>
      <c r="S494" s="559"/>
      <c r="T494" s="559"/>
      <c r="U494" s="559"/>
      <c r="V494" s="559"/>
      <c r="W494" s="559"/>
      <c r="X494" s="559"/>
      <c r="Y494" s="559"/>
      <c r="Z494" s="559"/>
      <c r="AA494" s="559"/>
      <c r="AB494" s="559"/>
      <c r="AC494" s="559"/>
      <c r="AD494" s="559"/>
      <c r="AE494" s="559"/>
      <c r="AF494" s="559"/>
      <c r="AG494" s="559"/>
    </row>
    <row r="495" spans="1:33" ht="18" x14ac:dyDescent="0.35">
      <c r="A495" s="559"/>
      <c r="B495" s="559"/>
      <c r="C495" s="559"/>
      <c r="D495" s="559"/>
      <c r="E495" s="559"/>
      <c r="F495" s="559"/>
      <c r="G495" s="559"/>
      <c r="H495" s="559"/>
      <c r="I495" s="559"/>
      <c r="J495" s="559"/>
      <c r="K495" s="559"/>
      <c r="L495" s="559"/>
      <c r="M495" s="559"/>
      <c r="N495" s="559"/>
      <c r="O495" s="559"/>
      <c r="P495" s="559"/>
      <c r="Q495" s="559"/>
      <c r="R495" s="559"/>
      <c r="S495" s="559"/>
      <c r="T495" s="559"/>
      <c r="U495" s="559"/>
      <c r="V495" s="559"/>
      <c r="W495" s="559"/>
      <c r="X495" s="559"/>
      <c r="Y495" s="559"/>
      <c r="Z495" s="559"/>
      <c r="AA495" s="559"/>
      <c r="AB495" s="559"/>
      <c r="AC495" s="559"/>
      <c r="AD495" s="559"/>
      <c r="AE495" s="559"/>
      <c r="AF495" s="559"/>
      <c r="AG495" s="559"/>
    </row>
    <row r="496" spans="1:33" ht="18" x14ac:dyDescent="0.35">
      <c r="A496" s="559"/>
      <c r="B496" s="559"/>
      <c r="C496" s="559"/>
      <c r="D496" s="559"/>
      <c r="E496" s="559"/>
      <c r="F496" s="559"/>
      <c r="G496" s="559"/>
      <c r="H496" s="559"/>
      <c r="I496" s="559"/>
      <c r="J496" s="559"/>
      <c r="K496" s="559"/>
      <c r="L496" s="559"/>
      <c r="M496" s="559"/>
      <c r="N496" s="559"/>
      <c r="O496" s="559"/>
      <c r="P496" s="559"/>
      <c r="Q496" s="559"/>
      <c r="R496" s="559"/>
      <c r="S496" s="559"/>
      <c r="T496" s="559"/>
      <c r="U496" s="559"/>
      <c r="V496" s="559"/>
      <c r="W496" s="559"/>
      <c r="X496" s="559"/>
      <c r="Y496" s="559"/>
      <c r="Z496" s="559"/>
      <c r="AA496" s="559"/>
      <c r="AB496" s="559"/>
      <c r="AC496" s="559"/>
      <c r="AD496" s="559"/>
      <c r="AE496" s="559"/>
      <c r="AF496" s="559"/>
      <c r="AG496" s="559"/>
    </row>
    <row r="497" spans="1:33" ht="18" x14ac:dyDescent="0.35">
      <c r="A497" s="559"/>
      <c r="B497" s="559"/>
      <c r="C497" s="559"/>
      <c r="D497" s="559"/>
      <c r="E497" s="559"/>
      <c r="F497" s="559"/>
      <c r="G497" s="559"/>
      <c r="H497" s="559"/>
      <c r="I497" s="559"/>
      <c r="J497" s="559"/>
      <c r="K497" s="559"/>
      <c r="L497" s="559"/>
      <c r="M497" s="559"/>
      <c r="N497" s="559"/>
      <c r="O497" s="559"/>
      <c r="P497" s="559"/>
      <c r="Q497" s="559"/>
      <c r="R497" s="559"/>
      <c r="S497" s="559"/>
      <c r="T497" s="559"/>
      <c r="U497" s="559"/>
      <c r="V497" s="559"/>
      <c r="W497" s="559"/>
      <c r="X497" s="559"/>
      <c r="Y497" s="559"/>
      <c r="Z497" s="559"/>
      <c r="AA497" s="559"/>
      <c r="AB497" s="559"/>
      <c r="AC497" s="559"/>
      <c r="AD497" s="559"/>
      <c r="AE497" s="559"/>
      <c r="AF497" s="559"/>
      <c r="AG497" s="559"/>
    </row>
    <row r="498" spans="1:33" ht="18" x14ac:dyDescent="0.35">
      <c r="A498" s="559"/>
      <c r="B498" s="559"/>
      <c r="C498" s="559"/>
      <c r="D498" s="559"/>
      <c r="E498" s="559"/>
      <c r="F498" s="559"/>
      <c r="G498" s="559"/>
      <c r="H498" s="559"/>
      <c r="I498" s="559"/>
      <c r="J498" s="559"/>
      <c r="K498" s="559"/>
      <c r="L498" s="559"/>
      <c r="M498" s="559"/>
      <c r="N498" s="559"/>
      <c r="O498" s="559"/>
      <c r="P498" s="559"/>
      <c r="Q498" s="559"/>
      <c r="R498" s="559"/>
      <c r="S498" s="559"/>
      <c r="T498" s="559"/>
      <c r="U498" s="559"/>
      <c r="V498" s="559"/>
      <c r="W498" s="559"/>
      <c r="X498" s="559"/>
      <c r="Y498" s="559"/>
      <c r="Z498" s="559"/>
      <c r="AA498" s="559"/>
      <c r="AB498" s="559"/>
      <c r="AC498" s="559"/>
      <c r="AD498" s="559"/>
      <c r="AE498" s="559"/>
      <c r="AF498" s="559"/>
      <c r="AG498" s="559"/>
    </row>
    <row r="499" spans="1:33" ht="18" x14ac:dyDescent="0.35">
      <c r="A499" s="559"/>
      <c r="B499" s="559"/>
      <c r="C499" s="559"/>
      <c r="D499" s="559"/>
      <c r="E499" s="559"/>
      <c r="F499" s="559"/>
      <c r="G499" s="559"/>
      <c r="H499" s="559"/>
      <c r="I499" s="559"/>
      <c r="J499" s="559"/>
      <c r="K499" s="559"/>
      <c r="L499" s="559"/>
      <c r="M499" s="559"/>
      <c r="N499" s="559"/>
      <c r="O499" s="559"/>
      <c r="P499" s="559"/>
      <c r="Q499" s="559"/>
      <c r="R499" s="559"/>
      <c r="S499" s="559"/>
      <c r="T499" s="559"/>
      <c r="U499" s="559"/>
      <c r="V499" s="559"/>
      <c r="W499" s="559"/>
      <c r="X499" s="559"/>
      <c r="Y499" s="559"/>
      <c r="Z499" s="559"/>
      <c r="AA499" s="559"/>
      <c r="AB499" s="559"/>
      <c r="AC499" s="559"/>
      <c r="AD499" s="559"/>
      <c r="AE499" s="559"/>
      <c r="AF499" s="559"/>
      <c r="AG499" s="559"/>
    </row>
    <row r="500" spans="1:33" ht="18" x14ac:dyDescent="0.35">
      <c r="A500" s="559"/>
      <c r="B500" s="559"/>
      <c r="C500" s="559"/>
      <c r="D500" s="559"/>
      <c r="E500" s="559"/>
      <c r="F500" s="559"/>
      <c r="G500" s="559"/>
      <c r="H500" s="559"/>
      <c r="I500" s="559"/>
      <c r="J500" s="559"/>
      <c r="K500" s="559"/>
      <c r="L500" s="559"/>
      <c r="M500" s="559"/>
      <c r="N500" s="559"/>
      <c r="O500" s="559"/>
      <c r="P500" s="559"/>
      <c r="Q500" s="559"/>
      <c r="R500" s="559"/>
      <c r="S500" s="559"/>
      <c r="T500" s="559"/>
      <c r="U500" s="559"/>
      <c r="V500" s="559"/>
      <c r="W500" s="559"/>
      <c r="X500" s="559"/>
      <c r="Y500" s="559"/>
      <c r="Z500" s="559"/>
      <c r="AA500" s="559"/>
      <c r="AB500" s="559"/>
      <c r="AC500" s="559"/>
      <c r="AD500" s="559"/>
      <c r="AE500" s="559"/>
      <c r="AF500" s="559"/>
      <c r="AG500" s="559"/>
    </row>
    <row r="501" spans="1:33" ht="18" x14ac:dyDescent="0.35">
      <c r="A501" s="559"/>
      <c r="B501" s="559"/>
      <c r="C501" s="559"/>
      <c r="D501" s="559"/>
      <c r="E501" s="559"/>
      <c r="F501" s="559"/>
      <c r="G501" s="559"/>
      <c r="H501" s="559"/>
      <c r="I501" s="559"/>
      <c r="J501" s="559"/>
      <c r="K501" s="559"/>
      <c r="L501" s="559"/>
      <c r="M501" s="559"/>
      <c r="N501" s="559"/>
      <c r="O501" s="559"/>
      <c r="P501" s="559"/>
      <c r="Q501" s="559"/>
      <c r="R501" s="559"/>
      <c r="S501" s="559"/>
      <c r="T501" s="559"/>
      <c r="U501" s="559"/>
      <c r="V501" s="559"/>
      <c r="W501" s="559"/>
      <c r="X501" s="559"/>
      <c r="Y501" s="559"/>
      <c r="Z501" s="559"/>
      <c r="AA501" s="559"/>
      <c r="AB501" s="559"/>
      <c r="AC501" s="559"/>
      <c r="AD501" s="559"/>
      <c r="AE501" s="559"/>
      <c r="AF501" s="559"/>
      <c r="AG501" s="559"/>
    </row>
    <row r="502" spans="1:33" ht="18" x14ac:dyDescent="0.35">
      <c r="A502" s="559"/>
      <c r="B502" s="559"/>
      <c r="C502" s="559"/>
      <c r="D502" s="559"/>
      <c r="E502" s="559"/>
      <c r="F502" s="559"/>
      <c r="G502" s="559"/>
      <c r="H502" s="559"/>
      <c r="I502" s="559"/>
      <c r="J502" s="559"/>
      <c r="K502" s="559"/>
      <c r="L502" s="559"/>
      <c r="M502" s="559"/>
      <c r="N502" s="559"/>
      <c r="O502" s="559"/>
      <c r="P502" s="559"/>
      <c r="Q502" s="559"/>
      <c r="R502" s="559"/>
      <c r="S502" s="559"/>
      <c r="T502" s="559"/>
      <c r="U502" s="559"/>
      <c r="V502" s="559"/>
      <c r="W502" s="559"/>
      <c r="X502" s="559"/>
      <c r="Y502" s="559"/>
      <c r="Z502" s="559"/>
      <c r="AA502" s="559"/>
      <c r="AB502" s="559"/>
      <c r="AC502" s="559"/>
      <c r="AD502" s="559"/>
      <c r="AE502" s="559"/>
      <c r="AF502" s="559"/>
      <c r="AG502" s="559"/>
    </row>
    <row r="503" spans="1:33" ht="18" x14ac:dyDescent="0.35">
      <c r="A503" s="559"/>
      <c r="B503" s="559"/>
      <c r="C503" s="559"/>
      <c r="D503" s="559"/>
      <c r="E503" s="559"/>
      <c r="F503" s="559"/>
      <c r="G503" s="559"/>
      <c r="H503" s="559"/>
      <c r="I503" s="559"/>
      <c r="J503" s="559"/>
      <c r="K503" s="559"/>
      <c r="L503" s="559"/>
      <c r="M503" s="559"/>
      <c r="N503" s="559"/>
      <c r="O503" s="559"/>
      <c r="P503" s="559"/>
      <c r="Q503" s="559"/>
      <c r="R503" s="559"/>
      <c r="S503" s="559"/>
      <c r="T503" s="559"/>
      <c r="U503" s="559"/>
      <c r="V503" s="559"/>
      <c r="W503" s="559"/>
      <c r="X503" s="559"/>
      <c r="Y503" s="559"/>
      <c r="Z503" s="559"/>
      <c r="AA503" s="559"/>
      <c r="AB503" s="559"/>
      <c r="AC503" s="559"/>
      <c r="AD503" s="559"/>
      <c r="AE503" s="559"/>
      <c r="AF503" s="559"/>
      <c r="AG503" s="559"/>
    </row>
    <row r="504" spans="1:33" ht="18" x14ac:dyDescent="0.35">
      <c r="A504" s="559"/>
      <c r="B504" s="559"/>
      <c r="C504" s="559"/>
      <c r="D504" s="559"/>
      <c r="E504" s="559"/>
      <c r="F504" s="559"/>
      <c r="G504" s="559"/>
      <c r="H504" s="559"/>
      <c r="I504" s="559"/>
      <c r="J504" s="559"/>
      <c r="K504" s="559"/>
      <c r="L504" s="559"/>
      <c r="M504" s="559"/>
      <c r="N504" s="559"/>
      <c r="O504" s="559"/>
      <c r="P504" s="559"/>
      <c r="Q504" s="559"/>
      <c r="R504" s="559"/>
      <c r="S504" s="559"/>
      <c r="T504" s="559"/>
      <c r="U504" s="559"/>
      <c r="V504" s="559"/>
      <c r="W504" s="559"/>
      <c r="X504" s="559"/>
      <c r="Y504" s="559"/>
      <c r="Z504" s="559"/>
      <c r="AA504" s="559"/>
      <c r="AB504" s="559"/>
      <c r="AC504" s="559"/>
      <c r="AD504" s="559"/>
      <c r="AE504" s="559"/>
      <c r="AF504" s="559"/>
      <c r="AG504" s="559"/>
    </row>
    <row r="505" spans="1:33" ht="18" x14ac:dyDescent="0.35">
      <c r="A505" s="559"/>
      <c r="B505" s="559"/>
      <c r="C505" s="559"/>
      <c r="D505" s="559"/>
      <c r="E505" s="559"/>
      <c r="F505" s="559"/>
      <c r="G505" s="559"/>
      <c r="H505" s="559"/>
      <c r="I505" s="559"/>
      <c r="J505" s="559"/>
      <c r="K505" s="559"/>
      <c r="L505" s="559"/>
      <c r="M505" s="559"/>
      <c r="N505" s="559"/>
      <c r="O505" s="559"/>
      <c r="P505" s="559"/>
      <c r="Q505" s="559"/>
      <c r="R505" s="559"/>
      <c r="S505" s="559"/>
      <c r="T505" s="559"/>
      <c r="U505" s="559"/>
      <c r="V505" s="559"/>
      <c r="W505" s="559"/>
      <c r="X505" s="559"/>
      <c r="Y505" s="559"/>
      <c r="Z505" s="559"/>
      <c r="AA505" s="559"/>
      <c r="AB505" s="559"/>
      <c r="AC505" s="559"/>
      <c r="AD505" s="559"/>
      <c r="AE505" s="559"/>
      <c r="AF505" s="559"/>
      <c r="AG505" s="559"/>
    </row>
    <row r="506" spans="1:33" ht="18" x14ac:dyDescent="0.35">
      <c r="A506" s="559"/>
      <c r="B506" s="559"/>
      <c r="C506" s="559"/>
      <c r="D506" s="559"/>
      <c r="E506" s="559"/>
      <c r="F506" s="559"/>
      <c r="G506" s="559"/>
      <c r="H506" s="559"/>
      <c r="I506" s="559"/>
      <c r="J506" s="559"/>
      <c r="K506" s="559"/>
      <c r="L506" s="559"/>
      <c r="M506" s="559"/>
      <c r="N506" s="559"/>
      <c r="O506" s="559"/>
      <c r="P506" s="559"/>
      <c r="Q506" s="559"/>
      <c r="R506" s="559"/>
      <c r="S506" s="559"/>
      <c r="T506" s="559"/>
      <c r="U506" s="559"/>
      <c r="V506" s="559"/>
      <c r="W506" s="559"/>
      <c r="X506" s="559"/>
      <c r="Y506" s="559"/>
      <c r="Z506" s="559"/>
      <c r="AA506" s="559"/>
      <c r="AB506" s="559"/>
      <c r="AC506" s="559"/>
      <c r="AD506" s="559"/>
      <c r="AE506" s="559"/>
      <c r="AF506" s="559"/>
      <c r="AG506" s="559"/>
    </row>
    <row r="507" spans="1:33" ht="18" x14ac:dyDescent="0.35">
      <c r="A507" s="559"/>
      <c r="B507" s="559"/>
      <c r="C507" s="559"/>
      <c r="D507" s="559"/>
      <c r="E507" s="559"/>
      <c r="F507" s="559"/>
      <c r="G507" s="559"/>
      <c r="H507" s="559"/>
      <c r="I507" s="559"/>
      <c r="J507" s="559"/>
      <c r="K507" s="559"/>
      <c r="L507" s="559"/>
      <c r="M507" s="559"/>
      <c r="N507" s="559"/>
      <c r="O507" s="559"/>
      <c r="P507" s="559"/>
      <c r="Q507" s="559"/>
      <c r="R507" s="559"/>
      <c r="S507" s="559"/>
      <c r="T507" s="559"/>
      <c r="U507" s="559"/>
      <c r="V507" s="559"/>
      <c r="W507" s="559"/>
      <c r="X507" s="559"/>
      <c r="Y507" s="559"/>
      <c r="Z507" s="559"/>
      <c r="AA507" s="559"/>
      <c r="AB507" s="559"/>
      <c r="AC507" s="559"/>
      <c r="AD507" s="559"/>
      <c r="AE507" s="559"/>
      <c r="AF507" s="559"/>
      <c r="AG507" s="559"/>
    </row>
    <row r="508" spans="1:33" ht="18" x14ac:dyDescent="0.35">
      <c r="A508" s="559"/>
      <c r="B508" s="559"/>
      <c r="C508" s="559"/>
      <c r="D508" s="559"/>
      <c r="E508" s="559"/>
      <c r="F508" s="559"/>
      <c r="G508" s="559"/>
      <c r="H508" s="559"/>
      <c r="I508" s="559"/>
      <c r="J508" s="559"/>
      <c r="K508" s="559"/>
      <c r="L508" s="559"/>
      <c r="M508" s="559"/>
      <c r="N508" s="559"/>
      <c r="O508" s="559"/>
      <c r="P508" s="559"/>
      <c r="Q508" s="559"/>
      <c r="R508" s="559"/>
      <c r="S508" s="559"/>
      <c r="T508" s="559"/>
      <c r="U508" s="559"/>
      <c r="V508" s="559"/>
      <c r="W508" s="559"/>
      <c r="X508" s="559"/>
      <c r="Y508" s="559"/>
      <c r="Z508" s="559"/>
      <c r="AA508" s="559"/>
      <c r="AB508" s="559"/>
      <c r="AC508" s="559"/>
      <c r="AD508" s="559"/>
      <c r="AE508" s="559"/>
      <c r="AF508" s="559"/>
      <c r="AG508" s="559"/>
    </row>
    <row r="509" spans="1:33" ht="18" x14ac:dyDescent="0.35">
      <c r="A509" s="559"/>
      <c r="B509" s="559"/>
      <c r="C509" s="559"/>
      <c r="D509" s="559"/>
      <c r="E509" s="559"/>
      <c r="F509" s="559"/>
      <c r="G509" s="559"/>
      <c r="H509" s="559"/>
      <c r="I509" s="559"/>
      <c r="J509" s="559"/>
      <c r="K509" s="559"/>
      <c r="L509" s="559"/>
      <c r="M509" s="559"/>
      <c r="N509" s="559"/>
      <c r="O509" s="559"/>
      <c r="P509" s="559"/>
      <c r="Q509" s="559"/>
      <c r="R509" s="559"/>
      <c r="S509" s="559"/>
      <c r="T509" s="559"/>
      <c r="U509" s="559"/>
      <c r="V509" s="559"/>
      <c r="W509" s="559"/>
      <c r="X509" s="559"/>
      <c r="Y509" s="559"/>
      <c r="Z509" s="559"/>
      <c r="AA509" s="559"/>
      <c r="AB509" s="559"/>
      <c r="AC509" s="559"/>
      <c r="AD509" s="559"/>
      <c r="AE509" s="559"/>
      <c r="AF509" s="559"/>
      <c r="AG509" s="559"/>
    </row>
    <row r="510" spans="1:33" ht="18" x14ac:dyDescent="0.35">
      <c r="A510" s="559"/>
      <c r="B510" s="559"/>
      <c r="C510" s="559"/>
      <c r="D510" s="559"/>
      <c r="E510" s="559"/>
      <c r="F510" s="559"/>
      <c r="G510" s="559"/>
      <c r="H510" s="559"/>
      <c r="I510" s="559"/>
      <c r="J510" s="559"/>
      <c r="K510" s="559"/>
      <c r="L510" s="559"/>
      <c r="M510" s="559"/>
      <c r="N510" s="559"/>
      <c r="O510" s="559"/>
      <c r="P510" s="559"/>
      <c r="Q510" s="559"/>
      <c r="R510" s="559"/>
      <c r="S510" s="559"/>
      <c r="T510" s="559"/>
      <c r="U510" s="559"/>
      <c r="V510" s="559"/>
      <c r="W510" s="559"/>
      <c r="X510" s="559"/>
      <c r="Y510" s="559"/>
      <c r="Z510" s="559"/>
      <c r="AA510" s="559"/>
      <c r="AB510" s="559"/>
      <c r="AC510" s="559"/>
      <c r="AD510" s="559"/>
      <c r="AE510" s="559"/>
      <c r="AF510" s="559"/>
      <c r="AG510" s="559"/>
    </row>
    <row r="511" spans="1:33" ht="18" x14ac:dyDescent="0.35">
      <c r="A511" s="559"/>
      <c r="B511" s="559"/>
      <c r="C511" s="559"/>
      <c r="D511" s="559"/>
      <c r="E511" s="559"/>
      <c r="F511" s="559"/>
      <c r="G511" s="559"/>
      <c r="H511" s="559"/>
      <c r="I511" s="559"/>
      <c r="J511" s="559"/>
      <c r="K511" s="559"/>
      <c r="L511" s="559"/>
      <c r="M511" s="559"/>
      <c r="N511" s="559"/>
      <c r="O511" s="559"/>
      <c r="P511" s="559"/>
      <c r="Q511" s="559"/>
      <c r="R511" s="559"/>
      <c r="S511" s="559"/>
      <c r="T511" s="559"/>
      <c r="U511" s="559"/>
      <c r="V511" s="559"/>
      <c r="W511" s="559"/>
      <c r="X511" s="559"/>
      <c r="Y511" s="559"/>
      <c r="Z511" s="559"/>
      <c r="AA511" s="559"/>
      <c r="AB511" s="559"/>
      <c r="AC511" s="559"/>
      <c r="AD511" s="559"/>
      <c r="AE511" s="559"/>
      <c r="AF511" s="559"/>
      <c r="AG511" s="559"/>
    </row>
    <row r="512" spans="1:33" ht="18" x14ac:dyDescent="0.35">
      <c r="A512" s="559"/>
      <c r="B512" s="559"/>
      <c r="C512" s="559"/>
      <c r="D512" s="559"/>
      <c r="E512" s="559"/>
      <c r="F512" s="559"/>
      <c r="G512" s="559"/>
      <c r="H512" s="559"/>
      <c r="I512" s="559"/>
      <c r="J512" s="559"/>
      <c r="K512" s="559"/>
      <c r="L512" s="559"/>
      <c r="M512" s="559"/>
      <c r="N512" s="559"/>
      <c r="O512" s="559"/>
      <c r="P512" s="559"/>
      <c r="Q512" s="559"/>
      <c r="R512" s="559"/>
      <c r="S512" s="559"/>
      <c r="T512" s="559"/>
      <c r="U512" s="559"/>
      <c r="V512" s="559"/>
      <c r="W512" s="559"/>
      <c r="X512" s="559"/>
      <c r="Y512" s="559"/>
      <c r="Z512" s="559"/>
      <c r="AA512" s="559"/>
      <c r="AB512" s="559"/>
      <c r="AC512" s="559"/>
      <c r="AD512" s="559"/>
      <c r="AE512" s="559"/>
      <c r="AF512" s="559"/>
      <c r="AG512" s="559"/>
    </row>
    <row r="513" spans="1:33" ht="18" x14ac:dyDescent="0.35">
      <c r="A513" s="559"/>
      <c r="B513" s="559"/>
      <c r="C513" s="559"/>
      <c r="D513" s="559"/>
      <c r="E513" s="559"/>
      <c r="F513" s="559"/>
      <c r="G513" s="559"/>
      <c r="H513" s="559"/>
      <c r="I513" s="559"/>
      <c r="J513" s="559"/>
      <c r="K513" s="559"/>
      <c r="L513" s="559"/>
      <c r="M513" s="559"/>
      <c r="N513" s="559"/>
      <c r="O513" s="559"/>
      <c r="P513" s="559"/>
      <c r="Q513" s="559"/>
      <c r="R513" s="559"/>
      <c r="S513" s="559"/>
      <c r="T513" s="559"/>
      <c r="U513" s="559"/>
      <c r="V513" s="559"/>
      <c r="W513" s="559"/>
      <c r="X513" s="559"/>
      <c r="Y513" s="559"/>
      <c r="Z513" s="559"/>
      <c r="AA513" s="559"/>
      <c r="AB513" s="559"/>
      <c r="AC513" s="559"/>
      <c r="AD513" s="559"/>
      <c r="AE513" s="559"/>
      <c r="AF513" s="559"/>
      <c r="AG513" s="559"/>
    </row>
    <row r="514" spans="1:33" ht="18" x14ac:dyDescent="0.35">
      <c r="A514" s="559"/>
      <c r="B514" s="559"/>
      <c r="C514" s="559"/>
      <c r="D514" s="559"/>
      <c r="E514" s="559"/>
      <c r="F514" s="559"/>
      <c r="G514" s="559"/>
      <c r="H514" s="559"/>
      <c r="I514" s="559"/>
      <c r="J514" s="559"/>
      <c r="K514" s="559"/>
      <c r="L514" s="559"/>
      <c r="M514" s="559"/>
      <c r="N514" s="559"/>
      <c r="O514" s="559"/>
      <c r="P514" s="559"/>
      <c r="Q514" s="559"/>
      <c r="R514" s="559"/>
      <c r="S514" s="559"/>
      <c r="T514" s="559"/>
      <c r="U514" s="559"/>
      <c r="V514" s="559"/>
      <c r="W514" s="559"/>
      <c r="X514" s="559"/>
      <c r="Y514" s="559"/>
      <c r="Z514" s="559"/>
      <c r="AA514" s="559"/>
      <c r="AB514" s="559"/>
      <c r="AC514" s="559"/>
      <c r="AD514" s="559"/>
      <c r="AE514" s="559"/>
      <c r="AF514" s="559"/>
      <c r="AG514" s="559"/>
    </row>
    <row r="515" spans="1:33" ht="18" x14ac:dyDescent="0.35">
      <c r="A515" s="559"/>
      <c r="B515" s="559"/>
      <c r="C515" s="559"/>
      <c r="D515" s="559"/>
      <c r="E515" s="559"/>
      <c r="F515" s="559"/>
      <c r="G515" s="559"/>
      <c r="H515" s="559"/>
      <c r="I515" s="559"/>
      <c r="J515" s="559"/>
      <c r="K515" s="559"/>
      <c r="L515" s="559"/>
      <c r="M515" s="559"/>
      <c r="N515" s="559"/>
      <c r="O515" s="559"/>
      <c r="P515" s="559"/>
      <c r="Q515" s="559"/>
      <c r="R515" s="559"/>
      <c r="S515" s="559"/>
      <c r="T515" s="559"/>
      <c r="U515" s="559"/>
      <c r="V515" s="559"/>
      <c r="W515" s="559"/>
      <c r="X515" s="559"/>
      <c r="Y515" s="559"/>
      <c r="Z515" s="559"/>
      <c r="AA515" s="559"/>
      <c r="AB515" s="559"/>
      <c r="AC515" s="559"/>
      <c r="AD515" s="559"/>
      <c r="AE515" s="559"/>
      <c r="AF515" s="559"/>
      <c r="AG515" s="559"/>
    </row>
    <row r="516" spans="1:33" ht="18" x14ac:dyDescent="0.35">
      <c r="A516" s="559"/>
      <c r="B516" s="559"/>
      <c r="C516" s="559"/>
      <c r="D516" s="559"/>
      <c r="E516" s="559"/>
      <c r="F516" s="559"/>
      <c r="G516" s="559"/>
      <c r="H516" s="559"/>
      <c r="I516" s="559"/>
      <c r="J516" s="559"/>
      <c r="K516" s="559"/>
      <c r="L516" s="559"/>
      <c r="M516" s="559"/>
      <c r="N516" s="559"/>
      <c r="O516" s="559"/>
      <c r="P516" s="559"/>
      <c r="Q516" s="559"/>
      <c r="R516" s="559"/>
      <c r="S516" s="559"/>
      <c r="T516" s="559"/>
      <c r="U516" s="559"/>
      <c r="V516" s="559"/>
      <c r="W516" s="559"/>
      <c r="X516" s="559"/>
      <c r="Y516" s="559"/>
      <c r="Z516" s="559"/>
      <c r="AA516" s="559"/>
      <c r="AB516" s="559"/>
      <c r="AC516" s="559"/>
      <c r="AD516" s="559"/>
      <c r="AE516" s="559"/>
      <c r="AF516" s="559"/>
      <c r="AG516" s="559"/>
    </row>
    <row r="517" spans="1:33" ht="18" x14ac:dyDescent="0.35">
      <c r="A517" s="559"/>
      <c r="B517" s="559"/>
      <c r="C517" s="559"/>
      <c r="D517" s="559"/>
      <c r="E517" s="559"/>
      <c r="F517" s="559"/>
      <c r="G517" s="559"/>
      <c r="H517" s="559"/>
      <c r="I517" s="559"/>
      <c r="J517" s="559"/>
      <c r="K517" s="559"/>
      <c r="L517" s="559"/>
      <c r="M517" s="559"/>
      <c r="N517" s="559"/>
      <c r="O517" s="559"/>
      <c r="P517" s="559"/>
      <c r="Q517" s="559"/>
      <c r="R517" s="559"/>
      <c r="S517" s="559"/>
      <c r="T517" s="559"/>
      <c r="U517" s="559"/>
      <c r="V517" s="559"/>
      <c r="W517" s="559"/>
      <c r="X517" s="559"/>
      <c r="Y517" s="559"/>
      <c r="Z517" s="559"/>
      <c r="AA517" s="559"/>
      <c r="AB517" s="559"/>
      <c r="AC517" s="559"/>
      <c r="AD517" s="559"/>
      <c r="AE517" s="559"/>
      <c r="AF517" s="559"/>
      <c r="AG517" s="559"/>
    </row>
    <row r="518" spans="1:33" ht="18" x14ac:dyDescent="0.35">
      <c r="A518" s="559"/>
      <c r="B518" s="559"/>
      <c r="C518" s="559"/>
      <c r="D518" s="559"/>
      <c r="E518" s="559"/>
      <c r="F518" s="559"/>
      <c r="G518" s="559"/>
      <c r="H518" s="559"/>
      <c r="I518" s="559"/>
      <c r="J518" s="559"/>
      <c r="K518" s="559"/>
      <c r="L518" s="559"/>
      <c r="M518" s="559"/>
      <c r="N518" s="559"/>
      <c r="O518" s="559"/>
      <c r="P518" s="559"/>
      <c r="Q518" s="559"/>
      <c r="R518" s="559"/>
      <c r="S518" s="559"/>
      <c r="T518" s="559"/>
      <c r="U518" s="559"/>
      <c r="V518" s="559"/>
      <c r="W518" s="559"/>
      <c r="X518" s="559"/>
      <c r="Y518" s="559"/>
      <c r="Z518" s="559"/>
      <c r="AA518" s="559"/>
      <c r="AB518" s="559"/>
      <c r="AC518" s="559"/>
      <c r="AD518" s="559"/>
      <c r="AE518" s="559"/>
      <c r="AF518" s="559"/>
      <c r="AG518" s="559"/>
    </row>
    <row r="519" spans="1:33" ht="18" x14ac:dyDescent="0.35">
      <c r="A519" s="559"/>
      <c r="B519" s="559"/>
      <c r="C519" s="559"/>
      <c r="D519" s="559"/>
      <c r="E519" s="559"/>
      <c r="F519" s="559"/>
      <c r="G519" s="559"/>
      <c r="H519" s="559"/>
      <c r="I519" s="559"/>
      <c r="J519" s="559"/>
      <c r="K519" s="559"/>
      <c r="L519" s="559"/>
      <c r="M519" s="559"/>
      <c r="N519" s="559"/>
      <c r="O519" s="559"/>
      <c r="P519" s="559"/>
      <c r="Q519" s="559"/>
      <c r="R519" s="559"/>
      <c r="S519" s="559"/>
      <c r="T519" s="559"/>
      <c r="U519" s="559"/>
      <c r="V519" s="559"/>
      <c r="W519" s="559"/>
      <c r="X519" s="559"/>
      <c r="Y519" s="559"/>
      <c r="Z519" s="559"/>
      <c r="AA519" s="559"/>
      <c r="AB519" s="559"/>
      <c r="AC519" s="559"/>
      <c r="AD519" s="559"/>
      <c r="AE519" s="559"/>
      <c r="AF519" s="559"/>
      <c r="AG519" s="559"/>
    </row>
    <row r="520" spans="1:33" ht="18" x14ac:dyDescent="0.35">
      <c r="A520" s="559"/>
      <c r="B520" s="559"/>
      <c r="C520" s="559"/>
      <c r="D520" s="559"/>
      <c r="E520" s="559"/>
      <c r="F520" s="559"/>
      <c r="G520" s="559"/>
      <c r="H520" s="559"/>
      <c r="I520" s="559"/>
      <c r="J520" s="559"/>
      <c r="K520" s="559"/>
      <c r="L520" s="559"/>
      <c r="M520" s="559"/>
      <c r="N520" s="559"/>
      <c r="O520" s="559"/>
      <c r="P520" s="559"/>
      <c r="Q520" s="559"/>
      <c r="R520" s="559"/>
      <c r="S520" s="559"/>
      <c r="T520" s="559"/>
      <c r="U520" s="559"/>
      <c r="V520" s="559"/>
      <c r="W520" s="559"/>
      <c r="X520" s="559"/>
      <c r="Y520" s="559"/>
      <c r="Z520" s="559"/>
      <c r="AA520" s="559"/>
      <c r="AB520" s="559"/>
      <c r="AC520" s="559"/>
      <c r="AD520" s="559"/>
      <c r="AE520" s="559"/>
      <c r="AF520" s="559"/>
      <c r="AG520" s="559"/>
    </row>
    <row r="521" spans="1:33" ht="18" x14ac:dyDescent="0.35">
      <c r="A521" s="559"/>
      <c r="B521" s="559"/>
      <c r="C521" s="559"/>
      <c r="D521" s="559"/>
      <c r="E521" s="559"/>
      <c r="F521" s="559"/>
      <c r="G521" s="559"/>
      <c r="H521" s="559"/>
      <c r="I521" s="559"/>
      <c r="J521" s="559"/>
      <c r="K521" s="559"/>
      <c r="L521" s="559"/>
      <c r="M521" s="559"/>
      <c r="N521" s="559"/>
      <c r="O521" s="559"/>
      <c r="P521" s="559"/>
      <c r="Q521" s="559"/>
      <c r="R521" s="559"/>
      <c r="S521" s="559"/>
      <c r="T521" s="559"/>
      <c r="U521" s="559"/>
      <c r="V521" s="559"/>
      <c r="W521" s="559"/>
      <c r="X521" s="559"/>
      <c r="Y521" s="559"/>
      <c r="Z521" s="559"/>
      <c r="AA521" s="559"/>
      <c r="AB521" s="559"/>
      <c r="AC521" s="559"/>
      <c r="AD521" s="559"/>
      <c r="AE521" s="559"/>
      <c r="AF521" s="559"/>
      <c r="AG521" s="559"/>
    </row>
    <row r="522" spans="1:33" ht="18" x14ac:dyDescent="0.35">
      <c r="A522" s="559"/>
      <c r="B522" s="559"/>
      <c r="C522" s="559"/>
      <c r="D522" s="559"/>
      <c r="E522" s="559"/>
      <c r="F522" s="559"/>
      <c r="G522" s="559"/>
      <c r="H522" s="559"/>
      <c r="I522" s="559"/>
      <c r="J522" s="559"/>
      <c r="K522" s="559"/>
      <c r="L522" s="559"/>
      <c r="M522" s="559"/>
      <c r="N522" s="559"/>
      <c r="O522" s="559"/>
      <c r="P522" s="559"/>
      <c r="Q522" s="559"/>
      <c r="R522" s="559"/>
      <c r="S522" s="559"/>
      <c r="T522" s="559"/>
      <c r="U522" s="559"/>
      <c r="V522" s="559"/>
      <c r="W522" s="559"/>
      <c r="X522" s="559"/>
      <c r="Y522" s="559"/>
      <c r="Z522" s="559"/>
      <c r="AA522" s="559"/>
      <c r="AB522" s="559"/>
      <c r="AC522" s="559"/>
      <c r="AD522" s="559"/>
      <c r="AE522" s="559"/>
      <c r="AF522" s="559"/>
      <c r="AG522" s="559"/>
    </row>
    <row r="523" spans="1:33" ht="18" x14ac:dyDescent="0.35">
      <c r="A523" s="559"/>
      <c r="B523" s="559"/>
      <c r="C523" s="559"/>
      <c r="D523" s="559"/>
      <c r="E523" s="559"/>
      <c r="F523" s="559"/>
      <c r="G523" s="559"/>
      <c r="H523" s="559"/>
      <c r="I523" s="559"/>
      <c r="J523" s="559"/>
      <c r="K523" s="559"/>
      <c r="L523" s="559"/>
      <c r="M523" s="559"/>
      <c r="N523" s="559"/>
      <c r="O523" s="559"/>
      <c r="P523" s="559"/>
      <c r="Q523" s="559"/>
      <c r="R523" s="559"/>
      <c r="S523" s="559"/>
      <c r="T523" s="559"/>
      <c r="U523" s="559"/>
      <c r="V523" s="559"/>
      <c r="W523" s="559"/>
      <c r="X523" s="559"/>
      <c r="Y523" s="559"/>
      <c r="Z523" s="559"/>
      <c r="AA523" s="559"/>
      <c r="AB523" s="559"/>
      <c r="AC523" s="559"/>
      <c r="AD523" s="559"/>
      <c r="AE523" s="559"/>
      <c r="AF523" s="559"/>
      <c r="AG523" s="559"/>
    </row>
    <row r="524" spans="1:33" ht="18" x14ac:dyDescent="0.35">
      <c r="A524" s="559"/>
      <c r="B524" s="559"/>
      <c r="C524" s="559"/>
      <c r="D524" s="559"/>
      <c r="E524" s="559"/>
      <c r="F524" s="559"/>
      <c r="G524" s="559"/>
      <c r="H524" s="559"/>
      <c r="I524" s="559"/>
      <c r="J524" s="559"/>
      <c r="K524" s="559"/>
      <c r="L524" s="559"/>
      <c r="M524" s="559"/>
      <c r="N524" s="559"/>
      <c r="O524" s="559"/>
      <c r="P524" s="559"/>
      <c r="Q524" s="559"/>
      <c r="R524" s="559"/>
      <c r="S524" s="559"/>
      <c r="T524" s="559"/>
      <c r="U524" s="559"/>
      <c r="V524" s="559"/>
      <c r="W524" s="559"/>
      <c r="X524" s="559"/>
      <c r="Y524" s="559"/>
      <c r="Z524" s="559"/>
      <c r="AA524" s="559"/>
      <c r="AB524" s="559"/>
      <c r="AC524" s="559"/>
      <c r="AD524" s="559"/>
      <c r="AE524" s="559"/>
      <c r="AF524" s="559"/>
      <c r="AG524" s="559"/>
    </row>
    <row r="525" spans="1:33" ht="18" x14ac:dyDescent="0.35">
      <c r="A525" s="559"/>
      <c r="B525" s="559"/>
      <c r="C525" s="559"/>
      <c r="D525" s="559"/>
      <c r="E525" s="559"/>
      <c r="F525" s="559"/>
      <c r="G525" s="559"/>
      <c r="H525" s="559"/>
      <c r="I525" s="559"/>
      <c r="J525" s="559"/>
      <c r="K525" s="559"/>
      <c r="L525" s="559"/>
      <c r="M525" s="559"/>
      <c r="N525" s="559"/>
      <c r="O525" s="559"/>
      <c r="P525" s="559"/>
      <c r="Q525" s="559"/>
      <c r="R525" s="559"/>
      <c r="S525" s="559"/>
      <c r="T525" s="559"/>
      <c r="U525" s="559"/>
      <c r="V525" s="559"/>
      <c r="W525" s="559"/>
      <c r="X525" s="559"/>
      <c r="Y525" s="559"/>
      <c r="Z525" s="559"/>
      <c r="AA525" s="559"/>
      <c r="AB525" s="559"/>
      <c r="AC525" s="559"/>
      <c r="AD525" s="559"/>
      <c r="AE525" s="559"/>
      <c r="AF525" s="559"/>
      <c r="AG525" s="559"/>
    </row>
    <row r="526" spans="1:33" ht="18" x14ac:dyDescent="0.35">
      <c r="A526" s="559"/>
      <c r="B526" s="559"/>
      <c r="C526" s="559"/>
      <c r="D526" s="559"/>
      <c r="E526" s="559"/>
      <c r="F526" s="559"/>
      <c r="G526" s="559"/>
      <c r="H526" s="559"/>
      <c r="I526" s="559"/>
      <c r="J526" s="559"/>
      <c r="K526" s="559"/>
      <c r="L526" s="559"/>
      <c r="M526" s="559"/>
      <c r="N526" s="559"/>
      <c r="O526" s="559"/>
      <c r="P526" s="559"/>
      <c r="Q526" s="559"/>
      <c r="R526" s="559"/>
      <c r="S526" s="559"/>
      <c r="T526" s="559"/>
      <c r="U526" s="559"/>
      <c r="V526" s="559"/>
      <c r="W526" s="559"/>
      <c r="X526" s="559"/>
      <c r="Y526" s="559"/>
      <c r="Z526" s="559"/>
      <c r="AA526" s="559"/>
      <c r="AB526" s="559"/>
      <c r="AC526" s="559"/>
      <c r="AD526" s="559"/>
      <c r="AE526" s="559"/>
      <c r="AF526" s="559"/>
      <c r="AG526" s="559"/>
    </row>
    <row r="527" spans="1:33" ht="18" x14ac:dyDescent="0.35">
      <c r="A527" s="559"/>
      <c r="B527" s="559"/>
      <c r="C527" s="559"/>
      <c r="D527" s="559"/>
      <c r="E527" s="559"/>
      <c r="F527" s="559"/>
      <c r="G527" s="559"/>
      <c r="H527" s="559"/>
      <c r="I527" s="559"/>
      <c r="J527" s="559"/>
      <c r="K527" s="559"/>
      <c r="L527" s="559"/>
      <c r="M527" s="559"/>
      <c r="N527" s="559"/>
      <c r="O527" s="559"/>
      <c r="P527" s="559"/>
      <c r="Q527" s="559"/>
      <c r="R527" s="559"/>
      <c r="S527" s="559"/>
      <c r="T527" s="559"/>
      <c r="U527" s="559"/>
      <c r="V527" s="559"/>
      <c r="W527" s="559"/>
      <c r="X527" s="559"/>
      <c r="Y527" s="559"/>
      <c r="Z527" s="559"/>
      <c r="AA527" s="559"/>
      <c r="AB527" s="559"/>
      <c r="AC527" s="559"/>
      <c r="AD527" s="559"/>
      <c r="AE527" s="559"/>
      <c r="AF527" s="559"/>
      <c r="AG527" s="559"/>
    </row>
    <row r="528" spans="1:33" ht="18" x14ac:dyDescent="0.35">
      <c r="A528" s="559"/>
      <c r="B528" s="559"/>
      <c r="C528" s="559"/>
      <c r="D528" s="559"/>
      <c r="E528" s="559"/>
      <c r="F528" s="559"/>
      <c r="G528" s="559"/>
      <c r="H528" s="559"/>
      <c r="I528" s="559"/>
      <c r="J528" s="559"/>
      <c r="K528" s="559"/>
      <c r="L528" s="559"/>
      <c r="M528" s="559"/>
      <c r="N528" s="559"/>
      <c r="O528" s="559"/>
      <c r="P528" s="559"/>
      <c r="Q528" s="559"/>
      <c r="R528" s="559"/>
      <c r="S528" s="559"/>
      <c r="T528" s="559"/>
      <c r="U528" s="559"/>
      <c r="V528" s="559"/>
      <c r="W528" s="559"/>
      <c r="X528" s="559"/>
      <c r="Y528" s="559"/>
      <c r="Z528" s="559"/>
      <c r="AA528" s="559"/>
      <c r="AB528" s="559"/>
      <c r="AC528" s="559"/>
      <c r="AD528" s="559"/>
      <c r="AE528" s="559"/>
      <c r="AF528" s="559"/>
      <c r="AG528" s="559"/>
    </row>
    <row r="529" spans="1:33" ht="18" x14ac:dyDescent="0.35">
      <c r="A529" s="559"/>
      <c r="B529" s="559"/>
      <c r="C529" s="559"/>
      <c r="D529" s="559"/>
      <c r="E529" s="559"/>
      <c r="F529" s="559"/>
      <c r="G529" s="559"/>
      <c r="H529" s="559"/>
      <c r="I529" s="559"/>
      <c r="J529" s="559"/>
      <c r="K529" s="559"/>
      <c r="L529" s="559"/>
      <c r="M529" s="559"/>
      <c r="N529" s="559"/>
      <c r="O529" s="559"/>
      <c r="P529" s="559"/>
      <c r="Q529" s="559"/>
      <c r="R529" s="559"/>
      <c r="S529" s="559"/>
      <c r="T529" s="559"/>
      <c r="U529" s="559"/>
      <c r="V529" s="559"/>
      <c r="W529" s="559"/>
      <c r="X529" s="559"/>
      <c r="Y529" s="559"/>
      <c r="Z529" s="559"/>
      <c r="AA529" s="559"/>
      <c r="AB529" s="559"/>
      <c r="AC529" s="559"/>
      <c r="AD529" s="559"/>
      <c r="AE529" s="559"/>
      <c r="AF529" s="559"/>
      <c r="AG529" s="559"/>
    </row>
    <row r="530" spans="1:33" ht="18" x14ac:dyDescent="0.35">
      <c r="A530" s="559"/>
      <c r="B530" s="559"/>
      <c r="C530" s="559"/>
      <c r="D530" s="559"/>
      <c r="E530" s="559"/>
      <c r="F530" s="559"/>
      <c r="G530" s="559"/>
      <c r="H530" s="559"/>
      <c r="I530" s="559"/>
      <c r="J530" s="559"/>
      <c r="K530" s="559"/>
      <c r="L530" s="559"/>
      <c r="M530" s="559"/>
      <c r="N530" s="559"/>
      <c r="O530" s="559"/>
      <c r="P530" s="559"/>
      <c r="Q530" s="559"/>
      <c r="R530" s="559"/>
      <c r="S530" s="559"/>
      <c r="T530" s="559"/>
      <c r="U530" s="559"/>
      <c r="V530" s="559"/>
      <c r="W530" s="559"/>
      <c r="X530" s="559"/>
      <c r="Y530" s="559"/>
      <c r="Z530" s="559"/>
      <c r="AA530" s="559"/>
      <c r="AB530" s="559"/>
      <c r="AC530" s="559"/>
      <c r="AD530" s="559"/>
      <c r="AE530" s="559"/>
      <c r="AF530" s="559"/>
      <c r="AG530" s="559"/>
    </row>
    <row r="531" spans="1:33" ht="18" x14ac:dyDescent="0.35">
      <c r="A531" s="559"/>
      <c r="B531" s="559"/>
      <c r="C531" s="559"/>
      <c r="D531" s="559"/>
      <c r="E531" s="559"/>
      <c r="F531" s="559"/>
      <c r="G531" s="559"/>
      <c r="H531" s="559"/>
      <c r="I531" s="559"/>
      <c r="J531" s="559"/>
      <c r="K531" s="559"/>
      <c r="L531" s="559"/>
      <c r="M531" s="559"/>
      <c r="N531" s="559"/>
      <c r="O531" s="559"/>
      <c r="P531" s="559"/>
      <c r="Q531" s="559"/>
      <c r="R531" s="559"/>
      <c r="S531" s="559"/>
      <c r="T531" s="559"/>
      <c r="U531" s="559"/>
      <c r="V531" s="559"/>
      <c r="W531" s="559"/>
      <c r="X531" s="559"/>
      <c r="Y531" s="559"/>
      <c r="Z531" s="559"/>
      <c r="AA531" s="559"/>
      <c r="AB531" s="559"/>
      <c r="AC531" s="559"/>
      <c r="AD531" s="559"/>
      <c r="AE531" s="559"/>
      <c r="AF531" s="559"/>
      <c r="AG531" s="559"/>
    </row>
    <row r="532" spans="1:33" ht="18" x14ac:dyDescent="0.35">
      <c r="A532" s="559"/>
      <c r="B532" s="559"/>
      <c r="C532" s="559"/>
      <c r="D532" s="559"/>
      <c r="E532" s="559"/>
      <c r="F532" s="559"/>
      <c r="G532" s="559"/>
      <c r="H532" s="559"/>
      <c r="I532" s="559"/>
      <c r="J532" s="559"/>
      <c r="K532" s="559"/>
      <c r="L532" s="559"/>
      <c r="M532" s="559"/>
      <c r="N532" s="559"/>
      <c r="O532" s="559"/>
      <c r="P532" s="559"/>
      <c r="Q532" s="559"/>
      <c r="R532" s="559"/>
      <c r="S532" s="559"/>
      <c r="T532" s="559"/>
      <c r="U532" s="559"/>
      <c r="V532" s="559"/>
      <c r="W532" s="559"/>
      <c r="X532" s="559"/>
      <c r="Y532" s="559"/>
      <c r="Z532" s="559"/>
      <c r="AA532" s="559"/>
      <c r="AB532" s="559"/>
      <c r="AC532" s="559"/>
      <c r="AD532" s="559"/>
      <c r="AE532" s="559"/>
      <c r="AF532" s="559"/>
      <c r="AG532" s="559"/>
    </row>
    <row r="533" spans="1:33" ht="18" x14ac:dyDescent="0.35">
      <c r="A533" s="559"/>
      <c r="B533" s="559"/>
      <c r="C533" s="559"/>
      <c r="D533" s="559"/>
      <c r="E533" s="559"/>
      <c r="F533" s="559"/>
      <c r="G533" s="559"/>
      <c r="H533" s="559"/>
      <c r="I533" s="559"/>
      <c r="J533" s="559"/>
      <c r="K533" s="559"/>
      <c r="L533" s="559"/>
      <c r="M533" s="559"/>
      <c r="N533" s="559"/>
      <c r="O533" s="559"/>
      <c r="P533" s="559"/>
      <c r="Q533" s="559"/>
      <c r="R533" s="559"/>
      <c r="S533" s="559"/>
      <c r="T533" s="559"/>
      <c r="U533" s="559"/>
      <c r="V533" s="559"/>
      <c r="W533" s="559"/>
      <c r="X533" s="559"/>
      <c r="Y533" s="559"/>
      <c r="Z533" s="559"/>
      <c r="AA533" s="559"/>
      <c r="AB533" s="559"/>
      <c r="AC533" s="559"/>
      <c r="AD533" s="559"/>
      <c r="AE533" s="559"/>
      <c r="AF533" s="559"/>
      <c r="AG533" s="559"/>
    </row>
    <row r="534" spans="1:33" ht="18" x14ac:dyDescent="0.35">
      <c r="A534" s="559"/>
      <c r="B534" s="559"/>
      <c r="C534" s="559"/>
      <c r="D534" s="559"/>
      <c r="E534" s="559"/>
      <c r="F534" s="559"/>
      <c r="G534" s="559"/>
      <c r="H534" s="559"/>
      <c r="I534" s="559"/>
      <c r="J534" s="559"/>
      <c r="K534" s="559"/>
      <c r="L534" s="559"/>
      <c r="M534" s="559"/>
      <c r="N534" s="559"/>
      <c r="O534" s="559"/>
      <c r="P534" s="559"/>
      <c r="Q534" s="559"/>
      <c r="R534" s="559"/>
      <c r="S534" s="559"/>
      <c r="T534" s="559"/>
      <c r="U534" s="559"/>
      <c r="V534" s="559"/>
      <c r="W534" s="559"/>
      <c r="X534" s="559"/>
      <c r="Y534" s="559"/>
      <c r="Z534" s="559"/>
      <c r="AA534" s="559"/>
      <c r="AB534" s="559"/>
      <c r="AC534" s="559"/>
      <c r="AD534" s="559"/>
      <c r="AE534" s="559"/>
      <c r="AF534" s="559"/>
      <c r="AG534" s="559"/>
    </row>
    <row r="535" spans="1:33" ht="18" x14ac:dyDescent="0.35">
      <c r="A535" s="559"/>
      <c r="B535" s="559"/>
      <c r="C535" s="559"/>
      <c r="D535" s="559"/>
      <c r="E535" s="559"/>
      <c r="F535" s="559"/>
      <c r="G535" s="559"/>
      <c r="H535" s="559"/>
      <c r="I535" s="559"/>
      <c r="J535" s="559"/>
      <c r="K535" s="559"/>
      <c r="L535" s="559"/>
      <c r="M535" s="559"/>
      <c r="N535" s="559"/>
      <c r="O535" s="559"/>
      <c r="P535" s="559"/>
      <c r="Q535" s="559"/>
      <c r="R535" s="559"/>
      <c r="S535" s="559"/>
      <c r="T535" s="559"/>
      <c r="U535" s="559"/>
      <c r="V535" s="559"/>
      <c r="W535" s="559"/>
      <c r="X535" s="559"/>
      <c r="Y535" s="559"/>
      <c r="Z535" s="559"/>
      <c r="AA535" s="559"/>
      <c r="AB535" s="559"/>
      <c r="AC535" s="559"/>
      <c r="AD535" s="559"/>
      <c r="AE535" s="559"/>
      <c r="AF535" s="559"/>
      <c r="AG535" s="559"/>
    </row>
    <row r="536" spans="1:33" ht="18" x14ac:dyDescent="0.35">
      <c r="A536" s="559"/>
      <c r="B536" s="559"/>
      <c r="C536" s="559"/>
      <c r="D536" s="559"/>
      <c r="E536" s="559"/>
      <c r="F536" s="559"/>
      <c r="G536" s="559"/>
      <c r="H536" s="559"/>
      <c r="I536" s="559"/>
      <c r="J536" s="559"/>
      <c r="K536" s="559"/>
      <c r="L536" s="559"/>
      <c r="M536" s="559"/>
      <c r="N536" s="559"/>
      <c r="O536" s="559"/>
      <c r="P536" s="559"/>
      <c r="Q536" s="559"/>
      <c r="R536" s="559"/>
      <c r="S536" s="559"/>
      <c r="T536" s="559"/>
      <c r="U536" s="559"/>
      <c r="V536" s="559"/>
      <c r="W536" s="559"/>
      <c r="X536" s="559"/>
      <c r="Y536" s="559"/>
      <c r="Z536" s="559"/>
      <c r="AA536" s="559"/>
      <c r="AB536" s="559"/>
      <c r="AC536" s="559"/>
      <c r="AD536" s="559"/>
      <c r="AE536" s="559"/>
      <c r="AF536" s="559"/>
      <c r="AG536" s="559"/>
    </row>
    <row r="537" spans="1:33" ht="18" x14ac:dyDescent="0.35">
      <c r="A537" s="559"/>
      <c r="B537" s="559"/>
      <c r="C537" s="559"/>
      <c r="D537" s="559"/>
      <c r="E537" s="559"/>
      <c r="F537" s="559"/>
      <c r="G537" s="559"/>
      <c r="H537" s="559"/>
      <c r="I537" s="559"/>
      <c r="J537" s="559"/>
      <c r="K537" s="559"/>
      <c r="L537" s="559"/>
      <c r="M537" s="559"/>
      <c r="N537" s="559"/>
      <c r="O537" s="559"/>
      <c r="P537" s="559"/>
      <c r="Q537" s="559"/>
      <c r="R537" s="559"/>
      <c r="S537" s="559"/>
      <c r="T537" s="559"/>
      <c r="U537" s="559"/>
      <c r="V537" s="559"/>
      <c r="W537" s="559"/>
      <c r="X537" s="559"/>
      <c r="Y537" s="559"/>
      <c r="Z537" s="559"/>
      <c r="AA537" s="559"/>
      <c r="AB537" s="559"/>
      <c r="AC537" s="559"/>
      <c r="AD537" s="559"/>
      <c r="AE537" s="559"/>
      <c r="AF537" s="559"/>
      <c r="AG537" s="559"/>
    </row>
    <row r="538" spans="1:33" ht="18" x14ac:dyDescent="0.35">
      <c r="A538" s="559"/>
      <c r="B538" s="559"/>
      <c r="C538" s="559"/>
      <c r="D538" s="559"/>
      <c r="E538" s="559"/>
      <c r="F538" s="559"/>
      <c r="G538" s="559"/>
      <c r="H538" s="559"/>
      <c r="I538" s="559"/>
      <c r="J538" s="559"/>
      <c r="K538" s="559"/>
      <c r="L538" s="559"/>
      <c r="M538" s="559"/>
      <c r="N538" s="559"/>
      <c r="O538" s="559"/>
      <c r="P538" s="559"/>
      <c r="Q538" s="559"/>
      <c r="R538" s="559"/>
      <c r="S538" s="559"/>
      <c r="T538" s="559"/>
      <c r="U538" s="559"/>
      <c r="V538" s="559"/>
      <c r="W538" s="559"/>
      <c r="X538" s="559"/>
      <c r="Y538" s="559"/>
      <c r="Z538" s="559"/>
      <c r="AA538" s="559"/>
      <c r="AB538" s="559"/>
      <c r="AC538" s="559"/>
      <c r="AD538" s="559"/>
      <c r="AE538" s="559"/>
      <c r="AF538" s="559"/>
      <c r="AG538" s="559"/>
    </row>
    <row r="539" spans="1:33" ht="18" x14ac:dyDescent="0.35">
      <c r="A539" s="559"/>
      <c r="B539" s="559"/>
      <c r="C539" s="559"/>
      <c r="D539" s="559"/>
      <c r="E539" s="559"/>
      <c r="F539" s="559"/>
      <c r="G539" s="559"/>
      <c r="H539" s="559"/>
      <c r="I539" s="559"/>
      <c r="J539" s="559"/>
      <c r="K539" s="559"/>
      <c r="L539" s="559"/>
      <c r="M539" s="559"/>
      <c r="N539" s="559"/>
      <c r="O539" s="559"/>
      <c r="P539" s="559"/>
      <c r="Q539" s="559"/>
      <c r="R539" s="559"/>
      <c r="S539" s="559"/>
      <c r="T539" s="559"/>
      <c r="U539" s="559"/>
      <c r="V539" s="559"/>
      <c r="W539" s="559"/>
      <c r="X539" s="559"/>
      <c r="Y539" s="559"/>
      <c r="Z539" s="559"/>
      <c r="AA539" s="559"/>
      <c r="AB539" s="559"/>
      <c r="AC539" s="559"/>
      <c r="AD539" s="559"/>
      <c r="AE539" s="559"/>
      <c r="AF539" s="559"/>
      <c r="AG539" s="559"/>
    </row>
    <row r="540" spans="1:33" ht="18" x14ac:dyDescent="0.35">
      <c r="A540" s="559"/>
      <c r="B540" s="559"/>
      <c r="C540" s="559"/>
      <c r="D540" s="559"/>
      <c r="E540" s="559"/>
      <c r="F540" s="559"/>
      <c r="G540" s="559"/>
      <c r="H540" s="559"/>
      <c r="I540" s="559"/>
      <c r="J540" s="559"/>
      <c r="K540" s="559"/>
      <c r="L540" s="559"/>
      <c r="M540" s="559"/>
      <c r="N540" s="559"/>
      <c r="O540" s="559"/>
      <c r="P540" s="559"/>
      <c r="Q540" s="559"/>
      <c r="R540" s="559"/>
      <c r="S540" s="559"/>
      <c r="T540" s="559"/>
      <c r="U540" s="559"/>
      <c r="V540" s="559"/>
      <c r="W540" s="559"/>
      <c r="X540" s="559"/>
      <c r="Y540" s="559"/>
      <c r="Z540" s="559"/>
      <c r="AA540" s="559"/>
      <c r="AB540" s="559"/>
      <c r="AC540" s="559"/>
      <c r="AD540" s="559"/>
      <c r="AE540" s="559"/>
      <c r="AF540" s="559"/>
      <c r="AG540" s="559"/>
    </row>
    <row r="541" spans="1:33" ht="18" x14ac:dyDescent="0.35">
      <c r="A541" s="559"/>
      <c r="B541" s="559"/>
      <c r="C541" s="559"/>
      <c r="D541" s="559"/>
      <c r="E541" s="559"/>
      <c r="F541" s="559"/>
      <c r="G541" s="559"/>
      <c r="H541" s="559"/>
      <c r="I541" s="559"/>
      <c r="J541" s="559"/>
      <c r="K541" s="559"/>
      <c r="L541" s="559"/>
      <c r="M541" s="559"/>
      <c r="N541" s="559"/>
      <c r="O541" s="559"/>
      <c r="P541" s="559"/>
      <c r="Q541" s="559"/>
      <c r="R541" s="559"/>
      <c r="S541" s="559"/>
      <c r="T541" s="559"/>
      <c r="U541" s="559"/>
      <c r="V541" s="559"/>
      <c r="W541" s="559"/>
      <c r="X541" s="559"/>
      <c r="Y541" s="559"/>
      <c r="Z541" s="559"/>
      <c r="AA541" s="559"/>
      <c r="AB541" s="559"/>
      <c r="AC541" s="559"/>
      <c r="AD541" s="559"/>
      <c r="AE541" s="559"/>
      <c r="AF541" s="559"/>
      <c r="AG541" s="559"/>
    </row>
    <row r="542" spans="1:33" ht="18" x14ac:dyDescent="0.35">
      <c r="A542" s="559"/>
      <c r="B542" s="559"/>
      <c r="C542" s="559"/>
      <c r="D542" s="559"/>
      <c r="E542" s="559"/>
      <c r="F542" s="559"/>
      <c r="G542" s="559"/>
      <c r="H542" s="559"/>
      <c r="I542" s="559"/>
      <c r="J542" s="559"/>
      <c r="K542" s="559"/>
      <c r="L542" s="559"/>
      <c r="M542" s="559"/>
      <c r="N542" s="559"/>
      <c r="O542" s="559"/>
      <c r="P542" s="559"/>
      <c r="Q542" s="559"/>
      <c r="R542" s="559"/>
      <c r="S542" s="559"/>
      <c r="T542" s="559"/>
      <c r="U542" s="559"/>
      <c r="V542" s="559"/>
      <c r="W542" s="559"/>
      <c r="X542" s="559"/>
      <c r="Y542" s="559"/>
      <c r="Z542" s="559"/>
      <c r="AA542" s="559"/>
      <c r="AB542" s="559"/>
      <c r="AC542" s="559"/>
      <c r="AD542" s="559"/>
      <c r="AE542" s="559"/>
      <c r="AF542" s="559"/>
      <c r="AG542" s="559"/>
    </row>
    <row r="543" spans="1:33" ht="18" x14ac:dyDescent="0.35">
      <c r="A543" s="559"/>
      <c r="B543" s="559"/>
      <c r="C543" s="559"/>
      <c r="D543" s="559"/>
      <c r="E543" s="559"/>
      <c r="F543" s="559"/>
      <c r="G543" s="559"/>
      <c r="H543" s="559"/>
      <c r="I543" s="559"/>
      <c r="J543" s="559"/>
      <c r="K543" s="559"/>
      <c r="L543" s="559"/>
      <c r="M543" s="559"/>
      <c r="N543" s="559"/>
      <c r="O543" s="559"/>
      <c r="P543" s="559"/>
      <c r="Q543" s="559"/>
      <c r="R543" s="559"/>
      <c r="S543" s="559"/>
      <c r="T543" s="559"/>
      <c r="U543" s="559"/>
      <c r="V543" s="559"/>
      <c r="W543" s="559"/>
      <c r="X543" s="559"/>
      <c r="Y543" s="559"/>
      <c r="Z543" s="559"/>
      <c r="AA543" s="559"/>
      <c r="AB543" s="559"/>
      <c r="AC543" s="559"/>
      <c r="AD543" s="559"/>
      <c r="AE543" s="559"/>
      <c r="AF543" s="559"/>
      <c r="AG543" s="559"/>
    </row>
    <row r="544" spans="1:33" ht="18" x14ac:dyDescent="0.35">
      <c r="A544" s="559"/>
      <c r="B544" s="559"/>
      <c r="C544" s="559"/>
      <c r="D544" s="559"/>
      <c r="E544" s="559"/>
      <c r="F544" s="559"/>
      <c r="G544" s="559"/>
      <c r="H544" s="559"/>
      <c r="I544" s="559"/>
      <c r="J544" s="559"/>
      <c r="K544" s="559"/>
      <c r="L544" s="559"/>
      <c r="M544" s="559"/>
      <c r="N544" s="559"/>
      <c r="O544" s="559"/>
      <c r="P544" s="559"/>
      <c r="Q544" s="559"/>
      <c r="R544" s="559"/>
      <c r="S544" s="559"/>
      <c r="T544" s="559"/>
      <c r="U544" s="559"/>
      <c r="V544" s="559"/>
      <c r="W544" s="559"/>
      <c r="X544" s="559"/>
      <c r="Y544" s="559"/>
      <c r="Z544" s="559"/>
      <c r="AA544" s="559"/>
      <c r="AB544" s="559"/>
      <c r="AC544" s="559"/>
      <c r="AD544" s="559"/>
      <c r="AE544" s="559"/>
      <c r="AF544" s="559"/>
      <c r="AG544" s="559"/>
    </row>
    <row r="545" spans="1:33" ht="18" x14ac:dyDescent="0.35">
      <c r="A545" s="559"/>
      <c r="B545" s="559"/>
      <c r="C545" s="559"/>
      <c r="D545" s="559"/>
      <c r="E545" s="559"/>
      <c r="F545" s="559"/>
      <c r="G545" s="559"/>
      <c r="H545" s="559"/>
      <c r="I545" s="559"/>
      <c r="J545" s="559"/>
      <c r="K545" s="559"/>
      <c r="L545" s="559"/>
      <c r="M545" s="559"/>
      <c r="N545" s="559"/>
      <c r="O545" s="559"/>
      <c r="P545" s="559"/>
      <c r="Q545" s="559"/>
      <c r="R545" s="559"/>
      <c r="S545" s="559"/>
      <c r="T545" s="559"/>
      <c r="U545" s="559"/>
      <c r="V545" s="559"/>
      <c r="W545" s="559"/>
      <c r="X545" s="559"/>
      <c r="Y545" s="559"/>
      <c r="Z545" s="559"/>
      <c r="AA545" s="559"/>
      <c r="AB545" s="559"/>
      <c r="AC545" s="559"/>
      <c r="AD545" s="559"/>
      <c r="AE545" s="559"/>
      <c r="AF545" s="559"/>
      <c r="AG545" s="559"/>
    </row>
    <row r="546" spans="1:33" ht="18" x14ac:dyDescent="0.35">
      <c r="A546" s="559"/>
      <c r="B546" s="559"/>
      <c r="C546" s="559"/>
      <c r="D546" s="559"/>
      <c r="E546" s="559"/>
      <c r="F546" s="559"/>
      <c r="G546" s="559"/>
      <c r="H546" s="559"/>
      <c r="I546" s="559"/>
      <c r="J546" s="559"/>
      <c r="K546" s="559"/>
      <c r="L546" s="559"/>
      <c r="M546" s="559"/>
      <c r="N546" s="559"/>
      <c r="O546" s="559"/>
      <c r="P546" s="559"/>
      <c r="Q546" s="559"/>
      <c r="R546" s="559"/>
      <c r="S546" s="559"/>
      <c r="T546" s="559"/>
      <c r="U546" s="559"/>
      <c r="V546" s="559"/>
      <c r="W546" s="559"/>
      <c r="X546" s="559"/>
      <c r="Y546" s="559"/>
      <c r="Z546" s="559"/>
      <c r="AA546" s="559"/>
      <c r="AB546" s="559"/>
      <c r="AC546" s="559"/>
      <c r="AD546" s="559"/>
      <c r="AE546" s="559"/>
      <c r="AF546" s="559"/>
      <c r="AG546" s="559"/>
    </row>
    <row r="547" spans="1:33" ht="18" x14ac:dyDescent="0.35">
      <c r="A547" s="559"/>
      <c r="B547" s="559"/>
      <c r="C547" s="559"/>
      <c r="D547" s="559"/>
      <c r="E547" s="559"/>
      <c r="F547" s="559"/>
      <c r="G547" s="559"/>
      <c r="H547" s="559"/>
      <c r="I547" s="559"/>
      <c r="J547" s="559"/>
      <c r="K547" s="559"/>
      <c r="L547" s="559"/>
      <c r="M547" s="559"/>
      <c r="N547" s="559"/>
      <c r="O547" s="559"/>
      <c r="P547" s="559"/>
      <c r="Q547" s="559"/>
      <c r="R547" s="559"/>
      <c r="S547" s="559"/>
      <c r="T547" s="559"/>
      <c r="U547" s="559"/>
      <c r="V547" s="559"/>
      <c r="W547" s="559"/>
      <c r="X547" s="559"/>
      <c r="Y547" s="559"/>
      <c r="Z547" s="559"/>
      <c r="AA547" s="559"/>
      <c r="AB547" s="559"/>
      <c r="AC547" s="559"/>
      <c r="AD547" s="559"/>
      <c r="AE547" s="559"/>
      <c r="AF547" s="559"/>
      <c r="AG547" s="559"/>
    </row>
    <row r="548" spans="1:33" ht="18" x14ac:dyDescent="0.35">
      <c r="A548" s="559"/>
      <c r="B548" s="559"/>
      <c r="C548" s="559"/>
      <c r="D548" s="559"/>
      <c r="E548" s="559"/>
      <c r="F548" s="559"/>
      <c r="G548" s="559"/>
      <c r="H548" s="559"/>
      <c r="I548" s="559"/>
      <c r="J548" s="559"/>
      <c r="K548" s="559"/>
      <c r="L548" s="559"/>
      <c r="M548" s="559"/>
      <c r="N548" s="559"/>
      <c r="O548" s="559"/>
      <c r="P548" s="559"/>
      <c r="Q548" s="559"/>
      <c r="R548" s="559"/>
      <c r="S548" s="559"/>
      <c r="T548" s="559"/>
      <c r="U548" s="559"/>
      <c r="V548" s="559"/>
      <c r="W548" s="559"/>
      <c r="X548" s="559"/>
      <c r="Y548" s="559"/>
      <c r="Z548" s="559"/>
      <c r="AA548" s="559"/>
      <c r="AB548" s="559"/>
      <c r="AC548" s="559"/>
      <c r="AD548" s="559"/>
      <c r="AE548" s="559"/>
      <c r="AF548" s="559"/>
      <c r="AG548" s="559"/>
    </row>
    <row r="549" spans="1:33" ht="18" x14ac:dyDescent="0.35">
      <c r="A549" s="559"/>
      <c r="B549" s="559"/>
      <c r="C549" s="559"/>
      <c r="D549" s="559"/>
      <c r="E549" s="559"/>
      <c r="F549" s="559"/>
      <c r="G549" s="559"/>
      <c r="H549" s="559"/>
      <c r="I549" s="559"/>
      <c r="J549" s="559"/>
      <c r="K549" s="559"/>
      <c r="L549" s="559"/>
      <c r="M549" s="559"/>
      <c r="N549" s="559"/>
      <c r="O549" s="559"/>
      <c r="P549" s="559"/>
      <c r="Q549" s="559"/>
      <c r="R549" s="559"/>
      <c r="S549" s="559"/>
      <c r="T549" s="559"/>
      <c r="U549" s="559"/>
      <c r="V549" s="559"/>
      <c r="W549" s="559"/>
      <c r="X549" s="559"/>
      <c r="Y549" s="559"/>
      <c r="Z549" s="559"/>
      <c r="AA549" s="559"/>
      <c r="AB549" s="559"/>
      <c r="AC549" s="559"/>
      <c r="AD549" s="559"/>
      <c r="AE549" s="559"/>
      <c r="AF549" s="559"/>
      <c r="AG549" s="559"/>
    </row>
    <row r="550" spans="1:33" ht="18" x14ac:dyDescent="0.35">
      <c r="A550" s="559"/>
      <c r="B550" s="559"/>
      <c r="C550" s="559"/>
      <c r="D550" s="559"/>
      <c r="E550" s="559"/>
      <c r="F550" s="559"/>
      <c r="G550" s="559"/>
      <c r="H550" s="559"/>
      <c r="I550" s="559"/>
      <c r="J550" s="559"/>
      <c r="K550" s="559"/>
      <c r="L550" s="559"/>
      <c r="M550" s="559"/>
      <c r="N550" s="559"/>
      <c r="O550" s="559"/>
      <c r="P550" s="559"/>
      <c r="Q550" s="559"/>
      <c r="R550" s="559"/>
      <c r="S550" s="559"/>
      <c r="T550" s="559"/>
      <c r="U550" s="559"/>
      <c r="V550" s="559"/>
      <c r="W550" s="559"/>
      <c r="X550" s="559"/>
      <c r="Y550" s="559"/>
      <c r="Z550" s="559"/>
      <c r="AA550" s="559"/>
      <c r="AB550" s="559"/>
      <c r="AC550" s="559"/>
      <c r="AD550" s="559"/>
      <c r="AE550" s="559"/>
      <c r="AF550" s="559"/>
      <c r="AG550" s="559"/>
    </row>
    <row r="551" spans="1:33" ht="18" x14ac:dyDescent="0.35">
      <c r="A551" s="559"/>
      <c r="B551" s="559"/>
      <c r="C551" s="559"/>
      <c r="D551" s="559"/>
      <c r="E551" s="559"/>
      <c r="F551" s="559"/>
      <c r="G551" s="559"/>
      <c r="H551" s="559"/>
      <c r="I551" s="559"/>
      <c r="J551" s="559"/>
      <c r="K551" s="559"/>
      <c r="L551" s="559"/>
      <c r="M551" s="559"/>
      <c r="N551" s="559"/>
      <c r="O551" s="559"/>
      <c r="P551" s="559"/>
      <c r="Q551" s="559"/>
      <c r="R551" s="559"/>
      <c r="S551" s="559"/>
      <c r="T551" s="559"/>
      <c r="U551" s="559"/>
      <c r="V551" s="559"/>
      <c r="W551" s="559"/>
      <c r="X551" s="559"/>
      <c r="Y551" s="559"/>
      <c r="Z551" s="559"/>
      <c r="AA551" s="559"/>
      <c r="AB551" s="559"/>
      <c r="AC551" s="559"/>
      <c r="AD551" s="559"/>
      <c r="AE551" s="559"/>
      <c r="AF551" s="559"/>
      <c r="AG551" s="559"/>
    </row>
    <row r="552" spans="1:33" ht="18" x14ac:dyDescent="0.35">
      <c r="A552" s="559"/>
      <c r="B552" s="559"/>
      <c r="C552" s="559"/>
      <c r="D552" s="559"/>
      <c r="E552" s="559"/>
      <c r="F552" s="559"/>
      <c r="G552" s="559"/>
      <c r="H552" s="559"/>
      <c r="I552" s="559"/>
      <c r="J552" s="559"/>
      <c r="K552" s="559"/>
      <c r="L552" s="559"/>
      <c r="M552" s="559"/>
      <c r="N552" s="559"/>
      <c r="O552" s="559"/>
      <c r="P552" s="559"/>
      <c r="Q552" s="559"/>
      <c r="R552" s="559"/>
      <c r="S552" s="559"/>
      <c r="T552" s="559"/>
      <c r="U552" s="559"/>
      <c r="V552" s="559"/>
      <c r="W552" s="559"/>
      <c r="X552" s="559"/>
      <c r="Y552" s="559"/>
      <c r="Z552" s="559"/>
      <c r="AA552" s="559"/>
      <c r="AB552" s="559"/>
      <c r="AC552" s="559"/>
      <c r="AD552" s="559"/>
      <c r="AE552" s="559"/>
      <c r="AF552" s="559"/>
      <c r="AG552" s="559"/>
    </row>
    <row r="553" spans="1:33" ht="18" x14ac:dyDescent="0.35">
      <c r="A553" s="559"/>
      <c r="B553" s="559"/>
      <c r="C553" s="559"/>
      <c r="D553" s="559"/>
      <c r="E553" s="559"/>
      <c r="F553" s="559"/>
      <c r="G553" s="559"/>
      <c r="H553" s="559"/>
      <c r="I553" s="559"/>
      <c r="J553" s="559"/>
      <c r="K553" s="559"/>
      <c r="L553" s="559"/>
      <c r="M553" s="559"/>
      <c r="N553" s="559"/>
      <c r="O553" s="559"/>
      <c r="P553" s="559"/>
      <c r="Q553" s="559"/>
      <c r="R553" s="559"/>
      <c r="S553" s="559"/>
      <c r="T553" s="559"/>
      <c r="U553" s="559"/>
      <c r="V553" s="559"/>
      <c r="W553" s="559"/>
      <c r="X553" s="559"/>
      <c r="Y553" s="559"/>
      <c r="Z553" s="559"/>
      <c r="AA553" s="559"/>
      <c r="AB553" s="559"/>
      <c r="AC553" s="559"/>
      <c r="AD553" s="559"/>
      <c r="AE553" s="559"/>
      <c r="AF553" s="559"/>
      <c r="AG553" s="559"/>
    </row>
    <row r="554" spans="1:33" ht="18" x14ac:dyDescent="0.35">
      <c r="A554" s="559"/>
      <c r="B554" s="559"/>
      <c r="C554" s="559"/>
      <c r="D554" s="559"/>
      <c r="E554" s="559"/>
      <c r="F554" s="559"/>
      <c r="G554" s="559"/>
      <c r="H554" s="559"/>
      <c r="I554" s="559"/>
      <c r="J554" s="559"/>
      <c r="K554" s="559"/>
      <c r="L554" s="559"/>
      <c r="M554" s="559"/>
      <c r="N554" s="559"/>
      <c r="O554" s="559"/>
      <c r="P554" s="559"/>
      <c r="Q554" s="559"/>
      <c r="R554" s="559"/>
      <c r="S554" s="559"/>
      <c r="T554" s="559"/>
      <c r="U554" s="559"/>
      <c r="V554" s="559"/>
      <c r="W554" s="559"/>
      <c r="X554" s="559"/>
      <c r="Y554" s="559"/>
      <c r="Z554" s="559"/>
      <c r="AA554" s="559"/>
      <c r="AB554" s="559"/>
      <c r="AC554" s="559"/>
      <c r="AD554" s="559"/>
      <c r="AE554" s="559"/>
      <c r="AF554" s="559"/>
      <c r="AG554" s="559"/>
    </row>
    <row r="555" spans="1:33" ht="18" x14ac:dyDescent="0.35">
      <c r="A555" s="559"/>
      <c r="B555" s="559"/>
      <c r="C555" s="559"/>
      <c r="D555" s="559"/>
      <c r="E555" s="559"/>
      <c r="F555" s="559"/>
      <c r="G555" s="559"/>
      <c r="H555" s="559"/>
      <c r="I555" s="559"/>
      <c r="J555" s="559"/>
      <c r="K555" s="559"/>
      <c r="L555" s="559"/>
      <c r="M555" s="559"/>
      <c r="N555" s="559"/>
      <c r="O555" s="559"/>
      <c r="P555" s="559"/>
      <c r="Q555" s="559"/>
      <c r="R555" s="559"/>
      <c r="S555" s="559"/>
      <c r="T555" s="559"/>
      <c r="U555" s="559"/>
      <c r="V555" s="559"/>
      <c r="W555" s="559"/>
      <c r="X555" s="559"/>
      <c r="Y555" s="559"/>
      <c r="Z555" s="559"/>
      <c r="AA555" s="559"/>
      <c r="AB555" s="559"/>
      <c r="AC555" s="559"/>
      <c r="AD555" s="559"/>
      <c r="AE555" s="559"/>
      <c r="AF555" s="559"/>
      <c r="AG555" s="559"/>
    </row>
    <row r="556" spans="1:33" ht="18" x14ac:dyDescent="0.35">
      <c r="A556" s="559"/>
      <c r="B556" s="559"/>
      <c r="C556" s="559"/>
      <c r="D556" s="559"/>
      <c r="E556" s="559"/>
      <c r="F556" s="559"/>
      <c r="G556" s="559"/>
      <c r="H556" s="559"/>
      <c r="I556" s="559"/>
      <c r="J556" s="559"/>
      <c r="K556" s="559"/>
      <c r="L556" s="559"/>
      <c r="M556" s="559"/>
      <c r="N556" s="559"/>
      <c r="O556" s="559"/>
      <c r="P556" s="559"/>
      <c r="Q556" s="559"/>
      <c r="R556" s="559"/>
      <c r="S556" s="559"/>
      <c r="T556" s="559"/>
      <c r="U556" s="559"/>
      <c r="V556" s="559"/>
      <c r="W556" s="559"/>
      <c r="X556" s="559"/>
      <c r="Y556" s="559"/>
      <c r="Z556" s="559"/>
      <c r="AA556" s="559"/>
      <c r="AB556" s="559"/>
      <c r="AC556" s="559"/>
      <c r="AD556" s="559"/>
      <c r="AE556" s="559"/>
      <c r="AF556" s="559"/>
      <c r="AG556" s="559"/>
    </row>
    <row r="557" spans="1:33" ht="18" x14ac:dyDescent="0.35">
      <c r="A557" s="559"/>
      <c r="B557" s="559"/>
      <c r="C557" s="559"/>
      <c r="D557" s="559"/>
      <c r="E557" s="559"/>
      <c r="F557" s="559"/>
      <c r="G557" s="559"/>
      <c r="H557" s="559"/>
      <c r="I557" s="559"/>
      <c r="J557" s="559"/>
      <c r="K557" s="559"/>
      <c r="L557" s="559"/>
      <c r="M557" s="559"/>
      <c r="N557" s="559"/>
      <c r="O557" s="559"/>
      <c r="P557" s="559"/>
      <c r="Q557" s="559"/>
      <c r="R557" s="559"/>
      <c r="S557" s="559"/>
      <c r="T557" s="559"/>
      <c r="U557" s="559"/>
      <c r="V557" s="559"/>
      <c r="W557" s="559"/>
      <c r="X557" s="559"/>
      <c r="Y557" s="559"/>
      <c r="Z557" s="559"/>
      <c r="AA557" s="559"/>
      <c r="AB557" s="559"/>
      <c r="AC557" s="559"/>
      <c r="AD557" s="559"/>
      <c r="AE557" s="559"/>
      <c r="AF557" s="559"/>
      <c r="AG557" s="559"/>
    </row>
    <row r="558" spans="1:33" ht="18" x14ac:dyDescent="0.35">
      <c r="A558" s="559"/>
      <c r="B558" s="559"/>
      <c r="C558" s="559"/>
      <c r="D558" s="559"/>
      <c r="E558" s="559"/>
      <c r="F558" s="559"/>
      <c r="G558" s="559"/>
      <c r="H558" s="559"/>
      <c r="I558" s="559"/>
      <c r="J558" s="559"/>
      <c r="K558" s="559"/>
      <c r="L558" s="559"/>
      <c r="M558" s="559"/>
      <c r="N558" s="559"/>
      <c r="O558" s="559"/>
      <c r="P558" s="559"/>
      <c r="Q558" s="559"/>
      <c r="R558" s="559"/>
      <c r="S558" s="559"/>
      <c r="T558" s="559"/>
      <c r="U558" s="559"/>
      <c r="V558" s="559"/>
      <c r="W558" s="559"/>
      <c r="X558" s="559"/>
      <c r="Y558" s="559"/>
      <c r="Z558" s="559"/>
      <c r="AA558" s="559"/>
      <c r="AB558" s="559"/>
      <c r="AC558" s="559"/>
      <c r="AD558" s="559"/>
      <c r="AE558" s="559"/>
      <c r="AF558" s="559"/>
      <c r="AG558" s="559"/>
    </row>
    <row r="559" spans="1:33" ht="18" x14ac:dyDescent="0.35">
      <c r="A559" s="559"/>
      <c r="B559" s="559"/>
      <c r="C559" s="559"/>
      <c r="D559" s="559"/>
      <c r="E559" s="559"/>
      <c r="F559" s="559"/>
      <c r="G559" s="559"/>
      <c r="H559" s="559"/>
      <c r="I559" s="559"/>
      <c r="J559" s="559"/>
      <c r="K559" s="559"/>
      <c r="L559" s="559"/>
      <c r="M559" s="559"/>
      <c r="N559" s="559"/>
      <c r="O559" s="559"/>
      <c r="P559" s="559"/>
      <c r="Q559" s="559"/>
      <c r="R559" s="559"/>
      <c r="S559" s="559"/>
      <c r="T559" s="559"/>
      <c r="U559" s="559"/>
      <c r="V559" s="559"/>
      <c r="W559" s="559"/>
      <c r="X559" s="559"/>
      <c r="Y559" s="559"/>
      <c r="Z559" s="559"/>
      <c r="AA559" s="559"/>
      <c r="AB559" s="559"/>
      <c r="AC559" s="559"/>
      <c r="AD559" s="559"/>
      <c r="AE559" s="559"/>
      <c r="AF559" s="559"/>
      <c r="AG559" s="559"/>
    </row>
    <row r="560" spans="1:33" ht="18" x14ac:dyDescent="0.35">
      <c r="A560" s="559"/>
      <c r="B560" s="559"/>
      <c r="C560" s="559"/>
      <c r="D560" s="559"/>
      <c r="E560" s="559"/>
      <c r="F560" s="559"/>
      <c r="G560" s="559"/>
      <c r="H560" s="559"/>
      <c r="I560" s="559"/>
      <c r="J560" s="559"/>
      <c r="K560" s="559"/>
      <c r="L560" s="559"/>
      <c r="M560" s="559"/>
      <c r="N560" s="559"/>
      <c r="O560" s="559"/>
      <c r="P560" s="559"/>
      <c r="Q560" s="559"/>
      <c r="R560" s="559"/>
      <c r="S560" s="559"/>
      <c r="T560" s="559"/>
      <c r="U560" s="559"/>
      <c r="V560" s="559"/>
      <c r="W560" s="559"/>
      <c r="X560" s="559"/>
      <c r="Y560" s="559"/>
      <c r="Z560" s="559"/>
      <c r="AA560" s="559"/>
      <c r="AB560" s="559"/>
      <c r="AC560" s="559"/>
      <c r="AD560" s="559"/>
      <c r="AE560" s="559"/>
      <c r="AF560" s="559"/>
      <c r="AG560" s="559"/>
    </row>
    <row r="561" spans="1:33" ht="18" x14ac:dyDescent="0.35">
      <c r="A561" s="559"/>
      <c r="B561" s="559"/>
      <c r="C561" s="559"/>
      <c r="D561" s="559"/>
      <c r="E561" s="559"/>
      <c r="F561" s="559"/>
      <c r="G561" s="559"/>
      <c r="H561" s="559"/>
      <c r="I561" s="559"/>
      <c r="J561" s="559"/>
      <c r="K561" s="559"/>
      <c r="L561" s="559"/>
      <c r="M561" s="559"/>
      <c r="N561" s="559"/>
      <c r="O561" s="559"/>
      <c r="P561" s="559"/>
      <c r="Q561" s="559"/>
      <c r="R561" s="559"/>
      <c r="S561" s="559"/>
      <c r="T561" s="559"/>
      <c r="U561" s="559"/>
      <c r="V561" s="559"/>
      <c r="W561" s="559"/>
      <c r="X561" s="559"/>
      <c r="Y561" s="559"/>
      <c r="Z561" s="559"/>
      <c r="AA561" s="559"/>
      <c r="AB561" s="559"/>
      <c r="AC561" s="559"/>
      <c r="AD561" s="559"/>
      <c r="AE561" s="559"/>
      <c r="AF561" s="559"/>
      <c r="AG561" s="559"/>
    </row>
    <row r="562" spans="1:33" ht="18" x14ac:dyDescent="0.35">
      <c r="A562" s="559"/>
      <c r="B562" s="559"/>
      <c r="C562" s="559"/>
      <c r="D562" s="559"/>
      <c r="E562" s="559"/>
      <c r="F562" s="559"/>
      <c r="G562" s="559"/>
      <c r="H562" s="559"/>
      <c r="I562" s="559"/>
      <c r="J562" s="559"/>
      <c r="K562" s="559"/>
      <c r="L562" s="559"/>
      <c r="M562" s="559"/>
      <c r="N562" s="559"/>
      <c r="O562" s="559"/>
      <c r="P562" s="559"/>
      <c r="Q562" s="559"/>
      <c r="R562" s="559"/>
      <c r="S562" s="559"/>
      <c r="T562" s="559"/>
      <c r="U562" s="559"/>
      <c r="V562" s="559"/>
      <c r="W562" s="559"/>
      <c r="X562" s="559"/>
      <c r="Y562" s="559"/>
      <c r="Z562" s="559"/>
      <c r="AA562" s="559"/>
      <c r="AB562" s="559"/>
      <c r="AC562" s="559"/>
      <c r="AD562" s="559"/>
      <c r="AE562" s="559"/>
      <c r="AF562" s="559"/>
      <c r="AG562" s="559"/>
    </row>
    <row r="563" spans="1:33" ht="18" x14ac:dyDescent="0.35">
      <c r="A563" s="559"/>
      <c r="B563" s="559"/>
      <c r="C563" s="559"/>
      <c r="D563" s="559"/>
      <c r="E563" s="559"/>
      <c r="F563" s="559"/>
      <c r="G563" s="559"/>
      <c r="H563" s="559"/>
      <c r="I563" s="559"/>
      <c r="J563" s="559"/>
      <c r="K563" s="559"/>
      <c r="L563" s="559"/>
      <c r="M563" s="559"/>
      <c r="N563" s="559"/>
      <c r="O563" s="559"/>
      <c r="P563" s="559"/>
      <c r="Q563" s="559"/>
      <c r="R563" s="559"/>
      <c r="S563" s="559"/>
      <c r="T563" s="559"/>
      <c r="U563" s="559"/>
      <c r="V563" s="559"/>
      <c r="W563" s="559"/>
      <c r="X563" s="559"/>
      <c r="Y563" s="559"/>
      <c r="Z563" s="559"/>
      <c r="AA563" s="559"/>
      <c r="AB563" s="559"/>
      <c r="AC563" s="559"/>
      <c r="AD563" s="559"/>
      <c r="AE563" s="559"/>
      <c r="AF563" s="559"/>
      <c r="AG563" s="559"/>
    </row>
    <row r="564" spans="1:33" ht="18" x14ac:dyDescent="0.35">
      <c r="A564" s="559"/>
      <c r="B564" s="559"/>
      <c r="C564" s="559"/>
      <c r="D564" s="559"/>
      <c r="E564" s="559"/>
      <c r="F564" s="559"/>
      <c r="G564" s="559"/>
      <c r="H564" s="559"/>
      <c r="I564" s="559"/>
      <c r="J564" s="559"/>
      <c r="K564" s="559"/>
      <c r="L564" s="559"/>
      <c r="M564" s="559"/>
      <c r="N564" s="559"/>
      <c r="O564" s="559"/>
      <c r="P564" s="559"/>
      <c r="Q564" s="559"/>
      <c r="R564" s="559"/>
      <c r="S564" s="559"/>
      <c r="T564" s="559"/>
      <c r="U564" s="559"/>
      <c r="V564" s="559"/>
      <c r="W564" s="559"/>
      <c r="X564" s="559"/>
      <c r="Y564" s="559"/>
      <c r="Z564" s="559"/>
      <c r="AA564" s="559"/>
      <c r="AB564" s="559"/>
      <c r="AC564" s="559"/>
      <c r="AD564" s="559"/>
      <c r="AE564" s="559"/>
      <c r="AF564" s="559"/>
      <c r="AG564" s="559"/>
    </row>
    <row r="565" spans="1:33" ht="18" x14ac:dyDescent="0.35">
      <c r="A565" s="559"/>
      <c r="B565" s="559"/>
      <c r="C565" s="559"/>
      <c r="D565" s="559"/>
      <c r="E565" s="559"/>
      <c r="F565" s="559"/>
      <c r="G565" s="559"/>
      <c r="H565" s="559"/>
      <c r="I565" s="559"/>
      <c r="J565" s="559"/>
      <c r="K565" s="559"/>
      <c r="L565" s="559"/>
      <c r="M565" s="559"/>
      <c r="N565" s="559"/>
      <c r="O565" s="559"/>
      <c r="P565" s="559"/>
      <c r="Q565" s="559"/>
      <c r="R565" s="559"/>
      <c r="S565" s="559"/>
      <c r="T565" s="559"/>
      <c r="U565" s="559"/>
      <c r="V565" s="559"/>
      <c r="W565" s="559"/>
      <c r="X565" s="559"/>
      <c r="Y565" s="559"/>
      <c r="Z565" s="559"/>
      <c r="AA565" s="559"/>
      <c r="AB565" s="559"/>
      <c r="AC565" s="559"/>
      <c r="AD565" s="559"/>
      <c r="AE565" s="559"/>
      <c r="AF565" s="559"/>
      <c r="AG565" s="559"/>
    </row>
    <row r="566" spans="1:33" ht="18" x14ac:dyDescent="0.35">
      <c r="A566" s="559"/>
      <c r="B566" s="559"/>
      <c r="C566" s="559"/>
      <c r="D566" s="559"/>
      <c r="E566" s="559"/>
      <c r="F566" s="559"/>
      <c r="G566" s="559"/>
      <c r="H566" s="559"/>
      <c r="I566" s="559"/>
      <c r="J566" s="559"/>
      <c r="K566" s="559"/>
      <c r="L566" s="559"/>
      <c r="M566" s="559"/>
      <c r="N566" s="559"/>
      <c r="O566" s="559"/>
      <c r="P566" s="559"/>
      <c r="Q566" s="559"/>
      <c r="R566" s="559"/>
      <c r="S566" s="559"/>
      <c r="T566" s="559"/>
      <c r="U566" s="559"/>
      <c r="V566" s="559"/>
      <c r="W566" s="559"/>
      <c r="X566" s="559"/>
      <c r="Y566" s="559"/>
      <c r="Z566" s="559"/>
      <c r="AA566" s="559"/>
      <c r="AB566" s="559"/>
      <c r="AC566" s="559"/>
      <c r="AD566" s="559"/>
      <c r="AE566" s="559"/>
      <c r="AF566" s="559"/>
      <c r="AG566" s="559"/>
    </row>
    <row r="567" spans="1:33" ht="18" x14ac:dyDescent="0.35">
      <c r="A567" s="559"/>
      <c r="B567" s="559"/>
      <c r="C567" s="559"/>
      <c r="D567" s="559"/>
      <c r="E567" s="559"/>
      <c r="F567" s="559"/>
      <c r="G567" s="559"/>
      <c r="H567" s="559"/>
      <c r="I567" s="559"/>
      <c r="J567" s="559"/>
      <c r="K567" s="559"/>
      <c r="L567" s="559"/>
      <c r="M567" s="559"/>
      <c r="N567" s="559"/>
      <c r="O567" s="559"/>
      <c r="P567" s="559"/>
      <c r="Q567" s="559"/>
      <c r="R567" s="559"/>
      <c r="S567" s="559"/>
      <c r="T567" s="559"/>
      <c r="U567" s="559"/>
      <c r="V567" s="559"/>
      <c r="W567" s="559"/>
      <c r="X567" s="559"/>
      <c r="Y567" s="559"/>
      <c r="Z567" s="559"/>
      <c r="AA567" s="559"/>
      <c r="AB567" s="559"/>
      <c r="AC567" s="559"/>
      <c r="AD567" s="559"/>
      <c r="AE567" s="559"/>
      <c r="AF567" s="559"/>
      <c r="AG567" s="559"/>
    </row>
    <row r="568" spans="1:33" ht="18" x14ac:dyDescent="0.35">
      <c r="A568" s="559"/>
      <c r="B568" s="559"/>
      <c r="C568" s="559"/>
      <c r="D568" s="559"/>
      <c r="E568" s="559"/>
      <c r="F568" s="559"/>
      <c r="G568" s="559"/>
      <c r="H568" s="559"/>
      <c r="I568" s="559"/>
      <c r="J568" s="559"/>
      <c r="K568" s="559"/>
      <c r="L568" s="559"/>
      <c r="M568" s="559"/>
      <c r="N568" s="559"/>
      <c r="O568" s="559"/>
      <c r="P568" s="559"/>
      <c r="Q568" s="559"/>
      <c r="R568" s="559"/>
      <c r="S568" s="559"/>
      <c r="T568" s="559"/>
      <c r="U568" s="559"/>
      <c r="V568" s="559"/>
      <c r="W568" s="559"/>
      <c r="X568" s="559"/>
      <c r="Y568" s="559"/>
      <c r="Z568" s="559"/>
      <c r="AA568" s="559"/>
      <c r="AB568" s="559"/>
      <c r="AC568" s="559"/>
      <c r="AD568" s="559"/>
      <c r="AE568" s="559"/>
      <c r="AF568" s="559"/>
      <c r="AG568" s="559"/>
    </row>
    <row r="569" spans="1:33" ht="18" x14ac:dyDescent="0.35">
      <c r="A569" s="559"/>
      <c r="B569" s="559"/>
      <c r="C569" s="559"/>
      <c r="D569" s="559"/>
      <c r="E569" s="559"/>
      <c r="F569" s="559"/>
      <c r="G569" s="559"/>
      <c r="H569" s="559"/>
      <c r="I569" s="559"/>
      <c r="J569" s="559"/>
      <c r="K569" s="559"/>
      <c r="L569" s="559"/>
      <c r="M569" s="559"/>
      <c r="N569" s="559"/>
      <c r="O569" s="559"/>
      <c r="P569" s="559"/>
      <c r="Q569" s="559"/>
      <c r="R569" s="559"/>
      <c r="S569" s="559"/>
      <c r="T569" s="559"/>
      <c r="U569" s="559"/>
      <c r="V569" s="559"/>
      <c r="W569" s="559"/>
      <c r="X569" s="559"/>
      <c r="Y569" s="559"/>
      <c r="Z569" s="559"/>
      <c r="AA569" s="559"/>
      <c r="AB569" s="559"/>
      <c r="AC569" s="559"/>
      <c r="AD569" s="559"/>
      <c r="AE569" s="559"/>
      <c r="AF569" s="559"/>
      <c r="AG569" s="559"/>
    </row>
    <row r="570" spans="1:33" ht="18" x14ac:dyDescent="0.35">
      <c r="A570" s="559"/>
      <c r="B570" s="559"/>
      <c r="C570" s="559"/>
      <c r="D570" s="559"/>
      <c r="E570" s="559"/>
      <c r="F570" s="559"/>
      <c r="G570" s="559"/>
      <c r="H570" s="559"/>
      <c r="I570" s="559"/>
      <c r="J570" s="559"/>
      <c r="K570" s="559"/>
      <c r="L570" s="559"/>
      <c r="M570" s="559"/>
      <c r="N570" s="559"/>
      <c r="O570" s="559"/>
      <c r="P570" s="559"/>
      <c r="Q570" s="559"/>
      <c r="R570" s="559"/>
      <c r="S570" s="559"/>
      <c r="T570" s="559"/>
      <c r="U570" s="559"/>
      <c r="V570" s="559"/>
      <c r="W570" s="559"/>
      <c r="X570" s="559"/>
      <c r="Y570" s="559"/>
      <c r="Z570" s="559"/>
      <c r="AA570" s="559"/>
      <c r="AB570" s="559"/>
      <c r="AC570" s="559"/>
      <c r="AD570" s="559"/>
      <c r="AE570" s="559"/>
      <c r="AF570" s="559"/>
      <c r="AG570" s="559"/>
    </row>
    <row r="571" spans="1:33" ht="18" x14ac:dyDescent="0.35">
      <c r="A571" s="559"/>
      <c r="B571" s="559"/>
      <c r="C571" s="559"/>
      <c r="D571" s="559"/>
      <c r="E571" s="559"/>
      <c r="F571" s="559"/>
      <c r="G571" s="559"/>
      <c r="H571" s="559"/>
      <c r="I571" s="559"/>
      <c r="J571" s="559"/>
      <c r="K571" s="559"/>
      <c r="L571" s="559"/>
      <c r="M571" s="559"/>
      <c r="N571" s="559"/>
      <c r="O571" s="559"/>
      <c r="P571" s="559"/>
      <c r="Q571" s="559"/>
      <c r="R571" s="559"/>
      <c r="S571" s="559"/>
      <c r="T571" s="559"/>
      <c r="U571" s="559"/>
      <c r="V571" s="559"/>
      <c r="W571" s="559"/>
      <c r="X571" s="559"/>
      <c r="Y571" s="559"/>
      <c r="Z571" s="559"/>
      <c r="AA571" s="559"/>
      <c r="AB571" s="559"/>
      <c r="AC571" s="559"/>
      <c r="AD571" s="559"/>
      <c r="AE571" s="559"/>
      <c r="AF571" s="559"/>
      <c r="AG571" s="559"/>
    </row>
    <row r="572" spans="1:33" ht="18" x14ac:dyDescent="0.35">
      <c r="A572" s="559"/>
      <c r="B572" s="559"/>
      <c r="C572" s="559"/>
      <c r="D572" s="559"/>
      <c r="E572" s="559"/>
      <c r="F572" s="559"/>
      <c r="G572" s="559"/>
      <c r="H572" s="559"/>
      <c r="I572" s="559"/>
      <c r="J572" s="559"/>
      <c r="K572" s="559"/>
      <c r="L572" s="559"/>
      <c r="M572" s="559"/>
      <c r="N572" s="559"/>
      <c r="O572" s="559"/>
      <c r="P572" s="559"/>
      <c r="Q572" s="559"/>
      <c r="R572" s="559"/>
      <c r="S572" s="559"/>
      <c r="T572" s="559"/>
      <c r="U572" s="559"/>
      <c r="V572" s="559"/>
      <c r="W572" s="559"/>
      <c r="X572" s="559"/>
      <c r="Y572" s="559"/>
      <c r="Z572" s="559"/>
      <c r="AA572" s="559"/>
      <c r="AB572" s="559"/>
      <c r="AC572" s="559"/>
      <c r="AD572" s="559"/>
      <c r="AE572" s="559"/>
      <c r="AF572" s="559"/>
      <c r="AG572" s="559"/>
    </row>
    <row r="573" spans="1:33" ht="18" x14ac:dyDescent="0.35">
      <c r="A573" s="559"/>
      <c r="B573" s="559"/>
      <c r="C573" s="559"/>
      <c r="D573" s="559"/>
      <c r="E573" s="559"/>
      <c r="F573" s="559"/>
      <c r="G573" s="559"/>
      <c r="H573" s="559"/>
      <c r="I573" s="559"/>
      <c r="J573" s="559"/>
      <c r="K573" s="559"/>
      <c r="L573" s="559"/>
      <c r="M573" s="559"/>
      <c r="N573" s="559"/>
      <c r="O573" s="559"/>
      <c r="P573" s="559"/>
      <c r="Q573" s="559"/>
      <c r="R573" s="559"/>
      <c r="S573" s="559"/>
      <c r="T573" s="559"/>
      <c r="U573" s="559"/>
      <c r="V573" s="559"/>
      <c r="W573" s="559"/>
      <c r="X573" s="559"/>
      <c r="Y573" s="559"/>
      <c r="Z573" s="559"/>
      <c r="AA573" s="559"/>
      <c r="AB573" s="559"/>
      <c r="AC573" s="559"/>
      <c r="AD573" s="559"/>
      <c r="AE573" s="559"/>
      <c r="AF573" s="559"/>
      <c r="AG573" s="559"/>
    </row>
    <row r="574" spans="1:33" ht="18" x14ac:dyDescent="0.35">
      <c r="A574" s="559"/>
      <c r="B574" s="559"/>
      <c r="C574" s="559"/>
      <c r="D574" s="559"/>
      <c r="E574" s="559"/>
      <c r="F574" s="559"/>
      <c r="G574" s="559"/>
      <c r="H574" s="559"/>
      <c r="I574" s="559"/>
      <c r="J574" s="559"/>
      <c r="K574" s="559"/>
      <c r="L574" s="559"/>
      <c r="M574" s="559"/>
      <c r="N574" s="559"/>
      <c r="O574" s="559"/>
      <c r="P574" s="559"/>
      <c r="Q574" s="559"/>
      <c r="R574" s="559"/>
      <c r="S574" s="559"/>
      <c r="T574" s="559"/>
      <c r="U574" s="559"/>
      <c r="V574" s="559"/>
      <c r="W574" s="559"/>
      <c r="X574" s="559"/>
      <c r="Y574" s="559"/>
      <c r="Z574" s="559"/>
      <c r="AA574" s="559"/>
      <c r="AB574" s="559"/>
      <c r="AC574" s="559"/>
      <c r="AD574" s="559"/>
      <c r="AE574" s="559"/>
      <c r="AF574" s="559"/>
      <c r="AG574" s="559"/>
    </row>
    <row r="575" spans="1:33" ht="18" x14ac:dyDescent="0.35">
      <c r="A575" s="559"/>
      <c r="B575" s="559"/>
      <c r="C575" s="559"/>
      <c r="D575" s="559"/>
      <c r="E575" s="559"/>
      <c r="F575" s="559"/>
      <c r="G575" s="559"/>
      <c r="H575" s="559"/>
      <c r="I575" s="559"/>
      <c r="J575" s="559"/>
      <c r="K575" s="559"/>
      <c r="L575" s="559"/>
      <c r="M575" s="559"/>
      <c r="N575" s="559"/>
      <c r="O575" s="559"/>
      <c r="P575" s="559"/>
      <c r="Q575" s="559"/>
      <c r="R575" s="559"/>
      <c r="S575" s="559"/>
      <c r="T575" s="559"/>
      <c r="U575" s="559"/>
      <c r="V575" s="559"/>
      <c r="W575" s="559"/>
      <c r="X575" s="559"/>
      <c r="Y575" s="559"/>
      <c r="Z575" s="559"/>
      <c r="AA575" s="559"/>
      <c r="AB575" s="559"/>
      <c r="AC575" s="559"/>
      <c r="AD575" s="559"/>
      <c r="AE575" s="559"/>
      <c r="AF575" s="559"/>
      <c r="AG575" s="559"/>
    </row>
    <row r="576" spans="1:33" ht="18" x14ac:dyDescent="0.35">
      <c r="A576" s="559"/>
      <c r="B576" s="559"/>
      <c r="C576" s="559"/>
      <c r="D576" s="559"/>
      <c r="E576" s="559"/>
      <c r="F576" s="559"/>
      <c r="G576" s="559"/>
      <c r="H576" s="559"/>
      <c r="I576" s="559"/>
      <c r="J576" s="559"/>
      <c r="K576" s="559"/>
      <c r="L576" s="559"/>
      <c r="M576" s="559"/>
      <c r="N576" s="559"/>
      <c r="O576" s="559"/>
      <c r="P576" s="559"/>
      <c r="Q576" s="559"/>
      <c r="R576" s="559"/>
      <c r="S576" s="559"/>
      <c r="T576" s="559"/>
      <c r="U576" s="559"/>
      <c r="V576" s="559"/>
      <c r="W576" s="559"/>
      <c r="X576" s="559"/>
      <c r="Y576" s="559"/>
      <c r="Z576" s="559"/>
      <c r="AA576" s="559"/>
      <c r="AB576" s="559"/>
      <c r="AC576" s="559"/>
      <c r="AD576" s="559"/>
      <c r="AE576" s="559"/>
      <c r="AF576" s="559"/>
      <c r="AG576" s="559"/>
    </row>
    <row r="577" spans="1:33" ht="18" x14ac:dyDescent="0.35">
      <c r="A577" s="559"/>
      <c r="B577" s="559"/>
      <c r="C577" s="559"/>
      <c r="D577" s="559"/>
      <c r="E577" s="559"/>
      <c r="F577" s="559"/>
      <c r="G577" s="559"/>
      <c r="H577" s="559"/>
      <c r="I577" s="559"/>
      <c r="J577" s="559"/>
      <c r="K577" s="559"/>
      <c r="L577" s="559"/>
      <c r="M577" s="559"/>
      <c r="N577" s="559"/>
      <c r="O577" s="559"/>
      <c r="P577" s="559"/>
      <c r="Q577" s="559"/>
      <c r="R577" s="559"/>
      <c r="S577" s="559"/>
      <c r="T577" s="559"/>
      <c r="U577" s="559"/>
      <c r="V577" s="559"/>
      <c r="W577" s="559"/>
      <c r="X577" s="559"/>
      <c r="Y577" s="559"/>
      <c r="Z577" s="559"/>
      <c r="AA577" s="559"/>
      <c r="AB577" s="559"/>
      <c r="AC577" s="559"/>
      <c r="AD577" s="559"/>
      <c r="AE577" s="559"/>
      <c r="AF577" s="559"/>
      <c r="AG577" s="559"/>
    </row>
    <row r="578" spans="1:33" ht="18" x14ac:dyDescent="0.35">
      <c r="A578" s="559"/>
      <c r="B578" s="559"/>
      <c r="C578" s="559"/>
      <c r="D578" s="559"/>
      <c r="E578" s="559"/>
      <c r="F578" s="559"/>
      <c r="G578" s="559"/>
      <c r="H578" s="559"/>
      <c r="I578" s="559"/>
      <c r="J578" s="559"/>
      <c r="K578" s="559"/>
      <c r="L578" s="559"/>
      <c r="M578" s="559"/>
      <c r="N578" s="559"/>
      <c r="O578" s="559"/>
      <c r="P578" s="559"/>
      <c r="Q578" s="559"/>
      <c r="R578" s="559"/>
      <c r="S578" s="559"/>
      <c r="T578" s="559"/>
      <c r="U578" s="559"/>
      <c r="V578" s="559"/>
      <c r="W578" s="559"/>
      <c r="X578" s="559"/>
      <c r="Y578" s="559"/>
      <c r="Z578" s="559"/>
      <c r="AA578" s="559"/>
      <c r="AB578" s="559"/>
      <c r="AC578" s="559"/>
      <c r="AD578" s="559"/>
      <c r="AE578" s="559"/>
      <c r="AF578" s="559"/>
      <c r="AG578" s="559"/>
    </row>
    <row r="579" spans="1:33" ht="18" x14ac:dyDescent="0.35">
      <c r="A579" s="559"/>
      <c r="B579" s="559"/>
      <c r="C579" s="559"/>
      <c r="D579" s="559"/>
      <c r="E579" s="559"/>
      <c r="F579" s="559"/>
      <c r="G579" s="559"/>
      <c r="H579" s="559"/>
      <c r="I579" s="559"/>
      <c r="J579" s="559"/>
      <c r="K579" s="559"/>
      <c r="L579" s="559"/>
      <c r="M579" s="559"/>
      <c r="N579" s="559"/>
      <c r="O579" s="559"/>
      <c r="P579" s="559"/>
      <c r="Q579" s="559"/>
      <c r="R579" s="559"/>
      <c r="S579" s="559"/>
      <c r="T579" s="559"/>
      <c r="U579" s="559"/>
      <c r="V579" s="559"/>
      <c r="W579" s="559"/>
      <c r="X579" s="559"/>
      <c r="Y579" s="559"/>
      <c r="Z579" s="559"/>
      <c r="AA579" s="559"/>
      <c r="AB579" s="559"/>
      <c r="AC579" s="559"/>
      <c r="AD579" s="559"/>
      <c r="AE579" s="559"/>
      <c r="AF579" s="559"/>
      <c r="AG579" s="559"/>
    </row>
    <row r="580" spans="1:33" ht="18" x14ac:dyDescent="0.35">
      <c r="A580" s="559"/>
      <c r="B580" s="559"/>
      <c r="C580" s="559"/>
      <c r="D580" s="559"/>
      <c r="E580" s="559"/>
      <c r="F580" s="559"/>
      <c r="G580" s="559"/>
      <c r="H580" s="559"/>
      <c r="I580" s="559"/>
      <c r="J580" s="559"/>
      <c r="K580" s="559"/>
      <c r="L580" s="559"/>
      <c r="M580" s="559"/>
      <c r="N580" s="559"/>
      <c r="O580" s="559"/>
      <c r="P580" s="559"/>
      <c r="Q580" s="559"/>
      <c r="R580" s="559"/>
      <c r="S580" s="559"/>
      <c r="T580" s="559"/>
      <c r="U580" s="559"/>
      <c r="V580" s="559"/>
      <c r="W580" s="559"/>
      <c r="X580" s="559"/>
      <c r="Y580" s="559"/>
      <c r="Z580" s="559"/>
      <c r="AA580" s="559"/>
      <c r="AB580" s="559"/>
      <c r="AC580" s="559"/>
      <c r="AD580" s="559"/>
      <c r="AE580" s="559"/>
      <c r="AF580" s="559"/>
      <c r="AG580" s="559"/>
    </row>
    <row r="581" spans="1:33" ht="18" x14ac:dyDescent="0.35">
      <c r="A581" s="559"/>
      <c r="B581" s="559"/>
      <c r="C581" s="559"/>
      <c r="D581" s="559"/>
      <c r="E581" s="559"/>
      <c r="F581" s="559"/>
      <c r="G581" s="559"/>
      <c r="H581" s="559"/>
      <c r="I581" s="559"/>
      <c r="J581" s="559"/>
      <c r="K581" s="559"/>
      <c r="L581" s="559"/>
      <c r="M581" s="559"/>
      <c r="N581" s="559"/>
      <c r="O581" s="559"/>
      <c r="P581" s="559"/>
      <c r="Q581" s="559"/>
      <c r="R581" s="559"/>
      <c r="S581" s="559"/>
      <c r="T581" s="559"/>
      <c r="U581" s="559"/>
      <c r="V581" s="559"/>
      <c r="W581" s="559"/>
      <c r="X581" s="559"/>
      <c r="Y581" s="559"/>
      <c r="Z581" s="559"/>
      <c r="AA581" s="559"/>
      <c r="AB581" s="559"/>
      <c r="AC581" s="559"/>
      <c r="AD581" s="559"/>
      <c r="AE581" s="559"/>
      <c r="AF581" s="559"/>
      <c r="AG581" s="559"/>
    </row>
    <row r="582" spans="1:33" ht="18" x14ac:dyDescent="0.35">
      <c r="A582" s="559"/>
      <c r="B582" s="559"/>
      <c r="C582" s="559"/>
      <c r="D582" s="559"/>
      <c r="E582" s="559"/>
      <c r="F582" s="559"/>
      <c r="G582" s="559"/>
      <c r="H582" s="559"/>
      <c r="I582" s="559"/>
      <c r="J582" s="559"/>
      <c r="K582" s="559"/>
      <c r="L582" s="559"/>
      <c r="M582" s="559"/>
      <c r="N582" s="559"/>
      <c r="O582" s="559"/>
      <c r="P582" s="559"/>
      <c r="Q582" s="559"/>
      <c r="R582" s="559"/>
      <c r="S582" s="559"/>
      <c r="T582" s="559"/>
      <c r="U582" s="559"/>
      <c r="V582" s="559"/>
      <c r="W582" s="559"/>
      <c r="X582" s="559"/>
      <c r="Y582" s="559"/>
      <c r="Z582" s="559"/>
      <c r="AA582" s="559"/>
      <c r="AB582" s="559"/>
      <c r="AC582" s="559"/>
      <c r="AD582" s="559"/>
      <c r="AE582" s="559"/>
      <c r="AF582" s="559"/>
      <c r="AG582" s="559"/>
    </row>
    <row r="583" spans="1:33" ht="18" x14ac:dyDescent="0.35">
      <c r="A583" s="559"/>
      <c r="B583" s="559"/>
      <c r="C583" s="559"/>
      <c r="D583" s="559"/>
      <c r="E583" s="559"/>
      <c r="F583" s="559"/>
      <c r="G583" s="559"/>
      <c r="H583" s="559"/>
      <c r="I583" s="559"/>
      <c r="J583" s="559"/>
      <c r="K583" s="559"/>
      <c r="L583" s="559"/>
      <c r="M583" s="559"/>
      <c r="N583" s="559"/>
      <c r="O583" s="559"/>
      <c r="P583" s="559"/>
      <c r="Q583" s="559"/>
      <c r="R583" s="559"/>
      <c r="S583" s="559"/>
      <c r="T583" s="559"/>
      <c r="U583" s="559"/>
      <c r="V583" s="559"/>
      <c r="W583" s="559"/>
      <c r="X583" s="559"/>
      <c r="Y583" s="559"/>
      <c r="Z583" s="559"/>
      <c r="AA583" s="559"/>
      <c r="AB583" s="559"/>
      <c r="AC583" s="559"/>
      <c r="AD583" s="559"/>
      <c r="AE583" s="559"/>
      <c r="AF583" s="559"/>
      <c r="AG583" s="559"/>
    </row>
    <row r="584" spans="1:33" ht="18" x14ac:dyDescent="0.35">
      <c r="A584" s="559"/>
      <c r="B584" s="559"/>
      <c r="C584" s="559"/>
      <c r="D584" s="559"/>
      <c r="E584" s="559"/>
      <c r="F584" s="559"/>
      <c r="G584" s="559"/>
      <c r="H584" s="559"/>
      <c r="I584" s="559"/>
      <c r="J584" s="559"/>
      <c r="K584" s="559"/>
      <c r="L584" s="559"/>
      <c r="M584" s="559"/>
      <c r="N584" s="559"/>
      <c r="O584" s="559"/>
      <c r="P584" s="559"/>
      <c r="Q584" s="559"/>
      <c r="R584" s="559"/>
      <c r="S584" s="559"/>
      <c r="T584" s="559"/>
      <c r="U584" s="559"/>
      <c r="V584" s="559"/>
      <c r="W584" s="559"/>
      <c r="X584" s="559"/>
      <c r="Y584" s="559"/>
      <c r="Z584" s="559"/>
      <c r="AA584" s="559"/>
      <c r="AB584" s="559"/>
      <c r="AC584" s="559"/>
      <c r="AD584" s="559"/>
      <c r="AE584" s="559"/>
      <c r="AF584" s="559"/>
      <c r="AG584" s="559"/>
    </row>
    <row r="585" spans="1:33" ht="18" x14ac:dyDescent="0.35">
      <c r="A585" s="559"/>
      <c r="B585" s="559"/>
      <c r="C585" s="559"/>
      <c r="D585" s="559"/>
      <c r="E585" s="559"/>
      <c r="F585" s="559"/>
      <c r="G585" s="559"/>
      <c r="H585" s="559"/>
      <c r="I585" s="559"/>
      <c r="J585" s="559"/>
      <c r="K585" s="559"/>
      <c r="L585" s="559"/>
      <c r="M585" s="559"/>
      <c r="N585" s="559"/>
      <c r="O585" s="559"/>
      <c r="P585" s="559"/>
      <c r="Q585" s="559"/>
      <c r="R585" s="559"/>
      <c r="S585" s="559"/>
      <c r="T585" s="559"/>
      <c r="U585" s="559"/>
      <c r="V585" s="559"/>
      <c r="W585" s="559"/>
      <c r="X585" s="559"/>
      <c r="Y585" s="559"/>
      <c r="Z585" s="559"/>
      <c r="AA585" s="559"/>
      <c r="AB585" s="559"/>
      <c r="AC585" s="559"/>
      <c r="AD585" s="559"/>
      <c r="AE585" s="559"/>
      <c r="AF585" s="559"/>
      <c r="AG585" s="559"/>
    </row>
    <row r="586" spans="1:33" ht="18" x14ac:dyDescent="0.35">
      <c r="A586" s="559"/>
      <c r="B586" s="559"/>
      <c r="C586" s="559"/>
      <c r="D586" s="559"/>
      <c r="E586" s="559"/>
      <c r="F586" s="559"/>
      <c r="G586" s="559"/>
      <c r="H586" s="559"/>
      <c r="I586" s="559"/>
      <c r="J586" s="559"/>
      <c r="K586" s="559"/>
      <c r="L586" s="559"/>
      <c r="M586" s="559"/>
      <c r="N586" s="559"/>
      <c r="O586" s="559"/>
      <c r="P586" s="559"/>
      <c r="Q586" s="559"/>
      <c r="R586" s="559"/>
      <c r="S586" s="559"/>
      <c r="T586" s="559"/>
      <c r="U586" s="559"/>
      <c r="V586" s="559"/>
      <c r="W586" s="559"/>
      <c r="X586" s="559"/>
      <c r="Y586" s="559"/>
      <c r="Z586" s="559"/>
      <c r="AA586" s="559"/>
      <c r="AB586" s="559"/>
      <c r="AC586" s="559"/>
      <c r="AD586" s="559"/>
      <c r="AE586" s="559"/>
      <c r="AF586" s="559"/>
      <c r="AG586" s="559"/>
    </row>
    <row r="587" spans="1:33" ht="18" x14ac:dyDescent="0.35">
      <c r="A587" s="559"/>
      <c r="B587" s="559"/>
      <c r="C587" s="559"/>
      <c r="D587" s="559"/>
      <c r="E587" s="559"/>
      <c r="F587" s="559"/>
      <c r="G587" s="559"/>
      <c r="H587" s="559"/>
      <c r="I587" s="559"/>
      <c r="J587" s="559"/>
      <c r="K587" s="559"/>
      <c r="L587" s="559"/>
      <c r="M587" s="559"/>
      <c r="N587" s="559"/>
      <c r="O587" s="559"/>
      <c r="P587" s="559"/>
      <c r="Q587" s="559"/>
      <c r="R587" s="559"/>
      <c r="S587" s="559"/>
      <c r="T587" s="559"/>
      <c r="U587" s="559"/>
      <c r="V587" s="559"/>
      <c r="W587" s="559"/>
      <c r="X587" s="559"/>
      <c r="Y587" s="559"/>
      <c r="Z587" s="559"/>
      <c r="AA587" s="559"/>
      <c r="AB587" s="559"/>
      <c r="AC587" s="559"/>
      <c r="AD587" s="559"/>
      <c r="AE587" s="559"/>
      <c r="AF587" s="559"/>
      <c r="AG587" s="559"/>
    </row>
    <row r="588" spans="1:33" ht="18" x14ac:dyDescent="0.35">
      <c r="A588" s="559"/>
      <c r="B588" s="559"/>
      <c r="C588" s="559"/>
      <c r="D588" s="559"/>
      <c r="E588" s="559"/>
      <c r="F588" s="559"/>
      <c r="G588" s="559"/>
      <c r="H588" s="559"/>
      <c r="I588" s="559"/>
      <c r="J588" s="559"/>
      <c r="K588" s="559"/>
      <c r="L588" s="559"/>
      <c r="M588" s="559"/>
      <c r="N588" s="559"/>
      <c r="O588" s="559"/>
      <c r="P588" s="559"/>
      <c r="Q588" s="559"/>
      <c r="R588" s="559"/>
      <c r="S588" s="559"/>
      <c r="T588" s="559"/>
      <c r="U588" s="559"/>
      <c r="V588" s="559"/>
      <c r="W588" s="559"/>
      <c r="X588" s="559"/>
      <c r="Y588" s="559"/>
      <c r="Z588" s="559"/>
      <c r="AA588" s="559"/>
      <c r="AB588" s="559"/>
      <c r="AC588" s="559"/>
      <c r="AD588" s="559"/>
      <c r="AE588" s="559"/>
      <c r="AF588" s="559"/>
      <c r="AG588" s="559"/>
    </row>
    <row r="589" spans="1:33" ht="18" x14ac:dyDescent="0.35">
      <c r="A589" s="559"/>
      <c r="B589" s="559"/>
      <c r="C589" s="559"/>
      <c r="D589" s="559"/>
      <c r="E589" s="559"/>
      <c r="F589" s="559"/>
      <c r="G589" s="559"/>
      <c r="H589" s="559"/>
      <c r="I589" s="559"/>
      <c r="J589" s="559"/>
      <c r="K589" s="559"/>
      <c r="L589" s="559"/>
      <c r="M589" s="559"/>
      <c r="N589" s="559"/>
      <c r="O589" s="559"/>
      <c r="P589" s="559"/>
      <c r="Q589" s="559"/>
      <c r="R589" s="559"/>
      <c r="S589" s="559"/>
      <c r="T589" s="559"/>
      <c r="U589" s="559"/>
      <c r="V589" s="559"/>
      <c r="W589" s="559"/>
      <c r="X589" s="559"/>
      <c r="Y589" s="559"/>
      <c r="Z589" s="559"/>
      <c r="AA589" s="559"/>
      <c r="AB589" s="559"/>
      <c r="AC589" s="559"/>
      <c r="AD589" s="559"/>
      <c r="AE589" s="559"/>
      <c r="AF589" s="559"/>
      <c r="AG589" s="559"/>
    </row>
    <row r="590" spans="1:33" ht="18" x14ac:dyDescent="0.35">
      <c r="A590" s="559"/>
      <c r="B590" s="559"/>
      <c r="C590" s="559"/>
      <c r="D590" s="559"/>
      <c r="E590" s="559"/>
      <c r="F590" s="559"/>
      <c r="G590" s="559"/>
      <c r="H590" s="559"/>
      <c r="I590" s="559"/>
      <c r="J590" s="559"/>
      <c r="K590" s="559"/>
      <c r="L590" s="559"/>
      <c r="M590" s="559"/>
      <c r="N590" s="559"/>
      <c r="O590" s="559"/>
      <c r="P590" s="559"/>
      <c r="Q590" s="559"/>
      <c r="R590" s="559"/>
      <c r="S590" s="559"/>
      <c r="T590" s="559"/>
      <c r="U590" s="559"/>
      <c r="V590" s="559"/>
      <c r="W590" s="559"/>
      <c r="X590" s="559"/>
      <c r="Y590" s="559"/>
      <c r="Z590" s="559"/>
      <c r="AA590" s="559"/>
      <c r="AB590" s="559"/>
      <c r="AC590" s="559"/>
      <c r="AD590" s="559"/>
      <c r="AE590" s="559"/>
      <c r="AF590" s="559"/>
      <c r="AG590" s="559"/>
    </row>
    <row r="591" spans="1:33" ht="18" x14ac:dyDescent="0.35">
      <c r="A591" s="559"/>
      <c r="B591" s="559"/>
      <c r="C591" s="559"/>
      <c r="D591" s="559"/>
      <c r="E591" s="559"/>
      <c r="F591" s="559"/>
      <c r="G591" s="559"/>
      <c r="H591" s="559"/>
      <c r="I591" s="559"/>
      <c r="J591" s="559"/>
      <c r="K591" s="559"/>
      <c r="L591" s="559"/>
      <c r="M591" s="559"/>
      <c r="N591" s="559"/>
      <c r="O591" s="559"/>
      <c r="P591" s="559"/>
      <c r="Q591" s="559"/>
      <c r="R591" s="559"/>
      <c r="S591" s="559"/>
      <c r="T591" s="559"/>
      <c r="U591" s="559"/>
      <c r="V591" s="559"/>
      <c r="W591" s="559"/>
      <c r="X591" s="559"/>
      <c r="Y591" s="559"/>
      <c r="Z591" s="559"/>
      <c r="AA591" s="559"/>
      <c r="AB591" s="559"/>
      <c r="AC591" s="559"/>
      <c r="AD591" s="559"/>
      <c r="AE591" s="559"/>
      <c r="AF591" s="559"/>
      <c r="AG591" s="559"/>
    </row>
    <row r="592" spans="1:33" ht="18" x14ac:dyDescent="0.35">
      <c r="A592" s="559"/>
      <c r="B592" s="559"/>
      <c r="C592" s="559"/>
      <c r="D592" s="559"/>
      <c r="E592" s="559"/>
      <c r="F592" s="559"/>
      <c r="G592" s="559"/>
      <c r="H592" s="559"/>
      <c r="I592" s="559"/>
      <c r="J592" s="559"/>
      <c r="K592" s="559"/>
      <c r="L592" s="559"/>
      <c r="M592" s="559"/>
      <c r="N592" s="559"/>
      <c r="O592" s="559"/>
      <c r="P592" s="559"/>
      <c r="Q592" s="559"/>
      <c r="R592" s="559"/>
      <c r="S592" s="559"/>
      <c r="T592" s="559"/>
      <c r="U592" s="559"/>
      <c r="V592" s="559"/>
      <c r="W592" s="559"/>
      <c r="X592" s="559"/>
      <c r="Y592" s="559"/>
      <c r="Z592" s="559"/>
      <c r="AA592" s="559"/>
      <c r="AB592" s="559"/>
      <c r="AC592" s="559"/>
      <c r="AD592" s="559"/>
      <c r="AE592" s="559"/>
      <c r="AF592" s="559"/>
      <c r="AG592" s="559"/>
    </row>
    <row r="593" spans="1:33" ht="18" x14ac:dyDescent="0.35">
      <c r="A593" s="559"/>
      <c r="B593" s="559"/>
      <c r="C593" s="559"/>
      <c r="D593" s="559"/>
      <c r="E593" s="559"/>
      <c r="F593" s="559"/>
      <c r="G593" s="559"/>
      <c r="H593" s="559"/>
      <c r="I593" s="559"/>
      <c r="J593" s="559"/>
      <c r="K593" s="559"/>
      <c r="L593" s="559"/>
      <c r="M593" s="559"/>
      <c r="N593" s="559"/>
      <c r="O593" s="559"/>
      <c r="P593" s="559"/>
      <c r="Q593" s="559"/>
      <c r="R593" s="559"/>
      <c r="S593" s="559"/>
      <c r="T593" s="559"/>
      <c r="U593" s="559"/>
      <c r="V593" s="559"/>
      <c r="W593" s="559"/>
      <c r="X593" s="559"/>
      <c r="Y593" s="559"/>
      <c r="Z593" s="559"/>
      <c r="AA593" s="559"/>
      <c r="AB593" s="559"/>
      <c r="AC593" s="559"/>
      <c r="AD593" s="559"/>
      <c r="AE593" s="559"/>
      <c r="AF593" s="559"/>
      <c r="AG593" s="559"/>
    </row>
    <row r="594" spans="1:33" ht="18" x14ac:dyDescent="0.35">
      <c r="A594" s="559"/>
      <c r="B594" s="559"/>
      <c r="C594" s="559"/>
      <c r="D594" s="559"/>
      <c r="E594" s="559"/>
      <c r="F594" s="559"/>
      <c r="G594" s="559"/>
      <c r="H594" s="559"/>
      <c r="I594" s="559"/>
      <c r="J594" s="559"/>
      <c r="K594" s="559"/>
      <c r="L594" s="559"/>
      <c r="M594" s="559"/>
      <c r="N594" s="559"/>
      <c r="O594" s="559"/>
      <c r="P594" s="559"/>
      <c r="Q594" s="559"/>
      <c r="R594" s="559"/>
      <c r="S594" s="559"/>
      <c r="T594" s="559"/>
      <c r="U594" s="559"/>
      <c r="V594" s="559"/>
      <c r="W594" s="559"/>
      <c r="X594" s="559"/>
      <c r="Y594" s="559"/>
      <c r="Z594" s="559"/>
      <c r="AA594" s="559"/>
      <c r="AB594" s="559"/>
      <c r="AC594" s="559"/>
      <c r="AD594" s="559"/>
      <c r="AE594" s="559"/>
      <c r="AF594" s="559"/>
      <c r="AG594" s="559"/>
    </row>
    <row r="595" spans="1:33" ht="18" x14ac:dyDescent="0.35">
      <c r="A595" s="559"/>
      <c r="B595" s="559"/>
      <c r="C595" s="559"/>
      <c r="D595" s="559"/>
      <c r="E595" s="559"/>
      <c r="F595" s="559"/>
      <c r="G595" s="559"/>
      <c r="H595" s="559"/>
      <c r="I595" s="559"/>
      <c r="J595" s="559"/>
      <c r="K595" s="559"/>
      <c r="L595" s="559"/>
      <c r="M595" s="559"/>
      <c r="N595" s="559"/>
      <c r="O595" s="559"/>
      <c r="P595" s="559"/>
      <c r="Q595" s="559"/>
      <c r="R595" s="559"/>
      <c r="S595" s="559"/>
      <c r="T595" s="559"/>
      <c r="U595" s="559"/>
      <c r="V595" s="559"/>
      <c r="W595" s="559"/>
      <c r="X595" s="559"/>
      <c r="Y595" s="559"/>
      <c r="Z595" s="559"/>
      <c r="AA595" s="559"/>
      <c r="AB595" s="559"/>
      <c r="AC595" s="559"/>
      <c r="AD595" s="559"/>
      <c r="AE595" s="559"/>
      <c r="AF595" s="559"/>
      <c r="AG595" s="559"/>
    </row>
    <row r="596" spans="1:33" ht="18" x14ac:dyDescent="0.35">
      <c r="A596" s="559"/>
      <c r="B596" s="559"/>
      <c r="C596" s="559"/>
      <c r="D596" s="559"/>
      <c r="E596" s="559"/>
      <c r="F596" s="559"/>
      <c r="G596" s="559"/>
      <c r="H596" s="559"/>
      <c r="I596" s="559"/>
      <c r="J596" s="559"/>
      <c r="K596" s="559"/>
      <c r="L596" s="559"/>
      <c r="M596" s="559"/>
      <c r="N596" s="559"/>
      <c r="O596" s="559"/>
      <c r="P596" s="559"/>
      <c r="Q596" s="559"/>
      <c r="R596" s="559"/>
      <c r="S596" s="559"/>
      <c r="T596" s="559"/>
      <c r="U596" s="559"/>
      <c r="V596" s="559"/>
      <c r="W596" s="559"/>
      <c r="X596" s="559"/>
      <c r="Y596" s="559"/>
      <c r="Z596" s="559"/>
      <c r="AA596" s="559"/>
      <c r="AB596" s="559"/>
      <c r="AC596" s="559"/>
      <c r="AD596" s="559"/>
      <c r="AE596" s="559"/>
      <c r="AF596" s="559"/>
      <c r="AG596" s="559"/>
    </row>
    <row r="597" spans="1:33" ht="18" x14ac:dyDescent="0.35">
      <c r="A597" s="559"/>
      <c r="B597" s="559"/>
      <c r="C597" s="559"/>
      <c r="D597" s="559"/>
      <c r="E597" s="559"/>
      <c r="F597" s="559"/>
      <c r="G597" s="559"/>
      <c r="H597" s="559"/>
      <c r="I597" s="559"/>
      <c r="J597" s="559"/>
      <c r="K597" s="559"/>
      <c r="L597" s="559"/>
      <c r="M597" s="559"/>
      <c r="N597" s="559"/>
      <c r="O597" s="559"/>
      <c r="P597" s="559"/>
      <c r="Q597" s="559"/>
      <c r="R597" s="559"/>
      <c r="S597" s="559"/>
      <c r="T597" s="559"/>
      <c r="U597" s="559"/>
      <c r="V597" s="559"/>
      <c r="W597" s="559"/>
      <c r="X597" s="559"/>
      <c r="Y597" s="559"/>
      <c r="Z597" s="559"/>
      <c r="AA597" s="559"/>
      <c r="AB597" s="559"/>
      <c r="AC597" s="559"/>
      <c r="AD597" s="559"/>
      <c r="AE597" s="559"/>
      <c r="AF597" s="559"/>
      <c r="AG597" s="559"/>
    </row>
    <row r="598" spans="1:33" ht="18" x14ac:dyDescent="0.35">
      <c r="A598" s="559"/>
      <c r="B598" s="559"/>
      <c r="C598" s="559"/>
      <c r="D598" s="559"/>
      <c r="E598" s="559"/>
      <c r="F598" s="559"/>
      <c r="G598" s="559"/>
      <c r="H598" s="559"/>
      <c r="I598" s="559"/>
      <c r="J598" s="559"/>
      <c r="K598" s="559"/>
      <c r="L598" s="559"/>
      <c r="M598" s="559"/>
      <c r="N598" s="559"/>
      <c r="O598" s="559"/>
      <c r="P598" s="559"/>
      <c r="Q598" s="559"/>
      <c r="R598" s="559"/>
      <c r="S598" s="559"/>
      <c r="T598" s="559"/>
      <c r="U598" s="559"/>
      <c r="V598" s="559"/>
      <c r="W598" s="559"/>
      <c r="X598" s="559"/>
      <c r="Y598" s="559"/>
      <c r="Z598" s="559"/>
      <c r="AA598" s="559"/>
      <c r="AB598" s="559"/>
      <c r="AC598" s="559"/>
      <c r="AD598" s="559"/>
      <c r="AE598" s="559"/>
      <c r="AF598" s="559"/>
      <c r="AG598" s="559"/>
    </row>
    <row r="599" spans="1:33" ht="18" x14ac:dyDescent="0.35">
      <c r="A599" s="559"/>
      <c r="B599" s="559"/>
      <c r="C599" s="559"/>
      <c r="D599" s="559"/>
      <c r="E599" s="559"/>
      <c r="F599" s="559"/>
      <c r="G599" s="559"/>
      <c r="H599" s="559"/>
      <c r="I599" s="559"/>
      <c r="J599" s="559"/>
      <c r="K599" s="559"/>
      <c r="L599" s="559"/>
      <c r="M599" s="559"/>
      <c r="N599" s="559"/>
      <c r="O599" s="559"/>
      <c r="P599" s="559"/>
      <c r="Q599" s="559"/>
      <c r="R599" s="559"/>
      <c r="S599" s="559"/>
      <c r="T599" s="559"/>
      <c r="U599" s="559"/>
      <c r="V599" s="559"/>
      <c r="W599" s="559"/>
      <c r="X599" s="559"/>
      <c r="Y599" s="559"/>
      <c r="Z599" s="559"/>
      <c r="AA599" s="559"/>
      <c r="AB599" s="559"/>
      <c r="AC599" s="559"/>
      <c r="AD599" s="559"/>
      <c r="AE599" s="559"/>
      <c r="AF599" s="559"/>
      <c r="AG599" s="559"/>
    </row>
    <row r="600" spans="1:33" ht="18" x14ac:dyDescent="0.35">
      <c r="A600" s="559"/>
      <c r="B600" s="559"/>
      <c r="C600" s="559"/>
      <c r="D600" s="559"/>
      <c r="E600" s="559"/>
      <c r="F600" s="559"/>
      <c r="G600" s="559"/>
      <c r="H600" s="559"/>
      <c r="I600" s="559"/>
      <c r="J600" s="559"/>
      <c r="K600" s="559"/>
      <c r="L600" s="559"/>
      <c r="M600" s="559"/>
      <c r="N600" s="559"/>
      <c r="O600" s="559"/>
      <c r="P600" s="559"/>
      <c r="Q600" s="559"/>
      <c r="R600" s="559"/>
      <c r="S600" s="559"/>
      <c r="T600" s="559"/>
      <c r="U600" s="559"/>
      <c r="V600" s="559"/>
      <c r="W600" s="559"/>
      <c r="X600" s="559"/>
      <c r="Y600" s="559"/>
      <c r="Z600" s="559"/>
      <c r="AA600" s="559"/>
      <c r="AB600" s="559"/>
      <c r="AC600" s="559"/>
      <c r="AD600" s="559"/>
      <c r="AE600" s="559"/>
      <c r="AF600" s="559"/>
      <c r="AG600" s="559"/>
    </row>
    <row r="601" spans="1:33" ht="18" x14ac:dyDescent="0.35">
      <c r="A601" s="559"/>
      <c r="B601" s="559"/>
      <c r="C601" s="559"/>
      <c r="D601" s="559"/>
      <c r="E601" s="559"/>
      <c r="F601" s="559"/>
      <c r="G601" s="559"/>
      <c r="H601" s="559"/>
      <c r="I601" s="559"/>
      <c r="J601" s="559"/>
      <c r="K601" s="559"/>
      <c r="L601" s="559"/>
      <c r="M601" s="559"/>
      <c r="N601" s="559"/>
      <c r="O601" s="559"/>
      <c r="P601" s="559"/>
      <c r="Q601" s="559"/>
      <c r="R601" s="559"/>
      <c r="S601" s="559"/>
      <c r="T601" s="559"/>
      <c r="U601" s="559"/>
      <c r="V601" s="559"/>
      <c r="W601" s="559"/>
      <c r="X601" s="559"/>
      <c r="Y601" s="559"/>
      <c r="Z601" s="559"/>
      <c r="AA601" s="559"/>
      <c r="AB601" s="559"/>
      <c r="AC601" s="559"/>
      <c r="AD601" s="559"/>
      <c r="AE601" s="559"/>
      <c r="AF601" s="559"/>
      <c r="AG601" s="559"/>
    </row>
    <row r="602" spans="1:33" ht="18" x14ac:dyDescent="0.35">
      <c r="A602" s="559"/>
      <c r="B602" s="559"/>
      <c r="C602" s="559"/>
      <c r="D602" s="559"/>
      <c r="E602" s="559"/>
      <c r="F602" s="559"/>
      <c r="G602" s="559"/>
      <c r="H602" s="559"/>
      <c r="I602" s="559"/>
      <c r="J602" s="559"/>
      <c r="K602" s="559"/>
      <c r="L602" s="559"/>
      <c r="M602" s="559"/>
      <c r="N602" s="559"/>
      <c r="O602" s="559"/>
      <c r="P602" s="559"/>
      <c r="Q602" s="559"/>
      <c r="R602" s="559"/>
      <c r="S602" s="559"/>
      <c r="T602" s="559"/>
      <c r="U602" s="559"/>
      <c r="V602" s="559"/>
      <c r="W602" s="559"/>
      <c r="X602" s="559"/>
      <c r="Y602" s="559"/>
      <c r="Z602" s="559"/>
      <c r="AA602" s="559"/>
      <c r="AB602" s="559"/>
      <c r="AC602" s="559"/>
      <c r="AD602" s="559"/>
      <c r="AE602" s="559"/>
      <c r="AF602" s="559"/>
      <c r="AG602" s="559"/>
    </row>
    <row r="603" spans="1:33" ht="18" x14ac:dyDescent="0.35">
      <c r="A603" s="559"/>
      <c r="B603" s="559"/>
      <c r="C603" s="559"/>
      <c r="D603" s="559"/>
      <c r="E603" s="559"/>
      <c r="F603" s="559"/>
      <c r="G603" s="559"/>
      <c r="H603" s="559"/>
      <c r="I603" s="559"/>
      <c r="J603" s="559"/>
      <c r="K603" s="559"/>
      <c r="L603" s="559"/>
      <c r="M603" s="559"/>
      <c r="N603" s="559"/>
      <c r="O603" s="559"/>
      <c r="P603" s="559"/>
      <c r="Q603" s="559"/>
      <c r="R603" s="559"/>
      <c r="S603" s="559"/>
      <c r="T603" s="559"/>
      <c r="U603" s="559"/>
      <c r="V603" s="559"/>
      <c r="W603" s="559"/>
      <c r="X603" s="559"/>
      <c r="Y603" s="559"/>
      <c r="Z603" s="559"/>
      <c r="AA603" s="559"/>
      <c r="AB603" s="559"/>
      <c r="AC603" s="559"/>
      <c r="AD603" s="559"/>
      <c r="AE603" s="559"/>
      <c r="AF603" s="559"/>
      <c r="AG603" s="559"/>
    </row>
    <row r="604" spans="1:33" ht="18" x14ac:dyDescent="0.35">
      <c r="A604" s="559"/>
      <c r="B604" s="559"/>
      <c r="C604" s="559"/>
      <c r="D604" s="559"/>
      <c r="E604" s="559"/>
      <c r="F604" s="559"/>
      <c r="G604" s="559"/>
      <c r="H604" s="559"/>
      <c r="I604" s="559"/>
      <c r="J604" s="559"/>
      <c r="K604" s="559"/>
      <c r="L604" s="559"/>
      <c r="M604" s="559"/>
      <c r="N604" s="559"/>
      <c r="O604" s="559"/>
      <c r="P604" s="559"/>
      <c r="Q604" s="559"/>
      <c r="R604" s="559"/>
      <c r="S604" s="559"/>
      <c r="T604" s="559"/>
      <c r="U604" s="559"/>
      <c r="V604" s="559"/>
      <c r="W604" s="559"/>
      <c r="X604" s="559"/>
      <c r="Y604" s="559"/>
      <c r="Z604" s="559"/>
      <c r="AA604" s="559"/>
      <c r="AB604" s="559"/>
      <c r="AC604" s="559"/>
      <c r="AD604" s="559"/>
      <c r="AE604" s="559"/>
      <c r="AF604" s="559"/>
      <c r="AG604" s="559"/>
    </row>
    <row r="605" spans="1:33" ht="18" x14ac:dyDescent="0.35">
      <c r="A605" s="559"/>
      <c r="B605" s="559"/>
      <c r="C605" s="559"/>
      <c r="D605" s="559"/>
      <c r="E605" s="559"/>
      <c r="F605" s="559"/>
      <c r="G605" s="559"/>
      <c r="H605" s="559"/>
      <c r="I605" s="559"/>
      <c r="J605" s="559"/>
      <c r="K605" s="559"/>
      <c r="L605" s="559"/>
      <c r="M605" s="559"/>
      <c r="N605" s="559"/>
      <c r="O605" s="559"/>
      <c r="P605" s="559"/>
      <c r="Q605" s="559"/>
      <c r="R605" s="559"/>
      <c r="S605" s="559"/>
      <c r="T605" s="559"/>
      <c r="U605" s="559"/>
      <c r="V605" s="559"/>
      <c r="W605" s="559"/>
      <c r="X605" s="559"/>
      <c r="Y605" s="559"/>
      <c r="Z605" s="559"/>
      <c r="AA605" s="559"/>
      <c r="AB605" s="559"/>
      <c r="AC605" s="559"/>
      <c r="AD605" s="559"/>
      <c r="AE605" s="559"/>
      <c r="AF605" s="559"/>
      <c r="AG605" s="559"/>
    </row>
    <row r="606" spans="1:33" ht="18" x14ac:dyDescent="0.35">
      <c r="A606" s="559"/>
      <c r="B606" s="559"/>
      <c r="C606" s="559"/>
      <c r="D606" s="559"/>
      <c r="E606" s="559"/>
      <c r="F606" s="559"/>
      <c r="G606" s="559"/>
      <c r="H606" s="559"/>
      <c r="I606" s="559"/>
      <c r="J606" s="559"/>
      <c r="K606" s="559"/>
      <c r="L606" s="559"/>
      <c r="M606" s="559"/>
      <c r="N606" s="559"/>
      <c r="O606" s="559"/>
      <c r="P606" s="559"/>
      <c r="Q606" s="559"/>
      <c r="R606" s="559"/>
      <c r="S606" s="559"/>
      <c r="T606" s="559"/>
      <c r="U606" s="559"/>
      <c r="V606" s="559"/>
      <c r="W606" s="559"/>
      <c r="X606" s="559"/>
      <c r="Y606" s="559"/>
      <c r="Z606" s="559"/>
      <c r="AA606" s="559"/>
      <c r="AB606" s="559"/>
      <c r="AC606" s="559"/>
      <c r="AD606" s="559"/>
      <c r="AE606" s="559"/>
      <c r="AF606" s="559"/>
      <c r="AG606" s="559"/>
    </row>
    <row r="607" spans="1:33" ht="18" x14ac:dyDescent="0.35">
      <c r="A607" s="559"/>
      <c r="B607" s="559"/>
      <c r="C607" s="559"/>
      <c r="D607" s="559"/>
      <c r="E607" s="559"/>
      <c r="F607" s="559"/>
      <c r="G607" s="559"/>
      <c r="H607" s="559"/>
      <c r="I607" s="559"/>
      <c r="J607" s="559"/>
      <c r="K607" s="559"/>
      <c r="L607" s="559"/>
      <c r="M607" s="559"/>
      <c r="N607" s="559"/>
      <c r="O607" s="559"/>
      <c r="P607" s="559"/>
      <c r="Q607" s="559"/>
      <c r="R607" s="559"/>
      <c r="S607" s="559"/>
      <c r="T607" s="559"/>
      <c r="U607" s="559"/>
      <c r="V607" s="559"/>
      <c r="W607" s="559"/>
      <c r="X607" s="559"/>
      <c r="Y607" s="559"/>
      <c r="Z607" s="559"/>
      <c r="AA607" s="559"/>
      <c r="AB607" s="559"/>
      <c r="AC607" s="559"/>
      <c r="AD607" s="559"/>
      <c r="AE607" s="559"/>
      <c r="AF607" s="559"/>
      <c r="AG607" s="559"/>
    </row>
    <row r="608" spans="1:33" ht="18" x14ac:dyDescent="0.35">
      <c r="A608" s="559"/>
      <c r="B608" s="559"/>
      <c r="C608" s="559"/>
      <c r="D608" s="559"/>
      <c r="E608" s="559"/>
      <c r="F608" s="559"/>
      <c r="G608" s="559"/>
      <c r="H608" s="559"/>
      <c r="I608" s="559"/>
      <c r="J608" s="559"/>
      <c r="K608" s="559"/>
      <c r="L608" s="559"/>
      <c r="M608" s="559"/>
      <c r="N608" s="559"/>
      <c r="O608" s="559"/>
      <c r="P608" s="559"/>
      <c r="Q608" s="559"/>
      <c r="R608" s="559"/>
      <c r="S608" s="559"/>
      <c r="T608" s="559"/>
      <c r="U608" s="559"/>
      <c r="V608" s="559"/>
      <c r="W608" s="559"/>
      <c r="X608" s="559"/>
      <c r="Y608" s="559"/>
      <c r="Z608" s="559"/>
      <c r="AA608" s="559"/>
      <c r="AB608" s="559"/>
      <c r="AC608" s="559"/>
      <c r="AD608" s="559"/>
      <c r="AE608" s="559"/>
      <c r="AF608" s="559"/>
      <c r="AG608" s="559"/>
    </row>
    <row r="609" spans="1:33" ht="18" x14ac:dyDescent="0.35">
      <c r="A609" s="559"/>
      <c r="B609" s="559"/>
      <c r="C609" s="559"/>
      <c r="D609" s="559"/>
      <c r="E609" s="559"/>
      <c r="F609" s="559"/>
      <c r="G609" s="559"/>
      <c r="H609" s="559"/>
      <c r="I609" s="559"/>
      <c r="J609" s="559"/>
      <c r="K609" s="559"/>
      <c r="L609" s="559"/>
      <c r="M609" s="559"/>
      <c r="N609" s="559"/>
      <c r="O609" s="559"/>
      <c r="P609" s="559"/>
      <c r="Q609" s="559"/>
      <c r="R609" s="559"/>
      <c r="S609" s="559"/>
      <c r="T609" s="559"/>
      <c r="U609" s="559"/>
      <c r="V609" s="559"/>
      <c r="W609" s="559"/>
      <c r="X609" s="559"/>
      <c r="Y609" s="559"/>
      <c r="Z609" s="559"/>
      <c r="AA609" s="559"/>
      <c r="AB609" s="559"/>
      <c r="AC609" s="559"/>
      <c r="AD609" s="559"/>
      <c r="AE609" s="559"/>
      <c r="AF609" s="559"/>
      <c r="AG609" s="559"/>
    </row>
    <row r="610" spans="1:33" ht="18" x14ac:dyDescent="0.35">
      <c r="A610" s="559"/>
      <c r="B610" s="559"/>
      <c r="C610" s="559"/>
      <c r="D610" s="559"/>
      <c r="E610" s="559"/>
      <c r="F610" s="559"/>
      <c r="G610" s="559"/>
      <c r="H610" s="559"/>
      <c r="I610" s="559"/>
      <c r="J610" s="559"/>
      <c r="K610" s="559"/>
      <c r="L610" s="559"/>
      <c r="M610" s="559"/>
      <c r="N610" s="559"/>
      <c r="O610" s="559"/>
      <c r="P610" s="559"/>
      <c r="Q610" s="559"/>
      <c r="R610" s="559"/>
      <c r="S610" s="559"/>
      <c r="T610" s="559"/>
      <c r="U610" s="559"/>
      <c r="V610" s="559"/>
      <c r="W610" s="559"/>
      <c r="X610" s="559"/>
      <c r="Y610" s="559"/>
      <c r="Z610" s="559"/>
      <c r="AA610" s="559"/>
      <c r="AB610" s="559"/>
      <c r="AC610" s="559"/>
      <c r="AD610" s="559"/>
      <c r="AE610" s="559"/>
      <c r="AF610" s="559"/>
      <c r="AG610" s="559"/>
    </row>
    <row r="611" spans="1:33" ht="18" x14ac:dyDescent="0.35">
      <c r="A611" s="559"/>
      <c r="B611" s="559"/>
      <c r="C611" s="559"/>
      <c r="D611" s="559"/>
      <c r="E611" s="559"/>
      <c r="F611" s="559"/>
      <c r="G611" s="559"/>
      <c r="H611" s="559"/>
      <c r="I611" s="559"/>
      <c r="J611" s="559"/>
      <c r="K611" s="559"/>
      <c r="L611" s="559"/>
      <c r="M611" s="559"/>
      <c r="N611" s="559"/>
      <c r="O611" s="559"/>
      <c r="P611" s="559"/>
      <c r="Q611" s="559"/>
      <c r="R611" s="559"/>
      <c r="S611" s="559"/>
      <c r="T611" s="559"/>
      <c r="U611" s="559"/>
      <c r="V611" s="559"/>
      <c r="W611" s="559"/>
      <c r="X611" s="559"/>
      <c r="Y611" s="559"/>
      <c r="Z611" s="559"/>
      <c r="AA611" s="559"/>
      <c r="AB611" s="559"/>
      <c r="AC611" s="559"/>
      <c r="AD611" s="559"/>
      <c r="AE611" s="559"/>
      <c r="AF611" s="559"/>
      <c r="AG611" s="559"/>
    </row>
    <row r="612" spans="1:33" ht="18" x14ac:dyDescent="0.35">
      <c r="A612" s="559"/>
      <c r="B612" s="559"/>
      <c r="C612" s="559"/>
      <c r="D612" s="559"/>
      <c r="E612" s="559"/>
      <c r="F612" s="559"/>
      <c r="G612" s="559"/>
      <c r="H612" s="559"/>
      <c r="I612" s="559"/>
      <c r="J612" s="559"/>
      <c r="K612" s="559"/>
      <c r="L612" s="559"/>
      <c r="M612" s="559"/>
      <c r="N612" s="559"/>
      <c r="O612" s="559"/>
      <c r="P612" s="559"/>
      <c r="Q612" s="559"/>
      <c r="R612" s="559"/>
      <c r="S612" s="559"/>
      <c r="T612" s="559"/>
      <c r="U612" s="559"/>
      <c r="V612" s="559"/>
      <c r="W612" s="559"/>
      <c r="X612" s="559"/>
      <c r="Y612" s="559"/>
      <c r="Z612" s="559"/>
      <c r="AA612" s="559"/>
      <c r="AB612" s="559"/>
      <c r="AC612" s="559"/>
      <c r="AD612" s="559"/>
      <c r="AE612" s="559"/>
      <c r="AF612" s="559"/>
      <c r="AG612" s="559"/>
    </row>
    <row r="613" spans="1:33" ht="18" x14ac:dyDescent="0.35">
      <c r="A613" s="559"/>
      <c r="B613" s="559"/>
      <c r="C613" s="559"/>
      <c r="D613" s="559"/>
      <c r="E613" s="559"/>
      <c r="F613" s="559"/>
      <c r="G613" s="559"/>
      <c r="H613" s="559"/>
      <c r="I613" s="559"/>
      <c r="J613" s="559"/>
      <c r="K613" s="559"/>
      <c r="L613" s="559"/>
      <c r="M613" s="559"/>
      <c r="N613" s="559"/>
      <c r="O613" s="559"/>
      <c r="P613" s="559"/>
      <c r="Q613" s="559"/>
      <c r="R613" s="559"/>
      <c r="S613" s="559"/>
      <c r="T613" s="559"/>
      <c r="U613" s="559"/>
      <c r="V613" s="559"/>
      <c r="W613" s="559"/>
      <c r="X613" s="559"/>
      <c r="Y613" s="559"/>
      <c r="Z613" s="559"/>
      <c r="AA613" s="559"/>
      <c r="AB613" s="559"/>
      <c r="AC613" s="559"/>
      <c r="AD613" s="559"/>
      <c r="AE613" s="559"/>
      <c r="AF613" s="559"/>
      <c r="AG613" s="559"/>
    </row>
    <row r="614" spans="1:33" ht="18" x14ac:dyDescent="0.35">
      <c r="A614" s="559"/>
      <c r="B614" s="559"/>
      <c r="C614" s="559"/>
      <c r="D614" s="559"/>
      <c r="E614" s="559"/>
      <c r="F614" s="559"/>
      <c r="G614" s="559"/>
      <c r="H614" s="559"/>
      <c r="I614" s="559"/>
      <c r="J614" s="559"/>
      <c r="K614" s="559"/>
      <c r="L614" s="559"/>
      <c r="M614" s="559"/>
      <c r="N614" s="559"/>
      <c r="O614" s="559"/>
      <c r="P614" s="559"/>
      <c r="Q614" s="559"/>
      <c r="R614" s="559"/>
      <c r="S614" s="559"/>
      <c r="T614" s="559"/>
      <c r="U614" s="559"/>
      <c r="V614" s="559"/>
      <c r="W614" s="559"/>
      <c r="X614" s="559"/>
      <c r="Y614" s="559"/>
      <c r="Z614" s="559"/>
      <c r="AA614" s="559"/>
      <c r="AB614" s="559"/>
      <c r="AC614" s="559"/>
      <c r="AD614" s="559"/>
      <c r="AE614" s="559"/>
      <c r="AF614" s="559"/>
      <c r="AG614" s="559"/>
    </row>
    <row r="615" spans="1:33" ht="18" x14ac:dyDescent="0.35">
      <c r="A615" s="559"/>
      <c r="B615" s="559"/>
      <c r="C615" s="559"/>
      <c r="D615" s="559"/>
      <c r="E615" s="559"/>
      <c r="F615" s="559"/>
      <c r="G615" s="559"/>
      <c r="H615" s="559"/>
      <c r="I615" s="559"/>
      <c r="J615" s="559"/>
      <c r="K615" s="559"/>
      <c r="L615" s="559"/>
      <c r="M615" s="559"/>
      <c r="N615" s="559"/>
      <c r="O615" s="559"/>
      <c r="P615" s="559"/>
      <c r="Q615" s="559"/>
      <c r="R615" s="559"/>
      <c r="S615" s="559"/>
      <c r="T615" s="559"/>
      <c r="U615" s="559"/>
      <c r="V615" s="559"/>
      <c r="W615" s="559"/>
      <c r="X615" s="559"/>
      <c r="Y615" s="559"/>
      <c r="Z615" s="559"/>
      <c r="AA615" s="559"/>
      <c r="AB615" s="559"/>
      <c r="AC615" s="559"/>
      <c r="AD615" s="559"/>
      <c r="AE615" s="559"/>
      <c r="AF615" s="559"/>
      <c r="AG615" s="559"/>
    </row>
    <row r="616" spans="1:33" ht="18" x14ac:dyDescent="0.35">
      <c r="A616" s="559"/>
      <c r="B616" s="559"/>
      <c r="C616" s="559"/>
      <c r="D616" s="559"/>
      <c r="E616" s="559"/>
      <c r="F616" s="559"/>
      <c r="G616" s="559"/>
      <c r="H616" s="559"/>
      <c r="I616" s="559"/>
      <c r="J616" s="559"/>
      <c r="K616" s="559"/>
      <c r="L616" s="559"/>
      <c r="M616" s="559"/>
      <c r="N616" s="559"/>
      <c r="O616" s="559"/>
      <c r="P616" s="559"/>
      <c r="Q616" s="559"/>
      <c r="R616" s="559"/>
      <c r="S616" s="559"/>
      <c r="T616" s="559"/>
      <c r="U616" s="559"/>
      <c r="V616" s="559"/>
      <c r="W616" s="559"/>
      <c r="X616" s="559"/>
      <c r="Y616" s="559"/>
      <c r="Z616" s="559"/>
      <c r="AA616" s="559"/>
      <c r="AB616" s="559"/>
      <c r="AC616" s="559"/>
      <c r="AD616" s="559"/>
      <c r="AE616" s="559"/>
      <c r="AF616" s="559"/>
      <c r="AG616" s="559"/>
    </row>
    <row r="617" spans="1:33" ht="18" x14ac:dyDescent="0.35">
      <c r="A617" s="559"/>
      <c r="B617" s="559"/>
      <c r="C617" s="559"/>
      <c r="D617" s="559"/>
      <c r="E617" s="559"/>
      <c r="F617" s="559"/>
      <c r="G617" s="559"/>
      <c r="H617" s="559"/>
      <c r="I617" s="559"/>
      <c r="J617" s="559"/>
      <c r="K617" s="559"/>
      <c r="L617" s="559"/>
      <c r="M617" s="559"/>
      <c r="N617" s="559"/>
      <c r="O617" s="559"/>
      <c r="P617" s="559"/>
      <c r="Q617" s="559"/>
      <c r="R617" s="559"/>
      <c r="S617" s="559"/>
      <c r="T617" s="559"/>
      <c r="U617" s="559"/>
      <c r="V617" s="559"/>
      <c r="W617" s="559"/>
      <c r="X617" s="559"/>
      <c r="Y617" s="559"/>
      <c r="Z617" s="559"/>
      <c r="AA617" s="559"/>
      <c r="AB617" s="559"/>
      <c r="AC617" s="559"/>
      <c r="AD617" s="559"/>
      <c r="AE617" s="559"/>
      <c r="AF617" s="559"/>
      <c r="AG617" s="559"/>
    </row>
    <row r="618" spans="1:33" ht="18" x14ac:dyDescent="0.35">
      <c r="A618" s="559"/>
      <c r="B618" s="559"/>
      <c r="C618" s="559"/>
      <c r="D618" s="559"/>
      <c r="E618" s="559"/>
      <c r="F618" s="559"/>
      <c r="G618" s="559"/>
      <c r="H618" s="559"/>
      <c r="I618" s="559"/>
      <c r="J618" s="559"/>
      <c r="K618" s="559"/>
      <c r="L618" s="559"/>
      <c r="M618" s="559"/>
      <c r="N618" s="559"/>
      <c r="O618" s="559"/>
      <c r="P618" s="559"/>
      <c r="Q618" s="559"/>
      <c r="R618" s="559"/>
      <c r="S618" s="559"/>
      <c r="T618" s="559"/>
      <c r="U618" s="559"/>
      <c r="V618" s="559"/>
      <c r="W618" s="559"/>
      <c r="X618" s="559"/>
      <c r="Y618" s="559"/>
      <c r="Z618" s="559"/>
      <c r="AA618" s="559"/>
      <c r="AB618" s="559"/>
      <c r="AC618" s="559"/>
      <c r="AD618" s="559"/>
      <c r="AE618" s="559"/>
      <c r="AF618" s="559"/>
      <c r="AG618" s="559"/>
    </row>
    <row r="619" spans="1:33" ht="18" x14ac:dyDescent="0.35">
      <c r="A619" s="559"/>
      <c r="B619" s="559"/>
      <c r="C619" s="559"/>
      <c r="D619" s="559"/>
      <c r="E619" s="559"/>
      <c r="F619" s="559"/>
      <c r="G619" s="559"/>
      <c r="H619" s="559"/>
      <c r="I619" s="559"/>
      <c r="J619" s="559"/>
      <c r="K619" s="559"/>
      <c r="L619" s="559"/>
      <c r="M619" s="559"/>
      <c r="N619" s="559"/>
      <c r="O619" s="559"/>
      <c r="P619" s="559"/>
      <c r="Q619" s="559"/>
      <c r="R619" s="559"/>
      <c r="S619" s="559"/>
      <c r="T619" s="559"/>
      <c r="U619" s="559"/>
      <c r="V619" s="559"/>
      <c r="W619" s="559"/>
      <c r="X619" s="559"/>
      <c r="Y619" s="559"/>
      <c r="Z619" s="559"/>
      <c r="AA619" s="559"/>
      <c r="AB619" s="559"/>
      <c r="AC619" s="559"/>
      <c r="AD619" s="559"/>
      <c r="AE619" s="559"/>
      <c r="AF619" s="559"/>
      <c r="AG619" s="559"/>
    </row>
    <row r="620" spans="1:33" ht="18" x14ac:dyDescent="0.35">
      <c r="A620" s="559"/>
      <c r="B620" s="559"/>
      <c r="C620" s="559"/>
      <c r="D620" s="559"/>
      <c r="E620" s="559"/>
      <c r="F620" s="559"/>
      <c r="G620" s="559"/>
      <c r="H620" s="559"/>
      <c r="I620" s="559"/>
      <c r="J620" s="559"/>
      <c r="K620" s="559"/>
      <c r="L620" s="559"/>
      <c r="M620" s="559"/>
      <c r="N620" s="559"/>
      <c r="O620" s="559"/>
      <c r="P620" s="559"/>
      <c r="Q620" s="559"/>
      <c r="R620" s="559"/>
      <c r="S620" s="559"/>
      <c r="T620" s="559"/>
      <c r="U620" s="559"/>
      <c r="V620" s="559"/>
      <c r="W620" s="559"/>
      <c r="X620" s="559"/>
      <c r="Y620" s="559"/>
      <c r="Z620" s="559"/>
      <c r="AA620" s="559"/>
      <c r="AB620" s="559"/>
      <c r="AC620" s="559"/>
      <c r="AD620" s="559"/>
      <c r="AE620" s="559"/>
      <c r="AF620" s="559"/>
      <c r="AG620" s="559"/>
    </row>
    <row r="621" spans="1:33" ht="18" x14ac:dyDescent="0.35">
      <c r="A621" s="559"/>
      <c r="B621" s="559"/>
      <c r="C621" s="559"/>
      <c r="D621" s="559"/>
      <c r="E621" s="559"/>
      <c r="F621" s="559"/>
      <c r="G621" s="559"/>
      <c r="H621" s="559"/>
      <c r="I621" s="559"/>
      <c r="J621" s="559"/>
      <c r="K621" s="559"/>
      <c r="L621" s="559"/>
      <c r="M621" s="559"/>
      <c r="N621" s="559"/>
      <c r="O621" s="559"/>
      <c r="P621" s="559"/>
      <c r="Q621" s="559"/>
      <c r="R621" s="559"/>
      <c r="S621" s="559"/>
      <c r="T621" s="559"/>
      <c r="U621" s="559"/>
      <c r="V621" s="559"/>
      <c r="W621" s="559"/>
      <c r="X621" s="559"/>
      <c r="Y621" s="559"/>
      <c r="Z621" s="559"/>
      <c r="AA621" s="559"/>
      <c r="AB621" s="559"/>
      <c r="AC621" s="559"/>
      <c r="AD621" s="559"/>
      <c r="AE621" s="559"/>
      <c r="AF621" s="559"/>
      <c r="AG621" s="559"/>
    </row>
    <row r="622" spans="1:33" ht="18" x14ac:dyDescent="0.35">
      <c r="A622" s="559"/>
      <c r="B622" s="559"/>
      <c r="C622" s="559"/>
      <c r="D622" s="559"/>
      <c r="E622" s="559"/>
      <c r="F622" s="559"/>
      <c r="G622" s="559"/>
      <c r="H622" s="559"/>
      <c r="I622" s="559"/>
      <c r="J622" s="559"/>
      <c r="K622" s="559"/>
      <c r="L622" s="559"/>
      <c r="M622" s="559"/>
      <c r="N622" s="559"/>
      <c r="O622" s="559"/>
      <c r="P622" s="559"/>
      <c r="Q622" s="559"/>
      <c r="R622" s="559"/>
      <c r="S622" s="559"/>
      <c r="T622" s="559"/>
      <c r="U622" s="559"/>
      <c r="V622" s="559"/>
      <c r="W622" s="559"/>
      <c r="X622" s="559"/>
      <c r="Y622" s="559"/>
      <c r="Z622" s="559"/>
      <c r="AA622" s="559"/>
      <c r="AB622" s="559"/>
      <c r="AC622" s="559"/>
      <c r="AD622" s="559"/>
      <c r="AE622" s="559"/>
      <c r="AF622" s="559"/>
      <c r="AG622" s="559"/>
    </row>
    <row r="623" spans="1:33" ht="18" x14ac:dyDescent="0.35">
      <c r="A623" s="559"/>
      <c r="B623" s="559"/>
      <c r="C623" s="559"/>
      <c r="D623" s="559"/>
      <c r="E623" s="559"/>
      <c r="F623" s="559"/>
      <c r="G623" s="559"/>
      <c r="H623" s="559"/>
      <c r="I623" s="559"/>
      <c r="J623" s="559"/>
      <c r="K623" s="559"/>
      <c r="L623" s="559"/>
      <c r="M623" s="559"/>
      <c r="N623" s="559"/>
      <c r="O623" s="559"/>
      <c r="P623" s="559"/>
      <c r="Q623" s="559"/>
      <c r="R623" s="559"/>
      <c r="S623" s="559"/>
      <c r="T623" s="559"/>
      <c r="U623" s="559"/>
      <c r="V623" s="559"/>
      <c r="W623" s="559"/>
      <c r="X623" s="559"/>
      <c r="Y623" s="559"/>
      <c r="Z623" s="559"/>
      <c r="AA623" s="559"/>
      <c r="AB623" s="559"/>
      <c r="AC623" s="559"/>
      <c r="AD623" s="559"/>
      <c r="AE623" s="559"/>
      <c r="AF623" s="559"/>
      <c r="AG623" s="559"/>
    </row>
    <row r="624" spans="1:33" ht="18" x14ac:dyDescent="0.35">
      <c r="A624" s="559"/>
      <c r="B624" s="559"/>
      <c r="C624" s="559"/>
      <c r="D624" s="559"/>
      <c r="E624" s="559"/>
      <c r="F624" s="559"/>
      <c r="G624" s="559"/>
      <c r="H624" s="559"/>
      <c r="I624" s="559"/>
      <c r="J624" s="559"/>
      <c r="K624" s="559"/>
      <c r="L624" s="559"/>
      <c r="M624" s="559"/>
      <c r="N624" s="559"/>
      <c r="O624" s="559"/>
      <c r="P624" s="559"/>
      <c r="Q624" s="559"/>
      <c r="R624" s="559"/>
      <c r="S624" s="559"/>
      <c r="T624" s="559"/>
      <c r="U624" s="559"/>
      <c r="V624" s="559"/>
      <c r="W624" s="559"/>
      <c r="X624" s="559"/>
      <c r="Y624" s="559"/>
      <c r="Z624" s="559"/>
      <c r="AA624" s="559"/>
      <c r="AB624" s="559"/>
      <c r="AC624" s="559"/>
      <c r="AD624" s="559"/>
      <c r="AE624" s="559"/>
      <c r="AF624" s="559"/>
      <c r="AG624" s="559"/>
    </row>
    <row r="625" spans="1:33" ht="18" x14ac:dyDescent="0.35">
      <c r="A625" s="559"/>
      <c r="B625" s="559"/>
      <c r="C625" s="559"/>
      <c r="D625" s="559"/>
      <c r="E625" s="559"/>
      <c r="F625" s="559"/>
      <c r="G625" s="559"/>
      <c r="H625" s="559"/>
      <c r="I625" s="559"/>
      <c r="J625" s="559"/>
      <c r="K625" s="559"/>
      <c r="L625" s="559"/>
      <c r="M625" s="559"/>
      <c r="N625" s="559"/>
      <c r="O625" s="559"/>
      <c r="P625" s="559"/>
      <c r="Q625" s="559"/>
      <c r="R625" s="559"/>
      <c r="S625" s="559"/>
      <c r="T625" s="559"/>
      <c r="U625" s="559"/>
      <c r="V625" s="559"/>
      <c r="W625" s="559"/>
      <c r="X625" s="559"/>
      <c r="Y625" s="559"/>
      <c r="Z625" s="559"/>
      <c r="AA625" s="559"/>
      <c r="AB625" s="559"/>
      <c r="AC625" s="559"/>
      <c r="AD625" s="559"/>
      <c r="AE625" s="559"/>
      <c r="AF625" s="559"/>
      <c r="AG625" s="559"/>
    </row>
    <row r="626" spans="1:33" ht="18" x14ac:dyDescent="0.35">
      <c r="A626" s="559"/>
      <c r="B626" s="559"/>
      <c r="C626" s="559"/>
      <c r="D626" s="559"/>
      <c r="E626" s="559"/>
      <c r="F626" s="559"/>
      <c r="G626" s="559"/>
      <c r="H626" s="559"/>
      <c r="I626" s="559"/>
      <c r="J626" s="559"/>
      <c r="K626" s="559"/>
      <c r="L626" s="559"/>
      <c r="M626" s="559"/>
      <c r="N626" s="559"/>
      <c r="O626" s="559"/>
      <c r="P626" s="559"/>
      <c r="Q626" s="559"/>
      <c r="R626" s="559"/>
      <c r="S626" s="559"/>
      <c r="T626" s="559"/>
      <c r="U626" s="559"/>
      <c r="V626" s="559"/>
      <c r="W626" s="559"/>
      <c r="X626" s="559"/>
      <c r="Y626" s="559"/>
      <c r="Z626" s="559"/>
      <c r="AA626" s="559"/>
      <c r="AB626" s="559"/>
      <c r="AC626" s="559"/>
      <c r="AD626" s="559"/>
      <c r="AE626" s="559"/>
      <c r="AF626" s="559"/>
      <c r="AG626" s="559"/>
    </row>
    <row r="627" spans="1:33" ht="18" x14ac:dyDescent="0.35">
      <c r="A627" s="559"/>
      <c r="B627" s="559"/>
      <c r="C627" s="559"/>
      <c r="D627" s="559"/>
      <c r="E627" s="559"/>
      <c r="F627" s="559"/>
      <c r="G627" s="559"/>
      <c r="H627" s="559"/>
      <c r="I627" s="559"/>
      <c r="J627" s="559"/>
      <c r="K627" s="559"/>
      <c r="L627" s="559"/>
      <c r="M627" s="559"/>
      <c r="N627" s="559"/>
      <c r="O627" s="559"/>
      <c r="P627" s="559"/>
      <c r="Q627" s="559"/>
      <c r="R627" s="559"/>
      <c r="S627" s="559"/>
      <c r="T627" s="559"/>
      <c r="U627" s="559"/>
      <c r="V627" s="559"/>
      <c r="W627" s="559"/>
      <c r="X627" s="559"/>
      <c r="Y627" s="559"/>
      <c r="Z627" s="559"/>
      <c r="AA627" s="559"/>
      <c r="AB627" s="559"/>
      <c r="AC627" s="559"/>
      <c r="AD627" s="559"/>
      <c r="AE627" s="559"/>
      <c r="AF627" s="559"/>
      <c r="AG627" s="559"/>
    </row>
    <row r="628" spans="1:33" ht="18" x14ac:dyDescent="0.35">
      <c r="A628" s="559"/>
      <c r="B628" s="559"/>
      <c r="C628" s="559"/>
      <c r="D628" s="559"/>
      <c r="E628" s="559"/>
      <c r="F628" s="559"/>
      <c r="G628" s="559"/>
      <c r="H628" s="559"/>
      <c r="I628" s="559"/>
      <c r="J628" s="559"/>
      <c r="K628" s="559"/>
      <c r="L628" s="559"/>
      <c r="M628" s="559"/>
      <c r="N628" s="559"/>
      <c r="O628" s="559"/>
      <c r="P628" s="559"/>
      <c r="Q628" s="559"/>
      <c r="R628" s="559"/>
      <c r="S628" s="559"/>
      <c r="T628" s="559"/>
      <c r="U628" s="559"/>
      <c r="V628" s="559"/>
      <c r="W628" s="559"/>
      <c r="X628" s="559"/>
      <c r="Y628" s="559"/>
      <c r="Z628" s="559"/>
      <c r="AA628" s="559"/>
      <c r="AB628" s="559"/>
      <c r="AC628" s="559"/>
      <c r="AD628" s="559"/>
      <c r="AE628" s="559"/>
      <c r="AF628" s="559"/>
      <c r="AG628" s="559"/>
    </row>
    <row r="629" spans="1:33" ht="18" x14ac:dyDescent="0.35">
      <c r="A629" s="559"/>
      <c r="B629" s="559"/>
      <c r="C629" s="559"/>
      <c r="D629" s="559"/>
      <c r="E629" s="559"/>
      <c r="F629" s="559"/>
      <c r="G629" s="559"/>
      <c r="H629" s="559"/>
      <c r="I629" s="559"/>
      <c r="J629" s="559"/>
      <c r="K629" s="559"/>
      <c r="L629" s="559"/>
      <c r="M629" s="559"/>
      <c r="N629" s="559"/>
      <c r="O629" s="559"/>
      <c r="P629" s="559"/>
      <c r="Q629" s="559"/>
      <c r="R629" s="559"/>
      <c r="S629" s="559"/>
      <c r="T629" s="559"/>
      <c r="U629" s="559"/>
      <c r="V629" s="559"/>
      <c r="W629" s="559"/>
      <c r="X629" s="559"/>
      <c r="Y629" s="559"/>
      <c r="Z629" s="559"/>
      <c r="AA629" s="559"/>
      <c r="AB629" s="559"/>
      <c r="AC629" s="559"/>
      <c r="AD629" s="559"/>
      <c r="AE629" s="559"/>
      <c r="AF629" s="559"/>
      <c r="AG629" s="559"/>
    </row>
    <row r="630" spans="1:33" ht="18" x14ac:dyDescent="0.35">
      <c r="A630" s="559"/>
      <c r="B630" s="559"/>
      <c r="C630" s="559"/>
      <c r="D630" s="559"/>
      <c r="E630" s="559"/>
      <c r="F630" s="559"/>
      <c r="G630" s="559"/>
      <c r="H630" s="559"/>
      <c r="I630" s="559"/>
      <c r="J630" s="559"/>
      <c r="K630" s="559"/>
      <c r="L630" s="559"/>
      <c r="M630" s="559"/>
      <c r="N630" s="559"/>
      <c r="O630" s="559"/>
      <c r="P630" s="559"/>
      <c r="Q630" s="559"/>
      <c r="R630" s="559"/>
      <c r="S630" s="559"/>
      <c r="T630" s="559"/>
      <c r="U630" s="559"/>
      <c r="V630" s="559"/>
      <c r="W630" s="559"/>
      <c r="X630" s="559"/>
      <c r="Y630" s="559"/>
      <c r="Z630" s="559"/>
      <c r="AA630" s="559"/>
      <c r="AB630" s="559"/>
      <c r="AC630" s="559"/>
      <c r="AD630" s="559"/>
      <c r="AE630" s="559"/>
      <c r="AF630" s="559"/>
      <c r="AG630" s="559"/>
    </row>
    <row r="631" spans="1:33" ht="18" x14ac:dyDescent="0.35">
      <c r="A631" s="559"/>
      <c r="B631" s="559"/>
      <c r="C631" s="559"/>
      <c r="D631" s="559"/>
      <c r="E631" s="559"/>
      <c r="F631" s="559"/>
      <c r="G631" s="559"/>
      <c r="H631" s="559"/>
      <c r="I631" s="559"/>
      <c r="J631" s="559"/>
      <c r="K631" s="559"/>
      <c r="L631" s="559"/>
      <c r="M631" s="559"/>
      <c r="N631" s="559"/>
      <c r="O631" s="559"/>
      <c r="P631" s="559"/>
      <c r="Q631" s="559"/>
      <c r="R631" s="559"/>
      <c r="S631" s="559"/>
      <c r="T631" s="559"/>
      <c r="U631" s="559"/>
      <c r="V631" s="559"/>
      <c r="W631" s="559"/>
      <c r="X631" s="559"/>
      <c r="Y631" s="559"/>
      <c r="Z631" s="559"/>
      <c r="AA631" s="559"/>
      <c r="AB631" s="559"/>
      <c r="AC631" s="559"/>
      <c r="AD631" s="559"/>
      <c r="AE631" s="559"/>
      <c r="AF631" s="559"/>
      <c r="AG631" s="559"/>
    </row>
    <row r="632" spans="1:33" ht="18" x14ac:dyDescent="0.35">
      <c r="A632" s="559"/>
      <c r="B632" s="559"/>
      <c r="C632" s="559"/>
      <c r="D632" s="559"/>
      <c r="E632" s="559"/>
      <c r="F632" s="559"/>
      <c r="G632" s="559"/>
      <c r="H632" s="559"/>
      <c r="I632" s="559"/>
      <c r="J632" s="559"/>
      <c r="K632" s="559"/>
      <c r="L632" s="559"/>
      <c r="M632" s="559"/>
      <c r="N632" s="559"/>
      <c r="O632" s="559"/>
      <c r="P632" s="559"/>
      <c r="Q632" s="559"/>
      <c r="R632" s="559"/>
      <c r="S632" s="559"/>
      <c r="T632" s="559"/>
      <c r="U632" s="559"/>
      <c r="V632" s="559"/>
      <c r="W632" s="559"/>
      <c r="X632" s="559"/>
      <c r="Y632" s="559"/>
      <c r="Z632" s="559"/>
      <c r="AA632" s="559"/>
      <c r="AB632" s="559"/>
      <c r="AC632" s="559"/>
      <c r="AD632" s="559"/>
      <c r="AE632" s="559"/>
      <c r="AF632" s="559"/>
      <c r="AG632" s="559"/>
    </row>
    <row r="633" spans="1:33" ht="18" x14ac:dyDescent="0.35">
      <c r="A633" s="559"/>
      <c r="B633" s="559"/>
      <c r="C633" s="559"/>
      <c r="D633" s="559"/>
      <c r="E633" s="559"/>
      <c r="F633" s="559"/>
      <c r="G633" s="559"/>
      <c r="H633" s="559"/>
      <c r="I633" s="559"/>
      <c r="J633" s="559"/>
      <c r="K633" s="559"/>
      <c r="L633" s="559"/>
      <c r="M633" s="559"/>
      <c r="N633" s="559"/>
      <c r="O633" s="559"/>
      <c r="P633" s="559"/>
      <c r="Q633" s="559"/>
      <c r="R633" s="559"/>
      <c r="S633" s="559"/>
      <c r="T633" s="559"/>
      <c r="U633" s="559"/>
      <c r="V633" s="559"/>
      <c r="W633" s="559"/>
      <c r="X633" s="559"/>
      <c r="Y633" s="559"/>
      <c r="Z633" s="559"/>
      <c r="AA633" s="559"/>
      <c r="AB633" s="559"/>
      <c r="AC633" s="559"/>
      <c r="AD633" s="559"/>
      <c r="AE633" s="559"/>
      <c r="AF633" s="559"/>
      <c r="AG633" s="559"/>
    </row>
    <row r="634" spans="1:33" ht="18" x14ac:dyDescent="0.35">
      <c r="A634" s="559"/>
      <c r="B634" s="559"/>
      <c r="C634" s="559"/>
      <c r="D634" s="559"/>
      <c r="E634" s="559"/>
      <c r="F634" s="559"/>
      <c r="G634" s="559"/>
      <c r="H634" s="559"/>
      <c r="I634" s="559"/>
      <c r="J634" s="559"/>
      <c r="K634" s="559"/>
      <c r="L634" s="559"/>
      <c r="M634" s="559"/>
      <c r="N634" s="559"/>
      <c r="O634" s="559"/>
      <c r="P634" s="559"/>
      <c r="Q634" s="559"/>
      <c r="R634" s="559"/>
      <c r="S634" s="559"/>
      <c r="T634" s="559"/>
      <c r="U634" s="559"/>
      <c r="V634" s="559"/>
      <c r="W634" s="559"/>
      <c r="X634" s="559"/>
      <c r="Y634" s="559"/>
      <c r="Z634" s="559"/>
      <c r="AA634" s="559"/>
      <c r="AB634" s="559"/>
      <c r="AC634" s="559"/>
      <c r="AD634" s="559"/>
      <c r="AE634" s="559"/>
      <c r="AF634" s="559"/>
      <c r="AG634" s="559"/>
    </row>
    <row r="635" spans="1:33" ht="18" x14ac:dyDescent="0.35">
      <c r="A635" s="559"/>
      <c r="B635" s="559"/>
      <c r="C635" s="559"/>
      <c r="D635" s="559"/>
      <c r="E635" s="559"/>
      <c r="F635" s="559"/>
      <c r="G635" s="559"/>
      <c r="H635" s="559"/>
      <c r="I635" s="559"/>
      <c r="J635" s="559"/>
      <c r="K635" s="559"/>
      <c r="L635" s="559"/>
      <c r="M635" s="559"/>
      <c r="N635" s="559"/>
      <c r="O635" s="559"/>
      <c r="P635" s="559"/>
      <c r="Q635" s="559"/>
      <c r="R635" s="559"/>
      <c r="S635" s="559"/>
      <c r="T635" s="559"/>
      <c r="U635" s="559"/>
      <c r="V635" s="559"/>
      <c r="W635" s="559"/>
      <c r="X635" s="559"/>
      <c r="Y635" s="559"/>
      <c r="Z635" s="559"/>
      <c r="AA635" s="559"/>
      <c r="AB635" s="559"/>
      <c r="AC635" s="559"/>
      <c r="AD635" s="559"/>
      <c r="AE635" s="559"/>
      <c r="AF635" s="559"/>
      <c r="AG635" s="559"/>
    </row>
    <row r="636" spans="1:33" ht="18" x14ac:dyDescent="0.35">
      <c r="A636" s="559"/>
      <c r="B636" s="559"/>
      <c r="C636" s="559"/>
      <c r="D636" s="559"/>
      <c r="E636" s="559"/>
      <c r="F636" s="559"/>
      <c r="G636" s="559"/>
      <c r="H636" s="559"/>
      <c r="I636" s="559"/>
      <c r="J636" s="559"/>
      <c r="K636" s="559"/>
      <c r="L636" s="559"/>
      <c r="M636" s="559"/>
      <c r="N636" s="559"/>
      <c r="O636" s="559"/>
      <c r="P636" s="559"/>
      <c r="Q636" s="559"/>
      <c r="R636" s="559"/>
      <c r="S636" s="559"/>
      <c r="T636" s="559"/>
      <c r="U636" s="559"/>
      <c r="V636" s="559"/>
      <c r="W636" s="559"/>
      <c r="X636" s="559"/>
      <c r="Y636" s="559"/>
      <c r="Z636" s="559"/>
      <c r="AA636" s="559"/>
      <c r="AB636" s="559"/>
      <c r="AC636" s="559"/>
      <c r="AD636" s="559"/>
      <c r="AE636" s="559"/>
      <c r="AF636" s="559"/>
      <c r="AG636" s="559"/>
    </row>
    <row r="637" spans="1:33" ht="18" x14ac:dyDescent="0.35">
      <c r="A637" s="559"/>
      <c r="B637" s="559"/>
      <c r="C637" s="559"/>
      <c r="D637" s="559"/>
      <c r="E637" s="559"/>
      <c r="F637" s="559"/>
      <c r="G637" s="559"/>
      <c r="H637" s="559"/>
      <c r="I637" s="559"/>
      <c r="J637" s="559"/>
      <c r="K637" s="559"/>
      <c r="L637" s="559"/>
      <c r="M637" s="559"/>
      <c r="N637" s="559"/>
      <c r="O637" s="559"/>
      <c r="P637" s="559"/>
      <c r="Q637" s="559"/>
      <c r="R637" s="559"/>
      <c r="S637" s="559"/>
      <c r="T637" s="559"/>
      <c r="U637" s="559"/>
      <c r="V637" s="559"/>
      <c r="W637" s="559"/>
      <c r="X637" s="559"/>
      <c r="Y637" s="559"/>
      <c r="Z637" s="559"/>
      <c r="AA637" s="559"/>
      <c r="AB637" s="559"/>
      <c r="AC637" s="559"/>
      <c r="AD637" s="559"/>
      <c r="AE637" s="559"/>
      <c r="AF637" s="559"/>
      <c r="AG637" s="559"/>
    </row>
    <row r="638" spans="1:33" ht="18" x14ac:dyDescent="0.35">
      <c r="A638" s="559"/>
      <c r="B638" s="559"/>
      <c r="C638" s="559"/>
      <c r="D638" s="559"/>
      <c r="E638" s="559"/>
      <c r="F638" s="559"/>
      <c r="G638" s="559"/>
      <c r="H638" s="559"/>
      <c r="I638" s="559"/>
      <c r="J638" s="559"/>
      <c r="K638" s="559"/>
      <c r="L638" s="559"/>
      <c r="M638" s="559"/>
      <c r="N638" s="559"/>
      <c r="O638" s="559"/>
      <c r="P638" s="559"/>
      <c r="Q638" s="559"/>
      <c r="R638" s="559"/>
      <c r="S638" s="559"/>
      <c r="T638" s="559"/>
      <c r="U638" s="559"/>
      <c r="V638" s="559"/>
      <c r="W638" s="559"/>
      <c r="X638" s="559"/>
      <c r="Y638" s="559"/>
      <c r="Z638" s="559"/>
      <c r="AA638" s="559"/>
      <c r="AB638" s="559"/>
      <c r="AC638" s="559"/>
      <c r="AD638" s="559"/>
      <c r="AE638" s="559"/>
      <c r="AF638" s="559"/>
      <c r="AG638" s="559"/>
    </row>
    <row r="639" spans="1:33" ht="18" x14ac:dyDescent="0.35">
      <c r="A639" s="559"/>
      <c r="B639" s="559"/>
      <c r="C639" s="559"/>
      <c r="D639" s="559"/>
      <c r="E639" s="559"/>
      <c r="F639" s="559"/>
      <c r="G639" s="559"/>
      <c r="H639" s="559"/>
      <c r="I639" s="559"/>
      <c r="J639" s="559"/>
      <c r="K639" s="559"/>
      <c r="L639" s="559"/>
      <c r="M639" s="559"/>
      <c r="N639" s="559"/>
      <c r="O639" s="559"/>
      <c r="P639" s="559"/>
      <c r="Q639" s="559"/>
      <c r="R639" s="559"/>
      <c r="S639" s="559"/>
      <c r="T639" s="559"/>
      <c r="U639" s="559"/>
      <c r="V639" s="559"/>
      <c r="W639" s="559"/>
      <c r="X639" s="559"/>
      <c r="Y639" s="559"/>
      <c r="Z639" s="559"/>
      <c r="AA639" s="559"/>
      <c r="AB639" s="559"/>
      <c r="AC639" s="559"/>
      <c r="AD639" s="559"/>
      <c r="AE639" s="559"/>
      <c r="AF639" s="559"/>
      <c r="AG639" s="559"/>
    </row>
    <row r="640" spans="1:33" ht="18" x14ac:dyDescent="0.35">
      <c r="A640" s="559"/>
      <c r="B640" s="559"/>
      <c r="C640" s="559"/>
      <c r="D640" s="559"/>
      <c r="E640" s="559"/>
      <c r="F640" s="559"/>
      <c r="G640" s="559"/>
      <c r="H640" s="559"/>
      <c r="I640" s="559"/>
      <c r="J640" s="559"/>
      <c r="K640" s="559"/>
      <c r="L640" s="559"/>
      <c r="M640" s="559"/>
      <c r="N640" s="559"/>
      <c r="O640" s="559"/>
      <c r="P640" s="559"/>
      <c r="Q640" s="559"/>
      <c r="R640" s="559"/>
      <c r="S640" s="559"/>
      <c r="T640" s="559"/>
      <c r="U640" s="559"/>
      <c r="V640" s="559"/>
      <c r="W640" s="559"/>
      <c r="X640" s="559"/>
      <c r="Y640" s="559"/>
      <c r="Z640" s="559"/>
      <c r="AA640" s="559"/>
      <c r="AB640" s="559"/>
      <c r="AC640" s="559"/>
      <c r="AD640" s="559"/>
      <c r="AE640" s="559"/>
      <c r="AF640" s="559"/>
      <c r="AG640" s="559"/>
    </row>
    <row r="641" spans="1:33" ht="18" x14ac:dyDescent="0.35">
      <c r="A641" s="559"/>
      <c r="B641" s="559"/>
      <c r="C641" s="559"/>
      <c r="D641" s="559"/>
      <c r="E641" s="559"/>
      <c r="F641" s="559"/>
      <c r="G641" s="559"/>
      <c r="H641" s="559"/>
      <c r="I641" s="559"/>
      <c r="J641" s="559"/>
      <c r="K641" s="559"/>
      <c r="L641" s="559"/>
      <c r="M641" s="559"/>
      <c r="N641" s="559"/>
      <c r="O641" s="559"/>
      <c r="P641" s="559"/>
      <c r="Q641" s="559"/>
      <c r="R641" s="559"/>
      <c r="S641" s="559"/>
      <c r="T641" s="559"/>
      <c r="U641" s="559"/>
      <c r="V641" s="559"/>
      <c r="W641" s="559"/>
      <c r="X641" s="559"/>
      <c r="Y641" s="559"/>
      <c r="Z641" s="559"/>
      <c r="AA641" s="559"/>
      <c r="AB641" s="559"/>
      <c r="AC641" s="559"/>
      <c r="AD641" s="559"/>
      <c r="AE641" s="559"/>
      <c r="AF641" s="559"/>
      <c r="AG641" s="559"/>
    </row>
    <row r="642" spans="1:33" ht="18" x14ac:dyDescent="0.35">
      <c r="A642" s="559"/>
      <c r="B642" s="559"/>
      <c r="C642" s="559"/>
      <c r="D642" s="559"/>
      <c r="E642" s="559"/>
      <c r="F642" s="559"/>
      <c r="G642" s="559"/>
      <c r="H642" s="559"/>
      <c r="I642" s="559"/>
      <c r="J642" s="559"/>
      <c r="K642" s="559"/>
      <c r="L642" s="559"/>
      <c r="M642" s="559"/>
      <c r="N642" s="559"/>
      <c r="O642" s="559"/>
      <c r="P642" s="559"/>
      <c r="Q642" s="559"/>
      <c r="R642" s="559"/>
      <c r="S642" s="559"/>
      <c r="T642" s="559"/>
      <c r="U642" s="559"/>
      <c r="V642" s="559"/>
      <c r="W642" s="559"/>
      <c r="X642" s="559"/>
      <c r="Y642" s="559"/>
      <c r="Z642" s="559"/>
      <c r="AA642" s="559"/>
      <c r="AB642" s="559"/>
      <c r="AC642" s="559"/>
      <c r="AD642" s="559"/>
      <c r="AE642" s="559"/>
      <c r="AF642" s="559"/>
      <c r="AG642" s="559"/>
    </row>
    <row r="643" spans="1:33" ht="18" x14ac:dyDescent="0.35">
      <c r="A643" s="559"/>
      <c r="B643" s="559"/>
      <c r="C643" s="559"/>
      <c r="D643" s="559"/>
      <c r="E643" s="559"/>
      <c r="F643" s="559"/>
      <c r="G643" s="559"/>
      <c r="H643" s="559"/>
      <c r="I643" s="559"/>
      <c r="J643" s="559"/>
      <c r="K643" s="559"/>
      <c r="L643" s="559"/>
      <c r="M643" s="559"/>
      <c r="N643" s="559"/>
      <c r="O643" s="559"/>
      <c r="P643" s="559"/>
      <c r="Q643" s="559"/>
      <c r="R643" s="559"/>
      <c r="S643" s="559"/>
      <c r="T643" s="559"/>
      <c r="U643" s="559"/>
      <c r="V643" s="559"/>
      <c r="W643" s="559"/>
      <c r="X643" s="559"/>
      <c r="Y643" s="559"/>
      <c r="Z643" s="559"/>
      <c r="AA643" s="559"/>
      <c r="AB643" s="559"/>
      <c r="AC643" s="559"/>
      <c r="AD643" s="559"/>
      <c r="AE643" s="559"/>
      <c r="AF643" s="559"/>
      <c r="AG643" s="559"/>
    </row>
    <row r="644" spans="1:33" ht="18" x14ac:dyDescent="0.35">
      <c r="A644" s="559"/>
      <c r="B644" s="559"/>
      <c r="C644" s="559"/>
      <c r="D644" s="559"/>
      <c r="E644" s="559"/>
      <c r="F644" s="559"/>
      <c r="G644" s="559"/>
      <c r="H644" s="559"/>
      <c r="I644" s="559"/>
      <c r="J644" s="559"/>
      <c r="K644" s="559"/>
      <c r="L644" s="559"/>
      <c r="M644" s="559"/>
      <c r="N644" s="559"/>
      <c r="O644" s="559"/>
      <c r="P644" s="559"/>
      <c r="Q644" s="559"/>
      <c r="R644" s="559"/>
      <c r="S644" s="559"/>
      <c r="T644" s="559"/>
      <c r="U644" s="559"/>
      <c r="V644" s="559"/>
      <c r="W644" s="559"/>
      <c r="X644" s="559"/>
      <c r="Y644" s="559"/>
      <c r="Z644" s="559"/>
      <c r="AA644" s="559"/>
      <c r="AB644" s="559"/>
      <c r="AC644" s="559"/>
      <c r="AD644" s="559"/>
      <c r="AE644" s="559"/>
      <c r="AF644" s="559"/>
      <c r="AG644" s="559"/>
    </row>
    <row r="645" spans="1:33" ht="18" x14ac:dyDescent="0.35">
      <c r="A645" s="559"/>
      <c r="B645" s="559"/>
      <c r="C645" s="559"/>
      <c r="D645" s="559"/>
      <c r="E645" s="559"/>
      <c r="F645" s="559"/>
      <c r="G645" s="559"/>
      <c r="H645" s="559"/>
      <c r="I645" s="559"/>
      <c r="J645" s="559"/>
      <c r="K645" s="559"/>
      <c r="L645" s="559"/>
      <c r="M645" s="559"/>
      <c r="N645" s="559"/>
      <c r="O645" s="559"/>
      <c r="P645" s="559"/>
      <c r="Q645" s="559"/>
      <c r="R645" s="559"/>
      <c r="S645" s="559"/>
      <c r="T645" s="559"/>
      <c r="U645" s="559"/>
      <c r="V645" s="559"/>
      <c r="W645" s="559"/>
      <c r="X645" s="559"/>
      <c r="Y645" s="559"/>
      <c r="Z645" s="559"/>
      <c r="AA645" s="559"/>
      <c r="AB645" s="559"/>
      <c r="AC645" s="559"/>
      <c r="AD645" s="559"/>
      <c r="AE645" s="559"/>
      <c r="AF645" s="559"/>
      <c r="AG645" s="559"/>
    </row>
    <row r="646" spans="1:33" ht="18" x14ac:dyDescent="0.35">
      <c r="A646" s="559"/>
      <c r="B646" s="559"/>
      <c r="C646" s="559"/>
      <c r="D646" s="559"/>
      <c r="E646" s="559"/>
      <c r="F646" s="559"/>
      <c r="G646" s="559"/>
      <c r="H646" s="559"/>
      <c r="I646" s="559"/>
      <c r="J646" s="559"/>
      <c r="K646" s="559"/>
      <c r="L646" s="559"/>
      <c r="M646" s="559"/>
      <c r="N646" s="559"/>
      <c r="O646" s="559"/>
      <c r="P646" s="559"/>
      <c r="Q646" s="559"/>
      <c r="R646" s="559"/>
      <c r="S646" s="559"/>
      <c r="T646" s="559"/>
      <c r="U646" s="559"/>
      <c r="V646" s="559"/>
      <c r="W646" s="559"/>
      <c r="X646" s="559"/>
      <c r="Y646" s="559"/>
      <c r="Z646" s="559"/>
      <c r="AA646" s="559"/>
      <c r="AB646" s="559"/>
      <c r="AC646" s="559"/>
      <c r="AD646" s="559"/>
      <c r="AE646" s="559"/>
      <c r="AF646" s="559"/>
      <c r="AG646" s="559"/>
    </row>
    <row r="647" spans="1:33" ht="18" x14ac:dyDescent="0.35">
      <c r="A647" s="559"/>
      <c r="B647" s="559"/>
      <c r="C647" s="559"/>
      <c r="D647" s="559"/>
      <c r="E647" s="559"/>
      <c r="F647" s="559"/>
      <c r="G647" s="559"/>
      <c r="H647" s="559"/>
      <c r="I647" s="559"/>
      <c r="J647" s="559"/>
      <c r="K647" s="559"/>
      <c r="L647" s="559"/>
      <c r="M647" s="559"/>
      <c r="N647" s="559"/>
      <c r="O647" s="559"/>
      <c r="P647" s="559"/>
      <c r="Q647" s="559"/>
      <c r="R647" s="559"/>
      <c r="S647" s="559"/>
      <c r="T647" s="559"/>
      <c r="U647" s="559"/>
      <c r="V647" s="559"/>
      <c r="W647" s="559"/>
      <c r="X647" s="559"/>
      <c r="Y647" s="559"/>
      <c r="Z647" s="559"/>
      <c r="AA647" s="559"/>
      <c r="AB647" s="559"/>
      <c r="AC647" s="559"/>
      <c r="AD647" s="559"/>
      <c r="AE647" s="559"/>
      <c r="AF647" s="559"/>
      <c r="AG647" s="559"/>
    </row>
    <row r="648" spans="1:33" ht="18" x14ac:dyDescent="0.35">
      <c r="A648" s="559"/>
      <c r="B648" s="559"/>
      <c r="C648" s="559"/>
      <c r="D648" s="559"/>
      <c r="E648" s="559"/>
      <c r="F648" s="559"/>
      <c r="G648" s="559"/>
      <c r="H648" s="559"/>
      <c r="I648" s="559"/>
      <c r="J648" s="559"/>
      <c r="K648" s="559"/>
      <c r="L648" s="559"/>
      <c r="M648" s="559"/>
      <c r="N648" s="559"/>
      <c r="O648" s="559"/>
      <c r="P648" s="559"/>
      <c r="Q648" s="559"/>
      <c r="R648" s="559"/>
      <c r="S648" s="559"/>
      <c r="T648" s="559"/>
      <c r="U648" s="559"/>
      <c r="V648" s="559"/>
      <c r="W648" s="559"/>
      <c r="X648" s="559"/>
      <c r="Y648" s="559"/>
      <c r="Z648" s="559"/>
      <c r="AA648" s="559"/>
      <c r="AB648" s="559"/>
      <c r="AC648" s="559"/>
      <c r="AD648" s="559"/>
      <c r="AE648" s="559"/>
      <c r="AF648" s="559"/>
      <c r="AG648" s="559"/>
    </row>
    <row r="649" spans="1:33" ht="18" x14ac:dyDescent="0.35">
      <c r="A649" s="559"/>
      <c r="B649" s="559"/>
      <c r="C649" s="559"/>
      <c r="D649" s="559"/>
      <c r="E649" s="559"/>
      <c r="F649" s="559"/>
      <c r="G649" s="559"/>
      <c r="H649" s="559"/>
      <c r="I649" s="559"/>
      <c r="J649" s="559"/>
      <c r="K649" s="559"/>
      <c r="L649" s="559"/>
      <c r="M649" s="559"/>
      <c r="N649" s="559"/>
      <c r="O649" s="559"/>
      <c r="P649" s="559"/>
      <c r="Q649" s="559"/>
      <c r="R649" s="559"/>
      <c r="S649" s="559"/>
      <c r="T649" s="559"/>
      <c r="U649" s="559"/>
      <c r="V649" s="559"/>
      <c r="W649" s="559"/>
      <c r="X649" s="559"/>
      <c r="Y649" s="559"/>
      <c r="Z649" s="559"/>
      <c r="AA649" s="559"/>
      <c r="AB649" s="559"/>
      <c r="AC649" s="559"/>
      <c r="AD649" s="559"/>
      <c r="AE649" s="559"/>
      <c r="AF649" s="559"/>
      <c r="AG649" s="559"/>
    </row>
    <row r="650" spans="1:33" ht="18" x14ac:dyDescent="0.35">
      <c r="A650" s="559"/>
      <c r="B650" s="559"/>
      <c r="C650" s="559"/>
      <c r="D650" s="559"/>
      <c r="E650" s="559"/>
      <c r="F650" s="559"/>
      <c r="G650" s="559"/>
      <c r="H650" s="559"/>
      <c r="I650" s="559"/>
      <c r="J650" s="559"/>
      <c r="K650" s="559"/>
      <c r="L650" s="559"/>
      <c r="M650" s="559"/>
      <c r="N650" s="559"/>
      <c r="O650" s="559"/>
      <c r="P650" s="559"/>
      <c r="Q650" s="559"/>
      <c r="R650" s="559"/>
      <c r="S650" s="559"/>
      <c r="T650" s="559"/>
      <c r="U650" s="559"/>
      <c r="V650" s="559"/>
      <c r="W650" s="559"/>
      <c r="X650" s="559"/>
      <c r="Y650" s="559"/>
      <c r="Z650" s="559"/>
      <c r="AA650" s="559"/>
      <c r="AB650" s="559"/>
      <c r="AC650" s="559"/>
      <c r="AD650" s="559"/>
      <c r="AE650" s="559"/>
      <c r="AF650" s="559"/>
      <c r="AG650" s="559"/>
    </row>
    <row r="651" spans="1:33" ht="18" x14ac:dyDescent="0.35">
      <c r="A651" s="559"/>
      <c r="B651" s="559"/>
      <c r="C651" s="559"/>
      <c r="D651" s="559"/>
      <c r="E651" s="559"/>
      <c r="F651" s="559"/>
      <c r="G651" s="559"/>
      <c r="H651" s="559"/>
      <c r="I651" s="559"/>
      <c r="J651" s="559"/>
      <c r="K651" s="559"/>
      <c r="L651" s="559"/>
      <c r="M651" s="559"/>
      <c r="N651" s="559"/>
      <c r="O651" s="559"/>
      <c r="P651" s="559"/>
      <c r="Q651" s="559"/>
      <c r="R651" s="559"/>
      <c r="S651" s="559"/>
      <c r="T651" s="559"/>
      <c r="U651" s="559"/>
      <c r="V651" s="559"/>
      <c r="W651" s="559"/>
      <c r="X651" s="559"/>
      <c r="Y651" s="559"/>
      <c r="Z651" s="559"/>
      <c r="AA651" s="559"/>
      <c r="AB651" s="559"/>
      <c r="AC651" s="559"/>
      <c r="AD651" s="559"/>
      <c r="AE651" s="559"/>
      <c r="AF651" s="559"/>
      <c r="AG651" s="559"/>
    </row>
    <row r="652" spans="1:33" ht="18" x14ac:dyDescent="0.35">
      <c r="A652" s="559"/>
      <c r="B652" s="559"/>
      <c r="C652" s="559"/>
      <c r="D652" s="559"/>
      <c r="E652" s="559"/>
      <c r="F652" s="559"/>
      <c r="G652" s="559"/>
      <c r="H652" s="559"/>
      <c r="I652" s="559"/>
      <c r="J652" s="559"/>
      <c r="K652" s="559"/>
      <c r="L652" s="559"/>
      <c r="M652" s="559"/>
      <c r="N652" s="559"/>
      <c r="O652" s="559"/>
      <c r="P652" s="559"/>
      <c r="Q652" s="559"/>
      <c r="R652" s="559"/>
      <c r="S652" s="559"/>
      <c r="T652" s="559"/>
      <c r="U652" s="559"/>
      <c r="V652" s="559"/>
      <c r="W652" s="559"/>
      <c r="X652" s="559"/>
      <c r="Y652" s="559"/>
      <c r="Z652" s="559"/>
      <c r="AA652" s="559"/>
      <c r="AB652" s="559"/>
      <c r="AC652" s="559"/>
      <c r="AD652" s="559"/>
      <c r="AE652" s="559"/>
      <c r="AF652" s="559"/>
      <c r="AG652" s="559"/>
    </row>
    <row r="653" spans="1:33" ht="18" x14ac:dyDescent="0.35">
      <c r="A653" s="559"/>
      <c r="B653" s="559"/>
      <c r="C653" s="559"/>
      <c r="D653" s="559"/>
      <c r="E653" s="559"/>
      <c r="F653" s="559"/>
      <c r="G653" s="559"/>
      <c r="H653" s="559"/>
      <c r="I653" s="559"/>
      <c r="J653" s="559"/>
      <c r="K653" s="559"/>
      <c r="L653" s="559"/>
      <c r="M653" s="559"/>
      <c r="N653" s="559"/>
      <c r="O653" s="559"/>
      <c r="P653" s="559"/>
      <c r="Q653" s="559"/>
      <c r="R653" s="559"/>
      <c r="S653" s="559"/>
      <c r="T653" s="559"/>
      <c r="U653" s="559"/>
      <c r="V653" s="559"/>
      <c r="W653" s="559"/>
      <c r="X653" s="559"/>
      <c r="Y653" s="559"/>
      <c r="Z653" s="559"/>
      <c r="AA653" s="559"/>
      <c r="AB653" s="559"/>
      <c r="AC653" s="559"/>
      <c r="AD653" s="559"/>
      <c r="AE653" s="559"/>
      <c r="AF653" s="559"/>
      <c r="AG653" s="559"/>
    </row>
    <row r="654" spans="1:33" ht="18" x14ac:dyDescent="0.35">
      <c r="A654" s="559"/>
      <c r="B654" s="559"/>
      <c r="C654" s="559"/>
      <c r="D654" s="559"/>
      <c r="E654" s="559"/>
      <c r="F654" s="559"/>
      <c r="G654" s="559"/>
      <c r="H654" s="559"/>
      <c r="I654" s="559"/>
      <c r="J654" s="559"/>
      <c r="K654" s="559"/>
      <c r="L654" s="559"/>
      <c r="M654" s="559"/>
      <c r="N654" s="559"/>
      <c r="O654" s="559"/>
      <c r="P654" s="559"/>
      <c r="Q654" s="559"/>
      <c r="R654" s="559"/>
      <c r="S654" s="559"/>
      <c r="T654" s="559"/>
      <c r="U654" s="559"/>
      <c r="V654" s="559"/>
      <c r="W654" s="559"/>
      <c r="X654" s="559"/>
      <c r="Y654" s="559"/>
      <c r="Z654" s="559"/>
      <c r="AA654" s="559"/>
      <c r="AB654" s="559"/>
      <c r="AC654" s="559"/>
      <c r="AD654" s="559"/>
      <c r="AE654" s="559"/>
      <c r="AF654" s="559"/>
      <c r="AG654" s="559"/>
    </row>
    <row r="655" spans="1:33" ht="18" x14ac:dyDescent="0.35">
      <c r="A655" s="559"/>
      <c r="B655" s="559"/>
      <c r="C655" s="559"/>
      <c r="D655" s="559"/>
      <c r="E655" s="559"/>
      <c r="F655" s="559"/>
      <c r="G655" s="559"/>
      <c r="H655" s="559"/>
      <c r="I655" s="559"/>
      <c r="J655" s="559"/>
      <c r="K655" s="559"/>
      <c r="L655" s="559"/>
      <c r="M655" s="559"/>
      <c r="N655" s="559"/>
      <c r="O655" s="559"/>
      <c r="P655" s="559"/>
      <c r="Q655" s="559"/>
      <c r="R655" s="559"/>
      <c r="S655" s="559"/>
      <c r="T655" s="559"/>
      <c r="U655" s="559"/>
      <c r="V655" s="559"/>
      <c r="W655" s="559"/>
      <c r="X655" s="559"/>
      <c r="Y655" s="559"/>
      <c r="Z655" s="559"/>
      <c r="AA655" s="559"/>
      <c r="AB655" s="559"/>
      <c r="AC655" s="559"/>
      <c r="AD655" s="559"/>
      <c r="AE655" s="559"/>
      <c r="AF655" s="559"/>
      <c r="AG655" s="559"/>
    </row>
    <row r="656" spans="1:33" ht="18" x14ac:dyDescent="0.35">
      <c r="A656" s="559"/>
      <c r="B656" s="559"/>
      <c r="C656" s="559"/>
      <c r="D656" s="559"/>
      <c r="E656" s="559"/>
      <c r="F656" s="559"/>
      <c r="G656" s="559"/>
      <c r="H656" s="559"/>
      <c r="I656" s="559"/>
      <c r="J656" s="559"/>
      <c r="K656" s="559"/>
      <c r="L656" s="559"/>
      <c r="M656" s="559"/>
      <c r="N656" s="559"/>
      <c r="O656" s="559"/>
      <c r="P656" s="559"/>
      <c r="Q656" s="559"/>
      <c r="R656" s="559"/>
      <c r="S656" s="559"/>
      <c r="T656" s="559"/>
      <c r="U656" s="559"/>
      <c r="V656" s="559"/>
      <c r="W656" s="559"/>
      <c r="X656" s="559"/>
      <c r="Y656" s="559"/>
      <c r="Z656" s="559"/>
      <c r="AA656" s="559"/>
      <c r="AB656" s="559"/>
      <c r="AC656" s="559"/>
      <c r="AD656" s="559"/>
      <c r="AE656" s="559"/>
      <c r="AF656" s="559"/>
      <c r="AG656" s="559"/>
    </row>
    <row r="657" spans="1:33" ht="18" x14ac:dyDescent="0.35">
      <c r="A657" s="559"/>
      <c r="B657" s="559"/>
      <c r="C657" s="559"/>
      <c r="D657" s="559"/>
      <c r="E657" s="559"/>
      <c r="F657" s="559"/>
      <c r="G657" s="559"/>
      <c r="H657" s="559"/>
      <c r="I657" s="559"/>
      <c r="J657" s="559"/>
      <c r="K657" s="559"/>
      <c r="L657" s="559"/>
      <c r="M657" s="559"/>
      <c r="N657" s="559"/>
      <c r="O657" s="559"/>
      <c r="P657" s="559"/>
      <c r="Q657" s="559"/>
      <c r="R657" s="559"/>
      <c r="S657" s="559"/>
      <c r="T657" s="559"/>
      <c r="U657" s="559"/>
      <c r="V657" s="559"/>
      <c r="W657" s="559"/>
      <c r="X657" s="559"/>
      <c r="Y657" s="559"/>
      <c r="Z657" s="559"/>
      <c r="AA657" s="559"/>
      <c r="AB657" s="559"/>
      <c r="AC657" s="559"/>
      <c r="AD657" s="559"/>
      <c r="AE657" s="559"/>
      <c r="AF657" s="559"/>
      <c r="AG657" s="559"/>
    </row>
    <row r="658" spans="1:33" ht="18" x14ac:dyDescent="0.35">
      <c r="A658" s="559"/>
      <c r="B658" s="559"/>
      <c r="C658" s="559"/>
      <c r="D658" s="559"/>
      <c r="E658" s="559"/>
      <c r="F658" s="559"/>
      <c r="G658" s="559"/>
      <c r="H658" s="559"/>
      <c r="I658" s="559"/>
      <c r="J658" s="559"/>
      <c r="K658" s="559"/>
      <c r="L658" s="559"/>
      <c r="M658" s="559"/>
      <c r="N658" s="559"/>
      <c r="O658" s="559"/>
      <c r="P658" s="559"/>
      <c r="Q658" s="559"/>
      <c r="R658" s="559"/>
      <c r="S658" s="559"/>
      <c r="T658" s="559"/>
      <c r="U658" s="559"/>
      <c r="V658" s="559"/>
      <c r="W658" s="559"/>
      <c r="X658" s="559"/>
      <c r="Y658" s="559"/>
      <c r="Z658" s="559"/>
      <c r="AA658" s="559"/>
      <c r="AB658" s="559"/>
      <c r="AC658" s="559"/>
      <c r="AD658" s="559"/>
      <c r="AE658" s="559"/>
      <c r="AF658" s="559"/>
      <c r="AG658" s="559"/>
    </row>
    <row r="659" spans="1:33" ht="18" x14ac:dyDescent="0.35">
      <c r="A659" s="559"/>
      <c r="B659" s="559"/>
      <c r="C659" s="559"/>
      <c r="D659" s="559"/>
      <c r="E659" s="559"/>
      <c r="F659" s="559"/>
      <c r="G659" s="559"/>
      <c r="H659" s="559"/>
      <c r="I659" s="559"/>
      <c r="J659" s="559"/>
      <c r="K659" s="559"/>
      <c r="L659" s="559"/>
      <c r="M659" s="559"/>
      <c r="N659" s="559"/>
      <c r="O659" s="559"/>
      <c r="P659" s="559"/>
      <c r="Q659" s="559"/>
      <c r="R659" s="559"/>
      <c r="S659" s="559"/>
      <c r="T659" s="559"/>
      <c r="U659" s="559"/>
      <c r="V659" s="559"/>
      <c r="W659" s="559"/>
      <c r="X659" s="559"/>
      <c r="Y659" s="559"/>
      <c r="Z659" s="559"/>
      <c r="AA659" s="559"/>
      <c r="AB659" s="559"/>
      <c r="AC659" s="559"/>
      <c r="AD659" s="559"/>
      <c r="AE659" s="559"/>
      <c r="AF659" s="559"/>
      <c r="AG659" s="559"/>
    </row>
    <row r="660" spans="1:33" ht="18" x14ac:dyDescent="0.35">
      <c r="A660" s="559"/>
      <c r="B660" s="559"/>
      <c r="C660" s="559"/>
      <c r="D660" s="559"/>
      <c r="E660" s="559"/>
      <c r="F660" s="559"/>
      <c r="G660" s="559"/>
      <c r="H660" s="559"/>
      <c r="I660" s="559"/>
      <c r="J660" s="559"/>
      <c r="K660" s="559"/>
      <c r="L660" s="559"/>
      <c r="M660" s="559"/>
      <c r="N660" s="559"/>
      <c r="O660" s="559"/>
      <c r="P660" s="559"/>
      <c r="Q660" s="559"/>
      <c r="R660" s="559"/>
      <c r="S660" s="559"/>
      <c r="T660" s="559"/>
      <c r="U660" s="559"/>
      <c r="V660" s="559"/>
      <c r="W660" s="559"/>
      <c r="X660" s="559"/>
      <c r="Y660" s="559"/>
      <c r="Z660" s="559"/>
      <c r="AA660" s="559"/>
      <c r="AB660" s="559"/>
      <c r="AC660" s="559"/>
      <c r="AD660" s="559"/>
      <c r="AE660" s="559"/>
      <c r="AF660" s="559"/>
      <c r="AG660" s="559"/>
    </row>
    <row r="661" spans="1:33" ht="18" x14ac:dyDescent="0.35">
      <c r="A661" s="559"/>
      <c r="B661" s="559"/>
      <c r="C661" s="559"/>
      <c r="D661" s="559"/>
      <c r="E661" s="559"/>
      <c r="F661" s="559"/>
      <c r="G661" s="559"/>
      <c r="H661" s="559"/>
      <c r="I661" s="559"/>
      <c r="J661" s="559"/>
      <c r="K661" s="559"/>
      <c r="L661" s="559"/>
      <c r="M661" s="559"/>
      <c r="N661" s="559"/>
      <c r="O661" s="559"/>
      <c r="P661" s="559"/>
      <c r="Q661" s="559"/>
      <c r="R661" s="559"/>
      <c r="S661" s="559"/>
      <c r="T661" s="559"/>
      <c r="U661" s="559"/>
      <c r="V661" s="559"/>
      <c r="W661" s="559"/>
      <c r="X661" s="559"/>
      <c r="Y661" s="559"/>
      <c r="Z661" s="559"/>
      <c r="AA661" s="559"/>
      <c r="AB661" s="559"/>
      <c r="AC661" s="559"/>
      <c r="AD661" s="559"/>
      <c r="AE661" s="559"/>
      <c r="AF661" s="559"/>
      <c r="AG661" s="559"/>
    </row>
    <row r="662" spans="1:33" ht="18" x14ac:dyDescent="0.35">
      <c r="A662" s="559"/>
      <c r="B662" s="559"/>
      <c r="C662" s="559"/>
      <c r="D662" s="559"/>
      <c r="E662" s="559"/>
      <c r="F662" s="559"/>
      <c r="G662" s="559"/>
      <c r="H662" s="559"/>
      <c r="I662" s="559"/>
      <c r="J662" s="559"/>
      <c r="K662" s="559"/>
      <c r="L662" s="559"/>
      <c r="M662" s="559"/>
      <c r="N662" s="559"/>
      <c r="O662" s="559"/>
      <c r="P662" s="559"/>
      <c r="Q662" s="559"/>
      <c r="R662" s="559"/>
      <c r="S662" s="559"/>
      <c r="T662" s="559"/>
      <c r="U662" s="559"/>
      <c r="V662" s="559"/>
      <c r="W662" s="559"/>
      <c r="X662" s="559"/>
      <c r="Y662" s="559"/>
      <c r="Z662" s="559"/>
      <c r="AA662" s="559"/>
      <c r="AB662" s="559"/>
      <c r="AC662" s="559"/>
      <c r="AD662" s="559"/>
      <c r="AE662" s="559"/>
      <c r="AF662" s="559"/>
      <c r="AG662" s="559"/>
    </row>
    <row r="663" spans="1:33" ht="18" x14ac:dyDescent="0.35">
      <c r="A663" s="559"/>
      <c r="B663" s="559"/>
      <c r="C663" s="559"/>
      <c r="D663" s="559"/>
      <c r="E663" s="559"/>
      <c r="F663" s="559"/>
      <c r="G663" s="559"/>
      <c r="H663" s="559"/>
      <c r="I663" s="559"/>
      <c r="J663" s="559"/>
      <c r="K663" s="559"/>
      <c r="L663" s="559"/>
      <c r="M663" s="559"/>
      <c r="N663" s="559"/>
      <c r="O663" s="559"/>
      <c r="P663" s="559"/>
      <c r="Q663" s="559"/>
      <c r="R663" s="559"/>
      <c r="S663" s="559"/>
      <c r="T663" s="559"/>
      <c r="U663" s="559"/>
      <c r="V663" s="559"/>
      <c r="W663" s="559"/>
      <c r="X663" s="559"/>
      <c r="Y663" s="559"/>
      <c r="Z663" s="559"/>
      <c r="AA663" s="559"/>
      <c r="AB663" s="559"/>
      <c r="AC663" s="559"/>
      <c r="AD663" s="559"/>
      <c r="AE663" s="559"/>
      <c r="AF663" s="559"/>
      <c r="AG663" s="559"/>
    </row>
    <row r="664" spans="1:33" ht="18" x14ac:dyDescent="0.35">
      <c r="A664" s="559"/>
      <c r="B664" s="559"/>
      <c r="C664" s="559"/>
      <c r="D664" s="559"/>
      <c r="E664" s="559"/>
      <c r="F664" s="559"/>
      <c r="G664" s="559"/>
      <c r="H664" s="559"/>
      <c r="I664" s="559"/>
      <c r="J664" s="559"/>
      <c r="K664" s="559"/>
      <c r="L664" s="559"/>
      <c r="M664" s="559"/>
      <c r="N664" s="559"/>
      <c r="O664" s="559"/>
      <c r="P664" s="559"/>
      <c r="Q664" s="559"/>
      <c r="R664" s="559"/>
      <c r="S664" s="559"/>
      <c r="T664" s="559"/>
      <c r="U664" s="559"/>
      <c r="V664" s="559"/>
      <c r="W664" s="559"/>
      <c r="X664" s="559"/>
      <c r="Y664" s="559"/>
      <c r="Z664" s="559"/>
      <c r="AA664" s="559"/>
      <c r="AB664" s="559"/>
      <c r="AC664" s="559"/>
      <c r="AD664" s="559"/>
      <c r="AE664" s="559"/>
      <c r="AF664" s="559"/>
      <c r="AG664" s="559"/>
    </row>
    <row r="665" spans="1:33" ht="18" x14ac:dyDescent="0.35">
      <c r="A665" s="559"/>
      <c r="B665" s="559"/>
      <c r="C665" s="559"/>
      <c r="D665" s="559"/>
      <c r="E665" s="559"/>
      <c r="F665" s="559"/>
      <c r="G665" s="559"/>
      <c r="H665" s="559"/>
      <c r="I665" s="559"/>
      <c r="J665" s="559"/>
      <c r="K665" s="559"/>
      <c r="L665" s="559"/>
      <c r="M665" s="559"/>
      <c r="N665" s="559"/>
      <c r="O665" s="559"/>
      <c r="P665" s="559"/>
      <c r="Q665" s="559"/>
      <c r="R665" s="559"/>
      <c r="S665" s="559"/>
      <c r="T665" s="559"/>
      <c r="U665" s="559"/>
      <c r="V665" s="559"/>
      <c r="W665" s="559"/>
      <c r="X665" s="559"/>
      <c r="Y665" s="559"/>
      <c r="Z665" s="559"/>
      <c r="AA665" s="559"/>
      <c r="AB665" s="559"/>
      <c r="AC665" s="559"/>
      <c r="AD665" s="559"/>
      <c r="AE665" s="559"/>
      <c r="AF665" s="559"/>
      <c r="AG665" s="559"/>
    </row>
    <row r="666" spans="1:33" ht="18" x14ac:dyDescent="0.35">
      <c r="A666" s="559"/>
      <c r="B666" s="559"/>
      <c r="C666" s="559"/>
      <c r="D666" s="559"/>
      <c r="E666" s="559"/>
      <c r="F666" s="559"/>
      <c r="G666" s="559"/>
      <c r="H666" s="559"/>
      <c r="I666" s="559"/>
      <c r="J666" s="559"/>
      <c r="K666" s="559"/>
      <c r="L666" s="559"/>
      <c r="M666" s="559"/>
      <c r="N666" s="559"/>
      <c r="O666" s="559"/>
      <c r="P666" s="559"/>
      <c r="Q666" s="559"/>
      <c r="R666" s="559"/>
      <c r="S666" s="559"/>
      <c r="T666" s="559"/>
      <c r="U666" s="559"/>
      <c r="V666" s="559"/>
      <c r="W666" s="559"/>
      <c r="X666" s="559"/>
      <c r="Y666" s="559"/>
      <c r="Z666" s="559"/>
      <c r="AA666" s="559"/>
      <c r="AB666" s="559"/>
      <c r="AC666" s="559"/>
      <c r="AD666" s="559"/>
      <c r="AE666" s="559"/>
      <c r="AF666" s="559"/>
      <c r="AG666" s="559"/>
    </row>
    <row r="667" spans="1:33" ht="18" x14ac:dyDescent="0.35">
      <c r="A667" s="559"/>
      <c r="B667" s="559"/>
      <c r="C667" s="559"/>
      <c r="D667" s="559"/>
      <c r="E667" s="559"/>
      <c r="F667" s="559"/>
      <c r="G667" s="559"/>
      <c r="H667" s="559"/>
      <c r="I667" s="559"/>
      <c r="J667" s="559"/>
      <c r="K667" s="559"/>
      <c r="L667" s="559"/>
      <c r="M667" s="559"/>
      <c r="N667" s="559"/>
      <c r="O667" s="559"/>
      <c r="P667" s="559"/>
      <c r="Q667" s="559"/>
      <c r="R667" s="559"/>
      <c r="S667" s="559"/>
      <c r="T667" s="559"/>
      <c r="U667" s="559"/>
      <c r="V667" s="559"/>
      <c r="W667" s="559"/>
      <c r="X667" s="559"/>
      <c r="Y667" s="559"/>
      <c r="Z667" s="559"/>
      <c r="AA667" s="559"/>
      <c r="AB667" s="559"/>
      <c r="AC667" s="559"/>
      <c r="AD667" s="559"/>
      <c r="AE667" s="559"/>
      <c r="AF667" s="559"/>
      <c r="AG667" s="559"/>
    </row>
    <row r="668" spans="1:33" ht="18" x14ac:dyDescent="0.35">
      <c r="A668" s="559"/>
      <c r="B668" s="559"/>
      <c r="C668" s="559"/>
      <c r="D668" s="559"/>
      <c r="E668" s="559"/>
      <c r="F668" s="559"/>
      <c r="G668" s="559"/>
      <c r="H668" s="559"/>
      <c r="I668" s="559"/>
      <c r="J668" s="559"/>
      <c r="K668" s="559"/>
      <c r="L668" s="559"/>
      <c r="M668" s="559"/>
      <c r="N668" s="559"/>
      <c r="O668" s="559"/>
      <c r="P668" s="559"/>
      <c r="Q668" s="559"/>
      <c r="R668" s="559"/>
      <c r="S668" s="559"/>
      <c r="T668" s="559"/>
      <c r="U668" s="559"/>
      <c r="V668" s="559"/>
      <c r="W668" s="559"/>
      <c r="X668" s="559"/>
      <c r="Y668" s="559"/>
      <c r="Z668" s="559"/>
      <c r="AA668" s="559"/>
      <c r="AB668" s="559"/>
      <c r="AC668" s="559"/>
      <c r="AD668" s="559"/>
      <c r="AE668" s="559"/>
      <c r="AF668" s="559"/>
      <c r="AG668" s="559"/>
    </row>
    <row r="669" spans="1:33" ht="18" x14ac:dyDescent="0.35">
      <c r="A669" s="559"/>
      <c r="B669" s="559"/>
      <c r="C669" s="559"/>
      <c r="D669" s="559"/>
      <c r="E669" s="559"/>
      <c r="F669" s="559"/>
      <c r="G669" s="559"/>
      <c r="H669" s="559"/>
      <c r="I669" s="559"/>
      <c r="J669" s="559"/>
      <c r="K669" s="559"/>
      <c r="L669" s="559"/>
      <c r="M669" s="559"/>
      <c r="N669" s="559"/>
      <c r="O669" s="559"/>
      <c r="P669" s="559"/>
      <c r="Q669" s="559"/>
      <c r="R669" s="559"/>
      <c r="S669" s="559"/>
      <c r="T669" s="559"/>
      <c r="U669" s="559"/>
      <c r="V669" s="559"/>
      <c r="W669" s="559"/>
      <c r="X669" s="559"/>
      <c r="Y669" s="559"/>
      <c r="Z669" s="559"/>
      <c r="AA669" s="559"/>
      <c r="AB669" s="559"/>
      <c r="AC669" s="559"/>
      <c r="AD669" s="559"/>
      <c r="AE669" s="559"/>
      <c r="AF669" s="559"/>
      <c r="AG669" s="559"/>
    </row>
    <row r="670" spans="1:33" ht="18" x14ac:dyDescent="0.35">
      <c r="A670" s="559"/>
      <c r="B670" s="559"/>
      <c r="C670" s="559"/>
      <c r="D670" s="559"/>
      <c r="E670" s="559"/>
      <c r="F670" s="559"/>
      <c r="G670" s="559"/>
      <c r="H670" s="559"/>
      <c r="I670" s="559"/>
      <c r="J670" s="559"/>
      <c r="K670" s="559"/>
      <c r="L670" s="559"/>
      <c r="M670" s="559"/>
      <c r="N670" s="559"/>
      <c r="O670" s="559"/>
      <c r="P670" s="559"/>
      <c r="Q670" s="559"/>
      <c r="R670" s="559"/>
      <c r="S670" s="559"/>
      <c r="T670" s="559"/>
      <c r="U670" s="559"/>
      <c r="V670" s="559"/>
      <c r="W670" s="559"/>
      <c r="X670" s="559"/>
      <c r="Y670" s="559"/>
      <c r="Z670" s="559"/>
      <c r="AA670" s="559"/>
      <c r="AB670" s="559"/>
      <c r="AC670" s="559"/>
      <c r="AD670" s="559"/>
      <c r="AE670" s="559"/>
      <c r="AF670" s="559"/>
      <c r="AG670" s="559"/>
    </row>
    <row r="671" spans="1:33" ht="18" x14ac:dyDescent="0.35">
      <c r="A671" s="559"/>
      <c r="B671" s="559"/>
      <c r="C671" s="559"/>
      <c r="D671" s="559"/>
      <c r="E671" s="559"/>
      <c r="F671" s="559"/>
      <c r="G671" s="559"/>
      <c r="H671" s="559"/>
      <c r="I671" s="559"/>
      <c r="J671" s="559"/>
      <c r="K671" s="559"/>
      <c r="L671" s="559"/>
      <c r="M671" s="559"/>
      <c r="N671" s="559"/>
      <c r="O671" s="559"/>
      <c r="P671" s="559"/>
      <c r="Q671" s="559"/>
      <c r="R671" s="559"/>
      <c r="S671" s="559"/>
      <c r="T671" s="559"/>
      <c r="U671" s="559"/>
      <c r="V671" s="559"/>
      <c r="W671" s="559"/>
      <c r="X671" s="559"/>
      <c r="Y671" s="559"/>
      <c r="Z671" s="559"/>
      <c r="AA671" s="559"/>
      <c r="AB671" s="559"/>
      <c r="AC671" s="559"/>
      <c r="AD671" s="559"/>
      <c r="AE671" s="559"/>
      <c r="AF671" s="559"/>
      <c r="AG671" s="559"/>
    </row>
    <row r="672" spans="1:33" ht="18" x14ac:dyDescent="0.35">
      <c r="A672" s="559"/>
      <c r="B672" s="559"/>
      <c r="C672" s="559"/>
      <c r="D672" s="559"/>
      <c r="E672" s="559"/>
      <c r="F672" s="559"/>
      <c r="G672" s="559"/>
      <c r="H672" s="559"/>
      <c r="I672" s="559"/>
      <c r="J672" s="559"/>
      <c r="K672" s="559"/>
      <c r="L672" s="559"/>
      <c r="M672" s="559"/>
      <c r="N672" s="559"/>
      <c r="O672" s="559"/>
      <c r="P672" s="559"/>
      <c r="Q672" s="559"/>
      <c r="R672" s="559"/>
      <c r="S672" s="559"/>
      <c r="T672" s="559"/>
      <c r="U672" s="559"/>
      <c r="V672" s="559"/>
      <c r="W672" s="559"/>
      <c r="X672" s="559"/>
      <c r="Y672" s="559"/>
      <c r="Z672" s="559"/>
      <c r="AA672" s="559"/>
      <c r="AB672" s="559"/>
      <c r="AC672" s="559"/>
      <c r="AD672" s="559"/>
      <c r="AE672" s="559"/>
      <c r="AF672" s="559"/>
      <c r="AG672" s="559"/>
    </row>
    <row r="673" spans="1:33" ht="18" x14ac:dyDescent="0.35">
      <c r="A673" s="559"/>
      <c r="B673" s="559"/>
      <c r="C673" s="559"/>
      <c r="D673" s="559"/>
      <c r="E673" s="559"/>
      <c r="F673" s="559"/>
      <c r="G673" s="559"/>
      <c r="H673" s="559"/>
      <c r="I673" s="559"/>
      <c r="J673" s="559"/>
      <c r="K673" s="559"/>
      <c r="L673" s="559"/>
      <c r="M673" s="559"/>
      <c r="N673" s="559"/>
      <c r="O673" s="559"/>
      <c r="P673" s="559"/>
      <c r="Q673" s="559"/>
      <c r="R673" s="559"/>
      <c r="S673" s="559"/>
      <c r="T673" s="559"/>
      <c r="U673" s="559"/>
      <c r="V673" s="559"/>
      <c r="W673" s="559"/>
      <c r="X673" s="559"/>
      <c r="Y673" s="559"/>
      <c r="Z673" s="559"/>
      <c r="AA673" s="559"/>
      <c r="AB673" s="559"/>
      <c r="AC673" s="559"/>
      <c r="AD673" s="559"/>
      <c r="AE673" s="559"/>
      <c r="AF673" s="559"/>
      <c r="AG673" s="559"/>
    </row>
    <row r="674" spans="1:33" ht="18" x14ac:dyDescent="0.35">
      <c r="A674" s="559"/>
      <c r="B674" s="559"/>
      <c r="C674" s="559"/>
      <c r="D674" s="559"/>
      <c r="E674" s="559"/>
      <c r="F674" s="559"/>
      <c r="G674" s="559"/>
      <c r="H674" s="559"/>
      <c r="I674" s="559"/>
      <c r="J674" s="559"/>
      <c r="K674" s="559"/>
      <c r="L674" s="559"/>
      <c r="M674" s="559"/>
      <c r="N674" s="559"/>
      <c r="O674" s="559"/>
      <c r="P674" s="559"/>
      <c r="Q674" s="559"/>
      <c r="R674" s="559"/>
      <c r="S674" s="559"/>
      <c r="T674" s="559"/>
      <c r="U674" s="559"/>
      <c r="V674" s="559"/>
      <c r="W674" s="559"/>
      <c r="X674" s="559"/>
      <c r="Y674" s="559"/>
      <c r="Z674" s="559"/>
      <c r="AA674" s="559"/>
      <c r="AB674" s="559"/>
      <c r="AC674" s="559"/>
      <c r="AD674" s="559"/>
      <c r="AE674" s="559"/>
      <c r="AF674" s="559"/>
      <c r="AG674" s="559"/>
    </row>
    <row r="675" spans="1:33" ht="18" x14ac:dyDescent="0.35">
      <c r="A675" s="559"/>
      <c r="B675" s="559"/>
      <c r="C675" s="559"/>
      <c r="D675" s="559"/>
      <c r="E675" s="559"/>
      <c r="F675" s="559"/>
      <c r="G675" s="559"/>
      <c r="H675" s="559"/>
      <c r="I675" s="559"/>
      <c r="J675" s="559"/>
      <c r="K675" s="559"/>
      <c r="L675" s="559"/>
      <c r="M675" s="559"/>
      <c r="N675" s="559"/>
      <c r="O675" s="559"/>
      <c r="P675" s="559"/>
      <c r="Q675" s="559"/>
      <c r="R675" s="559"/>
      <c r="S675" s="559"/>
      <c r="T675" s="559"/>
      <c r="U675" s="559"/>
      <c r="V675" s="559"/>
      <c r="W675" s="559"/>
      <c r="X675" s="559"/>
      <c r="Y675" s="559"/>
      <c r="Z675" s="559"/>
      <c r="AA675" s="559"/>
      <c r="AB675" s="559"/>
      <c r="AC675" s="559"/>
      <c r="AD675" s="559"/>
      <c r="AE675" s="559"/>
      <c r="AF675" s="559"/>
      <c r="AG675" s="559"/>
    </row>
    <row r="676" spans="1:33" ht="18" x14ac:dyDescent="0.35">
      <c r="A676" s="559"/>
      <c r="B676" s="559"/>
      <c r="C676" s="559"/>
      <c r="D676" s="559"/>
      <c r="E676" s="559"/>
      <c r="F676" s="559"/>
      <c r="G676" s="559"/>
      <c r="H676" s="559"/>
      <c r="I676" s="559"/>
      <c r="J676" s="559"/>
      <c r="K676" s="559"/>
      <c r="L676" s="559"/>
      <c r="M676" s="559"/>
      <c r="N676" s="559"/>
      <c r="O676" s="559"/>
      <c r="P676" s="559"/>
      <c r="Q676" s="559"/>
      <c r="R676" s="559"/>
      <c r="S676" s="559"/>
      <c r="T676" s="559"/>
      <c r="U676" s="559"/>
      <c r="V676" s="559"/>
      <c r="W676" s="559"/>
      <c r="X676" s="559"/>
      <c r="Y676" s="559"/>
      <c r="Z676" s="559"/>
      <c r="AA676" s="559"/>
      <c r="AB676" s="559"/>
      <c r="AC676" s="559"/>
      <c r="AD676" s="559"/>
      <c r="AE676" s="559"/>
      <c r="AF676" s="559"/>
      <c r="AG676" s="559"/>
    </row>
    <row r="677" spans="1:33" ht="18" x14ac:dyDescent="0.35">
      <c r="A677" s="559"/>
      <c r="B677" s="559"/>
      <c r="C677" s="559"/>
      <c r="D677" s="559"/>
      <c r="E677" s="559"/>
      <c r="F677" s="559"/>
      <c r="G677" s="559"/>
      <c r="H677" s="559"/>
      <c r="I677" s="559"/>
      <c r="J677" s="559"/>
      <c r="K677" s="559"/>
      <c r="L677" s="559"/>
      <c r="M677" s="559"/>
      <c r="N677" s="559"/>
      <c r="O677" s="559"/>
      <c r="P677" s="559"/>
      <c r="Q677" s="559"/>
      <c r="R677" s="559"/>
      <c r="S677" s="559"/>
      <c r="T677" s="559"/>
      <c r="U677" s="559"/>
      <c r="V677" s="559"/>
      <c r="W677" s="559"/>
      <c r="X677" s="559"/>
      <c r="Y677" s="559"/>
      <c r="Z677" s="559"/>
      <c r="AA677" s="559"/>
      <c r="AB677" s="559"/>
      <c r="AC677" s="559"/>
      <c r="AD677" s="559"/>
      <c r="AE677" s="559"/>
      <c r="AF677" s="559"/>
      <c r="AG677" s="559"/>
    </row>
    <row r="678" spans="1:33" ht="18" x14ac:dyDescent="0.35">
      <c r="A678" s="559"/>
      <c r="B678" s="559"/>
      <c r="C678" s="559"/>
      <c r="D678" s="559"/>
      <c r="E678" s="559"/>
      <c r="F678" s="559"/>
      <c r="G678" s="559"/>
      <c r="H678" s="559"/>
      <c r="I678" s="559"/>
      <c r="J678" s="559"/>
      <c r="K678" s="559"/>
      <c r="L678" s="559"/>
      <c r="M678" s="559"/>
      <c r="N678" s="559"/>
      <c r="O678" s="559"/>
      <c r="P678" s="559"/>
      <c r="Q678" s="559"/>
      <c r="R678" s="559"/>
      <c r="S678" s="559"/>
      <c r="T678" s="559"/>
      <c r="U678" s="559"/>
      <c r="V678" s="559"/>
      <c r="W678" s="559"/>
      <c r="X678" s="559"/>
      <c r="Y678" s="559"/>
      <c r="Z678" s="559"/>
      <c r="AA678" s="559"/>
      <c r="AB678" s="559"/>
      <c r="AC678" s="559"/>
      <c r="AD678" s="559"/>
      <c r="AE678" s="559"/>
      <c r="AF678" s="559"/>
      <c r="AG678" s="559"/>
    </row>
    <row r="679" spans="1:33" ht="18" x14ac:dyDescent="0.35">
      <c r="A679" s="559"/>
      <c r="B679" s="559"/>
      <c r="C679" s="559"/>
      <c r="D679" s="559"/>
      <c r="E679" s="559"/>
      <c r="F679" s="559"/>
      <c r="G679" s="559"/>
      <c r="H679" s="559"/>
      <c r="I679" s="559"/>
      <c r="J679" s="559"/>
      <c r="K679" s="559"/>
      <c r="L679" s="559"/>
      <c r="M679" s="559"/>
      <c r="N679" s="559"/>
      <c r="O679" s="559"/>
      <c r="P679" s="559"/>
      <c r="Q679" s="559"/>
      <c r="R679" s="559"/>
      <c r="S679" s="559"/>
      <c r="T679" s="559"/>
      <c r="U679" s="559"/>
      <c r="V679" s="559"/>
      <c r="W679" s="559"/>
      <c r="X679" s="559"/>
      <c r="Y679" s="559"/>
      <c r="Z679" s="559"/>
      <c r="AA679" s="559"/>
      <c r="AB679" s="559"/>
      <c r="AC679" s="559"/>
      <c r="AD679" s="559"/>
      <c r="AE679" s="559"/>
      <c r="AF679" s="559"/>
      <c r="AG679" s="559"/>
    </row>
    <row r="680" spans="1:33" ht="18" x14ac:dyDescent="0.35">
      <c r="A680" s="559"/>
      <c r="B680" s="559"/>
      <c r="C680" s="559"/>
      <c r="D680" s="559"/>
      <c r="E680" s="559"/>
      <c r="F680" s="559"/>
      <c r="G680" s="559"/>
      <c r="H680" s="559"/>
      <c r="I680" s="559"/>
      <c r="J680" s="559"/>
      <c r="K680" s="559"/>
      <c r="L680" s="559"/>
      <c r="M680" s="559"/>
      <c r="N680" s="559"/>
      <c r="O680" s="559"/>
      <c r="P680" s="559"/>
      <c r="Q680" s="559"/>
      <c r="R680" s="559"/>
      <c r="S680" s="559"/>
      <c r="T680" s="559"/>
      <c r="U680" s="559"/>
      <c r="V680" s="559"/>
      <c r="W680" s="559"/>
      <c r="X680" s="559"/>
      <c r="Y680" s="559"/>
      <c r="Z680" s="559"/>
      <c r="AA680" s="559"/>
      <c r="AB680" s="559"/>
      <c r="AC680" s="559"/>
      <c r="AD680" s="559"/>
      <c r="AE680" s="559"/>
      <c r="AF680" s="559"/>
      <c r="AG680" s="559"/>
    </row>
    <row r="681" spans="1:33" ht="18" x14ac:dyDescent="0.35">
      <c r="A681" s="559"/>
      <c r="B681" s="559"/>
      <c r="C681" s="559"/>
      <c r="D681" s="559"/>
      <c r="E681" s="559"/>
      <c r="F681" s="559"/>
      <c r="G681" s="559"/>
      <c r="H681" s="559"/>
      <c r="I681" s="559"/>
      <c r="J681" s="559"/>
      <c r="K681" s="559"/>
      <c r="L681" s="559"/>
      <c r="M681" s="559"/>
      <c r="N681" s="559"/>
      <c r="O681" s="559"/>
      <c r="P681" s="559"/>
      <c r="Q681" s="559"/>
      <c r="R681" s="559"/>
      <c r="S681" s="559"/>
      <c r="T681" s="559"/>
      <c r="U681" s="559"/>
      <c r="V681" s="559"/>
      <c r="W681" s="559"/>
      <c r="X681" s="559"/>
      <c r="Y681" s="559"/>
      <c r="Z681" s="559"/>
      <c r="AA681" s="559"/>
      <c r="AB681" s="559"/>
      <c r="AC681" s="559"/>
      <c r="AD681" s="559"/>
      <c r="AE681" s="559"/>
      <c r="AF681" s="559"/>
      <c r="AG681" s="559"/>
    </row>
    <row r="682" spans="1:33" ht="18" x14ac:dyDescent="0.35">
      <c r="A682" s="559"/>
      <c r="B682" s="559"/>
      <c r="C682" s="559"/>
      <c r="D682" s="559"/>
      <c r="E682" s="559"/>
      <c r="F682" s="559"/>
      <c r="G682" s="559"/>
      <c r="H682" s="559"/>
      <c r="I682" s="559"/>
      <c r="J682" s="559"/>
      <c r="K682" s="559"/>
      <c r="L682" s="559"/>
      <c r="M682" s="559"/>
      <c r="N682" s="559"/>
      <c r="O682" s="559"/>
      <c r="P682" s="559"/>
      <c r="Q682" s="559"/>
      <c r="R682" s="559"/>
      <c r="S682" s="559"/>
      <c r="T682" s="559"/>
      <c r="U682" s="559"/>
      <c r="V682" s="559"/>
      <c r="W682" s="559"/>
      <c r="X682" s="559"/>
      <c r="Y682" s="559"/>
      <c r="Z682" s="559"/>
      <c r="AA682" s="559"/>
      <c r="AB682" s="559"/>
      <c r="AC682" s="559"/>
      <c r="AD682" s="559"/>
      <c r="AE682" s="559"/>
      <c r="AF682" s="559"/>
      <c r="AG682" s="559"/>
    </row>
    <row r="683" spans="1:33" ht="18" x14ac:dyDescent="0.35">
      <c r="A683" s="559"/>
      <c r="B683" s="559"/>
      <c r="C683" s="559"/>
      <c r="D683" s="559"/>
      <c r="E683" s="559"/>
      <c r="F683" s="559"/>
      <c r="G683" s="559"/>
      <c r="H683" s="559"/>
      <c r="I683" s="559"/>
      <c r="J683" s="559"/>
      <c r="K683" s="559"/>
      <c r="L683" s="559"/>
      <c r="M683" s="559"/>
      <c r="N683" s="559"/>
      <c r="O683" s="559"/>
      <c r="P683" s="559"/>
      <c r="Q683" s="559"/>
      <c r="R683" s="559"/>
      <c r="S683" s="559"/>
      <c r="T683" s="559"/>
      <c r="U683" s="559"/>
      <c r="V683" s="559"/>
      <c r="W683" s="559"/>
      <c r="X683" s="559"/>
      <c r="Y683" s="559"/>
      <c r="Z683" s="559"/>
      <c r="AA683" s="559"/>
      <c r="AB683" s="559"/>
      <c r="AC683" s="559"/>
      <c r="AD683" s="559"/>
      <c r="AE683" s="559"/>
      <c r="AF683" s="559"/>
      <c r="AG683" s="559"/>
    </row>
    <row r="684" spans="1:33" ht="18" x14ac:dyDescent="0.35">
      <c r="A684" s="559"/>
      <c r="B684" s="559"/>
      <c r="C684" s="559"/>
      <c r="D684" s="559"/>
      <c r="E684" s="559"/>
      <c r="F684" s="559"/>
      <c r="G684" s="559"/>
      <c r="H684" s="559"/>
      <c r="I684" s="559"/>
      <c r="J684" s="559"/>
      <c r="K684" s="559"/>
      <c r="L684" s="559"/>
      <c r="M684" s="559"/>
      <c r="N684" s="559"/>
      <c r="O684" s="559"/>
      <c r="P684" s="559"/>
      <c r="Q684" s="559"/>
      <c r="R684" s="559"/>
      <c r="S684" s="559"/>
      <c r="T684" s="559"/>
      <c r="U684" s="559"/>
      <c r="V684" s="559"/>
      <c r="W684" s="559"/>
      <c r="X684" s="559"/>
      <c r="Y684" s="559"/>
      <c r="Z684" s="559"/>
      <c r="AA684" s="559"/>
      <c r="AB684" s="559"/>
      <c r="AC684" s="559"/>
      <c r="AD684" s="559"/>
      <c r="AE684" s="559"/>
      <c r="AF684" s="559"/>
      <c r="AG684" s="559"/>
    </row>
    <row r="685" spans="1:33" ht="18" x14ac:dyDescent="0.35">
      <c r="A685" s="559"/>
      <c r="B685" s="559"/>
      <c r="C685" s="559"/>
      <c r="D685" s="559"/>
      <c r="E685" s="559"/>
      <c r="F685" s="559"/>
      <c r="G685" s="559"/>
      <c r="H685" s="559"/>
      <c r="I685" s="559"/>
      <c r="J685" s="559"/>
      <c r="K685" s="559"/>
      <c r="L685" s="559"/>
      <c r="M685" s="559"/>
      <c r="N685" s="559"/>
      <c r="O685" s="559"/>
      <c r="P685" s="559"/>
      <c r="Q685" s="559"/>
      <c r="R685" s="559"/>
      <c r="S685" s="559"/>
      <c r="T685" s="559"/>
      <c r="U685" s="559"/>
      <c r="V685" s="559"/>
      <c r="W685" s="559"/>
      <c r="X685" s="559"/>
      <c r="Y685" s="559"/>
      <c r="Z685" s="559"/>
      <c r="AA685" s="559"/>
      <c r="AB685" s="559"/>
      <c r="AC685" s="559"/>
      <c r="AD685" s="559"/>
      <c r="AE685" s="559"/>
      <c r="AF685" s="559"/>
      <c r="AG685" s="559"/>
    </row>
    <row r="686" spans="1:33" ht="18" x14ac:dyDescent="0.35">
      <c r="A686" s="559"/>
      <c r="B686" s="559"/>
      <c r="C686" s="559"/>
      <c r="D686" s="559"/>
      <c r="E686" s="559"/>
      <c r="F686" s="559"/>
      <c r="G686" s="559"/>
      <c r="H686" s="559"/>
      <c r="I686" s="559"/>
      <c r="J686" s="559"/>
      <c r="K686" s="559"/>
      <c r="L686" s="559"/>
      <c r="M686" s="559"/>
      <c r="N686" s="559"/>
      <c r="O686" s="559"/>
      <c r="P686" s="559"/>
      <c r="Q686" s="559"/>
      <c r="R686" s="559"/>
      <c r="S686" s="559"/>
      <c r="T686" s="559"/>
      <c r="U686" s="559"/>
      <c r="V686" s="559"/>
      <c r="W686" s="559"/>
      <c r="X686" s="559"/>
      <c r="Y686" s="559"/>
      <c r="Z686" s="559"/>
      <c r="AA686" s="559"/>
      <c r="AB686" s="559"/>
      <c r="AC686" s="559"/>
      <c r="AD686" s="559"/>
      <c r="AE686" s="559"/>
      <c r="AF686" s="559"/>
      <c r="AG686" s="559"/>
    </row>
    <row r="687" spans="1:33" ht="18" x14ac:dyDescent="0.35">
      <c r="A687" s="559"/>
      <c r="B687" s="559"/>
      <c r="C687" s="559"/>
      <c r="D687" s="559"/>
      <c r="E687" s="559"/>
      <c r="F687" s="559"/>
      <c r="G687" s="559"/>
      <c r="H687" s="559"/>
      <c r="I687" s="559"/>
      <c r="J687" s="559"/>
      <c r="K687" s="559"/>
      <c r="L687" s="559"/>
      <c r="M687" s="559"/>
      <c r="N687" s="559"/>
      <c r="O687" s="559"/>
      <c r="P687" s="559"/>
      <c r="Q687" s="559"/>
      <c r="R687" s="559"/>
      <c r="S687" s="559"/>
      <c r="T687" s="559"/>
      <c r="U687" s="559"/>
      <c r="V687" s="559"/>
      <c r="W687" s="559"/>
      <c r="X687" s="559"/>
      <c r="Y687" s="559"/>
      <c r="Z687" s="559"/>
      <c r="AA687" s="559"/>
      <c r="AB687" s="559"/>
      <c r="AC687" s="559"/>
      <c r="AD687" s="559"/>
      <c r="AE687" s="559"/>
      <c r="AF687" s="559"/>
      <c r="AG687" s="559"/>
    </row>
    <row r="688" spans="1:33" ht="18" x14ac:dyDescent="0.35">
      <c r="A688" s="559"/>
      <c r="B688" s="559"/>
      <c r="C688" s="559"/>
      <c r="D688" s="559"/>
      <c r="E688" s="559"/>
      <c r="F688" s="559"/>
      <c r="G688" s="559"/>
      <c r="H688" s="559"/>
      <c r="I688" s="559"/>
      <c r="J688" s="559"/>
      <c r="K688" s="559"/>
      <c r="L688" s="559"/>
      <c r="M688" s="559"/>
      <c r="N688" s="559"/>
      <c r="O688" s="559"/>
      <c r="P688" s="559"/>
      <c r="Q688" s="559"/>
      <c r="R688" s="559"/>
      <c r="S688" s="559"/>
      <c r="T688" s="559"/>
      <c r="U688" s="559"/>
      <c r="V688" s="559"/>
      <c r="W688" s="559"/>
      <c r="X688" s="559"/>
      <c r="Y688" s="559"/>
      <c r="Z688" s="559"/>
      <c r="AA688" s="559"/>
      <c r="AB688" s="559"/>
      <c r="AC688" s="559"/>
      <c r="AD688" s="559"/>
      <c r="AE688" s="559"/>
      <c r="AF688" s="559"/>
      <c r="AG688" s="559"/>
    </row>
    <row r="689" spans="1:33" ht="18" x14ac:dyDescent="0.35">
      <c r="A689" s="559"/>
      <c r="B689" s="559"/>
      <c r="C689" s="559"/>
      <c r="D689" s="559"/>
      <c r="E689" s="559"/>
      <c r="F689" s="559"/>
      <c r="G689" s="559"/>
      <c r="H689" s="559"/>
      <c r="I689" s="559"/>
      <c r="J689" s="559"/>
      <c r="K689" s="559"/>
      <c r="L689" s="559"/>
      <c r="M689" s="559"/>
      <c r="N689" s="559"/>
      <c r="O689" s="559"/>
      <c r="P689" s="559"/>
      <c r="Q689" s="559"/>
      <c r="R689" s="559"/>
      <c r="S689" s="559"/>
      <c r="T689" s="559"/>
      <c r="U689" s="559"/>
      <c r="V689" s="559"/>
      <c r="W689" s="559"/>
      <c r="X689" s="559"/>
      <c r="Y689" s="559"/>
      <c r="Z689" s="559"/>
      <c r="AA689" s="559"/>
      <c r="AB689" s="559"/>
      <c r="AC689" s="559"/>
      <c r="AD689" s="559"/>
      <c r="AE689" s="559"/>
      <c r="AF689" s="559"/>
      <c r="AG689" s="559"/>
    </row>
    <row r="690" spans="1:33" ht="18" x14ac:dyDescent="0.35">
      <c r="A690" s="559"/>
      <c r="B690" s="559"/>
      <c r="C690" s="559"/>
      <c r="D690" s="559"/>
      <c r="E690" s="559"/>
      <c r="F690" s="559"/>
      <c r="G690" s="559"/>
      <c r="H690" s="559"/>
      <c r="I690" s="559"/>
      <c r="J690" s="559"/>
      <c r="K690" s="559"/>
      <c r="L690" s="559"/>
      <c r="M690" s="559"/>
      <c r="N690" s="559"/>
      <c r="O690" s="559"/>
      <c r="P690" s="559"/>
      <c r="Q690" s="559"/>
      <c r="R690" s="559"/>
      <c r="S690" s="559"/>
      <c r="T690" s="559"/>
      <c r="U690" s="559"/>
      <c r="V690" s="559"/>
      <c r="W690" s="559"/>
      <c r="X690" s="559"/>
      <c r="Y690" s="559"/>
      <c r="Z690" s="559"/>
      <c r="AA690" s="559"/>
      <c r="AB690" s="559"/>
      <c r="AC690" s="559"/>
      <c r="AD690" s="559"/>
      <c r="AE690" s="559"/>
      <c r="AF690" s="559"/>
      <c r="AG690" s="559"/>
    </row>
    <row r="691" spans="1:33" ht="18" x14ac:dyDescent="0.35">
      <c r="A691" s="559"/>
      <c r="B691" s="559"/>
      <c r="C691" s="559"/>
      <c r="D691" s="559"/>
      <c r="E691" s="559"/>
      <c r="F691" s="559"/>
      <c r="G691" s="559"/>
      <c r="H691" s="559"/>
      <c r="I691" s="559"/>
      <c r="J691" s="559"/>
      <c r="K691" s="559"/>
      <c r="L691" s="559"/>
      <c r="M691" s="559"/>
      <c r="N691" s="559"/>
      <c r="O691" s="559"/>
      <c r="P691" s="559"/>
      <c r="Q691" s="559"/>
      <c r="R691" s="559"/>
      <c r="S691" s="559"/>
      <c r="T691" s="559"/>
      <c r="U691" s="559"/>
      <c r="V691" s="559"/>
      <c r="W691" s="559"/>
      <c r="X691" s="559"/>
      <c r="Y691" s="559"/>
      <c r="Z691" s="559"/>
      <c r="AA691" s="559"/>
      <c r="AB691" s="559"/>
      <c r="AC691" s="559"/>
      <c r="AD691" s="559"/>
      <c r="AE691" s="559"/>
      <c r="AF691" s="559"/>
      <c r="AG691" s="559"/>
    </row>
    <row r="692" spans="1:33" ht="18" x14ac:dyDescent="0.35">
      <c r="A692" s="559"/>
      <c r="B692" s="559"/>
      <c r="C692" s="559"/>
      <c r="D692" s="559"/>
      <c r="E692" s="559"/>
      <c r="F692" s="559"/>
      <c r="G692" s="559"/>
      <c r="H692" s="559"/>
      <c r="I692" s="559"/>
      <c r="J692" s="559"/>
      <c r="K692" s="559"/>
      <c r="L692" s="559"/>
      <c r="M692" s="559"/>
      <c r="N692" s="559"/>
      <c r="O692" s="559"/>
      <c r="P692" s="559"/>
      <c r="Q692" s="559"/>
      <c r="R692" s="559"/>
      <c r="S692" s="559"/>
      <c r="T692" s="559"/>
      <c r="U692" s="559"/>
      <c r="V692" s="559"/>
      <c r="W692" s="559"/>
      <c r="X692" s="559"/>
      <c r="Y692" s="559"/>
      <c r="Z692" s="559"/>
      <c r="AA692" s="559"/>
      <c r="AB692" s="559"/>
      <c r="AC692" s="559"/>
      <c r="AD692" s="559"/>
      <c r="AE692" s="559"/>
      <c r="AF692" s="559"/>
      <c r="AG692" s="559"/>
    </row>
    <row r="693" spans="1:33" ht="18" x14ac:dyDescent="0.35">
      <c r="A693" s="559"/>
      <c r="B693" s="559"/>
      <c r="C693" s="559"/>
      <c r="D693" s="559"/>
      <c r="E693" s="559"/>
      <c r="F693" s="559"/>
      <c r="G693" s="559"/>
      <c r="H693" s="559"/>
      <c r="I693" s="559"/>
      <c r="J693" s="559"/>
      <c r="K693" s="559"/>
      <c r="L693" s="559"/>
      <c r="M693" s="559"/>
      <c r="N693" s="559"/>
      <c r="O693" s="559"/>
      <c r="P693" s="559"/>
      <c r="Q693" s="559"/>
      <c r="R693" s="559"/>
      <c r="S693" s="559"/>
      <c r="T693" s="559"/>
      <c r="U693" s="559"/>
      <c r="V693" s="559"/>
      <c r="W693" s="559"/>
      <c r="X693" s="559"/>
      <c r="Y693" s="559"/>
      <c r="Z693" s="559"/>
      <c r="AA693" s="559"/>
      <c r="AB693" s="559"/>
      <c r="AC693" s="559"/>
      <c r="AD693" s="559"/>
      <c r="AE693" s="559"/>
      <c r="AF693" s="559"/>
      <c r="AG693" s="559"/>
    </row>
    <row r="694" spans="1:33" ht="18" x14ac:dyDescent="0.35">
      <c r="A694" s="559"/>
      <c r="B694" s="559"/>
      <c r="C694" s="559"/>
      <c r="D694" s="559"/>
      <c r="E694" s="559"/>
      <c r="F694" s="559"/>
      <c r="G694" s="559"/>
      <c r="H694" s="559"/>
      <c r="I694" s="559"/>
      <c r="J694" s="559"/>
      <c r="K694" s="559"/>
      <c r="L694" s="559"/>
      <c r="M694" s="559"/>
      <c r="N694" s="559"/>
      <c r="O694" s="559"/>
      <c r="P694" s="559"/>
      <c r="Q694" s="559"/>
      <c r="R694" s="559"/>
      <c r="S694" s="559"/>
      <c r="T694" s="559"/>
      <c r="U694" s="559"/>
      <c r="V694" s="559"/>
      <c r="W694" s="559"/>
      <c r="X694" s="559"/>
      <c r="Y694" s="559"/>
      <c r="Z694" s="559"/>
      <c r="AA694" s="559"/>
      <c r="AB694" s="559"/>
      <c r="AC694" s="559"/>
      <c r="AD694" s="559"/>
      <c r="AE694" s="559"/>
      <c r="AF694" s="559"/>
      <c r="AG694" s="559"/>
    </row>
    <row r="695" spans="1:33" ht="18" x14ac:dyDescent="0.35">
      <c r="A695" s="559"/>
      <c r="B695" s="559"/>
      <c r="C695" s="559"/>
      <c r="D695" s="559"/>
      <c r="E695" s="559"/>
      <c r="F695" s="559"/>
      <c r="G695" s="559"/>
      <c r="H695" s="559"/>
      <c r="I695" s="559"/>
      <c r="J695" s="559"/>
      <c r="K695" s="559"/>
      <c r="L695" s="559"/>
      <c r="M695" s="559"/>
      <c r="N695" s="559"/>
      <c r="O695" s="559"/>
      <c r="P695" s="559"/>
      <c r="Q695" s="559"/>
      <c r="R695" s="559"/>
      <c r="S695" s="559"/>
      <c r="T695" s="559"/>
      <c r="U695" s="559"/>
      <c r="V695" s="559"/>
      <c r="W695" s="559"/>
      <c r="X695" s="559"/>
      <c r="Y695" s="559"/>
      <c r="Z695" s="559"/>
      <c r="AA695" s="559"/>
      <c r="AB695" s="559"/>
      <c r="AC695" s="559"/>
      <c r="AD695" s="559"/>
      <c r="AE695" s="559"/>
      <c r="AF695" s="559"/>
      <c r="AG695" s="559"/>
    </row>
    <row r="696" spans="1:33" ht="18" x14ac:dyDescent="0.35">
      <c r="A696" s="559"/>
      <c r="B696" s="559"/>
      <c r="C696" s="559"/>
      <c r="D696" s="559"/>
      <c r="E696" s="559"/>
      <c r="F696" s="559"/>
      <c r="G696" s="559"/>
      <c r="H696" s="559"/>
      <c r="I696" s="559"/>
      <c r="J696" s="559"/>
      <c r="K696" s="559"/>
      <c r="L696" s="559"/>
      <c r="M696" s="559"/>
      <c r="N696" s="559"/>
      <c r="O696" s="559"/>
      <c r="P696" s="559"/>
      <c r="Q696" s="559"/>
      <c r="R696" s="559"/>
      <c r="S696" s="559"/>
      <c r="T696" s="559"/>
      <c r="U696" s="559"/>
      <c r="V696" s="559"/>
      <c r="W696" s="559"/>
      <c r="X696" s="559"/>
      <c r="Y696" s="559"/>
      <c r="Z696" s="559"/>
      <c r="AA696" s="559"/>
      <c r="AB696" s="559"/>
      <c r="AC696" s="559"/>
      <c r="AD696" s="559"/>
      <c r="AE696" s="559"/>
      <c r="AF696" s="559"/>
      <c r="AG696" s="559"/>
    </row>
    <row r="697" spans="1:33" ht="18" x14ac:dyDescent="0.35">
      <c r="A697" s="559"/>
      <c r="B697" s="559"/>
      <c r="C697" s="559"/>
      <c r="D697" s="559"/>
      <c r="E697" s="559"/>
      <c r="F697" s="559"/>
      <c r="G697" s="559"/>
      <c r="H697" s="559"/>
      <c r="I697" s="559"/>
      <c r="J697" s="559"/>
      <c r="K697" s="559"/>
      <c r="L697" s="559"/>
      <c r="M697" s="559"/>
      <c r="N697" s="559"/>
      <c r="O697" s="559"/>
      <c r="P697" s="559"/>
      <c r="Q697" s="559"/>
      <c r="R697" s="559"/>
      <c r="S697" s="559"/>
      <c r="T697" s="559"/>
      <c r="U697" s="559"/>
      <c r="V697" s="559"/>
      <c r="W697" s="559"/>
      <c r="X697" s="559"/>
      <c r="Y697" s="559"/>
      <c r="Z697" s="559"/>
      <c r="AA697" s="559"/>
      <c r="AB697" s="559"/>
      <c r="AC697" s="559"/>
      <c r="AD697" s="559"/>
      <c r="AE697" s="559"/>
      <c r="AF697" s="559"/>
      <c r="AG697" s="559"/>
    </row>
    <row r="698" spans="1:33" ht="18" x14ac:dyDescent="0.35">
      <c r="A698" s="559"/>
      <c r="B698" s="559"/>
      <c r="C698" s="559"/>
      <c r="D698" s="559"/>
      <c r="E698" s="559"/>
      <c r="F698" s="559"/>
      <c r="G698" s="559"/>
      <c r="H698" s="559"/>
      <c r="I698" s="559"/>
      <c r="J698" s="559"/>
      <c r="K698" s="559"/>
      <c r="L698" s="559"/>
      <c r="M698" s="559"/>
      <c r="N698" s="559"/>
      <c r="O698" s="559"/>
      <c r="P698" s="559"/>
      <c r="Q698" s="559"/>
      <c r="R698" s="559"/>
      <c r="S698" s="559"/>
      <c r="T698" s="559"/>
      <c r="U698" s="559"/>
      <c r="V698" s="559"/>
      <c r="W698" s="559"/>
      <c r="X698" s="559"/>
      <c r="Y698" s="559"/>
      <c r="Z698" s="559"/>
      <c r="AA698" s="559"/>
      <c r="AB698" s="559"/>
      <c r="AC698" s="559"/>
      <c r="AD698" s="559"/>
      <c r="AE698" s="559"/>
      <c r="AF698" s="559"/>
      <c r="AG698" s="559"/>
    </row>
    <row r="699" spans="1:33" ht="18" x14ac:dyDescent="0.35">
      <c r="A699" s="559"/>
      <c r="B699" s="559"/>
      <c r="C699" s="559"/>
      <c r="D699" s="559"/>
      <c r="E699" s="559"/>
      <c r="F699" s="559"/>
      <c r="G699" s="559"/>
      <c r="H699" s="559"/>
      <c r="I699" s="559"/>
      <c r="J699" s="559"/>
      <c r="K699" s="559"/>
      <c r="L699" s="559"/>
      <c r="M699" s="559"/>
      <c r="N699" s="559"/>
      <c r="O699" s="559"/>
      <c r="P699" s="559"/>
      <c r="Q699" s="559"/>
      <c r="R699" s="559"/>
      <c r="S699" s="559"/>
      <c r="T699" s="559"/>
      <c r="U699" s="559"/>
      <c r="V699" s="559"/>
      <c r="W699" s="559"/>
      <c r="X699" s="559"/>
      <c r="Y699" s="559"/>
      <c r="Z699" s="559"/>
      <c r="AA699" s="559"/>
      <c r="AB699" s="559"/>
      <c r="AC699" s="559"/>
      <c r="AD699" s="559"/>
      <c r="AE699" s="559"/>
      <c r="AF699" s="559"/>
      <c r="AG699" s="559"/>
    </row>
    <row r="700" spans="1:33" ht="18" x14ac:dyDescent="0.35">
      <c r="A700" s="559"/>
      <c r="B700" s="559"/>
      <c r="C700" s="559"/>
      <c r="D700" s="559"/>
      <c r="E700" s="559"/>
      <c r="F700" s="559"/>
      <c r="G700" s="559"/>
      <c r="H700" s="559"/>
      <c r="I700" s="559"/>
      <c r="J700" s="559"/>
      <c r="K700" s="559"/>
      <c r="L700" s="559"/>
      <c r="M700" s="559"/>
      <c r="N700" s="559"/>
      <c r="O700" s="559"/>
      <c r="P700" s="559"/>
      <c r="Q700" s="559"/>
      <c r="R700" s="559"/>
      <c r="S700" s="559"/>
      <c r="T700" s="559"/>
      <c r="U700" s="559"/>
      <c r="V700" s="559"/>
      <c r="W700" s="559"/>
      <c r="X700" s="559"/>
      <c r="Y700" s="559"/>
      <c r="Z700" s="559"/>
      <c r="AA700" s="559"/>
      <c r="AB700" s="559"/>
      <c r="AC700" s="559"/>
      <c r="AD700" s="559"/>
      <c r="AE700" s="559"/>
      <c r="AF700" s="559"/>
      <c r="AG700" s="559"/>
    </row>
    <row r="701" spans="1:33" ht="18" x14ac:dyDescent="0.35">
      <c r="A701" s="559"/>
      <c r="B701" s="559"/>
      <c r="C701" s="559"/>
      <c r="D701" s="559"/>
      <c r="E701" s="559"/>
      <c r="F701" s="559"/>
      <c r="G701" s="559"/>
      <c r="H701" s="559"/>
      <c r="I701" s="559"/>
      <c r="J701" s="559"/>
      <c r="K701" s="559"/>
      <c r="L701" s="559"/>
      <c r="M701" s="559"/>
      <c r="N701" s="559"/>
      <c r="O701" s="559"/>
      <c r="P701" s="559"/>
      <c r="Q701" s="559"/>
      <c r="R701" s="559"/>
      <c r="S701" s="559"/>
      <c r="T701" s="559"/>
      <c r="U701" s="559"/>
      <c r="V701" s="559"/>
      <c r="W701" s="559"/>
      <c r="X701" s="559"/>
      <c r="Y701" s="559"/>
      <c r="Z701" s="559"/>
      <c r="AA701" s="559"/>
      <c r="AB701" s="559"/>
      <c r="AC701" s="559"/>
      <c r="AD701" s="559"/>
      <c r="AE701" s="559"/>
      <c r="AF701" s="559"/>
      <c r="AG701" s="559"/>
    </row>
    <row r="702" spans="1:33" ht="18" x14ac:dyDescent="0.35">
      <c r="A702" s="559"/>
      <c r="B702" s="559"/>
      <c r="C702" s="559"/>
      <c r="D702" s="559"/>
      <c r="E702" s="559"/>
      <c r="F702" s="559"/>
      <c r="G702" s="559"/>
      <c r="H702" s="559"/>
      <c r="I702" s="559"/>
      <c r="J702" s="559"/>
      <c r="K702" s="559"/>
      <c r="L702" s="559"/>
      <c r="M702" s="559"/>
      <c r="N702" s="559"/>
      <c r="O702" s="559"/>
      <c r="P702" s="559"/>
      <c r="Q702" s="559"/>
      <c r="R702" s="559"/>
      <c r="S702" s="559"/>
      <c r="T702" s="559"/>
      <c r="U702" s="559"/>
      <c r="V702" s="559"/>
      <c r="W702" s="559"/>
      <c r="X702" s="559"/>
      <c r="Y702" s="559"/>
      <c r="Z702" s="559"/>
      <c r="AA702" s="559"/>
      <c r="AB702" s="559"/>
      <c r="AC702" s="559"/>
      <c r="AD702" s="559"/>
      <c r="AE702" s="559"/>
      <c r="AF702" s="559"/>
      <c r="AG702" s="559"/>
    </row>
    <row r="703" spans="1:33" ht="18" x14ac:dyDescent="0.35">
      <c r="A703" s="559"/>
      <c r="B703" s="559"/>
      <c r="C703" s="559"/>
      <c r="D703" s="559"/>
      <c r="E703" s="559"/>
      <c r="F703" s="559"/>
      <c r="G703" s="559"/>
      <c r="H703" s="559"/>
      <c r="I703" s="559"/>
      <c r="J703" s="559"/>
      <c r="K703" s="559"/>
      <c r="L703" s="559"/>
      <c r="M703" s="559"/>
      <c r="N703" s="559"/>
      <c r="O703" s="559"/>
      <c r="P703" s="559"/>
      <c r="Q703" s="559"/>
      <c r="R703" s="559"/>
      <c r="S703" s="559"/>
      <c r="T703" s="559"/>
      <c r="U703" s="559"/>
      <c r="V703" s="559"/>
      <c r="W703" s="559"/>
      <c r="X703" s="559"/>
      <c r="Y703" s="559"/>
      <c r="Z703" s="559"/>
      <c r="AA703" s="559"/>
      <c r="AB703" s="559"/>
      <c r="AC703" s="559"/>
      <c r="AD703" s="559"/>
      <c r="AE703" s="559"/>
      <c r="AF703" s="559"/>
      <c r="AG703" s="559"/>
    </row>
    <row r="704" spans="1:33" ht="18" x14ac:dyDescent="0.35">
      <c r="A704" s="559"/>
      <c r="B704" s="559"/>
      <c r="C704" s="559"/>
      <c r="D704" s="559"/>
      <c r="E704" s="559"/>
      <c r="F704" s="559"/>
      <c r="G704" s="559"/>
      <c r="H704" s="559"/>
      <c r="I704" s="559"/>
      <c r="J704" s="559"/>
      <c r="K704" s="559"/>
      <c r="L704" s="559"/>
      <c r="M704" s="559"/>
      <c r="N704" s="559"/>
      <c r="O704" s="559"/>
      <c r="P704" s="559"/>
      <c r="Q704" s="559"/>
      <c r="R704" s="559"/>
      <c r="S704" s="559"/>
      <c r="T704" s="559"/>
      <c r="U704" s="559"/>
      <c r="V704" s="559"/>
      <c r="W704" s="559"/>
      <c r="X704" s="559"/>
      <c r="Y704" s="559"/>
      <c r="Z704" s="559"/>
      <c r="AA704" s="559"/>
      <c r="AB704" s="559"/>
      <c r="AC704" s="559"/>
      <c r="AD704" s="559"/>
      <c r="AE704" s="559"/>
      <c r="AF704" s="559"/>
      <c r="AG704" s="559"/>
    </row>
    <row r="705" spans="1:33" ht="18" x14ac:dyDescent="0.35">
      <c r="A705" s="559"/>
      <c r="B705" s="559"/>
      <c r="C705" s="559"/>
      <c r="D705" s="559"/>
      <c r="E705" s="559"/>
      <c r="F705" s="559"/>
      <c r="G705" s="559"/>
      <c r="H705" s="559"/>
      <c r="I705" s="559"/>
      <c r="J705" s="559"/>
      <c r="K705" s="559"/>
      <c r="L705" s="559"/>
      <c r="M705" s="559"/>
      <c r="N705" s="559"/>
      <c r="O705" s="559"/>
      <c r="P705" s="559"/>
      <c r="Q705" s="559"/>
      <c r="R705" s="559"/>
      <c r="S705" s="559"/>
      <c r="T705" s="559"/>
      <c r="U705" s="559"/>
      <c r="V705" s="559"/>
      <c r="W705" s="559"/>
      <c r="X705" s="559"/>
      <c r="Y705" s="559"/>
      <c r="Z705" s="559"/>
      <c r="AA705" s="559"/>
      <c r="AB705" s="559"/>
      <c r="AC705" s="559"/>
      <c r="AD705" s="559"/>
      <c r="AE705" s="559"/>
      <c r="AF705" s="559"/>
      <c r="AG705" s="559"/>
    </row>
    <row r="706" spans="1:33" ht="18" x14ac:dyDescent="0.35">
      <c r="A706" s="559"/>
      <c r="B706" s="559"/>
      <c r="C706" s="559"/>
      <c r="D706" s="559"/>
      <c r="E706" s="559"/>
      <c r="F706" s="559"/>
      <c r="G706" s="559"/>
      <c r="H706" s="559"/>
      <c r="I706" s="559"/>
      <c r="J706" s="559"/>
      <c r="K706" s="559"/>
      <c r="L706" s="559"/>
      <c r="M706" s="559"/>
      <c r="N706" s="559"/>
      <c r="O706" s="559"/>
      <c r="P706" s="559"/>
      <c r="Q706" s="559"/>
      <c r="R706" s="559"/>
      <c r="S706" s="559"/>
      <c r="T706" s="559"/>
      <c r="U706" s="559"/>
      <c r="V706" s="559"/>
      <c r="W706" s="559"/>
      <c r="X706" s="559"/>
      <c r="Y706" s="559"/>
      <c r="Z706" s="559"/>
      <c r="AA706" s="559"/>
      <c r="AB706" s="559"/>
      <c r="AC706" s="559"/>
      <c r="AD706" s="559"/>
      <c r="AE706" s="559"/>
      <c r="AF706" s="559"/>
      <c r="AG706" s="559"/>
    </row>
    <row r="707" spans="1:33" ht="18" x14ac:dyDescent="0.35">
      <c r="A707" s="559"/>
      <c r="B707" s="559"/>
      <c r="C707" s="559"/>
      <c r="D707" s="559"/>
      <c r="E707" s="559"/>
      <c r="F707" s="559"/>
      <c r="G707" s="559"/>
      <c r="H707" s="559"/>
      <c r="I707" s="559"/>
      <c r="J707" s="559"/>
      <c r="K707" s="559"/>
      <c r="L707" s="559"/>
      <c r="M707" s="559"/>
      <c r="N707" s="559"/>
      <c r="O707" s="559"/>
      <c r="P707" s="559"/>
      <c r="Q707" s="559"/>
      <c r="R707" s="559"/>
      <c r="S707" s="559"/>
      <c r="T707" s="559"/>
      <c r="U707" s="559"/>
      <c r="V707" s="559"/>
      <c r="W707" s="559"/>
      <c r="X707" s="559"/>
      <c r="Y707" s="559"/>
      <c r="Z707" s="559"/>
      <c r="AA707" s="559"/>
      <c r="AB707" s="559"/>
      <c r="AC707" s="559"/>
      <c r="AD707" s="559"/>
      <c r="AE707" s="559"/>
      <c r="AF707" s="559"/>
      <c r="AG707" s="559"/>
    </row>
    <row r="708" spans="1:33" ht="18" x14ac:dyDescent="0.35">
      <c r="A708" s="559"/>
      <c r="B708" s="559"/>
      <c r="C708" s="559"/>
      <c r="D708" s="559"/>
      <c r="E708" s="559"/>
      <c r="F708" s="559"/>
      <c r="G708" s="559"/>
      <c r="H708" s="559"/>
      <c r="I708" s="559"/>
      <c r="J708" s="559"/>
      <c r="K708" s="559"/>
      <c r="L708" s="559"/>
      <c r="M708" s="559"/>
      <c r="N708" s="559"/>
      <c r="O708" s="559"/>
      <c r="P708" s="559"/>
      <c r="Q708" s="559"/>
      <c r="R708" s="559"/>
      <c r="S708" s="559"/>
      <c r="T708" s="559"/>
      <c r="U708" s="559"/>
      <c r="V708" s="559"/>
      <c r="W708" s="559"/>
      <c r="X708" s="559"/>
      <c r="Y708" s="559"/>
      <c r="Z708" s="559"/>
      <c r="AA708" s="559"/>
      <c r="AB708" s="559"/>
      <c r="AC708" s="559"/>
      <c r="AD708" s="559"/>
      <c r="AE708" s="559"/>
      <c r="AF708" s="559"/>
      <c r="AG708" s="559"/>
    </row>
    <row r="709" spans="1:33" ht="18" x14ac:dyDescent="0.35">
      <c r="A709" s="559"/>
      <c r="B709" s="559"/>
      <c r="C709" s="559"/>
      <c r="D709" s="559"/>
      <c r="E709" s="559"/>
      <c r="F709" s="559"/>
      <c r="G709" s="559"/>
      <c r="H709" s="559"/>
      <c r="I709" s="559"/>
      <c r="J709" s="559"/>
      <c r="K709" s="559"/>
      <c r="L709" s="559"/>
      <c r="M709" s="559"/>
      <c r="N709" s="559"/>
      <c r="O709" s="559"/>
      <c r="P709" s="559"/>
      <c r="Q709" s="559"/>
      <c r="R709" s="559"/>
      <c r="S709" s="559"/>
      <c r="T709" s="559"/>
      <c r="U709" s="559"/>
      <c r="V709" s="559"/>
      <c r="W709" s="559"/>
      <c r="X709" s="559"/>
      <c r="Y709" s="559"/>
      <c r="Z709" s="559"/>
      <c r="AA709" s="559"/>
      <c r="AB709" s="559"/>
      <c r="AC709" s="559"/>
      <c r="AD709" s="559"/>
      <c r="AE709" s="559"/>
      <c r="AF709" s="559"/>
      <c r="AG709" s="559"/>
    </row>
    <row r="710" spans="1:33" ht="18" x14ac:dyDescent="0.35">
      <c r="A710" s="559"/>
      <c r="B710" s="559"/>
      <c r="C710" s="559"/>
      <c r="D710" s="559"/>
      <c r="E710" s="559"/>
      <c r="F710" s="559"/>
      <c r="G710" s="559"/>
      <c r="H710" s="559"/>
      <c r="I710" s="559"/>
      <c r="J710" s="559"/>
      <c r="K710" s="559"/>
      <c r="L710" s="559"/>
      <c r="M710" s="559"/>
      <c r="N710" s="559"/>
      <c r="O710" s="559"/>
      <c r="P710" s="559"/>
      <c r="Q710" s="559"/>
      <c r="R710" s="559"/>
      <c r="S710" s="559"/>
      <c r="T710" s="559"/>
      <c r="U710" s="559"/>
      <c r="V710" s="559"/>
      <c r="W710" s="559"/>
      <c r="X710" s="559"/>
      <c r="Y710" s="559"/>
      <c r="Z710" s="559"/>
      <c r="AA710" s="559"/>
      <c r="AB710" s="559"/>
      <c r="AC710" s="559"/>
      <c r="AD710" s="559"/>
      <c r="AE710" s="559"/>
      <c r="AF710" s="559"/>
      <c r="AG710" s="559"/>
    </row>
    <row r="711" spans="1:33" ht="18" x14ac:dyDescent="0.35">
      <c r="A711" s="559"/>
      <c r="B711" s="559"/>
      <c r="C711" s="559"/>
      <c r="D711" s="559"/>
      <c r="E711" s="559"/>
      <c r="F711" s="559"/>
      <c r="G711" s="559"/>
      <c r="H711" s="559"/>
      <c r="I711" s="559"/>
      <c r="J711" s="559"/>
      <c r="K711" s="559"/>
      <c r="L711" s="559"/>
      <c r="M711" s="559"/>
      <c r="N711" s="559"/>
      <c r="O711" s="559"/>
      <c r="P711" s="559"/>
      <c r="Q711" s="559"/>
      <c r="R711" s="559"/>
      <c r="S711" s="559"/>
      <c r="T711" s="559"/>
      <c r="U711" s="559"/>
      <c r="V711" s="559"/>
      <c r="W711" s="559"/>
      <c r="X711" s="559"/>
      <c r="Y711" s="559"/>
      <c r="Z711" s="559"/>
      <c r="AA711" s="559"/>
      <c r="AB711" s="559"/>
      <c r="AC711" s="559"/>
      <c r="AD711" s="559"/>
      <c r="AE711" s="559"/>
      <c r="AF711" s="559"/>
      <c r="AG711" s="559"/>
    </row>
    <row r="712" spans="1:33" ht="18" x14ac:dyDescent="0.35">
      <c r="A712" s="559"/>
      <c r="B712" s="559"/>
      <c r="C712" s="559"/>
      <c r="D712" s="559"/>
      <c r="E712" s="559"/>
      <c r="F712" s="559"/>
      <c r="G712" s="559"/>
      <c r="H712" s="559"/>
      <c r="I712" s="559"/>
      <c r="J712" s="559"/>
      <c r="K712" s="559"/>
      <c r="L712" s="559"/>
      <c r="M712" s="559"/>
      <c r="N712" s="559"/>
      <c r="O712" s="559"/>
      <c r="P712" s="559"/>
      <c r="Q712" s="559"/>
      <c r="R712" s="559"/>
      <c r="S712" s="559"/>
      <c r="T712" s="559"/>
      <c r="U712" s="559"/>
      <c r="V712" s="559"/>
      <c r="W712" s="559"/>
      <c r="X712" s="559"/>
      <c r="Y712" s="559"/>
      <c r="Z712" s="559"/>
      <c r="AA712" s="559"/>
      <c r="AB712" s="559"/>
      <c r="AC712" s="559"/>
      <c r="AD712" s="559"/>
      <c r="AE712" s="559"/>
      <c r="AF712" s="559"/>
      <c r="AG712" s="559"/>
    </row>
    <row r="713" spans="1:33" ht="18" x14ac:dyDescent="0.35">
      <c r="A713" s="559"/>
      <c r="B713" s="559"/>
      <c r="C713" s="559"/>
      <c r="D713" s="559"/>
      <c r="E713" s="559"/>
      <c r="F713" s="559"/>
      <c r="G713" s="559"/>
      <c r="H713" s="559"/>
      <c r="I713" s="559"/>
      <c r="J713" s="559"/>
      <c r="K713" s="559"/>
      <c r="L713" s="559"/>
      <c r="M713" s="559"/>
      <c r="N713" s="559"/>
      <c r="O713" s="559"/>
      <c r="P713" s="559"/>
      <c r="Q713" s="559"/>
      <c r="R713" s="559"/>
      <c r="S713" s="559"/>
      <c r="T713" s="559"/>
      <c r="U713" s="559"/>
      <c r="V713" s="559"/>
      <c r="W713" s="559"/>
      <c r="X713" s="559"/>
      <c r="Y713" s="559"/>
      <c r="Z713" s="559"/>
      <c r="AA713" s="559"/>
      <c r="AB713" s="559"/>
      <c r="AC713" s="559"/>
      <c r="AD713" s="559"/>
      <c r="AE713" s="559"/>
      <c r="AF713" s="559"/>
      <c r="AG713" s="559"/>
    </row>
    <row r="714" spans="1:33" ht="18" x14ac:dyDescent="0.35">
      <c r="A714" s="559"/>
      <c r="B714" s="559"/>
      <c r="C714" s="559"/>
      <c r="D714" s="559"/>
      <c r="E714" s="559"/>
      <c r="F714" s="559"/>
      <c r="G714" s="559"/>
      <c r="H714" s="559"/>
      <c r="I714" s="559"/>
      <c r="J714" s="559"/>
      <c r="K714" s="559"/>
      <c r="L714" s="559"/>
      <c r="M714" s="559"/>
      <c r="N714" s="559"/>
      <c r="O714" s="559"/>
      <c r="P714" s="559"/>
      <c r="Q714" s="559"/>
      <c r="R714" s="559"/>
      <c r="S714" s="559"/>
      <c r="T714" s="559"/>
      <c r="U714" s="559"/>
      <c r="V714" s="559"/>
      <c r="W714" s="559"/>
      <c r="X714" s="559"/>
      <c r="Y714" s="559"/>
      <c r="Z714" s="559"/>
      <c r="AA714" s="559"/>
      <c r="AB714" s="559"/>
      <c r="AC714" s="559"/>
      <c r="AD714" s="559"/>
      <c r="AE714" s="559"/>
      <c r="AF714" s="559"/>
      <c r="AG714" s="559"/>
    </row>
    <row r="715" spans="1:33" ht="18" x14ac:dyDescent="0.35">
      <c r="A715" s="559"/>
      <c r="B715" s="559"/>
      <c r="C715" s="559"/>
      <c r="D715" s="559"/>
      <c r="E715" s="559"/>
      <c r="F715" s="559"/>
      <c r="G715" s="559"/>
      <c r="H715" s="559"/>
      <c r="I715" s="559"/>
      <c r="J715" s="559"/>
      <c r="K715" s="559"/>
      <c r="L715" s="559"/>
      <c r="M715" s="559"/>
      <c r="N715" s="559"/>
      <c r="O715" s="559"/>
      <c r="P715" s="559"/>
      <c r="Q715" s="559"/>
      <c r="R715" s="559"/>
      <c r="S715" s="559"/>
      <c r="T715" s="559"/>
      <c r="U715" s="559"/>
      <c r="V715" s="559"/>
      <c r="W715" s="559"/>
      <c r="X715" s="559"/>
      <c r="Y715" s="559"/>
      <c r="Z715" s="559"/>
      <c r="AA715" s="559"/>
      <c r="AB715" s="559"/>
      <c r="AC715" s="559"/>
      <c r="AD715" s="559"/>
      <c r="AE715" s="559"/>
      <c r="AF715" s="559"/>
      <c r="AG715" s="559"/>
    </row>
    <row r="716" spans="1:33" ht="18" x14ac:dyDescent="0.35">
      <c r="A716" s="559"/>
      <c r="B716" s="559"/>
      <c r="C716" s="559"/>
      <c r="D716" s="559"/>
      <c r="E716" s="559"/>
      <c r="F716" s="559"/>
      <c r="G716" s="559"/>
      <c r="H716" s="559"/>
      <c r="I716" s="559"/>
      <c r="J716" s="559"/>
      <c r="K716" s="559"/>
      <c r="L716" s="559"/>
      <c r="M716" s="559"/>
      <c r="N716" s="559"/>
      <c r="O716" s="559"/>
      <c r="P716" s="559"/>
      <c r="Q716" s="559"/>
      <c r="R716" s="559"/>
      <c r="S716" s="559"/>
      <c r="T716" s="559"/>
      <c r="U716" s="559"/>
      <c r="V716" s="559"/>
      <c r="W716" s="559"/>
      <c r="X716" s="559"/>
      <c r="Y716" s="559"/>
      <c r="Z716" s="559"/>
      <c r="AA716" s="559"/>
      <c r="AB716" s="559"/>
      <c r="AC716" s="559"/>
      <c r="AD716" s="559"/>
      <c r="AE716" s="559"/>
      <c r="AF716" s="559"/>
      <c r="AG716" s="559"/>
    </row>
    <row r="717" spans="1:33" ht="18" x14ac:dyDescent="0.35">
      <c r="A717" s="559"/>
      <c r="B717" s="559"/>
      <c r="C717" s="559"/>
      <c r="D717" s="559"/>
      <c r="E717" s="559"/>
      <c r="F717" s="559"/>
      <c r="G717" s="559"/>
      <c r="H717" s="559"/>
      <c r="I717" s="559"/>
      <c r="J717" s="559"/>
      <c r="K717" s="559"/>
      <c r="L717" s="559"/>
      <c r="M717" s="559"/>
      <c r="N717" s="559"/>
      <c r="O717" s="559"/>
      <c r="P717" s="559"/>
      <c r="Q717" s="559"/>
      <c r="R717" s="559"/>
      <c r="S717" s="559"/>
      <c r="T717" s="559"/>
      <c r="U717" s="559"/>
      <c r="V717" s="559"/>
      <c r="W717" s="559"/>
      <c r="X717" s="559"/>
      <c r="Y717" s="559"/>
      <c r="Z717" s="559"/>
      <c r="AA717" s="559"/>
      <c r="AB717" s="559"/>
      <c r="AC717" s="559"/>
      <c r="AD717" s="559"/>
      <c r="AE717" s="559"/>
      <c r="AF717" s="559"/>
      <c r="AG717" s="559"/>
    </row>
    <row r="718" spans="1:33" ht="18" x14ac:dyDescent="0.35">
      <c r="A718" s="559"/>
      <c r="B718" s="559"/>
      <c r="C718" s="559"/>
      <c r="D718" s="559"/>
      <c r="E718" s="559"/>
      <c r="F718" s="559"/>
      <c r="G718" s="559"/>
      <c r="H718" s="559"/>
      <c r="I718" s="559"/>
      <c r="J718" s="559"/>
      <c r="K718" s="559"/>
      <c r="L718" s="559"/>
      <c r="M718" s="559"/>
      <c r="N718" s="559"/>
      <c r="O718" s="559"/>
      <c r="P718" s="559"/>
      <c r="Q718" s="559"/>
      <c r="R718" s="559"/>
      <c r="S718" s="559"/>
      <c r="T718" s="559"/>
      <c r="U718" s="559"/>
      <c r="V718" s="559"/>
      <c r="W718" s="559"/>
      <c r="X718" s="559"/>
      <c r="Y718" s="559"/>
      <c r="Z718" s="559"/>
      <c r="AA718" s="559"/>
      <c r="AB718" s="559"/>
      <c r="AC718" s="559"/>
      <c r="AD718" s="559"/>
      <c r="AE718" s="559"/>
      <c r="AF718" s="559"/>
      <c r="AG718" s="559"/>
    </row>
    <row r="719" spans="1:33" ht="18" x14ac:dyDescent="0.35">
      <c r="A719" s="559"/>
      <c r="B719" s="559"/>
      <c r="C719" s="559"/>
      <c r="D719" s="559"/>
      <c r="E719" s="559"/>
      <c r="F719" s="559"/>
      <c r="G719" s="559"/>
      <c r="H719" s="559"/>
      <c r="I719" s="559"/>
      <c r="J719" s="559"/>
      <c r="K719" s="559"/>
      <c r="L719" s="559"/>
      <c r="M719" s="559"/>
      <c r="N719" s="559"/>
      <c r="O719" s="559"/>
      <c r="P719" s="559"/>
      <c r="Q719" s="559"/>
      <c r="R719" s="559"/>
      <c r="S719" s="559"/>
      <c r="T719" s="559"/>
      <c r="U719" s="559"/>
      <c r="V719" s="559"/>
      <c r="W719" s="559"/>
      <c r="X719" s="559"/>
      <c r="Y719" s="559"/>
      <c r="Z719" s="559"/>
      <c r="AA719" s="559"/>
      <c r="AB719" s="559"/>
      <c r="AC719" s="559"/>
      <c r="AD719" s="559"/>
      <c r="AE719" s="559"/>
      <c r="AF719" s="559"/>
      <c r="AG719" s="559"/>
    </row>
    <row r="720" spans="1:33" ht="18" x14ac:dyDescent="0.35">
      <c r="A720" s="559"/>
      <c r="B720" s="559"/>
      <c r="C720" s="559"/>
      <c r="D720" s="559"/>
      <c r="E720" s="559"/>
      <c r="F720" s="559"/>
      <c r="G720" s="559"/>
      <c r="H720" s="559"/>
      <c r="I720" s="559"/>
      <c r="J720" s="559"/>
      <c r="K720" s="559"/>
      <c r="L720" s="559"/>
      <c r="M720" s="559"/>
      <c r="N720" s="559"/>
      <c r="O720" s="559"/>
      <c r="P720" s="559"/>
      <c r="Q720" s="559"/>
      <c r="R720" s="559"/>
      <c r="S720" s="559"/>
      <c r="T720" s="559"/>
      <c r="U720" s="559"/>
      <c r="V720" s="559"/>
      <c r="W720" s="559"/>
      <c r="X720" s="559"/>
      <c r="Y720" s="559"/>
      <c r="Z720" s="559"/>
      <c r="AA720" s="559"/>
      <c r="AB720" s="559"/>
      <c r="AC720" s="559"/>
      <c r="AD720" s="559"/>
      <c r="AE720" s="559"/>
      <c r="AF720" s="559"/>
      <c r="AG720" s="559"/>
    </row>
    <row r="721" spans="1:33" ht="18" x14ac:dyDescent="0.35">
      <c r="A721" s="559"/>
      <c r="B721" s="559"/>
      <c r="C721" s="559"/>
      <c r="D721" s="559"/>
      <c r="E721" s="559"/>
      <c r="F721" s="559"/>
      <c r="G721" s="559"/>
      <c r="H721" s="559"/>
      <c r="I721" s="559"/>
      <c r="J721" s="559"/>
      <c r="K721" s="559"/>
      <c r="L721" s="559"/>
      <c r="M721" s="559"/>
      <c r="N721" s="559"/>
      <c r="O721" s="559"/>
      <c r="P721" s="559"/>
      <c r="Q721" s="559"/>
      <c r="R721" s="559"/>
      <c r="S721" s="559"/>
      <c r="T721" s="559"/>
      <c r="U721" s="559"/>
      <c r="V721" s="559"/>
      <c r="W721" s="559"/>
      <c r="X721" s="559"/>
      <c r="Y721" s="559"/>
      <c r="Z721" s="559"/>
      <c r="AA721" s="559"/>
      <c r="AB721" s="559"/>
      <c r="AC721" s="559"/>
      <c r="AD721" s="559"/>
      <c r="AE721" s="559"/>
      <c r="AF721" s="559"/>
      <c r="AG721" s="559"/>
    </row>
    <row r="722" spans="1:33" ht="18" x14ac:dyDescent="0.35">
      <c r="A722" s="559"/>
      <c r="B722" s="559"/>
      <c r="C722" s="559"/>
      <c r="D722" s="559"/>
      <c r="E722" s="559"/>
      <c r="F722" s="559"/>
      <c r="G722" s="559"/>
      <c r="H722" s="559"/>
      <c r="I722" s="559"/>
      <c r="J722" s="559"/>
      <c r="K722" s="559"/>
      <c r="L722" s="559"/>
      <c r="M722" s="559"/>
      <c r="N722" s="559"/>
      <c r="O722" s="559"/>
      <c r="P722" s="559"/>
      <c r="Q722" s="559"/>
      <c r="R722" s="559"/>
      <c r="S722" s="559"/>
      <c r="T722" s="559"/>
      <c r="U722" s="559"/>
      <c r="V722" s="559"/>
      <c r="W722" s="559"/>
      <c r="X722" s="559"/>
      <c r="Y722" s="559"/>
      <c r="Z722" s="559"/>
      <c r="AA722" s="559"/>
      <c r="AB722" s="559"/>
      <c r="AC722" s="559"/>
      <c r="AD722" s="559"/>
      <c r="AE722" s="559"/>
      <c r="AF722" s="559"/>
      <c r="AG722" s="559"/>
    </row>
    <row r="723" spans="1:33" ht="18" x14ac:dyDescent="0.35">
      <c r="A723" s="559"/>
      <c r="B723" s="559"/>
      <c r="C723" s="559"/>
      <c r="D723" s="559"/>
      <c r="E723" s="559"/>
      <c r="F723" s="559"/>
      <c r="G723" s="559"/>
      <c r="H723" s="559"/>
      <c r="I723" s="559"/>
      <c r="J723" s="559"/>
      <c r="K723" s="559"/>
      <c r="L723" s="559"/>
      <c r="M723" s="559"/>
      <c r="N723" s="559"/>
      <c r="O723" s="559"/>
      <c r="P723" s="559"/>
      <c r="Q723" s="559"/>
      <c r="R723" s="559"/>
      <c r="S723" s="559"/>
      <c r="T723" s="559"/>
      <c r="U723" s="559"/>
      <c r="V723" s="559"/>
      <c r="W723" s="559"/>
      <c r="X723" s="559"/>
      <c r="Y723" s="559"/>
      <c r="Z723" s="559"/>
      <c r="AA723" s="559"/>
      <c r="AB723" s="559"/>
      <c r="AC723" s="559"/>
      <c r="AD723" s="559"/>
      <c r="AE723" s="559"/>
      <c r="AF723" s="559"/>
      <c r="AG723" s="559"/>
    </row>
    <row r="724" spans="1:33" ht="18" x14ac:dyDescent="0.35">
      <c r="A724" s="559"/>
      <c r="B724" s="559"/>
      <c r="C724" s="559"/>
      <c r="D724" s="559"/>
      <c r="E724" s="559"/>
      <c r="F724" s="559"/>
      <c r="G724" s="559"/>
      <c r="H724" s="559"/>
      <c r="I724" s="559"/>
      <c r="J724" s="559"/>
      <c r="K724" s="559"/>
      <c r="L724" s="559"/>
      <c r="M724" s="559"/>
      <c r="N724" s="559"/>
      <c r="O724" s="559"/>
      <c r="P724" s="559"/>
      <c r="Q724" s="559"/>
      <c r="R724" s="559"/>
      <c r="S724" s="559"/>
      <c r="T724" s="559"/>
      <c r="U724" s="559"/>
      <c r="V724" s="559"/>
      <c r="W724" s="559"/>
      <c r="X724" s="559"/>
      <c r="Y724" s="559"/>
      <c r="Z724" s="559"/>
      <c r="AA724" s="559"/>
      <c r="AB724" s="559"/>
      <c r="AC724" s="559"/>
      <c r="AD724" s="559"/>
      <c r="AE724" s="559"/>
      <c r="AF724" s="559"/>
      <c r="AG724" s="559"/>
    </row>
    <row r="725" spans="1:33" ht="18" x14ac:dyDescent="0.35">
      <c r="A725" s="559"/>
      <c r="B725" s="559"/>
      <c r="C725" s="559"/>
      <c r="D725" s="559"/>
      <c r="E725" s="559"/>
      <c r="F725" s="559"/>
      <c r="G725" s="559"/>
      <c r="H725" s="559"/>
      <c r="I725" s="559"/>
      <c r="J725" s="559"/>
      <c r="K725" s="559"/>
      <c r="L725" s="559"/>
      <c r="M725" s="559"/>
      <c r="N725" s="559"/>
      <c r="O725" s="559"/>
      <c r="P725" s="559"/>
      <c r="Q725" s="559"/>
      <c r="R725" s="559"/>
      <c r="S725" s="559"/>
      <c r="T725" s="559"/>
      <c r="U725" s="559"/>
      <c r="V725" s="559"/>
      <c r="W725" s="559"/>
      <c r="X725" s="559"/>
      <c r="Y725" s="559"/>
      <c r="Z725" s="559"/>
      <c r="AA725" s="559"/>
      <c r="AB725" s="559"/>
      <c r="AC725" s="559"/>
      <c r="AD725" s="559"/>
      <c r="AE725" s="559"/>
      <c r="AF725" s="559"/>
      <c r="AG725" s="559"/>
    </row>
    <row r="726" spans="1:33" ht="18" x14ac:dyDescent="0.35">
      <c r="A726" s="559"/>
      <c r="B726" s="559"/>
      <c r="C726" s="559"/>
      <c r="D726" s="559"/>
      <c r="E726" s="559"/>
      <c r="F726" s="559"/>
      <c r="G726" s="559"/>
      <c r="H726" s="559"/>
      <c r="I726" s="559"/>
      <c r="J726" s="559"/>
      <c r="K726" s="559"/>
      <c r="L726" s="559"/>
      <c r="M726" s="559"/>
      <c r="N726" s="559"/>
      <c r="O726" s="559"/>
      <c r="P726" s="559"/>
      <c r="Q726" s="559"/>
      <c r="R726" s="559"/>
      <c r="S726" s="559"/>
      <c r="T726" s="559"/>
      <c r="U726" s="559"/>
      <c r="V726" s="559"/>
      <c r="W726" s="559"/>
      <c r="X726" s="559"/>
      <c r="Y726" s="559"/>
      <c r="Z726" s="559"/>
      <c r="AA726" s="559"/>
      <c r="AB726" s="559"/>
      <c r="AC726" s="559"/>
      <c r="AD726" s="559"/>
      <c r="AE726" s="559"/>
      <c r="AF726" s="559"/>
      <c r="AG726" s="559"/>
    </row>
    <row r="727" spans="1:33" ht="18" x14ac:dyDescent="0.35">
      <c r="A727" s="559"/>
      <c r="B727" s="559"/>
      <c r="C727" s="559"/>
      <c r="D727" s="559"/>
      <c r="E727" s="559"/>
      <c r="F727" s="559"/>
      <c r="G727" s="559"/>
      <c r="H727" s="559"/>
      <c r="I727" s="559"/>
      <c r="J727" s="559"/>
      <c r="K727" s="559"/>
      <c r="L727" s="559"/>
      <c r="M727" s="559"/>
      <c r="N727" s="559"/>
      <c r="O727" s="559"/>
      <c r="P727" s="559"/>
      <c r="Q727" s="559"/>
      <c r="R727" s="559"/>
      <c r="S727" s="559"/>
      <c r="T727" s="559"/>
      <c r="U727" s="559"/>
      <c r="V727" s="559"/>
      <c r="W727" s="559"/>
      <c r="X727" s="559"/>
      <c r="Y727" s="559"/>
      <c r="Z727" s="559"/>
      <c r="AA727" s="559"/>
      <c r="AB727" s="559"/>
      <c r="AC727" s="559"/>
      <c r="AD727" s="559"/>
      <c r="AE727" s="559"/>
      <c r="AF727" s="559"/>
      <c r="AG727" s="559"/>
    </row>
    <row r="728" spans="1:33" ht="18" x14ac:dyDescent="0.35">
      <c r="A728" s="559"/>
      <c r="B728" s="559"/>
      <c r="C728" s="559"/>
      <c r="D728" s="559"/>
      <c r="E728" s="559"/>
      <c r="F728" s="559"/>
      <c r="G728" s="559"/>
      <c r="H728" s="559"/>
      <c r="I728" s="559"/>
      <c r="J728" s="559"/>
      <c r="K728" s="559"/>
      <c r="L728" s="559"/>
      <c r="M728" s="559"/>
      <c r="N728" s="559"/>
      <c r="O728" s="559"/>
      <c r="P728" s="559"/>
      <c r="Q728" s="559"/>
      <c r="R728" s="559"/>
      <c r="S728" s="559"/>
      <c r="T728" s="559"/>
      <c r="U728" s="559"/>
      <c r="V728" s="559"/>
      <c r="W728" s="559"/>
      <c r="X728" s="559"/>
      <c r="Y728" s="559"/>
      <c r="Z728" s="559"/>
      <c r="AA728" s="559"/>
      <c r="AB728" s="559"/>
      <c r="AC728" s="559"/>
      <c r="AD728" s="559"/>
      <c r="AE728" s="559"/>
      <c r="AF728" s="559"/>
      <c r="AG728" s="559"/>
    </row>
    <row r="729" spans="1:33" ht="18" x14ac:dyDescent="0.35">
      <c r="A729" s="559"/>
      <c r="B729" s="559"/>
      <c r="C729" s="559"/>
      <c r="D729" s="559"/>
      <c r="E729" s="559"/>
      <c r="F729" s="559"/>
      <c r="G729" s="559"/>
      <c r="H729" s="559"/>
      <c r="I729" s="559"/>
      <c r="J729" s="559"/>
      <c r="K729" s="559"/>
      <c r="L729" s="559"/>
      <c r="M729" s="559"/>
      <c r="N729" s="559"/>
      <c r="O729" s="559"/>
      <c r="P729" s="559"/>
      <c r="Q729" s="559"/>
      <c r="R729" s="559"/>
      <c r="S729" s="559"/>
      <c r="T729" s="559"/>
      <c r="U729" s="559"/>
      <c r="V729" s="559"/>
      <c r="W729" s="559"/>
      <c r="X729" s="559"/>
      <c r="Y729" s="559"/>
      <c r="Z729" s="559"/>
      <c r="AA729" s="559"/>
      <c r="AB729" s="559"/>
      <c r="AC729" s="559"/>
      <c r="AD729" s="559"/>
      <c r="AE729" s="559"/>
      <c r="AF729" s="559"/>
      <c r="AG729" s="559"/>
    </row>
    <row r="730" spans="1:33" ht="18" x14ac:dyDescent="0.35">
      <c r="A730" s="559"/>
      <c r="B730" s="559"/>
      <c r="C730" s="559"/>
      <c r="D730" s="559"/>
      <c r="E730" s="559"/>
      <c r="F730" s="559"/>
      <c r="G730" s="559"/>
      <c r="H730" s="559"/>
      <c r="I730" s="559"/>
      <c r="J730" s="559"/>
      <c r="K730" s="559"/>
      <c r="L730" s="559"/>
      <c r="M730" s="559"/>
      <c r="N730" s="559"/>
      <c r="O730" s="559"/>
      <c r="P730" s="559"/>
      <c r="Q730" s="559"/>
      <c r="R730" s="559"/>
      <c r="S730" s="559"/>
      <c r="T730" s="559"/>
      <c r="U730" s="559"/>
      <c r="V730" s="559"/>
      <c r="W730" s="559"/>
      <c r="X730" s="559"/>
      <c r="Y730" s="559"/>
      <c r="Z730" s="559"/>
      <c r="AA730" s="559"/>
      <c r="AB730" s="559"/>
      <c r="AC730" s="559"/>
      <c r="AD730" s="559"/>
      <c r="AE730" s="559"/>
      <c r="AF730" s="559"/>
      <c r="AG730" s="559"/>
    </row>
    <row r="731" spans="1:33" ht="18" x14ac:dyDescent="0.35">
      <c r="A731" s="559"/>
      <c r="B731" s="559"/>
      <c r="C731" s="559"/>
      <c r="D731" s="559"/>
      <c r="E731" s="559"/>
      <c r="F731" s="559"/>
      <c r="G731" s="559"/>
      <c r="H731" s="559"/>
      <c r="I731" s="559"/>
      <c r="J731" s="559"/>
      <c r="K731" s="559"/>
      <c r="L731" s="559"/>
      <c r="M731" s="559"/>
      <c r="N731" s="559"/>
      <c r="O731" s="559"/>
      <c r="P731" s="559"/>
      <c r="Q731" s="559"/>
      <c r="R731" s="559"/>
      <c r="S731" s="559"/>
      <c r="T731" s="559"/>
      <c r="U731" s="559"/>
      <c r="V731" s="559"/>
      <c r="W731" s="559"/>
      <c r="X731" s="559"/>
      <c r="Y731" s="559"/>
      <c r="Z731" s="559"/>
      <c r="AA731" s="559"/>
      <c r="AB731" s="559"/>
      <c r="AC731" s="559"/>
      <c r="AD731" s="559"/>
      <c r="AE731" s="559"/>
      <c r="AF731" s="559"/>
      <c r="AG731" s="559"/>
    </row>
    <row r="732" spans="1:33" ht="18" x14ac:dyDescent="0.35">
      <c r="A732" s="559"/>
      <c r="B732" s="559"/>
      <c r="C732" s="559"/>
      <c r="D732" s="559"/>
      <c r="E732" s="559"/>
      <c r="F732" s="559"/>
      <c r="G732" s="559"/>
      <c r="H732" s="559"/>
      <c r="I732" s="559"/>
      <c r="J732" s="559"/>
      <c r="K732" s="559"/>
      <c r="L732" s="559"/>
      <c r="M732" s="559"/>
      <c r="N732" s="559"/>
      <c r="O732" s="559"/>
      <c r="P732" s="559"/>
      <c r="Q732" s="559"/>
      <c r="R732" s="559"/>
      <c r="S732" s="559"/>
      <c r="T732" s="559"/>
      <c r="U732" s="559"/>
      <c r="V732" s="559"/>
      <c r="W732" s="559"/>
      <c r="X732" s="559"/>
      <c r="Y732" s="559"/>
      <c r="Z732" s="559"/>
      <c r="AA732" s="559"/>
      <c r="AB732" s="559"/>
      <c r="AC732" s="559"/>
      <c r="AD732" s="559"/>
      <c r="AE732" s="559"/>
      <c r="AF732" s="559"/>
      <c r="AG732" s="559"/>
    </row>
    <row r="733" spans="1:33" ht="18" x14ac:dyDescent="0.35">
      <c r="A733" s="559"/>
      <c r="B733" s="559"/>
      <c r="C733" s="559"/>
      <c r="D733" s="559"/>
      <c r="E733" s="559"/>
      <c r="F733" s="559"/>
      <c r="G733" s="559"/>
      <c r="H733" s="559"/>
      <c r="I733" s="559"/>
      <c r="J733" s="559"/>
      <c r="K733" s="559"/>
      <c r="L733" s="559"/>
      <c r="M733" s="559"/>
      <c r="N733" s="559"/>
      <c r="O733" s="559"/>
      <c r="P733" s="559"/>
      <c r="Q733" s="559"/>
      <c r="R733" s="559"/>
      <c r="S733" s="559"/>
      <c r="T733" s="559"/>
      <c r="U733" s="559"/>
      <c r="V733" s="559"/>
      <c r="W733" s="559"/>
      <c r="X733" s="559"/>
      <c r="Y733" s="559"/>
      <c r="Z733" s="559"/>
      <c r="AA733" s="559"/>
      <c r="AB733" s="559"/>
      <c r="AC733" s="559"/>
      <c r="AD733" s="559"/>
      <c r="AE733" s="559"/>
      <c r="AF733" s="559"/>
      <c r="AG733" s="559"/>
    </row>
    <row r="734" spans="1:33" ht="18" x14ac:dyDescent="0.35">
      <c r="A734" s="559"/>
      <c r="B734" s="559"/>
      <c r="C734" s="559"/>
      <c r="D734" s="559"/>
      <c r="E734" s="559"/>
      <c r="F734" s="559"/>
      <c r="G734" s="559"/>
      <c r="H734" s="559"/>
      <c r="I734" s="559"/>
      <c r="J734" s="559"/>
      <c r="K734" s="559"/>
      <c r="L734" s="559"/>
      <c r="M734" s="559"/>
      <c r="N734" s="559"/>
      <c r="O734" s="559"/>
      <c r="P734" s="559"/>
      <c r="Q734" s="559"/>
      <c r="R734" s="559"/>
      <c r="S734" s="559"/>
      <c r="T734" s="559"/>
      <c r="U734" s="559"/>
      <c r="V734" s="559"/>
      <c r="W734" s="559"/>
      <c r="X734" s="559"/>
      <c r="Y734" s="559"/>
      <c r="Z734" s="559"/>
      <c r="AA734" s="559"/>
      <c r="AB734" s="559"/>
      <c r="AC734" s="559"/>
      <c r="AD734" s="559"/>
      <c r="AE734" s="559"/>
      <c r="AF734" s="559"/>
      <c r="AG734" s="559"/>
    </row>
    <row r="735" spans="1:33" ht="18" x14ac:dyDescent="0.35">
      <c r="A735" s="559"/>
      <c r="B735" s="559"/>
      <c r="C735" s="559"/>
      <c r="D735" s="559"/>
      <c r="E735" s="559"/>
      <c r="F735" s="559"/>
      <c r="G735" s="559"/>
      <c r="H735" s="559"/>
      <c r="I735" s="559"/>
      <c r="J735" s="559"/>
      <c r="K735" s="559"/>
      <c r="L735" s="559"/>
      <c r="M735" s="559"/>
      <c r="N735" s="559"/>
      <c r="O735" s="559"/>
      <c r="P735" s="559"/>
      <c r="Q735" s="559"/>
      <c r="R735" s="559"/>
      <c r="S735" s="559"/>
      <c r="T735" s="559"/>
      <c r="U735" s="559"/>
      <c r="V735" s="559"/>
      <c r="W735" s="559"/>
      <c r="X735" s="559"/>
      <c r="Y735" s="559"/>
      <c r="Z735" s="559"/>
      <c r="AA735" s="559"/>
      <c r="AB735" s="559"/>
      <c r="AC735" s="559"/>
      <c r="AD735" s="559"/>
      <c r="AE735" s="559"/>
      <c r="AF735" s="559"/>
      <c r="AG735" s="559"/>
    </row>
    <row r="736" spans="1:33" ht="18" x14ac:dyDescent="0.35">
      <c r="A736" s="559"/>
      <c r="B736" s="559"/>
      <c r="C736" s="559"/>
      <c r="D736" s="559"/>
      <c r="E736" s="559"/>
      <c r="F736" s="559"/>
      <c r="G736" s="559"/>
      <c r="H736" s="559"/>
      <c r="I736" s="559"/>
      <c r="J736" s="559"/>
      <c r="K736" s="559"/>
      <c r="L736" s="559"/>
      <c r="M736" s="559"/>
      <c r="N736" s="559"/>
      <c r="O736" s="559"/>
      <c r="P736" s="559"/>
      <c r="Q736" s="559"/>
      <c r="R736" s="559"/>
      <c r="S736" s="559"/>
      <c r="T736" s="559"/>
      <c r="U736" s="559"/>
      <c r="V736" s="559"/>
      <c r="W736" s="559"/>
      <c r="X736" s="559"/>
      <c r="Y736" s="559"/>
      <c r="Z736" s="559"/>
      <c r="AA736" s="559"/>
      <c r="AB736" s="559"/>
      <c r="AC736" s="559"/>
      <c r="AD736" s="559"/>
      <c r="AE736" s="559"/>
      <c r="AF736" s="559"/>
      <c r="AG736" s="559"/>
    </row>
    <row r="737" spans="1:33" ht="18" x14ac:dyDescent="0.35">
      <c r="A737" s="559"/>
      <c r="B737" s="559"/>
      <c r="C737" s="559"/>
      <c r="D737" s="559"/>
      <c r="E737" s="559"/>
      <c r="F737" s="559"/>
      <c r="G737" s="559"/>
      <c r="H737" s="559"/>
      <c r="I737" s="559"/>
      <c r="J737" s="559"/>
      <c r="K737" s="559"/>
      <c r="L737" s="559"/>
      <c r="M737" s="559"/>
      <c r="N737" s="559"/>
      <c r="O737" s="559"/>
      <c r="P737" s="559"/>
      <c r="Q737" s="559"/>
      <c r="R737" s="559"/>
      <c r="S737" s="559"/>
      <c r="T737" s="559"/>
      <c r="U737" s="559"/>
      <c r="V737" s="559"/>
      <c r="W737" s="559"/>
      <c r="X737" s="559"/>
      <c r="Y737" s="559"/>
      <c r="Z737" s="559"/>
      <c r="AA737" s="559"/>
      <c r="AB737" s="559"/>
      <c r="AC737" s="559"/>
      <c r="AD737" s="559"/>
      <c r="AE737" s="559"/>
      <c r="AF737" s="559"/>
      <c r="AG737" s="559"/>
    </row>
    <row r="738" spans="1:33" ht="18" x14ac:dyDescent="0.35">
      <c r="A738" s="559"/>
      <c r="B738" s="559"/>
      <c r="C738" s="559"/>
      <c r="D738" s="559"/>
      <c r="E738" s="559"/>
      <c r="F738" s="559"/>
      <c r="G738" s="559"/>
      <c r="H738" s="559"/>
      <c r="I738" s="559"/>
      <c r="J738" s="559"/>
      <c r="K738" s="559"/>
      <c r="L738" s="559"/>
      <c r="M738" s="559"/>
      <c r="N738" s="559"/>
      <c r="O738" s="559"/>
      <c r="P738" s="559"/>
      <c r="Q738" s="559"/>
      <c r="R738" s="559"/>
      <c r="S738" s="559"/>
      <c r="T738" s="559"/>
      <c r="U738" s="559"/>
      <c r="V738" s="559"/>
      <c r="W738" s="559"/>
      <c r="X738" s="559"/>
      <c r="Y738" s="559"/>
      <c r="Z738" s="559"/>
      <c r="AA738" s="559"/>
      <c r="AB738" s="559"/>
      <c r="AC738" s="559"/>
      <c r="AD738" s="559"/>
      <c r="AE738" s="559"/>
      <c r="AF738" s="559"/>
      <c r="AG738" s="559"/>
    </row>
    <row r="739" spans="1:33" ht="18" x14ac:dyDescent="0.35">
      <c r="A739" s="559"/>
      <c r="B739" s="559"/>
      <c r="C739" s="559"/>
      <c r="D739" s="559"/>
      <c r="E739" s="559"/>
      <c r="F739" s="559"/>
      <c r="G739" s="559"/>
      <c r="H739" s="559"/>
      <c r="I739" s="559"/>
      <c r="J739" s="559"/>
      <c r="K739" s="559"/>
      <c r="L739" s="559"/>
      <c r="M739" s="559"/>
      <c r="N739" s="559"/>
      <c r="O739" s="559"/>
      <c r="P739" s="559"/>
      <c r="Q739" s="559"/>
      <c r="R739" s="559"/>
      <c r="S739" s="559"/>
      <c r="T739" s="559"/>
      <c r="U739" s="559"/>
      <c r="V739" s="559"/>
      <c r="W739" s="559"/>
      <c r="X739" s="559"/>
      <c r="Y739" s="559"/>
      <c r="Z739" s="559"/>
      <c r="AA739" s="559"/>
      <c r="AB739" s="559"/>
      <c r="AC739" s="559"/>
      <c r="AD739" s="559"/>
      <c r="AE739" s="559"/>
      <c r="AF739" s="559"/>
      <c r="AG739" s="559"/>
    </row>
    <row r="740" spans="1:33" ht="18" x14ac:dyDescent="0.35">
      <c r="A740" s="559"/>
      <c r="B740" s="559"/>
      <c r="C740" s="559"/>
      <c r="D740" s="559"/>
      <c r="E740" s="559"/>
      <c r="F740" s="559"/>
      <c r="G740" s="559"/>
      <c r="H740" s="559"/>
      <c r="I740" s="559"/>
      <c r="J740" s="559"/>
      <c r="K740" s="559"/>
      <c r="L740" s="559"/>
      <c r="M740" s="559"/>
      <c r="N740" s="559"/>
      <c r="O740" s="559"/>
      <c r="P740" s="559"/>
      <c r="Q740" s="559"/>
      <c r="R740" s="559"/>
      <c r="S740" s="559"/>
      <c r="T740" s="559"/>
      <c r="U740" s="559"/>
      <c r="V740" s="559"/>
      <c r="W740" s="559"/>
      <c r="X740" s="559"/>
      <c r="Y740" s="559"/>
      <c r="Z740" s="559"/>
      <c r="AA740" s="559"/>
      <c r="AB740" s="559"/>
      <c r="AC740" s="559"/>
      <c r="AD740" s="559"/>
      <c r="AE740" s="559"/>
      <c r="AF740" s="559"/>
      <c r="AG740" s="559"/>
    </row>
    <row r="741" spans="1:33" ht="18" x14ac:dyDescent="0.35">
      <c r="A741" s="559"/>
      <c r="B741" s="559"/>
      <c r="C741" s="559"/>
      <c r="D741" s="559"/>
      <c r="E741" s="559"/>
      <c r="F741" s="559"/>
      <c r="G741" s="559"/>
      <c r="H741" s="559"/>
      <c r="I741" s="559"/>
      <c r="J741" s="559"/>
      <c r="K741" s="559"/>
      <c r="L741" s="559"/>
      <c r="M741" s="559"/>
      <c r="N741" s="559"/>
      <c r="O741" s="559"/>
      <c r="P741" s="559"/>
      <c r="Q741" s="559"/>
      <c r="R741" s="559"/>
      <c r="S741" s="559"/>
      <c r="T741" s="559"/>
      <c r="U741" s="559"/>
      <c r="V741" s="559"/>
      <c r="W741" s="559"/>
      <c r="X741" s="559"/>
      <c r="Y741" s="559"/>
      <c r="Z741" s="559"/>
      <c r="AA741" s="559"/>
      <c r="AB741" s="559"/>
      <c r="AC741" s="559"/>
      <c r="AD741" s="559"/>
      <c r="AE741" s="559"/>
      <c r="AF741" s="559"/>
      <c r="AG741" s="559"/>
    </row>
    <row r="742" spans="1:33" ht="18" x14ac:dyDescent="0.35">
      <c r="A742" s="559"/>
      <c r="B742" s="559"/>
      <c r="C742" s="559"/>
      <c r="D742" s="559"/>
      <c r="E742" s="559"/>
      <c r="F742" s="559"/>
      <c r="G742" s="559"/>
      <c r="H742" s="559"/>
      <c r="I742" s="559"/>
      <c r="J742" s="559"/>
      <c r="K742" s="559"/>
      <c r="L742" s="559"/>
      <c r="M742" s="559"/>
      <c r="N742" s="559"/>
      <c r="O742" s="559"/>
      <c r="P742" s="559"/>
      <c r="Q742" s="559"/>
      <c r="R742" s="559"/>
      <c r="S742" s="559"/>
      <c r="T742" s="559"/>
      <c r="U742" s="559"/>
      <c r="V742" s="559"/>
      <c r="W742" s="559"/>
      <c r="X742" s="559"/>
      <c r="Y742" s="559"/>
      <c r="Z742" s="559"/>
      <c r="AA742" s="559"/>
      <c r="AB742" s="559"/>
      <c r="AC742" s="559"/>
      <c r="AD742" s="559"/>
      <c r="AE742" s="559"/>
      <c r="AF742" s="559"/>
      <c r="AG742" s="559"/>
    </row>
    <row r="743" spans="1:33" ht="18" x14ac:dyDescent="0.35">
      <c r="A743" s="559"/>
      <c r="B743" s="559"/>
      <c r="C743" s="559"/>
      <c r="D743" s="559"/>
      <c r="E743" s="559"/>
      <c r="F743" s="559"/>
      <c r="G743" s="559"/>
      <c r="H743" s="559"/>
      <c r="I743" s="559"/>
      <c r="J743" s="559"/>
      <c r="K743" s="559"/>
      <c r="L743" s="559"/>
      <c r="M743" s="559"/>
      <c r="N743" s="559"/>
      <c r="O743" s="559"/>
      <c r="P743" s="559"/>
      <c r="Q743" s="559"/>
      <c r="R743" s="559"/>
      <c r="S743" s="559"/>
      <c r="T743" s="559"/>
      <c r="U743" s="559"/>
      <c r="V743" s="559"/>
      <c r="W743" s="559"/>
      <c r="X743" s="559"/>
      <c r="Y743" s="559"/>
      <c r="Z743" s="559"/>
      <c r="AA743" s="559"/>
      <c r="AB743" s="559"/>
      <c r="AC743" s="559"/>
      <c r="AD743" s="559"/>
      <c r="AE743" s="559"/>
      <c r="AF743" s="559"/>
      <c r="AG743" s="559"/>
    </row>
    <row r="744" spans="1:33" ht="18" x14ac:dyDescent="0.35">
      <c r="A744" s="559"/>
      <c r="B744" s="559"/>
      <c r="C744" s="559"/>
      <c r="D744" s="559"/>
      <c r="E744" s="559"/>
      <c r="F744" s="559"/>
      <c r="G744" s="559"/>
      <c r="H744" s="559"/>
      <c r="I744" s="559"/>
      <c r="J744" s="559"/>
      <c r="K744" s="559"/>
      <c r="L744" s="559"/>
      <c r="M744" s="559"/>
      <c r="N744" s="559"/>
      <c r="O744" s="559"/>
      <c r="P744" s="559"/>
      <c r="Q744" s="559"/>
      <c r="R744" s="559"/>
      <c r="S744" s="559"/>
      <c r="T744" s="559"/>
      <c r="U744" s="559"/>
      <c r="V744" s="559"/>
      <c r="W744" s="559"/>
      <c r="X744" s="559"/>
      <c r="Y744" s="559"/>
      <c r="Z744" s="559"/>
      <c r="AA744" s="559"/>
      <c r="AB744" s="559"/>
      <c r="AC744" s="559"/>
      <c r="AD744" s="559"/>
      <c r="AE744" s="559"/>
      <c r="AF744" s="559"/>
      <c r="AG744" s="559"/>
    </row>
    <row r="745" spans="1:33" ht="18" x14ac:dyDescent="0.35">
      <c r="A745" s="559"/>
      <c r="B745" s="559"/>
      <c r="C745" s="559"/>
      <c r="D745" s="559"/>
      <c r="E745" s="559"/>
      <c r="F745" s="559"/>
      <c r="G745" s="559"/>
      <c r="H745" s="559"/>
      <c r="I745" s="559"/>
      <c r="J745" s="559"/>
      <c r="K745" s="559"/>
      <c r="L745" s="559"/>
      <c r="M745" s="559"/>
      <c r="N745" s="559"/>
      <c r="O745" s="559"/>
      <c r="P745" s="559"/>
      <c r="Q745" s="559"/>
      <c r="R745" s="559"/>
      <c r="S745" s="559"/>
      <c r="T745" s="559"/>
      <c r="U745" s="559"/>
      <c r="V745" s="559"/>
      <c r="W745" s="559"/>
      <c r="X745" s="559"/>
      <c r="Y745" s="559"/>
      <c r="Z745" s="559"/>
      <c r="AA745" s="559"/>
      <c r="AB745" s="559"/>
      <c r="AC745" s="559"/>
      <c r="AD745" s="559"/>
      <c r="AE745" s="559"/>
      <c r="AF745" s="559"/>
      <c r="AG745" s="559"/>
    </row>
    <row r="746" spans="1:33" ht="18" x14ac:dyDescent="0.35">
      <c r="A746" s="559"/>
      <c r="B746" s="559"/>
      <c r="C746" s="559"/>
      <c r="D746" s="559"/>
      <c r="E746" s="559"/>
      <c r="F746" s="559"/>
      <c r="G746" s="559"/>
      <c r="H746" s="559"/>
      <c r="I746" s="559"/>
      <c r="J746" s="559"/>
      <c r="K746" s="559"/>
      <c r="L746" s="559"/>
      <c r="M746" s="559"/>
      <c r="N746" s="559"/>
      <c r="O746" s="559"/>
      <c r="P746" s="559"/>
      <c r="Q746" s="559"/>
      <c r="R746" s="559"/>
      <c r="S746" s="559"/>
      <c r="T746" s="559"/>
      <c r="U746" s="559"/>
      <c r="V746" s="559"/>
      <c r="W746" s="559"/>
      <c r="X746" s="559"/>
      <c r="Y746" s="559"/>
      <c r="Z746" s="559"/>
      <c r="AA746" s="559"/>
      <c r="AB746" s="559"/>
      <c r="AC746" s="559"/>
      <c r="AD746" s="559"/>
      <c r="AE746" s="559"/>
      <c r="AF746" s="559"/>
      <c r="AG746" s="559"/>
    </row>
    <row r="747" spans="1:33" ht="18" x14ac:dyDescent="0.35">
      <c r="A747" s="559"/>
      <c r="B747" s="559"/>
      <c r="C747" s="559"/>
      <c r="D747" s="559"/>
      <c r="E747" s="559"/>
      <c r="F747" s="559"/>
      <c r="G747" s="559"/>
      <c r="H747" s="559"/>
      <c r="I747" s="559"/>
      <c r="J747" s="559"/>
      <c r="K747" s="559"/>
      <c r="L747" s="559"/>
      <c r="M747" s="559"/>
      <c r="N747" s="559"/>
      <c r="O747" s="559"/>
      <c r="P747" s="559"/>
      <c r="Q747" s="559"/>
      <c r="R747" s="559"/>
      <c r="S747" s="559"/>
      <c r="T747" s="559"/>
      <c r="U747" s="559"/>
      <c r="V747" s="559"/>
      <c r="W747" s="559"/>
      <c r="X747" s="559"/>
      <c r="Y747" s="559"/>
      <c r="Z747" s="559"/>
      <c r="AA747" s="559"/>
      <c r="AB747" s="559"/>
      <c r="AC747" s="559"/>
      <c r="AD747" s="559"/>
      <c r="AE747" s="559"/>
      <c r="AF747" s="559"/>
      <c r="AG747" s="559"/>
    </row>
    <row r="748" spans="1:33" ht="18" x14ac:dyDescent="0.35">
      <c r="A748" s="559"/>
      <c r="B748" s="559"/>
      <c r="C748" s="559"/>
      <c r="D748" s="559"/>
      <c r="E748" s="559"/>
      <c r="F748" s="559"/>
      <c r="G748" s="559"/>
      <c r="H748" s="559"/>
      <c r="I748" s="559"/>
      <c r="J748" s="559"/>
      <c r="K748" s="559"/>
      <c r="L748" s="559"/>
      <c r="M748" s="559"/>
      <c r="N748" s="559"/>
      <c r="O748" s="559"/>
      <c r="P748" s="559"/>
      <c r="Q748" s="559"/>
      <c r="R748" s="559"/>
      <c r="S748" s="559"/>
      <c r="T748" s="559"/>
      <c r="U748" s="559"/>
      <c r="V748" s="559"/>
      <c r="W748" s="559"/>
      <c r="X748" s="559"/>
      <c r="Y748" s="559"/>
      <c r="Z748" s="559"/>
      <c r="AA748" s="559"/>
      <c r="AB748" s="559"/>
      <c r="AC748" s="559"/>
      <c r="AD748" s="559"/>
      <c r="AE748" s="559"/>
      <c r="AF748" s="559"/>
      <c r="AG748" s="559"/>
    </row>
    <row r="749" spans="1:33" ht="18" x14ac:dyDescent="0.35">
      <c r="A749" s="559"/>
      <c r="B749" s="559"/>
      <c r="C749" s="559"/>
      <c r="D749" s="559"/>
      <c r="E749" s="559"/>
      <c r="F749" s="559"/>
      <c r="G749" s="559"/>
      <c r="H749" s="559"/>
      <c r="I749" s="559"/>
      <c r="J749" s="559"/>
      <c r="K749" s="559"/>
      <c r="L749" s="559"/>
      <c r="M749" s="559"/>
      <c r="N749" s="559"/>
      <c r="O749" s="559"/>
      <c r="P749" s="559"/>
      <c r="Q749" s="559"/>
      <c r="R749" s="559"/>
      <c r="S749" s="559"/>
      <c r="T749" s="559"/>
      <c r="U749" s="559"/>
      <c r="V749" s="559"/>
      <c r="W749" s="559"/>
      <c r="X749" s="559"/>
      <c r="Y749" s="559"/>
      <c r="Z749" s="559"/>
      <c r="AA749" s="559"/>
      <c r="AB749" s="559"/>
      <c r="AC749" s="559"/>
      <c r="AD749" s="559"/>
      <c r="AE749" s="559"/>
      <c r="AF749" s="559"/>
      <c r="AG749" s="559"/>
    </row>
    <row r="750" spans="1:33" ht="18" x14ac:dyDescent="0.35">
      <c r="A750" s="559"/>
      <c r="B750" s="559"/>
      <c r="C750" s="559"/>
      <c r="D750" s="559"/>
      <c r="E750" s="559"/>
      <c r="F750" s="559"/>
      <c r="G750" s="559"/>
      <c r="H750" s="559"/>
      <c r="I750" s="559"/>
      <c r="J750" s="559"/>
      <c r="K750" s="559"/>
      <c r="L750" s="559"/>
      <c r="M750" s="559"/>
      <c r="N750" s="559"/>
      <c r="O750" s="559"/>
      <c r="P750" s="559"/>
      <c r="Q750" s="559"/>
      <c r="R750" s="559"/>
      <c r="S750" s="559"/>
      <c r="T750" s="559"/>
      <c r="U750" s="559"/>
      <c r="V750" s="559"/>
      <c r="W750" s="559"/>
      <c r="X750" s="559"/>
      <c r="Y750" s="559"/>
      <c r="Z750" s="559"/>
      <c r="AA750" s="559"/>
      <c r="AB750" s="559"/>
      <c r="AC750" s="559"/>
      <c r="AD750" s="559"/>
      <c r="AE750" s="559"/>
      <c r="AF750" s="559"/>
      <c r="AG750" s="559"/>
    </row>
    <row r="751" spans="1:33" ht="18" x14ac:dyDescent="0.35">
      <c r="A751" s="559"/>
      <c r="B751" s="559"/>
      <c r="C751" s="559"/>
      <c r="D751" s="559"/>
      <c r="E751" s="559"/>
      <c r="F751" s="559"/>
      <c r="G751" s="559"/>
      <c r="H751" s="559"/>
      <c r="I751" s="559"/>
      <c r="J751" s="559"/>
      <c r="K751" s="559"/>
      <c r="L751" s="559"/>
      <c r="M751" s="559"/>
      <c r="N751" s="559"/>
      <c r="O751" s="559"/>
      <c r="P751" s="559"/>
      <c r="Q751" s="559"/>
      <c r="R751" s="559"/>
      <c r="S751" s="559"/>
      <c r="T751" s="559"/>
      <c r="U751" s="559"/>
      <c r="V751" s="559"/>
      <c r="W751" s="559"/>
      <c r="X751" s="559"/>
      <c r="Y751" s="559"/>
      <c r="Z751" s="559"/>
      <c r="AA751" s="559"/>
      <c r="AB751" s="559"/>
      <c r="AC751" s="559"/>
      <c r="AD751" s="559"/>
      <c r="AE751" s="559"/>
      <c r="AF751" s="559"/>
      <c r="AG751" s="559"/>
    </row>
    <row r="752" spans="1:33" ht="18" x14ac:dyDescent="0.35">
      <c r="A752" s="559"/>
      <c r="B752" s="559"/>
      <c r="C752" s="559"/>
      <c r="D752" s="559"/>
      <c r="E752" s="559"/>
      <c r="F752" s="559"/>
      <c r="G752" s="559"/>
      <c r="H752" s="559"/>
      <c r="I752" s="559"/>
      <c r="J752" s="559"/>
      <c r="K752" s="559"/>
      <c r="L752" s="559"/>
      <c r="M752" s="559"/>
      <c r="N752" s="559"/>
      <c r="O752" s="559"/>
      <c r="P752" s="559"/>
      <c r="Q752" s="559"/>
      <c r="R752" s="559"/>
      <c r="S752" s="559"/>
      <c r="T752" s="559"/>
      <c r="U752" s="559"/>
      <c r="V752" s="559"/>
      <c r="W752" s="559"/>
      <c r="X752" s="559"/>
      <c r="Y752" s="559"/>
      <c r="Z752" s="559"/>
      <c r="AA752" s="559"/>
      <c r="AB752" s="559"/>
      <c r="AC752" s="559"/>
      <c r="AD752" s="559"/>
      <c r="AE752" s="559"/>
      <c r="AF752" s="559"/>
      <c r="AG752" s="559"/>
    </row>
    <row r="753" spans="1:33" ht="18" x14ac:dyDescent="0.35">
      <c r="A753" s="559"/>
      <c r="B753" s="559"/>
      <c r="C753" s="559"/>
      <c r="D753" s="559"/>
      <c r="E753" s="559"/>
      <c r="F753" s="559"/>
      <c r="G753" s="559"/>
      <c r="H753" s="559"/>
      <c r="I753" s="559"/>
      <c r="J753" s="559"/>
      <c r="K753" s="559"/>
      <c r="L753" s="559"/>
      <c r="M753" s="559"/>
      <c r="N753" s="559"/>
      <c r="O753" s="559"/>
      <c r="P753" s="559"/>
      <c r="Q753" s="559"/>
      <c r="R753" s="559"/>
      <c r="S753" s="559"/>
      <c r="T753" s="559"/>
      <c r="U753" s="559"/>
      <c r="V753" s="559"/>
      <c r="W753" s="559"/>
      <c r="X753" s="559"/>
      <c r="Y753" s="559"/>
      <c r="Z753" s="559"/>
      <c r="AA753" s="559"/>
      <c r="AB753" s="559"/>
      <c r="AC753" s="559"/>
      <c r="AD753" s="559"/>
      <c r="AE753" s="559"/>
      <c r="AF753" s="559"/>
      <c r="AG753" s="559"/>
    </row>
    <row r="754" spans="1:33" ht="18" x14ac:dyDescent="0.35">
      <c r="A754" s="559"/>
      <c r="B754" s="559"/>
      <c r="C754" s="559"/>
      <c r="D754" s="559"/>
      <c r="E754" s="559"/>
      <c r="F754" s="559"/>
      <c r="G754" s="559"/>
      <c r="H754" s="559"/>
      <c r="I754" s="559"/>
      <c r="J754" s="559"/>
      <c r="K754" s="559"/>
      <c r="L754" s="559"/>
      <c r="M754" s="559"/>
      <c r="N754" s="559"/>
      <c r="O754" s="559"/>
      <c r="P754" s="559"/>
      <c r="Q754" s="559"/>
      <c r="R754" s="559"/>
      <c r="S754" s="559"/>
      <c r="T754" s="559"/>
      <c r="U754" s="559"/>
      <c r="V754" s="559"/>
      <c r="W754" s="559"/>
      <c r="X754" s="559"/>
      <c r="Y754" s="559"/>
      <c r="Z754" s="559"/>
      <c r="AA754" s="559"/>
      <c r="AB754" s="559"/>
      <c r="AC754" s="559"/>
      <c r="AD754" s="559"/>
      <c r="AE754" s="559"/>
      <c r="AF754" s="559"/>
      <c r="AG754" s="559"/>
    </row>
    <row r="755" spans="1:33" ht="18" x14ac:dyDescent="0.35">
      <c r="A755" s="559"/>
      <c r="B755" s="559"/>
      <c r="C755" s="559"/>
      <c r="D755" s="559"/>
      <c r="E755" s="559"/>
      <c r="F755" s="559"/>
      <c r="G755" s="559"/>
      <c r="H755" s="559"/>
      <c r="I755" s="559"/>
      <c r="J755" s="559"/>
      <c r="K755" s="559"/>
      <c r="L755" s="559"/>
      <c r="M755" s="559"/>
      <c r="N755" s="559"/>
      <c r="O755" s="559"/>
      <c r="P755" s="559"/>
      <c r="Q755" s="559"/>
      <c r="R755" s="559"/>
      <c r="S755" s="559"/>
      <c r="T755" s="559"/>
      <c r="U755" s="559"/>
      <c r="V755" s="559"/>
      <c r="W755" s="559"/>
      <c r="X755" s="559"/>
      <c r="Y755" s="559"/>
      <c r="Z755" s="559"/>
      <c r="AA755" s="559"/>
      <c r="AB755" s="559"/>
      <c r="AC755" s="559"/>
      <c r="AD755" s="559"/>
      <c r="AE755" s="559"/>
      <c r="AF755" s="559"/>
      <c r="AG755" s="559"/>
    </row>
    <row r="756" spans="1:33" ht="18" x14ac:dyDescent="0.35">
      <c r="A756" s="559"/>
      <c r="B756" s="559"/>
      <c r="C756" s="559"/>
      <c r="D756" s="559"/>
      <c r="E756" s="559"/>
      <c r="F756" s="559"/>
      <c r="G756" s="559"/>
      <c r="H756" s="559"/>
      <c r="I756" s="559"/>
      <c r="J756" s="559"/>
      <c r="K756" s="559"/>
      <c r="L756" s="559"/>
      <c r="M756" s="559"/>
      <c r="N756" s="559"/>
      <c r="O756" s="559"/>
      <c r="P756" s="559"/>
      <c r="Q756" s="559"/>
      <c r="R756" s="559"/>
      <c r="S756" s="559"/>
      <c r="T756" s="559"/>
      <c r="U756" s="559"/>
      <c r="V756" s="559"/>
      <c r="W756" s="559"/>
      <c r="X756" s="559"/>
      <c r="Y756" s="559"/>
      <c r="Z756" s="559"/>
      <c r="AA756" s="559"/>
      <c r="AB756" s="559"/>
      <c r="AC756" s="559"/>
      <c r="AD756" s="559"/>
      <c r="AE756" s="559"/>
      <c r="AF756" s="559"/>
      <c r="AG756" s="559"/>
    </row>
    <row r="757" spans="1:33" ht="18" x14ac:dyDescent="0.35">
      <c r="A757" s="559"/>
      <c r="B757" s="559"/>
      <c r="C757" s="559"/>
      <c r="D757" s="559"/>
      <c r="E757" s="559"/>
      <c r="F757" s="559"/>
      <c r="G757" s="559"/>
      <c r="H757" s="559"/>
      <c r="I757" s="559"/>
      <c r="J757" s="559"/>
      <c r="K757" s="559"/>
      <c r="L757" s="559"/>
      <c r="M757" s="559"/>
      <c r="N757" s="559"/>
      <c r="O757" s="559"/>
      <c r="P757" s="559"/>
      <c r="Q757" s="559"/>
      <c r="R757" s="559"/>
      <c r="S757" s="559"/>
      <c r="T757" s="559"/>
      <c r="U757" s="559"/>
      <c r="V757" s="559"/>
      <c r="W757" s="559"/>
      <c r="X757" s="559"/>
      <c r="Y757" s="559"/>
      <c r="Z757" s="559"/>
      <c r="AA757" s="559"/>
      <c r="AB757" s="559"/>
      <c r="AC757" s="559"/>
      <c r="AD757" s="559"/>
      <c r="AE757" s="559"/>
      <c r="AF757" s="559"/>
      <c r="AG757" s="559"/>
    </row>
    <row r="758" spans="1:33" ht="18" x14ac:dyDescent="0.35">
      <c r="A758" s="559"/>
      <c r="B758" s="559"/>
      <c r="C758" s="559"/>
      <c r="D758" s="559"/>
      <c r="E758" s="559"/>
      <c r="F758" s="559"/>
      <c r="G758" s="559"/>
      <c r="H758" s="559"/>
      <c r="I758" s="559"/>
      <c r="J758" s="559"/>
      <c r="K758" s="559"/>
      <c r="L758" s="559"/>
      <c r="M758" s="559"/>
      <c r="N758" s="559"/>
      <c r="O758" s="559"/>
      <c r="P758" s="559"/>
      <c r="Q758" s="559"/>
      <c r="R758" s="559"/>
      <c r="S758" s="559"/>
      <c r="T758" s="559"/>
      <c r="U758" s="559"/>
      <c r="V758" s="559"/>
      <c r="W758" s="559"/>
      <c r="X758" s="559"/>
      <c r="Y758" s="559"/>
      <c r="Z758" s="559"/>
      <c r="AA758" s="559"/>
      <c r="AB758" s="559"/>
      <c r="AC758" s="559"/>
      <c r="AD758" s="559"/>
      <c r="AE758" s="559"/>
      <c r="AF758" s="559"/>
      <c r="AG758" s="559"/>
    </row>
    <row r="759" spans="1:33" ht="18" x14ac:dyDescent="0.35">
      <c r="A759" s="559"/>
      <c r="B759" s="559"/>
      <c r="C759" s="559"/>
      <c r="D759" s="559"/>
      <c r="E759" s="559"/>
      <c r="F759" s="559"/>
      <c r="G759" s="559"/>
      <c r="H759" s="559"/>
      <c r="I759" s="559"/>
      <c r="J759" s="559"/>
      <c r="K759" s="559"/>
      <c r="L759" s="559"/>
      <c r="M759" s="559"/>
      <c r="N759" s="559"/>
      <c r="O759" s="559"/>
      <c r="P759" s="559"/>
      <c r="Q759" s="559"/>
      <c r="R759" s="559"/>
      <c r="S759" s="559"/>
      <c r="T759" s="559"/>
      <c r="U759" s="559"/>
      <c r="V759" s="559"/>
      <c r="W759" s="559"/>
      <c r="X759" s="559"/>
      <c r="Y759" s="559"/>
      <c r="Z759" s="559"/>
      <c r="AA759" s="559"/>
      <c r="AB759" s="559"/>
      <c r="AC759" s="559"/>
      <c r="AD759" s="559"/>
      <c r="AE759" s="559"/>
      <c r="AF759" s="559"/>
      <c r="AG759" s="559"/>
    </row>
    <row r="760" spans="1:33" ht="18" x14ac:dyDescent="0.35">
      <c r="A760" s="559"/>
      <c r="B760" s="559"/>
      <c r="C760" s="559"/>
      <c r="D760" s="559"/>
      <c r="E760" s="559"/>
      <c r="F760" s="559"/>
      <c r="G760" s="559"/>
      <c r="H760" s="559"/>
      <c r="I760" s="559"/>
      <c r="J760" s="559"/>
      <c r="K760" s="559"/>
      <c r="L760" s="559"/>
      <c r="M760" s="559"/>
      <c r="N760" s="559"/>
      <c r="O760" s="559"/>
      <c r="P760" s="559"/>
      <c r="Q760" s="559"/>
      <c r="R760" s="559"/>
      <c r="S760" s="559"/>
      <c r="T760" s="559"/>
      <c r="U760" s="559"/>
      <c r="V760" s="559"/>
      <c r="W760" s="559"/>
      <c r="X760" s="559"/>
      <c r="Y760" s="559"/>
      <c r="Z760" s="559"/>
      <c r="AA760" s="559"/>
      <c r="AB760" s="559"/>
      <c r="AC760" s="559"/>
      <c r="AD760" s="559"/>
      <c r="AE760" s="559"/>
      <c r="AF760" s="559"/>
      <c r="AG760" s="559"/>
    </row>
    <row r="761" spans="1:33" ht="18" x14ac:dyDescent="0.35">
      <c r="A761" s="559"/>
      <c r="B761" s="559"/>
      <c r="C761" s="559"/>
      <c r="D761" s="559"/>
      <c r="E761" s="559"/>
      <c r="F761" s="559"/>
      <c r="G761" s="559"/>
      <c r="H761" s="559"/>
      <c r="I761" s="559"/>
      <c r="J761" s="559"/>
      <c r="K761" s="559"/>
      <c r="L761" s="559"/>
      <c r="M761" s="559"/>
      <c r="N761" s="559"/>
      <c r="O761" s="559"/>
      <c r="P761" s="559"/>
      <c r="Q761" s="559"/>
      <c r="R761" s="559"/>
      <c r="S761" s="559"/>
      <c r="T761" s="559"/>
      <c r="U761" s="559"/>
      <c r="V761" s="559"/>
      <c r="W761" s="559"/>
      <c r="X761" s="559"/>
      <c r="Y761" s="559"/>
      <c r="Z761" s="559"/>
      <c r="AA761" s="559"/>
      <c r="AB761" s="559"/>
      <c r="AC761" s="559"/>
      <c r="AD761" s="559"/>
      <c r="AE761" s="559"/>
      <c r="AF761" s="559"/>
      <c r="AG761" s="559"/>
    </row>
    <row r="762" spans="1:33" ht="18" x14ac:dyDescent="0.35">
      <c r="A762" s="559"/>
      <c r="B762" s="559"/>
      <c r="C762" s="559"/>
      <c r="D762" s="559"/>
      <c r="E762" s="559"/>
      <c r="F762" s="559"/>
      <c r="G762" s="559"/>
      <c r="H762" s="559"/>
      <c r="I762" s="559"/>
      <c r="J762" s="559"/>
      <c r="K762" s="559"/>
      <c r="L762" s="559"/>
      <c r="M762" s="559"/>
      <c r="N762" s="559"/>
      <c r="O762" s="559"/>
      <c r="P762" s="559"/>
      <c r="Q762" s="559"/>
      <c r="R762" s="559"/>
      <c r="S762" s="559"/>
      <c r="T762" s="559"/>
      <c r="U762" s="559"/>
      <c r="V762" s="559"/>
      <c r="W762" s="559"/>
      <c r="X762" s="559"/>
      <c r="Y762" s="559"/>
      <c r="Z762" s="559"/>
      <c r="AA762" s="559"/>
      <c r="AB762" s="559"/>
      <c r="AC762" s="559"/>
      <c r="AD762" s="559"/>
      <c r="AE762" s="559"/>
      <c r="AF762" s="559"/>
      <c r="AG762" s="559"/>
    </row>
    <row r="763" spans="1:33" ht="18" x14ac:dyDescent="0.35">
      <c r="A763" s="559"/>
      <c r="B763" s="559"/>
      <c r="C763" s="559"/>
      <c r="D763" s="559"/>
      <c r="E763" s="559"/>
      <c r="F763" s="559"/>
      <c r="G763" s="559"/>
      <c r="H763" s="559"/>
      <c r="I763" s="559"/>
      <c r="J763" s="559"/>
      <c r="K763" s="559"/>
      <c r="L763" s="559"/>
      <c r="M763" s="559"/>
      <c r="N763" s="559"/>
      <c r="O763" s="559"/>
      <c r="P763" s="559"/>
      <c r="Q763" s="559"/>
      <c r="R763" s="559"/>
      <c r="S763" s="559"/>
      <c r="T763" s="559"/>
      <c r="U763" s="559"/>
      <c r="V763" s="559"/>
      <c r="W763" s="559"/>
      <c r="X763" s="559"/>
      <c r="Y763" s="559"/>
      <c r="Z763" s="559"/>
      <c r="AA763" s="559"/>
      <c r="AB763" s="559"/>
      <c r="AC763" s="559"/>
      <c r="AD763" s="559"/>
      <c r="AE763" s="559"/>
      <c r="AF763" s="559"/>
      <c r="AG763" s="559"/>
    </row>
    <row r="764" spans="1:33" ht="18" x14ac:dyDescent="0.35">
      <c r="A764" s="559"/>
      <c r="B764" s="559"/>
      <c r="C764" s="559"/>
      <c r="D764" s="559"/>
      <c r="E764" s="559"/>
      <c r="F764" s="559"/>
      <c r="G764" s="559"/>
      <c r="H764" s="559"/>
      <c r="I764" s="559"/>
      <c r="J764" s="559"/>
      <c r="K764" s="559"/>
      <c r="L764" s="559"/>
      <c r="M764" s="559"/>
      <c r="N764" s="559"/>
      <c r="O764" s="559"/>
      <c r="P764" s="559"/>
      <c r="Q764" s="559"/>
      <c r="R764" s="559"/>
      <c r="S764" s="559"/>
      <c r="T764" s="559"/>
      <c r="U764" s="559"/>
      <c r="V764" s="559"/>
      <c r="W764" s="559"/>
      <c r="X764" s="559"/>
      <c r="Y764" s="559"/>
      <c r="Z764" s="559"/>
      <c r="AA764" s="559"/>
      <c r="AB764" s="559"/>
      <c r="AC764" s="559"/>
      <c r="AD764" s="559"/>
      <c r="AE764" s="559"/>
      <c r="AF764" s="559"/>
      <c r="AG764" s="559"/>
    </row>
    <row r="765" spans="1:33" ht="18" x14ac:dyDescent="0.35">
      <c r="A765" s="559"/>
      <c r="B765" s="559"/>
      <c r="C765" s="559"/>
      <c r="D765" s="559"/>
      <c r="E765" s="559"/>
      <c r="F765" s="559"/>
      <c r="G765" s="559"/>
      <c r="H765" s="559"/>
      <c r="I765" s="559"/>
      <c r="J765" s="559"/>
      <c r="K765" s="559"/>
      <c r="L765" s="559"/>
      <c r="M765" s="559"/>
      <c r="N765" s="559"/>
      <c r="O765" s="559"/>
      <c r="P765" s="559"/>
      <c r="Q765" s="559"/>
      <c r="R765" s="559"/>
      <c r="S765" s="559"/>
      <c r="T765" s="559"/>
      <c r="U765" s="559"/>
      <c r="V765" s="559"/>
      <c r="W765" s="559"/>
      <c r="X765" s="559"/>
      <c r="Y765" s="559"/>
      <c r="Z765" s="559"/>
      <c r="AA765" s="559"/>
      <c r="AB765" s="559"/>
      <c r="AC765" s="559"/>
      <c r="AD765" s="559"/>
      <c r="AE765" s="559"/>
      <c r="AF765" s="559"/>
      <c r="AG765" s="559"/>
    </row>
    <row r="766" spans="1:33" ht="18" x14ac:dyDescent="0.35">
      <c r="A766" s="559"/>
      <c r="B766" s="559"/>
      <c r="C766" s="559"/>
      <c r="D766" s="559"/>
      <c r="E766" s="559"/>
      <c r="F766" s="559"/>
      <c r="G766" s="559"/>
      <c r="H766" s="559"/>
      <c r="I766" s="559"/>
      <c r="J766" s="559"/>
      <c r="K766" s="559"/>
      <c r="L766" s="559"/>
      <c r="M766" s="559"/>
      <c r="N766" s="559"/>
      <c r="O766" s="559"/>
      <c r="P766" s="559"/>
      <c r="Q766" s="559"/>
      <c r="R766" s="559"/>
      <c r="S766" s="559"/>
      <c r="T766" s="559"/>
      <c r="U766" s="559"/>
      <c r="V766" s="559"/>
      <c r="W766" s="559"/>
      <c r="X766" s="559"/>
      <c r="Y766" s="559"/>
      <c r="Z766" s="559"/>
      <c r="AA766" s="559"/>
      <c r="AB766" s="559"/>
      <c r="AC766" s="559"/>
      <c r="AD766" s="559"/>
      <c r="AE766" s="559"/>
      <c r="AF766" s="559"/>
      <c r="AG766" s="559"/>
    </row>
    <row r="767" spans="1:33" ht="18" x14ac:dyDescent="0.35">
      <c r="A767" s="559"/>
      <c r="B767" s="559"/>
      <c r="C767" s="559"/>
      <c r="D767" s="559"/>
      <c r="E767" s="559"/>
      <c r="F767" s="559"/>
      <c r="G767" s="559"/>
      <c r="H767" s="559"/>
      <c r="I767" s="559"/>
      <c r="J767" s="559"/>
      <c r="K767" s="559"/>
      <c r="L767" s="559"/>
      <c r="M767" s="559"/>
      <c r="N767" s="559"/>
      <c r="O767" s="559"/>
      <c r="P767" s="559"/>
      <c r="Q767" s="559"/>
      <c r="R767" s="559"/>
      <c r="S767" s="559"/>
      <c r="T767" s="559"/>
      <c r="U767" s="559"/>
      <c r="V767" s="559"/>
      <c r="W767" s="559"/>
      <c r="X767" s="559"/>
      <c r="Y767" s="559"/>
      <c r="Z767" s="559"/>
      <c r="AA767" s="559"/>
      <c r="AB767" s="559"/>
      <c r="AC767" s="559"/>
      <c r="AD767" s="559"/>
      <c r="AE767" s="559"/>
      <c r="AF767" s="559"/>
      <c r="AG767" s="559"/>
    </row>
    <row r="768" spans="1:33" ht="18" x14ac:dyDescent="0.35">
      <c r="A768" s="559"/>
      <c r="B768" s="559"/>
      <c r="C768" s="559"/>
      <c r="D768" s="559"/>
      <c r="E768" s="559"/>
      <c r="F768" s="559"/>
      <c r="G768" s="559"/>
      <c r="H768" s="559"/>
      <c r="I768" s="559"/>
      <c r="J768" s="559"/>
      <c r="K768" s="559"/>
      <c r="L768" s="559"/>
      <c r="M768" s="559"/>
      <c r="N768" s="559"/>
      <c r="O768" s="559"/>
      <c r="P768" s="559"/>
      <c r="Q768" s="559"/>
      <c r="R768" s="559"/>
      <c r="S768" s="559"/>
      <c r="T768" s="559"/>
      <c r="U768" s="559"/>
      <c r="V768" s="559"/>
      <c r="W768" s="559"/>
      <c r="X768" s="559"/>
      <c r="Y768" s="559"/>
      <c r="Z768" s="559"/>
      <c r="AA768" s="559"/>
      <c r="AB768" s="559"/>
      <c r="AC768" s="559"/>
      <c r="AD768" s="559"/>
      <c r="AE768" s="559"/>
      <c r="AF768" s="559"/>
      <c r="AG768" s="559"/>
    </row>
    <row r="769" spans="1:33" ht="18" x14ac:dyDescent="0.35">
      <c r="A769" s="559"/>
      <c r="B769" s="559"/>
      <c r="C769" s="559"/>
      <c r="D769" s="559"/>
      <c r="E769" s="559"/>
      <c r="F769" s="559"/>
      <c r="G769" s="559"/>
      <c r="H769" s="559"/>
      <c r="I769" s="559"/>
      <c r="J769" s="559"/>
      <c r="K769" s="559"/>
      <c r="L769" s="559"/>
      <c r="M769" s="559"/>
      <c r="N769" s="559"/>
      <c r="O769" s="559"/>
      <c r="P769" s="559"/>
      <c r="Q769" s="559"/>
      <c r="R769" s="559"/>
      <c r="S769" s="559"/>
      <c r="T769" s="559"/>
      <c r="U769" s="559"/>
      <c r="V769" s="559"/>
      <c r="W769" s="559"/>
      <c r="X769" s="559"/>
      <c r="Y769" s="559"/>
      <c r="Z769" s="559"/>
      <c r="AA769" s="559"/>
      <c r="AB769" s="559"/>
      <c r="AC769" s="559"/>
      <c r="AD769" s="559"/>
      <c r="AE769" s="559"/>
      <c r="AF769" s="559"/>
      <c r="AG769" s="559"/>
    </row>
    <row r="770" spans="1:33" ht="18" x14ac:dyDescent="0.35">
      <c r="A770" s="559"/>
      <c r="B770" s="559"/>
      <c r="C770" s="559"/>
      <c r="D770" s="559"/>
      <c r="E770" s="559"/>
      <c r="F770" s="559"/>
      <c r="G770" s="559"/>
      <c r="H770" s="559"/>
      <c r="I770" s="559"/>
      <c r="J770" s="559"/>
      <c r="K770" s="559"/>
      <c r="L770" s="559"/>
      <c r="M770" s="559"/>
      <c r="N770" s="559"/>
      <c r="O770" s="559"/>
      <c r="P770" s="559"/>
      <c r="Q770" s="559"/>
      <c r="R770" s="559"/>
      <c r="S770" s="559"/>
      <c r="T770" s="559"/>
      <c r="U770" s="559"/>
      <c r="V770" s="559"/>
      <c r="W770" s="559"/>
      <c r="X770" s="559"/>
      <c r="Y770" s="559"/>
      <c r="Z770" s="559"/>
      <c r="AA770" s="559"/>
      <c r="AB770" s="559"/>
      <c r="AC770" s="559"/>
      <c r="AD770" s="559"/>
      <c r="AE770" s="559"/>
      <c r="AF770" s="559"/>
      <c r="AG770" s="559"/>
    </row>
    <row r="771" spans="1:33" ht="18" x14ac:dyDescent="0.35">
      <c r="A771" s="559"/>
      <c r="B771" s="559"/>
      <c r="C771" s="559"/>
      <c r="D771" s="559"/>
      <c r="E771" s="559"/>
      <c r="F771" s="559"/>
      <c r="G771" s="559"/>
      <c r="H771" s="559"/>
      <c r="I771" s="559"/>
      <c r="J771" s="559"/>
      <c r="K771" s="559"/>
      <c r="L771" s="559"/>
      <c r="M771" s="559"/>
      <c r="N771" s="559"/>
      <c r="O771" s="559"/>
      <c r="P771" s="559"/>
      <c r="Q771" s="559"/>
      <c r="R771" s="559"/>
      <c r="S771" s="559"/>
      <c r="T771" s="559"/>
      <c r="U771" s="559"/>
      <c r="V771" s="559"/>
      <c r="W771" s="559"/>
      <c r="X771" s="559"/>
      <c r="Y771" s="559"/>
      <c r="Z771" s="559"/>
      <c r="AA771" s="559"/>
      <c r="AB771" s="559"/>
      <c r="AC771" s="559"/>
      <c r="AD771" s="559"/>
      <c r="AE771" s="559"/>
      <c r="AF771" s="559"/>
      <c r="AG771" s="559"/>
    </row>
    <row r="772" spans="1:33" ht="18" x14ac:dyDescent="0.35">
      <c r="A772" s="559"/>
      <c r="B772" s="559"/>
      <c r="C772" s="559"/>
      <c r="D772" s="559"/>
      <c r="E772" s="559"/>
      <c r="F772" s="559"/>
      <c r="G772" s="559"/>
      <c r="H772" s="559"/>
      <c r="I772" s="559"/>
      <c r="J772" s="559"/>
      <c r="K772" s="559"/>
      <c r="L772" s="559"/>
      <c r="M772" s="559"/>
      <c r="N772" s="559"/>
      <c r="O772" s="559"/>
      <c r="P772" s="559"/>
      <c r="Q772" s="559"/>
      <c r="R772" s="559"/>
      <c r="S772" s="559"/>
      <c r="T772" s="559"/>
      <c r="U772" s="559"/>
      <c r="V772" s="559"/>
      <c r="W772" s="559"/>
      <c r="X772" s="559"/>
      <c r="Y772" s="559"/>
      <c r="Z772" s="559"/>
      <c r="AA772" s="559"/>
      <c r="AB772" s="559"/>
      <c r="AC772" s="559"/>
      <c r="AD772" s="559"/>
      <c r="AE772" s="559"/>
      <c r="AF772" s="559"/>
      <c r="AG772" s="559"/>
    </row>
    <row r="773" spans="1:33" ht="18" x14ac:dyDescent="0.35">
      <c r="A773" s="559"/>
      <c r="B773" s="559"/>
      <c r="C773" s="559"/>
      <c r="D773" s="559"/>
      <c r="E773" s="559"/>
      <c r="F773" s="559"/>
      <c r="G773" s="559"/>
      <c r="H773" s="559"/>
      <c r="I773" s="559"/>
      <c r="J773" s="559"/>
      <c r="K773" s="559"/>
      <c r="L773" s="559"/>
      <c r="M773" s="559"/>
      <c r="N773" s="559"/>
      <c r="O773" s="559"/>
      <c r="P773" s="559"/>
      <c r="Q773" s="559"/>
      <c r="R773" s="559"/>
      <c r="S773" s="559"/>
      <c r="T773" s="559"/>
      <c r="U773" s="559"/>
      <c r="V773" s="559"/>
      <c r="W773" s="559"/>
      <c r="X773" s="559"/>
      <c r="Y773" s="559"/>
      <c r="Z773" s="559"/>
      <c r="AA773" s="559"/>
      <c r="AB773" s="559"/>
      <c r="AC773" s="559"/>
      <c r="AD773" s="559"/>
      <c r="AE773" s="559"/>
      <c r="AF773" s="559"/>
      <c r="AG773" s="559"/>
    </row>
    <row r="774" spans="1:33" ht="18" x14ac:dyDescent="0.35">
      <c r="A774" s="559"/>
      <c r="B774" s="559"/>
      <c r="C774" s="559"/>
      <c r="D774" s="559"/>
      <c r="E774" s="559"/>
      <c r="F774" s="559"/>
      <c r="G774" s="559"/>
      <c r="H774" s="559"/>
      <c r="I774" s="559"/>
      <c r="J774" s="559"/>
      <c r="K774" s="559"/>
      <c r="L774" s="559"/>
      <c r="M774" s="559"/>
      <c r="N774" s="559"/>
      <c r="O774" s="559"/>
      <c r="P774" s="559"/>
      <c r="Q774" s="559"/>
      <c r="R774" s="559"/>
      <c r="S774" s="559"/>
      <c r="T774" s="559"/>
      <c r="U774" s="559"/>
      <c r="V774" s="559"/>
      <c r="W774" s="559"/>
      <c r="X774" s="559"/>
      <c r="Y774" s="559"/>
      <c r="Z774" s="559"/>
      <c r="AA774" s="559"/>
      <c r="AB774" s="559"/>
      <c r="AC774" s="559"/>
      <c r="AD774" s="559"/>
      <c r="AE774" s="559"/>
      <c r="AF774" s="559"/>
      <c r="AG774" s="559"/>
    </row>
    <row r="775" spans="1:33" ht="18" x14ac:dyDescent="0.35">
      <c r="A775" s="559"/>
      <c r="B775" s="559"/>
      <c r="C775" s="559"/>
      <c r="D775" s="559"/>
      <c r="E775" s="559"/>
      <c r="F775" s="559"/>
      <c r="G775" s="559"/>
      <c r="H775" s="559"/>
      <c r="I775" s="559"/>
      <c r="J775" s="559"/>
      <c r="K775" s="559"/>
      <c r="L775" s="559"/>
      <c r="M775" s="559"/>
      <c r="N775" s="559"/>
      <c r="O775" s="559"/>
      <c r="P775" s="559"/>
      <c r="Q775" s="559"/>
      <c r="R775" s="559"/>
      <c r="S775" s="559"/>
      <c r="T775" s="559"/>
      <c r="U775" s="559"/>
      <c r="V775" s="559"/>
      <c r="W775" s="559"/>
      <c r="X775" s="559"/>
      <c r="Y775" s="559"/>
      <c r="Z775" s="559"/>
      <c r="AA775" s="559"/>
      <c r="AB775" s="559"/>
      <c r="AC775" s="559"/>
      <c r="AD775" s="559"/>
      <c r="AE775" s="559"/>
      <c r="AF775" s="559"/>
      <c r="AG775" s="559"/>
    </row>
    <row r="776" spans="1:33" ht="18" x14ac:dyDescent="0.35">
      <c r="A776" s="559"/>
      <c r="B776" s="559"/>
      <c r="C776" s="559"/>
      <c r="D776" s="559"/>
      <c r="E776" s="559"/>
      <c r="F776" s="559"/>
      <c r="G776" s="559"/>
      <c r="H776" s="559"/>
      <c r="I776" s="559"/>
      <c r="J776" s="559"/>
      <c r="K776" s="559"/>
      <c r="L776" s="559"/>
      <c r="M776" s="559"/>
      <c r="N776" s="559"/>
      <c r="O776" s="559"/>
      <c r="P776" s="559"/>
      <c r="Q776" s="559"/>
      <c r="R776" s="559"/>
      <c r="S776" s="559"/>
      <c r="T776" s="559"/>
      <c r="U776" s="559"/>
      <c r="V776" s="559"/>
      <c r="W776" s="559"/>
      <c r="X776" s="559"/>
      <c r="Y776" s="559"/>
      <c r="Z776" s="559"/>
      <c r="AA776" s="559"/>
      <c r="AB776" s="559"/>
      <c r="AC776" s="559"/>
      <c r="AD776" s="559"/>
      <c r="AE776" s="559"/>
      <c r="AF776" s="559"/>
      <c r="AG776" s="559"/>
    </row>
    <row r="777" spans="1:33" ht="18" x14ac:dyDescent="0.35">
      <c r="A777" s="559"/>
      <c r="B777" s="559"/>
      <c r="C777" s="559"/>
      <c r="D777" s="559"/>
      <c r="E777" s="559"/>
      <c r="F777" s="559"/>
      <c r="G777" s="559"/>
      <c r="H777" s="559"/>
      <c r="I777" s="559"/>
      <c r="J777" s="559"/>
      <c r="K777" s="559"/>
      <c r="L777" s="559"/>
      <c r="M777" s="559"/>
      <c r="N777" s="559"/>
      <c r="O777" s="559"/>
      <c r="P777" s="559"/>
      <c r="Q777" s="559"/>
      <c r="R777" s="559"/>
      <c r="S777" s="559"/>
      <c r="T777" s="559"/>
      <c r="U777" s="559"/>
      <c r="V777" s="559"/>
      <c r="W777" s="559"/>
      <c r="X777" s="559"/>
      <c r="Y777" s="559"/>
      <c r="Z777" s="559"/>
      <c r="AA777" s="559"/>
      <c r="AB777" s="559"/>
      <c r="AC777" s="559"/>
      <c r="AD777" s="559"/>
      <c r="AE777" s="559"/>
      <c r="AF777" s="559"/>
      <c r="AG777" s="559"/>
    </row>
    <row r="778" spans="1:33" ht="18" x14ac:dyDescent="0.35">
      <c r="A778" s="559"/>
      <c r="B778" s="559"/>
      <c r="C778" s="559"/>
      <c r="D778" s="559"/>
      <c r="E778" s="559"/>
      <c r="F778" s="559"/>
      <c r="G778" s="559"/>
      <c r="H778" s="559"/>
      <c r="I778" s="559"/>
      <c r="J778" s="559"/>
      <c r="K778" s="559"/>
      <c r="L778" s="559"/>
      <c r="M778" s="559"/>
      <c r="N778" s="559"/>
      <c r="O778" s="559"/>
      <c r="P778" s="559"/>
      <c r="Q778" s="559"/>
      <c r="R778" s="559"/>
      <c r="S778" s="559"/>
      <c r="T778" s="559"/>
      <c r="U778" s="559"/>
      <c r="V778" s="559"/>
      <c r="W778" s="559"/>
      <c r="X778" s="559"/>
      <c r="Y778" s="559"/>
      <c r="Z778" s="559"/>
      <c r="AA778" s="559"/>
      <c r="AB778" s="559"/>
      <c r="AC778" s="559"/>
      <c r="AD778" s="559"/>
      <c r="AE778" s="559"/>
      <c r="AF778" s="559"/>
      <c r="AG778" s="559"/>
    </row>
    <row r="779" spans="1:33" ht="18" x14ac:dyDescent="0.35">
      <c r="A779" s="559"/>
      <c r="B779" s="559"/>
      <c r="C779" s="559"/>
      <c r="D779" s="559"/>
      <c r="E779" s="559"/>
      <c r="F779" s="559"/>
      <c r="G779" s="559"/>
      <c r="H779" s="559"/>
      <c r="I779" s="559"/>
      <c r="J779" s="559"/>
      <c r="K779" s="559"/>
      <c r="L779" s="559"/>
      <c r="M779" s="559"/>
      <c r="N779" s="559"/>
      <c r="O779" s="559"/>
      <c r="P779" s="559"/>
      <c r="Q779" s="559"/>
      <c r="R779" s="559"/>
      <c r="S779" s="559"/>
      <c r="T779" s="559"/>
      <c r="U779" s="559"/>
      <c r="V779" s="559"/>
      <c r="W779" s="559"/>
      <c r="X779" s="559"/>
      <c r="Y779" s="559"/>
      <c r="Z779" s="559"/>
      <c r="AA779" s="559"/>
      <c r="AB779" s="559"/>
      <c r="AC779" s="559"/>
      <c r="AD779" s="559"/>
      <c r="AE779" s="559"/>
      <c r="AF779" s="559"/>
      <c r="AG779" s="559"/>
    </row>
    <row r="780" spans="1:33" ht="18" x14ac:dyDescent="0.35">
      <c r="A780" s="559"/>
      <c r="B780" s="559"/>
      <c r="C780" s="559"/>
      <c r="D780" s="559"/>
      <c r="E780" s="559"/>
      <c r="F780" s="559"/>
      <c r="G780" s="559"/>
      <c r="H780" s="559"/>
      <c r="I780" s="559"/>
      <c r="J780" s="559"/>
      <c r="K780" s="559"/>
      <c r="L780" s="559"/>
      <c r="M780" s="559"/>
      <c r="N780" s="559"/>
      <c r="O780" s="559"/>
      <c r="P780" s="559"/>
      <c r="Q780" s="559"/>
      <c r="R780" s="559"/>
      <c r="S780" s="559"/>
      <c r="T780" s="559"/>
      <c r="U780" s="559"/>
      <c r="V780" s="559"/>
      <c r="W780" s="559"/>
      <c r="X780" s="559"/>
      <c r="Y780" s="559"/>
      <c r="Z780" s="559"/>
      <c r="AA780" s="559"/>
      <c r="AB780" s="559"/>
      <c r="AC780" s="559"/>
      <c r="AD780" s="559"/>
      <c r="AE780" s="559"/>
      <c r="AF780" s="559"/>
      <c r="AG780" s="559"/>
    </row>
    <row r="781" spans="1:33" ht="18" x14ac:dyDescent="0.35">
      <c r="A781" s="559"/>
      <c r="B781" s="559"/>
      <c r="C781" s="559"/>
      <c r="D781" s="559"/>
      <c r="E781" s="559"/>
      <c r="F781" s="559"/>
      <c r="G781" s="559"/>
      <c r="H781" s="559"/>
      <c r="I781" s="559"/>
      <c r="J781" s="559"/>
      <c r="K781" s="559"/>
      <c r="L781" s="559"/>
      <c r="M781" s="559"/>
      <c r="N781" s="559"/>
      <c r="O781" s="559"/>
      <c r="P781" s="559"/>
      <c r="Q781" s="559"/>
      <c r="R781" s="559"/>
      <c r="S781" s="559"/>
      <c r="T781" s="559"/>
      <c r="U781" s="559"/>
      <c r="V781" s="559"/>
      <c r="W781" s="559"/>
      <c r="X781" s="559"/>
      <c r="Y781" s="559"/>
      <c r="Z781" s="559"/>
      <c r="AA781" s="559"/>
      <c r="AB781" s="559"/>
      <c r="AC781" s="559"/>
      <c r="AD781" s="559"/>
      <c r="AE781" s="559"/>
      <c r="AF781" s="559"/>
      <c r="AG781" s="559"/>
    </row>
    <row r="782" spans="1:33" ht="18" x14ac:dyDescent="0.35">
      <c r="A782" s="559"/>
      <c r="B782" s="559"/>
      <c r="C782" s="559"/>
      <c r="D782" s="559"/>
      <c r="E782" s="559"/>
      <c r="F782" s="559"/>
      <c r="G782" s="559"/>
      <c r="H782" s="559"/>
      <c r="I782" s="559"/>
      <c r="J782" s="559"/>
      <c r="K782" s="559"/>
      <c r="L782" s="559"/>
      <c r="M782" s="559"/>
      <c r="N782" s="559"/>
      <c r="O782" s="559"/>
      <c r="P782" s="559"/>
      <c r="Q782" s="559"/>
      <c r="R782" s="559"/>
      <c r="S782" s="559"/>
      <c r="T782" s="559"/>
      <c r="U782" s="559"/>
      <c r="V782" s="559"/>
      <c r="W782" s="559"/>
      <c r="X782" s="559"/>
      <c r="Y782" s="559"/>
      <c r="Z782" s="559"/>
      <c r="AA782" s="559"/>
      <c r="AB782" s="559"/>
      <c r="AC782" s="559"/>
      <c r="AD782" s="559"/>
      <c r="AE782" s="559"/>
      <c r="AF782" s="559"/>
      <c r="AG782" s="559"/>
    </row>
    <row r="783" spans="1:33" ht="18" x14ac:dyDescent="0.35">
      <c r="A783" s="559"/>
      <c r="B783" s="559"/>
      <c r="C783" s="559"/>
      <c r="D783" s="559"/>
      <c r="E783" s="559"/>
      <c r="F783" s="559"/>
      <c r="G783" s="559"/>
      <c r="H783" s="559"/>
      <c r="I783" s="559"/>
      <c r="J783" s="559"/>
      <c r="K783" s="559"/>
      <c r="L783" s="559"/>
      <c r="M783" s="559"/>
      <c r="N783" s="559"/>
      <c r="O783" s="559"/>
      <c r="P783" s="559"/>
      <c r="Q783" s="559"/>
      <c r="R783" s="559"/>
      <c r="S783" s="559"/>
      <c r="T783" s="559"/>
      <c r="U783" s="559"/>
      <c r="V783" s="559"/>
      <c r="W783" s="559"/>
      <c r="X783" s="559"/>
      <c r="Y783" s="559"/>
      <c r="Z783" s="559"/>
      <c r="AA783" s="559"/>
      <c r="AB783" s="559"/>
      <c r="AC783" s="559"/>
      <c r="AD783" s="559"/>
      <c r="AE783" s="559"/>
      <c r="AF783" s="559"/>
      <c r="AG783" s="559"/>
    </row>
    <row r="784" spans="1:33" ht="18" x14ac:dyDescent="0.35">
      <c r="A784" s="559"/>
      <c r="B784" s="559"/>
      <c r="C784" s="559"/>
      <c r="D784" s="559"/>
      <c r="E784" s="559"/>
      <c r="F784" s="559"/>
      <c r="G784" s="559"/>
      <c r="H784" s="559"/>
      <c r="I784" s="559"/>
      <c r="J784" s="559"/>
      <c r="K784" s="559"/>
      <c r="L784" s="559"/>
      <c r="M784" s="559"/>
      <c r="N784" s="559"/>
      <c r="O784" s="559"/>
      <c r="P784" s="559"/>
      <c r="Q784" s="559"/>
      <c r="R784" s="559"/>
      <c r="S784" s="559"/>
      <c r="T784" s="559"/>
      <c r="U784" s="559"/>
      <c r="V784" s="559"/>
      <c r="W784" s="559"/>
      <c r="X784" s="559"/>
      <c r="Y784" s="559"/>
      <c r="Z784" s="559"/>
      <c r="AA784" s="559"/>
      <c r="AB784" s="559"/>
      <c r="AC784" s="559"/>
      <c r="AD784" s="559"/>
      <c r="AE784" s="559"/>
      <c r="AF784" s="559"/>
      <c r="AG784" s="559"/>
    </row>
    <row r="785" spans="1:33" ht="18" x14ac:dyDescent="0.35">
      <c r="A785" s="559"/>
      <c r="B785" s="559"/>
      <c r="C785" s="559"/>
      <c r="D785" s="559"/>
      <c r="E785" s="559"/>
      <c r="F785" s="559"/>
      <c r="G785" s="559"/>
      <c r="H785" s="559"/>
      <c r="I785" s="559"/>
      <c r="J785" s="559"/>
      <c r="K785" s="559"/>
      <c r="L785" s="559"/>
      <c r="M785" s="559"/>
      <c r="N785" s="559"/>
      <c r="O785" s="559"/>
      <c r="P785" s="559"/>
      <c r="Q785" s="559"/>
      <c r="R785" s="559"/>
      <c r="S785" s="559"/>
      <c r="T785" s="559"/>
      <c r="U785" s="559"/>
      <c r="V785" s="559"/>
      <c r="W785" s="559"/>
      <c r="X785" s="559"/>
      <c r="Y785" s="559"/>
      <c r="Z785" s="559"/>
      <c r="AA785" s="559"/>
      <c r="AB785" s="559"/>
      <c r="AC785" s="559"/>
      <c r="AD785" s="559"/>
      <c r="AE785" s="559"/>
      <c r="AF785" s="559"/>
      <c r="AG785" s="559"/>
    </row>
    <row r="786" spans="1:33" ht="18" x14ac:dyDescent="0.35">
      <c r="A786" s="559"/>
      <c r="B786" s="559"/>
      <c r="C786" s="559"/>
      <c r="D786" s="559"/>
      <c r="E786" s="559"/>
      <c r="F786" s="559"/>
      <c r="G786" s="559"/>
      <c r="H786" s="559"/>
      <c r="I786" s="559"/>
      <c r="J786" s="559"/>
      <c r="K786" s="559"/>
      <c r="L786" s="559"/>
      <c r="M786" s="559"/>
      <c r="N786" s="559"/>
      <c r="O786" s="559"/>
      <c r="P786" s="559"/>
      <c r="Q786" s="559"/>
      <c r="R786" s="559"/>
      <c r="S786" s="559"/>
      <c r="T786" s="559"/>
      <c r="U786" s="559"/>
      <c r="V786" s="559"/>
      <c r="W786" s="559"/>
      <c r="X786" s="559"/>
      <c r="Y786" s="559"/>
      <c r="Z786" s="559"/>
      <c r="AA786" s="559"/>
      <c r="AB786" s="559"/>
      <c r="AC786" s="559"/>
      <c r="AD786" s="559"/>
      <c r="AE786" s="559"/>
      <c r="AF786" s="559"/>
      <c r="AG786" s="559"/>
    </row>
    <row r="787" spans="1:33" ht="18" x14ac:dyDescent="0.35">
      <c r="A787" s="559"/>
      <c r="B787" s="559"/>
      <c r="C787" s="559"/>
      <c r="D787" s="559"/>
      <c r="E787" s="559"/>
      <c r="F787" s="559"/>
      <c r="G787" s="559"/>
      <c r="H787" s="559"/>
      <c r="I787" s="559"/>
      <c r="J787" s="559"/>
      <c r="K787" s="559"/>
      <c r="L787" s="559"/>
      <c r="M787" s="559"/>
      <c r="N787" s="559"/>
      <c r="O787" s="559"/>
      <c r="P787" s="559"/>
      <c r="Q787" s="559"/>
      <c r="R787" s="559"/>
      <c r="S787" s="559"/>
      <c r="T787" s="559"/>
      <c r="U787" s="559"/>
      <c r="V787" s="559"/>
      <c r="W787" s="559"/>
      <c r="X787" s="559"/>
      <c r="Y787" s="559"/>
      <c r="Z787" s="559"/>
      <c r="AA787" s="559"/>
      <c r="AB787" s="559"/>
      <c r="AC787" s="559"/>
      <c r="AD787" s="559"/>
      <c r="AE787" s="559"/>
      <c r="AF787" s="559"/>
      <c r="AG787" s="559"/>
    </row>
    <row r="788" spans="1:33" ht="18" x14ac:dyDescent="0.35">
      <c r="A788" s="559"/>
      <c r="B788" s="559"/>
      <c r="C788" s="559"/>
      <c r="D788" s="559"/>
      <c r="E788" s="559"/>
      <c r="F788" s="559"/>
      <c r="G788" s="559"/>
      <c r="H788" s="559"/>
      <c r="I788" s="559"/>
      <c r="J788" s="559"/>
      <c r="K788" s="559"/>
      <c r="L788" s="559"/>
      <c r="M788" s="559"/>
      <c r="N788" s="559"/>
      <c r="O788" s="559"/>
      <c r="P788" s="559"/>
      <c r="Q788" s="559"/>
      <c r="R788" s="559"/>
      <c r="S788" s="559"/>
      <c r="T788" s="559"/>
      <c r="U788" s="559"/>
      <c r="V788" s="559"/>
      <c r="W788" s="559"/>
      <c r="X788" s="559"/>
      <c r="Y788" s="559"/>
      <c r="Z788" s="559"/>
      <c r="AA788" s="559"/>
      <c r="AB788" s="559"/>
      <c r="AC788" s="559"/>
      <c r="AD788" s="559"/>
      <c r="AE788" s="559"/>
      <c r="AF788" s="559"/>
      <c r="AG788" s="559"/>
    </row>
    <row r="789" spans="1:33" ht="18" x14ac:dyDescent="0.35">
      <c r="A789" s="559"/>
      <c r="B789" s="559"/>
      <c r="C789" s="559"/>
      <c r="D789" s="559"/>
      <c r="E789" s="559"/>
      <c r="F789" s="559"/>
      <c r="G789" s="559"/>
      <c r="H789" s="559"/>
      <c r="I789" s="559"/>
      <c r="J789" s="559"/>
      <c r="K789" s="559"/>
      <c r="L789" s="559"/>
      <c r="M789" s="559"/>
      <c r="N789" s="559"/>
      <c r="O789" s="559"/>
      <c r="P789" s="559"/>
      <c r="Q789" s="559"/>
      <c r="R789" s="559"/>
      <c r="S789" s="559"/>
      <c r="T789" s="559"/>
      <c r="U789" s="559"/>
      <c r="V789" s="559"/>
      <c r="W789" s="559"/>
      <c r="X789" s="559"/>
      <c r="Y789" s="559"/>
      <c r="Z789" s="559"/>
      <c r="AA789" s="559"/>
      <c r="AB789" s="559"/>
      <c r="AC789" s="559"/>
      <c r="AD789" s="559"/>
      <c r="AE789" s="559"/>
      <c r="AF789" s="559"/>
      <c r="AG789" s="559"/>
    </row>
    <row r="790" spans="1:33" ht="18" x14ac:dyDescent="0.35">
      <c r="A790" s="559"/>
      <c r="B790" s="559"/>
      <c r="C790" s="559"/>
      <c r="D790" s="559"/>
      <c r="E790" s="559"/>
      <c r="F790" s="559"/>
      <c r="G790" s="559"/>
      <c r="H790" s="559"/>
      <c r="I790" s="559"/>
      <c r="J790" s="559"/>
      <c r="K790" s="559"/>
      <c r="L790" s="559"/>
      <c r="M790" s="559"/>
      <c r="N790" s="559"/>
      <c r="O790" s="559"/>
      <c r="P790" s="559"/>
      <c r="Q790" s="559"/>
      <c r="R790" s="559"/>
      <c r="S790" s="559"/>
      <c r="T790" s="559"/>
      <c r="U790" s="559"/>
      <c r="V790" s="559"/>
      <c r="W790" s="559"/>
      <c r="X790" s="559"/>
      <c r="Y790" s="559"/>
      <c r="Z790" s="559"/>
      <c r="AA790" s="559"/>
      <c r="AB790" s="559"/>
      <c r="AC790" s="559"/>
      <c r="AD790" s="559"/>
      <c r="AE790" s="559"/>
      <c r="AF790" s="559"/>
      <c r="AG790" s="559"/>
    </row>
    <row r="791" spans="1:33" ht="18" x14ac:dyDescent="0.35">
      <c r="A791" s="559"/>
      <c r="B791" s="559"/>
      <c r="C791" s="559"/>
      <c r="D791" s="559"/>
      <c r="E791" s="559"/>
      <c r="F791" s="559"/>
      <c r="G791" s="559"/>
      <c r="H791" s="559"/>
      <c r="I791" s="559"/>
      <c r="J791" s="559"/>
      <c r="K791" s="559"/>
      <c r="L791" s="559"/>
      <c r="M791" s="559"/>
      <c r="N791" s="559"/>
      <c r="O791" s="559"/>
      <c r="P791" s="559"/>
      <c r="Q791" s="559"/>
      <c r="R791" s="559"/>
      <c r="S791" s="559"/>
      <c r="T791" s="559"/>
      <c r="U791" s="559"/>
      <c r="V791" s="559"/>
      <c r="W791" s="559"/>
      <c r="X791" s="559"/>
      <c r="Y791" s="559"/>
      <c r="Z791" s="559"/>
      <c r="AA791" s="559"/>
      <c r="AB791" s="559"/>
      <c r="AC791" s="559"/>
      <c r="AD791" s="559"/>
      <c r="AE791" s="559"/>
      <c r="AF791" s="559"/>
      <c r="AG791" s="559"/>
    </row>
    <row r="792" spans="1:33" ht="18" x14ac:dyDescent="0.35">
      <c r="A792" s="559"/>
      <c r="B792" s="559"/>
      <c r="C792" s="559"/>
      <c r="D792" s="559"/>
      <c r="E792" s="559"/>
      <c r="F792" s="559"/>
      <c r="G792" s="559"/>
      <c r="H792" s="559"/>
      <c r="I792" s="559"/>
      <c r="J792" s="559"/>
      <c r="K792" s="559"/>
      <c r="L792" s="559"/>
      <c r="M792" s="559"/>
      <c r="N792" s="559"/>
      <c r="O792" s="559"/>
      <c r="P792" s="559"/>
      <c r="Q792" s="559"/>
      <c r="R792" s="559"/>
      <c r="S792" s="559"/>
      <c r="T792" s="559"/>
      <c r="U792" s="559"/>
      <c r="V792" s="559"/>
      <c r="W792" s="559"/>
      <c r="X792" s="559"/>
      <c r="Y792" s="559"/>
      <c r="Z792" s="559"/>
      <c r="AA792" s="559"/>
      <c r="AB792" s="559"/>
      <c r="AC792" s="559"/>
      <c r="AD792" s="559"/>
      <c r="AE792" s="559"/>
      <c r="AF792" s="559"/>
      <c r="AG792" s="559"/>
    </row>
    <row r="793" spans="1:33" ht="18" x14ac:dyDescent="0.35">
      <c r="A793" s="559"/>
      <c r="B793" s="559"/>
      <c r="C793" s="559"/>
      <c r="D793" s="559"/>
      <c r="E793" s="559"/>
      <c r="F793" s="559"/>
      <c r="G793" s="559"/>
      <c r="H793" s="559"/>
      <c r="I793" s="559"/>
      <c r="J793" s="559"/>
      <c r="K793" s="559"/>
      <c r="L793" s="559"/>
      <c r="M793" s="559"/>
      <c r="N793" s="559"/>
      <c r="O793" s="559"/>
      <c r="P793" s="559"/>
      <c r="Q793" s="559"/>
      <c r="R793" s="559"/>
      <c r="S793" s="559"/>
      <c r="T793" s="559"/>
      <c r="U793" s="559"/>
      <c r="V793" s="559"/>
      <c r="W793" s="559"/>
      <c r="X793" s="559"/>
      <c r="Y793" s="559"/>
      <c r="Z793" s="559"/>
      <c r="AA793" s="559"/>
      <c r="AB793" s="559"/>
      <c r="AC793" s="559"/>
      <c r="AD793" s="559"/>
      <c r="AE793" s="559"/>
      <c r="AF793" s="559"/>
      <c r="AG793" s="559"/>
    </row>
    <row r="794" spans="1:33" ht="18" x14ac:dyDescent="0.35">
      <c r="A794" s="559"/>
      <c r="B794" s="559"/>
      <c r="C794" s="559"/>
      <c r="D794" s="559"/>
      <c r="E794" s="559"/>
      <c r="F794" s="559"/>
      <c r="G794" s="559"/>
      <c r="H794" s="559"/>
      <c r="I794" s="559"/>
      <c r="J794" s="559"/>
      <c r="K794" s="559"/>
      <c r="L794" s="559"/>
      <c r="M794" s="559"/>
      <c r="N794" s="559"/>
      <c r="O794" s="559"/>
      <c r="P794" s="559"/>
      <c r="Q794" s="559"/>
      <c r="R794" s="559"/>
      <c r="S794" s="559"/>
      <c r="T794" s="559"/>
      <c r="U794" s="559"/>
      <c r="V794" s="559"/>
      <c r="W794" s="559"/>
      <c r="X794" s="559"/>
      <c r="Y794" s="559"/>
      <c r="Z794" s="559"/>
      <c r="AA794" s="559"/>
      <c r="AB794" s="559"/>
      <c r="AC794" s="559"/>
      <c r="AD794" s="559"/>
      <c r="AE794" s="559"/>
      <c r="AF794" s="559"/>
      <c r="AG794" s="559"/>
    </row>
    <row r="795" spans="1:33" ht="18" x14ac:dyDescent="0.35">
      <c r="A795" s="559"/>
      <c r="B795" s="559"/>
      <c r="C795" s="559"/>
      <c r="D795" s="559"/>
      <c r="E795" s="559"/>
      <c r="F795" s="559"/>
      <c r="G795" s="559"/>
      <c r="H795" s="559"/>
      <c r="I795" s="559"/>
      <c r="J795" s="559"/>
      <c r="K795" s="559"/>
      <c r="L795" s="559"/>
      <c r="M795" s="559"/>
      <c r="N795" s="559"/>
      <c r="O795" s="559"/>
      <c r="P795" s="559"/>
      <c r="Q795" s="559"/>
      <c r="R795" s="559"/>
      <c r="S795" s="559"/>
      <c r="T795" s="559"/>
      <c r="U795" s="559"/>
      <c r="V795" s="559"/>
      <c r="W795" s="559"/>
      <c r="X795" s="559"/>
      <c r="Y795" s="559"/>
      <c r="Z795" s="559"/>
      <c r="AA795" s="559"/>
      <c r="AB795" s="559"/>
      <c r="AC795" s="559"/>
      <c r="AD795" s="559"/>
      <c r="AE795" s="559"/>
      <c r="AF795" s="559"/>
      <c r="AG795" s="559"/>
    </row>
    <row r="796" spans="1:33" ht="18" x14ac:dyDescent="0.35">
      <c r="A796" s="559"/>
      <c r="B796" s="559"/>
      <c r="C796" s="559"/>
      <c r="D796" s="559"/>
      <c r="E796" s="559"/>
      <c r="F796" s="559"/>
      <c r="G796" s="559"/>
      <c r="H796" s="559"/>
      <c r="I796" s="559"/>
      <c r="J796" s="559"/>
      <c r="K796" s="559"/>
      <c r="L796" s="559"/>
      <c r="M796" s="559"/>
      <c r="N796" s="559"/>
      <c r="O796" s="559"/>
      <c r="P796" s="559"/>
      <c r="Q796" s="559"/>
      <c r="R796" s="559"/>
      <c r="S796" s="559"/>
      <c r="T796" s="559"/>
      <c r="U796" s="559"/>
      <c r="V796" s="559"/>
      <c r="W796" s="559"/>
      <c r="X796" s="559"/>
      <c r="Y796" s="559"/>
      <c r="Z796" s="559"/>
      <c r="AA796" s="559"/>
      <c r="AB796" s="559"/>
      <c r="AC796" s="559"/>
      <c r="AD796" s="559"/>
      <c r="AE796" s="559"/>
      <c r="AF796" s="559"/>
      <c r="AG796" s="559"/>
    </row>
    <row r="797" spans="1:33" ht="18" x14ac:dyDescent="0.35">
      <c r="A797" s="559"/>
      <c r="B797" s="559"/>
      <c r="C797" s="559"/>
      <c r="D797" s="559"/>
      <c r="E797" s="559"/>
      <c r="F797" s="559"/>
      <c r="G797" s="559"/>
      <c r="H797" s="559"/>
      <c r="I797" s="559"/>
      <c r="J797" s="559"/>
      <c r="K797" s="559"/>
      <c r="L797" s="559"/>
      <c r="M797" s="559"/>
      <c r="N797" s="559"/>
      <c r="O797" s="559"/>
      <c r="P797" s="559"/>
      <c r="Q797" s="559"/>
      <c r="R797" s="559"/>
      <c r="S797" s="559"/>
      <c r="T797" s="559"/>
      <c r="U797" s="559"/>
      <c r="V797" s="559"/>
      <c r="W797" s="559"/>
      <c r="X797" s="559"/>
      <c r="Y797" s="559"/>
      <c r="Z797" s="559"/>
      <c r="AA797" s="559"/>
      <c r="AB797" s="559"/>
      <c r="AC797" s="559"/>
      <c r="AD797" s="559"/>
      <c r="AE797" s="559"/>
      <c r="AF797" s="559"/>
      <c r="AG797" s="559"/>
    </row>
    <row r="798" spans="1:33" ht="18" x14ac:dyDescent="0.35">
      <c r="A798" s="559"/>
      <c r="B798" s="559"/>
      <c r="C798" s="559"/>
      <c r="D798" s="559"/>
      <c r="E798" s="559"/>
      <c r="F798" s="559"/>
      <c r="G798" s="559"/>
      <c r="H798" s="559"/>
      <c r="I798" s="559"/>
      <c r="J798" s="559"/>
      <c r="K798" s="559"/>
      <c r="L798" s="559"/>
      <c r="M798" s="559"/>
      <c r="N798" s="559"/>
      <c r="O798" s="559"/>
      <c r="P798" s="559"/>
      <c r="Q798" s="559"/>
      <c r="R798" s="559"/>
      <c r="S798" s="559"/>
      <c r="T798" s="559"/>
      <c r="U798" s="559"/>
      <c r="V798" s="559"/>
      <c r="W798" s="559"/>
      <c r="X798" s="559"/>
      <c r="Y798" s="559"/>
      <c r="Z798" s="559"/>
      <c r="AA798" s="559"/>
      <c r="AB798" s="559"/>
      <c r="AC798" s="559"/>
      <c r="AD798" s="559"/>
      <c r="AE798" s="559"/>
      <c r="AF798" s="559"/>
      <c r="AG798" s="559"/>
    </row>
    <row r="799" spans="1:33" ht="18" x14ac:dyDescent="0.35">
      <c r="A799" s="559"/>
      <c r="B799" s="559"/>
      <c r="C799" s="559"/>
      <c r="D799" s="559"/>
      <c r="E799" s="559"/>
      <c r="F799" s="559"/>
      <c r="G799" s="559"/>
      <c r="H799" s="559"/>
      <c r="I799" s="559"/>
      <c r="J799" s="559"/>
      <c r="K799" s="559"/>
      <c r="L799" s="559"/>
      <c r="M799" s="559"/>
      <c r="N799" s="559"/>
      <c r="O799" s="559"/>
      <c r="P799" s="559"/>
      <c r="Q799" s="559"/>
      <c r="R799" s="559"/>
      <c r="S799" s="559"/>
      <c r="T799" s="559"/>
      <c r="U799" s="559"/>
      <c r="V799" s="559"/>
      <c r="W799" s="559"/>
      <c r="X799" s="559"/>
      <c r="Y799" s="559"/>
      <c r="Z799" s="559"/>
      <c r="AA799" s="559"/>
      <c r="AB799" s="559"/>
      <c r="AC799" s="559"/>
      <c r="AD799" s="559"/>
      <c r="AE799" s="559"/>
      <c r="AF799" s="559"/>
      <c r="AG799" s="559"/>
    </row>
    <row r="800" spans="1:33" ht="18" x14ac:dyDescent="0.35">
      <c r="A800" s="559"/>
      <c r="B800" s="559"/>
      <c r="C800" s="559"/>
      <c r="D800" s="559"/>
      <c r="E800" s="559"/>
      <c r="F800" s="559"/>
      <c r="G800" s="559"/>
      <c r="H800" s="559"/>
      <c r="I800" s="559"/>
      <c r="J800" s="559"/>
      <c r="K800" s="559"/>
      <c r="L800" s="559"/>
      <c r="M800" s="559"/>
      <c r="N800" s="559"/>
      <c r="O800" s="559"/>
      <c r="P800" s="559"/>
      <c r="Q800" s="559"/>
      <c r="R800" s="559"/>
      <c r="S800" s="559"/>
      <c r="T800" s="559"/>
      <c r="U800" s="559"/>
      <c r="V800" s="559"/>
      <c r="W800" s="559"/>
      <c r="X800" s="559"/>
      <c r="Y800" s="559"/>
      <c r="Z800" s="559"/>
      <c r="AA800" s="559"/>
      <c r="AB800" s="559"/>
      <c r="AC800" s="559"/>
      <c r="AD800" s="559"/>
      <c r="AE800" s="559"/>
      <c r="AF800" s="559"/>
      <c r="AG800" s="559"/>
    </row>
    <row r="801" spans="1:33" ht="18" x14ac:dyDescent="0.35">
      <c r="A801" s="559"/>
      <c r="B801" s="559"/>
      <c r="C801" s="559"/>
      <c r="D801" s="559"/>
      <c r="E801" s="559"/>
      <c r="F801" s="559"/>
      <c r="G801" s="559"/>
      <c r="H801" s="559"/>
      <c r="I801" s="559"/>
      <c r="J801" s="559"/>
      <c r="K801" s="559"/>
      <c r="L801" s="559"/>
      <c r="M801" s="559"/>
      <c r="N801" s="559"/>
      <c r="O801" s="559"/>
      <c r="P801" s="559"/>
      <c r="Q801" s="559"/>
      <c r="R801" s="559"/>
      <c r="S801" s="559"/>
      <c r="T801" s="559"/>
      <c r="U801" s="559"/>
      <c r="V801" s="559"/>
      <c r="W801" s="559"/>
      <c r="X801" s="559"/>
      <c r="Y801" s="559"/>
      <c r="Z801" s="559"/>
      <c r="AA801" s="559"/>
      <c r="AB801" s="559"/>
      <c r="AC801" s="559"/>
      <c r="AD801" s="559"/>
      <c r="AE801" s="559"/>
      <c r="AF801" s="559"/>
      <c r="AG801" s="559"/>
    </row>
    <row r="802" spans="1:33" ht="18" x14ac:dyDescent="0.35">
      <c r="A802" s="559"/>
      <c r="B802" s="559"/>
      <c r="C802" s="559"/>
      <c r="D802" s="559"/>
      <c r="E802" s="559"/>
      <c r="F802" s="559"/>
      <c r="G802" s="559"/>
      <c r="H802" s="559"/>
      <c r="I802" s="559"/>
      <c r="J802" s="559"/>
      <c r="K802" s="559"/>
      <c r="L802" s="559"/>
      <c r="M802" s="559"/>
      <c r="N802" s="559"/>
      <c r="O802" s="559"/>
      <c r="P802" s="559"/>
      <c r="Q802" s="559"/>
      <c r="R802" s="559"/>
      <c r="S802" s="559"/>
      <c r="T802" s="559"/>
      <c r="U802" s="559"/>
      <c r="V802" s="559"/>
      <c r="W802" s="559"/>
      <c r="X802" s="559"/>
      <c r="Y802" s="559"/>
      <c r="Z802" s="559"/>
      <c r="AA802" s="559"/>
      <c r="AB802" s="559"/>
      <c r="AC802" s="559"/>
      <c r="AD802" s="559"/>
      <c r="AE802" s="559"/>
      <c r="AF802" s="559"/>
      <c r="AG802" s="559"/>
    </row>
    <row r="803" spans="1:33" ht="18" x14ac:dyDescent="0.35">
      <c r="A803" s="559"/>
      <c r="B803" s="559"/>
      <c r="C803" s="559"/>
      <c r="D803" s="559"/>
      <c r="E803" s="559"/>
      <c r="F803" s="559"/>
      <c r="G803" s="559"/>
      <c r="H803" s="559"/>
      <c r="I803" s="559"/>
      <c r="J803" s="559"/>
      <c r="K803" s="559"/>
      <c r="L803" s="559"/>
      <c r="M803" s="559"/>
      <c r="N803" s="559"/>
      <c r="O803" s="559"/>
      <c r="P803" s="559"/>
      <c r="Q803" s="559"/>
      <c r="R803" s="559"/>
      <c r="S803" s="559"/>
      <c r="T803" s="559"/>
      <c r="U803" s="559"/>
      <c r="V803" s="559"/>
      <c r="W803" s="559"/>
      <c r="X803" s="559"/>
      <c r="Y803" s="559"/>
      <c r="Z803" s="559"/>
      <c r="AA803" s="559"/>
      <c r="AB803" s="559"/>
      <c r="AC803" s="559"/>
      <c r="AD803" s="559"/>
      <c r="AE803" s="559"/>
      <c r="AF803" s="559"/>
      <c r="AG803" s="559"/>
    </row>
    <row r="804" spans="1:33" ht="18" x14ac:dyDescent="0.35">
      <c r="A804" s="559"/>
      <c r="B804" s="559"/>
      <c r="C804" s="559"/>
      <c r="D804" s="559"/>
      <c r="E804" s="559"/>
      <c r="F804" s="559"/>
      <c r="G804" s="559"/>
      <c r="H804" s="559"/>
      <c r="I804" s="559"/>
      <c r="J804" s="559"/>
      <c r="K804" s="559"/>
      <c r="L804" s="559"/>
      <c r="M804" s="559"/>
      <c r="N804" s="559"/>
      <c r="O804" s="559"/>
      <c r="P804" s="559"/>
      <c r="Q804" s="559"/>
      <c r="R804" s="559"/>
      <c r="S804" s="559"/>
      <c r="T804" s="559"/>
      <c r="U804" s="559"/>
      <c r="V804" s="559"/>
      <c r="W804" s="559"/>
      <c r="X804" s="559"/>
      <c r="Y804" s="559"/>
      <c r="Z804" s="559"/>
      <c r="AA804" s="559"/>
      <c r="AB804" s="559"/>
      <c r="AC804" s="559"/>
      <c r="AD804" s="559"/>
      <c r="AE804" s="559"/>
      <c r="AF804" s="559"/>
      <c r="AG804" s="559"/>
    </row>
    <row r="805" spans="1:33" ht="18" x14ac:dyDescent="0.35">
      <c r="A805" s="559"/>
      <c r="B805" s="559"/>
      <c r="C805" s="559"/>
      <c r="D805" s="559"/>
      <c r="E805" s="559"/>
      <c r="F805" s="559"/>
      <c r="G805" s="559"/>
      <c r="H805" s="559"/>
      <c r="I805" s="559"/>
      <c r="J805" s="559"/>
      <c r="K805" s="559"/>
      <c r="L805" s="559"/>
      <c r="M805" s="559"/>
      <c r="N805" s="559"/>
      <c r="O805" s="559"/>
      <c r="P805" s="559"/>
      <c r="Q805" s="559"/>
      <c r="R805" s="559"/>
      <c r="S805" s="559"/>
      <c r="T805" s="559"/>
      <c r="U805" s="559"/>
      <c r="V805" s="559"/>
      <c r="W805" s="559"/>
      <c r="X805" s="559"/>
      <c r="Y805" s="559"/>
      <c r="Z805" s="559"/>
      <c r="AA805" s="559"/>
      <c r="AB805" s="559"/>
      <c r="AC805" s="559"/>
      <c r="AD805" s="559"/>
      <c r="AE805" s="559"/>
      <c r="AF805" s="559"/>
      <c r="AG805" s="559"/>
    </row>
    <row r="806" spans="1:33" ht="18" x14ac:dyDescent="0.35">
      <c r="A806" s="559"/>
      <c r="B806" s="559"/>
      <c r="C806" s="559"/>
      <c r="D806" s="559"/>
      <c r="E806" s="559"/>
      <c r="F806" s="559"/>
      <c r="G806" s="559"/>
      <c r="H806" s="559"/>
      <c r="I806" s="559"/>
      <c r="J806" s="559"/>
      <c r="K806" s="559"/>
      <c r="L806" s="559"/>
      <c r="M806" s="559"/>
      <c r="N806" s="559"/>
      <c r="O806" s="559"/>
      <c r="P806" s="559"/>
      <c r="Q806" s="559"/>
      <c r="R806" s="559"/>
      <c r="S806" s="559"/>
      <c r="T806" s="559"/>
      <c r="U806" s="559"/>
      <c r="V806" s="559"/>
      <c r="W806" s="559"/>
      <c r="X806" s="559"/>
      <c r="Y806" s="559"/>
      <c r="Z806" s="559"/>
      <c r="AA806" s="559"/>
      <c r="AB806" s="559"/>
      <c r="AC806" s="559"/>
      <c r="AD806" s="559"/>
      <c r="AE806" s="559"/>
      <c r="AF806" s="559"/>
      <c r="AG806" s="559"/>
    </row>
    <row r="807" spans="1:33" ht="18" x14ac:dyDescent="0.35">
      <c r="A807" s="559"/>
      <c r="B807" s="559"/>
      <c r="C807" s="559"/>
      <c r="D807" s="559"/>
      <c r="E807" s="559"/>
      <c r="F807" s="559"/>
      <c r="G807" s="559"/>
      <c r="H807" s="559"/>
      <c r="I807" s="559"/>
      <c r="J807" s="559"/>
      <c r="K807" s="559"/>
      <c r="L807" s="559"/>
      <c r="M807" s="559"/>
      <c r="N807" s="559"/>
      <c r="O807" s="559"/>
      <c r="P807" s="559"/>
      <c r="Q807" s="559"/>
      <c r="R807" s="559"/>
      <c r="S807" s="559"/>
      <c r="T807" s="559"/>
      <c r="U807" s="559"/>
      <c r="V807" s="559"/>
      <c r="W807" s="559"/>
      <c r="X807" s="559"/>
      <c r="Y807" s="559"/>
      <c r="Z807" s="559"/>
      <c r="AA807" s="559"/>
      <c r="AB807" s="559"/>
      <c r="AC807" s="559"/>
      <c r="AD807" s="559"/>
      <c r="AE807" s="559"/>
      <c r="AF807" s="559"/>
      <c r="AG807" s="559"/>
    </row>
    <row r="808" spans="1:33" ht="18" x14ac:dyDescent="0.35">
      <c r="A808" s="559"/>
      <c r="B808" s="559"/>
      <c r="C808" s="559"/>
      <c r="D808" s="559"/>
      <c r="E808" s="559"/>
      <c r="F808" s="559"/>
      <c r="G808" s="559"/>
      <c r="H808" s="559"/>
      <c r="I808" s="559"/>
      <c r="J808" s="559"/>
      <c r="K808" s="559"/>
      <c r="L808" s="559"/>
      <c r="M808" s="559"/>
      <c r="N808" s="559"/>
      <c r="O808" s="559"/>
      <c r="P808" s="559"/>
      <c r="Q808" s="559"/>
      <c r="R808" s="559"/>
      <c r="S808" s="559"/>
      <c r="T808" s="559"/>
      <c r="U808" s="559"/>
      <c r="V808" s="559"/>
      <c r="W808" s="559"/>
      <c r="X808" s="559"/>
      <c r="Y808" s="559"/>
      <c r="Z808" s="559"/>
      <c r="AA808" s="559"/>
      <c r="AB808" s="559"/>
      <c r="AC808" s="559"/>
      <c r="AD808" s="559"/>
      <c r="AE808" s="559"/>
      <c r="AF808" s="559"/>
      <c r="AG808" s="559"/>
    </row>
    <row r="809" spans="1:33" ht="18" x14ac:dyDescent="0.35">
      <c r="A809" s="559"/>
      <c r="B809" s="559"/>
      <c r="C809" s="559"/>
      <c r="D809" s="559"/>
      <c r="E809" s="559"/>
      <c r="F809" s="559"/>
      <c r="G809" s="559"/>
      <c r="H809" s="559"/>
      <c r="I809" s="559"/>
      <c r="J809" s="559"/>
      <c r="K809" s="559"/>
      <c r="L809" s="559"/>
      <c r="M809" s="559"/>
      <c r="N809" s="559"/>
      <c r="O809" s="559"/>
      <c r="P809" s="559"/>
      <c r="Q809" s="559"/>
      <c r="R809" s="559"/>
      <c r="S809" s="559"/>
      <c r="T809" s="559"/>
      <c r="U809" s="559"/>
      <c r="V809" s="559"/>
      <c r="W809" s="559"/>
      <c r="X809" s="559"/>
      <c r="Y809" s="559"/>
      <c r="Z809" s="559"/>
      <c r="AA809" s="559"/>
      <c r="AB809" s="559"/>
      <c r="AC809" s="559"/>
      <c r="AD809" s="559"/>
      <c r="AE809" s="559"/>
      <c r="AF809" s="559"/>
      <c r="AG809" s="559"/>
    </row>
    <row r="810" spans="1:33" ht="18" x14ac:dyDescent="0.35">
      <c r="A810" s="559"/>
      <c r="B810" s="559"/>
      <c r="C810" s="559"/>
      <c r="D810" s="559"/>
      <c r="E810" s="559"/>
      <c r="F810" s="559"/>
      <c r="G810" s="559"/>
      <c r="H810" s="559"/>
      <c r="I810" s="559"/>
      <c r="J810" s="559"/>
      <c r="K810" s="559"/>
      <c r="L810" s="559"/>
      <c r="M810" s="559"/>
      <c r="N810" s="559"/>
      <c r="O810" s="559"/>
      <c r="P810" s="559"/>
      <c r="Q810" s="559"/>
      <c r="R810" s="559"/>
      <c r="S810" s="559"/>
      <c r="T810" s="559"/>
      <c r="U810" s="559"/>
      <c r="V810" s="559"/>
      <c r="W810" s="559"/>
      <c r="X810" s="559"/>
      <c r="Y810" s="559"/>
      <c r="Z810" s="559"/>
      <c r="AA810" s="559"/>
      <c r="AB810" s="559"/>
      <c r="AC810" s="559"/>
      <c r="AD810" s="559"/>
      <c r="AE810" s="559"/>
      <c r="AF810" s="559"/>
      <c r="AG810" s="559"/>
    </row>
    <row r="811" spans="1:33" ht="18" x14ac:dyDescent="0.35">
      <c r="A811" s="559"/>
      <c r="B811" s="559"/>
      <c r="C811" s="559"/>
      <c r="D811" s="559"/>
      <c r="E811" s="559"/>
      <c r="F811" s="559"/>
      <c r="G811" s="559"/>
      <c r="H811" s="559"/>
      <c r="I811" s="559"/>
      <c r="J811" s="559"/>
      <c r="K811" s="559"/>
      <c r="L811" s="559"/>
      <c r="M811" s="559"/>
      <c r="N811" s="559"/>
      <c r="O811" s="559"/>
      <c r="P811" s="559"/>
      <c r="Q811" s="559"/>
      <c r="R811" s="559"/>
      <c r="S811" s="559"/>
      <c r="T811" s="559"/>
      <c r="U811" s="559"/>
      <c r="V811" s="559"/>
      <c r="W811" s="559"/>
      <c r="X811" s="559"/>
      <c r="Y811" s="559"/>
      <c r="Z811" s="559"/>
      <c r="AA811" s="559"/>
      <c r="AB811" s="559"/>
      <c r="AC811" s="559"/>
      <c r="AD811" s="559"/>
      <c r="AE811" s="559"/>
      <c r="AF811" s="559"/>
      <c r="AG811" s="559"/>
    </row>
    <row r="812" spans="1:33" ht="18" x14ac:dyDescent="0.35">
      <c r="A812" s="559"/>
      <c r="B812" s="559"/>
      <c r="C812" s="559"/>
      <c r="D812" s="559"/>
      <c r="E812" s="559"/>
      <c r="F812" s="559"/>
      <c r="G812" s="559"/>
      <c r="H812" s="559"/>
      <c r="I812" s="559"/>
      <c r="J812" s="559"/>
      <c r="K812" s="559"/>
      <c r="L812" s="559"/>
      <c r="M812" s="559"/>
      <c r="N812" s="559"/>
      <c r="O812" s="559"/>
      <c r="P812" s="559"/>
      <c r="Q812" s="559"/>
      <c r="R812" s="559"/>
      <c r="S812" s="559"/>
      <c r="T812" s="559"/>
      <c r="U812" s="559"/>
      <c r="V812" s="559"/>
      <c r="W812" s="559"/>
      <c r="X812" s="559"/>
      <c r="Y812" s="559"/>
      <c r="Z812" s="559"/>
      <c r="AA812" s="559"/>
      <c r="AB812" s="559"/>
      <c r="AC812" s="559"/>
      <c r="AD812" s="559"/>
      <c r="AE812" s="559"/>
      <c r="AF812" s="559"/>
      <c r="AG812" s="559"/>
    </row>
    <row r="813" spans="1:33" ht="18" x14ac:dyDescent="0.35">
      <c r="A813" s="559"/>
      <c r="B813" s="559"/>
      <c r="C813" s="559"/>
      <c r="D813" s="559"/>
      <c r="E813" s="559"/>
      <c r="F813" s="559"/>
      <c r="G813" s="559"/>
      <c r="H813" s="559"/>
      <c r="I813" s="559"/>
      <c r="J813" s="559"/>
      <c r="K813" s="559"/>
      <c r="L813" s="559"/>
      <c r="M813" s="559"/>
      <c r="N813" s="559"/>
      <c r="O813" s="559"/>
      <c r="P813" s="559"/>
      <c r="Q813" s="559"/>
      <c r="R813" s="559"/>
      <c r="S813" s="559"/>
      <c r="T813" s="559"/>
      <c r="U813" s="559"/>
      <c r="V813" s="559"/>
      <c r="W813" s="559"/>
      <c r="X813" s="559"/>
      <c r="Y813" s="559"/>
      <c r="Z813" s="559"/>
      <c r="AA813" s="559"/>
      <c r="AB813" s="559"/>
      <c r="AC813" s="559"/>
      <c r="AD813" s="559"/>
      <c r="AE813" s="559"/>
      <c r="AF813" s="559"/>
      <c r="AG813" s="559"/>
    </row>
    <row r="814" spans="1:33" ht="18" x14ac:dyDescent="0.35">
      <c r="A814" s="559"/>
      <c r="B814" s="559"/>
      <c r="C814" s="559"/>
      <c r="D814" s="559"/>
      <c r="E814" s="559"/>
      <c r="F814" s="559"/>
      <c r="G814" s="559"/>
      <c r="H814" s="559"/>
      <c r="I814" s="559"/>
      <c r="J814" s="559"/>
      <c r="K814" s="559"/>
      <c r="L814" s="559"/>
      <c r="M814" s="559"/>
      <c r="N814" s="559"/>
      <c r="O814" s="559"/>
      <c r="P814" s="559"/>
      <c r="Q814" s="559"/>
      <c r="R814" s="559"/>
      <c r="S814" s="559"/>
      <c r="T814" s="559"/>
      <c r="U814" s="559"/>
      <c r="V814" s="559"/>
      <c r="W814" s="559"/>
      <c r="X814" s="559"/>
      <c r="Y814" s="559"/>
      <c r="Z814" s="559"/>
      <c r="AA814" s="559"/>
      <c r="AB814" s="559"/>
      <c r="AC814" s="559"/>
      <c r="AD814" s="559"/>
      <c r="AE814" s="559"/>
      <c r="AF814" s="559"/>
      <c r="AG814" s="559"/>
    </row>
    <row r="815" spans="1:33" ht="18" x14ac:dyDescent="0.35">
      <c r="A815" s="559"/>
      <c r="B815" s="559"/>
      <c r="C815" s="559"/>
      <c r="D815" s="559"/>
      <c r="E815" s="559"/>
      <c r="F815" s="559"/>
      <c r="G815" s="559"/>
      <c r="H815" s="559"/>
      <c r="I815" s="559"/>
      <c r="J815" s="559"/>
      <c r="K815" s="559"/>
      <c r="L815" s="559"/>
      <c r="M815" s="559"/>
      <c r="N815" s="559"/>
      <c r="O815" s="559"/>
      <c r="P815" s="559"/>
      <c r="Q815" s="559"/>
      <c r="R815" s="559"/>
      <c r="S815" s="559"/>
      <c r="T815" s="559"/>
      <c r="U815" s="559"/>
      <c r="V815" s="559"/>
      <c r="W815" s="559"/>
      <c r="X815" s="559"/>
      <c r="Y815" s="559"/>
      <c r="Z815" s="559"/>
      <c r="AA815" s="559"/>
      <c r="AB815" s="559"/>
      <c r="AC815" s="559"/>
      <c r="AD815" s="559"/>
      <c r="AE815" s="559"/>
      <c r="AF815" s="559"/>
      <c r="AG815" s="559"/>
    </row>
    <row r="816" spans="1:33" ht="18" x14ac:dyDescent="0.35">
      <c r="A816" s="559"/>
      <c r="B816" s="559"/>
      <c r="C816" s="559"/>
      <c r="D816" s="559"/>
      <c r="E816" s="559"/>
      <c r="F816" s="559"/>
      <c r="G816" s="559"/>
      <c r="H816" s="559"/>
      <c r="I816" s="559"/>
      <c r="J816" s="559"/>
      <c r="K816" s="559"/>
      <c r="L816" s="559"/>
      <c r="M816" s="559"/>
      <c r="N816" s="559"/>
      <c r="O816" s="559"/>
      <c r="P816" s="559"/>
      <c r="Q816" s="559"/>
      <c r="R816" s="559"/>
      <c r="S816" s="559"/>
      <c r="T816" s="559"/>
      <c r="U816" s="559"/>
      <c r="V816" s="559"/>
      <c r="W816" s="559"/>
      <c r="X816" s="559"/>
      <c r="Y816" s="559"/>
      <c r="Z816" s="559"/>
      <c r="AA816" s="559"/>
      <c r="AB816" s="559"/>
      <c r="AC816" s="559"/>
      <c r="AD816" s="559"/>
      <c r="AE816" s="559"/>
      <c r="AF816" s="559"/>
      <c r="AG816" s="559"/>
    </row>
    <row r="817" spans="1:33" ht="18" x14ac:dyDescent="0.35">
      <c r="A817" s="559"/>
      <c r="B817" s="559"/>
      <c r="C817" s="559"/>
      <c r="D817" s="559"/>
      <c r="E817" s="559"/>
      <c r="F817" s="559"/>
      <c r="G817" s="559"/>
      <c r="H817" s="559"/>
      <c r="I817" s="559"/>
      <c r="J817" s="559"/>
      <c r="K817" s="559"/>
      <c r="L817" s="559"/>
      <c r="M817" s="559"/>
      <c r="N817" s="559"/>
      <c r="O817" s="559"/>
      <c r="P817" s="559"/>
      <c r="Q817" s="559"/>
      <c r="R817" s="559"/>
      <c r="S817" s="559"/>
      <c r="T817" s="559"/>
      <c r="U817" s="559"/>
      <c r="V817" s="559"/>
      <c r="W817" s="559"/>
      <c r="X817" s="559"/>
      <c r="Y817" s="559"/>
      <c r="Z817" s="559"/>
      <c r="AA817" s="559"/>
      <c r="AB817" s="559"/>
      <c r="AC817" s="559"/>
      <c r="AD817" s="559"/>
      <c r="AE817" s="559"/>
      <c r="AF817" s="559"/>
      <c r="AG817" s="559"/>
    </row>
    <row r="818" spans="1:33" ht="18" x14ac:dyDescent="0.35">
      <c r="A818" s="559"/>
      <c r="B818" s="559"/>
      <c r="C818" s="559"/>
      <c r="D818" s="559"/>
      <c r="E818" s="559"/>
      <c r="F818" s="559"/>
      <c r="G818" s="559"/>
      <c r="H818" s="559"/>
      <c r="I818" s="559"/>
      <c r="J818" s="559"/>
      <c r="K818" s="559"/>
      <c r="L818" s="559"/>
      <c r="M818" s="559"/>
      <c r="N818" s="559"/>
      <c r="O818" s="559"/>
      <c r="P818" s="559"/>
      <c r="Q818" s="559"/>
      <c r="R818" s="559"/>
      <c r="S818" s="559"/>
      <c r="T818" s="559"/>
      <c r="U818" s="559"/>
      <c r="V818" s="559"/>
      <c r="W818" s="559"/>
      <c r="X818" s="559"/>
      <c r="Y818" s="559"/>
      <c r="Z818" s="559"/>
      <c r="AA818" s="559"/>
      <c r="AB818" s="559"/>
      <c r="AC818" s="559"/>
      <c r="AD818" s="559"/>
      <c r="AE818" s="559"/>
      <c r="AF818" s="559"/>
      <c r="AG818" s="559"/>
    </row>
    <row r="819" spans="1:33" ht="18" x14ac:dyDescent="0.35">
      <c r="A819" s="559"/>
      <c r="B819" s="559"/>
      <c r="C819" s="559"/>
      <c r="D819" s="559"/>
      <c r="E819" s="559"/>
      <c r="F819" s="559"/>
      <c r="G819" s="559"/>
      <c r="H819" s="559"/>
      <c r="I819" s="559"/>
      <c r="J819" s="559"/>
      <c r="K819" s="559"/>
      <c r="L819" s="559"/>
      <c r="M819" s="559"/>
      <c r="N819" s="559"/>
      <c r="O819" s="559"/>
      <c r="P819" s="559"/>
      <c r="Q819" s="559"/>
      <c r="R819" s="559"/>
      <c r="S819" s="559"/>
      <c r="T819" s="559"/>
      <c r="U819" s="559"/>
      <c r="V819" s="559"/>
      <c r="W819" s="559"/>
      <c r="X819" s="559"/>
      <c r="Y819" s="559"/>
      <c r="Z819" s="559"/>
      <c r="AA819" s="559"/>
      <c r="AB819" s="559"/>
      <c r="AC819" s="559"/>
      <c r="AD819" s="559"/>
      <c r="AE819" s="559"/>
      <c r="AF819" s="559"/>
      <c r="AG819" s="559"/>
    </row>
    <row r="820" spans="1:33" ht="18" x14ac:dyDescent="0.35">
      <c r="A820" s="559"/>
      <c r="B820" s="559"/>
      <c r="C820" s="559"/>
      <c r="D820" s="559"/>
      <c r="E820" s="559"/>
      <c r="F820" s="559"/>
      <c r="G820" s="559"/>
      <c r="H820" s="559"/>
      <c r="I820" s="559"/>
      <c r="J820" s="559"/>
      <c r="K820" s="559"/>
      <c r="L820" s="559"/>
      <c r="M820" s="559"/>
      <c r="N820" s="559"/>
      <c r="O820" s="559"/>
      <c r="P820" s="559"/>
      <c r="Q820" s="559"/>
      <c r="R820" s="559"/>
      <c r="S820" s="559"/>
      <c r="T820" s="559"/>
      <c r="U820" s="559"/>
      <c r="V820" s="559"/>
      <c r="W820" s="559"/>
      <c r="X820" s="559"/>
      <c r="Y820" s="559"/>
      <c r="Z820" s="559"/>
      <c r="AA820" s="559"/>
      <c r="AB820" s="559"/>
      <c r="AC820" s="559"/>
      <c r="AD820" s="559"/>
      <c r="AE820" s="559"/>
      <c r="AF820" s="559"/>
      <c r="AG820" s="559"/>
    </row>
    <row r="821" spans="1:33" ht="18" x14ac:dyDescent="0.35">
      <c r="A821" s="559"/>
      <c r="B821" s="559"/>
      <c r="C821" s="559"/>
      <c r="D821" s="559"/>
      <c r="E821" s="559"/>
      <c r="F821" s="559"/>
      <c r="G821" s="559"/>
      <c r="H821" s="559"/>
      <c r="I821" s="559"/>
      <c r="J821" s="559"/>
      <c r="K821" s="559"/>
      <c r="L821" s="559"/>
      <c r="M821" s="559"/>
      <c r="N821" s="559"/>
      <c r="O821" s="559"/>
      <c r="P821" s="559"/>
      <c r="Q821" s="559"/>
      <c r="R821" s="559"/>
      <c r="S821" s="559"/>
      <c r="T821" s="559"/>
      <c r="U821" s="559"/>
      <c r="V821" s="559"/>
      <c r="W821" s="559"/>
      <c r="X821" s="559"/>
      <c r="Y821" s="559"/>
      <c r="Z821" s="559"/>
      <c r="AA821" s="559"/>
      <c r="AB821" s="559"/>
      <c r="AC821" s="559"/>
      <c r="AD821" s="559"/>
      <c r="AE821" s="559"/>
      <c r="AF821" s="559"/>
      <c r="AG821" s="559"/>
    </row>
    <row r="822" spans="1:33" ht="18" x14ac:dyDescent="0.35">
      <c r="A822" s="559"/>
      <c r="B822" s="559"/>
      <c r="C822" s="559"/>
      <c r="D822" s="559"/>
      <c r="E822" s="559"/>
      <c r="F822" s="559"/>
      <c r="G822" s="559"/>
      <c r="H822" s="559"/>
      <c r="I822" s="559"/>
      <c r="J822" s="559"/>
      <c r="K822" s="559"/>
      <c r="L822" s="559"/>
      <c r="M822" s="559"/>
      <c r="N822" s="559"/>
      <c r="O822" s="559"/>
      <c r="P822" s="559"/>
      <c r="Q822" s="559"/>
      <c r="R822" s="559"/>
      <c r="S822" s="559"/>
      <c r="T822" s="559"/>
      <c r="U822" s="559"/>
      <c r="V822" s="559"/>
      <c r="W822" s="559"/>
      <c r="X822" s="559"/>
      <c r="Y822" s="559"/>
      <c r="Z822" s="559"/>
      <c r="AA822" s="559"/>
      <c r="AB822" s="559"/>
      <c r="AC822" s="559"/>
      <c r="AD822" s="559"/>
      <c r="AE822" s="559"/>
      <c r="AF822" s="559"/>
      <c r="AG822" s="559"/>
    </row>
    <row r="823" spans="1:33" ht="18" x14ac:dyDescent="0.35">
      <c r="A823" s="559"/>
      <c r="B823" s="559"/>
      <c r="C823" s="559"/>
      <c r="D823" s="559"/>
      <c r="E823" s="559"/>
      <c r="F823" s="559"/>
      <c r="G823" s="559"/>
      <c r="H823" s="559"/>
      <c r="I823" s="559"/>
      <c r="J823" s="559"/>
      <c r="K823" s="559"/>
      <c r="L823" s="559"/>
      <c r="M823" s="559"/>
      <c r="N823" s="559"/>
      <c r="O823" s="559"/>
      <c r="P823" s="559"/>
      <c r="Q823" s="559"/>
      <c r="R823" s="559"/>
      <c r="S823" s="559"/>
      <c r="T823" s="559"/>
      <c r="U823" s="559"/>
      <c r="V823" s="559"/>
      <c r="W823" s="559"/>
      <c r="X823" s="559"/>
      <c r="Y823" s="559"/>
      <c r="Z823" s="559"/>
      <c r="AA823" s="559"/>
      <c r="AB823" s="559"/>
      <c r="AC823" s="559"/>
      <c r="AD823" s="559"/>
      <c r="AE823" s="559"/>
      <c r="AF823" s="559"/>
      <c r="AG823" s="559"/>
    </row>
    <row r="824" spans="1:33" ht="18" x14ac:dyDescent="0.35">
      <c r="A824" s="559"/>
      <c r="B824" s="559"/>
      <c r="C824" s="559"/>
      <c r="D824" s="559"/>
      <c r="E824" s="559"/>
      <c r="F824" s="559"/>
      <c r="G824" s="559"/>
      <c r="H824" s="559"/>
      <c r="I824" s="559"/>
      <c r="J824" s="559"/>
      <c r="K824" s="559"/>
      <c r="L824" s="559"/>
      <c r="M824" s="559"/>
      <c r="N824" s="559"/>
      <c r="O824" s="559"/>
      <c r="P824" s="559"/>
      <c r="Q824" s="559"/>
      <c r="R824" s="559"/>
      <c r="S824" s="559"/>
      <c r="T824" s="559"/>
      <c r="U824" s="559"/>
      <c r="V824" s="559"/>
      <c r="W824" s="559"/>
      <c r="X824" s="559"/>
      <c r="Y824" s="559"/>
      <c r="Z824" s="559"/>
      <c r="AA824" s="559"/>
      <c r="AB824" s="559"/>
      <c r="AC824" s="559"/>
      <c r="AD824" s="559"/>
      <c r="AE824" s="559"/>
      <c r="AF824" s="559"/>
      <c r="AG824" s="559"/>
    </row>
    <row r="825" spans="1:33" ht="18" x14ac:dyDescent="0.35">
      <c r="A825" s="559"/>
      <c r="B825" s="559"/>
      <c r="C825" s="559"/>
      <c r="D825" s="559"/>
      <c r="E825" s="559"/>
      <c r="F825" s="559"/>
      <c r="G825" s="559"/>
      <c r="H825" s="559"/>
      <c r="I825" s="559"/>
      <c r="J825" s="559"/>
      <c r="K825" s="559"/>
      <c r="L825" s="559"/>
      <c r="M825" s="559"/>
      <c r="N825" s="559"/>
      <c r="O825" s="559"/>
      <c r="P825" s="559"/>
      <c r="Q825" s="559"/>
      <c r="R825" s="559"/>
      <c r="S825" s="559"/>
      <c r="T825" s="559"/>
      <c r="U825" s="559"/>
      <c r="V825" s="559"/>
      <c r="W825" s="559"/>
      <c r="X825" s="559"/>
      <c r="Y825" s="559"/>
      <c r="Z825" s="559"/>
      <c r="AA825" s="559"/>
      <c r="AB825" s="559"/>
      <c r="AC825" s="559"/>
      <c r="AD825" s="559"/>
      <c r="AE825" s="559"/>
      <c r="AF825" s="559"/>
      <c r="AG825" s="559"/>
    </row>
    <row r="826" spans="1:33" ht="18" x14ac:dyDescent="0.35">
      <c r="A826" s="559"/>
      <c r="B826" s="559"/>
      <c r="C826" s="559"/>
      <c r="D826" s="559"/>
      <c r="E826" s="559"/>
      <c r="F826" s="559"/>
      <c r="G826" s="559"/>
      <c r="H826" s="559"/>
      <c r="I826" s="559"/>
      <c r="J826" s="559"/>
      <c r="K826" s="559"/>
      <c r="L826" s="559"/>
      <c r="M826" s="559"/>
      <c r="N826" s="559"/>
      <c r="O826" s="559"/>
      <c r="P826" s="559"/>
      <c r="Q826" s="559"/>
      <c r="R826" s="559"/>
      <c r="S826" s="559"/>
      <c r="T826" s="559"/>
      <c r="U826" s="559"/>
      <c r="V826" s="559"/>
      <c r="W826" s="559"/>
      <c r="X826" s="559"/>
      <c r="Y826" s="559"/>
      <c r="Z826" s="559"/>
      <c r="AA826" s="559"/>
      <c r="AB826" s="559"/>
      <c r="AC826" s="559"/>
      <c r="AD826" s="559"/>
      <c r="AE826" s="559"/>
      <c r="AF826" s="559"/>
      <c r="AG826" s="559"/>
    </row>
    <row r="827" spans="1:33" ht="18" x14ac:dyDescent="0.35">
      <c r="A827" s="559"/>
      <c r="B827" s="559"/>
      <c r="C827" s="559"/>
      <c r="D827" s="559"/>
      <c r="E827" s="559"/>
      <c r="F827" s="559"/>
      <c r="G827" s="559"/>
      <c r="H827" s="559"/>
      <c r="I827" s="559"/>
      <c r="J827" s="559"/>
      <c r="K827" s="559"/>
      <c r="L827" s="559"/>
      <c r="M827" s="559"/>
      <c r="N827" s="559"/>
      <c r="O827" s="559"/>
      <c r="P827" s="559"/>
      <c r="Q827" s="559"/>
      <c r="R827" s="559"/>
      <c r="S827" s="559"/>
      <c r="T827" s="559"/>
      <c r="U827" s="559"/>
      <c r="V827" s="559"/>
      <c r="W827" s="559"/>
      <c r="X827" s="559"/>
      <c r="Y827" s="559"/>
      <c r="Z827" s="559"/>
      <c r="AA827" s="559"/>
      <c r="AB827" s="559"/>
      <c r="AC827" s="559"/>
      <c r="AD827" s="559"/>
      <c r="AE827" s="559"/>
      <c r="AF827" s="559"/>
      <c r="AG827" s="559"/>
    </row>
    <row r="828" spans="1:33" ht="18" x14ac:dyDescent="0.35">
      <c r="A828" s="559"/>
      <c r="B828" s="559"/>
      <c r="C828" s="559"/>
      <c r="D828" s="559"/>
      <c r="E828" s="559"/>
      <c r="F828" s="559"/>
      <c r="G828" s="559"/>
      <c r="H828" s="559"/>
      <c r="I828" s="559"/>
      <c r="J828" s="559"/>
      <c r="K828" s="559"/>
      <c r="L828" s="559"/>
      <c r="M828" s="559"/>
      <c r="N828" s="559"/>
      <c r="O828" s="559"/>
      <c r="P828" s="559"/>
      <c r="Q828" s="559"/>
      <c r="R828" s="559"/>
      <c r="S828" s="559"/>
      <c r="T828" s="559"/>
      <c r="U828" s="559"/>
      <c r="V828" s="559"/>
      <c r="W828" s="559"/>
      <c r="X828" s="559"/>
      <c r="Y828" s="559"/>
      <c r="Z828" s="559"/>
      <c r="AA828" s="559"/>
      <c r="AB828" s="559"/>
      <c r="AC828" s="559"/>
      <c r="AD828" s="559"/>
      <c r="AE828" s="559"/>
      <c r="AF828" s="559"/>
      <c r="AG828" s="559"/>
    </row>
    <row r="829" spans="1:33" ht="18" x14ac:dyDescent="0.35">
      <c r="A829" s="559"/>
      <c r="B829" s="559"/>
      <c r="C829" s="559"/>
      <c r="D829" s="559"/>
      <c r="E829" s="559"/>
      <c r="F829" s="559"/>
      <c r="G829" s="559"/>
      <c r="H829" s="559"/>
      <c r="I829" s="559"/>
      <c r="J829" s="559"/>
      <c r="K829" s="559"/>
      <c r="L829" s="559"/>
      <c r="M829" s="559"/>
      <c r="N829" s="559"/>
      <c r="O829" s="559"/>
      <c r="P829" s="559"/>
      <c r="Q829" s="559"/>
      <c r="R829" s="559"/>
      <c r="S829" s="559"/>
      <c r="T829" s="559"/>
      <c r="U829" s="559"/>
      <c r="V829" s="559"/>
      <c r="W829" s="559"/>
      <c r="X829" s="559"/>
      <c r="Y829" s="559"/>
      <c r="Z829" s="559"/>
      <c r="AA829" s="559"/>
      <c r="AB829" s="559"/>
      <c r="AC829" s="559"/>
      <c r="AD829" s="559"/>
      <c r="AE829" s="559"/>
      <c r="AF829" s="559"/>
      <c r="AG829" s="559"/>
    </row>
    <row r="830" spans="1:33" ht="18" x14ac:dyDescent="0.35">
      <c r="A830" s="559"/>
      <c r="B830" s="559"/>
      <c r="C830" s="559"/>
      <c r="D830" s="559"/>
      <c r="E830" s="559"/>
      <c r="F830" s="559"/>
      <c r="G830" s="559"/>
      <c r="H830" s="559"/>
      <c r="I830" s="559"/>
      <c r="J830" s="559"/>
      <c r="K830" s="559"/>
      <c r="L830" s="559"/>
      <c r="M830" s="559"/>
      <c r="N830" s="559"/>
      <c r="O830" s="559"/>
      <c r="P830" s="559"/>
      <c r="Q830" s="559"/>
      <c r="R830" s="559"/>
      <c r="S830" s="559"/>
      <c r="T830" s="559"/>
      <c r="U830" s="559"/>
      <c r="V830" s="559"/>
      <c r="W830" s="559"/>
      <c r="X830" s="559"/>
      <c r="Y830" s="559"/>
      <c r="Z830" s="559"/>
      <c r="AA830" s="559"/>
      <c r="AB830" s="559"/>
      <c r="AC830" s="559"/>
      <c r="AD830" s="559"/>
      <c r="AE830" s="559"/>
      <c r="AF830" s="559"/>
      <c r="AG830" s="559"/>
    </row>
    <row r="831" spans="1:33" ht="18" x14ac:dyDescent="0.35">
      <c r="A831" s="559"/>
      <c r="B831" s="559"/>
      <c r="C831" s="559"/>
      <c r="D831" s="559"/>
      <c r="E831" s="559"/>
      <c r="F831" s="559"/>
      <c r="G831" s="559"/>
      <c r="H831" s="559"/>
      <c r="I831" s="559"/>
      <c r="J831" s="559"/>
      <c r="K831" s="559"/>
      <c r="L831" s="559"/>
      <c r="M831" s="559"/>
      <c r="N831" s="559"/>
      <c r="O831" s="559"/>
      <c r="P831" s="559"/>
      <c r="Q831" s="559"/>
      <c r="R831" s="559"/>
      <c r="S831" s="559"/>
      <c r="T831" s="559"/>
      <c r="U831" s="559"/>
      <c r="V831" s="559"/>
      <c r="W831" s="559"/>
      <c r="X831" s="559"/>
      <c r="Y831" s="559"/>
      <c r="Z831" s="559"/>
      <c r="AA831" s="559"/>
      <c r="AB831" s="559"/>
      <c r="AC831" s="559"/>
      <c r="AD831" s="559"/>
      <c r="AE831" s="559"/>
      <c r="AF831" s="559"/>
      <c r="AG831" s="559"/>
    </row>
    <row r="832" spans="1:33" ht="18" x14ac:dyDescent="0.35">
      <c r="A832" s="559"/>
      <c r="B832" s="559"/>
      <c r="C832" s="559"/>
      <c r="D832" s="559"/>
      <c r="E832" s="559"/>
      <c r="F832" s="559"/>
      <c r="G832" s="559"/>
      <c r="H832" s="559"/>
      <c r="I832" s="559"/>
      <c r="J832" s="559"/>
      <c r="K832" s="559"/>
      <c r="L832" s="559"/>
      <c r="M832" s="559"/>
      <c r="N832" s="559"/>
      <c r="O832" s="559"/>
      <c r="P832" s="559"/>
      <c r="Q832" s="559"/>
      <c r="R832" s="559"/>
      <c r="S832" s="559"/>
      <c r="T832" s="559"/>
      <c r="U832" s="559"/>
      <c r="V832" s="559"/>
      <c r="W832" s="559"/>
      <c r="X832" s="559"/>
      <c r="Y832" s="559"/>
      <c r="Z832" s="559"/>
      <c r="AA832" s="559"/>
      <c r="AB832" s="559"/>
      <c r="AC832" s="559"/>
      <c r="AD832" s="559"/>
      <c r="AE832" s="559"/>
      <c r="AF832" s="559"/>
      <c r="AG832" s="559"/>
    </row>
    <row r="833" spans="1:33" ht="18" x14ac:dyDescent="0.35">
      <c r="A833" s="559"/>
      <c r="B833" s="559"/>
      <c r="C833" s="559"/>
      <c r="D833" s="559"/>
      <c r="E833" s="559"/>
      <c r="F833" s="559"/>
      <c r="G833" s="559"/>
      <c r="H833" s="559"/>
      <c r="I833" s="559"/>
      <c r="J833" s="559"/>
      <c r="K833" s="559"/>
      <c r="L833" s="559"/>
      <c r="M833" s="559"/>
      <c r="N833" s="559"/>
      <c r="O833" s="559"/>
      <c r="P833" s="559"/>
      <c r="Q833" s="559"/>
      <c r="R833" s="559"/>
      <c r="S833" s="559"/>
      <c r="T833" s="559"/>
      <c r="U833" s="559"/>
      <c r="V833" s="559"/>
      <c r="W833" s="559"/>
      <c r="X833" s="559"/>
      <c r="Y833" s="559"/>
      <c r="Z833" s="559"/>
      <c r="AA833" s="559"/>
      <c r="AB833" s="559"/>
      <c r="AC833" s="559"/>
      <c r="AD833" s="559"/>
      <c r="AE833" s="559"/>
      <c r="AF833" s="559"/>
      <c r="AG833" s="559"/>
    </row>
    <row r="834" spans="1:33" ht="18" x14ac:dyDescent="0.35">
      <c r="A834" s="559"/>
      <c r="B834" s="559"/>
      <c r="C834" s="559"/>
      <c r="D834" s="559"/>
      <c r="E834" s="559"/>
      <c r="F834" s="559"/>
      <c r="G834" s="559"/>
      <c r="H834" s="559"/>
      <c r="I834" s="559"/>
      <c r="J834" s="559"/>
      <c r="K834" s="559"/>
      <c r="L834" s="559"/>
      <c r="M834" s="559"/>
      <c r="N834" s="559"/>
      <c r="O834" s="559"/>
      <c r="P834" s="559"/>
      <c r="Q834" s="559"/>
      <c r="R834" s="559"/>
      <c r="S834" s="559"/>
      <c r="T834" s="559"/>
      <c r="U834" s="559"/>
      <c r="V834" s="559"/>
      <c r="W834" s="559"/>
      <c r="X834" s="559"/>
      <c r="Y834" s="559"/>
      <c r="Z834" s="559"/>
      <c r="AA834" s="559"/>
      <c r="AB834" s="559"/>
      <c r="AC834" s="559"/>
      <c r="AD834" s="559"/>
      <c r="AE834" s="559"/>
      <c r="AF834" s="559"/>
      <c r="AG834" s="559"/>
    </row>
    <row r="835" spans="1:33" ht="18" x14ac:dyDescent="0.35">
      <c r="A835" s="559"/>
      <c r="B835" s="559"/>
      <c r="C835" s="559"/>
      <c r="D835" s="559"/>
      <c r="E835" s="559"/>
      <c r="F835" s="559"/>
      <c r="G835" s="559"/>
      <c r="H835" s="559"/>
      <c r="I835" s="559"/>
      <c r="J835" s="559"/>
      <c r="K835" s="559"/>
      <c r="L835" s="559"/>
      <c r="M835" s="559"/>
      <c r="N835" s="559"/>
      <c r="O835" s="559"/>
      <c r="P835" s="559"/>
      <c r="Q835" s="559"/>
      <c r="R835" s="559"/>
      <c r="S835" s="559"/>
      <c r="T835" s="559"/>
      <c r="U835" s="559"/>
      <c r="V835" s="559"/>
      <c r="W835" s="559"/>
      <c r="X835" s="559"/>
      <c r="Y835" s="559"/>
      <c r="Z835" s="559"/>
      <c r="AA835" s="559"/>
      <c r="AB835" s="559"/>
      <c r="AC835" s="559"/>
      <c r="AD835" s="559"/>
      <c r="AE835" s="559"/>
      <c r="AF835" s="559"/>
      <c r="AG835" s="559"/>
    </row>
    <row r="836" spans="1:33" ht="18" x14ac:dyDescent="0.35">
      <c r="A836" s="559"/>
      <c r="B836" s="559"/>
      <c r="C836" s="559"/>
      <c r="D836" s="559"/>
      <c r="E836" s="559"/>
      <c r="F836" s="559"/>
      <c r="G836" s="559"/>
      <c r="H836" s="559"/>
      <c r="I836" s="559"/>
      <c r="J836" s="559"/>
      <c r="K836" s="559"/>
      <c r="L836" s="559"/>
      <c r="M836" s="559"/>
      <c r="N836" s="559"/>
      <c r="O836" s="559"/>
      <c r="P836" s="559"/>
      <c r="Q836" s="559"/>
      <c r="R836" s="559"/>
      <c r="S836" s="559"/>
      <c r="T836" s="559"/>
      <c r="U836" s="559"/>
      <c r="V836" s="559"/>
      <c r="W836" s="559"/>
      <c r="X836" s="559"/>
      <c r="Y836" s="559"/>
      <c r="Z836" s="559"/>
      <c r="AA836" s="559"/>
      <c r="AB836" s="559"/>
      <c r="AC836" s="559"/>
      <c r="AD836" s="559"/>
      <c r="AE836" s="559"/>
      <c r="AF836" s="559"/>
      <c r="AG836" s="559"/>
    </row>
    <row r="837" spans="1:33" ht="18" x14ac:dyDescent="0.35">
      <c r="A837" s="559"/>
      <c r="B837" s="559"/>
      <c r="C837" s="559"/>
      <c r="D837" s="559"/>
      <c r="E837" s="559"/>
      <c r="F837" s="559"/>
      <c r="G837" s="559"/>
      <c r="H837" s="559"/>
      <c r="I837" s="559"/>
      <c r="J837" s="559"/>
      <c r="K837" s="559"/>
      <c r="L837" s="559"/>
      <c r="M837" s="559"/>
      <c r="N837" s="559"/>
      <c r="O837" s="559"/>
      <c r="P837" s="559"/>
      <c r="Q837" s="559"/>
      <c r="R837" s="559"/>
      <c r="S837" s="559"/>
      <c r="T837" s="559"/>
      <c r="U837" s="559"/>
      <c r="V837" s="559"/>
      <c r="W837" s="559"/>
      <c r="X837" s="559"/>
      <c r="Y837" s="559"/>
      <c r="Z837" s="559"/>
      <c r="AA837" s="559"/>
      <c r="AB837" s="559"/>
      <c r="AC837" s="559"/>
      <c r="AD837" s="559"/>
      <c r="AE837" s="559"/>
      <c r="AF837" s="559"/>
      <c r="AG837" s="559"/>
    </row>
    <row r="838" spans="1:33" ht="18" x14ac:dyDescent="0.35">
      <c r="A838" s="559"/>
      <c r="B838" s="559"/>
      <c r="C838" s="559"/>
      <c r="D838" s="559"/>
      <c r="E838" s="559"/>
      <c r="F838" s="559"/>
      <c r="G838" s="559"/>
      <c r="H838" s="559"/>
      <c r="I838" s="559"/>
      <c r="J838" s="559"/>
      <c r="K838" s="559"/>
      <c r="L838" s="559"/>
      <c r="M838" s="559"/>
      <c r="N838" s="559"/>
      <c r="O838" s="559"/>
      <c r="P838" s="559"/>
      <c r="Q838" s="559"/>
      <c r="R838" s="559"/>
      <c r="S838" s="559"/>
      <c r="T838" s="559"/>
      <c r="U838" s="559"/>
      <c r="V838" s="559"/>
      <c r="W838" s="559"/>
      <c r="X838" s="559"/>
      <c r="Y838" s="559"/>
      <c r="Z838" s="559"/>
      <c r="AA838" s="559"/>
      <c r="AB838" s="559"/>
      <c r="AC838" s="559"/>
      <c r="AD838" s="559"/>
      <c r="AE838" s="559"/>
      <c r="AF838" s="559"/>
      <c r="AG838" s="559"/>
    </row>
    <row r="839" spans="1:33" ht="18" x14ac:dyDescent="0.35">
      <c r="A839" s="559"/>
      <c r="B839" s="559"/>
      <c r="C839" s="559"/>
      <c r="D839" s="559"/>
      <c r="E839" s="559"/>
      <c r="F839" s="559"/>
      <c r="G839" s="559"/>
      <c r="H839" s="559"/>
      <c r="I839" s="559"/>
      <c r="J839" s="559"/>
      <c r="K839" s="559"/>
      <c r="L839" s="559"/>
      <c r="M839" s="559"/>
      <c r="N839" s="559"/>
      <c r="O839" s="559"/>
      <c r="P839" s="559"/>
      <c r="Q839" s="559"/>
      <c r="R839" s="559"/>
      <c r="S839" s="559"/>
      <c r="T839" s="559"/>
      <c r="U839" s="559"/>
      <c r="V839" s="559"/>
      <c r="W839" s="559"/>
      <c r="X839" s="559"/>
      <c r="Y839" s="559"/>
      <c r="Z839" s="559"/>
      <c r="AA839" s="559"/>
      <c r="AB839" s="559"/>
      <c r="AC839" s="559"/>
      <c r="AD839" s="559"/>
      <c r="AE839" s="559"/>
      <c r="AF839" s="559"/>
      <c r="AG839" s="559"/>
    </row>
    <row r="840" spans="1:33" ht="18" x14ac:dyDescent="0.35">
      <c r="A840" s="559"/>
      <c r="B840" s="559"/>
      <c r="C840" s="559"/>
      <c r="D840" s="559"/>
      <c r="E840" s="559"/>
      <c r="F840" s="559"/>
      <c r="G840" s="559"/>
      <c r="H840" s="559"/>
      <c r="I840" s="559"/>
      <c r="J840" s="559"/>
      <c r="K840" s="559"/>
      <c r="L840" s="559"/>
      <c r="M840" s="559"/>
      <c r="N840" s="559"/>
      <c r="O840" s="559"/>
      <c r="P840" s="559"/>
      <c r="Q840" s="559"/>
      <c r="R840" s="559"/>
      <c r="S840" s="559"/>
      <c r="T840" s="559"/>
      <c r="U840" s="559"/>
      <c r="V840" s="559"/>
      <c r="W840" s="559"/>
      <c r="X840" s="559"/>
      <c r="Y840" s="559"/>
      <c r="Z840" s="559"/>
      <c r="AA840" s="559"/>
      <c r="AB840" s="559"/>
      <c r="AC840" s="559"/>
      <c r="AD840" s="559"/>
      <c r="AE840" s="559"/>
      <c r="AF840" s="559"/>
      <c r="AG840" s="559"/>
    </row>
    <row r="841" spans="1:33" ht="18" x14ac:dyDescent="0.35">
      <c r="A841" s="559"/>
      <c r="B841" s="559"/>
      <c r="C841" s="559"/>
      <c r="D841" s="559"/>
      <c r="E841" s="559"/>
      <c r="F841" s="559"/>
      <c r="G841" s="559"/>
      <c r="H841" s="559"/>
      <c r="I841" s="559"/>
      <c r="J841" s="559"/>
      <c r="K841" s="559"/>
      <c r="L841" s="559"/>
      <c r="M841" s="559"/>
      <c r="N841" s="559"/>
      <c r="O841" s="559"/>
      <c r="P841" s="559"/>
      <c r="Q841" s="559"/>
      <c r="R841" s="559"/>
      <c r="S841" s="559"/>
      <c r="T841" s="559"/>
      <c r="U841" s="559"/>
      <c r="V841" s="559"/>
      <c r="W841" s="559"/>
      <c r="X841" s="559"/>
      <c r="Y841" s="559"/>
      <c r="Z841" s="559"/>
      <c r="AA841" s="559"/>
      <c r="AB841" s="559"/>
      <c r="AC841" s="559"/>
      <c r="AD841" s="559"/>
      <c r="AE841" s="559"/>
      <c r="AF841" s="559"/>
      <c r="AG841" s="559"/>
    </row>
    <row r="842" spans="1:33" ht="18" x14ac:dyDescent="0.35">
      <c r="A842" s="559"/>
      <c r="B842" s="559"/>
      <c r="C842" s="559"/>
      <c r="D842" s="559"/>
      <c r="E842" s="559"/>
      <c r="F842" s="559"/>
      <c r="G842" s="559"/>
      <c r="H842" s="559"/>
      <c r="I842" s="559"/>
      <c r="J842" s="559"/>
      <c r="K842" s="559"/>
      <c r="L842" s="559"/>
      <c r="M842" s="559"/>
      <c r="N842" s="559"/>
      <c r="O842" s="559"/>
      <c r="P842" s="559"/>
      <c r="Q842" s="559"/>
      <c r="R842" s="559"/>
      <c r="S842" s="559"/>
      <c r="T842" s="559"/>
      <c r="U842" s="559"/>
      <c r="V842" s="559"/>
      <c r="W842" s="559"/>
      <c r="X842" s="559"/>
      <c r="Y842" s="559"/>
      <c r="Z842" s="559"/>
      <c r="AA842" s="559"/>
      <c r="AB842" s="559"/>
      <c r="AC842" s="559"/>
      <c r="AD842" s="559"/>
      <c r="AE842" s="559"/>
      <c r="AF842" s="559"/>
      <c r="AG842" s="559"/>
    </row>
    <row r="843" spans="1:33" ht="18" x14ac:dyDescent="0.35">
      <c r="A843" s="559"/>
      <c r="B843" s="559"/>
      <c r="C843" s="559"/>
      <c r="D843" s="559"/>
      <c r="E843" s="559"/>
      <c r="F843" s="559"/>
      <c r="G843" s="559"/>
      <c r="H843" s="559"/>
      <c r="I843" s="559"/>
      <c r="J843" s="559"/>
      <c r="K843" s="559"/>
      <c r="L843" s="559"/>
      <c r="M843" s="559"/>
      <c r="N843" s="559"/>
      <c r="O843" s="559"/>
      <c r="P843" s="559"/>
      <c r="Q843" s="559"/>
      <c r="R843" s="559"/>
      <c r="S843" s="559"/>
      <c r="T843" s="559"/>
      <c r="U843" s="559"/>
      <c r="V843" s="559"/>
      <c r="W843" s="559"/>
      <c r="X843" s="559"/>
      <c r="Y843" s="559"/>
      <c r="Z843" s="559"/>
      <c r="AA843" s="559"/>
      <c r="AB843" s="559"/>
      <c r="AC843" s="559"/>
      <c r="AD843" s="559"/>
      <c r="AE843" s="559"/>
      <c r="AF843" s="559"/>
      <c r="AG843" s="559"/>
    </row>
    <row r="844" spans="1:33" ht="18" x14ac:dyDescent="0.35">
      <c r="A844" s="559"/>
      <c r="B844" s="559"/>
      <c r="C844" s="559"/>
      <c r="D844" s="559"/>
      <c r="E844" s="559"/>
      <c r="F844" s="559"/>
      <c r="G844" s="559"/>
      <c r="H844" s="559"/>
      <c r="I844" s="559"/>
      <c r="J844" s="559"/>
      <c r="K844" s="559"/>
      <c r="L844" s="559"/>
      <c r="M844" s="559"/>
      <c r="N844" s="559"/>
      <c r="O844" s="559"/>
      <c r="P844" s="559"/>
      <c r="Q844" s="559"/>
      <c r="R844" s="559"/>
      <c r="S844" s="559"/>
      <c r="T844" s="559"/>
      <c r="U844" s="559"/>
      <c r="V844" s="559"/>
      <c r="W844" s="559"/>
      <c r="X844" s="559"/>
      <c r="Y844" s="559"/>
      <c r="Z844" s="559"/>
      <c r="AA844" s="559"/>
      <c r="AB844" s="559"/>
      <c r="AC844" s="559"/>
      <c r="AD844" s="559"/>
      <c r="AE844" s="559"/>
      <c r="AF844" s="559"/>
      <c r="AG844" s="559"/>
    </row>
    <row r="845" spans="1:33" ht="18" x14ac:dyDescent="0.35">
      <c r="A845" s="559"/>
      <c r="B845" s="559"/>
      <c r="C845" s="559"/>
      <c r="D845" s="559"/>
      <c r="E845" s="559"/>
      <c r="F845" s="559"/>
      <c r="G845" s="559"/>
      <c r="H845" s="559"/>
      <c r="I845" s="559"/>
      <c r="J845" s="559"/>
      <c r="K845" s="559"/>
      <c r="L845" s="559"/>
      <c r="M845" s="559"/>
      <c r="N845" s="559"/>
      <c r="O845" s="559"/>
      <c r="P845" s="559"/>
      <c r="Q845" s="559"/>
      <c r="R845" s="559"/>
      <c r="S845" s="559"/>
      <c r="T845" s="559"/>
      <c r="U845" s="559"/>
      <c r="V845" s="559"/>
      <c r="W845" s="559"/>
      <c r="X845" s="559"/>
      <c r="Y845" s="559"/>
      <c r="Z845" s="559"/>
      <c r="AA845" s="559"/>
      <c r="AB845" s="559"/>
      <c r="AC845" s="559"/>
      <c r="AD845" s="559"/>
      <c r="AE845" s="559"/>
      <c r="AF845" s="559"/>
      <c r="AG845" s="559"/>
    </row>
    <row r="846" spans="1:33" ht="18" x14ac:dyDescent="0.35">
      <c r="A846" s="559"/>
      <c r="B846" s="559"/>
      <c r="C846" s="559"/>
      <c r="D846" s="559"/>
      <c r="E846" s="559"/>
      <c r="F846" s="559"/>
      <c r="G846" s="559"/>
      <c r="H846" s="559"/>
      <c r="I846" s="559"/>
      <c r="J846" s="559"/>
      <c r="K846" s="559"/>
      <c r="L846" s="559"/>
      <c r="M846" s="559"/>
      <c r="N846" s="559"/>
      <c r="O846" s="559"/>
      <c r="P846" s="559"/>
      <c r="Q846" s="559"/>
      <c r="R846" s="559"/>
      <c r="S846" s="559"/>
      <c r="T846" s="559"/>
      <c r="U846" s="559"/>
      <c r="V846" s="559"/>
      <c r="W846" s="559"/>
      <c r="X846" s="559"/>
      <c r="Y846" s="559"/>
      <c r="Z846" s="559"/>
      <c r="AA846" s="559"/>
      <c r="AB846" s="559"/>
      <c r="AC846" s="559"/>
      <c r="AD846" s="559"/>
      <c r="AE846" s="559"/>
      <c r="AF846" s="559"/>
      <c r="AG846" s="559"/>
    </row>
    <row r="847" spans="1:33" ht="18" x14ac:dyDescent="0.35">
      <c r="A847" s="559"/>
      <c r="B847" s="559"/>
      <c r="C847" s="559"/>
      <c r="D847" s="559"/>
      <c r="E847" s="559"/>
      <c r="F847" s="559"/>
      <c r="G847" s="559"/>
      <c r="H847" s="559"/>
      <c r="I847" s="559"/>
      <c r="J847" s="559"/>
      <c r="K847" s="559"/>
      <c r="L847" s="559"/>
      <c r="M847" s="559"/>
      <c r="N847" s="559"/>
      <c r="O847" s="559"/>
      <c r="P847" s="559"/>
      <c r="Q847" s="559"/>
      <c r="R847" s="559"/>
      <c r="S847" s="559"/>
      <c r="T847" s="559"/>
      <c r="U847" s="559"/>
      <c r="V847" s="559"/>
      <c r="W847" s="559"/>
      <c r="X847" s="559"/>
      <c r="Y847" s="559"/>
      <c r="Z847" s="559"/>
      <c r="AA847" s="559"/>
      <c r="AB847" s="559"/>
      <c r="AC847" s="559"/>
      <c r="AD847" s="559"/>
      <c r="AE847" s="559"/>
      <c r="AF847" s="559"/>
      <c r="AG847" s="559"/>
    </row>
    <row r="848" spans="1:33" ht="18" x14ac:dyDescent="0.35">
      <c r="A848" s="559"/>
      <c r="B848" s="559"/>
      <c r="C848" s="559"/>
      <c r="D848" s="559"/>
      <c r="E848" s="559"/>
      <c r="F848" s="559"/>
      <c r="G848" s="559"/>
      <c r="H848" s="559"/>
      <c r="I848" s="559"/>
      <c r="J848" s="559"/>
      <c r="K848" s="559"/>
      <c r="L848" s="559"/>
      <c r="M848" s="559"/>
      <c r="N848" s="559"/>
      <c r="O848" s="559"/>
      <c r="P848" s="559"/>
      <c r="Q848" s="559"/>
      <c r="R848" s="559"/>
      <c r="S848" s="559"/>
      <c r="T848" s="559"/>
      <c r="U848" s="559"/>
      <c r="V848" s="559"/>
      <c r="W848" s="559"/>
      <c r="X848" s="559"/>
      <c r="Y848" s="559"/>
      <c r="Z848" s="559"/>
      <c r="AA848" s="559"/>
      <c r="AB848" s="559"/>
      <c r="AC848" s="559"/>
      <c r="AD848" s="559"/>
      <c r="AE848" s="559"/>
      <c r="AF848" s="559"/>
      <c r="AG848" s="559"/>
    </row>
    <row r="849" spans="1:33" ht="18" x14ac:dyDescent="0.35">
      <c r="A849" s="559"/>
      <c r="B849" s="559"/>
      <c r="C849" s="559"/>
      <c r="D849" s="559"/>
      <c r="E849" s="559"/>
      <c r="F849" s="559"/>
      <c r="G849" s="559"/>
      <c r="H849" s="559"/>
      <c r="I849" s="559"/>
      <c r="J849" s="559"/>
      <c r="K849" s="559"/>
      <c r="L849" s="559"/>
      <c r="M849" s="559"/>
      <c r="N849" s="559"/>
      <c r="O849" s="559"/>
      <c r="P849" s="559"/>
      <c r="Q849" s="559"/>
      <c r="R849" s="559"/>
      <c r="S849" s="559"/>
      <c r="T849" s="559"/>
      <c r="U849" s="559"/>
      <c r="V849" s="559"/>
      <c r="W849" s="559"/>
      <c r="X849" s="559"/>
      <c r="Y849" s="559"/>
      <c r="Z849" s="559"/>
      <c r="AA849" s="559"/>
      <c r="AB849" s="559"/>
      <c r="AC849" s="559"/>
      <c r="AD849" s="559"/>
      <c r="AE849" s="559"/>
      <c r="AF849" s="559"/>
      <c r="AG849" s="559"/>
    </row>
    <row r="850" spans="1:33" ht="18" x14ac:dyDescent="0.35">
      <c r="A850" s="559"/>
      <c r="B850" s="559"/>
      <c r="C850" s="559"/>
      <c r="D850" s="559"/>
      <c r="E850" s="559"/>
      <c r="F850" s="559"/>
      <c r="G850" s="559"/>
      <c r="H850" s="559"/>
      <c r="I850" s="559"/>
      <c r="J850" s="559"/>
      <c r="K850" s="559"/>
      <c r="L850" s="559"/>
      <c r="M850" s="559"/>
      <c r="N850" s="559"/>
      <c r="O850" s="559"/>
      <c r="P850" s="559"/>
      <c r="Q850" s="559"/>
      <c r="R850" s="559"/>
      <c r="S850" s="559"/>
      <c r="T850" s="559"/>
      <c r="U850" s="559"/>
      <c r="V850" s="559"/>
      <c r="W850" s="559"/>
      <c r="X850" s="559"/>
      <c r="Y850" s="559"/>
      <c r="Z850" s="559"/>
      <c r="AA850" s="559"/>
      <c r="AB850" s="559"/>
      <c r="AC850" s="559"/>
      <c r="AD850" s="559"/>
      <c r="AE850" s="559"/>
      <c r="AF850" s="559"/>
      <c r="AG850" s="559"/>
    </row>
    <row r="851" spans="1:33" ht="18" x14ac:dyDescent="0.35">
      <c r="A851" s="559"/>
      <c r="B851" s="559"/>
      <c r="C851" s="559"/>
      <c r="D851" s="559"/>
      <c r="E851" s="559"/>
      <c r="F851" s="559"/>
      <c r="G851" s="559"/>
      <c r="H851" s="559"/>
      <c r="I851" s="559"/>
      <c r="J851" s="559"/>
      <c r="K851" s="559"/>
      <c r="L851" s="559"/>
      <c r="M851" s="559"/>
      <c r="N851" s="559"/>
      <c r="O851" s="559"/>
      <c r="P851" s="559"/>
      <c r="Q851" s="559"/>
      <c r="R851" s="559"/>
      <c r="S851" s="559"/>
      <c r="T851" s="559"/>
      <c r="U851" s="559"/>
      <c r="V851" s="559"/>
      <c r="W851" s="559"/>
      <c r="X851" s="559"/>
      <c r="Y851" s="559"/>
      <c r="Z851" s="559"/>
      <c r="AA851" s="559"/>
      <c r="AB851" s="559"/>
      <c r="AC851" s="559"/>
      <c r="AD851" s="559"/>
      <c r="AE851" s="559"/>
      <c r="AF851" s="559"/>
      <c r="AG851" s="559"/>
    </row>
    <row r="852" spans="1:33" ht="18" x14ac:dyDescent="0.35">
      <c r="A852" s="559"/>
      <c r="B852" s="559"/>
      <c r="C852" s="559"/>
      <c r="D852" s="559"/>
      <c r="E852" s="559"/>
      <c r="F852" s="559"/>
      <c r="G852" s="559"/>
      <c r="H852" s="559"/>
      <c r="I852" s="559"/>
      <c r="J852" s="559"/>
      <c r="K852" s="559"/>
      <c r="L852" s="559"/>
      <c r="M852" s="559"/>
      <c r="N852" s="559"/>
      <c r="O852" s="559"/>
      <c r="P852" s="559"/>
      <c r="Q852" s="559"/>
      <c r="R852" s="559"/>
      <c r="S852" s="559"/>
      <c r="T852" s="559"/>
      <c r="U852" s="559"/>
      <c r="V852" s="559"/>
      <c r="W852" s="559"/>
      <c r="X852" s="559"/>
      <c r="Y852" s="559"/>
      <c r="Z852" s="559"/>
      <c r="AA852" s="559"/>
      <c r="AB852" s="559"/>
      <c r="AC852" s="559"/>
      <c r="AD852" s="559"/>
      <c r="AE852" s="559"/>
      <c r="AF852" s="559"/>
      <c r="AG852" s="559"/>
    </row>
    <row r="853" spans="1:33" ht="18" x14ac:dyDescent="0.35">
      <c r="A853" s="559"/>
      <c r="B853" s="559"/>
      <c r="C853" s="559"/>
      <c r="D853" s="559"/>
      <c r="E853" s="559"/>
      <c r="F853" s="559"/>
      <c r="G853" s="559"/>
      <c r="H853" s="559"/>
      <c r="I853" s="559"/>
      <c r="J853" s="559"/>
      <c r="K853" s="559"/>
      <c r="L853" s="559"/>
      <c r="M853" s="559"/>
      <c r="N853" s="559"/>
      <c r="O853" s="559"/>
      <c r="P853" s="559"/>
      <c r="Q853" s="559"/>
      <c r="R853" s="559"/>
      <c r="S853" s="559"/>
      <c r="T853" s="559"/>
      <c r="U853" s="559"/>
      <c r="V853" s="559"/>
      <c r="W853" s="559"/>
      <c r="X853" s="559"/>
      <c r="Y853" s="559"/>
      <c r="Z853" s="559"/>
      <c r="AA853" s="559"/>
      <c r="AB853" s="559"/>
      <c r="AC853" s="559"/>
      <c r="AD853" s="559"/>
      <c r="AE853" s="559"/>
      <c r="AF853" s="559"/>
      <c r="AG853" s="559"/>
    </row>
    <row r="854" spans="1:33" ht="18" x14ac:dyDescent="0.35">
      <c r="A854" s="559"/>
      <c r="B854" s="559"/>
      <c r="C854" s="559"/>
      <c r="D854" s="559"/>
      <c r="E854" s="559"/>
      <c r="F854" s="559"/>
      <c r="G854" s="559"/>
      <c r="H854" s="559"/>
      <c r="I854" s="559"/>
      <c r="J854" s="559"/>
      <c r="K854" s="559"/>
      <c r="L854" s="559"/>
      <c r="M854" s="559"/>
      <c r="N854" s="559"/>
      <c r="O854" s="559"/>
      <c r="P854" s="559"/>
      <c r="Q854" s="559"/>
      <c r="R854" s="559"/>
      <c r="S854" s="559"/>
      <c r="T854" s="559"/>
      <c r="U854" s="559"/>
      <c r="V854" s="559"/>
      <c r="W854" s="559"/>
      <c r="X854" s="559"/>
      <c r="Y854" s="559"/>
      <c r="Z854" s="559"/>
      <c r="AA854" s="559"/>
      <c r="AB854" s="559"/>
      <c r="AC854" s="559"/>
      <c r="AD854" s="559"/>
      <c r="AE854" s="559"/>
      <c r="AF854" s="559"/>
      <c r="AG854" s="559"/>
    </row>
    <row r="855" spans="1:33" ht="18" x14ac:dyDescent="0.35">
      <c r="A855" s="559"/>
      <c r="B855" s="559"/>
      <c r="C855" s="559"/>
      <c r="D855" s="559"/>
      <c r="E855" s="559"/>
      <c r="F855" s="559"/>
      <c r="G855" s="559"/>
      <c r="H855" s="559"/>
      <c r="I855" s="559"/>
      <c r="J855" s="559"/>
      <c r="K855" s="559"/>
      <c r="L855" s="559"/>
      <c r="M855" s="559"/>
      <c r="N855" s="559"/>
      <c r="O855" s="559"/>
      <c r="P855" s="559"/>
      <c r="Q855" s="559"/>
      <c r="R855" s="559"/>
      <c r="S855" s="559"/>
      <c r="T855" s="559"/>
      <c r="U855" s="559"/>
      <c r="V855" s="559"/>
      <c r="W855" s="559"/>
      <c r="X855" s="559"/>
      <c r="Y855" s="559"/>
      <c r="Z855" s="559"/>
      <c r="AA855" s="559"/>
      <c r="AB855" s="559"/>
      <c r="AC855" s="559"/>
      <c r="AD855" s="559"/>
      <c r="AE855" s="559"/>
      <c r="AF855" s="559"/>
      <c r="AG855" s="559"/>
    </row>
    <row r="856" spans="1:33" ht="18" x14ac:dyDescent="0.35">
      <c r="A856" s="559"/>
      <c r="B856" s="559"/>
      <c r="C856" s="559"/>
      <c r="D856" s="559"/>
      <c r="E856" s="559"/>
      <c r="F856" s="559"/>
      <c r="G856" s="559"/>
      <c r="H856" s="559"/>
      <c r="I856" s="559"/>
      <c r="J856" s="559"/>
      <c r="K856" s="559"/>
      <c r="L856" s="559"/>
      <c r="M856" s="559"/>
      <c r="N856" s="559"/>
      <c r="O856" s="559"/>
      <c r="P856" s="559"/>
      <c r="Q856" s="559"/>
      <c r="R856" s="559"/>
      <c r="S856" s="559"/>
      <c r="T856" s="559"/>
      <c r="U856" s="559"/>
      <c r="V856" s="559"/>
      <c r="W856" s="559"/>
      <c r="X856" s="559"/>
      <c r="Y856" s="559"/>
      <c r="Z856" s="559"/>
      <c r="AA856" s="559"/>
      <c r="AB856" s="559"/>
      <c r="AC856" s="559"/>
      <c r="AD856" s="559"/>
      <c r="AE856" s="559"/>
      <c r="AF856" s="559"/>
      <c r="AG856" s="559"/>
    </row>
    <row r="857" spans="1:33" ht="18" x14ac:dyDescent="0.35">
      <c r="A857" s="559"/>
      <c r="B857" s="559"/>
      <c r="C857" s="559"/>
      <c r="D857" s="559"/>
      <c r="E857" s="559"/>
      <c r="F857" s="559"/>
      <c r="G857" s="559"/>
      <c r="H857" s="559"/>
      <c r="I857" s="559"/>
      <c r="J857" s="559"/>
      <c r="K857" s="559"/>
      <c r="L857" s="559"/>
      <c r="M857" s="559"/>
      <c r="N857" s="559"/>
      <c r="O857" s="559"/>
      <c r="P857" s="559"/>
      <c r="Q857" s="559"/>
      <c r="R857" s="559"/>
      <c r="S857" s="559"/>
      <c r="T857" s="559"/>
      <c r="U857" s="559"/>
      <c r="V857" s="559"/>
      <c r="W857" s="559"/>
      <c r="X857" s="559"/>
      <c r="Y857" s="559"/>
      <c r="Z857" s="559"/>
      <c r="AA857" s="559"/>
      <c r="AB857" s="559"/>
      <c r="AC857" s="559"/>
      <c r="AD857" s="559"/>
      <c r="AE857" s="559"/>
      <c r="AF857" s="559"/>
      <c r="AG857" s="559"/>
    </row>
    <row r="858" spans="1:33" ht="18" x14ac:dyDescent="0.35">
      <c r="A858" s="559"/>
      <c r="B858" s="559"/>
      <c r="C858" s="559"/>
      <c r="D858" s="559"/>
      <c r="E858" s="559"/>
      <c r="F858" s="559"/>
      <c r="G858" s="559"/>
      <c r="H858" s="559"/>
      <c r="I858" s="559"/>
      <c r="J858" s="559"/>
      <c r="K858" s="559"/>
      <c r="L858" s="559"/>
      <c r="M858" s="559"/>
      <c r="N858" s="559"/>
      <c r="O858" s="559"/>
      <c r="P858" s="559"/>
      <c r="Q858" s="559"/>
      <c r="R858" s="559"/>
      <c r="S858" s="559"/>
      <c r="T858" s="559"/>
      <c r="U858" s="559"/>
      <c r="V858" s="559"/>
      <c r="W858" s="559"/>
      <c r="X858" s="559"/>
      <c r="Y858" s="559"/>
      <c r="Z858" s="559"/>
      <c r="AA858" s="559"/>
      <c r="AB858" s="559"/>
      <c r="AC858" s="559"/>
      <c r="AD858" s="559"/>
      <c r="AE858" s="559"/>
      <c r="AF858" s="559"/>
      <c r="AG858" s="559"/>
    </row>
    <row r="859" spans="1:33" ht="18" x14ac:dyDescent="0.35">
      <c r="A859" s="559"/>
      <c r="B859" s="559"/>
      <c r="C859" s="559"/>
      <c r="D859" s="559"/>
      <c r="E859" s="559"/>
      <c r="F859" s="559"/>
      <c r="G859" s="559"/>
      <c r="H859" s="559"/>
      <c r="I859" s="559"/>
      <c r="J859" s="559"/>
      <c r="K859" s="559"/>
      <c r="L859" s="559"/>
      <c r="M859" s="559"/>
      <c r="N859" s="559"/>
      <c r="O859" s="559"/>
      <c r="P859" s="559"/>
      <c r="Q859" s="559"/>
      <c r="R859" s="559"/>
      <c r="S859" s="559"/>
      <c r="T859" s="559"/>
      <c r="U859" s="559"/>
      <c r="V859" s="559"/>
      <c r="W859" s="559"/>
      <c r="X859" s="559"/>
      <c r="Y859" s="559"/>
      <c r="Z859" s="559"/>
      <c r="AA859" s="559"/>
      <c r="AB859" s="559"/>
      <c r="AC859" s="559"/>
      <c r="AD859" s="559"/>
      <c r="AE859" s="559"/>
      <c r="AF859" s="559"/>
      <c r="AG859" s="559"/>
    </row>
    <row r="860" spans="1:33" ht="18" x14ac:dyDescent="0.35">
      <c r="A860" s="559"/>
      <c r="B860" s="559"/>
      <c r="C860" s="559"/>
      <c r="D860" s="559"/>
      <c r="E860" s="559"/>
      <c r="F860" s="559"/>
      <c r="G860" s="559"/>
      <c r="H860" s="559"/>
      <c r="I860" s="559"/>
      <c r="J860" s="559"/>
      <c r="K860" s="559"/>
      <c r="L860" s="559"/>
      <c r="M860" s="559"/>
      <c r="N860" s="559"/>
      <c r="O860" s="559"/>
      <c r="P860" s="559"/>
      <c r="Q860" s="559"/>
      <c r="R860" s="559"/>
      <c r="S860" s="559"/>
      <c r="T860" s="559"/>
      <c r="U860" s="559"/>
      <c r="V860" s="559"/>
      <c r="W860" s="559"/>
      <c r="X860" s="559"/>
      <c r="Y860" s="559"/>
      <c r="Z860" s="559"/>
      <c r="AA860" s="559"/>
      <c r="AB860" s="559"/>
      <c r="AC860" s="559"/>
      <c r="AD860" s="559"/>
      <c r="AE860" s="559"/>
      <c r="AF860" s="559"/>
      <c r="AG860" s="559"/>
    </row>
    <row r="861" spans="1:33" ht="18" x14ac:dyDescent="0.35">
      <c r="A861" s="559"/>
      <c r="B861" s="559"/>
      <c r="C861" s="559"/>
      <c r="D861" s="559"/>
      <c r="E861" s="559"/>
      <c r="F861" s="559"/>
      <c r="G861" s="559"/>
      <c r="H861" s="559"/>
      <c r="I861" s="559"/>
      <c r="J861" s="559"/>
      <c r="K861" s="559"/>
      <c r="L861" s="559"/>
      <c r="M861" s="559"/>
      <c r="N861" s="559"/>
      <c r="O861" s="559"/>
      <c r="P861" s="559"/>
      <c r="Q861" s="559"/>
      <c r="R861" s="559"/>
      <c r="S861" s="559"/>
      <c r="T861" s="559"/>
      <c r="U861" s="559"/>
      <c r="V861" s="559"/>
      <c r="W861" s="559"/>
      <c r="X861" s="559"/>
      <c r="Y861" s="559"/>
      <c r="Z861" s="559"/>
      <c r="AA861" s="559"/>
      <c r="AB861" s="559"/>
      <c r="AC861" s="559"/>
      <c r="AD861" s="559"/>
      <c r="AE861" s="559"/>
      <c r="AF861" s="559"/>
      <c r="AG861" s="559"/>
    </row>
    <row r="862" spans="1:33" ht="18" x14ac:dyDescent="0.35">
      <c r="A862" s="559"/>
      <c r="B862" s="559"/>
      <c r="C862" s="559"/>
      <c r="D862" s="559"/>
      <c r="E862" s="559"/>
      <c r="F862" s="559"/>
      <c r="G862" s="559"/>
      <c r="H862" s="559"/>
      <c r="I862" s="559"/>
      <c r="J862" s="559"/>
      <c r="K862" s="559"/>
      <c r="L862" s="559"/>
      <c r="M862" s="559"/>
      <c r="N862" s="559"/>
      <c r="O862" s="559"/>
      <c r="P862" s="559"/>
      <c r="Q862" s="559"/>
      <c r="R862" s="559"/>
      <c r="S862" s="559"/>
      <c r="T862" s="559"/>
      <c r="U862" s="559"/>
      <c r="V862" s="559"/>
      <c r="W862" s="559"/>
      <c r="X862" s="559"/>
      <c r="Y862" s="559"/>
      <c r="Z862" s="559"/>
      <c r="AA862" s="559"/>
      <c r="AB862" s="559"/>
      <c r="AC862" s="559"/>
      <c r="AD862" s="559"/>
      <c r="AE862" s="559"/>
      <c r="AF862" s="559"/>
      <c r="AG862" s="559"/>
    </row>
    <row r="863" spans="1:33" ht="18" x14ac:dyDescent="0.35">
      <c r="A863" s="559"/>
      <c r="B863" s="559"/>
      <c r="C863" s="559"/>
      <c r="D863" s="559"/>
      <c r="E863" s="559"/>
      <c r="F863" s="559"/>
      <c r="G863" s="559"/>
      <c r="H863" s="559"/>
      <c r="I863" s="559"/>
      <c r="J863" s="559"/>
      <c r="K863" s="559"/>
      <c r="L863" s="559"/>
      <c r="M863" s="559"/>
      <c r="N863" s="559"/>
      <c r="O863" s="559"/>
      <c r="P863" s="559"/>
      <c r="Q863" s="559"/>
      <c r="R863" s="559"/>
      <c r="S863" s="559"/>
      <c r="T863" s="559"/>
      <c r="U863" s="559"/>
      <c r="V863" s="559"/>
      <c r="W863" s="559"/>
      <c r="X863" s="559"/>
      <c r="Y863" s="559"/>
      <c r="Z863" s="559"/>
      <c r="AA863" s="559"/>
      <c r="AB863" s="559"/>
      <c r="AC863" s="559"/>
      <c r="AD863" s="559"/>
      <c r="AE863" s="559"/>
      <c r="AF863" s="559"/>
      <c r="AG863" s="559"/>
    </row>
    <row r="864" spans="1:33" ht="18" x14ac:dyDescent="0.35">
      <c r="A864" s="559"/>
      <c r="B864" s="559"/>
      <c r="C864" s="559"/>
      <c r="D864" s="559"/>
      <c r="E864" s="559"/>
      <c r="F864" s="559"/>
      <c r="G864" s="559"/>
      <c r="H864" s="559"/>
      <c r="I864" s="559"/>
      <c r="J864" s="559"/>
      <c r="K864" s="559"/>
      <c r="L864" s="559"/>
      <c r="M864" s="559"/>
      <c r="N864" s="559"/>
      <c r="O864" s="559"/>
      <c r="P864" s="559"/>
      <c r="Q864" s="559"/>
      <c r="R864" s="559"/>
      <c r="S864" s="559"/>
      <c r="T864" s="559"/>
      <c r="U864" s="559"/>
      <c r="V864" s="559"/>
      <c r="W864" s="559"/>
      <c r="X864" s="559"/>
      <c r="Y864" s="559"/>
      <c r="Z864" s="559"/>
      <c r="AA864" s="559"/>
      <c r="AB864" s="559"/>
      <c r="AC864" s="559"/>
      <c r="AD864" s="559"/>
      <c r="AE864" s="559"/>
      <c r="AF864" s="559"/>
      <c r="AG864" s="559"/>
    </row>
    <row r="865" spans="1:33" ht="18" x14ac:dyDescent="0.35">
      <c r="A865" s="559"/>
      <c r="B865" s="559"/>
      <c r="C865" s="559"/>
      <c r="D865" s="559"/>
      <c r="E865" s="559"/>
      <c r="F865" s="559"/>
      <c r="G865" s="559"/>
      <c r="H865" s="559"/>
      <c r="I865" s="559"/>
      <c r="J865" s="559"/>
      <c r="K865" s="559"/>
      <c r="L865" s="559"/>
      <c r="M865" s="559"/>
      <c r="N865" s="559"/>
      <c r="O865" s="559"/>
      <c r="P865" s="559"/>
      <c r="Q865" s="559"/>
      <c r="R865" s="559"/>
      <c r="S865" s="559"/>
      <c r="T865" s="559"/>
      <c r="U865" s="559"/>
      <c r="V865" s="559"/>
      <c r="W865" s="559"/>
      <c r="X865" s="559"/>
      <c r="Y865" s="559"/>
      <c r="Z865" s="559"/>
      <c r="AA865" s="559"/>
      <c r="AB865" s="559"/>
      <c r="AC865" s="559"/>
      <c r="AD865" s="559"/>
      <c r="AE865" s="559"/>
      <c r="AF865" s="559"/>
      <c r="AG865" s="559"/>
    </row>
    <row r="866" spans="1:33" ht="18" x14ac:dyDescent="0.35">
      <c r="A866" s="559"/>
      <c r="B866" s="559"/>
      <c r="C866" s="559"/>
      <c r="D866" s="559"/>
      <c r="E866" s="559"/>
      <c r="F866" s="559"/>
      <c r="G866" s="559"/>
      <c r="H866" s="559"/>
      <c r="I866" s="559"/>
      <c r="J866" s="559"/>
      <c r="K866" s="559"/>
      <c r="L866" s="559"/>
      <c r="M866" s="559"/>
      <c r="N866" s="559"/>
      <c r="O866" s="559"/>
      <c r="P866" s="559"/>
      <c r="Q866" s="559"/>
      <c r="R866" s="559"/>
      <c r="S866" s="559"/>
      <c r="T866" s="559"/>
      <c r="U866" s="559"/>
      <c r="V866" s="559"/>
      <c r="W866" s="559"/>
      <c r="X866" s="559"/>
      <c r="Y866" s="559"/>
      <c r="Z866" s="559"/>
      <c r="AA866" s="559"/>
      <c r="AB866" s="559"/>
      <c r="AC866" s="559"/>
      <c r="AD866" s="559"/>
      <c r="AE866" s="559"/>
      <c r="AF866" s="559"/>
      <c r="AG866" s="559"/>
    </row>
    <row r="867" spans="1:33" ht="18" x14ac:dyDescent="0.35">
      <c r="A867" s="559"/>
      <c r="B867" s="559"/>
      <c r="C867" s="559"/>
      <c r="D867" s="559"/>
      <c r="E867" s="559"/>
      <c r="F867" s="559"/>
      <c r="G867" s="559"/>
      <c r="H867" s="559"/>
      <c r="I867" s="559"/>
      <c r="J867" s="559"/>
      <c r="K867" s="559"/>
      <c r="L867" s="559"/>
      <c r="M867" s="559"/>
      <c r="N867" s="559"/>
      <c r="O867" s="559"/>
      <c r="P867" s="559"/>
      <c r="Q867" s="559"/>
      <c r="R867" s="559"/>
      <c r="S867" s="559"/>
      <c r="T867" s="559"/>
      <c r="U867" s="559"/>
      <c r="V867" s="559"/>
      <c r="W867" s="559"/>
      <c r="X867" s="559"/>
      <c r="Y867" s="559"/>
      <c r="Z867" s="559"/>
      <c r="AA867" s="559"/>
      <c r="AB867" s="559"/>
      <c r="AC867" s="559"/>
      <c r="AD867" s="559"/>
      <c r="AE867" s="559"/>
      <c r="AF867" s="559"/>
      <c r="AG867" s="559"/>
    </row>
    <row r="868" spans="1:33" ht="18" x14ac:dyDescent="0.35">
      <c r="A868" s="559"/>
      <c r="B868" s="559"/>
      <c r="C868" s="559"/>
      <c r="D868" s="559"/>
      <c r="E868" s="559"/>
      <c r="F868" s="559"/>
      <c r="G868" s="559"/>
      <c r="H868" s="559"/>
      <c r="I868" s="559"/>
      <c r="J868" s="559"/>
      <c r="K868" s="559"/>
      <c r="L868" s="559"/>
      <c r="M868" s="559"/>
      <c r="N868" s="559"/>
      <c r="O868" s="559"/>
      <c r="P868" s="559"/>
      <c r="Q868" s="559"/>
      <c r="R868" s="559"/>
      <c r="S868" s="559"/>
      <c r="T868" s="559"/>
      <c r="U868" s="559"/>
      <c r="V868" s="559"/>
      <c r="W868" s="559"/>
      <c r="X868" s="559"/>
      <c r="Y868" s="559"/>
      <c r="Z868" s="559"/>
      <c r="AA868" s="559"/>
      <c r="AB868" s="559"/>
      <c r="AC868" s="559"/>
      <c r="AD868" s="559"/>
      <c r="AE868" s="559"/>
      <c r="AF868" s="559"/>
      <c r="AG868" s="559"/>
    </row>
    <row r="869" spans="1:33" ht="18" x14ac:dyDescent="0.35">
      <c r="A869" s="559"/>
      <c r="B869" s="559"/>
      <c r="C869" s="559"/>
      <c r="D869" s="559"/>
      <c r="E869" s="559"/>
      <c r="F869" s="559"/>
      <c r="G869" s="559"/>
      <c r="H869" s="559"/>
      <c r="I869" s="559"/>
      <c r="J869" s="559"/>
      <c r="K869" s="559"/>
      <c r="L869" s="559"/>
      <c r="M869" s="559"/>
      <c r="N869" s="559"/>
      <c r="O869" s="559"/>
      <c r="P869" s="559"/>
      <c r="Q869" s="559"/>
      <c r="R869" s="559"/>
      <c r="S869" s="559"/>
      <c r="T869" s="559"/>
      <c r="U869" s="559"/>
      <c r="V869" s="559"/>
      <c r="W869" s="559"/>
      <c r="X869" s="559"/>
      <c r="Y869" s="559"/>
      <c r="Z869" s="559"/>
      <c r="AA869" s="559"/>
      <c r="AB869" s="559"/>
      <c r="AC869" s="559"/>
      <c r="AD869" s="559"/>
      <c r="AE869" s="559"/>
      <c r="AF869" s="559"/>
      <c r="AG869" s="559"/>
    </row>
    <row r="870" spans="1:33" ht="18" x14ac:dyDescent="0.35">
      <c r="A870" s="559"/>
      <c r="B870" s="559"/>
      <c r="C870" s="559"/>
      <c r="D870" s="559"/>
      <c r="E870" s="559"/>
      <c r="F870" s="559"/>
      <c r="G870" s="559"/>
      <c r="H870" s="559"/>
      <c r="I870" s="559"/>
      <c r="J870" s="559"/>
      <c r="K870" s="559"/>
      <c r="L870" s="559"/>
      <c r="M870" s="559"/>
      <c r="N870" s="559"/>
      <c r="O870" s="559"/>
      <c r="P870" s="559"/>
      <c r="Q870" s="559"/>
      <c r="R870" s="559"/>
      <c r="S870" s="559"/>
      <c r="T870" s="559"/>
      <c r="U870" s="559"/>
      <c r="V870" s="559"/>
      <c r="W870" s="559"/>
      <c r="X870" s="559"/>
      <c r="Y870" s="559"/>
      <c r="Z870" s="559"/>
      <c r="AA870" s="559"/>
      <c r="AB870" s="559"/>
      <c r="AC870" s="559"/>
      <c r="AD870" s="559"/>
      <c r="AE870" s="559"/>
      <c r="AF870" s="559"/>
      <c r="AG870" s="559"/>
    </row>
    <row r="871" spans="1:33" ht="18" x14ac:dyDescent="0.35">
      <c r="A871" s="559"/>
      <c r="B871" s="559"/>
      <c r="C871" s="559"/>
      <c r="D871" s="559"/>
      <c r="E871" s="559"/>
      <c r="F871" s="559"/>
      <c r="G871" s="559"/>
      <c r="H871" s="559"/>
      <c r="I871" s="559"/>
      <c r="J871" s="559"/>
      <c r="K871" s="559"/>
      <c r="L871" s="559"/>
      <c r="M871" s="559"/>
      <c r="N871" s="559"/>
      <c r="O871" s="559"/>
      <c r="P871" s="559"/>
      <c r="Q871" s="559"/>
      <c r="R871" s="559"/>
      <c r="S871" s="559"/>
      <c r="T871" s="559"/>
      <c r="U871" s="559"/>
      <c r="V871" s="559"/>
      <c r="W871" s="559"/>
      <c r="X871" s="559"/>
      <c r="Y871" s="559"/>
      <c r="Z871" s="559"/>
      <c r="AA871" s="559"/>
      <c r="AB871" s="559"/>
      <c r="AC871" s="559"/>
      <c r="AD871" s="559"/>
      <c r="AE871" s="559"/>
      <c r="AF871" s="559"/>
      <c r="AG871" s="559"/>
    </row>
    <row r="872" spans="1:33" ht="18" x14ac:dyDescent="0.35">
      <c r="A872" s="559"/>
      <c r="B872" s="559"/>
      <c r="C872" s="559"/>
      <c r="D872" s="559"/>
      <c r="E872" s="559"/>
      <c r="F872" s="559"/>
      <c r="G872" s="559"/>
      <c r="H872" s="559"/>
      <c r="I872" s="559"/>
      <c r="J872" s="559"/>
      <c r="K872" s="559"/>
      <c r="L872" s="559"/>
      <c r="M872" s="559"/>
      <c r="N872" s="559"/>
      <c r="O872" s="559"/>
      <c r="P872" s="559"/>
      <c r="Q872" s="559"/>
      <c r="R872" s="559"/>
      <c r="S872" s="559"/>
      <c r="T872" s="559"/>
      <c r="U872" s="559"/>
      <c r="V872" s="559"/>
      <c r="W872" s="559"/>
      <c r="X872" s="559"/>
      <c r="Y872" s="559"/>
      <c r="Z872" s="559"/>
      <c r="AA872" s="559"/>
      <c r="AB872" s="559"/>
      <c r="AC872" s="559"/>
      <c r="AD872" s="559"/>
      <c r="AE872" s="559"/>
      <c r="AF872" s="559"/>
      <c r="AG872" s="559"/>
    </row>
    <row r="873" spans="1:33" ht="18" x14ac:dyDescent="0.35">
      <c r="A873" s="559"/>
      <c r="B873" s="559"/>
      <c r="C873" s="559"/>
      <c r="D873" s="559"/>
      <c r="E873" s="559"/>
      <c r="F873" s="559"/>
      <c r="G873" s="559"/>
      <c r="H873" s="559"/>
      <c r="I873" s="559"/>
      <c r="J873" s="559"/>
      <c r="K873" s="559"/>
      <c r="L873" s="559"/>
      <c r="M873" s="559"/>
      <c r="N873" s="559"/>
      <c r="O873" s="559"/>
      <c r="P873" s="559"/>
      <c r="Q873" s="559"/>
      <c r="R873" s="559"/>
      <c r="S873" s="559"/>
      <c r="T873" s="559"/>
      <c r="U873" s="559"/>
      <c r="V873" s="559"/>
      <c r="W873" s="559"/>
      <c r="X873" s="559"/>
      <c r="Y873" s="559"/>
      <c r="Z873" s="559"/>
      <c r="AA873" s="559"/>
      <c r="AB873" s="559"/>
      <c r="AC873" s="559"/>
      <c r="AD873" s="559"/>
      <c r="AE873" s="559"/>
      <c r="AF873" s="559"/>
      <c r="AG873" s="559"/>
    </row>
    <row r="874" spans="1:33" ht="18" x14ac:dyDescent="0.35">
      <c r="A874" s="559"/>
      <c r="B874" s="559"/>
      <c r="C874" s="559"/>
      <c r="D874" s="559"/>
      <c r="E874" s="559"/>
      <c r="F874" s="559"/>
      <c r="G874" s="559"/>
      <c r="H874" s="559"/>
      <c r="I874" s="559"/>
      <c r="J874" s="559"/>
      <c r="K874" s="559"/>
      <c r="L874" s="559"/>
      <c r="M874" s="559"/>
      <c r="N874" s="559"/>
      <c r="O874" s="559"/>
      <c r="P874" s="559"/>
      <c r="Q874" s="559"/>
      <c r="R874" s="559"/>
      <c r="S874" s="559"/>
      <c r="T874" s="559"/>
      <c r="U874" s="559"/>
      <c r="V874" s="559"/>
      <c r="W874" s="559"/>
      <c r="X874" s="559"/>
      <c r="Y874" s="559"/>
      <c r="Z874" s="559"/>
      <c r="AA874" s="559"/>
      <c r="AB874" s="559"/>
      <c r="AC874" s="559"/>
      <c r="AD874" s="559"/>
      <c r="AE874" s="559"/>
      <c r="AF874" s="559"/>
      <c r="AG874" s="559"/>
    </row>
    <row r="875" spans="1:33" ht="18" x14ac:dyDescent="0.35">
      <c r="A875" s="559"/>
      <c r="B875" s="559"/>
      <c r="C875" s="559"/>
      <c r="D875" s="559"/>
      <c r="E875" s="559"/>
      <c r="F875" s="559"/>
      <c r="G875" s="559"/>
      <c r="H875" s="559"/>
      <c r="I875" s="559"/>
      <c r="J875" s="559"/>
      <c r="K875" s="559"/>
      <c r="L875" s="559"/>
      <c r="M875" s="559"/>
      <c r="N875" s="559"/>
      <c r="O875" s="559"/>
      <c r="P875" s="559"/>
      <c r="Q875" s="559"/>
      <c r="R875" s="559"/>
      <c r="S875" s="559"/>
      <c r="T875" s="559"/>
      <c r="U875" s="559"/>
      <c r="V875" s="559"/>
      <c r="W875" s="559"/>
      <c r="X875" s="559"/>
      <c r="Y875" s="559"/>
      <c r="Z875" s="559"/>
      <c r="AA875" s="559"/>
      <c r="AB875" s="559"/>
      <c r="AC875" s="559"/>
      <c r="AD875" s="559"/>
      <c r="AE875" s="559"/>
      <c r="AF875" s="559"/>
      <c r="AG875" s="559"/>
    </row>
    <row r="876" spans="1:33" ht="18" x14ac:dyDescent="0.35">
      <c r="A876" s="559"/>
      <c r="B876" s="559"/>
      <c r="C876" s="559"/>
      <c r="D876" s="559"/>
      <c r="E876" s="559"/>
      <c r="F876" s="559"/>
      <c r="G876" s="559"/>
      <c r="H876" s="559"/>
      <c r="I876" s="559"/>
      <c r="J876" s="559"/>
      <c r="K876" s="559"/>
      <c r="L876" s="559"/>
      <c r="M876" s="559"/>
      <c r="N876" s="559"/>
      <c r="O876" s="559"/>
      <c r="P876" s="559"/>
      <c r="Q876" s="559"/>
      <c r="R876" s="559"/>
      <c r="S876" s="559"/>
      <c r="T876" s="559"/>
      <c r="U876" s="559"/>
      <c r="V876" s="559"/>
      <c r="W876" s="559"/>
      <c r="X876" s="559"/>
      <c r="Y876" s="559"/>
      <c r="Z876" s="559"/>
      <c r="AA876" s="559"/>
      <c r="AB876" s="559"/>
      <c r="AC876" s="559"/>
      <c r="AD876" s="559"/>
      <c r="AE876" s="559"/>
      <c r="AF876" s="559"/>
      <c r="AG876" s="559"/>
    </row>
    <row r="877" spans="1:33" ht="18" x14ac:dyDescent="0.35">
      <c r="A877" s="559"/>
      <c r="B877" s="559"/>
      <c r="C877" s="559"/>
      <c r="D877" s="559"/>
      <c r="E877" s="559"/>
      <c r="F877" s="559"/>
      <c r="G877" s="559"/>
      <c r="H877" s="559"/>
      <c r="I877" s="559"/>
      <c r="J877" s="559"/>
      <c r="K877" s="559"/>
      <c r="L877" s="559"/>
      <c r="M877" s="559"/>
      <c r="N877" s="559"/>
      <c r="O877" s="559"/>
      <c r="P877" s="559"/>
      <c r="Q877" s="559"/>
      <c r="R877" s="559"/>
      <c r="S877" s="559"/>
      <c r="T877" s="559"/>
      <c r="U877" s="559"/>
      <c r="V877" s="559"/>
      <c r="W877" s="559"/>
      <c r="X877" s="559"/>
      <c r="Y877" s="559"/>
      <c r="Z877" s="559"/>
      <c r="AA877" s="559"/>
      <c r="AB877" s="559"/>
      <c r="AC877" s="559"/>
      <c r="AD877" s="559"/>
      <c r="AE877" s="559"/>
      <c r="AF877" s="559"/>
      <c r="AG877" s="559"/>
    </row>
    <row r="878" spans="1:33" ht="18" x14ac:dyDescent="0.35">
      <c r="A878" s="559"/>
      <c r="B878" s="559"/>
      <c r="C878" s="559"/>
      <c r="D878" s="559"/>
      <c r="E878" s="559"/>
      <c r="F878" s="559"/>
      <c r="G878" s="559"/>
      <c r="H878" s="559"/>
      <c r="I878" s="559"/>
      <c r="J878" s="559"/>
      <c r="K878" s="559"/>
      <c r="L878" s="559"/>
      <c r="M878" s="559"/>
      <c r="N878" s="559"/>
      <c r="O878" s="559"/>
      <c r="P878" s="559"/>
      <c r="Q878" s="559"/>
      <c r="R878" s="559"/>
      <c r="S878" s="559"/>
      <c r="T878" s="559"/>
      <c r="U878" s="559"/>
      <c r="V878" s="559"/>
      <c r="W878" s="559"/>
      <c r="X878" s="559"/>
      <c r="Y878" s="559"/>
      <c r="Z878" s="559"/>
      <c r="AA878" s="559"/>
      <c r="AB878" s="559"/>
      <c r="AC878" s="559"/>
      <c r="AD878" s="559"/>
      <c r="AE878" s="559"/>
      <c r="AF878" s="559"/>
      <c r="AG878" s="559"/>
    </row>
    <row r="879" spans="1:33" ht="18" x14ac:dyDescent="0.35">
      <c r="A879" s="559"/>
      <c r="B879" s="559"/>
      <c r="C879" s="559"/>
      <c r="D879" s="559"/>
      <c r="E879" s="559"/>
      <c r="F879" s="559"/>
      <c r="G879" s="559"/>
      <c r="H879" s="559"/>
      <c r="I879" s="559"/>
      <c r="J879" s="559"/>
      <c r="K879" s="559"/>
      <c r="L879" s="559"/>
      <c r="M879" s="559"/>
      <c r="N879" s="559"/>
      <c r="O879" s="559"/>
      <c r="P879" s="559"/>
      <c r="Q879" s="559"/>
      <c r="R879" s="559"/>
      <c r="S879" s="559"/>
      <c r="T879" s="559"/>
      <c r="U879" s="559"/>
      <c r="V879" s="559"/>
      <c r="W879" s="559"/>
      <c r="X879" s="559"/>
      <c r="Y879" s="559"/>
      <c r="Z879" s="559"/>
      <c r="AA879" s="559"/>
      <c r="AB879" s="559"/>
      <c r="AC879" s="559"/>
      <c r="AD879" s="559"/>
      <c r="AE879" s="559"/>
      <c r="AF879" s="559"/>
      <c r="AG879" s="559"/>
    </row>
    <row r="880" spans="1:33" ht="18" x14ac:dyDescent="0.35">
      <c r="A880" s="559"/>
      <c r="B880" s="559"/>
      <c r="C880" s="559"/>
      <c r="D880" s="559"/>
      <c r="E880" s="559"/>
      <c r="F880" s="559"/>
      <c r="G880" s="559"/>
      <c r="H880" s="559"/>
      <c r="I880" s="559"/>
      <c r="J880" s="559"/>
      <c r="K880" s="559"/>
      <c r="L880" s="559"/>
      <c r="M880" s="559"/>
      <c r="N880" s="559"/>
      <c r="O880" s="559"/>
      <c r="P880" s="559"/>
      <c r="Q880" s="559"/>
      <c r="R880" s="559"/>
      <c r="S880" s="559"/>
      <c r="T880" s="559"/>
      <c r="U880" s="559"/>
      <c r="V880" s="559"/>
      <c r="W880" s="559"/>
      <c r="X880" s="559"/>
      <c r="Y880" s="559"/>
      <c r="Z880" s="559"/>
      <c r="AA880" s="559"/>
      <c r="AB880" s="559"/>
      <c r="AC880" s="559"/>
      <c r="AD880" s="559"/>
      <c r="AE880" s="559"/>
      <c r="AF880" s="559"/>
      <c r="AG880" s="559"/>
    </row>
    <row r="881" spans="1:33" ht="18" x14ac:dyDescent="0.35">
      <c r="A881" s="559"/>
      <c r="B881" s="559"/>
      <c r="C881" s="559"/>
      <c r="D881" s="559"/>
      <c r="E881" s="559"/>
      <c r="F881" s="559"/>
      <c r="G881" s="559"/>
      <c r="H881" s="559"/>
      <c r="I881" s="559"/>
      <c r="J881" s="559"/>
      <c r="K881" s="559"/>
      <c r="L881" s="559"/>
      <c r="M881" s="559"/>
      <c r="N881" s="559"/>
      <c r="O881" s="559"/>
      <c r="P881" s="559"/>
      <c r="Q881" s="559"/>
      <c r="R881" s="559"/>
      <c r="S881" s="559"/>
      <c r="T881" s="559"/>
      <c r="U881" s="559"/>
      <c r="V881" s="559"/>
      <c r="W881" s="559"/>
      <c r="X881" s="559"/>
      <c r="Y881" s="559"/>
      <c r="Z881" s="559"/>
      <c r="AA881" s="559"/>
      <c r="AB881" s="559"/>
      <c r="AC881" s="559"/>
      <c r="AD881" s="559"/>
      <c r="AE881" s="559"/>
      <c r="AF881" s="559"/>
      <c r="AG881" s="559"/>
    </row>
    <row r="882" spans="1:33" ht="18" x14ac:dyDescent="0.35">
      <c r="A882" s="559"/>
      <c r="B882" s="559"/>
      <c r="C882" s="559"/>
      <c r="D882" s="559"/>
      <c r="E882" s="559"/>
      <c r="F882" s="559"/>
      <c r="G882" s="559"/>
      <c r="H882" s="559"/>
      <c r="I882" s="559"/>
      <c r="J882" s="559"/>
      <c r="K882" s="559"/>
      <c r="L882" s="559"/>
      <c r="M882" s="559"/>
      <c r="N882" s="559"/>
      <c r="O882" s="559"/>
      <c r="P882" s="559"/>
      <c r="Q882" s="559"/>
      <c r="R882" s="559"/>
      <c r="S882" s="559"/>
      <c r="T882" s="559"/>
      <c r="U882" s="559"/>
      <c r="V882" s="559"/>
      <c r="W882" s="559"/>
      <c r="X882" s="559"/>
      <c r="Y882" s="559"/>
      <c r="Z882" s="559"/>
      <c r="AA882" s="559"/>
      <c r="AB882" s="559"/>
      <c r="AC882" s="559"/>
      <c r="AD882" s="559"/>
      <c r="AE882" s="559"/>
      <c r="AF882" s="559"/>
      <c r="AG882" s="559"/>
    </row>
    <row r="883" spans="1:33" ht="18" x14ac:dyDescent="0.35">
      <c r="A883" s="559"/>
      <c r="B883" s="559"/>
      <c r="C883" s="559"/>
      <c r="D883" s="559"/>
      <c r="E883" s="559"/>
      <c r="F883" s="559"/>
      <c r="G883" s="559"/>
      <c r="H883" s="559"/>
      <c r="I883" s="559"/>
      <c r="J883" s="559"/>
      <c r="K883" s="559"/>
      <c r="L883" s="559"/>
      <c r="M883" s="559"/>
      <c r="N883" s="559"/>
      <c r="O883" s="559"/>
      <c r="P883" s="559"/>
      <c r="Q883" s="559"/>
      <c r="R883" s="559"/>
      <c r="S883" s="559"/>
      <c r="T883" s="559"/>
      <c r="U883" s="559"/>
      <c r="V883" s="559"/>
      <c r="W883" s="559"/>
      <c r="X883" s="559"/>
      <c r="Y883" s="559"/>
      <c r="Z883" s="559"/>
      <c r="AA883" s="559"/>
      <c r="AB883" s="559"/>
      <c r="AC883" s="559"/>
      <c r="AD883" s="559"/>
      <c r="AE883" s="559"/>
      <c r="AF883" s="559"/>
      <c r="AG883" s="559"/>
    </row>
    <row r="884" spans="1:33" ht="18" x14ac:dyDescent="0.35">
      <c r="A884" s="559"/>
      <c r="B884" s="559"/>
      <c r="C884" s="559"/>
      <c r="D884" s="559"/>
      <c r="E884" s="559"/>
      <c r="F884" s="559"/>
      <c r="G884" s="559"/>
      <c r="H884" s="559"/>
      <c r="I884" s="559"/>
      <c r="J884" s="559"/>
      <c r="K884" s="559"/>
      <c r="L884" s="559"/>
      <c r="M884" s="559"/>
      <c r="N884" s="559"/>
      <c r="O884" s="559"/>
      <c r="P884" s="559"/>
      <c r="Q884" s="559"/>
      <c r="R884" s="559"/>
      <c r="S884" s="559"/>
      <c r="T884" s="559"/>
      <c r="U884" s="559"/>
      <c r="V884" s="559"/>
      <c r="W884" s="559"/>
      <c r="X884" s="559"/>
      <c r="Y884" s="559"/>
      <c r="Z884" s="559"/>
      <c r="AA884" s="559"/>
      <c r="AB884" s="559"/>
      <c r="AC884" s="559"/>
      <c r="AD884" s="559"/>
      <c r="AE884" s="559"/>
      <c r="AF884" s="559"/>
      <c r="AG884" s="559"/>
    </row>
    <row r="885" spans="1:33" ht="18" x14ac:dyDescent="0.35">
      <c r="A885" s="559"/>
      <c r="B885" s="559"/>
      <c r="C885" s="559"/>
      <c r="D885" s="559"/>
      <c r="E885" s="559"/>
      <c r="F885" s="559"/>
      <c r="G885" s="559"/>
      <c r="H885" s="559"/>
      <c r="I885" s="559"/>
      <c r="J885" s="559"/>
      <c r="K885" s="559"/>
      <c r="L885" s="559"/>
      <c r="M885" s="559"/>
      <c r="N885" s="559"/>
      <c r="O885" s="559"/>
      <c r="P885" s="559"/>
      <c r="Q885" s="559"/>
      <c r="R885" s="559"/>
      <c r="S885" s="559"/>
      <c r="T885" s="559"/>
      <c r="U885" s="559"/>
      <c r="V885" s="559"/>
      <c r="W885" s="559"/>
      <c r="X885" s="559"/>
      <c r="Y885" s="559"/>
      <c r="Z885" s="559"/>
      <c r="AA885" s="559"/>
      <c r="AB885" s="559"/>
      <c r="AC885" s="559"/>
      <c r="AD885" s="559"/>
      <c r="AE885" s="559"/>
      <c r="AF885" s="559"/>
      <c r="AG885" s="559"/>
    </row>
    <row r="886" spans="1:33" ht="18" x14ac:dyDescent="0.35">
      <c r="A886" s="559"/>
      <c r="B886" s="559"/>
      <c r="C886" s="559"/>
      <c r="D886" s="559"/>
      <c r="E886" s="559"/>
      <c r="F886" s="559"/>
      <c r="G886" s="559"/>
      <c r="H886" s="559"/>
      <c r="I886" s="559"/>
      <c r="J886" s="559"/>
      <c r="K886" s="559"/>
      <c r="L886" s="559"/>
      <c r="M886" s="559"/>
      <c r="N886" s="559"/>
      <c r="O886" s="559"/>
      <c r="P886" s="559"/>
      <c r="Q886" s="559"/>
      <c r="R886" s="559"/>
      <c r="S886" s="559"/>
      <c r="T886" s="559"/>
      <c r="U886" s="559"/>
      <c r="V886" s="559"/>
      <c r="W886" s="559"/>
      <c r="X886" s="559"/>
      <c r="Y886" s="559"/>
      <c r="Z886" s="559"/>
      <c r="AA886" s="559"/>
      <c r="AB886" s="559"/>
      <c r="AC886" s="559"/>
      <c r="AD886" s="559"/>
      <c r="AE886" s="559"/>
      <c r="AF886" s="559"/>
      <c r="AG886" s="559"/>
    </row>
    <row r="887" spans="1:33" ht="18" x14ac:dyDescent="0.35">
      <c r="A887" s="559"/>
      <c r="B887" s="559"/>
      <c r="C887" s="559"/>
      <c r="D887" s="559"/>
      <c r="E887" s="559"/>
      <c r="F887" s="559"/>
      <c r="G887" s="559"/>
      <c r="H887" s="559"/>
      <c r="I887" s="559"/>
      <c r="J887" s="559"/>
      <c r="K887" s="559"/>
      <c r="L887" s="559"/>
      <c r="M887" s="559"/>
      <c r="N887" s="559"/>
      <c r="O887" s="559"/>
      <c r="P887" s="559"/>
      <c r="Q887" s="559"/>
      <c r="R887" s="559"/>
      <c r="S887" s="559"/>
      <c r="T887" s="559"/>
      <c r="U887" s="559"/>
      <c r="V887" s="559"/>
      <c r="W887" s="559"/>
      <c r="X887" s="559"/>
      <c r="Y887" s="559"/>
      <c r="Z887" s="559"/>
      <c r="AA887" s="559"/>
      <c r="AB887" s="559"/>
      <c r="AC887" s="559"/>
      <c r="AD887" s="559"/>
      <c r="AE887" s="559"/>
      <c r="AF887" s="559"/>
      <c r="AG887" s="559"/>
    </row>
    <row r="888" spans="1:33" ht="18" x14ac:dyDescent="0.35">
      <c r="A888" s="559"/>
      <c r="B888" s="559"/>
      <c r="C888" s="559"/>
      <c r="D888" s="559"/>
      <c r="E888" s="559"/>
      <c r="F888" s="559"/>
      <c r="G888" s="559"/>
      <c r="H888" s="559"/>
      <c r="I888" s="559"/>
      <c r="J888" s="559"/>
      <c r="K888" s="559"/>
      <c r="L888" s="559"/>
      <c r="M888" s="559"/>
      <c r="N888" s="559"/>
      <c r="O888" s="559"/>
      <c r="P888" s="559"/>
      <c r="Q888" s="559"/>
      <c r="R888" s="559"/>
      <c r="S888" s="559"/>
      <c r="T888" s="559"/>
      <c r="U888" s="559"/>
      <c r="V888" s="559"/>
      <c r="W888" s="559"/>
      <c r="X888" s="559"/>
      <c r="Y888" s="559"/>
      <c r="Z888" s="559"/>
      <c r="AA888" s="559"/>
      <c r="AB888" s="559"/>
      <c r="AC888" s="559"/>
      <c r="AD888" s="559"/>
      <c r="AE888" s="559"/>
      <c r="AF888" s="559"/>
      <c r="AG888" s="559"/>
    </row>
    <row r="889" spans="1:33" ht="18" x14ac:dyDescent="0.35">
      <c r="A889" s="559"/>
      <c r="B889" s="559"/>
      <c r="C889" s="559"/>
      <c r="D889" s="559"/>
      <c r="E889" s="559"/>
      <c r="F889" s="559"/>
      <c r="G889" s="559"/>
      <c r="H889" s="559"/>
      <c r="I889" s="559"/>
      <c r="J889" s="559"/>
      <c r="K889" s="559"/>
      <c r="L889" s="559"/>
      <c r="M889" s="559"/>
      <c r="N889" s="559"/>
      <c r="O889" s="559"/>
      <c r="P889" s="559"/>
      <c r="Q889" s="559"/>
      <c r="R889" s="559"/>
      <c r="S889" s="559"/>
      <c r="T889" s="559"/>
      <c r="U889" s="559"/>
      <c r="V889" s="559"/>
      <c r="W889" s="559"/>
      <c r="X889" s="559"/>
      <c r="Y889" s="559"/>
      <c r="Z889" s="559"/>
      <c r="AA889" s="559"/>
      <c r="AB889" s="559"/>
      <c r="AC889" s="559"/>
      <c r="AD889" s="559"/>
      <c r="AE889" s="559"/>
      <c r="AF889" s="559"/>
      <c r="AG889" s="559"/>
    </row>
    <row r="890" spans="1:33" ht="18" x14ac:dyDescent="0.35">
      <c r="A890" s="559"/>
      <c r="B890" s="559"/>
      <c r="C890" s="559"/>
      <c r="D890" s="559"/>
      <c r="E890" s="559"/>
      <c r="F890" s="559"/>
      <c r="G890" s="559"/>
      <c r="H890" s="559"/>
      <c r="I890" s="559"/>
      <c r="J890" s="559"/>
      <c r="K890" s="559"/>
      <c r="L890" s="559"/>
      <c r="M890" s="559"/>
      <c r="N890" s="559"/>
      <c r="O890" s="559"/>
      <c r="P890" s="559"/>
      <c r="Q890" s="559"/>
      <c r="R890" s="559"/>
      <c r="S890" s="559"/>
      <c r="T890" s="559"/>
      <c r="U890" s="559"/>
      <c r="V890" s="559"/>
      <c r="W890" s="559"/>
      <c r="X890" s="559"/>
      <c r="Y890" s="559"/>
      <c r="Z890" s="559"/>
      <c r="AA890" s="559"/>
      <c r="AB890" s="559"/>
      <c r="AC890" s="559"/>
      <c r="AD890" s="559"/>
      <c r="AE890" s="559"/>
      <c r="AF890" s="559"/>
      <c r="AG890" s="559"/>
    </row>
    <row r="891" spans="1:33" ht="18" x14ac:dyDescent="0.35">
      <c r="A891" s="559"/>
      <c r="B891" s="559"/>
      <c r="C891" s="559"/>
      <c r="D891" s="559"/>
      <c r="E891" s="559"/>
      <c r="F891" s="559"/>
      <c r="G891" s="559"/>
      <c r="H891" s="559"/>
      <c r="I891" s="559"/>
      <c r="J891" s="559"/>
      <c r="K891" s="559"/>
      <c r="L891" s="559"/>
      <c r="M891" s="559"/>
      <c r="N891" s="559"/>
      <c r="O891" s="559"/>
      <c r="P891" s="559"/>
      <c r="Q891" s="559"/>
      <c r="R891" s="559"/>
      <c r="S891" s="559"/>
      <c r="T891" s="559"/>
      <c r="U891" s="559"/>
      <c r="V891" s="559"/>
      <c r="W891" s="559"/>
      <c r="X891" s="559"/>
      <c r="Y891" s="559"/>
      <c r="Z891" s="559"/>
      <c r="AA891" s="559"/>
      <c r="AB891" s="559"/>
      <c r="AC891" s="559"/>
      <c r="AD891" s="559"/>
      <c r="AE891" s="559"/>
      <c r="AF891" s="559"/>
      <c r="AG891" s="559"/>
    </row>
    <row r="892" spans="1:33" ht="18" x14ac:dyDescent="0.35">
      <c r="A892" s="559"/>
      <c r="B892" s="559"/>
      <c r="C892" s="559"/>
      <c r="D892" s="559"/>
      <c r="E892" s="559"/>
      <c r="F892" s="559"/>
      <c r="G892" s="559"/>
      <c r="H892" s="559"/>
      <c r="I892" s="559"/>
      <c r="J892" s="559"/>
      <c r="K892" s="559"/>
      <c r="L892" s="559"/>
      <c r="M892" s="559"/>
      <c r="N892" s="559"/>
      <c r="O892" s="559"/>
      <c r="P892" s="559"/>
      <c r="Q892" s="559"/>
      <c r="R892" s="559"/>
      <c r="S892" s="559"/>
      <c r="T892" s="559"/>
      <c r="U892" s="559"/>
      <c r="V892" s="559"/>
      <c r="W892" s="559"/>
      <c r="X892" s="559"/>
      <c r="Y892" s="559"/>
      <c r="Z892" s="559"/>
      <c r="AA892" s="559"/>
      <c r="AB892" s="559"/>
      <c r="AC892" s="559"/>
      <c r="AD892" s="559"/>
      <c r="AE892" s="559"/>
      <c r="AF892" s="559"/>
      <c r="AG892" s="559"/>
    </row>
    <row r="893" spans="1:33" ht="18" x14ac:dyDescent="0.35">
      <c r="A893" s="559"/>
      <c r="B893" s="559"/>
      <c r="C893" s="559"/>
      <c r="D893" s="559"/>
      <c r="E893" s="559"/>
      <c r="F893" s="559"/>
      <c r="G893" s="559"/>
      <c r="H893" s="559"/>
      <c r="I893" s="559"/>
      <c r="J893" s="559"/>
      <c r="K893" s="559"/>
      <c r="L893" s="559"/>
      <c r="M893" s="559"/>
      <c r="N893" s="559"/>
      <c r="O893" s="559"/>
      <c r="P893" s="559"/>
      <c r="Q893" s="559"/>
      <c r="R893" s="559"/>
      <c r="S893" s="559"/>
      <c r="T893" s="559"/>
      <c r="U893" s="559"/>
      <c r="V893" s="559"/>
      <c r="W893" s="559"/>
      <c r="X893" s="559"/>
      <c r="Y893" s="559"/>
      <c r="Z893" s="559"/>
      <c r="AA893" s="559"/>
      <c r="AB893" s="559"/>
      <c r="AC893" s="559"/>
      <c r="AD893" s="559"/>
      <c r="AE893" s="559"/>
      <c r="AF893" s="559"/>
      <c r="AG893" s="559"/>
    </row>
    <row r="894" spans="1:33" ht="18" x14ac:dyDescent="0.35">
      <c r="A894" s="559"/>
      <c r="B894" s="559"/>
      <c r="C894" s="559"/>
      <c r="D894" s="559"/>
      <c r="E894" s="559"/>
      <c r="F894" s="559"/>
      <c r="G894" s="559"/>
      <c r="H894" s="559"/>
      <c r="I894" s="559"/>
      <c r="J894" s="559"/>
      <c r="K894" s="559"/>
      <c r="L894" s="559"/>
      <c r="M894" s="559"/>
      <c r="N894" s="559"/>
      <c r="O894" s="559"/>
      <c r="P894" s="559"/>
      <c r="Q894" s="559"/>
      <c r="R894" s="559"/>
      <c r="S894" s="559"/>
      <c r="T894" s="559"/>
      <c r="U894" s="559"/>
      <c r="V894" s="559"/>
      <c r="W894" s="559"/>
      <c r="X894" s="559"/>
      <c r="Y894" s="559"/>
      <c r="Z894" s="559"/>
      <c r="AA894" s="559"/>
      <c r="AB894" s="559"/>
      <c r="AC894" s="559"/>
      <c r="AD894" s="559"/>
      <c r="AE894" s="559"/>
      <c r="AF894" s="559"/>
      <c r="AG894" s="559"/>
    </row>
    <row r="895" spans="1:33" ht="18" x14ac:dyDescent="0.35">
      <c r="A895" s="559"/>
      <c r="B895" s="559"/>
      <c r="C895" s="559"/>
      <c r="D895" s="559"/>
      <c r="E895" s="559"/>
      <c r="F895" s="559"/>
      <c r="G895" s="559"/>
      <c r="H895" s="559"/>
      <c r="I895" s="559"/>
      <c r="J895" s="559"/>
      <c r="K895" s="559"/>
      <c r="L895" s="559"/>
      <c r="M895" s="559"/>
      <c r="N895" s="559"/>
      <c r="O895" s="559"/>
      <c r="P895" s="559"/>
      <c r="Q895" s="559"/>
      <c r="R895" s="559"/>
      <c r="S895" s="559"/>
      <c r="T895" s="559"/>
      <c r="U895" s="559"/>
      <c r="V895" s="559"/>
      <c r="W895" s="559"/>
      <c r="X895" s="559"/>
      <c r="Y895" s="559"/>
      <c r="Z895" s="559"/>
      <c r="AA895" s="559"/>
      <c r="AB895" s="559"/>
      <c r="AC895" s="559"/>
      <c r="AD895" s="559"/>
      <c r="AE895" s="559"/>
      <c r="AF895" s="559"/>
      <c r="AG895" s="559"/>
    </row>
    <row r="896" spans="1:33" ht="18" x14ac:dyDescent="0.35">
      <c r="A896" s="559"/>
      <c r="B896" s="559"/>
      <c r="C896" s="559"/>
      <c r="D896" s="559"/>
      <c r="E896" s="559"/>
      <c r="F896" s="559"/>
      <c r="G896" s="559"/>
      <c r="H896" s="559"/>
      <c r="I896" s="559"/>
      <c r="J896" s="559"/>
      <c r="K896" s="559"/>
      <c r="L896" s="559"/>
      <c r="M896" s="559"/>
      <c r="N896" s="559"/>
      <c r="O896" s="559"/>
      <c r="P896" s="559"/>
      <c r="Q896" s="559"/>
      <c r="R896" s="559"/>
      <c r="S896" s="559"/>
      <c r="T896" s="559"/>
      <c r="U896" s="559"/>
      <c r="V896" s="559"/>
      <c r="W896" s="559"/>
      <c r="X896" s="559"/>
      <c r="Y896" s="559"/>
      <c r="Z896" s="559"/>
      <c r="AA896" s="559"/>
      <c r="AB896" s="559"/>
      <c r="AC896" s="559"/>
      <c r="AD896" s="559"/>
      <c r="AE896" s="559"/>
      <c r="AF896" s="559"/>
      <c r="AG896" s="559"/>
    </row>
    <row r="897" spans="1:33" ht="18" x14ac:dyDescent="0.35">
      <c r="A897" s="559"/>
      <c r="B897" s="559"/>
      <c r="C897" s="559"/>
      <c r="D897" s="559"/>
      <c r="E897" s="559"/>
      <c r="F897" s="559"/>
      <c r="G897" s="559"/>
      <c r="H897" s="559"/>
      <c r="I897" s="559"/>
      <c r="J897" s="559"/>
      <c r="K897" s="559"/>
      <c r="L897" s="559"/>
      <c r="M897" s="559"/>
      <c r="N897" s="559"/>
      <c r="O897" s="559"/>
      <c r="P897" s="559"/>
      <c r="Q897" s="559"/>
      <c r="R897" s="559"/>
      <c r="S897" s="559"/>
      <c r="T897" s="559"/>
      <c r="U897" s="559"/>
      <c r="V897" s="559"/>
      <c r="W897" s="559"/>
      <c r="X897" s="559"/>
      <c r="Y897" s="559"/>
      <c r="Z897" s="559"/>
      <c r="AA897" s="559"/>
      <c r="AB897" s="559"/>
      <c r="AC897" s="559"/>
      <c r="AD897" s="559"/>
      <c r="AE897" s="559"/>
      <c r="AF897" s="559"/>
      <c r="AG897" s="559"/>
    </row>
    <row r="898" spans="1:33" ht="18" x14ac:dyDescent="0.35">
      <c r="A898" s="559"/>
      <c r="B898" s="559"/>
      <c r="C898" s="559"/>
      <c r="D898" s="559"/>
      <c r="E898" s="559"/>
      <c r="F898" s="559"/>
      <c r="G898" s="559"/>
      <c r="H898" s="559"/>
      <c r="I898" s="559"/>
      <c r="J898" s="559"/>
      <c r="K898" s="559"/>
      <c r="L898" s="559"/>
      <c r="M898" s="559"/>
      <c r="N898" s="559"/>
      <c r="O898" s="559"/>
      <c r="P898" s="559"/>
      <c r="Q898" s="559"/>
      <c r="R898" s="559"/>
      <c r="S898" s="559"/>
      <c r="T898" s="559"/>
      <c r="U898" s="559"/>
      <c r="V898" s="559"/>
      <c r="W898" s="559"/>
      <c r="X898" s="559"/>
      <c r="Y898" s="559"/>
      <c r="Z898" s="559"/>
      <c r="AA898" s="559"/>
      <c r="AB898" s="559"/>
      <c r="AC898" s="559"/>
      <c r="AD898" s="559"/>
      <c r="AE898" s="559"/>
      <c r="AF898" s="559"/>
      <c r="AG898" s="559"/>
    </row>
    <row r="899" spans="1:33" ht="18" x14ac:dyDescent="0.35">
      <c r="A899" s="559"/>
      <c r="B899" s="559"/>
      <c r="C899" s="559"/>
      <c r="D899" s="559"/>
      <c r="E899" s="559"/>
      <c r="F899" s="559"/>
      <c r="G899" s="559"/>
      <c r="H899" s="559"/>
      <c r="I899" s="559"/>
      <c r="J899" s="559"/>
      <c r="K899" s="559"/>
      <c r="L899" s="559"/>
      <c r="M899" s="559"/>
      <c r="N899" s="559"/>
      <c r="O899" s="559"/>
      <c r="P899" s="559"/>
      <c r="Q899" s="559"/>
      <c r="R899" s="559"/>
      <c r="S899" s="559"/>
      <c r="T899" s="559"/>
      <c r="U899" s="559"/>
      <c r="V899" s="559"/>
      <c r="W899" s="559"/>
      <c r="X899" s="559"/>
      <c r="Y899" s="559"/>
      <c r="Z899" s="559"/>
      <c r="AA899" s="559"/>
      <c r="AB899" s="559"/>
      <c r="AC899" s="559"/>
      <c r="AD899" s="559"/>
      <c r="AE899" s="559"/>
      <c r="AF899" s="559"/>
      <c r="AG899" s="559"/>
    </row>
    <row r="900" spans="1:33" ht="18" x14ac:dyDescent="0.35">
      <c r="A900" s="559"/>
      <c r="B900" s="559"/>
      <c r="C900" s="559"/>
      <c r="D900" s="559"/>
      <c r="E900" s="559"/>
      <c r="F900" s="559"/>
      <c r="G900" s="559"/>
      <c r="H900" s="559"/>
      <c r="I900" s="559"/>
      <c r="J900" s="559"/>
      <c r="K900" s="559"/>
      <c r="L900" s="559"/>
      <c r="M900" s="559"/>
      <c r="N900" s="559"/>
      <c r="O900" s="559"/>
      <c r="P900" s="559"/>
      <c r="Q900" s="559"/>
      <c r="R900" s="559"/>
      <c r="S900" s="559"/>
      <c r="T900" s="559"/>
      <c r="U900" s="559"/>
      <c r="V900" s="559"/>
      <c r="W900" s="559"/>
      <c r="X900" s="559"/>
      <c r="Y900" s="559"/>
      <c r="Z900" s="559"/>
      <c r="AA900" s="559"/>
      <c r="AB900" s="559"/>
      <c r="AC900" s="559"/>
      <c r="AD900" s="559"/>
      <c r="AE900" s="559"/>
      <c r="AF900" s="559"/>
      <c r="AG900" s="559"/>
    </row>
    <row r="901" spans="1:33" ht="18" x14ac:dyDescent="0.35">
      <c r="A901" s="559"/>
      <c r="B901" s="559"/>
      <c r="C901" s="559"/>
      <c r="D901" s="559"/>
      <c r="E901" s="559"/>
      <c r="F901" s="559"/>
      <c r="G901" s="559"/>
      <c r="H901" s="559"/>
      <c r="I901" s="559"/>
      <c r="J901" s="559"/>
      <c r="K901" s="559"/>
      <c r="L901" s="559"/>
      <c r="M901" s="559"/>
      <c r="N901" s="559"/>
      <c r="O901" s="559"/>
      <c r="P901" s="559"/>
      <c r="Q901" s="559"/>
      <c r="R901" s="559"/>
      <c r="S901" s="559"/>
      <c r="T901" s="559"/>
      <c r="U901" s="559"/>
      <c r="V901" s="559"/>
      <c r="W901" s="559"/>
      <c r="X901" s="559"/>
      <c r="Y901" s="559"/>
      <c r="Z901" s="559"/>
      <c r="AA901" s="559"/>
      <c r="AB901" s="559"/>
      <c r="AC901" s="559"/>
      <c r="AD901" s="559"/>
      <c r="AE901" s="559"/>
      <c r="AF901" s="559"/>
      <c r="AG901" s="559"/>
    </row>
    <row r="902" spans="1:33" ht="18" x14ac:dyDescent="0.35">
      <c r="A902" s="559"/>
      <c r="B902" s="559"/>
      <c r="C902" s="559"/>
      <c r="D902" s="559"/>
      <c r="E902" s="559"/>
      <c r="F902" s="559"/>
      <c r="G902" s="559"/>
      <c r="H902" s="559"/>
      <c r="I902" s="559"/>
      <c r="J902" s="559"/>
      <c r="K902" s="559"/>
      <c r="L902" s="559"/>
      <c r="M902" s="559"/>
      <c r="N902" s="559"/>
      <c r="O902" s="559"/>
      <c r="P902" s="559"/>
      <c r="Q902" s="559"/>
      <c r="R902" s="559"/>
      <c r="S902" s="559"/>
      <c r="T902" s="559"/>
      <c r="U902" s="559"/>
      <c r="V902" s="559"/>
      <c r="W902" s="559"/>
      <c r="X902" s="559"/>
      <c r="Y902" s="559"/>
      <c r="Z902" s="559"/>
      <c r="AA902" s="559"/>
      <c r="AB902" s="559"/>
      <c r="AC902" s="559"/>
      <c r="AD902" s="559"/>
      <c r="AE902" s="559"/>
      <c r="AF902" s="559"/>
      <c r="AG902" s="559"/>
    </row>
    <row r="903" spans="1:33" ht="18" x14ac:dyDescent="0.35">
      <c r="A903" s="559"/>
      <c r="B903" s="559"/>
      <c r="C903" s="559"/>
      <c r="D903" s="559"/>
      <c r="E903" s="559"/>
      <c r="F903" s="559"/>
      <c r="G903" s="559"/>
      <c r="H903" s="559"/>
      <c r="I903" s="559"/>
      <c r="J903" s="559"/>
      <c r="K903" s="559"/>
      <c r="L903" s="559"/>
      <c r="M903" s="559"/>
      <c r="N903" s="559"/>
      <c r="O903" s="559"/>
      <c r="P903" s="559"/>
      <c r="Q903" s="559"/>
      <c r="R903" s="559"/>
      <c r="S903" s="559"/>
      <c r="T903" s="559"/>
      <c r="U903" s="559"/>
      <c r="V903" s="559"/>
      <c r="W903" s="559"/>
      <c r="X903" s="559"/>
      <c r="Y903" s="559"/>
      <c r="Z903" s="559"/>
      <c r="AA903" s="559"/>
      <c r="AB903" s="559"/>
      <c r="AC903" s="559"/>
      <c r="AD903" s="559"/>
      <c r="AE903" s="559"/>
      <c r="AF903" s="559"/>
      <c r="AG903" s="559"/>
    </row>
    <row r="904" spans="1:33" ht="18" x14ac:dyDescent="0.35">
      <c r="A904" s="559"/>
      <c r="B904" s="559"/>
      <c r="C904" s="559"/>
      <c r="D904" s="559"/>
      <c r="E904" s="559"/>
      <c r="F904" s="559"/>
      <c r="G904" s="559"/>
      <c r="H904" s="559"/>
      <c r="I904" s="559"/>
      <c r="J904" s="559"/>
      <c r="K904" s="559"/>
      <c r="L904" s="559"/>
      <c r="M904" s="559"/>
      <c r="N904" s="559"/>
      <c r="O904" s="559"/>
      <c r="P904" s="559"/>
      <c r="Q904" s="559"/>
      <c r="R904" s="559"/>
      <c r="S904" s="559"/>
      <c r="T904" s="559"/>
      <c r="U904" s="559"/>
      <c r="V904" s="559"/>
      <c r="W904" s="559"/>
      <c r="X904" s="559"/>
      <c r="Y904" s="559"/>
      <c r="Z904" s="559"/>
      <c r="AA904" s="559"/>
      <c r="AB904" s="559"/>
      <c r="AC904" s="559"/>
      <c r="AD904" s="559"/>
      <c r="AE904" s="559"/>
      <c r="AF904" s="559"/>
      <c r="AG904" s="559"/>
    </row>
    <row r="905" spans="1:33" ht="18" x14ac:dyDescent="0.35">
      <c r="A905" s="559"/>
      <c r="B905" s="559"/>
      <c r="C905" s="559"/>
      <c r="D905" s="559"/>
      <c r="E905" s="559"/>
      <c r="F905" s="559"/>
      <c r="G905" s="559"/>
      <c r="H905" s="559"/>
      <c r="I905" s="559"/>
      <c r="J905" s="559"/>
      <c r="K905" s="559"/>
      <c r="L905" s="559"/>
      <c r="M905" s="559"/>
      <c r="N905" s="559"/>
      <c r="O905" s="559"/>
      <c r="P905" s="559"/>
      <c r="Q905" s="559"/>
      <c r="R905" s="559"/>
      <c r="S905" s="559"/>
      <c r="T905" s="559"/>
      <c r="U905" s="559"/>
      <c r="V905" s="559"/>
      <c r="W905" s="559"/>
      <c r="X905" s="559"/>
      <c r="Y905" s="559"/>
      <c r="Z905" s="559"/>
      <c r="AA905" s="559"/>
      <c r="AB905" s="559"/>
      <c r="AC905" s="559"/>
      <c r="AD905" s="559"/>
      <c r="AE905" s="559"/>
      <c r="AF905" s="559"/>
      <c r="AG905" s="559"/>
    </row>
    <row r="906" spans="1:33" ht="18" x14ac:dyDescent="0.35">
      <c r="A906" s="559"/>
      <c r="B906" s="559"/>
      <c r="C906" s="559"/>
      <c r="D906" s="559"/>
      <c r="E906" s="559"/>
      <c r="F906" s="559"/>
      <c r="G906" s="559"/>
      <c r="H906" s="559"/>
      <c r="I906" s="559"/>
      <c r="J906" s="559"/>
      <c r="K906" s="559"/>
      <c r="L906" s="559"/>
      <c r="M906" s="559"/>
      <c r="N906" s="559"/>
      <c r="O906" s="559"/>
      <c r="P906" s="559"/>
      <c r="Q906" s="559"/>
      <c r="R906" s="559"/>
      <c r="S906" s="559"/>
      <c r="T906" s="559"/>
      <c r="U906" s="559"/>
      <c r="V906" s="559"/>
      <c r="W906" s="559"/>
      <c r="X906" s="559"/>
      <c r="Y906" s="559"/>
      <c r="Z906" s="559"/>
      <c r="AA906" s="559"/>
      <c r="AB906" s="559"/>
      <c r="AC906" s="559"/>
      <c r="AD906" s="559"/>
      <c r="AE906" s="559"/>
      <c r="AF906" s="559"/>
      <c r="AG906" s="559"/>
    </row>
    <row r="907" spans="1:33" ht="18" x14ac:dyDescent="0.35">
      <c r="A907" s="559"/>
      <c r="B907" s="559"/>
      <c r="C907" s="559"/>
      <c r="D907" s="559"/>
      <c r="E907" s="559"/>
      <c r="F907" s="559"/>
      <c r="G907" s="559"/>
      <c r="H907" s="559"/>
      <c r="I907" s="559"/>
      <c r="J907" s="559"/>
      <c r="K907" s="559"/>
      <c r="L907" s="559"/>
      <c r="M907" s="559"/>
      <c r="N907" s="559"/>
      <c r="O907" s="559"/>
      <c r="P907" s="559"/>
      <c r="Q907" s="559"/>
      <c r="R907" s="559"/>
      <c r="S907" s="559"/>
      <c r="T907" s="559"/>
      <c r="U907" s="559"/>
      <c r="V907" s="559"/>
      <c r="W907" s="559"/>
      <c r="X907" s="559"/>
      <c r="Y907" s="559"/>
      <c r="Z907" s="559"/>
      <c r="AA907" s="559"/>
      <c r="AB907" s="559"/>
      <c r="AC907" s="559"/>
      <c r="AD907" s="559"/>
      <c r="AE907" s="559"/>
      <c r="AF907" s="559"/>
      <c r="AG907" s="559"/>
    </row>
    <row r="908" spans="1:33" ht="18" x14ac:dyDescent="0.35">
      <c r="A908" s="559"/>
      <c r="B908" s="559"/>
      <c r="C908" s="559"/>
      <c r="D908" s="559"/>
      <c r="E908" s="559"/>
      <c r="F908" s="559"/>
      <c r="G908" s="559"/>
      <c r="H908" s="559"/>
      <c r="I908" s="559"/>
      <c r="J908" s="559"/>
      <c r="K908" s="559"/>
      <c r="L908" s="559"/>
      <c r="M908" s="559"/>
      <c r="N908" s="559"/>
      <c r="O908" s="559"/>
      <c r="P908" s="559"/>
      <c r="Q908" s="559"/>
      <c r="R908" s="559"/>
      <c r="S908" s="559"/>
      <c r="T908" s="559"/>
      <c r="U908" s="559"/>
      <c r="V908" s="559"/>
      <c r="W908" s="559"/>
      <c r="X908" s="559"/>
      <c r="Y908" s="559"/>
      <c r="Z908" s="559"/>
      <c r="AA908" s="559"/>
      <c r="AB908" s="559"/>
      <c r="AC908" s="559"/>
      <c r="AD908" s="559"/>
      <c r="AE908" s="559"/>
      <c r="AF908" s="559"/>
      <c r="AG908" s="559"/>
    </row>
    <row r="909" spans="1:33" ht="18" x14ac:dyDescent="0.35">
      <c r="A909" s="559"/>
      <c r="B909" s="559"/>
      <c r="C909" s="559"/>
      <c r="D909" s="559"/>
      <c r="E909" s="559"/>
      <c r="F909" s="559"/>
      <c r="G909" s="559"/>
      <c r="H909" s="559"/>
      <c r="I909" s="559"/>
      <c r="J909" s="559"/>
      <c r="K909" s="559"/>
      <c r="L909" s="559"/>
      <c r="M909" s="559"/>
      <c r="N909" s="559"/>
      <c r="O909" s="559"/>
      <c r="P909" s="559"/>
      <c r="Q909" s="559"/>
      <c r="R909" s="559"/>
      <c r="S909" s="559"/>
      <c r="T909" s="559"/>
      <c r="U909" s="559"/>
      <c r="V909" s="559"/>
      <c r="W909" s="559"/>
      <c r="X909" s="559"/>
      <c r="Y909" s="559"/>
      <c r="Z909" s="559"/>
      <c r="AA909" s="559"/>
      <c r="AB909" s="559"/>
      <c r="AC909" s="559"/>
      <c r="AD909" s="559"/>
      <c r="AE909" s="559"/>
      <c r="AF909" s="559"/>
      <c r="AG909" s="559"/>
    </row>
    <row r="910" spans="1:33" ht="18" x14ac:dyDescent="0.35">
      <c r="A910" s="559"/>
      <c r="B910" s="559"/>
      <c r="C910" s="559"/>
      <c r="D910" s="559"/>
      <c r="E910" s="559"/>
      <c r="F910" s="559"/>
      <c r="G910" s="559"/>
      <c r="H910" s="559"/>
      <c r="I910" s="559"/>
      <c r="J910" s="559"/>
      <c r="K910" s="559"/>
      <c r="L910" s="559"/>
      <c r="M910" s="559"/>
      <c r="N910" s="559"/>
      <c r="O910" s="559"/>
      <c r="P910" s="559"/>
      <c r="Q910" s="559"/>
      <c r="R910" s="559"/>
      <c r="S910" s="559"/>
      <c r="T910" s="559"/>
      <c r="U910" s="559"/>
      <c r="V910" s="559"/>
      <c r="W910" s="559"/>
      <c r="X910" s="559"/>
      <c r="Y910" s="559"/>
      <c r="Z910" s="559"/>
      <c r="AA910" s="559"/>
      <c r="AB910" s="559"/>
      <c r="AC910" s="559"/>
      <c r="AD910" s="559"/>
      <c r="AE910" s="559"/>
      <c r="AF910" s="559"/>
      <c r="AG910" s="559"/>
    </row>
    <row r="911" spans="1:33" ht="18" x14ac:dyDescent="0.35">
      <c r="A911" s="559"/>
      <c r="B911" s="559"/>
      <c r="C911" s="559"/>
      <c r="D911" s="559"/>
      <c r="E911" s="559"/>
      <c r="F911" s="559"/>
      <c r="G911" s="559"/>
      <c r="H911" s="559"/>
      <c r="I911" s="559"/>
      <c r="J911" s="559"/>
      <c r="K911" s="559"/>
      <c r="L911" s="559"/>
      <c r="M911" s="559"/>
      <c r="N911" s="559"/>
      <c r="O911" s="559"/>
      <c r="P911" s="559"/>
      <c r="Q911" s="559"/>
      <c r="R911" s="559"/>
      <c r="S911" s="559"/>
      <c r="T911" s="559"/>
      <c r="U911" s="559"/>
      <c r="V911" s="559"/>
      <c r="W911" s="559"/>
      <c r="X911" s="559"/>
      <c r="Y911" s="559"/>
      <c r="Z911" s="559"/>
      <c r="AA911" s="559"/>
      <c r="AB911" s="559"/>
      <c r="AC911" s="559"/>
      <c r="AD911" s="559"/>
      <c r="AE911" s="559"/>
      <c r="AF911" s="559"/>
      <c r="AG911" s="559"/>
    </row>
    <row r="912" spans="1:33" ht="18" x14ac:dyDescent="0.35">
      <c r="A912" s="559"/>
      <c r="B912" s="559"/>
      <c r="C912" s="559"/>
      <c r="D912" s="559"/>
      <c r="E912" s="559"/>
      <c r="F912" s="559"/>
      <c r="G912" s="559"/>
      <c r="H912" s="559"/>
      <c r="I912" s="559"/>
      <c r="J912" s="559"/>
      <c r="K912" s="559"/>
      <c r="L912" s="559"/>
      <c r="M912" s="559"/>
      <c r="N912" s="559"/>
      <c r="O912" s="559"/>
      <c r="P912" s="559"/>
      <c r="Q912" s="559"/>
      <c r="R912" s="559"/>
      <c r="S912" s="559"/>
      <c r="T912" s="559"/>
      <c r="U912" s="559"/>
      <c r="V912" s="559"/>
      <c r="W912" s="559"/>
      <c r="X912" s="559"/>
      <c r="Y912" s="559"/>
      <c r="Z912" s="559"/>
      <c r="AA912" s="559"/>
      <c r="AB912" s="559"/>
      <c r="AC912" s="559"/>
      <c r="AD912" s="559"/>
      <c r="AE912" s="559"/>
      <c r="AF912" s="559"/>
      <c r="AG912" s="559"/>
    </row>
    <row r="913" spans="1:33" ht="18" x14ac:dyDescent="0.35">
      <c r="A913" s="559"/>
      <c r="B913" s="559"/>
      <c r="C913" s="559"/>
      <c r="D913" s="559"/>
      <c r="E913" s="559"/>
      <c r="F913" s="559"/>
      <c r="G913" s="559"/>
      <c r="H913" s="559"/>
      <c r="I913" s="559"/>
      <c r="J913" s="559"/>
      <c r="K913" s="559"/>
      <c r="L913" s="559"/>
      <c r="M913" s="559"/>
      <c r="N913" s="559"/>
      <c r="O913" s="559"/>
      <c r="P913" s="559"/>
      <c r="Q913" s="559"/>
      <c r="R913" s="559"/>
      <c r="S913" s="559"/>
      <c r="T913" s="559"/>
      <c r="U913" s="559"/>
      <c r="V913" s="559"/>
      <c r="W913" s="559"/>
      <c r="X913" s="559"/>
      <c r="Y913" s="559"/>
      <c r="Z913" s="559"/>
      <c r="AA913" s="559"/>
      <c r="AB913" s="559"/>
      <c r="AC913" s="559"/>
      <c r="AD913" s="559"/>
      <c r="AE913" s="559"/>
      <c r="AF913" s="559"/>
      <c r="AG913" s="559"/>
    </row>
    <row r="914" spans="1:33" ht="18" x14ac:dyDescent="0.35">
      <c r="A914" s="559"/>
      <c r="B914" s="559"/>
      <c r="C914" s="559"/>
      <c r="D914" s="559"/>
      <c r="E914" s="559"/>
      <c r="F914" s="559"/>
      <c r="G914" s="559"/>
      <c r="H914" s="559"/>
      <c r="I914" s="559"/>
      <c r="J914" s="559"/>
      <c r="K914" s="559"/>
      <c r="L914" s="559"/>
      <c r="M914" s="559"/>
      <c r="N914" s="559"/>
      <c r="O914" s="559"/>
      <c r="P914" s="559"/>
      <c r="Q914" s="559"/>
      <c r="R914" s="559"/>
      <c r="S914" s="559"/>
      <c r="T914" s="559"/>
      <c r="U914" s="559"/>
      <c r="V914" s="559"/>
      <c r="W914" s="559"/>
      <c r="X914" s="559"/>
      <c r="Y914" s="559"/>
      <c r="Z914" s="559"/>
      <c r="AA914" s="559"/>
      <c r="AB914" s="559"/>
      <c r="AC914" s="559"/>
      <c r="AD914" s="559"/>
      <c r="AE914" s="559"/>
      <c r="AF914" s="559"/>
      <c r="AG914" s="559"/>
    </row>
    <row r="915" spans="1:33" ht="18" x14ac:dyDescent="0.35">
      <c r="A915" s="559"/>
      <c r="B915" s="559"/>
      <c r="C915" s="559"/>
      <c r="D915" s="559"/>
      <c r="E915" s="559"/>
      <c r="F915" s="559"/>
      <c r="G915" s="559"/>
      <c r="H915" s="559"/>
      <c r="I915" s="559"/>
      <c r="J915" s="559"/>
      <c r="K915" s="559"/>
      <c r="L915" s="559"/>
      <c r="M915" s="559"/>
      <c r="N915" s="559"/>
      <c r="O915" s="559"/>
      <c r="P915" s="559"/>
      <c r="Q915" s="559"/>
      <c r="R915" s="559"/>
      <c r="S915" s="559"/>
      <c r="T915" s="559"/>
      <c r="U915" s="559"/>
      <c r="V915" s="559"/>
      <c r="W915" s="559"/>
      <c r="X915" s="559"/>
      <c r="Y915" s="559"/>
      <c r="Z915" s="559"/>
      <c r="AA915" s="559"/>
      <c r="AB915" s="559"/>
      <c r="AC915" s="559"/>
      <c r="AD915" s="559"/>
      <c r="AE915" s="559"/>
      <c r="AF915" s="559"/>
      <c r="AG915" s="559"/>
    </row>
    <row r="916" spans="1:33" ht="18" x14ac:dyDescent="0.35">
      <c r="A916" s="559"/>
      <c r="B916" s="559"/>
      <c r="C916" s="559"/>
      <c r="D916" s="559"/>
      <c r="E916" s="559"/>
      <c r="F916" s="559"/>
      <c r="G916" s="559"/>
      <c r="H916" s="559"/>
      <c r="I916" s="559"/>
      <c r="J916" s="559"/>
      <c r="K916" s="559"/>
      <c r="L916" s="559"/>
      <c r="M916" s="559"/>
      <c r="N916" s="559"/>
      <c r="O916" s="559"/>
      <c r="P916" s="559"/>
      <c r="Q916" s="559"/>
      <c r="R916" s="559"/>
      <c r="S916" s="559"/>
      <c r="T916" s="559"/>
      <c r="U916" s="559"/>
      <c r="V916" s="559"/>
      <c r="W916" s="559"/>
      <c r="X916" s="559"/>
      <c r="Y916" s="559"/>
      <c r="Z916" s="559"/>
      <c r="AA916" s="559"/>
      <c r="AB916" s="559"/>
      <c r="AC916" s="559"/>
      <c r="AD916" s="559"/>
      <c r="AE916" s="559"/>
      <c r="AF916" s="559"/>
      <c r="AG916" s="559"/>
    </row>
    <row r="917" spans="1:33" ht="18" x14ac:dyDescent="0.35">
      <c r="A917" s="559"/>
      <c r="B917" s="559"/>
      <c r="C917" s="559"/>
      <c r="D917" s="559"/>
      <c r="E917" s="559"/>
      <c r="F917" s="559"/>
      <c r="G917" s="559"/>
      <c r="H917" s="559"/>
      <c r="I917" s="559"/>
      <c r="J917" s="559"/>
      <c r="K917" s="559"/>
      <c r="L917" s="559"/>
      <c r="M917" s="559"/>
      <c r="N917" s="559"/>
      <c r="O917" s="559"/>
      <c r="P917" s="559"/>
      <c r="Q917" s="559"/>
      <c r="R917" s="559"/>
      <c r="S917" s="559"/>
      <c r="T917" s="559"/>
      <c r="U917" s="559"/>
      <c r="V917" s="559"/>
      <c r="W917" s="559"/>
      <c r="X917" s="559"/>
      <c r="Y917" s="559"/>
      <c r="Z917" s="559"/>
      <c r="AA917" s="559"/>
      <c r="AB917" s="559"/>
      <c r="AC917" s="559"/>
      <c r="AD917" s="559"/>
      <c r="AE917" s="559"/>
      <c r="AF917" s="559"/>
      <c r="AG917" s="559"/>
    </row>
    <row r="918" spans="1:33" ht="18" x14ac:dyDescent="0.35">
      <c r="A918" s="559"/>
      <c r="B918" s="559"/>
      <c r="C918" s="559"/>
      <c r="D918" s="559"/>
      <c r="E918" s="559"/>
      <c r="F918" s="559"/>
      <c r="G918" s="559"/>
      <c r="H918" s="559"/>
      <c r="I918" s="559"/>
      <c r="J918" s="559"/>
      <c r="K918" s="559"/>
      <c r="L918" s="559"/>
      <c r="M918" s="559"/>
      <c r="N918" s="559"/>
      <c r="O918" s="559"/>
      <c r="P918" s="559"/>
      <c r="Q918" s="559"/>
      <c r="R918" s="559"/>
      <c r="S918" s="559"/>
      <c r="T918" s="559"/>
      <c r="U918" s="559"/>
      <c r="V918" s="559"/>
      <c r="W918" s="559"/>
      <c r="X918" s="559"/>
      <c r="Y918" s="559"/>
      <c r="Z918" s="559"/>
      <c r="AA918" s="559"/>
      <c r="AB918" s="559"/>
      <c r="AC918" s="559"/>
      <c r="AD918" s="559"/>
      <c r="AE918" s="559"/>
      <c r="AF918" s="559"/>
      <c r="AG918" s="559"/>
    </row>
    <row r="919" spans="1:33" ht="18" x14ac:dyDescent="0.35">
      <c r="A919" s="559"/>
      <c r="B919" s="559"/>
      <c r="C919" s="559"/>
      <c r="D919" s="559"/>
      <c r="E919" s="559"/>
      <c r="F919" s="559"/>
      <c r="G919" s="559"/>
      <c r="H919" s="559"/>
      <c r="I919" s="559"/>
      <c r="J919" s="559"/>
      <c r="K919" s="559"/>
      <c r="L919" s="559"/>
      <c r="M919" s="559"/>
      <c r="N919" s="559"/>
      <c r="O919" s="559"/>
      <c r="P919" s="559"/>
      <c r="Q919" s="559"/>
      <c r="R919" s="559"/>
      <c r="S919" s="559"/>
      <c r="T919" s="559"/>
      <c r="U919" s="559"/>
      <c r="V919" s="559"/>
      <c r="W919" s="559"/>
      <c r="X919" s="559"/>
      <c r="Y919" s="559"/>
      <c r="Z919" s="559"/>
      <c r="AA919" s="559"/>
      <c r="AB919" s="559"/>
      <c r="AC919" s="559"/>
      <c r="AD919" s="559"/>
      <c r="AE919" s="559"/>
      <c r="AF919" s="559"/>
      <c r="AG919" s="559"/>
    </row>
    <row r="920" spans="1:33" ht="18" x14ac:dyDescent="0.35">
      <c r="A920" s="559"/>
      <c r="B920" s="559"/>
      <c r="C920" s="559"/>
      <c r="D920" s="559"/>
      <c r="E920" s="559"/>
      <c r="F920" s="559"/>
      <c r="G920" s="559"/>
      <c r="H920" s="559"/>
      <c r="I920" s="559"/>
      <c r="J920" s="559"/>
      <c r="K920" s="559"/>
      <c r="L920" s="559"/>
      <c r="M920" s="559"/>
      <c r="N920" s="559"/>
      <c r="O920" s="559"/>
      <c r="P920" s="559"/>
      <c r="Q920" s="559"/>
      <c r="R920" s="559"/>
      <c r="S920" s="559"/>
      <c r="T920" s="559"/>
      <c r="U920" s="559"/>
      <c r="V920" s="559"/>
      <c r="W920" s="559"/>
      <c r="X920" s="559"/>
      <c r="Y920" s="559"/>
      <c r="Z920" s="559"/>
      <c r="AA920" s="559"/>
      <c r="AB920" s="559"/>
      <c r="AC920" s="559"/>
      <c r="AD920" s="559"/>
      <c r="AE920" s="559"/>
      <c r="AF920" s="559"/>
      <c r="AG920" s="559"/>
    </row>
    <row r="921" spans="1:33" ht="18" x14ac:dyDescent="0.35">
      <c r="A921" s="559"/>
      <c r="B921" s="559"/>
      <c r="C921" s="559"/>
      <c r="D921" s="559"/>
      <c r="E921" s="559"/>
      <c r="F921" s="559"/>
      <c r="G921" s="559"/>
      <c r="H921" s="559"/>
      <c r="I921" s="559"/>
      <c r="J921" s="559"/>
      <c r="K921" s="559"/>
      <c r="L921" s="559"/>
      <c r="M921" s="559"/>
      <c r="N921" s="559"/>
      <c r="O921" s="559"/>
      <c r="P921" s="559"/>
      <c r="Q921" s="559"/>
      <c r="R921" s="559"/>
      <c r="S921" s="559"/>
      <c r="T921" s="559"/>
      <c r="U921" s="559"/>
      <c r="V921" s="559"/>
      <c r="W921" s="559"/>
      <c r="X921" s="559"/>
      <c r="Y921" s="559"/>
      <c r="Z921" s="559"/>
      <c r="AA921" s="559"/>
      <c r="AB921" s="559"/>
      <c r="AC921" s="559"/>
      <c r="AD921" s="559"/>
      <c r="AE921" s="559"/>
      <c r="AF921" s="559"/>
      <c r="AG921" s="559"/>
    </row>
    <row r="922" spans="1:33" ht="18" x14ac:dyDescent="0.35">
      <c r="A922" s="559"/>
      <c r="B922" s="559"/>
      <c r="C922" s="559"/>
      <c r="D922" s="559"/>
      <c r="E922" s="559"/>
      <c r="F922" s="559"/>
      <c r="G922" s="559"/>
      <c r="H922" s="559"/>
      <c r="I922" s="559"/>
      <c r="J922" s="559"/>
      <c r="K922" s="559"/>
      <c r="L922" s="559"/>
      <c r="M922" s="559"/>
      <c r="N922" s="559"/>
      <c r="O922" s="559"/>
      <c r="P922" s="559"/>
      <c r="Q922" s="559"/>
      <c r="R922" s="559"/>
      <c r="S922" s="559"/>
      <c r="T922" s="559"/>
      <c r="U922" s="559"/>
      <c r="V922" s="559"/>
      <c r="W922" s="559"/>
      <c r="X922" s="559"/>
      <c r="Y922" s="559"/>
      <c r="Z922" s="559"/>
      <c r="AA922" s="559"/>
      <c r="AB922" s="559"/>
      <c r="AC922" s="559"/>
      <c r="AD922" s="559"/>
      <c r="AE922" s="559"/>
      <c r="AF922" s="559"/>
      <c r="AG922" s="559"/>
    </row>
    <row r="923" spans="1:33" ht="18" x14ac:dyDescent="0.35">
      <c r="A923" s="559"/>
      <c r="B923" s="559"/>
      <c r="C923" s="559"/>
      <c r="D923" s="559"/>
      <c r="E923" s="559"/>
      <c r="F923" s="559"/>
      <c r="G923" s="559"/>
      <c r="H923" s="559"/>
      <c r="I923" s="559"/>
      <c r="J923" s="559"/>
      <c r="K923" s="559"/>
      <c r="L923" s="559"/>
      <c r="M923" s="559"/>
      <c r="N923" s="559"/>
      <c r="O923" s="559"/>
      <c r="P923" s="559"/>
      <c r="Q923" s="559"/>
      <c r="R923" s="559"/>
      <c r="S923" s="559"/>
      <c r="T923" s="559"/>
      <c r="U923" s="559"/>
      <c r="V923" s="559"/>
      <c r="W923" s="559"/>
      <c r="X923" s="559"/>
      <c r="Y923" s="559"/>
      <c r="Z923" s="559"/>
      <c r="AA923" s="559"/>
      <c r="AB923" s="559"/>
      <c r="AC923" s="559"/>
      <c r="AD923" s="559"/>
      <c r="AE923" s="559"/>
      <c r="AF923" s="559"/>
      <c r="AG923" s="559"/>
    </row>
    <row r="924" spans="1:33" ht="18" x14ac:dyDescent="0.35">
      <c r="A924" s="559"/>
      <c r="B924" s="559"/>
      <c r="C924" s="559"/>
      <c r="D924" s="559"/>
      <c r="E924" s="559"/>
      <c r="F924" s="559"/>
      <c r="G924" s="559"/>
      <c r="H924" s="559"/>
      <c r="I924" s="559"/>
      <c r="J924" s="559"/>
      <c r="K924" s="559"/>
      <c r="L924" s="559"/>
      <c r="M924" s="559"/>
      <c r="N924" s="559"/>
      <c r="O924" s="559"/>
      <c r="P924" s="559"/>
      <c r="Q924" s="559"/>
      <c r="R924" s="559"/>
      <c r="S924" s="559"/>
      <c r="T924" s="559"/>
      <c r="U924" s="559"/>
      <c r="V924" s="559"/>
      <c r="W924" s="559"/>
      <c r="X924" s="559"/>
      <c r="Y924" s="559"/>
      <c r="Z924" s="559"/>
      <c r="AA924" s="559"/>
      <c r="AB924" s="559"/>
      <c r="AC924" s="559"/>
      <c r="AD924" s="559"/>
      <c r="AE924" s="559"/>
      <c r="AF924" s="559"/>
      <c r="AG924" s="559"/>
    </row>
    <row r="925" spans="1:33" ht="18" x14ac:dyDescent="0.35">
      <c r="A925" s="559"/>
      <c r="B925" s="559"/>
      <c r="C925" s="559"/>
      <c r="D925" s="559"/>
      <c r="E925" s="559"/>
      <c r="F925" s="559"/>
      <c r="G925" s="559"/>
      <c r="H925" s="559"/>
      <c r="I925" s="559"/>
      <c r="J925" s="559"/>
      <c r="K925" s="559"/>
      <c r="L925" s="559"/>
      <c r="M925" s="559"/>
      <c r="N925" s="559"/>
      <c r="O925" s="559"/>
      <c r="P925" s="559"/>
      <c r="Q925" s="559"/>
      <c r="R925" s="559"/>
      <c r="S925" s="559"/>
      <c r="T925" s="559"/>
      <c r="U925" s="559"/>
      <c r="V925" s="559"/>
      <c r="W925" s="559"/>
      <c r="X925" s="559"/>
      <c r="Y925" s="559"/>
      <c r="Z925" s="559"/>
      <c r="AA925" s="559"/>
      <c r="AB925" s="559"/>
      <c r="AC925" s="559"/>
      <c r="AD925" s="559"/>
      <c r="AE925" s="559"/>
      <c r="AF925" s="559"/>
      <c r="AG925" s="559"/>
    </row>
    <row r="926" spans="1:33" ht="18" x14ac:dyDescent="0.35">
      <c r="A926" s="559"/>
      <c r="B926" s="559"/>
      <c r="C926" s="559"/>
      <c r="D926" s="559"/>
      <c r="E926" s="559"/>
      <c r="F926" s="559"/>
      <c r="G926" s="559"/>
      <c r="H926" s="559"/>
      <c r="I926" s="559"/>
      <c r="J926" s="559"/>
      <c r="K926" s="559"/>
      <c r="L926" s="559"/>
      <c r="M926" s="559"/>
      <c r="N926" s="559"/>
      <c r="O926" s="559"/>
      <c r="P926" s="559"/>
      <c r="Q926" s="559"/>
      <c r="R926" s="559"/>
      <c r="S926" s="559"/>
      <c r="T926" s="559"/>
      <c r="U926" s="559"/>
      <c r="V926" s="559"/>
      <c r="W926" s="559"/>
      <c r="X926" s="559"/>
      <c r="Y926" s="559"/>
      <c r="Z926" s="559"/>
      <c r="AA926" s="559"/>
      <c r="AB926" s="559"/>
      <c r="AC926" s="559"/>
      <c r="AD926" s="559"/>
      <c r="AE926" s="559"/>
      <c r="AF926" s="559"/>
      <c r="AG926" s="559"/>
    </row>
    <row r="927" spans="1:33" ht="18" x14ac:dyDescent="0.35">
      <c r="A927" s="559"/>
      <c r="B927" s="559"/>
      <c r="C927" s="559"/>
      <c r="D927" s="559"/>
      <c r="E927" s="559"/>
      <c r="F927" s="559"/>
      <c r="G927" s="559"/>
      <c r="H927" s="559"/>
      <c r="I927" s="559"/>
      <c r="J927" s="559"/>
      <c r="K927" s="559"/>
      <c r="L927" s="559"/>
      <c r="M927" s="559"/>
      <c r="N927" s="559"/>
      <c r="O927" s="559"/>
      <c r="P927" s="559"/>
      <c r="Q927" s="559"/>
      <c r="R927" s="559"/>
      <c r="S927" s="559"/>
      <c r="T927" s="559"/>
      <c r="U927" s="559"/>
      <c r="V927" s="559"/>
      <c r="W927" s="559"/>
      <c r="X927" s="559"/>
      <c r="Y927" s="559"/>
      <c r="Z927" s="559"/>
      <c r="AA927" s="559"/>
      <c r="AB927" s="559"/>
      <c r="AC927" s="559"/>
      <c r="AD927" s="559"/>
      <c r="AE927" s="559"/>
      <c r="AF927" s="559"/>
      <c r="AG927" s="559"/>
    </row>
    <row r="928" spans="1:33" ht="18" x14ac:dyDescent="0.35">
      <c r="A928" s="559"/>
      <c r="B928" s="559"/>
      <c r="C928" s="559"/>
      <c r="D928" s="559"/>
      <c r="E928" s="559"/>
      <c r="F928" s="559"/>
      <c r="G928" s="559"/>
      <c r="H928" s="559"/>
      <c r="I928" s="559"/>
      <c r="J928" s="559"/>
      <c r="K928" s="559"/>
      <c r="L928" s="559"/>
      <c r="M928" s="559"/>
      <c r="N928" s="559"/>
      <c r="O928" s="559"/>
      <c r="P928" s="559"/>
      <c r="Q928" s="559"/>
      <c r="R928" s="559"/>
      <c r="S928" s="559"/>
      <c r="T928" s="559"/>
      <c r="U928" s="559"/>
      <c r="V928" s="559"/>
      <c r="W928" s="559"/>
      <c r="X928" s="559"/>
      <c r="Y928" s="559"/>
      <c r="Z928" s="559"/>
      <c r="AA928" s="559"/>
      <c r="AB928" s="559"/>
      <c r="AC928" s="559"/>
      <c r="AD928" s="559"/>
      <c r="AE928" s="559"/>
      <c r="AF928" s="559"/>
      <c r="AG928" s="559"/>
    </row>
    <row r="929" spans="1:33" ht="18" x14ac:dyDescent="0.35">
      <c r="A929" s="559"/>
      <c r="B929" s="559"/>
      <c r="C929" s="559"/>
      <c r="D929" s="559"/>
      <c r="E929" s="559"/>
      <c r="F929" s="559"/>
      <c r="G929" s="559"/>
      <c r="H929" s="559"/>
      <c r="I929" s="559"/>
      <c r="J929" s="559"/>
      <c r="K929" s="559"/>
      <c r="L929" s="559"/>
      <c r="M929" s="559"/>
      <c r="N929" s="559"/>
      <c r="O929" s="559"/>
      <c r="P929" s="559"/>
      <c r="Q929" s="559"/>
      <c r="R929" s="559"/>
      <c r="S929" s="559"/>
      <c r="T929" s="559"/>
      <c r="U929" s="559"/>
      <c r="V929" s="559"/>
      <c r="W929" s="559"/>
      <c r="X929" s="559"/>
      <c r="Y929" s="559"/>
      <c r="Z929" s="559"/>
      <c r="AA929" s="559"/>
      <c r="AB929" s="559"/>
      <c r="AC929" s="559"/>
      <c r="AD929" s="559"/>
      <c r="AE929" s="559"/>
      <c r="AF929" s="559"/>
      <c r="AG929" s="559"/>
    </row>
    <row r="930" spans="1:33" ht="18" x14ac:dyDescent="0.35">
      <c r="A930" s="559"/>
      <c r="B930" s="559"/>
      <c r="C930" s="559"/>
      <c r="D930" s="559"/>
      <c r="E930" s="559"/>
      <c r="F930" s="559"/>
      <c r="G930" s="559"/>
      <c r="H930" s="559"/>
      <c r="I930" s="559"/>
      <c r="J930" s="559"/>
      <c r="K930" s="559"/>
      <c r="L930" s="559"/>
      <c r="M930" s="559"/>
      <c r="N930" s="559"/>
      <c r="O930" s="559"/>
      <c r="P930" s="559"/>
      <c r="Q930" s="559"/>
      <c r="R930" s="559"/>
      <c r="S930" s="559"/>
      <c r="T930" s="559"/>
      <c r="U930" s="559"/>
      <c r="V930" s="559"/>
      <c r="W930" s="559"/>
      <c r="X930" s="559"/>
      <c r="Y930" s="559"/>
      <c r="Z930" s="559"/>
      <c r="AA930" s="559"/>
      <c r="AB930" s="559"/>
      <c r="AC930" s="559"/>
      <c r="AD930" s="559"/>
      <c r="AE930" s="559"/>
      <c r="AF930" s="559"/>
      <c r="AG930" s="559"/>
    </row>
    <row r="931" spans="1:33" ht="18" x14ac:dyDescent="0.35">
      <c r="A931" s="559"/>
      <c r="B931" s="559"/>
      <c r="C931" s="559"/>
      <c r="D931" s="559"/>
      <c r="E931" s="559"/>
      <c r="F931" s="559"/>
      <c r="G931" s="559"/>
      <c r="H931" s="559"/>
      <c r="I931" s="559"/>
      <c r="J931" s="559"/>
      <c r="K931" s="559"/>
      <c r="L931" s="559"/>
      <c r="M931" s="559"/>
      <c r="N931" s="559"/>
      <c r="O931" s="559"/>
      <c r="P931" s="559"/>
      <c r="Q931" s="559"/>
      <c r="R931" s="559"/>
      <c r="S931" s="559"/>
      <c r="T931" s="559"/>
      <c r="U931" s="559"/>
      <c r="V931" s="559"/>
      <c r="W931" s="559"/>
      <c r="X931" s="559"/>
      <c r="Y931" s="559"/>
      <c r="Z931" s="559"/>
      <c r="AA931" s="559"/>
      <c r="AB931" s="559"/>
      <c r="AC931" s="559"/>
      <c r="AD931" s="559"/>
      <c r="AE931" s="559"/>
      <c r="AF931" s="559"/>
      <c r="AG931" s="559"/>
    </row>
    <row r="932" spans="1:33" ht="18" x14ac:dyDescent="0.35">
      <c r="A932" s="559"/>
      <c r="B932" s="559"/>
      <c r="C932" s="559"/>
      <c r="D932" s="559"/>
      <c r="E932" s="559"/>
      <c r="F932" s="559"/>
      <c r="G932" s="559"/>
      <c r="H932" s="559"/>
      <c r="I932" s="559"/>
      <c r="J932" s="559"/>
      <c r="K932" s="559"/>
      <c r="L932" s="559"/>
      <c r="M932" s="559"/>
      <c r="N932" s="559"/>
      <c r="O932" s="559"/>
      <c r="P932" s="559"/>
      <c r="Q932" s="559"/>
      <c r="R932" s="559"/>
      <c r="S932" s="559"/>
      <c r="T932" s="559"/>
      <c r="U932" s="559"/>
      <c r="V932" s="559"/>
      <c r="W932" s="559"/>
      <c r="X932" s="559"/>
      <c r="Y932" s="559"/>
      <c r="Z932" s="559"/>
      <c r="AA932" s="559"/>
      <c r="AB932" s="559"/>
      <c r="AC932" s="559"/>
      <c r="AD932" s="559"/>
      <c r="AE932" s="559"/>
      <c r="AF932" s="559"/>
      <c r="AG932" s="559"/>
    </row>
    <row r="933" spans="1:33" ht="18" x14ac:dyDescent="0.35">
      <c r="A933" s="559"/>
      <c r="B933" s="559"/>
      <c r="C933" s="559"/>
      <c r="D933" s="559"/>
      <c r="E933" s="559"/>
      <c r="F933" s="559"/>
      <c r="G933" s="559"/>
      <c r="H933" s="559"/>
      <c r="I933" s="559"/>
      <c r="J933" s="559"/>
      <c r="K933" s="559"/>
      <c r="L933" s="559"/>
      <c r="M933" s="559"/>
      <c r="N933" s="559"/>
      <c r="O933" s="559"/>
      <c r="P933" s="559"/>
      <c r="Q933" s="559"/>
      <c r="R933" s="559"/>
      <c r="S933" s="559"/>
      <c r="T933" s="559"/>
      <c r="U933" s="559"/>
      <c r="V933" s="559"/>
      <c r="W933" s="559"/>
      <c r="X933" s="559"/>
      <c r="Y933" s="559"/>
      <c r="Z933" s="559"/>
      <c r="AA933" s="559"/>
      <c r="AB933" s="559"/>
      <c r="AC933" s="559"/>
      <c r="AD933" s="559"/>
      <c r="AE933" s="559"/>
      <c r="AF933" s="559"/>
      <c r="AG933" s="559"/>
    </row>
    <row r="934" spans="1:33" ht="18" x14ac:dyDescent="0.35">
      <c r="A934" s="559"/>
      <c r="B934" s="559"/>
      <c r="C934" s="559"/>
      <c r="D934" s="559"/>
      <c r="E934" s="559"/>
      <c r="F934" s="559"/>
      <c r="G934" s="559"/>
      <c r="H934" s="559"/>
      <c r="I934" s="559"/>
      <c r="J934" s="559"/>
      <c r="K934" s="559"/>
      <c r="L934" s="559"/>
      <c r="M934" s="559"/>
      <c r="N934" s="559"/>
      <c r="O934" s="559"/>
      <c r="P934" s="559"/>
      <c r="Q934" s="559"/>
      <c r="R934" s="559"/>
      <c r="S934" s="559"/>
      <c r="T934" s="559"/>
      <c r="U934" s="559"/>
      <c r="V934" s="559"/>
      <c r="W934" s="559"/>
      <c r="X934" s="559"/>
      <c r="Y934" s="559"/>
      <c r="Z934" s="559"/>
      <c r="AA934" s="559"/>
      <c r="AB934" s="559"/>
      <c r="AC934" s="559"/>
      <c r="AD934" s="559"/>
      <c r="AE934" s="559"/>
      <c r="AF934" s="559"/>
      <c r="AG934" s="559"/>
    </row>
    <row r="935" spans="1:33" ht="18" x14ac:dyDescent="0.35">
      <c r="A935" s="559"/>
      <c r="B935" s="559"/>
      <c r="C935" s="559"/>
      <c r="D935" s="559"/>
      <c r="E935" s="559"/>
      <c r="F935" s="559"/>
      <c r="G935" s="559"/>
      <c r="H935" s="559"/>
      <c r="I935" s="559"/>
      <c r="J935" s="559"/>
      <c r="K935" s="559"/>
      <c r="L935" s="559"/>
      <c r="M935" s="559"/>
      <c r="N935" s="559"/>
      <c r="O935" s="559"/>
      <c r="P935" s="559"/>
      <c r="Q935" s="559"/>
      <c r="R935" s="559"/>
      <c r="S935" s="559"/>
      <c r="T935" s="559"/>
      <c r="U935" s="559"/>
      <c r="V935" s="559"/>
      <c r="W935" s="559"/>
      <c r="X935" s="559"/>
      <c r="Y935" s="559"/>
      <c r="Z935" s="559"/>
      <c r="AA935" s="559"/>
      <c r="AB935" s="559"/>
      <c r="AC935" s="559"/>
      <c r="AD935" s="559"/>
      <c r="AE935" s="559"/>
      <c r="AF935" s="559"/>
      <c r="AG935" s="559"/>
    </row>
    <row r="936" spans="1:33" ht="18" x14ac:dyDescent="0.35">
      <c r="A936" s="559"/>
      <c r="B936" s="559"/>
      <c r="C936" s="559"/>
      <c r="D936" s="559"/>
      <c r="E936" s="559"/>
      <c r="F936" s="559"/>
      <c r="G936" s="559"/>
      <c r="H936" s="559"/>
      <c r="I936" s="559"/>
      <c r="J936" s="559"/>
      <c r="K936" s="559"/>
      <c r="L936" s="559"/>
      <c r="M936" s="559"/>
      <c r="N936" s="559"/>
      <c r="O936" s="559"/>
      <c r="P936" s="559"/>
      <c r="Q936" s="559"/>
      <c r="R936" s="559"/>
      <c r="S936" s="559"/>
      <c r="T936" s="559"/>
      <c r="U936" s="559"/>
      <c r="V936" s="559"/>
      <c r="W936" s="559"/>
      <c r="X936" s="559"/>
      <c r="Y936" s="559"/>
      <c r="Z936" s="559"/>
      <c r="AA936" s="559"/>
      <c r="AB936" s="559"/>
      <c r="AC936" s="559"/>
      <c r="AD936" s="559"/>
      <c r="AE936" s="559"/>
      <c r="AF936" s="559"/>
      <c r="AG936" s="559"/>
    </row>
    <row r="937" spans="1:33" ht="18" x14ac:dyDescent="0.35">
      <c r="A937" s="559"/>
      <c r="B937" s="559"/>
      <c r="C937" s="559"/>
      <c r="D937" s="559"/>
      <c r="E937" s="559"/>
      <c r="F937" s="559"/>
      <c r="G937" s="559"/>
      <c r="H937" s="559"/>
      <c r="I937" s="559"/>
      <c r="J937" s="559"/>
      <c r="K937" s="559"/>
      <c r="L937" s="559"/>
      <c r="M937" s="559"/>
      <c r="N937" s="559"/>
      <c r="O937" s="559"/>
      <c r="P937" s="559"/>
      <c r="Q937" s="559"/>
      <c r="R937" s="559"/>
      <c r="S937" s="559"/>
      <c r="T937" s="559"/>
      <c r="U937" s="559"/>
      <c r="V937" s="559"/>
      <c r="W937" s="559"/>
      <c r="X937" s="559"/>
      <c r="Y937" s="559"/>
      <c r="Z937" s="559"/>
      <c r="AA937" s="559"/>
      <c r="AB937" s="559"/>
      <c r="AC937" s="559"/>
      <c r="AD937" s="559"/>
      <c r="AE937" s="559"/>
      <c r="AF937" s="559"/>
      <c r="AG937" s="559"/>
    </row>
    <row r="938" spans="1:33" ht="18" x14ac:dyDescent="0.35">
      <c r="A938" s="559"/>
      <c r="B938" s="559"/>
      <c r="C938" s="559"/>
      <c r="D938" s="559"/>
      <c r="E938" s="559"/>
      <c r="F938" s="559"/>
      <c r="G938" s="559"/>
      <c r="H938" s="559"/>
      <c r="I938" s="559"/>
      <c r="J938" s="559"/>
      <c r="K938" s="559"/>
      <c r="L938" s="559"/>
      <c r="M938" s="559"/>
      <c r="N938" s="559"/>
      <c r="O938" s="559"/>
      <c r="P938" s="559"/>
      <c r="Q938" s="559"/>
      <c r="R938" s="559"/>
      <c r="S938" s="559"/>
      <c r="T938" s="559"/>
      <c r="U938" s="559"/>
      <c r="V938" s="559"/>
      <c r="W938" s="559"/>
      <c r="X938" s="559"/>
      <c r="Y938" s="559"/>
      <c r="Z938" s="559"/>
      <c r="AA938" s="559"/>
      <c r="AB938" s="559"/>
      <c r="AC938" s="559"/>
      <c r="AD938" s="559"/>
      <c r="AE938" s="559"/>
      <c r="AF938" s="559"/>
      <c r="AG938" s="559"/>
    </row>
    <row r="939" spans="1:33" ht="18" x14ac:dyDescent="0.35">
      <c r="A939" s="559"/>
      <c r="B939" s="559"/>
      <c r="C939" s="559"/>
      <c r="D939" s="559"/>
      <c r="E939" s="559"/>
      <c r="F939" s="559"/>
      <c r="G939" s="559"/>
      <c r="H939" s="559"/>
      <c r="I939" s="559"/>
      <c r="J939" s="559"/>
      <c r="K939" s="559"/>
      <c r="L939" s="559"/>
      <c r="M939" s="559"/>
      <c r="N939" s="559"/>
      <c r="O939" s="559"/>
      <c r="P939" s="559"/>
      <c r="Q939" s="559"/>
      <c r="R939" s="559"/>
      <c r="S939" s="559"/>
      <c r="T939" s="559"/>
      <c r="U939" s="559"/>
      <c r="V939" s="559"/>
      <c r="W939" s="559"/>
      <c r="X939" s="559"/>
      <c r="Y939" s="559"/>
      <c r="Z939" s="559"/>
      <c r="AA939" s="559"/>
      <c r="AB939" s="559"/>
      <c r="AC939" s="559"/>
      <c r="AD939" s="559"/>
      <c r="AE939" s="559"/>
      <c r="AF939" s="559"/>
      <c r="AG939" s="559"/>
    </row>
    <row r="940" spans="1:33" ht="18" x14ac:dyDescent="0.35">
      <c r="A940" s="559"/>
      <c r="B940" s="559"/>
      <c r="C940" s="559"/>
      <c r="D940" s="559"/>
      <c r="E940" s="559"/>
      <c r="F940" s="559"/>
      <c r="G940" s="559"/>
      <c r="H940" s="559"/>
      <c r="I940" s="559"/>
      <c r="J940" s="559"/>
      <c r="K940" s="559"/>
      <c r="L940" s="559"/>
      <c r="M940" s="559"/>
      <c r="N940" s="559"/>
      <c r="O940" s="559"/>
      <c r="P940" s="559"/>
      <c r="Q940" s="559"/>
      <c r="R940" s="559"/>
      <c r="S940" s="559"/>
      <c r="T940" s="559"/>
      <c r="U940" s="559"/>
      <c r="V940" s="559"/>
      <c r="W940" s="559"/>
      <c r="X940" s="559"/>
      <c r="Y940" s="559"/>
      <c r="Z940" s="559"/>
      <c r="AA940" s="559"/>
      <c r="AB940" s="559"/>
      <c r="AC940" s="559"/>
      <c r="AD940" s="559"/>
      <c r="AE940" s="559"/>
      <c r="AF940" s="559"/>
      <c r="AG940" s="559"/>
    </row>
    <row r="941" spans="1:33" ht="18" x14ac:dyDescent="0.35">
      <c r="A941" s="559"/>
      <c r="B941" s="559"/>
      <c r="C941" s="559"/>
      <c r="D941" s="559"/>
      <c r="E941" s="559"/>
      <c r="F941" s="559"/>
      <c r="G941" s="559"/>
      <c r="H941" s="559"/>
      <c r="I941" s="559"/>
      <c r="J941" s="559"/>
      <c r="K941" s="559"/>
      <c r="L941" s="559"/>
      <c r="M941" s="559"/>
      <c r="N941" s="559"/>
      <c r="O941" s="559"/>
      <c r="P941" s="559"/>
      <c r="Q941" s="559"/>
      <c r="R941" s="559"/>
      <c r="S941" s="559"/>
      <c r="T941" s="559"/>
      <c r="U941" s="559"/>
      <c r="V941" s="559"/>
      <c r="W941" s="559"/>
      <c r="X941" s="559"/>
      <c r="Y941" s="559"/>
      <c r="Z941" s="559"/>
      <c r="AA941" s="559"/>
      <c r="AB941" s="559"/>
      <c r="AC941" s="559"/>
      <c r="AD941" s="559"/>
      <c r="AE941" s="559"/>
      <c r="AF941" s="559"/>
      <c r="AG941" s="559"/>
    </row>
    <row r="942" spans="1:33" ht="18" x14ac:dyDescent="0.35">
      <c r="A942" s="559"/>
      <c r="B942" s="559"/>
      <c r="C942" s="559"/>
      <c r="D942" s="559"/>
      <c r="E942" s="559"/>
      <c r="F942" s="559"/>
      <c r="G942" s="559"/>
      <c r="H942" s="559"/>
      <c r="I942" s="559"/>
      <c r="J942" s="559"/>
      <c r="K942" s="559"/>
      <c r="L942" s="559"/>
      <c r="M942" s="559"/>
      <c r="N942" s="559"/>
      <c r="O942" s="559"/>
      <c r="P942" s="559"/>
      <c r="Q942" s="559"/>
      <c r="R942" s="559"/>
      <c r="S942" s="559"/>
      <c r="T942" s="559"/>
      <c r="U942" s="559"/>
      <c r="V942" s="559"/>
      <c r="W942" s="559"/>
      <c r="X942" s="559"/>
      <c r="Y942" s="559"/>
      <c r="Z942" s="559"/>
      <c r="AA942" s="559"/>
      <c r="AB942" s="559"/>
      <c r="AC942" s="559"/>
      <c r="AD942" s="559"/>
      <c r="AE942" s="559"/>
      <c r="AF942" s="559"/>
      <c r="AG942" s="559"/>
    </row>
    <row r="943" spans="1:33" ht="18" x14ac:dyDescent="0.35">
      <c r="A943" s="559"/>
      <c r="B943" s="559"/>
      <c r="C943" s="559"/>
      <c r="D943" s="559"/>
      <c r="E943" s="559"/>
      <c r="F943" s="559"/>
      <c r="G943" s="559"/>
      <c r="H943" s="559"/>
      <c r="I943" s="559"/>
      <c r="J943" s="559"/>
      <c r="K943" s="559"/>
      <c r="L943" s="559"/>
      <c r="M943" s="559"/>
      <c r="N943" s="559"/>
      <c r="O943" s="559"/>
      <c r="P943" s="559"/>
      <c r="Q943" s="559"/>
      <c r="R943" s="559"/>
      <c r="S943" s="559"/>
      <c r="T943" s="559"/>
      <c r="U943" s="559"/>
      <c r="V943" s="559"/>
      <c r="W943" s="559"/>
      <c r="X943" s="559"/>
      <c r="Y943" s="559"/>
      <c r="Z943" s="559"/>
      <c r="AA943" s="559"/>
      <c r="AB943" s="559"/>
      <c r="AC943" s="559"/>
      <c r="AD943" s="559"/>
      <c r="AE943" s="559"/>
      <c r="AF943" s="559"/>
      <c r="AG943" s="559"/>
    </row>
    <row r="944" spans="1:33" ht="18" x14ac:dyDescent="0.35">
      <c r="A944" s="559"/>
      <c r="B944" s="559"/>
      <c r="C944" s="559"/>
      <c r="D944" s="559"/>
      <c r="E944" s="559"/>
      <c r="F944" s="559"/>
      <c r="G944" s="559"/>
      <c r="H944" s="559"/>
      <c r="I944" s="559"/>
      <c r="J944" s="559"/>
      <c r="K944" s="559"/>
      <c r="L944" s="559"/>
      <c r="M944" s="559"/>
      <c r="N944" s="559"/>
      <c r="O944" s="559"/>
      <c r="P944" s="559"/>
      <c r="Q944" s="559"/>
      <c r="R944" s="559"/>
      <c r="S944" s="559"/>
      <c r="T944" s="559"/>
      <c r="U944" s="559"/>
      <c r="V944" s="559"/>
      <c r="W944" s="559"/>
      <c r="X944" s="559"/>
      <c r="Y944" s="559"/>
      <c r="Z944" s="559"/>
      <c r="AA944" s="559"/>
      <c r="AB944" s="559"/>
      <c r="AC944" s="559"/>
      <c r="AD944" s="559"/>
      <c r="AE944" s="559"/>
      <c r="AF944" s="559"/>
      <c r="AG944" s="559"/>
    </row>
    <row r="945" spans="1:33" ht="18" x14ac:dyDescent="0.35">
      <c r="A945" s="559"/>
      <c r="B945" s="559"/>
      <c r="C945" s="559"/>
      <c r="D945" s="559"/>
      <c r="E945" s="559"/>
      <c r="F945" s="559"/>
      <c r="G945" s="559"/>
      <c r="H945" s="559"/>
      <c r="I945" s="559"/>
      <c r="J945" s="559"/>
      <c r="K945" s="559"/>
      <c r="L945" s="559"/>
      <c r="M945" s="559"/>
      <c r="N945" s="559"/>
      <c r="O945" s="559"/>
      <c r="P945" s="559"/>
      <c r="Q945" s="559"/>
      <c r="R945" s="559"/>
      <c r="S945" s="559"/>
      <c r="T945" s="559"/>
      <c r="U945" s="559"/>
      <c r="V945" s="559"/>
      <c r="W945" s="559"/>
      <c r="X945" s="559"/>
      <c r="Y945" s="559"/>
      <c r="Z945" s="559"/>
      <c r="AA945" s="559"/>
      <c r="AB945" s="559"/>
      <c r="AC945" s="559"/>
      <c r="AD945" s="559"/>
      <c r="AE945" s="559"/>
      <c r="AF945" s="559"/>
      <c r="AG945" s="559"/>
    </row>
    <row r="946" spans="1:33" ht="18" x14ac:dyDescent="0.35">
      <c r="A946" s="559"/>
      <c r="B946" s="559"/>
      <c r="C946" s="559"/>
      <c r="D946" s="559"/>
      <c r="E946" s="559"/>
      <c r="F946" s="559"/>
      <c r="G946" s="559"/>
      <c r="H946" s="559"/>
      <c r="I946" s="559"/>
      <c r="J946" s="559"/>
      <c r="K946" s="559"/>
      <c r="L946" s="559"/>
      <c r="M946" s="559"/>
      <c r="N946" s="559"/>
      <c r="O946" s="559"/>
      <c r="P946" s="559"/>
      <c r="Q946" s="559"/>
      <c r="R946" s="559"/>
      <c r="S946" s="559"/>
      <c r="T946" s="559"/>
      <c r="U946" s="559"/>
      <c r="V946" s="559"/>
      <c r="W946" s="559"/>
      <c r="X946" s="559"/>
      <c r="Y946" s="559"/>
      <c r="Z946" s="559"/>
      <c r="AA946" s="559"/>
      <c r="AB946" s="559"/>
      <c r="AC946" s="559"/>
      <c r="AD946" s="559"/>
      <c r="AE946" s="559"/>
      <c r="AF946" s="559"/>
      <c r="AG946" s="559"/>
    </row>
    <row r="947" spans="1:33" ht="18" x14ac:dyDescent="0.35">
      <c r="A947" s="559"/>
      <c r="B947" s="559"/>
      <c r="C947" s="559"/>
      <c r="D947" s="559"/>
      <c r="E947" s="559"/>
      <c r="F947" s="559"/>
      <c r="G947" s="559"/>
      <c r="H947" s="559"/>
      <c r="I947" s="559"/>
      <c r="J947" s="559"/>
      <c r="K947" s="559"/>
      <c r="L947" s="559"/>
      <c r="M947" s="559"/>
      <c r="N947" s="559"/>
      <c r="O947" s="559"/>
      <c r="P947" s="559"/>
      <c r="Q947" s="559"/>
      <c r="R947" s="559"/>
      <c r="S947" s="559"/>
      <c r="T947" s="559"/>
      <c r="U947" s="559"/>
      <c r="V947" s="559"/>
      <c r="W947" s="559"/>
      <c r="X947" s="559"/>
      <c r="Y947" s="559"/>
      <c r="Z947" s="559"/>
      <c r="AA947" s="559"/>
      <c r="AB947" s="559"/>
      <c r="AC947" s="559"/>
      <c r="AD947" s="559"/>
      <c r="AE947" s="559"/>
      <c r="AF947" s="559"/>
      <c r="AG947" s="559"/>
    </row>
    <row r="948" spans="1:33" ht="18" x14ac:dyDescent="0.35">
      <c r="A948" s="559"/>
      <c r="B948" s="559"/>
      <c r="C948" s="559"/>
      <c r="D948" s="559"/>
      <c r="E948" s="559"/>
      <c r="F948" s="559"/>
      <c r="G948" s="559"/>
      <c r="H948" s="559"/>
      <c r="I948" s="559"/>
      <c r="J948" s="559"/>
      <c r="K948" s="559"/>
      <c r="L948" s="559"/>
      <c r="M948" s="559"/>
      <c r="N948" s="559"/>
      <c r="O948" s="559"/>
      <c r="P948" s="559"/>
      <c r="Q948" s="559"/>
      <c r="R948" s="559"/>
      <c r="S948" s="559"/>
      <c r="T948" s="559"/>
      <c r="U948" s="559"/>
      <c r="V948" s="559"/>
      <c r="W948" s="559"/>
      <c r="X948" s="559"/>
      <c r="Y948" s="559"/>
      <c r="Z948" s="559"/>
      <c r="AA948" s="559"/>
      <c r="AB948" s="559"/>
      <c r="AC948" s="559"/>
      <c r="AD948" s="559"/>
      <c r="AE948" s="559"/>
      <c r="AF948" s="559"/>
      <c r="AG948" s="559"/>
    </row>
    <row r="949" spans="1:33" ht="18" x14ac:dyDescent="0.35">
      <c r="A949" s="559"/>
      <c r="B949" s="559"/>
      <c r="C949" s="559"/>
      <c r="D949" s="559"/>
      <c r="E949" s="559"/>
      <c r="F949" s="559"/>
      <c r="G949" s="559"/>
      <c r="H949" s="559"/>
      <c r="I949" s="559"/>
      <c r="J949" s="559"/>
      <c r="K949" s="559"/>
      <c r="L949" s="559"/>
      <c r="M949" s="559"/>
      <c r="N949" s="559"/>
      <c r="O949" s="559"/>
      <c r="P949" s="559"/>
      <c r="Q949" s="559"/>
      <c r="R949" s="559"/>
      <c r="S949" s="559"/>
      <c r="T949" s="559"/>
      <c r="U949" s="559"/>
      <c r="V949" s="559"/>
      <c r="W949" s="559"/>
      <c r="X949" s="559"/>
      <c r="Y949" s="559"/>
      <c r="Z949" s="559"/>
      <c r="AA949" s="559"/>
      <c r="AB949" s="559"/>
      <c r="AC949" s="559"/>
      <c r="AD949" s="559"/>
      <c r="AE949" s="559"/>
      <c r="AF949" s="559"/>
      <c r="AG949" s="559"/>
    </row>
    <row r="950" spans="1:33" ht="18" x14ac:dyDescent="0.35">
      <c r="A950" s="559"/>
      <c r="B950" s="559"/>
      <c r="C950" s="559"/>
      <c r="D950" s="559"/>
      <c r="E950" s="559"/>
      <c r="F950" s="559"/>
      <c r="G950" s="559"/>
      <c r="H950" s="559"/>
      <c r="I950" s="559"/>
      <c r="J950" s="559"/>
      <c r="K950" s="559"/>
      <c r="L950" s="559"/>
      <c r="M950" s="559"/>
      <c r="N950" s="559"/>
      <c r="O950" s="559"/>
      <c r="P950" s="559"/>
      <c r="Q950" s="559"/>
      <c r="R950" s="559"/>
      <c r="S950" s="559"/>
      <c r="T950" s="559"/>
      <c r="U950" s="559"/>
      <c r="V950" s="559"/>
      <c r="W950" s="559"/>
      <c r="X950" s="559"/>
      <c r="Y950" s="559"/>
      <c r="Z950" s="559"/>
      <c r="AA950" s="559"/>
      <c r="AB950" s="559"/>
      <c r="AC950" s="559"/>
      <c r="AD950" s="559"/>
      <c r="AE950" s="559"/>
      <c r="AF950" s="559"/>
      <c r="AG950" s="559"/>
    </row>
    <row r="951" spans="1:33" ht="18" x14ac:dyDescent="0.35">
      <c r="A951" s="559"/>
      <c r="B951" s="559"/>
      <c r="C951" s="559"/>
      <c r="D951" s="559"/>
      <c r="E951" s="559"/>
      <c r="F951" s="559"/>
      <c r="G951" s="559"/>
      <c r="H951" s="559"/>
      <c r="I951" s="559"/>
      <c r="J951" s="559"/>
      <c r="K951" s="559"/>
      <c r="L951" s="559"/>
      <c r="M951" s="559"/>
      <c r="N951" s="559"/>
      <c r="O951" s="559"/>
      <c r="P951" s="559"/>
      <c r="Q951" s="559"/>
      <c r="R951" s="559"/>
      <c r="S951" s="559"/>
      <c r="T951" s="559"/>
      <c r="U951" s="559"/>
      <c r="V951" s="559"/>
      <c r="W951" s="559"/>
      <c r="X951" s="559"/>
      <c r="Y951" s="559"/>
      <c r="Z951" s="559"/>
      <c r="AA951" s="559"/>
      <c r="AB951" s="559"/>
      <c r="AC951" s="559"/>
      <c r="AD951" s="559"/>
      <c r="AE951" s="559"/>
      <c r="AF951" s="559"/>
      <c r="AG951" s="559"/>
    </row>
    <row r="952" spans="1:33" ht="18" x14ac:dyDescent="0.35">
      <c r="A952" s="559"/>
      <c r="B952" s="559"/>
      <c r="C952" s="559"/>
      <c r="D952" s="559"/>
      <c r="E952" s="559"/>
      <c r="F952" s="559"/>
      <c r="G952" s="559"/>
      <c r="H952" s="559"/>
      <c r="I952" s="559"/>
      <c r="J952" s="559"/>
      <c r="K952" s="559"/>
      <c r="L952" s="559"/>
      <c r="M952" s="559"/>
      <c r="N952" s="559"/>
      <c r="O952" s="559"/>
      <c r="P952" s="559"/>
      <c r="Q952" s="559"/>
      <c r="R952" s="559"/>
      <c r="S952" s="559"/>
      <c r="T952" s="559"/>
      <c r="U952" s="559"/>
      <c r="V952" s="559"/>
      <c r="W952" s="559"/>
      <c r="X952" s="559"/>
      <c r="Y952" s="559"/>
      <c r="Z952" s="559"/>
      <c r="AA952" s="559"/>
      <c r="AB952" s="559"/>
      <c r="AC952" s="559"/>
      <c r="AD952" s="559"/>
      <c r="AE952" s="559"/>
      <c r="AF952" s="559"/>
      <c r="AG952" s="559"/>
    </row>
    <row r="953" spans="1:33" ht="18" x14ac:dyDescent="0.35">
      <c r="A953" s="559"/>
      <c r="B953" s="559"/>
      <c r="C953" s="559"/>
      <c r="D953" s="559"/>
      <c r="E953" s="559"/>
      <c r="F953" s="559"/>
      <c r="G953" s="559"/>
      <c r="H953" s="559"/>
      <c r="I953" s="559"/>
      <c r="J953" s="559"/>
      <c r="K953" s="559"/>
      <c r="L953" s="559"/>
      <c r="M953" s="559"/>
      <c r="N953" s="559"/>
      <c r="O953" s="559"/>
      <c r="P953" s="559"/>
      <c r="Q953" s="559"/>
      <c r="R953" s="559"/>
      <c r="S953" s="559"/>
      <c r="T953" s="559"/>
      <c r="U953" s="559"/>
      <c r="V953" s="559"/>
      <c r="W953" s="559"/>
      <c r="X953" s="559"/>
      <c r="Y953" s="559"/>
      <c r="Z953" s="559"/>
      <c r="AA953" s="559"/>
      <c r="AB953" s="559"/>
      <c r="AC953" s="559"/>
      <c r="AD953" s="559"/>
      <c r="AE953" s="559"/>
      <c r="AF953" s="559"/>
      <c r="AG953" s="559"/>
    </row>
    <row r="954" spans="1:33" ht="18" x14ac:dyDescent="0.35">
      <c r="A954" s="559"/>
      <c r="B954" s="559"/>
      <c r="C954" s="559"/>
      <c r="D954" s="559"/>
      <c r="E954" s="559"/>
      <c r="F954" s="559"/>
      <c r="G954" s="559"/>
      <c r="H954" s="559"/>
      <c r="I954" s="559"/>
      <c r="J954" s="559"/>
      <c r="K954" s="559"/>
      <c r="L954" s="559"/>
      <c r="M954" s="559"/>
      <c r="N954" s="559"/>
      <c r="O954" s="559"/>
      <c r="P954" s="559"/>
      <c r="Q954" s="559"/>
      <c r="R954" s="559"/>
      <c r="S954" s="559"/>
      <c r="T954" s="559"/>
      <c r="U954" s="559"/>
      <c r="V954" s="559"/>
      <c r="W954" s="559"/>
      <c r="X954" s="559"/>
      <c r="Y954" s="559"/>
      <c r="Z954" s="559"/>
      <c r="AA954" s="559"/>
      <c r="AB954" s="559"/>
      <c r="AC954" s="559"/>
      <c r="AD954" s="559"/>
      <c r="AE954" s="559"/>
      <c r="AF954" s="559"/>
      <c r="AG954" s="559"/>
    </row>
    <row r="955" spans="1:33" ht="18" x14ac:dyDescent="0.35">
      <c r="A955" s="559"/>
      <c r="B955" s="559"/>
      <c r="C955" s="559"/>
      <c r="D955" s="559"/>
      <c r="E955" s="559"/>
      <c r="F955" s="559"/>
      <c r="G955" s="559"/>
      <c r="H955" s="559"/>
      <c r="I955" s="559"/>
      <c r="J955" s="559"/>
      <c r="K955" s="559"/>
      <c r="L955" s="559"/>
      <c r="M955" s="559"/>
      <c r="N955" s="559"/>
      <c r="O955" s="559"/>
      <c r="P955" s="559"/>
      <c r="Q955" s="559"/>
      <c r="R955" s="559"/>
      <c r="S955" s="559"/>
      <c r="T955" s="559"/>
      <c r="U955" s="559"/>
      <c r="V955" s="559"/>
      <c r="W955" s="559"/>
      <c r="X955" s="559"/>
      <c r="Y955" s="559"/>
      <c r="Z955" s="559"/>
      <c r="AA955" s="559"/>
      <c r="AB955" s="559"/>
      <c r="AC955" s="559"/>
      <c r="AD955" s="559"/>
      <c r="AE955" s="559"/>
      <c r="AF955" s="559"/>
      <c r="AG955" s="559"/>
    </row>
    <row r="956" spans="1:33" ht="18" x14ac:dyDescent="0.35">
      <c r="A956" s="559"/>
      <c r="B956" s="559"/>
      <c r="C956" s="559"/>
      <c r="D956" s="559"/>
      <c r="E956" s="559"/>
      <c r="F956" s="559"/>
      <c r="G956" s="559"/>
      <c r="H956" s="559"/>
      <c r="I956" s="559"/>
      <c r="J956" s="559"/>
      <c r="K956" s="559"/>
      <c r="L956" s="559"/>
      <c r="M956" s="559"/>
      <c r="N956" s="559"/>
      <c r="O956" s="559"/>
      <c r="P956" s="559"/>
      <c r="Q956" s="559"/>
      <c r="R956" s="559"/>
      <c r="S956" s="559"/>
      <c r="T956" s="559"/>
      <c r="U956" s="559"/>
      <c r="V956" s="559"/>
      <c r="W956" s="559"/>
      <c r="X956" s="559"/>
      <c r="Y956" s="559"/>
      <c r="Z956" s="559"/>
      <c r="AA956" s="559"/>
      <c r="AB956" s="559"/>
      <c r="AC956" s="559"/>
      <c r="AD956" s="559"/>
      <c r="AE956" s="559"/>
      <c r="AF956" s="559"/>
      <c r="AG956" s="559"/>
    </row>
    <row r="957" spans="1:33" ht="18" x14ac:dyDescent="0.35">
      <c r="A957" s="559"/>
      <c r="B957" s="559"/>
      <c r="C957" s="559"/>
      <c r="D957" s="559"/>
      <c r="E957" s="559"/>
      <c r="F957" s="559"/>
      <c r="G957" s="559"/>
      <c r="H957" s="559"/>
      <c r="I957" s="559"/>
      <c r="J957" s="559"/>
      <c r="K957" s="559"/>
      <c r="L957" s="559"/>
      <c r="M957" s="559"/>
      <c r="N957" s="559"/>
      <c r="O957" s="559"/>
      <c r="P957" s="559"/>
      <c r="Q957" s="559"/>
      <c r="R957" s="559"/>
      <c r="S957" s="559"/>
      <c r="T957" s="559"/>
      <c r="U957" s="559"/>
      <c r="V957" s="559"/>
      <c r="W957" s="559"/>
      <c r="X957" s="559"/>
      <c r="Y957" s="559"/>
      <c r="Z957" s="559"/>
      <c r="AA957" s="559"/>
      <c r="AB957" s="559"/>
      <c r="AC957" s="559"/>
      <c r="AD957" s="559"/>
      <c r="AE957" s="559"/>
      <c r="AF957" s="559"/>
      <c r="AG957" s="559"/>
    </row>
    <row r="958" spans="1:33" ht="18" x14ac:dyDescent="0.35">
      <c r="A958" s="559"/>
      <c r="B958" s="559"/>
      <c r="C958" s="559"/>
      <c r="D958" s="559"/>
      <c r="E958" s="559"/>
      <c r="F958" s="559"/>
      <c r="G958" s="559"/>
      <c r="H958" s="559"/>
      <c r="I958" s="559"/>
      <c r="J958" s="559"/>
      <c r="K958" s="559"/>
      <c r="L958" s="559"/>
      <c r="M958" s="559"/>
      <c r="N958" s="559"/>
      <c r="O958" s="559"/>
      <c r="P958" s="559"/>
      <c r="Q958" s="559"/>
      <c r="R958" s="559"/>
      <c r="S958" s="559"/>
      <c r="T958" s="559"/>
      <c r="U958" s="559"/>
      <c r="V958" s="559"/>
      <c r="W958" s="559"/>
      <c r="X958" s="559"/>
      <c r="Y958" s="559"/>
      <c r="Z958" s="559"/>
      <c r="AA958" s="559"/>
      <c r="AB958" s="559"/>
      <c r="AC958" s="559"/>
      <c r="AD958" s="559"/>
      <c r="AE958" s="559"/>
      <c r="AF958" s="559"/>
      <c r="AG958" s="559"/>
    </row>
    <row r="959" spans="1:33" ht="18" x14ac:dyDescent="0.35">
      <c r="A959" s="559"/>
      <c r="B959" s="559"/>
      <c r="C959" s="559"/>
      <c r="D959" s="559"/>
      <c r="E959" s="559"/>
      <c r="F959" s="559"/>
      <c r="G959" s="559"/>
      <c r="H959" s="559"/>
      <c r="I959" s="559"/>
      <c r="J959" s="559"/>
      <c r="K959" s="559"/>
      <c r="L959" s="559"/>
      <c r="M959" s="559"/>
      <c r="N959" s="559"/>
      <c r="O959" s="559"/>
      <c r="P959" s="559"/>
      <c r="Q959" s="559"/>
      <c r="R959" s="559"/>
      <c r="S959" s="559"/>
      <c r="T959" s="559"/>
      <c r="U959" s="559"/>
      <c r="V959" s="559"/>
      <c r="W959" s="559"/>
      <c r="X959" s="559"/>
      <c r="Y959" s="559"/>
      <c r="Z959" s="559"/>
      <c r="AA959" s="559"/>
      <c r="AB959" s="559"/>
      <c r="AC959" s="559"/>
      <c r="AD959" s="559"/>
      <c r="AE959" s="559"/>
      <c r="AF959" s="559"/>
      <c r="AG959" s="559"/>
    </row>
    <row r="960" spans="1:33" ht="18" x14ac:dyDescent="0.35">
      <c r="A960" s="559"/>
      <c r="B960" s="559"/>
      <c r="C960" s="559"/>
      <c r="D960" s="559"/>
      <c r="E960" s="559"/>
      <c r="F960" s="559"/>
      <c r="G960" s="559"/>
      <c r="H960" s="559"/>
      <c r="I960" s="559"/>
      <c r="J960" s="559"/>
      <c r="K960" s="559"/>
      <c r="L960" s="559"/>
      <c r="M960" s="559"/>
      <c r="N960" s="559"/>
      <c r="O960" s="559"/>
      <c r="P960" s="559"/>
      <c r="Q960" s="559"/>
      <c r="R960" s="559"/>
      <c r="S960" s="559"/>
      <c r="T960" s="559"/>
      <c r="U960" s="559"/>
      <c r="V960" s="559"/>
      <c r="W960" s="559"/>
      <c r="X960" s="559"/>
      <c r="Y960" s="559"/>
      <c r="Z960" s="559"/>
      <c r="AA960" s="559"/>
      <c r="AB960" s="559"/>
      <c r="AC960" s="559"/>
      <c r="AD960" s="559"/>
      <c r="AE960" s="559"/>
      <c r="AF960" s="559"/>
      <c r="AG960" s="559"/>
    </row>
    <row r="961" spans="1:33" ht="18" x14ac:dyDescent="0.35">
      <c r="A961" s="559"/>
      <c r="B961" s="559"/>
      <c r="C961" s="559"/>
      <c r="D961" s="559"/>
      <c r="E961" s="559"/>
      <c r="F961" s="559"/>
      <c r="G961" s="559"/>
      <c r="H961" s="559"/>
      <c r="I961" s="559"/>
      <c r="J961" s="559"/>
      <c r="K961" s="559"/>
      <c r="L961" s="559"/>
      <c r="M961" s="559"/>
      <c r="N961" s="559"/>
      <c r="O961" s="559"/>
      <c r="P961" s="559"/>
      <c r="Q961" s="559"/>
      <c r="R961" s="559"/>
      <c r="S961" s="559"/>
      <c r="T961" s="559"/>
      <c r="U961" s="559"/>
      <c r="V961" s="559"/>
      <c r="W961" s="559"/>
      <c r="X961" s="559"/>
      <c r="Y961" s="559"/>
      <c r="Z961" s="559"/>
      <c r="AA961" s="559"/>
      <c r="AB961" s="559"/>
      <c r="AC961" s="559"/>
      <c r="AD961" s="559"/>
      <c r="AE961" s="559"/>
      <c r="AF961" s="559"/>
      <c r="AG961" s="559"/>
    </row>
    <row r="962" spans="1:33" ht="18" x14ac:dyDescent="0.35">
      <c r="A962" s="559"/>
      <c r="B962" s="559"/>
      <c r="C962" s="559"/>
      <c r="D962" s="559"/>
      <c r="E962" s="559"/>
      <c r="F962" s="559"/>
      <c r="G962" s="559"/>
      <c r="H962" s="559"/>
      <c r="I962" s="559"/>
      <c r="J962" s="559"/>
      <c r="K962" s="559"/>
      <c r="L962" s="559"/>
      <c r="M962" s="559"/>
      <c r="N962" s="559"/>
      <c r="O962" s="559"/>
      <c r="P962" s="559"/>
      <c r="Q962" s="559"/>
      <c r="R962" s="559"/>
      <c r="S962" s="559"/>
      <c r="T962" s="559"/>
      <c r="U962" s="559"/>
      <c r="V962" s="559"/>
      <c r="W962" s="559"/>
      <c r="X962" s="559"/>
      <c r="Y962" s="559"/>
      <c r="Z962" s="559"/>
      <c r="AA962" s="559"/>
      <c r="AB962" s="559"/>
      <c r="AC962" s="559"/>
      <c r="AD962" s="559"/>
      <c r="AE962" s="559"/>
      <c r="AF962" s="559"/>
      <c r="AG962" s="559"/>
    </row>
    <row r="963" spans="1:33" ht="18" x14ac:dyDescent="0.35">
      <c r="A963" s="559"/>
      <c r="B963" s="559"/>
      <c r="C963" s="559"/>
      <c r="D963" s="559"/>
      <c r="E963" s="559"/>
      <c r="F963" s="559"/>
      <c r="G963" s="559"/>
      <c r="H963" s="559"/>
      <c r="I963" s="559"/>
      <c r="J963" s="559"/>
      <c r="K963" s="559"/>
      <c r="L963" s="559"/>
      <c r="M963" s="559"/>
      <c r="N963" s="559"/>
      <c r="O963" s="559"/>
      <c r="P963" s="559"/>
      <c r="Q963" s="559"/>
      <c r="R963" s="559"/>
      <c r="S963" s="559"/>
      <c r="T963" s="559"/>
      <c r="U963" s="559"/>
      <c r="V963" s="559"/>
      <c r="W963" s="559"/>
      <c r="X963" s="559"/>
      <c r="Y963" s="559"/>
      <c r="Z963" s="559"/>
      <c r="AA963" s="559"/>
      <c r="AB963" s="559"/>
      <c r="AC963" s="559"/>
      <c r="AD963" s="559"/>
      <c r="AE963" s="559"/>
      <c r="AF963" s="559"/>
      <c r="AG963" s="559"/>
    </row>
    <row r="964" spans="1:33" ht="18" x14ac:dyDescent="0.35">
      <c r="A964" s="559"/>
      <c r="B964" s="559"/>
      <c r="C964" s="559"/>
      <c r="D964" s="559"/>
      <c r="E964" s="559"/>
      <c r="F964" s="559"/>
      <c r="G964" s="559"/>
      <c r="H964" s="559"/>
      <c r="I964" s="559"/>
      <c r="J964" s="559"/>
      <c r="K964" s="559"/>
      <c r="L964" s="559"/>
      <c r="M964" s="559"/>
      <c r="N964" s="559"/>
      <c r="O964" s="559"/>
      <c r="P964" s="559"/>
      <c r="Q964" s="559"/>
      <c r="R964" s="559"/>
      <c r="S964" s="559"/>
      <c r="T964" s="559"/>
      <c r="U964" s="559"/>
      <c r="V964" s="559"/>
      <c r="W964" s="559"/>
      <c r="X964" s="559"/>
      <c r="Y964" s="559"/>
      <c r="Z964" s="559"/>
      <c r="AA964" s="559"/>
      <c r="AB964" s="559"/>
      <c r="AC964" s="559"/>
      <c r="AD964" s="559"/>
      <c r="AE964" s="559"/>
      <c r="AF964" s="559"/>
      <c r="AG964" s="559"/>
    </row>
    <row r="965" spans="1:33" ht="18" x14ac:dyDescent="0.35">
      <c r="A965" s="559"/>
      <c r="B965" s="559"/>
      <c r="C965" s="559"/>
      <c r="D965" s="559"/>
      <c r="E965" s="559"/>
      <c r="F965" s="559"/>
      <c r="G965" s="559"/>
      <c r="H965" s="559"/>
      <c r="I965" s="559"/>
      <c r="J965" s="559"/>
      <c r="K965" s="559"/>
      <c r="L965" s="559"/>
      <c r="M965" s="559"/>
      <c r="N965" s="559"/>
      <c r="O965" s="559"/>
      <c r="P965" s="559"/>
      <c r="Q965" s="559"/>
      <c r="R965" s="559"/>
      <c r="S965" s="559"/>
      <c r="T965" s="559"/>
      <c r="U965" s="559"/>
      <c r="V965" s="559"/>
      <c r="W965" s="559"/>
      <c r="X965" s="559"/>
      <c r="Y965" s="559"/>
      <c r="Z965" s="559"/>
      <c r="AA965" s="559"/>
      <c r="AB965" s="559"/>
      <c r="AC965" s="559"/>
      <c r="AD965" s="559"/>
      <c r="AE965" s="559"/>
      <c r="AF965" s="559"/>
      <c r="AG965" s="559"/>
    </row>
    <row r="966" spans="1:33" ht="18" x14ac:dyDescent="0.35">
      <c r="A966" s="559"/>
      <c r="B966" s="559"/>
      <c r="C966" s="559"/>
      <c r="D966" s="559"/>
      <c r="E966" s="559"/>
      <c r="F966" s="559"/>
      <c r="G966" s="559"/>
      <c r="H966" s="559"/>
      <c r="I966" s="559"/>
      <c r="J966" s="559"/>
      <c r="K966" s="559"/>
      <c r="L966" s="559"/>
      <c r="M966" s="559"/>
      <c r="N966" s="559"/>
      <c r="O966" s="559"/>
      <c r="P966" s="559"/>
      <c r="Q966" s="559"/>
      <c r="R966" s="559"/>
      <c r="S966" s="559"/>
      <c r="T966" s="559"/>
      <c r="U966" s="559"/>
      <c r="V966" s="559"/>
      <c r="W966" s="559"/>
      <c r="X966" s="559"/>
      <c r="Y966" s="559"/>
      <c r="Z966" s="559"/>
      <c r="AA966" s="559"/>
      <c r="AB966" s="559"/>
      <c r="AC966" s="559"/>
      <c r="AD966" s="559"/>
      <c r="AE966" s="559"/>
      <c r="AF966" s="559"/>
      <c r="AG966" s="559"/>
    </row>
    <row r="967" spans="1:33" ht="18" x14ac:dyDescent="0.35">
      <c r="A967" s="559"/>
      <c r="B967" s="559"/>
      <c r="C967" s="559"/>
      <c r="D967" s="559"/>
      <c r="E967" s="559"/>
      <c r="F967" s="559"/>
      <c r="G967" s="559"/>
      <c r="H967" s="559"/>
      <c r="I967" s="559"/>
      <c r="J967" s="559"/>
      <c r="K967" s="559"/>
      <c r="L967" s="559"/>
      <c r="M967" s="559"/>
      <c r="N967" s="559"/>
      <c r="O967" s="559"/>
      <c r="P967" s="559"/>
      <c r="Q967" s="559"/>
      <c r="R967" s="559"/>
      <c r="S967" s="559"/>
      <c r="T967" s="559"/>
      <c r="U967" s="559"/>
      <c r="V967" s="559"/>
      <c r="W967" s="559"/>
      <c r="X967" s="559"/>
      <c r="Y967" s="559"/>
      <c r="Z967" s="559"/>
      <c r="AA967" s="559"/>
      <c r="AB967" s="559"/>
      <c r="AC967" s="559"/>
      <c r="AD967" s="559"/>
      <c r="AE967" s="559"/>
      <c r="AF967" s="559"/>
      <c r="AG967" s="559"/>
    </row>
    <row r="968" spans="1:33" ht="18" x14ac:dyDescent="0.35">
      <c r="A968" s="559"/>
      <c r="B968" s="559"/>
      <c r="C968" s="559"/>
      <c r="D968" s="559"/>
      <c r="E968" s="559"/>
      <c r="F968" s="559"/>
      <c r="G968" s="559"/>
      <c r="H968" s="559"/>
      <c r="I968" s="559"/>
      <c r="J968" s="559"/>
      <c r="K968" s="559"/>
      <c r="L968" s="559"/>
      <c r="M968" s="559"/>
      <c r="N968" s="559"/>
      <c r="O968" s="559"/>
      <c r="P968" s="559"/>
      <c r="Q968" s="559"/>
      <c r="R968" s="559"/>
      <c r="S968" s="559"/>
      <c r="T968" s="559"/>
      <c r="U968" s="559"/>
      <c r="V968" s="559"/>
      <c r="W968" s="559"/>
      <c r="X968" s="559"/>
      <c r="Y968" s="559"/>
      <c r="Z968" s="559"/>
      <c r="AA968" s="559"/>
      <c r="AB968" s="559"/>
      <c r="AC968" s="559"/>
      <c r="AD968" s="559"/>
      <c r="AE968" s="559"/>
      <c r="AF968" s="559"/>
      <c r="AG968" s="559"/>
    </row>
    <row r="969" spans="1:33" ht="18" x14ac:dyDescent="0.35">
      <c r="A969" s="559"/>
      <c r="B969" s="559"/>
      <c r="C969" s="559"/>
      <c r="D969" s="559"/>
      <c r="E969" s="559"/>
      <c r="F969" s="559"/>
      <c r="G969" s="559"/>
      <c r="H969" s="559"/>
      <c r="I969" s="559"/>
      <c r="J969" s="559"/>
      <c r="K969" s="559"/>
      <c r="L969" s="559"/>
      <c r="M969" s="559"/>
      <c r="N969" s="559"/>
      <c r="O969" s="559"/>
      <c r="P969" s="559"/>
      <c r="Q969" s="559"/>
      <c r="R969" s="559"/>
      <c r="S969" s="559"/>
      <c r="T969" s="559"/>
      <c r="U969" s="559"/>
      <c r="V969" s="559"/>
      <c r="W969" s="559"/>
      <c r="X969" s="559"/>
      <c r="Y969" s="559"/>
      <c r="Z969" s="559"/>
      <c r="AA969" s="559"/>
      <c r="AB969" s="559"/>
      <c r="AC969" s="559"/>
      <c r="AD969" s="559"/>
      <c r="AE969" s="559"/>
      <c r="AF969" s="559"/>
      <c r="AG969" s="559"/>
    </row>
    <row r="970" spans="1:33" ht="18" x14ac:dyDescent="0.35">
      <c r="A970" s="559"/>
      <c r="B970" s="559"/>
      <c r="C970" s="559"/>
      <c r="D970" s="559"/>
      <c r="E970" s="559"/>
      <c r="F970" s="559"/>
      <c r="G970" s="559"/>
      <c r="H970" s="559"/>
      <c r="I970" s="559"/>
      <c r="J970" s="559"/>
      <c r="K970" s="559"/>
      <c r="L970" s="559"/>
      <c r="M970" s="559"/>
      <c r="N970" s="559"/>
      <c r="O970" s="559"/>
      <c r="P970" s="559"/>
      <c r="Q970" s="559"/>
      <c r="R970" s="559"/>
      <c r="S970" s="559"/>
      <c r="T970" s="559"/>
      <c r="U970" s="559"/>
      <c r="V970" s="559"/>
      <c r="W970" s="559"/>
      <c r="X970" s="559"/>
      <c r="Y970" s="559"/>
      <c r="Z970" s="559"/>
      <c r="AA970" s="559"/>
      <c r="AB970" s="559"/>
      <c r="AC970" s="559"/>
      <c r="AD970" s="559"/>
      <c r="AE970" s="559"/>
      <c r="AF970" s="559"/>
      <c r="AG970" s="559"/>
    </row>
    <row r="971" spans="1:33" ht="18" x14ac:dyDescent="0.35">
      <c r="A971" s="559"/>
      <c r="B971" s="559"/>
      <c r="C971" s="559"/>
      <c r="D971" s="559"/>
      <c r="E971" s="559"/>
      <c r="F971" s="559"/>
      <c r="G971" s="559"/>
      <c r="H971" s="559"/>
      <c r="I971" s="559"/>
      <c r="J971" s="559"/>
      <c r="K971" s="559"/>
      <c r="L971" s="559"/>
      <c r="M971" s="559"/>
      <c r="N971" s="559"/>
      <c r="O971" s="559"/>
      <c r="P971" s="559"/>
      <c r="Q971" s="559"/>
      <c r="R971" s="559"/>
      <c r="S971" s="559"/>
      <c r="T971" s="559"/>
      <c r="U971" s="559"/>
      <c r="V971" s="559"/>
      <c r="W971" s="559"/>
      <c r="X971" s="559"/>
      <c r="Y971" s="559"/>
      <c r="Z971" s="559"/>
      <c r="AA971" s="559"/>
      <c r="AB971" s="559"/>
      <c r="AC971" s="559"/>
      <c r="AD971" s="559"/>
      <c r="AE971" s="559"/>
      <c r="AF971" s="559"/>
      <c r="AG971" s="559"/>
    </row>
    <row r="972" spans="1:33" ht="18" x14ac:dyDescent="0.35">
      <c r="A972" s="559"/>
      <c r="B972" s="559"/>
      <c r="C972" s="559"/>
      <c r="D972" s="559"/>
      <c r="E972" s="559"/>
      <c r="F972" s="559"/>
      <c r="G972" s="559"/>
      <c r="H972" s="559"/>
      <c r="I972" s="559"/>
      <c r="J972" s="559"/>
      <c r="K972" s="559"/>
      <c r="L972" s="559"/>
      <c r="M972" s="559"/>
      <c r="N972" s="559"/>
      <c r="O972" s="559"/>
      <c r="P972" s="559"/>
      <c r="Q972" s="559"/>
      <c r="R972" s="559"/>
      <c r="S972" s="559"/>
      <c r="T972" s="559"/>
      <c r="U972" s="559"/>
      <c r="V972" s="559"/>
      <c r="W972" s="559"/>
      <c r="X972" s="559"/>
      <c r="Y972" s="559"/>
      <c r="Z972" s="559"/>
      <c r="AA972" s="559"/>
      <c r="AB972" s="559"/>
      <c r="AC972" s="559"/>
      <c r="AD972" s="559"/>
      <c r="AE972" s="559"/>
      <c r="AF972" s="559"/>
      <c r="AG972" s="559"/>
    </row>
    <row r="973" spans="1:33" ht="18" x14ac:dyDescent="0.35">
      <c r="A973" s="559"/>
      <c r="B973" s="559"/>
      <c r="C973" s="559"/>
      <c r="D973" s="559"/>
      <c r="E973" s="559"/>
      <c r="F973" s="559"/>
      <c r="G973" s="559"/>
      <c r="H973" s="559"/>
      <c r="I973" s="559"/>
      <c r="J973" s="559"/>
      <c r="K973" s="559"/>
      <c r="L973" s="559"/>
      <c r="M973" s="559"/>
      <c r="N973" s="559"/>
      <c r="O973" s="559"/>
      <c r="P973" s="559"/>
      <c r="Q973" s="559"/>
      <c r="R973" s="559"/>
      <c r="S973" s="559"/>
      <c r="T973" s="559"/>
      <c r="U973" s="559"/>
      <c r="V973" s="559"/>
      <c r="W973" s="559"/>
      <c r="X973" s="559"/>
      <c r="Y973" s="559"/>
      <c r="Z973" s="559"/>
      <c r="AA973" s="559"/>
      <c r="AB973" s="559"/>
      <c r="AC973" s="559"/>
      <c r="AD973" s="559"/>
      <c r="AE973" s="559"/>
      <c r="AF973" s="559"/>
      <c r="AG973" s="559"/>
    </row>
    <row r="974" spans="1:33" ht="18" x14ac:dyDescent="0.35">
      <c r="A974" s="559"/>
      <c r="B974" s="559"/>
      <c r="C974" s="559"/>
      <c r="D974" s="559"/>
      <c r="E974" s="559"/>
      <c r="F974" s="559"/>
      <c r="G974" s="559"/>
      <c r="H974" s="559"/>
      <c r="I974" s="559"/>
      <c r="J974" s="559"/>
      <c r="K974" s="559"/>
      <c r="L974" s="559"/>
      <c r="M974" s="559"/>
      <c r="N974" s="559"/>
      <c r="O974" s="559"/>
      <c r="P974" s="559"/>
      <c r="Q974" s="559"/>
      <c r="R974" s="559"/>
      <c r="S974" s="559"/>
      <c r="T974" s="559"/>
      <c r="U974" s="559"/>
      <c r="V974" s="559"/>
      <c r="W974" s="559"/>
      <c r="X974" s="559"/>
      <c r="Y974" s="559"/>
      <c r="Z974" s="559"/>
      <c r="AA974" s="559"/>
      <c r="AB974" s="559"/>
      <c r="AC974" s="559"/>
      <c r="AD974" s="559"/>
      <c r="AE974" s="559"/>
      <c r="AF974" s="559"/>
      <c r="AG974" s="559"/>
    </row>
    <row r="975" spans="1:33" ht="18" x14ac:dyDescent="0.35">
      <c r="A975" s="559"/>
      <c r="B975" s="559"/>
      <c r="C975" s="559"/>
      <c r="D975" s="559"/>
      <c r="E975" s="559"/>
      <c r="F975" s="559"/>
      <c r="G975" s="559"/>
      <c r="H975" s="559"/>
      <c r="I975" s="559"/>
      <c r="J975" s="559"/>
      <c r="K975" s="559"/>
      <c r="L975" s="559"/>
      <c r="M975" s="559"/>
      <c r="N975" s="559"/>
      <c r="O975" s="559"/>
      <c r="P975" s="559"/>
      <c r="Q975" s="559"/>
      <c r="R975" s="559"/>
      <c r="S975" s="559"/>
      <c r="T975" s="559"/>
      <c r="U975" s="559"/>
      <c r="V975" s="559"/>
      <c r="W975" s="559"/>
      <c r="X975" s="559"/>
      <c r="Y975" s="559"/>
      <c r="Z975" s="559"/>
      <c r="AA975" s="559"/>
      <c r="AB975" s="559"/>
      <c r="AC975" s="559"/>
      <c r="AD975" s="559"/>
      <c r="AE975" s="559"/>
      <c r="AF975" s="559"/>
      <c r="AG975" s="559"/>
    </row>
    <row r="976" spans="1:33" ht="18" x14ac:dyDescent="0.35">
      <c r="A976" s="559"/>
      <c r="B976" s="559"/>
      <c r="C976" s="559"/>
      <c r="D976" s="559"/>
      <c r="E976" s="559"/>
      <c r="F976" s="559"/>
      <c r="G976" s="559"/>
      <c r="H976" s="559"/>
      <c r="I976" s="559"/>
      <c r="J976" s="559"/>
      <c r="K976" s="559"/>
      <c r="L976" s="559"/>
      <c r="M976" s="559"/>
      <c r="N976" s="559"/>
      <c r="O976" s="559"/>
      <c r="P976" s="559"/>
      <c r="Q976" s="559"/>
      <c r="R976" s="559"/>
      <c r="S976" s="559"/>
      <c r="T976" s="559"/>
      <c r="U976" s="559"/>
      <c r="V976" s="559"/>
      <c r="W976" s="559"/>
      <c r="X976" s="559"/>
      <c r="Y976" s="559"/>
      <c r="Z976" s="559"/>
      <c r="AA976" s="559"/>
      <c r="AB976" s="559"/>
      <c r="AC976" s="559"/>
      <c r="AD976" s="559"/>
      <c r="AE976" s="559"/>
      <c r="AF976" s="559"/>
      <c r="AG976" s="559"/>
    </row>
    <row r="977" spans="1:33" ht="18" x14ac:dyDescent="0.35">
      <c r="A977" s="559"/>
      <c r="B977" s="559"/>
      <c r="C977" s="559"/>
      <c r="D977" s="559"/>
      <c r="E977" s="559"/>
      <c r="F977" s="559"/>
      <c r="G977" s="559"/>
      <c r="H977" s="559"/>
      <c r="I977" s="559"/>
      <c r="J977" s="559"/>
      <c r="K977" s="559"/>
      <c r="L977" s="559"/>
      <c r="M977" s="559"/>
      <c r="N977" s="559"/>
      <c r="O977" s="559"/>
      <c r="P977" s="559"/>
      <c r="Q977" s="559"/>
      <c r="R977" s="559"/>
      <c r="S977" s="559"/>
      <c r="T977" s="559"/>
      <c r="U977" s="559"/>
      <c r="V977" s="559"/>
      <c r="W977" s="559"/>
      <c r="X977" s="559"/>
      <c r="Y977" s="559"/>
      <c r="Z977" s="559"/>
      <c r="AA977" s="559"/>
      <c r="AB977" s="559"/>
      <c r="AC977" s="559"/>
      <c r="AD977" s="559"/>
      <c r="AE977" s="559"/>
      <c r="AF977" s="559"/>
      <c r="AG977" s="559"/>
    </row>
    <row r="978" spans="1:33" ht="18" x14ac:dyDescent="0.35">
      <c r="A978" s="559"/>
      <c r="B978" s="559"/>
      <c r="C978" s="559"/>
      <c r="D978" s="559"/>
      <c r="E978" s="559"/>
      <c r="F978" s="559"/>
      <c r="G978" s="559"/>
      <c r="H978" s="559"/>
      <c r="I978" s="559"/>
      <c r="J978" s="559"/>
      <c r="K978" s="559"/>
      <c r="L978" s="559"/>
      <c r="M978" s="559"/>
      <c r="N978" s="559"/>
      <c r="O978" s="559"/>
      <c r="P978" s="559"/>
      <c r="Q978" s="559"/>
      <c r="R978" s="559"/>
      <c r="S978" s="559"/>
      <c r="T978" s="559"/>
      <c r="U978" s="559"/>
      <c r="V978" s="559"/>
      <c r="W978" s="559"/>
      <c r="X978" s="559"/>
      <c r="Y978" s="559"/>
      <c r="Z978" s="559"/>
      <c r="AA978" s="559"/>
      <c r="AB978" s="559"/>
      <c r="AC978" s="559"/>
      <c r="AD978" s="559"/>
      <c r="AE978" s="559"/>
      <c r="AF978" s="559"/>
      <c r="AG978" s="559"/>
    </row>
    <row r="979" spans="1:33" ht="18" x14ac:dyDescent="0.35">
      <c r="A979" s="559"/>
      <c r="B979" s="559"/>
      <c r="C979" s="559"/>
      <c r="D979" s="559"/>
      <c r="E979" s="559"/>
      <c r="F979" s="559"/>
      <c r="G979" s="559"/>
      <c r="H979" s="559"/>
      <c r="I979" s="559"/>
      <c r="J979" s="559"/>
      <c r="K979" s="559"/>
      <c r="L979" s="559"/>
      <c r="M979" s="559"/>
      <c r="N979" s="559"/>
      <c r="O979" s="559"/>
      <c r="P979" s="559"/>
      <c r="Q979" s="559"/>
      <c r="R979" s="559"/>
      <c r="S979" s="559"/>
      <c r="T979" s="559"/>
      <c r="U979" s="559"/>
      <c r="V979" s="559"/>
      <c r="W979" s="559"/>
      <c r="X979" s="559"/>
      <c r="Y979" s="559"/>
      <c r="Z979" s="559"/>
      <c r="AA979" s="559"/>
      <c r="AB979" s="559"/>
      <c r="AC979" s="559"/>
      <c r="AD979" s="559"/>
      <c r="AE979" s="559"/>
      <c r="AF979" s="559"/>
      <c r="AG979" s="559"/>
    </row>
    <row r="980" spans="1:33" ht="18" x14ac:dyDescent="0.35">
      <c r="A980" s="559"/>
      <c r="B980" s="559"/>
      <c r="C980" s="559"/>
      <c r="D980" s="559"/>
      <c r="E980" s="559"/>
      <c r="F980" s="559"/>
      <c r="G980" s="559"/>
      <c r="H980" s="559"/>
      <c r="I980" s="559"/>
      <c r="J980" s="559"/>
      <c r="K980" s="559"/>
      <c r="L980" s="559"/>
      <c r="M980" s="559"/>
      <c r="N980" s="559"/>
      <c r="O980" s="559"/>
      <c r="P980" s="559"/>
      <c r="Q980" s="559"/>
      <c r="R980" s="559"/>
      <c r="S980" s="559"/>
      <c r="T980" s="559"/>
      <c r="U980" s="559"/>
      <c r="V980" s="559"/>
      <c r="W980" s="559"/>
      <c r="X980" s="559"/>
      <c r="Y980" s="559"/>
      <c r="Z980" s="559"/>
      <c r="AA980" s="559"/>
      <c r="AB980" s="559"/>
      <c r="AC980" s="559"/>
      <c r="AD980" s="559"/>
      <c r="AE980" s="559"/>
      <c r="AF980" s="559"/>
      <c r="AG980" s="559"/>
    </row>
    <row r="981" spans="1:33" ht="18" x14ac:dyDescent="0.35">
      <c r="A981" s="559"/>
      <c r="B981" s="559"/>
      <c r="C981" s="559"/>
      <c r="D981" s="559"/>
      <c r="E981" s="559"/>
      <c r="F981" s="559"/>
      <c r="G981" s="559"/>
      <c r="H981" s="559"/>
      <c r="I981" s="559"/>
      <c r="J981" s="559"/>
      <c r="K981" s="559"/>
      <c r="L981" s="559"/>
      <c r="M981" s="559"/>
      <c r="N981" s="559"/>
      <c r="O981" s="559"/>
      <c r="P981" s="559"/>
      <c r="Q981" s="559"/>
      <c r="R981" s="559"/>
      <c r="S981" s="559"/>
      <c r="T981" s="559"/>
      <c r="U981" s="559"/>
      <c r="V981" s="559"/>
      <c r="W981" s="559"/>
      <c r="X981" s="559"/>
      <c r="Y981" s="559"/>
      <c r="Z981" s="559"/>
      <c r="AA981" s="559"/>
      <c r="AB981" s="559"/>
      <c r="AC981" s="559"/>
      <c r="AD981" s="559"/>
      <c r="AE981" s="559"/>
      <c r="AF981" s="559"/>
      <c r="AG981" s="559"/>
    </row>
    <row r="982" spans="1:33" ht="18" x14ac:dyDescent="0.35">
      <c r="A982" s="559"/>
      <c r="B982" s="559"/>
      <c r="C982" s="559"/>
      <c r="D982" s="559"/>
      <c r="E982" s="559"/>
      <c r="F982" s="559"/>
      <c r="G982" s="559"/>
      <c r="H982" s="559"/>
      <c r="I982" s="559"/>
      <c r="J982" s="559"/>
      <c r="K982" s="559"/>
      <c r="L982" s="559"/>
      <c r="M982" s="559"/>
      <c r="N982" s="559"/>
      <c r="O982" s="559"/>
      <c r="P982" s="559"/>
      <c r="Q982" s="559"/>
      <c r="R982" s="559"/>
      <c r="S982" s="559"/>
      <c r="T982" s="559"/>
      <c r="U982" s="559"/>
      <c r="V982" s="559"/>
      <c r="W982" s="559"/>
      <c r="X982" s="559"/>
      <c r="Y982" s="559"/>
      <c r="Z982" s="559"/>
      <c r="AA982" s="559"/>
      <c r="AB982" s="559"/>
      <c r="AC982" s="559"/>
      <c r="AD982" s="559"/>
      <c r="AE982" s="559"/>
      <c r="AF982" s="559"/>
      <c r="AG982" s="559"/>
    </row>
    <row r="983" spans="1:33" ht="18" x14ac:dyDescent="0.35">
      <c r="A983" s="559"/>
      <c r="B983" s="559"/>
      <c r="C983" s="559"/>
      <c r="D983" s="559"/>
      <c r="E983" s="559"/>
      <c r="F983" s="559"/>
      <c r="G983" s="559"/>
      <c r="H983" s="559"/>
      <c r="I983" s="559"/>
      <c r="J983" s="559"/>
      <c r="K983" s="559"/>
      <c r="L983" s="559"/>
      <c r="M983" s="559"/>
      <c r="N983" s="559"/>
      <c r="O983" s="559"/>
      <c r="P983" s="559"/>
      <c r="Q983" s="559"/>
      <c r="R983" s="559"/>
      <c r="S983" s="559"/>
      <c r="T983" s="559"/>
      <c r="U983" s="559"/>
      <c r="V983" s="559"/>
      <c r="W983" s="559"/>
      <c r="X983" s="559"/>
      <c r="Y983" s="559"/>
      <c r="Z983" s="559"/>
      <c r="AA983" s="559"/>
      <c r="AB983" s="559"/>
      <c r="AC983" s="559"/>
      <c r="AD983" s="559"/>
      <c r="AE983" s="559"/>
      <c r="AF983" s="559"/>
      <c r="AG983" s="559"/>
    </row>
    <row r="984" spans="1:33" ht="18" x14ac:dyDescent="0.35">
      <c r="A984" s="559"/>
      <c r="B984" s="559"/>
      <c r="C984" s="559"/>
      <c r="D984" s="559"/>
      <c r="E984" s="559"/>
      <c r="F984" s="559"/>
      <c r="G984" s="559"/>
      <c r="H984" s="559"/>
      <c r="I984" s="559"/>
      <c r="J984" s="559"/>
      <c r="K984" s="559"/>
      <c r="L984" s="559"/>
      <c r="M984" s="559"/>
      <c r="N984" s="559"/>
      <c r="O984" s="559"/>
      <c r="P984" s="559"/>
      <c r="Q984" s="559"/>
      <c r="R984" s="559"/>
      <c r="S984" s="559"/>
      <c r="T984" s="559"/>
      <c r="U984" s="559"/>
      <c r="V984" s="559"/>
      <c r="W984" s="559"/>
      <c r="X984" s="559"/>
      <c r="Y984" s="559"/>
      <c r="Z984" s="559"/>
      <c r="AA984" s="559"/>
      <c r="AB984" s="559"/>
      <c r="AC984" s="559"/>
      <c r="AD984" s="559"/>
      <c r="AE984" s="559"/>
      <c r="AF984" s="559"/>
      <c r="AG984" s="559"/>
    </row>
    <row r="985" spans="1:33" ht="18" x14ac:dyDescent="0.35">
      <c r="A985" s="559"/>
      <c r="B985" s="559"/>
      <c r="C985" s="559"/>
      <c r="D985" s="559"/>
      <c r="E985" s="559"/>
      <c r="F985" s="559"/>
      <c r="G985" s="559"/>
      <c r="H985" s="559"/>
      <c r="I985" s="559"/>
      <c r="J985" s="559"/>
      <c r="K985" s="559"/>
      <c r="L985" s="559"/>
      <c r="M985" s="559"/>
      <c r="N985" s="559"/>
      <c r="O985" s="559"/>
      <c r="P985" s="559"/>
      <c r="Q985" s="559"/>
      <c r="R985" s="559"/>
      <c r="S985" s="559"/>
      <c r="T985" s="559"/>
      <c r="U985" s="559"/>
      <c r="V985" s="559"/>
      <c r="W985" s="559"/>
      <c r="X985" s="559"/>
      <c r="Y985" s="559"/>
      <c r="Z985" s="559"/>
      <c r="AA985" s="559"/>
      <c r="AB985" s="559"/>
      <c r="AC985" s="559"/>
      <c r="AD985" s="559"/>
      <c r="AE985" s="559"/>
      <c r="AF985" s="559"/>
      <c r="AG985" s="559"/>
    </row>
    <row r="986" spans="1:33" ht="18" x14ac:dyDescent="0.35">
      <c r="A986" s="559"/>
      <c r="B986" s="559"/>
      <c r="C986" s="559"/>
      <c r="D986" s="559"/>
      <c r="E986" s="559"/>
      <c r="F986" s="559"/>
      <c r="G986" s="559"/>
      <c r="H986" s="559"/>
      <c r="I986" s="559"/>
      <c r="J986" s="559"/>
      <c r="K986" s="559"/>
      <c r="L986" s="559"/>
      <c r="M986" s="559"/>
      <c r="N986" s="559"/>
      <c r="O986" s="559"/>
      <c r="P986" s="559"/>
      <c r="Q986" s="559"/>
      <c r="R986" s="559"/>
      <c r="S986" s="559"/>
      <c r="T986" s="559"/>
      <c r="U986" s="559"/>
      <c r="V986" s="559"/>
      <c r="W986" s="559"/>
      <c r="X986" s="559"/>
      <c r="Y986" s="559"/>
      <c r="Z986" s="559"/>
      <c r="AA986" s="559"/>
      <c r="AB986" s="559"/>
      <c r="AC986" s="559"/>
      <c r="AD986" s="559"/>
      <c r="AE986" s="559"/>
      <c r="AF986" s="559"/>
      <c r="AG986" s="559"/>
    </row>
    <row r="987" spans="1:33" ht="18" x14ac:dyDescent="0.35">
      <c r="A987" s="559"/>
      <c r="B987" s="559"/>
      <c r="C987" s="559"/>
      <c r="D987" s="559"/>
      <c r="E987" s="559"/>
      <c r="F987" s="559"/>
      <c r="G987" s="559"/>
      <c r="H987" s="559"/>
      <c r="I987" s="559"/>
      <c r="J987" s="559"/>
      <c r="K987" s="559"/>
      <c r="L987" s="559"/>
      <c r="M987" s="559"/>
      <c r="N987" s="559"/>
      <c r="O987" s="559"/>
      <c r="P987" s="559"/>
      <c r="Q987" s="559"/>
      <c r="R987" s="559"/>
      <c r="S987" s="559"/>
      <c r="T987" s="559"/>
      <c r="U987" s="559"/>
      <c r="V987" s="559"/>
      <c r="W987" s="559"/>
      <c r="X987" s="559"/>
      <c r="Y987" s="559"/>
      <c r="Z987" s="559"/>
      <c r="AA987" s="559"/>
      <c r="AB987" s="559"/>
      <c r="AC987" s="559"/>
      <c r="AD987" s="559"/>
      <c r="AE987" s="559"/>
      <c r="AF987" s="559"/>
      <c r="AG987" s="559"/>
    </row>
    <row r="988" spans="1:33" ht="18" x14ac:dyDescent="0.35">
      <c r="A988" s="559"/>
      <c r="B988" s="559"/>
      <c r="C988" s="559"/>
      <c r="D988" s="559"/>
      <c r="E988" s="559"/>
      <c r="F988" s="559"/>
      <c r="G988" s="559"/>
      <c r="H988" s="559"/>
      <c r="I988" s="559"/>
      <c r="J988" s="559"/>
      <c r="K988" s="559"/>
      <c r="L988" s="559"/>
      <c r="M988" s="559"/>
      <c r="N988" s="559"/>
      <c r="O988" s="559"/>
      <c r="P988" s="559"/>
      <c r="Q988" s="559"/>
      <c r="R988" s="559"/>
      <c r="S988" s="559"/>
      <c r="T988" s="559"/>
      <c r="U988" s="559"/>
      <c r="V988" s="559"/>
      <c r="W988" s="559"/>
      <c r="X988" s="559"/>
      <c r="Y988" s="559"/>
      <c r="Z988" s="559"/>
      <c r="AA988" s="559"/>
      <c r="AB988" s="559"/>
      <c r="AC988" s="559"/>
      <c r="AD988" s="559"/>
      <c r="AE988" s="559"/>
      <c r="AF988" s="559"/>
      <c r="AG988" s="559"/>
    </row>
    <row r="989" spans="1:33" ht="18" x14ac:dyDescent="0.35">
      <c r="A989" s="559"/>
      <c r="B989" s="559"/>
      <c r="C989" s="559"/>
      <c r="D989" s="559"/>
      <c r="E989" s="559"/>
      <c r="F989" s="559"/>
      <c r="G989" s="559"/>
      <c r="H989" s="559"/>
      <c r="I989" s="559"/>
      <c r="J989" s="559"/>
      <c r="K989" s="559"/>
      <c r="L989" s="559"/>
      <c r="M989" s="559"/>
      <c r="N989" s="559"/>
      <c r="O989" s="559"/>
      <c r="P989" s="559"/>
      <c r="Q989" s="559"/>
      <c r="R989" s="559"/>
      <c r="S989" s="559"/>
      <c r="T989" s="559"/>
      <c r="U989" s="559"/>
      <c r="V989" s="559"/>
      <c r="W989" s="559"/>
      <c r="X989" s="559"/>
      <c r="Y989" s="559"/>
      <c r="Z989" s="559"/>
      <c r="AA989" s="559"/>
      <c r="AB989" s="559"/>
      <c r="AC989" s="559"/>
      <c r="AD989" s="559"/>
      <c r="AE989" s="559"/>
      <c r="AF989" s="559"/>
      <c r="AG989" s="559"/>
    </row>
    <row r="990" spans="1:33" ht="18" x14ac:dyDescent="0.35">
      <c r="A990" s="559"/>
      <c r="B990" s="559"/>
      <c r="C990" s="559"/>
      <c r="D990" s="559"/>
      <c r="E990" s="559"/>
      <c r="F990" s="559"/>
      <c r="G990" s="559"/>
      <c r="H990" s="559"/>
      <c r="I990" s="559"/>
      <c r="J990" s="559"/>
      <c r="K990" s="559"/>
      <c r="L990" s="559"/>
      <c r="M990" s="559"/>
      <c r="N990" s="559"/>
      <c r="O990" s="559"/>
      <c r="P990" s="559"/>
      <c r="Q990" s="559"/>
      <c r="R990" s="559"/>
      <c r="S990" s="559"/>
      <c r="T990" s="559"/>
      <c r="U990" s="559"/>
      <c r="V990" s="559"/>
      <c r="W990" s="559"/>
      <c r="X990" s="559"/>
      <c r="Y990" s="559"/>
      <c r="Z990" s="559"/>
      <c r="AA990" s="559"/>
      <c r="AB990" s="559"/>
      <c r="AC990" s="559"/>
      <c r="AD990" s="559"/>
      <c r="AE990" s="559"/>
      <c r="AF990" s="559"/>
      <c r="AG990" s="559"/>
    </row>
    <row r="991" spans="1:33" ht="18" x14ac:dyDescent="0.35">
      <c r="A991" s="559"/>
      <c r="B991" s="559"/>
      <c r="C991" s="559"/>
      <c r="D991" s="559"/>
      <c r="E991" s="559"/>
      <c r="F991" s="559"/>
      <c r="G991" s="559"/>
      <c r="H991" s="559"/>
      <c r="I991" s="559"/>
      <c r="J991" s="559"/>
      <c r="K991" s="559"/>
      <c r="L991" s="559"/>
      <c r="M991" s="559"/>
      <c r="N991" s="559"/>
      <c r="O991" s="559"/>
      <c r="P991" s="559"/>
      <c r="Q991" s="559"/>
      <c r="R991" s="559"/>
      <c r="S991" s="559"/>
      <c r="T991" s="559"/>
      <c r="U991" s="559"/>
      <c r="V991" s="559"/>
      <c r="W991" s="559"/>
      <c r="X991" s="559"/>
      <c r="Y991" s="559"/>
      <c r="Z991" s="559"/>
      <c r="AA991" s="559"/>
      <c r="AB991" s="559"/>
      <c r="AC991" s="559"/>
      <c r="AD991" s="559"/>
      <c r="AE991" s="559"/>
      <c r="AF991" s="559"/>
      <c r="AG991" s="559"/>
    </row>
    <row r="992" spans="1:33" ht="18" x14ac:dyDescent="0.35">
      <c r="A992" s="559"/>
      <c r="B992" s="559"/>
      <c r="C992" s="559"/>
      <c r="D992" s="559"/>
      <c r="E992" s="559"/>
      <c r="F992" s="559"/>
      <c r="G992" s="559"/>
      <c r="H992" s="559"/>
      <c r="I992" s="559"/>
      <c r="J992" s="559"/>
      <c r="K992" s="559"/>
      <c r="L992" s="559"/>
      <c r="M992" s="559"/>
      <c r="N992" s="559"/>
      <c r="O992" s="559"/>
      <c r="P992" s="559"/>
      <c r="Q992" s="559"/>
      <c r="R992" s="559"/>
      <c r="S992" s="559"/>
      <c r="T992" s="559"/>
      <c r="U992" s="559"/>
      <c r="V992" s="559"/>
      <c r="W992" s="559"/>
      <c r="X992" s="559"/>
      <c r="Y992" s="559"/>
      <c r="Z992" s="559"/>
      <c r="AA992" s="559"/>
      <c r="AB992" s="559"/>
      <c r="AC992" s="559"/>
      <c r="AD992" s="559"/>
      <c r="AE992" s="559"/>
      <c r="AF992" s="559"/>
      <c r="AG992" s="559"/>
    </row>
    <row r="993" spans="1:33" ht="18" x14ac:dyDescent="0.35">
      <c r="A993" s="559"/>
      <c r="B993" s="559"/>
      <c r="C993" s="559"/>
      <c r="D993" s="559"/>
      <c r="E993" s="559"/>
      <c r="F993" s="559"/>
      <c r="G993" s="559"/>
      <c r="H993" s="559"/>
      <c r="I993" s="559"/>
      <c r="J993" s="559"/>
      <c r="K993" s="559"/>
      <c r="L993" s="559"/>
      <c r="M993" s="559"/>
      <c r="N993" s="559"/>
      <c r="O993" s="559"/>
      <c r="P993" s="559"/>
      <c r="Q993" s="559"/>
      <c r="R993" s="559"/>
      <c r="S993" s="559"/>
      <c r="T993" s="559"/>
      <c r="U993" s="559"/>
      <c r="V993" s="559"/>
      <c r="W993" s="559"/>
      <c r="X993" s="559"/>
      <c r="Y993" s="559"/>
      <c r="Z993" s="559"/>
      <c r="AA993" s="559"/>
      <c r="AB993" s="559"/>
      <c r="AC993" s="559"/>
      <c r="AD993" s="559"/>
      <c r="AE993" s="559"/>
      <c r="AF993" s="559"/>
      <c r="AG993" s="559"/>
    </row>
    <row r="994" spans="1:33" ht="18" x14ac:dyDescent="0.35">
      <c r="A994" s="559"/>
      <c r="B994" s="559"/>
      <c r="C994" s="559"/>
      <c r="D994" s="559"/>
      <c r="E994" s="559"/>
      <c r="F994" s="559"/>
      <c r="G994" s="559"/>
      <c r="H994" s="559"/>
      <c r="I994" s="559"/>
      <c r="J994" s="559"/>
      <c r="K994" s="559"/>
      <c r="L994" s="559"/>
      <c r="M994" s="559"/>
      <c r="N994" s="559"/>
      <c r="O994" s="559"/>
      <c r="P994" s="559"/>
      <c r="Q994" s="559"/>
      <c r="R994" s="559"/>
      <c r="S994" s="559"/>
      <c r="T994" s="559"/>
      <c r="U994" s="559"/>
      <c r="V994" s="559"/>
      <c r="W994" s="559"/>
      <c r="X994" s="559"/>
      <c r="Y994" s="559"/>
      <c r="Z994" s="559"/>
      <c r="AA994" s="559"/>
      <c r="AB994" s="559"/>
      <c r="AC994" s="559"/>
      <c r="AD994" s="559"/>
      <c r="AE994" s="559"/>
      <c r="AF994" s="559"/>
      <c r="AG994" s="559"/>
    </row>
    <row r="995" spans="1:33" ht="18" x14ac:dyDescent="0.35">
      <c r="A995" s="559"/>
      <c r="B995" s="559"/>
      <c r="C995" s="559"/>
      <c r="D995" s="559"/>
      <c r="E995" s="559"/>
      <c r="F995" s="559"/>
      <c r="G995" s="559"/>
      <c r="H995" s="559"/>
      <c r="I995" s="559"/>
      <c r="J995" s="559"/>
      <c r="K995" s="559"/>
      <c r="L995" s="559"/>
      <c r="M995" s="559"/>
      <c r="N995" s="559"/>
      <c r="O995" s="559"/>
      <c r="P995" s="559"/>
      <c r="Q995" s="559"/>
      <c r="R995" s="559"/>
      <c r="S995" s="559"/>
      <c r="T995" s="559"/>
      <c r="U995" s="559"/>
      <c r="V995" s="559"/>
      <c r="W995" s="559"/>
      <c r="X995" s="559"/>
      <c r="Y995" s="559"/>
      <c r="Z995" s="559"/>
      <c r="AA995" s="559"/>
      <c r="AB995" s="559"/>
      <c r="AC995" s="559"/>
      <c r="AD995" s="559"/>
      <c r="AE995" s="559"/>
      <c r="AF995" s="559"/>
      <c r="AG995" s="559"/>
    </row>
    <row r="996" spans="1:33" ht="18" x14ac:dyDescent="0.35">
      <c r="A996" s="559"/>
      <c r="B996" s="559"/>
      <c r="C996" s="559"/>
      <c r="D996" s="559"/>
      <c r="E996" s="559"/>
      <c r="F996" s="559"/>
      <c r="G996" s="559"/>
      <c r="H996" s="559"/>
      <c r="I996" s="559"/>
      <c r="J996" s="559"/>
      <c r="K996" s="559"/>
      <c r="L996" s="559"/>
      <c r="M996" s="559"/>
      <c r="N996" s="559"/>
      <c r="O996" s="559"/>
      <c r="P996" s="559"/>
      <c r="Q996" s="559"/>
      <c r="R996" s="559"/>
      <c r="S996" s="559"/>
      <c r="T996" s="559"/>
      <c r="U996" s="559"/>
      <c r="V996" s="559"/>
      <c r="W996" s="559"/>
      <c r="X996" s="559"/>
      <c r="Y996" s="559"/>
      <c r="Z996" s="559"/>
      <c r="AA996" s="559"/>
      <c r="AB996" s="559"/>
      <c r="AC996" s="559"/>
      <c r="AD996" s="559"/>
      <c r="AE996" s="559"/>
      <c r="AF996" s="559"/>
      <c r="AG996" s="559"/>
    </row>
    <row r="997" spans="1:33" ht="18" x14ac:dyDescent="0.35">
      <c r="A997" s="559"/>
      <c r="B997" s="559"/>
      <c r="C997" s="559"/>
      <c r="D997" s="559"/>
      <c r="E997" s="559"/>
      <c r="F997" s="559"/>
      <c r="G997" s="559"/>
      <c r="H997" s="559"/>
      <c r="I997" s="559"/>
      <c r="J997" s="559"/>
      <c r="K997" s="559"/>
      <c r="L997" s="559"/>
      <c r="M997" s="559"/>
      <c r="N997" s="559"/>
      <c r="O997" s="559"/>
      <c r="P997" s="559"/>
      <c r="Q997" s="559"/>
      <c r="R997" s="559"/>
      <c r="S997" s="559"/>
      <c r="T997" s="559"/>
      <c r="U997" s="559"/>
      <c r="V997" s="559"/>
      <c r="W997" s="559"/>
      <c r="X997" s="559"/>
      <c r="Y997" s="559"/>
      <c r="Z997" s="559"/>
      <c r="AA997" s="559"/>
      <c r="AB997" s="559"/>
      <c r="AC997" s="559"/>
      <c r="AD997" s="559"/>
      <c r="AE997" s="559"/>
      <c r="AF997" s="559"/>
      <c r="AG997" s="559"/>
    </row>
    <row r="998" spans="1:33" ht="18" x14ac:dyDescent="0.35">
      <c r="A998" s="559"/>
      <c r="B998" s="559"/>
      <c r="C998" s="559"/>
      <c r="D998" s="559"/>
      <c r="E998" s="559"/>
      <c r="F998" s="559"/>
      <c r="G998" s="559"/>
      <c r="H998" s="559"/>
      <c r="I998" s="559"/>
      <c r="J998" s="559"/>
      <c r="K998" s="559"/>
      <c r="L998" s="559"/>
      <c r="M998" s="559"/>
      <c r="N998" s="559"/>
      <c r="O998" s="559"/>
      <c r="P998" s="559"/>
      <c r="Q998" s="559"/>
      <c r="R998" s="559"/>
      <c r="S998" s="559"/>
      <c r="T998" s="559"/>
      <c r="U998" s="559"/>
      <c r="V998" s="559"/>
      <c r="W998" s="559"/>
      <c r="X998" s="559"/>
      <c r="Y998" s="559"/>
      <c r="Z998" s="559"/>
      <c r="AA998" s="559"/>
      <c r="AB998" s="559"/>
      <c r="AC998" s="559"/>
      <c r="AD998" s="559"/>
      <c r="AE998" s="559"/>
      <c r="AF998" s="559"/>
      <c r="AG998" s="559"/>
    </row>
    <row r="999" spans="1:33" ht="18" x14ac:dyDescent="0.35">
      <c r="A999" s="559"/>
      <c r="B999" s="559"/>
      <c r="C999" s="559"/>
      <c r="D999" s="559"/>
      <c r="E999" s="559"/>
      <c r="F999" s="559"/>
      <c r="G999" s="559"/>
      <c r="H999" s="559"/>
      <c r="I999" s="559"/>
      <c r="J999" s="559"/>
      <c r="K999" s="559"/>
      <c r="L999" s="559"/>
      <c r="M999" s="559"/>
      <c r="N999" s="559"/>
      <c r="O999" s="559"/>
      <c r="P999" s="559"/>
      <c r="Q999" s="559"/>
      <c r="R999" s="559"/>
      <c r="S999" s="559"/>
      <c r="T999" s="559"/>
      <c r="U999" s="559"/>
      <c r="V999" s="559"/>
      <c r="W999" s="559"/>
      <c r="X999" s="559"/>
      <c r="Y999" s="559"/>
      <c r="Z999" s="559"/>
      <c r="AA999" s="559"/>
      <c r="AB999" s="559"/>
      <c r="AC999" s="559"/>
      <c r="AD999" s="559"/>
      <c r="AE999" s="559"/>
      <c r="AF999" s="559"/>
      <c r="AG999" s="559"/>
    </row>
    <row r="1000" spans="1:33" ht="18" x14ac:dyDescent="0.35">
      <c r="A1000" s="559"/>
      <c r="B1000" s="559"/>
      <c r="C1000" s="559"/>
      <c r="D1000" s="559"/>
      <c r="E1000" s="559"/>
      <c r="F1000" s="559"/>
      <c r="G1000" s="559"/>
      <c r="H1000" s="559"/>
      <c r="I1000" s="559"/>
      <c r="J1000" s="559"/>
      <c r="K1000" s="559"/>
      <c r="L1000" s="559"/>
      <c r="M1000" s="559"/>
      <c r="N1000" s="559"/>
      <c r="O1000" s="559"/>
      <c r="P1000" s="559"/>
      <c r="Q1000" s="559"/>
      <c r="R1000" s="559"/>
      <c r="S1000" s="559"/>
      <c r="T1000" s="559"/>
      <c r="U1000" s="559"/>
      <c r="V1000" s="559"/>
      <c r="W1000" s="559"/>
      <c r="X1000" s="559"/>
      <c r="Y1000" s="559"/>
      <c r="Z1000" s="559"/>
      <c r="AA1000" s="559"/>
      <c r="AB1000" s="559"/>
      <c r="AC1000" s="559"/>
      <c r="AD1000" s="559"/>
      <c r="AE1000" s="559"/>
      <c r="AF1000" s="559"/>
      <c r="AG1000" s="559"/>
    </row>
  </sheetData>
  <mergeCells count="28">
    <mergeCell ref="A1:J2"/>
    <mergeCell ref="H12:J18"/>
    <mergeCell ref="K12:M13"/>
    <mergeCell ref="M16:O19"/>
    <mergeCell ref="F19:G19"/>
    <mergeCell ref="F21:G21"/>
    <mergeCell ref="B25:B26"/>
    <mergeCell ref="D29:E29"/>
    <mergeCell ref="D35:E35"/>
    <mergeCell ref="D36:E36"/>
    <mergeCell ref="B32:B33"/>
    <mergeCell ref="B39:B40"/>
    <mergeCell ref="D42:E42"/>
    <mergeCell ref="D43:E43"/>
    <mergeCell ref="A50:B50"/>
    <mergeCell ref="B52:C52"/>
    <mergeCell ref="H52:J54"/>
    <mergeCell ref="F23:G23"/>
    <mergeCell ref="G25:G26"/>
    <mergeCell ref="D28:E28"/>
    <mergeCell ref="I28:J28"/>
    <mergeCell ref="I29:J29"/>
    <mergeCell ref="G32:G33"/>
    <mergeCell ref="I35:J35"/>
    <mergeCell ref="I36:J36"/>
    <mergeCell ref="G39:G40"/>
    <mergeCell ref="I42:J42"/>
    <mergeCell ref="I43:J43"/>
  </mergeCells>
  <conditionalFormatting sqref="C3 F3 C19">
    <cfRule type="beginsWith" dxfId="30" priority="1" operator="beginsWith" text="Boulons">
      <formula>LEFT((C3),LEN("Boulons"))=("Boulons")</formula>
    </cfRule>
  </conditionalFormatting>
  <conditionalFormatting sqref="C3">
    <cfRule type="containsText" dxfId="29" priority="2" operator="containsText" text="Boulons et Platines">
      <formula>NOT(ISERROR(SEARCH(("Boulons et Platines"),(C3))))</formula>
    </cfRule>
  </conditionalFormatting>
  <conditionalFormatting sqref="F3">
    <cfRule type="containsText" dxfId="28" priority="3" operator="containsText" text="Boulons et Platines">
      <formula>NOT(ISERROR(SEARCH(("Boulons et Platines"),(F3))))</formula>
    </cfRule>
  </conditionalFormatting>
  <conditionalFormatting sqref="F18">
    <cfRule type="containsText" dxfId="27" priority="4" operator="containsText" text="Oui">
      <formula>NOT(ISERROR(SEARCH(("Oui"),(F18))))</formula>
    </cfRule>
  </conditionalFormatting>
  <dataValidations count="22">
    <dataValidation type="list" allowBlank="1" showErrorMessage="1" sqref="E31 J31 E38 J38" xr:uid="{00000000-0002-0000-0C00-000000000000}">
      <formula1>IF($D$29=1,#REF!,0)</formula1>
    </dataValidation>
    <dataValidation type="list" allowBlank="1" showErrorMessage="1" sqref="C15" xr:uid="{00000000-0002-0000-0C00-000001000000}">
      <formula1>$A$271:$A$272</formula1>
    </dataValidation>
    <dataValidation type="list" allowBlank="1" showErrorMessage="1" sqref="D36" xr:uid="{00000000-0002-0000-0C00-000002000000}">
      <formula1>IF($D$35="Type de mousse du Calage",$A$295:$A$297,0)</formula1>
    </dataValidation>
    <dataValidation type="list" allowBlank="1" showErrorMessage="1" sqref="I29" xr:uid="{00000000-0002-0000-0C00-000003000000}">
      <formula1>IF($I$28="Type de mousse du Calage",$A$295:$A$297,0)</formula1>
    </dataValidation>
    <dataValidation type="list" allowBlank="1" showErrorMessage="1" sqref="E41" xr:uid="{00000000-0002-0000-0C00-000004000000}">
      <formula1>IF($D$41="Type de mousse",$A$299:$A$301,IF($D$41="Nombre",$A$303:$A$308,0))</formula1>
    </dataValidation>
    <dataValidation type="list" allowBlank="1" showErrorMessage="1" sqref="I43" xr:uid="{00000000-0002-0000-0C00-000005000000}">
      <formula1>IF($I$42="Type de mousse du Calage",$A$295:$A$297,0)</formula1>
    </dataValidation>
    <dataValidation type="list" allowBlank="1" showErrorMessage="1" sqref="C29 H29 C31 H31 C36 H36 C38 H38 C43 H43" xr:uid="{00000000-0002-0000-0C00-000006000000}">
      <formula1>$A$283:$A$293</formula1>
    </dataValidation>
    <dataValidation type="list" allowBlank="1" showErrorMessage="1" sqref="C28 H28 C35 H35 C42 H42" xr:uid="{00000000-0002-0000-0C00-000007000000}">
      <formula1>$A$274:$A$280</formula1>
    </dataValidation>
    <dataValidation type="list" allowBlank="1" showErrorMessage="1" sqref="F15 F18 C23" xr:uid="{00000000-0002-0000-0C00-000008000000}">
      <formula1>$A$317:$A$318</formula1>
    </dataValidation>
    <dataValidation type="list" allowBlank="1" showErrorMessage="1" sqref="C13" xr:uid="{00000000-0002-0000-0C00-000009000000}">
      <formula1>$A$268:$A$269</formula1>
    </dataValidation>
    <dataValidation type="list" allowBlank="1" showErrorMessage="1" sqref="E27" xr:uid="{00000000-0002-0000-0C00-00000A000000}">
      <formula1>IF($D$27="Type de mousse",$A$299:$A$301,IF($D$27="Nombre",$A$303:$A$308,0))</formula1>
    </dataValidation>
    <dataValidation type="list" allowBlank="1" showErrorMessage="1" sqref="D29" xr:uid="{00000000-0002-0000-0C00-00000B000000}">
      <formula1>IF($D$28="Type de mousse du Calage",$A$295:$A$297,0)</formula1>
    </dataValidation>
    <dataValidation type="list" allowBlank="1" showErrorMessage="1" sqref="I36" xr:uid="{00000000-0002-0000-0C00-00000C000000}">
      <formula1>IF($I$35="Type de mousse du Calage",$A$295:$A$297,0)</formula1>
    </dataValidation>
    <dataValidation type="list" allowBlank="1" showErrorMessage="1" sqref="J34" xr:uid="{00000000-0002-0000-0C00-00000D000000}">
      <formula1>IF($I$34="Type de mousse",$A$299:$A$301,IF($I$34="Nombre",$A$303:$A$308,0))</formula1>
    </dataValidation>
    <dataValidation type="list" allowBlank="1" showErrorMessage="1" sqref="C17" xr:uid="{00000000-0002-0000-0C00-00000E000000}">
      <formula1>$A$249:$A$255</formula1>
    </dataValidation>
    <dataValidation type="list" allowBlank="1" showErrorMessage="1" sqref="J27" xr:uid="{00000000-0002-0000-0C00-00000F000000}">
      <formula1>IF($I$27="Type de mousse",$A$299:$A$301,IF($I$27="Nombre",$A$303:$A$308,0))</formula1>
    </dataValidation>
    <dataValidation type="list" allowBlank="1" showErrorMessage="1" sqref="C27 H27 C34 H34 C41 H41" xr:uid="{00000000-0002-0000-0C00-000010000000}">
      <formula1>$A$234:$A$244</formula1>
    </dataValidation>
    <dataValidation type="list" allowBlank="1" showErrorMessage="1" sqref="E34" xr:uid="{00000000-0002-0000-0C00-000011000000}">
      <formula1>IF($D$34="Type de mousse",$A$299:$A$301,IF($D$34="Nombre",$A$303:$A$308,0))</formula1>
    </dataValidation>
    <dataValidation type="list" allowBlank="1" showErrorMessage="1" sqref="C19" xr:uid="{00000000-0002-0000-0C00-000012000000}">
      <formula1>$A$257:$A$258</formula1>
    </dataValidation>
    <dataValidation type="list" allowBlank="1" showErrorMessage="1" sqref="J41" xr:uid="{00000000-0002-0000-0C00-000013000000}">
      <formula1>IF($I$41="Type de mousse",$A$299:$A$301,IF($I$41="Nombre",$A$303:$A$308,0))</formula1>
    </dataValidation>
    <dataValidation type="list" allowBlank="1" showErrorMessage="1" sqref="D43" xr:uid="{00000000-0002-0000-0C00-000014000000}">
      <formula1>IF($D$42="Type de mousse du Calage",$A$295:$A$297,0)</formula1>
    </dataValidation>
    <dataValidation type="list" allowBlank="1" showErrorMessage="1" sqref="F21" xr:uid="{00000000-0002-0000-0C00-000015000000}">
      <formula1>$A$260:$A$262</formula1>
    </dataValidation>
  </dataValidations>
  <pageMargins left="0.51181102362204722" right="0.51181102362204722" top="0.55118110236220474" bottom="0.55118110236220474" header="0" footer="0"/>
  <pageSetup paperSize="9" orientation="landscape"/>
  <drawing r:id="rId1"/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92D050"/>
    <pageSetUpPr fitToPage="1"/>
  </sheetPr>
  <dimension ref="A1:AG1000"/>
  <sheetViews>
    <sheetView topLeftCell="A52" zoomScale="50" zoomScaleNormal="50" workbookViewId="0">
      <selection activeCell="U91" sqref="U91"/>
    </sheetView>
  </sheetViews>
  <sheetFormatPr baseColWidth="10" defaultColWidth="14.44140625" defaultRowHeight="14.4" x14ac:dyDescent="0.3"/>
  <cols>
    <col min="1" max="1" width="17" customWidth="1"/>
    <col min="2" max="2" width="35.5546875" customWidth="1"/>
    <col min="3" max="3" width="32.6640625" customWidth="1"/>
    <col min="4" max="4" width="17" customWidth="1"/>
    <col min="5" max="5" width="21.88671875" customWidth="1"/>
    <col min="6" max="6" width="26.44140625" customWidth="1"/>
    <col min="7" max="7" width="16.6640625" customWidth="1"/>
    <col min="8" max="8" width="15.109375" customWidth="1"/>
    <col min="9" max="9" width="14.6640625" customWidth="1"/>
    <col min="10" max="10" width="11.44140625" customWidth="1"/>
    <col min="11" max="11" width="11.5546875" customWidth="1"/>
    <col min="12" max="13" width="12.88671875" customWidth="1"/>
    <col min="14" max="14" width="15.44140625" customWidth="1"/>
    <col min="15" max="15" width="14.5546875" customWidth="1"/>
    <col min="16" max="33" width="11.44140625" customWidth="1"/>
  </cols>
  <sheetData>
    <row r="1" spans="1:33" ht="18" x14ac:dyDescent="0.35">
      <c r="A1" s="1084" t="s">
        <v>386</v>
      </c>
      <c r="B1" s="1085"/>
      <c r="C1" s="1085"/>
      <c r="D1" s="1085"/>
      <c r="E1" s="1085"/>
      <c r="F1" s="1085"/>
      <c r="G1" s="1085"/>
      <c r="H1" s="1086"/>
      <c r="I1" s="559"/>
      <c r="J1" s="559"/>
      <c r="K1" s="559"/>
      <c r="L1" s="559"/>
      <c r="M1" s="559"/>
      <c r="N1" s="559"/>
      <c r="O1" s="559"/>
      <c r="P1" s="559"/>
      <c r="Q1" s="559"/>
      <c r="R1" s="559"/>
      <c r="S1" s="559"/>
      <c r="T1" s="559"/>
      <c r="U1" s="559"/>
      <c r="V1" s="559"/>
      <c r="W1" s="559"/>
      <c r="X1" s="559"/>
      <c r="Y1" s="559"/>
      <c r="Z1" s="559"/>
      <c r="AA1" s="559"/>
      <c r="AB1" s="559"/>
      <c r="AC1" s="559"/>
      <c r="AD1" s="559"/>
      <c r="AE1" s="559"/>
      <c r="AF1" s="559"/>
      <c r="AG1" s="559"/>
    </row>
    <row r="2" spans="1:33" ht="18" x14ac:dyDescent="0.35">
      <c r="A2" s="1087"/>
      <c r="B2" s="1088"/>
      <c r="C2" s="1088"/>
      <c r="D2" s="1088"/>
      <c r="E2" s="1088"/>
      <c r="F2" s="1088"/>
      <c r="G2" s="1088"/>
      <c r="H2" s="1089"/>
      <c r="I2" s="559"/>
      <c r="J2" s="559"/>
      <c r="K2" s="559"/>
      <c r="L2" s="559"/>
      <c r="M2" s="559"/>
      <c r="N2" s="559"/>
      <c r="O2" s="559"/>
      <c r="P2" s="559"/>
      <c r="Q2" s="559"/>
      <c r="R2" s="559"/>
      <c r="S2" s="559"/>
      <c r="T2" s="559"/>
      <c r="U2" s="559"/>
      <c r="V2" s="559"/>
      <c r="W2" s="559"/>
      <c r="X2" s="559"/>
      <c r="Y2" s="559"/>
      <c r="Z2" s="559"/>
      <c r="AA2" s="559"/>
      <c r="AB2" s="559"/>
      <c r="AC2" s="559"/>
      <c r="AD2" s="559"/>
      <c r="AE2" s="559"/>
      <c r="AF2" s="559"/>
      <c r="AG2" s="559"/>
    </row>
    <row r="3" spans="1:33" ht="18" x14ac:dyDescent="0.35">
      <c r="A3" s="559"/>
      <c r="B3" s="559"/>
      <c r="C3" s="560">
        <f>IF(C19="Boulons et platines","Boulons et Platines GC",0)</f>
        <v>0</v>
      </c>
      <c r="D3" s="560">
        <f>IF(C3="Boulons et Platines GC","Nbre de Trous",0)</f>
        <v>0</v>
      </c>
      <c r="E3" s="561">
        <f>IF(C3="Boulons et Platines GC","Dim du Bord",0)</f>
        <v>0</v>
      </c>
      <c r="F3" s="560">
        <f>IF(C19="Boulons et platines","Boulons et Platines CV",0)</f>
        <v>0</v>
      </c>
      <c r="G3" s="560">
        <f>IF(F3="Boulons et Platines CV","Nbre de Trous",0)</f>
        <v>0</v>
      </c>
      <c r="H3" s="561">
        <f>IF(F3="Boulons et Platines CV","Dim du Bord",0)</f>
        <v>0</v>
      </c>
      <c r="I3" s="559"/>
      <c r="J3" s="559"/>
      <c r="K3" s="559"/>
      <c r="L3" s="559"/>
      <c r="M3" s="559"/>
      <c r="N3" s="559"/>
      <c r="O3" s="559"/>
      <c r="P3" s="559"/>
      <c r="Q3" s="559"/>
      <c r="R3" s="559"/>
      <c r="S3" s="559"/>
      <c r="T3" s="559"/>
      <c r="U3" s="559"/>
      <c r="V3" s="559"/>
      <c r="W3" s="559"/>
      <c r="X3" s="559"/>
      <c r="Y3" s="559"/>
      <c r="Z3" s="559"/>
      <c r="AA3" s="559"/>
      <c r="AB3" s="559"/>
      <c r="AC3" s="559"/>
      <c r="AD3" s="559"/>
      <c r="AE3" s="559"/>
      <c r="AF3" s="559"/>
      <c r="AG3" s="559"/>
    </row>
    <row r="4" spans="1:33" ht="18" x14ac:dyDescent="0.35">
      <c r="A4" s="559"/>
      <c r="B4" s="559"/>
      <c r="C4" s="562">
        <f>IF(C19="Vis bois",0,"Trous dans la Longueur")</f>
        <v>0</v>
      </c>
      <c r="D4" s="563">
        <f>IF(C4=0,0,IF(C42&lt;100,2,IF(C42&lt;150,3,IF(C42&lt;200,4,IF(C42&lt;250,5,IF(C42&lt;300,6,7))))))</f>
        <v>0</v>
      </c>
      <c r="E4" s="564">
        <f>IF(D4=0,0,IF(D4=2,0,IF(D4=3,0,(($C$42-32)/(D4-1))+16)))</f>
        <v>0</v>
      </c>
      <c r="F4" s="562">
        <f>IF(C19="Vis bois",0,"Trous dans la Longueur")</f>
        <v>0</v>
      </c>
      <c r="G4" s="563">
        <f>IF(F4=0,0,IF(C43&lt;100,2,IF(C43&lt;150,3,IF(C43&lt;200,4,IF(C43&lt;250,5,IF(C43&lt;300,6,7))))))</f>
        <v>0</v>
      </c>
      <c r="H4" s="564">
        <f>IF(G4=0,0,IF(G4=2,0,IF(G4=3,0,(($C$43-32)/(G4-1))+16)))</f>
        <v>0</v>
      </c>
      <c r="I4" s="559"/>
      <c r="J4" s="559"/>
      <c r="K4" s="559"/>
      <c r="L4" s="559"/>
      <c r="M4" s="559"/>
      <c r="N4" s="559"/>
      <c r="O4" s="559"/>
      <c r="P4" s="559"/>
      <c r="Q4" s="559"/>
      <c r="R4" s="559"/>
      <c r="S4" s="559"/>
      <c r="T4" s="559"/>
      <c r="U4" s="559"/>
      <c r="V4" s="559"/>
      <c r="W4" s="559"/>
      <c r="X4" s="559"/>
      <c r="Y4" s="559"/>
      <c r="Z4" s="559"/>
      <c r="AA4" s="559"/>
      <c r="AB4" s="559"/>
      <c r="AC4" s="559"/>
      <c r="AD4" s="559"/>
      <c r="AE4" s="559"/>
      <c r="AF4" s="559"/>
      <c r="AG4" s="559"/>
    </row>
    <row r="5" spans="1:33" ht="18" x14ac:dyDescent="0.35">
      <c r="A5" s="559"/>
      <c r="B5" s="559"/>
      <c r="C5" s="565">
        <f>IF(D4=6,"2ème Trou",IF(D4=7,"2ème Trou",0))</f>
        <v>0</v>
      </c>
      <c r="D5" s="559"/>
      <c r="E5" s="564">
        <f>IF(C5=0,0,E4+E4-16)</f>
        <v>0</v>
      </c>
      <c r="F5" s="565">
        <f>IF(G4=6,"2ème Trou",IF(G4=7,"2ème Trou",0))</f>
        <v>0</v>
      </c>
      <c r="G5" s="559"/>
      <c r="H5" s="564">
        <f>IF(F5=0,0,H4+H4-16)</f>
        <v>0</v>
      </c>
      <c r="I5" s="559"/>
      <c r="J5" s="559"/>
      <c r="K5" s="559"/>
      <c r="L5" s="559"/>
      <c r="M5" s="559"/>
      <c r="N5" s="559"/>
      <c r="O5" s="559"/>
      <c r="P5" s="559"/>
      <c r="Q5" s="559"/>
      <c r="R5" s="559"/>
      <c r="S5" s="559"/>
      <c r="T5" s="559"/>
      <c r="U5" s="559"/>
      <c r="V5" s="559"/>
      <c r="W5" s="559"/>
      <c r="X5" s="559"/>
      <c r="Y5" s="559"/>
      <c r="Z5" s="559"/>
      <c r="AA5" s="559"/>
      <c r="AB5" s="559"/>
      <c r="AC5" s="559"/>
      <c r="AD5" s="559"/>
      <c r="AE5" s="559"/>
      <c r="AF5" s="559"/>
      <c r="AG5" s="559"/>
    </row>
    <row r="6" spans="1:33" ht="18" x14ac:dyDescent="0.35">
      <c r="A6" s="559"/>
      <c r="B6" s="559"/>
      <c r="C6" s="562">
        <f>IF(C19="Vis bois",0,"Trous dans la Hauteur")</f>
        <v>0</v>
      </c>
      <c r="D6" s="563">
        <f>IF(C6=0,0,IF(D42&lt;100,2,IF(D42&lt;150,3,IF(D42&lt;200,4,IF(D42&lt;250,5,IF(D42&lt;310,6,7))))))</f>
        <v>0</v>
      </c>
      <c r="E6" s="564">
        <f>IF(D6=0,0,IF(D6=2,0,IF(D6=3,0,(($D$42-32)/(D6-1))+16)))</f>
        <v>0</v>
      </c>
      <c r="F6" s="562">
        <f>IF(C19="Vis bois",0,"Trous dans la Largeur")</f>
        <v>0</v>
      </c>
      <c r="G6" s="563">
        <f>IF(F6=0,0,IF(D43&lt;50,1,IF(D43&lt;100,2,IF(D43&lt;150,3,IF(D43&lt;200,4,IF(D43&lt;250,5,IF(D43&lt;310,6,7)))))))</f>
        <v>0</v>
      </c>
      <c r="H6" s="564">
        <f>IF(G6=0,0,IF(G6=1,0,IF(G6=2,0,IF(G6=3,0,(($D$43-32)/(G6-1))+16))))</f>
        <v>0</v>
      </c>
      <c r="I6" s="559"/>
      <c r="J6" s="559"/>
      <c r="K6" s="559"/>
      <c r="L6" s="559"/>
      <c r="M6" s="559"/>
      <c r="N6" s="559"/>
      <c r="O6" s="559"/>
      <c r="P6" s="559"/>
      <c r="Q6" s="559"/>
      <c r="R6" s="559"/>
      <c r="S6" s="559"/>
      <c r="T6" s="559"/>
      <c r="U6" s="559"/>
      <c r="V6" s="559"/>
      <c r="W6" s="559"/>
      <c r="X6" s="559"/>
      <c r="Y6" s="559"/>
      <c r="Z6" s="559"/>
      <c r="AA6" s="559"/>
      <c r="AB6" s="559"/>
      <c r="AC6" s="559"/>
      <c r="AD6" s="559"/>
      <c r="AE6" s="559"/>
      <c r="AF6" s="559"/>
      <c r="AG6" s="559"/>
    </row>
    <row r="7" spans="1:33" ht="18" x14ac:dyDescent="0.35">
      <c r="A7" s="559"/>
      <c r="B7" s="559"/>
      <c r="C7" s="566">
        <f>IF(D6=6,"2ème Trou",IF(D6=7,"2ème Trou",0))</f>
        <v>0</v>
      </c>
      <c r="D7" s="567"/>
      <c r="E7" s="568">
        <f>IF(C7=0,0,E6+E6-16)</f>
        <v>0</v>
      </c>
      <c r="F7" s="566">
        <f>IF(G6=6,"2ème Trou",IF(G6=7,"2ème Trou",0))</f>
        <v>0</v>
      </c>
      <c r="G7" s="567"/>
      <c r="H7" s="568">
        <f>IF(F7=0,0,H6+H6-16)</f>
        <v>0</v>
      </c>
      <c r="I7" s="559"/>
      <c r="J7" s="559"/>
      <c r="K7" s="559"/>
      <c r="L7" s="559"/>
      <c r="M7" s="559"/>
      <c r="N7" s="559"/>
      <c r="O7" s="559"/>
      <c r="P7" s="559"/>
      <c r="Q7" s="559"/>
      <c r="R7" s="559"/>
      <c r="S7" s="559"/>
      <c r="T7" s="559"/>
      <c r="U7" s="559"/>
      <c r="V7" s="559"/>
      <c r="W7" s="559"/>
      <c r="X7" s="559"/>
      <c r="Y7" s="559"/>
      <c r="Z7" s="559"/>
      <c r="AA7" s="559"/>
      <c r="AB7" s="559"/>
      <c r="AC7" s="559"/>
      <c r="AD7" s="559"/>
      <c r="AE7" s="559"/>
      <c r="AF7" s="559"/>
      <c r="AG7" s="559"/>
    </row>
    <row r="8" spans="1:33" ht="18" x14ac:dyDescent="0.35">
      <c r="A8" s="559"/>
      <c r="B8" s="559"/>
      <c r="C8" s="559"/>
      <c r="D8" s="559"/>
      <c r="E8" s="559"/>
      <c r="F8" s="563"/>
      <c r="G8" s="559"/>
      <c r="H8" s="559"/>
      <c r="I8" s="559"/>
      <c r="J8" s="559"/>
      <c r="K8" s="559"/>
      <c r="L8" s="559"/>
      <c r="M8" s="559"/>
      <c r="N8" s="559"/>
      <c r="O8" s="559"/>
      <c r="P8" s="559"/>
      <c r="Q8" s="559"/>
      <c r="R8" s="559"/>
      <c r="S8" s="559"/>
      <c r="T8" s="559"/>
      <c r="U8" s="559"/>
      <c r="V8" s="559"/>
      <c r="W8" s="559"/>
      <c r="X8" s="559"/>
      <c r="Y8" s="559"/>
      <c r="Z8" s="559"/>
      <c r="AA8" s="559"/>
      <c r="AB8" s="559"/>
      <c r="AC8" s="559"/>
      <c r="AD8" s="559"/>
      <c r="AE8" s="559"/>
      <c r="AF8" s="559"/>
      <c r="AG8" s="559"/>
    </row>
    <row r="9" spans="1:33" ht="18" x14ac:dyDescent="0.35">
      <c r="A9" s="559"/>
      <c r="B9" s="559" t="s">
        <v>1</v>
      </c>
      <c r="C9" s="20"/>
      <c r="D9" s="559"/>
      <c r="E9" s="563" t="s">
        <v>2</v>
      </c>
      <c r="F9" s="22" t="s">
        <v>664</v>
      </c>
      <c r="G9" s="559"/>
      <c r="H9" s="559"/>
      <c r="I9" s="559"/>
      <c r="J9" s="559"/>
      <c r="K9" s="559"/>
      <c r="L9" s="559"/>
      <c r="M9" s="559"/>
      <c r="N9" s="559"/>
      <c r="O9" s="559"/>
      <c r="P9" s="559"/>
      <c r="Q9" s="559"/>
      <c r="R9" s="559"/>
      <c r="S9" s="559"/>
      <c r="T9" s="559"/>
      <c r="U9" s="559"/>
      <c r="V9" s="559"/>
      <c r="W9" s="559"/>
      <c r="X9" s="559"/>
      <c r="Y9" s="559"/>
      <c r="Z9" s="559"/>
      <c r="AA9" s="559"/>
      <c r="AB9" s="559"/>
      <c r="AC9" s="559"/>
      <c r="AD9" s="559"/>
      <c r="AE9" s="559"/>
      <c r="AF9" s="559"/>
      <c r="AG9" s="559"/>
    </row>
    <row r="10" spans="1:33" ht="18" x14ac:dyDescent="0.35">
      <c r="A10" s="559"/>
      <c r="B10" s="559" t="s">
        <v>4</v>
      </c>
      <c r="C10" s="23"/>
      <c r="D10" s="559"/>
      <c r="E10" s="563" t="s">
        <v>5</v>
      </c>
      <c r="F10" s="569" t="s">
        <v>6</v>
      </c>
      <c r="G10" s="559"/>
      <c r="H10" s="570"/>
      <c r="I10" s="559"/>
      <c r="J10" s="559"/>
      <c r="K10" s="559"/>
      <c r="L10" s="559"/>
      <c r="M10" s="559"/>
      <c r="N10" s="559"/>
      <c r="O10" s="559"/>
      <c r="P10" s="559"/>
      <c r="Q10" s="559"/>
      <c r="R10" s="559"/>
      <c r="S10" s="559"/>
      <c r="T10" s="559"/>
      <c r="U10" s="559"/>
      <c r="V10" s="559"/>
      <c r="W10" s="559"/>
      <c r="X10" s="559"/>
      <c r="Y10" s="559"/>
      <c r="Z10" s="559"/>
      <c r="AA10" s="559"/>
      <c r="AB10" s="559"/>
      <c r="AC10" s="559"/>
      <c r="AD10" s="559"/>
      <c r="AE10" s="559"/>
      <c r="AF10" s="559"/>
      <c r="AG10" s="559"/>
    </row>
    <row r="11" spans="1:33" ht="18" x14ac:dyDescent="0.35">
      <c r="A11" s="559"/>
      <c r="B11" s="559" t="s">
        <v>138</v>
      </c>
      <c r="C11" s="20"/>
      <c r="D11" s="559"/>
      <c r="E11" s="571" t="s">
        <v>8</v>
      </c>
      <c r="F11" s="25"/>
      <c r="G11" s="559"/>
      <c r="H11" s="559"/>
      <c r="I11" s="559"/>
      <c r="J11" s="559"/>
      <c r="K11" s="559"/>
      <c r="L11" s="559"/>
      <c r="M11" s="559"/>
      <c r="N11" s="559"/>
      <c r="O11" s="559"/>
      <c r="P11" s="559"/>
      <c r="Q11" s="559"/>
      <c r="R11" s="559"/>
      <c r="S11" s="559"/>
      <c r="T11" s="559"/>
      <c r="U11" s="559"/>
      <c r="V11" s="559"/>
      <c r="W11" s="559"/>
      <c r="X11" s="559"/>
      <c r="Y11" s="559"/>
      <c r="Z11" s="559"/>
      <c r="AA11" s="559"/>
      <c r="AB11" s="559"/>
      <c r="AC11" s="559"/>
      <c r="AD11" s="559"/>
      <c r="AE11" s="559"/>
      <c r="AF11" s="559"/>
      <c r="AG11" s="559"/>
    </row>
    <row r="12" spans="1:33" ht="18" x14ac:dyDescent="0.35">
      <c r="A12" s="559"/>
      <c r="B12" s="559"/>
      <c r="C12" s="563"/>
      <c r="D12" s="559"/>
      <c r="E12" s="571"/>
      <c r="F12" s="559"/>
      <c r="G12" s="559"/>
      <c r="H12" s="559"/>
      <c r="I12" s="1090" t="str">
        <f>VLOOKUP($F$10,'Infos Clients'!$B$2:$G$10,2)</f>
        <v>#VALUE!</v>
      </c>
      <c r="J12" s="1085"/>
      <c r="K12" s="1085"/>
      <c r="L12" s="1085"/>
      <c r="M12" s="1086"/>
      <c r="N12" s="559"/>
      <c r="O12" s="559"/>
      <c r="P12" s="559"/>
      <c r="Q12" s="559"/>
      <c r="R12" s="559"/>
      <c r="S12" s="559"/>
      <c r="T12" s="559"/>
      <c r="U12" s="559"/>
      <c r="V12" s="559"/>
      <c r="W12" s="559"/>
      <c r="X12" s="559"/>
      <c r="Y12" s="559"/>
      <c r="Z12" s="559"/>
      <c r="AA12" s="559"/>
      <c r="AB12" s="559"/>
      <c r="AC12" s="559"/>
      <c r="AD12" s="559"/>
      <c r="AE12" s="559"/>
      <c r="AF12" s="559"/>
      <c r="AG12" s="559"/>
    </row>
    <row r="13" spans="1:33" ht="21" x14ac:dyDescent="0.4">
      <c r="A13" s="559"/>
      <c r="B13" s="573" t="s">
        <v>9</v>
      </c>
      <c r="C13" s="23" t="s">
        <v>10</v>
      </c>
      <c r="D13" s="559"/>
      <c r="E13" s="1167"/>
      <c r="F13" s="1100"/>
      <c r="G13" s="1101"/>
      <c r="H13" s="559"/>
      <c r="I13" s="1091"/>
      <c r="J13" s="1097"/>
      <c r="K13" s="1097"/>
      <c r="L13" s="1097"/>
      <c r="M13" s="1092"/>
      <c r="N13" s="559"/>
      <c r="O13" s="559"/>
      <c r="P13" s="559"/>
      <c r="Q13" s="559"/>
      <c r="R13" s="559"/>
      <c r="S13" s="559"/>
      <c r="T13" s="559"/>
      <c r="U13" s="559"/>
      <c r="V13" s="559"/>
      <c r="W13" s="559"/>
      <c r="X13" s="559"/>
      <c r="Y13" s="559"/>
      <c r="Z13" s="559"/>
      <c r="AA13" s="559"/>
      <c r="AB13" s="559"/>
      <c r="AC13" s="559"/>
      <c r="AD13" s="559"/>
      <c r="AE13" s="559"/>
      <c r="AF13" s="559"/>
      <c r="AG13" s="559"/>
    </row>
    <row r="14" spans="1:33" ht="21" x14ac:dyDescent="0.4">
      <c r="A14" s="559"/>
      <c r="B14" s="573"/>
      <c r="C14" s="563"/>
      <c r="D14" s="559"/>
      <c r="E14" s="1167"/>
      <c r="F14" s="1100"/>
      <c r="G14" s="1101"/>
      <c r="H14" s="559"/>
      <c r="I14" s="1091"/>
      <c r="J14" s="1097"/>
      <c r="K14" s="1097"/>
      <c r="L14" s="1097"/>
      <c r="M14" s="1092"/>
      <c r="N14" s="559"/>
      <c r="O14" s="559"/>
      <c r="P14" s="559"/>
      <c r="Q14" s="559"/>
      <c r="R14" s="559"/>
      <c r="S14" s="559"/>
      <c r="T14" s="559"/>
      <c r="U14" s="559"/>
      <c r="V14" s="559"/>
      <c r="W14" s="559"/>
      <c r="X14" s="559"/>
      <c r="Y14" s="559"/>
      <c r="Z14" s="559"/>
      <c r="AA14" s="559"/>
      <c r="AB14" s="559"/>
      <c r="AC14" s="559"/>
      <c r="AD14" s="559"/>
      <c r="AE14" s="559"/>
      <c r="AF14" s="559"/>
      <c r="AG14" s="559"/>
    </row>
    <row r="15" spans="1:33" ht="18" x14ac:dyDescent="0.35">
      <c r="A15" s="559"/>
      <c r="B15" s="573" t="s">
        <v>11</v>
      </c>
      <c r="C15" s="23" t="s">
        <v>12</v>
      </c>
      <c r="D15" s="559"/>
      <c r="E15" s="574" t="s">
        <v>13</v>
      </c>
      <c r="F15" s="23" t="s">
        <v>14</v>
      </c>
      <c r="G15" s="559"/>
      <c r="H15" s="559"/>
      <c r="I15" s="1091"/>
      <c r="J15" s="1097"/>
      <c r="K15" s="1097"/>
      <c r="L15" s="1097"/>
      <c r="M15" s="1092"/>
      <c r="N15" s="559"/>
      <c r="O15" s="559"/>
      <c r="P15" s="559"/>
      <c r="Q15" s="559"/>
      <c r="R15" s="559"/>
      <c r="S15" s="559"/>
      <c r="T15" s="559"/>
      <c r="U15" s="559"/>
      <c r="V15" s="559"/>
      <c r="W15" s="559"/>
      <c r="X15" s="559"/>
      <c r="Y15" s="559"/>
      <c r="Z15" s="559"/>
      <c r="AA15" s="559"/>
      <c r="AB15" s="559"/>
      <c r="AC15" s="559"/>
      <c r="AD15" s="559"/>
      <c r="AE15" s="559"/>
      <c r="AF15" s="559"/>
      <c r="AG15" s="559"/>
    </row>
    <row r="16" spans="1:33" ht="18" x14ac:dyDescent="0.35">
      <c r="A16" s="559"/>
      <c r="B16" s="559"/>
      <c r="C16" s="563"/>
      <c r="D16" s="559"/>
      <c r="E16" s="1090"/>
      <c r="F16" s="1085"/>
      <c r="G16" s="1086"/>
      <c r="H16" s="559"/>
      <c r="I16" s="1091"/>
      <c r="J16" s="1097"/>
      <c r="K16" s="1097"/>
      <c r="L16" s="1097"/>
      <c r="M16" s="1092"/>
      <c r="N16" s="559"/>
      <c r="O16" s="559"/>
      <c r="P16" s="559"/>
      <c r="Q16" s="559"/>
      <c r="R16" s="559"/>
      <c r="S16" s="559"/>
      <c r="T16" s="559"/>
      <c r="U16" s="559"/>
      <c r="V16" s="559"/>
      <c r="W16" s="559"/>
      <c r="X16" s="559"/>
      <c r="Y16" s="559"/>
      <c r="Z16" s="559"/>
      <c r="AA16" s="559"/>
      <c r="AB16" s="559"/>
      <c r="AC16" s="559"/>
      <c r="AD16" s="559"/>
      <c r="AE16" s="559"/>
      <c r="AF16" s="559"/>
      <c r="AG16" s="559"/>
    </row>
    <row r="17" spans="1:33" ht="18" x14ac:dyDescent="0.35">
      <c r="A17" s="559"/>
      <c r="B17" s="573" t="s">
        <v>15</v>
      </c>
      <c r="C17" s="23" t="s">
        <v>16</v>
      </c>
      <c r="D17" s="559"/>
      <c r="E17" s="1091"/>
      <c r="F17" s="1097"/>
      <c r="G17" s="1092"/>
      <c r="H17" s="559"/>
      <c r="I17" s="1087"/>
      <c r="J17" s="1088"/>
      <c r="K17" s="1088"/>
      <c r="L17" s="1088"/>
      <c r="M17" s="1089"/>
      <c r="N17" s="559"/>
      <c r="O17" s="559"/>
      <c r="P17" s="559"/>
      <c r="Q17" s="559"/>
      <c r="R17" s="559"/>
      <c r="S17" s="559"/>
      <c r="T17" s="559"/>
      <c r="U17" s="559"/>
      <c r="V17" s="559"/>
      <c r="W17" s="559"/>
      <c r="X17" s="559"/>
      <c r="Y17" s="559"/>
      <c r="Z17" s="559"/>
      <c r="AA17" s="559"/>
      <c r="AB17" s="559"/>
      <c r="AC17" s="559"/>
      <c r="AD17" s="559"/>
      <c r="AE17" s="559"/>
      <c r="AF17" s="559"/>
      <c r="AG17" s="559"/>
    </row>
    <row r="18" spans="1:33" ht="18" x14ac:dyDescent="0.35">
      <c r="A18" s="559"/>
      <c r="B18" s="559"/>
      <c r="C18" s="563"/>
      <c r="D18" s="559"/>
      <c r="E18" s="1087"/>
      <c r="F18" s="1088"/>
      <c r="G18" s="1089"/>
      <c r="H18" s="559"/>
      <c r="I18" s="559"/>
      <c r="J18" s="559"/>
      <c r="K18" s="559"/>
      <c r="L18" s="559"/>
      <c r="M18" s="559"/>
      <c r="N18" s="559"/>
      <c r="O18" s="559"/>
      <c r="P18" s="559"/>
      <c r="Q18" s="559"/>
      <c r="R18" s="559"/>
      <c r="S18" s="559"/>
      <c r="T18" s="559"/>
      <c r="U18" s="559"/>
      <c r="V18" s="559"/>
      <c r="W18" s="559"/>
      <c r="X18" s="559"/>
      <c r="Y18" s="559"/>
      <c r="Z18" s="559"/>
      <c r="AA18" s="559"/>
      <c r="AB18" s="559"/>
      <c r="AC18" s="559"/>
      <c r="AD18" s="559"/>
      <c r="AE18" s="559"/>
      <c r="AF18" s="559"/>
      <c r="AG18" s="559"/>
    </row>
    <row r="19" spans="1:33" ht="18" x14ac:dyDescent="0.35">
      <c r="A19" s="559"/>
      <c r="B19" s="573" t="s">
        <v>17</v>
      </c>
      <c r="C19" s="23" t="s">
        <v>18</v>
      </c>
      <c r="D19" s="559"/>
      <c r="E19" s="574" t="s">
        <v>19</v>
      </c>
      <c r="F19" s="23" t="s">
        <v>20</v>
      </c>
      <c r="G19" s="559"/>
      <c r="H19" s="559"/>
      <c r="I19" s="559"/>
      <c r="J19" s="559"/>
      <c r="K19" s="559"/>
      <c r="L19" s="559"/>
      <c r="M19" s="559"/>
      <c r="N19" s="559"/>
      <c r="O19" s="559"/>
      <c r="P19" s="559"/>
      <c r="Q19" s="559"/>
      <c r="R19" s="559"/>
      <c r="S19" s="559"/>
      <c r="T19" s="559"/>
      <c r="U19" s="559"/>
      <c r="V19" s="559"/>
      <c r="W19" s="559"/>
      <c r="X19" s="559"/>
      <c r="Y19" s="559"/>
      <c r="Z19" s="559"/>
      <c r="AA19" s="559"/>
      <c r="AB19" s="559"/>
      <c r="AC19" s="559"/>
      <c r="AD19" s="559"/>
      <c r="AE19" s="559"/>
      <c r="AF19" s="559"/>
      <c r="AG19" s="559"/>
    </row>
    <row r="20" spans="1:33" ht="18" x14ac:dyDescent="0.35">
      <c r="A20" s="559"/>
      <c r="B20" s="559"/>
      <c r="C20" s="563"/>
      <c r="D20" s="559"/>
      <c r="E20" s="573">
        <f>IF(F19="Oui","Type de Peinture",0)</f>
        <v>0</v>
      </c>
      <c r="F20" s="1168">
        <f>IF(F19="Non",0,VLOOKUP(F10,'[1]Infos Clients'!B2:E10,4))</f>
        <v>0</v>
      </c>
      <c r="G20" s="1101"/>
      <c r="H20" s="559"/>
      <c r="I20" s="559"/>
      <c r="J20" s="559"/>
      <c r="K20" s="559"/>
      <c r="L20" s="559"/>
      <c r="M20" s="559"/>
      <c r="N20" s="559"/>
      <c r="O20" s="559"/>
      <c r="P20" s="559"/>
      <c r="Q20" s="559"/>
      <c r="R20" s="559"/>
      <c r="S20" s="559"/>
      <c r="T20" s="559"/>
      <c r="U20" s="559"/>
      <c r="V20" s="559"/>
      <c r="W20" s="559"/>
      <c r="X20" s="559"/>
      <c r="Y20" s="559"/>
      <c r="Z20" s="559"/>
      <c r="AA20" s="559"/>
      <c r="AB20" s="559"/>
      <c r="AC20" s="559"/>
      <c r="AD20" s="559"/>
      <c r="AE20" s="559"/>
      <c r="AF20" s="559"/>
      <c r="AG20" s="559"/>
    </row>
    <row r="21" spans="1:33" ht="18" x14ac:dyDescent="0.35">
      <c r="A21" s="559"/>
      <c r="B21" s="573" t="s">
        <v>21</v>
      </c>
      <c r="C21" s="23" t="str">
        <f>IF(F21="Skis","Bois","Non")</f>
        <v>Non</v>
      </c>
      <c r="D21" s="559"/>
      <c r="E21" s="574" t="s">
        <v>24</v>
      </c>
      <c r="F21" s="1157" t="s">
        <v>135</v>
      </c>
      <c r="G21" s="1158"/>
      <c r="H21" s="559"/>
      <c r="I21" s="559"/>
      <c r="J21" s="559"/>
      <c r="K21" s="559"/>
      <c r="L21" s="559"/>
      <c r="M21" s="559"/>
      <c r="N21" s="559"/>
      <c r="O21" s="559"/>
      <c r="P21" s="559"/>
      <c r="Q21" s="559"/>
      <c r="R21" s="559"/>
      <c r="S21" s="559"/>
      <c r="T21" s="559"/>
      <c r="U21" s="559"/>
      <c r="V21" s="559"/>
      <c r="W21" s="559"/>
      <c r="X21" s="559"/>
      <c r="Y21" s="559"/>
      <c r="Z21" s="559"/>
      <c r="AA21" s="559"/>
      <c r="AB21" s="559"/>
      <c r="AC21" s="559"/>
      <c r="AD21" s="559"/>
      <c r="AE21" s="559"/>
      <c r="AF21" s="559"/>
      <c r="AG21" s="559"/>
    </row>
    <row r="22" spans="1:33" ht="18" x14ac:dyDescent="0.35">
      <c r="A22" s="559"/>
      <c r="B22" s="573"/>
      <c r="C22" s="559"/>
      <c r="D22" s="559"/>
      <c r="E22" s="610"/>
      <c r="F22" s="718"/>
      <c r="G22" s="718"/>
      <c r="H22" s="559"/>
      <c r="I22" s="559"/>
      <c r="J22" s="559"/>
      <c r="K22" s="559"/>
      <c r="L22" s="559"/>
      <c r="M22" s="559"/>
      <c r="N22" s="559"/>
      <c r="O22" s="559"/>
      <c r="P22" s="559"/>
      <c r="Q22" s="559"/>
      <c r="R22" s="559"/>
      <c r="S22" s="559"/>
      <c r="T22" s="559"/>
      <c r="U22" s="559"/>
      <c r="V22" s="559"/>
      <c r="W22" s="559"/>
      <c r="X22" s="559"/>
      <c r="Y22" s="559"/>
      <c r="Z22" s="559"/>
      <c r="AA22" s="559"/>
      <c r="AB22" s="559"/>
      <c r="AC22" s="559"/>
      <c r="AD22" s="559"/>
      <c r="AE22" s="559"/>
      <c r="AF22" s="559"/>
      <c r="AG22" s="559"/>
    </row>
    <row r="23" spans="1:33" ht="18" x14ac:dyDescent="0.35">
      <c r="A23" s="559"/>
      <c r="B23" s="573" t="s">
        <v>387</v>
      </c>
      <c r="C23" s="23" t="s">
        <v>388</v>
      </c>
      <c r="D23" s="559"/>
      <c r="E23" s="719" t="s">
        <v>299</v>
      </c>
      <c r="F23" s="29" t="s">
        <v>16</v>
      </c>
      <c r="G23" s="571"/>
      <c r="H23" s="559"/>
      <c r="I23" s="559"/>
      <c r="J23" s="559"/>
      <c r="K23" s="559"/>
      <c r="L23" s="559"/>
      <c r="M23" s="559"/>
      <c r="N23" s="559"/>
      <c r="O23" s="559"/>
      <c r="P23" s="559"/>
      <c r="Q23" s="559"/>
      <c r="R23" s="559"/>
      <c r="S23" s="559"/>
      <c r="T23" s="559"/>
      <c r="U23" s="559"/>
      <c r="V23" s="559"/>
      <c r="W23" s="559"/>
      <c r="X23" s="559"/>
      <c r="Y23" s="559"/>
      <c r="Z23" s="559"/>
      <c r="AA23" s="559"/>
      <c r="AB23" s="559"/>
      <c r="AC23" s="559"/>
      <c r="AD23" s="559"/>
      <c r="AE23" s="559"/>
      <c r="AF23" s="559"/>
      <c r="AG23" s="559"/>
    </row>
    <row r="24" spans="1:33" ht="46.2" x14ac:dyDescent="0.35">
      <c r="A24" s="559"/>
      <c r="B24" s="573"/>
      <c r="C24" s="720">
        <f>IF(F23="Aucun",0,F23)</f>
        <v>0</v>
      </c>
      <c r="D24" s="559"/>
      <c r="E24" s="721" t="s">
        <v>301</v>
      </c>
      <c r="F24" s="560" t="str">
        <f>VLOOKUP(C29,A124:U135,20)</f>
        <v>GC + Couvercle</v>
      </c>
      <c r="G24" s="559"/>
      <c r="H24" s="559"/>
      <c r="I24" s="559"/>
      <c r="J24" s="559"/>
      <c r="K24" s="559"/>
      <c r="L24" s="559"/>
      <c r="M24" s="559"/>
      <c r="N24" s="559"/>
      <c r="O24" s="559"/>
      <c r="P24" s="559"/>
      <c r="Q24" s="559"/>
      <c r="R24" s="559"/>
      <c r="S24" s="559"/>
      <c r="T24" s="559"/>
      <c r="U24" s="559"/>
      <c r="V24" s="559"/>
      <c r="W24" s="559"/>
      <c r="X24" s="559"/>
      <c r="Y24" s="559"/>
      <c r="Z24" s="559"/>
      <c r="AA24" s="559"/>
      <c r="AB24" s="559"/>
      <c r="AC24" s="559"/>
      <c r="AD24" s="559"/>
      <c r="AE24" s="559"/>
      <c r="AF24" s="559"/>
      <c r="AG24" s="559"/>
    </row>
    <row r="25" spans="1:33" ht="18" x14ac:dyDescent="0.35">
      <c r="A25" s="559"/>
      <c r="B25" s="573"/>
      <c r="C25" s="559"/>
      <c r="D25" s="559"/>
      <c r="E25" s="571"/>
      <c r="F25" s="571"/>
      <c r="G25" s="571"/>
      <c r="H25" s="559"/>
      <c r="I25" s="559"/>
      <c r="J25" s="559"/>
      <c r="K25" s="559"/>
      <c r="L25" s="559"/>
      <c r="M25" s="559"/>
      <c r="N25" s="559"/>
      <c r="O25" s="559"/>
      <c r="P25" s="559"/>
      <c r="Q25" s="559"/>
      <c r="R25" s="559"/>
      <c r="S25" s="559"/>
      <c r="T25" s="559"/>
      <c r="U25" s="559"/>
      <c r="V25" s="559"/>
      <c r="W25" s="559"/>
      <c r="X25" s="559"/>
      <c r="Y25" s="559"/>
      <c r="Z25" s="559"/>
      <c r="AA25" s="559"/>
      <c r="AB25" s="559"/>
      <c r="AC25" s="559"/>
      <c r="AD25" s="559"/>
      <c r="AE25" s="559"/>
      <c r="AF25" s="559"/>
      <c r="AG25" s="559"/>
    </row>
    <row r="26" spans="1:33" ht="18" x14ac:dyDescent="0.35">
      <c r="A26" s="559"/>
      <c r="B26" s="559"/>
      <c r="C26" s="579" t="s">
        <v>28</v>
      </c>
      <c r="D26" s="579" t="s">
        <v>29</v>
      </c>
      <c r="E26" s="579" t="s">
        <v>30</v>
      </c>
      <c r="F26" s="559"/>
      <c r="G26" s="559"/>
      <c r="H26" s="559"/>
      <c r="I26" s="559"/>
      <c r="J26" s="559"/>
      <c r="K26" s="559"/>
      <c r="L26" s="559"/>
      <c r="M26" s="559"/>
      <c r="N26" s="559"/>
      <c r="O26" s="559"/>
      <c r="P26" s="559"/>
      <c r="Q26" s="559"/>
      <c r="R26" s="559"/>
      <c r="S26" s="559"/>
      <c r="T26" s="559"/>
      <c r="U26" s="559"/>
      <c r="V26" s="559"/>
      <c r="W26" s="559"/>
      <c r="X26" s="559"/>
      <c r="Y26" s="559"/>
      <c r="Z26" s="559"/>
      <c r="AA26" s="559"/>
      <c r="AB26" s="559"/>
      <c r="AC26" s="559"/>
      <c r="AD26" s="559"/>
      <c r="AE26" s="559"/>
      <c r="AF26" s="559"/>
      <c r="AG26" s="559"/>
    </row>
    <row r="27" spans="1:33" ht="18" x14ac:dyDescent="0.35">
      <c r="A27" s="559"/>
      <c r="B27" s="573" t="s">
        <v>303</v>
      </c>
      <c r="C27" s="581"/>
      <c r="D27" s="581"/>
      <c r="E27" s="581"/>
      <c r="F27" s="559"/>
      <c r="G27" s="559"/>
      <c r="H27" s="559"/>
      <c r="I27" s="559"/>
      <c r="J27" s="559"/>
      <c r="K27" s="559"/>
      <c r="L27" s="559"/>
      <c r="M27" s="559"/>
      <c r="N27" s="559"/>
      <c r="O27" s="559"/>
      <c r="P27" s="559"/>
      <c r="Q27" s="559"/>
      <c r="R27" s="559"/>
      <c r="S27" s="559"/>
      <c r="T27" s="559"/>
      <c r="U27" s="559"/>
      <c r="V27" s="559"/>
      <c r="W27" s="559"/>
      <c r="X27" s="559"/>
      <c r="Y27" s="559"/>
      <c r="Z27" s="559"/>
      <c r="AA27" s="559"/>
      <c r="AB27" s="559"/>
      <c r="AC27" s="559"/>
      <c r="AD27" s="559"/>
      <c r="AE27" s="559"/>
      <c r="AF27" s="559"/>
      <c r="AG27" s="559"/>
    </row>
    <row r="28" spans="1:33" ht="18" x14ac:dyDescent="0.35">
      <c r="A28" s="559"/>
      <c r="B28" s="559"/>
      <c r="C28" s="559"/>
      <c r="D28" s="559"/>
      <c r="E28" s="559"/>
      <c r="F28" s="559"/>
      <c r="G28" s="559"/>
      <c r="H28" s="559"/>
      <c r="I28" s="559"/>
      <c r="J28" s="559"/>
      <c r="K28" s="559"/>
      <c r="L28" s="559"/>
      <c r="M28" s="559"/>
      <c r="N28" s="559"/>
      <c r="O28" s="559"/>
      <c r="P28" s="559"/>
      <c r="Q28" s="559"/>
      <c r="R28" s="559"/>
      <c r="S28" s="559"/>
      <c r="T28" s="559"/>
      <c r="U28" s="559"/>
      <c r="V28" s="559"/>
      <c r="W28" s="559"/>
      <c r="X28" s="559"/>
      <c r="Y28" s="559"/>
      <c r="Z28" s="559"/>
      <c r="AA28" s="559"/>
      <c r="AB28" s="559"/>
      <c r="AC28" s="559"/>
      <c r="AD28" s="559"/>
      <c r="AE28" s="559"/>
      <c r="AF28" s="559"/>
      <c r="AG28" s="559"/>
    </row>
    <row r="29" spans="1:33" ht="18" x14ac:dyDescent="0.35">
      <c r="A29" s="559"/>
      <c r="B29" s="722" t="s">
        <v>31</v>
      </c>
      <c r="C29" s="583" t="s">
        <v>16</v>
      </c>
      <c r="D29" s="1171">
        <f>VLOOKUP(C29,'[1]Objet 1'!$A$136:$M$149,13)</f>
        <v>0</v>
      </c>
      <c r="E29" s="1172"/>
      <c r="F29" s="181" t="s">
        <v>305</v>
      </c>
      <c r="G29" s="584"/>
      <c r="H29" s="559"/>
      <c r="I29" s="559"/>
      <c r="J29" s="559"/>
      <c r="K29" s="559"/>
      <c r="L29" s="559"/>
      <c r="M29" s="559"/>
      <c r="N29" s="559"/>
      <c r="O29" s="559"/>
      <c r="P29" s="559"/>
      <c r="Q29" s="559"/>
      <c r="R29" s="559"/>
      <c r="S29" s="559"/>
      <c r="T29" s="559"/>
      <c r="U29" s="559"/>
      <c r="V29" s="559"/>
      <c r="W29" s="559"/>
      <c r="X29" s="559"/>
      <c r="Y29" s="559"/>
      <c r="Z29" s="559"/>
      <c r="AA29" s="559"/>
      <c r="AB29" s="559"/>
      <c r="AC29" s="559"/>
      <c r="AD29" s="559"/>
      <c r="AE29" s="559"/>
      <c r="AF29" s="559"/>
      <c r="AG29" s="559"/>
    </row>
    <row r="30" spans="1:33" ht="18" x14ac:dyDescent="0.35">
      <c r="A30" s="559"/>
      <c r="B30" s="585"/>
      <c r="C30" s="586"/>
      <c r="D30" s="559"/>
      <c r="E30" s="559"/>
      <c r="F30" s="559"/>
      <c r="G30" s="559"/>
      <c r="H30" s="559"/>
      <c r="I30" s="559"/>
      <c r="J30" s="559"/>
      <c r="K30" s="559"/>
      <c r="L30" s="559"/>
      <c r="M30" s="559"/>
      <c r="N30" s="559"/>
      <c r="O30" s="559"/>
      <c r="P30" s="559"/>
      <c r="Q30" s="559"/>
      <c r="R30" s="559"/>
      <c r="S30" s="559"/>
      <c r="T30" s="559"/>
      <c r="U30" s="559"/>
      <c r="V30" s="559"/>
      <c r="W30" s="559"/>
      <c r="X30" s="559"/>
      <c r="Y30" s="559"/>
      <c r="Z30" s="559"/>
      <c r="AA30" s="559"/>
      <c r="AB30" s="559"/>
      <c r="AC30" s="559"/>
      <c r="AD30" s="559"/>
      <c r="AE30" s="559"/>
      <c r="AF30" s="559"/>
      <c r="AG30" s="559"/>
    </row>
    <row r="31" spans="1:33" ht="18" x14ac:dyDescent="0.35">
      <c r="A31" s="559"/>
      <c r="B31" s="723" t="s">
        <v>306</v>
      </c>
      <c r="C31" s="181" t="s">
        <v>16</v>
      </c>
      <c r="D31" s="571"/>
      <c r="E31" s="559"/>
      <c r="F31" s="559"/>
      <c r="G31" s="559"/>
      <c r="H31" s="559"/>
      <c r="I31" s="559"/>
      <c r="J31" s="559"/>
      <c r="K31" s="559"/>
      <c r="L31" s="559"/>
      <c r="M31" s="559"/>
      <c r="N31" s="559"/>
      <c r="O31" s="559"/>
      <c r="P31" s="559"/>
      <c r="Q31" s="559"/>
      <c r="R31" s="559"/>
      <c r="S31" s="559"/>
      <c r="T31" s="559"/>
      <c r="U31" s="559"/>
      <c r="V31" s="559"/>
      <c r="W31" s="559"/>
      <c r="X31" s="559"/>
      <c r="Y31" s="559"/>
      <c r="Z31" s="559"/>
      <c r="AA31" s="559"/>
      <c r="AB31" s="559"/>
      <c r="AC31" s="559"/>
      <c r="AD31" s="559"/>
      <c r="AE31" s="559"/>
      <c r="AF31" s="559"/>
      <c r="AG31" s="559"/>
    </row>
    <row r="32" spans="1:33" ht="18" x14ac:dyDescent="0.35">
      <c r="A32" s="559"/>
      <c r="B32" s="724" t="s">
        <v>308</v>
      </c>
      <c r="C32" s="181" t="s">
        <v>16</v>
      </c>
      <c r="D32" s="571"/>
      <c r="E32" s="594"/>
      <c r="F32" s="595"/>
      <c r="G32" s="559"/>
      <c r="H32" s="559"/>
      <c r="I32" s="559"/>
      <c r="J32" s="559"/>
      <c r="K32" s="559"/>
      <c r="L32" s="559"/>
      <c r="M32" s="559"/>
      <c r="N32" s="559"/>
      <c r="O32" s="559"/>
      <c r="P32" s="559"/>
      <c r="Q32" s="559"/>
      <c r="R32" s="559"/>
      <c r="S32" s="559"/>
      <c r="T32" s="559"/>
      <c r="U32" s="559"/>
      <c r="V32" s="559"/>
      <c r="W32" s="559"/>
      <c r="X32" s="559"/>
      <c r="Y32" s="559"/>
      <c r="Z32" s="559"/>
      <c r="AA32" s="559"/>
      <c r="AB32" s="559"/>
      <c r="AC32" s="559"/>
      <c r="AD32" s="559"/>
      <c r="AE32" s="559"/>
      <c r="AF32" s="559"/>
      <c r="AG32" s="559"/>
    </row>
    <row r="33" spans="1:33" ht="18" x14ac:dyDescent="0.35">
      <c r="A33" s="559"/>
      <c r="B33" s="559"/>
      <c r="C33" s="559"/>
      <c r="D33" s="559"/>
      <c r="E33" s="559"/>
      <c r="F33" s="559"/>
      <c r="G33" s="559"/>
      <c r="H33" s="559"/>
      <c r="I33" s="559"/>
      <c r="J33" s="559"/>
      <c r="K33" s="559"/>
      <c r="L33" s="559"/>
      <c r="M33" s="559"/>
      <c r="N33" s="559"/>
      <c r="O33" s="559"/>
      <c r="P33" s="559"/>
      <c r="Q33" s="559"/>
      <c r="R33" s="559"/>
      <c r="S33" s="559"/>
      <c r="T33" s="559"/>
      <c r="U33" s="559"/>
      <c r="V33" s="559"/>
      <c r="W33" s="559"/>
      <c r="X33" s="559"/>
      <c r="Y33" s="559"/>
      <c r="Z33" s="559"/>
      <c r="AA33" s="559"/>
      <c r="AB33" s="559"/>
      <c r="AC33" s="559"/>
      <c r="AD33" s="559"/>
      <c r="AE33" s="559"/>
      <c r="AF33" s="559"/>
      <c r="AG33" s="559"/>
    </row>
    <row r="34" spans="1:33" ht="18" x14ac:dyDescent="0.35">
      <c r="A34" s="559"/>
      <c r="B34" s="606" t="s">
        <v>42</v>
      </c>
      <c r="C34" s="607">
        <f>C27+VLOOKUP($C$29,A124:S135,2)+VLOOKUP($C$17,A140:S146,2)+IF(VLOOKUP($C$29,A124:S135,18)+VLOOKUP($C$17,A140:S146,18)=2,3,0)</f>
        <v>0</v>
      </c>
      <c r="D34" s="607">
        <f>D27+VLOOKUP($C$29,A124:S135,3)+VLOOKUP($C$17,A140:S146,2)+IF(VLOOKUP($C$29,A124:S135,19)+VLOOKUP($C$17,A140:S146,19)=2,3,0)</f>
        <v>0</v>
      </c>
      <c r="E34" s="608">
        <f>E27+VLOOKUP($C$29,A124:S135,4)+VLOOKUP($C$17,A140:S146,2)+VLOOKUP($C$31,A165:B171,2)+VLOOKUP($C$32,A174:C182,3)</f>
        <v>0</v>
      </c>
      <c r="F34" s="559"/>
      <c r="G34" s="559"/>
      <c r="H34" s="559"/>
      <c r="I34" s="559"/>
      <c r="J34" s="559"/>
      <c r="K34" s="559"/>
      <c r="L34" s="559"/>
      <c r="M34" s="559"/>
      <c r="N34" s="559"/>
      <c r="O34" s="559"/>
      <c r="P34" s="559"/>
      <c r="Q34" s="559"/>
      <c r="R34" s="559"/>
      <c r="S34" s="559"/>
      <c r="T34" s="559"/>
      <c r="U34" s="559"/>
      <c r="V34" s="559"/>
      <c r="W34" s="559"/>
      <c r="X34" s="559"/>
      <c r="Y34" s="559"/>
      <c r="Z34" s="559"/>
      <c r="AA34" s="559"/>
      <c r="AB34" s="559"/>
      <c r="AC34" s="559"/>
      <c r="AD34" s="559"/>
      <c r="AE34" s="559"/>
      <c r="AF34" s="559"/>
      <c r="AG34" s="559"/>
    </row>
    <row r="35" spans="1:33" ht="18" x14ac:dyDescent="0.35">
      <c r="A35" s="559"/>
      <c r="B35" s="573"/>
      <c r="C35" s="573"/>
      <c r="D35" s="573"/>
      <c r="E35" s="573"/>
      <c r="F35" s="559"/>
      <c r="G35" s="725" t="s">
        <v>256</v>
      </c>
      <c r="H35" s="610"/>
      <c r="I35" s="559"/>
      <c r="J35" s="559"/>
      <c r="K35" s="559"/>
      <c r="L35" s="559"/>
      <c r="M35" s="559"/>
      <c r="N35" s="559"/>
      <c r="O35" s="559"/>
      <c r="P35" s="559"/>
      <c r="Q35" s="559"/>
      <c r="R35" s="559"/>
      <c r="S35" s="559"/>
      <c r="T35" s="559"/>
      <c r="U35" s="559"/>
      <c r="V35" s="559"/>
      <c r="W35" s="559"/>
      <c r="X35" s="559"/>
      <c r="Y35" s="559"/>
      <c r="Z35" s="559"/>
      <c r="AA35" s="559"/>
      <c r="AB35" s="559"/>
      <c r="AC35" s="559"/>
      <c r="AD35" s="559"/>
      <c r="AE35" s="559"/>
      <c r="AF35" s="559"/>
      <c r="AG35" s="559"/>
    </row>
    <row r="36" spans="1:33" ht="18" x14ac:dyDescent="0.35">
      <c r="A36" s="559"/>
      <c r="B36" s="606" t="s">
        <v>44</v>
      </c>
      <c r="C36" s="611">
        <f>C34+IF($C$21="Bois",4.4,0)+VLOOKUP($C$13,$A$159:$E$160,4)*2+VLOOKUP($C$15,$A$162:$D$163,4)*2</f>
        <v>7.2</v>
      </c>
      <c r="D36" s="611">
        <f>D34+VLOOKUP($C$13,$A$159:$E$160,4)*2+VLOOKUP($C$15,$A$162:$D$163,4)*2</f>
        <v>7.2</v>
      </c>
      <c r="E36" s="612">
        <f>E34+VLOOKUP($C$13,$A$159:$E$160,4)+VLOOKUP($C$13,$A$159:$E$160,5)+VLOOKUP($C$15,$A$162:$D$163,4)*2+IF(F21="Skis",2.1,10)</f>
        <v>17.2</v>
      </c>
      <c r="F36" s="559"/>
      <c r="G36" s="726">
        <f>C118</f>
        <v>49.272367156476264</v>
      </c>
      <c r="H36" s="614"/>
      <c r="I36" s="559"/>
      <c r="J36" s="559"/>
      <c r="K36" s="559"/>
      <c r="L36" s="559"/>
      <c r="M36" s="559"/>
      <c r="N36" s="559"/>
      <c r="O36" s="559"/>
      <c r="P36" s="559"/>
      <c r="Q36" s="559"/>
      <c r="R36" s="559"/>
      <c r="S36" s="559"/>
      <c r="T36" s="559"/>
      <c r="U36" s="559"/>
      <c r="V36" s="559"/>
      <c r="W36" s="559"/>
      <c r="X36" s="559"/>
      <c r="Y36" s="559"/>
      <c r="Z36" s="559"/>
      <c r="AA36" s="559"/>
      <c r="AB36" s="559"/>
      <c r="AC36" s="559"/>
      <c r="AD36" s="559"/>
      <c r="AE36" s="559"/>
      <c r="AF36" s="559"/>
      <c r="AG36" s="559"/>
    </row>
    <row r="37" spans="1:33" ht="18" x14ac:dyDescent="0.35">
      <c r="A37" s="559"/>
      <c r="B37" s="573"/>
      <c r="C37" s="573"/>
      <c r="D37" s="573"/>
      <c r="E37" s="573"/>
      <c r="F37" s="559"/>
      <c r="G37" s="559"/>
      <c r="H37" s="559"/>
      <c r="I37" s="559"/>
      <c r="J37" s="559"/>
      <c r="K37" s="559"/>
      <c r="L37" s="559"/>
      <c r="M37" s="559"/>
      <c r="N37" s="559"/>
      <c r="O37" s="559"/>
      <c r="P37" s="559"/>
      <c r="Q37" s="559"/>
      <c r="R37" s="559"/>
      <c r="S37" s="559"/>
      <c r="T37" s="559"/>
      <c r="U37" s="559"/>
      <c r="V37" s="559"/>
      <c r="W37" s="559"/>
      <c r="X37" s="559"/>
      <c r="Y37" s="559"/>
      <c r="Z37" s="559"/>
      <c r="AA37" s="559"/>
      <c r="AB37" s="559"/>
      <c r="AC37" s="559"/>
      <c r="AD37" s="559"/>
      <c r="AE37" s="559"/>
      <c r="AF37" s="559"/>
      <c r="AG37" s="559"/>
    </row>
    <row r="38" spans="1:33" ht="18" x14ac:dyDescent="0.35">
      <c r="A38" s="559"/>
      <c r="B38" s="615" t="s">
        <v>45</v>
      </c>
      <c r="C38" s="616">
        <f>Q110</f>
        <v>0</v>
      </c>
      <c r="D38" s="608" t="s">
        <v>46</v>
      </c>
      <c r="E38" s="573"/>
      <c r="F38" s="559"/>
      <c r="G38" s="559"/>
      <c r="H38" s="559"/>
      <c r="I38" s="559"/>
      <c r="J38" s="559"/>
      <c r="K38" s="559"/>
      <c r="L38" s="559"/>
      <c r="M38" s="559"/>
      <c r="N38" s="559"/>
      <c r="O38" s="559"/>
      <c r="P38" s="559"/>
      <c r="Q38" s="559"/>
      <c r="R38" s="559"/>
      <c r="S38" s="559"/>
      <c r="T38" s="559"/>
      <c r="U38" s="559"/>
      <c r="V38" s="559"/>
      <c r="W38" s="559"/>
      <c r="X38" s="559"/>
      <c r="Y38" s="559"/>
      <c r="Z38" s="559"/>
      <c r="AA38" s="559"/>
      <c r="AB38" s="559"/>
      <c r="AC38" s="559"/>
      <c r="AD38" s="559"/>
      <c r="AE38" s="559"/>
      <c r="AF38" s="559"/>
      <c r="AG38" s="559"/>
    </row>
    <row r="39" spans="1:33" ht="18" x14ac:dyDescent="0.35">
      <c r="A39" s="559"/>
      <c r="B39" s="617" t="s">
        <v>48</v>
      </c>
      <c r="C39" s="618">
        <f>D112</f>
        <v>36.860466825600007</v>
      </c>
      <c r="D39" s="619" t="s">
        <v>49</v>
      </c>
      <c r="E39" s="573"/>
      <c r="F39" s="559"/>
      <c r="G39" s="559"/>
      <c r="H39" s="559"/>
      <c r="I39" s="559"/>
      <c r="J39" s="559"/>
      <c r="K39" s="559"/>
      <c r="L39" s="559"/>
      <c r="M39" s="559"/>
      <c r="N39" s="559"/>
      <c r="O39" s="559"/>
      <c r="P39" s="559"/>
      <c r="Q39" s="559"/>
      <c r="R39" s="559"/>
      <c r="S39" s="559"/>
      <c r="T39" s="559"/>
      <c r="U39" s="559"/>
      <c r="V39" s="559"/>
      <c r="W39" s="559"/>
      <c r="X39" s="559"/>
      <c r="Y39" s="559"/>
      <c r="Z39" s="559"/>
      <c r="AA39" s="559"/>
      <c r="AB39" s="559"/>
      <c r="AC39" s="559"/>
      <c r="AD39" s="559"/>
      <c r="AE39" s="559"/>
      <c r="AF39" s="559"/>
      <c r="AG39" s="559"/>
    </row>
    <row r="40" spans="1:33" ht="18" x14ac:dyDescent="0.35">
      <c r="A40" s="559"/>
      <c r="B40" s="559"/>
      <c r="C40" s="614"/>
      <c r="D40" s="559"/>
      <c r="E40" s="559"/>
      <c r="F40" s="559"/>
      <c r="G40" s="559"/>
      <c r="H40" s="559"/>
      <c r="I40" s="559"/>
      <c r="J40" s="559"/>
      <c r="K40" s="559"/>
      <c r="L40" s="559"/>
      <c r="M40" s="559"/>
      <c r="N40" s="559"/>
      <c r="O40" s="559"/>
      <c r="P40" s="559"/>
      <c r="Q40" s="559"/>
      <c r="R40" s="559"/>
      <c r="S40" s="559"/>
      <c r="T40" s="559"/>
      <c r="U40" s="559"/>
      <c r="V40" s="559"/>
      <c r="W40" s="559"/>
      <c r="X40" s="559"/>
      <c r="Y40" s="559"/>
      <c r="Z40" s="559"/>
      <c r="AA40" s="559"/>
      <c r="AB40" s="559"/>
      <c r="AC40" s="559"/>
      <c r="AD40" s="559"/>
      <c r="AE40" s="559"/>
      <c r="AF40" s="559"/>
      <c r="AG40" s="559"/>
    </row>
    <row r="41" spans="1:33" ht="18" x14ac:dyDescent="0.35">
      <c r="A41" s="559"/>
      <c r="B41" s="559"/>
      <c r="C41" s="559"/>
      <c r="D41" s="559"/>
      <c r="E41" s="559"/>
      <c r="F41" s="559" t="s">
        <v>34</v>
      </c>
      <c r="G41" s="559"/>
      <c r="H41" s="559"/>
      <c r="I41" s="559"/>
      <c r="J41" s="559"/>
      <c r="K41" s="559"/>
      <c r="L41" s="559"/>
      <c r="M41" s="559"/>
      <c r="N41" s="559"/>
      <c r="O41" s="559"/>
      <c r="P41" s="559"/>
      <c r="Q41" s="559" t="s">
        <v>157</v>
      </c>
      <c r="R41" s="559"/>
      <c r="S41" s="559"/>
      <c r="T41" s="559"/>
      <c r="U41" s="559"/>
      <c r="V41" s="559"/>
      <c r="W41" s="559"/>
      <c r="X41" s="559"/>
      <c r="Y41" s="559"/>
      <c r="Z41" s="559"/>
      <c r="AA41" s="559"/>
      <c r="AB41" s="559"/>
      <c r="AC41" s="559"/>
      <c r="AD41" s="559"/>
      <c r="AE41" s="559"/>
      <c r="AF41" s="559"/>
      <c r="AG41" s="559"/>
    </row>
    <row r="42" spans="1:33" ht="18" x14ac:dyDescent="0.35">
      <c r="A42" s="620" t="s">
        <v>53</v>
      </c>
      <c r="B42" s="621" t="str">
        <f t="shared" ref="B42:B43" si="0">VLOOKUP($C$13,$A$159:$E$160,2)</f>
        <v>Peuplier 15 mm</v>
      </c>
      <c r="C42" s="621">
        <f>C34+2*(VLOOKUP(B42,A159:E160,4)+VLOOKUP($C$15,A162:D163,4))</f>
        <v>7.2</v>
      </c>
      <c r="D42" s="621">
        <f>E34+(VLOOKUP(C23,A222:D224,4))</f>
        <v>10</v>
      </c>
      <c r="E42" s="622" t="str">
        <f t="shared" ref="E42:E45" si="1">B42</f>
        <v>Peuplier 15 mm</v>
      </c>
      <c r="F42" s="623">
        <v>2</v>
      </c>
      <c r="G42" s="559"/>
      <c r="H42" s="559"/>
      <c r="I42" s="559"/>
      <c r="J42" s="624">
        <f t="shared" ref="J42:J45" si="2">IF(C42=0,0,(C42/100)*(D42/100)*F42)</f>
        <v>1.4400000000000003E-2</v>
      </c>
      <c r="K42" s="624">
        <f t="shared" ref="K42:K45" si="3">J42/0.8</f>
        <v>1.8000000000000002E-2</v>
      </c>
      <c r="L42" s="71">
        <f>IF(E42=0,0,VLOOKUP(E42,'Prix Matiere'!$A$4:$J$65,10))</f>
        <v>16.895876288659796</v>
      </c>
      <c r="M42" s="625">
        <f t="shared" ref="M42:M45" si="4">L42*K42-IF($F$15="Non",K42*0.75,0)</f>
        <v>0.30412577319587636</v>
      </c>
      <c r="N42" s="626">
        <f t="shared" ref="N42:N45" si="5">IF(J42=0,0,IF($F$15="Oui",(7.0924*J42)+15,(6.0924*J42)+10))</f>
        <v>15.102130560000001</v>
      </c>
      <c r="O42" s="625">
        <f t="shared" ref="O42:O45" si="6">N42*'Caisse à Plateau'!MinuteMO</f>
        <v>12.836810976000001</v>
      </c>
      <c r="P42" s="559"/>
      <c r="Q42" s="627" t="s">
        <v>663</v>
      </c>
      <c r="R42" s="559"/>
      <c r="S42" s="559"/>
      <c r="T42" s="559"/>
      <c r="U42" s="559"/>
      <c r="V42" s="559"/>
      <c r="W42" s="559"/>
      <c r="X42" s="559"/>
      <c r="Y42" s="559"/>
      <c r="Z42" s="559"/>
      <c r="AA42" s="559"/>
      <c r="AB42" s="559"/>
      <c r="AC42" s="559"/>
      <c r="AD42" s="559"/>
      <c r="AE42" s="559"/>
      <c r="AF42" s="559"/>
      <c r="AG42" s="559"/>
    </row>
    <row r="43" spans="1:33" ht="18" x14ac:dyDescent="0.35">
      <c r="A43" s="620" t="s">
        <v>175</v>
      </c>
      <c r="B43" s="621" t="str">
        <f t="shared" si="0"/>
        <v>Peuplier 15 mm</v>
      </c>
      <c r="C43" s="621">
        <f>C42</f>
        <v>7.2</v>
      </c>
      <c r="D43" s="621">
        <f>D34+2*(VLOOKUP(B43,A159:E160,4)+VLOOKUP($C$15,A162:D163,4))+IF(F24="GC + Couvercle",0.5)</f>
        <v>7.7</v>
      </c>
      <c r="E43" s="622" t="str">
        <f t="shared" si="1"/>
        <v>Peuplier 15 mm</v>
      </c>
      <c r="F43" s="623">
        <v>1</v>
      </c>
      <c r="G43" s="559"/>
      <c r="H43" s="559"/>
      <c r="I43" s="559"/>
      <c r="J43" s="624">
        <f t="shared" si="2"/>
        <v>5.5440000000000003E-3</v>
      </c>
      <c r="K43" s="624">
        <f t="shared" si="3"/>
        <v>6.9300000000000004E-3</v>
      </c>
      <c r="L43" s="71">
        <f>IF(E43=0,0,VLOOKUP(E43,'Prix Matiere'!$A$4:$J$65,10))</f>
        <v>16.895876288659796</v>
      </c>
      <c r="M43" s="625">
        <f t="shared" si="4"/>
        <v>0.11708842268041239</v>
      </c>
      <c r="N43" s="626">
        <f t="shared" si="5"/>
        <v>15.039320265600001</v>
      </c>
      <c r="O43" s="625">
        <f t="shared" si="6"/>
        <v>12.783422225760001</v>
      </c>
      <c r="P43" s="559"/>
      <c r="Q43" s="627" t="s">
        <v>663</v>
      </c>
      <c r="R43" s="559"/>
      <c r="S43" s="559"/>
      <c r="T43" s="559"/>
      <c r="U43" s="559"/>
      <c r="V43" s="559"/>
      <c r="W43" s="559"/>
      <c r="X43" s="559"/>
      <c r="Y43" s="559"/>
      <c r="Z43" s="559"/>
      <c r="AA43" s="559"/>
      <c r="AB43" s="559"/>
      <c r="AC43" s="559"/>
      <c r="AD43" s="559"/>
      <c r="AE43" s="559"/>
      <c r="AF43" s="559"/>
      <c r="AG43" s="559"/>
    </row>
    <row r="44" spans="1:33" ht="18" x14ac:dyDescent="0.35">
      <c r="A44" s="620" t="s">
        <v>176</v>
      </c>
      <c r="B44" s="621" t="str">
        <f>VLOOKUP($C$23,A222:C224,2)</f>
        <v>Peuplier 30 mm</v>
      </c>
      <c r="C44" s="621">
        <f t="shared" ref="C44:D44" si="7">C34</f>
        <v>0</v>
      </c>
      <c r="D44" s="621">
        <f t="shared" si="7"/>
        <v>0</v>
      </c>
      <c r="E44" s="622" t="str">
        <f t="shared" si="1"/>
        <v>Peuplier 30 mm</v>
      </c>
      <c r="F44" s="623">
        <v>1</v>
      </c>
      <c r="G44" s="559"/>
      <c r="H44" s="559"/>
      <c r="I44" s="559"/>
      <c r="J44" s="624">
        <f t="shared" si="2"/>
        <v>0</v>
      </c>
      <c r="K44" s="624">
        <f t="shared" si="3"/>
        <v>0</v>
      </c>
      <c r="L44" s="71">
        <f>IF(E44=0,0,VLOOKUP(E44,'Prix Matiere'!$A$4:$J$65,10))</f>
        <v>33.029896907216497</v>
      </c>
      <c r="M44" s="625">
        <f t="shared" si="4"/>
        <v>0</v>
      </c>
      <c r="N44" s="626">
        <f t="shared" si="5"/>
        <v>0</v>
      </c>
      <c r="O44" s="625">
        <f t="shared" si="6"/>
        <v>0</v>
      </c>
      <c r="P44" s="559"/>
      <c r="Q44" s="627">
        <v>0</v>
      </c>
      <c r="R44" s="559"/>
      <c r="S44" s="559"/>
      <c r="T44" s="559"/>
      <c r="U44" s="559"/>
      <c r="V44" s="559"/>
      <c r="W44" s="559"/>
      <c r="X44" s="559"/>
      <c r="Y44" s="559"/>
      <c r="Z44" s="559"/>
      <c r="AA44" s="559"/>
      <c r="AB44" s="559"/>
      <c r="AC44" s="559"/>
      <c r="AD44" s="559"/>
      <c r="AE44" s="559"/>
      <c r="AF44" s="559"/>
      <c r="AG44" s="559"/>
    </row>
    <row r="45" spans="1:33" ht="18" x14ac:dyDescent="0.35">
      <c r="A45" s="620" t="s">
        <v>55</v>
      </c>
      <c r="B45" s="621" t="str">
        <f>VLOOKUP($C$13,$A$159:$E$160,2)</f>
        <v>Peuplier 15 mm</v>
      </c>
      <c r="C45" s="621">
        <f>D34</f>
        <v>0</v>
      </c>
      <c r="D45" s="621">
        <f>D42</f>
        <v>10</v>
      </c>
      <c r="E45" s="622" t="str">
        <f t="shared" si="1"/>
        <v>Peuplier 15 mm</v>
      </c>
      <c r="F45" s="623">
        <v>2</v>
      </c>
      <c r="G45" s="559"/>
      <c r="H45" s="559"/>
      <c r="I45" s="559"/>
      <c r="J45" s="624">
        <f t="shared" si="2"/>
        <v>0</v>
      </c>
      <c r="K45" s="624">
        <f t="shared" si="3"/>
        <v>0</v>
      </c>
      <c r="L45" s="71">
        <f>IF(E45=0,0,VLOOKUP(E45,'Prix Matiere'!$A$4:$J$65,10))</f>
        <v>16.895876288659796</v>
      </c>
      <c r="M45" s="625">
        <f t="shared" si="4"/>
        <v>0</v>
      </c>
      <c r="N45" s="626">
        <f t="shared" si="5"/>
        <v>0</v>
      </c>
      <c r="O45" s="625">
        <f t="shared" si="6"/>
        <v>0</v>
      </c>
      <c r="P45" s="559"/>
      <c r="Q45" s="627">
        <v>0</v>
      </c>
      <c r="R45" s="559"/>
      <c r="S45" s="559"/>
      <c r="T45" s="559"/>
      <c r="U45" s="559"/>
      <c r="V45" s="559"/>
      <c r="W45" s="559"/>
      <c r="X45" s="559"/>
      <c r="Y45" s="559"/>
      <c r="Z45" s="559"/>
      <c r="AA45" s="559"/>
      <c r="AB45" s="559"/>
      <c r="AC45" s="559"/>
      <c r="AD45" s="559"/>
      <c r="AE45" s="559"/>
      <c r="AF45" s="559"/>
      <c r="AG45" s="559"/>
    </row>
    <row r="46" spans="1:33" ht="18" x14ac:dyDescent="0.35">
      <c r="A46" s="559"/>
      <c r="B46" s="559"/>
      <c r="C46" s="559"/>
      <c r="D46" s="559"/>
      <c r="E46" s="559"/>
      <c r="F46" s="559"/>
      <c r="G46" s="559"/>
      <c r="H46" s="559"/>
      <c r="I46" s="559"/>
      <c r="J46" s="624"/>
      <c r="K46" s="624"/>
      <c r="L46" s="71">
        <f>IF(E46=0,0,VLOOKUP(E46,'Prix Matiere'!$A$4:$J$65,10))</f>
        <v>0</v>
      </c>
      <c r="M46" s="625"/>
      <c r="N46" s="626"/>
      <c r="O46" s="625"/>
      <c r="P46" s="559"/>
      <c r="Q46" s="627">
        <v>0</v>
      </c>
      <c r="R46" s="559"/>
      <c r="S46" s="559"/>
      <c r="T46" s="559"/>
      <c r="U46" s="559"/>
      <c r="V46" s="559"/>
      <c r="W46" s="559"/>
      <c r="X46" s="559"/>
      <c r="Y46" s="559"/>
      <c r="Z46" s="559"/>
      <c r="AA46" s="559"/>
      <c r="AB46" s="559"/>
      <c r="AC46" s="559"/>
      <c r="AD46" s="559"/>
      <c r="AE46" s="559"/>
      <c r="AF46" s="559"/>
      <c r="AG46" s="559"/>
    </row>
    <row r="47" spans="1:33" ht="18" x14ac:dyDescent="0.35">
      <c r="A47" s="559"/>
      <c r="B47" s="559"/>
      <c r="C47" s="559"/>
      <c r="D47" s="559"/>
      <c r="E47" s="559"/>
      <c r="F47" s="559"/>
      <c r="G47" s="559"/>
      <c r="H47" s="559"/>
      <c r="I47" s="559"/>
      <c r="J47" s="624"/>
      <c r="K47" s="624"/>
      <c r="L47" s="71">
        <f>IF(E47=0,0,VLOOKUP(E47,'Prix Matiere'!$A$4:$J$65,10))</f>
        <v>0</v>
      </c>
      <c r="M47" s="625"/>
      <c r="N47" s="626"/>
      <c r="O47" s="625"/>
      <c r="P47" s="559"/>
      <c r="Q47" s="627">
        <v>0</v>
      </c>
      <c r="R47" s="559"/>
      <c r="S47" s="559"/>
      <c r="T47" s="559"/>
      <c r="U47" s="559"/>
      <c r="V47" s="559"/>
      <c r="W47" s="559"/>
      <c r="X47" s="559"/>
      <c r="Y47" s="559"/>
      <c r="Z47" s="559"/>
      <c r="AA47" s="559"/>
      <c r="AB47" s="559"/>
      <c r="AC47" s="559"/>
      <c r="AD47" s="559"/>
      <c r="AE47" s="559"/>
      <c r="AF47" s="559"/>
      <c r="AG47" s="559"/>
    </row>
    <row r="48" spans="1:33" ht="18" x14ac:dyDescent="0.35">
      <c r="A48" s="573" t="s">
        <v>11</v>
      </c>
      <c r="B48" s="584" t="s">
        <v>56</v>
      </c>
      <c r="C48" s="621">
        <f>C42</f>
        <v>7.2</v>
      </c>
      <c r="D48" s="584">
        <f>IF(D42&gt;80,9.4,7)</f>
        <v>7</v>
      </c>
      <c r="E48" s="579" t="str">
        <f>IF($C$15="Pin raboté 4 faces","Barres 21 R4F","Barres 19 mm")</f>
        <v>Barres 21 R4F</v>
      </c>
      <c r="F48" s="584">
        <v>4</v>
      </c>
      <c r="G48" s="559"/>
      <c r="H48" s="559"/>
      <c r="I48" s="559"/>
      <c r="J48" s="624">
        <f t="shared" ref="J48:J55" si="8">IF(C48=0,0,(C48/100)*(D48/100)*F48)</f>
        <v>2.0160000000000004E-2</v>
      </c>
      <c r="K48" s="624">
        <f t="shared" ref="K48:K55" si="9">J48/0.8</f>
        <v>2.5200000000000004E-2</v>
      </c>
      <c r="L48" s="71">
        <f>IF(E48=0,0,VLOOKUP(E48,'Prix Matiere'!$A$4:$J$65,10))</f>
        <v>18.969072164948454</v>
      </c>
      <c r="M48" s="625">
        <f t="shared" ref="M48:M55" si="10">L48*K48</f>
        <v>0.47802061855670108</v>
      </c>
      <c r="N48" s="626">
        <f t="shared" ref="N48:N58" si="11">IF(J48=0,0,1+(11*J48))</f>
        <v>1.22176</v>
      </c>
      <c r="O48" s="625">
        <f t="shared" ref="O48:O55" si="12">N48*'Caisse à Plateau'!MinuteMO</f>
        <v>1.0384959999999999</v>
      </c>
      <c r="P48" s="559"/>
      <c r="Q48" s="627" t="s">
        <v>663</v>
      </c>
      <c r="R48" s="559"/>
      <c r="S48" s="559"/>
      <c r="T48" s="559"/>
      <c r="U48" s="559"/>
      <c r="V48" s="559"/>
      <c r="W48" s="559"/>
      <c r="X48" s="559"/>
      <c r="Y48" s="559"/>
      <c r="Z48" s="559"/>
      <c r="AA48" s="559"/>
      <c r="AB48" s="559"/>
      <c r="AC48" s="559"/>
      <c r="AD48" s="559"/>
      <c r="AE48" s="559"/>
      <c r="AF48" s="559"/>
      <c r="AG48" s="559"/>
    </row>
    <row r="49" spans="1:33" ht="18" x14ac:dyDescent="0.35">
      <c r="A49" s="559"/>
      <c r="B49" s="584" t="s">
        <v>57</v>
      </c>
      <c r="C49" s="621">
        <f>D42-2*D48</f>
        <v>-4</v>
      </c>
      <c r="D49" s="584">
        <f>D48</f>
        <v>7</v>
      </c>
      <c r="E49" s="579" t="str">
        <f>IF($C$15="Pin raboté 4 faces","Barres 21 R4F",0)</f>
        <v>Barres 21 R4F</v>
      </c>
      <c r="F49" s="584">
        <f>4</f>
        <v>4</v>
      </c>
      <c r="G49" s="559"/>
      <c r="H49" s="559"/>
      <c r="I49" s="559"/>
      <c r="J49" s="624">
        <f t="shared" si="8"/>
        <v>-1.1200000000000002E-2</v>
      </c>
      <c r="K49" s="624">
        <f t="shared" si="9"/>
        <v>-1.4000000000000002E-2</v>
      </c>
      <c r="L49" s="71">
        <f>IF(E49=0,0,VLOOKUP(E49,'Prix Matiere'!$A$4:$J$65,10))</f>
        <v>18.969072164948454</v>
      </c>
      <c r="M49" s="625">
        <f t="shared" si="10"/>
        <v>-0.26556701030927837</v>
      </c>
      <c r="N49" s="626">
        <f t="shared" si="11"/>
        <v>0.87680000000000002</v>
      </c>
      <c r="O49" s="625">
        <f t="shared" si="12"/>
        <v>0.74528000000000005</v>
      </c>
      <c r="P49" s="559"/>
      <c r="Q49" s="627" t="s">
        <v>663</v>
      </c>
      <c r="R49" s="559"/>
      <c r="S49" s="559"/>
      <c r="T49" s="559"/>
      <c r="U49" s="559"/>
      <c r="V49" s="559"/>
      <c r="W49" s="559"/>
      <c r="X49" s="559"/>
      <c r="Y49" s="559"/>
      <c r="Z49" s="559"/>
      <c r="AA49" s="559"/>
      <c r="AB49" s="559"/>
      <c r="AC49" s="559"/>
      <c r="AD49" s="559"/>
      <c r="AE49" s="559"/>
      <c r="AF49" s="559"/>
      <c r="AG49" s="559"/>
    </row>
    <row r="50" spans="1:33" ht="18" x14ac:dyDescent="0.35">
      <c r="A50" s="559"/>
      <c r="B50" s="584" t="s">
        <v>177</v>
      </c>
      <c r="C50" s="621">
        <f>C48</f>
        <v>7.2</v>
      </c>
      <c r="D50" s="584">
        <f>IF($D$34&lt;80,7,9.4)</f>
        <v>7</v>
      </c>
      <c r="E50" s="579" t="str">
        <f t="shared" ref="E50:E51" si="13">IF($C$15="Pin raboté 4 faces","Barres 21 R4F","Barres 19 mm")</f>
        <v>Barres 21 R4F</v>
      </c>
      <c r="F50" s="584">
        <f t="shared" ref="F50:F51" si="14">IF(D50&lt;14.4,2,4)</f>
        <v>2</v>
      </c>
      <c r="G50" s="559"/>
      <c r="H50" s="559"/>
      <c r="I50" s="559"/>
      <c r="J50" s="624">
        <f t="shared" si="8"/>
        <v>1.0080000000000002E-2</v>
      </c>
      <c r="K50" s="624">
        <f t="shared" si="9"/>
        <v>1.2600000000000002E-2</v>
      </c>
      <c r="L50" s="71">
        <f>IF(E50=0,0,VLOOKUP(E50,'Prix Matiere'!$A$4:$J$65,10))</f>
        <v>18.969072164948454</v>
      </c>
      <c r="M50" s="625">
        <f t="shared" si="10"/>
        <v>0.23901030927835054</v>
      </c>
      <c r="N50" s="626">
        <f t="shared" si="11"/>
        <v>1.1108800000000001</v>
      </c>
      <c r="O50" s="625">
        <f t="shared" si="12"/>
        <v>0.94424800000000009</v>
      </c>
      <c r="P50" s="559"/>
      <c r="Q50" s="627" t="s">
        <v>663</v>
      </c>
      <c r="R50" s="559"/>
      <c r="S50" s="559"/>
      <c r="T50" s="559"/>
      <c r="U50" s="559"/>
      <c r="V50" s="559"/>
      <c r="W50" s="559"/>
      <c r="X50" s="559"/>
      <c r="Y50" s="559"/>
      <c r="Z50" s="559"/>
      <c r="AA50" s="559"/>
      <c r="AB50" s="559"/>
      <c r="AC50" s="559"/>
      <c r="AD50" s="559"/>
      <c r="AE50" s="559"/>
      <c r="AF50" s="559"/>
      <c r="AG50" s="559"/>
    </row>
    <row r="51" spans="1:33" ht="18" x14ac:dyDescent="0.35">
      <c r="A51" s="559"/>
      <c r="B51" s="584" t="s">
        <v>178</v>
      </c>
      <c r="C51" s="621">
        <f>D43-2*D50</f>
        <v>-6.3</v>
      </c>
      <c r="D51" s="584">
        <f>D50</f>
        <v>7</v>
      </c>
      <c r="E51" s="579" t="str">
        <f t="shared" si="13"/>
        <v>Barres 21 R4F</v>
      </c>
      <c r="F51" s="584">
        <f t="shared" si="14"/>
        <v>2</v>
      </c>
      <c r="G51" s="559"/>
      <c r="H51" s="559"/>
      <c r="I51" s="559"/>
      <c r="J51" s="624">
        <f t="shared" si="8"/>
        <v>-8.8200000000000014E-3</v>
      </c>
      <c r="K51" s="624">
        <f t="shared" si="9"/>
        <v>-1.1025000000000002E-2</v>
      </c>
      <c r="L51" s="71">
        <f>IF(E51=0,0,VLOOKUP(E51,'Prix Matiere'!$A$4:$J$65,10))</f>
        <v>18.969072164948454</v>
      </c>
      <c r="M51" s="625">
        <f t="shared" si="10"/>
        <v>-0.20913402061855674</v>
      </c>
      <c r="N51" s="626">
        <f t="shared" si="11"/>
        <v>0.90298</v>
      </c>
      <c r="O51" s="625">
        <f t="shared" si="12"/>
        <v>0.76753300000000002</v>
      </c>
      <c r="P51" s="559"/>
      <c r="Q51" s="627" t="s">
        <v>663</v>
      </c>
      <c r="R51" s="559"/>
      <c r="S51" s="559"/>
      <c r="T51" s="559"/>
      <c r="U51" s="559"/>
      <c r="V51" s="559"/>
      <c r="W51" s="559"/>
      <c r="X51" s="559"/>
      <c r="Y51" s="559"/>
      <c r="Z51" s="559"/>
      <c r="AA51" s="559"/>
      <c r="AB51" s="559"/>
      <c r="AC51" s="559"/>
      <c r="AD51" s="559"/>
      <c r="AE51" s="559"/>
      <c r="AF51" s="559"/>
      <c r="AG51" s="559"/>
    </row>
    <row r="52" spans="1:33" ht="18" x14ac:dyDescent="0.35">
      <c r="A52" s="559"/>
      <c r="B52" s="584" t="s">
        <v>179</v>
      </c>
      <c r="C52" s="621">
        <f>'Caisse à Plateau'!Plateau</f>
        <v>0</v>
      </c>
      <c r="D52" s="584">
        <v>9.4</v>
      </c>
      <c r="E52" s="579" t="str">
        <f>VLOOKUP(C23,A222:C224,3)</f>
        <v>Semelles R4F</v>
      </c>
      <c r="F52" s="584">
        <f>IF(C34&gt;250,5,IF(C34&gt;180,4,IF(C34&gt;80,3,2)))</f>
        <v>2</v>
      </c>
      <c r="G52" s="559"/>
      <c r="H52" s="559"/>
      <c r="I52" s="559"/>
      <c r="J52" s="624">
        <f t="shared" si="8"/>
        <v>0</v>
      </c>
      <c r="K52" s="624">
        <f t="shared" si="9"/>
        <v>0</v>
      </c>
      <c r="L52" s="71">
        <f>IF(E52=0,0,VLOOKUP(E52,'Prix Matiere'!$A$4:$J$65,10))</f>
        <v>63.319587628865982</v>
      </c>
      <c r="M52" s="625">
        <f t="shared" si="10"/>
        <v>0</v>
      </c>
      <c r="N52" s="626">
        <f t="shared" si="11"/>
        <v>0</v>
      </c>
      <c r="O52" s="625">
        <f t="shared" si="12"/>
        <v>0</v>
      </c>
      <c r="P52" s="559"/>
      <c r="Q52" s="627">
        <v>0</v>
      </c>
      <c r="R52" s="559"/>
      <c r="S52" s="559"/>
      <c r="T52" s="559"/>
      <c r="U52" s="559"/>
      <c r="V52" s="559"/>
      <c r="W52" s="559"/>
      <c r="X52" s="559"/>
      <c r="Y52" s="559"/>
      <c r="Z52" s="559"/>
      <c r="AA52" s="559"/>
      <c r="AB52" s="559"/>
      <c r="AC52" s="559"/>
      <c r="AD52" s="559"/>
      <c r="AE52" s="559"/>
      <c r="AF52" s="559"/>
      <c r="AG52" s="559"/>
    </row>
    <row r="53" spans="1:33" ht="18" x14ac:dyDescent="0.35">
      <c r="A53" s="559"/>
      <c r="B53" s="584" t="s">
        <v>180</v>
      </c>
      <c r="C53" s="621">
        <f>(D34-(D52*F52))/(F52-1)</f>
        <v>-18.8</v>
      </c>
      <c r="D53" s="584">
        <v>9.4</v>
      </c>
      <c r="E53" s="579" t="str">
        <f>E52</f>
        <v>Semelles R4F</v>
      </c>
      <c r="F53" s="584">
        <f>IF(F52=2,2,IF(F52=3,4,IF(F52=4,8,IF(F52=5,12))))</f>
        <v>2</v>
      </c>
      <c r="G53" s="559"/>
      <c r="H53" s="559"/>
      <c r="I53" s="559"/>
      <c r="J53" s="624">
        <f t="shared" si="8"/>
        <v>-3.5344E-2</v>
      </c>
      <c r="K53" s="624">
        <f t="shared" si="9"/>
        <v>-4.4179999999999997E-2</v>
      </c>
      <c r="L53" s="71">
        <f>IF(E53=0,0,VLOOKUP(E53,'Prix Matiere'!$A$4:$J$65,10))</f>
        <v>63.319587628865982</v>
      </c>
      <c r="M53" s="625">
        <f t="shared" si="10"/>
        <v>-2.7974593814432991</v>
      </c>
      <c r="N53" s="626">
        <f t="shared" si="11"/>
        <v>0.61121599999999998</v>
      </c>
      <c r="O53" s="625">
        <f t="shared" si="12"/>
        <v>0.51953359999999993</v>
      </c>
      <c r="P53" s="559"/>
      <c r="Q53" s="627" t="s">
        <v>663</v>
      </c>
      <c r="R53" s="559"/>
      <c r="S53" s="559"/>
      <c r="T53" s="559"/>
      <c r="U53" s="559"/>
      <c r="V53" s="559"/>
      <c r="W53" s="559"/>
      <c r="X53" s="559"/>
      <c r="Y53" s="559"/>
      <c r="Z53" s="559"/>
      <c r="AA53" s="559"/>
      <c r="AB53" s="559"/>
      <c r="AC53" s="559"/>
      <c r="AD53" s="559"/>
      <c r="AE53" s="559"/>
      <c r="AF53" s="559"/>
      <c r="AG53" s="559"/>
    </row>
    <row r="54" spans="1:33" ht="18" x14ac:dyDescent="0.35">
      <c r="A54" s="559"/>
      <c r="B54" s="584" t="str">
        <f>F21</f>
        <v>10 dessous en semelles</v>
      </c>
      <c r="C54" s="621">
        <f>IF(B54="10 dessous en skis", (C48-60)/2,IF(B54="10 dessous en semelles",D43,C50-10))</f>
        <v>7.7</v>
      </c>
      <c r="D54" s="584">
        <f>IF($F$10="BOVIS",9.4,7)</f>
        <v>7</v>
      </c>
      <c r="E54" s="579" t="str">
        <f>IF(B54="skis","Barres 21 R4F","Semelles R4F")</f>
        <v>Semelles R4F</v>
      </c>
      <c r="F54" s="584">
        <f>IF(B54="10 dessous en skis",6,IF(B54="10 dessous en semelles",2,2))</f>
        <v>2</v>
      </c>
      <c r="G54" s="559"/>
      <c r="H54" s="559"/>
      <c r="I54" s="559"/>
      <c r="J54" s="624">
        <f t="shared" si="8"/>
        <v>1.0780000000000001E-2</v>
      </c>
      <c r="K54" s="624">
        <f t="shared" si="9"/>
        <v>1.3475000000000001E-2</v>
      </c>
      <c r="L54" s="71">
        <f>IF(E54=0,0,VLOOKUP(E54,'Prix Matiere'!$A$4:$J$65,10))</f>
        <v>63.319587628865982</v>
      </c>
      <c r="M54" s="625">
        <f t="shared" si="10"/>
        <v>0.85323144329896916</v>
      </c>
      <c r="N54" s="626">
        <f t="shared" si="11"/>
        <v>1.1185800000000001</v>
      </c>
      <c r="O54" s="625">
        <f t="shared" si="12"/>
        <v>0.95079300000000011</v>
      </c>
      <c r="P54" s="559"/>
      <c r="Q54" s="627" t="s">
        <v>663</v>
      </c>
      <c r="R54" s="559"/>
      <c r="S54" s="559"/>
      <c r="T54" s="559"/>
      <c r="U54" s="559"/>
      <c r="V54" s="559"/>
      <c r="W54" s="559"/>
      <c r="X54" s="559"/>
      <c r="Y54" s="559"/>
      <c r="Z54" s="559"/>
      <c r="AA54" s="559"/>
      <c r="AB54" s="559"/>
      <c r="AC54" s="559"/>
      <c r="AD54" s="559"/>
      <c r="AE54" s="559"/>
      <c r="AF54" s="559"/>
      <c r="AG54" s="559"/>
    </row>
    <row r="55" spans="1:33" ht="18" x14ac:dyDescent="0.35">
      <c r="A55" s="559"/>
      <c r="B55" s="584" t="s">
        <v>59</v>
      </c>
      <c r="C55" s="621">
        <f>IF($D$45&lt;14.4,0,C45)</f>
        <v>0</v>
      </c>
      <c r="D55" s="584">
        <f>IF(D45&lt;70,7,9.4)</f>
        <v>7</v>
      </c>
      <c r="E55" s="579" t="str">
        <f>IF($C$15="Pin raboté 4 faces","Barres 21 R4F","Barres 19 mm")</f>
        <v>Barres 21 R4F</v>
      </c>
      <c r="F55" s="584">
        <f>IF(F21="10 dessous en skis",2,4)</f>
        <v>4</v>
      </c>
      <c r="G55" s="559"/>
      <c r="H55" s="559"/>
      <c r="I55" s="559"/>
      <c r="J55" s="624">
        <f t="shared" si="8"/>
        <v>0</v>
      </c>
      <c r="K55" s="624">
        <f t="shared" si="9"/>
        <v>0</v>
      </c>
      <c r="L55" s="71">
        <f>IF(E55=0,0,VLOOKUP(E55,'Prix Matiere'!$A$4:$J$65,10))</f>
        <v>18.969072164948454</v>
      </c>
      <c r="M55" s="625">
        <f t="shared" si="10"/>
        <v>0</v>
      </c>
      <c r="N55" s="626">
        <f t="shared" si="11"/>
        <v>0</v>
      </c>
      <c r="O55" s="625">
        <f t="shared" si="12"/>
        <v>0</v>
      </c>
      <c r="P55" s="559"/>
      <c r="Q55" s="627">
        <v>0</v>
      </c>
      <c r="R55" s="559"/>
      <c r="S55" s="559"/>
      <c r="T55" s="559"/>
      <c r="U55" s="559"/>
      <c r="V55" s="559"/>
      <c r="W55" s="559"/>
      <c r="X55" s="559"/>
      <c r="Y55" s="559"/>
      <c r="Z55" s="559"/>
      <c r="AA55" s="559"/>
      <c r="AB55" s="559"/>
      <c r="AC55" s="559"/>
      <c r="AD55" s="559"/>
      <c r="AE55" s="559"/>
      <c r="AF55" s="559"/>
      <c r="AG55" s="559"/>
    </row>
    <row r="56" spans="1:33" ht="18" x14ac:dyDescent="0.35">
      <c r="A56" s="559"/>
      <c r="B56" s="584">
        <f>IF(F21="10 dessous en skis","Remplis Longueur Bouts",0)</f>
        <v>0</v>
      </c>
      <c r="C56" s="621">
        <f>IF(F21="10 dessous en skis",C45-3*D57,0)</f>
        <v>0</v>
      </c>
      <c r="D56" s="584">
        <f>IF(F21="10 dessous en skis",D55,0)</f>
        <v>0</v>
      </c>
      <c r="E56" s="579">
        <f>IF(F21="10 dessous en skis","Barres 21 R4F",0)</f>
        <v>0</v>
      </c>
      <c r="F56" s="584">
        <f>IF(F21="10 dessous en skis",4,0)</f>
        <v>0</v>
      </c>
      <c r="G56" s="559"/>
      <c r="H56" s="559"/>
      <c r="I56" s="559"/>
      <c r="J56" s="624"/>
      <c r="K56" s="624"/>
      <c r="L56" s="71">
        <f>IF(E56=0,0,VLOOKUP(E56,'Prix Matiere'!$A$4:$J$65,10))</f>
        <v>0</v>
      </c>
      <c r="M56" s="625"/>
      <c r="N56" s="626">
        <f t="shared" si="11"/>
        <v>0</v>
      </c>
      <c r="O56" s="625"/>
      <c r="P56" s="559"/>
      <c r="Q56" s="627">
        <v>0</v>
      </c>
      <c r="R56" s="559"/>
      <c r="S56" s="559"/>
      <c r="T56" s="559"/>
      <c r="U56" s="559"/>
      <c r="V56" s="559"/>
      <c r="W56" s="559"/>
      <c r="X56" s="559"/>
      <c r="Y56" s="559"/>
      <c r="Z56" s="559"/>
      <c r="AA56" s="559"/>
      <c r="AB56" s="559"/>
      <c r="AC56" s="559"/>
      <c r="AD56" s="559"/>
      <c r="AE56" s="559"/>
      <c r="AF56" s="559"/>
      <c r="AG56" s="559"/>
    </row>
    <row r="57" spans="1:33" ht="18" x14ac:dyDescent="0.35">
      <c r="A57" s="559"/>
      <c r="B57" s="584" t="s">
        <v>60</v>
      </c>
      <c r="C57" s="621">
        <f>IF(F21="10 dessous en skis",D45-D55,D45-2*D55)</f>
        <v>-4</v>
      </c>
      <c r="D57" s="584">
        <f>IF(C45&lt;70,7,9.4)</f>
        <v>7</v>
      </c>
      <c r="E57" s="579" t="str">
        <f>IF($C$15="Pin raboté 4 faces","Barres 21 R4F","Barres 19 mm")</f>
        <v>Barres 21 R4F</v>
      </c>
      <c r="F57" s="584">
        <f>IF(F21="10 dessous en skis",6,4)</f>
        <v>4</v>
      </c>
      <c r="G57" s="559"/>
      <c r="H57" s="559"/>
      <c r="I57" s="559"/>
      <c r="J57" s="624">
        <f t="shared" ref="J57:J63" si="15">IF(C57=0,0,(C57/100)*(D57/100)*F57)</f>
        <v>-1.1200000000000002E-2</v>
      </c>
      <c r="K57" s="624">
        <f t="shared" ref="K57:K63" si="16">J57/0.8</f>
        <v>-1.4000000000000002E-2</v>
      </c>
      <c r="L57" s="71">
        <f>IF(E57=0,0,VLOOKUP(E57,'Prix Matiere'!$A$4:$J$65,10))</f>
        <v>18.969072164948454</v>
      </c>
      <c r="M57" s="625">
        <f t="shared" ref="M57:M58" si="17">L57*K57</f>
        <v>-0.26556701030927837</v>
      </c>
      <c r="N57" s="626">
        <f t="shared" si="11"/>
        <v>0.87680000000000002</v>
      </c>
      <c r="O57" s="625">
        <f t="shared" ref="O57:O58" si="18">N57*'Caisse à Plateau'!MinuteMO</f>
        <v>0.74528000000000005</v>
      </c>
      <c r="P57" s="559"/>
      <c r="Q57" s="627" t="s">
        <v>663</v>
      </c>
      <c r="R57" s="559"/>
      <c r="S57" s="559"/>
      <c r="T57" s="559"/>
      <c r="U57" s="559"/>
      <c r="V57" s="559"/>
      <c r="W57" s="559"/>
      <c r="X57" s="559"/>
      <c r="Y57" s="559"/>
      <c r="Z57" s="559"/>
      <c r="AA57" s="559"/>
      <c r="AB57" s="559"/>
      <c r="AC57" s="559"/>
      <c r="AD57" s="559"/>
      <c r="AE57" s="559"/>
      <c r="AF57" s="559"/>
      <c r="AG57" s="559"/>
    </row>
    <row r="58" spans="1:33" ht="18" x14ac:dyDescent="0.35">
      <c r="A58" s="559"/>
      <c r="B58" s="584">
        <f>IF(D34&lt;14.4,0,IF(C21="Bois","Poignées",0))</f>
        <v>0</v>
      </c>
      <c r="C58" s="584">
        <f>IF(B58="Poignées",D34+VLOOKUP(C13,A159:E160,4)*2+4.2,IF(B58="Supports poignées",D34-2*D57,0))</f>
        <v>0</v>
      </c>
      <c r="D58" s="584">
        <f>IF(B58="Poignées",7,IF(B58="Supports poignées",9.4,0))</f>
        <v>0</v>
      </c>
      <c r="E58" s="579" t="s">
        <v>61</v>
      </c>
      <c r="F58" s="584">
        <f>IF(B58=0,0,2)</f>
        <v>0</v>
      </c>
      <c r="G58" s="559"/>
      <c r="H58" s="559"/>
      <c r="I58" s="559"/>
      <c r="J58" s="624">
        <f t="shared" si="15"/>
        <v>0</v>
      </c>
      <c r="K58" s="624">
        <f t="shared" si="16"/>
        <v>0</v>
      </c>
      <c r="L58" s="71">
        <f>IF(E58=0,0,VLOOKUP(E58,'Prix Matiere'!$A$4:$J$65,10))</f>
        <v>18.969072164948454</v>
      </c>
      <c r="M58" s="625">
        <f t="shared" si="17"/>
        <v>0</v>
      </c>
      <c r="N58" s="626">
        <f t="shared" si="11"/>
        <v>0</v>
      </c>
      <c r="O58" s="625">
        <f t="shared" si="18"/>
        <v>0</v>
      </c>
      <c r="P58" s="559"/>
      <c r="Q58" s="627">
        <v>0</v>
      </c>
      <c r="R58" s="559"/>
      <c r="S58" s="559"/>
      <c r="T58" s="559"/>
      <c r="U58" s="559"/>
      <c r="V58" s="559"/>
      <c r="W58" s="559"/>
      <c r="X58" s="559"/>
      <c r="Y58" s="559"/>
      <c r="Z58" s="559"/>
      <c r="AA58" s="559"/>
      <c r="AB58" s="559"/>
      <c r="AC58" s="559"/>
      <c r="AD58" s="559"/>
      <c r="AE58" s="559"/>
      <c r="AF58" s="559"/>
      <c r="AG58" s="559"/>
    </row>
    <row r="59" spans="1:33" ht="18" x14ac:dyDescent="0.35">
      <c r="A59" s="559"/>
      <c r="B59" s="559"/>
      <c r="C59" s="559"/>
      <c r="D59" s="559"/>
      <c r="E59" s="559"/>
      <c r="F59" s="559"/>
      <c r="G59" s="559"/>
      <c r="H59" s="559"/>
      <c r="I59" s="559"/>
      <c r="J59" s="624">
        <f t="shared" si="15"/>
        <v>0</v>
      </c>
      <c r="K59" s="624">
        <f t="shared" si="16"/>
        <v>0</v>
      </c>
      <c r="L59" s="71">
        <f>IF(E59=0,0,VLOOKUP(E59,'Prix Matiere'!$A$4:$J$65,10))</f>
        <v>0</v>
      </c>
      <c r="M59" s="625"/>
      <c r="N59" s="626"/>
      <c r="O59" s="625"/>
      <c r="P59" s="559"/>
      <c r="Q59" s="627">
        <v>0</v>
      </c>
      <c r="R59" s="559"/>
      <c r="S59" s="559"/>
      <c r="T59" s="559"/>
      <c r="U59" s="559"/>
      <c r="V59" s="559"/>
      <c r="W59" s="559"/>
      <c r="X59" s="559"/>
      <c r="Y59" s="559"/>
      <c r="Z59" s="559"/>
      <c r="AA59" s="559"/>
      <c r="AB59" s="559"/>
      <c r="AC59" s="559"/>
      <c r="AD59" s="559"/>
      <c r="AE59" s="559"/>
      <c r="AF59" s="559"/>
      <c r="AG59" s="559"/>
    </row>
    <row r="60" spans="1:33" ht="18" x14ac:dyDescent="0.35">
      <c r="A60" s="559"/>
      <c r="B60" s="559"/>
      <c r="C60" s="559"/>
      <c r="D60" s="559"/>
      <c r="E60" s="559"/>
      <c r="F60" s="559"/>
      <c r="G60" s="559"/>
      <c r="H60" s="559"/>
      <c r="I60" s="559"/>
      <c r="J60" s="624">
        <f t="shared" si="15"/>
        <v>0</v>
      </c>
      <c r="K60" s="624">
        <f t="shared" si="16"/>
        <v>0</v>
      </c>
      <c r="L60" s="71">
        <f>IF(E60=0,0,VLOOKUP(E60,'Prix Matiere'!$A$4:$J$65,10))</f>
        <v>0</v>
      </c>
      <c r="M60" s="625"/>
      <c r="N60" s="626"/>
      <c r="O60" s="625"/>
      <c r="P60" s="559"/>
      <c r="Q60" s="627">
        <v>0</v>
      </c>
      <c r="R60" s="559"/>
      <c r="S60" s="559"/>
      <c r="T60" s="559"/>
      <c r="U60" s="559"/>
      <c r="V60" s="559"/>
      <c r="W60" s="559"/>
      <c r="X60" s="559"/>
      <c r="Y60" s="559"/>
      <c r="Z60" s="559"/>
      <c r="AA60" s="559"/>
      <c r="AB60" s="559"/>
      <c r="AC60" s="559"/>
      <c r="AD60" s="559"/>
      <c r="AE60" s="559"/>
      <c r="AF60" s="559"/>
      <c r="AG60" s="559"/>
    </row>
    <row r="61" spans="1:33" ht="18" x14ac:dyDescent="0.35">
      <c r="A61" s="573" t="s">
        <v>62</v>
      </c>
      <c r="B61" s="584" t="s">
        <v>63</v>
      </c>
      <c r="C61" s="584">
        <f>IF(F61=0,0,C65+VLOOKUP($C$17,A140:S146,5))</f>
        <v>0</v>
      </c>
      <c r="D61" s="584">
        <f>IF(F61=0,0,E34-VLOOKUP($C$17,A140:S146,5))</f>
        <v>0</v>
      </c>
      <c r="E61" s="579">
        <f>VLOOKUP($C$17,A140:S146,6)</f>
        <v>0</v>
      </c>
      <c r="F61" s="584">
        <f>VLOOKUP($C$17,A140:S146,7)</f>
        <v>0</v>
      </c>
      <c r="G61" s="559"/>
      <c r="H61" s="559"/>
      <c r="I61" s="559"/>
      <c r="J61" s="624">
        <f t="shared" si="15"/>
        <v>0</v>
      </c>
      <c r="K61" s="624">
        <f t="shared" si="16"/>
        <v>0</v>
      </c>
      <c r="L61" s="71">
        <f>IF(E61=0,0,VLOOKUP(E61,'Prix Matiere'!$A$4:$J$65,10))</f>
        <v>0</v>
      </c>
      <c r="M61" s="625">
        <f t="shared" ref="M61:M63" si="19">L61*K61</f>
        <v>0</v>
      </c>
      <c r="N61" s="626">
        <f t="shared" ref="N61:N63" si="20">IF(J61=0,0,(4.7283*J61)+3)</f>
        <v>0</v>
      </c>
      <c r="O61" s="625">
        <f t="shared" ref="O61:O63" si="21">N61*'Caisse à Plateau'!MinuteMO</f>
        <v>0</v>
      </c>
      <c r="P61" s="559"/>
      <c r="Q61" s="627">
        <v>0</v>
      </c>
      <c r="R61" s="559"/>
      <c r="S61" s="559"/>
      <c r="T61" s="559"/>
      <c r="U61" s="559"/>
      <c r="V61" s="559"/>
      <c r="W61" s="559"/>
      <c r="X61" s="559"/>
      <c r="Y61" s="559"/>
      <c r="Z61" s="559"/>
      <c r="AA61" s="559"/>
      <c r="AB61" s="559"/>
      <c r="AC61" s="559"/>
      <c r="AD61" s="559"/>
      <c r="AE61" s="559"/>
      <c r="AF61" s="559"/>
      <c r="AG61" s="559"/>
    </row>
    <row r="62" spans="1:33" ht="18" x14ac:dyDescent="0.35">
      <c r="A62" s="559"/>
      <c r="B62" s="584" t="s">
        <v>54</v>
      </c>
      <c r="C62" s="584">
        <f>IF(F62=0,0,C65+VLOOKUP($C$17,A140:S146,5))</f>
        <v>0</v>
      </c>
      <c r="D62" s="584">
        <f>IF(F62=0,0,D34)</f>
        <v>0</v>
      </c>
      <c r="E62" s="579">
        <f>IF($C$17="Aucun",0,VLOOKUP($C$17,A140:S146,6))</f>
        <v>0</v>
      </c>
      <c r="F62" s="584">
        <f>VLOOKUP($C$17,A140:S146,7)</f>
        <v>0</v>
      </c>
      <c r="G62" s="559"/>
      <c r="H62" s="559"/>
      <c r="I62" s="559"/>
      <c r="J62" s="624">
        <f t="shared" si="15"/>
        <v>0</v>
      </c>
      <c r="K62" s="624">
        <f t="shared" si="16"/>
        <v>0</v>
      </c>
      <c r="L62" s="71">
        <f>IF(E62=0,0,VLOOKUP(E62,'Prix Matiere'!$A$4:$J$65,10))</f>
        <v>0</v>
      </c>
      <c r="M62" s="625">
        <f t="shared" si="19"/>
        <v>0</v>
      </c>
      <c r="N62" s="626">
        <f t="shared" si="20"/>
        <v>0</v>
      </c>
      <c r="O62" s="625">
        <f t="shared" si="21"/>
        <v>0</v>
      </c>
      <c r="P62" s="559"/>
      <c r="Q62" s="627">
        <v>0</v>
      </c>
      <c r="R62" s="559"/>
      <c r="S62" s="559"/>
      <c r="T62" s="559"/>
      <c r="U62" s="559"/>
      <c r="V62" s="559"/>
      <c r="W62" s="559"/>
      <c r="X62" s="559"/>
      <c r="Y62" s="559"/>
      <c r="Z62" s="559"/>
      <c r="AA62" s="559"/>
      <c r="AB62" s="559"/>
      <c r="AC62" s="559"/>
      <c r="AD62" s="559"/>
      <c r="AE62" s="559"/>
      <c r="AF62" s="559"/>
      <c r="AG62" s="559"/>
    </row>
    <row r="63" spans="1:33" ht="18" x14ac:dyDescent="0.35">
      <c r="A63" s="559"/>
      <c r="B63" s="584" t="s">
        <v>55</v>
      </c>
      <c r="C63" s="584">
        <f>IF(F63=0,0,D61)</f>
        <v>0</v>
      </c>
      <c r="D63" s="584">
        <f>IF(F63=0,0,D65)</f>
        <v>0</v>
      </c>
      <c r="E63" s="579">
        <f>IF($C$17="Aucun",0,VLOOKUP($C$17,A140:S146,6))</f>
        <v>0</v>
      </c>
      <c r="F63" s="584">
        <f>VLOOKUP($C$17,A140:S146,7)</f>
        <v>0</v>
      </c>
      <c r="G63" s="559"/>
      <c r="H63" s="559"/>
      <c r="I63" s="559"/>
      <c r="J63" s="624">
        <f t="shared" si="15"/>
        <v>0</v>
      </c>
      <c r="K63" s="624">
        <f t="shared" si="16"/>
        <v>0</v>
      </c>
      <c r="L63" s="71">
        <f>IF(E63=0,0,VLOOKUP(E63,'Prix Matiere'!$A$4:$J$65,10))</f>
        <v>0</v>
      </c>
      <c r="M63" s="625">
        <f t="shared" si="19"/>
        <v>0</v>
      </c>
      <c r="N63" s="626">
        <f t="shared" si="20"/>
        <v>0</v>
      </c>
      <c r="O63" s="625">
        <f t="shared" si="21"/>
        <v>0</v>
      </c>
      <c r="P63" s="559"/>
      <c r="Q63" s="627">
        <v>0</v>
      </c>
      <c r="R63" s="559"/>
      <c r="S63" s="559"/>
      <c r="T63" s="559"/>
      <c r="U63" s="559"/>
      <c r="V63" s="559"/>
      <c r="W63" s="559"/>
      <c r="X63" s="559"/>
      <c r="Y63" s="559"/>
      <c r="Z63" s="559"/>
      <c r="AA63" s="559"/>
      <c r="AB63" s="559"/>
      <c r="AC63" s="559"/>
      <c r="AD63" s="559"/>
      <c r="AE63" s="559"/>
      <c r="AF63" s="559"/>
      <c r="AG63" s="559"/>
    </row>
    <row r="64" spans="1:33" ht="18" x14ac:dyDescent="0.35">
      <c r="A64" s="559"/>
      <c r="B64" s="559"/>
      <c r="C64" s="559"/>
      <c r="D64" s="559"/>
      <c r="E64" s="559"/>
      <c r="F64" s="559"/>
      <c r="G64" s="559"/>
      <c r="H64" s="559"/>
      <c r="I64" s="559"/>
      <c r="J64" s="624"/>
      <c r="K64" s="624"/>
      <c r="L64" s="71">
        <f>IF(E64=0,0,VLOOKUP(E64,'Prix Matiere'!$A$4:$J$65,10))</f>
        <v>0</v>
      </c>
      <c r="M64" s="625"/>
      <c r="N64" s="626"/>
      <c r="O64" s="625"/>
      <c r="P64" s="559"/>
      <c r="Q64" s="627">
        <v>0</v>
      </c>
      <c r="R64" s="559"/>
      <c r="S64" s="559"/>
      <c r="T64" s="559"/>
      <c r="U64" s="559"/>
      <c r="V64" s="559"/>
      <c r="W64" s="559"/>
      <c r="X64" s="559"/>
      <c r="Y64" s="559"/>
      <c r="Z64" s="559"/>
      <c r="AA64" s="559"/>
      <c r="AB64" s="559"/>
      <c r="AC64" s="559"/>
      <c r="AD64" s="559"/>
      <c r="AE64" s="559"/>
      <c r="AF64" s="559"/>
      <c r="AG64" s="559"/>
    </row>
    <row r="65" spans="1:33" ht="18" x14ac:dyDescent="0.35">
      <c r="A65" s="559"/>
      <c r="B65" s="571" t="s">
        <v>64</v>
      </c>
      <c r="C65" s="559">
        <f t="shared" ref="C65:E65" si="22">C34-VLOOKUP($C$17,$A$140:$S$146,5)</f>
        <v>0</v>
      </c>
      <c r="D65" s="559">
        <f t="shared" si="22"/>
        <v>0</v>
      </c>
      <c r="E65" s="559">
        <f t="shared" si="22"/>
        <v>0</v>
      </c>
      <c r="F65" s="559"/>
      <c r="G65" s="559"/>
      <c r="H65" s="559"/>
      <c r="I65" s="559"/>
      <c r="J65" s="624"/>
      <c r="K65" s="624"/>
      <c r="L65" s="71">
        <f>IF(E65=0,0,VLOOKUP(E65,'Prix Matiere'!$A$4:$J$65,10))</f>
        <v>0</v>
      </c>
      <c r="M65" s="625"/>
      <c r="N65" s="626"/>
      <c r="O65" s="625"/>
      <c r="P65" s="559"/>
      <c r="Q65" s="627">
        <v>0</v>
      </c>
      <c r="R65" s="559"/>
      <c r="S65" s="559"/>
      <c r="T65" s="559"/>
      <c r="U65" s="559"/>
      <c r="V65" s="559"/>
      <c r="W65" s="559"/>
      <c r="X65" s="559"/>
      <c r="Y65" s="559"/>
      <c r="Z65" s="559"/>
      <c r="AA65" s="559"/>
      <c r="AB65" s="559"/>
      <c r="AC65" s="559"/>
      <c r="AD65" s="559"/>
      <c r="AE65" s="559"/>
      <c r="AF65" s="559"/>
      <c r="AG65" s="559"/>
    </row>
    <row r="66" spans="1:33" ht="18" x14ac:dyDescent="0.35">
      <c r="A66" s="559"/>
      <c r="B66" s="559"/>
      <c r="C66" s="559"/>
      <c r="D66" s="559"/>
      <c r="E66" s="559"/>
      <c r="F66" s="559"/>
      <c r="G66" s="559"/>
      <c r="H66" s="559"/>
      <c r="I66" s="559"/>
      <c r="J66" s="624"/>
      <c r="K66" s="624"/>
      <c r="L66" s="71">
        <f>IF(E66=0,0,VLOOKUP(E66,'Prix Matiere'!$A$4:$J$65,10))</f>
        <v>0</v>
      </c>
      <c r="M66" s="625"/>
      <c r="N66" s="626"/>
      <c r="O66" s="625"/>
      <c r="P66" s="559"/>
      <c r="Q66" s="627">
        <v>0</v>
      </c>
      <c r="R66" s="559"/>
      <c r="S66" s="559"/>
      <c r="T66" s="559"/>
      <c r="U66" s="559"/>
      <c r="V66" s="559"/>
      <c r="W66" s="559"/>
      <c r="X66" s="559"/>
      <c r="Y66" s="559"/>
      <c r="Z66" s="559"/>
      <c r="AA66" s="559"/>
      <c r="AB66" s="559"/>
      <c r="AC66" s="559"/>
      <c r="AD66" s="559"/>
      <c r="AE66" s="559"/>
      <c r="AF66" s="559"/>
      <c r="AG66" s="559"/>
    </row>
    <row r="67" spans="1:33" ht="18" x14ac:dyDescent="0.35">
      <c r="A67" s="573" t="s">
        <v>65</v>
      </c>
      <c r="B67" s="584" t="s">
        <v>63</v>
      </c>
      <c r="C67" s="584">
        <f>IF(F67=0,0,C71+VLOOKUP($C$17,A140:S146,8))</f>
        <v>0</v>
      </c>
      <c r="D67" s="584">
        <f>IF(F67=0,0,E71)</f>
        <v>0</v>
      </c>
      <c r="E67" s="579">
        <f>VLOOKUP($C$17,A140:S146,9)</f>
        <v>0</v>
      </c>
      <c r="F67" s="584">
        <f>VLOOKUP($C$17,A140:S146,10)</f>
        <v>0</v>
      </c>
      <c r="G67" s="559"/>
      <c r="H67" s="559"/>
      <c r="I67" s="559"/>
      <c r="J67" s="624">
        <f t="shared" ref="J67:J69" si="23">IF(C67=0,0,(C67/100)*(D67/100)*F67)</f>
        <v>0</v>
      </c>
      <c r="K67" s="624">
        <f t="shared" ref="K67:K69" si="24">J67/0.8</f>
        <v>0</v>
      </c>
      <c r="L67" s="71">
        <f>IF(E67=0,0,VLOOKUP(E67,'Prix Matiere'!$A$4:$J$65,10))</f>
        <v>0</v>
      </c>
      <c r="M67" s="625">
        <f t="shared" ref="M67:M69" si="25">L67*K67</f>
        <v>0</v>
      </c>
      <c r="N67" s="626">
        <f t="shared" ref="N67:N69" si="26">IF(J67=0,0,(3.94*J67)+5)</f>
        <v>0</v>
      </c>
      <c r="O67" s="625">
        <f t="shared" ref="O67:O69" si="27">N67*'Caisse à Plateau'!MinuteMO</f>
        <v>0</v>
      </c>
      <c r="P67" s="559"/>
      <c r="Q67" s="627">
        <v>0</v>
      </c>
      <c r="R67" s="559"/>
      <c r="S67" s="559"/>
      <c r="T67" s="559"/>
      <c r="U67" s="559"/>
      <c r="V67" s="559"/>
      <c r="W67" s="559"/>
      <c r="X67" s="559"/>
      <c r="Y67" s="559"/>
      <c r="Z67" s="559"/>
      <c r="AA67" s="559"/>
      <c r="AB67" s="559"/>
      <c r="AC67" s="559"/>
      <c r="AD67" s="559"/>
      <c r="AE67" s="559"/>
      <c r="AF67" s="559"/>
      <c r="AG67" s="559"/>
    </row>
    <row r="68" spans="1:33" ht="18" x14ac:dyDescent="0.35">
      <c r="A68" s="559"/>
      <c r="B68" s="584" t="s">
        <v>54</v>
      </c>
      <c r="C68" s="584">
        <f>IF(F68=0,0,C71+VLOOKUP($C$17,A140:S146,8))</f>
        <v>0</v>
      </c>
      <c r="D68" s="584">
        <f>IF(F68=0,0,D65)</f>
        <v>0</v>
      </c>
      <c r="E68" s="579">
        <f>VLOOKUP($C$17,A140:S146,9)</f>
        <v>0</v>
      </c>
      <c r="F68" s="584">
        <f>VLOOKUP($C$17,A140:S146,10)</f>
        <v>0</v>
      </c>
      <c r="G68" s="559"/>
      <c r="H68" s="559"/>
      <c r="I68" s="559"/>
      <c r="J68" s="624">
        <f t="shared" si="23"/>
        <v>0</v>
      </c>
      <c r="K68" s="624">
        <f t="shared" si="24"/>
        <v>0</v>
      </c>
      <c r="L68" s="71">
        <f>IF(E68=0,0,VLOOKUP(E68,'Prix Matiere'!$A$4:$J$65,10))</f>
        <v>0</v>
      </c>
      <c r="M68" s="625">
        <f t="shared" si="25"/>
        <v>0</v>
      </c>
      <c r="N68" s="626">
        <f t="shared" si="26"/>
        <v>0</v>
      </c>
      <c r="O68" s="625">
        <f t="shared" si="27"/>
        <v>0</v>
      </c>
      <c r="P68" s="559"/>
      <c r="Q68" s="627">
        <v>0</v>
      </c>
      <c r="R68" s="559"/>
      <c r="S68" s="559"/>
      <c r="T68" s="559"/>
      <c r="U68" s="559"/>
      <c r="V68" s="559"/>
      <c r="W68" s="559"/>
      <c r="X68" s="559"/>
      <c r="Y68" s="559"/>
      <c r="Z68" s="559"/>
      <c r="AA68" s="559"/>
      <c r="AB68" s="559"/>
      <c r="AC68" s="559"/>
      <c r="AD68" s="559"/>
      <c r="AE68" s="559"/>
      <c r="AF68" s="559"/>
      <c r="AG68" s="559"/>
    </row>
    <row r="69" spans="1:33" ht="18" x14ac:dyDescent="0.35">
      <c r="A69" s="559"/>
      <c r="B69" s="584" t="s">
        <v>55</v>
      </c>
      <c r="C69" s="584">
        <f>IF(F69=0,0,E71)</f>
        <v>0</v>
      </c>
      <c r="D69" s="584">
        <f>IF(F69=0,0,D71)</f>
        <v>0</v>
      </c>
      <c r="E69" s="579">
        <f>VLOOKUP($C$17,A140:S146,9)</f>
        <v>0</v>
      </c>
      <c r="F69" s="584">
        <f>VLOOKUP($C$17,A140:S146,10)</f>
        <v>0</v>
      </c>
      <c r="G69" s="559"/>
      <c r="H69" s="559"/>
      <c r="I69" s="559"/>
      <c r="J69" s="624">
        <f t="shared" si="23"/>
        <v>0</v>
      </c>
      <c r="K69" s="624">
        <f t="shared" si="24"/>
        <v>0</v>
      </c>
      <c r="L69" s="71">
        <f>IF(E69=0,0,VLOOKUP(E69,'Prix Matiere'!$A$4:$J$65,10))</f>
        <v>0</v>
      </c>
      <c r="M69" s="625">
        <f t="shared" si="25"/>
        <v>0</v>
      </c>
      <c r="N69" s="626">
        <f t="shared" si="26"/>
        <v>0</v>
      </c>
      <c r="O69" s="625">
        <f t="shared" si="27"/>
        <v>0</v>
      </c>
      <c r="P69" s="559"/>
      <c r="Q69" s="627">
        <v>0</v>
      </c>
      <c r="R69" s="559"/>
      <c r="S69" s="559"/>
      <c r="T69" s="559"/>
      <c r="U69" s="559"/>
      <c r="V69" s="559"/>
      <c r="W69" s="559"/>
      <c r="X69" s="559"/>
      <c r="Y69" s="559"/>
      <c r="Z69" s="559"/>
      <c r="AA69" s="559"/>
      <c r="AB69" s="559"/>
      <c r="AC69" s="559"/>
      <c r="AD69" s="559"/>
      <c r="AE69" s="559"/>
      <c r="AF69" s="559"/>
      <c r="AG69" s="559"/>
    </row>
    <row r="70" spans="1:33" ht="18" x14ac:dyDescent="0.35">
      <c r="A70" s="559"/>
      <c r="B70" s="559"/>
      <c r="C70" s="559"/>
      <c r="D70" s="559"/>
      <c r="E70" s="559"/>
      <c r="F70" s="559"/>
      <c r="G70" s="559"/>
      <c r="H70" s="559"/>
      <c r="I70" s="559"/>
      <c r="J70" s="624"/>
      <c r="K70" s="624"/>
      <c r="L70" s="71">
        <f>IF(E70=0,0,VLOOKUP(E70,'Prix Matiere'!$A$4:$J$65,10))</f>
        <v>0</v>
      </c>
      <c r="M70" s="625"/>
      <c r="N70" s="626"/>
      <c r="O70" s="625"/>
      <c r="P70" s="559"/>
      <c r="Q70" s="627">
        <v>0</v>
      </c>
      <c r="R70" s="559"/>
      <c r="S70" s="559"/>
      <c r="T70" s="559"/>
      <c r="U70" s="559"/>
      <c r="V70" s="559"/>
      <c r="W70" s="559"/>
      <c r="X70" s="559"/>
      <c r="Y70" s="559"/>
      <c r="Z70" s="559"/>
      <c r="AA70" s="559"/>
      <c r="AB70" s="559"/>
      <c r="AC70" s="559"/>
      <c r="AD70" s="559"/>
      <c r="AE70" s="559"/>
      <c r="AF70" s="559"/>
      <c r="AG70" s="559"/>
    </row>
    <row r="71" spans="1:33" ht="18" x14ac:dyDescent="0.35">
      <c r="A71" s="559"/>
      <c r="B71" s="571" t="s">
        <v>66</v>
      </c>
      <c r="C71" s="559">
        <f t="shared" ref="C71:E71" si="28">C65-VLOOKUP($C$17,$A$140:$I$146,8)</f>
        <v>0</v>
      </c>
      <c r="D71" s="559">
        <f t="shared" si="28"/>
        <v>0</v>
      </c>
      <c r="E71" s="559">
        <f t="shared" si="28"/>
        <v>0</v>
      </c>
      <c r="F71" s="559"/>
      <c r="G71" s="559"/>
      <c r="H71" s="559"/>
      <c r="I71" s="559"/>
      <c r="J71" s="624"/>
      <c r="K71" s="624"/>
      <c r="L71" s="71">
        <f>IF(E71=0,0,VLOOKUP(E71,'Prix Matiere'!$A$4:$J$65,10))</f>
        <v>0</v>
      </c>
      <c r="M71" s="625"/>
      <c r="N71" s="626"/>
      <c r="O71" s="625"/>
      <c r="P71" s="559"/>
      <c r="Q71" s="627">
        <v>0</v>
      </c>
      <c r="R71" s="559"/>
      <c r="S71" s="559"/>
      <c r="T71" s="559"/>
      <c r="U71" s="559"/>
      <c r="V71" s="559"/>
      <c r="W71" s="559"/>
      <c r="X71" s="559"/>
      <c r="Y71" s="559"/>
      <c r="Z71" s="559"/>
      <c r="AA71" s="559"/>
      <c r="AB71" s="559"/>
      <c r="AC71" s="559"/>
      <c r="AD71" s="559"/>
      <c r="AE71" s="559"/>
      <c r="AF71" s="559"/>
      <c r="AG71" s="559"/>
    </row>
    <row r="72" spans="1:33" ht="18" x14ac:dyDescent="0.35">
      <c r="A72" s="559"/>
      <c r="B72" s="559"/>
      <c r="C72" s="559"/>
      <c r="D72" s="559"/>
      <c r="E72" s="559"/>
      <c r="F72" s="559"/>
      <c r="G72" s="559"/>
      <c r="H72" s="559"/>
      <c r="I72" s="559"/>
      <c r="J72" s="624">
        <f t="shared" ref="J72:J82" si="29">IF(C72=0,0,(C72/100)*(D72/100)*F72)</f>
        <v>0</v>
      </c>
      <c r="K72" s="624">
        <f t="shared" ref="K72:K82" si="30">J72/0.8</f>
        <v>0</v>
      </c>
      <c r="L72" s="71">
        <f>IF(E72=0,0,VLOOKUP(E72,'Prix Matiere'!$A$4:$J$65,10))</f>
        <v>0</v>
      </c>
      <c r="M72" s="625"/>
      <c r="N72" s="626"/>
      <c r="O72" s="625"/>
      <c r="P72" s="559"/>
      <c r="Q72" s="627">
        <v>0</v>
      </c>
      <c r="R72" s="559"/>
      <c r="S72" s="559"/>
      <c r="T72" s="559"/>
      <c r="U72" s="559"/>
      <c r="V72" s="559"/>
      <c r="W72" s="559"/>
      <c r="X72" s="559"/>
      <c r="Y72" s="559"/>
      <c r="Z72" s="559"/>
      <c r="AA72" s="559"/>
      <c r="AB72" s="559"/>
      <c r="AC72" s="559"/>
      <c r="AD72" s="559"/>
      <c r="AE72" s="559"/>
      <c r="AF72" s="559"/>
      <c r="AG72" s="559"/>
    </row>
    <row r="73" spans="1:33" ht="18" x14ac:dyDescent="0.35">
      <c r="A73" s="573" t="s">
        <v>67</v>
      </c>
      <c r="B73" s="584" t="s">
        <v>63</v>
      </c>
      <c r="C73" s="584">
        <f>IF(F73=0,0,E71)</f>
        <v>0</v>
      </c>
      <c r="D73" s="584">
        <f>IF(F73=0,0,10)</f>
        <v>0</v>
      </c>
      <c r="E73" s="579">
        <f>VLOOKUP($C$17,A140:S146,12)</f>
        <v>0</v>
      </c>
      <c r="F73" s="584">
        <f>VLOOKUP($C$17,$A$140:$S$146,13)*2</f>
        <v>0</v>
      </c>
      <c r="G73" s="559"/>
      <c r="H73" s="559"/>
      <c r="I73" s="559"/>
      <c r="J73" s="624">
        <f t="shared" si="29"/>
        <v>0</v>
      </c>
      <c r="K73" s="624">
        <f t="shared" si="30"/>
        <v>0</v>
      </c>
      <c r="L73" s="71">
        <f>IF(E73=0,0,VLOOKUP(E73,'Prix Matiere'!$A$4:$J$65,10))</f>
        <v>0</v>
      </c>
      <c r="M73" s="625">
        <f t="shared" ref="M73:M74" si="31">L73*K73</f>
        <v>0</v>
      </c>
      <c r="N73" s="626">
        <f t="shared" ref="N73:N74" si="32">IF(J73=0,0,1+(6*J73))</f>
        <v>0</v>
      </c>
      <c r="O73" s="625">
        <f t="shared" ref="O73:O74" si="33">N73*'Caisse à Plateau'!MinuteMO</f>
        <v>0</v>
      </c>
      <c r="P73" s="559"/>
      <c r="Q73" s="627">
        <v>0</v>
      </c>
      <c r="R73" s="559"/>
      <c r="S73" s="559"/>
      <c r="T73" s="559"/>
      <c r="U73" s="559"/>
      <c r="V73" s="559"/>
      <c r="W73" s="559"/>
      <c r="X73" s="559"/>
      <c r="Y73" s="559"/>
      <c r="Z73" s="559"/>
      <c r="AA73" s="559"/>
      <c r="AB73" s="559"/>
      <c r="AC73" s="559"/>
      <c r="AD73" s="559"/>
      <c r="AE73" s="559"/>
      <c r="AF73" s="559"/>
      <c r="AG73" s="559"/>
    </row>
    <row r="74" spans="1:33" ht="18" x14ac:dyDescent="0.35">
      <c r="A74" s="559"/>
      <c r="B74" s="584" t="s">
        <v>54</v>
      </c>
      <c r="C74" s="584">
        <f>IF(F74=0,0,D71-VLOOKUP($C$17,A140:S146,11))</f>
        <v>0</v>
      </c>
      <c r="D74" s="584">
        <f>IF(F73=0,0,D73)</f>
        <v>0</v>
      </c>
      <c r="E74" s="579">
        <f>VLOOKUP($C$17,A140:S146,12)</f>
        <v>0</v>
      </c>
      <c r="F74" s="584">
        <f>VLOOKUP($C$17,$A$140:$S$146,13)</f>
        <v>0</v>
      </c>
      <c r="G74" s="559"/>
      <c r="H74" s="559"/>
      <c r="I74" s="559"/>
      <c r="J74" s="624">
        <f t="shared" si="29"/>
        <v>0</v>
      </c>
      <c r="K74" s="624">
        <f t="shared" si="30"/>
        <v>0</v>
      </c>
      <c r="L74" s="71">
        <f>IF(E74=0,0,VLOOKUP(E74,'Prix Matiere'!$A$4:$J$65,10))</f>
        <v>0</v>
      </c>
      <c r="M74" s="625">
        <f t="shared" si="31"/>
        <v>0</v>
      </c>
      <c r="N74" s="626">
        <f t="shared" si="32"/>
        <v>0</v>
      </c>
      <c r="O74" s="625">
        <f t="shared" si="33"/>
        <v>0</v>
      </c>
      <c r="P74" s="559"/>
      <c r="Q74" s="627">
        <v>0</v>
      </c>
      <c r="R74" s="559"/>
      <c r="S74" s="559"/>
      <c r="T74" s="559"/>
      <c r="U74" s="559"/>
      <c r="V74" s="559"/>
      <c r="W74" s="559"/>
      <c r="X74" s="559"/>
      <c r="Y74" s="559"/>
      <c r="Z74" s="559"/>
      <c r="AA74" s="559"/>
      <c r="AB74" s="559"/>
      <c r="AC74" s="559"/>
      <c r="AD74" s="559"/>
      <c r="AE74" s="559"/>
      <c r="AF74" s="559"/>
      <c r="AG74" s="559"/>
    </row>
    <row r="75" spans="1:33" ht="18" x14ac:dyDescent="0.35">
      <c r="A75" s="559"/>
      <c r="B75" s="559"/>
      <c r="C75" s="559"/>
      <c r="D75" s="559"/>
      <c r="E75" s="559"/>
      <c r="F75" s="559"/>
      <c r="G75" s="559"/>
      <c r="H75" s="559"/>
      <c r="I75" s="559"/>
      <c r="J75" s="624">
        <f t="shared" si="29"/>
        <v>0</v>
      </c>
      <c r="K75" s="624">
        <f t="shared" si="30"/>
        <v>0</v>
      </c>
      <c r="L75" s="71">
        <f>IF(E75=0,0,VLOOKUP(E75,'Prix Matiere'!$A$4:$J$65,10))</f>
        <v>0</v>
      </c>
      <c r="M75" s="625"/>
      <c r="N75" s="626"/>
      <c r="O75" s="625"/>
      <c r="P75" s="559"/>
      <c r="Q75" s="627">
        <v>0</v>
      </c>
      <c r="R75" s="559"/>
      <c r="S75" s="559"/>
      <c r="T75" s="559"/>
      <c r="U75" s="559"/>
      <c r="V75" s="559"/>
      <c r="W75" s="559"/>
      <c r="X75" s="559"/>
      <c r="Y75" s="559"/>
      <c r="Z75" s="559"/>
      <c r="AA75" s="559"/>
      <c r="AB75" s="559"/>
      <c r="AC75" s="559"/>
      <c r="AD75" s="559"/>
      <c r="AE75" s="559"/>
      <c r="AF75" s="559"/>
      <c r="AG75" s="559"/>
    </row>
    <row r="76" spans="1:33" ht="18" x14ac:dyDescent="0.35">
      <c r="A76" s="559"/>
      <c r="B76" s="571" t="s">
        <v>68</v>
      </c>
      <c r="C76" s="559">
        <f>C71-VLOOKUP($C$17,A140:S146,11)</f>
        <v>0</v>
      </c>
      <c r="D76" s="559">
        <f>D71-VLOOKUP($C$17,A140:S146,11)</f>
        <v>0</v>
      </c>
      <c r="E76" s="559">
        <f>E71-VLOOKUP($C$17,A140:S146,11)</f>
        <v>0</v>
      </c>
      <c r="F76" s="559"/>
      <c r="G76" s="559"/>
      <c r="H76" s="559"/>
      <c r="I76" s="559"/>
      <c r="J76" s="624">
        <f t="shared" si="29"/>
        <v>0</v>
      </c>
      <c r="K76" s="624">
        <f t="shared" si="30"/>
        <v>0</v>
      </c>
      <c r="L76" s="71">
        <f>IF(E76=0,0,VLOOKUP(E76,'Prix Matiere'!$A$4:$J$65,10))</f>
        <v>0</v>
      </c>
      <c r="M76" s="625"/>
      <c r="N76" s="626"/>
      <c r="O76" s="625"/>
      <c r="P76" s="559"/>
      <c r="Q76" s="627">
        <v>0</v>
      </c>
      <c r="R76" s="559"/>
      <c r="S76" s="559"/>
      <c r="T76" s="559"/>
      <c r="U76" s="559"/>
      <c r="V76" s="559"/>
      <c r="W76" s="559"/>
      <c r="X76" s="559"/>
      <c r="Y76" s="559"/>
      <c r="Z76" s="559"/>
      <c r="AA76" s="559"/>
      <c r="AB76" s="559"/>
      <c r="AC76" s="559"/>
      <c r="AD76" s="559"/>
      <c r="AE76" s="559"/>
      <c r="AF76" s="559"/>
      <c r="AG76" s="559"/>
    </row>
    <row r="77" spans="1:33" ht="18" x14ac:dyDescent="0.35">
      <c r="A77" s="559"/>
      <c r="B77" s="559"/>
      <c r="C77" s="559"/>
      <c r="D77" s="559"/>
      <c r="E77" s="559"/>
      <c r="F77" s="559"/>
      <c r="G77" s="559"/>
      <c r="H77" s="559"/>
      <c r="I77" s="559"/>
      <c r="J77" s="624">
        <f t="shared" si="29"/>
        <v>0</v>
      </c>
      <c r="K77" s="624">
        <f t="shared" si="30"/>
        <v>0</v>
      </c>
      <c r="L77" s="71">
        <f>IF(E77=0,0,VLOOKUP(E77,'Prix Matiere'!$A$4:$J$65,10))</f>
        <v>0</v>
      </c>
      <c r="M77" s="625"/>
      <c r="N77" s="626"/>
      <c r="O77" s="625"/>
      <c r="P77" s="559"/>
      <c r="Q77" s="627">
        <v>0</v>
      </c>
      <c r="R77" s="559"/>
      <c r="S77" s="559"/>
      <c r="T77" s="559"/>
      <c r="U77" s="559"/>
      <c r="V77" s="559"/>
      <c r="W77" s="559"/>
      <c r="X77" s="559"/>
      <c r="Y77" s="559"/>
      <c r="Z77" s="559"/>
      <c r="AA77" s="559"/>
      <c r="AB77" s="559"/>
      <c r="AC77" s="559"/>
      <c r="AD77" s="559"/>
      <c r="AE77" s="559"/>
      <c r="AF77" s="559"/>
      <c r="AG77" s="559"/>
    </row>
    <row r="78" spans="1:33" ht="18" x14ac:dyDescent="0.35">
      <c r="A78" s="573" t="s">
        <v>69</v>
      </c>
      <c r="B78" s="584" t="s">
        <v>63</v>
      </c>
      <c r="C78" s="584">
        <f>IF(F78=0,0,C82+VLOOKUP($C$17,A140:S146,14))</f>
        <v>0</v>
      </c>
      <c r="D78" s="584">
        <f>IF(F78=0,0,E82)</f>
        <v>0</v>
      </c>
      <c r="E78" s="579">
        <f>VLOOKUP($C$17,A140:S146,15)</f>
        <v>0</v>
      </c>
      <c r="F78" s="584">
        <f>VLOOKUP($C$17,A140:S146,16)</f>
        <v>0</v>
      </c>
      <c r="G78" s="559"/>
      <c r="H78" s="559"/>
      <c r="I78" s="559"/>
      <c r="J78" s="624">
        <f t="shared" si="29"/>
        <v>0</v>
      </c>
      <c r="K78" s="624">
        <f t="shared" si="30"/>
        <v>0</v>
      </c>
      <c r="L78" s="71">
        <f>IF(E78=0,0,VLOOKUP(E78,'Prix Matiere'!$A$4:$J$65,10))</f>
        <v>0</v>
      </c>
      <c r="M78" s="625">
        <f t="shared" ref="M78:M80" si="34">L78*K78</f>
        <v>0</v>
      </c>
      <c r="N78" s="626">
        <f t="shared" ref="N78:N80" si="35">IF(J78=0,0,(3.94*J78)+5)</f>
        <v>0</v>
      </c>
      <c r="O78" s="625">
        <f t="shared" ref="O78:O80" si="36">N78*'Caisse à Plateau'!MinuteMO</f>
        <v>0</v>
      </c>
      <c r="P78" s="559"/>
      <c r="Q78" s="627">
        <v>0</v>
      </c>
      <c r="R78" s="559"/>
      <c r="S78" s="559"/>
      <c r="T78" s="559"/>
      <c r="U78" s="559"/>
      <c r="V78" s="559"/>
      <c r="W78" s="559"/>
      <c r="X78" s="559"/>
      <c r="Y78" s="559"/>
      <c r="Z78" s="559"/>
      <c r="AA78" s="559"/>
      <c r="AB78" s="559"/>
      <c r="AC78" s="559"/>
      <c r="AD78" s="559"/>
      <c r="AE78" s="559"/>
      <c r="AF78" s="559"/>
      <c r="AG78" s="559"/>
    </row>
    <row r="79" spans="1:33" ht="18" x14ac:dyDescent="0.35">
      <c r="A79" s="559"/>
      <c r="B79" s="584" t="s">
        <v>54</v>
      </c>
      <c r="C79" s="584">
        <f>IF(F79=0,0,C82+VLOOKUP($C$17,A140:S146,14))</f>
        <v>0</v>
      </c>
      <c r="D79" s="584">
        <f>IF(F79=0,0,D76)</f>
        <v>0</v>
      </c>
      <c r="E79" s="579">
        <f>VLOOKUP($C$17,A140:S146,15)</f>
        <v>0</v>
      </c>
      <c r="F79" s="584">
        <f>VLOOKUP($C$17,A140:S146,16)</f>
        <v>0</v>
      </c>
      <c r="G79" s="559"/>
      <c r="H79" s="559"/>
      <c r="I79" s="559"/>
      <c r="J79" s="624">
        <f t="shared" si="29"/>
        <v>0</v>
      </c>
      <c r="K79" s="624">
        <f t="shared" si="30"/>
        <v>0</v>
      </c>
      <c r="L79" s="71">
        <f>IF(E79=0,0,VLOOKUP(E79,'Prix Matiere'!$A$4:$J$65,10))</f>
        <v>0</v>
      </c>
      <c r="M79" s="625">
        <f t="shared" si="34"/>
        <v>0</v>
      </c>
      <c r="N79" s="626">
        <f t="shared" si="35"/>
        <v>0</v>
      </c>
      <c r="O79" s="625">
        <f t="shared" si="36"/>
        <v>0</v>
      </c>
      <c r="P79" s="559"/>
      <c r="Q79" s="627">
        <v>0</v>
      </c>
      <c r="R79" s="559"/>
      <c r="S79" s="559"/>
      <c r="T79" s="559"/>
      <c r="U79" s="559"/>
      <c r="V79" s="559"/>
      <c r="W79" s="559"/>
      <c r="X79" s="559"/>
      <c r="Y79" s="559"/>
      <c r="Z79" s="559"/>
      <c r="AA79" s="559"/>
      <c r="AB79" s="559"/>
      <c r="AC79" s="559"/>
      <c r="AD79" s="559"/>
      <c r="AE79" s="559"/>
      <c r="AF79" s="559"/>
      <c r="AG79" s="559"/>
    </row>
    <row r="80" spans="1:33" ht="18" x14ac:dyDescent="0.35">
      <c r="A80" s="559"/>
      <c r="B80" s="584" t="s">
        <v>55</v>
      </c>
      <c r="C80" s="584">
        <f>IF(F80=0,0,E82)</f>
        <v>0</v>
      </c>
      <c r="D80" s="584">
        <f>IF(F80=0,0,D82)</f>
        <v>0</v>
      </c>
      <c r="E80" s="579">
        <f>VLOOKUP($C$17,A140:S146,15)</f>
        <v>0</v>
      </c>
      <c r="F80" s="584">
        <f>VLOOKUP($C$17,A140:S146,16)</f>
        <v>0</v>
      </c>
      <c r="G80" s="559"/>
      <c r="H80" s="559"/>
      <c r="I80" s="559"/>
      <c r="J80" s="624">
        <f t="shared" si="29"/>
        <v>0</v>
      </c>
      <c r="K80" s="624">
        <f t="shared" si="30"/>
        <v>0</v>
      </c>
      <c r="L80" s="71">
        <f>IF(E80=0,0,VLOOKUP(E80,'Prix Matiere'!$A$4:$J$65,10))</f>
        <v>0</v>
      </c>
      <c r="M80" s="625">
        <f t="shared" si="34"/>
        <v>0</v>
      </c>
      <c r="N80" s="626">
        <f t="shared" si="35"/>
        <v>0</v>
      </c>
      <c r="O80" s="625">
        <f t="shared" si="36"/>
        <v>0</v>
      </c>
      <c r="P80" s="559"/>
      <c r="Q80" s="627">
        <v>0</v>
      </c>
      <c r="R80" s="559"/>
      <c r="S80" s="559"/>
      <c r="T80" s="559"/>
      <c r="U80" s="559"/>
      <c r="V80" s="559"/>
      <c r="W80" s="559"/>
      <c r="X80" s="559"/>
      <c r="Y80" s="559"/>
      <c r="Z80" s="559"/>
      <c r="AA80" s="559"/>
      <c r="AB80" s="559"/>
      <c r="AC80" s="559"/>
      <c r="AD80" s="559"/>
      <c r="AE80" s="559"/>
      <c r="AF80" s="559"/>
      <c r="AG80" s="559"/>
    </row>
    <row r="81" spans="1:33" ht="18" x14ac:dyDescent="0.35">
      <c r="A81" s="559"/>
      <c r="B81" s="559"/>
      <c r="C81" s="559"/>
      <c r="D81" s="559"/>
      <c r="E81" s="559"/>
      <c r="F81" s="559"/>
      <c r="G81" s="559"/>
      <c r="H81" s="559"/>
      <c r="I81" s="559"/>
      <c r="J81" s="559">
        <f t="shared" si="29"/>
        <v>0</v>
      </c>
      <c r="K81" s="559">
        <f t="shared" si="30"/>
        <v>0</v>
      </c>
      <c r="L81" s="71">
        <f>IF(E81=0,0,VLOOKUP(E81,'Prix Matiere'!$A$4:$J$65,10))</f>
        <v>0</v>
      </c>
      <c r="M81" s="625"/>
      <c r="N81" s="626"/>
      <c r="O81" s="625"/>
      <c r="P81" s="559"/>
      <c r="Q81" s="627">
        <v>0</v>
      </c>
      <c r="R81" s="559"/>
      <c r="S81" s="559"/>
      <c r="T81" s="559"/>
      <c r="U81" s="559"/>
      <c r="V81" s="559"/>
      <c r="W81" s="559"/>
      <c r="X81" s="559"/>
      <c r="Y81" s="559"/>
      <c r="Z81" s="559"/>
      <c r="AA81" s="559"/>
      <c r="AB81" s="559"/>
      <c r="AC81" s="559"/>
      <c r="AD81" s="559"/>
      <c r="AE81" s="559"/>
      <c r="AF81" s="559"/>
      <c r="AG81" s="559"/>
    </row>
    <row r="82" spans="1:33" ht="18" x14ac:dyDescent="0.35">
      <c r="A82" s="559"/>
      <c r="B82" s="571" t="s">
        <v>66</v>
      </c>
      <c r="C82" s="559">
        <f>C76-VLOOKUP($C$17,A140:S146,14)</f>
        <v>0</v>
      </c>
      <c r="D82" s="559">
        <f>D76-VLOOKUP($C$17,A140:S146,14)</f>
        <v>0</v>
      </c>
      <c r="E82" s="559">
        <f>E76-VLOOKUP($C$17,A140:S146,14)</f>
        <v>0</v>
      </c>
      <c r="F82" s="559"/>
      <c r="G82" s="559"/>
      <c r="H82" s="559"/>
      <c r="I82" s="559"/>
      <c r="J82" s="559">
        <f t="shared" si="29"/>
        <v>0</v>
      </c>
      <c r="K82" s="559">
        <f t="shared" si="30"/>
        <v>0</v>
      </c>
      <c r="L82" s="71">
        <f>IF(E82=0,0,VLOOKUP(E82,'Prix Matiere'!$A$4:$J$65,10))</f>
        <v>0</v>
      </c>
      <c r="M82" s="625"/>
      <c r="N82" s="626"/>
      <c r="O82" s="625"/>
      <c r="P82" s="559"/>
      <c r="Q82" s="627">
        <v>0</v>
      </c>
      <c r="R82" s="559"/>
      <c r="S82" s="559"/>
      <c r="T82" s="559"/>
      <c r="U82" s="559"/>
      <c r="V82" s="559"/>
      <c r="W82" s="559"/>
      <c r="X82" s="559"/>
      <c r="Y82" s="559"/>
      <c r="Z82" s="559"/>
      <c r="AA82" s="559"/>
      <c r="AB82" s="559"/>
      <c r="AC82" s="559"/>
      <c r="AD82" s="559"/>
      <c r="AE82" s="559"/>
      <c r="AF82" s="559"/>
      <c r="AG82" s="559"/>
    </row>
    <row r="83" spans="1:33" ht="18" x14ac:dyDescent="0.35">
      <c r="A83" s="559"/>
      <c r="B83" s="559"/>
      <c r="C83" s="559"/>
      <c r="D83" s="559"/>
      <c r="E83" s="559"/>
      <c r="F83" s="559"/>
      <c r="G83" s="559"/>
      <c r="H83" s="559"/>
      <c r="I83" s="559"/>
      <c r="J83" s="559"/>
      <c r="K83" s="559"/>
      <c r="L83" s="71">
        <f>IF(E83=0,0,VLOOKUP(E83,'Prix Matiere'!$A$4:$J$65,10))</f>
        <v>0</v>
      </c>
      <c r="M83" s="625"/>
      <c r="N83" s="626"/>
      <c r="O83" s="625"/>
      <c r="P83" s="559"/>
      <c r="Q83" s="627">
        <v>0</v>
      </c>
      <c r="R83" s="559"/>
      <c r="S83" s="559"/>
      <c r="T83" s="559"/>
      <c r="U83" s="559"/>
      <c r="V83" s="559"/>
      <c r="W83" s="559"/>
      <c r="X83" s="559"/>
      <c r="Y83" s="559"/>
      <c r="Z83" s="559"/>
      <c r="AA83" s="559"/>
      <c r="AB83" s="559"/>
      <c r="AC83" s="559"/>
      <c r="AD83" s="559"/>
      <c r="AE83" s="559"/>
      <c r="AF83" s="559"/>
      <c r="AG83" s="559"/>
    </row>
    <row r="84" spans="1:33" ht="18" x14ac:dyDescent="0.35">
      <c r="A84" s="573" t="s">
        <v>309</v>
      </c>
      <c r="B84" s="584">
        <f>IF(C84=0,0,"Fromager 15 mm")</f>
        <v>0</v>
      </c>
      <c r="C84" s="584">
        <f>IF(VLOOKUP($C$29,A124:S135,18)+VLOOKUP($C$17,A140:S146,18)=2,D82,IF(VLOOKUP($C$29,A124:S135,19)+VLOOKUP($C$17,A140:S146,19)=2,C82,0))</f>
        <v>0</v>
      </c>
      <c r="D84" s="584">
        <f>IF(C84=0,0,E82)</f>
        <v>0</v>
      </c>
      <c r="E84" s="584">
        <f>B84</f>
        <v>0</v>
      </c>
      <c r="F84" s="584">
        <f>IF(C84=0,0,2)</f>
        <v>0</v>
      </c>
      <c r="G84" s="559"/>
      <c r="H84" s="559"/>
      <c r="I84" s="559"/>
      <c r="J84" s="559">
        <f>IF(C84=0,0,(C84/100)*(D84/100)*F84)</f>
        <v>0</v>
      </c>
      <c r="K84" s="559">
        <f>J84/0.8</f>
        <v>0</v>
      </c>
      <c r="L84" s="71">
        <f>IF(E84=0,0,VLOOKUP(E84,'Prix Matiere'!$A$4:$J$65,10))</f>
        <v>0</v>
      </c>
      <c r="M84" s="625">
        <f>L84*K84</f>
        <v>0</v>
      </c>
      <c r="N84" s="626">
        <f>IF(J84=0,0,(6.0924*J84)+10)</f>
        <v>0</v>
      </c>
      <c r="O84" s="625">
        <f>N84*'Caisse à Plateau'!MinuteMO</f>
        <v>0</v>
      </c>
      <c r="P84" s="559"/>
      <c r="Q84" s="627">
        <v>0</v>
      </c>
      <c r="R84" s="559"/>
      <c r="S84" s="559"/>
      <c r="T84" s="559"/>
      <c r="U84" s="559"/>
      <c r="V84" s="559"/>
      <c r="W84" s="559"/>
      <c r="X84" s="559"/>
      <c r="Y84" s="559"/>
      <c r="Z84" s="559"/>
      <c r="AA84" s="559"/>
      <c r="AB84" s="559"/>
      <c r="AC84" s="559"/>
      <c r="AD84" s="559"/>
      <c r="AE84" s="559"/>
      <c r="AF84" s="559"/>
      <c r="AG84" s="559"/>
    </row>
    <row r="85" spans="1:33" ht="18" x14ac:dyDescent="0.35">
      <c r="A85" s="559"/>
      <c r="B85" s="559"/>
      <c r="C85" s="559"/>
      <c r="D85" s="559"/>
      <c r="E85" s="559"/>
      <c r="F85" s="559"/>
      <c r="G85" s="559"/>
      <c r="H85" s="559"/>
      <c r="I85" s="559"/>
      <c r="J85" s="559"/>
      <c r="K85" s="559"/>
      <c r="L85" s="71">
        <f>IF(E85=0,0,VLOOKUP(E85,'Prix Matiere'!$A$4:$J$65,10))</f>
        <v>0</v>
      </c>
      <c r="M85" s="625"/>
      <c r="N85" s="626"/>
      <c r="O85" s="625"/>
      <c r="P85" s="559"/>
      <c r="Q85" s="627">
        <v>0</v>
      </c>
      <c r="R85" s="559"/>
      <c r="S85" s="559"/>
      <c r="T85" s="559"/>
      <c r="U85" s="559"/>
      <c r="V85" s="559"/>
      <c r="W85" s="559"/>
      <c r="X85" s="559"/>
      <c r="Y85" s="559"/>
      <c r="Z85" s="559"/>
      <c r="AA85" s="559"/>
      <c r="AB85" s="559"/>
      <c r="AC85" s="559"/>
      <c r="AD85" s="559"/>
      <c r="AE85" s="559"/>
      <c r="AF85" s="559"/>
      <c r="AG85" s="559"/>
    </row>
    <row r="86" spans="1:33" ht="18" x14ac:dyDescent="0.35">
      <c r="A86" s="559"/>
      <c r="B86" s="571" t="s">
        <v>310</v>
      </c>
      <c r="C86" s="559">
        <f>IF(VLOOKUP($C$29,A124:S135,18)+VLOOKUP($C$17,A140:S146,18)=2,C82-3,IF(VLOOKUP($C$29,A124:S135,19)+VLOOKUP($C$17,A140:S146,19)=2,C82,C82))</f>
        <v>0</v>
      </c>
      <c r="D86" s="559">
        <f>IF(VLOOKUP($C$29,A124:S135,18)+VLOOKUP($C$17,A140:S146,18)=2,D82,IF(VLOOKUP($C$29,A124:S135,19)+VLOOKUP($C$17,A140:S146,19)=2,D82-3,D82))</f>
        <v>0</v>
      </c>
      <c r="E86" s="559">
        <f>E82</f>
        <v>0</v>
      </c>
      <c r="F86" s="559"/>
      <c r="G86" s="559"/>
      <c r="H86" s="559"/>
      <c r="I86" s="559"/>
      <c r="J86" s="559"/>
      <c r="K86" s="559"/>
      <c r="L86" s="71">
        <f>IF(E86=0,0,VLOOKUP(E86,'Prix Matiere'!$A$4:$J$65,10))</f>
        <v>0</v>
      </c>
      <c r="M86" s="625"/>
      <c r="N86" s="626"/>
      <c r="O86" s="625"/>
      <c r="P86" s="559"/>
      <c r="Q86" s="627">
        <v>0</v>
      </c>
      <c r="R86" s="559"/>
      <c r="S86" s="559"/>
      <c r="T86" s="559"/>
      <c r="U86" s="559"/>
      <c r="V86" s="559"/>
      <c r="W86" s="559"/>
      <c r="X86" s="559"/>
      <c r="Y86" s="559"/>
      <c r="Z86" s="559"/>
      <c r="AA86" s="559"/>
      <c r="AB86" s="559"/>
      <c r="AC86" s="559"/>
      <c r="AD86" s="559"/>
      <c r="AE86" s="559"/>
      <c r="AF86" s="559"/>
      <c r="AG86" s="559"/>
    </row>
    <row r="87" spans="1:33" ht="18" x14ac:dyDescent="0.35">
      <c r="A87" s="559"/>
      <c r="B87" s="559"/>
      <c r="C87" s="559"/>
      <c r="D87" s="559"/>
      <c r="E87" s="559"/>
      <c r="F87" s="559"/>
      <c r="G87" s="559"/>
      <c r="H87" s="559"/>
      <c r="I87" s="559"/>
      <c r="J87" s="559">
        <f t="shared" ref="J87:J89" si="37">IF(C87=0,0,(C87/100)*(D87/100)*F87)</f>
        <v>0</v>
      </c>
      <c r="K87" s="559">
        <f t="shared" ref="K87:K102" si="38">J87/0.8</f>
        <v>0</v>
      </c>
      <c r="L87" s="71">
        <f>IF(E87=0,0,VLOOKUP(E87,'Prix Matiere'!$A$4:$J$65,10))</f>
        <v>0</v>
      </c>
      <c r="M87" s="625"/>
      <c r="N87" s="626"/>
      <c r="O87" s="625"/>
      <c r="P87" s="559"/>
      <c r="Q87" s="627">
        <v>0</v>
      </c>
      <c r="R87" s="559"/>
      <c r="S87" s="559"/>
      <c r="T87" s="559"/>
      <c r="U87" s="559"/>
      <c r="V87" s="559"/>
      <c r="W87" s="559"/>
      <c r="X87" s="559"/>
      <c r="Y87" s="559"/>
      <c r="Z87" s="559"/>
      <c r="AA87" s="559"/>
      <c r="AB87" s="559"/>
      <c r="AC87" s="559"/>
      <c r="AD87" s="559"/>
      <c r="AE87" s="559"/>
      <c r="AF87" s="559"/>
      <c r="AG87" s="559"/>
    </row>
    <row r="88" spans="1:33" ht="18" x14ac:dyDescent="0.35">
      <c r="A88" s="559"/>
      <c r="B88" s="560" t="s">
        <v>70</v>
      </c>
      <c r="C88" s="559"/>
      <c r="D88" s="559"/>
      <c r="E88" s="559"/>
      <c r="F88" s="559"/>
      <c r="G88" s="559"/>
      <c r="H88" s="559"/>
      <c r="I88" s="559"/>
      <c r="J88" s="559">
        <f t="shared" si="37"/>
        <v>0</v>
      </c>
      <c r="K88" s="559">
        <f t="shared" si="38"/>
        <v>0</v>
      </c>
      <c r="L88" s="71">
        <f>IF(E88=0,0,VLOOKUP(E88,'Prix Matiere'!$A$4:$J$65,10))</f>
        <v>0</v>
      </c>
      <c r="M88" s="625"/>
      <c r="N88" s="626"/>
      <c r="O88" s="625"/>
      <c r="P88" s="559"/>
      <c r="Q88" s="627">
        <v>0</v>
      </c>
      <c r="R88" s="559"/>
      <c r="S88" s="559"/>
      <c r="T88" s="559"/>
      <c r="U88" s="559"/>
      <c r="V88" s="559"/>
      <c r="W88" s="559"/>
      <c r="X88" s="559"/>
      <c r="Y88" s="559"/>
      <c r="Z88" s="559"/>
      <c r="AA88" s="559"/>
      <c r="AB88" s="559"/>
      <c r="AC88" s="559"/>
      <c r="AD88" s="559"/>
      <c r="AE88" s="559"/>
      <c r="AF88" s="559"/>
      <c r="AG88" s="559"/>
    </row>
    <row r="89" spans="1:33" ht="18" x14ac:dyDescent="0.35">
      <c r="A89" s="559"/>
      <c r="B89" s="629" t="str">
        <f>C29</f>
        <v>Aucun</v>
      </c>
      <c r="C89" s="622"/>
      <c r="D89" s="630" t="s">
        <v>28</v>
      </c>
      <c r="E89" s="630" t="s">
        <v>33</v>
      </c>
      <c r="F89" s="631" t="s">
        <v>34</v>
      </c>
      <c r="G89" s="559"/>
      <c r="H89" s="559"/>
      <c r="I89" s="559"/>
      <c r="J89" s="559">
        <f t="shared" si="37"/>
        <v>0</v>
      </c>
      <c r="K89" s="559">
        <f t="shared" si="38"/>
        <v>0</v>
      </c>
      <c r="L89" s="71">
        <f>IF(E89=0,0,VLOOKUP(E89,'Prix Matiere'!$A$4:$J$65,10))</f>
        <v>5.3608247422680417</v>
      </c>
      <c r="M89" s="625"/>
      <c r="N89" s="626"/>
      <c r="O89" s="625"/>
      <c r="P89" s="559"/>
      <c r="Q89" s="627">
        <v>0</v>
      </c>
      <c r="R89" s="559"/>
      <c r="S89" s="559"/>
      <c r="T89" s="559"/>
      <c r="U89" s="559"/>
      <c r="V89" s="559"/>
      <c r="W89" s="559"/>
      <c r="X89" s="559"/>
      <c r="Y89" s="559"/>
      <c r="Z89" s="559"/>
      <c r="AA89" s="559"/>
      <c r="AB89" s="559"/>
      <c r="AC89" s="559"/>
      <c r="AD89" s="559"/>
      <c r="AE89" s="559"/>
      <c r="AF89" s="559"/>
      <c r="AG89" s="559"/>
    </row>
    <row r="90" spans="1:33" ht="18" x14ac:dyDescent="0.35">
      <c r="A90" s="559"/>
      <c r="B90" s="622" t="s">
        <v>22</v>
      </c>
      <c r="C90" s="584">
        <f>VLOOKUP($B$89,$A$208:$AG$219,2)</f>
        <v>0</v>
      </c>
      <c r="D90" s="631">
        <f>VLOOKUP($B$89,$A$208:$AG$219,3)</f>
        <v>0</v>
      </c>
      <c r="E90" s="631">
        <f>VLOOKUP($B$89,$A$208:$AG$219,4)</f>
        <v>0</v>
      </c>
      <c r="F90" s="631">
        <f>VLOOKUP($B$89,$A$208:$AG$219,5)</f>
        <v>0</v>
      </c>
      <c r="G90" s="559">
        <f t="shared" ref="G90:G92" si="39">IF(C90=0,0,"Barres 21 R4F")</f>
        <v>0</v>
      </c>
      <c r="H90" s="559"/>
      <c r="I90" s="559"/>
      <c r="J90" s="559">
        <f t="shared" ref="J90:J101" si="40">IF(D90=0,0,(D90/100)*(E90/100)*F90)</f>
        <v>0</v>
      </c>
      <c r="K90" s="559">
        <f t="shared" si="38"/>
        <v>0</v>
      </c>
      <c r="L90" s="71">
        <f>IF(E90=0,0,VLOOKUP(E90,'Prix Matiere'!$A$4:$J$65,10))</f>
        <v>0</v>
      </c>
      <c r="M90" s="625">
        <f t="shared" ref="M90:M101" si="41">L90*K90</f>
        <v>0</v>
      </c>
      <c r="N90" s="626">
        <f t="shared" ref="N90:N92" si="42">IF(J90=0,0,2+(6*J90))</f>
        <v>0</v>
      </c>
      <c r="O90" s="625">
        <f t="shared" ref="O90:O101" si="43">N90*'Caisse à Plateau'!MinuteMO</f>
        <v>0</v>
      </c>
      <c r="P90" s="559"/>
      <c r="Q90" s="627">
        <v>0</v>
      </c>
      <c r="R90" s="559"/>
      <c r="S90" s="559"/>
      <c r="T90" s="559"/>
      <c r="U90" s="559"/>
      <c r="V90" s="559"/>
      <c r="W90" s="559"/>
      <c r="X90" s="559"/>
      <c r="Y90" s="559"/>
      <c r="Z90" s="559"/>
      <c r="AA90" s="559"/>
      <c r="AB90" s="559"/>
      <c r="AC90" s="559"/>
      <c r="AD90" s="559"/>
      <c r="AE90" s="559"/>
      <c r="AF90" s="559"/>
      <c r="AG90" s="559"/>
    </row>
    <row r="91" spans="1:33" ht="18" x14ac:dyDescent="0.35">
      <c r="A91" s="559"/>
      <c r="B91" s="622"/>
      <c r="C91" s="584">
        <f>VLOOKUP($B$89,$A$208:$AG$219,6)</f>
        <v>0</v>
      </c>
      <c r="D91" s="631">
        <f>VLOOKUP($B$89,$A$208:$AG$219,7)</f>
        <v>0</v>
      </c>
      <c r="E91" s="631">
        <f>VLOOKUP($B$89,$A$208:$AG$219,8)</f>
        <v>0</v>
      </c>
      <c r="F91" s="631">
        <f>VLOOKUP($B$89,$A$208:$AG$219,9)</f>
        <v>0</v>
      </c>
      <c r="G91" s="559">
        <f t="shared" si="39"/>
        <v>0</v>
      </c>
      <c r="H91" s="559"/>
      <c r="I91" s="559"/>
      <c r="J91" s="559">
        <f t="shared" si="40"/>
        <v>0</v>
      </c>
      <c r="K91" s="559">
        <f t="shared" si="38"/>
        <v>0</v>
      </c>
      <c r="L91" s="71">
        <f>IF(E91=0,0,VLOOKUP(E91,'Prix Matiere'!$A$4:$J$65,10))</f>
        <v>0</v>
      </c>
      <c r="M91" s="625">
        <f t="shared" si="41"/>
        <v>0</v>
      </c>
      <c r="N91" s="626">
        <f t="shared" si="42"/>
        <v>0</v>
      </c>
      <c r="O91" s="625">
        <f t="shared" si="43"/>
        <v>0</v>
      </c>
      <c r="P91" s="559"/>
      <c r="Q91" s="627">
        <v>0</v>
      </c>
      <c r="R91" s="559"/>
      <c r="S91" s="559"/>
      <c r="T91" s="559"/>
      <c r="U91" s="559"/>
      <c r="V91" s="559"/>
      <c r="W91" s="559"/>
      <c r="X91" s="559"/>
      <c r="Y91" s="559"/>
      <c r="Z91" s="559"/>
      <c r="AA91" s="559"/>
      <c r="AB91" s="559"/>
      <c r="AC91" s="559"/>
      <c r="AD91" s="559"/>
      <c r="AE91" s="559"/>
      <c r="AF91" s="559"/>
      <c r="AG91" s="559"/>
    </row>
    <row r="92" spans="1:33" ht="18" x14ac:dyDescent="0.35">
      <c r="A92" s="559"/>
      <c r="B92" s="622"/>
      <c r="C92" s="584">
        <f>VLOOKUP($B$89,$A$208:$AG$219,10)</f>
        <v>0</v>
      </c>
      <c r="D92" s="631">
        <f>VLOOKUP($B$89,$A$208:$AG$219,11)</f>
        <v>0</v>
      </c>
      <c r="E92" s="631">
        <f>VLOOKUP($B$89,$A$208:$AG$219,12)</f>
        <v>0</v>
      </c>
      <c r="F92" s="631">
        <f>VLOOKUP($B$89,$A$208:$AG$219,13)</f>
        <v>0</v>
      </c>
      <c r="G92" s="559">
        <f t="shared" si="39"/>
        <v>0</v>
      </c>
      <c r="H92" s="559"/>
      <c r="I92" s="559"/>
      <c r="J92" s="559">
        <f t="shared" si="40"/>
        <v>0</v>
      </c>
      <c r="K92" s="559">
        <f t="shared" si="38"/>
        <v>0</v>
      </c>
      <c r="L92" s="71">
        <f>IF(E92=0,0,VLOOKUP(E92,'Prix Matiere'!$A$4:$J$65,10))</f>
        <v>0</v>
      </c>
      <c r="M92" s="625">
        <f t="shared" si="41"/>
        <v>0</v>
      </c>
      <c r="N92" s="626">
        <f t="shared" si="42"/>
        <v>0</v>
      </c>
      <c r="O92" s="625">
        <f t="shared" si="43"/>
        <v>0</v>
      </c>
      <c r="P92" s="559"/>
      <c r="Q92" s="627">
        <v>0</v>
      </c>
      <c r="R92" s="559"/>
      <c r="S92" s="559"/>
      <c r="T92" s="559"/>
      <c r="U92" s="559"/>
      <c r="V92" s="559"/>
      <c r="W92" s="559"/>
      <c r="X92" s="559"/>
      <c r="Y92" s="559"/>
      <c r="Z92" s="559"/>
      <c r="AA92" s="559"/>
      <c r="AB92" s="559"/>
      <c r="AC92" s="559"/>
      <c r="AD92" s="559"/>
      <c r="AE92" s="559"/>
      <c r="AF92" s="559"/>
      <c r="AG92" s="559"/>
    </row>
    <row r="93" spans="1:33" ht="18" x14ac:dyDescent="0.35">
      <c r="A93" s="559"/>
      <c r="B93" s="622" t="s">
        <v>80</v>
      </c>
      <c r="C93" s="584">
        <f>VLOOKUP($B$89,$A$208:$AG$219,14)</f>
        <v>0</v>
      </c>
      <c r="D93" s="631">
        <f>VLOOKUP($B$89,$A$208:$AG$219,15)</f>
        <v>0</v>
      </c>
      <c r="E93" s="631">
        <f>VLOOKUP($B$89,$A$208:$AG$219,16)</f>
        <v>0</v>
      </c>
      <c r="F93" s="631">
        <f>VLOOKUP($B$89,$A$208:$AG$219,17)</f>
        <v>0</v>
      </c>
      <c r="G93" s="559">
        <f t="shared" ref="G93:G96" si="44">C93</f>
        <v>0</v>
      </c>
      <c r="H93" s="559"/>
      <c r="I93" s="559"/>
      <c r="J93" s="559">
        <f t="shared" si="40"/>
        <v>0</v>
      </c>
      <c r="K93" s="559">
        <f t="shared" si="38"/>
        <v>0</v>
      </c>
      <c r="L93" s="71">
        <f>IF(E93=0,0,VLOOKUP(E93,'Prix Matiere'!$A$4:$J$65,10))</f>
        <v>0</v>
      </c>
      <c r="M93" s="625">
        <f t="shared" si="41"/>
        <v>0</v>
      </c>
      <c r="N93" s="626">
        <f t="shared" ref="N93:N101" si="45">IF(J93=0,0,4.7283*J93+2)</f>
        <v>0</v>
      </c>
      <c r="O93" s="625">
        <f t="shared" si="43"/>
        <v>0</v>
      </c>
      <c r="P93" s="559"/>
      <c r="Q93" s="627">
        <v>0</v>
      </c>
      <c r="R93" s="559"/>
      <c r="S93" s="559"/>
      <c r="T93" s="559"/>
      <c r="U93" s="559"/>
      <c r="V93" s="559"/>
      <c r="W93" s="559"/>
      <c r="X93" s="559"/>
      <c r="Y93" s="559"/>
      <c r="Z93" s="559"/>
      <c r="AA93" s="559"/>
      <c r="AB93" s="559"/>
      <c r="AC93" s="559"/>
      <c r="AD93" s="559"/>
      <c r="AE93" s="559"/>
      <c r="AF93" s="559"/>
      <c r="AG93" s="559"/>
    </row>
    <row r="94" spans="1:33" ht="18" x14ac:dyDescent="0.35">
      <c r="A94" s="559"/>
      <c r="B94" s="622"/>
      <c r="C94" s="584">
        <f>VLOOKUP($B$89,$A$208:$AG$219,18)</f>
        <v>0</v>
      </c>
      <c r="D94" s="631">
        <f>VLOOKUP($B$89,$A$208:$AG$219,19)</f>
        <v>0</v>
      </c>
      <c r="E94" s="631">
        <f>VLOOKUP($B$89,$A$208:$AG$219,20)</f>
        <v>0</v>
      </c>
      <c r="F94" s="631">
        <f>VLOOKUP($B$89,$A$208:$AG$219,21)</f>
        <v>0</v>
      </c>
      <c r="G94" s="559">
        <f t="shared" si="44"/>
        <v>0</v>
      </c>
      <c r="H94" s="559"/>
      <c r="I94" s="559"/>
      <c r="J94" s="559">
        <f t="shared" si="40"/>
        <v>0</v>
      </c>
      <c r="K94" s="559">
        <f t="shared" si="38"/>
        <v>0</v>
      </c>
      <c r="L94" s="71">
        <f>IF(E94=0,0,VLOOKUP(E94,'Prix Matiere'!$A$4:$J$65,10))</f>
        <v>0</v>
      </c>
      <c r="M94" s="625">
        <f t="shared" si="41"/>
        <v>0</v>
      </c>
      <c r="N94" s="626">
        <f t="shared" si="45"/>
        <v>0</v>
      </c>
      <c r="O94" s="625">
        <f t="shared" si="43"/>
        <v>0</v>
      </c>
      <c r="P94" s="559"/>
      <c r="Q94" s="627">
        <v>0</v>
      </c>
      <c r="R94" s="559"/>
      <c r="S94" s="559"/>
      <c r="T94" s="559"/>
      <c r="U94" s="559"/>
      <c r="V94" s="559"/>
      <c r="W94" s="559"/>
      <c r="X94" s="559"/>
      <c r="Y94" s="559"/>
      <c r="Z94" s="559"/>
      <c r="AA94" s="559"/>
      <c r="AB94" s="559"/>
      <c r="AC94" s="559"/>
      <c r="AD94" s="559"/>
      <c r="AE94" s="559"/>
      <c r="AF94" s="559"/>
      <c r="AG94" s="559"/>
    </row>
    <row r="95" spans="1:33" ht="18" x14ac:dyDescent="0.35">
      <c r="A95" s="559"/>
      <c r="B95" s="622"/>
      <c r="C95" s="584">
        <f>VLOOKUP($B$89,$A$208:$AG$219,28)</f>
        <v>0</v>
      </c>
      <c r="D95" s="631">
        <f>VLOOKUP($B$89,$A$208:$AG$219,29)</f>
        <v>0</v>
      </c>
      <c r="E95" s="631">
        <f>VLOOKUP($B$89,$A$208:$AG$219,30)</f>
        <v>0</v>
      </c>
      <c r="F95" s="631">
        <f>VLOOKUP($B$89,$A$208:$AG$219,31)</f>
        <v>0</v>
      </c>
      <c r="G95" s="559">
        <f t="shared" si="44"/>
        <v>0</v>
      </c>
      <c r="H95" s="559"/>
      <c r="I95" s="559"/>
      <c r="J95" s="559">
        <f t="shared" si="40"/>
        <v>0</v>
      </c>
      <c r="K95" s="559">
        <f t="shared" si="38"/>
        <v>0</v>
      </c>
      <c r="L95" s="71">
        <f>IF(E95=0,0,VLOOKUP(E95,'Prix Matiere'!$A$4:$J$65,10))</f>
        <v>0</v>
      </c>
      <c r="M95" s="625">
        <f t="shared" si="41"/>
        <v>0</v>
      </c>
      <c r="N95" s="626">
        <f t="shared" si="45"/>
        <v>0</v>
      </c>
      <c r="O95" s="625">
        <f t="shared" si="43"/>
        <v>0</v>
      </c>
      <c r="P95" s="559"/>
      <c r="Q95" s="627">
        <v>0</v>
      </c>
      <c r="R95" s="559"/>
      <c r="S95" s="559"/>
      <c r="T95" s="559"/>
      <c r="U95" s="559"/>
      <c r="V95" s="559"/>
      <c r="W95" s="559"/>
      <c r="X95" s="559"/>
      <c r="Y95" s="559"/>
      <c r="Z95" s="559"/>
      <c r="AA95" s="559"/>
      <c r="AB95" s="559"/>
      <c r="AC95" s="559"/>
      <c r="AD95" s="559"/>
      <c r="AE95" s="559"/>
      <c r="AF95" s="559"/>
      <c r="AG95" s="559"/>
    </row>
    <row r="96" spans="1:33" ht="18" x14ac:dyDescent="0.35">
      <c r="A96" s="559"/>
      <c r="B96" s="584"/>
      <c r="C96" s="584">
        <f>VLOOKUP($B$89,$A$208:$AG$219,22)</f>
        <v>0</v>
      </c>
      <c r="D96" s="631">
        <f>VLOOKUP($B$89,$A$208:$AG$219,25)</f>
        <v>0</v>
      </c>
      <c r="E96" s="631">
        <f>VLOOKUP($B$89,$A$208:$AG$219,26)</f>
        <v>0</v>
      </c>
      <c r="F96" s="631">
        <f>IF(C96=0,0,1)</f>
        <v>0</v>
      </c>
      <c r="G96" s="559">
        <f t="shared" si="44"/>
        <v>0</v>
      </c>
      <c r="H96" s="559"/>
      <c r="I96" s="559"/>
      <c r="J96" s="559">
        <f t="shared" si="40"/>
        <v>0</v>
      </c>
      <c r="K96" s="559">
        <f t="shared" si="38"/>
        <v>0</v>
      </c>
      <c r="L96" s="71">
        <f>IF(E96=0,0,VLOOKUP(E96,'Prix Matiere'!$A$4:$J$65,10))</f>
        <v>0</v>
      </c>
      <c r="M96" s="625">
        <f t="shared" si="41"/>
        <v>0</v>
      </c>
      <c r="N96" s="626">
        <f t="shared" si="45"/>
        <v>0</v>
      </c>
      <c r="O96" s="625">
        <f t="shared" si="43"/>
        <v>0</v>
      </c>
      <c r="P96" s="559"/>
      <c r="Q96" s="627">
        <v>0</v>
      </c>
      <c r="R96" s="559"/>
      <c r="S96" s="559"/>
      <c r="T96" s="559"/>
      <c r="U96" s="559"/>
      <c r="V96" s="559"/>
      <c r="W96" s="559"/>
      <c r="X96" s="559"/>
      <c r="Y96" s="559"/>
      <c r="Z96" s="559"/>
      <c r="AA96" s="559"/>
      <c r="AB96" s="559"/>
      <c r="AC96" s="559"/>
      <c r="AD96" s="559"/>
      <c r="AE96" s="559"/>
      <c r="AF96" s="559"/>
      <c r="AG96" s="559"/>
    </row>
    <row r="97" spans="1:33" ht="18" x14ac:dyDescent="0.35">
      <c r="A97" s="559"/>
      <c r="B97" s="584"/>
      <c r="C97" s="584"/>
      <c r="D97" s="631"/>
      <c r="E97" s="631"/>
      <c r="F97" s="631"/>
      <c r="G97" s="559"/>
      <c r="H97" s="559"/>
      <c r="I97" s="559"/>
      <c r="J97" s="559">
        <f t="shared" si="40"/>
        <v>0</v>
      </c>
      <c r="K97" s="559">
        <f t="shared" si="38"/>
        <v>0</v>
      </c>
      <c r="L97" s="71">
        <f>IF(E97=0,0,VLOOKUP(E97,'Prix Matiere'!$A$4:$J$65,10))</f>
        <v>0</v>
      </c>
      <c r="M97" s="625">
        <f t="shared" si="41"/>
        <v>0</v>
      </c>
      <c r="N97" s="626">
        <f t="shared" si="45"/>
        <v>0</v>
      </c>
      <c r="O97" s="625">
        <f t="shared" si="43"/>
        <v>0</v>
      </c>
      <c r="P97" s="559"/>
      <c r="Q97" s="627">
        <v>0</v>
      </c>
      <c r="R97" s="559"/>
      <c r="S97" s="559"/>
      <c r="T97" s="559"/>
      <c r="U97" s="559"/>
      <c r="V97" s="559"/>
      <c r="W97" s="559"/>
      <c r="X97" s="559"/>
      <c r="Y97" s="559"/>
      <c r="Z97" s="559"/>
      <c r="AA97" s="559"/>
      <c r="AB97" s="559"/>
      <c r="AC97" s="559"/>
      <c r="AD97" s="559"/>
      <c r="AE97" s="559"/>
      <c r="AF97" s="559"/>
      <c r="AG97" s="559"/>
    </row>
    <row r="98" spans="1:33" ht="18" x14ac:dyDescent="0.35">
      <c r="A98" s="559"/>
      <c r="B98" s="584"/>
      <c r="C98" s="584"/>
      <c r="D98" s="630"/>
      <c r="E98" s="630"/>
      <c r="F98" s="631"/>
      <c r="G98" s="559"/>
      <c r="H98" s="559"/>
      <c r="I98" s="559"/>
      <c r="J98" s="559">
        <f t="shared" si="40"/>
        <v>0</v>
      </c>
      <c r="K98" s="559">
        <f t="shared" si="38"/>
        <v>0</v>
      </c>
      <c r="L98" s="71">
        <f>IF(E98=0,0,VLOOKUP(E98,'Prix Matiere'!$A$4:$J$65,10))</f>
        <v>0</v>
      </c>
      <c r="M98" s="625">
        <f t="shared" si="41"/>
        <v>0</v>
      </c>
      <c r="N98" s="626">
        <f t="shared" si="45"/>
        <v>0</v>
      </c>
      <c r="O98" s="625">
        <f t="shared" si="43"/>
        <v>0</v>
      </c>
      <c r="P98" s="559"/>
      <c r="Q98" s="627">
        <v>0</v>
      </c>
      <c r="R98" s="559"/>
      <c r="S98" s="559"/>
      <c r="T98" s="559"/>
      <c r="U98" s="559"/>
      <c r="V98" s="559"/>
      <c r="W98" s="559"/>
      <c r="X98" s="559"/>
      <c r="Y98" s="559"/>
      <c r="Z98" s="559"/>
      <c r="AA98" s="559"/>
      <c r="AB98" s="559"/>
      <c r="AC98" s="559"/>
      <c r="AD98" s="559"/>
      <c r="AE98" s="559"/>
      <c r="AF98" s="559"/>
      <c r="AG98" s="559"/>
    </row>
    <row r="99" spans="1:33" ht="18" x14ac:dyDescent="0.35">
      <c r="A99" s="559"/>
      <c r="B99" s="584"/>
      <c r="C99" s="584"/>
      <c r="D99" s="630"/>
      <c r="E99" s="630"/>
      <c r="F99" s="631"/>
      <c r="G99" s="559"/>
      <c r="H99" s="559"/>
      <c r="I99" s="559"/>
      <c r="J99" s="559">
        <f t="shared" si="40"/>
        <v>0</v>
      </c>
      <c r="K99" s="559">
        <f t="shared" si="38"/>
        <v>0</v>
      </c>
      <c r="L99" s="71">
        <f>IF(E99=0,0,VLOOKUP(E99,'Prix Matiere'!$A$4:$J$65,10))</f>
        <v>0</v>
      </c>
      <c r="M99" s="625">
        <f t="shared" si="41"/>
        <v>0</v>
      </c>
      <c r="N99" s="626">
        <f t="shared" si="45"/>
        <v>0</v>
      </c>
      <c r="O99" s="625">
        <f t="shared" si="43"/>
        <v>0</v>
      </c>
      <c r="P99" s="559"/>
      <c r="Q99" s="627">
        <v>0</v>
      </c>
      <c r="R99" s="559"/>
      <c r="S99" s="559"/>
      <c r="T99" s="559"/>
      <c r="U99" s="559"/>
      <c r="V99" s="559"/>
      <c r="W99" s="559"/>
      <c r="X99" s="559"/>
      <c r="Y99" s="559"/>
      <c r="Z99" s="559"/>
      <c r="AA99" s="559"/>
      <c r="AB99" s="559"/>
      <c r="AC99" s="559"/>
      <c r="AD99" s="559"/>
      <c r="AE99" s="559"/>
      <c r="AF99" s="559"/>
      <c r="AG99" s="559"/>
    </row>
    <row r="100" spans="1:33" ht="18" x14ac:dyDescent="0.35">
      <c r="A100" s="559"/>
      <c r="B100" s="584"/>
      <c r="C100" s="584"/>
      <c r="D100" s="630"/>
      <c r="E100" s="630"/>
      <c r="F100" s="631"/>
      <c r="G100" s="559"/>
      <c r="H100" s="559"/>
      <c r="I100" s="559"/>
      <c r="J100" s="559">
        <f t="shared" si="40"/>
        <v>0</v>
      </c>
      <c r="K100" s="559">
        <f t="shared" si="38"/>
        <v>0</v>
      </c>
      <c r="L100" s="71">
        <f>IF(E100=0,0,VLOOKUP(E100,'Prix Matiere'!$A$4:$J$65,10))</f>
        <v>0</v>
      </c>
      <c r="M100" s="625">
        <f t="shared" si="41"/>
        <v>0</v>
      </c>
      <c r="N100" s="626">
        <f t="shared" si="45"/>
        <v>0</v>
      </c>
      <c r="O100" s="625">
        <f t="shared" si="43"/>
        <v>0</v>
      </c>
      <c r="P100" s="559"/>
      <c r="Q100" s="627">
        <v>0</v>
      </c>
      <c r="R100" s="559"/>
      <c r="S100" s="559"/>
      <c r="T100" s="559"/>
      <c r="U100" s="559"/>
      <c r="V100" s="559"/>
      <c r="W100" s="559"/>
      <c r="X100" s="559"/>
      <c r="Y100" s="559"/>
      <c r="Z100" s="559"/>
      <c r="AA100" s="559"/>
      <c r="AB100" s="559"/>
      <c r="AC100" s="559"/>
      <c r="AD100" s="559"/>
      <c r="AE100" s="559"/>
      <c r="AF100" s="559"/>
      <c r="AG100" s="559"/>
    </row>
    <row r="101" spans="1:33" ht="18" x14ac:dyDescent="0.35">
      <c r="A101" s="559"/>
      <c r="B101" s="579" t="s">
        <v>176</v>
      </c>
      <c r="C101" s="584" t="str">
        <f>'Caisse à Plateau'!PlateauP</f>
        <v>Aucun</v>
      </c>
      <c r="D101" s="630">
        <f>IF($C$101="Aucun",0,'Caisse à Plateau'!Dimensions_intérieures_Cp_15_longueur_P-0.3)</f>
        <v>0</v>
      </c>
      <c r="E101" s="630">
        <f>IF($C$101="Aucun",0,'Caisse à Plateau'!Dimensions_intérieures_Cp_15_largeur_P-0.3)</f>
        <v>0</v>
      </c>
      <c r="F101" s="631">
        <f>IF(C101="Aucun",0,1)</f>
        <v>0</v>
      </c>
      <c r="G101" s="559"/>
      <c r="H101" s="559"/>
      <c r="I101" s="559"/>
      <c r="J101" s="559">
        <f t="shared" si="40"/>
        <v>0</v>
      </c>
      <c r="K101" s="559">
        <f t="shared" si="38"/>
        <v>0</v>
      </c>
      <c r="L101" s="71">
        <f>IF(E101=0,0,VLOOKUP(E101,'Prix Matiere'!$A$4:$J$65,10))</f>
        <v>0</v>
      </c>
      <c r="M101" s="625">
        <f t="shared" si="41"/>
        <v>0</v>
      </c>
      <c r="N101" s="626">
        <f t="shared" si="45"/>
        <v>0</v>
      </c>
      <c r="O101" s="625">
        <f t="shared" si="43"/>
        <v>0</v>
      </c>
      <c r="P101" s="559"/>
      <c r="Q101" s="627">
        <f>IF(J101=0,0,J101*VLOOKUP(C101,A165:D171,4))</f>
        <v>0</v>
      </c>
      <c r="R101" s="559"/>
      <c r="S101" s="559"/>
      <c r="T101" s="559"/>
      <c r="U101" s="559"/>
      <c r="V101" s="559"/>
      <c r="W101" s="559"/>
      <c r="X101" s="559"/>
      <c r="Y101" s="559"/>
      <c r="Z101" s="559"/>
      <c r="AA101" s="559"/>
      <c r="AB101" s="559"/>
      <c r="AC101" s="559"/>
      <c r="AD101" s="559"/>
      <c r="AE101" s="559"/>
      <c r="AF101" s="559"/>
      <c r="AG101" s="559"/>
    </row>
    <row r="102" spans="1:33" ht="18" x14ac:dyDescent="0.35">
      <c r="A102" s="559"/>
      <c r="B102" s="584"/>
      <c r="C102" s="584"/>
      <c r="D102" s="630"/>
      <c r="E102" s="630"/>
      <c r="F102" s="631"/>
      <c r="G102" s="559"/>
      <c r="H102" s="559"/>
      <c r="I102" s="559"/>
      <c r="J102" s="559">
        <f>IF(B102=0,0,(C102/100)*(D102/100)*F102)</f>
        <v>0</v>
      </c>
      <c r="K102" s="559">
        <f t="shared" si="38"/>
        <v>0</v>
      </c>
      <c r="L102" s="71">
        <f>IF(E102=0,0,VLOOKUP(E102,'Prix Matiere'!$A$4:$J$65,10))</f>
        <v>0</v>
      </c>
      <c r="M102" s="625"/>
      <c r="N102" s="626"/>
      <c r="O102" s="625"/>
      <c r="P102" s="559"/>
      <c r="Q102" s="559"/>
      <c r="R102" s="559"/>
      <c r="S102" s="559"/>
      <c r="T102" s="559"/>
      <c r="U102" s="559"/>
      <c r="V102" s="559"/>
      <c r="W102" s="559"/>
      <c r="X102" s="559"/>
      <c r="Y102" s="559"/>
      <c r="Z102" s="559"/>
      <c r="AA102" s="559"/>
      <c r="AB102" s="559"/>
      <c r="AC102" s="559"/>
      <c r="AD102" s="559"/>
      <c r="AE102" s="559"/>
      <c r="AF102" s="559"/>
      <c r="AG102" s="559"/>
    </row>
    <row r="103" spans="1:33" ht="18" x14ac:dyDescent="0.35">
      <c r="A103" s="559"/>
      <c r="B103" s="559"/>
      <c r="C103" s="559"/>
      <c r="D103" s="559"/>
      <c r="E103" s="559"/>
      <c r="F103" s="559"/>
      <c r="G103" s="559"/>
      <c r="H103" s="559"/>
      <c r="I103" s="559"/>
      <c r="J103" s="559"/>
      <c r="K103" s="559"/>
      <c r="L103" s="559"/>
      <c r="M103" s="559"/>
      <c r="N103" s="626"/>
      <c r="O103" s="559"/>
      <c r="P103" s="559"/>
      <c r="Q103" s="559"/>
      <c r="R103" s="559"/>
      <c r="S103" s="559"/>
      <c r="T103" s="559"/>
      <c r="U103" s="559"/>
      <c r="V103" s="559"/>
      <c r="W103" s="559"/>
      <c r="X103" s="559"/>
      <c r="Y103" s="559"/>
      <c r="Z103" s="559"/>
      <c r="AA103" s="559"/>
      <c r="AB103" s="559"/>
      <c r="AC103" s="559"/>
      <c r="AD103" s="559"/>
      <c r="AE103" s="559"/>
      <c r="AF103" s="559"/>
      <c r="AG103" s="559"/>
    </row>
    <row r="104" spans="1:33" ht="18" x14ac:dyDescent="0.35">
      <c r="A104" s="559"/>
      <c r="B104" s="559"/>
      <c r="C104" s="559"/>
      <c r="D104" s="559"/>
      <c r="E104" s="559"/>
      <c r="F104" s="559"/>
      <c r="G104" s="559"/>
      <c r="H104" s="559"/>
      <c r="I104" s="559"/>
      <c r="J104" s="559"/>
      <c r="K104" s="559"/>
      <c r="L104" s="559"/>
      <c r="M104" s="559"/>
      <c r="N104" s="626"/>
      <c r="O104" s="559"/>
      <c r="P104" s="559"/>
      <c r="Q104" s="559"/>
      <c r="R104" s="559"/>
      <c r="S104" s="559"/>
      <c r="T104" s="559"/>
      <c r="U104" s="559"/>
      <c r="V104" s="559"/>
      <c r="W104" s="559"/>
      <c r="X104" s="559"/>
      <c r="Y104" s="559"/>
      <c r="Z104" s="559"/>
      <c r="AA104" s="559"/>
      <c r="AB104" s="559"/>
      <c r="AC104" s="559"/>
      <c r="AD104" s="559"/>
      <c r="AE104" s="559"/>
      <c r="AF104" s="559"/>
      <c r="AG104" s="559"/>
    </row>
    <row r="105" spans="1:33" ht="46.2" x14ac:dyDescent="0.3">
      <c r="A105" s="634" t="s">
        <v>299</v>
      </c>
      <c r="B105" s="635">
        <f>IF(F23="Aucun",0,F23)</f>
        <v>0</v>
      </c>
      <c r="C105" s="634"/>
      <c r="D105" s="634"/>
      <c r="E105" s="634"/>
      <c r="F105" s="634"/>
      <c r="G105" s="634"/>
      <c r="H105" s="634"/>
      <c r="I105" s="634"/>
      <c r="J105" s="634"/>
      <c r="K105" s="634"/>
      <c r="L105" s="636"/>
      <c r="M105" s="636">
        <f>IF(B105=0,0,40)</f>
        <v>0</v>
      </c>
      <c r="N105" s="727"/>
      <c r="O105" s="636">
        <f t="shared" ref="O105:O107" si="46">N105*'Caisse à Plateau'!MinuteMO</f>
        <v>0</v>
      </c>
      <c r="P105" s="634"/>
      <c r="Q105" s="634"/>
      <c r="R105" s="634"/>
      <c r="S105" s="634"/>
      <c r="T105" s="634"/>
      <c r="U105" s="634"/>
      <c r="V105" s="634"/>
      <c r="W105" s="634"/>
      <c r="X105" s="634"/>
      <c r="Y105" s="634"/>
      <c r="Z105" s="634"/>
      <c r="AA105" s="634"/>
      <c r="AB105" s="634"/>
      <c r="AC105" s="634"/>
      <c r="AD105" s="634"/>
      <c r="AE105" s="634"/>
      <c r="AF105" s="634"/>
      <c r="AG105" s="634"/>
    </row>
    <row r="106" spans="1:33" ht="18" x14ac:dyDescent="0.35">
      <c r="A106" s="559" t="s">
        <v>19</v>
      </c>
      <c r="B106" s="559">
        <f>IF(F19="Non",0,"Peinture")</f>
        <v>0</v>
      </c>
      <c r="C106" s="559"/>
      <c r="D106" s="559"/>
      <c r="E106" s="559"/>
      <c r="F106" s="559"/>
      <c r="G106" s="559"/>
      <c r="H106" s="559"/>
      <c r="I106" s="559"/>
      <c r="J106" s="559">
        <f>IF(B106=0,0,(((C36/100)*(D36/100))+((C36/100)*(E36/100))+((D36/100)*(E36/100)))*2)</f>
        <v>0</v>
      </c>
      <c r="K106" s="559">
        <f>J106*0.5</f>
        <v>0</v>
      </c>
      <c r="L106" s="625">
        <f>IF(B106=0,0,VLOOKUP(B106,'[1]Prix Matiere'!$A$4:$J$60,10))</f>
        <v>0</v>
      </c>
      <c r="M106" s="625">
        <f>K106*L106</f>
        <v>0</v>
      </c>
      <c r="N106" s="626">
        <f>IF(J106=0,0,IF(B106="Peinture",30+J106*15))</f>
        <v>0</v>
      </c>
      <c r="O106" s="625">
        <f t="shared" si="46"/>
        <v>0</v>
      </c>
      <c r="P106" s="559"/>
      <c r="Q106" s="559"/>
      <c r="R106" s="559"/>
      <c r="S106" s="559"/>
      <c r="T106" s="559"/>
      <c r="U106" s="559"/>
      <c r="V106" s="559"/>
      <c r="W106" s="559"/>
      <c r="X106" s="559"/>
      <c r="Y106" s="559"/>
      <c r="Z106" s="559"/>
      <c r="AA106" s="559"/>
      <c r="AB106" s="559"/>
      <c r="AC106" s="559"/>
      <c r="AD106" s="559"/>
      <c r="AE106" s="559"/>
      <c r="AF106" s="559"/>
      <c r="AG106" s="559"/>
    </row>
    <row r="107" spans="1:33" ht="18" x14ac:dyDescent="0.35">
      <c r="A107" s="559" t="s">
        <v>72</v>
      </c>
      <c r="B107" s="559" t="str">
        <f>C19</f>
        <v>Vis bois</v>
      </c>
      <c r="C107" s="559"/>
      <c r="D107" s="559"/>
      <c r="E107" s="559"/>
      <c r="F107" s="559"/>
      <c r="G107" s="559"/>
      <c r="H107" s="559"/>
      <c r="I107" s="559"/>
      <c r="J107" s="559"/>
      <c r="K107" s="559"/>
      <c r="L107" s="559"/>
      <c r="M107" s="625">
        <f>IF(B107="Vis bois",0,(D4*2+G4*2+D6*2+G6*2)*1.5)</f>
        <v>0</v>
      </c>
      <c r="N107" s="626">
        <f>IF(B107="Vis bois",0,60)</f>
        <v>0</v>
      </c>
      <c r="O107" s="625">
        <f t="shared" si="46"/>
        <v>0</v>
      </c>
      <c r="P107" s="559"/>
      <c r="Q107" s="559"/>
      <c r="R107" s="559"/>
      <c r="S107" s="559"/>
      <c r="T107" s="559"/>
      <c r="U107" s="559"/>
      <c r="V107" s="559"/>
      <c r="W107" s="559"/>
      <c r="X107" s="559"/>
      <c r="Y107" s="559"/>
      <c r="Z107" s="559"/>
      <c r="AA107" s="559"/>
      <c r="AB107" s="559"/>
      <c r="AC107" s="559"/>
      <c r="AD107" s="559"/>
      <c r="AE107" s="559"/>
      <c r="AF107" s="559"/>
      <c r="AG107" s="559"/>
    </row>
    <row r="108" spans="1:33" ht="18" x14ac:dyDescent="0.35">
      <c r="A108" s="559" t="s">
        <v>21</v>
      </c>
      <c r="B108" s="559" t="str">
        <f>C21</f>
        <v>Non</v>
      </c>
      <c r="C108" s="559"/>
      <c r="D108" s="559"/>
      <c r="E108" s="559"/>
      <c r="F108" s="559"/>
      <c r="G108" s="559"/>
      <c r="H108" s="559"/>
      <c r="I108" s="559"/>
      <c r="J108" s="559"/>
      <c r="K108" s="559"/>
      <c r="L108" s="559"/>
      <c r="M108" s="625"/>
      <c r="N108" s="626"/>
      <c r="O108" s="625"/>
      <c r="P108" s="559"/>
      <c r="Q108" s="559"/>
      <c r="R108" s="559"/>
      <c r="S108" s="559"/>
      <c r="T108" s="559"/>
      <c r="U108" s="559"/>
      <c r="V108" s="559"/>
      <c r="W108" s="559"/>
      <c r="X108" s="559"/>
      <c r="Y108" s="559"/>
      <c r="Z108" s="559"/>
      <c r="AA108" s="559"/>
      <c r="AB108" s="559"/>
      <c r="AC108" s="559"/>
      <c r="AD108" s="559"/>
      <c r="AE108" s="559"/>
      <c r="AF108" s="559"/>
      <c r="AG108" s="559"/>
    </row>
    <row r="109" spans="1:33" ht="18" x14ac:dyDescent="0.35">
      <c r="A109" s="559"/>
      <c r="B109" s="559"/>
      <c r="C109" s="559"/>
      <c r="D109" s="559"/>
      <c r="E109" s="559"/>
      <c r="F109" s="559"/>
      <c r="G109" s="559"/>
      <c r="H109" s="559"/>
      <c r="I109" s="559"/>
      <c r="J109" s="559"/>
      <c r="K109" s="559"/>
      <c r="L109" s="559"/>
      <c r="M109" s="559"/>
      <c r="N109" s="626"/>
      <c r="O109" s="559"/>
      <c r="P109" s="559"/>
      <c r="Q109" s="559"/>
      <c r="R109" s="559"/>
      <c r="S109" s="559"/>
      <c r="T109" s="559"/>
      <c r="U109" s="559"/>
      <c r="V109" s="559"/>
      <c r="W109" s="559"/>
      <c r="X109" s="559"/>
      <c r="Y109" s="559"/>
      <c r="Z109" s="559"/>
      <c r="AA109" s="559"/>
      <c r="AB109" s="559"/>
      <c r="AC109" s="559"/>
      <c r="AD109" s="559"/>
      <c r="AE109" s="559"/>
      <c r="AF109" s="559"/>
      <c r="AG109" s="559"/>
    </row>
    <row r="110" spans="1:33" ht="18" x14ac:dyDescent="0.35">
      <c r="A110" s="559"/>
      <c r="B110" s="559"/>
      <c r="C110" s="559"/>
      <c r="D110" s="559"/>
      <c r="E110" s="559"/>
      <c r="F110" s="559"/>
      <c r="G110" s="559"/>
      <c r="H110" s="559"/>
      <c r="I110" s="559"/>
      <c r="J110" s="559"/>
      <c r="K110" s="559"/>
      <c r="L110" s="614"/>
      <c r="M110" s="614">
        <f t="shared" ref="M110:O110" si="47">SUM(M42:M109)</f>
        <v>-1.5462508556701031</v>
      </c>
      <c r="N110" s="638">
        <f t="shared" si="47"/>
        <v>36.860466825600007</v>
      </c>
      <c r="O110" s="614">
        <f t="shared" si="47"/>
        <v>31.331396801760004</v>
      </c>
      <c r="P110" s="559"/>
      <c r="Q110" s="627">
        <f>SUM(Q42:Q109)</f>
        <v>0</v>
      </c>
      <c r="R110" s="559"/>
      <c r="S110" s="559"/>
      <c r="T110" s="559"/>
      <c r="U110" s="559"/>
      <c r="V110" s="559"/>
      <c r="W110" s="559"/>
      <c r="X110" s="559"/>
      <c r="Y110" s="559"/>
      <c r="Z110" s="559"/>
      <c r="AA110" s="559"/>
      <c r="AB110" s="559"/>
      <c r="AC110" s="559"/>
      <c r="AD110" s="559"/>
      <c r="AE110" s="559"/>
      <c r="AF110" s="559"/>
      <c r="AG110" s="559"/>
    </row>
    <row r="111" spans="1:33" ht="18" x14ac:dyDescent="0.35">
      <c r="A111" s="559"/>
      <c r="B111" s="639" t="s">
        <v>73</v>
      </c>
      <c r="C111" s="640">
        <f>IF($F$9=0,0,M110)</f>
        <v>-1.5462508556701031</v>
      </c>
      <c r="D111" s="641"/>
      <c r="E111" s="642" t="s">
        <v>74</v>
      </c>
      <c r="F111" s="643" t="str">
        <f>CONCATENATE(ROUNDUP(SUM(K42:K45)+SUM(K73:K74)+K101+K84,2)," m²")</f>
        <v>0,03 m²</v>
      </c>
      <c r="G111" s="644">
        <f>(SUM(M42:M45)+SUM(M73:M74)+M101+M84)</f>
        <v>0.42121419587628872</v>
      </c>
      <c r="H111" s="559"/>
      <c r="I111" s="559"/>
      <c r="J111" s="559"/>
      <c r="K111" s="559"/>
      <c r="L111" s="559"/>
      <c r="M111" s="559"/>
      <c r="N111" s="559"/>
      <c r="O111" s="559"/>
      <c r="P111" s="559"/>
      <c r="Q111" s="559"/>
      <c r="R111" s="559"/>
      <c r="S111" s="559"/>
      <c r="T111" s="559"/>
      <c r="U111" s="559"/>
      <c r="V111" s="559"/>
      <c r="W111" s="559"/>
      <c r="X111" s="559"/>
      <c r="Y111" s="559"/>
      <c r="Z111" s="559"/>
      <c r="AA111" s="559"/>
      <c r="AB111" s="559"/>
      <c r="AC111" s="559"/>
      <c r="AD111" s="559"/>
      <c r="AE111" s="559"/>
      <c r="AF111" s="559"/>
      <c r="AG111" s="559"/>
    </row>
    <row r="112" spans="1:33" ht="18" x14ac:dyDescent="0.35">
      <c r="A112" s="559"/>
      <c r="B112" s="645" t="s">
        <v>75</v>
      </c>
      <c r="C112" s="625">
        <f>IF($F$9=0,0,O110)</f>
        <v>31.331396801760004</v>
      </c>
      <c r="D112" s="646">
        <f>IF($F$9=0,0,N110)</f>
        <v>36.860466825600007</v>
      </c>
      <c r="E112" s="647" t="s">
        <v>76</v>
      </c>
      <c r="F112" s="648" t="str">
        <f>CONCATENATE(ROUNDUP(SUM(K48:K57)+SUM(K90:K92),2)," m²")</f>
        <v>-0,04 m²</v>
      </c>
      <c r="G112" s="649">
        <f>(SUM(M48:M57)+SUM(M90:M92))</f>
        <v>-1.9674650515463916</v>
      </c>
      <c r="H112" s="559"/>
      <c r="I112" s="559"/>
      <c r="J112" s="559"/>
      <c r="K112" s="559"/>
      <c r="L112" s="559"/>
      <c r="M112" s="559"/>
      <c r="N112" s="559"/>
      <c r="O112" s="559"/>
      <c r="P112" s="559"/>
      <c r="Q112" s="559"/>
      <c r="R112" s="559"/>
      <c r="S112" s="559"/>
      <c r="T112" s="559"/>
      <c r="U112" s="559"/>
      <c r="V112" s="559"/>
      <c r="W112" s="559"/>
      <c r="X112" s="559"/>
      <c r="Y112" s="559"/>
      <c r="Z112" s="559"/>
      <c r="AA112" s="559"/>
      <c r="AB112" s="559"/>
      <c r="AC112" s="559"/>
      <c r="AD112" s="559"/>
      <c r="AE112" s="559"/>
      <c r="AF112" s="559"/>
      <c r="AG112" s="559"/>
    </row>
    <row r="113" spans="1:33" ht="18" x14ac:dyDescent="0.35">
      <c r="A113" s="559"/>
      <c r="B113" s="645" t="s">
        <v>77</v>
      </c>
      <c r="C113" s="625">
        <f>IF($F$9=0,0,((C111+C112)/'Caisse à Plateau'!Frais_Généraux)-(C111+C112))</f>
        <v>16.038155509433022</v>
      </c>
      <c r="D113" s="650"/>
      <c r="E113" s="647" t="s">
        <v>78</v>
      </c>
      <c r="F113" s="648" t="str">
        <f>CONCATENATE(ROUNDUP(SUM(K67:K69)+SUM(K78:K80),2)," m²")</f>
        <v>0 m²</v>
      </c>
      <c r="G113" s="649">
        <f>(SUM(M67:M69)+SUM(M78:M80))</f>
        <v>0</v>
      </c>
      <c r="H113" s="559"/>
      <c r="I113" s="559"/>
      <c r="J113" s="559"/>
      <c r="K113" s="559"/>
      <c r="L113" s="559"/>
      <c r="M113" s="559"/>
      <c r="N113" s="559"/>
      <c r="O113" s="559"/>
      <c r="P113" s="559"/>
      <c r="Q113" s="559"/>
      <c r="R113" s="559"/>
      <c r="S113" s="559"/>
      <c r="T113" s="559"/>
      <c r="U113" s="559"/>
      <c r="V113" s="559"/>
      <c r="W113" s="559"/>
      <c r="X113" s="559"/>
      <c r="Y113" s="559"/>
      <c r="Z113" s="559"/>
      <c r="AA113" s="559"/>
      <c r="AB113" s="559"/>
      <c r="AC113" s="559"/>
      <c r="AD113" s="559"/>
      <c r="AE113" s="559"/>
      <c r="AF113" s="559"/>
      <c r="AG113" s="559"/>
    </row>
    <row r="114" spans="1:33" ht="18" x14ac:dyDescent="0.35">
      <c r="A114" s="559"/>
      <c r="B114" s="645" t="s">
        <v>79</v>
      </c>
      <c r="C114" s="625">
        <f>IF($F$9=0,0,SUM(C111:C113))</f>
        <v>45.823301455522923</v>
      </c>
      <c r="D114" s="650"/>
      <c r="E114" s="647" t="s">
        <v>80</v>
      </c>
      <c r="F114" s="648" t="str">
        <f>CONCATENATE(ROUNDUP(SUM(K61:K63)+SUM(K93:K96),2)," m²")</f>
        <v>0 m²</v>
      </c>
      <c r="G114" s="649">
        <f>(SUM(M61:M63)+SUM(M93:M96))</f>
        <v>0</v>
      </c>
      <c r="H114" s="559"/>
      <c r="I114" s="559"/>
      <c r="J114" s="559"/>
      <c r="K114" s="559"/>
      <c r="L114" s="559"/>
      <c r="M114" s="559"/>
      <c r="N114" s="559"/>
      <c r="O114" s="559"/>
      <c r="P114" s="559"/>
      <c r="Q114" s="559"/>
      <c r="R114" s="559"/>
      <c r="S114" s="559"/>
      <c r="T114" s="559"/>
      <c r="U114" s="559"/>
      <c r="V114" s="559"/>
      <c r="W114" s="559"/>
      <c r="X114" s="559"/>
      <c r="Y114" s="559"/>
      <c r="Z114" s="559"/>
      <c r="AA114" s="559"/>
      <c r="AB114" s="559"/>
      <c r="AC114" s="559"/>
      <c r="AD114" s="559"/>
      <c r="AE114" s="559"/>
      <c r="AF114" s="559"/>
      <c r="AG114" s="559"/>
    </row>
    <row r="115" spans="1:33" ht="18" x14ac:dyDescent="0.35">
      <c r="A115" s="559"/>
      <c r="B115" s="645" t="s">
        <v>81</v>
      </c>
      <c r="C115" s="625">
        <f>IF($F$9=0,0,(C114/(1-'Caisse à Plateau'!Marge)-C114))</f>
        <v>3.4490657009533408</v>
      </c>
      <c r="D115" s="651">
        <f>C114+C115</f>
        <v>49.272367156476264</v>
      </c>
      <c r="E115" s="647"/>
      <c r="F115" s="648"/>
      <c r="G115" s="652"/>
      <c r="H115" s="559"/>
      <c r="I115" s="559"/>
      <c r="J115" s="559"/>
      <c r="K115" s="559"/>
      <c r="L115" s="559"/>
      <c r="M115" s="559"/>
      <c r="N115" s="559"/>
      <c r="O115" s="559"/>
      <c r="P115" s="559"/>
      <c r="Q115" s="559"/>
      <c r="R115" s="559"/>
      <c r="S115" s="559"/>
      <c r="T115" s="559"/>
      <c r="U115" s="559"/>
      <c r="V115" s="559"/>
      <c r="W115" s="559"/>
      <c r="X115" s="559"/>
      <c r="Y115" s="559"/>
      <c r="Z115" s="559"/>
      <c r="AA115" s="559"/>
      <c r="AB115" s="559"/>
      <c r="AC115" s="559"/>
      <c r="AD115" s="559"/>
      <c r="AE115" s="559"/>
      <c r="AF115" s="559"/>
      <c r="AG115" s="559"/>
    </row>
    <row r="116" spans="1:33" ht="18" x14ac:dyDescent="0.35">
      <c r="A116" s="559"/>
      <c r="B116" s="645" t="s">
        <v>83</v>
      </c>
      <c r="C116" s="625">
        <f>IF($F$10="BOVIS",((C114+C115)*(1+C117))-(C114+C115),((C114+C115)*(1+D116))-(C114+C115))</f>
        <v>0</v>
      </c>
      <c r="D116" s="22"/>
      <c r="E116" s="647"/>
      <c r="F116" s="648"/>
      <c r="G116" s="652"/>
      <c r="H116" s="559"/>
      <c r="I116" s="559"/>
      <c r="J116" s="559"/>
      <c r="K116" s="559"/>
      <c r="L116" s="559"/>
      <c r="M116" s="559"/>
      <c r="N116" s="559"/>
      <c r="O116" s="559"/>
      <c r="P116" s="559"/>
      <c r="Q116" s="559"/>
      <c r="R116" s="559"/>
      <c r="S116" s="559"/>
      <c r="T116" s="559"/>
      <c r="U116" s="559"/>
      <c r="V116" s="559"/>
      <c r="W116" s="559"/>
      <c r="X116" s="559"/>
      <c r="Y116" s="559"/>
      <c r="Z116" s="559"/>
      <c r="AA116" s="559"/>
      <c r="AB116" s="559"/>
      <c r="AC116" s="559"/>
      <c r="AD116" s="559"/>
      <c r="AE116" s="559"/>
      <c r="AF116" s="559"/>
      <c r="AG116" s="559"/>
    </row>
    <row r="117" spans="1:33" ht="18" x14ac:dyDescent="0.35">
      <c r="A117" s="559"/>
      <c r="B117" s="645"/>
      <c r="C117" s="653">
        <f>IF($F$10="BOVIS",0.03,0)</f>
        <v>0</v>
      </c>
      <c r="D117" s="654"/>
      <c r="E117" s="647"/>
      <c r="F117" s="648"/>
      <c r="G117" s="652"/>
      <c r="H117" s="559"/>
      <c r="I117" s="559"/>
      <c r="J117" s="559"/>
      <c r="K117" s="559"/>
      <c r="L117" s="559"/>
      <c r="M117" s="559"/>
      <c r="N117" s="559"/>
      <c r="O117" s="559"/>
      <c r="P117" s="559"/>
      <c r="Q117" s="559"/>
      <c r="R117" s="559"/>
      <c r="S117" s="559"/>
      <c r="T117" s="559"/>
      <c r="U117" s="559"/>
      <c r="V117" s="559"/>
      <c r="W117" s="559"/>
      <c r="X117" s="559"/>
      <c r="Y117" s="559"/>
      <c r="Z117" s="559"/>
      <c r="AA117" s="559"/>
      <c r="AB117" s="559"/>
      <c r="AC117" s="559"/>
      <c r="AD117" s="559"/>
      <c r="AE117" s="559"/>
      <c r="AF117" s="559"/>
      <c r="AG117" s="559"/>
    </row>
    <row r="118" spans="1:33" ht="18" x14ac:dyDescent="0.35">
      <c r="A118" s="559"/>
      <c r="B118" s="655" t="s">
        <v>84</v>
      </c>
      <c r="C118" s="656">
        <f>SUM(C114:C117)</f>
        <v>49.272367156476264</v>
      </c>
      <c r="D118" s="657"/>
      <c r="E118" s="658" t="s">
        <v>85</v>
      </c>
      <c r="F118" s="567"/>
      <c r="G118" s="659">
        <f>C111-SUM(G111:G115)</f>
        <v>0</v>
      </c>
      <c r="H118" s="559"/>
      <c r="I118" s="559"/>
      <c r="J118" s="559"/>
      <c r="K118" s="559"/>
      <c r="L118" s="559"/>
      <c r="M118" s="559"/>
      <c r="N118" s="559"/>
      <c r="O118" s="559"/>
      <c r="P118" s="559"/>
      <c r="Q118" s="559"/>
      <c r="R118" s="559"/>
      <c r="S118" s="559"/>
      <c r="T118" s="559"/>
      <c r="U118" s="559"/>
      <c r="V118" s="559"/>
      <c r="W118" s="559"/>
      <c r="X118" s="559"/>
      <c r="Y118" s="559"/>
      <c r="Z118" s="559"/>
      <c r="AA118" s="559"/>
      <c r="AB118" s="559"/>
      <c r="AC118" s="559"/>
      <c r="AD118" s="559"/>
      <c r="AE118" s="559"/>
      <c r="AF118" s="559"/>
      <c r="AG118" s="559"/>
    </row>
    <row r="119" spans="1:33" ht="18" x14ac:dyDescent="0.35">
      <c r="A119" s="559"/>
      <c r="B119" s="559"/>
      <c r="C119" s="559"/>
      <c r="D119" s="559"/>
      <c r="E119" s="559"/>
      <c r="F119" s="559"/>
      <c r="G119" s="559"/>
      <c r="H119" s="559"/>
      <c r="I119" s="559"/>
      <c r="J119" s="559"/>
      <c r="K119" s="559"/>
      <c r="L119" s="559"/>
      <c r="M119" s="559"/>
      <c r="N119" s="559"/>
      <c r="O119" s="559"/>
      <c r="P119" s="559"/>
      <c r="Q119" s="559"/>
      <c r="R119" s="559"/>
      <c r="S119" s="559"/>
      <c r="T119" s="559"/>
      <c r="U119" s="559"/>
      <c r="V119" s="559"/>
      <c r="W119" s="559"/>
      <c r="X119" s="559"/>
      <c r="Y119" s="559"/>
      <c r="Z119" s="559"/>
      <c r="AA119" s="559"/>
      <c r="AB119" s="559"/>
      <c r="AC119" s="559"/>
      <c r="AD119" s="559"/>
      <c r="AE119" s="559"/>
      <c r="AF119" s="559"/>
      <c r="AG119" s="559"/>
    </row>
    <row r="120" spans="1:33" ht="18" x14ac:dyDescent="0.35">
      <c r="A120" s="559"/>
      <c r="B120" s="559"/>
      <c r="C120" s="559"/>
      <c r="D120" s="559"/>
      <c r="E120" s="559"/>
      <c r="F120" s="559"/>
      <c r="G120" s="559"/>
      <c r="H120" s="559"/>
      <c r="I120" s="559"/>
      <c r="J120" s="559"/>
      <c r="K120" s="559"/>
      <c r="L120" s="559"/>
      <c r="M120" s="559"/>
      <c r="N120" s="559"/>
      <c r="O120" s="559"/>
      <c r="P120" s="559"/>
      <c r="Q120" s="559"/>
      <c r="R120" s="559"/>
      <c r="S120" s="559"/>
      <c r="T120" s="559"/>
      <c r="U120" s="559"/>
      <c r="V120" s="559"/>
      <c r="W120" s="559"/>
      <c r="X120" s="559"/>
      <c r="Y120" s="559"/>
      <c r="Z120" s="559"/>
      <c r="AA120" s="559"/>
      <c r="AB120" s="559"/>
      <c r="AC120" s="559"/>
      <c r="AD120" s="559"/>
      <c r="AE120" s="559"/>
      <c r="AF120" s="559"/>
      <c r="AG120" s="559"/>
    </row>
    <row r="121" spans="1:33" ht="18" x14ac:dyDescent="0.35">
      <c r="A121" s="559"/>
      <c r="B121" s="559"/>
      <c r="C121" s="559"/>
      <c r="D121" s="559"/>
      <c r="E121" s="559"/>
      <c r="F121" s="559"/>
      <c r="G121" s="559"/>
      <c r="H121" s="559"/>
      <c r="I121" s="559"/>
      <c r="J121" s="559"/>
      <c r="K121" s="559"/>
      <c r="L121" s="559"/>
      <c r="M121" s="559"/>
      <c r="N121" s="559"/>
      <c r="O121" s="559"/>
      <c r="P121" s="559"/>
      <c r="Q121" s="559"/>
      <c r="R121" s="559"/>
      <c r="S121" s="559"/>
      <c r="T121" s="559"/>
      <c r="U121" s="559"/>
      <c r="V121" s="559"/>
      <c r="W121" s="559"/>
      <c r="X121" s="559"/>
      <c r="Y121" s="559"/>
      <c r="Z121" s="559"/>
      <c r="AA121" s="559"/>
      <c r="AB121" s="559"/>
      <c r="AC121" s="559"/>
      <c r="AD121" s="559"/>
      <c r="AE121" s="559"/>
      <c r="AF121" s="559"/>
      <c r="AG121" s="559"/>
    </row>
    <row r="122" spans="1:33" x14ac:dyDescent="0.3">
      <c r="A122" s="660"/>
      <c r="B122" s="661" t="s">
        <v>114</v>
      </c>
      <c r="C122" s="661" t="s">
        <v>115</v>
      </c>
      <c r="D122" s="661" t="s">
        <v>116</v>
      </c>
      <c r="E122" s="661" t="s">
        <v>117</v>
      </c>
      <c r="F122" s="661" t="s">
        <v>118</v>
      </c>
      <c r="G122" s="661" t="s">
        <v>119</v>
      </c>
      <c r="H122" s="661" t="s">
        <v>120</v>
      </c>
      <c r="I122" s="661" t="s">
        <v>121</v>
      </c>
      <c r="J122" s="661" t="s">
        <v>122</v>
      </c>
      <c r="K122" s="661" t="s">
        <v>123</v>
      </c>
      <c r="L122" s="661" t="s">
        <v>82</v>
      </c>
      <c r="M122" s="661"/>
      <c r="N122" s="661"/>
      <c r="O122" s="661"/>
      <c r="P122" s="661"/>
      <c r="Q122" s="661"/>
      <c r="R122" s="661" t="s">
        <v>312</v>
      </c>
      <c r="S122" s="661"/>
      <c r="T122" s="661"/>
      <c r="U122" s="662"/>
      <c r="V122" s="663"/>
      <c r="W122" s="663"/>
      <c r="X122" s="663"/>
      <c r="Y122" s="663"/>
      <c r="Z122" s="663"/>
      <c r="AA122" s="663"/>
      <c r="AB122" s="663"/>
      <c r="AC122" s="663"/>
      <c r="AD122" s="663"/>
      <c r="AE122" s="663"/>
      <c r="AF122" s="663"/>
      <c r="AG122" s="663"/>
    </row>
    <row r="123" spans="1:33" x14ac:dyDescent="0.3">
      <c r="A123" s="664">
        <v>1</v>
      </c>
      <c r="B123" s="663">
        <v>2</v>
      </c>
      <c r="C123" s="663">
        <v>3</v>
      </c>
      <c r="D123" s="663">
        <v>4</v>
      </c>
      <c r="E123" s="663">
        <v>5</v>
      </c>
      <c r="F123" s="663">
        <v>6</v>
      </c>
      <c r="G123" s="663">
        <v>7</v>
      </c>
      <c r="H123" s="663">
        <v>8</v>
      </c>
      <c r="I123" s="663">
        <v>9</v>
      </c>
      <c r="J123" s="663">
        <v>10</v>
      </c>
      <c r="K123" s="663">
        <v>11</v>
      </c>
      <c r="L123" s="663">
        <v>12</v>
      </c>
      <c r="M123" s="663">
        <v>13</v>
      </c>
      <c r="N123" s="663">
        <v>14</v>
      </c>
      <c r="O123" s="663">
        <v>15</v>
      </c>
      <c r="P123" s="663">
        <v>16</v>
      </c>
      <c r="Q123" s="663">
        <v>17</v>
      </c>
      <c r="R123" s="663" t="s">
        <v>28</v>
      </c>
      <c r="S123" s="663" t="s">
        <v>313</v>
      </c>
      <c r="T123" s="663" t="s">
        <v>314</v>
      </c>
      <c r="U123" s="665"/>
      <c r="V123" s="663"/>
      <c r="W123" s="663"/>
      <c r="X123" s="663"/>
      <c r="Y123" s="663"/>
      <c r="Z123" s="663"/>
      <c r="AA123" s="663"/>
      <c r="AB123" s="663"/>
      <c r="AC123" s="663"/>
      <c r="AD123" s="663"/>
      <c r="AE123" s="663"/>
      <c r="AF123" s="663"/>
      <c r="AG123" s="663"/>
    </row>
    <row r="124" spans="1:33" x14ac:dyDescent="0.3">
      <c r="A124" s="664" t="s">
        <v>16</v>
      </c>
      <c r="B124" s="663">
        <v>0</v>
      </c>
      <c r="C124" s="663">
        <v>0</v>
      </c>
      <c r="D124" s="663">
        <v>0</v>
      </c>
      <c r="E124" s="663">
        <v>0</v>
      </c>
      <c r="F124" s="663">
        <v>0</v>
      </c>
      <c r="G124" s="663">
        <v>0</v>
      </c>
      <c r="H124" s="663">
        <v>0</v>
      </c>
      <c r="I124" s="663">
        <v>0</v>
      </c>
      <c r="J124" s="663">
        <v>0</v>
      </c>
      <c r="K124" s="663">
        <v>0</v>
      </c>
      <c r="L124" s="663">
        <v>0</v>
      </c>
      <c r="M124" s="663">
        <v>0</v>
      </c>
      <c r="N124" s="663">
        <v>0</v>
      </c>
      <c r="O124" s="663">
        <v>0</v>
      </c>
      <c r="P124" s="663">
        <v>0</v>
      </c>
      <c r="Q124" s="663">
        <v>0</v>
      </c>
      <c r="R124" s="663">
        <v>0</v>
      </c>
      <c r="S124" s="663">
        <v>0</v>
      </c>
      <c r="T124" s="663" t="s">
        <v>315</v>
      </c>
      <c r="U124" s="665"/>
      <c r="V124" s="663"/>
      <c r="W124" s="663"/>
      <c r="X124" s="663"/>
      <c r="Y124" s="663"/>
      <c r="Z124" s="663"/>
      <c r="AA124" s="663"/>
      <c r="AB124" s="663"/>
      <c r="AC124" s="663"/>
      <c r="AD124" s="663"/>
      <c r="AE124" s="663"/>
      <c r="AF124" s="663"/>
      <c r="AG124" s="663"/>
    </row>
    <row r="125" spans="1:33" x14ac:dyDescent="0.3">
      <c r="A125" s="664" t="s">
        <v>316</v>
      </c>
      <c r="B125" s="663">
        <v>20</v>
      </c>
      <c r="C125" s="663">
        <v>20</v>
      </c>
      <c r="D125" s="663">
        <v>14</v>
      </c>
      <c r="E125" s="663">
        <v>10</v>
      </c>
      <c r="F125" s="663">
        <v>0.2</v>
      </c>
      <c r="G125" s="663">
        <v>1</v>
      </c>
      <c r="H125" s="663" t="s">
        <v>37</v>
      </c>
      <c r="I125" s="663" t="s">
        <v>27</v>
      </c>
      <c r="J125" s="663">
        <v>-0.5</v>
      </c>
      <c r="K125" s="663">
        <v>1</v>
      </c>
      <c r="L125" s="663">
        <v>0</v>
      </c>
      <c r="M125" s="663" t="s">
        <v>317</v>
      </c>
      <c r="N125" s="663"/>
      <c r="O125" s="663">
        <v>1</v>
      </c>
      <c r="P125" s="663"/>
      <c r="Q125" s="663"/>
      <c r="R125" s="663">
        <v>1</v>
      </c>
      <c r="S125" s="663">
        <v>0</v>
      </c>
      <c r="T125" s="663" t="s">
        <v>315</v>
      </c>
      <c r="U125" s="665"/>
      <c r="V125" s="663"/>
      <c r="W125" s="663"/>
      <c r="X125" s="663"/>
      <c r="Y125" s="663"/>
      <c r="Z125" s="663"/>
      <c r="AA125" s="663"/>
      <c r="AB125" s="663"/>
      <c r="AC125" s="663"/>
      <c r="AD125" s="663"/>
      <c r="AE125" s="663"/>
      <c r="AF125" s="663"/>
      <c r="AG125" s="663"/>
    </row>
    <row r="126" spans="1:33" x14ac:dyDescent="0.3">
      <c r="A126" s="664" t="s">
        <v>319</v>
      </c>
      <c r="B126" s="663">
        <v>14</v>
      </c>
      <c r="C126" s="663">
        <v>14</v>
      </c>
      <c r="D126" s="663">
        <v>7</v>
      </c>
      <c r="E126" s="663">
        <v>10</v>
      </c>
      <c r="F126" s="663">
        <v>0.2</v>
      </c>
      <c r="G126" s="663">
        <v>1</v>
      </c>
      <c r="H126" s="663" t="s">
        <v>37</v>
      </c>
      <c r="I126" s="663" t="s">
        <v>27</v>
      </c>
      <c r="J126" s="663">
        <v>-0.5</v>
      </c>
      <c r="K126" s="663">
        <v>1</v>
      </c>
      <c r="L126" s="663">
        <v>0</v>
      </c>
      <c r="M126" s="663" t="s">
        <v>317</v>
      </c>
      <c r="N126" s="663"/>
      <c r="O126" s="663">
        <v>1</v>
      </c>
      <c r="P126" s="663"/>
      <c r="Q126" s="663"/>
      <c r="R126" s="663">
        <v>1</v>
      </c>
      <c r="S126" s="663">
        <v>1</v>
      </c>
      <c r="T126" s="663" t="s">
        <v>315</v>
      </c>
      <c r="U126" s="665"/>
      <c r="V126" s="663"/>
      <c r="W126" s="663"/>
      <c r="X126" s="663"/>
      <c r="Y126" s="663"/>
      <c r="Z126" s="663"/>
      <c r="AA126" s="663"/>
      <c r="AB126" s="663"/>
      <c r="AC126" s="663"/>
      <c r="AD126" s="663"/>
      <c r="AE126" s="663"/>
      <c r="AF126" s="663"/>
      <c r="AG126" s="663"/>
    </row>
    <row r="127" spans="1:33" x14ac:dyDescent="0.3">
      <c r="A127" s="664" t="s">
        <v>371</v>
      </c>
      <c r="B127" s="663">
        <v>10.199999999999999</v>
      </c>
      <c r="C127" s="663">
        <v>10.199999999999999</v>
      </c>
      <c r="D127" s="663">
        <v>5.2</v>
      </c>
      <c r="E127" s="663">
        <v>10.7</v>
      </c>
      <c r="F127" s="663">
        <v>0.2</v>
      </c>
      <c r="G127" s="663">
        <v>2</v>
      </c>
      <c r="H127" s="663" t="s">
        <v>37</v>
      </c>
      <c r="I127" s="663" t="s">
        <v>37</v>
      </c>
      <c r="J127" s="663">
        <v>-0.5</v>
      </c>
      <c r="K127" s="663">
        <v>2</v>
      </c>
      <c r="L127" s="663">
        <v>1</v>
      </c>
      <c r="M127" s="663" t="s">
        <v>321</v>
      </c>
      <c r="N127" s="663"/>
      <c r="O127" s="663">
        <v>2</v>
      </c>
      <c r="P127" s="663"/>
      <c r="Q127" s="663"/>
      <c r="R127" s="663">
        <v>0</v>
      </c>
      <c r="S127" s="663">
        <v>0</v>
      </c>
      <c r="T127" s="663" t="s">
        <v>315</v>
      </c>
      <c r="U127" s="665"/>
      <c r="V127" s="663"/>
      <c r="W127" s="663"/>
      <c r="X127" s="663"/>
      <c r="Y127" s="663"/>
      <c r="Z127" s="663"/>
      <c r="AA127" s="663"/>
      <c r="AB127" s="663"/>
      <c r="AC127" s="663"/>
      <c r="AD127" s="663"/>
      <c r="AE127" s="663"/>
      <c r="AF127" s="663"/>
      <c r="AG127" s="663"/>
    </row>
    <row r="128" spans="1:33" x14ac:dyDescent="0.3">
      <c r="A128" s="664" t="s">
        <v>372</v>
      </c>
      <c r="B128" s="663">
        <v>6.2</v>
      </c>
      <c r="C128" s="663">
        <v>6.2</v>
      </c>
      <c r="D128" s="663">
        <v>3.2</v>
      </c>
      <c r="E128" s="663">
        <v>10.7</v>
      </c>
      <c r="F128" s="663">
        <v>0.2</v>
      </c>
      <c r="G128" s="663">
        <v>2</v>
      </c>
      <c r="H128" s="663" t="s">
        <v>262</v>
      </c>
      <c r="I128" s="663" t="s">
        <v>262</v>
      </c>
      <c r="J128" s="663">
        <v>-0.5</v>
      </c>
      <c r="K128" s="663">
        <v>2</v>
      </c>
      <c r="L128" s="663">
        <v>1</v>
      </c>
      <c r="M128" s="663" t="s">
        <v>321</v>
      </c>
      <c r="N128" s="663"/>
      <c r="O128" s="663">
        <v>2</v>
      </c>
      <c r="P128" s="663"/>
      <c r="Q128" s="663"/>
      <c r="R128" s="663">
        <v>0</v>
      </c>
      <c r="S128" s="663">
        <v>0</v>
      </c>
      <c r="T128" s="663" t="s">
        <v>315</v>
      </c>
      <c r="U128" s="665"/>
      <c r="V128" s="663"/>
      <c r="W128" s="663"/>
      <c r="X128" s="663"/>
      <c r="Y128" s="663"/>
      <c r="Z128" s="663"/>
      <c r="AA128" s="663"/>
      <c r="AB128" s="663"/>
      <c r="AC128" s="663"/>
      <c r="AD128" s="663"/>
      <c r="AE128" s="663"/>
      <c r="AF128" s="663"/>
      <c r="AG128" s="663"/>
    </row>
    <row r="129" spans="1:33" x14ac:dyDescent="0.3">
      <c r="A129" s="664" t="s">
        <v>323</v>
      </c>
      <c r="B129" s="663">
        <v>10.199999999999999</v>
      </c>
      <c r="C129" s="663">
        <v>10.199999999999999</v>
      </c>
      <c r="D129" s="663">
        <v>5.2</v>
      </c>
      <c r="E129" s="663">
        <v>5.7</v>
      </c>
      <c r="F129" s="663">
        <v>10.199999999999999</v>
      </c>
      <c r="G129" s="663">
        <v>2</v>
      </c>
      <c r="H129" s="663" t="s">
        <v>27</v>
      </c>
      <c r="I129" s="663" t="s">
        <v>27</v>
      </c>
      <c r="J129" s="663">
        <v>-0.5</v>
      </c>
      <c r="K129" s="663">
        <v>2</v>
      </c>
      <c r="L129" s="663">
        <v>1</v>
      </c>
      <c r="M129" s="663"/>
      <c r="N129" s="663"/>
      <c r="O129" s="663">
        <v>3</v>
      </c>
      <c r="P129" s="663"/>
      <c r="Q129" s="663"/>
      <c r="R129" s="663">
        <v>0</v>
      </c>
      <c r="S129" s="663"/>
      <c r="T129" s="663" t="s">
        <v>175</v>
      </c>
      <c r="U129" s="665"/>
      <c r="V129" s="663"/>
      <c r="W129" s="663"/>
      <c r="X129" s="663"/>
      <c r="Y129" s="663"/>
      <c r="Z129" s="663"/>
      <c r="AA129" s="663"/>
      <c r="AB129" s="663"/>
      <c r="AC129" s="663"/>
      <c r="AD129" s="663"/>
      <c r="AE129" s="663"/>
      <c r="AF129" s="663"/>
      <c r="AG129" s="663"/>
    </row>
    <row r="130" spans="1:33" x14ac:dyDescent="0.3">
      <c r="A130" s="664" t="s">
        <v>324</v>
      </c>
      <c r="B130" s="663">
        <v>10.199999999999999</v>
      </c>
      <c r="C130" s="663">
        <v>10.199999999999999</v>
      </c>
      <c r="D130" s="663">
        <v>5.2</v>
      </c>
      <c r="E130" s="663">
        <v>5.7</v>
      </c>
      <c r="F130" s="663">
        <v>10.199999999999999</v>
      </c>
      <c r="G130" s="663">
        <v>2</v>
      </c>
      <c r="H130" s="663" t="s">
        <v>27</v>
      </c>
      <c r="I130" s="663" t="s">
        <v>27</v>
      </c>
      <c r="J130" s="663">
        <v>-0.5</v>
      </c>
      <c r="K130" s="663">
        <v>2</v>
      </c>
      <c r="L130" s="663">
        <v>1</v>
      </c>
      <c r="M130" s="663"/>
      <c r="N130" s="663"/>
      <c r="O130" s="663">
        <v>3</v>
      </c>
      <c r="P130" s="663"/>
      <c r="Q130" s="663"/>
      <c r="R130" s="663">
        <v>0</v>
      </c>
      <c r="S130" s="663">
        <v>0</v>
      </c>
      <c r="T130" s="663" t="s">
        <v>315</v>
      </c>
      <c r="U130" s="665"/>
      <c r="V130" s="663"/>
      <c r="W130" s="663"/>
      <c r="X130" s="663"/>
      <c r="Y130" s="663"/>
      <c r="Z130" s="663"/>
      <c r="AA130" s="663"/>
      <c r="AB130" s="663"/>
      <c r="AC130" s="663"/>
      <c r="AD130" s="663"/>
      <c r="AE130" s="663"/>
      <c r="AF130" s="663"/>
      <c r="AG130" s="663"/>
    </row>
    <row r="131" spans="1:33" x14ac:dyDescent="0.3">
      <c r="A131" s="664" t="s">
        <v>325</v>
      </c>
      <c r="B131" s="663">
        <v>10.199999999999999</v>
      </c>
      <c r="C131" s="663">
        <v>10.199999999999999</v>
      </c>
      <c r="D131" s="663">
        <v>5.2</v>
      </c>
      <c r="E131" s="663">
        <v>5</v>
      </c>
      <c r="F131" s="663">
        <v>0.2</v>
      </c>
      <c r="G131" s="663">
        <v>2</v>
      </c>
      <c r="H131" s="663" t="s">
        <v>27</v>
      </c>
      <c r="I131" s="663" t="s">
        <v>27</v>
      </c>
      <c r="J131" s="663">
        <v>9.4</v>
      </c>
      <c r="K131" s="663">
        <v>2</v>
      </c>
      <c r="L131" s="663">
        <v>1</v>
      </c>
      <c r="M131" s="663"/>
      <c r="N131" s="663"/>
      <c r="O131" s="663">
        <v>3</v>
      </c>
      <c r="P131" s="663"/>
      <c r="Q131" s="663"/>
      <c r="R131" s="663">
        <v>0</v>
      </c>
      <c r="S131" s="663">
        <v>0</v>
      </c>
      <c r="T131" s="663" t="s">
        <v>315</v>
      </c>
      <c r="U131" s="665"/>
      <c r="V131" s="663"/>
      <c r="W131" s="663"/>
      <c r="X131" s="663"/>
      <c r="Y131" s="663"/>
      <c r="Z131" s="663"/>
      <c r="AA131" s="663"/>
      <c r="AB131" s="663"/>
      <c r="AC131" s="663"/>
      <c r="AD131" s="663"/>
      <c r="AE131" s="663"/>
      <c r="AF131" s="663"/>
      <c r="AG131" s="663"/>
    </row>
    <row r="132" spans="1:33" x14ac:dyDescent="0.3">
      <c r="A132" s="664" t="s">
        <v>326</v>
      </c>
      <c r="B132" s="663">
        <v>14</v>
      </c>
      <c r="C132" s="663">
        <v>14</v>
      </c>
      <c r="D132" s="663">
        <v>7</v>
      </c>
      <c r="E132" s="663">
        <v>10.199999999999999</v>
      </c>
      <c r="F132" s="663">
        <v>0.2</v>
      </c>
      <c r="G132" s="663">
        <v>2</v>
      </c>
      <c r="H132" s="663" t="s">
        <v>37</v>
      </c>
      <c r="I132" s="663" t="s">
        <v>327</v>
      </c>
      <c r="J132" s="663">
        <v>-0.5</v>
      </c>
      <c r="K132" s="663">
        <v>1</v>
      </c>
      <c r="L132" s="663">
        <v>0</v>
      </c>
      <c r="M132" s="663" t="s">
        <v>317</v>
      </c>
      <c r="N132" s="663"/>
      <c r="O132" s="663">
        <v>4</v>
      </c>
      <c r="P132" s="663"/>
      <c r="Q132" s="663"/>
      <c r="R132" s="663">
        <v>1</v>
      </c>
      <c r="S132" s="663">
        <v>0</v>
      </c>
      <c r="T132" s="663" t="s">
        <v>315</v>
      </c>
      <c r="U132" s="665"/>
      <c r="V132" s="663"/>
      <c r="W132" s="663"/>
      <c r="X132" s="663"/>
      <c r="Y132" s="663"/>
      <c r="Z132" s="663"/>
      <c r="AA132" s="663"/>
      <c r="AB132" s="663"/>
      <c r="AC132" s="663"/>
      <c r="AD132" s="663"/>
      <c r="AE132" s="663"/>
      <c r="AF132" s="663"/>
      <c r="AG132" s="663"/>
    </row>
    <row r="133" spans="1:33" x14ac:dyDescent="0.3">
      <c r="A133" s="664" t="s">
        <v>328</v>
      </c>
      <c r="B133" s="663">
        <v>14</v>
      </c>
      <c r="C133" s="663">
        <v>14</v>
      </c>
      <c r="D133" s="663">
        <v>7</v>
      </c>
      <c r="E133" s="663">
        <v>10.199999999999999</v>
      </c>
      <c r="F133" s="663">
        <v>0.2</v>
      </c>
      <c r="G133" s="663">
        <v>2</v>
      </c>
      <c r="H133" s="663" t="s">
        <v>37</v>
      </c>
      <c r="I133" s="663" t="s">
        <v>327</v>
      </c>
      <c r="J133" s="663">
        <v>-0.5</v>
      </c>
      <c r="K133" s="663">
        <v>1</v>
      </c>
      <c r="L133" s="663">
        <v>0</v>
      </c>
      <c r="M133" s="663" t="s">
        <v>317</v>
      </c>
      <c r="N133" s="663"/>
      <c r="O133" s="663">
        <v>4</v>
      </c>
      <c r="P133" s="663"/>
      <c r="Q133" s="663"/>
      <c r="R133" s="663">
        <v>0</v>
      </c>
      <c r="S133" s="663">
        <v>1</v>
      </c>
      <c r="T133" s="663" t="s">
        <v>315</v>
      </c>
      <c r="U133" s="665"/>
      <c r="V133" s="663"/>
      <c r="W133" s="663"/>
      <c r="X133" s="663"/>
      <c r="Y133" s="663"/>
      <c r="Z133" s="663"/>
      <c r="AA133" s="663"/>
      <c r="AB133" s="663"/>
      <c r="AC133" s="663"/>
      <c r="AD133" s="663"/>
      <c r="AE133" s="663"/>
      <c r="AF133" s="663"/>
      <c r="AG133" s="663"/>
    </row>
    <row r="134" spans="1:33" x14ac:dyDescent="0.3">
      <c r="A134" s="664" t="s">
        <v>373</v>
      </c>
      <c r="B134" s="663">
        <v>10.199999999999999</v>
      </c>
      <c r="C134" s="663">
        <v>10.199999999999999</v>
      </c>
      <c r="D134" s="663">
        <v>5.2</v>
      </c>
      <c r="E134" s="663">
        <v>10.7</v>
      </c>
      <c r="F134" s="663">
        <v>0.2</v>
      </c>
      <c r="G134" s="663">
        <v>2</v>
      </c>
      <c r="H134" s="663" t="s">
        <v>27</v>
      </c>
      <c r="I134" s="663" t="s">
        <v>27</v>
      </c>
      <c r="J134" s="663">
        <v>-0.5</v>
      </c>
      <c r="K134" s="663">
        <v>2</v>
      </c>
      <c r="L134" s="663">
        <v>1</v>
      </c>
      <c r="M134" s="663" t="s">
        <v>321</v>
      </c>
      <c r="N134" s="663"/>
      <c r="O134" s="663">
        <v>5</v>
      </c>
      <c r="P134" s="663"/>
      <c r="Q134" s="663"/>
      <c r="R134" s="663">
        <v>0</v>
      </c>
      <c r="S134" s="663">
        <v>0</v>
      </c>
      <c r="T134" s="663" t="s">
        <v>315</v>
      </c>
      <c r="U134" s="665"/>
      <c r="V134" s="663"/>
      <c r="W134" s="663"/>
      <c r="X134" s="663"/>
      <c r="Y134" s="663"/>
      <c r="Z134" s="663"/>
      <c r="AA134" s="663"/>
      <c r="AB134" s="663"/>
      <c r="AC134" s="663"/>
      <c r="AD134" s="663"/>
      <c r="AE134" s="663"/>
      <c r="AF134" s="663"/>
      <c r="AG134" s="663"/>
    </row>
    <row r="135" spans="1:33" x14ac:dyDescent="0.3">
      <c r="A135" s="666" t="s">
        <v>374</v>
      </c>
      <c r="B135" s="667">
        <v>6.2</v>
      </c>
      <c r="C135" s="667">
        <v>6.2</v>
      </c>
      <c r="D135" s="667">
        <v>3.2</v>
      </c>
      <c r="E135" s="667">
        <v>10.7</v>
      </c>
      <c r="F135" s="667">
        <v>0.2</v>
      </c>
      <c r="G135" s="667">
        <v>2</v>
      </c>
      <c r="H135" s="667" t="s">
        <v>105</v>
      </c>
      <c r="I135" s="667" t="s">
        <v>105</v>
      </c>
      <c r="J135" s="667">
        <v>-0.5</v>
      </c>
      <c r="K135" s="667">
        <v>2</v>
      </c>
      <c r="L135" s="667">
        <v>1</v>
      </c>
      <c r="M135" s="667" t="s">
        <v>321</v>
      </c>
      <c r="N135" s="667"/>
      <c r="O135" s="667">
        <v>5</v>
      </c>
      <c r="P135" s="667"/>
      <c r="Q135" s="667"/>
      <c r="R135" s="667">
        <v>0</v>
      </c>
      <c r="S135" s="667">
        <v>0</v>
      </c>
      <c r="T135" s="667" t="s">
        <v>315</v>
      </c>
      <c r="U135" s="668"/>
      <c r="V135" s="663"/>
      <c r="W135" s="663"/>
      <c r="X135" s="663"/>
      <c r="Y135" s="663"/>
      <c r="Z135" s="663"/>
      <c r="AA135" s="663"/>
      <c r="AB135" s="663"/>
      <c r="AC135" s="663"/>
      <c r="AD135" s="663"/>
      <c r="AE135" s="663"/>
      <c r="AF135" s="663"/>
      <c r="AG135" s="663"/>
    </row>
    <row r="136" spans="1:33" x14ac:dyDescent="0.3">
      <c r="A136" s="663"/>
      <c r="B136" s="663"/>
      <c r="C136" s="663"/>
      <c r="D136" s="663"/>
      <c r="E136" s="663"/>
      <c r="F136" s="663"/>
      <c r="G136" s="663"/>
      <c r="H136" s="663"/>
      <c r="I136" s="663"/>
      <c r="J136" s="663"/>
      <c r="K136" s="663"/>
      <c r="L136" s="663"/>
      <c r="M136" s="663"/>
      <c r="N136" s="663"/>
      <c r="O136" s="663"/>
      <c r="P136" s="663"/>
      <c r="Q136" s="663"/>
      <c r="R136" s="663"/>
      <c r="S136" s="663"/>
      <c r="T136" s="663"/>
      <c r="U136" s="663"/>
      <c r="V136" s="663"/>
      <c r="W136" s="663"/>
      <c r="X136" s="663"/>
      <c r="Y136" s="663"/>
      <c r="Z136" s="663"/>
      <c r="AA136" s="663"/>
      <c r="AB136" s="663"/>
      <c r="AC136" s="663"/>
      <c r="AD136" s="663"/>
      <c r="AE136" s="663"/>
      <c r="AF136" s="663"/>
      <c r="AG136" s="663"/>
    </row>
    <row r="137" spans="1:33" x14ac:dyDescent="0.3">
      <c r="A137" s="660">
        <v>1</v>
      </c>
      <c r="B137" s="661">
        <v>2</v>
      </c>
      <c r="C137" s="661">
        <v>3</v>
      </c>
      <c r="D137" s="661">
        <v>4</v>
      </c>
      <c r="E137" s="661">
        <v>5</v>
      </c>
      <c r="F137" s="661">
        <v>6</v>
      </c>
      <c r="G137" s="661">
        <v>7</v>
      </c>
      <c r="H137" s="661">
        <v>8</v>
      </c>
      <c r="I137" s="661">
        <v>9</v>
      </c>
      <c r="J137" s="661">
        <v>10</v>
      </c>
      <c r="K137" s="661">
        <v>11</v>
      </c>
      <c r="L137" s="661">
        <v>12</v>
      </c>
      <c r="M137" s="661">
        <v>13</v>
      </c>
      <c r="N137" s="661">
        <v>14</v>
      </c>
      <c r="O137" s="661">
        <v>15</v>
      </c>
      <c r="P137" s="661">
        <v>16</v>
      </c>
      <c r="Q137" s="661">
        <v>17</v>
      </c>
      <c r="R137" s="661"/>
      <c r="S137" s="662"/>
      <c r="T137" s="663"/>
      <c r="U137" s="663"/>
      <c r="V137" s="663"/>
      <c r="W137" s="663"/>
      <c r="X137" s="663"/>
      <c r="Y137" s="663"/>
      <c r="Z137" s="663"/>
      <c r="AA137" s="663"/>
      <c r="AB137" s="663"/>
      <c r="AC137" s="663"/>
      <c r="AD137" s="663"/>
      <c r="AE137" s="663"/>
      <c r="AF137" s="663"/>
      <c r="AG137" s="663"/>
    </row>
    <row r="138" spans="1:33" ht="28.8" x14ac:dyDescent="0.3">
      <c r="A138" s="669"/>
      <c r="B138" s="670"/>
      <c r="C138" s="670"/>
      <c r="D138" s="670"/>
      <c r="E138" s="670" t="s">
        <v>80</v>
      </c>
      <c r="F138" s="670" t="s">
        <v>91</v>
      </c>
      <c r="G138" s="670" t="s">
        <v>34</v>
      </c>
      <c r="H138" s="670" t="s">
        <v>65</v>
      </c>
      <c r="I138" s="670" t="s">
        <v>92</v>
      </c>
      <c r="J138" s="670" t="s">
        <v>93</v>
      </c>
      <c r="K138" s="670" t="s">
        <v>67</v>
      </c>
      <c r="L138" s="670" t="s">
        <v>94</v>
      </c>
      <c r="M138" s="670" t="s">
        <v>95</v>
      </c>
      <c r="N138" s="670" t="s">
        <v>69</v>
      </c>
      <c r="O138" s="670" t="s">
        <v>96</v>
      </c>
      <c r="P138" s="670" t="s">
        <v>97</v>
      </c>
      <c r="Q138" s="670" t="s">
        <v>333</v>
      </c>
      <c r="R138" s="670"/>
      <c r="S138" s="671"/>
      <c r="T138" s="670"/>
      <c r="U138" s="670"/>
      <c r="V138" s="670"/>
      <c r="W138" s="670"/>
      <c r="X138" s="670"/>
      <c r="Y138" s="670"/>
      <c r="Z138" s="670"/>
      <c r="AA138" s="670"/>
      <c r="AB138" s="670"/>
      <c r="AC138" s="670"/>
      <c r="AD138" s="670"/>
      <c r="AE138" s="670"/>
      <c r="AF138" s="670"/>
      <c r="AG138" s="670"/>
    </row>
    <row r="139" spans="1:33" x14ac:dyDescent="0.3">
      <c r="A139" s="664"/>
      <c r="B139" s="663"/>
      <c r="C139" s="663"/>
      <c r="D139" s="663"/>
      <c r="E139" s="663"/>
      <c r="F139" s="663"/>
      <c r="G139" s="663"/>
      <c r="H139" s="663"/>
      <c r="I139" s="663"/>
      <c r="J139" s="663"/>
      <c r="K139" s="663"/>
      <c r="L139" s="663"/>
      <c r="M139" s="663"/>
      <c r="N139" s="663"/>
      <c r="O139" s="663"/>
      <c r="P139" s="663"/>
      <c r="Q139" s="663"/>
      <c r="R139" s="663"/>
      <c r="S139" s="665"/>
      <c r="T139" s="663"/>
      <c r="U139" s="663"/>
      <c r="V139" s="663"/>
      <c r="W139" s="663"/>
      <c r="X139" s="663"/>
      <c r="Y139" s="663"/>
      <c r="Z139" s="663"/>
      <c r="AA139" s="663"/>
      <c r="AB139" s="663"/>
      <c r="AC139" s="663"/>
      <c r="AD139" s="663"/>
      <c r="AE139" s="663"/>
      <c r="AF139" s="663"/>
      <c r="AG139" s="663"/>
    </row>
    <row r="140" spans="1:33" x14ac:dyDescent="0.3">
      <c r="A140" s="664" t="s">
        <v>16</v>
      </c>
      <c r="B140" s="663">
        <v>0</v>
      </c>
      <c r="C140" s="663">
        <v>0</v>
      </c>
      <c r="D140" s="663">
        <v>0</v>
      </c>
      <c r="E140" s="663">
        <v>0</v>
      </c>
      <c r="F140" s="663">
        <v>0</v>
      </c>
      <c r="G140" s="663">
        <v>0</v>
      </c>
      <c r="H140" s="663">
        <v>0</v>
      </c>
      <c r="I140" s="663">
        <v>0</v>
      </c>
      <c r="J140" s="663">
        <v>0</v>
      </c>
      <c r="K140" s="663">
        <v>0</v>
      </c>
      <c r="L140" s="663">
        <v>0</v>
      </c>
      <c r="M140" s="663">
        <v>0</v>
      </c>
      <c r="N140" s="663">
        <v>0</v>
      </c>
      <c r="O140" s="663">
        <v>0</v>
      </c>
      <c r="P140" s="663">
        <v>0</v>
      </c>
      <c r="Q140" s="663">
        <v>0</v>
      </c>
      <c r="R140" s="663">
        <v>0</v>
      </c>
      <c r="S140" s="665">
        <v>0</v>
      </c>
      <c r="T140" s="663"/>
      <c r="U140" s="663"/>
      <c r="V140" s="663"/>
      <c r="W140" s="663"/>
      <c r="X140" s="663"/>
      <c r="Y140" s="663"/>
      <c r="Z140" s="663"/>
      <c r="AA140" s="663"/>
      <c r="AB140" s="663"/>
      <c r="AC140" s="663"/>
      <c r="AD140" s="663"/>
      <c r="AE140" s="663"/>
      <c r="AF140" s="663"/>
      <c r="AG140" s="663"/>
    </row>
    <row r="141" spans="1:33" x14ac:dyDescent="0.3">
      <c r="A141" s="664" t="s">
        <v>98</v>
      </c>
      <c r="B141" s="308">
        <f t="shared" ref="B141:D141" si="48">(3+1.25+3)*2</f>
        <v>14.5</v>
      </c>
      <c r="C141" s="308">
        <f t="shared" si="48"/>
        <v>14.5</v>
      </c>
      <c r="D141" s="308">
        <f t="shared" si="48"/>
        <v>14.5</v>
      </c>
      <c r="E141" s="142">
        <v>0</v>
      </c>
      <c r="F141" s="142">
        <v>0</v>
      </c>
      <c r="G141" s="142">
        <v>0</v>
      </c>
      <c r="H141" s="143">
        <v>6</v>
      </c>
      <c r="I141" s="143" t="s">
        <v>99</v>
      </c>
      <c r="J141" s="143">
        <v>2</v>
      </c>
      <c r="K141" s="144">
        <v>2.5</v>
      </c>
      <c r="L141" s="144" t="s">
        <v>86</v>
      </c>
      <c r="M141" s="147">
        <v>4</v>
      </c>
      <c r="N141" s="143">
        <v>6</v>
      </c>
      <c r="O141" s="143" t="s">
        <v>99</v>
      </c>
      <c r="P141" s="148">
        <v>2</v>
      </c>
      <c r="Q141" s="663">
        <v>2</v>
      </c>
      <c r="R141" s="663">
        <v>1</v>
      </c>
      <c r="S141" s="665">
        <v>1</v>
      </c>
      <c r="T141" s="663"/>
      <c r="U141" s="663"/>
      <c r="V141" s="663"/>
      <c r="W141" s="663"/>
      <c r="X141" s="663"/>
      <c r="Y141" s="663"/>
      <c r="Z141" s="663"/>
      <c r="AA141" s="663"/>
      <c r="AB141" s="663"/>
      <c r="AC141" s="663"/>
      <c r="AD141" s="663"/>
      <c r="AE141" s="663"/>
      <c r="AF141" s="663"/>
      <c r="AG141" s="663"/>
    </row>
    <row r="142" spans="1:33" x14ac:dyDescent="0.3">
      <c r="A142" s="664" t="s">
        <v>100</v>
      </c>
      <c r="B142" s="308">
        <f t="shared" ref="B142:D142" si="49">(5.1+1.25+5.1)*2</f>
        <v>22.9</v>
      </c>
      <c r="C142" s="308">
        <f t="shared" si="49"/>
        <v>22.9</v>
      </c>
      <c r="D142" s="308">
        <f t="shared" si="49"/>
        <v>22.9</v>
      </c>
      <c r="E142" s="142">
        <v>0</v>
      </c>
      <c r="F142" s="142">
        <v>0</v>
      </c>
      <c r="G142" s="142">
        <v>0</v>
      </c>
      <c r="H142" s="143">
        <v>10.199999999999999</v>
      </c>
      <c r="I142" s="143" t="s">
        <v>101</v>
      </c>
      <c r="J142" s="143">
        <v>2</v>
      </c>
      <c r="K142" s="144">
        <v>2.5</v>
      </c>
      <c r="L142" s="144" t="s">
        <v>86</v>
      </c>
      <c r="M142" s="147">
        <v>4</v>
      </c>
      <c r="N142" s="143">
        <v>10.199999999999999</v>
      </c>
      <c r="O142" s="143" t="s">
        <v>101</v>
      </c>
      <c r="P142" s="148">
        <v>2</v>
      </c>
      <c r="Q142" s="663">
        <v>2</v>
      </c>
      <c r="R142" s="663">
        <v>1</v>
      </c>
      <c r="S142" s="665">
        <v>1</v>
      </c>
      <c r="T142" s="663"/>
      <c r="U142" s="663"/>
      <c r="V142" s="663"/>
      <c r="W142" s="663"/>
      <c r="X142" s="663"/>
      <c r="Y142" s="663"/>
      <c r="Z142" s="663"/>
      <c r="AA142" s="663"/>
      <c r="AB142" s="663"/>
      <c r="AC142" s="663"/>
      <c r="AD142" s="663"/>
      <c r="AE142" s="663"/>
      <c r="AF142" s="663"/>
      <c r="AG142" s="663"/>
    </row>
    <row r="143" spans="1:33" x14ac:dyDescent="0.3">
      <c r="A143" s="664" t="s">
        <v>102</v>
      </c>
      <c r="B143" s="308">
        <f t="shared" ref="B143:D143" si="50">(3)*2</f>
        <v>6</v>
      </c>
      <c r="C143" s="308">
        <f t="shared" si="50"/>
        <v>6</v>
      </c>
      <c r="D143" s="308">
        <f t="shared" si="50"/>
        <v>6</v>
      </c>
      <c r="E143" s="142">
        <v>0</v>
      </c>
      <c r="F143" s="142">
        <v>0</v>
      </c>
      <c r="G143" s="142">
        <v>0</v>
      </c>
      <c r="H143" s="143">
        <v>6</v>
      </c>
      <c r="I143" s="143" t="s">
        <v>99</v>
      </c>
      <c r="J143" s="143">
        <v>2</v>
      </c>
      <c r="K143" s="144">
        <v>0</v>
      </c>
      <c r="L143" s="144">
        <v>0</v>
      </c>
      <c r="M143" s="147">
        <v>0</v>
      </c>
      <c r="N143" s="143">
        <v>0</v>
      </c>
      <c r="O143" s="143"/>
      <c r="P143" s="148">
        <v>0</v>
      </c>
      <c r="Q143" s="663">
        <v>0</v>
      </c>
      <c r="R143" s="663">
        <v>1</v>
      </c>
      <c r="S143" s="665">
        <v>1</v>
      </c>
      <c r="T143" s="663"/>
      <c r="U143" s="663"/>
      <c r="V143" s="663"/>
      <c r="W143" s="663"/>
      <c r="X143" s="663"/>
      <c r="Y143" s="663"/>
      <c r="Z143" s="663"/>
      <c r="AA143" s="663"/>
      <c r="AB143" s="663"/>
      <c r="AC143" s="663"/>
      <c r="AD143" s="663"/>
      <c r="AE143" s="663"/>
      <c r="AF143" s="663"/>
      <c r="AG143" s="663"/>
    </row>
    <row r="144" spans="1:33" x14ac:dyDescent="0.3">
      <c r="A144" s="664" t="s">
        <v>103</v>
      </c>
      <c r="B144" s="308">
        <f t="shared" ref="B144:D144" si="51">(5.1)*2</f>
        <v>10.199999999999999</v>
      </c>
      <c r="C144" s="308">
        <f t="shared" si="51"/>
        <v>10.199999999999999</v>
      </c>
      <c r="D144" s="308">
        <f t="shared" si="51"/>
        <v>10.199999999999999</v>
      </c>
      <c r="E144" s="142">
        <v>0</v>
      </c>
      <c r="F144" s="142">
        <v>0</v>
      </c>
      <c r="G144" s="142">
        <v>0</v>
      </c>
      <c r="H144" s="143">
        <v>10.199999999999999</v>
      </c>
      <c r="I144" s="143" t="s">
        <v>101</v>
      </c>
      <c r="J144" s="143">
        <v>2</v>
      </c>
      <c r="K144" s="144">
        <v>0</v>
      </c>
      <c r="L144" s="144">
        <v>0</v>
      </c>
      <c r="M144" s="147">
        <v>0</v>
      </c>
      <c r="N144" s="143">
        <v>0</v>
      </c>
      <c r="O144" s="143"/>
      <c r="P144" s="148">
        <v>0</v>
      </c>
      <c r="Q144" s="663">
        <v>0</v>
      </c>
      <c r="R144" s="663">
        <v>1</v>
      </c>
      <c r="S144" s="665">
        <v>1</v>
      </c>
      <c r="T144" s="663"/>
      <c r="U144" s="663"/>
      <c r="V144" s="663"/>
      <c r="W144" s="663"/>
      <c r="X144" s="663"/>
      <c r="Y144" s="663"/>
      <c r="Z144" s="663"/>
      <c r="AA144" s="663"/>
      <c r="AB144" s="663"/>
      <c r="AC144" s="663"/>
      <c r="AD144" s="663"/>
      <c r="AE144" s="663"/>
      <c r="AF144" s="663"/>
      <c r="AG144" s="663"/>
    </row>
    <row r="145" spans="1:33" x14ac:dyDescent="0.3">
      <c r="A145" s="664" t="s">
        <v>104</v>
      </c>
      <c r="B145" s="308">
        <f t="shared" ref="B145:D145" si="52">(3+3+1.25+3)*2</f>
        <v>20.5</v>
      </c>
      <c r="C145" s="308">
        <f t="shared" si="52"/>
        <v>20.5</v>
      </c>
      <c r="D145" s="308">
        <f t="shared" si="52"/>
        <v>20.5</v>
      </c>
      <c r="E145" s="142">
        <v>6</v>
      </c>
      <c r="F145" s="142" t="s">
        <v>105</v>
      </c>
      <c r="G145" s="142">
        <v>2</v>
      </c>
      <c r="H145" s="143">
        <v>6</v>
      </c>
      <c r="I145" s="143" t="s">
        <v>99</v>
      </c>
      <c r="J145" s="143">
        <v>2</v>
      </c>
      <c r="K145" s="144">
        <v>2.5</v>
      </c>
      <c r="L145" s="144" t="s">
        <v>86</v>
      </c>
      <c r="M145" s="147">
        <v>4</v>
      </c>
      <c r="N145" s="143">
        <v>6</v>
      </c>
      <c r="O145" s="143" t="s">
        <v>99</v>
      </c>
      <c r="P145" s="148">
        <v>2</v>
      </c>
      <c r="Q145" s="663">
        <v>2</v>
      </c>
      <c r="R145" s="663">
        <v>1</v>
      </c>
      <c r="S145" s="665">
        <v>1</v>
      </c>
      <c r="T145" s="663"/>
      <c r="U145" s="663"/>
      <c r="V145" s="663"/>
      <c r="W145" s="663"/>
      <c r="X145" s="663"/>
      <c r="Y145" s="663"/>
      <c r="Z145" s="663"/>
      <c r="AA145" s="663"/>
      <c r="AB145" s="663"/>
      <c r="AC145" s="663"/>
      <c r="AD145" s="663"/>
      <c r="AE145" s="663"/>
      <c r="AF145" s="663"/>
      <c r="AG145" s="663"/>
    </row>
    <row r="146" spans="1:33" x14ac:dyDescent="0.3">
      <c r="A146" s="666" t="s">
        <v>106</v>
      </c>
      <c r="B146" s="128">
        <f t="shared" ref="B146:D146" si="53">(5+5.1+1.25+5.1)*2</f>
        <v>32.9</v>
      </c>
      <c r="C146" s="128">
        <f t="shared" si="53"/>
        <v>32.9</v>
      </c>
      <c r="D146" s="128">
        <f t="shared" si="53"/>
        <v>32.9</v>
      </c>
      <c r="E146" s="149">
        <v>10.199999999999999</v>
      </c>
      <c r="F146" s="149" t="s">
        <v>27</v>
      </c>
      <c r="G146" s="149">
        <v>2</v>
      </c>
      <c r="H146" s="150">
        <v>10.199999999999999</v>
      </c>
      <c r="I146" s="150" t="s">
        <v>101</v>
      </c>
      <c r="J146" s="150">
        <v>2</v>
      </c>
      <c r="K146" s="151">
        <v>2.5</v>
      </c>
      <c r="L146" s="151" t="s">
        <v>86</v>
      </c>
      <c r="M146" s="152">
        <v>4</v>
      </c>
      <c r="N146" s="150">
        <v>10.199999999999999</v>
      </c>
      <c r="O146" s="150" t="s">
        <v>101</v>
      </c>
      <c r="P146" s="153">
        <v>2</v>
      </c>
      <c r="Q146" s="667">
        <v>2</v>
      </c>
      <c r="R146" s="667">
        <v>1</v>
      </c>
      <c r="S146" s="668">
        <v>1</v>
      </c>
      <c r="T146" s="663"/>
      <c r="U146" s="663"/>
      <c r="V146" s="663"/>
      <c r="W146" s="663"/>
      <c r="X146" s="663"/>
      <c r="Y146" s="663"/>
      <c r="Z146" s="663"/>
      <c r="AA146" s="663"/>
      <c r="AB146" s="663"/>
      <c r="AC146" s="663"/>
      <c r="AD146" s="663"/>
      <c r="AE146" s="663"/>
      <c r="AF146" s="663"/>
      <c r="AG146" s="663"/>
    </row>
    <row r="147" spans="1:33" x14ac:dyDescent="0.3">
      <c r="A147" s="663"/>
      <c r="B147" s="663"/>
      <c r="C147" s="663"/>
      <c r="D147" s="663"/>
      <c r="E147" s="663"/>
      <c r="F147" s="663"/>
      <c r="G147" s="663"/>
      <c r="H147" s="663"/>
      <c r="I147" s="663"/>
      <c r="J147" s="663"/>
      <c r="K147" s="663"/>
      <c r="L147" s="663"/>
      <c r="M147" s="663"/>
      <c r="N147" s="663"/>
      <c r="O147" s="663"/>
      <c r="P147" s="663"/>
      <c r="Q147" s="663"/>
      <c r="R147" s="663"/>
      <c r="S147" s="663"/>
      <c r="T147" s="663"/>
      <c r="U147" s="663"/>
      <c r="V147" s="663"/>
      <c r="W147" s="663"/>
      <c r="X147" s="663"/>
      <c r="Y147" s="663"/>
      <c r="Z147" s="663"/>
      <c r="AA147" s="663"/>
      <c r="AB147" s="663"/>
      <c r="AC147" s="663"/>
      <c r="AD147" s="663"/>
      <c r="AE147" s="663"/>
      <c r="AF147" s="663"/>
      <c r="AG147" s="663"/>
    </row>
    <row r="148" spans="1:33" x14ac:dyDescent="0.3">
      <c r="A148" s="660" t="s">
        <v>107</v>
      </c>
      <c r="B148" s="662">
        <v>1</v>
      </c>
      <c r="C148" s="663"/>
      <c r="D148" s="663"/>
      <c r="E148" s="663"/>
      <c r="F148" s="663"/>
      <c r="G148" s="663"/>
      <c r="H148" s="663"/>
      <c r="I148" s="663"/>
      <c r="J148" s="663"/>
      <c r="K148" s="663"/>
      <c r="L148" s="663"/>
      <c r="M148" s="663"/>
      <c r="N148" s="663"/>
      <c r="O148" s="663"/>
      <c r="P148" s="663"/>
      <c r="Q148" s="663"/>
      <c r="R148" s="663"/>
      <c r="S148" s="663"/>
      <c r="T148" s="663"/>
      <c r="U148" s="663"/>
      <c r="V148" s="663"/>
      <c r="W148" s="663"/>
      <c r="X148" s="663"/>
      <c r="Y148" s="663"/>
      <c r="Z148" s="663"/>
      <c r="AA148" s="663"/>
      <c r="AB148" s="663"/>
      <c r="AC148" s="663"/>
      <c r="AD148" s="663"/>
      <c r="AE148" s="663"/>
      <c r="AF148" s="663"/>
      <c r="AG148" s="663"/>
    </row>
    <row r="149" spans="1:33" x14ac:dyDescent="0.3">
      <c r="A149" s="666" t="s">
        <v>18</v>
      </c>
      <c r="B149" s="668">
        <v>0</v>
      </c>
      <c r="C149" s="663"/>
      <c r="D149" s="663"/>
      <c r="E149" s="663"/>
      <c r="F149" s="663"/>
      <c r="G149" s="663"/>
      <c r="H149" s="663"/>
      <c r="I149" s="663"/>
      <c r="J149" s="663"/>
      <c r="K149" s="663"/>
      <c r="L149" s="663"/>
      <c r="M149" s="663"/>
      <c r="N149" s="663"/>
      <c r="O149" s="663"/>
      <c r="P149" s="663"/>
      <c r="Q149" s="663"/>
      <c r="R149" s="663"/>
      <c r="S149" s="663"/>
      <c r="T149" s="663"/>
      <c r="U149" s="663"/>
      <c r="V149" s="663"/>
      <c r="W149" s="663"/>
      <c r="X149" s="663"/>
      <c r="Y149" s="663"/>
      <c r="Z149" s="663"/>
      <c r="AA149" s="663"/>
      <c r="AB149" s="663"/>
      <c r="AC149" s="663"/>
      <c r="AD149" s="663"/>
      <c r="AE149" s="663"/>
      <c r="AF149" s="663"/>
      <c r="AG149" s="663"/>
    </row>
    <row r="150" spans="1:33" x14ac:dyDescent="0.3">
      <c r="A150" s="663"/>
      <c r="B150" s="663"/>
      <c r="C150" s="663"/>
      <c r="D150" s="663"/>
      <c r="E150" s="663"/>
      <c r="F150" s="663"/>
      <c r="G150" s="663"/>
      <c r="H150" s="663"/>
      <c r="I150" s="663"/>
      <c r="J150" s="663"/>
      <c r="K150" s="663"/>
      <c r="L150" s="663"/>
      <c r="M150" s="663"/>
      <c r="N150" s="663"/>
      <c r="O150" s="663"/>
      <c r="P150" s="663"/>
      <c r="Q150" s="663"/>
      <c r="R150" s="663"/>
      <c r="S150" s="663"/>
      <c r="T150" s="663"/>
      <c r="U150" s="663"/>
      <c r="V150" s="663"/>
      <c r="W150" s="663"/>
      <c r="X150" s="663"/>
      <c r="Y150" s="663"/>
      <c r="Z150" s="663"/>
      <c r="AA150" s="663"/>
      <c r="AB150" s="663"/>
      <c r="AC150" s="663"/>
      <c r="AD150" s="663"/>
      <c r="AE150" s="663"/>
      <c r="AF150" s="663"/>
      <c r="AG150" s="663"/>
    </row>
    <row r="151" spans="1:33" ht="18" x14ac:dyDescent="0.35">
      <c r="A151" s="660" t="s">
        <v>135</v>
      </c>
      <c r="B151" s="641"/>
      <c r="C151" s="663"/>
      <c r="D151" s="663"/>
      <c r="E151" s="663"/>
      <c r="F151" s="663"/>
      <c r="G151" s="663"/>
      <c r="H151" s="663"/>
      <c r="I151" s="663"/>
      <c r="J151" s="663"/>
      <c r="K151" s="663"/>
      <c r="L151" s="663"/>
      <c r="M151" s="663"/>
      <c r="N151" s="663"/>
      <c r="O151" s="663"/>
      <c r="P151" s="663"/>
      <c r="Q151" s="663"/>
      <c r="R151" s="663"/>
      <c r="S151" s="663"/>
      <c r="T151" s="663"/>
      <c r="U151" s="663"/>
      <c r="V151" s="663"/>
      <c r="W151" s="663"/>
      <c r="X151" s="663"/>
      <c r="Y151" s="663"/>
      <c r="Z151" s="663"/>
      <c r="AA151" s="663"/>
      <c r="AB151" s="663"/>
      <c r="AC151" s="663"/>
      <c r="AD151" s="663"/>
      <c r="AE151" s="663"/>
      <c r="AF151" s="663"/>
      <c r="AG151" s="663"/>
    </row>
    <row r="152" spans="1:33" ht="18" x14ac:dyDescent="0.35">
      <c r="A152" s="664" t="s">
        <v>136</v>
      </c>
      <c r="B152" s="650"/>
      <c r="C152" s="663"/>
      <c r="D152" s="663"/>
      <c r="E152" s="663"/>
      <c r="F152" s="663"/>
      <c r="G152" s="663"/>
      <c r="H152" s="663"/>
      <c r="I152" s="663"/>
      <c r="J152" s="663"/>
      <c r="K152" s="663"/>
      <c r="L152" s="663"/>
      <c r="M152" s="663"/>
      <c r="N152" s="663"/>
      <c r="O152" s="663"/>
      <c r="P152" s="663"/>
      <c r="Q152" s="663"/>
      <c r="R152" s="663"/>
      <c r="S152" s="663"/>
      <c r="T152" s="663"/>
      <c r="U152" s="663"/>
      <c r="V152" s="663"/>
      <c r="W152" s="663"/>
      <c r="X152" s="663"/>
      <c r="Y152" s="663"/>
      <c r="Z152" s="663"/>
      <c r="AA152" s="663"/>
      <c r="AB152" s="663"/>
      <c r="AC152" s="663"/>
      <c r="AD152" s="663"/>
      <c r="AE152" s="663"/>
      <c r="AF152" s="663"/>
      <c r="AG152" s="663"/>
    </row>
    <row r="153" spans="1:33" ht="18" x14ac:dyDescent="0.35">
      <c r="A153" s="666" t="s">
        <v>24</v>
      </c>
      <c r="B153" s="657"/>
      <c r="C153" s="663"/>
      <c r="D153" s="663"/>
      <c r="E153" s="663"/>
      <c r="F153" s="663"/>
      <c r="G153" s="663"/>
      <c r="H153" s="663"/>
      <c r="I153" s="663"/>
      <c r="J153" s="663"/>
      <c r="K153" s="663"/>
      <c r="L153" s="663"/>
      <c r="M153" s="663"/>
      <c r="N153" s="663"/>
      <c r="O153" s="663"/>
      <c r="P153" s="663"/>
      <c r="Q153" s="663"/>
      <c r="R153" s="663"/>
      <c r="S153" s="663"/>
      <c r="T153" s="663"/>
      <c r="U153" s="663"/>
      <c r="V153" s="663"/>
      <c r="W153" s="663"/>
      <c r="X153" s="663"/>
      <c r="Y153" s="663"/>
      <c r="Z153" s="663"/>
      <c r="AA153" s="663"/>
      <c r="AB153" s="663"/>
      <c r="AC153" s="663"/>
      <c r="AD153" s="663"/>
      <c r="AE153" s="663"/>
      <c r="AF153" s="663"/>
      <c r="AG153" s="663"/>
    </row>
    <row r="154" spans="1:33" x14ac:dyDescent="0.3">
      <c r="A154" s="663"/>
      <c r="B154" s="663"/>
      <c r="C154" s="663"/>
      <c r="D154" s="663"/>
      <c r="E154" s="663"/>
      <c r="F154" s="663"/>
      <c r="G154" s="663"/>
      <c r="H154" s="663"/>
      <c r="I154" s="663"/>
      <c r="J154" s="663"/>
      <c r="K154" s="663"/>
      <c r="L154" s="663"/>
      <c r="M154" s="663"/>
      <c r="N154" s="663"/>
      <c r="O154" s="663"/>
      <c r="P154" s="663"/>
      <c r="Q154" s="663"/>
      <c r="R154" s="663"/>
      <c r="S154" s="663"/>
      <c r="T154" s="663"/>
      <c r="U154" s="663"/>
      <c r="V154" s="663"/>
      <c r="W154" s="663"/>
      <c r="X154" s="663"/>
      <c r="Y154" s="663"/>
      <c r="Z154" s="663"/>
      <c r="AA154" s="663"/>
      <c r="AB154" s="663"/>
      <c r="AC154" s="663"/>
      <c r="AD154" s="663"/>
      <c r="AE154" s="663"/>
      <c r="AF154" s="663"/>
      <c r="AG154" s="663"/>
    </row>
    <row r="155" spans="1:33" x14ac:dyDescent="0.3">
      <c r="A155" s="672" t="s">
        <v>22</v>
      </c>
      <c r="B155" s="662">
        <v>4.2</v>
      </c>
      <c r="C155" s="663"/>
      <c r="D155" s="663"/>
      <c r="E155" s="663"/>
      <c r="F155" s="663"/>
      <c r="G155" s="663"/>
      <c r="H155" s="663"/>
      <c r="I155" s="663"/>
      <c r="J155" s="663"/>
      <c r="K155" s="663"/>
      <c r="L155" s="663"/>
      <c r="M155" s="663"/>
      <c r="N155" s="663"/>
      <c r="O155" s="663"/>
      <c r="P155" s="663"/>
      <c r="Q155" s="663"/>
      <c r="R155" s="663"/>
      <c r="S155" s="663"/>
      <c r="T155" s="663"/>
      <c r="U155" s="663"/>
      <c r="V155" s="663"/>
      <c r="W155" s="663"/>
      <c r="X155" s="663"/>
      <c r="Y155" s="663"/>
      <c r="Z155" s="663"/>
      <c r="AA155" s="663"/>
      <c r="AB155" s="663"/>
      <c r="AC155" s="663"/>
      <c r="AD155" s="663"/>
      <c r="AE155" s="663"/>
      <c r="AF155" s="663"/>
      <c r="AG155" s="663"/>
    </row>
    <row r="156" spans="1:33" x14ac:dyDescent="0.3">
      <c r="A156" s="673" t="s">
        <v>20</v>
      </c>
      <c r="B156" s="665">
        <v>0</v>
      </c>
      <c r="C156" s="663"/>
      <c r="D156" s="663"/>
      <c r="E156" s="663"/>
      <c r="F156" s="663"/>
      <c r="G156" s="663"/>
      <c r="H156" s="663"/>
      <c r="I156" s="663"/>
      <c r="J156" s="663"/>
      <c r="K156" s="663"/>
      <c r="L156" s="663"/>
      <c r="M156" s="663"/>
      <c r="N156" s="663"/>
      <c r="O156" s="663"/>
      <c r="P156" s="663"/>
      <c r="Q156" s="663"/>
      <c r="R156" s="663"/>
      <c r="S156" s="663"/>
      <c r="T156" s="663"/>
      <c r="U156" s="663"/>
      <c r="V156" s="663"/>
      <c r="W156" s="663"/>
      <c r="X156" s="663"/>
      <c r="Y156" s="663"/>
      <c r="Z156" s="663"/>
      <c r="AA156" s="663"/>
      <c r="AB156" s="663"/>
      <c r="AC156" s="663"/>
      <c r="AD156" s="663"/>
      <c r="AE156" s="663"/>
      <c r="AF156" s="663"/>
      <c r="AG156" s="663"/>
    </row>
    <row r="157" spans="1:33" x14ac:dyDescent="0.3">
      <c r="A157" s="674"/>
      <c r="B157" s="668"/>
      <c r="C157" s="663"/>
      <c r="D157" s="663"/>
      <c r="E157" s="663"/>
      <c r="F157" s="663"/>
      <c r="G157" s="663"/>
      <c r="H157" s="663"/>
      <c r="I157" s="663"/>
      <c r="J157" s="663"/>
      <c r="K157" s="663"/>
      <c r="L157" s="663"/>
      <c r="M157" s="663"/>
      <c r="N157" s="663"/>
      <c r="O157" s="663"/>
      <c r="P157" s="663"/>
      <c r="Q157" s="663"/>
      <c r="R157" s="663"/>
      <c r="S157" s="663"/>
      <c r="T157" s="663"/>
      <c r="U157" s="663"/>
      <c r="V157" s="663"/>
      <c r="W157" s="663"/>
      <c r="X157" s="663"/>
      <c r="Y157" s="663"/>
      <c r="Z157" s="663"/>
      <c r="AA157" s="663"/>
      <c r="AB157" s="663"/>
      <c r="AC157" s="663"/>
      <c r="AD157" s="663"/>
      <c r="AE157" s="663"/>
      <c r="AF157" s="663"/>
      <c r="AG157" s="663"/>
    </row>
    <row r="158" spans="1:33" x14ac:dyDescent="0.3">
      <c r="A158" s="663"/>
      <c r="B158" s="663"/>
      <c r="C158" s="663"/>
      <c r="D158" s="663"/>
      <c r="E158" s="663"/>
      <c r="F158" s="663"/>
      <c r="G158" s="663"/>
      <c r="H158" s="663"/>
      <c r="I158" s="663"/>
      <c r="J158" s="663"/>
      <c r="K158" s="663"/>
      <c r="L158" s="663"/>
      <c r="M158" s="663"/>
      <c r="N158" s="663"/>
      <c r="O158" s="663"/>
      <c r="P158" s="663"/>
      <c r="Q158" s="663"/>
      <c r="R158" s="663"/>
      <c r="S158" s="663"/>
      <c r="T158" s="663"/>
      <c r="U158" s="663"/>
      <c r="V158" s="663"/>
      <c r="W158" s="663"/>
      <c r="X158" s="663"/>
      <c r="Y158" s="663"/>
      <c r="Z158" s="663"/>
      <c r="AA158" s="663"/>
      <c r="AB158" s="663"/>
      <c r="AC158" s="663"/>
      <c r="AD158" s="663"/>
      <c r="AE158" s="663"/>
      <c r="AF158" s="663"/>
      <c r="AG158" s="663"/>
    </row>
    <row r="159" spans="1:33" x14ac:dyDescent="0.3">
      <c r="A159" s="660" t="s">
        <v>86</v>
      </c>
      <c r="B159" s="661" t="s">
        <v>86</v>
      </c>
      <c r="C159" s="661" t="s">
        <v>10</v>
      </c>
      <c r="D159" s="661">
        <v>1</v>
      </c>
      <c r="E159" s="662">
        <v>1.5</v>
      </c>
      <c r="F159" s="663"/>
      <c r="G159" s="663"/>
      <c r="H159" s="663"/>
      <c r="I159" s="663"/>
      <c r="J159" s="663"/>
      <c r="K159" s="663"/>
      <c r="L159" s="663"/>
      <c r="M159" s="663"/>
      <c r="N159" s="663"/>
      <c r="O159" s="663"/>
      <c r="P159" s="663"/>
      <c r="Q159" s="663"/>
      <c r="R159" s="663"/>
      <c r="S159" s="663"/>
      <c r="T159" s="663"/>
      <c r="U159" s="663"/>
      <c r="V159" s="663"/>
      <c r="W159" s="663"/>
      <c r="X159" s="663"/>
      <c r="Y159" s="663"/>
      <c r="Z159" s="663"/>
      <c r="AA159" s="663"/>
      <c r="AB159" s="663"/>
      <c r="AC159" s="663"/>
      <c r="AD159" s="663"/>
      <c r="AE159" s="663"/>
      <c r="AF159" s="663"/>
      <c r="AG159" s="663"/>
    </row>
    <row r="160" spans="1:33" x14ac:dyDescent="0.3">
      <c r="A160" s="666" t="s">
        <v>10</v>
      </c>
      <c r="B160" s="667" t="s">
        <v>10</v>
      </c>
      <c r="C160" s="667" t="s">
        <v>10</v>
      </c>
      <c r="D160" s="667">
        <v>1.5</v>
      </c>
      <c r="E160" s="668">
        <v>1.5</v>
      </c>
      <c r="F160" s="663"/>
      <c r="G160" s="663"/>
      <c r="H160" s="663"/>
      <c r="I160" s="663"/>
      <c r="J160" s="663"/>
      <c r="K160" s="663"/>
      <c r="L160" s="663"/>
      <c r="M160" s="663"/>
      <c r="N160" s="663"/>
      <c r="O160" s="663"/>
      <c r="P160" s="663"/>
      <c r="Q160" s="663"/>
      <c r="R160" s="663"/>
      <c r="S160" s="663"/>
      <c r="T160" s="663"/>
      <c r="U160" s="663"/>
      <c r="V160" s="663"/>
      <c r="W160" s="663"/>
      <c r="X160" s="663"/>
      <c r="Y160" s="663"/>
      <c r="Z160" s="663"/>
      <c r="AA160" s="663"/>
      <c r="AB160" s="663"/>
      <c r="AC160" s="663"/>
      <c r="AD160" s="663"/>
      <c r="AE160" s="663"/>
      <c r="AF160" s="663"/>
      <c r="AG160" s="663"/>
    </row>
    <row r="161" spans="1:33" x14ac:dyDescent="0.3">
      <c r="A161" s="663"/>
      <c r="B161" s="663"/>
      <c r="C161" s="663"/>
      <c r="D161" s="663"/>
      <c r="E161" s="663"/>
      <c r="F161" s="663"/>
      <c r="G161" s="663"/>
      <c r="H161" s="663"/>
      <c r="I161" s="663"/>
      <c r="J161" s="663"/>
      <c r="K161" s="663"/>
      <c r="L161" s="663"/>
      <c r="M161" s="663"/>
      <c r="N161" s="663"/>
      <c r="O161" s="663"/>
      <c r="P161" s="663"/>
      <c r="Q161" s="663"/>
      <c r="R161" s="663"/>
      <c r="S161" s="663"/>
      <c r="T161" s="663"/>
      <c r="U161" s="663"/>
      <c r="V161" s="663"/>
      <c r="W161" s="663"/>
      <c r="X161" s="663"/>
      <c r="Y161" s="663"/>
      <c r="Z161" s="663"/>
      <c r="AA161" s="663"/>
      <c r="AB161" s="663"/>
      <c r="AC161" s="663"/>
      <c r="AD161" s="663"/>
      <c r="AE161" s="663"/>
      <c r="AF161" s="663"/>
      <c r="AG161" s="663"/>
    </row>
    <row r="162" spans="1:33" x14ac:dyDescent="0.3">
      <c r="A162" s="660" t="s">
        <v>88</v>
      </c>
      <c r="B162" s="661" t="s">
        <v>89</v>
      </c>
      <c r="C162" s="661" t="s">
        <v>89</v>
      </c>
      <c r="D162" s="662">
        <v>1.9</v>
      </c>
      <c r="E162" s="663"/>
      <c r="F162" s="663"/>
      <c r="G162" s="663"/>
      <c r="H162" s="663"/>
      <c r="I162" s="663"/>
      <c r="J162" s="663"/>
      <c r="K162" s="663"/>
      <c r="L162" s="663"/>
      <c r="M162" s="663"/>
      <c r="N162" s="663"/>
      <c r="O162" s="663"/>
      <c r="P162" s="663"/>
      <c r="Q162" s="663"/>
      <c r="R162" s="663"/>
      <c r="S162" s="663"/>
      <c r="T162" s="663"/>
      <c r="U162" s="663"/>
      <c r="V162" s="663"/>
      <c r="W162" s="663"/>
      <c r="X162" s="663"/>
      <c r="Y162" s="663"/>
      <c r="Z162" s="663"/>
      <c r="AA162" s="663"/>
      <c r="AB162" s="663"/>
      <c r="AC162" s="663"/>
      <c r="AD162" s="663"/>
      <c r="AE162" s="663"/>
      <c r="AF162" s="663"/>
      <c r="AG162" s="663"/>
    </row>
    <row r="163" spans="1:33" x14ac:dyDescent="0.3">
      <c r="A163" s="666" t="s">
        <v>12</v>
      </c>
      <c r="B163" s="667" t="s">
        <v>90</v>
      </c>
      <c r="C163" s="667" t="s">
        <v>90</v>
      </c>
      <c r="D163" s="668">
        <v>2.1</v>
      </c>
      <c r="E163" s="663"/>
      <c r="F163" s="663"/>
      <c r="G163" s="663"/>
      <c r="H163" s="663"/>
      <c r="I163" s="663"/>
      <c r="J163" s="663"/>
      <c r="K163" s="663"/>
      <c r="L163" s="663"/>
      <c r="M163" s="663"/>
      <c r="N163" s="663"/>
      <c r="O163" s="663"/>
      <c r="P163" s="663"/>
      <c r="Q163" s="663"/>
      <c r="R163" s="663"/>
      <c r="S163" s="663"/>
      <c r="T163" s="663"/>
      <c r="U163" s="663"/>
      <c r="V163" s="663"/>
      <c r="W163" s="663"/>
      <c r="X163" s="663"/>
      <c r="Y163" s="663"/>
      <c r="Z163" s="663"/>
      <c r="AA163" s="663"/>
      <c r="AB163" s="663"/>
      <c r="AC163" s="663"/>
      <c r="AD163" s="663"/>
      <c r="AE163" s="663"/>
      <c r="AF163" s="663"/>
      <c r="AG163" s="663"/>
    </row>
    <row r="164" spans="1:33" x14ac:dyDescent="0.3">
      <c r="A164" s="663"/>
      <c r="B164" s="663"/>
      <c r="C164" s="663"/>
      <c r="D164" s="663"/>
      <c r="E164" s="663"/>
      <c r="F164" s="663"/>
      <c r="G164" s="663"/>
      <c r="H164" s="663"/>
      <c r="I164" s="663"/>
      <c r="J164" s="663"/>
      <c r="K164" s="663"/>
      <c r="L164" s="663"/>
      <c r="M164" s="663"/>
      <c r="N164" s="663"/>
      <c r="O164" s="663"/>
      <c r="P164" s="663"/>
      <c r="Q164" s="663"/>
      <c r="R164" s="663"/>
      <c r="S164" s="663"/>
      <c r="T164" s="663"/>
      <c r="U164" s="663"/>
      <c r="V164" s="663"/>
      <c r="W164" s="663"/>
      <c r="X164" s="663"/>
      <c r="Y164" s="663"/>
      <c r="Z164" s="663"/>
      <c r="AA164" s="663"/>
      <c r="AB164" s="663"/>
      <c r="AC164" s="663"/>
      <c r="AD164" s="663"/>
      <c r="AE164" s="663"/>
      <c r="AF164" s="663"/>
      <c r="AG164" s="663"/>
    </row>
    <row r="165" spans="1:33" x14ac:dyDescent="0.3">
      <c r="A165" s="660" t="s">
        <v>16</v>
      </c>
      <c r="B165" s="661">
        <v>0</v>
      </c>
      <c r="C165" s="662">
        <v>0</v>
      </c>
      <c r="D165" s="662"/>
      <c r="E165" s="663"/>
      <c r="F165" s="663"/>
      <c r="G165" s="663"/>
      <c r="H165" s="663"/>
      <c r="I165" s="663"/>
      <c r="J165" s="663"/>
      <c r="K165" s="663"/>
      <c r="L165" s="663"/>
      <c r="M165" s="663"/>
      <c r="N165" s="663"/>
      <c r="O165" s="663"/>
      <c r="P165" s="663"/>
      <c r="Q165" s="663"/>
      <c r="R165" s="663"/>
      <c r="S165" s="663"/>
      <c r="T165" s="663"/>
      <c r="U165" s="663"/>
      <c r="V165" s="663"/>
      <c r="W165" s="663"/>
      <c r="X165" s="663"/>
      <c r="Y165" s="663"/>
      <c r="Z165" s="663"/>
      <c r="AA165" s="663"/>
      <c r="AB165" s="663"/>
      <c r="AC165" s="663"/>
      <c r="AD165" s="663"/>
      <c r="AE165" s="663"/>
      <c r="AF165" s="663"/>
      <c r="AG165" s="663"/>
    </row>
    <row r="166" spans="1:33" x14ac:dyDescent="0.3">
      <c r="A166" s="664" t="s">
        <v>334</v>
      </c>
      <c r="B166" s="663">
        <v>0.7</v>
      </c>
      <c r="C166" s="665">
        <v>2</v>
      </c>
      <c r="D166" s="665">
        <v>1</v>
      </c>
      <c r="E166" s="663"/>
      <c r="F166" s="663"/>
      <c r="G166" s="663"/>
      <c r="H166" s="663"/>
      <c r="I166" s="663"/>
      <c r="J166" s="663"/>
      <c r="K166" s="663"/>
      <c r="L166" s="663"/>
      <c r="M166" s="663"/>
      <c r="N166" s="663"/>
      <c r="O166" s="663"/>
      <c r="P166" s="663"/>
      <c r="Q166" s="663"/>
      <c r="R166" s="663"/>
      <c r="S166" s="663"/>
      <c r="T166" s="663"/>
      <c r="U166" s="663"/>
      <c r="V166" s="663"/>
      <c r="W166" s="663"/>
      <c r="X166" s="663"/>
      <c r="Y166" s="663"/>
      <c r="Z166" s="663"/>
      <c r="AA166" s="663"/>
      <c r="AB166" s="663"/>
      <c r="AC166" s="663"/>
      <c r="AD166" s="663"/>
      <c r="AE166" s="663"/>
      <c r="AF166" s="663"/>
      <c r="AG166" s="663"/>
    </row>
    <row r="167" spans="1:33" x14ac:dyDescent="0.3">
      <c r="A167" s="664" t="s">
        <v>335</v>
      </c>
      <c r="B167" s="663">
        <v>1</v>
      </c>
      <c r="C167" s="665">
        <v>8</v>
      </c>
      <c r="D167" s="665">
        <v>5.3</v>
      </c>
      <c r="E167" s="663"/>
      <c r="F167" s="663"/>
      <c r="G167" s="663"/>
      <c r="H167" s="663"/>
      <c r="I167" s="663"/>
      <c r="J167" s="663"/>
      <c r="K167" s="663"/>
      <c r="L167" s="663"/>
      <c r="M167" s="663"/>
      <c r="N167" s="663"/>
      <c r="O167" s="663"/>
      <c r="P167" s="663"/>
      <c r="Q167" s="663"/>
      <c r="R167" s="663"/>
      <c r="S167" s="663"/>
      <c r="T167" s="663"/>
      <c r="U167" s="663"/>
      <c r="V167" s="663"/>
      <c r="W167" s="663"/>
      <c r="X167" s="663"/>
      <c r="Y167" s="663"/>
      <c r="Z167" s="663"/>
      <c r="AA167" s="663"/>
      <c r="AB167" s="663"/>
      <c r="AC167" s="663"/>
      <c r="AD167" s="663"/>
      <c r="AE167" s="663"/>
      <c r="AF167" s="663"/>
      <c r="AG167" s="663"/>
    </row>
    <row r="168" spans="1:33" x14ac:dyDescent="0.3">
      <c r="A168" s="664" t="s">
        <v>336</v>
      </c>
      <c r="B168" s="663">
        <f>1.5+2</f>
        <v>3.5</v>
      </c>
      <c r="C168" s="665">
        <v>19</v>
      </c>
      <c r="D168" s="665">
        <v>6.3</v>
      </c>
      <c r="E168" s="663"/>
      <c r="F168" s="663"/>
      <c r="G168" s="663"/>
      <c r="H168" s="663"/>
      <c r="I168" s="663"/>
      <c r="J168" s="663"/>
      <c r="K168" s="663"/>
      <c r="L168" s="663"/>
      <c r="M168" s="663"/>
      <c r="N168" s="663"/>
      <c r="O168" s="663"/>
      <c r="P168" s="663"/>
      <c r="Q168" s="663"/>
      <c r="R168" s="663"/>
      <c r="S168" s="663"/>
      <c r="T168" s="663"/>
      <c r="U168" s="663"/>
      <c r="V168" s="663"/>
      <c r="W168" s="663"/>
      <c r="X168" s="663"/>
      <c r="Y168" s="663"/>
      <c r="Z168" s="663"/>
      <c r="AA168" s="663"/>
      <c r="AB168" s="663"/>
      <c r="AC168" s="663"/>
      <c r="AD168" s="663"/>
      <c r="AE168" s="663"/>
      <c r="AF168" s="663"/>
      <c r="AG168" s="663"/>
    </row>
    <row r="169" spans="1:33" x14ac:dyDescent="0.3">
      <c r="A169" s="664" t="s">
        <v>337</v>
      </c>
      <c r="B169" s="663">
        <f>1.5+2+1</f>
        <v>4.5</v>
      </c>
      <c r="C169" s="665">
        <v>22</v>
      </c>
      <c r="D169" s="665">
        <v>6.5</v>
      </c>
      <c r="E169" s="663"/>
      <c r="F169" s="663"/>
      <c r="G169" s="663"/>
      <c r="H169" s="663"/>
      <c r="I169" s="663"/>
      <c r="J169" s="663"/>
      <c r="K169" s="663"/>
      <c r="L169" s="663"/>
      <c r="M169" s="663"/>
      <c r="N169" s="663"/>
      <c r="O169" s="663"/>
      <c r="P169" s="663"/>
      <c r="Q169" s="663"/>
      <c r="R169" s="663"/>
      <c r="S169" s="663"/>
      <c r="T169" s="663"/>
      <c r="U169" s="663"/>
      <c r="V169" s="663"/>
      <c r="W169" s="663"/>
      <c r="X169" s="663"/>
      <c r="Y169" s="663"/>
      <c r="Z169" s="663"/>
      <c r="AA169" s="663"/>
      <c r="AB169" s="663"/>
      <c r="AC169" s="663"/>
      <c r="AD169" s="663"/>
      <c r="AE169" s="663"/>
      <c r="AF169" s="663"/>
      <c r="AG169" s="663"/>
    </row>
    <row r="170" spans="1:33" x14ac:dyDescent="0.3">
      <c r="A170" s="664" t="s">
        <v>338</v>
      </c>
      <c r="B170" s="663">
        <v>1.5</v>
      </c>
      <c r="C170" s="665">
        <v>11</v>
      </c>
      <c r="D170" s="665">
        <v>5.95</v>
      </c>
      <c r="E170" s="663"/>
      <c r="F170" s="663"/>
      <c r="G170" s="663"/>
      <c r="H170" s="663"/>
      <c r="I170" s="663"/>
      <c r="J170" s="663"/>
      <c r="K170" s="663"/>
      <c r="L170" s="663"/>
      <c r="M170" s="663"/>
      <c r="N170" s="663"/>
      <c r="O170" s="663"/>
      <c r="P170" s="663"/>
      <c r="Q170" s="663"/>
      <c r="R170" s="663"/>
      <c r="S170" s="663"/>
      <c r="T170" s="663"/>
      <c r="U170" s="663"/>
      <c r="V170" s="663"/>
      <c r="W170" s="663"/>
      <c r="X170" s="663"/>
      <c r="Y170" s="663"/>
      <c r="Z170" s="663"/>
      <c r="AA170" s="663"/>
      <c r="AB170" s="663"/>
      <c r="AC170" s="663"/>
      <c r="AD170" s="663"/>
      <c r="AE170" s="663"/>
      <c r="AF170" s="663"/>
      <c r="AG170" s="663"/>
    </row>
    <row r="171" spans="1:33" x14ac:dyDescent="0.3">
      <c r="A171" s="666" t="s">
        <v>339</v>
      </c>
      <c r="B171" s="667">
        <v>2.5</v>
      </c>
      <c r="C171" s="668">
        <v>13</v>
      </c>
      <c r="D171" s="668">
        <v>6.1</v>
      </c>
      <c r="E171" s="663"/>
      <c r="F171" s="663"/>
      <c r="G171" s="663"/>
      <c r="H171" s="663"/>
      <c r="I171" s="663"/>
      <c r="J171" s="663"/>
      <c r="K171" s="663"/>
      <c r="L171" s="663"/>
      <c r="M171" s="663"/>
      <c r="N171" s="663"/>
      <c r="O171" s="663"/>
      <c r="P171" s="663"/>
      <c r="Q171" s="663"/>
      <c r="R171" s="663"/>
      <c r="S171" s="663"/>
      <c r="T171" s="663"/>
      <c r="U171" s="663"/>
      <c r="V171" s="663"/>
      <c r="W171" s="663"/>
      <c r="X171" s="663"/>
      <c r="Y171" s="663"/>
      <c r="Z171" s="663"/>
      <c r="AA171" s="663"/>
      <c r="AB171" s="663"/>
      <c r="AC171" s="663"/>
      <c r="AD171" s="663"/>
      <c r="AE171" s="663"/>
      <c r="AF171" s="663"/>
      <c r="AG171" s="663"/>
    </row>
    <row r="172" spans="1:33" x14ac:dyDescent="0.3">
      <c r="A172" s="663"/>
      <c r="B172" s="663"/>
      <c r="C172" s="663"/>
      <c r="D172" s="663"/>
      <c r="E172" s="663"/>
      <c r="F172" s="663"/>
      <c r="G172" s="663"/>
      <c r="H172" s="663"/>
      <c r="I172" s="663"/>
      <c r="J172" s="663"/>
      <c r="K172" s="663"/>
      <c r="L172" s="663"/>
      <c r="M172" s="663"/>
      <c r="N172" s="663"/>
      <c r="O172" s="663"/>
      <c r="P172" s="663"/>
      <c r="Q172" s="663"/>
      <c r="R172" s="663"/>
      <c r="S172" s="663"/>
      <c r="T172" s="663"/>
      <c r="U172" s="663"/>
      <c r="V172" s="663"/>
      <c r="W172" s="663"/>
      <c r="X172" s="663"/>
      <c r="Y172" s="663"/>
      <c r="Z172" s="663"/>
      <c r="AA172" s="663"/>
      <c r="AB172" s="663"/>
      <c r="AC172" s="663"/>
      <c r="AD172" s="663"/>
      <c r="AE172" s="663"/>
      <c r="AF172" s="663"/>
      <c r="AG172" s="663"/>
    </row>
    <row r="173" spans="1:33" x14ac:dyDescent="0.3">
      <c r="A173" s="663"/>
      <c r="B173" s="663"/>
      <c r="C173" s="663"/>
      <c r="D173" s="663"/>
      <c r="E173" s="663"/>
      <c r="F173" s="663"/>
      <c r="G173" s="663"/>
      <c r="H173" s="663"/>
      <c r="I173" s="663"/>
      <c r="J173" s="663"/>
      <c r="K173" s="663"/>
      <c r="L173" s="663"/>
      <c r="M173" s="663"/>
      <c r="N173" s="663"/>
      <c r="O173" s="663"/>
      <c r="P173" s="663"/>
      <c r="Q173" s="663"/>
      <c r="R173" s="663"/>
      <c r="S173" s="663"/>
      <c r="T173" s="663"/>
      <c r="U173" s="663"/>
      <c r="V173" s="663"/>
      <c r="W173" s="663"/>
      <c r="X173" s="663"/>
      <c r="Y173" s="663"/>
      <c r="Z173" s="663"/>
      <c r="AA173" s="663"/>
      <c r="AB173" s="663"/>
      <c r="AC173" s="663"/>
      <c r="AD173" s="663"/>
      <c r="AE173" s="663"/>
      <c r="AF173" s="663"/>
      <c r="AG173" s="663"/>
    </row>
    <row r="174" spans="1:33" x14ac:dyDescent="0.3">
      <c r="A174" s="660" t="s">
        <v>375</v>
      </c>
      <c r="B174" s="661">
        <v>1</v>
      </c>
      <c r="C174" s="662">
        <v>3</v>
      </c>
      <c r="D174" s="663"/>
      <c r="E174" s="663"/>
      <c r="F174" s="663"/>
      <c r="G174" s="663"/>
      <c r="H174" s="663"/>
      <c r="I174" s="663"/>
      <c r="J174" s="663"/>
      <c r="K174" s="663"/>
      <c r="L174" s="663"/>
      <c r="M174" s="663"/>
      <c r="N174" s="663"/>
      <c r="O174" s="663"/>
      <c r="P174" s="663"/>
      <c r="Q174" s="663"/>
      <c r="R174" s="663"/>
      <c r="S174" s="663"/>
      <c r="T174" s="663"/>
      <c r="U174" s="663"/>
      <c r="V174" s="663"/>
      <c r="W174" s="663"/>
      <c r="X174" s="663"/>
      <c r="Y174" s="663"/>
      <c r="Z174" s="663"/>
      <c r="AA174" s="663"/>
      <c r="AB174" s="663"/>
      <c r="AC174" s="663"/>
      <c r="AD174" s="663"/>
      <c r="AE174" s="663"/>
      <c r="AF174" s="663"/>
      <c r="AG174" s="663"/>
    </row>
    <row r="175" spans="1:33" x14ac:dyDescent="0.3">
      <c r="A175" s="664" t="s">
        <v>113</v>
      </c>
      <c r="B175" s="663">
        <v>1</v>
      </c>
      <c r="C175" s="665">
        <v>5</v>
      </c>
      <c r="D175" s="663"/>
      <c r="E175" s="663"/>
      <c r="F175" s="663"/>
      <c r="G175" s="663"/>
      <c r="H175" s="663"/>
      <c r="I175" s="663"/>
      <c r="J175" s="663"/>
      <c r="K175" s="663"/>
      <c r="L175" s="663"/>
      <c r="M175" s="663"/>
      <c r="N175" s="663"/>
      <c r="O175" s="663"/>
      <c r="P175" s="663"/>
      <c r="Q175" s="663"/>
      <c r="R175" s="663"/>
      <c r="S175" s="663"/>
      <c r="T175" s="663"/>
      <c r="U175" s="663"/>
      <c r="V175" s="663"/>
      <c r="W175" s="663"/>
      <c r="X175" s="663"/>
      <c r="Y175" s="663"/>
      <c r="Z175" s="663"/>
      <c r="AA175" s="663"/>
      <c r="AB175" s="663"/>
      <c r="AC175" s="663"/>
      <c r="AD175" s="663"/>
      <c r="AE175" s="663"/>
      <c r="AF175" s="663"/>
      <c r="AG175" s="663"/>
    </row>
    <row r="176" spans="1:33" x14ac:dyDescent="0.3">
      <c r="A176" s="664" t="s">
        <v>16</v>
      </c>
      <c r="B176" s="663"/>
      <c r="C176" s="665"/>
      <c r="D176" s="663"/>
      <c r="E176" s="663"/>
      <c r="F176" s="663"/>
      <c r="G176" s="663"/>
      <c r="H176" s="663"/>
      <c r="I176" s="663"/>
      <c r="J176" s="663"/>
      <c r="K176" s="663"/>
      <c r="L176" s="663"/>
      <c r="M176" s="663"/>
      <c r="N176" s="663"/>
      <c r="O176" s="663"/>
      <c r="P176" s="663"/>
      <c r="Q176" s="663"/>
      <c r="R176" s="663"/>
      <c r="S176" s="663"/>
      <c r="T176" s="663"/>
      <c r="U176" s="663"/>
      <c r="V176" s="663"/>
      <c r="W176" s="663"/>
      <c r="X176" s="663"/>
      <c r="Y176" s="663"/>
      <c r="Z176" s="663"/>
      <c r="AA176" s="663"/>
      <c r="AB176" s="663"/>
      <c r="AC176" s="663"/>
      <c r="AD176" s="663"/>
      <c r="AE176" s="663"/>
      <c r="AF176" s="663"/>
      <c r="AG176" s="663"/>
    </row>
    <row r="177" spans="1:33" x14ac:dyDescent="0.3">
      <c r="A177" s="664" t="s">
        <v>105</v>
      </c>
      <c r="B177" s="663">
        <v>1</v>
      </c>
      <c r="C177" s="665">
        <v>3</v>
      </c>
      <c r="D177" s="663"/>
      <c r="E177" s="663"/>
      <c r="F177" s="663"/>
      <c r="G177" s="663"/>
      <c r="H177" s="663"/>
      <c r="I177" s="663"/>
      <c r="J177" s="663"/>
      <c r="K177" s="663"/>
      <c r="L177" s="663"/>
      <c r="M177" s="663"/>
      <c r="N177" s="663"/>
      <c r="O177" s="663"/>
      <c r="P177" s="663"/>
      <c r="Q177" s="663"/>
      <c r="R177" s="663"/>
      <c r="S177" s="663"/>
      <c r="T177" s="663"/>
      <c r="U177" s="663"/>
      <c r="V177" s="663"/>
      <c r="W177" s="663"/>
      <c r="X177" s="663"/>
      <c r="Y177" s="663"/>
      <c r="Z177" s="663"/>
      <c r="AA177" s="663"/>
      <c r="AB177" s="663"/>
      <c r="AC177" s="663"/>
      <c r="AD177" s="663"/>
      <c r="AE177" s="663"/>
      <c r="AF177" s="663"/>
      <c r="AG177" s="663"/>
    </row>
    <row r="178" spans="1:33" x14ac:dyDescent="0.3">
      <c r="A178" s="664" t="s">
        <v>27</v>
      </c>
      <c r="B178" s="663">
        <v>1</v>
      </c>
      <c r="C178" s="665">
        <v>5</v>
      </c>
      <c r="D178" s="663"/>
      <c r="E178" s="663"/>
      <c r="F178" s="663"/>
      <c r="G178" s="663"/>
      <c r="H178" s="663"/>
      <c r="I178" s="663"/>
      <c r="J178" s="663"/>
      <c r="K178" s="663"/>
      <c r="L178" s="663"/>
      <c r="M178" s="663"/>
      <c r="N178" s="663"/>
      <c r="O178" s="663"/>
      <c r="P178" s="663"/>
      <c r="Q178" s="663"/>
      <c r="R178" s="663"/>
      <c r="S178" s="663"/>
      <c r="T178" s="663"/>
      <c r="U178" s="663"/>
      <c r="V178" s="663"/>
      <c r="W178" s="663"/>
      <c r="X178" s="663"/>
      <c r="Y178" s="663"/>
      <c r="Z178" s="663"/>
      <c r="AA178" s="663"/>
      <c r="AB178" s="663"/>
      <c r="AC178" s="663"/>
      <c r="AD178" s="663"/>
      <c r="AE178" s="663"/>
      <c r="AF178" s="663"/>
      <c r="AG178" s="663"/>
    </row>
    <row r="179" spans="1:33" x14ac:dyDescent="0.3">
      <c r="A179" s="664" t="s">
        <v>128</v>
      </c>
      <c r="B179" s="663">
        <v>1</v>
      </c>
      <c r="C179" s="665">
        <v>3.2</v>
      </c>
      <c r="D179" s="663"/>
      <c r="E179" s="663"/>
      <c r="F179" s="663"/>
      <c r="G179" s="663"/>
      <c r="H179" s="663"/>
      <c r="I179" s="663"/>
      <c r="J179" s="663"/>
      <c r="K179" s="663"/>
      <c r="L179" s="663"/>
      <c r="M179" s="663"/>
      <c r="N179" s="663"/>
      <c r="O179" s="663"/>
      <c r="P179" s="663"/>
      <c r="Q179" s="663"/>
      <c r="R179" s="663"/>
      <c r="S179" s="663"/>
      <c r="T179" s="663"/>
      <c r="U179" s="663"/>
      <c r="V179" s="663"/>
      <c r="W179" s="663"/>
      <c r="X179" s="663"/>
      <c r="Y179" s="663"/>
      <c r="Z179" s="663"/>
      <c r="AA179" s="663"/>
      <c r="AB179" s="663"/>
      <c r="AC179" s="663"/>
      <c r="AD179" s="663"/>
      <c r="AE179" s="663"/>
      <c r="AF179" s="663"/>
      <c r="AG179" s="663"/>
    </row>
    <row r="180" spans="1:33" x14ac:dyDescent="0.3">
      <c r="A180" s="664" t="s">
        <v>376</v>
      </c>
      <c r="B180" s="663">
        <v>1</v>
      </c>
      <c r="C180" s="665">
        <v>3.2</v>
      </c>
      <c r="D180" s="663"/>
      <c r="E180" s="663"/>
      <c r="F180" s="663"/>
      <c r="G180" s="663"/>
      <c r="H180" s="663"/>
      <c r="I180" s="663"/>
      <c r="J180" s="663"/>
      <c r="K180" s="663"/>
      <c r="L180" s="663"/>
      <c r="M180" s="663"/>
      <c r="N180" s="663"/>
      <c r="O180" s="663"/>
      <c r="P180" s="663"/>
      <c r="Q180" s="663"/>
      <c r="R180" s="663"/>
      <c r="S180" s="663"/>
      <c r="T180" s="663"/>
      <c r="U180" s="663"/>
      <c r="V180" s="663"/>
      <c r="W180" s="663"/>
      <c r="X180" s="663"/>
      <c r="Y180" s="663"/>
      <c r="Z180" s="663"/>
      <c r="AA180" s="663"/>
      <c r="AB180" s="663"/>
      <c r="AC180" s="663"/>
      <c r="AD180" s="663"/>
      <c r="AE180" s="663"/>
      <c r="AF180" s="663"/>
      <c r="AG180" s="663"/>
    </row>
    <row r="181" spans="1:33" x14ac:dyDescent="0.3">
      <c r="A181" s="664" t="s">
        <v>203</v>
      </c>
      <c r="B181" s="663">
        <v>1</v>
      </c>
      <c r="C181" s="665">
        <v>5.3</v>
      </c>
      <c r="D181" s="663"/>
      <c r="E181" s="663"/>
      <c r="F181" s="663"/>
      <c r="G181" s="663"/>
      <c r="H181" s="663"/>
      <c r="I181" s="663"/>
      <c r="J181" s="663"/>
      <c r="K181" s="663"/>
      <c r="L181" s="663"/>
      <c r="M181" s="663"/>
      <c r="N181" s="663"/>
      <c r="O181" s="663"/>
      <c r="P181" s="663"/>
      <c r="Q181" s="663"/>
      <c r="R181" s="663"/>
      <c r="S181" s="663"/>
      <c r="T181" s="663"/>
      <c r="U181" s="663"/>
      <c r="V181" s="663"/>
      <c r="W181" s="663"/>
      <c r="X181" s="663"/>
      <c r="Y181" s="663"/>
      <c r="Z181" s="663"/>
      <c r="AA181" s="663"/>
      <c r="AB181" s="663"/>
      <c r="AC181" s="663"/>
      <c r="AD181" s="663"/>
      <c r="AE181" s="663"/>
      <c r="AF181" s="663"/>
      <c r="AG181" s="663"/>
    </row>
    <row r="182" spans="1:33" x14ac:dyDescent="0.3">
      <c r="A182" s="666" t="s">
        <v>377</v>
      </c>
      <c r="B182" s="667">
        <v>1</v>
      </c>
      <c r="C182" s="668">
        <v>5.3</v>
      </c>
      <c r="D182" s="663"/>
      <c r="E182" s="663"/>
      <c r="F182" s="663"/>
      <c r="G182" s="663"/>
      <c r="H182" s="663"/>
      <c r="I182" s="663"/>
      <c r="J182" s="663"/>
      <c r="K182" s="663"/>
      <c r="L182" s="663"/>
      <c r="M182" s="663"/>
      <c r="N182" s="663"/>
      <c r="O182" s="663"/>
      <c r="P182" s="663"/>
      <c r="Q182" s="663"/>
      <c r="R182" s="663"/>
      <c r="S182" s="663"/>
      <c r="T182" s="663"/>
      <c r="U182" s="663"/>
      <c r="V182" s="663"/>
      <c r="W182" s="663"/>
      <c r="X182" s="663"/>
      <c r="Y182" s="663"/>
      <c r="Z182" s="663"/>
      <c r="AA182" s="663"/>
      <c r="AB182" s="663"/>
      <c r="AC182" s="663"/>
      <c r="AD182" s="663"/>
      <c r="AE182" s="663"/>
      <c r="AF182" s="663"/>
      <c r="AG182" s="663"/>
    </row>
    <row r="183" spans="1:33" x14ac:dyDescent="0.3">
      <c r="A183" s="663"/>
      <c r="B183" s="663"/>
      <c r="C183" s="663"/>
      <c r="D183" s="663"/>
      <c r="E183" s="663"/>
      <c r="F183" s="663"/>
      <c r="G183" s="663"/>
      <c r="H183" s="663"/>
      <c r="I183" s="663"/>
      <c r="J183" s="663"/>
      <c r="K183" s="663"/>
      <c r="L183" s="663"/>
      <c r="M183" s="663"/>
      <c r="N183" s="663"/>
      <c r="O183" s="663"/>
      <c r="P183" s="663"/>
      <c r="Q183" s="663"/>
      <c r="R183" s="663"/>
      <c r="S183" s="663"/>
      <c r="T183" s="663"/>
      <c r="U183" s="663"/>
      <c r="V183" s="663"/>
      <c r="W183" s="663"/>
      <c r="X183" s="663"/>
      <c r="Y183" s="663"/>
      <c r="Z183" s="663"/>
      <c r="AA183" s="663"/>
      <c r="AB183" s="663"/>
      <c r="AC183" s="663"/>
      <c r="AD183" s="663"/>
      <c r="AE183" s="663"/>
      <c r="AF183" s="663"/>
      <c r="AG183" s="663"/>
    </row>
    <row r="184" spans="1:33" x14ac:dyDescent="0.3">
      <c r="A184" s="672" t="s">
        <v>290</v>
      </c>
      <c r="B184" s="663"/>
      <c r="C184" s="663"/>
      <c r="D184" s="663"/>
      <c r="E184" s="663"/>
      <c r="F184" s="663"/>
      <c r="G184" s="663"/>
      <c r="H184" s="663"/>
      <c r="I184" s="663"/>
      <c r="J184" s="663"/>
      <c r="K184" s="663"/>
      <c r="L184" s="663"/>
      <c r="M184" s="663"/>
      <c r="N184" s="663"/>
      <c r="O184" s="663"/>
      <c r="P184" s="663"/>
      <c r="Q184" s="663"/>
      <c r="R184" s="663"/>
      <c r="S184" s="663"/>
      <c r="T184" s="663"/>
      <c r="U184" s="663"/>
      <c r="V184" s="663"/>
      <c r="W184" s="663"/>
      <c r="X184" s="663"/>
      <c r="Y184" s="663"/>
      <c r="Z184" s="663"/>
      <c r="AA184" s="663"/>
      <c r="AB184" s="663"/>
      <c r="AC184" s="663"/>
      <c r="AD184" s="663"/>
      <c r="AE184" s="663"/>
      <c r="AF184" s="663"/>
      <c r="AG184" s="663"/>
    </row>
    <row r="185" spans="1:33" x14ac:dyDescent="0.3">
      <c r="A185" s="673" t="s">
        <v>305</v>
      </c>
      <c r="B185" s="663"/>
      <c r="C185" s="663"/>
      <c r="D185" s="663"/>
      <c r="E185" s="663"/>
      <c r="F185" s="663"/>
      <c r="G185" s="663"/>
      <c r="H185" s="663"/>
      <c r="I185" s="663"/>
      <c r="J185" s="663"/>
      <c r="K185" s="663"/>
      <c r="L185" s="663"/>
      <c r="M185" s="663"/>
      <c r="N185" s="663"/>
      <c r="O185" s="663"/>
      <c r="P185" s="663"/>
      <c r="Q185" s="663"/>
      <c r="R185" s="663"/>
      <c r="S185" s="663"/>
      <c r="T185" s="663"/>
      <c r="U185" s="663"/>
      <c r="V185" s="663"/>
      <c r="W185" s="663"/>
      <c r="X185" s="663"/>
      <c r="Y185" s="663"/>
      <c r="Z185" s="663"/>
      <c r="AA185" s="663"/>
      <c r="AB185" s="663"/>
      <c r="AC185" s="663"/>
      <c r="AD185" s="663"/>
      <c r="AE185" s="663"/>
      <c r="AF185" s="663"/>
      <c r="AG185" s="663"/>
    </row>
    <row r="186" spans="1:33" x14ac:dyDescent="0.3">
      <c r="A186" s="674" t="s">
        <v>347</v>
      </c>
      <c r="B186" s="663"/>
      <c r="C186" s="663"/>
      <c r="D186" s="663"/>
      <c r="E186" s="663"/>
      <c r="F186" s="663"/>
      <c r="G186" s="663"/>
      <c r="H186" s="663"/>
      <c r="I186" s="663"/>
      <c r="J186" s="663"/>
      <c r="K186" s="663"/>
      <c r="L186" s="663"/>
      <c r="M186" s="663"/>
      <c r="N186" s="663"/>
      <c r="O186" s="663"/>
      <c r="P186" s="663"/>
      <c r="Q186" s="663"/>
      <c r="R186" s="663"/>
      <c r="S186" s="663"/>
      <c r="T186" s="663"/>
      <c r="U186" s="663"/>
      <c r="V186" s="663"/>
      <c r="W186" s="663"/>
      <c r="X186" s="663"/>
      <c r="Y186" s="663"/>
      <c r="Z186" s="663"/>
      <c r="AA186" s="663"/>
      <c r="AB186" s="663"/>
      <c r="AC186" s="663"/>
      <c r="AD186" s="663"/>
      <c r="AE186" s="663"/>
      <c r="AF186" s="663"/>
      <c r="AG186" s="663"/>
    </row>
    <row r="187" spans="1:33" x14ac:dyDescent="0.3">
      <c r="A187" s="663"/>
      <c r="B187" s="663"/>
      <c r="C187" s="663"/>
      <c r="D187" s="663"/>
      <c r="E187" s="663"/>
      <c r="F187" s="663"/>
      <c r="G187" s="663"/>
      <c r="H187" s="663"/>
      <c r="I187" s="663"/>
      <c r="J187" s="663"/>
      <c r="K187" s="663"/>
      <c r="L187" s="663"/>
      <c r="M187" s="663"/>
      <c r="N187" s="663"/>
      <c r="O187" s="663"/>
      <c r="P187" s="663"/>
      <c r="Q187" s="663"/>
      <c r="R187" s="663"/>
      <c r="S187" s="663"/>
      <c r="T187" s="663"/>
      <c r="U187" s="663"/>
      <c r="V187" s="663"/>
      <c r="W187" s="663"/>
      <c r="X187" s="663"/>
      <c r="Y187" s="663"/>
      <c r="Z187" s="663"/>
      <c r="AA187" s="663"/>
      <c r="AB187" s="663"/>
      <c r="AC187" s="663"/>
      <c r="AD187" s="663"/>
      <c r="AE187" s="663"/>
      <c r="AF187" s="663"/>
      <c r="AG187" s="663"/>
    </row>
    <row r="188" spans="1:33" x14ac:dyDescent="0.3">
      <c r="A188" s="672">
        <v>1</v>
      </c>
      <c r="B188" s="663"/>
      <c r="C188" s="663"/>
      <c r="D188" s="663"/>
      <c r="E188" s="663"/>
      <c r="F188" s="663"/>
      <c r="G188" s="663"/>
      <c r="H188" s="663"/>
      <c r="I188" s="663"/>
      <c r="J188" s="663"/>
      <c r="K188" s="663"/>
      <c r="L188" s="663"/>
      <c r="M188" s="663"/>
      <c r="N188" s="663"/>
      <c r="O188" s="663"/>
      <c r="P188" s="663"/>
      <c r="Q188" s="663"/>
      <c r="R188" s="663"/>
      <c r="S188" s="663"/>
      <c r="T188" s="663"/>
      <c r="U188" s="663"/>
      <c r="V188" s="663"/>
      <c r="W188" s="663"/>
      <c r="X188" s="663"/>
      <c r="Y188" s="663"/>
      <c r="Z188" s="663"/>
      <c r="AA188" s="663"/>
      <c r="AB188" s="663"/>
      <c r="AC188" s="663"/>
      <c r="AD188" s="663"/>
      <c r="AE188" s="663"/>
      <c r="AF188" s="663"/>
      <c r="AG188" s="663"/>
    </row>
    <row r="189" spans="1:33" x14ac:dyDescent="0.3">
      <c r="A189" s="673">
        <v>2</v>
      </c>
      <c r="B189" s="663"/>
      <c r="C189" s="663"/>
      <c r="D189" s="663"/>
      <c r="E189" s="663"/>
      <c r="F189" s="663"/>
      <c r="G189" s="663"/>
      <c r="H189" s="663"/>
      <c r="I189" s="663"/>
      <c r="J189" s="663"/>
      <c r="K189" s="663"/>
      <c r="L189" s="663"/>
      <c r="M189" s="663"/>
      <c r="N189" s="663"/>
      <c r="O189" s="663"/>
      <c r="P189" s="663"/>
      <c r="Q189" s="663"/>
      <c r="R189" s="663"/>
      <c r="S189" s="663"/>
      <c r="T189" s="663"/>
      <c r="U189" s="663"/>
      <c r="V189" s="663"/>
      <c r="W189" s="663"/>
      <c r="X189" s="663"/>
      <c r="Y189" s="663"/>
      <c r="Z189" s="663"/>
      <c r="AA189" s="663"/>
      <c r="AB189" s="663"/>
      <c r="AC189" s="663"/>
      <c r="AD189" s="663"/>
      <c r="AE189" s="663"/>
      <c r="AF189" s="663"/>
      <c r="AG189" s="663"/>
    </row>
    <row r="190" spans="1:33" x14ac:dyDescent="0.3">
      <c r="A190" s="673">
        <v>3</v>
      </c>
      <c r="B190" s="663"/>
      <c r="C190" s="663"/>
      <c r="D190" s="663"/>
      <c r="E190" s="663"/>
      <c r="F190" s="663"/>
      <c r="G190" s="663"/>
      <c r="H190" s="663"/>
      <c r="I190" s="663"/>
      <c r="J190" s="663"/>
      <c r="K190" s="663"/>
      <c r="L190" s="663"/>
      <c r="M190" s="663"/>
      <c r="N190" s="663"/>
      <c r="O190" s="663"/>
      <c r="P190" s="663"/>
      <c r="Q190" s="663"/>
      <c r="R190" s="663"/>
      <c r="S190" s="663"/>
      <c r="T190" s="663"/>
      <c r="U190" s="663"/>
      <c r="V190" s="663"/>
      <c r="W190" s="663"/>
      <c r="X190" s="663"/>
      <c r="Y190" s="663"/>
      <c r="Z190" s="663"/>
      <c r="AA190" s="663"/>
      <c r="AB190" s="663"/>
      <c r="AC190" s="663"/>
      <c r="AD190" s="663"/>
      <c r="AE190" s="663"/>
      <c r="AF190" s="663"/>
      <c r="AG190" s="663"/>
    </row>
    <row r="191" spans="1:33" x14ac:dyDescent="0.3">
      <c r="A191" s="673">
        <v>4</v>
      </c>
      <c r="B191" s="663"/>
      <c r="C191" s="663"/>
      <c r="D191" s="663"/>
      <c r="E191" s="663"/>
      <c r="F191" s="663"/>
      <c r="G191" s="663"/>
      <c r="H191" s="663"/>
      <c r="I191" s="663"/>
      <c r="J191" s="663"/>
      <c r="K191" s="663"/>
      <c r="L191" s="663"/>
      <c r="M191" s="663"/>
      <c r="N191" s="663"/>
      <c r="O191" s="663"/>
      <c r="P191" s="663"/>
      <c r="Q191" s="663"/>
      <c r="R191" s="663"/>
      <c r="S191" s="663"/>
      <c r="T191" s="663"/>
      <c r="U191" s="663"/>
      <c r="V191" s="663"/>
      <c r="W191" s="663"/>
      <c r="X191" s="663"/>
      <c r="Y191" s="663"/>
      <c r="Z191" s="663"/>
      <c r="AA191" s="663"/>
      <c r="AB191" s="663"/>
      <c r="AC191" s="663"/>
      <c r="AD191" s="663"/>
      <c r="AE191" s="663"/>
      <c r="AF191" s="663"/>
      <c r="AG191" s="663"/>
    </row>
    <row r="192" spans="1:33" x14ac:dyDescent="0.3">
      <c r="A192" s="673">
        <v>5</v>
      </c>
      <c r="B192" s="663"/>
      <c r="C192" s="663"/>
      <c r="D192" s="663"/>
      <c r="E192" s="663"/>
      <c r="F192" s="663"/>
      <c r="G192" s="663"/>
      <c r="H192" s="663"/>
      <c r="I192" s="663"/>
      <c r="J192" s="663"/>
      <c r="K192" s="663"/>
      <c r="L192" s="663"/>
      <c r="M192" s="663"/>
      <c r="N192" s="663"/>
      <c r="O192" s="663"/>
      <c r="P192" s="663"/>
      <c r="Q192" s="663"/>
      <c r="R192" s="663"/>
      <c r="S192" s="663"/>
      <c r="T192" s="663"/>
      <c r="U192" s="663"/>
      <c r="V192" s="663"/>
      <c r="W192" s="663"/>
      <c r="X192" s="663"/>
      <c r="Y192" s="663"/>
      <c r="Z192" s="663"/>
      <c r="AA192" s="663"/>
      <c r="AB192" s="663"/>
      <c r="AC192" s="663"/>
      <c r="AD192" s="663"/>
      <c r="AE192" s="663"/>
      <c r="AF192" s="663"/>
      <c r="AG192" s="663"/>
    </row>
    <row r="193" spans="1:33" x14ac:dyDescent="0.3">
      <c r="A193" s="674">
        <v>6</v>
      </c>
      <c r="B193" s="663"/>
      <c r="C193" s="663"/>
      <c r="D193" s="663"/>
      <c r="E193" s="663"/>
      <c r="F193" s="663"/>
      <c r="G193" s="663"/>
      <c r="H193" s="663"/>
      <c r="I193" s="663"/>
      <c r="J193" s="663"/>
      <c r="K193" s="663"/>
      <c r="L193" s="663"/>
      <c r="M193" s="663"/>
      <c r="N193" s="663"/>
      <c r="O193" s="663"/>
      <c r="P193" s="663"/>
      <c r="Q193" s="663"/>
      <c r="R193" s="663"/>
      <c r="S193" s="663"/>
      <c r="T193" s="663"/>
      <c r="U193" s="663"/>
      <c r="V193" s="663"/>
      <c r="W193" s="663"/>
      <c r="X193" s="663"/>
      <c r="Y193" s="663"/>
      <c r="Z193" s="663"/>
      <c r="AA193" s="663"/>
      <c r="AB193" s="663"/>
      <c r="AC193" s="663"/>
      <c r="AD193" s="663"/>
      <c r="AE193" s="663"/>
      <c r="AF193" s="663"/>
      <c r="AG193" s="663"/>
    </row>
    <row r="194" spans="1:33" x14ac:dyDescent="0.3">
      <c r="A194" s="663"/>
      <c r="B194" s="663"/>
      <c r="C194" s="663"/>
      <c r="D194" s="663"/>
      <c r="E194" s="663"/>
      <c r="F194" s="663"/>
      <c r="G194" s="663"/>
      <c r="H194" s="663"/>
      <c r="I194" s="663"/>
      <c r="J194" s="663"/>
      <c r="K194" s="663"/>
      <c r="L194" s="663"/>
      <c r="M194" s="663"/>
      <c r="N194" s="663"/>
      <c r="O194" s="663"/>
      <c r="P194" s="663"/>
      <c r="Q194" s="663"/>
      <c r="R194" s="663"/>
      <c r="S194" s="663"/>
      <c r="T194" s="663"/>
      <c r="U194" s="663"/>
      <c r="V194" s="663"/>
      <c r="W194" s="663"/>
      <c r="X194" s="663"/>
      <c r="Y194" s="663"/>
      <c r="Z194" s="663"/>
      <c r="AA194" s="663"/>
      <c r="AB194" s="663"/>
      <c r="AC194" s="663"/>
      <c r="AD194" s="663"/>
      <c r="AE194" s="663"/>
      <c r="AF194" s="663"/>
      <c r="AG194" s="663"/>
    </row>
    <row r="195" spans="1:33" x14ac:dyDescent="0.3">
      <c r="A195" s="660" t="s">
        <v>20</v>
      </c>
      <c r="B195" s="661">
        <v>0</v>
      </c>
      <c r="C195" s="662">
        <v>0</v>
      </c>
      <c r="D195" s="663"/>
      <c r="E195" s="663"/>
      <c r="F195" s="663"/>
      <c r="G195" s="663"/>
      <c r="H195" s="663"/>
      <c r="I195" s="663"/>
      <c r="J195" s="663"/>
      <c r="K195" s="663"/>
      <c r="L195" s="663"/>
      <c r="M195" s="663"/>
      <c r="N195" s="663"/>
      <c r="O195" s="663"/>
      <c r="P195" s="663"/>
      <c r="Q195" s="663"/>
      <c r="R195" s="663"/>
      <c r="S195" s="663"/>
      <c r="T195" s="663"/>
      <c r="U195" s="663"/>
      <c r="V195" s="663"/>
      <c r="W195" s="663"/>
      <c r="X195" s="663"/>
      <c r="Y195" s="663"/>
      <c r="Z195" s="663"/>
      <c r="AA195" s="663"/>
      <c r="AB195" s="663"/>
      <c r="AC195" s="663"/>
      <c r="AD195" s="663"/>
      <c r="AE195" s="663"/>
      <c r="AF195" s="663"/>
      <c r="AG195" s="663"/>
    </row>
    <row r="196" spans="1:33" x14ac:dyDescent="0.3">
      <c r="A196" s="666" t="s">
        <v>14</v>
      </c>
      <c r="B196" s="667">
        <v>2.5</v>
      </c>
      <c r="C196" s="668">
        <v>1.5</v>
      </c>
      <c r="D196" s="663"/>
      <c r="E196" s="663"/>
      <c r="F196" s="663"/>
      <c r="G196" s="663"/>
      <c r="H196" s="663"/>
      <c r="I196" s="663"/>
      <c r="J196" s="663"/>
      <c r="K196" s="663"/>
      <c r="L196" s="663"/>
      <c r="M196" s="663"/>
      <c r="N196" s="663"/>
      <c r="O196" s="663"/>
      <c r="P196" s="663"/>
      <c r="Q196" s="663"/>
      <c r="R196" s="663"/>
      <c r="S196" s="663"/>
      <c r="T196" s="663"/>
      <c r="U196" s="663"/>
      <c r="V196" s="663"/>
      <c r="W196" s="663"/>
      <c r="X196" s="663"/>
      <c r="Y196" s="663"/>
      <c r="Z196" s="663"/>
      <c r="AA196" s="663"/>
      <c r="AB196" s="663"/>
      <c r="AC196" s="663"/>
      <c r="AD196" s="663"/>
      <c r="AE196" s="663"/>
      <c r="AF196" s="663"/>
      <c r="AG196" s="663"/>
    </row>
    <row r="197" spans="1:33" x14ac:dyDescent="0.3">
      <c r="A197" s="663"/>
      <c r="B197" s="663"/>
      <c r="C197" s="663"/>
      <c r="D197" s="663"/>
      <c r="E197" s="663"/>
      <c r="F197" s="663"/>
      <c r="G197" s="663"/>
      <c r="H197" s="663"/>
      <c r="I197" s="663"/>
      <c r="J197" s="663"/>
      <c r="K197" s="663"/>
      <c r="L197" s="663"/>
      <c r="M197" s="663"/>
      <c r="N197" s="663"/>
      <c r="O197" s="663"/>
      <c r="P197" s="663"/>
      <c r="Q197" s="663"/>
      <c r="R197" s="663"/>
      <c r="S197" s="663"/>
      <c r="T197" s="663"/>
      <c r="U197" s="663"/>
      <c r="V197" s="663"/>
      <c r="W197" s="663"/>
      <c r="X197" s="663"/>
      <c r="Y197" s="663"/>
      <c r="Z197" s="663"/>
      <c r="AA197" s="663"/>
      <c r="AB197" s="663"/>
      <c r="AC197" s="663"/>
      <c r="AD197" s="663"/>
      <c r="AE197" s="663"/>
      <c r="AF197" s="663"/>
      <c r="AG197" s="663"/>
    </row>
    <row r="198" spans="1:33" ht="18" x14ac:dyDescent="0.35">
      <c r="A198" s="675" t="s">
        <v>133</v>
      </c>
      <c r="B198" s="663"/>
      <c r="C198" s="663"/>
      <c r="D198" s="663"/>
      <c r="E198" s="663"/>
      <c r="F198" s="663"/>
      <c r="G198" s="663"/>
      <c r="H198" s="663"/>
      <c r="I198" s="663"/>
      <c r="J198" s="663"/>
      <c r="K198" s="663"/>
      <c r="L198" s="663"/>
      <c r="M198" s="663"/>
      <c r="N198" s="663"/>
      <c r="O198" s="663"/>
      <c r="P198" s="663"/>
      <c r="Q198" s="663"/>
      <c r="R198" s="663"/>
      <c r="S198" s="663"/>
      <c r="T198" s="663"/>
      <c r="U198" s="663"/>
      <c r="V198" s="663"/>
      <c r="W198" s="663"/>
      <c r="X198" s="663"/>
      <c r="Y198" s="663"/>
      <c r="Z198" s="663"/>
      <c r="AA198" s="663"/>
      <c r="AB198" s="663"/>
      <c r="AC198" s="663"/>
      <c r="AD198" s="663"/>
      <c r="AE198" s="663"/>
      <c r="AF198" s="663"/>
      <c r="AG198" s="663"/>
    </row>
    <row r="199" spans="1:33" ht="18" x14ac:dyDescent="0.35">
      <c r="A199" s="677" t="s">
        <v>134</v>
      </c>
      <c r="B199" s="663"/>
      <c r="C199" s="663"/>
      <c r="D199" s="663"/>
      <c r="E199" s="663"/>
      <c r="F199" s="663"/>
      <c r="G199" s="663"/>
      <c r="H199" s="663"/>
      <c r="I199" s="663"/>
      <c r="J199" s="663"/>
      <c r="K199" s="663"/>
      <c r="L199" s="663"/>
      <c r="M199" s="663"/>
      <c r="N199" s="663"/>
      <c r="O199" s="663"/>
      <c r="P199" s="663"/>
      <c r="Q199" s="663"/>
      <c r="R199" s="663"/>
      <c r="S199" s="663"/>
      <c r="T199" s="663"/>
      <c r="U199" s="663"/>
      <c r="V199" s="663"/>
      <c r="W199" s="663"/>
      <c r="X199" s="663"/>
      <c r="Y199" s="663"/>
      <c r="Z199" s="663"/>
      <c r="AA199" s="663"/>
      <c r="AB199" s="663"/>
      <c r="AC199" s="663"/>
      <c r="AD199" s="663"/>
      <c r="AE199" s="663"/>
      <c r="AF199" s="663"/>
      <c r="AG199" s="663"/>
    </row>
    <row r="200" spans="1:33" x14ac:dyDescent="0.3">
      <c r="A200" s="663"/>
      <c r="B200" s="663"/>
      <c r="C200" s="663"/>
      <c r="D200" s="663"/>
      <c r="E200" s="663"/>
      <c r="F200" s="663"/>
      <c r="G200" s="663"/>
      <c r="H200" s="663"/>
      <c r="I200" s="663"/>
      <c r="J200" s="663"/>
      <c r="K200" s="663"/>
      <c r="L200" s="663"/>
      <c r="M200" s="663"/>
      <c r="N200" s="663"/>
      <c r="O200" s="663"/>
      <c r="P200" s="663"/>
      <c r="Q200" s="663"/>
      <c r="R200" s="663"/>
      <c r="S200" s="663"/>
      <c r="T200" s="663"/>
      <c r="U200" s="663"/>
      <c r="V200" s="663"/>
      <c r="W200" s="663"/>
      <c r="X200" s="663"/>
      <c r="Y200" s="663"/>
      <c r="Z200" s="663"/>
      <c r="AA200" s="663"/>
      <c r="AB200" s="663"/>
      <c r="AC200" s="663"/>
      <c r="AD200" s="663"/>
      <c r="AE200" s="663"/>
      <c r="AF200" s="663"/>
      <c r="AG200" s="663"/>
    </row>
    <row r="201" spans="1:33" ht="18" x14ac:dyDescent="0.35">
      <c r="A201" s="675" t="s">
        <v>16</v>
      </c>
      <c r="B201" s="663"/>
      <c r="C201" s="663"/>
      <c r="D201" s="663"/>
      <c r="E201" s="663"/>
      <c r="F201" s="663"/>
      <c r="G201" s="663"/>
      <c r="H201" s="663"/>
      <c r="I201" s="663"/>
      <c r="J201" s="663"/>
      <c r="K201" s="663"/>
      <c r="L201" s="663"/>
      <c r="M201" s="663"/>
      <c r="N201" s="663"/>
      <c r="O201" s="663"/>
      <c r="P201" s="663"/>
      <c r="Q201" s="663"/>
      <c r="R201" s="663"/>
      <c r="S201" s="663"/>
      <c r="T201" s="663"/>
      <c r="U201" s="663"/>
      <c r="V201" s="663"/>
      <c r="W201" s="663"/>
      <c r="X201" s="663"/>
      <c r="Y201" s="663"/>
      <c r="Z201" s="663"/>
      <c r="AA201" s="663"/>
      <c r="AB201" s="663"/>
      <c r="AC201" s="663"/>
      <c r="AD201" s="663"/>
      <c r="AE201" s="663"/>
      <c r="AF201" s="663"/>
      <c r="AG201" s="663"/>
    </row>
    <row r="202" spans="1:33" ht="18" x14ac:dyDescent="0.35">
      <c r="A202" s="676" t="s">
        <v>345</v>
      </c>
      <c r="B202" s="663"/>
      <c r="C202" s="663"/>
      <c r="D202" s="663"/>
      <c r="E202" s="663"/>
      <c r="F202" s="663"/>
      <c r="G202" s="663"/>
      <c r="H202" s="663"/>
      <c r="I202" s="663"/>
      <c r="J202" s="663"/>
      <c r="K202" s="663"/>
      <c r="L202" s="663"/>
      <c r="M202" s="663"/>
      <c r="N202" s="663"/>
      <c r="O202" s="663"/>
      <c r="P202" s="663"/>
      <c r="Q202" s="663"/>
      <c r="R202" s="663"/>
      <c r="S202" s="663"/>
      <c r="T202" s="663"/>
      <c r="U202" s="663"/>
      <c r="V202" s="663"/>
      <c r="W202" s="663"/>
      <c r="X202" s="663"/>
      <c r="Y202" s="663"/>
      <c r="Z202" s="663"/>
      <c r="AA202" s="663"/>
      <c r="AB202" s="663"/>
      <c r="AC202" s="663"/>
      <c r="AD202" s="663"/>
      <c r="AE202" s="663"/>
      <c r="AF202" s="663"/>
      <c r="AG202" s="663"/>
    </row>
    <row r="203" spans="1:33" ht="18" x14ac:dyDescent="0.35">
      <c r="A203" s="676" t="s">
        <v>346</v>
      </c>
      <c r="B203" s="663"/>
      <c r="C203" s="663"/>
      <c r="D203" s="663"/>
      <c r="E203" s="663"/>
      <c r="F203" s="663"/>
      <c r="G203" s="663"/>
      <c r="H203" s="663"/>
      <c r="I203" s="663"/>
      <c r="J203" s="663"/>
      <c r="K203" s="663"/>
      <c r="L203" s="663"/>
      <c r="M203" s="663"/>
      <c r="N203" s="663"/>
      <c r="O203" s="663"/>
      <c r="P203" s="663"/>
      <c r="Q203" s="663"/>
      <c r="R203" s="663"/>
      <c r="S203" s="663"/>
      <c r="T203" s="663"/>
      <c r="U203" s="663"/>
      <c r="V203" s="663"/>
      <c r="W203" s="663"/>
      <c r="X203" s="663"/>
      <c r="Y203" s="663"/>
      <c r="Z203" s="663"/>
      <c r="AA203" s="663"/>
      <c r="AB203" s="663"/>
      <c r="AC203" s="663"/>
      <c r="AD203" s="663"/>
      <c r="AE203" s="663"/>
      <c r="AF203" s="663"/>
      <c r="AG203" s="663"/>
    </row>
    <row r="204" spans="1:33" ht="18" x14ac:dyDescent="0.35">
      <c r="A204" s="677" t="s">
        <v>23</v>
      </c>
      <c r="B204" s="663"/>
      <c r="C204" s="663"/>
      <c r="D204" s="663"/>
      <c r="E204" s="663"/>
      <c r="F204" s="663"/>
      <c r="G204" s="663"/>
      <c r="H204" s="663"/>
      <c r="I204" s="663"/>
      <c r="J204" s="663"/>
      <c r="K204" s="663"/>
      <c r="L204" s="663"/>
      <c r="M204" s="663"/>
      <c r="N204" s="663"/>
      <c r="O204" s="663"/>
      <c r="P204" s="663"/>
      <c r="Q204" s="663"/>
      <c r="R204" s="663"/>
      <c r="S204" s="663"/>
      <c r="T204" s="663"/>
      <c r="U204" s="663"/>
      <c r="V204" s="663"/>
      <c r="W204" s="663"/>
      <c r="X204" s="663"/>
      <c r="Y204" s="663"/>
      <c r="Z204" s="663"/>
      <c r="AA204" s="663"/>
      <c r="AB204" s="663"/>
      <c r="AC204" s="663"/>
      <c r="AD204" s="663"/>
      <c r="AE204" s="663"/>
      <c r="AF204" s="663"/>
      <c r="AG204" s="663"/>
    </row>
    <row r="205" spans="1:33" x14ac:dyDescent="0.3">
      <c r="A205" s="663"/>
      <c r="B205" s="663"/>
      <c r="C205" s="663"/>
      <c r="D205" s="663"/>
      <c r="E205" s="663"/>
      <c r="F205" s="663"/>
      <c r="G205" s="663"/>
      <c r="H205" s="663"/>
      <c r="I205" s="663"/>
      <c r="J205" s="663"/>
      <c r="K205" s="663"/>
      <c r="L205" s="663"/>
      <c r="M205" s="663"/>
      <c r="N205" s="663"/>
      <c r="O205" s="663"/>
      <c r="P205" s="663"/>
      <c r="Q205" s="663"/>
      <c r="R205" s="663"/>
      <c r="S205" s="663"/>
      <c r="T205" s="663"/>
      <c r="U205" s="663"/>
      <c r="V205" s="663"/>
      <c r="W205" s="663"/>
      <c r="X205" s="663"/>
      <c r="Y205" s="663"/>
      <c r="Z205" s="663"/>
      <c r="AA205" s="663"/>
      <c r="AB205" s="663"/>
      <c r="AC205" s="663"/>
      <c r="AD205" s="663"/>
      <c r="AE205" s="663"/>
      <c r="AF205" s="663"/>
      <c r="AG205" s="663"/>
    </row>
    <row r="206" spans="1:33" x14ac:dyDescent="0.3">
      <c r="A206" s="660">
        <v>1</v>
      </c>
      <c r="B206" s="661">
        <f t="shared" ref="B206:V206" si="54">A206+1</f>
        <v>2</v>
      </c>
      <c r="C206" s="661">
        <f t="shared" si="54"/>
        <v>3</v>
      </c>
      <c r="D206" s="661">
        <f t="shared" si="54"/>
        <v>4</v>
      </c>
      <c r="E206" s="661">
        <f t="shared" si="54"/>
        <v>5</v>
      </c>
      <c r="F206" s="661">
        <f t="shared" si="54"/>
        <v>6</v>
      </c>
      <c r="G206" s="661">
        <f t="shared" si="54"/>
        <v>7</v>
      </c>
      <c r="H206" s="661">
        <f t="shared" si="54"/>
        <v>8</v>
      </c>
      <c r="I206" s="661">
        <f t="shared" si="54"/>
        <v>9</v>
      </c>
      <c r="J206" s="661">
        <f t="shared" si="54"/>
        <v>10</v>
      </c>
      <c r="K206" s="661">
        <f t="shared" si="54"/>
        <v>11</v>
      </c>
      <c r="L206" s="661">
        <f t="shared" si="54"/>
        <v>12</v>
      </c>
      <c r="M206" s="661">
        <f t="shared" si="54"/>
        <v>13</v>
      </c>
      <c r="N206" s="661">
        <f t="shared" si="54"/>
        <v>14</v>
      </c>
      <c r="O206" s="661">
        <f t="shared" si="54"/>
        <v>15</v>
      </c>
      <c r="P206" s="661">
        <f t="shared" si="54"/>
        <v>16</v>
      </c>
      <c r="Q206" s="661">
        <f t="shared" si="54"/>
        <v>17</v>
      </c>
      <c r="R206" s="661">
        <f t="shared" si="54"/>
        <v>18</v>
      </c>
      <c r="S206" s="661">
        <f t="shared" si="54"/>
        <v>19</v>
      </c>
      <c r="T206" s="661">
        <f t="shared" si="54"/>
        <v>20</v>
      </c>
      <c r="U206" s="661">
        <f t="shared" si="54"/>
        <v>21</v>
      </c>
      <c r="V206" s="661">
        <f t="shared" si="54"/>
        <v>22</v>
      </c>
      <c r="W206" s="661">
        <v>23</v>
      </c>
      <c r="X206" s="661">
        <v>24</v>
      </c>
      <c r="Y206" s="661">
        <v>25</v>
      </c>
      <c r="Z206" s="661">
        <f t="shared" ref="Z206:AG206" si="55">Y206+1</f>
        <v>26</v>
      </c>
      <c r="AA206" s="661">
        <f t="shared" si="55"/>
        <v>27</v>
      </c>
      <c r="AB206" s="661">
        <f t="shared" si="55"/>
        <v>28</v>
      </c>
      <c r="AC206" s="661">
        <f t="shared" si="55"/>
        <v>29</v>
      </c>
      <c r="AD206" s="661">
        <f t="shared" si="55"/>
        <v>30</v>
      </c>
      <c r="AE206" s="661">
        <f t="shared" si="55"/>
        <v>31</v>
      </c>
      <c r="AF206" s="661">
        <f t="shared" si="55"/>
        <v>32</v>
      </c>
      <c r="AG206" s="662">
        <f t="shared" si="55"/>
        <v>33</v>
      </c>
    </row>
    <row r="207" spans="1:33" ht="28.8" x14ac:dyDescent="0.3">
      <c r="A207" s="669"/>
      <c r="B207" s="670" t="s">
        <v>348</v>
      </c>
      <c r="C207" s="670" t="s">
        <v>28</v>
      </c>
      <c r="D207" s="670" t="s">
        <v>33</v>
      </c>
      <c r="E207" s="670" t="s">
        <v>34</v>
      </c>
      <c r="F207" s="670" t="s">
        <v>348</v>
      </c>
      <c r="G207" s="670" t="s">
        <v>28</v>
      </c>
      <c r="H207" s="670" t="s">
        <v>33</v>
      </c>
      <c r="I207" s="670" t="s">
        <v>34</v>
      </c>
      <c r="J207" s="670" t="s">
        <v>349</v>
      </c>
      <c r="K207" s="670" t="s">
        <v>28</v>
      </c>
      <c r="L207" s="670" t="s">
        <v>33</v>
      </c>
      <c r="M207" s="670" t="s">
        <v>34</v>
      </c>
      <c r="N207" s="670"/>
      <c r="O207" s="670" t="s">
        <v>28</v>
      </c>
      <c r="P207" s="670" t="s">
        <v>33</v>
      </c>
      <c r="Q207" s="670" t="s">
        <v>34</v>
      </c>
      <c r="R207" s="670"/>
      <c r="S207" s="670" t="s">
        <v>28</v>
      </c>
      <c r="T207" s="670" t="s">
        <v>33</v>
      </c>
      <c r="U207" s="670" t="s">
        <v>34</v>
      </c>
      <c r="V207" s="670" t="s">
        <v>308</v>
      </c>
      <c r="W207" s="670" t="s">
        <v>350</v>
      </c>
      <c r="X207" s="670" t="s">
        <v>351</v>
      </c>
      <c r="Y207" s="670" t="s">
        <v>28</v>
      </c>
      <c r="Z207" s="670" t="s">
        <v>33</v>
      </c>
      <c r="AA207" s="670" t="s">
        <v>269</v>
      </c>
      <c r="AB207" s="670"/>
      <c r="AC207" s="670" t="s">
        <v>28</v>
      </c>
      <c r="AD207" s="670" t="s">
        <v>33</v>
      </c>
      <c r="AE207" s="670" t="s">
        <v>34</v>
      </c>
      <c r="AF207" s="670" t="s">
        <v>389</v>
      </c>
      <c r="AG207" s="671"/>
    </row>
    <row r="208" spans="1:33" x14ac:dyDescent="0.3">
      <c r="A208" s="669" t="s">
        <v>16</v>
      </c>
      <c r="B208" s="670">
        <v>0</v>
      </c>
      <c r="C208" s="670">
        <v>0</v>
      </c>
      <c r="D208" s="670">
        <v>0</v>
      </c>
      <c r="E208" s="670">
        <v>0</v>
      </c>
      <c r="F208" s="670">
        <v>0</v>
      </c>
      <c r="G208" s="670">
        <v>0</v>
      </c>
      <c r="H208" s="670">
        <v>0</v>
      </c>
      <c r="I208" s="670">
        <v>0</v>
      </c>
      <c r="J208" s="670">
        <v>0</v>
      </c>
      <c r="K208" s="670">
        <v>0</v>
      </c>
      <c r="L208" s="670">
        <v>0</v>
      </c>
      <c r="M208" s="670">
        <v>0</v>
      </c>
      <c r="N208" s="670">
        <v>0</v>
      </c>
      <c r="O208" s="670">
        <v>0</v>
      </c>
      <c r="P208" s="670">
        <v>0</v>
      </c>
      <c r="Q208" s="670">
        <v>0</v>
      </c>
      <c r="R208" s="670">
        <v>0</v>
      </c>
      <c r="S208" s="670">
        <v>0</v>
      </c>
      <c r="T208" s="670">
        <v>0</v>
      </c>
      <c r="U208" s="670">
        <v>0</v>
      </c>
      <c r="V208" s="670">
        <v>0</v>
      </c>
      <c r="W208" s="670">
        <v>0</v>
      </c>
      <c r="X208" s="670">
        <v>0</v>
      </c>
      <c r="Y208" s="670">
        <v>0</v>
      </c>
      <c r="Z208" s="670">
        <v>0</v>
      </c>
      <c r="AA208" s="670">
        <v>0</v>
      </c>
      <c r="AB208" s="670">
        <v>0</v>
      </c>
      <c r="AC208" s="670">
        <v>0</v>
      </c>
      <c r="AD208" s="670">
        <v>0</v>
      </c>
      <c r="AE208" s="670">
        <v>0</v>
      </c>
      <c r="AF208" s="670">
        <v>0</v>
      </c>
      <c r="AG208" s="671">
        <v>0</v>
      </c>
    </row>
    <row r="209" spans="1:33" x14ac:dyDescent="0.3">
      <c r="A209" s="669" t="s">
        <v>316</v>
      </c>
      <c r="B209" s="670" t="s">
        <v>352</v>
      </c>
      <c r="C209" s="670">
        <f>'Caisse à Plateau'!Dimensions_intérieures_Cp_15_longueur_P</f>
        <v>0</v>
      </c>
      <c r="D209" s="670">
        <f>IF('Caisse à Plateau'!Dimensions_intérieures_CP_15_hauteur_P&lt;120,9.4,14.4)</f>
        <v>9.4</v>
      </c>
      <c r="E209" s="670" t="e">
        <f>'Caisse à Plateau'!nombre_de_calages_P*4+1</f>
        <v>#VALUE!</v>
      </c>
      <c r="F209" s="670" t="s">
        <v>353</v>
      </c>
      <c r="G209" s="670">
        <f>'Caisse à Plateau'!Dimensions_intérieures_Cp_15_largeur_P</f>
        <v>0</v>
      </c>
      <c r="H209" s="670">
        <f>IF('Caisse à Plateau'!Dimensions_intérieures_CP_15_hauteur_P&lt;120,9.4,14.4)</f>
        <v>9.4</v>
      </c>
      <c r="I209" s="670" t="e">
        <f>'Caisse à Plateau'!nombre_de_calages_P*2</f>
        <v>#VALUE!</v>
      </c>
      <c r="J209" s="670" t="s">
        <v>349</v>
      </c>
      <c r="K209" s="670">
        <f>'Caisse à Plateau'!Dimensions_intérieures_Cp_15_largeur_P</f>
        <v>0</v>
      </c>
      <c r="L209" s="670">
        <v>7</v>
      </c>
      <c r="M209" s="670" t="e">
        <f>'Caisse à Plateau'!nombre_de_calages_P*4</f>
        <v>#VALUE!</v>
      </c>
      <c r="N209" s="670" t="s">
        <v>203</v>
      </c>
      <c r="O209" s="670">
        <f>'Caisse à Plateau'!Dimensions_intérieures_Cp_15_longueur_P</f>
        <v>0</v>
      </c>
      <c r="P209" s="670">
        <f>IF('Caisse à Plateau'!Dimensions_intérieures_CP_15_hauteur_P&lt;120,9.4,14.4)</f>
        <v>9.4</v>
      </c>
      <c r="Q209" s="670" t="e">
        <f>'Caisse à Plateau'!nombre_de_calages_P*2+1</f>
        <v>#VALUE!</v>
      </c>
      <c r="R209" s="670"/>
      <c r="S209" s="670"/>
      <c r="T209" s="670"/>
      <c r="U209" s="670"/>
      <c r="V209" s="670" t="str">
        <f>'Caisse à Plateau'!BaseP</f>
        <v>Aucun</v>
      </c>
      <c r="W209" s="670">
        <f>VLOOKUP('Caisse à Plateau'!BaseP,$A$174:$C$182,3)</f>
        <v>0</v>
      </c>
      <c r="X209" s="670">
        <f>VLOOKUP('Caisse à Plateau'!PlateauP,$A$165:$B$171,2)</f>
        <v>0</v>
      </c>
      <c r="Y209" s="670">
        <f>'Caisse à Plateau'!Dimensions_intérieures_Cp_15_longueur_P</f>
        <v>0</v>
      </c>
      <c r="Z209" s="670">
        <f>'Caisse à Plateau'!Dimensions_intérieures_Cp_15_largeur_P</f>
        <v>0</v>
      </c>
      <c r="AA209" s="670">
        <f t="shared" ref="AA209:AA219" si="56">W209+X209</f>
        <v>0</v>
      </c>
      <c r="AB209" s="670"/>
      <c r="AC209" s="670"/>
      <c r="AD209" s="670"/>
      <c r="AE209" s="670"/>
      <c r="AF209" s="670"/>
      <c r="AG209" s="671"/>
    </row>
    <row r="210" spans="1:33" ht="28.8" x14ac:dyDescent="0.3">
      <c r="A210" s="669" t="s">
        <v>319</v>
      </c>
      <c r="B210" s="670" t="s">
        <v>352</v>
      </c>
      <c r="C210" s="670">
        <f>'Caisse à Plateau'!Dimensions_intérieures_Cp_15_longueur_P</f>
        <v>0</v>
      </c>
      <c r="D210" s="670">
        <f>IF('Caisse à Plateau'!Dimensions_intérieures_CP_15_hauteur_P&lt;120,9.4,14.4)</f>
        <v>9.4</v>
      </c>
      <c r="E210" s="670" t="e">
        <f>'Caisse à Plateau'!nombre_de_calages_P*2+1</f>
        <v>#VALUE!</v>
      </c>
      <c r="F210" s="670" t="s">
        <v>353</v>
      </c>
      <c r="G210" s="670">
        <f>'Caisse à Plateau'!Dimensions_intérieures_Cp_15_largeur_P</f>
        <v>0</v>
      </c>
      <c r="H210" s="670">
        <f>IF('Caisse à Plateau'!Dimensions_intérieures_CP_15_hauteur_P&lt;120,9.4,14.4)</f>
        <v>9.4</v>
      </c>
      <c r="I210" s="670" t="e">
        <f>'Caisse à Plateau'!nombre_de_calages_P*2</f>
        <v>#VALUE!</v>
      </c>
      <c r="J210" s="670"/>
      <c r="K210" s="670"/>
      <c r="L210" s="670"/>
      <c r="M210" s="670"/>
      <c r="N210" s="670" t="s">
        <v>203</v>
      </c>
      <c r="O210" s="670">
        <f>'Caisse à Plateau'!Dimensions_intérieures_Cp_15_longueur_P</f>
        <v>0</v>
      </c>
      <c r="P210" s="670">
        <f>IF('Caisse à Plateau'!Dimensions_intérieures_CP_15_hauteur_P&lt;120,9.4,14.4)</f>
        <v>9.4</v>
      </c>
      <c r="Q210" s="670" t="e">
        <f>'Caisse à Plateau'!nombre_de_calages_P*2+1</f>
        <v>#VALUE!</v>
      </c>
      <c r="R210" s="670" t="s">
        <v>203</v>
      </c>
      <c r="S210" s="670">
        <f>'Caisse à Plateau'!Dimensions_intérieures_Cp_15_largeur_P</f>
        <v>0</v>
      </c>
      <c r="T210" s="670">
        <f>IF('Caisse à Plateau'!Dimensions_intérieures_CP_15_hauteur_P&lt;120,9.4,14.4)</f>
        <v>9.4</v>
      </c>
      <c r="U210" s="670" t="e">
        <f>'Caisse à Plateau'!nombre_de_calages_P*2</f>
        <v>#VALUE!</v>
      </c>
      <c r="V210" s="670" t="str">
        <f>'Caisse à Plateau'!BaseP</f>
        <v>Aucun</v>
      </c>
      <c r="W210" s="670">
        <f>VLOOKUP('Caisse à Plateau'!BaseP,$A$174:$C$182,3)</f>
        <v>0</v>
      </c>
      <c r="X210" s="670">
        <f>VLOOKUP('Caisse à Plateau'!PlateauP,$A$165:$B$171,2)</f>
        <v>0</v>
      </c>
      <c r="Y210" s="670">
        <f>'Caisse à Plateau'!Dimensions_intérieures_Cp_15_longueur_P</f>
        <v>0</v>
      </c>
      <c r="Z210" s="670">
        <f>'Caisse à Plateau'!Dimensions_intérieures_Cp_15_largeur_P</f>
        <v>0</v>
      </c>
      <c r="AA210" s="670">
        <f t="shared" si="56"/>
        <v>0</v>
      </c>
      <c r="AB210" s="670"/>
      <c r="AC210" s="670"/>
      <c r="AD210" s="670"/>
      <c r="AE210" s="670"/>
      <c r="AF210" s="670"/>
      <c r="AG210" s="671"/>
    </row>
    <row r="211" spans="1:33" ht="28.8" x14ac:dyDescent="0.3">
      <c r="A211" s="669" t="s">
        <v>371</v>
      </c>
      <c r="B211" s="670"/>
      <c r="C211" s="670"/>
      <c r="D211" s="670"/>
      <c r="E211" s="670"/>
      <c r="F211" s="670"/>
      <c r="G211" s="670"/>
      <c r="H211" s="670"/>
      <c r="I211" s="670"/>
      <c r="J211" s="670"/>
      <c r="K211" s="670"/>
      <c r="L211" s="670"/>
      <c r="M211" s="670"/>
      <c r="N211" s="670" t="str">
        <f>IF('Caisse à Plateau'!nombre_de_calages_P="PU","PU 50 mm",IF('Caisse à Plateau'!nombre_de_calages_P="Ethafoam","Ethafoam 50 mm",IF('Caisse à Plateau'!nombre_de_calages_P="Stratocell","Stratocell 50 mm",0)))</f>
        <v>PU 50 mm</v>
      </c>
      <c r="O211" s="670">
        <f>'Caisse à Plateau'!Dimensions_intérieures_Cp_15_longueur_P</f>
        <v>0</v>
      </c>
      <c r="P211" s="670">
        <v>12</v>
      </c>
      <c r="Q211" s="670">
        <f>IF('Caisse à Plateau'!Dimensions_intérieures_CP_15_hauteur_P&lt;80,4,6)</f>
        <v>4</v>
      </c>
      <c r="R211" s="670" t="str">
        <f>IF('Caisse à Plateau'!nombre_de_calages_P="PU","PU 50 mm",IF('Caisse à Plateau'!nombre_de_calages_P="Ethafoam","Ethafoam 50 mm",IF('Caisse à Plateau'!nombre_de_calages_P="Stratocell","Stratocell 50 mm",0)))</f>
        <v>PU 50 mm</v>
      </c>
      <c r="S211" s="670">
        <f>'Caisse à Plateau'!Dimensions_intérieures_Cp_15_largeur_P-10</f>
        <v>-10</v>
      </c>
      <c r="T211" s="670">
        <v>12</v>
      </c>
      <c r="U211" s="670">
        <f t="shared" ref="U211:U212" si="57">Q211</f>
        <v>4</v>
      </c>
      <c r="V211" s="670" t="str">
        <f>'Caisse à Plateau'!BaseP</f>
        <v>Aucun</v>
      </c>
      <c r="W211" s="670">
        <f>VLOOKUP('Caisse à Plateau'!BaseP,$A$174:$C$182,3)</f>
        <v>0</v>
      </c>
      <c r="X211" s="670">
        <f>VLOOKUP('Caisse à Plateau'!PlateauP,$A$165:$B$171,2)</f>
        <v>0</v>
      </c>
      <c r="Y211" s="670">
        <f>'Caisse à Plateau'!Dimensions_intérieures_Cp_15_longueur_P</f>
        <v>0</v>
      </c>
      <c r="Z211" s="670">
        <f>'Caisse à Plateau'!Dimensions_intérieures_Cp_15_largeur_P</f>
        <v>0</v>
      </c>
      <c r="AA211" s="670">
        <f t="shared" si="56"/>
        <v>0</v>
      </c>
      <c r="AB211" s="670" t="str">
        <f>IF('Caisse à Plateau'!nombre_de_calages_P="PU","PU 50 mm",IF('Caisse à Plateau'!nombre_de_calages_P="Ethafoam","Ethafoam 50 mm",IF('Caisse à Plateau'!nombre_de_calages_P="Stratocell","Stratocell 50 mm",0)))</f>
        <v>PU 50 mm</v>
      </c>
      <c r="AC211" s="670">
        <f>'Caisse à Plateau'!Dimensions_intérieures_Cp_15_largeur_P</f>
        <v>0</v>
      </c>
      <c r="AD211" s="670">
        <v>12</v>
      </c>
      <c r="AE211" s="670">
        <f>IF('Caisse à Plateau'!Dimensions_intérieures_Cp_15_longueur_P&lt;100,3,4)</f>
        <v>3</v>
      </c>
      <c r="AF211" s="670"/>
      <c r="AG211" s="671"/>
    </row>
    <row r="212" spans="1:33" ht="28.8" x14ac:dyDescent="0.3">
      <c r="A212" s="669" t="s">
        <v>372</v>
      </c>
      <c r="B212" s="670"/>
      <c r="C212" s="670"/>
      <c r="D212" s="670"/>
      <c r="E212" s="670"/>
      <c r="F212" s="670"/>
      <c r="G212" s="670"/>
      <c r="H212" s="670"/>
      <c r="I212" s="670"/>
      <c r="J212" s="670"/>
      <c r="K212" s="670"/>
      <c r="L212" s="670"/>
      <c r="M212" s="670"/>
      <c r="N212" s="670" t="str">
        <f>IF('Caisse à Plateau'!nombre_de_calages_P="PU","PU 30 mm",IF('Caisse à Plateau'!nombre_de_calages_P="Ethafoam","Ethafoam 30 mm",IF('Caisse à Plateau'!nombre_de_calages_P="Stratocell","Stratocell 30 mm",0)))</f>
        <v>PU 30 mm</v>
      </c>
      <c r="O212" s="670">
        <f>'Caisse à Plateau'!Dimensions_intérieures_Cp_15_longueur_P</f>
        <v>0</v>
      </c>
      <c r="P212" s="670">
        <v>12</v>
      </c>
      <c r="Q212" s="670">
        <f>IF('Caisse à Plateau'!Dimensions_intérieures_CP_15_hauteur_P&lt;80,4,6)</f>
        <v>4</v>
      </c>
      <c r="R212" s="670" t="str">
        <f>IF('Caisse à Plateau'!nombre_de_calages_P="PU","PU 30 mm",IF('Caisse à Plateau'!nombre_de_calages_P="Ethafoam","Ethafoam 30 mm",IF('Caisse à Plateau'!nombre_de_calages_P="Stratocell","Stratocell 30 mm",0)))</f>
        <v>PU 30 mm</v>
      </c>
      <c r="S212" s="670">
        <f>'Caisse à Plateau'!Dimensions_intérieures_Cp_15_largeur_P-6</f>
        <v>-6</v>
      </c>
      <c r="T212" s="670">
        <v>12</v>
      </c>
      <c r="U212" s="670">
        <f t="shared" si="57"/>
        <v>4</v>
      </c>
      <c r="V212" s="670" t="str">
        <f>'Caisse à Plateau'!BaseP</f>
        <v>Aucun</v>
      </c>
      <c r="W212" s="670">
        <f>VLOOKUP('Caisse à Plateau'!BaseP,$A$174:$C$182,3)</f>
        <v>0</v>
      </c>
      <c r="X212" s="670">
        <f>VLOOKUP('Caisse à Plateau'!PlateauP,$A$165:$B$171,2)</f>
        <v>0</v>
      </c>
      <c r="Y212" s="670">
        <f>'Caisse à Plateau'!Dimensions_intérieures_Cp_15_longueur_P</f>
        <v>0</v>
      </c>
      <c r="Z212" s="670">
        <f>'Caisse à Plateau'!Dimensions_intérieures_Cp_15_largeur_P</f>
        <v>0</v>
      </c>
      <c r="AA212" s="670">
        <f t="shared" si="56"/>
        <v>0</v>
      </c>
      <c r="AB212" s="670" t="str">
        <f>IF('Caisse à Plateau'!nombre_de_calages_P="PU","PU 30 mm",IF('Caisse à Plateau'!nombre_de_calages_P="Ethafoam","Ethafoam 30 mm",IF('Caisse à Plateau'!nombre_de_calages_P="Stratocell","Stratocell 30 mm",0)))</f>
        <v>PU 30 mm</v>
      </c>
      <c r="AC212" s="670">
        <f>'Caisse à Plateau'!Dimensions_intérieures_Cp_15_largeur_P</f>
        <v>0</v>
      </c>
      <c r="AD212" s="670">
        <v>12</v>
      </c>
      <c r="AE212" s="670">
        <f>IF('Caisse à Plateau'!Dimensions_intérieures_Cp_15_longueur_P&lt;100,3,4)</f>
        <v>3</v>
      </c>
      <c r="AF212" s="670"/>
      <c r="AG212" s="671"/>
    </row>
    <row r="213" spans="1:33" x14ac:dyDescent="0.3">
      <c r="A213" s="669" t="s">
        <v>323</v>
      </c>
      <c r="B213" s="670"/>
      <c r="C213" s="670"/>
      <c r="D213" s="670"/>
      <c r="E213" s="670"/>
      <c r="F213" s="670"/>
      <c r="G213" s="670"/>
      <c r="H213" s="670"/>
      <c r="I213" s="670"/>
      <c r="J213" s="670"/>
      <c r="K213" s="670"/>
      <c r="L213" s="670"/>
      <c r="M213" s="670"/>
      <c r="N213" s="670" t="s">
        <v>27</v>
      </c>
      <c r="O213" s="670">
        <f>'Caisse à Plateau'!Dimensions_intérieures_Cp_15_longueur_P-0.3</f>
        <v>-0.3</v>
      </c>
      <c r="P213" s="670">
        <f>'Caisse à Plateau'!Dimensions_intérieures_Cp_15_largeur_P-0.3</f>
        <v>-0.3</v>
      </c>
      <c r="Q213" s="670">
        <f>('Caisse à Plateau'!Dimensions_intérieures_CP_15_hauteur_P-AA213)/5</f>
        <v>-1</v>
      </c>
      <c r="R213" s="670"/>
      <c r="S213" s="670"/>
      <c r="T213" s="670"/>
      <c r="U213" s="670"/>
      <c r="V213" s="670" t="str">
        <f>'Caisse à Plateau'!BaseP</f>
        <v>Aucun</v>
      </c>
      <c r="W213" s="670">
        <v>5</v>
      </c>
      <c r="X213" s="670">
        <f>VLOOKUP('Caisse à Plateau'!PlateauP,$A$165:$B$171,2)</f>
        <v>0</v>
      </c>
      <c r="Y213" s="670">
        <f>'Caisse à Plateau'!Dimensions_intérieures_Cp_15_longueur_P</f>
        <v>0</v>
      </c>
      <c r="Z213" s="670">
        <f>'Caisse à Plateau'!Dimensions_intérieures_Cp_15_largeur_P</f>
        <v>0</v>
      </c>
      <c r="AA213" s="670">
        <f t="shared" si="56"/>
        <v>5</v>
      </c>
      <c r="AB213" s="670"/>
      <c r="AC213" s="670"/>
      <c r="AD213" s="670"/>
      <c r="AE213" s="670"/>
      <c r="AF213" s="670"/>
      <c r="AG213" s="671"/>
    </row>
    <row r="214" spans="1:33" x14ac:dyDescent="0.3">
      <c r="A214" s="669" t="s">
        <v>324</v>
      </c>
      <c r="B214" s="670"/>
      <c r="C214" s="670"/>
      <c r="D214" s="670"/>
      <c r="E214" s="670"/>
      <c r="F214" s="670"/>
      <c r="G214" s="670"/>
      <c r="H214" s="670"/>
      <c r="I214" s="670"/>
      <c r="J214" s="670"/>
      <c r="K214" s="670"/>
      <c r="L214" s="670"/>
      <c r="M214" s="670"/>
      <c r="N214" s="670" t="s">
        <v>27</v>
      </c>
      <c r="O214" s="670">
        <f>'Caisse à Plateau'!Dimensions_intérieures_Cp_15_longueur_P-0.3</f>
        <v>-0.3</v>
      </c>
      <c r="P214" s="670">
        <f>'Caisse à Plateau'!Dimensions_intérieures_Cp_15_largeur_P-0.3</f>
        <v>-0.3</v>
      </c>
      <c r="Q214" s="670">
        <f>('Caisse à Plateau'!Dimensions_intérieures_CP_15_hauteur_P-AA214)/5</f>
        <v>0</v>
      </c>
      <c r="R214" s="670"/>
      <c r="S214" s="670"/>
      <c r="T214" s="670"/>
      <c r="U214" s="670"/>
      <c r="V214" s="670" t="str">
        <f>'Caisse à Plateau'!BaseP</f>
        <v>Aucun</v>
      </c>
      <c r="W214" s="670">
        <f>VLOOKUP('Caisse à Plateau'!BaseP,$A$174:$C$182,3)</f>
        <v>0</v>
      </c>
      <c r="X214" s="670">
        <f>VLOOKUP('Caisse à Plateau'!PlateauP,$A$165:$B$171,2)</f>
        <v>0</v>
      </c>
      <c r="Y214" s="670">
        <f>'Caisse à Plateau'!Dimensions_intérieures_Cp_15_longueur_P</f>
        <v>0</v>
      </c>
      <c r="Z214" s="670">
        <f>'Caisse à Plateau'!Dimensions_intérieures_Cp_15_largeur_P</f>
        <v>0</v>
      </c>
      <c r="AA214" s="670">
        <f t="shared" si="56"/>
        <v>0</v>
      </c>
      <c r="AB214" s="670"/>
      <c r="AC214" s="670"/>
      <c r="AD214" s="670"/>
      <c r="AE214" s="670"/>
      <c r="AF214" s="670"/>
      <c r="AG214" s="671"/>
    </row>
    <row r="215" spans="1:33" x14ac:dyDescent="0.3">
      <c r="A215" s="669" t="s">
        <v>325</v>
      </c>
      <c r="B215" s="670"/>
      <c r="C215" s="670"/>
      <c r="D215" s="670"/>
      <c r="E215" s="670"/>
      <c r="F215" s="670"/>
      <c r="G215" s="670"/>
      <c r="H215" s="670"/>
      <c r="I215" s="670"/>
      <c r="J215" s="670"/>
      <c r="K215" s="670"/>
      <c r="L215" s="670"/>
      <c r="M215" s="670"/>
      <c r="N215" s="670" t="s">
        <v>27</v>
      </c>
      <c r="O215" s="670">
        <f>'Caisse à Plateau'!Dimensions_intérieures_Cp_15_longueur_P-0.3</f>
        <v>-0.3</v>
      </c>
      <c r="P215" s="670">
        <f>'Caisse à Plateau'!Dimensions_intérieures_CP_15_hauteur_P-AA215</f>
        <v>0</v>
      </c>
      <c r="Q215" s="670">
        <f>'Caisse à Plateau'!Dimensions_intérieures_Cp_15_largeur_P/5</f>
        <v>0</v>
      </c>
      <c r="R215" s="670"/>
      <c r="S215" s="670"/>
      <c r="T215" s="670"/>
      <c r="U215" s="670"/>
      <c r="V215" s="670" t="str">
        <f>'Caisse à Plateau'!BaseP</f>
        <v>Aucun</v>
      </c>
      <c r="W215" s="670">
        <f>VLOOKUP('Caisse à Plateau'!BaseP,$A$174:$C$182,3)</f>
        <v>0</v>
      </c>
      <c r="X215" s="670">
        <f>VLOOKUP('Caisse à Plateau'!PlateauP,$A$165:$B$171,2)</f>
        <v>0</v>
      </c>
      <c r="Y215" s="670">
        <f>'Caisse à Plateau'!Dimensions_intérieures_Cp_15_longueur_P</f>
        <v>0</v>
      </c>
      <c r="Z215" s="670">
        <f>'Caisse à Plateau'!Dimensions_intérieures_Cp_15_largeur_P</f>
        <v>0</v>
      </c>
      <c r="AA215" s="670">
        <f t="shared" si="56"/>
        <v>0</v>
      </c>
      <c r="AB215" s="670"/>
      <c r="AC215" s="670"/>
      <c r="AD215" s="670"/>
      <c r="AE215" s="670"/>
      <c r="AF215" s="670"/>
      <c r="AG215" s="671"/>
    </row>
    <row r="216" spans="1:33" ht="28.8" x14ac:dyDescent="0.3">
      <c r="A216" s="669" t="s">
        <v>326</v>
      </c>
      <c r="B216" s="670" t="s">
        <v>354</v>
      </c>
      <c r="C216" s="670">
        <f>'Caisse à Plateau'!Dimensions_intérieures_Cp_15_longueur_P</f>
        <v>0</v>
      </c>
      <c r="D216" s="670">
        <f>IF('Caisse à Plateau'!Dimensions_intérieures_CP_15_hauteur_P&lt;120,9.4,14.4)</f>
        <v>9.4</v>
      </c>
      <c r="E216" s="670">
        <f>1</f>
        <v>1</v>
      </c>
      <c r="F216" s="670" t="s">
        <v>355</v>
      </c>
      <c r="G216" s="670">
        <f>'Caisse à Plateau'!Dimensions_intérieures_Cp_15_longueur_P</f>
        <v>0</v>
      </c>
      <c r="H216" s="670">
        <v>8</v>
      </c>
      <c r="I216" s="670" t="e">
        <f>'Caisse à Plateau'!nombre_de_calages_P*2</f>
        <v>#VALUE!</v>
      </c>
      <c r="J216" s="670" t="s">
        <v>349</v>
      </c>
      <c r="K216" s="670">
        <f>'Caisse à Plateau'!Dimensions_intérieures_Cp_15_largeur_P</f>
        <v>0</v>
      </c>
      <c r="L216" s="670">
        <v>7</v>
      </c>
      <c r="M216" s="670" t="e">
        <f>'Caisse à Plateau'!nombre_de_calages_P*4</f>
        <v>#VALUE!</v>
      </c>
      <c r="N216" s="670" t="s">
        <v>342</v>
      </c>
      <c r="O216" s="670">
        <f>'Caisse à Plateau'!Dimensions_intérieures_Cp_15_longueur_P</f>
        <v>0</v>
      </c>
      <c r="P216" s="670">
        <f>'Caisse à Plateau'!Dimensions_intérieures_Cp_15_largeur_P-4.2</f>
        <v>-4.2</v>
      </c>
      <c r="Q216" s="670" t="str">
        <f>'Caisse à Plateau'!nombre_de_calages_P</f>
        <v>PU</v>
      </c>
      <c r="R216" s="670" t="s">
        <v>37</v>
      </c>
      <c r="S216" s="670">
        <f>'Caisse à Plateau'!Dimensions_intérieures_Cp_15_largeur_P</f>
        <v>0</v>
      </c>
      <c r="T216" s="670">
        <f>IF('Caisse à Plateau'!Dimensions_intérieures_CP_15_hauteur_P&lt;120,9.4,14.4)</f>
        <v>9.4</v>
      </c>
      <c r="U216" s="670">
        <f>1</f>
        <v>1</v>
      </c>
      <c r="V216" s="670" t="str">
        <f>'Caisse à Plateau'!BaseP</f>
        <v>Aucun</v>
      </c>
      <c r="W216" s="670">
        <f>VLOOKUP('Caisse à Plateau'!BaseP,$A$174:$C$182,3)</f>
        <v>0</v>
      </c>
      <c r="X216" s="670">
        <f>VLOOKUP('Caisse à Plateau'!PlateauP,$A$165:$B$171,2)</f>
        <v>0</v>
      </c>
      <c r="Y216" s="670">
        <f>'Caisse à Plateau'!Dimensions_intérieures_Cp_15_longueur_P</f>
        <v>0</v>
      </c>
      <c r="Z216" s="670">
        <f>'Caisse à Plateau'!Dimensions_intérieures_Cp_15_largeur_P</f>
        <v>0</v>
      </c>
      <c r="AA216" s="670">
        <f t="shared" si="56"/>
        <v>0</v>
      </c>
      <c r="AB216" s="670"/>
      <c r="AC216" s="670"/>
      <c r="AD216" s="670"/>
      <c r="AE216" s="670"/>
      <c r="AF216" s="670"/>
      <c r="AG216" s="671"/>
    </row>
    <row r="217" spans="1:33" ht="28.8" x14ac:dyDescent="0.3">
      <c r="A217" s="669" t="s">
        <v>328</v>
      </c>
      <c r="B217" s="670"/>
      <c r="C217" s="670"/>
      <c r="D217" s="670"/>
      <c r="E217" s="670"/>
      <c r="F217" s="670" t="s">
        <v>355</v>
      </c>
      <c r="G217" s="670">
        <f>'Caisse à Plateau'!Dimensions_intérieures_Cp_15_largeur_P</f>
        <v>0</v>
      </c>
      <c r="H217" s="670">
        <v>8</v>
      </c>
      <c r="I217" s="670" t="str">
        <f>'Caisse à Plateau'!nombre_de_calages_P</f>
        <v>PU</v>
      </c>
      <c r="J217" s="670" t="s">
        <v>349</v>
      </c>
      <c r="K217" s="670">
        <f>'Caisse à Plateau'!Dimensions_intérieures_CP_15_hauteur_P-AA217</f>
        <v>0</v>
      </c>
      <c r="L217" s="670">
        <v>7</v>
      </c>
      <c r="M217" s="670" t="e">
        <f>'Caisse à Plateau'!nombre_de_calages_P*4</f>
        <v>#VALUE!</v>
      </c>
      <c r="N217" s="670" t="s">
        <v>342</v>
      </c>
      <c r="O217" s="670">
        <f>'Caisse à Plateau'!Dimensions_intérieures_Cp_15_largeur_P</f>
        <v>0</v>
      </c>
      <c r="P217" s="670">
        <f>'Caisse à Plateau'!Dimensions_intérieures_CP_15_hauteur_P-2.1-AA217</f>
        <v>-2.1</v>
      </c>
      <c r="Q217" s="670" t="str">
        <f>'Caisse à Plateau'!nombre_de_calages_P</f>
        <v>PU</v>
      </c>
      <c r="R217" s="670"/>
      <c r="S217" s="670"/>
      <c r="T217" s="670"/>
      <c r="U217" s="670"/>
      <c r="V217" s="670" t="str">
        <f>'Caisse à Plateau'!BaseP</f>
        <v>Aucun</v>
      </c>
      <c r="W217" s="670">
        <f>VLOOKUP('Caisse à Plateau'!BaseP,$A$174:$C$182,3)</f>
        <v>0</v>
      </c>
      <c r="X217" s="670">
        <f>VLOOKUP('Caisse à Plateau'!PlateauP,$A$165:$B$171,2)</f>
        <v>0</v>
      </c>
      <c r="Y217" s="670">
        <f>'Caisse à Plateau'!Dimensions_intérieures_Cp_15_longueur_P</f>
        <v>0</v>
      </c>
      <c r="Z217" s="670">
        <f>'Caisse à Plateau'!Dimensions_intérieures_Cp_15_largeur_P</f>
        <v>0</v>
      </c>
      <c r="AA217" s="670">
        <f t="shared" si="56"/>
        <v>0</v>
      </c>
      <c r="AB217" s="670"/>
      <c r="AC217" s="670"/>
      <c r="AD217" s="670"/>
      <c r="AE217" s="670"/>
      <c r="AF217" s="670"/>
      <c r="AG217" s="671"/>
    </row>
    <row r="218" spans="1:33" ht="28.8" x14ac:dyDescent="0.3">
      <c r="A218" s="669" t="s">
        <v>373</v>
      </c>
      <c r="B218" s="670"/>
      <c r="C218" s="670"/>
      <c r="D218" s="670"/>
      <c r="E218" s="670"/>
      <c r="F218" s="670"/>
      <c r="G218" s="670"/>
      <c r="H218" s="670"/>
      <c r="I218" s="670"/>
      <c r="J218" s="670"/>
      <c r="K218" s="670"/>
      <c r="L218" s="670"/>
      <c r="M218" s="670"/>
      <c r="N218" s="670" t="str">
        <f>IF('Caisse à Plateau'!nombre_de_calages_P="PU","PU 50 mm",IF('Caisse à Plateau'!nombre_de_calages_P="Ethafoam","Ethafoam 50 mm",IF('Caisse à Plateau'!nombre_de_calages_P="Stratocell","Stratocell 50 mm",0)))</f>
        <v>PU 50 mm</v>
      </c>
      <c r="O218" s="670">
        <f>'Caisse à Plateau'!Dimensions_intérieures_Cp_15_longueur_P</f>
        <v>0</v>
      </c>
      <c r="P218" s="670">
        <f>'Caisse à Plateau'!Dimensions_intérieures_Cp_15_largeur_P</f>
        <v>0</v>
      </c>
      <c r="Q218" s="670">
        <v>1</v>
      </c>
      <c r="R218" s="670" t="str">
        <f>IF('Caisse à Plateau'!nombre_de_calages_P="PU","PU 50 mm",IF('Caisse à Plateau'!nombre_de_calages_P="Ethafoam","Ethafoam 50 mm",IF('Caisse à Plateau'!nombre_de_calages_P="Stratocell","Stratocell 50 mm",0)))</f>
        <v>PU 50 mm</v>
      </c>
      <c r="S218" s="670">
        <f>'Caisse à Plateau'!Dimensions_intérieures_Cp_15_longueur_P</f>
        <v>0</v>
      </c>
      <c r="T218" s="670">
        <f>'Caisse à Plateau'!Dimensions_intérieures_CP_15_hauteur_P-AF218-AA218</f>
        <v>0.2</v>
      </c>
      <c r="U218" s="670">
        <v>2</v>
      </c>
      <c r="V218" s="670" t="str">
        <f>'Caisse à Plateau'!BaseP</f>
        <v>Aucun</v>
      </c>
      <c r="W218" s="670">
        <f>VLOOKUP('Caisse à Plateau'!BaseP,$A$174:$C$182,3)</f>
        <v>0</v>
      </c>
      <c r="X218" s="670">
        <f>VLOOKUP('Caisse à Plateau'!PlateauP,$A$165:$B$171,2)</f>
        <v>0</v>
      </c>
      <c r="Y218" s="670">
        <f>'Caisse à Plateau'!Dimensions_intérieures_Cp_15_longueur_P</f>
        <v>0</v>
      </c>
      <c r="Z218" s="670">
        <f>'Caisse à Plateau'!Dimensions_intérieures_Cp_15_largeur_P</f>
        <v>0</v>
      </c>
      <c r="AA218" s="670">
        <f t="shared" si="56"/>
        <v>0</v>
      </c>
      <c r="AB218" s="670" t="str">
        <f>IF('Caisse à Plateau'!nombre_de_calages_P="PU","PU 50 mm",IF('Caisse à Plateau'!nombre_de_calages_P="Ethafoam","Ethafoam 50 mm",IF('Caisse à Plateau'!nombre_de_calages_P="Stratocell","Stratocell 50 mm",0)))</f>
        <v>PU 50 mm</v>
      </c>
      <c r="AC218" s="670">
        <f>'Caisse à Plateau'!Dimensions_intérieures_Cp_15_largeur_P-VLOOKUP($C$29,$A$124:$S$135,2)+0.2</f>
        <v>0.2</v>
      </c>
      <c r="AD218" s="670">
        <f>'Caisse à Plateau'!Dimensions_intérieures_CP_15_hauteur_P-VLOOKUP($C$29,$A$124:$S$135,4)-AA218+0.2</f>
        <v>0.2</v>
      </c>
      <c r="AE218" s="670">
        <v>2</v>
      </c>
      <c r="AF218" s="670">
        <f t="shared" ref="AF218:AF219" si="58">VLOOKUP($C$29,$A$124:$S$135,4)-0.2</f>
        <v>-0.2</v>
      </c>
      <c r="AG218" s="671"/>
    </row>
    <row r="219" spans="1:33" ht="28.8" x14ac:dyDescent="0.3">
      <c r="A219" s="678" t="s">
        <v>374</v>
      </c>
      <c r="B219" s="679"/>
      <c r="C219" s="679"/>
      <c r="D219" s="679"/>
      <c r="E219" s="679"/>
      <c r="F219" s="679"/>
      <c r="G219" s="679"/>
      <c r="H219" s="679"/>
      <c r="I219" s="679"/>
      <c r="J219" s="679"/>
      <c r="K219" s="679"/>
      <c r="L219" s="679"/>
      <c r="M219" s="679"/>
      <c r="N219" s="670" t="str">
        <f>IF('Caisse à Plateau'!nombre_de_calages_P="PU","PU 30 mm",IF('Caisse à Plateau'!nombre_de_calages_P="Ethafoam","Ethafoam 30 mm",IF('Caisse à Plateau'!nombre_de_calages_P="Stratocell","Stratocell 30 mm",0)))</f>
        <v>PU 30 mm</v>
      </c>
      <c r="O219" s="679">
        <f>'Caisse à Plateau'!Dimensions_intérieures_Cp_15_longueur_P</f>
        <v>0</v>
      </c>
      <c r="P219" s="679">
        <f>'Caisse à Plateau'!Dimensions_intérieures_Cp_15_largeur_P</f>
        <v>0</v>
      </c>
      <c r="Q219" s="679">
        <v>1</v>
      </c>
      <c r="R219" s="670" t="str">
        <f>IF('Caisse à Plateau'!nombre_de_calages_P="PU","PU 30 mm",IF('Caisse à Plateau'!nombre_de_calages_P="Ethafoam","Ethafoam 30 mm",IF('Caisse à Plateau'!nombre_de_calages_P="Stratocell","Stratocell 30 mm",0)))</f>
        <v>PU 30 mm</v>
      </c>
      <c r="S219" s="679">
        <f>'Caisse à Plateau'!Dimensions_intérieures_Cp_15_longueur_P</f>
        <v>0</v>
      </c>
      <c r="T219" s="670">
        <f>'Caisse à Plateau'!Dimensions_intérieures_CP_15_hauteur_P-AF219-AA219</f>
        <v>0.2</v>
      </c>
      <c r="U219" s="679">
        <v>2</v>
      </c>
      <c r="V219" s="679" t="str">
        <f>'Caisse à Plateau'!BaseP</f>
        <v>Aucun</v>
      </c>
      <c r="W219" s="670">
        <f>VLOOKUP('Caisse à Plateau'!BaseP,$A$174:$C$182,3)</f>
        <v>0</v>
      </c>
      <c r="X219" s="679">
        <f>VLOOKUP('Caisse à Plateau'!PlateauP,$A$165:$B$171,2)</f>
        <v>0</v>
      </c>
      <c r="Y219" s="679">
        <f>'Caisse à Plateau'!Dimensions_intérieures_Cp_15_longueur_P</f>
        <v>0</v>
      </c>
      <c r="Z219" s="679">
        <f>'Caisse à Plateau'!Dimensions_intérieures_Cp_15_largeur_P</f>
        <v>0</v>
      </c>
      <c r="AA219" s="679">
        <f t="shared" si="56"/>
        <v>0</v>
      </c>
      <c r="AB219" s="670" t="str">
        <f>IF('Caisse à Plateau'!nombre_de_calages_P="PU","PU 30 mm",IF('Caisse à Plateau'!nombre_de_calages_P="Ethafoam","Ethafoam 30 mm",IF('Caisse à Plateau'!nombre_de_calages_P="Stratocell","Stratocell 30 mm",0)))</f>
        <v>PU 30 mm</v>
      </c>
      <c r="AC219" s="670">
        <f>'Caisse à Plateau'!Dimensions_intérieures_Cp_15_largeur_P-VLOOKUP($C$29,$A$124:$S$135,2)+0.2</f>
        <v>0.2</v>
      </c>
      <c r="AD219" s="670">
        <f>'Caisse à Plateau'!Dimensions_intérieures_CP_15_hauteur_P-VLOOKUP($C$29,$A$124:$S$135,4)-AA219+0.2</f>
        <v>0.2</v>
      </c>
      <c r="AE219" s="679">
        <v>2</v>
      </c>
      <c r="AF219" s="670">
        <f t="shared" si="58"/>
        <v>-0.2</v>
      </c>
      <c r="AG219" s="680"/>
    </row>
    <row r="220" spans="1:33" ht="18" x14ac:dyDescent="0.35">
      <c r="A220" s="559"/>
      <c r="B220" s="559"/>
      <c r="C220" s="559"/>
      <c r="D220" s="559"/>
      <c r="E220" s="559"/>
      <c r="F220" s="559"/>
      <c r="G220" s="559"/>
      <c r="H220" s="559"/>
      <c r="I220" s="559"/>
      <c r="J220" s="559"/>
      <c r="K220" s="559"/>
      <c r="L220" s="559"/>
      <c r="M220" s="559"/>
      <c r="N220" s="559"/>
      <c r="O220" s="559"/>
      <c r="P220" s="559"/>
      <c r="Q220" s="559"/>
      <c r="R220" s="559"/>
      <c r="S220" s="559"/>
      <c r="T220" s="559"/>
      <c r="U220" s="559"/>
      <c r="V220" s="559"/>
      <c r="W220" s="559"/>
      <c r="X220" s="559"/>
      <c r="Y220" s="559"/>
      <c r="Z220" s="559"/>
      <c r="AA220" s="559"/>
      <c r="AB220" s="559"/>
      <c r="AC220" s="559"/>
      <c r="AD220" s="559"/>
      <c r="AE220" s="559"/>
      <c r="AF220" s="559"/>
      <c r="AG220" s="559"/>
    </row>
    <row r="221" spans="1:33" ht="18" x14ac:dyDescent="0.35">
      <c r="A221" s="559"/>
      <c r="B221" s="559"/>
      <c r="C221" s="559"/>
      <c r="D221" s="559"/>
      <c r="E221" s="559"/>
      <c r="F221" s="559"/>
      <c r="G221" s="559"/>
      <c r="H221" s="559"/>
      <c r="I221" s="559"/>
      <c r="J221" s="559"/>
      <c r="K221" s="559"/>
      <c r="L221" s="559"/>
      <c r="M221" s="559"/>
      <c r="N221" s="559"/>
      <c r="O221" s="559"/>
      <c r="P221" s="559"/>
      <c r="Q221" s="559"/>
      <c r="R221" s="559"/>
      <c r="S221" s="559"/>
      <c r="T221" s="559"/>
      <c r="U221" s="559"/>
      <c r="V221" s="559"/>
      <c r="W221" s="559"/>
      <c r="X221" s="559"/>
      <c r="Y221" s="559"/>
      <c r="Z221" s="559"/>
      <c r="AA221" s="559"/>
      <c r="AB221" s="559"/>
      <c r="AC221" s="559"/>
      <c r="AD221" s="559"/>
      <c r="AE221" s="559"/>
      <c r="AF221" s="559"/>
      <c r="AG221" s="559"/>
    </row>
    <row r="222" spans="1:33" ht="18" x14ac:dyDescent="0.35">
      <c r="A222" s="639" t="s">
        <v>390</v>
      </c>
      <c r="B222" s="728" t="s">
        <v>391</v>
      </c>
      <c r="C222" s="641" t="s">
        <v>392</v>
      </c>
      <c r="D222" s="641">
        <f>4.8</f>
        <v>4.8</v>
      </c>
      <c r="E222" s="559"/>
      <c r="F222" s="559"/>
      <c r="G222" s="559"/>
      <c r="H222" s="559"/>
      <c r="I222" s="559"/>
      <c r="J222" s="559"/>
      <c r="K222" s="559"/>
      <c r="L222" s="559"/>
      <c r="M222" s="559"/>
      <c r="N222" s="559"/>
      <c r="O222" s="559"/>
      <c r="P222" s="559"/>
      <c r="Q222" s="559"/>
      <c r="R222" s="559"/>
      <c r="S222" s="559"/>
      <c r="T222" s="559"/>
      <c r="U222" s="559"/>
      <c r="V222" s="559"/>
      <c r="W222" s="559"/>
      <c r="X222" s="559"/>
      <c r="Y222" s="559"/>
      <c r="Z222" s="559"/>
      <c r="AA222" s="559"/>
      <c r="AB222" s="559"/>
      <c r="AC222" s="559"/>
      <c r="AD222" s="559"/>
      <c r="AE222" s="559"/>
      <c r="AF222" s="559"/>
      <c r="AG222" s="559"/>
    </row>
    <row r="223" spans="1:33" ht="18" x14ac:dyDescent="0.35">
      <c r="A223" s="645" t="s">
        <v>393</v>
      </c>
      <c r="B223" s="559" t="s">
        <v>391</v>
      </c>
      <c r="C223" s="650" t="s">
        <v>394</v>
      </c>
      <c r="D223" s="650">
        <f>7.2</f>
        <v>7.2</v>
      </c>
      <c r="E223" s="559"/>
      <c r="F223" s="559"/>
      <c r="G223" s="559"/>
      <c r="H223" s="559"/>
      <c r="I223" s="559"/>
      <c r="J223" s="559"/>
      <c r="K223" s="559"/>
      <c r="L223" s="559"/>
      <c r="M223" s="559"/>
      <c r="N223" s="559"/>
      <c r="O223" s="559"/>
      <c r="P223" s="559"/>
      <c r="Q223" s="559"/>
      <c r="R223" s="559"/>
      <c r="S223" s="559"/>
      <c r="T223" s="559"/>
      <c r="U223" s="559"/>
      <c r="V223" s="559"/>
      <c r="W223" s="559"/>
      <c r="X223" s="559"/>
      <c r="Y223" s="559"/>
      <c r="Z223" s="559"/>
      <c r="AA223" s="559"/>
      <c r="AB223" s="559"/>
      <c r="AC223" s="559"/>
      <c r="AD223" s="559"/>
      <c r="AE223" s="559"/>
      <c r="AF223" s="559"/>
      <c r="AG223" s="559"/>
    </row>
    <row r="224" spans="1:33" ht="18" x14ac:dyDescent="0.35">
      <c r="A224" s="655" t="s">
        <v>388</v>
      </c>
      <c r="B224" s="567" t="s">
        <v>395</v>
      </c>
      <c r="C224" s="657" t="s">
        <v>396</v>
      </c>
      <c r="D224" s="657">
        <f>10</f>
        <v>10</v>
      </c>
      <c r="E224" s="559"/>
      <c r="F224" s="559"/>
      <c r="G224" s="559"/>
      <c r="H224" s="559"/>
      <c r="I224" s="559"/>
      <c r="J224" s="559"/>
      <c r="K224" s="559"/>
      <c r="L224" s="559"/>
      <c r="M224" s="559"/>
      <c r="N224" s="559"/>
      <c r="O224" s="559"/>
      <c r="P224" s="559"/>
      <c r="Q224" s="559"/>
      <c r="R224" s="559"/>
      <c r="S224" s="559"/>
      <c r="T224" s="559"/>
      <c r="U224" s="559"/>
      <c r="V224" s="559"/>
      <c r="W224" s="559"/>
      <c r="X224" s="559"/>
      <c r="Y224" s="559"/>
      <c r="Z224" s="559"/>
      <c r="AA224" s="559"/>
      <c r="AB224" s="559"/>
      <c r="AC224" s="559"/>
      <c r="AD224" s="559"/>
      <c r="AE224" s="559"/>
      <c r="AF224" s="559"/>
      <c r="AG224" s="559"/>
    </row>
    <row r="225" spans="1:33" ht="18" x14ac:dyDescent="0.35">
      <c r="A225" s="559"/>
      <c r="B225" s="559"/>
      <c r="C225" s="559"/>
      <c r="D225" s="559"/>
      <c r="E225" s="559"/>
      <c r="F225" s="559"/>
      <c r="G225" s="559"/>
      <c r="H225" s="559"/>
      <c r="I225" s="559"/>
      <c r="J225" s="559"/>
      <c r="K225" s="559"/>
      <c r="L225" s="559"/>
      <c r="M225" s="559"/>
      <c r="N225" s="559"/>
      <c r="O225" s="559"/>
      <c r="P225" s="559"/>
      <c r="Q225" s="559"/>
      <c r="R225" s="559"/>
      <c r="S225" s="559"/>
      <c r="T225" s="559"/>
      <c r="U225" s="559"/>
      <c r="V225" s="559"/>
      <c r="W225" s="559"/>
      <c r="X225" s="559"/>
      <c r="Y225" s="559"/>
      <c r="Z225" s="559"/>
      <c r="AA225" s="559"/>
      <c r="AB225" s="559"/>
      <c r="AC225" s="559"/>
      <c r="AD225" s="559"/>
      <c r="AE225" s="559"/>
      <c r="AF225" s="559"/>
      <c r="AG225" s="559"/>
    </row>
    <row r="226" spans="1:33" ht="18" x14ac:dyDescent="0.35">
      <c r="A226" s="559"/>
      <c r="B226" s="559"/>
      <c r="C226" s="559"/>
      <c r="D226" s="559"/>
      <c r="E226" s="559"/>
      <c r="F226" s="559"/>
      <c r="G226" s="559"/>
      <c r="H226" s="559"/>
      <c r="I226" s="559"/>
      <c r="J226" s="559"/>
      <c r="K226" s="559"/>
      <c r="L226" s="559"/>
      <c r="M226" s="559"/>
      <c r="N226" s="559"/>
      <c r="O226" s="559"/>
      <c r="P226" s="559"/>
      <c r="Q226" s="559"/>
      <c r="R226" s="559"/>
      <c r="S226" s="559"/>
      <c r="T226" s="559"/>
      <c r="U226" s="559"/>
      <c r="V226" s="559"/>
      <c r="W226" s="559"/>
      <c r="X226" s="559"/>
      <c r="Y226" s="559"/>
      <c r="Z226" s="559"/>
      <c r="AA226" s="559"/>
      <c r="AB226" s="559"/>
      <c r="AC226" s="559"/>
      <c r="AD226" s="559"/>
      <c r="AE226" s="559"/>
      <c r="AF226" s="559"/>
      <c r="AG226" s="559"/>
    </row>
    <row r="227" spans="1:33" ht="18" x14ac:dyDescent="0.35">
      <c r="A227" s="559"/>
      <c r="B227" s="559"/>
      <c r="C227" s="559"/>
      <c r="D227" s="559"/>
      <c r="E227" s="559"/>
      <c r="F227" s="559"/>
      <c r="G227" s="559"/>
      <c r="H227" s="559"/>
      <c r="I227" s="559"/>
      <c r="J227" s="559"/>
      <c r="K227" s="559"/>
      <c r="L227" s="559"/>
      <c r="M227" s="559"/>
      <c r="N227" s="559"/>
      <c r="O227" s="559"/>
      <c r="P227" s="559"/>
      <c r="Q227" s="559"/>
      <c r="R227" s="559"/>
      <c r="S227" s="559"/>
      <c r="T227" s="559"/>
      <c r="U227" s="559"/>
      <c r="V227" s="559"/>
      <c r="W227" s="559"/>
      <c r="X227" s="559"/>
      <c r="Y227" s="559"/>
      <c r="Z227" s="559"/>
      <c r="AA227" s="559"/>
      <c r="AB227" s="559"/>
      <c r="AC227" s="559"/>
      <c r="AD227" s="559"/>
      <c r="AE227" s="559"/>
      <c r="AF227" s="559"/>
      <c r="AG227" s="559"/>
    </row>
    <row r="228" spans="1:33" ht="18" x14ac:dyDescent="0.35">
      <c r="A228" s="559"/>
      <c r="B228" s="559"/>
      <c r="C228" s="559"/>
      <c r="D228" s="559"/>
      <c r="E228" s="559"/>
      <c r="F228" s="559"/>
      <c r="G228" s="559"/>
      <c r="H228" s="559"/>
      <c r="I228" s="559"/>
      <c r="J228" s="559"/>
      <c r="K228" s="559"/>
      <c r="L228" s="559"/>
      <c r="M228" s="559"/>
      <c r="N228" s="559"/>
      <c r="O228" s="559"/>
      <c r="P228" s="559"/>
      <c r="Q228" s="559"/>
      <c r="R228" s="559"/>
      <c r="S228" s="559"/>
      <c r="T228" s="559"/>
      <c r="U228" s="559"/>
      <c r="V228" s="559"/>
      <c r="W228" s="559"/>
      <c r="X228" s="559"/>
      <c r="Y228" s="559"/>
      <c r="Z228" s="559"/>
      <c r="AA228" s="559"/>
      <c r="AB228" s="559"/>
      <c r="AC228" s="559"/>
      <c r="AD228" s="559"/>
      <c r="AE228" s="559"/>
      <c r="AF228" s="559"/>
      <c r="AG228" s="559"/>
    </row>
    <row r="229" spans="1:33" ht="18" x14ac:dyDescent="0.35">
      <c r="A229" s="559"/>
      <c r="B229" s="559"/>
      <c r="C229" s="559"/>
      <c r="D229" s="559"/>
      <c r="E229" s="559"/>
      <c r="F229" s="559"/>
      <c r="G229" s="559"/>
      <c r="H229" s="559"/>
      <c r="I229" s="559"/>
      <c r="J229" s="559"/>
      <c r="K229" s="559"/>
      <c r="L229" s="559"/>
      <c r="M229" s="559"/>
      <c r="N229" s="559"/>
      <c r="O229" s="559"/>
      <c r="P229" s="559"/>
      <c r="Q229" s="559"/>
      <c r="R229" s="559"/>
      <c r="S229" s="559"/>
      <c r="T229" s="559"/>
      <c r="U229" s="559"/>
      <c r="V229" s="559"/>
      <c r="W229" s="559"/>
      <c r="X229" s="559"/>
      <c r="Y229" s="559"/>
      <c r="Z229" s="559"/>
      <c r="AA229" s="559"/>
      <c r="AB229" s="559"/>
      <c r="AC229" s="559"/>
      <c r="AD229" s="559"/>
      <c r="AE229" s="559"/>
      <c r="AF229" s="559"/>
      <c r="AG229" s="559"/>
    </row>
    <row r="230" spans="1:33" ht="18" x14ac:dyDescent="0.35">
      <c r="A230" s="559"/>
      <c r="B230" s="559"/>
      <c r="C230" s="559"/>
      <c r="D230" s="559"/>
      <c r="E230" s="559"/>
      <c r="F230" s="559"/>
      <c r="G230" s="559"/>
      <c r="H230" s="559"/>
      <c r="I230" s="559"/>
      <c r="J230" s="559"/>
      <c r="K230" s="559"/>
      <c r="L230" s="559"/>
      <c r="M230" s="559"/>
      <c r="N230" s="559"/>
      <c r="O230" s="559"/>
      <c r="P230" s="559"/>
      <c r="Q230" s="559"/>
      <c r="R230" s="559"/>
      <c r="S230" s="559"/>
      <c r="T230" s="559"/>
      <c r="U230" s="559"/>
      <c r="V230" s="559"/>
      <c r="W230" s="559"/>
      <c r="X230" s="559"/>
      <c r="Y230" s="559"/>
      <c r="Z230" s="559"/>
      <c r="AA230" s="559"/>
      <c r="AB230" s="559"/>
      <c r="AC230" s="559"/>
      <c r="AD230" s="559"/>
      <c r="AE230" s="559"/>
      <c r="AF230" s="559"/>
      <c r="AG230" s="559"/>
    </row>
    <row r="231" spans="1:33" ht="18" x14ac:dyDescent="0.35">
      <c r="A231" s="559"/>
      <c r="B231" s="559"/>
      <c r="C231" s="559"/>
      <c r="D231" s="559"/>
      <c r="E231" s="559"/>
      <c r="F231" s="559"/>
      <c r="G231" s="559"/>
      <c r="H231" s="559"/>
      <c r="I231" s="559"/>
      <c r="J231" s="559"/>
      <c r="K231" s="559"/>
      <c r="L231" s="559"/>
      <c r="M231" s="559"/>
      <c r="N231" s="559"/>
      <c r="O231" s="559"/>
      <c r="P231" s="559"/>
      <c r="Q231" s="559"/>
      <c r="R231" s="559"/>
      <c r="S231" s="559"/>
      <c r="T231" s="559"/>
      <c r="U231" s="559"/>
      <c r="V231" s="559"/>
      <c r="W231" s="559"/>
      <c r="X231" s="559"/>
      <c r="Y231" s="559"/>
      <c r="Z231" s="559"/>
      <c r="AA231" s="559"/>
      <c r="AB231" s="559"/>
      <c r="AC231" s="559"/>
      <c r="AD231" s="559"/>
      <c r="AE231" s="559"/>
      <c r="AF231" s="559"/>
      <c r="AG231" s="559"/>
    </row>
    <row r="232" spans="1:33" ht="18" x14ac:dyDescent="0.35">
      <c r="A232" s="559"/>
      <c r="B232" s="559"/>
      <c r="C232" s="559"/>
      <c r="D232" s="559"/>
      <c r="E232" s="559"/>
      <c r="F232" s="559"/>
      <c r="G232" s="559"/>
      <c r="H232" s="559"/>
      <c r="I232" s="559"/>
      <c r="J232" s="559"/>
      <c r="K232" s="559"/>
      <c r="L232" s="559"/>
      <c r="M232" s="559"/>
      <c r="N232" s="559"/>
      <c r="O232" s="559"/>
      <c r="P232" s="559"/>
      <c r="Q232" s="559"/>
      <c r="R232" s="559"/>
      <c r="S232" s="559"/>
      <c r="T232" s="559"/>
      <c r="U232" s="559"/>
      <c r="V232" s="559"/>
      <c r="W232" s="559"/>
      <c r="X232" s="559"/>
      <c r="Y232" s="559"/>
      <c r="Z232" s="559"/>
      <c r="AA232" s="559"/>
      <c r="AB232" s="559"/>
      <c r="AC232" s="559"/>
      <c r="AD232" s="559"/>
      <c r="AE232" s="559"/>
      <c r="AF232" s="559"/>
      <c r="AG232" s="559"/>
    </row>
    <row r="233" spans="1:33" ht="18" x14ac:dyDescent="0.35">
      <c r="A233" s="559"/>
      <c r="B233" s="559"/>
      <c r="C233" s="559"/>
      <c r="D233" s="559"/>
      <c r="E233" s="559"/>
      <c r="F233" s="559"/>
      <c r="G233" s="559"/>
      <c r="H233" s="559"/>
      <c r="I233" s="559"/>
      <c r="J233" s="559"/>
      <c r="K233" s="559"/>
      <c r="L233" s="559"/>
      <c r="M233" s="559"/>
      <c r="N233" s="559"/>
      <c r="O233" s="559"/>
      <c r="P233" s="559"/>
      <c r="Q233" s="559"/>
      <c r="R233" s="559"/>
      <c r="S233" s="559"/>
      <c r="T233" s="559"/>
      <c r="U233" s="559"/>
      <c r="V233" s="559"/>
      <c r="W233" s="559"/>
      <c r="X233" s="559"/>
      <c r="Y233" s="559"/>
      <c r="Z233" s="559"/>
      <c r="AA233" s="559"/>
      <c r="AB233" s="559"/>
      <c r="AC233" s="559"/>
      <c r="AD233" s="559"/>
      <c r="AE233" s="559"/>
      <c r="AF233" s="559"/>
      <c r="AG233" s="559"/>
    </row>
    <row r="234" spans="1:33" ht="18" x14ac:dyDescent="0.35">
      <c r="A234" s="559"/>
      <c r="B234" s="559"/>
      <c r="C234" s="559"/>
      <c r="D234" s="559"/>
      <c r="E234" s="559"/>
      <c r="F234" s="559"/>
      <c r="G234" s="559"/>
      <c r="H234" s="559"/>
      <c r="I234" s="559"/>
      <c r="J234" s="559"/>
      <c r="K234" s="559"/>
      <c r="L234" s="559"/>
      <c r="M234" s="559"/>
      <c r="N234" s="559"/>
      <c r="O234" s="559"/>
      <c r="P234" s="559"/>
      <c r="Q234" s="559"/>
      <c r="R234" s="559"/>
      <c r="S234" s="559"/>
      <c r="T234" s="559"/>
      <c r="U234" s="559"/>
      <c r="V234" s="559"/>
      <c r="W234" s="559"/>
      <c r="X234" s="559"/>
      <c r="Y234" s="559"/>
      <c r="Z234" s="559"/>
      <c r="AA234" s="559"/>
      <c r="AB234" s="559"/>
      <c r="AC234" s="559"/>
      <c r="AD234" s="559"/>
      <c r="AE234" s="559"/>
      <c r="AF234" s="559"/>
      <c r="AG234" s="559"/>
    </row>
    <row r="235" spans="1:33" ht="18" x14ac:dyDescent="0.35">
      <c r="A235" s="559"/>
      <c r="B235" s="559"/>
      <c r="C235" s="559"/>
      <c r="D235" s="559"/>
      <c r="E235" s="559"/>
      <c r="F235" s="559"/>
      <c r="G235" s="559"/>
      <c r="H235" s="559"/>
      <c r="I235" s="559"/>
      <c r="J235" s="559"/>
      <c r="K235" s="559"/>
      <c r="L235" s="559"/>
      <c r="M235" s="559"/>
      <c r="N235" s="559"/>
      <c r="O235" s="559"/>
      <c r="P235" s="559"/>
      <c r="Q235" s="559"/>
      <c r="R235" s="559"/>
      <c r="S235" s="559"/>
      <c r="T235" s="559"/>
      <c r="U235" s="559"/>
      <c r="V235" s="559"/>
      <c r="W235" s="559"/>
      <c r="X235" s="559"/>
      <c r="Y235" s="559"/>
      <c r="Z235" s="559"/>
      <c r="AA235" s="559"/>
      <c r="AB235" s="559"/>
      <c r="AC235" s="559"/>
      <c r="AD235" s="559"/>
      <c r="AE235" s="559"/>
      <c r="AF235" s="559"/>
      <c r="AG235" s="559"/>
    </row>
    <row r="236" spans="1:33" ht="18" x14ac:dyDescent="0.35">
      <c r="A236" s="559"/>
      <c r="B236" s="559"/>
      <c r="C236" s="559"/>
      <c r="D236" s="559"/>
      <c r="E236" s="559"/>
      <c r="F236" s="559"/>
      <c r="G236" s="559"/>
      <c r="H236" s="559"/>
      <c r="I236" s="559"/>
      <c r="J236" s="559"/>
      <c r="K236" s="559"/>
      <c r="L236" s="559"/>
      <c r="M236" s="559"/>
      <c r="N236" s="559"/>
      <c r="O236" s="559"/>
      <c r="P236" s="559"/>
      <c r="Q236" s="559"/>
      <c r="R236" s="559"/>
      <c r="S236" s="559"/>
      <c r="T236" s="559"/>
      <c r="U236" s="559"/>
      <c r="V236" s="559"/>
      <c r="W236" s="559"/>
      <c r="X236" s="559"/>
      <c r="Y236" s="559"/>
      <c r="Z236" s="559"/>
      <c r="AA236" s="559"/>
      <c r="AB236" s="559"/>
      <c r="AC236" s="559"/>
      <c r="AD236" s="559"/>
      <c r="AE236" s="559"/>
      <c r="AF236" s="559"/>
      <c r="AG236" s="559"/>
    </row>
    <row r="237" spans="1:33" ht="18" x14ac:dyDescent="0.35">
      <c r="A237" s="559"/>
      <c r="B237" s="559"/>
      <c r="C237" s="559"/>
      <c r="D237" s="559"/>
      <c r="E237" s="559"/>
      <c r="F237" s="559"/>
      <c r="G237" s="559"/>
      <c r="H237" s="559"/>
      <c r="I237" s="559"/>
      <c r="J237" s="559"/>
      <c r="K237" s="559"/>
      <c r="L237" s="559"/>
      <c r="M237" s="559"/>
      <c r="N237" s="559"/>
      <c r="O237" s="559"/>
      <c r="P237" s="559"/>
      <c r="Q237" s="559"/>
      <c r="R237" s="559"/>
      <c r="S237" s="559"/>
      <c r="T237" s="559"/>
      <c r="U237" s="559"/>
      <c r="V237" s="559"/>
      <c r="W237" s="559"/>
      <c r="X237" s="559"/>
      <c r="Y237" s="559"/>
      <c r="Z237" s="559"/>
      <c r="AA237" s="559"/>
      <c r="AB237" s="559"/>
      <c r="AC237" s="559"/>
      <c r="AD237" s="559"/>
      <c r="AE237" s="559"/>
      <c r="AF237" s="559"/>
      <c r="AG237" s="559"/>
    </row>
    <row r="238" spans="1:33" ht="18" x14ac:dyDescent="0.35">
      <c r="A238" s="559"/>
      <c r="B238" s="559"/>
      <c r="C238" s="559"/>
      <c r="D238" s="559"/>
      <c r="E238" s="559"/>
      <c r="F238" s="559"/>
      <c r="G238" s="559"/>
      <c r="H238" s="559"/>
      <c r="I238" s="559"/>
      <c r="J238" s="559"/>
      <c r="K238" s="559"/>
      <c r="L238" s="559"/>
      <c r="M238" s="559"/>
      <c r="N238" s="559"/>
      <c r="O238" s="559"/>
      <c r="P238" s="559"/>
      <c r="Q238" s="559"/>
      <c r="R238" s="559"/>
      <c r="S238" s="559"/>
      <c r="T238" s="559"/>
      <c r="U238" s="559"/>
      <c r="V238" s="559"/>
      <c r="W238" s="559"/>
      <c r="X238" s="559"/>
      <c r="Y238" s="559"/>
      <c r="Z238" s="559"/>
      <c r="AA238" s="559"/>
      <c r="AB238" s="559"/>
      <c r="AC238" s="559"/>
      <c r="AD238" s="559"/>
      <c r="AE238" s="559"/>
      <c r="AF238" s="559"/>
      <c r="AG238" s="559"/>
    </row>
    <row r="239" spans="1:33" ht="18" x14ac:dyDescent="0.35">
      <c r="A239" s="559"/>
      <c r="B239" s="559"/>
      <c r="C239" s="559"/>
      <c r="D239" s="559"/>
      <c r="E239" s="559"/>
      <c r="F239" s="559"/>
      <c r="G239" s="559"/>
      <c r="H239" s="559"/>
      <c r="I239" s="559"/>
      <c r="J239" s="559"/>
      <c r="K239" s="559"/>
      <c r="L239" s="559"/>
      <c r="M239" s="559"/>
      <c r="N239" s="559"/>
      <c r="O239" s="559"/>
      <c r="P239" s="559"/>
      <c r="Q239" s="559"/>
      <c r="R239" s="559"/>
      <c r="S239" s="559"/>
      <c r="T239" s="559"/>
      <c r="U239" s="559"/>
      <c r="V239" s="559"/>
      <c r="W239" s="559"/>
      <c r="X239" s="559"/>
      <c r="Y239" s="559"/>
      <c r="Z239" s="559"/>
      <c r="AA239" s="559"/>
      <c r="AB239" s="559"/>
      <c r="AC239" s="559"/>
      <c r="AD239" s="559"/>
      <c r="AE239" s="559"/>
      <c r="AF239" s="559"/>
      <c r="AG239" s="559"/>
    </row>
    <row r="240" spans="1:33" ht="18" x14ac:dyDescent="0.35">
      <c r="A240" s="559"/>
      <c r="B240" s="559"/>
      <c r="C240" s="559"/>
      <c r="D240" s="559"/>
      <c r="E240" s="559"/>
      <c r="F240" s="559"/>
      <c r="G240" s="559"/>
      <c r="H240" s="559"/>
      <c r="I240" s="559"/>
      <c r="J240" s="559"/>
      <c r="K240" s="559"/>
      <c r="L240" s="559"/>
      <c r="M240" s="559"/>
      <c r="N240" s="559"/>
      <c r="O240" s="559"/>
      <c r="P240" s="559"/>
      <c r="Q240" s="559"/>
      <c r="R240" s="559"/>
      <c r="S240" s="559"/>
      <c r="T240" s="559"/>
      <c r="U240" s="559"/>
      <c r="V240" s="559"/>
      <c r="W240" s="559"/>
      <c r="X240" s="559"/>
      <c r="Y240" s="559"/>
      <c r="Z240" s="559"/>
      <c r="AA240" s="559"/>
      <c r="AB240" s="559"/>
      <c r="AC240" s="559"/>
      <c r="AD240" s="559"/>
      <c r="AE240" s="559"/>
      <c r="AF240" s="559"/>
      <c r="AG240" s="559"/>
    </row>
    <row r="241" spans="1:33" ht="18" x14ac:dyDescent="0.35">
      <c r="A241" s="559"/>
      <c r="B241" s="559"/>
      <c r="C241" s="559"/>
      <c r="D241" s="559"/>
      <c r="E241" s="559"/>
      <c r="F241" s="559"/>
      <c r="G241" s="559"/>
      <c r="H241" s="559"/>
      <c r="I241" s="559"/>
      <c r="J241" s="559"/>
      <c r="K241" s="559"/>
      <c r="L241" s="559"/>
      <c r="M241" s="559"/>
      <c r="N241" s="559"/>
      <c r="O241" s="559"/>
      <c r="P241" s="559"/>
      <c r="Q241" s="559"/>
      <c r="R241" s="559"/>
      <c r="S241" s="559"/>
      <c r="T241" s="559"/>
      <c r="U241" s="559"/>
      <c r="V241" s="559"/>
      <c r="W241" s="559"/>
      <c r="X241" s="559"/>
      <c r="Y241" s="559"/>
      <c r="Z241" s="559"/>
      <c r="AA241" s="559"/>
      <c r="AB241" s="559"/>
      <c r="AC241" s="559"/>
      <c r="AD241" s="559"/>
      <c r="AE241" s="559"/>
      <c r="AF241" s="559"/>
      <c r="AG241" s="559"/>
    </row>
    <row r="242" spans="1:33" ht="18" x14ac:dyDescent="0.35">
      <c r="A242" s="559"/>
      <c r="B242" s="559"/>
      <c r="C242" s="559"/>
      <c r="D242" s="559"/>
      <c r="E242" s="559"/>
      <c r="F242" s="559"/>
      <c r="G242" s="559"/>
      <c r="H242" s="559"/>
      <c r="I242" s="559"/>
      <c r="J242" s="559"/>
      <c r="K242" s="559"/>
      <c r="L242" s="559"/>
      <c r="M242" s="559"/>
      <c r="N242" s="559"/>
      <c r="O242" s="559"/>
      <c r="P242" s="559"/>
      <c r="Q242" s="559"/>
      <c r="R242" s="559"/>
      <c r="S242" s="559"/>
      <c r="T242" s="559"/>
      <c r="U242" s="559"/>
      <c r="V242" s="559"/>
      <c r="W242" s="559"/>
      <c r="X242" s="559"/>
      <c r="Y242" s="559"/>
      <c r="Z242" s="559"/>
      <c r="AA242" s="559"/>
      <c r="AB242" s="559"/>
      <c r="AC242" s="559"/>
      <c r="AD242" s="559"/>
      <c r="AE242" s="559"/>
      <c r="AF242" s="559"/>
      <c r="AG242" s="559"/>
    </row>
    <row r="243" spans="1:33" ht="18" x14ac:dyDescent="0.35">
      <c r="A243" s="559"/>
      <c r="B243" s="559"/>
      <c r="C243" s="559"/>
      <c r="D243" s="559"/>
      <c r="E243" s="559"/>
      <c r="F243" s="559"/>
      <c r="G243" s="559"/>
      <c r="H243" s="559"/>
      <c r="I243" s="559"/>
      <c r="J243" s="559"/>
      <c r="K243" s="559"/>
      <c r="L243" s="559"/>
      <c r="M243" s="559"/>
      <c r="N243" s="559"/>
      <c r="O243" s="559"/>
      <c r="P243" s="559"/>
      <c r="Q243" s="559"/>
      <c r="R243" s="559"/>
      <c r="S243" s="559"/>
      <c r="T243" s="559"/>
      <c r="U243" s="559"/>
      <c r="V243" s="559"/>
      <c r="W243" s="559"/>
      <c r="X243" s="559"/>
      <c r="Y243" s="559"/>
      <c r="Z243" s="559"/>
      <c r="AA243" s="559"/>
      <c r="AB243" s="559"/>
      <c r="AC243" s="559"/>
      <c r="AD243" s="559"/>
      <c r="AE243" s="559"/>
      <c r="AF243" s="559"/>
      <c r="AG243" s="559"/>
    </row>
    <row r="244" spans="1:33" ht="18" x14ac:dyDescent="0.35">
      <c r="A244" s="559"/>
      <c r="B244" s="559"/>
      <c r="C244" s="559"/>
      <c r="D244" s="559"/>
      <c r="E244" s="559"/>
      <c r="F244" s="559"/>
      <c r="G244" s="559"/>
      <c r="H244" s="559"/>
      <c r="I244" s="559"/>
      <c r="J244" s="559"/>
      <c r="K244" s="559"/>
      <c r="L244" s="559"/>
      <c r="M244" s="559"/>
      <c r="N244" s="559"/>
      <c r="O244" s="559"/>
      <c r="P244" s="559"/>
      <c r="Q244" s="559"/>
      <c r="R244" s="559"/>
      <c r="S244" s="559"/>
      <c r="T244" s="559"/>
      <c r="U244" s="559"/>
      <c r="V244" s="559"/>
      <c r="W244" s="559"/>
      <c r="X244" s="559"/>
      <c r="Y244" s="559"/>
      <c r="Z244" s="559"/>
      <c r="AA244" s="559"/>
      <c r="AB244" s="559"/>
      <c r="AC244" s="559"/>
      <c r="AD244" s="559"/>
      <c r="AE244" s="559"/>
      <c r="AF244" s="559"/>
      <c r="AG244" s="559"/>
    </row>
    <row r="245" spans="1:33" ht="18" x14ac:dyDescent="0.35">
      <c r="A245" s="559"/>
      <c r="B245" s="559"/>
      <c r="C245" s="559"/>
      <c r="D245" s="559"/>
      <c r="E245" s="559"/>
      <c r="F245" s="559"/>
      <c r="G245" s="559"/>
      <c r="H245" s="559"/>
      <c r="I245" s="559"/>
      <c r="J245" s="559"/>
      <c r="K245" s="559"/>
      <c r="L245" s="559"/>
      <c r="M245" s="559"/>
      <c r="N245" s="559"/>
      <c r="O245" s="559"/>
      <c r="P245" s="559"/>
      <c r="Q245" s="559"/>
      <c r="R245" s="559"/>
      <c r="S245" s="559"/>
      <c r="T245" s="559"/>
      <c r="U245" s="559"/>
      <c r="V245" s="559"/>
      <c r="W245" s="559"/>
      <c r="X245" s="559"/>
      <c r="Y245" s="559"/>
      <c r="Z245" s="559"/>
      <c r="AA245" s="559"/>
      <c r="AB245" s="559"/>
      <c r="AC245" s="559"/>
      <c r="AD245" s="559"/>
      <c r="AE245" s="559"/>
      <c r="AF245" s="559"/>
      <c r="AG245" s="559"/>
    </row>
    <row r="246" spans="1:33" ht="18" x14ac:dyDescent="0.35">
      <c r="A246" s="559"/>
      <c r="B246" s="559"/>
      <c r="C246" s="559"/>
      <c r="D246" s="559"/>
      <c r="E246" s="559"/>
      <c r="F246" s="559"/>
      <c r="G246" s="559"/>
      <c r="H246" s="559"/>
      <c r="I246" s="559"/>
      <c r="J246" s="559"/>
      <c r="K246" s="559"/>
      <c r="L246" s="559"/>
      <c r="M246" s="559"/>
      <c r="N246" s="559"/>
      <c r="O246" s="559"/>
      <c r="P246" s="559"/>
      <c r="Q246" s="559"/>
      <c r="R246" s="559"/>
      <c r="S246" s="559"/>
      <c r="T246" s="559"/>
      <c r="U246" s="559"/>
      <c r="V246" s="559"/>
      <c r="W246" s="559"/>
      <c r="X246" s="559"/>
      <c r="Y246" s="559"/>
      <c r="Z246" s="559"/>
      <c r="AA246" s="559"/>
      <c r="AB246" s="559"/>
      <c r="AC246" s="559"/>
      <c r="AD246" s="559"/>
      <c r="AE246" s="559"/>
      <c r="AF246" s="559"/>
      <c r="AG246" s="559"/>
    </row>
    <row r="247" spans="1:33" ht="18" x14ac:dyDescent="0.35">
      <c r="A247" s="559"/>
      <c r="B247" s="559"/>
      <c r="C247" s="559"/>
      <c r="D247" s="559"/>
      <c r="E247" s="559"/>
      <c r="F247" s="559"/>
      <c r="G247" s="559"/>
      <c r="H247" s="559"/>
      <c r="I247" s="559"/>
      <c r="J247" s="559"/>
      <c r="K247" s="559"/>
      <c r="L247" s="559"/>
      <c r="M247" s="559"/>
      <c r="N247" s="559"/>
      <c r="O247" s="559"/>
      <c r="P247" s="559"/>
      <c r="Q247" s="559"/>
      <c r="R247" s="559"/>
      <c r="S247" s="559"/>
      <c r="T247" s="559"/>
      <c r="U247" s="559"/>
      <c r="V247" s="559"/>
      <c r="W247" s="559"/>
      <c r="X247" s="559"/>
      <c r="Y247" s="559"/>
      <c r="Z247" s="559"/>
      <c r="AA247" s="559"/>
      <c r="AB247" s="559"/>
      <c r="AC247" s="559"/>
      <c r="AD247" s="559"/>
      <c r="AE247" s="559"/>
      <c r="AF247" s="559"/>
      <c r="AG247" s="559"/>
    </row>
    <row r="248" spans="1:33" ht="18" x14ac:dyDescent="0.35">
      <c r="A248" s="559"/>
      <c r="B248" s="559"/>
      <c r="C248" s="559"/>
      <c r="D248" s="559"/>
      <c r="E248" s="559"/>
      <c r="F248" s="559"/>
      <c r="G248" s="559"/>
      <c r="H248" s="559"/>
      <c r="I248" s="559"/>
      <c r="J248" s="559"/>
      <c r="K248" s="559"/>
      <c r="L248" s="559"/>
      <c r="M248" s="559"/>
      <c r="N248" s="559"/>
      <c r="O248" s="559"/>
      <c r="P248" s="559"/>
      <c r="Q248" s="559"/>
      <c r="R248" s="559"/>
      <c r="S248" s="559"/>
      <c r="T248" s="559"/>
      <c r="U248" s="559"/>
      <c r="V248" s="559"/>
      <c r="W248" s="559"/>
      <c r="X248" s="559"/>
      <c r="Y248" s="559"/>
      <c r="Z248" s="559"/>
      <c r="AA248" s="559"/>
      <c r="AB248" s="559"/>
      <c r="AC248" s="559"/>
      <c r="AD248" s="559"/>
      <c r="AE248" s="559"/>
      <c r="AF248" s="559"/>
      <c r="AG248" s="559"/>
    </row>
    <row r="249" spans="1:33" ht="18" x14ac:dyDescent="0.35">
      <c r="A249" s="559"/>
      <c r="B249" s="559"/>
      <c r="C249" s="559"/>
      <c r="D249" s="559"/>
      <c r="E249" s="559"/>
      <c r="F249" s="559"/>
      <c r="G249" s="559"/>
      <c r="H249" s="559"/>
      <c r="I249" s="559"/>
      <c r="J249" s="559"/>
      <c r="K249" s="559"/>
      <c r="L249" s="559"/>
      <c r="M249" s="559"/>
      <c r="N249" s="559"/>
      <c r="O249" s="559"/>
      <c r="P249" s="559"/>
      <c r="Q249" s="559"/>
      <c r="R249" s="559"/>
      <c r="S249" s="559"/>
      <c r="T249" s="559"/>
      <c r="U249" s="559"/>
      <c r="V249" s="559"/>
      <c r="W249" s="559"/>
      <c r="X249" s="559"/>
      <c r="Y249" s="559"/>
      <c r="Z249" s="559"/>
      <c r="AA249" s="559"/>
      <c r="AB249" s="559"/>
      <c r="AC249" s="559"/>
      <c r="AD249" s="559"/>
      <c r="AE249" s="559"/>
      <c r="AF249" s="559"/>
      <c r="AG249" s="559"/>
    </row>
    <row r="250" spans="1:33" ht="18" x14ac:dyDescent="0.35">
      <c r="A250" s="559"/>
      <c r="B250" s="559"/>
      <c r="C250" s="559"/>
      <c r="D250" s="559"/>
      <c r="E250" s="559"/>
      <c r="F250" s="559"/>
      <c r="G250" s="559"/>
      <c r="H250" s="559"/>
      <c r="I250" s="559"/>
      <c r="J250" s="559"/>
      <c r="K250" s="559"/>
      <c r="L250" s="559"/>
      <c r="M250" s="559"/>
      <c r="N250" s="559"/>
      <c r="O250" s="559"/>
      <c r="P250" s="559"/>
      <c r="Q250" s="559"/>
      <c r="R250" s="559"/>
      <c r="S250" s="559"/>
      <c r="T250" s="559"/>
      <c r="U250" s="559"/>
      <c r="V250" s="559"/>
      <c r="W250" s="559"/>
      <c r="X250" s="559"/>
      <c r="Y250" s="559"/>
      <c r="Z250" s="559"/>
      <c r="AA250" s="559"/>
      <c r="AB250" s="559"/>
      <c r="AC250" s="559"/>
      <c r="AD250" s="559"/>
      <c r="AE250" s="559"/>
      <c r="AF250" s="559"/>
      <c r="AG250" s="559"/>
    </row>
    <row r="251" spans="1:33" ht="18" x14ac:dyDescent="0.35">
      <c r="A251" s="559"/>
      <c r="B251" s="559"/>
      <c r="C251" s="559"/>
      <c r="D251" s="559"/>
      <c r="E251" s="559"/>
      <c r="F251" s="559"/>
      <c r="G251" s="559"/>
      <c r="H251" s="559"/>
      <c r="I251" s="559"/>
      <c r="J251" s="559"/>
      <c r="K251" s="559"/>
      <c r="L251" s="559"/>
      <c r="M251" s="559"/>
      <c r="N251" s="559"/>
      <c r="O251" s="559"/>
      <c r="P251" s="559"/>
      <c r="Q251" s="559"/>
      <c r="R251" s="559"/>
      <c r="S251" s="559"/>
      <c r="T251" s="559"/>
      <c r="U251" s="559"/>
      <c r="V251" s="559"/>
      <c r="W251" s="559"/>
      <c r="X251" s="559"/>
      <c r="Y251" s="559"/>
      <c r="Z251" s="559"/>
      <c r="AA251" s="559"/>
      <c r="AB251" s="559"/>
      <c r="AC251" s="559"/>
      <c r="AD251" s="559"/>
      <c r="AE251" s="559"/>
      <c r="AF251" s="559"/>
      <c r="AG251" s="559"/>
    </row>
    <row r="252" spans="1:33" ht="18" x14ac:dyDescent="0.35">
      <c r="A252" s="559"/>
      <c r="B252" s="559"/>
      <c r="C252" s="559"/>
      <c r="D252" s="559"/>
      <c r="E252" s="559"/>
      <c r="F252" s="559"/>
      <c r="G252" s="559"/>
      <c r="H252" s="559"/>
      <c r="I252" s="559"/>
      <c r="J252" s="559"/>
      <c r="K252" s="559"/>
      <c r="L252" s="559"/>
      <c r="M252" s="559"/>
      <c r="N252" s="559"/>
      <c r="O252" s="559"/>
      <c r="P252" s="559"/>
      <c r="Q252" s="559"/>
      <c r="R252" s="559"/>
      <c r="S252" s="559"/>
      <c r="T252" s="559"/>
      <c r="U252" s="559"/>
      <c r="V252" s="559"/>
      <c r="W252" s="559"/>
      <c r="X252" s="559"/>
      <c r="Y252" s="559"/>
      <c r="Z252" s="559"/>
      <c r="AA252" s="559"/>
      <c r="AB252" s="559"/>
      <c r="AC252" s="559"/>
      <c r="AD252" s="559"/>
      <c r="AE252" s="559"/>
      <c r="AF252" s="559"/>
      <c r="AG252" s="559"/>
    </row>
    <row r="253" spans="1:33" ht="18" x14ac:dyDescent="0.35">
      <c r="A253" s="559"/>
      <c r="B253" s="559"/>
      <c r="C253" s="559"/>
      <c r="D253" s="559"/>
      <c r="E253" s="559"/>
      <c r="F253" s="559"/>
      <c r="G253" s="559"/>
      <c r="H253" s="559"/>
      <c r="I253" s="559"/>
      <c r="J253" s="559"/>
      <c r="K253" s="559"/>
      <c r="L253" s="559"/>
      <c r="M253" s="559"/>
      <c r="N253" s="559"/>
      <c r="O253" s="559"/>
      <c r="P253" s="559"/>
      <c r="Q253" s="559"/>
      <c r="R253" s="559"/>
      <c r="S253" s="559"/>
      <c r="T253" s="559"/>
      <c r="U253" s="559"/>
      <c r="V253" s="559"/>
      <c r="W253" s="559"/>
      <c r="X253" s="559"/>
      <c r="Y253" s="559"/>
      <c r="Z253" s="559"/>
      <c r="AA253" s="559"/>
      <c r="AB253" s="559"/>
      <c r="AC253" s="559"/>
      <c r="AD253" s="559"/>
      <c r="AE253" s="559"/>
      <c r="AF253" s="559"/>
      <c r="AG253" s="559"/>
    </row>
    <row r="254" spans="1:33" ht="18" x14ac:dyDescent="0.35">
      <c r="A254" s="559"/>
      <c r="B254" s="559"/>
      <c r="C254" s="559"/>
      <c r="D254" s="559"/>
      <c r="E254" s="559"/>
      <c r="F254" s="559"/>
      <c r="G254" s="559"/>
      <c r="H254" s="559"/>
      <c r="I254" s="559"/>
      <c r="J254" s="559"/>
      <c r="K254" s="559"/>
      <c r="L254" s="559"/>
      <c r="M254" s="559"/>
      <c r="N254" s="559"/>
      <c r="O254" s="559"/>
      <c r="P254" s="559"/>
      <c r="Q254" s="559"/>
      <c r="R254" s="559"/>
      <c r="S254" s="559"/>
      <c r="T254" s="559"/>
      <c r="U254" s="559"/>
      <c r="V254" s="559"/>
      <c r="W254" s="559"/>
      <c r="X254" s="559"/>
      <c r="Y254" s="559"/>
      <c r="Z254" s="559"/>
      <c r="AA254" s="559"/>
      <c r="AB254" s="559"/>
      <c r="AC254" s="559"/>
      <c r="AD254" s="559"/>
      <c r="AE254" s="559"/>
      <c r="AF254" s="559"/>
      <c r="AG254" s="559"/>
    </row>
    <row r="255" spans="1:33" ht="18" x14ac:dyDescent="0.35">
      <c r="A255" s="559"/>
      <c r="B255" s="559"/>
      <c r="C255" s="559"/>
      <c r="D255" s="559"/>
      <c r="E255" s="559"/>
      <c r="F255" s="559"/>
      <c r="G255" s="559"/>
      <c r="H255" s="559"/>
      <c r="I255" s="559"/>
      <c r="J255" s="559"/>
      <c r="K255" s="559"/>
      <c r="L255" s="559"/>
      <c r="M255" s="559"/>
      <c r="N255" s="559"/>
      <c r="O255" s="559"/>
      <c r="P255" s="559"/>
      <c r="Q255" s="559"/>
      <c r="R255" s="559"/>
      <c r="S255" s="559"/>
      <c r="T255" s="559"/>
      <c r="U255" s="559"/>
      <c r="V255" s="559"/>
      <c r="W255" s="559"/>
      <c r="X255" s="559"/>
      <c r="Y255" s="559"/>
      <c r="Z255" s="559"/>
      <c r="AA255" s="559"/>
      <c r="AB255" s="559"/>
      <c r="AC255" s="559"/>
      <c r="AD255" s="559"/>
      <c r="AE255" s="559"/>
      <c r="AF255" s="559"/>
      <c r="AG255" s="559"/>
    </row>
    <row r="256" spans="1:33" ht="18" x14ac:dyDescent="0.35">
      <c r="A256" s="559"/>
      <c r="B256" s="559"/>
      <c r="C256" s="559"/>
      <c r="D256" s="559"/>
      <c r="E256" s="559"/>
      <c r="F256" s="559"/>
      <c r="G256" s="559"/>
      <c r="H256" s="559"/>
      <c r="I256" s="559"/>
      <c r="J256" s="559"/>
      <c r="K256" s="559"/>
      <c r="L256" s="559"/>
      <c r="M256" s="559"/>
      <c r="N256" s="559"/>
      <c r="O256" s="559"/>
      <c r="P256" s="559"/>
      <c r="Q256" s="559"/>
      <c r="R256" s="559"/>
      <c r="S256" s="559"/>
      <c r="T256" s="559"/>
      <c r="U256" s="559"/>
      <c r="V256" s="559"/>
      <c r="W256" s="559"/>
      <c r="X256" s="559"/>
      <c r="Y256" s="559"/>
      <c r="Z256" s="559"/>
      <c r="AA256" s="559"/>
      <c r="AB256" s="559"/>
      <c r="AC256" s="559"/>
      <c r="AD256" s="559"/>
      <c r="AE256" s="559"/>
      <c r="AF256" s="559"/>
      <c r="AG256" s="559"/>
    </row>
    <row r="257" spans="1:33" ht="18" x14ac:dyDescent="0.35">
      <c r="A257" s="559"/>
      <c r="B257" s="559"/>
      <c r="C257" s="559"/>
      <c r="D257" s="559"/>
      <c r="E257" s="559"/>
      <c r="F257" s="559"/>
      <c r="G257" s="559"/>
      <c r="H257" s="559"/>
      <c r="I257" s="559"/>
      <c r="J257" s="559"/>
      <c r="K257" s="559"/>
      <c r="L257" s="559"/>
      <c r="M257" s="559"/>
      <c r="N257" s="559"/>
      <c r="O257" s="559"/>
      <c r="P257" s="559"/>
      <c r="Q257" s="559"/>
      <c r="R257" s="559"/>
      <c r="S257" s="559"/>
      <c r="T257" s="559"/>
      <c r="U257" s="559"/>
      <c r="V257" s="559"/>
      <c r="W257" s="559"/>
      <c r="X257" s="559"/>
      <c r="Y257" s="559"/>
      <c r="Z257" s="559"/>
      <c r="AA257" s="559"/>
      <c r="AB257" s="559"/>
      <c r="AC257" s="559"/>
      <c r="AD257" s="559"/>
      <c r="AE257" s="559"/>
      <c r="AF257" s="559"/>
      <c r="AG257" s="559"/>
    </row>
    <row r="258" spans="1:33" ht="18" x14ac:dyDescent="0.35">
      <c r="A258" s="559"/>
      <c r="B258" s="559"/>
      <c r="C258" s="559"/>
      <c r="D258" s="559"/>
      <c r="E258" s="559"/>
      <c r="F258" s="559"/>
      <c r="G258" s="559"/>
      <c r="H258" s="559"/>
      <c r="I258" s="559"/>
      <c r="J258" s="559"/>
      <c r="K258" s="559"/>
      <c r="L258" s="559"/>
      <c r="M258" s="559"/>
      <c r="N258" s="559"/>
      <c r="O258" s="559"/>
      <c r="P258" s="559"/>
      <c r="Q258" s="559"/>
      <c r="R258" s="559"/>
      <c r="S258" s="559"/>
      <c r="T258" s="559"/>
      <c r="U258" s="559"/>
      <c r="V258" s="559"/>
      <c r="W258" s="559"/>
      <c r="X258" s="559"/>
      <c r="Y258" s="559"/>
      <c r="Z258" s="559"/>
      <c r="AA258" s="559"/>
      <c r="AB258" s="559"/>
      <c r="AC258" s="559"/>
      <c r="AD258" s="559"/>
      <c r="AE258" s="559"/>
      <c r="AF258" s="559"/>
      <c r="AG258" s="559"/>
    </row>
    <row r="259" spans="1:33" ht="18" x14ac:dyDescent="0.35">
      <c r="A259" s="559"/>
      <c r="B259" s="559"/>
      <c r="C259" s="559"/>
      <c r="D259" s="559"/>
      <c r="E259" s="559"/>
      <c r="F259" s="559"/>
      <c r="G259" s="559"/>
      <c r="H259" s="559"/>
      <c r="I259" s="559"/>
      <c r="J259" s="559"/>
      <c r="K259" s="559"/>
      <c r="L259" s="559"/>
      <c r="M259" s="559"/>
      <c r="N259" s="559"/>
      <c r="O259" s="559"/>
      <c r="P259" s="559"/>
      <c r="Q259" s="559"/>
      <c r="R259" s="559"/>
      <c r="S259" s="559"/>
      <c r="T259" s="559"/>
      <c r="U259" s="559"/>
      <c r="V259" s="559"/>
      <c r="W259" s="559"/>
      <c r="X259" s="559"/>
      <c r="Y259" s="559"/>
      <c r="Z259" s="559"/>
      <c r="AA259" s="559"/>
      <c r="AB259" s="559"/>
      <c r="AC259" s="559"/>
      <c r="AD259" s="559"/>
      <c r="AE259" s="559"/>
      <c r="AF259" s="559"/>
      <c r="AG259" s="559"/>
    </row>
    <row r="260" spans="1:33" ht="18" x14ac:dyDescent="0.35">
      <c r="A260" s="559"/>
      <c r="B260" s="559"/>
      <c r="C260" s="559"/>
      <c r="D260" s="559"/>
      <c r="E260" s="559"/>
      <c r="F260" s="559"/>
      <c r="G260" s="559"/>
      <c r="H260" s="559"/>
      <c r="I260" s="559"/>
      <c r="J260" s="559"/>
      <c r="K260" s="559"/>
      <c r="L260" s="559"/>
      <c r="M260" s="559"/>
      <c r="N260" s="559"/>
      <c r="O260" s="559"/>
      <c r="P260" s="559"/>
      <c r="Q260" s="559"/>
      <c r="R260" s="559"/>
      <c r="S260" s="559"/>
      <c r="T260" s="559"/>
      <c r="U260" s="559"/>
      <c r="V260" s="559"/>
      <c r="W260" s="559"/>
      <c r="X260" s="559"/>
      <c r="Y260" s="559"/>
      <c r="Z260" s="559"/>
      <c r="AA260" s="559"/>
      <c r="AB260" s="559"/>
      <c r="AC260" s="559"/>
      <c r="AD260" s="559"/>
      <c r="AE260" s="559"/>
      <c r="AF260" s="559"/>
      <c r="AG260" s="559"/>
    </row>
    <row r="261" spans="1:33" ht="18" x14ac:dyDescent="0.35">
      <c r="A261" s="559"/>
      <c r="B261" s="559"/>
      <c r="C261" s="559"/>
      <c r="D261" s="559"/>
      <c r="E261" s="559"/>
      <c r="F261" s="559"/>
      <c r="G261" s="559"/>
      <c r="H261" s="559"/>
      <c r="I261" s="559"/>
      <c r="J261" s="559"/>
      <c r="K261" s="559"/>
      <c r="L261" s="559"/>
      <c r="M261" s="559"/>
      <c r="N261" s="559"/>
      <c r="O261" s="559"/>
      <c r="P261" s="559"/>
      <c r="Q261" s="559"/>
      <c r="R261" s="559"/>
      <c r="S261" s="559"/>
      <c r="T261" s="559"/>
      <c r="U261" s="559"/>
      <c r="V261" s="559"/>
      <c r="W261" s="559"/>
      <c r="X261" s="559"/>
      <c r="Y261" s="559"/>
      <c r="Z261" s="559"/>
      <c r="AA261" s="559"/>
      <c r="AB261" s="559"/>
      <c r="AC261" s="559"/>
      <c r="AD261" s="559"/>
      <c r="AE261" s="559"/>
      <c r="AF261" s="559"/>
      <c r="AG261" s="559"/>
    </row>
    <row r="262" spans="1:33" ht="18" x14ac:dyDescent="0.35">
      <c r="A262" s="559"/>
      <c r="B262" s="559"/>
      <c r="C262" s="559"/>
      <c r="D262" s="559"/>
      <c r="E262" s="559"/>
      <c r="F262" s="559"/>
      <c r="G262" s="559"/>
      <c r="H262" s="559"/>
      <c r="I262" s="559"/>
      <c r="J262" s="559"/>
      <c r="K262" s="559"/>
      <c r="L262" s="559"/>
      <c r="M262" s="559"/>
      <c r="N262" s="559"/>
      <c r="O262" s="559"/>
      <c r="P262" s="559"/>
      <c r="Q262" s="559"/>
      <c r="R262" s="559"/>
      <c r="S262" s="559"/>
      <c r="T262" s="559"/>
      <c r="U262" s="559"/>
      <c r="V262" s="559"/>
      <c r="W262" s="559"/>
      <c r="X262" s="559"/>
      <c r="Y262" s="559"/>
      <c r="Z262" s="559"/>
      <c r="AA262" s="559"/>
      <c r="AB262" s="559"/>
      <c r="AC262" s="559"/>
      <c r="AD262" s="559"/>
      <c r="AE262" s="559"/>
      <c r="AF262" s="559"/>
      <c r="AG262" s="559"/>
    </row>
    <row r="263" spans="1:33" ht="18" x14ac:dyDescent="0.35">
      <c r="A263" s="559"/>
      <c r="B263" s="559"/>
      <c r="C263" s="559"/>
      <c r="D263" s="559"/>
      <c r="E263" s="559"/>
      <c r="F263" s="559"/>
      <c r="G263" s="559"/>
      <c r="H263" s="559"/>
      <c r="I263" s="559"/>
      <c r="J263" s="559"/>
      <c r="K263" s="559"/>
      <c r="L263" s="559"/>
      <c r="M263" s="559"/>
      <c r="N263" s="559"/>
      <c r="O263" s="559"/>
      <c r="P263" s="559"/>
      <c r="Q263" s="559"/>
      <c r="R263" s="559"/>
      <c r="S263" s="559"/>
      <c r="T263" s="559"/>
      <c r="U263" s="559"/>
      <c r="V263" s="559"/>
      <c r="W263" s="559"/>
      <c r="X263" s="559"/>
      <c r="Y263" s="559"/>
      <c r="Z263" s="559"/>
      <c r="AA263" s="559"/>
      <c r="AB263" s="559"/>
      <c r="AC263" s="559"/>
      <c r="AD263" s="559"/>
      <c r="AE263" s="559"/>
      <c r="AF263" s="559"/>
      <c r="AG263" s="559"/>
    </row>
    <row r="264" spans="1:33" ht="18" x14ac:dyDescent="0.35">
      <c r="A264" s="559"/>
      <c r="B264" s="559"/>
      <c r="C264" s="559"/>
      <c r="D264" s="559"/>
      <c r="E264" s="559"/>
      <c r="F264" s="559"/>
      <c r="G264" s="559"/>
      <c r="H264" s="559"/>
      <c r="I264" s="559"/>
      <c r="J264" s="559"/>
      <c r="K264" s="559"/>
      <c r="L264" s="559"/>
      <c r="M264" s="559"/>
      <c r="N264" s="559"/>
      <c r="O264" s="559"/>
      <c r="P264" s="559"/>
      <c r="Q264" s="559"/>
      <c r="R264" s="559"/>
      <c r="S264" s="559"/>
      <c r="T264" s="559"/>
      <c r="U264" s="559"/>
      <c r="V264" s="559"/>
      <c r="W264" s="559"/>
      <c r="X264" s="559"/>
      <c r="Y264" s="559"/>
      <c r="Z264" s="559"/>
      <c r="AA264" s="559"/>
      <c r="AB264" s="559"/>
      <c r="AC264" s="559"/>
      <c r="AD264" s="559"/>
      <c r="AE264" s="559"/>
      <c r="AF264" s="559"/>
      <c r="AG264" s="559"/>
    </row>
    <row r="265" spans="1:33" ht="18" x14ac:dyDescent="0.35">
      <c r="A265" s="559"/>
      <c r="B265" s="559"/>
      <c r="C265" s="559"/>
      <c r="D265" s="559"/>
      <c r="E265" s="559"/>
      <c r="F265" s="559"/>
      <c r="G265" s="559"/>
      <c r="H265" s="559"/>
      <c r="I265" s="559"/>
      <c r="J265" s="559"/>
      <c r="K265" s="559"/>
      <c r="L265" s="559"/>
      <c r="M265" s="559"/>
      <c r="N265" s="559"/>
      <c r="O265" s="559"/>
      <c r="P265" s="559"/>
      <c r="Q265" s="559"/>
      <c r="R265" s="559"/>
      <c r="S265" s="559"/>
      <c r="T265" s="559"/>
      <c r="U265" s="559"/>
      <c r="V265" s="559"/>
      <c r="W265" s="559"/>
      <c r="X265" s="559"/>
      <c r="Y265" s="559"/>
      <c r="Z265" s="559"/>
      <c r="AA265" s="559"/>
      <c r="AB265" s="559"/>
      <c r="AC265" s="559"/>
      <c r="AD265" s="559"/>
      <c r="AE265" s="559"/>
      <c r="AF265" s="559"/>
      <c r="AG265" s="559"/>
    </row>
    <row r="266" spans="1:33" ht="18" x14ac:dyDescent="0.35">
      <c r="A266" s="559"/>
      <c r="B266" s="559"/>
      <c r="C266" s="559"/>
      <c r="D266" s="559"/>
      <c r="E266" s="559"/>
      <c r="F266" s="559"/>
      <c r="G266" s="559"/>
      <c r="H266" s="559"/>
      <c r="I266" s="559"/>
      <c r="J266" s="559"/>
      <c r="K266" s="559"/>
      <c r="L266" s="559"/>
      <c r="M266" s="559"/>
      <c r="N266" s="559"/>
      <c r="O266" s="559"/>
      <c r="P266" s="559"/>
      <c r="Q266" s="559"/>
      <c r="R266" s="559"/>
      <c r="S266" s="559"/>
      <c r="T266" s="559"/>
      <c r="U266" s="559"/>
      <c r="V266" s="559"/>
      <c r="W266" s="559"/>
      <c r="X266" s="559"/>
      <c r="Y266" s="559"/>
      <c r="Z266" s="559"/>
      <c r="AA266" s="559"/>
      <c r="AB266" s="559"/>
      <c r="AC266" s="559"/>
      <c r="AD266" s="559"/>
      <c r="AE266" s="559"/>
      <c r="AF266" s="559"/>
      <c r="AG266" s="559"/>
    </row>
    <row r="267" spans="1:33" ht="18" x14ac:dyDescent="0.35">
      <c r="A267" s="559"/>
      <c r="B267" s="559"/>
      <c r="C267" s="559"/>
      <c r="D267" s="559"/>
      <c r="E267" s="559"/>
      <c r="F267" s="559"/>
      <c r="G267" s="559"/>
      <c r="H267" s="559"/>
      <c r="I267" s="559"/>
      <c r="J267" s="559"/>
      <c r="K267" s="559"/>
      <c r="L267" s="559"/>
      <c r="M267" s="559"/>
      <c r="N267" s="559"/>
      <c r="O267" s="559"/>
      <c r="P267" s="559"/>
      <c r="Q267" s="559"/>
      <c r="R267" s="559"/>
      <c r="S267" s="559"/>
      <c r="T267" s="559"/>
      <c r="U267" s="559"/>
      <c r="V267" s="559"/>
      <c r="W267" s="559"/>
      <c r="X267" s="559"/>
      <c r="Y267" s="559"/>
      <c r="Z267" s="559"/>
      <c r="AA267" s="559"/>
      <c r="AB267" s="559"/>
      <c r="AC267" s="559"/>
      <c r="AD267" s="559"/>
      <c r="AE267" s="559"/>
      <c r="AF267" s="559"/>
      <c r="AG267" s="559"/>
    </row>
    <row r="268" spans="1:33" ht="18" x14ac:dyDescent="0.35">
      <c r="A268" s="559"/>
      <c r="B268" s="559"/>
      <c r="C268" s="559"/>
      <c r="D268" s="559"/>
      <c r="E268" s="559"/>
      <c r="F268" s="559"/>
      <c r="G268" s="559"/>
      <c r="H268" s="559"/>
      <c r="I268" s="559"/>
      <c r="J268" s="559"/>
      <c r="K268" s="559"/>
      <c r="L268" s="559"/>
      <c r="M268" s="559"/>
      <c r="N268" s="559"/>
      <c r="O268" s="559"/>
      <c r="P268" s="559"/>
      <c r="Q268" s="559"/>
      <c r="R268" s="559"/>
      <c r="S268" s="559"/>
      <c r="T268" s="559"/>
      <c r="U268" s="559"/>
      <c r="V268" s="559"/>
      <c r="W268" s="559"/>
      <c r="X268" s="559"/>
      <c r="Y268" s="559"/>
      <c r="Z268" s="559"/>
      <c r="AA268" s="559"/>
      <c r="AB268" s="559"/>
      <c r="AC268" s="559"/>
      <c r="AD268" s="559"/>
      <c r="AE268" s="559"/>
      <c r="AF268" s="559"/>
      <c r="AG268" s="559"/>
    </row>
    <row r="269" spans="1:33" ht="18" x14ac:dyDescent="0.35">
      <c r="A269" s="559"/>
      <c r="B269" s="559"/>
      <c r="C269" s="559"/>
      <c r="D269" s="559"/>
      <c r="E269" s="559"/>
      <c r="F269" s="559"/>
      <c r="G269" s="559"/>
      <c r="H269" s="559"/>
      <c r="I269" s="559"/>
      <c r="J269" s="559"/>
      <c r="K269" s="559"/>
      <c r="L269" s="559"/>
      <c r="M269" s="559"/>
      <c r="N269" s="559"/>
      <c r="O269" s="559"/>
      <c r="P269" s="559"/>
      <c r="Q269" s="559"/>
      <c r="R269" s="559"/>
      <c r="S269" s="559"/>
      <c r="T269" s="559"/>
      <c r="U269" s="559"/>
      <c r="V269" s="559"/>
      <c r="W269" s="559"/>
      <c r="X269" s="559"/>
      <c r="Y269" s="559"/>
      <c r="Z269" s="559"/>
      <c r="AA269" s="559"/>
      <c r="AB269" s="559"/>
      <c r="AC269" s="559"/>
      <c r="AD269" s="559"/>
      <c r="AE269" s="559"/>
      <c r="AF269" s="559"/>
      <c r="AG269" s="559"/>
    </row>
    <row r="270" spans="1:33" ht="18" x14ac:dyDescent="0.35">
      <c r="A270" s="559"/>
      <c r="B270" s="559"/>
      <c r="C270" s="559"/>
      <c r="D270" s="559"/>
      <c r="E270" s="559"/>
      <c r="F270" s="559"/>
      <c r="G270" s="559"/>
      <c r="H270" s="559"/>
      <c r="I270" s="559"/>
      <c r="J270" s="559"/>
      <c r="K270" s="559"/>
      <c r="L270" s="559"/>
      <c r="M270" s="559"/>
      <c r="N270" s="559"/>
      <c r="O270" s="559"/>
      <c r="P270" s="559"/>
      <c r="Q270" s="559"/>
      <c r="R270" s="559"/>
      <c r="S270" s="559"/>
      <c r="T270" s="559"/>
      <c r="U270" s="559"/>
      <c r="V270" s="559"/>
      <c r="W270" s="559"/>
      <c r="X270" s="559"/>
      <c r="Y270" s="559"/>
      <c r="Z270" s="559"/>
      <c r="AA270" s="559"/>
      <c r="AB270" s="559"/>
      <c r="AC270" s="559"/>
      <c r="AD270" s="559"/>
      <c r="AE270" s="559"/>
      <c r="AF270" s="559"/>
      <c r="AG270" s="559"/>
    </row>
    <row r="271" spans="1:33" ht="18" x14ac:dyDescent="0.35">
      <c r="A271" s="559"/>
      <c r="B271" s="559"/>
      <c r="C271" s="559"/>
      <c r="D271" s="559"/>
      <c r="E271" s="559"/>
      <c r="F271" s="559"/>
      <c r="G271" s="559"/>
      <c r="H271" s="559"/>
      <c r="I271" s="559"/>
      <c r="J271" s="559"/>
      <c r="K271" s="559"/>
      <c r="L271" s="559"/>
      <c r="M271" s="559"/>
      <c r="N271" s="559"/>
      <c r="O271" s="559"/>
      <c r="P271" s="559"/>
      <c r="Q271" s="559"/>
      <c r="R271" s="559"/>
      <c r="S271" s="559"/>
      <c r="T271" s="559"/>
      <c r="U271" s="559"/>
      <c r="V271" s="559"/>
      <c r="W271" s="559"/>
      <c r="X271" s="559"/>
      <c r="Y271" s="559"/>
      <c r="Z271" s="559"/>
      <c r="AA271" s="559"/>
      <c r="AB271" s="559"/>
      <c r="AC271" s="559"/>
      <c r="AD271" s="559"/>
      <c r="AE271" s="559"/>
      <c r="AF271" s="559"/>
      <c r="AG271" s="559"/>
    </row>
    <row r="272" spans="1:33" ht="18" x14ac:dyDescent="0.35">
      <c r="A272" s="559"/>
      <c r="B272" s="559"/>
      <c r="C272" s="559"/>
      <c r="D272" s="559"/>
      <c r="E272" s="559"/>
      <c r="F272" s="559"/>
      <c r="G272" s="559"/>
      <c r="H272" s="559"/>
      <c r="I272" s="559"/>
      <c r="J272" s="559"/>
      <c r="K272" s="559"/>
      <c r="L272" s="559"/>
      <c r="M272" s="559"/>
      <c r="N272" s="559"/>
      <c r="O272" s="559"/>
      <c r="P272" s="559"/>
      <c r="Q272" s="559"/>
      <c r="R272" s="559"/>
      <c r="S272" s="559"/>
      <c r="T272" s="559"/>
      <c r="U272" s="559"/>
      <c r="V272" s="559"/>
      <c r="W272" s="559"/>
      <c r="X272" s="559"/>
      <c r="Y272" s="559"/>
      <c r="Z272" s="559"/>
      <c r="AA272" s="559"/>
      <c r="AB272" s="559"/>
      <c r="AC272" s="559"/>
      <c r="AD272" s="559"/>
      <c r="AE272" s="559"/>
      <c r="AF272" s="559"/>
      <c r="AG272" s="559"/>
    </row>
    <row r="273" spans="1:33" ht="18" x14ac:dyDescent="0.35">
      <c r="A273" s="559"/>
      <c r="B273" s="559"/>
      <c r="C273" s="559"/>
      <c r="D273" s="559"/>
      <c r="E273" s="559"/>
      <c r="F273" s="559"/>
      <c r="G273" s="559"/>
      <c r="H273" s="559"/>
      <c r="I273" s="559"/>
      <c r="J273" s="559"/>
      <c r="K273" s="559"/>
      <c r="L273" s="559"/>
      <c r="M273" s="559"/>
      <c r="N273" s="559"/>
      <c r="O273" s="559"/>
      <c r="P273" s="559"/>
      <c r="Q273" s="559"/>
      <c r="R273" s="559"/>
      <c r="S273" s="559"/>
      <c r="T273" s="559"/>
      <c r="U273" s="559"/>
      <c r="V273" s="559"/>
      <c r="W273" s="559"/>
      <c r="X273" s="559"/>
      <c r="Y273" s="559"/>
      <c r="Z273" s="559"/>
      <c r="AA273" s="559"/>
      <c r="AB273" s="559"/>
      <c r="AC273" s="559"/>
      <c r="AD273" s="559"/>
      <c r="AE273" s="559"/>
      <c r="AF273" s="559"/>
      <c r="AG273" s="559"/>
    </row>
    <row r="274" spans="1:33" ht="18" x14ac:dyDescent="0.35">
      <c r="A274" s="559"/>
      <c r="B274" s="559"/>
      <c r="C274" s="559"/>
      <c r="D274" s="559"/>
      <c r="E274" s="559"/>
      <c r="F274" s="559"/>
      <c r="G274" s="559"/>
      <c r="H274" s="559"/>
      <c r="I274" s="559"/>
      <c r="J274" s="559"/>
      <c r="K274" s="559"/>
      <c r="L274" s="559"/>
      <c r="M274" s="559"/>
      <c r="N274" s="559"/>
      <c r="O274" s="559"/>
      <c r="P274" s="559"/>
      <c r="Q274" s="559"/>
      <c r="R274" s="559"/>
      <c r="S274" s="559"/>
      <c r="T274" s="559"/>
      <c r="U274" s="559"/>
      <c r="V274" s="559"/>
      <c r="W274" s="559"/>
      <c r="X274" s="559"/>
      <c r="Y274" s="559"/>
      <c r="Z274" s="559"/>
      <c r="AA274" s="559"/>
      <c r="AB274" s="559"/>
      <c r="AC274" s="559"/>
      <c r="AD274" s="559"/>
      <c r="AE274" s="559"/>
      <c r="AF274" s="559"/>
      <c r="AG274" s="559"/>
    </row>
    <row r="275" spans="1:33" ht="18" x14ac:dyDescent="0.35">
      <c r="A275" s="559"/>
      <c r="B275" s="559"/>
      <c r="C275" s="559"/>
      <c r="D275" s="559"/>
      <c r="E275" s="559"/>
      <c r="F275" s="559"/>
      <c r="G275" s="559"/>
      <c r="H275" s="559"/>
      <c r="I275" s="559"/>
      <c r="J275" s="559"/>
      <c r="K275" s="559"/>
      <c r="L275" s="559"/>
      <c r="M275" s="559"/>
      <c r="N275" s="559"/>
      <c r="O275" s="559"/>
      <c r="P275" s="559"/>
      <c r="Q275" s="559"/>
      <c r="R275" s="559"/>
      <c r="S275" s="559"/>
      <c r="T275" s="559"/>
      <c r="U275" s="559"/>
      <c r="V275" s="559"/>
      <c r="W275" s="559"/>
      <c r="X275" s="559"/>
      <c r="Y275" s="559"/>
      <c r="Z275" s="559"/>
      <c r="AA275" s="559"/>
      <c r="AB275" s="559"/>
      <c r="AC275" s="559"/>
      <c r="AD275" s="559"/>
      <c r="AE275" s="559"/>
      <c r="AF275" s="559"/>
      <c r="AG275" s="559"/>
    </row>
    <row r="276" spans="1:33" ht="18" x14ac:dyDescent="0.35">
      <c r="A276" s="559"/>
      <c r="B276" s="559"/>
      <c r="C276" s="559"/>
      <c r="D276" s="559"/>
      <c r="E276" s="559"/>
      <c r="F276" s="559"/>
      <c r="G276" s="559"/>
      <c r="H276" s="559"/>
      <c r="I276" s="559"/>
      <c r="J276" s="559"/>
      <c r="K276" s="559"/>
      <c r="L276" s="559"/>
      <c r="M276" s="559"/>
      <c r="N276" s="559"/>
      <c r="O276" s="559"/>
      <c r="P276" s="559"/>
      <c r="Q276" s="559"/>
      <c r="R276" s="559"/>
      <c r="S276" s="559"/>
      <c r="T276" s="559"/>
      <c r="U276" s="559"/>
      <c r="V276" s="559"/>
      <c r="W276" s="559"/>
      <c r="X276" s="559"/>
      <c r="Y276" s="559"/>
      <c r="Z276" s="559"/>
      <c r="AA276" s="559"/>
      <c r="AB276" s="559"/>
      <c r="AC276" s="559"/>
      <c r="AD276" s="559"/>
      <c r="AE276" s="559"/>
      <c r="AF276" s="559"/>
      <c r="AG276" s="559"/>
    </row>
    <row r="277" spans="1:33" ht="18" x14ac:dyDescent="0.35">
      <c r="A277" s="559"/>
      <c r="B277" s="559"/>
      <c r="C277" s="559"/>
      <c r="D277" s="559"/>
      <c r="E277" s="559"/>
      <c r="F277" s="559"/>
      <c r="G277" s="559"/>
      <c r="H277" s="559"/>
      <c r="I277" s="559"/>
      <c r="J277" s="559"/>
      <c r="K277" s="559"/>
      <c r="L277" s="559"/>
      <c r="M277" s="559"/>
      <c r="N277" s="559"/>
      <c r="O277" s="559"/>
      <c r="P277" s="559"/>
      <c r="Q277" s="559"/>
      <c r="R277" s="559"/>
      <c r="S277" s="559"/>
      <c r="T277" s="559"/>
      <c r="U277" s="559"/>
      <c r="V277" s="559"/>
      <c r="W277" s="559"/>
      <c r="X277" s="559"/>
      <c r="Y277" s="559"/>
      <c r="Z277" s="559"/>
      <c r="AA277" s="559"/>
      <c r="AB277" s="559"/>
      <c r="AC277" s="559"/>
      <c r="AD277" s="559"/>
      <c r="AE277" s="559"/>
      <c r="AF277" s="559"/>
      <c r="AG277" s="559"/>
    </row>
    <row r="278" spans="1:33" ht="18" x14ac:dyDescent="0.35">
      <c r="A278" s="559"/>
      <c r="B278" s="559"/>
      <c r="C278" s="559"/>
      <c r="D278" s="559"/>
      <c r="E278" s="559"/>
      <c r="F278" s="559"/>
      <c r="G278" s="559"/>
      <c r="H278" s="559"/>
      <c r="I278" s="559"/>
      <c r="J278" s="559"/>
      <c r="K278" s="559"/>
      <c r="L278" s="559"/>
      <c r="M278" s="559"/>
      <c r="N278" s="559"/>
      <c r="O278" s="559"/>
      <c r="P278" s="559"/>
      <c r="Q278" s="559"/>
      <c r="R278" s="559"/>
      <c r="S278" s="559"/>
      <c r="T278" s="559"/>
      <c r="U278" s="559"/>
      <c r="V278" s="559"/>
      <c r="W278" s="559"/>
      <c r="X278" s="559"/>
      <c r="Y278" s="559"/>
      <c r="Z278" s="559"/>
      <c r="AA278" s="559"/>
      <c r="AB278" s="559"/>
      <c r="AC278" s="559"/>
      <c r="AD278" s="559"/>
      <c r="AE278" s="559"/>
      <c r="AF278" s="559"/>
      <c r="AG278" s="559"/>
    </row>
    <row r="279" spans="1:33" ht="18" x14ac:dyDescent="0.35">
      <c r="A279" s="559"/>
      <c r="B279" s="559"/>
      <c r="C279" s="559"/>
      <c r="D279" s="559"/>
      <c r="E279" s="559"/>
      <c r="F279" s="559"/>
      <c r="G279" s="559"/>
      <c r="H279" s="559"/>
      <c r="I279" s="559"/>
      <c r="J279" s="559"/>
      <c r="K279" s="559"/>
      <c r="L279" s="559"/>
      <c r="M279" s="559"/>
      <c r="N279" s="559"/>
      <c r="O279" s="559"/>
      <c r="P279" s="559"/>
      <c r="Q279" s="559"/>
      <c r="R279" s="559"/>
      <c r="S279" s="559"/>
      <c r="T279" s="559"/>
      <c r="U279" s="559"/>
      <c r="V279" s="559"/>
      <c r="W279" s="559"/>
      <c r="X279" s="559"/>
      <c r="Y279" s="559"/>
      <c r="Z279" s="559"/>
      <c r="AA279" s="559"/>
      <c r="AB279" s="559"/>
      <c r="AC279" s="559"/>
      <c r="AD279" s="559"/>
      <c r="AE279" s="559"/>
      <c r="AF279" s="559"/>
      <c r="AG279" s="559"/>
    </row>
    <row r="280" spans="1:33" ht="18" x14ac:dyDescent="0.35">
      <c r="A280" s="559"/>
      <c r="B280" s="559"/>
      <c r="C280" s="559"/>
      <c r="D280" s="559"/>
      <c r="E280" s="559"/>
      <c r="F280" s="559"/>
      <c r="G280" s="559"/>
      <c r="H280" s="559"/>
      <c r="I280" s="559"/>
      <c r="J280" s="559"/>
      <c r="K280" s="559"/>
      <c r="L280" s="559"/>
      <c r="M280" s="559"/>
      <c r="N280" s="559"/>
      <c r="O280" s="559"/>
      <c r="P280" s="559"/>
      <c r="Q280" s="559"/>
      <c r="R280" s="559"/>
      <c r="S280" s="559"/>
      <c r="T280" s="559"/>
      <c r="U280" s="559"/>
      <c r="V280" s="559"/>
      <c r="W280" s="559"/>
      <c r="X280" s="559"/>
      <c r="Y280" s="559"/>
      <c r="Z280" s="559"/>
      <c r="AA280" s="559"/>
      <c r="AB280" s="559"/>
      <c r="AC280" s="559"/>
      <c r="AD280" s="559"/>
      <c r="AE280" s="559"/>
      <c r="AF280" s="559"/>
      <c r="AG280" s="559"/>
    </row>
    <row r="281" spans="1:33" ht="18" x14ac:dyDescent="0.35">
      <c r="A281" s="559"/>
      <c r="B281" s="559"/>
      <c r="C281" s="559"/>
      <c r="D281" s="559"/>
      <c r="E281" s="559"/>
      <c r="F281" s="559"/>
      <c r="G281" s="559"/>
      <c r="H281" s="559"/>
      <c r="I281" s="559"/>
      <c r="J281" s="559"/>
      <c r="K281" s="559"/>
      <c r="L281" s="559"/>
      <c r="M281" s="559"/>
      <c r="N281" s="559"/>
      <c r="O281" s="559"/>
      <c r="P281" s="559"/>
      <c r="Q281" s="559"/>
      <c r="R281" s="559"/>
      <c r="S281" s="559"/>
      <c r="T281" s="559"/>
      <c r="U281" s="559"/>
      <c r="V281" s="559"/>
      <c r="W281" s="559"/>
      <c r="X281" s="559"/>
      <c r="Y281" s="559"/>
      <c r="Z281" s="559"/>
      <c r="AA281" s="559"/>
      <c r="AB281" s="559"/>
      <c r="AC281" s="559"/>
      <c r="AD281" s="559"/>
      <c r="AE281" s="559"/>
      <c r="AF281" s="559"/>
      <c r="AG281" s="559"/>
    </row>
    <row r="282" spans="1:33" ht="18" x14ac:dyDescent="0.35">
      <c r="A282" s="559"/>
      <c r="B282" s="559"/>
      <c r="C282" s="559"/>
      <c r="D282" s="559"/>
      <c r="E282" s="559"/>
      <c r="F282" s="559"/>
      <c r="G282" s="559"/>
      <c r="H282" s="559"/>
      <c r="I282" s="559"/>
      <c r="J282" s="559"/>
      <c r="K282" s="559"/>
      <c r="L282" s="559"/>
      <c r="M282" s="559"/>
      <c r="N282" s="559"/>
      <c r="O282" s="559"/>
      <c r="P282" s="559"/>
      <c r="Q282" s="559"/>
      <c r="R282" s="559"/>
      <c r="S282" s="559"/>
      <c r="T282" s="559"/>
      <c r="U282" s="559"/>
      <c r="V282" s="559"/>
      <c r="W282" s="559"/>
      <c r="X282" s="559"/>
      <c r="Y282" s="559"/>
      <c r="Z282" s="559"/>
      <c r="AA282" s="559"/>
      <c r="AB282" s="559"/>
      <c r="AC282" s="559"/>
      <c r="AD282" s="559"/>
      <c r="AE282" s="559"/>
      <c r="AF282" s="559"/>
      <c r="AG282" s="559"/>
    </row>
    <row r="283" spans="1:33" ht="18" x14ac:dyDescent="0.35">
      <c r="A283" s="559"/>
      <c r="B283" s="559"/>
      <c r="C283" s="559"/>
      <c r="D283" s="559"/>
      <c r="E283" s="559"/>
      <c r="F283" s="559"/>
      <c r="G283" s="559"/>
      <c r="H283" s="559"/>
      <c r="I283" s="559"/>
      <c r="J283" s="559"/>
      <c r="K283" s="559"/>
      <c r="L283" s="559"/>
      <c r="M283" s="559"/>
      <c r="N283" s="559"/>
      <c r="O283" s="559"/>
      <c r="P283" s="559"/>
      <c r="Q283" s="559"/>
      <c r="R283" s="559"/>
      <c r="S283" s="559"/>
      <c r="T283" s="559"/>
      <c r="U283" s="559"/>
      <c r="V283" s="559"/>
      <c r="W283" s="559"/>
      <c r="X283" s="559"/>
      <c r="Y283" s="559"/>
      <c r="Z283" s="559"/>
      <c r="AA283" s="559"/>
      <c r="AB283" s="559"/>
      <c r="AC283" s="559"/>
      <c r="AD283" s="559"/>
      <c r="AE283" s="559"/>
      <c r="AF283" s="559"/>
      <c r="AG283" s="559"/>
    </row>
    <row r="284" spans="1:33" ht="18" x14ac:dyDescent="0.35">
      <c r="A284" s="559"/>
      <c r="B284" s="559"/>
      <c r="C284" s="559"/>
      <c r="D284" s="559"/>
      <c r="E284" s="559"/>
      <c r="F284" s="559"/>
      <c r="G284" s="559"/>
      <c r="H284" s="559"/>
      <c r="I284" s="559"/>
      <c r="J284" s="559"/>
      <c r="K284" s="559"/>
      <c r="L284" s="559"/>
      <c r="M284" s="559"/>
      <c r="N284" s="559"/>
      <c r="O284" s="559"/>
      <c r="P284" s="559"/>
      <c r="Q284" s="559"/>
      <c r="R284" s="559"/>
      <c r="S284" s="559"/>
      <c r="T284" s="559"/>
      <c r="U284" s="559"/>
      <c r="V284" s="559"/>
      <c r="W284" s="559"/>
      <c r="X284" s="559"/>
      <c r="Y284" s="559"/>
      <c r="Z284" s="559"/>
      <c r="AA284" s="559"/>
      <c r="AB284" s="559"/>
      <c r="AC284" s="559"/>
      <c r="AD284" s="559"/>
      <c r="AE284" s="559"/>
      <c r="AF284" s="559"/>
      <c r="AG284" s="559"/>
    </row>
    <row r="285" spans="1:33" ht="18" x14ac:dyDescent="0.35">
      <c r="A285" s="559"/>
      <c r="B285" s="559"/>
      <c r="C285" s="559"/>
      <c r="D285" s="559"/>
      <c r="E285" s="559"/>
      <c r="F285" s="559"/>
      <c r="G285" s="559"/>
      <c r="H285" s="559"/>
      <c r="I285" s="559"/>
      <c r="J285" s="559"/>
      <c r="K285" s="559"/>
      <c r="L285" s="559"/>
      <c r="M285" s="559"/>
      <c r="N285" s="559"/>
      <c r="O285" s="559"/>
      <c r="P285" s="559"/>
      <c r="Q285" s="559"/>
      <c r="R285" s="559"/>
      <c r="S285" s="559"/>
      <c r="T285" s="559"/>
      <c r="U285" s="559"/>
      <c r="V285" s="559"/>
      <c r="W285" s="559"/>
      <c r="X285" s="559"/>
      <c r="Y285" s="559"/>
      <c r="Z285" s="559"/>
      <c r="AA285" s="559"/>
      <c r="AB285" s="559"/>
      <c r="AC285" s="559"/>
      <c r="AD285" s="559"/>
      <c r="AE285" s="559"/>
      <c r="AF285" s="559"/>
      <c r="AG285" s="559"/>
    </row>
    <row r="286" spans="1:33" ht="18" x14ac:dyDescent="0.35">
      <c r="A286" s="559"/>
      <c r="B286" s="559"/>
      <c r="C286" s="559"/>
      <c r="D286" s="559"/>
      <c r="E286" s="559"/>
      <c r="F286" s="559"/>
      <c r="G286" s="559"/>
      <c r="H286" s="559"/>
      <c r="I286" s="559"/>
      <c r="J286" s="559"/>
      <c r="K286" s="559"/>
      <c r="L286" s="559"/>
      <c r="M286" s="559"/>
      <c r="N286" s="559"/>
      <c r="O286" s="559"/>
      <c r="P286" s="559"/>
      <c r="Q286" s="559"/>
      <c r="R286" s="559"/>
      <c r="S286" s="559"/>
      <c r="T286" s="559"/>
      <c r="U286" s="559"/>
      <c r="V286" s="559"/>
      <c r="W286" s="559"/>
      <c r="X286" s="559"/>
      <c r="Y286" s="559"/>
      <c r="Z286" s="559"/>
      <c r="AA286" s="559"/>
      <c r="AB286" s="559"/>
      <c r="AC286" s="559"/>
      <c r="AD286" s="559"/>
      <c r="AE286" s="559"/>
      <c r="AF286" s="559"/>
      <c r="AG286" s="559"/>
    </row>
    <row r="287" spans="1:33" ht="18" x14ac:dyDescent="0.35">
      <c r="A287" s="559"/>
      <c r="B287" s="559"/>
      <c r="C287" s="559"/>
      <c r="D287" s="559"/>
      <c r="E287" s="559"/>
      <c r="F287" s="559"/>
      <c r="G287" s="559"/>
      <c r="H287" s="559"/>
      <c r="I287" s="559"/>
      <c r="J287" s="559"/>
      <c r="K287" s="559"/>
      <c r="L287" s="559"/>
      <c r="M287" s="559"/>
      <c r="N287" s="559"/>
      <c r="O287" s="559"/>
      <c r="P287" s="559"/>
      <c r="Q287" s="559"/>
      <c r="R287" s="559"/>
      <c r="S287" s="559"/>
      <c r="T287" s="559"/>
      <c r="U287" s="559"/>
      <c r="V287" s="559"/>
      <c r="W287" s="559"/>
      <c r="X287" s="559"/>
      <c r="Y287" s="559"/>
      <c r="Z287" s="559"/>
      <c r="AA287" s="559"/>
      <c r="AB287" s="559"/>
      <c r="AC287" s="559"/>
      <c r="AD287" s="559"/>
      <c r="AE287" s="559"/>
      <c r="AF287" s="559"/>
      <c r="AG287" s="559"/>
    </row>
    <row r="288" spans="1:33" ht="18" x14ac:dyDescent="0.35">
      <c r="A288" s="559"/>
      <c r="B288" s="559"/>
      <c r="C288" s="559"/>
      <c r="D288" s="559"/>
      <c r="E288" s="559"/>
      <c r="F288" s="559"/>
      <c r="G288" s="559"/>
      <c r="H288" s="559"/>
      <c r="I288" s="559"/>
      <c r="J288" s="559"/>
      <c r="K288" s="559"/>
      <c r="L288" s="559"/>
      <c r="M288" s="559"/>
      <c r="N288" s="559"/>
      <c r="O288" s="559"/>
      <c r="P288" s="559"/>
      <c r="Q288" s="559"/>
      <c r="R288" s="559"/>
      <c r="S288" s="559"/>
      <c r="T288" s="559"/>
      <c r="U288" s="559"/>
      <c r="V288" s="559"/>
      <c r="W288" s="559"/>
      <c r="X288" s="559"/>
      <c r="Y288" s="559"/>
      <c r="Z288" s="559"/>
      <c r="AA288" s="559"/>
      <c r="AB288" s="559"/>
      <c r="AC288" s="559"/>
      <c r="AD288" s="559"/>
      <c r="AE288" s="559"/>
      <c r="AF288" s="559"/>
      <c r="AG288" s="559"/>
    </row>
    <row r="289" spans="1:33" ht="18" x14ac:dyDescent="0.35">
      <c r="A289" s="559"/>
      <c r="B289" s="559"/>
      <c r="C289" s="559"/>
      <c r="D289" s="559"/>
      <c r="E289" s="559"/>
      <c r="F289" s="559"/>
      <c r="G289" s="559"/>
      <c r="H289" s="559"/>
      <c r="I289" s="559"/>
      <c r="J289" s="559"/>
      <c r="K289" s="559"/>
      <c r="L289" s="559"/>
      <c r="M289" s="559"/>
      <c r="N289" s="559"/>
      <c r="O289" s="559"/>
      <c r="P289" s="559"/>
      <c r="Q289" s="559"/>
      <c r="R289" s="559"/>
      <c r="S289" s="559"/>
      <c r="T289" s="559"/>
      <c r="U289" s="559"/>
      <c r="V289" s="559"/>
      <c r="W289" s="559"/>
      <c r="X289" s="559"/>
      <c r="Y289" s="559"/>
      <c r="Z289" s="559"/>
      <c r="AA289" s="559"/>
      <c r="AB289" s="559"/>
      <c r="AC289" s="559"/>
      <c r="AD289" s="559"/>
      <c r="AE289" s="559"/>
      <c r="AF289" s="559"/>
      <c r="AG289" s="559"/>
    </row>
    <row r="290" spans="1:33" ht="18" x14ac:dyDescent="0.35">
      <c r="A290" s="559"/>
      <c r="B290" s="559"/>
      <c r="C290" s="559"/>
      <c r="D290" s="559"/>
      <c r="E290" s="559"/>
      <c r="F290" s="559"/>
      <c r="G290" s="559"/>
      <c r="H290" s="559"/>
      <c r="I290" s="559"/>
      <c r="J290" s="559"/>
      <c r="K290" s="559"/>
      <c r="L290" s="559"/>
      <c r="M290" s="559"/>
      <c r="N290" s="559"/>
      <c r="O290" s="559"/>
      <c r="P290" s="559"/>
      <c r="Q290" s="559"/>
      <c r="R290" s="559"/>
      <c r="S290" s="559"/>
      <c r="T290" s="559"/>
      <c r="U290" s="559"/>
      <c r="V290" s="559"/>
      <c r="W290" s="559"/>
      <c r="X290" s="559"/>
      <c r="Y290" s="559"/>
      <c r="Z290" s="559"/>
      <c r="AA290" s="559"/>
      <c r="AB290" s="559"/>
      <c r="AC290" s="559"/>
      <c r="AD290" s="559"/>
      <c r="AE290" s="559"/>
      <c r="AF290" s="559"/>
      <c r="AG290" s="559"/>
    </row>
    <row r="291" spans="1:33" ht="18" x14ac:dyDescent="0.35">
      <c r="A291" s="559"/>
      <c r="B291" s="559"/>
      <c r="C291" s="559"/>
      <c r="D291" s="559"/>
      <c r="E291" s="559"/>
      <c r="F291" s="559"/>
      <c r="G291" s="559"/>
      <c r="H291" s="559"/>
      <c r="I291" s="559"/>
      <c r="J291" s="559"/>
      <c r="K291" s="559"/>
      <c r="L291" s="559"/>
      <c r="M291" s="559"/>
      <c r="N291" s="559"/>
      <c r="O291" s="559"/>
      <c r="P291" s="559"/>
      <c r="Q291" s="559"/>
      <c r="R291" s="559"/>
      <c r="S291" s="559"/>
      <c r="T291" s="559"/>
      <c r="U291" s="559"/>
      <c r="V291" s="559"/>
      <c r="W291" s="559"/>
      <c r="X291" s="559"/>
      <c r="Y291" s="559"/>
      <c r="Z291" s="559"/>
      <c r="AA291" s="559"/>
      <c r="AB291" s="559"/>
      <c r="AC291" s="559"/>
      <c r="AD291" s="559"/>
      <c r="AE291" s="559"/>
      <c r="AF291" s="559"/>
      <c r="AG291" s="559"/>
    </row>
    <row r="292" spans="1:33" ht="18" x14ac:dyDescent="0.35">
      <c r="A292" s="559"/>
      <c r="B292" s="559"/>
      <c r="C292" s="559"/>
      <c r="D292" s="559"/>
      <c r="E292" s="559"/>
      <c r="F292" s="559"/>
      <c r="G292" s="559"/>
      <c r="H292" s="559"/>
      <c r="I292" s="559"/>
      <c r="J292" s="559"/>
      <c r="K292" s="559"/>
      <c r="L292" s="559"/>
      <c r="M292" s="559"/>
      <c r="N292" s="559"/>
      <c r="O292" s="559"/>
      <c r="P292" s="559"/>
      <c r="Q292" s="559"/>
      <c r="R292" s="559"/>
      <c r="S292" s="559"/>
      <c r="T292" s="559"/>
      <c r="U292" s="559"/>
      <c r="V292" s="559"/>
      <c r="W292" s="559"/>
      <c r="X292" s="559"/>
      <c r="Y292" s="559"/>
      <c r="Z292" s="559"/>
      <c r="AA292" s="559"/>
      <c r="AB292" s="559"/>
      <c r="AC292" s="559"/>
      <c r="AD292" s="559"/>
      <c r="AE292" s="559"/>
      <c r="AF292" s="559"/>
      <c r="AG292" s="559"/>
    </row>
    <row r="293" spans="1:33" ht="18" x14ac:dyDescent="0.35">
      <c r="A293" s="559"/>
      <c r="B293" s="559"/>
      <c r="C293" s="559"/>
      <c r="D293" s="559"/>
      <c r="E293" s="559"/>
      <c r="F293" s="559"/>
      <c r="G293" s="559"/>
      <c r="H293" s="559"/>
      <c r="I293" s="559"/>
      <c r="J293" s="559"/>
      <c r="K293" s="559"/>
      <c r="L293" s="559"/>
      <c r="M293" s="559"/>
      <c r="N293" s="559"/>
      <c r="O293" s="559"/>
      <c r="P293" s="559"/>
      <c r="Q293" s="559"/>
      <c r="R293" s="559"/>
      <c r="S293" s="559"/>
      <c r="T293" s="559"/>
      <c r="U293" s="559"/>
      <c r="V293" s="559"/>
      <c r="W293" s="559"/>
      <c r="X293" s="559"/>
      <c r="Y293" s="559"/>
      <c r="Z293" s="559"/>
      <c r="AA293" s="559"/>
      <c r="AB293" s="559"/>
      <c r="AC293" s="559"/>
      <c r="AD293" s="559"/>
      <c r="AE293" s="559"/>
      <c r="AF293" s="559"/>
      <c r="AG293" s="559"/>
    </row>
    <row r="294" spans="1:33" ht="18" x14ac:dyDescent="0.35">
      <c r="A294" s="559"/>
      <c r="B294" s="559"/>
      <c r="C294" s="559"/>
      <c r="D294" s="559"/>
      <c r="E294" s="559"/>
      <c r="F294" s="559"/>
      <c r="G294" s="559"/>
      <c r="H294" s="559"/>
      <c r="I294" s="559"/>
      <c r="J294" s="559"/>
      <c r="K294" s="559"/>
      <c r="L294" s="559"/>
      <c r="M294" s="559"/>
      <c r="N294" s="559"/>
      <c r="O294" s="559"/>
      <c r="P294" s="559"/>
      <c r="Q294" s="559"/>
      <c r="R294" s="559"/>
      <c r="S294" s="559"/>
      <c r="T294" s="559"/>
      <c r="U294" s="559"/>
      <c r="V294" s="559"/>
      <c r="W294" s="559"/>
      <c r="X294" s="559"/>
      <c r="Y294" s="559"/>
      <c r="Z294" s="559"/>
      <c r="AA294" s="559"/>
      <c r="AB294" s="559"/>
      <c r="AC294" s="559"/>
      <c r="AD294" s="559"/>
      <c r="AE294" s="559"/>
      <c r="AF294" s="559"/>
      <c r="AG294" s="559"/>
    </row>
    <row r="295" spans="1:33" ht="18" x14ac:dyDescent="0.35">
      <c r="A295" s="559"/>
      <c r="B295" s="559"/>
      <c r="C295" s="559"/>
      <c r="D295" s="559"/>
      <c r="E295" s="559"/>
      <c r="F295" s="559"/>
      <c r="G295" s="559"/>
      <c r="H295" s="559"/>
      <c r="I295" s="559"/>
      <c r="J295" s="559"/>
      <c r="K295" s="559"/>
      <c r="L295" s="559"/>
      <c r="M295" s="559"/>
      <c r="N295" s="559"/>
      <c r="O295" s="559"/>
      <c r="P295" s="559"/>
      <c r="Q295" s="559"/>
      <c r="R295" s="559"/>
      <c r="S295" s="559"/>
      <c r="T295" s="559"/>
      <c r="U295" s="559"/>
      <c r="V295" s="559"/>
      <c r="W295" s="559"/>
      <c r="X295" s="559"/>
      <c r="Y295" s="559"/>
      <c r="Z295" s="559"/>
      <c r="AA295" s="559"/>
      <c r="AB295" s="559"/>
      <c r="AC295" s="559"/>
      <c r="AD295" s="559"/>
      <c r="AE295" s="559"/>
      <c r="AF295" s="559"/>
      <c r="AG295" s="559"/>
    </row>
    <row r="296" spans="1:33" ht="18" x14ac:dyDescent="0.35">
      <c r="A296" s="559"/>
      <c r="B296" s="559"/>
      <c r="C296" s="559"/>
      <c r="D296" s="559"/>
      <c r="E296" s="559"/>
      <c r="F296" s="559"/>
      <c r="G296" s="559"/>
      <c r="H296" s="559"/>
      <c r="I296" s="559"/>
      <c r="J296" s="559"/>
      <c r="K296" s="559"/>
      <c r="L296" s="559"/>
      <c r="M296" s="559"/>
      <c r="N296" s="559"/>
      <c r="O296" s="559"/>
      <c r="P296" s="559"/>
      <c r="Q296" s="559"/>
      <c r="R296" s="559"/>
      <c r="S296" s="559"/>
      <c r="T296" s="559"/>
      <c r="U296" s="559"/>
      <c r="V296" s="559"/>
      <c r="W296" s="559"/>
      <c r="X296" s="559"/>
      <c r="Y296" s="559"/>
      <c r="Z296" s="559"/>
      <c r="AA296" s="559"/>
      <c r="AB296" s="559"/>
      <c r="AC296" s="559"/>
      <c r="AD296" s="559"/>
      <c r="AE296" s="559"/>
      <c r="AF296" s="559"/>
      <c r="AG296" s="559"/>
    </row>
    <row r="297" spans="1:33" ht="18" x14ac:dyDescent="0.35">
      <c r="A297" s="559"/>
      <c r="B297" s="559"/>
      <c r="C297" s="559"/>
      <c r="D297" s="559"/>
      <c r="E297" s="559"/>
      <c r="F297" s="559"/>
      <c r="G297" s="559"/>
      <c r="H297" s="559"/>
      <c r="I297" s="559"/>
      <c r="J297" s="559"/>
      <c r="K297" s="559"/>
      <c r="L297" s="559"/>
      <c r="M297" s="559"/>
      <c r="N297" s="559"/>
      <c r="O297" s="559"/>
      <c r="P297" s="559"/>
      <c r="Q297" s="559"/>
      <c r="R297" s="559"/>
      <c r="S297" s="559"/>
      <c r="T297" s="559"/>
      <c r="U297" s="559"/>
      <c r="V297" s="559"/>
      <c r="W297" s="559"/>
      <c r="X297" s="559"/>
      <c r="Y297" s="559"/>
      <c r="Z297" s="559"/>
      <c r="AA297" s="559"/>
      <c r="AB297" s="559"/>
      <c r="AC297" s="559"/>
      <c r="AD297" s="559"/>
      <c r="AE297" s="559"/>
      <c r="AF297" s="559"/>
      <c r="AG297" s="559"/>
    </row>
    <row r="298" spans="1:33" ht="18" x14ac:dyDescent="0.35">
      <c r="A298" s="559"/>
      <c r="B298" s="559"/>
      <c r="C298" s="559"/>
      <c r="D298" s="559"/>
      <c r="E298" s="559"/>
      <c r="F298" s="559"/>
      <c r="G298" s="559"/>
      <c r="H298" s="559"/>
      <c r="I298" s="559"/>
      <c r="J298" s="559"/>
      <c r="K298" s="559"/>
      <c r="L298" s="559"/>
      <c r="M298" s="559"/>
      <c r="N298" s="559"/>
      <c r="O298" s="559"/>
      <c r="P298" s="559"/>
      <c r="Q298" s="559"/>
      <c r="R298" s="559"/>
      <c r="S298" s="559"/>
      <c r="T298" s="559"/>
      <c r="U298" s="559"/>
      <c r="V298" s="559"/>
      <c r="W298" s="559"/>
      <c r="X298" s="559"/>
      <c r="Y298" s="559"/>
      <c r="Z298" s="559"/>
      <c r="AA298" s="559"/>
      <c r="AB298" s="559"/>
      <c r="AC298" s="559"/>
      <c r="AD298" s="559"/>
      <c r="AE298" s="559"/>
      <c r="AF298" s="559"/>
      <c r="AG298" s="559"/>
    </row>
    <row r="299" spans="1:33" ht="18" x14ac:dyDescent="0.35">
      <c r="A299" s="559"/>
      <c r="B299" s="559"/>
      <c r="C299" s="559"/>
      <c r="D299" s="559"/>
      <c r="E299" s="559"/>
      <c r="F299" s="559"/>
      <c r="G299" s="559"/>
      <c r="H299" s="559"/>
      <c r="I299" s="559"/>
      <c r="J299" s="559"/>
      <c r="K299" s="559"/>
      <c r="L299" s="559"/>
      <c r="M299" s="559"/>
      <c r="N299" s="559"/>
      <c r="O299" s="559"/>
      <c r="P299" s="559"/>
      <c r="Q299" s="559"/>
      <c r="R299" s="559"/>
      <c r="S299" s="559"/>
      <c r="T299" s="559"/>
      <c r="U299" s="559"/>
      <c r="V299" s="559"/>
      <c r="W299" s="559"/>
      <c r="X299" s="559"/>
      <c r="Y299" s="559"/>
      <c r="Z299" s="559"/>
      <c r="AA299" s="559"/>
      <c r="AB299" s="559"/>
      <c r="AC299" s="559"/>
      <c r="AD299" s="559"/>
      <c r="AE299" s="559"/>
      <c r="AF299" s="559"/>
      <c r="AG299" s="559"/>
    </row>
    <row r="300" spans="1:33" ht="18" x14ac:dyDescent="0.35">
      <c r="A300" s="559"/>
      <c r="B300" s="559"/>
      <c r="C300" s="559"/>
      <c r="D300" s="559"/>
      <c r="E300" s="559"/>
      <c r="F300" s="559"/>
      <c r="G300" s="559"/>
      <c r="H300" s="559"/>
      <c r="I300" s="559"/>
      <c r="J300" s="559"/>
      <c r="K300" s="559"/>
      <c r="L300" s="559"/>
      <c r="M300" s="559"/>
      <c r="N300" s="559"/>
      <c r="O300" s="559"/>
      <c r="P300" s="559"/>
      <c r="Q300" s="559"/>
      <c r="R300" s="559"/>
      <c r="S300" s="559"/>
      <c r="T300" s="559"/>
      <c r="U300" s="559"/>
      <c r="V300" s="559"/>
      <c r="W300" s="559"/>
      <c r="X300" s="559"/>
      <c r="Y300" s="559"/>
      <c r="Z300" s="559"/>
      <c r="AA300" s="559"/>
      <c r="AB300" s="559"/>
      <c r="AC300" s="559"/>
      <c r="AD300" s="559"/>
      <c r="AE300" s="559"/>
      <c r="AF300" s="559"/>
      <c r="AG300" s="559"/>
    </row>
    <row r="301" spans="1:33" ht="18" x14ac:dyDescent="0.35">
      <c r="A301" s="559"/>
      <c r="B301" s="559"/>
      <c r="C301" s="559"/>
      <c r="D301" s="559"/>
      <c r="E301" s="559"/>
      <c r="F301" s="559"/>
      <c r="G301" s="559"/>
      <c r="H301" s="559"/>
      <c r="I301" s="559"/>
      <c r="J301" s="559"/>
      <c r="K301" s="559"/>
      <c r="L301" s="559"/>
      <c r="M301" s="559"/>
      <c r="N301" s="559"/>
      <c r="O301" s="559"/>
      <c r="P301" s="559"/>
      <c r="Q301" s="559"/>
      <c r="R301" s="559"/>
      <c r="S301" s="559"/>
      <c r="T301" s="559"/>
      <c r="U301" s="559"/>
      <c r="V301" s="559"/>
      <c r="W301" s="559"/>
      <c r="X301" s="559"/>
      <c r="Y301" s="559"/>
      <c r="Z301" s="559"/>
      <c r="AA301" s="559"/>
      <c r="AB301" s="559"/>
      <c r="AC301" s="559"/>
      <c r="AD301" s="559"/>
      <c r="AE301" s="559"/>
      <c r="AF301" s="559"/>
      <c r="AG301" s="559"/>
    </row>
    <row r="302" spans="1:33" ht="18" x14ac:dyDescent="0.35">
      <c r="A302" s="559"/>
      <c r="B302" s="559"/>
      <c r="C302" s="559"/>
      <c r="D302" s="559"/>
      <c r="E302" s="559"/>
      <c r="F302" s="559"/>
      <c r="G302" s="559"/>
      <c r="H302" s="559"/>
      <c r="I302" s="559"/>
      <c r="J302" s="559"/>
      <c r="K302" s="559"/>
      <c r="L302" s="559"/>
      <c r="M302" s="559"/>
      <c r="N302" s="559"/>
      <c r="O302" s="559"/>
      <c r="P302" s="559"/>
      <c r="Q302" s="559"/>
      <c r="R302" s="559"/>
      <c r="S302" s="559"/>
      <c r="T302" s="559"/>
      <c r="U302" s="559"/>
      <c r="V302" s="559"/>
      <c r="W302" s="559"/>
      <c r="X302" s="559"/>
      <c r="Y302" s="559"/>
      <c r="Z302" s="559"/>
      <c r="AA302" s="559"/>
      <c r="AB302" s="559"/>
      <c r="AC302" s="559"/>
      <c r="AD302" s="559"/>
      <c r="AE302" s="559"/>
      <c r="AF302" s="559"/>
      <c r="AG302" s="559"/>
    </row>
    <row r="303" spans="1:33" ht="18" x14ac:dyDescent="0.35">
      <c r="A303" s="559"/>
      <c r="B303" s="559"/>
      <c r="C303" s="559"/>
      <c r="D303" s="559"/>
      <c r="E303" s="559"/>
      <c r="F303" s="559"/>
      <c r="G303" s="559"/>
      <c r="H303" s="559"/>
      <c r="I303" s="559"/>
      <c r="J303" s="559"/>
      <c r="K303" s="559"/>
      <c r="L303" s="559"/>
      <c r="M303" s="559"/>
      <c r="N303" s="559"/>
      <c r="O303" s="559"/>
      <c r="P303" s="559"/>
      <c r="Q303" s="559"/>
      <c r="R303" s="559"/>
      <c r="S303" s="559"/>
      <c r="T303" s="559"/>
      <c r="U303" s="559"/>
      <c r="V303" s="559"/>
      <c r="W303" s="559"/>
      <c r="X303" s="559"/>
      <c r="Y303" s="559"/>
      <c r="Z303" s="559"/>
      <c r="AA303" s="559"/>
      <c r="AB303" s="559"/>
      <c r="AC303" s="559"/>
      <c r="AD303" s="559"/>
      <c r="AE303" s="559"/>
      <c r="AF303" s="559"/>
      <c r="AG303" s="559"/>
    </row>
    <row r="304" spans="1:33" ht="18" x14ac:dyDescent="0.35">
      <c r="A304" s="559"/>
      <c r="B304" s="559"/>
      <c r="C304" s="559"/>
      <c r="D304" s="559"/>
      <c r="E304" s="559"/>
      <c r="F304" s="559"/>
      <c r="G304" s="559"/>
      <c r="H304" s="559"/>
      <c r="I304" s="559"/>
      <c r="J304" s="559"/>
      <c r="K304" s="559"/>
      <c r="L304" s="559"/>
      <c r="M304" s="559"/>
      <c r="N304" s="559"/>
      <c r="O304" s="559"/>
      <c r="P304" s="559"/>
      <c r="Q304" s="559"/>
      <c r="R304" s="559"/>
      <c r="S304" s="559"/>
      <c r="T304" s="559"/>
      <c r="U304" s="559"/>
      <c r="V304" s="559"/>
      <c r="W304" s="559"/>
      <c r="X304" s="559"/>
      <c r="Y304" s="559"/>
      <c r="Z304" s="559"/>
      <c r="AA304" s="559"/>
      <c r="AB304" s="559"/>
      <c r="AC304" s="559"/>
      <c r="AD304" s="559"/>
      <c r="AE304" s="559"/>
      <c r="AF304" s="559"/>
      <c r="AG304" s="559"/>
    </row>
    <row r="305" spans="1:33" ht="18" x14ac:dyDescent="0.35">
      <c r="A305" s="559"/>
      <c r="B305" s="559"/>
      <c r="C305" s="559"/>
      <c r="D305" s="559"/>
      <c r="E305" s="559"/>
      <c r="F305" s="559"/>
      <c r="G305" s="559"/>
      <c r="H305" s="559"/>
      <c r="I305" s="559"/>
      <c r="J305" s="559"/>
      <c r="K305" s="559"/>
      <c r="L305" s="559"/>
      <c r="M305" s="559"/>
      <c r="N305" s="559"/>
      <c r="O305" s="559"/>
      <c r="P305" s="559"/>
      <c r="Q305" s="559"/>
      <c r="R305" s="559"/>
      <c r="S305" s="559"/>
      <c r="T305" s="559"/>
      <c r="U305" s="559"/>
      <c r="V305" s="559"/>
      <c r="W305" s="559"/>
      <c r="X305" s="559"/>
      <c r="Y305" s="559"/>
      <c r="Z305" s="559"/>
      <c r="AA305" s="559"/>
      <c r="AB305" s="559"/>
      <c r="AC305" s="559"/>
      <c r="AD305" s="559"/>
      <c r="AE305" s="559"/>
      <c r="AF305" s="559"/>
      <c r="AG305" s="559"/>
    </row>
    <row r="306" spans="1:33" ht="18" x14ac:dyDescent="0.35">
      <c r="A306" s="559"/>
      <c r="B306" s="559"/>
      <c r="C306" s="559"/>
      <c r="D306" s="559"/>
      <c r="E306" s="559"/>
      <c r="F306" s="559"/>
      <c r="G306" s="559"/>
      <c r="H306" s="559"/>
      <c r="I306" s="559"/>
      <c r="J306" s="559"/>
      <c r="K306" s="559"/>
      <c r="L306" s="559"/>
      <c r="M306" s="559"/>
      <c r="N306" s="559"/>
      <c r="O306" s="559"/>
      <c r="P306" s="559"/>
      <c r="Q306" s="559"/>
      <c r="R306" s="559"/>
      <c r="S306" s="559"/>
      <c r="T306" s="559"/>
      <c r="U306" s="559"/>
      <c r="V306" s="559"/>
      <c r="W306" s="559"/>
      <c r="X306" s="559"/>
      <c r="Y306" s="559"/>
      <c r="Z306" s="559"/>
      <c r="AA306" s="559"/>
      <c r="AB306" s="559"/>
      <c r="AC306" s="559"/>
      <c r="AD306" s="559"/>
      <c r="AE306" s="559"/>
      <c r="AF306" s="559"/>
      <c r="AG306" s="559"/>
    </row>
    <row r="307" spans="1:33" ht="18" x14ac:dyDescent="0.35">
      <c r="A307" s="559"/>
      <c r="B307" s="559"/>
      <c r="C307" s="559"/>
      <c r="D307" s="559"/>
      <c r="E307" s="559"/>
      <c r="F307" s="559"/>
      <c r="G307" s="559"/>
      <c r="H307" s="559"/>
      <c r="I307" s="559"/>
      <c r="J307" s="559"/>
      <c r="K307" s="559"/>
      <c r="L307" s="559"/>
      <c r="M307" s="559"/>
      <c r="N307" s="559"/>
      <c r="O307" s="559"/>
      <c r="P307" s="559"/>
      <c r="Q307" s="559"/>
      <c r="R307" s="559"/>
      <c r="S307" s="559"/>
      <c r="T307" s="559"/>
      <c r="U307" s="559"/>
      <c r="V307" s="559"/>
      <c r="W307" s="559"/>
      <c r="X307" s="559"/>
      <c r="Y307" s="559"/>
      <c r="Z307" s="559"/>
      <c r="AA307" s="559"/>
      <c r="AB307" s="559"/>
      <c r="AC307" s="559"/>
      <c r="AD307" s="559"/>
      <c r="AE307" s="559"/>
      <c r="AF307" s="559"/>
      <c r="AG307" s="559"/>
    </row>
    <row r="308" spans="1:33" ht="18" x14ac:dyDescent="0.35">
      <c r="A308" s="559"/>
      <c r="B308" s="559"/>
      <c r="C308" s="559"/>
      <c r="D308" s="559"/>
      <c r="E308" s="559"/>
      <c r="F308" s="559"/>
      <c r="G308" s="559"/>
      <c r="H308" s="559"/>
      <c r="I308" s="559"/>
      <c r="J308" s="559"/>
      <c r="K308" s="559"/>
      <c r="L308" s="559"/>
      <c r="M308" s="559"/>
      <c r="N308" s="559"/>
      <c r="O308" s="559"/>
      <c r="P308" s="559"/>
      <c r="Q308" s="559"/>
      <c r="R308" s="559"/>
      <c r="S308" s="559"/>
      <c r="T308" s="559"/>
      <c r="U308" s="559"/>
      <c r="V308" s="559"/>
      <c r="W308" s="559"/>
      <c r="X308" s="559"/>
      <c r="Y308" s="559"/>
      <c r="Z308" s="559"/>
      <c r="AA308" s="559"/>
      <c r="AB308" s="559"/>
      <c r="AC308" s="559"/>
      <c r="AD308" s="559"/>
      <c r="AE308" s="559"/>
      <c r="AF308" s="559"/>
      <c r="AG308" s="559"/>
    </row>
    <row r="309" spans="1:33" ht="18" x14ac:dyDescent="0.35">
      <c r="A309" s="559"/>
      <c r="B309" s="559"/>
      <c r="C309" s="559"/>
      <c r="D309" s="559"/>
      <c r="E309" s="559"/>
      <c r="F309" s="559"/>
      <c r="G309" s="559"/>
      <c r="H309" s="559"/>
      <c r="I309" s="559"/>
      <c r="J309" s="559"/>
      <c r="K309" s="559"/>
      <c r="L309" s="559"/>
      <c r="M309" s="559"/>
      <c r="N309" s="559"/>
      <c r="O309" s="559"/>
      <c r="P309" s="559"/>
      <c r="Q309" s="559"/>
      <c r="R309" s="559"/>
      <c r="S309" s="559"/>
      <c r="T309" s="559"/>
      <c r="U309" s="559"/>
      <c r="V309" s="559"/>
      <c r="W309" s="559"/>
      <c r="X309" s="559"/>
      <c r="Y309" s="559"/>
      <c r="Z309" s="559"/>
      <c r="AA309" s="559"/>
      <c r="AB309" s="559"/>
      <c r="AC309" s="559"/>
      <c r="AD309" s="559"/>
      <c r="AE309" s="559"/>
      <c r="AF309" s="559"/>
      <c r="AG309" s="559"/>
    </row>
    <row r="310" spans="1:33" ht="18" x14ac:dyDescent="0.35">
      <c r="A310" s="559"/>
      <c r="B310" s="559"/>
      <c r="C310" s="559"/>
      <c r="D310" s="559"/>
      <c r="E310" s="559"/>
      <c r="F310" s="559"/>
      <c r="G310" s="559"/>
      <c r="H310" s="559"/>
      <c r="I310" s="559"/>
      <c r="J310" s="559"/>
      <c r="K310" s="559"/>
      <c r="L310" s="559"/>
      <c r="M310" s="559"/>
      <c r="N310" s="559"/>
      <c r="O310" s="559"/>
      <c r="P310" s="559"/>
      <c r="Q310" s="559"/>
      <c r="R310" s="559"/>
      <c r="S310" s="559"/>
      <c r="T310" s="559"/>
      <c r="U310" s="559"/>
      <c r="V310" s="559"/>
      <c r="W310" s="559"/>
      <c r="X310" s="559"/>
      <c r="Y310" s="559"/>
      <c r="Z310" s="559"/>
      <c r="AA310" s="559"/>
      <c r="AB310" s="559"/>
      <c r="AC310" s="559"/>
      <c r="AD310" s="559"/>
      <c r="AE310" s="559"/>
      <c r="AF310" s="559"/>
      <c r="AG310" s="559"/>
    </row>
    <row r="311" spans="1:33" ht="18" x14ac:dyDescent="0.35">
      <c r="A311" s="559"/>
      <c r="B311" s="559"/>
      <c r="C311" s="559"/>
      <c r="D311" s="559"/>
      <c r="E311" s="559"/>
      <c r="F311" s="559"/>
      <c r="G311" s="559"/>
      <c r="H311" s="559"/>
      <c r="I311" s="559"/>
      <c r="J311" s="559"/>
      <c r="K311" s="559"/>
      <c r="L311" s="559"/>
      <c r="M311" s="559"/>
      <c r="N311" s="559"/>
      <c r="O311" s="559"/>
      <c r="P311" s="559"/>
      <c r="Q311" s="559"/>
      <c r="R311" s="559"/>
      <c r="S311" s="559"/>
      <c r="T311" s="559"/>
      <c r="U311" s="559"/>
      <c r="V311" s="559"/>
      <c r="W311" s="559"/>
      <c r="X311" s="559"/>
      <c r="Y311" s="559"/>
      <c r="Z311" s="559"/>
      <c r="AA311" s="559"/>
      <c r="AB311" s="559"/>
      <c r="AC311" s="559"/>
      <c r="AD311" s="559"/>
      <c r="AE311" s="559"/>
      <c r="AF311" s="559"/>
      <c r="AG311" s="559"/>
    </row>
    <row r="312" spans="1:33" ht="18" x14ac:dyDescent="0.35">
      <c r="A312" s="559"/>
      <c r="B312" s="559"/>
      <c r="C312" s="559"/>
      <c r="D312" s="559"/>
      <c r="E312" s="559"/>
      <c r="F312" s="559"/>
      <c r="G312" s="559"/>
      <c r="H312" s="559"/>
      <c r="I312" s="559"/>
      <c r="J312" s="559"/>
      <c r="K312" s="559"/>
      <c r="L312" s="559"/>
      <c r="M312" s="559"/>
      <c r="N312" s="559"/>
      <c r="O312" s="559"/>
      <c r="P312" s="559"/>
      <c r="Q312" s="559"/>
      <c r="R312" s="559"/>
      <c r="S312" s="559"/>
      <c r="T312" s="559"/>
      <c r="U312" s="559"/>
      <c r="V312" s="559"/>
      <c r="W312" s="559"/>
      <c r="X312" s="559"/>
      <c r="Y312" s="559"/>
      <c r="Z312" s="559"/>
      <c r="AA312" s="559"/>
      <c r="AB312" s="559"/>
      <c r="AC312" s="559"/>
      <c r="AD312" s="559"/>
      <c r="AE312" s="559"/>
      <c r="AF312" s="559"/>
      <c r="AG312" s="559"/>
    </row>
    <row r="313" spans="1:33" ht="18" x14ac:dyDescent="0.35">
      <c r="A313" s="559"/>
      <c r="B313" s="559"/>
      <c r="C313" s="559"/>
      <c r="D313" s="559"/>
      <c r="E313" s="559"/>
      <c r="F313" s="559"/>
      <c r="G313" s="559"/>
      <c r="H313" s="559"/>
      <c r="I313" s="559"/>
      <c r="J313" s="559"/>
      <c r="K313" s="559"/>
      <c r="L313" s="559"/>
      <c r="M313" s="559"/>
      <c r="N313" s="559"/>
      <c r="O313" s="559"/>
      <c r="P313" s="559"/>
      <c r="Q313" s="559"/>
      <c r="R313" s="559"/>
      <c r="S313" s="559"/>
      <c r="T313" s="559"/>
      <c r="U313" s="559"/>
      <c r="V313" s="559"/>
      <c r="W313" s="559"/>
      <c r="X313" s="559"/>
      <c r="Y313" s="559"/>
      <c r="Z313" s="559"/>
      <c r="AA313" s="559"/>
      <c r="AB313" s="559"/>
      <c r="AC313" s="559"/>
      <c r="AD313" s="559"/>
      <c r="AE313" s="559"/>
      <c r="AF313" s="559"/>
      <c r="AG313" s="559"/>
    </row>
    <row r="314" spans="1:33" ht="18" x14ac:dyDescent="0.35">
      <c r="A314" s="559"/>
      <c r="B314" s="559"/>
      <c r="C314" s="559"/>
      <c r="D314" s="559"/>
      <c r="E314" s="559"/>
      <c r="F314" s="559"/>
      <c r="G314" s="559"/>
      <c r="H314" s="559"/>
      <c r="I314" s="559"/>
      <c r="J314" s="559"/>
      <c r="K314" s="559"/>
      <c r="L314" s="559"/>
      <c r="M314" s="559"/>
      <c r="N314" s="559"/>
      <c r="O314" s="559"/>
      <c r="P314" s="559"/>
      <c r="Q314" s="559"/>
      <c r="R314" s="559"/>
      <c r="S314" s="559"/>
      <c r="T314" s="559"/>
      <c r="U314" s="559"/>
      <c r="V314" s="559"/>
      <c r="W314" s="559"/>
      <c r="X314" s="559"/>
      <c r="Y314" s="559"/>
      <c r="Z314" s="559"/>
      <c r="AA314" s="559"/>
      <c r="AB314" s="559"/>
      <c r="AC314" s="559"/>
      <c r="AD314" s="559"/>
      <c r="AE314" s="559"/>
      <c r="AF314" s="559"/>
      <c r="AG314" s="559"/>
    </row>
    <row r="315" spans="1:33" ht="18" x14ac:dyDescent="0.35">
      <c r="A315" s="559"/>
      <c r="B315" s="559"/>
      <c r="C315" s="559"/>
      <c r="D315" s="559"/>
      <c r="E315" s="559"/>
      <c r="F315" s="559"/>
      <c r="G315" s="559"/>
      <c r="H315" s="559"/>
      <c r="I315" s="559"/>
      <c r="J315" s="559"/>
      <c r="K315" s="559"/>
      <c r="L315" s="559"/>
      <c r="M315" s="559"/>
      <c r="N315" s="559"/>
      <c r="O315" s="559"/>
      <c r="P315" s="559"/>
      <c r="Q315" s="559"/>
      <c r="R315" s="559"/>
      <c r="S315" s="559"/>
      <c r="T315" s="559"/>
      <c r="U315" s="559"/>
      <c r="V315" s="559"/>
      <c r="W315" s="559"/>
      <c r="X315" s="559"/>
      <c r="Y315" s="559"/>
      <c r="Z315" s="559"/>
      <c r="AA315" s="559"/>
      <c r="AB315" s="559"/>
      <c r="AC315" s="559"/>
      <c r="AD315" s="559"/>
      <c r="AE315" s="559"/>
      <c r="AF315" s="559"/>
      <c r="AG315" s="559"/>
    </row>
    <row r="316" spans="1:33" ht="18" x14ac:dyDescent="0.35">
      <c r="A316" s="559"/>
      <c r="B316" s="559"/>
      <c r="C316" s="559"/>
      <c r="D316" s="559"/>
      <c r="E316" s="559"/>
      <c r="F316" s="559"/>
      <c r="G316" s="559"/>
      <c r="H316" s="559"/>
      <c r="I316" s="559"/>
      <c r="J316" s="559"/>
      <c r="K316" s="559"/>
      <c r="L316" s="559"/>
      <c r="M316" s="559"/>
      <c r="N316" s="559"/>
      <c r="O316" s="559"/>
      <c r="P316" s="559"/>
      <c r="Q316" s="559"/>
      <c r="R316" s="559"/>
      <c r="S316" s="559"/>
      <c r="T316" s="559"/>
      <c r="U316" s="559"/>
      <c r="V316" s="559"/>
      <c r="W316" s="559"/>
      <c r="X316" s="559"/>
      <c r="Y316" s="559"/>
      <c r="Z316" s="559"/>
      <c r="AA316" s="559"/>
      <c r="AB316" s="559"/>
      <c r="AC316" s="559"/>
      <c r="AD316" s="559"/>
      <c r="AE316" s="559"/>
      <c r="AF316" s="559"/>
      <c r="AG316" s="559"/>
    </row>
    <row r="317" spans="1:33" ht="18" x14ac:dyDescent="0.35">
      <c r="A317" s="559"/>
      <c r="B317" s="559"/>
      <c r="C317" s="559"/>
      <c r="D317" s="559"/>
      <c r="E317" s="559"/>
      <c r="F317" s="559"/>
      <c r="G317" s="559"/>
      <c r="H317" s="559"/>
      <c r="I317" s="559"/>
      <c r="J317" s="559"/>
      <c r="K317" s="559"/>
      <c r="L317" s="559"/>
      <c r="M317" s="559"/>
      <c r="N317" s="559"/>
      <c r="O317" s="559"/>
      <c r="P317" s="559"/>
      <c r="Q317" s="559"/>
      <c r="R317" s="559"/>
      <c r="S317" s="559"/>
      <c r="T317" s="559"/>
      <c r="U317" s="559"/>
      <c r="V317" s="559"/>
      <c r="W317" s="559"/>
      <c r="X317" s="559"/>
      <c r="Y317" s="559"/>
      <c r="Z317" s="559"/>
      <c r="AA317" s="559"/>
      <c r="AB317" s="559"/>
      <c r="AC317" s="559"/>
      <c r="AD317" s="559"/>
      <c r="AE317" s="559"/>
      <c r="AF317" s="559"/>
      <c r="AG317" s="559"/>
    </row>
    <row r="318" spans="1:33" ht="18" x14ac:dyDescent="0.35">
      <c r="A318" s="559"/>
      <c r="B318" s="559"/>
      <c r="C318" s="559"/>
      <c r="D318" s="559"/>
      <c r="E318" s="559"/>
      <c r="F318" s="559"/>
      <c r="G318" s="559"/>
      <c r="H318" s="559"/>
      <c r="I318" s="559"/>
      <c r="J318" s="559"/>
      <c r="K318" s="559"/>
      <c r="L318" s="559"/>
      <c r="M318" s="559"/>
      <c r="N318" s="559"/>
      <c r="O318" s="559"/>
      <c r="P318" s="559"/>
      <c r="Q318" s="559"/>
      <c r="R318" s="559"/>
      <c r="S318" s="559"/>
      <c r="T318" s="559"/>
      <c r="U318" s="559"/>
      <c r="V318" s="559"/>
      <c r="W318" s="559"/>
      <c r="X318" s="559"/>
      <c r="Y318" s="559"/>
      <c r="Z318" s="559"/>
      <c r="AA318" s="559"/>
      <c r="AB318" s="559"/>
      <c r="AC318" s="559"/>
      <c r="AD318" s="559"/>
      <c r="AE318" s="559"/>
      <c r="AF318" s="559"/>
      <c r="AG318" s="559"/>
    </row>
    <row r="319" spans="1:33" ht="18" x14ac:dyDescent="0.35">
      <c r="A319" s="559"/>
      <c r="B319" s="559"/>
      <c r="C319" s="559"/>
      <c r="D319" s="559"/>
      <c r="E319" s="559"/>
      <c r="F319" s="559"/>
      <c r="G319" s="559"/>
      <c r="H319" s="559"/>
      <c r="I319" s="559"/>
      <c r="J319" s="559"/>
      <c r="K319" s="559"/>
      <c r="L319" s="559"/>
      <c r="M319" s="559"/>
      <c r="N319" s="559"/>
      <c r="O319" s="559"/>
      <c r="P319" s="559"/>
      <c r="Q319" s="559"/>
      <c r="R319" s="559"/>
      <c r="S319" s="559"/>
      <c r="T319" s="559"/>
      <c r="U319" s="559"/>
      <c r="V319" s="559"/>
      <c r="W319" s="559"/>
      <c r="X319" s="559"/>
      <c r="Y319" s="559"/>
      <c r="Z319" s="559"/>
      <c r="AA319" s="559"/>
      <c r="AB319" s="559"/>
      <c r="AC319" s="559"/>
      <c r="AD319" s="559"/>
      <c r="AE319" s="559"/>
      <c r="AF319" s="559"/>
      <c r="AG319" s="559"/>
    </row>
    <row r="320" spans="1:33" ht="18" x14ac:dyDescent="0.35">
      <c r="A320" s="559"/>
      <c r="B320" s="559"/>
      <c r="C320" s="559"/>
      <c r="D320" s="559"/>
      <c r="E320" s="559"/>
      <c r="F320" s="559"/>
      <c r="G320" s="559"/>
      <c r="H320" s="559"/>
      <c r="I320" s="559"/>
      <c r="J320" s="559"/>
      <c r="K320" s="559"/>
      <c r="L320" s="559"/>
      <c r="M320" s="559"/>
      <c r="N320" s="559"/>
      <c r="O320" s="559"/>
      <c r="P320" s="559"/>
      <c r="Q320" s="559"/>
      <c r="R320" s="559"/>
      <c r="S320" s="559"/>
      <c r="T320" s="559"/>
      <c r="U320" s="559"/>
      <c r="V320" s="559"/>
      <c r="W320" s="559"/>
      <c r="X320" s="559"/>
      <c r="Y320" s="559"/>
      <c r="Z320" s="559"/>
      <c r="AA320" s="559"/>
      <c r="AB320" s="559"/>
      <c r="AC320" s="559"/>
      <c r="AD320" s="559"/>
      <c r="AE320" s="559"/>
      <c r="AF320" s="559"/>
      <c r="AG320" s="559"/>
    </row>
    <row r="321" spans="1:33" ht="18" x14ac:dyDescent="0.35">
      <c r="A321" s="559"/>
      <c r="B321" s="559"/>
      <c r="C321" s="559"/>
      <c r="D321" s="559"/>
      <c r="E321" s="559"/>
      <c r="F321" s="559"/>
      <c r="G321" s="559"/>
      <c r="H321" s="559"/>
      <c r="I321" s="559"/>
      <c r="J321" s="559"/>
      <c r="K321" s="559"/>
      <c r="L321" s="559"/>
      <c r="M321" s="559"/>
      <c r="N321" s="559"/>
      <c r="O321" s="559"/>
      <c r="P321" s="559"/>
      <c r="Q321" s="559"/>
      <c r="R321" s="559"/>
      <c r="S321" s="559"/>
      <c r="T321" s="559"/>
      <c r="U321" s="559"/>
      <c r="V321" s="559"/>
      <c r="W321" s="559"/>
      <c r="X321" s="559"/>
      <c r="Y321" s="559"/>
      <c r="Z321" s="559"/>
      <c r="AA321" s="559"/>
      <c r="AB321" s="559"/>
      <c r="AC321" s="559"/>
      <c r="AD321" s="559"/>
      <c r="AE321" s="559"/>
      <c r="AF321" s="559"/>
      <c r="AG321" s="559"/>
    </row>
    <row r="322" spans="1:33" ht="18" x14ac:dyDescent="0.35">
      <c r="A322" s="559"/>
      <c r="B322" s="559"/>
      <c r="C322" s="559"/>
      <c r="D322" s="559"/>
      <c r="E322" s="559"/>
      <c r="F322" s="559"/>
      <c r="G322" s="559"/>
      <c r="H322" s="559"/>
      <c r="I322" s="559"/>
      <c r="J322" s="559"/>
      <c r="K322" s="559"/>
      <c r="L322" s="559"/>
      <c r="M322" s="559"/>
      <c r="N322" s="559"/>
      <c r="O322" s="559"/>
      <c r="P322" s="559"/>
      <c r="Q322" s="559"/>
      <c r="R322" s="559"/>
      <c r="S322" s="559"/>
      <c r="T322" s="559"/>
      <c r="U322" s="559"/>
      <c r="V322" s="559"/>
      <c r="W322" s="559"/>
      <c r="X322" s="559"/>
      <c r="Y322" s="559"/>
      <c r="Z322" s="559"/>
      <c r="AA322" s="559"/>
      <c r="AB322" s="559"/>
      <c r="AC322" s="559"/>
      <c r="AD322" s="559"/>
      <c r="AE322" s="559"/>
      <c r="AF322" s="559"/>
      <c r="AG322" s="559"/>
    </row>
    <row r="323" spans="1:33" ht="18" x14ac:dyDescent="0.35">
      <c r="A323" s="559"/>
      <c r="B323" s="559"/>
      <c r="C323" s="559"/>
      <c r="D323" s="559"/>
      <c r="E323" s="559"/>
      <c r="F323" s="559"/>
      <c r="G323" s="559"/>
      <c r="H323" s="559"/>
      <c r="I323" s="559"/>
      <c r="J323" s="559"/>
      <c r="K323" s="559"/>
      <c r="L323" s="559"/>
      <c r="M323" s="559"/>
      <c r="N323" s="559"/>
      <c r="O323" s="559"/>
      <c r="P323" s="559"/>
      <c r="Q323" s="559"/>
      <c r="R323" s="559"/>
      <c r="S323" s="559"/>
      <c r="T323" s="559"/>
      <c r="U323" s="559"/>
      <c r="V323" s="559"/>
      <c r="W323" s="559"/>
      <c r="X323" s="559"/>
      <c r="Y323" s="559"/>
      <c r="Z323" s="559"/>
      <c r="AA323" s="559"/>
      <c r="AB323" s="559"/>
      <c r="AC323" s="559"/>
      <c r="AD323" s="559"/>
      <c r="AE323" s="559"/>
      <c r="AF323" s="559"/>
      <c r="AG323" s="559"/>
    </row>
    <row r="324" spans="1:33" ht="18" x14ac:dyDescent="0.35">
      <c r="A324" s="559"/>
      <c r="B324" s="559"/>
      <c r="C324" s="559"/>
      <c r="D324" s="559"/>
      <c r="E324" s="559"/>
      <c r="F324" s="559"/>
      <c r="G324" s="559"/>
      <c r="H324" s="559"/>
      <c r="I324" s="559"/>
      <c r="J324" s="559"/>
      <c r="K324" s="559"/>
      <c r="L324" s="559"/>
      <c r="M324" s="559"/>
      <c r="N324" s="559"/>
      <c r="O324" s="559"/>
      <c r="P324" s="559"/>
      <c r="Q324" s="559"/>
      <c r="R324" s="559"/>
      <c r="S324" s="559"/>
      <c r="T324" s="559"/>
      <c r="U324" s="559"/>
      <c r="V324" s="559"/>
      <c r="W324" s="559"/>
      <c r="X324" s="559"/>
      <c r="Y324" s="559"/>
      <c r="Z324" s="559"/>
      <c r="AA324" s="559"/>
      <c r="AB324" s="559"/>
      <c r="AC324" s="559"/>
      <c r="AD324" s="559"/>
      <c r="AE324" s="559"/>
      <c r="AF324" s="559"/>
      <c r="AG324" s="559"/>
    </row>
    <row r="325" spans="1:33" ht="18" x14ac:dyDescent="0.35">
      <c r="A325" s="559"/>
      <c r="B325" s="559"/>
      <c r="C325" s="559"/>
      <c r="D325" s="559"/>
      <c r="E325" s="559"/>
      <c r="F325" s="559"/>
      <c r="G325" s="559"/>
      <c r="H325" s="559"/>
      <c r="I325" s="559"/>
      <c r="J325" s="559"/>
      <c r="K325" s="559"/>
      <c r="L325" s="559"/>
      <c r="M325" s="559"/>
      <c r="N325" s="559"/>
      <c r="O325" s="559"/>
      <c r="P325" s="559"/>
      <c r="Q325" s="559"/>
      <c r="R325" s="559"/>
      <c r="S325" s="559"/>
      <c r="T325" s="559"/>
      <c r="U325" s="559"/>
      <c r="V325" s="559"/>
      <c r="W325" s="559"/>
      <c r="X325" s="559"/>
      <c r="Y325" s="559"/>
      <c r="Z325" s="559"/>
      <c r="AA325" s="559"/>
      <c r="AB325" s="559"/>
      <c r="AC325" s="559"/>
      <c r="AD325" s="559"/>
      <c r="AE325" s="559"/>
      <c r="AF325" s="559"/>
      <c r="AG325" s="559"/>
    </row>
    <row r="326" spans="1:33" ht="18" x14ac:dyDescent="0.35">
      <c r="A326" s="559"/>
      <c r="B326" s="559"/>
      <c r="C326" s="559"/>
      <c r="D326" s="559"/>
      <c r="E326" s="559"/>
      <c r="F326" s="559"/>
      <c r="G326" s="559"/>
      <c r="H326" s="559"/>
      <c r="I326" s="559"/>
      <c r="J326" s="559"/>
      <c r="K326" s="559"/>
      <c r="L326" s="559"/>
      <c r="M326" s="559"/>
      <c r="N326" s="559"/>
      <c r="O326" s="559"/>
      <c r="P326" s="559"/>
      <c r="Q326" s="559"/>
      <c r="R326" s="559"/>
      <c r="S326" s="559"/>
      <c r="T326" s="559"/>
      <c r="U326" s="559"/>
      <c r="V326" s="559"/>
      <c r="W326" s="559"/>
      <c r="X326" s="559"/>
      <c r="Y326" s="559"/>
      <c r="Z326" s="559"/>
      <c r="AA326" s="559"/>
      <c r="AB326" s="559"/>
      <c r="AC326" s="559"/>
      <c r="AD326" s="559"/>
      <c r="AE326" s="559"/>
      <c r="AF326" s="559"/>
      <c r="AG326" s="559"/>
    </row>
    <row r="327" spans="1:33" ht="18" x14ac:dyDescent="0.35">
      <c r="A327" s="559"/>
      <c r="B327" s="559"/>
      <c r="C327" s="559"/>
      <c r="D327" s="559"/>
      <c r="E327" s="559"/>
      <c r="F327" s="559"/>
      <c r="G327" s="559"/>
      <c r="H327" s="559"/>
      <c r="I327" s="559"/>
      <c r="J327" s="559"/>
      <c r="K327" s="559"/>
      <c r="L327" s="559"/>
      <c r="M327" s="559"/>
      <c r="N327" s="559"/>
      <c r="O327" s="559"/>
      <c r="P327" s="559"/>
      <c r="Q327" s="559"/>
      <c r="R327" s="559"/>
      <c r="S327" s="559"/>
      <c r="T327" s="559"/>
      <c r="U327" s="559"/>
      <c r="V327" s="559"/>
      <c r="W327" s="559"/>
      <c r="X327" s="559"/>
      <c r="Y327" s="559"/>
      <c r="Z327" s="559"/>
      <c r="AA327" s="559"/>
      <c r="AB327" s="559"/>
      <c r="AC327" s="559"/>
      <c r="AD327" s="559"/>
      <c r="AE327" s="559"/>
      <c r="AF327" s="559"/>
      <c r="AG327" s="559"/>
    </row>
    <row r="328" spans="1:33" ht="18" x14ac:dyDescent="0.35">
      <c r="A328" s="559"/>
      <c r="B328" s="559"/>
      <c r="C328" s="559"/>
      <c r="D328" s="559"/>
      <c r="E328" s="559"/>
      <c r="F328" s="559"/>
      <c r="G328" s="559"/>
      <c r="H328" s="559"/>
      <c r="I328" s="559"/>
      <c r="J328" s="559"/>
      <c r="K328" s="559"/>
      <c r="L328" s="559"/>
      <c r="M328" s="559"/>
      <c r="N328" s="559"/>
      <c r="O328" s="559"/>
      <c r="P328" s="559"/>
      <c r="Q328" s="559"/>
      <c r="R328" s="559"/>
      <c r="S328" s="559"/>
      <c r="T328" s="559"/>
      <c r="U328" s="559"/>
      <c r="V328" s="559"/>
      <c r="W328" s="559"/>
      <c r="X328" s="559"/>
      <c r="Y328" s="559"/>
      <c r="Z328" s="559"/>
      <c r="AA328" s="559"/>
      <c r="AB328" s="559"/>
      <c r="AC328" s="559"/>
      <c r="AD328" s="559"/>
      <c r="AE328" s="559"/>
      <c r="AF328" s="559"/>
      <c r="AG328" s="559"/>
    </row>
    <row r="329" spans="1:33" ht="18" x14ac:dyDescent="0.35">
      <c r="A329" s="559"/>
      <c r="B329" s="559"/>
      <c r="C329" s="559"/>
      <c r="D329" s="559"/>
      <c r="E329" s="559"/>
      <c r="F329" s="559"/>
      <c r="G329" s="559"/>
      <c r="H329" s="559"/>
      <c r="I329" s="559"/>
      <c r="J329" s="559"/>
      <c r="K329" s="559"/>
      <c r="L329" s="559"/>
      <c r="M329" s="559"/>
      <c r="N329" s="559"/>
      <c r="O329" s="559"/>
      <c r="P329" s="559"/>
      <c r="Q329" s="559"/>
      <c r="R329" s="559"/>
      <c r="S329" s="559"/>
      <c r="T329" s="559"/>
      <c r="U329" s="559"/>
      <c r="V329" s="559"/>
      <c r="W329" s="559"/>
      <c r="X329" s="559"/>
      <c r="Y329" s="559"/>
      <c r="Z329" s="559"/>
      <c r="AA329" s="559"/>
      <c r="AB329" s="559"/>
      <c r="AC329" s="559"/>
      <c r="AD329" s="559"/>
      <c r="AE329" s="559"/>
      <c r="AF329" s="559"/>
      <c r="AG329" s="559"/>
    </row>
    <row r="330" spans="1:33" ht="18" x14ac:dyDescent="0.35">
      <c r="A330" s="559"/>
      <c r="B330" s="559"/>
      <c r="C330" s="559"/>
      <c r="D330" s="559"/>
      <c r="E330" s="559"/>
      <c r="F330" s="559"/>
      <c r="G330" s="559"/>
      <c r="H330" s="559"/>
      <c r="I330" s="559"/>
      <c r="J330" s="559"/>
      <c r="K330" s="559"/>
      <c r="L330" s="559"/>
      <c r="M330" s="559"/>
      <c r="N330" s="559"/>
      <c r="O330" s="559"/>
      <c r="P330" s="559"/>
      <c r="Q330" s="559"/>
      <c r="R330" s="559"/>
      <c r="S330" s="559"/>
      <c r="T330" s="559"/>
      <c r="U330" s="559"/>
      <c r="V330" s="559"/>
      <c r="W330" s="559"/>
      <c r="X330" s="559"/>
      <c r="Y330" s="559"/>
      <c r="Z330" s="559"/>
      <c r="AA330" s="559"/>
      <c r="AB330" s="559"/>
      <c r="AC330" s="559"/>
      <c r="AD330" s="559"/>
      <c r="AE330" s="559"/>
      <c r="AF330" s="559"/>
      <c r="AG330" s="559"/>
    </row>
    <row r="331" spans="1:33" ht="18" x14ac:dyDescent="0.35">
      <c r="A331" s="559"/>
      <c r="B331" s="559"/>
      <c r="C331" s="559"/>
      <c r="D331" s="559"/>
      <c r="E331" s="559"/>
      <c r="F331" s="559"/>
      <c r="G331" s="559"/>
      <c r="H331" s="559"/>
      <c r="I331" s="559"/>
      <c r="J331" s="559"/>
      <c r="K331" s="559"/>
      <c r="L331" s="559"/>
      <c r="M331" s="559"/>
      <c r="N331" s="559"/>
      <c r="O331" s="559"/>
      <c r="P331" s="559"/>
      <c r="Q331" s="559"/>
      <c r="R331" s="559"/>
      <c r="S331" s="559"/>
      <c r="T331" s="559"/>
      <c r="U331" s="559"/>
      <c r="V331" s="559"/>
      <c r="W331" s="559"/>
      <c r="X331" s="559"/>
      <c r="Y331" s="559"/>
      <c r="Z331" s="559"/>
      <c r="AA331" s="559"/>
      <c r="AB331" s="559"/>
      <c r="AC331" s="559"/>
      <c r="AD331" s="559"/>
      <c r="AE331" s="559"/>
      <c r="AF331" s="559"/>
      <c r="AG331" s="559"/>
    </row>
    <row r="332" spans="1:33" ht="18" x14ac:dyDescent="0.35">
      <c r="A332" s="559"/>
      <c r="B332" s="559"/>
      <c r="C332" s="559"/>
      <c r="D332" s="559"/>
      <c r="E332" s="559"/>
      <c r="F332" s="559"/>
      <c r="G332" s="559"/>
      <c r="H332" s="559"/>
      <c r="I332" s="559"/>
      <c r="J332" s="559"/>
      <c r="K332" s="559"/>
      <c r="L332" s="559"/>
      <c r="M332" s="559"/>
      <c r="N332" s="559"/>
      <c r="O332" s="559"/>
      <c r="P332" s="559"/>
      <c r="Q332" s="559"/>
      <c r="R332" s="559"/>
      <c r="S332" s="559"/>
      <c r="T332" s="559"/>
      <c r="U332" s="559"/>
      <c r="V332" s="559"/>
      <c r="W332" s="559"/>
      <c r="X332" s="559"/>
      <c r="Y332" s="559"/>
      <c r="Z332" s="559"/>
      <c r="AA332" s="559"/>
      <c r="AB332" s="559"/>
      <c r="AC332" s="559"/>
      <c r="AD332" s="559"/>
      <c r="AE332" s="559"/>
      <c r="AF332" s="559"/>
      <c r="AG332" s="559"/>
    </row>
    <row r="333" spans="1:33" ht="18" x14ac:dyDescent="0.35">
      <c r="A333" s="559"/>
      <c r="B333" s="559"/>
      <c r="C333" s="559"/>
      <c r="D333" s="559"/>
      <c r="E333" s="559"/>
      <c r="F333" s="559"/>
      <c r="G333" s="559"/>
      <c r="H333" s="559"/>
      <c r="I333" s="559"/>
      <c r="J333" s="559"/>
      <c r="K333" s="559"/>
      <c r="L333" s="559"/>
      <c r="M333" s="559"/>
      <c r="N333" s="559"/>
      <c r="O333" s="559"/>
      <c r="P333" s="559"/>
      <c r="Q333" s="559"/>
      <c r="R333" s="559"/>
      <c r="S333" s="559"/>
      <c r="T333" s="559"/>
      <c r="U333" s="559"/>
      <c r="V333" s="559"/>
      <c r="W333" s="559"/>
      <c r="X333" s="559"/>
      <c r="Y333" s="559"/>
      <c r="Z333" s="559"/>
      <c r="AA333" s="559"/>
      <c r="AB333" s="559"/>
      <c r="AC333" s="559"/>
      <c r="AD333" s="559"/>
      <c r="AE333" s="559"/>
      <c r="AF333" s="559"/>
      <c r="AG333" s="559"/>
    </row>
    <row r="334" spans="1:33" ht="18" x14ac:dyDescent="0.35">
      <c r="A334" s="559"/>
      <c r="B334" s="559"/>
      <c r="C334" s="559"/>
      <c r="D334" s="559"/>
      <c r="E334" s="559"/>
      <c r="F334" s="559"/>
      <c r="G334" s="559"/>
      <c r="H334" s="559"/>
      <c r="I334" s="559"/>
      <c r="J334" s="559"/>
      <c r="K334" s="559"/>
      <c r="L334" s="559"/>
      <c r="M334" s="559"/>
      <c r="N334" s="559"/>
      <c r="O334" s="559"/>
      <c r="P334" s="559"/>
      <c r="Q334" s="559"/>
      <c r="R334" s="559"/>
      <c r="S334" s="559"/>
      <c r="T334" s="559"/>
      <c r="U334" s="559"/>
      <c r="V334" s="559"/>
      <c r="W334" s="559"/>
      <c r="X334" s="559"/>
      <c r="Y334" s="559"/>
      <c r="Z334" s="559"/>
      <c r="AA334" s="559"/>
      <c r="AB334" s="559"/>
      <c r="AC334" s="559"/>
      <c r="AD334" s="559"/>
      <c r="AE334" s="559"/>
      <c r="AF334" s="559"/>
      <c r="AG334" s="559"/>
    </row>
    <row r="335" spans="1:33" ht="18" x14ac:dyDescent="0.35">
      <c r="A335" s="559"/>
      <c r="B335" s="559"/>
      <c r="C335" s="559"/>
      <c r="D335" s="559"/>
      <c r="E335" s="559"/>
      <c r="F335" s="559"/>
      <c r="G335" s="559"/>
      <c r="H335" s="559"/>
      <c r="I335" s="559"/>
      <c r="J335" s="559"/>
      <c r="K335" s="559"/>
      <c r="L335" s="559"/>
      <c r="M335" s="559"/>
      <c r="N335" s="559"/>
      <c r="O335" s="559"/>
      <c r="P335" s="559"/>
      <c r="Q335" s="559"/>
      <c r="R335" s="559"/>
      <c r="S335" s="559"/>
      <c r="T335" s="559"/>
      <c r="U335" s="559"/>
      <c r="V335" s="559"/>
      <c r="W335" s="559"/>
      <c r="X335" s="559"/>
      <c r="Y335" s="559"/>
      <c r="Z335" s="559"/>
      <c r="AA335" s="559"/>
      <c r="AB335" s="559"/>
      <c r="AC335" s="559"/>
      <c r="AD335" s="559"/>
      <c r="AE335" s="559"/>
      <c r="AF335" s="559"/>
      <c r="AG335" s="559"/>
    </row>
    <row r="336" spans="1:33" ht="18" x14ac:dyDescent="0.35">
      <c r="A336" s="559"/>
      <c r="B336" s="559"/>
      <c r="C336" s="559"/>
      <c r="D336" s="559"/>
      <c r="E336" s="559"/>
      <c r="F336" s="559"/>
      <c r="G336" s="559"/>
      <c r="H336" s="559"/>
      <c r="I336" s="559"/>
      <c r="J336" s="559"/>
      <c r="K336" s="559"/>
      <c r="L336" s="559"/>
      <c r="M336" s="559"/>
      <c r="N336" s="559"/>
      <c r="O336" s="559"/>
      <c r="P336" s="559"/>
      <c r="Q336" s="559"/>
      <c r="R336" s="559"/>
      <c r="S336" s="559"/>
      <c r="T336" s="559"/>
      <c r="U336" s="559"/>
      <c r="V336" s="559"/>
      <c r="W336" s="559"/>
      <c r="X336" s="559"/>
      <c r="Y336" s="559"/>
      <c r="Z336" s="559"/>
      <c r="AA336" s="559"/>
      <c r="AB336" s="559"/>
      <c r="AC336" s="559"/>
      <c r="AD336" s="559"/>
      <c r="AE336" s="559"/>
      <c r="AF336" s="559"/>
      <c r="AG336" s="559"/>
    </row>
    <row r="337" spans="1:33" ht="18" x14ac:dyDescent="0.35">
      <c r="A337" s="559"/>
      <c r="B337" s="559"/>
      <c r="C337" s="559"/>
      <c r="D337" s="559"/>
      <c r="E337" s="559"/>
      <c r="F337" s="559"/>
      <c r="G337" s="559"/>
      <c r="H337" s="559"/>
      <c r="I337" s="559"/>
      <c r="J337" s="559"/>
      <c r="K337" s="559"/>
      <c r="L337" s="559"/>
      <c r="M337" s="559"/>
      <c r="N337" s="559"/>
      <c r="O337" s="559"/>
      <c r="P337" s="559"/>
      <c r="Q337" s="559"/>
      <c r="R337" s="559"/>
      <c r="S337" s="559"/>
      <c r="T337" s="559"/>
      <c r="U337" s="559"/>
      <c r="V337" s="559"/>
      <c r="W337" s="559"/>
      <c r="X337" s="559"/>
      <c r="Y337" s="559"/>
      <c r="Z337" s="559"/>
      <c r="AA337" s="559"/>
      <c r="AB337" s="559"/>
      <c r="AC337" s="559"/>
      <c r="AD337" s="559"/>
      <c r="AE337" s="559"/>
      <c r="AF337" s="559"/>
      <c r="AG337" s="559"/>
    </row>
    <row r="338" spans="1:33" ht="18" x14ac:dyDescent="0.35">
      <c r="A338" s="559"/>
      <c r="B338" s="559"/>
      <c r="C338" s="559"/>
      <c r="D338" s="559"/>
      <c r="E338" s="559"/>
      <c r="F338" s="559"/>
      <c r="G338" s="559"/>
      <c r="H338" s="559"/>
      <c r="I338" s="559"/>
      <c r="J338" s="559"/>
      <c r="K338" s="559"/>
      <c r="L338" s="559"/>
      <c r="M338" s="559"/>
      <c r="N338" s="559"/>
      <c r="O338" s="559"/>
      <c r="P338" s="559"/>
      <c r="Q338" s="559"/>
      <c r="R338" s="559"/>
      <c r="S338" s="559"/>
      <c r="T338" s="559"/>
      <c r="U338" s="559"/>
      <c r="V338" s="559"/>
      <c r="W338" s="559"/>
      <c r="X338" s="559"/>
      <c r="Y338" s="559"/>
      <c r="Z338" s="559"/>
      <c r="AA338" s="559"/>
      <c r="AB338" s="559"/>
      <c r="AC338" s="559"/>
      <c r="AD338" s="559"/>
      <c r="AE338" s="559"/>
      <c r="AF338" s="559"/>
      <c r="AG338" s="559"/>
    </row>
    <row r="339" spans="1:33" ht="18" x14ac:dyDescent="0.35">
      <c r="A339" s="559"/>
      <c r="B339" s="559"/>
      <c r="C339" s="559"/>
      <c r="D339" s="559"/>
      <c r="E339" s="559"/>
      <c r="F339" s="559"/>
      <c r="G339" s="559"/>
      <c r="H339" s="559"/>
      <c r="I339" s="559"/>
      <c r="J339" s="559"/>
      <c r="K339" s="559"/>
      <c r="L339" s="559"/>
      <c r="M339" s="559"/>
      <c r="N339" s="559"/>
      <c r="O339" s="559"/>
      <c r="P339" s="559"/>
      <c r="Q339" s="559"/>
      <c r="R339" s="559"/>
      <c r="S339" s="559"/>
      <c r="T339" s="559"/>
      <c r="U339" s="559"/>
      <c r="V339" s="559"/>
      <c r="W339" s="559"/>
      <c r="X339" s="559"/>
      <c r="Y339" s="559"/>
      <c r="Z339" s="559"/>
      <c r="AA339" s="559"/>
      <c r="AB339" s="559"/>
      <c r="AC339" s="559"/>
      <c r="AD339" s="559"/>
      <c r="AE339" s="559"/>
      <c r="AF339" s="559"/>
      <c r="AG339" s="559"/>
    </row>
    <row r="340" spans="1:33" ht="18" x14ac:dyDescent="0.35">
      <c r="A340" s="559"/>
      <c r="B340" s="559"/>
      <c r="C340" s="559"/>
      <c r="D340" s="559"/>
      <c r="E340" s="559"/>
      <c r="F340" s="559"/>
      <c r="G340" s="559"/>
      <c r="H340" s="559"/>
      <c r="I340" s="559"/>
      <c r="J340" s="559"/>
      <c r="K340" s="559"/>
      <c r="L340" s="559"/>
      <c r="M340" s="559"/>
      <c r="N340" s="559"/>
      <c r="O340" s="559"/>
      <c r="P340" s="559"/>
      <c r="Q340" s="559"/>
      <c r="R340" s="559"/>
      <c r="S340" s="559"/>
      <c r="T340" s="559"/>
      <c r="U340" s="559"/>
      <c r="V340" s="559"/>
      <c r="W340" s="559"/>
      <c r="X340" s="559"/>
      <c r="Y340" s="559"/>
      <c r="Z340" s="559"/>
      <c r="AA340" s="559"/>
      <c r="AB340" s="559"/>
      <c r="AC340" s="559"/>
      <c r="AD340" s="559"/>
      <c r="AE340" s="559"/>
      <c r="AF340" s="559"/>
      <c r="AG340" s="559"/>
    </row>
    <row r="341" spans="1:33" ht="18" x14ac:dyDescent="0.35">
      <c r="A341" s="559"/>
      <c r="B341" s="559"/>
      <c r="C341" s="559"/>
      <c r="D341" s="559"/>
      <c r="E341" s="559"/>
      <c r="F341" s="559"/>
      <c r="G341" s="559"/>
      <c r="H341" s="559"/>
      <c r="I341" s="559"/>
      <c r="J341" s="559"/>
      <c r="K341" s="559"/>
      <c r="L341" s="559"/>
      <c r="M341" s="559"/>
      <c r="N341" s="559"/>
      <c r="O341" s="559"/>
      <c r="P341" s="559"/>
      <c r="Q341" s="559"/>
      <c r="R341" s="559"/>
      <c r="S341" s="559"/>
      <c r="T341" s="559"/>
      <c r="U341" s="559"/>
      <c r="V341" s="559"/>
      <c r="W341" s="559"/>
      <c r="X341" s="559"/>
      <c r="Y341" s="559"/>
      <c r="Z341" s="559"/>
      <c r="AA341" s="559"/>
      <c r="AB341" s="559"/>
      <c r="AC341" s="559"/>
      <c r="AD341" s="559"/>
      <c r="AE341" s="559"/>
      <c r="AF341" s="559"/>
      <c r="AG341" s="559"/>
    </row>
    <row r="342" spans="1:33" ht="18" x14ac:dyDescent="0.35">
      <c r="A342" s="559"/>
      <c r="B342" s="559"/>
      <c r="C342" s="559"/>
      <c r="D342" s="559"/>
      <c r="E342" s="559"/>
      <c r="F342" s="559"/>
      <c r="G342" s="559"/>
      <c r="H342" s="559"/>
      <c r="I342" s="559"/>
      <c r="J342" s="559"/>
      <c r="K342" s="559"/>
      <c r="L342" s="559"/>
      <c r="M342" s="559"/>
      <c r="N342" s="559"/>
      <c r="O342" s="559"/>
      <c r="P342" s="559"/>
      <c r="Q342" s="559"/>
      <c r="R342" s="559"/>
      <c r="S342" s="559"/>
      <c r="T342" s="559"/>
      <c r="U342" s="559"/>
      <c r="V342" s="559"/>
      <c r="W342" s="559"/>
      <c r="X342" s="559"/>
      <c r="Y342" s="559"/>
      <c r="Z342" s="559"/>
      <c r="AA342" s="559"/>
      <c r="AB342" s="559"/>
      <c r="AC342" s="559"/>
      <c r="AD342" s="559"/>
      <c r="AE342" s="559"/>
      <c r="AF342" s="559"/>
      <c r="AG342" s="559"/>
    </row>
    <row r="343" spans="1:33" ht="18" x14ac:dyDescent="0.35">
      <c r="A343" s="559"/>
      <c r="B343" s="559"/>
      <c r="C343" s="559"/>
      <c r="D343" s="559"/>
      <c r="E343" s="559"/>
      <c r="F343" s="559"/>
      <c r="G343" s="559"/>
      <c r="H343" s="559"/>
      <c r="I343" s="559"/>
      <c r="J343" s="559"/>
      <c r="K343" s="559"/>
      <c r="L343" s="559"/>
      <c r="M343" s="559"/>
      <c r="N343" s="559"/>
      <c r="O343" s="559"/>
      <c r="P343" s="559"/>
      <c r="Q343" s="559"/>
      <c r="R343" s="559"/>
      <c r="S343" s="559"/>
      <c r="T343" s="559"/>
      <c r="U343" s="559"/>
      <c r="V343" s="559"/>
      <c r="W343" s="559"/>
      <c r="X343" s="559"/>
      <c r="Y343" s="559"/>
      <c r="Z343" s="559"/>
      <c r="AA343" s="559"/>
      <c r="AB343" s="559"/>
      <c r="AC343" s="559"/>
      <c r="AD343" s="559"/>
      <c r="AE343" s="559"/>
      <c r="AF343" s="559"/>
      <c r="AG343" s="559"/>
    </row>
    <row r="344" spans="1:33" ht="18" x14ac:dyDescent="0.35">
      <c r="A344" s="559"/>
      <c r="B344" s="559"/>
      <c r="C344" s="559"/>
      <c r="D344" s="559"/>
      <c r="E344" s="559"/>
      <c r="F344" s="559"/>
      <c r="G344" s="559"/>
      <c r="H344" s="559"/>
      <c r="I344" s="559"/>
      <c r="J344" s="559"/>
      <c r="K344" s="559"/>
      <c r="L344" s="559"/>
      <c r="M344" s="559"/>
      <c r="N344" s="559"/>
      <c r="O344" s="559"/>
      <c r="P344" s="559"/>
      <c r="Q344" s="559"/>
      <c r="R344" s="559"/>
      <c r="S344" s="559"/>
      <c r="T344" s="559"/>
      <c r="U344" s="559"/>
      <c r="V344" s="559"/>
      <c r="W344" s="559"/>
      <c r="X344" s="559"/>
      <c r="Y344" s="559"/>
      <c r="Z344" s="559"/>
      <c r="AA344" s="559"/>
      <c r="AB344" s="559"/>
      <c r="AC344" s="559"/>
      <c r="AD344" s="559"/>
      <c r="AE344" s="559"/>
      <c r="AF344" s="559"/>
      <c r="AG344" s="559"/>
    </row>
    <row r="345" spans="1:33" ht="18" x14ac:dyDescent="0.35">
      <c r="A345" s="559"/>
      <c r="B345" s="559"/>
      <c r="C345" s="559"/>
      <c r="D345" s="559"/>
      <c r="E345" s="559"/>
      <c r="F345" s="559"/>
      <c r="G345" s="559"/>
      <c r="H345" s="559"/>
      <c r="I345" s="559"/>
      <c r="J345" s="559"/>
      <c r="K345" s="559"/>
      <c r="L345" s="559"/>
      <c r="M345" s="559"/>
      <c r="N345" s="559"/>
      <c r="O345" s="559"/>
      <c r="P345" s="559"/>
      <c r="Q345" s="559"/>
      <c r="R345" s="559"/>
      <c r="S345" s="559"/>
      <c r="T345" s="559"/>
      <c r="U345" s="559"/>
      <c r="V345" s="559"/>
      <c r="W345" s="559"/>
      <c r="X345" s="559"/>
      <c r="Y345" s="559"/>
      <c r="Z345" s="559"/>
      <c r="AA345" s="559"/>
      <c r="AB345" s="559"/>
      <c r="AC345" s="559"/>
      <c r="AD345" s="559"/>
      <c r="AE345" s="559"/>
      <c r="AF345" s="559"/>
      <c r="AG345" s="559"/>
    </row>
    <row r="346" spans="1:33" ht="18" x14ac:dyDescent="0.35">
      <c r="A346" s="559"/>
      <c r="B346" s="559"/>
      <c r="C346" s="559"/>
      <c r="D346" s="559"/>
      <c r="E346" s="559"/>
      <c r="F346" s="559"/>
      <c r="G346" s="559"/>
      <c r="H346" s="559"/>
      <c r="I346" s="559"/>
      <c r="J346" s="559"/>
      <c r="K346" s="559"/>
      <c r="L346" s="559"/>
      <c r="M346" s="559"/>
      <c r="N346" s="559"/>
      <c r="O346" s="559"/>
      <c r="P346" s="559"/>
      <c r="Q346" s="559"/>
      <c r="R346" s="559"/>
      <c r="S346" s="559"/>
      <c r="T346" s="559"/>
      <c r="U346" s="559"/>
      <c r="V346" s="559"/>
      <c r="W346" s="559"/>
      <c r="X346" s="559"/>
      <c r="Y346" s="559"/>
      <c r="Z346" s="559"/>
      <c r="AA346" s="559"/>
      <c r="AB346" s="559"/>
      <c r="AC346" s="559"/>
      <c r="AD346" s="559"/>
      <c r="AE346" s="559"/>
      <c r="AF346" s="559"/>
      <c r="AG346" s="559"/>
    </row>
    <row r="347" spans="1:33" ht="18" x14ac:dyDescent="0.35">
      <c r="A347" s="559"/>
      <c r="B347" s="559"/>
      <c r="C347" s="559"/>
      <c r="D347" s="559"/>
      <c r="E347" s="559"/>
      <c r="F347" s="559"/>
      <c r="G347" s="559"/>
      <c r="H347" s="559"/>
      <c r="I347" s="559"/>
      <c r="J347" s="559"/>
      <c r="K347" s="559"/>
      <c r="L347" s="559"/>
      <c r="M347" s="559"/>
      <c r="N347" s="559"/>
      <c r="O347" s="559"/>
      <c r="P347" s="559"/>
      <c r="Q347" s="559"/>
      <c r="R347" s="559"/>
      <c r="S347" s="559"/>
      <c r="T347" s="559"/>
      <c r="U347" s="559"/>
      <c r="V347" s="559"/>
      <c r="W347" s="559"/>
      <c r="X347" s="559"/>
      <c r="Y347" s="559"/>
      <c r="Z347" s="559"/>
      <c r="AA347" s="559"/>
      <c r="AB347" s="559"/>
      <c r="AC347" s="559"/>
      <c r="AD347" s="559"/>
      <c r="AE347" s="559"/>
      <c r="AF347" s="559"/>
      <c r="AG347" s="559"/>
    </row>
    <row r="348" spans="1:33" ht="18" x14ac:dyDescent="0.35">
      <c r="A348" s="559"/>
      <c r="B348" s="559"/>
      <c r="C348" s="559"/>
      <c r="D348" s="559"/>
      <c r="E348" s="559"/>
      <c r="F348" s="559"/>
      <c r="G348" s="559"/>
      <c r="H348" s="559"/>
      <c r="I348" s="559"/>
      <c r="J348" s="559"/>
      <c r="K348" s="559"/>
      <c r="L348" s="559"/>
      <c r="M348" s="559"/>
      <c r="N348" s="559"/>
      <c r="O348" s="559"/>
      <c r="P348" s="559"/>
      <c r="Q348" s="559"/>
      <c r="R348" s="559"/>
      <c r="S348" s="559"/>
      <c r="T348" s="559"/>
      <c r="U348" s="559"/>
      <c r="V348" s="559"/>
      <c r="W348" s="559"/>
      <c r="X348" s="559"/>
      <c r="Y348" s="559"/>
      <c r="Z348" s="559"/>
      <c r="AA348" s="559"/>
      <c r="AB348" s="559"/>
      <c r="AC348" s="559"/>
      <c r="AD348" s="559"/>
      <c r="AE348" s="559"/>
      <c r="AF348" s="559"/>
      <c r="AG348" s="559"/>
    </row>
    <row r="349" spans="1:33" ht="18" x14ac:dyDescent="0.35">
      <c r="A349" s="559"/>
      <c r="B349" s="559"/>
      <c r="C349" s="559"/>
      <c r="D349" s="559"/>
      <c r="E349" s="559"/>
      <c r="F349" s="559"/>
      <c r="G349" s="559"/>
      <c r="H349" s="559"/>
      <c r="I349" s="559"/>
      <c r="J349" s="559"/>
      <c r="K349" s="559"/>
      <c r="L349" s="559"/>
      <c r="M349" s="559"/>
      <c r="N349" s="559"/>
      <c r="O349" s="559"/>
      <c r="P349" s="559"/>
      <c r="Q349" s="559"/>
      <c r="R349" s="559"/>
      <c r="S349" s="559"/>
      <c r="T349" s="559"/>
      <c r="U349" s="559"/>
      <c r="V349" s="559"/>
      <c r="W349" s="559"/>
      <c r="X349" s="559"/>
      <c r="Y349" s="559"/>
      <c r="Z349" s="559"/>
      <c r="AA349" s="559"/>
      <c r="AB349" s="559"/>
      <c r="AC349" s="559"/>
      <c r="AD349" s="559"/>
      <c r="AE349" s="559"/>
      <c r="AF349" s="559"/>
      <c r="AG349" s="559"/>
    </row>
    <row r="350" spans="1:33" ht="18" x14ac:dyDescent="0.35">
      <c r="A350" s="559"/>
      <c r="B350" s="559"/>
      <c r="C350" s="559"/>
      <c r="D350" s="559"/>
      <c r="E350" s="559"/>
      <c r="F350" s="559"/>
      <c r="G350" s="559"/>
      <c r="H350" s="559"/>
      <c r="I350" s="559"/>
      <c r="J350" s="559"/>
      <c r="K350" s="559"/>
      <c r="L350" s="559"/>
      <c r="M350" s="559"/>
      <c r="N350" s="559"/>
      <c r="O350" s="559"/>
      <c r="P350" s="559"/>
      <c r="Q350" s="559"/>
      <c r="R350" s="559"/>
      <c r="S350" s="559"/>
      <c r="T350" s="559"/>
      <c r="U350" s="559"/>
      <c r="V350" s="559"/>
      <c r="W350" s="559"/>
      <c r="X350" s="559"/>
      <c r="Y350" s="559"/>
      <c r="Z350" s="559"/>
      <c r="AA350" s="559"/>
      <c r="AB350" s="559"/>
      <c r="AC350" s="559"/>
      <c r="AD350" s="559"/>
      <c r="AE350" s="559"/>
      <c r="AF350" s="559"/>
      <c r="AG350" s="559"/>
    </row>
    <row r="351" spans="1:33" ht="18" x14ac:dyDescent="0.35">
      <c r="A351" s="559"/>
      <c r="B351" s="559"/>
      <c r="C351" s="559"/>
      <c r="D351" s="559"/>
      <c r="E351" s="559"/>
      <c r="F351" s="559"/>
      <c r="G351" s="559"/>
      <c r="H351" s="559"/>
      <c r="I351" s="559"/>
      <c r="J351" s="559"/>
      <c r="K351" s="559"/>
      <c r="L351" s="559"/>
      <c r="M351" s="559"/>
      <c r="N351" s="559"/>
      <c r="O351" s="559"/>
      <c r="P351" s="559"/>
      <c r="Q351" s="559"/>
      <c r="R351" s="559"/>
      <c r="S351" s="559"/>
      <c r="T351" s="559"/>
      <c r="U351" s="559"/>
      <c r="V351" s="559"/>
      <c r="W351" s="559"/>
      <c r="X351" s="559"/>
      <c r="Y351" s="559"/>
      <c r="Z351" s="559"/>
      <c r="AA351" s="559"/>
      <c r="AB351" s="559"/>
      <c r="AC351" s="559"/>
      <c r="AD351" s="559"/>
      <c r="AE351" s="559"/>
      <c r="AF351" s="559"/>
      <c r="AG351" s="559"/>
    </row>
    <row r="352" spans="1:33" ht="18" x14ac:dyDescent="0.35">
      <c r="A352" s="559"/>
      <c r="B352" s="559"/>
      <c r="C352" s="559"/>
      <c r="D352" s="559"/>
      <c r="E352" s="559"/>
      <c r="F352" s="559"/>
      <c r="G352" s="559"/>
      <c r="H352" s="559"/>
      <c r="I352" s="559"/>
      <c r="J352" s="559"/>
      <c r="K352" s="559"/>
      <c r="L352" s="559"/>
      <c r="M352" s="559"/>
      <c r="N352" s="559"/>
      <c r="O352" s="559"/>
      <c r="P352" s="559"/>
      <c r="Q352" s="559"/>
      <c r="R352" s="559"/>
      <c r="S352" s="559"/>
      <c r="T352" s="559"/>
      <c r="U352" s="559"/>
      <c r="V352" s="559"/>
      <c r="W352" s="559"/>
      <c r="X352" s="559"/>
      <c r="Y352" s="559"/>
      <c r="Z352" s="559"/>
      <c r="AA352" s="559"/>
      <c r="AB352" s="559"/>
      <c r="AC352" s="559"/>
      <c r="AD352" s="559"/>
      <c r="AE352" s="559"/>
      <c r="AF352" s="559"/>
      <c r="AG352" s="559"/>
    </row>
    <row r="353" spans="1:33" ht="18" x14ac:dyDescent="0.35">
      <c r="A353" s="559"/>
      <c r="B353" s="559"/>
      <c r="C353" s="559"/>
      <c r="D353" s="559"/>
      <c r="E353" s="559"/>
      <c r="F353" s="559"/>
      <c r="G353" s="559"/>
      <c r="H353" s="559"/>
      <c r="I353" s="559"/>
      <c r="J353" s="559"/>
      <c r="K353" s="559"/>
      <c r="L353" s="559"/>
      <c r="M353" s="559"/>
      <c r="N353" s="559"/>
      <c r="O353" s="559"/>
      <c r="P353" s="559"/>
      <c r="Q353" s="559"/>
      <c r="R353" s="559"/>
      <c r="S353" s="559"/>
      <c r="T353" s="559"/>
      <c r="U353" s="559"/>
      <c r="V353" s="559"/>
      <c r="W353" s="559"/>
      <c r="X353" s="559"/>
      <c r="Y353" s="559"/>
      <c r="Z353" s="559"/>
      <c r="AA353" s="559"/>
      <c r="AB353" s="559"/>
      <c r="AC353" s="559"/>
      <c r="AD353" s="559"/>
      <c r="AE353" s="559"/>
      <c r="AF353" s="559"/>
      <c r="AG353" s="559"/>
    </row>
    <row r="354" spans="1:33" ht="18" x14ac:dyDescent="0.35">
      <c r="A354" s="559"/>
      <c r="B354" s="559"/>
      <c r="C354" s="559"/>
      <c r="D354" s="559"/>
      <c r="E354" s="559"/>
      <c r="F354" s="559"/>
      <c r="G354" s="559"/>
      <c r="H354" s="559"/>
      <c r="I354" s="559"/>
      <c r="J354" s="559"/>
      <c r="K354" s="559"/>
      <c r="L354" s="559"/>
      <c r="M354" s="559"/>
      <c r="N354" s="559"/>
      <c r="O354" s="559"/>
      <c r="P354" s="559"/>
      <c r="Q354" s="559"/>
      <c r="R354" s="559"/>
      <c r="S354" s="559"/>
      <c r="T354" s="559"/>
      <c r="U354" s="559"/>
      <c r="V354" s="559"/>
      <c r="W354" s="559"/>
      <c r="X354" s="559"/>
      <c r="Y354" s="559"/>
      <c r="Z354" s="559"/>
      <c r="AA354" s="559"/>
      <c r="AB354" s="559"/>
      <c r="AC354" s="559"/>
      <c r="AD354" s="559"/>
      <c r="AE354" s="559"/>
      <c r="AF354" s="559"/>
      <c r="AG354" s="559"/>
    </row>
    <row r="355" spans="1:33" ht="18" x14ac:dyDescent="0.35">
      <c r="A355" s="559"/>
      <c r="B355" s="559"/>
      <c r="C355" s="559"/>
      <c r="D355" s="559"/>
      <c r="E355" s="559"/>
      <c r="F355" s="559"/>
      <c r="G355" s="559"/>
      <c r="H355" s="559"/>
      <c r="I355" s="559"/>
      <c r="J355" s="559"/>
      <c r="K355" s="559"/>
      <c r="L355" s="559"/>
      <c r="M355" s="559"/>
      <c r="N355" s="559"/>
      <c r="O355" s="559"/>
      <c r="P355" s="559"/>
      <c r="Q355" s="559"/>
      <c r="R355" s="559"/>
      <c r="S355" s="559"/>
      <c r="T355" s="559"/>
      <c r="U355" s="559"/>
      <c r="V355" s="559"/>
      <c r="W355" s="559"/>
      <c r="X355" s="559"/>
      <c r="Y355" s="559"/>
      <c r="Z355" s="559"/>
      <c r="AA355" s="559"/>
      <c r="AB355" s="559"/>
      <c r="AC355" s="559"/>
      <c r="AD355" s="559"/>
      <c r="AE355" s="559"/>
      <c r="AF355" s="559"/>
      <c r="AG355" s="559"/>
    </row>
    <row r="356" spans="1:33" ht="18" x14ac:dyDescent="0.35">
      <c r="A356" s="559"/>
      <c r="B356" s="559"/>
      <c r="C356" s="559"/>
      <c r="D356" s="559"/>
      <c r="E356" s="559"/>
      <c r="F356" s="559"/>
      <c r="G356" s="559"/>
      <c r="H356" s="559"/>
      <c r="I356" s="559"/>
      <c r="J356" s="559"/>
      <c r="K356" s="559"/>
      <c r="L356" s="559"/>
      <c r="M356" s="559"/>
      <c r="N356" s="559"/>
      <c r="O356" s="559"/>
      <c r="P356" s="559"/>
      <c r="Q356" s="559"/>
      <c r="R356" s="559"/>
      <c r="S356" s="559"/>
      <c r="T356" s="559"/>
      <c r="U356" s="559"/>
      <c r="V356" s="559"/>
      <c r="W356" s="559"/>
      <c r="X356" s="559"/>
      <c r="Y356" s="559"/>
      <c r="Z356" s="559"/>
      <c r="AA356" s="559"/>
      <c r="AB356" s="559"/>
      <c r="AC356" s="559"/>
      <c r="AD356" s="559"/>
      <c r="AE356" s="559"/>
      <c r="AF356" s="559"/>
      <c r="AG356" s="559"/>
    </row>
    <row r="357" spans="1:33" ht="18" x14ac:dyDescent="0.35">
      <c r="A357" s="559"/>
      <c r="B357" s="559"/>
      <c r="C357" s="559"/>
      <c r="D357" s="559"/>
      <c r="E357" s="559"/>
      <c r="F357" s="559"/>
      <c r="G357" s="559"/>
      <c r="H357" s="559"/>
      <c r="I357" s="559"/>
      <c r="J357" s="559"/>
      <c r="K357" s="559"/>
      <c r="L357" s="559"/>
      <c r="M357" s="559"/>
      <c r="N357" s="559"/>
      <c r="O357" s="559"/>
      <c r="P357" s="559"/>
      <c r="Q357" s="559"/>
      <c r="R357" s="559"/>
      <c r="S357" s="559"/>
      <c r="T357" s="559"/>
      <c r="U357" s="559"/>
      <c r="V357" s="559"/>
      <c r="W357" s="559"/>
      <c r="X357" s="559"/>
      <c r="Y357" s="559"/>
      <c r="Z357" s="559"/>
      <c r="AA357" s="559"/>
      <c r="AB357" s="559"/>
      <c r="AC357" s="559"/>
      <c r="AD357" s="559"/>
      <c r="AE357" s="559"/>
      <c r="AF357" s="559"/>
      <c r="AG357" s="559"/>
    </row>
    <row r="358" spans="1:33" ht="18" x14ac:dyDescent="0.35">
      <c r="A358" s="559"/>
      <c r="B358" s="559"/>
      <c r="C358" s="559"/>
      <c r="D358" s="559"/>
      <c r="E358" s="559"/>
      <c r="F358" s="559"/>
      <c r="G358" s="559"/>
      <c r="H358" s="559"/>
      <c r="I358" s="559"/>
      <c r="J358" s="559"/>
      <c r="K358" s="559"/>
      <c r="L358" s="559"/>
      <c r="M358" s="559"/>
      <c r="N358" s="559"/>
      <c r="O358" s="559"/>
      <c r="P358" s="559"/>
      <c r="Q358" s="559"/>
      <c r="R358" s="559"/>
      <c r="S358" s="559"/>
      <c r="T358" s="559"/>
      <c r="U358" s="559"/>
      <c r="V358" s="559"/>
      <c r="W358" s="559"/>
      <c r="X358" s="559"/>
      <c r="Y358" s="559"/>
      <c r="Z358" s="559"/>
      <c r="AA358" s="559"/>
      <c r="AB358" s="559"/>
      <c r="AC358" s="559"/>
      <c r="AD358" s="559"/>
      <c r="AE358" s="559"/>
      <c r="AF358" s="559"/>
      <c r="AG358" s="559"/>
    </row>
    <row r="359" spans="1:33" ht="18" x14ac:dyDescent="0.35">
      <c r="A359" s="559"/>
      <c r="B359" s="559"/>
      <c r="C359" s="559"/>
      <c r="D359" s="559"/>
      <c r="E359" s="559"/>
      <c r="F359" s="559"/>
      <c r="G359" s="559"/>
      <c r="H359" s="559"/>
      <c r="I359" s="559"/>
      <c r="J359" s="559"/>
      <c r="K359" s="559"/>
      <c r="L359" s="559"/>
      <c r="M359" s="559"/>
      <c r="N359" s="559"/>
      <c r="O359" s="559"/>
      <c r="P359" s="559"/>
      <c r="Q359" s="559"/>
      <c r="R359" s="559"/>
      <c r="S359" s="559"/>
      <c r="T359" s="559"/>
      <c r="U359" s="559"/>
      <c r="V359" s="559"/>
      <c r="W359" s="559"/>
      <c r="X359" s="559"/>
      <c r="Y359" s="559"/>
      <c r="Z359" s="559"/>
      <c r="AA359" s="559"/>
      <c r="AB359" s="559"/>
      <c r="AC359" s="559"/>
      <c r="AD359" s="559"/>
      <c r="AE359" s="559"/>
      <c r="AF359" s="559"/>
      <c r="AG359" s="559"/>
    </row>
    <row r="360" spans="1:33" ht="18" x14ac:dyDescent="0.35">
      <c r="A360" s="559"/>
      <c r="B360" s="559"/>
      <c r="C360" s="559"/>
      <c r="D360" s="559"/>
      <c r="E360" s="559"/>
      <c r="F360" s="559"/>
      <c r="G360" s="559"/>
      <c r="H360" s="559"/>
      <c r="I360" s="559"/>
      <c r="J360" s="559"/>
      <c r="K360" s="559"/>
      <c r="L360" s="559"/>
      <c r="M360" s="559"/>
      <c r="N360" s="559"/>
      <c r="O360" s="559"/>
      <c r="P360" s="559"/>
      <c r="Q360" s="559"/>
      <c r="R360" s="559"/>
      <c r="S360" s="559"/>
      <c r="T360" s="559"/>
      <c r="U360" s="559"/>
      <c r="V360" s="559"/>
      <c r="W360" s="559"/>
      <c r="X360" s="559"/>
      <c r="Y360" s="559"/>
      <c r="Z360" s="559"/>
      <c r="AA360" s="559"/>
      <c r="AB360" s="559"/>
      <c r="AC360" s="559"/>
      <c r="AD360" s="559"/>
      <c r="AE360" s="559"/>
      <c r="AF360" s="559"/>
      <c r="AG360" s="559"/>
    </row>
    <row r="361" spans="1:33" ht="18" x14ac:dyDescent="0.35">
      <c r="A361" s="559"/>
      <c r="B361" s="559"/>
      <c r="C361" s="559"/>
      <c r="D361" s="559"/>
      <c r="E361" s="559"/>
      <c r="F361" s="559"/>
      <c r="G361" s="559"/>
      <c r="H361" s="559"/>
      <c r="I361" s="559"/>
      <c r="J361" s="559"/>
      <c r="K361" s="559"/>
      <c r="L361" s="559"/>
      <c r="M361" s="559"/>
      <c r="N361" s="559"/>
      <c r="O361" s="559"/>
      <c r="P361" s="559"/>
      <c r="Q361" s="559"/>
      <c r="R361" s="559"/>
      <c r="S361" s="559"/>
      <c r="T361" s="559"/>
      <c r="U361" s="559"/>
      <c r="V361" s="559"/>
      <c r="W361" s="559"/>
      <c r="X361" s="559"/>
      <c r="Y361" s="559"/>
      <c r="Z361" s="559"/>
      <c r="AA361" s="559"/>
      <c r="AB361" s="559"/>
      <c r="AC361" s="559"/>
      <c r="AD361" s="559"/>
      <c r="AE361" s="559"/>
      <c r="AF361" s="559"/>
      <c r="AG361" s="559"/>
    </row>
    <row r="362" spans="1:33" ht="18" x14ac:dyDescent="0.35">
      <c r="A362" s="559"/>
      <c r="B362" s="559"/>
      <c r="C362" s="559"/>
      <c r="D362" s="559"/>
      <c r="E362" s="559"/>
      <c r="F362" s="559"/>
      <c r="G362" s="559"/>
      <c r="H362" s="559"/>
      <c r="I362" s="559"/>
      <c r="J362" s="559"/>
      <c r="K362" s="559"/>
      <c r="L362" s="559"/>
      <c r="M362" s="559"/>
      <c r="N362" s="559"/>
      <c r="O362" s="559"/>
      <c r="P362" s="559"/>
      <c r="Q362" s="559"/>
      <c r="R362" s="559"/>
      <c r="S362" s="559"/>
      <c r="T362" s="559"/>
      <c r="U362" s="559"/>
      <c r="V362" s="559"/>
      <c r="W362" s="559"/>
      <c r="X362" s="559"/>
      <c r="Y362" s="559"/>
      <c r="Z362" s="559"/>
      <c r="AA362" s="559"/>
      <c r="AB362" s="559"/>
      <c r="AC362" s="559"/>
      <c r="AD362" s="559"/>
      <c r="AE362" s="559"/>
      <c r="AF362" s="559"/>
      <c r="AG362" s="559"/>
    </row>
    <row r="363" spans="1:33" ht="18" x14ac:dyDescent="0.35">
      <c r="A363" s="559"/>
      <c r="B363" s="559"/>
      <c r="C363" s="559"/>
      <c r="D363" s="559"/>
      <c r="E363" s="559"/>
      <c r="F363" s="559"/>
      <c r="G363" s="559"/>
      <c r="H363" s="559"/>
      <c r="I363" s="559"/>
      <c r="J363" s="559"/>
      <c r="K363" s="559"/>
      <c r="L363" s="559"/>
      <c r="M363" s="559"/>
      <c r="N363" s="559"/>
      <c r="O363" s="559"/>
      <c r="P363" s="559"/>
      <c r="Q363" s="559"/>
      <c r="R363" s="559"/>
      <c r="S363" s="559"/>
      <c r="T363" s="559"/>
      <c r="U363" s="559"/>
      <c r="V363" s="559"/>
      <c r="W363" s="559"/>
      <c r="X363" s="559"/>
      <c r="Y363" s="559"/>
      <c r="Z363" s="559"/>
      <c r="AA363" s="559"/>
      <c r="AB363" s="559"/>
      <c r="AC363" s="559"/>
      <c r="AD363" s="559"/>
      <c r="AE363" s="559"/>
      <c r="AF363" s="559"/>
      <c r="AG363" s="559"/>
    </row>
    <row r="364" spans="1:33" ht="18" x14ac:dyDescent="0.35">
      <c r="A364" s="559"/>
      <c r="B364" s="559"/>
      <c r="C364" s="559"/>
      <c r="D364" s="559"/>
      <c r="E364" s="559"/>
      <c r="F364" s="559"/>
      <c r="G364" s="559"/>
      <c r="H364" s="559"/>
      <c r="I364" s="559"/>
      <c r="J364" s="559"/>
      <c r="K364" s="559"/>
      <c r="L364" s="559"/>
      <c r="M364" s="559"/>
      <c r="N364" s="559"/>
      <c r="O364" s="559"/>
      <c r="P364" s="559"/>
      <c r="Q364" s="559"/>
      <c r="R364" s="559"/>
      <c r="S364" s="559"/>
      <c r="T364" s="559"/>
      <c r="U364" s="559"/>
      <c r="V364" s="559"/>
      <c r="W364" s="559"/>
      <c r="X364" s="559"/>
      <c r="Y364" s="559"/>
      <c r="Z364" s="559"/>
      <c r="AA364" s="559"/>
      <c r="AB364" s="559"/>
      <c r="AC364" s="559"/>
      <c r="AD364" s="559"/>
      <c r="AE364" s="559"/>
      <c r="AF364" s="559"/>
      <c r="AG364" s="559"/>
    </row>
    <row r="365" spans="1:33" ht="18" x14ac:dyDescent="0.35">
      <c r="A365" s="559"/>
      <c r="B365" s="559"/>
      <c r="C365" s="559"/>
      <c r="D365" s="559"/>
      <c r="E365" s="559"/>
      <c r="F365" s="559"/>
      <c r="G365" s="559"/>
      <c r="H365" s="559"/>
      <c r="I365" s="559"/>
      <c r="J365" s="559"/>
      <c r="K365" s="559"/>
      <c r="L365" s="559"/>
      <c r="M365" s="559"/>
      <c r="N365" s="559"/>
      <c r="O365" s="559"/>
      <c r="P365" s="559"/>
      <c r="Q365" s="559"/>
      <c r="R365" s="559"/>
      <c r="S365" s="559"/>
      <c r="T365" s="559"/>
      <c r="U365" s="559"/>
      <c r="V365" s="559"/>
      <c r="W365" s="559"/>
      <c r="X365" s="559"/>
      <c r="Y365" s="559"/>
      <c r="Z365" s="559"/>
      <c r="AA365" s="559"/>
      <c r="AB365" s="559"/>
      <c r="AC365" s="559"/>
      <c r="AD365" s="559"/>
      <c r="AE365" s="559"/>
      <c r="AF365" s="559"/>
      <c r="AG365" s="559"/>
    </row>
    <row r="366" spans="1:33" ht="18" x14ac:dyDescent="0.35">
      <c r="A366" s="559"/>
      <c r="B366" s="559"/>
      <c r="C366" s="559"/>
      <c r="D366" s="559"/>
      <c r="E366" s="559"/>
      <c r="F366" s="559"/>
      <c r="G366" s="559"/>
      <c r="H366" s="559"/>
      <c r="I366" s="559"/>
      <c r="J366" s="559"/>
      <c r="K366" s="559"/>
      <c r="L366" s="559"/>
      <c r="M366" s="559"/>
      <c r="N366" s="559"/>
      <c r="O366" s="559"/>
      <c r="P366" s="559"/>
      <c r="Q366" s="559"/>
      <c r="R366" s="559"/>
      <c r="S366" s="559"/>
      <c r="T366" s="559"/>
      <c r="U366" s="559"/>
      <c r="V366" s="559"/>
      <c r="W366" s="559"/>
      <c r="X366" s="559"/>
      <c r="Y366" s="559"/>
      <c r="Z366" s="559"/>
      <c r="AA366" s="559"/>
      <c r="AB366" s="559"/>
      <c r="AC366" s="559"/>
      <c r="AD366" s="559"/>
      <c r="AE366" s="559"/>
      <c r="AF366" s="559"/>
      <c r="AG366" s="559"/>
    </row>
    <row r="367" spans="1:33" ht="18" x14ac:dyDescent="0.35">
      <c r="A367" s="559"/>
      <c r="B367" s="559"/>
      <c r="C367" s="559"/>
      <c r="D367" s="559"/>
      <c r="E367" s="559"/>
      <c r="F367" s="559"/>
      <c r="G367" s="559"/>
      <c r="H367" s="559"/>
      <c r="I367" s="559"/>
      <c r="J367" s="559"/>
      <c r="K367" s="559"/>
      <c r="L367" s="559"/>
      <c r="M367" s="559"/>
      <c r="N367" s="559"/>
      <c r="O367" s="559"/>
      <c r="P367" s="559"/>
      <c r="Q367" s="559"/>
      <c r="R367" s="559"/>
      <c r="S367" s="559"/>
      <c r="T367" s="559"/>
      <c r="U367" s="559"/>
      <c r="V367" s="559"/>
      <c r="W367" s="559"/>
      <c r="X367" s="559"/>
      <c r="Y367" s="559"/>
      <c r="Z367" s="559"/>
      <c r="AA367" s="559"/>
      <c r="AB367" s="559"/>
      <c r="AC367" s="559"/>
      <c r="AD367" s="559"/>
      <c r="AE367" s="559"/>
      <c r="AF367" s="559"/>
      <c r="AG367" s="559"/>
    </row>
    <row r="368" spans="1:33" ht="18" x14ac:dyDescent="0.35">
      <c r="A368" s="559"/>
      <c r="B368" s="559"/>
      <c r="C368" s="559"/>
      <c r="D368" s="559"/>
      <c r="E368" s="559"/>
      <c r="F368" s="559"/>
      <c r="G368" s="559"/>
      <c r="H368" s="559"/>
      <c r="I368" s="559"/>
      <c r="J368" s="559"/>
      <c r="K368" s="559"/>
      <c r="L368" s="559"/>
      <c r="M368" s="559"/>
      <c r="N368" s="559"/>
      <c r="O368" s="559"/>
      <c r="P368" s="559"/>
      <c r="Q368" s="559"/>
      <c r="R368" s="559"/>
      <c r="S368" s="559"/>
      <c r="T368" s="559"/>
      <c r="U368" s="559"/>
      <c r="V368" s="559"/>
      <c r="W368" s="559"/>
      <c r="X368" s="559"/>
      <c r="Y368" s="559"/>
      <c r="Z368" s="559"/>
      <c r="AA368" s="559"/>
      <c r="AB368" s="559"/>
      <c r="AC368" s="559"/>
      <c r="AD368" s="559"/>
      <c r="AE368" s="559"/>
      <c r="AF368" s="559"/>
      <c r="AG368" s="559"/>
    </row>
    <row r="369" spans="1:33" ht="18" x14ac:dyDescent="0.35">
      <c r="A369" s="559"/>
      <c r="B369" s="559"/>
      <c r="C369" s="559"/>
      <c r="D369" s="559"/>
      <c r="E369" s="559"/>
      <c r="F369" s="559"/>
      <c r="G369" s="559"/>
      <c r="H369" s="559"/>
      <c r="I369" s="559"/>
      <c r="J369" s="559"/>
      <c r="K369" s="559"/>
      <c r="L369" s="559"/>
      <c r="M369" s="559"/>
      <c r="N369" s="559"/>
      <c r="O369" s="559"/>
      <c r="P369" s="559"/>
      <c r="Q369" s="559"/>
      <c r="R369" s="559"/>
      <c r="S369" s="559"/>
      <c r="T369" s="559"/>
      <c r="U369" s="559"/>
      <c r="V369" s="559"/>
      <c r="W369" s="559"/>
      <c r="X369" s="559"/>
      <c r="Y369" s="559"/>
      <c r="Z369" s="559"/>
      <c r="AA369" s="559"/>
      <c r="AB369" s="559"/>
      <c r="AC369" s="559"/>
      <c r="AD369" s="559"/>
      <c r="AE369" s="559"/>
      <c r="AF369" s="559"/>
      <c r="AG369" s="559"/>
    </row>
    <row r="370" spans="1:33" ht="18" x14ac:dyDescent="0.35">
      <c r="A370" s="559"/>
      <c r="B370" s="559"/>
      <c r="C370" s="559"/>
      <c r="D370" s="559"/>
      <c r="E370" s="559"/>
      <c r="F370" s="559"/>
      <c r="G370" s="559"/>
      <c r="H370" s="559"/>
      <c r="I370" s="559"/>
      <c r="J370" s="559"/>
      <c r="K370" s="559"/>
      <c r="L370" s="559"/>
      <c r="M370" s="559"/>
      <c r="N370" s="559"/>
      <c r="O370" s="559"/>
      <c r="P370" s="559"/>
      <c r="Q370" s="559"/>
      <c r="R370" s="559"/>
      <c r="S370" s="559"/>
      <c r="T370" s="559"/>
      <c r="U370" s="559"/>
      <c r="V370" s="559"/>
      <c r="W370" s="559"/>
      <c r="X370" s="559"/>
      <c r="Y370" s="559"/>
      <c r="Z370" s="559"/>
      <c r="AA370" s="559"/>
      <c r="AB370" s="559"/>
      <c r="AC370" s="559"/>
      <c r="AD370" s="559"/>
      <c r="AE370" s="559"/>
      <c r="AF370" s="559"/>
      <c r="AG370" s="559"/>
    </row>
    <row r="371" spans="1:33" ht="18" x14ac:dyDescent="0.35">
      <c r="A371" s="559"/>
      <c r="B371" s="559"/>
      <c r="C371" s="559"/>
      <c r="D371" s="559"/>
      <c r="E371" s="559"/>
      <c r="F371" s="559"/>
      <c r="G371" s="559"/>
      <c r="H371" s="559"/>
      <c r="I371" s="559"/>
      <c r="J371" s="559"/>
      <c r="K371" s="559"/>
      <c r="L371" s="559"/>
      <c r="M371" s="559"/>
      <c r="N371" s="559"/>
      <c r="O371" s="559"/>
      <c r="P371" s="559"/>
      <c r="Q371" s="559"/>
      <c r="R371" s="559"/>
      <c r="S371" s="559"/>
      <c r="T371" s="559"/>
      <c r="U371" s="559"/>
      <c r="V371" s="559"/>
      <c r="W371" s="559"/>
      <c r="X371" s="559"/>
      <c r="Y371" s="559"/>
      <c r="Z371" s="559"/>
      <c r="AA371" s="559"/>
      <c r="AB371" s="559"/>
      <c r="AC371" s="559"/>
      <c r="AD371" s="559"/>
      <c r="AE371" s="559"/>
      <c r="AF371" s="559"/>
      <c r="AG371" s="559"/>
    </row>
    <row r="372" spans="1:33" ht="18" x14ac:dyDescent="0.35">
      <c r="A372" s="559"/>
      <c r="B372" s="559"/>
      <c r="C372" s="559"/>
      <c r="D372" s="559"/>
      <c r="E372" s="559"/>
      <c r="F372" s="559"/>
      <c r="G372" s="559"/>
      <c r="H372" s="559"/>
      <c r="I372" s="559"/>
      <c r="J372" s="559"/>
      <c r="K372" s="559"/>
      <c r="L372" s="559"/>
      <c r="M372" s="559"/>
      <c r="N372" s="559"/>
      <c r="O372" s="559"/>
      <c r="P372" s="559"/>
      <c r="Q372" s="559"/>
      <c r="R372" s="559"/>
      <c r="S372" s="559"/>
      <c r="T372" s="559"/>
      <c r="U372" s="559"/>
      <c r="V372" s="559"/>
      <c r="W372" s="559"/>
      <c r="X372" s="559"/>
      <c r="Y372" s="559"/>
      <c r="Z372" s="559"/>
      <c r="AA372" s="559"/>
      <c r="AB372" s="559"/>
      <c r="AC372" s="559"/>
      <c r="AD372" s="559"/>
      <c r="AE372" s="559"/>
      <c r="AF372" s="559"/>
      <c r="AG372" s="559"/>
    </row>
    <row r="373" spans="1:33" ht="18" x14ac:dyDescent="0.35">
      <c r="A373" s="559"/>
      <c r="B373" s="559"/>
      <c r="C373" s="559"/>
      <c r="D373" s="559"/>
      <c r="E373" s="559"/>
      <c r="F373" s="559"/>
      <c r="G373" s="559"/>
      <c r="H373" s="559"/>
      <c r="I373" s="559"/>
      <c r="J373" s="559"/>
      <c r="K373" s="559"/>
      <c r="L373" s="559"/>
      <c r="M373" s="559"/>
      <c r="N373" s="559"/>
      <c r="O373" s="559"/>
      <c r="P373" s="559"/>
      <c r="Q373" s="559"/>
      <c r="R373" s="559"/>
      <c r="S373" s="559"/>
      <c r="T373" s="559"/>
      <c r="U373" s="559"/>
      <c r="V373" s="559"/>
      <c r="W373" s="559"/>
      <c r="X373" s="559"/>
      <c r="Y373" s="559"/>
      <c r="Z373" s="559"/>
      <c r="AA373" s="559"/>
      <c r="AB373" s="559"/>
      <c r="AC373" s="559"/>
      <c r="AD373" s="559"/>
      <c r="AE373" s="559"/>
      <c r="AF373" s="559"/>
      <c r="AG373" s="559"/>
    </row>
    <row r="374" spans="1:33" ht="18" x14ac:dyDescent="0.35">
      <c r="A374" s="559"/>
      <c r="B374" s="559"/>
      <c r="C374" s="559"/>
      <c r="D374" s="559"/>
      <c r="E374" s="559"/>
      <c r="F374" s="559"/>
      <c r="G374" s="559"/>
      <c r="H374" s="559"/>
      <c r="I374" s="559"/>
      <c r="J374" s="559"/>
      <c r="K374" s="559"/>
      <c r="L374" s="559"/>
      <c r="M374" s="559"/>
      <c r="N374" s="559"/>
      <c r="O374" s="559"/>
      <c r="P374" s="559"/>
      <c r="Q374" s="559"/>
      <c r="R374" s="559"/>
      <c r="S374" s="559"/>
      <c r="T374" s="559"/>
      <c r="U374" s="559"/>
      <c r="V374" s="559"/>
      <c r="W374" s="559"/>
      <c r="X374" s="559"/>
      <c r="Y374" s="559"/>
      <c r="Z374" s="559"/>
      <c r="AA374" s="559"/>
      <c r="AB374" s="559"/>
      <c r="AC374" s="559"/>
      <c r="AD374" s="559"/>
      <c r="AE374" s="559"/>
      <c r="AF374" s="559"/>
      <c r="AG374" s="559"/>
    </row>
    <row r="375" spans="1:33" ht="18" x14ac:dyDescent="0.35">
      <c r="A375" s="559"/>
      <c r="B375" s="559"/>
      <c r="C375" s="559"/>
      <c r="D375" s="559"/>
      <c r="E375" s="559"/>
      <c r="F375" s="559"/>
      <c r="G375" s="559"/>
      <c r="H375" s="559"/>
      <c r="I375" s="559"/>
      <c r="J375" s="559"/>
      <c r="K375" s="559"/>
      <c r="L375" s="559"/>
      <c r="M375" s="559"/>
      <c r="N375" s="559"/>
      <c r="O375" s="559"/>
      <c r="P375" s="559"/>
      <c r="Q375" s="559"/>
      <c r="R375" s="559"/>
      <c r="S375" s="559"/>
      <c r="T375" s="559"/>
      <c r="U375" s="559"/>
      <c r="V375" s="559"/>
      <c r="W375" s="559"/>
      <c r="X375" s="559"/>
      <c r="Y375" s="559"/>
      <c r="Z375" s="559"/>
      <c r="AA375" s="559"/>
      <c r="AB375" s="559"/>
      <c r="AC375" s="559"/>
      <c r="AD375" s="559"/>
      <c r="AE375" s="559"/>
      <c r="AF375" s="559"/>
      <c r="AG375" s="559"/>
    </row>
    <row r="376" spans="1:33" ht="18" x14ac:dyDescent="0.35">
      <c r="A376" s="559"/>
      <c r="B376" s="559"/>
      <c r="C376" s="559"/>
      <c r="D376" s="559"/>
      <c r="E376" s="559"/>
      <c r="F376" s="559"/>
      <c r="G376" s="559"/>
      <c r="H376" s="559"/>
      <c r="I376" s="559"/>
      <c r="J376" s="559"/>
      <c r="K376" s="559"/>
      <c r="L376" s="559"/>
      <c r="M376" s="559"/>
      <c r="N376" s="559"/>
      <c r="O376" s="559"/>
      <c r="P376" s="559"/>
      <c r="Q376" s="559"/>
      <c r="R376" s="559"/>
      <c r="S376" s="559"/>
      <c r="T376" s="559"/>
      <c r="U376" s="559"/>
      <c r="V376" s="559"/>
      <c r="W376" s="559"/>
      <c r="X376" s="559"/>
      <c r="Y376" s="559"/>
      <c r="Z376" s="559"/>
      <c r="AA376" s="559"/>
      <c r="AB376" s="559"/>
      <c r="AC376" s="559"/>
      <c r="AD376" s="559"/>
      <c r="AE376" s="559"/>
      <c r="AF376" s="559"/>
      <c r="AG376" s="559"/>
    </row>
    <row r="377" spans="1:33" ht="18" x14ac:dyDescent="0.35">
      <c r="A377" s="559"/>
      <c r="B377" s="559"/>
      <c r="C377" s="559"/>
      <c r="D377" s="559"/>
      <c r="E377" s="559"/>
      <c r="F377" s="559"/>
      <c r="G377" s="559"/>
      <c r="H377" s="559"/>
      <c r="I377" s="559"/>
      <c r="J377" s="559"/>
      <c r="K377" s="559"/>
      <c r="L377" s="559"/>
      <c r="M377" s="559"/>
      <c r="N377" s="559"/>
      <c r="O377" s="559"/>
      <c r="P377" s="559"/>
      <c r="Q377" s="559"/>
      <c r="R377" s="559"/>
      <c r="S377" s="559"/>
      <c r="T377" s="559"/>
      <c r="U377" s="559"/>
      <c r="V377" s="559"/>
      <c r="W377" s="559"/>
      <c r="X377" s="559"/>
      <c r="Y377" s="559"/>
      <c r="Z377" s="559"/>
      <c r="AA377" s="559"/>
      <c r="AB377" s="559"/>
      <c r="AC377" s="559"/>
      <c r="AD377" s="559"/>
      <c r="AE377" s="559"/>
      <c r="AF377" s="559"/>
      <c r="AG377" s="559"/>
    </row>
    <row r="378" spans="1:33" ht="18" x14ac:dyDescent="0.35">
      <c r="A378" s="559"/>
      <c r="B378" s="559"/>
      <c r="C378" s="559"/>
      <c r="D378" s="559"/>
      <c r="E378" s="559"/>
      <c r="F378" s="559"/>
      <c r="G378" s="559"/>
      <c r="H378" s="559"/>
      <c r="I378" s="559"/>
      <c r="J378" s="559"/>
      <c r="K378" s="559"/>
      <c r="L378" s="559"/>
      <c r="M378" s="559"/>
      <c r="N378" s="559"/>
      <c r="O378" s="559"/>
      <c r="P378" s="559"/>
      <c r="Q378" s="559"/>
      <c r="R378" s="559"/>
      <c r="S378" s="559"/>
      <c r="T378" s="559"/>
      <c r="U378" s="559"/>
      <c r="V378" s="559"/>
      <c r="W378" s="559"/>
      <c r="X378" s="559"/>
      <c r="Y378" s="559"/>
      <c r="Z378" s="559"/>
      <c r="AA378" s="559"/>
      <c r="AB378" s="559"/>
      <c r="AC378" s="559"/>
      <c r="AD378" s="559"/>
      <c r="AE378" s="559"/>
      <c r="AF378" s="559"/>
      <c r="AG378" s="559"/>
    </row>
    <row r="379" spans="1:33" ht="18" x14ac:dyDescent="0.35">
      <c r="A379" s="559"/>
      <c r="B379" s="559"/>
      <c r="C379" s="559"/>
      <c r="D379" s="559"/>
      <c r="E379" s="559"/>
      <c r="F379" s="559"/>
      <c r="G379" s="559"/>
      <c r="H379" s="559"/>
      <c r="I379" s="559"/>
      <c r="J379" s="559"/>
      <c r="K379" s="559"/>
      <c r="L379" s="559"/>
      <c r="M379" s="559"/>
      <c r="N379" s="559"/>
      <c r="O379" s="559"/>
      <c r="P379" s="559"/>
      <c r="Q379" s="559"/>
      <c r="R379" s="559"/>
      <c r="S379" s="559"/>
      <c r="T379" s="559"/>
      <c r="U379" s="559"/>
      <c r="V379" s="559"/>
      <c r="W379" s="559"/>
      <c r="X379" s="559"/>
      <c r="Y379" s="559"/>
      <c r="Z379" s="559"/>
      <c r="AA379" s="559"/>
      <c r="AB379" s="559"/>
      <c r="AC379" s="559"/>
      <c r="AD379" s="559"/>
      <c r="AE379" s="559"/>
      <c r="AF379" s="559"/>
      <c r="AG379" s="559"/>
    </row>
    <row r="380" spans="1:33" ht="18" x14ac:dyDescent="0.35">
      <c r="A380" s="559"/>
      <c r="B380" s="559"/>
      <c r="C380" s="559"/>
      <c r="D380" s="559"/>
      <c r="E380" s="559"/>
      <c r="F380" s="559"/>
      <c r="G380" s="559"/>
      <c r="H380" s="559"/>
      <c r="I380" s="559"/>
      <c r="J380" s="559"/>
      <c r="K380" s="559"/>
      <c r="L380" s="559"/>
      <c r="M380" s="559"/>
      <c r="N380" s="559"/>
      <c r="O380" s="559"/>
      <c r="P380" s="559"/>
      <c r="Q380" s="559"/>
      <c r="R380" s="559"/>
      <c r="S380" s="559"/>
      <c r="T380" s="559"/>
      <c r="U380" s="559"/>
      <c r="V380" s="559"/>
      <c r="W380" s="559"/>
      <c r="X380" s="559"/>
      <c r="Y380" s="559"/>
      <c r="Z380" s="559"/>
      <c r="AA380" s="559"/>
      <c r="AB380" s="559"/>
      <c r="AC380" s="559"/>
      <c r="AD380" s="559"/>
      <c r="AE380" s="559"/>
      <c r="AF380" s="559"/>
      <c r="AG380" s="559"/>
    </row>
    <row r="381" spans="1:33" ht="18" x14ac:dyDescent="0.35">
      <c r="A381" s="559"/>
      <c r="B381" s="559"/>
      <c r="C381" s="559"/>
      <c r="D381" s="559"/>
      <c r="E381" s="559"/>
      <c r="F381" s="559"/>
      <c r="G381" s="559"/>
      <c r="H381" s="559"/>
      <c r="I381" s="559"/>
      <c r="J381" s="559"/>
      <c r="K381" s="559"/>
      <c r="L381" s="559"/>
      <c r="M381" s="559"/>
      <c r="N381" s="559"/>
      <c r="O381" s="559"/>
      <c r="P381" s="559"/>
      <c r="Q381" s="559"/>
      <c r="R381" s="559"/>
      <c r="S381" s="559"/>
      <c r="T381" s="559"/>
      <c r="U381" s="559"/>
      <c r="V381" s="559"/>
      <c r="W381" s="559"/>
      <c r="X381" s="559"/>
      <c r="Y381" s="559"/>
      <c r="Z381" s="559"/>
      <c r="AA381" s="559"/>
      <c r="AB381" s="559"/>
      <c r="AC381" s="559"/>
      <c r="AD381" s="559"/>
      <c r="AE381" s="559"/>
      <c r="AF381" s="559"/>
      <c r="AG381" s="559"/>
    </row>
    <row r="382" spans="1:33" ht="18" x14ac:dyDescent="0.35">
      <c r="A382" s="559"/>
      <c r="B382" s="559"/>
      <c r="C382" s="559"/>
      <c r="D382" s="559"/>
      <c r="E382" s="559"/>
      <c r="F382" s="559"/>
      <c r="G382" s="559"/>
      <c r="H382" s="559"/>
      <c r="I382" s="559"/>
      <c r="J382" s="559"/>
      <c r="K382" s="559"/>
      <c r="L382" s="559"/>
      <c r="M382" s="559"/>
      <c r="N382" s="559"/>
      <c r="O382" s="559"/>
      <c r="P382" s="559"/>
      <c r="Q382" s="559"/>
      <c r="R382" s="559"/>
      <c r="S382" s="559"/>
      <c r="T382" s="559"/>
      <c r="U382" s="559"/>
      <c r="V382" s="559"/>
      <c r="W382" s="559"/>
      <c r="X382" s="559"/>
      <c r="Y382" s="559"/>
      <c r="Z382" s="559"/>
      <c r="AA382" s="559"/>
      <c r="AB382" s="559"/>
      <c r="AC382" s="559"/>
      <c r="AD382" s="559"/>
      <c r="AE382" s="559"/>
      <c r="AF382" s="559"/>
      <c r="AG382" s="559"/>
    </row>
    <row r="383" spans="1:33" ht="18" x14ac:dyDescent="0.35">
      <c r="A383" s="559"/>
      <c r="B383" s="559"/>
      <c r="C383" s="559"/>
      <c r="D383" s="559"/>
      <c r="E383" s="559"/>
      <c r="F383" s="559"/>
      <c r="G383" s="559"/>
      <c r="H383" s="559"/>
      <c r="I383" s="559"/>
      <c r="J383" s="559"/>
      <c r="K383" s="559"/>
      <c r="L383" s="559"/>
      <c r="M383" s="559"/>
      <c r="N383" s="559"/>
      <c r="O383" s="559"/>
      <c r="P383" s="559"/>
      <c r="Q383" s="559"/>
      <c r="R383" s="559"/>
      <c r="S383" s="559"/>
      <c r="T383" s="559"/>
      <c r="U383" s="559"/>
      <c r="V383" s="559"/>
      <c r="W383" s="559"/>
      <c r="X383" s="559"/>
      <c r="Y383" s="559"/>
      <c r="Z383" s="559"/>
      <c r="AA383" s="559"/>
      <c r="AB383" s="559"/>
      <c r="AC383" s="559"/>
      <c r="AD383" s="559"/>
      <c r="AE383" s="559"/>
      <c r="AF383" s="559"/>
      <c r="AG383" s="559"/>
    </row>
    <row r="384" spans="1:33" ht="18" x14ac:dyDescent="0.35">
      <c r="A384" s="559"/>
      <c r="B384" s="559"/>
      <c r="C384" s="559"/>
      <c r="D384" s="559"/>
      <c r="E384" s="559"/>
      <c r="F384" s="559"/>
      <c r="G384" s="559"/>
      <c r="H384" s="559"/>
      <c r="I384" s="559"/>
      <c r="J384" s="559"/>
      <c r="K384" s="559"/>
      <c r="L384" s="559"/>
      <c r="M384" s="559"/>
      <c r="N384" s="559"/>
      <c r="O384" s="559"/>
      <c r="P384" s="559"/>
      <c r="Q384" s="559"/>
      <c r="R384" s="559"/>
      <c r="S384" s="559"/>
      <c r="T384" s="559"/>
      <c r="U384" s="559"/>
      <c r="V384" s="559"/>
      <c r="W384" s="559"/>
      <c r="X384" s="559"/>
      <c r="Y384" s="559"/>
      <c r="Z384" s="559"/>
      <c r="AA384" s="559"/>
      <c r="AB384" s="559"/>
      <c r="AC384" s="559"/>
      <c r="AD384" s="559"/>
      <c r="AE384" s="559"/>
      <c r="AF384" s="559"/>
      <c r="AG384" s="559"/>
    </row>
    <row r="385" spans="1:33" ht="18" x14ac:dyDescent="0.35">
      <c r="A385" s="559"/>
      <c r="B385" s="559"/>
      <c r="C385" s="559"/>
      <c r="D385" s="559"/>
      <c r="E385" s="559"/>
      <c r="F385" s="559"/>
      <c r="G385" s="559"/>
      <c r="H385" s="559"/>
      <c r="I385" s="559"/>
      <c r="J385" s="559"/>
      <c r="K385" s="559"/>
      <c r="L385" s="559"/>
      <c r="M385" s="559"/>
      <c r="N385" s="559"/>
      <c r="O385" s="559"/>
      <c r="P385" s="559"/>
      <c r="Q385" s="559"/>
      <c r="R385" s="559"/>
      <c r="S385" s="559"/>
      <c r="T385" s="559"/>
      <c r="U385" s="559"/>
      <c r="V385" s="559"/>
      <c r="W385" s="559"/>
      <c r="X385" s="559"/>
      <c r="Y385" s="559"/>
      <c r="Z385" s="559"/>
      <c r="AA385" s="559"/>
      <c r="AB385" s="559"/>
      <c r="AC385" s="559"/>
      <c r="AD385" s="559"/>
      <c r="AE385" s="559"/>
      <c r="AF385" s="559"/>
      <c r="AG385" s="559"/>
    </row>
    <row r="386" spans="1:33" ht="18" x14ac:dyDescent="0.35">
      <c r="A386" s="559"/>
      <c r="B386" s="559"/>
      <c r="C386" s="559"/>
      <c r="D386" s="559"/>
      <c r="E386" s="559"/>
      <c r="F386" s="559"/>
      <c r="G386" s="559"/>
      <c r="H386" s="559"/>
      <c r="I386" s="559"/>
      <c r="J386" s="559"/>
      <c r="K386" s="559"/>
      <c r="L386" s="559"/>
      <c r="M386" s="559"/>
      <c r="N386" s="559"/>
      <c r="O386" s="559"/>
      <c r="P386" s="559"/>
      <c r="Q386" s="559"/>
      <c r="R386" s="559"/>
      <c r="S386" s="559"/>
      <c r="T386" s="559"/>
      <c r="U386" s="559"/>
      <c r="V386" s="559"/>
      <c r="W386" s="559"/>
      <c r="X386" s="559"/>
      <c r="Y386" s="559"/>
      <c r="Z386" s="559"/>
      <c r="AA386" s="559"/>
      <c r="AB386" s="559"/>
      <c r="AC386" s="559"/>
      <c r="AD386" s="559"/>
      <c r="AE386" s="559"/>
      <c r="AF386" s="559"/>
      <c r="AG386" s="559"/>
    </row>
    <row r="387" spans="1:33" ht="18" x14ac:dyDescent="0.35">
      <c r="A387" s="559"/>
      <c r="B387" s="559"/>
      <c r="C387" s="559"/>
      <c r="D387" s="559"/>
      <c r="E387" s="559"/>
      <c r="F387" s="559"/>
      <c r="G387" s="559"/>
      <c r="H387" s="559"/>
      <c r="I387" s="559"/>
      <c r="J387" s="559"/>
      <c r="K387" s="559"/>
      <c r="L387" s="559"/>
      <c r="M387" s="559"/>
      <c r="N387" s="559"/>
      <c r="O387" s="559"/>
      <c r="P387" s="559"/>
      <c r="Q387" s="559"/>
      <c r="R387" s="559"/>
      <c r="S387" s="559"/>
      <c r="T387" s="559"/>
      <c r="U387" s="559"/>
      <c r="V387" s="559"/>
      <c r="W387" s="559"/>
      <c r="X387" s="559"/>
      <c r="Y387" s="559"/>
      <c r="Z387" s="559"/>
      <c r="AA387" s="559"/>
      <c r="AB387" s="559"/>
      <c r="AC387" s="559"/>
      <c r="AD387" s="559"/>
      <c r="AE387" s="559"/>
      <c r="AF387" s="559"/>
      <c r="AG387" s="559"/>
    </row>
    <row r="388" spans="1:33" ht="18" x14ac:dyDescent="0.35">
      <c r="A388" s="559"/>
      <c r="B388" s="559"/>
      <c r="C388" s="559"/>
      <c r="D388" s="559"/>
      <c r="E388" s="559"/>
      <c r="F388" s="559"/>
      <c r="G388" s="559"/>
      <c r="H388" s="559"/>
      <c r="I388" s="559"/>
      <c r="J388" s="559"/>
      <c r="K388" s="559"/>
      <c r="L388" s="559"/>
      <c r="M388" s="559"/>
      <c r="N388" s="559"/>
      <c r="O388" s="559"/>
      <c r="P388" s="559"/>
      <c r="Q388" s="559"/>
      <c r="R388" s="559"/>
      <c r="S388" s="559"/>
      <c r="T388" s="559"/>
      <c r="U388" s="559"/>
      <c r="V388" s="559"/>
      <c r="W388" s="559"/>
      <c r="X388" s="559"/>
      <c r="Y388" s="559"/>
      <c r="Z388" s="559"/>
      <c r="AA388" s="559"/>
      <c r="AB388" s="559"/>
      <c r="AC388" s="559"/>
      <c r="AD388" s="559"/>
      <c r="AE388" s="559"/>
      <c r="AF388" s="559"/>
      <c r="AG388" s="559"/>
    </row>
    <row r="389" spans="1:33" ht="18" x14ac:dyDescent="0.35">
      <c r="A389" s="559"/>
      <c r="B389" s="559"/>
      <c r="C389" s="559"/>
      <c r="D389" s="559"/>
      <c r="E389" s="559"/>
      <c r="F389" s="559"/>
      <c r="G389" s="559"/>
      <c r="H389" s="559"/>
      <c r="I389" s="559"/>
      <c r="J389" s="559"/>
      <c r="K389" s="559"/>
      <c r="L389" s="559"/>
      <c r="M389" s="559"/>
      <c r="N389" s="559"/>
      <c r="O389" s="559"/>
      <c r="P389" s="559"/>
      <c r="Q389" s="559"/>
      <c r="R389" s="559"/>
      <c r="S389" s="559"/>
      <c r="T389" s="559"/>
      <c r="U389" s="559"/>
      <c r="V389" s="559"/>
      <c r="W389" s="559"/>
      <c r="X389" s="559"/>
      <c r="Y389" s="559"/>
      <c r="Z389" s="559"/>
      <c r="AA389" s="559"/>
      <c r="AB389" s="559"/>
      <c r="AC389" s="559"/>
      <c r="AD389" s="559"/>
      <c r="AE389" s="559"/>
      <c r="AF389" s="559"/>
      <c r="AG389" s="559"/>
    </row>
    <row r="390" spans="1:33" ht="18" x14ac:dyDescent="0.35">
      <c r="A390" s="559"/>
      <c r="B390" s="559"/>
      <c r="C390" s="559"/>
      <c r="D390" s="559"/>
      <c r="E390" s="559"/>
      <c r="F390" s="559"/>
      <c r="G390" s="559"/>
      <c r="H390" s="559"/>
      <c r="I390" s="559"/>
      <c r="J390" s="559"/>
      <c r="K390" s="559"/>
      <c r="L390" s="559"/>
      <c r="M390" s="559"/>
      <c r="N390" s="559"/>
      <c r="O390" s="559"/>
      <c r="P390" s="559"/>
      <c r="Q390" s="559"/>
      <c r="R390" s="559"/>
      <c r="S390" s="559"/>
      <c r="T390" s="559"/>
      <c r="U390" s="559"/>
      <c r="V390" s="559"/>
      <c r="W390" s="559"/>
      <c r="X390" s="559"/>
      <c r="Y390" s="559"/>
      <c r="Z390" s="559"/>
      <c r="AA390" s="559"/>
      <c r="AB390" s="559"/>
      <c r="AC390" s="559"/>
      <c r="AD390" s="559"/>
      <c r="AE390" s="559"/>
      <c r="AF390" s="559"/>
      <c r="AG390" s="559"/>
    </row>
    <row r="391" spans="1:33" ht="18" x14ac:dyDescent="0.35">
      <c r="A391" s="559"/>
      <c r="B391" s="559"/>
      <c r="C391" s="559"/>
      <c r="D391" s="559"/>
      <c r="E391" s="559"/>
      <c r="F391" s="559"/>
      <c r="G391" s="559"/>
      <c r="H391" s="559"/>
      <c r="I391" s="559"/>
      <c r="J391" s="559"/>
      <c r="K391" s="559"/>
      <c r="L391" s="559"/>
      <c r="M391" s="559"/>
      <c r="N391" s="559"/>
      <c r="O391" s="559"/>
      <c r="P391" s="559"/>
      <c r="Q391" s="559"/>
      <c r="R391" s="559"/>
      <c r="S391" s="559"/>
      <c r="T391" s="559"/>
      <c r="U391" s="559"/>
      <c r="V391" s="559"/>
      <c r="W391" s="559"/>
      <c r="X391" s="559"/>
      <c r="Y391" s="559"/>
      <c r="Z391" s="559"/>
      <c r="AA391" s="559"/>
      <c r="AB391" s="559"/>
      <c r="AC391" s="559"/>
      <c r="AD391" s="559"/>
      <c r="AE391" s="559"/>
      <c r="AF391" s="559"/>
      <c r="AG391" s="559"/>
    </row>
    <row r="392" spans="1:33" ht="18" x14ac:dyDescent="0.35">
      <c r="A392" s="559"/>
      <c r="B392" s="559"/>
      <c r="C392" s="559"/>
      <c r="D392" s="559"/>
      <c r="E392" s="559"/>
      <c r="F392" s="559"/>
      <c r="G392" s="559"/>
      <c r="H392" s="559"/>
      <c r="I392" s="559"/>
      <c r="J392" s="559"/>
      <c r="K392" s="559"/>
      <c r="L392" s="559"/>
      <c r="M392" s="559"/>
      <c r="N392" s="559"/>
      <c r="O392" s="559"/>
      <c r="P392" s="559"/>
      <c r="Q392" s="559"/>
      <c r="R392" s="559"/>
      <c r="S392" s="559"/>
      <c r="T392" s="559"/>
      <c r="U392" s="559"/>
      <c r="V392" s="559"/>
      <c r="W392" s="559"/>
      <c r="X392" s="559"/>
      <c r="Y392" s="559"/>
      <c r="Z392" s="559"/>
      <c r="AA392" s="559"/>
      <c r="AB392" s="559"/>
      <c r="AC392" s="559"/>
      <c r="AD392" s="559"/>
      <c r="AE392" s="559"/>
      <c r="AF392" s="559"/>
      <c r="AG392" s="559"/>
    </row>
    <row r="393" spans="1:33" ht="18" x14ac:dyDescent="0.35">
      <c r="A393" s="559"/>
      <c r="B393" s="559"/>
      <c r="C393" s="559"/>
      <c r="D393" s="559"/>
      <c r="E393" s="559"/>
      <c r="F393" s="559"/>
      <c r="G393" s="559"/>
      <c r="H393" s="559"/>
      <c r="I393" s="559"/>
      <c r="J393" s="559"/>
      <c r="K393" s="559"/>
      <c r="L393" s="559"/>
      <c r="M393" s="559"/>
      <c r="N393" s="559"/>
      <c r="O393" s="559"/>
      <c r="P393" s="559"/>
      <c r="Q393" s="559"/>
      <c r="R393" s="559"/>
      <c r="S393" s="559"/>
      <c r="T393" s="559"/>
      <c r="U393" s="559"/>
      <c r="V393" s="559"/>
      <c r="W393" s="559"/>
      <c r="X393" s="559"/>
      <c r="Y393" s="559"/>
      <c r="Z393" s="559"/>
      <c r="AA393" s="559"/>
      <c r="AB393" s="559"/>
      <c r="AC393" s="559"/>
      <c r="AD393" s="559"/>
      <c r="AE393" s="559"/>
      <c r="AF393" s="559"/>
      <c r="AG393" s="559"/>
    </row>
    <row r="394" spans="1:33" ht="18" x14ac:dyDescent="0.35">
      <c r="A394" s="559"/>
      <c r="B394" s="559"/>
      <c r="C394" s="559"/>
      <c r="D394" s="559"/>
      <c r="E394" s="559"/>
      <c r="F394" s="559"/>
      <c r="G394" s="559"/>
      <c r="H394" s="559"/>
      <c r="I394" s="559"/>
      <c r="J394" s="559"/>
      <c r="K394" s="559"/>
      <c r="L394" s="559"/>
      <c r="M394" s="559"/>
      <c r="N394" s="559"/>
      <c r="O394" s="559"/>
      <c r="P394" s="559"/>
      <c r="Q394" s="559"/>
      <c r="R394" s="559"/>
      <c r="S394" s="559"/>
      <c r="T394" s="559"/>
      <c r="U394" s="559"/>
      <c r="V394" s="559"/>
      <c r="W394" s="559"/>
      <c r="X394" s="559"/>
      <c r="Y394" s="559"/>
      <c r="Z394" s="559"/>
      <c r="AA394" s="559"/>
      <c r="AB394" s="559"/>
      <c r="AC394" s="559"/>
      <c r="AD394" s="559"/>
      <c r="AE394" s="559"/>
      <c r="AF394" s="559"/>
      <c r="AG394" s="559"/>
    </row>
    <row r="395" spans="1:33" ht="18" x14ac:dyDescent="0.35">
      <c r="A395" s="559"/>
      <c r="B395" s="559"/>
      <c r="C395" s="559"/>
      <c r="D395" s="559"/>
      <c r="E395" s="559"/>
      <c r="F395" s="559"/>
      <c r="G395" s="559"/>
      <c r="H395" s="559"/>
      <c r="I395" s="559"/>
      <c r="J395" s="559"/>
      <c r="K395" s="559"/>
      <c r="L395" s="559"/>
      <c r="M395" s="559"/>
      <c r="N395" s="559"/>
      <c r="O395" s="559"/>
      <c r="P395" s="559"/>
      <c r="Q395" s="559"/>
      <c r="R395" s="559"/>
      <c r="S395" s="559"/>
      <c r="T395" s="559"/>
      <c r="U395" s="559"/>
      <c r="V395" s="559"/>
      <c r="W395" s="559"/>
      <c r="X395" s="559"/>
      <c r="Y395" s="559"/>
      <c r="Z395" s="559"/>
      <c r="AA395" s="559"/>
      <c r="AB395" s="559"/>
      <c r="AC395" s="559"/>
      <c r="AD395" s="559"/>
      <c r="AE395" s="559"/>
      <c r="AF395" s="559"/>
      <c r="AG395" s="559"/>
    </row>
    <row r="396" spans="1:33" ht="18" x14ac:dyDescent="0.35">
      <c r="A396" s="559"/>
      <c r="B396" s="559"/>
      <c r="C396" s="559"/>
      <c r="D396" s="559"/>
      <c r="E396" s="559"/>
      <c r="F396" s="559"/>
      <c r="G396" s="559"/>
      <c r="H396" s="559"/>
      <c r="I396" s="559"/>
      <c r="J396" s="559"/>
      <c r="K396" s="559"/>
      <c r="L396" s="559"/>
      <c r="M396" s="559"/>
      <c r="N396" s="559"/>
      <c r="O396" s="559"/>
      <c r="P396" s="559"/>
      <c r="Q396" s="559"/>
      <c r="R396" s="559"/>
      <c r="S396" s="559"/>
      <c r="T396" s="559"/>
      <c r="U396" s="559"/>
      <c r="V396" s="559"/>
      <c r="W396" s="559"/>
      <c r="X396" s="559"/>
      <c r="Y396" s="559"/>
      <c r="Z396" s="559"/>
      <c r="AA396" s="559"/>
      <c r="AB396" s="559"/>
      <c r="AC396" s="559"/>
      <c r="AD396" s="559"/>
      <c r="AE396" s="559"/>
      <c r="AF396" s="559"/>
      <c r="AG396" s="559"/>
    </row>
    <row r="397" spans="1:33" ht="18" x14ac:dyDescent="0.35">
      <c r="A397" s="559"/>
      <c r="B397" s="559"/>
      <c r="C397" s="559"/>
      <c r="D397" s="559"/>
      <c r="E397" s="559"/>
      <c r="F397" s="559"/>
      <c r="G397" s="559"/>
      <c r="H397" s="559"/>
      <c r="I397" s="559"/>
      <c r="J397" s="559"/>
      <c r="K397" s="559"/>
      <c r="L397" s="559"/>
      <c r="M397" s="559"/>
      <c r="N397" s="559"/>
      <c r="O397" s="559"/>
      <c r="P397" s="559"/>
      <c r="Q397" s="559"/>
      <c r="R397" s="559"/>
      <c r="S397" s="559"/>
      <c r="T397" s="559"/>
      <c r="U397" s="559"/>
      <c r="V397" s="559"/>
      <c r="W397" s="559"/>
      <c r="X397" s="559"/>
      <c r="Y397" s="559"/>
      <c r="Z397" s="559"/>
      <c r="AA397" s="559"/>
      <c r="AB397" s="559"/>
      <c r="AC397" s="559"/>
      <c r="AD397" s="559"/>
      <c r="AE397" s="559"/>
      <c r="AF397" s="559"/>
      <c r="AG397" s="559"/>
    </row>
    <row r="398" spans="1:33" ht="18" x14ac:dyDescent="0.35">
      <c r="A398" s="559"/>
      <c r="B398" s="559"/>
      <c r="C398" s="559"/>
      <c r="D398" s="559"/>
      <c r="E398" s="559"/>
      <c r="F398" s="559"/>
      <c r="G398" s="559"/>
      <c r="H398" s="559"/>
      <c r="I398" s="559"/>
      <c r="J398" s="559"/>
      <c r="K398" s="559"/>
      <c r="L398" s="559"/>
      <c r="M398" s="559"/>
      <c r="N398" s="559"/>
      <c r="O398" s="559"/>
      <c r="P398" s="559"/>
      <c r="Q398" s="559"/>
      <c r="R398" s="559"/>
      <c r="S398" s="559"/>
      <c r="T398" s="559"/>
      <c r="U398" s="559"/>
      <c r="V398" s="559"/>
      <c r="W398" s="559"/>
      <c r="X398" s="559"/>
      <c r="Y398" s="559"/>
      <c r="Z398" s="559"/>
      <c r="AA398" s="559"/>
      <c r="AB398" s="559"/>
      <c r="AC398" s="559"/>
      <c r="AD398" s="559"/>
      <c r="AE398" s="559"/>
      <c r="AF398" s="559"/>
      <c r="AG398" s="559"/>
    </row>
    <row r="399" spans="1:33" ht="18" x14ac:dyDescent="0.35">
      <c r="A399" s="559"/>
      <c r="B399" s="559"/>
      <c r="C399" s="559"/>
      <c r="D399" s="559"/>
      <c r="E399" s="559"/>
      <c r="F399" s="559"/>
      <c r="G399" s="559"/>
      <c r="H399" s="559"/>
      <c r="I399" s="559"/>
      <c r="J399" s="559"/>
      <c r="K399" s="559"/>
      <c r="L399" s="559"/>
      <c r="M399" s="559"/>
      <c r="N399" s="559"/>
      <c r="O399" s="559"/>
      <c r="P399" s="559"/>
      <c r="Q399" s="559"/>
      <c r="R399" s="559"/>
      <c r="S399" s="559"/>
      <c r="T399" s="559"/>
      <c r="U399" s="559"/>
      <c r="V399" s="559"/>
      <c r="W399" s="559"/>
      <c r="X399" s="559"/>
      <c r="Y399" s="559"/>
      <c r="Z399" s="559"/>
      <c r="AA399" s="559"/>
      <c r="AB399" s="559"/>
      <c r="AC399" s="559"/>
      <c r="AD399" s="559"/>
      <c r="AE399" s="559"/>
      <c r="AF399" s="559"/>
      <c r="AG399" s="559"/>
    </row>
    <row r="400" spans="1:33" ht="18" x14ac:dyDescent="0.35">
      <c r="A400" s="559"/>
      <c r="B400" s="559"/>
      <c r="C400" s="559"/>
      <c r="D400" s="559"/>
      <c r="E400" s="559"/>
      <c r="F400" s="559"/>
      <c r="G400" s="559"/>
      <c r="H400" s="559"/>
      <c r="I400" s="559"/>
      <c r="J400" s="559"/>
      <c r="K400" s="559"/>
      <c r="L400" s="559"/>
      <c r="M400" s="559"/>
      <c r="N400" s="559"/>
      <c r="O400" s="559"/>
      <c r="P400" s="559"/>
      <c r="Q400" s="559"/>
      <c r="R400" s="559"/>
      <c r="S400" s="559"/>
      <c r="T400" s="559"/>
      <c r="U400" s="559"/>
      <c r="V400" s="559"/>
      <c r="W400" s="559"/>
      <c r="X400" s="559"/>
      <c r="Y400" s="559"/>
      <c r="Z400" s="559"/>
      <c r="AA400" s="559"/>
      <c r="AB400" s="559"/>
      <c r="AC400" s="559"/>
      <c r="AD400" s="559"/>
      <c r="AE400" s="559"/>
      <c r="AF400" s="559"/>
      <c r="AG400" s="559"/>
    </row>
    <row r="401" spans="1:33" ht="18" x14ac:dyDescent="0.35">
      <c r="A401" s="559"/>
      <c r="B401" s="559"/>
      <c r="C401" s="559"/>
      <c r="D401" s="559"/>
      <c r="E401" s="559"/>
      <c r="F401" s="559"/>
      <c r="G401" s="559"/>
      <c r="H401" s="559"/>
      <c r="I401" s="559"/>
      <c r="J401" s="559"/>
      <c r="K401" s="559"/>
      <c r="L401" s="559"/>
      <c r="M401" s="559"/>
      <c r="N401" s="559"/>
      <c r="O401" s="559"/>
      <c r="P401" s="559"/>
      <c r="Q401" s="559"/>
      <c r="R401" s="559"/>
      <c r="S401" s="559"/>
      <c r="T401" s="559"/>
      <c r="U401" s="559"/>
      <c r="V401" s="559"/>
      <c r="W401" s="559"/>
      <c r="X401" s="559"/>
      <c r="Y401" s="559"/>
      <c r="Z401" s="559"/>
      <c r="AA401" s="559"/>
      <c r="AB401" s="559"/>
      <c r="AC401" s="559"/>
      <c r="AD401" s="559"/>
      <c r="AE401" s="559"/>
      <c r="AF401" s="559"/>
      <c r="AG401" s="559"/>
    </row>
    <row r="402" spans="1:33" ht="18" x14ac:dyDescent="0.35">
      <c r="A402" s="559"/>
      <c r="B402" s="559"/>
      <c r="C402" s="559"/>
      <c r="D402" s="559"/>
      <c r="E402" s="559"/>
      <c r="F402" s="559"/>
      <c r="G402" s="559"/>
      <c r="H402" s="559"/>
      <c r="I402" s="559"/>
      <c r="J402" s="559"/>
      <c r="K402" s="559"/>
      <c r="L402" s="559"/>
      <c r="M402" s="559"/>
      <c r="N402" s="559"/>
      <c r="O402" s="559"/>
      <c r="P402" s="559"/>
      <c r="Q402" s="559"/>
      <c r="R402" s="559"/>
      <c r="S402" s="559"/>
      <c r="T402" s="559"/>
      <c r="U402" s="559"/>
      <c r="V402" s="559"/>
      <c r="W402" s="559"/>
      <c r="X402" s="559"/>
      <c r="Y402" s="559"/>
      <c r="Z402" s="559"/>
      <c r="AA402" s="559"/>
      <c r="AB402" s="559"/>
      <c r="AC402" s="559"/>
      <c r="AD402" s="559"/>
      <c r="AE402" s="559"/>
      <c r="AF402" s="559"/>
      <c r="AG402" s="559"/>
    </row>
    <row r="403" spans="1:33" ht="18" x14ac:dyDescent="0.35">
      <c r="A403" s="559"/>
      <c r="B403" s="559"/>
      <c r="C403" s="559"/>
      <c r="D403" s="559"/>
      <c r="E403" s="559"/>
      <c r="F403" s="559"/>
      <c r="G403" s="559"/>
      <c r="H403" s="559"/>
      <c r="I403" s="559"/>
      <c r="J403" s="559"/>
      <c r="K403" s="559"/>
      <c r="L403" s="559"/>
      <c r="M403" s="559"/>
      <c r="N403" s="559"/>
      <c r="O403" s="559"/>
      <c r="P403" s="559"/>
      <c r="Q403" s="559"/>
      <c r="R403" s="559"/>
      <c r="S403" s="559"/>
      <c r="T403" s="559"/>
      <c r="U403" s="559"/>
      <c r="V403" s="559"/>
      <c r="W403" s="559"/>
      <c r="X403" s="559"/>
      <c r="Y403" s="559"/>
      <c r="Z403" s="559"/>
      <c r="AA403" s="559"/>
      <c r="AB403" s="559"/>
      <c r="AC403" s="559"/>
      <c r="AD403" s="559"/>
      <c r="AE403" s="559"/>
      <c r="AF403" s="559"/>
      <c r="AG403" s="559"/>
    </row>
    <row r="404" spans="1:33" ht="18" x14ac:dyDescent="0.35">
      <c r="A404" s="559"/>
      <c r="B404" s="559"/>
      <c r="C404" s="559"/>
      <c r="D404" s="559"/>
      <c r="E404" s="559"/>
      <c r="F404" s="559"/>
      <c r="G404" s="559"/>
      <c r="H404" s="559"/>
      <c r="I404" s="559"/>
      <c r="J404" s="559"/>
      <c r="K404" s="559"/>
      <c r="L404" s="559"/>
      <c r="M404" s="559"/>
      <c r="N404" s="559"/>
      <c r="O404" s="559"/>
      <c r="P404" s="559"/>
      <c r="Q404" s="559"/>
      <c r="R404" s="559"/>
      <c r="S404" s="559"/>
      <c r="T404" s="559"/>
      <c r="U404" s="559"/>
      <c r="V404" s="559"/>
      <c r="W404" s="559"/>
      <c r="X404" s="559"/>
      <c r="Y404" s="559"/>
      <c r="Z404" s="559"/>
      <c r="AA404" s="559"/>
      <c r="AB404" s="559"/>
      <c r="AC404" s="559"/>
      <c r="AD404" s="559"/>
      <c r="AE404" s="559"/>
      <c r="AF404" s="559"/>
      <c r="AG404" s="559"/>
    </row>
    <row r="405" spans="1:33" ht="18" x14ac:dyDescent="0.35">
      <c r="A405" s="559"/>
      <c r="B405" s="559"/>
      <c r="C405" s="559"/>
      <c r="D405" s="559"/>
      <c r="E405" s="559"/>
      <c r="F405" s="559"/>
      <c r="G405" s="559"/>
      <c r="H405" s="559"/>
      <c r="I405" s="559"/>
      <c r="J405" s="559"/>
      <c r="K405" s="559"/>
      <c r="L405" s="559"/>
      <c r="M405" s="559"/>
      <c r="N405" s="559"/>
      <c r="O405" s="559"/>
      <c r="P405" s="559"/>
      <c r="Q405" s="559"/>
      <c r="R405" s="559"/>
      <c r="S405" s="559"/>
      <c r="T405" s="559"/>
      <c r="U405" s="559"/>
      <c r="V405" s="559"/>
      <c r="W405" s="559"/>
      <c r="X405" s="559"/>
      <c r="Y405" s="559"/>
      <c r="Z405" s="559"/>
      <c r="AA405" s="559"/>
      <c r="AB405" s="559"/>
      <c r="AC405" s="559"/>
      <c r="AD405" s="559"/>
      <c r="AE405" s="559"/>
      <c r="AF405" s="559"/>
      <c r="AG405" s="559"/>
    </row>
    <row r="406" spans="1:33" ht="18" x14ac:dyDescent="0.35">
      <c r="A406" s="559"/>
      <c r="B406" s="559"/>
      <c r="C406" s="559"/>
      <c r="D406" s="559"/>
      <c r="E406" s="559"/>
      <c r="F406" s="559"/>
      <c r="G406" s="559"/>
      <c r="H406" s="559"/>
      <c r="I406" s="559"/>
      <c r="J406" s="559"/>
      <c r="K406" s="559"/>
      <c r="L406" s="559"/>
      <c r="M406" s="559"/>
      <c r="N406" s="559"/>
      <c r="O406" s="559"/>
      <c r="P406" s="559"/>
      <c r="Q406" s="559"/>
      <c r="R406" s="559"/>
      <c r="S406" s="559"/>
      <c r="T406" s="559"/>
      <c r="U406" s="559"/>
      <c r="V406" s="559"/>
      <c r="W406" s="559"/>
      <c r="X406" s="559"/>
      <c r="Y406" s="559"/>
      <c r="Z406" s="559"/>
      <c r="AA406" s="559"/>
      <c r="AB406" s="559"/>
      <c r="AC406" s="559"/>
      <c r="AD406" s="559"/>
      <c r="AE406" s="559"/>
      <c r="AF406" s="559"/>
      <c r="AG406" s="559"/>
    </row>
    <row r="407" spans="1:33" ht="18" x14ac:dyDescent="0.35">
      <c r="A407" s="559"/>
      <c r="B407" s="559"/>
      <c r="C407" s="559"/>
      <c r="D407" s="559"/>
      <c r="E407" s="559"/>
      <c r="F407" s="559"/>
      <c r="G407" s="559"/>
      <c r="H407" s="559"/>
      <c r="I407" s="559"/>
      <c r="J407" s="559"/>
      <c r="K407" s="559"/>
      <c r="L407" s="559"/>
      <c r="M407" s="559"/>
      <c r="N407" s="559"/>
      <c r="O407" s="559"/>
      <c r="P407" s="559"/>
      <c r="Q407" s="559"/>
      <c r="R407" s="559"/>
      <c r="S407" s="559"/>
      <c r="T407" s="559"/>
      <c r="U407" s="559"/>
      <c r="V407" s="559"/>
      <c r="W407" s="559"/>
      <c r="X407" s="559"/>
      <c r="Y407" s="559"/>
      <c r="Z407" s="559"/>
      <c r="AA407" s="559"/>
      <c r="AB407" s="559"/>
      <c r="AC407" s="559"/>
      <c r="AD407" s="559"/>
      <c r="AE407" s="559"/>
      <c r="AF407" s="559"/>
      <c r="AG407" s="559"/>
    </row>
    <row r="408" spans="1:33" ht="18" x14ac:dyDescent="0.35">
      <c r="A408" s="559"/>
      <c r="B408" s="559"/>
      <c r="C408" s="559"/>
      <c r="D408" s="559"/>
      <c r="E408" s="559"/>
      <c r="F408" s="559"/>
      <c r="G408" s="559"/>
      <c r="H408" s="559"/>
      <c r="I408" s="559"/>
      <c r="J408" s="559"/>
      <c r="K408" s="559"/>
      <c r="L408" s="559"/>
      <c r="M408" s="559"/>
      <c r="N408" s="559"/>
      <c r="O408" s="559"/>
      <c r="P408" s="559"/>
      <c r="Q408" s="559"/>
      <c r="R408" s="559"/>
      <c r="S408" s="559"/>
      <c r="T408" s="559"/>
      <c r="U408" s="559"/>
      <c r="V408" s="559"/>
      <c r="W408" s="559"/>
      <c r="X408" s="559"/>
      <c r="Y408" s="559"/>
      <c r="Z408" s="559"/>
      <c r="AA408" s="559"/>
      <c r="AB408" s="559"/>
      <c r="AC408" s="559"/>
      <c r="AD408" s="559"/>
      <c r="AE408" s="559"/>
      <c r="AF408" s="559"/>
      <c r="AG408" s="559"/>
    </row>
    <row r="409" spans="1:33" ht="18" x14ac:dyDescent="0.35">
      <c r="A409" s="559"/>
      <c r="B409" s="559"/>
      <c r="C409" s="559"/>
      <c r="D409" s="559"/>
      <c r="E409" s="559"/>
      <c r="F409" s="559"/>
      <c r="G409" s="559"/>
      <c r="H409" s="559"/>
      <c r="I409" s="559"/>
      <c r="J409" s="559"/>
      <c r="K409" s="559"/>
      <c r="L409" s="559"/>
      <c r="M409" s="559"/>
      <c r="N409" s="559"/>
      <c r="O409" s="559"/>
      <c r="P409" s="559"/>
      <c r="Q409" s="559"/>
      <c r="R409" s="559"/>
      <c r="S409" s="559"/>
      <c r="T409" s="559"/>
      <c r="U409" s="559"/>
      <c r="V409" s="559"/>
      <c r="W409" s="559"/>
      <c r="X409" s="559"/>
      <c r="Y409" s="559"/>
      <c r="Z409" s="559"/>
      <c r="AA409" s="559"/>
      <c r="AB409" s="559"/>
      <c r="AC409" s="559"/>
      <c r="AD409" s="559"/>
      <c r="AE409" s="559"/>
      <c r="AF409" s="559"/>
      <c r="AG409" s="559"/>
    </row>
    <row r="410" spans="1:33" ht="18" x14ac:dyDescent="0.35">
      <c r="A410" s="559"/>
      <c r="B410" s="559"/>
      <c r="C410" s="559"/>
      <c r="D410" s="559"/>
      <c r="E410" s="559"/>
      <c r="F410" s="559"/>
      <c r="G410" s="559"/>
      <c r="H410" s="559"/>
      <c r="I410" s="559"/>
      <c r="J410" s="559"/>
      <c r="K410" s="559"/>
      <c r="L410" s="559"/>
      <c r="M410" s="559"/>
      <c r="N410" s="559"/>
      <c r="O410" s="559"/>
      <c r="P410" s="559"/>
      <c r="Q410" s="559"/>
      <c r="R410" s="559"/>
      <c r="S410" s="559"/>
      <c r="T410" s="559"/>
      <c r="U410" s="559"/>
      <c r="V410" s="559"/>
      <c r="W410" s="559"/>
      <c r="X410" s="559"/>
      <c r="Y410" s="559"/>
      <c r="Z410" s="559"/>
      <c r="AA410" s="559"/>
      <c r="AB410" s="559"/>
      <c r="AC410" s="559"/>
      <c r="AD410" s="559"/>
      <c r="AE410" s="559"/>
      <c r="AF410" s="559"/>
      <c r="AG410" s="559"/>
    </row>
    <row r="411" spans="1:33" ht="18" x14ac:dyDescent="0.35">
      <c r="A411" s="559"/>
      <c r="B411" s="559"/>
      <c r="C411" s="559"/>
      <c r="D411" s="559"/>
      <c r="E411" s="559"/>
      <c r="F411" s="559"/>
      <c r="G411" s="559"/>
      <c r="H411" s="559"/>
      <c r="I411" s="559"/>
      <c r="J411" s="559"/>
      <c r="K411" s="559"/>
      <c r="L411" s="559"/>
      <c r="M411" s="559"/>
      <c r="N411" s="559"/>
      <c r="O411" s="559"/>
      <c r="P411" s="559"/>
      <c r="Q411" s="559"/>
      <c r="R411" s="559"/>
      <c r="S411" s="559"/>
      <c r="T411" s="559"/>
      <c r="U411" s="559"/>
      <c r="V411" s="559"/>
      <c r="W411" s="559"/>
      <c r="X411" s="559"/>
      <c r="Y411" s="559"/>
      <c r="Z411" s="559"/>
      <c r="AA411" s="559"/>
      <c r="AB411" s="559"/>
      <c r="AC411" s="559"/>
      <c r="AD411" s="559"/>
      <c r="AE411" s="559"/>
      <c r="AF411" s="559"/>
      <c r="AG411" s="559"/>
    </row>
    <row r="412" spans="1:33" ht="18" x14ac:dyDescent="0.35">
      <c r="A412" s="559"/>
      <c r="B412" s="559"/>
      <c r="C412" s="559"/>
      <c r="D412" s="559"/>
      <c r="E412" s="559"/>
      <c r="F412" s="559"/>
      <c r="G412" s="559"/>
      <c r="H412" s="559"/>
      <c r="I412" s="559"/>
      <c r="J412" s="559"/>
      <c r="K412" s="559"/>
      <c r="L412" s="559"/>
      <c r="M412" s="559"/>
      <c r="N412" s="559"/>
      <c r="O412" s="559"/>
      <c r="P412" s="559"/>
      <c r="Q412" s="559"/>
      <c r="R412" s="559"/>
      <c r="S412" s="559"/>
      <c r="T412" s="559"/>
      <c r="U412" s="559"/>
      <c r="V412" s="559"/>
      <c r="W412" s="559"/>
      <c r="X412" s="559"/>
      <c r="Y412" s="559"/>
      <c r="Z412" s="559"/>
      <c r="AA412" s="559"/>
      <c r="AB412" s="559"/>
      <c r="AC412" s="559"/>
      <c r="AD412" s="559"/>
      <c r="AE412" s="559"/>
      <c r="AF412" s="559"/>
      <c r="AG412" s="559"/>
    </row>
    <row r="413" spans="1:33" ht="18" x14ac:dyDescent="0.35">
      <c r="A413" s="559"/>
      <c r="B413" s="559"/>
      <c r="C413" s="559"/>
      <c r="D413" s="559"/>
      <c r="E413" s="559"/>
      <c r="F413" s="559"/>
      <c r="G413" s="559"/>
      <c r="H413" s="559"/>
      <c r="I413" s="559"/>
      <c r="J413" s="559"/>
      <c r="K413" s="559"/>
      <c r="L413" s="559"/>
      <c r="M413" s="559"/>
      <c r="N413" s="559"/>
      <c r="O413" s="559"/>
      <c r="P413" s="559"/>
      <c r="Q413" s="559"/>
      <c r="R413" s="559"/>
      <c r="S413" s="559"/>
      <c r="T413" s="559"/>
      <c r="U413" s="559"/>
      <c r="V413" s="559"/>
      <c r="W413" s="559"/>
      <c r="X413" s="559"/>
      <c r="Y413" s="559"/>
      <c r="Z413" s="559"/>
      <c r="AA413" s="559"/>
      <c r="AB413" s="559"/>
      <c r="AC413" s="559"/>
      <c r="AD413" s="559"/>
      <c r="AE413" s="559"/>
      <c r="AF413" s="559"/>
      <c r="AG413" s="559"/>
    </row>
    <row r="414" spans="1:33" ht="18" x14ac:dyDescent="0.35">
      <c r="A414" s="559"/>
      <c r="B414" s="559"/>
      <c r="C414" s="559"/>
      <c r="D414" s="559"/>
      <c r="E414" s="559"/>
      <c r="F414" s="559"/>
      <c r="G414" s="559"/>
      <c r="H414" s="559"/>
      <c r="I414" s="559"/>
      <c r="J414" s="559"/>
      <c r="K414" s="559"/>
      <c r="L414" s="559"/>
      <c r="M414" s="559"/>
      <c r="N414" s="559"/>
      <c r="O414" s="559"/>
      <c r="P414" s="559"/>
      <c r="Q414" s="559"/>
      <c r="R414" s="559"/>
      <c r="S414" s="559"/>
      <c r="T414" s="559"/>
      <c r="U414" s="559"/>
      <c r="V414" s="559"/>
      <c r="W414" s="559"/>
      <c r="X414" s="559"/>
      <c r="Y414" s="559"/>
      <c r="Z414" s="559"/>
      <c r="AA414" s="559"/>
      <c r="AB414" s="559"/>
      <c r="AC414" s="559"/>
      <c r="AD414" s="559"/>
      <c r="AE414" s="559"/>
      <c r="AF414" s="559"/>
      <c r="AG414" s="559"/>
    </row>
    <row r="415" spans="1:33" ht="18" x14ac:dyDescent="0.35">
      <c r="A415" s="559"/>
      <c r="B415" s="559"/>
      <c r="C415" s="559"/>
      <c r="D415" s="559"/>
      <c r="E415" s="559"/>
      <c r="F415" s="559"/>
      <c r="G415" s="559"/>
      <c r="H415" s="559"/>
      <c r="I415" s="559"/>
      <c r="J415" s="559"/>
      <c r="K415" s="559"/>
      <c r="L415" s="559"/>
      <c r="M415" s="559"/>
      <c r="N415" s="559"/>
      <c r="O415" s="559"/>
      <c r="P415" s="559"/>
      <c r="Q415" s="559"/>
      <c r="R415" s="559"/>
      <c r="S415" s="559"/>
      <c r="T415" s="559"/>
      <c r="U415" s="559"/>
      <c r="V415" s="559"/>
      <c r="W415" s="559"/>
      <c r="X415" s="559"/>
      <c r="Y415" s="559"/>
      <c r="Z415" s="559"/>
      <c r="AA415" s="559"/>
      <c r="AB415" s="559"/>
      <c r="AC415" s="559"/>
      <c r="AD415" s="559"/>
      <c r="AE415" s="559"/>
      <c r="AF415" s="559"/>
      <c r="AG415" s="559"/>
    </row>
    <row r="416" spans="1:33" ht="18" x14ac:dyDescent="0.35">
      <c r="A416" s="559"/>
      <c r="B416" s="559"/>
      <c r="C416" s="559"/>
      <c r="D416" s="559"/>
      <c r="E416" s="559"/>
      <c r="F416" s="559"/>
      <c r="G416" s="559"/>
      <c r="H416" s="559"/>
      <c r="I416" s="559"/>
      <c r="J416" s="559"/>
      <c r="K416" s="559"/>
      <c r="L416" s="559"/>
      <c r="M416" s="559"/>
      <c r="N416" s="559"/>
      <c r="O416" s="559"/>
      <c r="P416" s="559"/>
      <c r="Q416" s="559"/>
      <c r="R416" s="559"/>
      <c r="S416" s="559"/>
      <c r="T416" s="559"/>
      <c r="U416" s="559"/>
      <c r="V416" s="559"/>
      <c r="W416" s="559"/>
      <c r="X416" s="559"/>
      <c r="Y416" s="559"/>
      <c r="Z416" s="559"/>
      <c r="AA416" s="559"/>
      <c r="AB416" s="559"/>
      <c r="AC416" s="559"/>
      <c r="AD416" s="559"/>
      <c r="AE416" s="559"/>
      <c r="AF416" s="559"/>
      <c r="AG416" s="559"/>
    </row>
    <row r="417" spans="1:33" ht="18" x14ac:dyDescent="0.35">
      <c r="A417" s="559"/>
      <c r="B417" s="559"/>
      <c r="C417" s="559"/>
      <c r="D417" s="559"/>
      <c r="E417" s="559"/>
      <c r="F417" s="559"/>
      <c r="G417" s="559"/>
      <c r="H417" s="559"/>
      <c r="I417" s="559"/>
      <c r="J417" s="559"/>
      <c r="K417" s="559"/>
      <c r="L417" s="559"/>
      <c r="M417" s="559"/>
      <c r="N417" s="559"/>
      <c r="O417" s="559"/>
      <c r="P417" s="559"/>
      <c r="Q417" s="559"/>
      <c r="R417" s="559"/>
      <c r="S417" s="559"/>
      <c r="T417" s="559"/>
      <c r="U417" s="559"/>
      <c r="V417" s="559"/>
      <c r="W417" s="559"/>
      <c r="X417" s="559"/>
      <c r="Y417" s="559"/>
      <c r="Z417" s="559"/>
      <c r="AA417" s="559"/>
      <c r="AB417" s="559"/>
      <c r="AC417" s="559"/>
      <c r="AD417" s="559"/>
      <c r="AE417" s="559"/>
      <c r="AF417" s="559"/>
      <c r="AG417" s="559"/>
    </row>
    <row r="418" spans="1:33" ht="18" x14ac:dyDescent="0.35">
      <c r="A418" s="559"/>
      <c r="B418" s="559"/>
      <c r="C418" s="559"/>
      <c r="D418" s="559"/>
      <c r="E418" s="559"/>
      <c r="F418" s="559"/>
      <c r="G418" s="559"/>
      <c r="H418" s="559"/>
      <c r="I418" s="559"/>
      <c r="J418" s="559"/>
      <c r="K418" s="559"/>
      <c r="L418" s="559"/>
      <c r="M418" s="559"/>
      <c r="N418" s="559"/>
      <c r="O418" s="559"/>
      <c r="P418" s="559"/>
      <c r="Q418" s="559"/>
      <c r="R418" s="559"/>
      <c r="S418" s="559"/>
      <c r="T418" s="559"/>
      <c r="U418" s="559"/>
      <c r="V418" s="559"/>
      <c r="W418" s="559"/>
      <c r="X418" s="559"/>
      <c r="Y418" s="559"/>
      <c r="Z418" s="559"/>
      <c r="AA418" s="559"/>
      <c r="AB418" s="559"/>
      <c r="AC418" s="559"/>
      <c r="AD418" s="559"/>
      <c r="AE418" s="559"/>
      <c r="AF418" s="559"/>
      <c r="AG418" s="559"/>
    </row>
    <row r="419" spans="1:33" ht="18" x14ac:dyDescent="0.35">
      <c r="A419" s="559"/>
      <c r="B419" s="559"/>
      <c r="C419" s="559"/>
      <c r="D419" s="559"/>
      <c r="E419" s="559"/>
      <c r="F419" s="559"/>
      <c r="G419" s="559"/>
      <c r="H419" s="559"/>
      <c r="I419" s="559"/>
      <c r="J419" s="559"/>
      <c r="K419" s="559"/>
      <c r="L419" s="559"/>
      <c r="M419" s="559"/>
      <c r="N419" s="559"/>
      <c r="O419" s="559"/>
      <c r="P419" s="559"/>
      <c r="Q419" s="559"/>
      <c r="R419" s="559"/>
      <c r="S419" s="559"/>
      <c r="T419" s="559"/>
      <c r="U419" s="559"/>
      <c r="V419" s="559"/>
      <c r="W419" s="559"/>
      <c r="X419" s="559"/>
      <c r="Y419" s="559"/>
      <c r="Z419" s="559"/>
      <c r="AA419" s="559"/>
      <c r="AB419" s="559"/>
      <c r="AC419" s="559"/>
      <c r="AD419" s="559"/>
      <c r="AE419" s="559"/>
      <c r="AF419" s="559"/>
      <c r="AG419" s="559"/>
    </row>
    <row r="420" spans="1:33" ht="18" x14ac:dyDescent="0.35">
      <c r="A420" s="559"/>
      <c r="B420" s="559"/>
      <c r="C420" s="559"/>
      <c r="D420" s="559"/>
      <c r="E420" s="559"/>
      <c r="F420" s="559"/>
      <c r="G420" s="559"/>
      <c r="H420" s="559"/>
      <c r="I420" s="559"/>
      <c r="J420" s="559"/>
      <c r="K420" s="559"/>
      <c r="L420" s="559"/>
      <c r="M420" s="559"/>
      <c r="N420" s="559"/>
      <c r="O420" s="559"/>
      <c r="P420" s="559"/>
      <c r="Q420" s="559"/>
      <c r="R420" s="559"/>
      <c r="S420" s="559"/>
      <c r="T420" s="559"/>
      <c r="U420" s="559"/>
      <c r="V420" s="559"/>
      <c r="W420" s="559"/>
      <c r="X420" s="559"/>
      <c r="Y420" s="559"/>
      <c r="Z420" s="559"/>
      <c r="AA420" s="559"/>
      <c r="AB420" s="559"/>
      <c r="AC420" s="559"/>
      <c r="AD420" s="559"/>
      <c r="AE420" s="559"/>
      <c r="AF420" s="559"/>
      <c r="AG420" s="559"/>
    </row>
    <row r="421" spans="1:33" ht="18" x14ac:dyDescent="0.35">
      <c r="A421" s="559"/>
      <c r="B421" s="559"/>
      <c r="C421" s="559"/>
      <c r="D421" s="559"/>
      <c r="E421" s="559"/>
      <c r="F421" s="559"/>
      <c r="G421" s="559"/>
      <c r="H421" s="559"/>
      <c r="I421" s="559"/>
      <c r="J421" s="559"/>
      <c r="K421" s="559"/>
      <c r="L421" s="559"/>
      <c r="M421" s="559"/>
      <c r="N421" s="559"/>
      <c r="O421" s="559"/>
      <c r="P421" s="559"/>
      <c r="Q421" s="559"/>
      <c r="R421" s="559"/>
      <c r="S421" s="559"/>
      <c r="T421" s="559"/>
      <c r="U421" s="559"/>
      <c r="V421" s="559"/>
      <c r="W421" s="559"/>
      <c r="X421" s="559"/>
      <c r="Y421" s="559"/>
      <c r="Z421" s="559"/>
      <c r="AA421" s="559"/>
      <c r="AB421" s="559"/>
      <c r="AC421" s="559"/>
      <c r="AD421" s="559"/>
      <c r="AE421" s="559"/>
      <c r="AF421" s="559"/>
      <c r="AG421" s="559"/>
    </row>
    <row r="422" spans="1:33" ht="18" x14ac:dyDescent="0.35">
      <c r="A422" s="559"/>
      <c r="B422" s="559"/>
      <c r="C422" s="559"/>
      <c r="D422" s="559"/>
      <c r="E422" s="559"/>
      <c r="F422" s="559"/>
      <c r="G422" s="559"/>
      <c r="H422" s="559"/>
      <c r="I422" s="559"/>
      <c r="J422" s="559"/>
      <c r="K422" s="559"/>
      <c r="L422" s="559"/>
      <c r="M422" s="559"/>
      <c r="N422" s="559"/>
      <c r="O422" s="559"/>
      <c r="P422" s="559"/>
      <c r="Q422" s="559"/>
      <c r="R422" s="559"/>
      <c r="S422" s="559"/>
      <c r="T422" s="559"/>
      <c r="U422" s="559"/>
      <c r="V422" s="559"/>
      <c r="W422" s="559"/>
      <c r="X422" s="559"/>
      <c r="Y422" s="559"/>
      <c r="Z422" s="559"/>
      <c r="AA422" s="559"/>
      <c r="AB422" s="559"/>
      <c r="AC422" s="559"/>
      <c r="AD422" s="559"/>
      <c r="AE422" s="559"/>
      <c r="AF422" s="559"/>
      <c r="AG422" s="559"/>
    </row>
    <row r="423" spans="1:33" ht="18" x14ac:dyDescent="0.35">
      <c r="A423" s="559"/>
      <c r="B423" s="559"/>
      <c r="C423" s="559"/>
      <c r="D423" s="559"/>
      <c r="E423" s="559"/>
      <c r="F423" s="559"/>
      <c r="G423" s="559"/>
      <c r="H423" s="559"/>
      <c r="I423" s="559"/>
      <c r="J423" s="559"/>
      <c r="K423" s="559"/>
      <c r="L423" s="559"/>
      <c r="M423" s="559"/>
      <c r="N423" s="559"/>
      <c r="O423" s="559"/>
      <c r="P423" s="559"/>
      <c r="Q423" s="559"/>
      <c r="R423" s="559"/>
      <c r="S423" s="559"/>
      <c r="T423" s="559"/>
      <c r="U423" s="559"/>
      <c r="V423" s="559"/>
      <c r="W423" s="559"/>
      <c r="X423" s="559"/>
      <c r="Y423" s="559"/>
      <c r="Z423" s="559"/>
      <c r="AA423" s="559"/>
      <c r="AB423" s="559"/>
      <c r="AC423" s="559"/>
      <c r="AD423" s="559"/>
      <c r="AE423" s="559"/>
      <c r="AF423" s="559"/>
      <c r="AG423" s="559"/>
    </row>
    <row r="424" spans="1:33" ht="18" x14ac:dyDescent="0.35">
      <c r="A424" s="559"/>
      <c r="B424" s="559"/>
      <c r="C424" s="559"/>
      <c r="D424" s="559"/>
      <c r="E424" s="559"/>
      <c r="F424" s="559"/>
      <c r="G424" s="559"/>
      <c r="H424" s="559"/>
      <c r="I424" s="559"/>
      <c r="J424" s="559"/>
      <c r="K424" s="559"/>
      <c r="L424" s="559"/>
      <c r="M424" s="559"/>
      <c r="N424" s="559"/>
      <c r="O424" s="559"/>
      <c r="P424" s="559"/>
      <c r="Q424" s="559"/>
      <c r="R424" s="559"/>
      <c r="S424" s="559"/>
      <c r="T424" s="559"/>
      <c r="U424" s="559"/>
      <c r="V424" s="559"/>
      <c r="W424" s="559"/>
      <c r="X424" s="559"/>
      <c r="Y424" s="559"/>
      <c r="Z424" s="559"/>
      <c r="AA424" s="559"/>
      <c r="AB424" s="559"/>
      <c r="AC424" s="559"/>
      <c r="AD424" s="559"/>
      <c r="AE424" s="559"/>
      <c r="AF424" s="559"/>
      <c r="AG424" s="559"/>
    </row>
    <row r="425" spans="1:33" ht="18" x14ac:dyDescent="0.35">
      <c r="A425" s="559"/>
      <c r="B425" s="559"/>
      <c r="C425" s="559"/>
      <c r="D425" s="559"/>
      <c r="E425" s="559"/>
      <c r="F425" s="559"/>
      <c r="G425" s="559"/>
      <c r="H425" s="559"/>
      <c r="I425" s="559"/>
      <c r="J425" s="559"/>
      <c r="K425" s="559"/>
      <c r="L425" s="559"/>
      <c r="M425" s="559"/>
      <c r="N425" s="559"/>
      <c r="O425" s="559"/>
      <c r="P425" s="559"/>
      <c r="Q425" s="559"/>
      <c r="R425" s="559"/>
      <c r="S425" s="559"/>
      <c r="T425" s="559"/>
      <c r="U425" s="559"/>
      <c r="V425" s="559"/>
      <c r="W425" s="559"/>
      <c r="X425" s="559"/>
      <c r="Y425" s="559"/>
      <c r="Z425" s="559"/>
      <c r="AA425" s="559"/>
      <c r="AB425" s="559"/>
      <c r="AC425" s="559"/>
      <c r="AD425" s="559"/>
      <c r="AE425" s="559"/>
      <c r="AF425" s="559"/>
      <c r="AG425" s="559"/>
    </row>
    <row r="426" spans="1:33" ht="18" x14ac:dyDescent="0.35">
      <c r="A426" s="559"/>
      <c r="B426" s="559"/>
      <c r="C426" s="559"/>
      <c r="D426" s="559"/>
      <c r="E426" s="559"/>
      <c r="F426" s="559"/>
      <c r="G426" s="559"/>
      <c r="H426" s="559"/>
      <c r="I426" s="559"/>
      <c r="J426" s="559"/>
      <c r="K426" s="559"/>
      <c r="L426" s="559"/>
      <c r="M426" s="559"/>
      <c r="N426" s="559"/>
      <c r="O426" s="559"/>
      <c r="P426" s="559"/>
      <c r="Q426" s="559"/>
      <c r="R426" s="559"/>
      <c r="S426" s="559"/>
      <c r="T426" s="559"/>
      <c r="U426" s="559"/>
      <c r="V426" s="559"/>
      <c r="W426" s="559"/>
      <c r="X426" s="559"/>
      <c r="Y426" s="559"/>
      <c r="Z426" s="559"/>
      <c r="AA426" s="559"/>
      <c r="AB426" s="559"/>
      <c r="AC426" s="559"/>
      <c r="AD426" s="559"/>
      <c r="AE426" s="559"/>
      <c r="AF426" s="559"/>
      <c r="AG426" s="559"/>
    </row>
    <row r="427" spans="1:33" ht="18" x14ac:dyDescent="0.35">
      <c r="A427" s="559"/>
      <c r="B427" s="559"/>
      <c r="C427" s="559"/>
      <c r="D427" s="559"/>
      <c r="E427" s="559"/>
      <c r="F427" s="559"/>
      <c r="G427" s="559"/>
      <c r="H427" s="559"/>
      <c r="I427" s="559"/>
      <c r="J427" s="559"/>
      <c r="K427" s="559"/>
      <c r="L427" s="559"/>
      <c r="M427" s="559"/>
      <c r="N427" s="559"/>
      <c r="O427" s="559"/>
      <c r="P427" s="559"/>
      <c r="Q427" s="559"/>
      <c r="R427" s="559"/>
      <c r="S427" s="559"/>
      <c r="T427" s="559"/>
      <c r="U427" s="559"/>
      <c r="V427" s="559"/>
      <c r="W427" s="559"/>
      <c r="X427" s="559"/>
      <c r="Y427" s="559"/>
      <c r="Z427" s="559"/>
      <c r="AA427" s="559"/>
      <c r="AB427" s="559"/>
      <c r="AC427" s="559"/>
      <c r="AD427" s="559"/>
      <c r="AE427" s="559"/>
      <c r="AF427" s="559"/>
      <c r="AG427" s="559"/>
    </row>
    <row r="428" spans="1:33" ht="18" x14ac:dyDescent="0.35">
      <c r="A428" s="559"/>
      <c r="B428" s="559"/>
      <c r="C428" s="559"/>
      <c r="D428" s="559"/>
      <c r="E428" s="559"/>
      <c r="F428" s="559"/>
      <c r="G428" s="559"/>
      <c r="H428" s="559"/>
      <c r="I428" s="559"/>
      <c r="J428" s="559"/>
      <c r="K428" s="559"/>
      <c r="L428" s="559"/>
      <c r="M428" s="559"/>
      <c r="N428" s="559"/>
      <c r="O428" s="559"/>
      <c r="P428" s="559"/>
      <c r="Q428" s="559"/>
      <c r="R428" s="559"/>
      <c r="S428" s="559"/>
      <c r="T428" s="559"/>
      <c r="U428" s="559"/>
      <c r="V428" s="559"/>
      <c r="W428" s="559"/>
      <c r="X428" s="559"/>
      <c r="Y428" s="559"/>
      <c r="Z428" s="559"/>
      <c r="AA428" s="559"/>
      <c r="AB428" s="559"/>
      <c r="AC428" s="559"/>
      <c r="AD428" s="559"/>
      <c r="AE428" s="559"/>
      <c r="AF428" s="559"/>
      <c r="AG428" s="559"/>
    </row>
    <row r="429" spans="1:33" ht="18" x14ac:dyDescent="0.35">
      <c r="A429" s="559"/>
      <c r="B429" s="559"/>
      <c r="C429" s="559"/>
      <c r="D429" s="559"/>
      <c r="E429" s="559"/>
      <c r="F429" s="559"/>
      <c r="G429" s="559"/>
      <c r="H429" s="559"/>
      <c r="I429" s="559"/>
      <c r="J429" s="559"/>
      <c r="K429" s="559"/>
      <c r="L429" s="559"/>
      <c r="M429" s="559"/>
      <c r="N429" s="559"/>
      <c r="O429" s="559"/>
      <c r="P429" s="559"/>
      <c r="Q429" s="559"/>
      <c r="R429" s="559"/>
      <c r="S429" s="559"/>
      <c r="T429" s="559"/>
      <c r="U429" s="559"/>
      <c r="V429" s="559"/>
      <c r="W429" s="559"/>
      <c r="X429" s="559"/>
      <c r="Y429" s="559"/>
      <c r="Z429" s="559"/>
      <c r="AA429" s="559"/>
      <c r="AB429" s="559"/>
      <c r="AC429" s="559"/>
      <c r="AD429" s="559"/>
      <c r="AE429" s="559"/>
      <c r="AF429" s="559"/>
      <c r="AG429" s="559"/>
    </row>
    <row r="430" spans="1:33" ht="18" x14ac:dyDescent="0.35">
      <c r="A430" s="559"/>
      <c r="B430" s="559"/>
      <c r="C430" s="559"/>
      <c r="D430" s="559"/>
      <c r="E430" s="559"/>
      <c r="F430" s="559"/>
      <c r="G430" s="559"/>
      <c r="H430" s="559"/>
      <c r="I430" s="559"/>
      <c r="J430" s="559"/>
      <c r="K430" s="559"/>
      <c r="L430" s="559"/>
      <c r="M430" s="559"/>
      <c r="N430" s="559"/>
      <c r="O430" s="559"/>
      <c r="P430" s="559"/>
      <c r="Q430" s="559"/>
      <c r="R430" s="559"/>
      <c r="S430" s="559"/>
      <c r="T430" s="559"/>
      <c r="U430" s="559"/>
      <c r="V430" s="559"/>
      <c r="W430" s="559"/>
      <c r="X430" s="559"/>
      <c r="Y430" s="559"/>
      <c r="Z430" s="559"/>
      <c r="AA430" s="559"/>
      <c r="AB430" s="559"/>
      <c r="AC430" s="559"/>
      <c r="AD430" s="559"/>
      <c r="AE430" s="559"/>
      <c r="AF430" s="559"/>
      <c r="AG430" s="559"/>
    </row>
    <row r="431" spans="1:33" ht="18" x14ac:dyDescent="0.35">
      <c r="A431" s="559"/>
      <c r="B431" s="559"/>
      <c r="C431" s="559"/>
      <c r="D431" s="559"/>
      <c r="E431" s="559"/>
      <c r="F431" s="559"/>
      <c r="G431" s="559"/>
      <c r="H431" s="559"/>
      <c r="I431" s="559"/>
      <c r="J431" s="559"/>
      <c r="K431" s="559"/>
      <c r="L431" s="559"/>
      <c r="M431" s="559"/>
      <c r="N431" s="559"/>
      <c r="O431" s="559"/>
      <c r="P431" s="559"/>
      <c r="Q431" s="559"/>
      <c r="R431" s="559"/>
      <c r="S431" s="559"/>
      <c r="T431" s="559"/>
      <c r="U431" s="559"/>
      <c r="V431" s="559"/>
      <c r="W431" s="559"/>
      <c r="X431" s="559"/>
      <c r="Y431" s="559"/>
      <c r="Z431" s="559"/>
      <c r="AA431" s="559"/>
      <c r="AB431" s="559"/>
      <c r="AC431" s="559"/>
      <c r="AD431" s="559"/>
      <c r="AE431" s="559"/>
      <c r="AF431" s="559"/>
      <c r="AG431" s="559"/>
    </row>
    <row r="432" spans="1:33" ht="18" x14ac:dyDescent="0.35">
      <c r="A432" s="559"/>
      <c r="B432" s="559"/>
      <c r="C432" s="559"/>
      <c r="D432" s="559"/>
      <c r="E432" s="559"/>
      <c r="F432" s="559"/>
      <c r="G432" s="559"/>
      <c r="H432" s="559"/>
      <c r="I432" s="559"/>
      <c r="J432" s="559"/>
      <c r="K432" s="559"/>
      <c r="L432" s="559"/>
      <c r="M432" s="559"/>
      <c r="N432" s="559"/>
      <c r="O432" s="559"/>
      <c r="P432" s="559"/>
      <c r="Q432" s="559"/>
      <c r="R432" s="559"/>
      <c r="S432" s="559"/>
      <c r="T432" s="559"/>
      <c r="U432" s="559"/>
      <c r="V432" s="559"/>
      <c r="W432" s="559"/>
      <c r="X432" s="559"/>
      <c r="Y432" s="559"/>
      <c r="Z432" s="559"/>
      <c r="AA432" s="559"/>
      <c r="AB432" s="559"/>
      <c r="AC432" s="559"/>
      <c r="AD432" s="559"/>
      <c r="AE432" s="559"/>
      <c r="AF432" s="559"/>
      <c r="AG432" s="559"/>
    </row>
    <row r="433" spans="1:33" ht="18" x14ac:dyDescent="0.35">
      <c r="A433" s="559"/>
      <c r="B433" s="559"/>
      <c r="C433" s="559"/>
      <c r="D433" s="559"/>
      <c r="E433" s="559"/>
      <c r="F433" s="559"/>
      <c r="G433" s="559"/>
      <c r="H433" s="559"/>
      <c r="I433" s="559"/>
      <c r="J433" s="559"/>
      <c r="K433" s="559"/>
      <c r="L433" s="559"/>
      <c r="M433" s="559"/>
      <c r="N433" s="559"/>
      <c r="O433" s="559"/>
      <c r="P433" s="559"/>
      <c r="Q433" s="559"/>
      <c r="R433" s="559"/>
      <c r="S433" s="559"/>
      <c r="T433" s="559"/>
      <c r="U433" s="559"/>
      <c r="V433" s="559"/>
      <c r="W433" s="559"/>
      <c r="X433" s="559"/>
      <c r="Y433" s="559"/>
      <c r="Z433" s="559"/>
      <c r="AA433" s="559"/>
      <c r="AB433" s="559"/>
      <c r="AC433" s="559"/>
      <c r="AD433" s="559"/>
      <c r="AE433" s="559"/>
      <c r="AF433" s="559"/>
      <c r="AG433" s="559"/>
    </row>
    <row r="434" spans="1:33" ht="18" x14ac:dyDescent="0.35">
      <c r="A434" s="559"/>
      <c r="B434" s="559"/>
      <c r="C434" s="559"/>
      <c r="D434" s="559"/>
      <c r="E434" s="559"/>
      <c r="F434" s="559"/>
      <c r="G434" s="559"/>
      <c r="H434" s="559"/>
      <c r="I434" s="559"/>
      <c r="J434" s="559"/>
      <c r="K434" s="559"/>
      <c r="L434" s="559"/>
      <c r="M434" s="559"/>
      <c r="N434" s="559"/>
      <c r="O434" s="559"/>
      <c r="P434" s="559"/>
      <c r="Q434" s="559"/>
      <c r="R434" s="559"/>
      <c r="S434" s="559"/>
      <c r="T434" s="559"/>
      <c r="U434" s="559"/>
      <c r="V434" s="559"/>
      <c r="W434" s="559"/>
      <c r="X434" s="559"/>
      <c r="Y434" s="559"/>
      <c r="Z434" s="559"/>
      <c r="AA434" s="559"/>
      <c r="AB434" s="559"/>
      <c r="AC434" s="559"/>
      <c r="AD434" s="559"/>
      <c r="AE434" s="559"/>
      <c r="AF434" s="559"/>
      <c r="AG434" s="559"/>
    </row>
    <row r="435" spans="1:33" ht="18" x14ac:dyDescent="0.35">
      <c r="A435" s="559"/>
      <c r="B435" s="559"/>
      <c r="C435" s="559"/>
      <c r="D435" s="559"/>
      <c r="E435" s="559"/>
      <c r="F435" s="559"/>
      <c r="G435" s="559"/>
      <c r="H435" s="559"/>
      <c r="I435" s="559"/>
      <c r="J435" s="559"/>
      <c r="K435" s="559"/>
      <c r="L435" s="559"/>
      <c r="M435" s="559"/>
      <c r="N435" s="559"/>
      <c r="O435" s="559"/>
      <c r="P435" s="559"/>
      <c r="Q435" s="559"/>
      <c r="R435" s="559"/>
      <c r="S435" s="559"/>
      <c r="T435" s="559"/>
      <c r="U435" s="559"/>
      <c r="V435" s="559"/>
      <c r="W435" s="559"/>
      <c r="X435" s="559"/>
      <c r="Y435" s="559"/>
      <c r="Z435" s="559"/>
      <c r="AA435" s="559"/>
      <c r="AB435" s="559"/>
      <c r="AC435" s="559"/>
      <c r="AD435" s="559"/>
      <c r="AE435" s="559"/>
      <c r="AF435" s="559"/>
      <c r="AG435" s="559"/>
    </row>
    <row r="436" spans="1:33" ht="18" x14ac:dyDescent="0.35">
      <c r="A436" s="559"/>
      <c r="B436" s="559"/>
      <c r="C436" s="559"/>
      <c r="D436" s="559"/>
      <c r="E436" s="559"/>
      <c r="F436" s="559"/>
      <c r="G436" s="559"/>
      <c r="H436" s="559"/>
      <c r="I436" s="559"/>
      <c r="J436" s="559"/>
      <c r="K436" s="559"/>
      <c r="L436" s="559"/>
      <c r="M436" s="559"/>
      <c r="N436" s="559"/>
      <c r="O436" s="559"/>
      <c r="P436" s="559"/>
      <c r="Q436" s="559"/>
      <c r="R436" s="559"/>
      <c r="S436" s="559"/>
      <c r="T436" s="559"/>
      <c r="U436" s="559"/>
      <c r="V436" s="559"/>
      <c r="W436" s="559"/>
      <c r="X436" s="559"/>
      <c r="Y436" s="559"/>
      <c r="Z436" s="559"/>
      <c r="AA436" s="559"/>
      <c r="AB436" s="559"/>
      <c r="AC436" s="559"/>
      <c r="AD436" s="559"/>
      <c r="AE436" s="559"/>
      <c r="AF436" s="559"/>
      <c r="AG436" s="559"/>
    </row>
    <row r="437" spans="1:33" ht="18" x14ac:dyDescent="0.35">
      <c r="A437" s="559"/>
      <c r="B437" s="559"/>
      <c r="C437" s="559"/>
      <c r="D437" s="559"/>
      <c r="E437" s="559"/>
      <c r="F437" s="559"/>
      <c r="G437" s="559"/>
      <c r="H437" s="559"/>
      <c r="I437" s="559"/>
      <c r="J437" s="559"/>
      <c r="K437" s="559"/>
      <c r="L437" s="559"/>
      <c r="M437" s="559"/>
      <c r="N437" s="559"/>
      <c r="O437" s="559"/>
      <c r="P437" s="559"/>
      <c r="Q437" s="559"/>
      <c r="R437" s="559"/>
      <c r="S437" s="559"/>
      <c r="T437" s="559"/>
      <c r="U437" s="559"/>
      <c r="V437" s="559"/>
      <c r="W437" s="559"/>
      <c r="X437" s="559"/>
      <c r="Y437" s="559"/>
      <c r="Z437" s="559"/>
      <c r="AA437" s="559"/>
      <c r="AB437" s="559"/>
      <c r="AC437" s="559"/>
      <c r="AD437" s="559"/>
      <c r="AE437" s="559"/>
      <c r="AF437" s="559"/>
      <c r="AG437" s="559"/>
    </row>
    <row r="438" spans="1:33" ht="18" x14ac:dyDescent="0.35">
      <c r="A438" s="559"/>
      <c r="B438" s="559"/>
      <c r="C438" s="559"/>
      <c r="D438" s="559"/>
      <c r="E438" s="559"/>
      <c r="F438" s="559"/>
      <c r="G438" s="559"/>
      <c r="H438" s="559"/>
      <c r="I438" s="559"/>
      <c r="J438" s="559"/>
      <c r="K438" s="559"/>
      <c r="L438" s="559"/>
      <c r="M438" s="559"/>
      <c r="N438" s="559"/>
      <c r="O438" s="559"/>
      <c r="P438" s="559"/>
      <c r="Q438" s="559"/>
      <c r="R438" s="559"/>
      <c r="S438" s="559"/>
      <c r="T438" s="559"/>
      <c r="U438" s="559"/>
      <c r="V438" s="559"/>
      <c r="W438" s="559"/>
      <c r="X438" s="559"/>
      <c r="Y438" s="559"/>
      <c r="Z438" s="559"/>
      <c r="AA438" s="559"/>
      <c r="AB438" s="559"/>
      <c r="AC438" s="559"/>
      <c r="AD438" s="559"/>
      <c r="AE438" s="559"/>
      <c r="AF438" s="559"/>
      <c r="AG438" s="559"/>
    </row>
    <row r="439" spans="1:33" ht="18" x14ac:dyDescent="0.35">
      <c r="A439" s="559"/>
      <c r="B439" s="559"/>
      <c r="C439" s="559"/>
      <c r="D439" s="559"/>
      <c r="E439" s="559"/>
      <c r="F439" s="559"/>
      <c r="G439" s="559"/>
      <c r="H439" s="559"/>
      <c r="I439" s="559"/>
      <c r="J439" s="559"/>
      <c r="K439" s="559"/>
      <c r="L439" s="559"/>
      <c r="M439" s="559"/>
      <c r="N439" s="559"/>
      <c r="O439" s="559"/>
      <c r="P439" s="559"/>
      <c r="Q439" s="559"/>
      <c r="R439" s="559"/>
      <c r="S439" s="559"/>
      <c r="T439" s="559"/>
      <c r="U439" s="559"/>
      <c r="V439" s="559"/>
      <c r="W439" s="559"/>
      <c r="X439" s="559"/>
      <c r="Y439" s="559"/>
      <c r="Z439" s="559"/>
      <c r="AA439" s="559"/>
      <c r="AB439" s="559"/>
      <c r="AC439" s="559"/>
      <c r="AD439" s="559"/>
      <c r="AE439" s="559"/>
      <c r="AF439" s="559"/>
      <c r="AG439" s="559"/>
    </row>
    <row r="440" spans="1:33" ht="18" x14ac:dyDescent="0.35">
      <c r="A440" s="559"/>
      <c r="B440" s="559"/>
      <c r="C440" s="559"/>
      <c r="D440" s="559"/>
      <c r="E440" s="559"/>
      <c r="F440" s="559"/>
      <c r="G440" s="559"/>
      <c r="H440" s="559"/>
      <c r="I440" s="559"/>
      <c r="J440" s="559"/>
      <c r="K440" s="559"/>
      <c r="L440" s="559"/>
      <c r="M440" s="559"/>
      <c r="N440" s="559"/>
      <c r="O440" s="559"/>
      <c r="P440" s="559"/>
      <c r="Q440" s="559"/>
      <c r="R440" s="559"/>
      <c r="S440" s="559"/>
      <c r="T440" s="559"/>
      <c r="U440" s="559"/>
      <c r="V440" s="559"/>
      <c r="W440" s="559"/>
      <c r="X440" s="559"/>
      <c r="Y440" s="559"/>
      <c r="Z440" s="559"/>
      <c r="AA440" s="559"/>
      <c r="AB440" s="559"/>
      <c r="AC440" s="559"/>
      <c r="AD440" s="559"/>
      <c r="AE440" s="559"/>
      <c r="AF440" s="559"/>
      <c r="AG440" s="559"/>
    </row>
    <row r="441" spans="1:33" ht="18" x14ac:dyDescent="0.35">
      <c r="A441" s="559"/>
      <c r="B441" s="559"/>
      <c r="C441" s="559"/>
      <c r="D441" s="559"/>
      <c r="E441" s="559"/>
      <c r="F441" s="559"/>
      <c r="G441" s="559"/>
      <c r="H441" s="559"/>
      <c r="I441" s="559"/>
      <c r="J441" s="559"/>
      <c r="K441" s="559"/>
      <c r="L441" s="559"/>
      <c r="M441" s="559"/>
      <c r="N441" s="559"/>
      <c r="O441" s="559"/>
      <c r="P441" s="559"/>
      <c r="Q441" s="559"/>
      <c r="R441" s="559"/>
      <c r="S441" s="559"/>
      <c r="T441" s="559"/>
      <c r="U441" s="559"/>
      <c r="V441" s="559"/>
      <c r="W441" s="559"/>
      <c r="X441" s="559"/>
      <c r="Y441" s="559"/>
      <c r="Z441" s="559"/>
      <c r="AA441" s="559"/>
      <c r="AB441" s="559"/>
      <c r="AC441" s="559"/>
      <c r="AD441" s="559"/>
      <c r="AE441" s="559"/>
      <c r="AF441" s="559"/>
      <c r="AG441" s="559"/>
    </row>
    <row r="442" spans="1:33" ht="18" x14ac:dyDescent="0.35">
      <c r="A442" s="559"/>
      <c r="B442" s="559"/>
      <c r="C442" s="559"/>
      <c r="D442" s="559"/>
      <c r="E442" s="559"/>
      <c r="F442" s="559"/>
      <c r="G442" s="559"/>
      <c r="H442" s="559"/>
      <c r="I442" s="559"/>
      <c r="J442" s="559"/>
      <c r="K442" s="559"/>
      <c r="L442" s="559"/>
      <c r="M442" s="559"/>
      <c r="N442" s="559"/>
      <c r="O442" s="559"/>
      <c r="P442" s="559"/>
      <c r="Q442" s="559"/>
      <c r="R442" s="559"/>
      <c r="S442" s="559"/>
      <c r="T442" s="559"/>
      <c r="U442" s="559"/>
      <c r="V442" s="559"/>
      <c r="W442" s="559"/>
      <c r="X442" s="559"/>
      <c r="Y442" s="559"/>
      <c r="Z442" s="559"/>
      <c r="AA442" s="559"/>
      <c r="AB442" s="559"/>
      <c r="AC442" s="559"/>
      <c r="AD442" s="559"/>
      <c r="AE442" s="559"/>
      <c r="AF442" s="559"/>
      <c r="AG442" s="559"/>
    </row>
    <row r="443" spans="1:33" ht="18" x14ac:dyDescent="0.35">
      <c r="A443" s="559"/>
      <c r="B443" s="559"/>
      <c r="C443" s="559"/>
      <c r="D443" s="559"/>
      <c r="E443" s="559"/>
      <c r="F443" s="559"/>
      <c r="G443" s="559"/>
      <c r="H443" s="559"/>
      <c r="I443" s="559"/>
      <c r="J443" s="559"/>
      <c r="K443" s="559"/>
      <c r="L443" s="559"/>
      <c r="M443" s="559"/>
      <c r="N443" s="559"/>
      <c r="O443" s="559"/>
      <c r="P443" s="559"/>
      <c r="Q443" s="559"/>
      <c r="R443" s="559"/>
      <c r="S443" s="559"/>
      <c r="T443" s="559"/>
      <c r="U443" s="559"/>
      <c r="V443" s="559"/>
      <c r="W443" s="559"/>
      <c r="X443" s="559"/>
      <c r="Y443" s="559"/>
      <c r="Z443" s="559"/>
      <c r="AA443" s="559"/>
      <c r="AB443" s="559"/>
      <c r="AC443" s="559"/>
      <c r="AD443" s="559"/>
      <c r="AE443" s="559"/>
      <c r="AF443" s="559"/>
      <c r="AG443" s="559"/>
    </row>
    <row r="444" spans="1:33" ht="18" x14ac:dyDescent="0.35">
      <c r="A444" s="559"/>
      <c r="B444" s="559"/>
      <c r="C444" s="559"/>
      <c r="D444" s="559"/>
      <c r="E444" s="559"/>
      <c r="F444" s="559"/>
      <c r="G444" s="559"/>
      <c r="H444" s="559"/>
      <c r="I444" s="559"/>
      <c r="J444" s="559"/>
      <c r="K444" s="559"/>
      <c r="L444" s="559"/>
      <c r="M444" s="559"/>
      <c r="N444" s="559"/>
      <c r="O444" s="559"/>
      <c r="P444" s="559"/>
      <c r="Q444" s="559"/>
      <c r="R444" s="559"/>
      <c r="S444" s="559"/>
      <c r="T444" s="559"/>
      <c r="U444" s="559"/>
      <c r="V444" s="559"/>
      <c r="W444" s="559"/>
      <c r="X444" s="559"/>
      <c r="Y444" s="559"/>
      <c r="Z444" s="559"/>
      <c r="AA444" s="559"/>
      <c r="AB444" s="559"/>
      <c r="AC444" s="559"/>
      <c r="AD444" s="559"/>
      <c r="AE444" s="559"/>
      <c r="AF444" s="559"/>
      <c r="AG444" s="559"/>
    </row>
    <row r="445" spans="1:33" ht="18" x14ac:dyDescent="0.35">
      <c r="A445" s="559"/>
      <c r="B445" s="559"/>
      <c r="C445" s="559"/>
      <c r="D445" s="559"/>
      <c r="E445" s="559"/>
      <c r="F445" s="559"/>
      <c r="G445" s="559"/>
      <c r="H445" s="559"/>
      <c r="I445" s="559"/>
      <c r="J445" s="559"/>
      <c r="K445" s="559"/>
      <c r="L445" s="559"/>
      <c r="M445" s="559"/>
      <c r="N445" s="559"/>
      <c r="O445" s="559"/>
      <c r="P445" s="559"/>
      <c r="Q445" s="559"/>
      <c r="R445" s="559"/>
      <c r="S445" s="559"/>
      <c r="T445" s="559"/>
      <c r="U445" s="559"/>
      <c r="V445" s="559"/>
      <c r="W445" s="559"/>
      <c r="X445" s="559"/>
      <c r="Y445" s="559"/>
      <c r="Z445" s="559"/>
      <c r="AA445" s="559"/>
      <c r="AB445" s="559"/>
      <c r="AC445" s="559"/>
      <c r="AD445" s="559"/>
      <c r="AE445" s="559"/>
      <c r="AF445" s="559"/>
      <c r="AG445" s="559"/>
    </row>
    <row r="446" spans="1:33" ht="18" x14ac:dyDescent="0.35">
      <c r="A446" s="559"/>
      <c r="B446" s="559"/>
      <c r="C446" s="559"/>
      <c r="D446" s="559"/>
      <c r="E446" s="559"/>
      <c r="F446" s="559"/>
      <c r="G446" s="559"/>
      <c r="H446" s="559"/>
      <c r="I446" s="559"/>
      <c r="J446" s="559"/>
      <c r="K446" s="559"/>
      <c r="L446" s="559"/>
      <c r="M446" s="559"/>
      <c r="N446" s="559"/>
      <c r="O446" s="559"/>
      <c r="P446" s="559"/>
      <c r="Q446" s="559"/>
      <c r="R446" s="559"/>
      <c r="S446" s="559"/>
      <c r="T446" s="559"/>
      <c r="U446" s="559"/>
      <c r="V446" s="559"/>
      <c r="W446" s="559"/>
      <c r="X446" s="559"/>
      <c r="Y446" s="559"/>
      <c r="Z446" s="559"/>
      <c r="AA446" s="559"/>
      <c r="AB446" s="559"/>
      <c r="AC446" s="559"/>
      <c r="AD446" s="559"/>
      <c r="AE446" s="559"/>
      <c r="AF446" s="559"/>
      <c r="AG446" s="559"/>
    </row>
    <row r="447" spans="1:33" ht="18" x14ac:dyDescent="0.35">
      <c r="A447" s="559"/>
      <c r="B447" s="559"/>
      <c r="C447" s="559"/>
      <c r="D447" s="559"/>
      <c r="E447" s="559"/>
      <c r="F447" s="559"/>
      <c r="G447" s="559"/>
      <c r="H447" s="559"/>
      <c r="I447" s="559"/>
      <c r="J447" s="559"/>
      <c r="K447" s="559"/>
      <c r="L447" s="559"/>
      <c r="M447" s="559"/>
      <c r="N447" s="559"/>
      <c r="O447" s="559"/>
      <c r="P447" s="559"/>
      <c r="Q447" s="559"/>
      <c r="R447" s="559"/>
      <c r="S447" s="559"/>
      <c r="T447" s="559"/>
      <c r="U447" s="559"/>
      <c r="V447" s="559"/>
      <c r="W447" s="559"/>
      <c r="X447" s="559"/>
      <c r="Y447" s="559"/>
      <c r="Z447" s="559"/>
      <c r="AA447" s="559"/>
      <c r="AB447" s="559"/>
      <c r="AC447" s="559"/>
      <c r="AD447" s="559"/>
      <c r="AE447" s="559"/>
      <c r="AF447" s="559"/>
      <c r="AG447" s="559"/>
    </row>
    <row r="448" spans="1:33" ht="18" x14ac:dyDescent="0.35">
      <c r="A448" s="559"/>
      <c r="B448" s="559"/>
      <c r="C448" s="559"/>
      <c r="D448" s="559"/>
      <c r="E448" s="559"/>
      <c r="F448" s="559"/>
      <c r="G448" s="559"/>
      <c r="H448" s="559"/>
      <c r="I448" s="559"/>
      <c r="J448" s="559"/>
      <c r="K448" s="559"/>
      <c r="L448" s="559"/>
      <c r="M448" s="559"/>
      <c r="N448" s="559"/>
      <c r="O448" s="559"/>
      <c r="P448" s="559"/>
      <c r="Q448" s="559"/>
      <c r="R448" s="559"/>
      <c r="S448" s="559"/>
      <c r="T448" s="559"/>
      <c r="U448" s="559"/>
      <c r="V448" s="559"/>
      <c r="W448" s="559"/>
      <c r="X448" s="559"/>
      <c r="Y448" s="559"/>
      <c r="Z448" s="559"/>
      <c r="AA448" s="559"/>
      <c r="AB448" s="559"/>
      <c r="AC448" s="559"/>
      <c r="AD448" s="559"/>
      <c r="AE448" s="559"/>
      <c r="AF448" s="559"/>
      <c r="AG448" s="559"/>
    </row>
    <row r="449" spans="1:33" ht="18" x14ac:dyDescent="0.35">
      <c r="A449" s="559"/>
      <c r="B449" s="559"/>
      <c r="C449" s="559"/>
      <c r="D449" s="559"/>
      <c r="E449" s="559"/>
      <c r="F449" s="559"/>
      <c r="G449" s="559"/>
      <c r="H449" s="559"/>
      <c r="I449" s="559"/>
      <c r="J449" s="559"/>
      <c r="K449" s="559"/>
      <c r="L449" s="559"/>
      <c r="M449" s="559"/>
      <c r="N449" s="559"/>
      <c r="O449" s="559"/>
      <c r="P449" s="559"/>
      <c r="Q449" s="559"/>
      <c r="R449" s="559"/>
      <c r="S449" s="559"/>
      <c r="T449" s="559"/>
      <c r="U449" s="559"/>
      <c r="V449" s="559"/>
      <c r="W449" s="559"/>
      <c r="X449" s="559"/>
      <c r="Y449" s="559"/>
      <c r="Z449" s="559"/>
      <c r="AA449" s="559"/>
      <c r="AB449" s="559"/>
      <c r="AC449" s="559"/>
      <c r="AD449" s="559"/>
      <c r="AE449" s="559"/>
      <c r="AF449" s="559"/>
      <c r="AG449" s="559"/>
    </row>
    <row r="450" spans="1:33" ht="18" x14ac:dyDescent="0.35">
      <c r="A450" s="559"/>
      <c r="B450" s="559"/>
      <c r="C450" s="559"/>
      <c r="D450" s="559"/>
      <c r="E450" s="559"/>
      <c r="F450" s="559"/>
      <c r="G450" s="559"/>
      <c r="H450" s="559"/>
      <c r="I450" s="559"/>
      <c r="J450" s="559"/>
      <c r="K450" s="559"/>
      <c r="L450" s="559"/>
      <c r="M450" s="559"/>
      <c r="N450" s="559"/>
      <c r="O450" s="559"/>
      <c r="P450" s="559"/>
      <c r="Q450" s="559"/>
      <c r="R450" s="559"/>
      <c r="S450" s="559"/>
      <c r="T450" s="559"/>
      <c r="U450" s="559"/>
      <c r="V450" s="559"/>
      <c r="W450" s="559"/>
      <c r="X450" s="559"/>
      <c r="Y450" s="559"/>
      <c r="Z450" s="559"/>
      <c r="AA450" s="559"/>
      <c r="AB450" s="559"/>
      <c r="AC450" s="559"/>
      <c r="AD450" s="559"/>
      <c r="AE450" s="559"/>
      <c r="AF450" s="559"/>
      <c r="AG450" s="559"/>
    </row>
    <row r="451" spans="1:33" ht="18" x14ac:dyDescent="0.35">
      <c r="A451" s="559"/>
      <c r="B451" s="559"/>
      <c r="C451" s="559"/>
      <c r="D451" s="559"/>
      <c r="E451" s="559"/>
      <c r="F451" s="559"/>
      <c r="G451" s="559"/>
      <c r="H451" s="559"/>
      <c r="I451" s="559"/>
      <c r="J451" s="559"/>
      <c r="K451" s="559"/>
      <c r="L451" s="559"/>
      <c r="M451" s="559"/>
      <c r="N451" s="559"/>
      <c r="O451" s="559"/>
      <c r="P451" s="559"/>
      <c r="Q451" s="559"/>
      <c r="R451" s="559"/>
      <c r="S451" s="559"/>
      <c r="T451" s="559"/>
      <c r="U451" s="559"/>
      <c r="V451" s="559"/>
      <c r="W451" s="559"/>
      <c r="X451" s="559"/>
      <c r="Y451" s="559"/>
      <c r="Z451" s="559"/>
      <c r="AA451" s="559"/>
      <c r="AB451" s="559"/>
      <c r="AC451" s="559"/>
      <c r="AD451" s="559"/>
      <c r="AE451" s="559"/>
      <c r="AF451" s="559"/>
      <c r="AG451" s="559"/>
    </row>
    <row r="452" spans="1:33" ht="18" x14ac:dyDescent="0.35">
      <c r="A452" s="559"/>
      <c r="B452" s="559"/>
      <c r="C452" s="559"/>
      <c r="D452" s="559"/>
      <c r="E452" s="559"/>
      <c r="F452" s="559"/>
      <c r="G452" s="559"/>
      <c r="H452" s="559"/>
      <c r="I452" s="559"/>
      <c r="J452" s="559"/>
      <c r="K452" s="559"/>
      <c r="L452" s="559"/>
      <c r="M452" s="559"/>
      <c r="N452" s="559"/>
      <c r="O452" s="559"/>
      <c r="P452" s="559"/>
      <c r="Q452" s="559"/>
      <c r="R452" s="559"/>
      <c r="S452" s="559"/>
      <c r="T452" s="559"/>
      <c r="U452" s="559"/>
      <c r="V452" s="559"/>
      <c r="W452" s="559"/>
      <c r="X452" s="559"/>
      <c r="Y452" s="559"/>
      <c r="Z452" s="559"/>
      <c r="AA452" s="559"/>
      <c r="AB452" s="559"/>
      <c r="AC452" s="559"/>
      <c r="AD452" s="559"/>
      <c r="AE452" s="559"/>
      <c r="AF452" s="559"/>
      <c r="AG452" s="559"/>
    </row>
    <row r="453" spans="1:33" ht="18" x14ac:dyDescent="0.35">
      <c r="A453" s="559"/>
      <c r="B453" s="559"/>
      <c r="C453" s="559"/>
      <c r="D453" s="559"/>
      <c r="E453" s="559"/>
      <c r="F453" s="559"/>
      <c r="G453" s="559"/>
      <c r="H453" s="559"/>
      <c r="I453" s="559"/>
      <c r="J453" s="559"/>
      <c r="K453" s="559"/>
      <c r="L453" s="559"/>
      <c r="M453" s="559"/>
      <c r="N453" s="559"/>
      <c r="O453" s="559"/>
      <c r="P453" s="559"/>
      <c r="Q453" s="559"/>
      <c r="R453" s="559"/>
      <c r="S453" s="559"/>
      <c r="T453" s="559"/>
      <c r="U453" s="559"/>
      <c r="V453" s="559"/>
      <c r="W453" s="559"/>
      <c r="X453" s="559"/>
      <c r="Y453" s="559"/>
      <c r="Z453" s="559"/>
      <c r="AA453" s="559"/>
      <c r="AB453" s="559"/>
      <c r="AC453" s="559"/>
      <c r="AD453" s="559"/>
      <c r="AE453" s="559"/>
      <c r="AF453" s="559"/>
      <c r="AG453" s="559"/>
    </row>
    <row r="454" spans="1:33" ht="18" x14ac:dyDescent="0.35">
      <c r="A454" s="559"/>
      <c r="B454" s="559"/>
      <c r="C454" s="559"/>
      <c r="D454" s="559"/>
      <c r="E454" s="559"/>
      <c r="F454" s="559"/>
      <c r="G454" s="559"/>
      <c r="H454" s="559"/>
      <c r="I454" s="559"/>
      <c r="J454" s="559"/>
      <c r="K454" s="559"/>
      <c r="L454" s="559"/>
      <c r="M454" s="559"/>
      <c r="N454" s="559"/>
      <c r="O454" s="559"/>
      <c r="P454" s="559"/>
      <c r="Q454" s="559"/>
      <c r="R454" s="559"/>
      <c r="S454" s="559"/>
      <c r="T454" s="559"/>
      <c r="U454" s="559"/>
      <c r="V454" s="559"/>
      <c r="W454" s="559"/>
      <c r="X454" s="559"/>
      <c r="Y454" s="559"/>
      <c r="Z454" s="559"/>
      <c r="AA454" s="559"/>
      <c r="AB454" s="559"/>
      <c r="AC454" s="559"/>
      <c r="AD454" s="559"/>
      <c r="AE454" s="559"/>
      <c r="AF454" s="559"/>
      <c r="AG454" s="559"/>
    </row>
    <row r="455" spans="1:33" ht="18" x14ac:dyDescent="0.35">
      <c r="A455" s="559"/>
      <c r="B455" s="559"/>
      <c r="C455" s="559"/>
      <c r="D455" s="559"/>
      <c r="E455" s="559"/>
      <c r="F455" s="559"/>
      <c r="G455" s="559"/>
      <c r="H455" s="559"/>
      <c r="I455" s="559"/>
      <c r="J455" s="559"/>
      <c r="K455" s="559"/>
      <c r="L455" s="559"/>
      <c r="M455" s="559"/>
      <c r="N455" s="559"/>
      <c r="O455" s="559"/>
      <c r="P455" s="559"/>
      <c r="Q455" s="559"/>
      <c r="R455" s="559"/>
      <c r="S455" s="559"/>
      <c r="T455" s="559"/>
      <c r="U455" s="559"/>
      <c r="V455" s="559"/>
      <c r="W455" s="559"/>
      <c r="X455" s="559"/>
      <c r="Y455" s="559"/>
      <c r="Z455" s="559"/>
      <c r="AA455" s="559"/>
      <c r="AB455" s="559"/>
      <c r="AC455" s="559"/>
      <c r="AD455" s="559"/>
      <c r="AE455" s="559"/>
      <c r="AF455" s="559"/>
      <c r="AG455" s="559"/>
    </row>
    <row r="456" spans="1:33" ht="18" x14ac:dyDescent="0.35">
      <c r="A456" s="559"/>
      <c r="B456" s="559"/>
      <c r="C456" s="559"/>
      <c r="D456" s="559"/>
      <c r="E456" s="559"/>
      <c r="F456" s="559"/>
      <c r="G456" s="559"/>
      <c r="H456" s="559"/>
      <c r="I456" s="559"/>
      <c r="J456" s="559"/>
      <c r="K456" s="559"/>
      <c r="L456" s="559"/>
      <c r="M456" s="559"/>
      <c r="N456" s="559"/>
      <c r="O456" s="559"/>
      <c r="P456" s="559"/>
      <c r="Q456" s="559"/>
      <c r="R456" s="559"/>
      <c r="S456" s="559"/>
      <c r="T456" s="559"/>
      <c r="U456" s="559"/>
      <c r="V456" s="559"/>
      <c r="W456" s="559"/>
      <c r="X456" s="559"/>
      <c r="Y456" s="559"/>
      <c r="Z456" s="559"/>
      <c r="AA456" s="559"/>
      <c r="AB456" s="559"/>
      <c r="AC456" s="559"/>
      <c r="AD456" s="559"/>
      <c r="AE456" s="559"/>
      <c r="AF456" s="559"/>
      <c r="AG456" s="559"/>
    </row>
    <row r="457" spans="1:33" ht="18" x14ac:dyDescent="0.35">
      <c r="A457" s="559"/>
      <c r="B457" s="559"/>
      <c r="C457" s="559"/>
      <c r="D457" s="559"/>
      <c r="E457" s="559"/>
      <c r="F457" s="559"/>
      <c r="G457" s="559"/>
      <c r="H457" s="559"/>
      <c r="I457" s="559"/>
      <c r="J457" s="559"/>
      <c r="K457" s="559"/>
      <c r="L457" s="559"/>
      <c r="M457" s="559"/>
      <c r="N457" s="559"/>
      <c r="O457" s="559"/>
      <c r="P457" s="559"/>
      <c r="Q457" s="559"/>
      <c r="R457" s="559"/>
      <c r="S457" s="559"/>
      <c r="T457" s="559"/>
      <c r="U457" s="559"/>
      <c r="V457" s="559"/>
      <c r="W457" s="559"/>
      <c r="X457" s="559"/>
      <c r="Y457" s="559"/>
      <c r="Z457" s="559"/>
      <c r="AA457" s="559"/>
      <c r="AB457" s="559"/>
      <c r="AC457" s="559"/>
      <c r="AD457" s="559"/>
      <c r="AE457" s="559"/>
      <c r="AF457" s="559"/>
      <c r="AG457" s="559"/>
    </row>
    <row r="458" spans="1:33" ht="18" x14ac:dyDescent="0.35">
      <c r="A458" s="559"/>
      <c r="B458" s="559"/>
      <c r="C458" s="559"/>
      <c r="D458" s="559"/>
      <c r="E458" s="559"/>
      <c r="F458" s="559"/>
      <c r="G458" s="559"/>
      <c r="H458" s="559"/>
      <c r="I458" s="559"/>
      <c r="J458" s="559"/>
      <c r="K458" s="559"/>
      <c r="L458" s="559"/>
      <c r="M458" s="559"/>
      <c r="N458" s="559"/>
      <c r="O458" s="559"/>
      <c r="P458" s="559"/>
      <c r="Q458" s="559"/>
      <c r="R458" s="559"/>
      <c r="S458" s="559"/>
      <c r="T458" s="559"/>
      <c r="U458" s="559"/>
      <c r="V458" s="559"/>
      <c r="W458" s="559"/>
      <c r="X458" s="559"/>
      <c r="Y458" s="559"/>
      <c r="Z458" s="559"/>
      <c r="AA458" s="559"/>
      <c r="AB458" s="559"/>
      <c r="AC458" s="559"/>
      <c r="AD458" s="559"/>
      <c r="AE458" s="559"/>
      <c r="AF458" s="559"/>
      <c r="AG458" s="559"/>
    </row>
    <row r="459" spans="1:33" ht="18" x14ac:dyDescent="0.35">
      <c r="A459" s="559"/>
      <c r="B459" s="559"/>
      <c r="C459" s="559"/>
      <c r="D459" s="559"/>
      <c r="E459" s="559"/>
      <c r="F459" s="559"/>
      <c r="G459" s="559"/>
      <c r="H459" s="559"/>
      <c r="I459" s="559"/>
      <c r="J459" s="559"/>
      <c r="K459" s="559"/>
      <c r="L459" s="559"/>
      <c r="M459" s="559"/>
      <c r="N459" s="559"/>
      <c r="O459" s="559"/>
      <c r="P459" s="559"/>
      <c r="Q459" s="559"/>
      <c r="R459" s="559"/>
      <c r="S459" s="559"/>
      <c r="T459" s="559"/>
      <c r="U459" s="559"/>
      <c r="V459" s="559"/>
      <c r="W459" s="559"/>
      <c r="X459" s="559"/>
      <c r="Y459" s="559"/>
      <c r="Z459" s="559"/>
      <c r="AA459" s="559"/>
      <c r="AB459" s="559"/>
      <c r="AC459" s="559"/>
      <c r="AD459" s="559"/>
      <c r="AE459" s="559"/>
      <c r="AF459" s="559"/>
      <c r="AG459" s="559"/>
    </row>
    <row r="460" spans="1:33" ht="18" x14ac:dyDescent="0.35">
      <c r="A460" s="559"/>
      <c r="B460" s="559"/>
      <c r="C460" s="559"/>
      <c r="D460" s="559"/>
      <c r="E460" s="559"/>
      <c r="F460" s="559"/>
      <c r="G460" s="559"/>
      <c r="H460" s="559"/>
      <c r="I460" s="559"/>
      <c r="J460" s="559"/>
      <c r="K460" s="559"/>
      <c r="L460" s="559"/>
      <c r="M460" s="559"/>
      <c r="N460" s="559"/>
      <c r="O460" s="559"/>
      <c r="P460" s="559"/>
      <c r="Q460" s="559"/>
      <c r="R460" s="559"/>
      <c r="S460" s="559"/>
      <c r="T460" s="559"/>
      <c r="U460" s="559"/>
      <c r="V460" s="559"/>
      <c r="W460" s="559"/>
      <c r="X460" s="559"/>
      <c r="Y460" s="559"/>
      <c r="Z460" s="559"/>
      <c r="AA460" s="559"/>
      <c r="AB460" s="559"/>
      <c r="AC460" s="559"/>
      <c r="AD460" s="559"/>
      <c r="AE460" s="559"/>
      <c r="AF460" s="559"/>
      <c r="AG460" s="559"/>
    </row>
    <row r="461" spans="1:33" ht="18" x14ac:dyDescent="0.35">
      <c r="A461" s="559"/>
      <c r="B461" s="559"/>
      <c r="C461" s="559"/>
      <c r="D461" s="559"/>
      <c r="E461" s="559"/>
      <c r="F461" s="559"/>
      <c r="G461" s="559"/>
      <c r="H461" s="559"/>
      <c r="I461" s="559"/>
      <c r="J461" s="559"/>
      <c r="K461" s="559"/>
      <c r="L461" s="559"/>
      <c r="M461" s="559"/>
      <c r="N461" s="559"/>
      <c r="O461" s="559"/>
      <c r="P461" s="559"/>
      <c r="Q461" s="559"/>
      <c r="R461" s="559"/>
      <c r="S461" s="559"/>
      <c r="T461" s="559"/>
      <c r="U461" s="559"/>
      <c r="V461" s="559"/>
      <c r="W461" s="559"/>
      <c r="X461" s="559"/>
      <c r="Y461" s="559"/>
      <c r="Z461" s="559"/>
      <c r="AA461" s="559"/>
      <c r="AB461" s="559"/>
      <c r="AC461" s="559"/>
      <c r="AD461" s="559"/>
      <c r="AE461" s="559"/>
      <c r="AF461" s="559"/>
      <c r="AG461" s="559"/>
    </row>
    <row r="462" spans="1:33" ht="18" x14ac:dyDescent="0.35">
      <c r="A462" s="559"/>
      <c r="B462" s="559"/>
      <c r="C462" s="559"/>
      <c r="D462" s="559"/>
      <c r="E462" s="559"/>
      <c r="F462" s="559"/>
      <c r="G462" s="559"/>
      <c r="H462" s="559"/>
      <c r="I462" s="559"/>
      <c r="J462" s="559"/>
      <c r="K462" s="559"/>
      <c r="L462" s="559"/>
      <c r="M462" s="559"/>
      <c r="N462" s="559"/>
      <c r="O462" s="559"/>
      <c r="P462" s="559"/>
      <c r="Q462" s="559"/>
      <c r="R462" s="559"/>
      <c r="S462" s="559"/>
      <c r="T462" s="559"/>
      <c r="U462" s="559"/>
      <c r="V462" s="559"/>
      <c r="W462" s="559"/>
      <c r="X462" s="559"/>
      <c r="Y462" s="559"/>
      <c r="Z462" s="559"/>
      <c r="AA462" s="559"/>
      <c r="AB462" s="559"/>
      <c r="AC462" s="559"/>
      <c r="AD462" s="559"/>
      <c r="AE462" s="559"/>
      <c r="AF462" s="559"/>
      <c r="AG462" s="559"/>
    </row>
    <row r="463" spans="1:33" ht="18" x14ac:dyDescent="0.35">
      <c r="A463" s="559"/>
      <c r="B463" s="559"/>
      <c r="C463" s="559"/>
      <c r="D463" s="559"/>
      <c r="E463" s="559"/>
      <c r="F463" s="559"/>
      <c r="G463" s="559"/>
      <c r="H463" s="559"/>
      <c r="I463" s="559"/>
      <c r="J463" s="559"/>
      <c r="K463" s="559"/>
      <c r="L463" s="559"/>
      <c r="M463" s="559"/>
      <c r="N463" s="559"/>
      <c r="O463" s="559"/>
      <c r="P463" s="559"/>
      <c r="Q463" s="559"/>
      <c r="R463" s="559"/>
      <c r="S463" s="559"/>
      <c r="T463" s="559"/>
      <c r="U463" s="559"/>
      <c r="V463" s="559"/>
      <c r="W463" s="559"/>
      <c r="X463" s="559"/>
      <c r="Y463" s="559"/>
      <c r="Z463" s="559"/>
      <c r="AA463" s="559"/>
      <c r="AB463" s="559"/>
      <c r="AC463" s="559"/>
      <c r="AD463" s="559"/>
      <c r="AE463" s="559"/>
      <c r="AF463" s="559"/>
      <c r="AG463" s="559"/>
    </row>
    <row r="464" spans="1:33" ht="18" x14ac:dyDescent="0.35">
      <c r="A464" s="559"/>
      <c r="B464" s="559"/>
      <c r="C464" s="559"/>
      <c r="D464" s="559"/>
      <c r="E464" s="559"/>
      <c r="F464" s="559"/>
      <c r="G464" s="559"/>
      <c r="H464" s="559"/>
      <c r="I464" s="559"/>
      <c r="J464" s="559"/>
      <c r="K464" s="559"/>
      <c r="L464" s="559"/>
      <c r="M464" s="559"/>
      <c r="N464" s="559"/>
      <c r="O464" s="559"/>
      <c r="P464" s="559"/>
      <c r="Q464" s="559"/>
      <c r="R464" s="559"/>
      <c r="S464" s="559"/>
      <c r="T464" s="559"/>
      <c r="U464" s="559"/>
      <c r="V464" s="559"/>
      <c r="W464" s="559"/>
      <c r="X464" s="559"/>
      <c r="Y464" s="559"/>
      <c r="Z464" s="559"/>
      <c r="AA464" s="559"/>
      <c r="AB464" s="559"/>
      <c r="AC464" s="559"/>
      <c r="AD464" s="559"/>
      <c r="AE464" s="559"/>
      <c r="AF464" s="559"/>
      <c r="AG464" s="559"/>
    </row>
    <row r="465" spans="1:33" ht="18" x14ac:dyDescent="0.35">
      <c r="A465" s="559"/>
      <c r="B465" s="559"/>
      <c r="C465" s="559"/>
      <c r="D465" s="559"/>
      <c r="E465" s="559"/>
      <c r="F465" s="559"/>
      <c r="G465" s="559"/>
      <c r="H465" s="559"/>
      <c r="I465" s="559"/>
      <c r="J465" s="559"/>
      <c r="K465" s="559"/>
      <c r="L465" s="559"/>
      <c r="M465" s="559"/>
      <c r="N465" s="559"/>
      <c r="O465" s="559"/>
      <c r="P465" s="559"/>
      <c r="Q465" s="559"/>
      <c r="R465" s="559"/>
      <c r="S465" s="559"/>
      <c r="T465" s="559"/>
      <c r="U465" s="559"/>
      <c r="V465" s="559"/>
      <c r="W465" s="559"/>
      <c r="X465" s="559"/>
      <c r="Y465" s="559"/>
      <c r="Z465" s="559"/>
      <c r="AA465" s="559"/>
      <c r="AB465" s="559"/>
      <c r="AC465" s="559"/>
      <c r="AD465" s="559"/>
      <c r="AE465" s="559"/>
      <c r="AF465" s="559"/>
      <c r="AG465" s="559"/>
    </row>
    <row r="466" spans="1:33" ht="18" x14ac:dyDescent="0.35">
      <c r="A466" s="559"/>
      <c r="B466" s="559"/>
      <c r="C466" s="559"/>
      <c r="D466" s="559"/>
      <c r="E466" s="559"/>
      <c r="F466" s="559"/>
      <c r="G466" s="559"/>
      <c r="H466" s="559"/>
      <c r="I466" s="559"/>
      <c r="J466" s="559"/>
      <c r="K466" s="559"/>
      <c r="L466" s="559"/>
      <c r="M466" s="559"/>
      <c r="N466" s="559"/>
      <c r="O466" s="559"/>
      <c r="P466" s="559"/>
      <c r="Q466" s="559"/>
      <c r="R466" s="559"/>
      <c r="S466" s="559"/>
      <c r="T466" s="559"/>
      <c r="U466" s="559"/>
      <c r="V466" s="559"/>
      <c r="W466" s="559"/>
      <c r="X466" s="559"/>
      <c r="Y466" s="559"/>
      <c r="Z466" s="559"/>
      <c r="AA466" s="559"/>
      <c r="AB466" s="559"/>
      <c r="AC466" s="559"/>
      <c r="AD466" s="559"/>
      <c r="AE466" s="559"/>
      <c r="AF466" s="559"/>
      <c r="AG466" s="559"/>
    </row>
    <row r="467" spans="1:33" ht="18" x14ac:dyDescent="0.35">
      <c r="A467" s="559"/>
      <c r="B467" s="559"/>
      <c r="C467" s="559"/>
      <c r="D467" s="559"/>
      <c r="E467" s="559"/>
      <c r="F467" s="559"/>
      <c r="G467" s="559"/>
      <c r="H467" s="559"/>
      <c r="I467" s="559"/>
      <c r="J467" s="559"/>
      <c r="K467" s="559"/>
      <c r="L467" s="559"/>
      <c r="M467" s="559"/>
      <c r="N467" s="559"/>
      <c r="O467" s="559"/>
      <c r="P467" s="559"/>
      <c r="Q467" s="559"/>
      <c r="R467" s="559"/>
      <c r="S467" s="559"/>
      <c r="T467" s="559"/>
      <c r="U467" s="559"/>
      <c r="V467" s="559"/>
      <c r="W467" s="559"/>
      <c r="X467" s="559"/>
      <c r="Y467" s="559"/>
      <c r="Z467" s="559"/>
      <c r="AA467" s="559"/>
      <c r="AB467" s="559"/>
      <c r="AC467" s="559"/>
      <c r="AD467" s="559"/>
      <c r="AE467" s="559"/>
      <c r="AF467" s="559"/>
      <c r="AG467" s="559"/>
    </row>
    <row r="468" spans="1:33" ht="18" x14ac:dyDescent="0.35">
      <c r="A468" s="559"/>
      <c r="B468" s="559"/>
      <c r="C468" s="559"/>
      <c r="D468" s="559"/>
      <c r="E468" s="559"/>
      <c r="F468" s="559"/>
      <c r="G468" s="559"/>
      <c r="H468" s="559"/>
      <c r="I468" s="559"/>
      <c r="J468" s="559"/>
      <c r="K468" s="559"/>
      <c r="L468" s="559"/>
      <c r="M468" s="559"/>
      <c r="N468" s="559"/>
      <c r="O468" s="559"/>
      <c r="P468" s="559"/>
      <c r="Q468" s="559"/>
      <c r="R468" s="559"/>
      <c r="S468" s="559"/>
      <c r="T468" s="559"/>
      <c r="U468" s="559"/>
      <c r="V468" s="559"/>
      <c r="W468" s="559"/>
      <c r="X468" s="559"/>
      <c r="Y468" s="559"/>
      <c r="Z468" s="559"/>
      <c r="AA468" s="559"/>
      <c r="AB468" s="559"/>
      <c r="AC468" s="559"/>
      <c r="AD468" s="559"/>
      <c r="AE468" s="559"/>
      <c r="AF468" s="559"/>
      <c r="AG468" s="559"/>
    </row>
    <row r="469" spans="1:33" ht="18" x14ac:dyDescent="0.35">
      <c r="A469" s="559"/>
      <c r="B469" s="559"/>
      <c r="C469" s="559"/>
      <c r="D469" s="559"/>
      <c r="E469" s="559"/>
      <c r="F469" s="559"/>
      <c r="G469" s="559"/>
      <c r="H469" s="559"/>
      <c r="I469" s="559"/>
      <c r="J469" s="559"/>
      <c r="K469" s="559"/>
      <c r="L469" s="559"/>
      <c r="M469" s="559"/>
      <c r="N469" s="559"/>
      <c r="O469" s="559"/>
      <c r="P469" s="559"/>
      <c r="Q469" s="559"/>
      <c r="R469" s="559"/>
      <c r="S469" s="559"/>
      <c r="T469" s="559"/>
      <c r="U469" s="559"/>
      <c r="V469" s="559"/>
      <c r="W469" s="559"/>
      <c r="X469" s="559"/>
      <c r="Y469" s="559"/>
      <c r="Z469" s="559"/>
      <c r="AA469" s="559"/>
      <c r="AB469" s="559"/>
      <c r="AC469" s="559"/>
      <c r="AD469" s="559"/>
      <c r="AE469" s="559"/>
      <c r="AF469" s="559"/>
      <c r="AG469" s="559"/>
    </row>
    <row r="470" spans="1:33" ht="18" x14ac:dyDescent="0.35">
      <c r="A470" s="559"/>
      <c r="B470" s="559"/>
      <c r="C470" s="559"/>
      <c r="D470" s="559"/>
      <c r="E470" s="559"/>
      <c r="F470" s="559"/>
      <c r="G470" s="559"/>
      <c r="H470" s="559"/>
      <c r="I470" s="559"/>
      <c r="J470" s="559"/>
      <c r="K470" s="559"/>
      <c r="L470" s="559"/>
      <c r="M470" s="559"/>
      <c r="N470" s="559"/>
      <c r="O470" s="559"/>
      <c r="P470" s="559"/>
      <c r="Q470" s="559"/>
      <c r="R470" s="559"/>
      <c r="S470" s="559"/>
      <c r="T470" s="559"/>
      <c r="U470" s="559"/>
      <c r="V470" s="559"/>
      <c r="W470" s="559"/>
      <c r="X470" s="559"/>
      <c r="Y470" s="559"/>
      <c r="Z470" s="559"/>
      <c r="AA470" s="559"/>
      <c r="AB470" s="559"/>
      <c r="AC470" s="559"/>
      <c r="AD470" s="559"/>
      <c r="AE470" s="559"/>
      <c r="AF470" s="559"/>
      <c r="AG470" s="559"/>
    </row>
    <row r="471" spans="1:33" ht="18" x14ac:dyDescent="0.35">
      <c r="A471" s="559"/>
      <c r="B471" s="559"/>
      <c r="C471" s="559"/>
      <c r="D471" s="559"/>
      <c r="E471" s="559"/>
      <c r="F471" s="559"/>
      <c r="G471" s="559"/>
      <c r="H471" s="559"/>
      <c r="I471" s="559"/>
      <c r="J471" s="559"/>
      <c r="K471" s="559"/>
      <c r="L471" s="559"/>
      <c r="M471" s="559"/>
      <c r="N471" s="559"/>
      <c r="O471" s="559"/>
      <c r="P471" s="559"/>
      <c r="Q471" s="559"/>
      <c r="R471" s="559"/>
      <c r="S471" s="559"/>
      <c r="T471" s="559"/>
      <c r="U471" s="559"/>
      <c r="V471" s="559"/>
      <c r="W471" s="559"/>
      <c r="X471" s="559"/>
      <c r="Y471" s="559"/>
      <c r="Z471" s="559"/>
      <c r="AA471" s="559"/>
      <c r="AB471" s="559"/>
      <c r="AC471" s="559"/>
      <c r="AD471" s="559"/>
      <c r="AE471" s="559"/>
      <c r="AF471" s="559"/>
      <c r="AG471" s="559"/>
    </row>
    <row r="472" spans="1:33" ht="18" x14ac:dyDescent="0.35">
      <c r="A472" s="559"/>
      <c r="B472" s="559"/>
      <c r="C472" s="559"/>
      <c r="D472" s="559"/>
      <c r="E472" s="559"/>
      <c r="F472" s="559"/>
      <c r="G472" s="559"/>
      <c r="H472" s="559"/>
      <c r="I472" s="559"/>
      <c r="J472" s="559"/>
      <c r="K472" s="559"/>
      <c r="L472" s="559"/>
      <c r="M472" s="559"/>
      <c r="N472" s="559"/>
      <c r="O472" s="559"/>
      <c r="P472" s="559"/>
      <c r="Q472" s="559"/>
      <c r="R472" s="559"/>
      <c r="S472" s="559"/>
      <c r="T472" s="559"/>
      <c r="U472" s="559"/>
      <c r="V472" s="559"/>
      <c r="W472" s="559"/>
      <c r="X472" s="559"/>
      <c r="Y472" s="559"/>
      <c r="Z472" s="559"/>
      <c r="AA472" s="559"/>
      <c r="AB472" s="559"/>
      <c r="AC472" s="559"/>
      <c r="AD472" s="559"/>
      <c r="AE472" s="559"/>
      <c r="AF472" s="559"/>
      <c r="AG472" s="559"/>
    </row>
    <row r="473" spans="1:33" ht="18" x14ac:dyDescent="0.35">
      <c r="A473" s="559"/>
      <c r="B473" s="559"/>
      <c r="C473" s="559"/>
      <c r="D473" s="559"/>
      <c r="E473" s="559"/>
      <c r="F473" s="559"/>
      <c r="G473" s="559"/>
      <c r="H473" s="559"/>
      <c r="I473" s="559"/>
      <c r="J473" s="559"/>
      <c r="K473" s="559"/>
      <c r="L473" s="559"/>
      <c r="M473" s="559"/>
      <c r="N473" s="559"/>
      <c r="O473" s="559"/>
      <c r="P473" s="559"/>
      <c r="Q473" s="559"/>
      <c r="R473" s="559"/>
      <c r="S473" s="559"/>
      <c r="T473" s="559"/>
      <c r="U473" s="559"/>
      <c r="V473" s="559"/>
      <c r="W473" s="559"/>
      <c r="X473" s="559"/>
      <c r="Y473" s="559"/>
      <c r="Z473" s="559"/>
      <c r="AA473" s="559"/>
      <c r="AB473" s="559"/>
      <c r="AC473" s="559"/>
      <c r="AD473" s="559"/>
      <c r="AE473" s="559"/>
      <c r="AF473" s="559"/>
      <c r="AG473" s="559"/>
    </row>
    <row r="474" spans="1:33" ht="18" x14ac:dyDescent="0.35">
      <c r="A474" s="559"/>
      <c r="B474" s="559"/>
      <c r="C474" s="559"/>
      <c r="D474" s="559"/>
      <c r="E474" s="559"/>
      <c r="F474" s="559"/>
      <c r="G474" s="559"/>
      <c r="H474" s="559"/>
      <c r="I474" s="559"/>
      <c r="J474" s="559"/>
      <c r="K474" s="559"/>
      <c r="L474" s="559"/>
      <c r="M474" s="559"/>
      <c r="N474" s="559"/>
      <c r="O474" s="559"/>
      <c r="P474" s="559"/>
      <c r="Q474" s="559"/>
      <c r="R474" s="559"/>
      <c r="S474" s="559"/>
      <c r="T474" s="559"/>
      <c r="U474" s="559"/>
      <c r="V474" s="559"/>
      <c r="W474" s="559"/>
      <c r="X474" s="559"/>
      <c r="Y474" s="559"/>
      <c r="Z474" s="559"/>
      <c r="AA474" s="559"/>
      <c r="AB474" s="559"/>
      <c r="AC474" s="559"/>
      <c r="AD474" s="559"/>
      <c r="AE474" s="559"/>
      <c r="AF474" s="559"/>
      <c r="AG474" s="559"/>
    </row>
    <row r="475" spans="1:33" ht="18" x14ac:dyDescent="0.35">
      <c r="A475" s="559"/>
      <c r="B475" s="559"/>
      <c r="C475" s="559"/>
      <c r="D475" s="559"/>
      <c r="E475" s="559"/>
      <c r="F475" s="559"/>
      <c r="G475" s="559"/>
      <c r="H475" s="559"/>
      <c r="I475" s="559"/>
      <c r="J475" s="559"/>
      <c r="K475" s="559"/>
      <c r="L475" s="559"/>
      <c r="M475" s="559"/>
      <c r="N475" s="559"/>
      <c r="O475" s="559"/>
      <c r="P475" s="559"/>
      <c r="Q475" s="559"/>
      <c r="R475" s="559"/>
      <c r="S475" s="559"/>
      <c r="T475" s="559"/>
      <c r="U475" s="559"/>
      <c r="V475" s="559"/>
      <c r="W475" s="559"/>
      <c r="X475" s="559"/>
      <c r="Y475" s="559"/>
      <c r="Z475" s="559"/>
      <c r="AA475" s="559"/>
      <c r="AB475" s="559"/>
      <c r="AC475" s="559"/>
      <c r="AD475" s="559"/>
      <c r="AE475" s="559"/>
      <c r="AF475" s="559"/>
      <c r="AG475" s="559"/>
    </row>
    <row r="476" spans="1:33" ht="18" x14ac:dyDescent="0.35">
      <c r="A476" s="559"/>
      <c r="B476" s="559"/>
      <c r="C476" s="559"/>
      <c r="D476" s="559"/>
      <c r="E476" s="559"/>
      <c r="F476" s="559"/>
      <c r="G476" s="559"/>
      <c r="H476" s="559"/>
      <c r="I476" s="559"/>
      <c r="J476" s="559"/>
      <c r="K476" s="559"/>
      <c r="L476" s="559"/>
      <c r="M476" s="559"/>
      <c r="N476" s="559"/>
      <c r="O476" s="559"/>
      <c r="P476" s="559"/>
      <c r="Q476" s="559"/>
      <c r="R476" s="559"/>
      <c r="S476" s="559"/>
      <c r="T476" s="559"/>
      <c r="U476" s="559"/>
      <c r="V476" s="559"/>
      <c r="W476" s="559"/>
      <c r="X476" s="559"/>
      <c r="Y476" s="559"/>
      <c r="Z476" s="559"/>
      <c r="AA476" s="559"/>
      <c r="AB476" s="559"/>
      <c r="AC476" s="559"/>
      <c r="AD476" s="559"/>
      <c r="AE476" s="559"/>
      <c r="AF476" s="559"/>
      <c r="AG476" s="559"/>
    </row>
    <row r="477" spans="1:33" ht="18" x14ac:dyDescent="0.35">
      <c r="A477" s="559"/>
      <c r="B477" s="559"/>
      <c r="C477" s="559"/>
      <c r="D477" s="559"/>
      <c r="E477" s="559"/>
      <c r="F477" s="559"/>
      <c r="G477" s="559"/>
      <c r="H477" s="559"/>
      <c r="I477" s="559"/>
      <c r="J477" s="559"/>
      <c r="K477" s="559"/>
      <c r="L477" s="559"/>
      <c r="M477" s="559"/>
      <c r="N477" s="559"/>
      <c r="O477" s="559"/>
      <c r="P477" s="559"/>
      <c r="Q477" s="559"/>
      <c r="R477" s="559"/>
      <c r="S477" s="559"/>
      <c r="T477" s="559"/>
      <c r="U477" s="559"/>
      <c r="V477" s="559"/>
      <c r="W477" s="559"/>
      <c r="X477" s="559"/>
      <c r="Y477" s="559"/>
      <c r="Z477" s="559"/>
      <c r="AA477" s="559"/>
      <c r="AB477" s="559"/>
      <c r="AC477" s="559"/>
      <c r="AD477" s="559"/>
      <c r="AE477" s="559"/>
      <c r="AF477" s="559"/>
      <c r="AG477" s="559"/>
    </row>
    <row r="478" spans="1:33" ht="18" x14ac:dyDescent="0.35">
      <c r="A478" s="559"/>
      <c r="B478" s="559"/>
      <c r="C478" s="559"/>
      <c r="D478" s="559"/>
      <c r="E478" s="559"/>
      <c r="F478" s="559"/>
      <c r="G478" s="559"/>
      <c r="H478" s="559"/>
      <c r="I478" s="559"/>
      <c r="J478" s="559"/>
      <c r="K478" s="559"/>
      <c r="L478" s="559"/>
      <c r="M478" s="559"/>
      <c r="N478" s="559"/>
      <c r="O478" s="559"/>
      <c r="P478" s="559"/>
      <c r="Q478" s="559"/>
      <c r="R478" s="559"/>
      <c r="S478" s="559"/>
      <c r="T478" s="559"/>
      <c r="U478" s="559"/>
      <c r="V478" s="559"/>
      <c r="W478" s="559"/>
      <c r="X478" s="559"/>
      <c r="Y478" s="559"/>
      <c r="Z478" s="559"/>
      <c r="AA478" s="559"/>
      <c r="AB478" s="559"/>
      <c r="AC478" s="559"/>
      <c r="AD478" s="559"/>
      <c r="AE478" s="559"/>
      <c r="AF478" s="559"/>
      <c r="AG478" s="559"/>
    </row>
    <row r="479" spans="1:33" ht="18" x14ac:dyDescent="0.35">
      <c r="A479" s="559"/>
      <c r="B479" s="559"/>
      <c r="C479" s="559"/>
      <c r="D479" s="559"/>
      <c r="E479" s="559"/>
      <c r="F479" s="559"/>
      <c r="G479" s="559"/>
      <c r="H479" s="559"/>
      <c r="I479" s="559"/>
      <c r="J479" s="559"/>
      <c r="K479" s="559"/>
      <c r="L479" s="559"/>
      <c r="M479" s="559"/>
      <c r="N479" s="559"/>
      <c r="O479" s="559"/>
      <c r="P479" s="559"/>
      <c r="Q479" s="559"/>
      <c r="R479" s="559"/>
      <c r="S479" s="559"/>
      <c r="T479" s="559"/>
      <c r="U479" s="559"/>
      <c r="V479" s="559"/>
      <c r="W479" s="559"/>
      <c r="X479" s="559"/>
      <c r="Y479" s="559"/>
      <c r="Z479" s="559"/>
      <c r="AA479" s="559"/>
      <c r="AB479" s="559"/>
      <c r="AC479" s="559"/>
      <c r="AD479" s="559"/>
      <c r="AE479" s="559"/>
      <c r="AF479" s="559"/>
      <c r="AG479" s="559"/>
    </row>
    <row r="480" spans="1:33" ht="18" x14ac:dyDescent="0.35">
      <c r="A480" s="559"/>
      <c r="B480" s="559"/>
      <c r="C480" s="559"/>
      <c r="D480" s="559"/>
      <c r="E480" s="559"/>
      <c r="F480" s="559"/>
      <c r="G480" s="559"/>
      <c r="H480" s="559"/>
      <c r="I480" s="559"/>
      <c r="J480" s="559"/>
      <c r="K480" s="559"/>
      <c r="L480" s="559"/>
      <c r="M480" s="559"/>
      <c r="N480" s="559"/>
      <c r="O480" s="559"/>
      <c r="P480" s="559"/>
      <c r="Q480" s="559"/>
      <c r="R480" s="559"/>
      <c r="S480" s="559"/>
      <c r="T480" s="559"/>
      <c r="U480" s="559"/>
      <c r="V480" s="559"/>
      <c r="W480" s="559"/>
      <c r="X480" s="559"/>
      <c r="Y480" s="559"/>
      <c r="Z480" s="559"/>
      <c r="AA480" s="559"/>
      <c r="AB480" s="559"/>
      <c r="AC480" s="559"/>
      <c r="AD480" s="559"/>
      <c r="AE480" s="559"/>
      <c r="AF480" s="559"/>
      <c r="AG480" s="559"/>
    </row>
    <row r="481" spans="1:33" ht="18" x14ac:dyDescent="0.35">
      <c r="A481" s="559"/>
      <c r="B481" s="559"/>
      <c r="C481" s="559"/>
      <c r="D481" s="559"/>
      <c r="E481" s="559"/>
      <c r="F481" s="559"/>
      <c r="G481" s="559"/>
      <c r="H481" s="559"/>
      <c r="I481" s="559"/>
      <c r="J481" s="559"/>
      <c r="K481" s="559"/>
      <c r="L481" s="559"/>
      <c r="M481" s="559"/>
      <c r="N481" s="559"/>
      <c r="O481" s="559"/>
      <c r="P481" s="559"/>
      <c r="Q481" s="559"/>
      <c r="R481" s="559"/>
      <c r="S481" s="559"/>
      <c r="T481" s="559"/>
      <c r="U481" s="559"/>
      <c r="V481" s="559"/>
      <c r="W481" s="559"/>
      <c r="X481" s="559"/>
      <c r="Y481" s="559"/>
      <c r="Z481" s="559"/>
      <c r="AA481" s="559"/>
      <c r="AB481" s="559"/>
      <c r="AC481" s="559"/>
      <c r="AD481" s="559"/>
      <c r="AE481" s="559"/>
      <c r="AF481" s="559"/>
      <c r="AG481" s="559"/>
    </row>
    <row r="482" spans="1:33" ht="18" x14ac:dyDescent="0.35">
      <c r="A482" s="559"/>
      <c r="B482" s="559"/>
      <c r="C482" s="559"/>
      <c r="D482" s="559"/>
      <c r="E482" s="559"/>
      <c r="F482" s="559"/>
      <c r="G482" s="559"/>
      <c r="H482" s="559"/>
      <c r="I482" s="559"/>
      <c r="J482" s="559"/>
      <c r="K482" s="559"/>
      <c r="L482" s="559"/>
      <c r="M482" s="559"/>
      <c r="N482" s="559"/>
      <c r="O482" s="559"/>
      <c r="P482" s="559"/>
      <c r="Q482" s="559"/>
      <c r="R482" s="559"/>
      <c r="S482" s="559"/>
      <c r="T482" s="559"/>
      <c r="U482" s="559"/>
      <c r="V482" s="559"/>
      <c r="W482" s="559"/>
      <c r="X482" s="559"/>
      <c r="Y482" s="559"/>
      <c r="Z482" s="559"/>
      <c r="AA482" s="559"/>
      <c r="AB482" s="559"/>
      <c r="AC482" s="559"/>
      <c r="AD482" s="559"/>
      <c r="AE482" s="559"/>
      <c r="AF482" s="559"/>
      <c r="AG482" s="559"/>
    </row>
    <row r="483" spans="1:33" ht="18" x14ac:dyDescent="0.35">
      <c r="A483" s="559"/>
      <c r="B483" s="559"/>
      <c r="C483" s="559"/>
      <c r="D483" s="559"/>
      <c r="E483" s="559"/>
      <c r="F483" s="559"/>
      <c r="G483" s="559"/>
      <c r="H483" s="559"/>
      <c r="I483" s="559"/>
      <c r="J483" s="559"/>
      <c r="K483" s="559"/>
      <c r="L483" s="559"/>
      <c r="M483" s="559"/>
      <c r="N483" s="559"/>
      <c r="O483" s="559"/>
      <c r="P483" s="559"/>
      <c r="Q483" s="559"/>
      <c r="R483" s="559"/>
      <c r="S483" s="559"/>
      <c r="T483" s="559"/>
      <c r="U483" s="559"/>
      <c r="V483" s="559"/>
      <c r="W483" s="559"/>
      <c r="X483" s="559"/>
      <c r="Y483" s="559"/>
      <c r="Z483" s="559"/>
      <c r="AA483" s="559"/>
      <c r="AB483" s="559"/>
      <c r="AC483" s="559"/>
      <c r="AD483" s="559"/>
      <c r="AE483" s="559"/>
      <c r="AF483" s="559"/>
      <c r="AG483" s="559"/>
    </row>
    <row r="484" spans="1:33" ht="18" x14ac:dyDescent="0.35">
      <c r="A484" s="559"/>
      <c r="B484" s="559"/>
      <c r="C484" s="559"/>
      <c r="D484" s="559"/>
      <c r="E484" s="559"/>
      <c r="F484" s="559"/>
      <c r="G484" s="559"/>
      <c r="H484" s="559"/>
      <c r="I484" s="559"/>
      <c r="J484" s="559"/>
      <c r="K484" s="559"/>
      <c r="L484" s="559"/>
      <c r="M484" s="559"/>
      <c r="N484" s="559"/>
      <c r="O484" s="559"/>
      <c r="P484" s="559"/>
      <c r="Q484" s="559"/>
      <c r="R484" s="559"/>
      <c r="S484" s="559"/>
      <c r="T484" s="559"/>
      <c r="U484" s="559"/>
      <c r="V484" s="559"/>
      <c r="W484" s="559"/>
      <c r="X484" s="559"/>
      <c r="Y484" s="559"/>
      <c r="Z484" s="559"/>
      <c r="AA484" s="559"/>
      <c r="AB484" s="559"/>
      <c r="AC484" s="559"/>
      <c r="AD484" s="559"/>
      <c r="AE484" s="559"/>
      <c r="AF484" s="559"/>
      <c r="AG484" s="559"/>
    </row>
    <row r="485" spans="1:33" ht="18" x14ac:dyDescent="0.35">
      <c r="A485" s="559"/>
      <c r="B485" s="559"/>
      <c r="C485" s="559"/>
      <c r="D485" s="559"/>
      <c r="E485" s="559"/>
      <c r="F485" s="559"/>
      <c r="G485" s="559"/>
      <c r="H485" s="559"/>
      <c r="I485" s="559"/>
      <c r="J485" s="559"/>
      <c r="K485" s="559"/>
      <c r="L485" s="559"/>
      <c r="M485" s="559"/>
      <c r="N485" s="559"/>
      <c r="O485" s="559"/>
      <c r="P485" s="559"/>
      <c r="Q485" s="559"/>
      <c r="R485" s="559"/>
      <c r="S485" s="559"/>
      <c r="T485" s="559"/>
      <c r="U485" s="559"/>
      <c r="V485" s="559"/>
      <c r="W485" s="559"/>
      <c r="X485" s="559"/>
      <c r="Y485" s="559"/>
      <c r="Z485" s="559"/>
      <c r="AA485" s="559"/>
      <c r="AB485" s="559"/>
      <c r="AC485" s="559"/>
      <c r="AD485" s="559"/>
      <c r="AE485" s="559"/>
      <c r="AF485" s="559"/>
      <c r="AG485" s="559"/>
    </row>
    <row r="486" spans="1:33" ht="18" x14ac:dyDescent="0.35">
      <c r="A486" s="559"/>
      <c r="B486" s="559"/>
      <c r="C486" s="559"/>
      <c r="D486" s="559"/>
      <c r="E486" s="559"/>
      <c r="F486" s="559"/>
      <c r="G486" s="559"/>
      <c r="H486" s="559"/>
      <c r="I486" s="559"/>
      <c r="J486" s="559"/>
      <c r="K486" s="559"/>
      <c r="L486" s="559"/>
      <c r="M486" s="559"/>
      <c r="N486" s="559"/>
      <c r="O486" s="559"/>
      <c r="P486" s="559"/>
      <c r="Q486" s="559"/>
      <c r="R486" s="559"/>
      <c r="S486" s="559"/>
      <c r="T486" s="559"/>
      <c r="U486" s="559"/>
      <c r="V486" s="559"/>
      <c r="W486" s="559"/>
      <c r="X486" s="559"/>
      <c r="Y486" s="559"/>
      <c r="Z486" s="559"/>
      <c r="AA486" s="559"/>
      <c r="AB486" s="559"/>
      <c r="AC486" s="559"/>
      <c r="AD486" s="559"/>
      <c r="AE486" s="559"/>
      <c r="AF486" s="559"/>
      <c r="AG486" s="559"/>
    </row>
    <row r="487" spans="1:33" ht="18" x14ac:dyDescent="0.35">
      <c r="A487" s="559"/>
      <c r="B487" s="559"/>
      <c r="C487" s="559"/>
      <c r="D487" s="559"/>
      <c r="E487" s="559"/>
      <c r="F487" s="559"/>
      <c r="G487" s="559"/>
      <c r="H487" s="559"/>
      <c r="I487" s="559"/>
      <c r="J487" s="559"/>
      <c r="K487" s="559"/>
      <c r="L487" s="559"/>
      <c r="M487" s="559"/>
      <c r="N487" s="559"/>
      <c r="O487" s="559"/>
      <c r="P487" s="559"/>
      <c r="Q487" s="559"/>
      <c r="R487" s="559"/>
      <c r="S487" s="559"/>
      <c r="T487" s="559"/>
      <c r="U487" s="559"/>
      <c r="V487" s="559"/>
      <c r="W487" s="559"/>
      <c r="X487" s="559"/>
      <c r="Y487" s="559"/>
      <c r="Z487" s="559"/>
      <c r="AA487" s="559"/>
      <c r="AB487" s="559"/>
      <c r="AC487" s="559"/>
      <c r="AD487" s="559"/>
      <c r="AE487" s="559"/>
      <c r="AF487" s="559"/>
      <c r="AG487" s="559"/>
    </row>
    <row r="488" spans="1:33" ht="18" x14ac:dyDescent="0.35">
      <c r="A488" s="559"/>
      <c r="B488" s="559"/>
      <c r="C488" s="559"/>
      <c r="D488" s="559"/>
      <c r="E488" s="559"/>
      <c r="F488" s="559"/>
      <c r="G488" s="559"/>
      <c r="H488" s="559"/>
      <c r="I488" s="559"/>
      <c r="J488" s="559"/>
      <c r="K488" s="559"/>
      <c r="L488" s="559"/>
      <c r="M488" s="559"/>
      <c r="N488" s="559"/>
      <c r="O488" s="559"/>
      <c r="P488" s="559"/>
      <c r="Q488" s="559"/>
      <c r="R488" s="559"/>
      <c r="S488" s="559"/>
      <c r="T488" s="559"/>
      <c r="U488" s="559"/>
      <c r="V488" s="559"/>
      <c r="W488" s="559"/>
      <c r="X488" s="559"/>
      <c r="Y488" s="559"/>
      <c r="Z488" s="559"/>
      <c r="AA488" s="559"/>
      <c r="AB488" s="559"/>
      <c r="AC488" s="559"/>
      <c r="AD488" s="559"/>
      <c r="AE488" s="559"/>
      <c r="AF488" s="559"/>
      <c r="AG488" s="559"/>
    </row>
    <row r="489" spans="1:33" ht="18" x14ac:dyDescent="0.35">
      <c r="A489" s="559"/>
      <c r="B489" s="559"/>
      <c r="C489" s="559"/>
      <c r="D489" s="559"/>
      <c r="E489" s="559"/>
      <c r="F489" s="559"/>
      <c r="G489" s="559"/>
      <c r="H489" s="559"/>
      <c r="I489" s="559"/>
      <c r="J489" s="559"/>
      <c r="K489" s="559"/>
      <c r="L489" s="559"/>
      <c r="M489" s="559"/>
      <c r="N489" s="559"/>
      <c r="O489" s="559"/>
      <c r="P489" s="559"/>
      <c r="Q489" s="559"/>
      <c r="R489" s="559"/>
      <c r="S489" s="559"/>
      <c r="T489" s="559"/>
      <c r="U489" s="559"/>
      <c r="V489" s="559"/>
      <c r="W489" s="559"/>
      <c r="X489" s="559"/>
      <c r="Y489" s="559"/>
      <c r="Z489" s="559"/>
      <c r="AA489" s="559"/>
      <c r="AB489" s="559"/>
      <c r="AC489" s="559"/>
      <c r="AD489" s="559"/>
      <c r="AE489" s="559"/>
      <c r="AF489" s="559"/>
      <c r="AG489" s="559"/>
    </row>
    <row r="490" spans="1:33" ht="18" x14ac:dyDescent="0.35">
      <c r="A490" s="559"/>
      <c r="B490" s="559"/>
      <c r="C490" s="559"/>
      <c r="D490" s="559"/>
      <c r="E490" s="559"/>
      <c r="F490" s="559"/>
      <c r="G490" s="559"/>
      <c r="H490" s="559"/>
      <c r="I490" s="559"/>
      <c r="J490" s="559"/>
      <c r="K490" s="559"/>
      <c r="L490" s="559"/>
      <c r="M490" s="559"/>
      <c r="N490" s="559"/>
      <c r="O490" s="559"/>
      <c r="P490" s="559"/>
      <c r="Q490" s="559"/>
      <c r="R490" s="559"/>
      <c r="S490" s="559"/>
      <c r="T490" s="559"/>
      <c r="U490" s="559"/>
      <c r="V490" s="559"/>
      <c r="W490" s="559"/>
      <c r="X490" s="559"/>
      <c r="Y490" s="559"/>
      <c r="Z490" s="559"/>
      <c r="AA490" s="559"/>
      <c r="AB490" s="559"/>
      <c r="AC490" s="559"/>
      <c r="AD490" s="559"/>
      <c r="AE490" s="559"/>
      <c r="AF490" s="559"/>
      <c r="AG490" s="559"/>
    </row>
    <row r="491" spans="1:33" ht="18" x14ac:dyDescent="0.35">
      <c r="A491" s="559"/>
      <c r="B491" s="559"/>
      <c r="C491" s="559"/>
      <c r="D491" s="559"/>
      <c r="E491" s="559"/>
      <c r="F491" s="559"/>
      <c r="G491" s="559"/>
      <c r="H491" s="559"/>
      <c r="I491" s="559"/>
      <c r="J491" s="559"/>
      <c r="K491" s="559"/>
      <c r="L491" s="559"/>
      <c r="M491" s="559"/>
      <c r="N491" s="559"/>
      <c r="O491" s="559"/>
      <c r="P491" s="559"/>
      <c r="Q491" s="559"/>
      <c r="R491" s="559"/>
      <c r="S491" s="559"/>
      <c r="T491" s="559"/>
      <c r="U491" s="559"/>
      <c r="V491" s="559"/>
      <c r="W491" s="559"/>
      <c r="X491" s="559"/>
      <c r="Y491" s="559"/>
      <c r="Z491" s="559"/>
      <c r="AA491" s="559"/>
      <c r="AB491" s="559"/>
      <c r="AC491" s="559"/>
      <c r="AD491" s="559"/>
      <c r="AE491" s="559"/>
      <c r="AF491" s="559"/>
      <c r="AG491" s="559"/>
    </row>
    <row r="492" spans="1:33" ht="18" x14ac:dyDescent="0.35">
      <c r="A492" s="559"/>
      <c r="B492" s="559"/>
      <c r="C492" s="559"/>
      <c r="D492" s="559"/>
      <c r="E492" s="559"/>
      <c r="F492" s="559"/>
      <c r="G492" s="559"/>
      <c r="H492" s="559"/>
      <c r="I492" s="559"/>
      <c r="J492" s="559"/>
      <c r="K492" s="559"/>
      <c r="L492" s="559"/>
      <c r="M492" s="559"/>
      <c r="N492" s="559"/>
      <c r="O492" s="559"/>
      <c r="P492" s="559"/>
      <c r="Q492" s="559"/>
      <c r="R492" s="559"/>
      <c r="S492" s="559"/>
      <c r="T492" s="559"/>
      <c r="U492" s="559"/>
      <c r="V492" s="559"/>
      <c r="W492" s="559"/>
      <c r="X492" s="559"/>
      <c r="Y492" s="559"/>
      <c r="Z492" s="559"/>
      <c r="AA492" s="559"/>
      <c r="AB492" s="559"/>
      <c r="AC492" s="559"/>
      <c r="AD492" s="559"/>
      <c r="AE492" s="559"/>
      <c r="AF492" s="559"/>
      <c r="AG492" s="559"/>
    </row>
    <row r="493" spans="1:33" ht="18" x14ac:dyDescent="0.35">
      <c r="A493" s="559"/>
      <c r="B493" s="559"/>
      <c r="C493" s="559"/>
      <c r="D493" s="559"/>
      <c r="E493" s="559"/>
      <c r="F493" s="559"/>
      <c r="G493" s="559"/>
      <c r="H493" s="559"/>
      <c r="I493" s="559"/>
      <c r="J493" s="559"/>
      <c r="K493" s="559"/>
      <c r="L493" s="559"/>
      <c r="M493" s="559"/>
      <c r="N493" s="559"/>
      <c r="O493" s="559"/>
      <c r="P493" s="559"/>
      <c r="Q493" s="559"/>
      <c r="R493" s="559"/>
      <c r="S493" s="559"/>
      <c r="T493" s="559"/>
      <c r="U493" s="559"/>
      <c r="V493" s="559"/>
      <c r="W493" s="559"/>
      <c r="X493" s="559"/>
      <c r="Y493" s="559"/>
      <c r="Z493" s="559"/>
      <c r="AA493" s="559"/>
      <c r="AB493" s="559"/>
      <c r="AC493" s="559"/>
      <c r="AD493" s="559"/>
      <c r="AE493" s="559"/>
      <c r="AF493" s="559"/>
      <c r="AG493" s="559"/>
    </row>
    <row r="494" spans="1:33" ht="18" x14ac:dyDescent="0.35">
      <c r="A494" s="559"/>
      <c r="B494" s="559"/>
      <c r="C494" s="559"/>
      <c r="D494" s="559"/>
      <c r="E494" s="559"/>
      <c r="F494" s="559"/>
      <c r="G494" s="559"/>
      <c r="H494" s="559"/>
      <c r="I494" s="559"/>
      <c r="J494" s="559"/>
      <c r="K494" s="559"/>
      <c r="L494" s="559"/>
      <c r="M494" s="559"/>
      <c r="N494" s="559"/>
      <c r="O494" s="559"/>
      <c r="P494" s="559"/>
      <c r="Q494" s="559"/>
      <c r="R494" s="559"/>
      <c r="S494" s="559"/>
      <c r="T494" s="559"/>
      <c r="U494" s="559"/>
      <c r="V494" s="559"/>
      <c r="W494" s="559"/>
      <c r="X494" s="559"/>
      <c r="Y494" s="559"/>
      <c r="Z494" s="559"/>
      <c r="AA494" s="559"/>
      <c r="AB494" s="559"/>
      <c r="AC494" s="559"/>
      <c r="AD494" s="559"/>
      <c r="AE494" s="559"/>
      <c r="AF494" s="559"/>
      <c r="AG494" s="559"/>
    </row>
    <row r="495" spans="1:33" ht="18" x14ac:dyDescent="0.35">
      <c r="A495" s="559"/>
      <c r="B495" s="559"/>
      <c r="C495" s="559"/>
      <c r="D495" s="559"/>
      <c r="E495" s="559"/>
      <c r="F495" s="559"/>
      <c r="G495" s="559"/>
      <c r="H495" s="559"/>
      <c r="I495" s="559"/>
      <c r="J495" s="559"/>
      <c r="K495" s="559"/>
      <c r="L495" s="559"/>
      <c r="M495" s="559"/>
      <c r="N495" s="559"/>
      <c r="O495" s="559"/>
      <c r="P495" s="559"/>
      <c r="Q495" s="559"/>
      <c r="R495" s="559"/>
      <c r="S495" s="559"/>
      <c r="T495" s="559"/>
      <c r="U495" s="559"/>
      <c r="V495" s="559"/>
      <c r="W495" s="559"/>
      <c r="X495" s="559"/>
      <c r="Y495" s="559"/>
      <c r="Z495" s="559"/>
      <c r="AA495" s="559"/>
      <c r="AB495" s="559"/>
      <c r="AC495" s="559"/>
      <c r="AD495" s="559"/>
      <c r="AE495" s="559"/>
      <c r="AF495" s="559"/>
      <c r="AG495" s="559"/>
    </row>
    <row r="496" spans="1:33" ht="18" x14ac:dyDescent="0.35">
      <c r="A496" s="559"/>
      <c r="B496" s="559"/>
      <c r="C496" s="559"/>
      <c r="D496" s="559"/>
      <c r="E496" s="559"/>
      <c r="F496" s="559"/>
      <c r="G496" s="559"/>
      <c r="H496" s="559"/>
      <c r="I496" s="559"/>
      <c r="J496" s="559"/>
      <c r="K496" s="559"/>
      <c r="L496" s="559"/>
      <c r="M496" s="559"/>
      <c r="N496" s="559"/>
      <c r="O496" s="559"/>
      <c r="P496" s="559"/>
      <c r="Q496" s="559"/>
      <c r="R496" s="559"/>
      <c r="S496" s="559"/>
      <c r="T496" s="559"/>
      <c r="U496" s="559"/>
      <c r="V496" s="559"/>
      <c r="W496" s="559"/>
      <c r="X496" s="559"/>
      <c r="Y496" s="559"/>
      <c r="Z496" s="559"/>
      <c r="AA496" s="559"/>
      <c r="AB496" s="559"/>
      <c r="AC496" s="559"/>
      <c r="AD496" s="559"/>
      <c r="AE496" s="559"/>
      <c r="AF496" s="559"/>
      <c r="AG496" s="559"/>
    </row>
    <row r="497" spans="1:33" ht="18" x14ac:dyDescent="0.35">
      <c r="A497" s="559"/>
      <c r="B497" s="559"/>
      <c r="C497" s="559"/>
      <c r="D497" s="559"/>
      <c r="E497" s="559"/>
      <c r="F497" s="559"/>
      <c r="G497" s="559"/>
      <c r="H497" s="559"/>
      <c r="I497" s="559"/>
      <c r="J497" s="559"/>
      <c r="K497" s="559"/>
      <c r="L497" s="559"/>
      <c r="M497" s="559"/>
      <c r="N497" s="559"/>
      <c r="O497" s="559"/>
      <c r="P497" s="559"/>
      <c r="Q497" s="559"/>
      <c r="R497" s="559"/>
      <c r="S497" s="559"/>
      <c r="T497" s="559"/>
      <c r="U497" s="559"/>
      <c r="V497" s="559"/>
      <c r="W497" s="559"/>
      <c r="X497" s="559"/>
      <c r="Y497" s="559"/>
      <c r="Z497" s="559"/>
      <c r="AA497" s="559"/>
      <c r="AB497" s="559"/>
      <c r="AC497" s="559"/>
      <c r="AD497" s="559"/>
      <c r="AE497" s="559"/>
      <c r="AF497" s="559"/>
      <c r="AG497" s="559"/>
    </row>
    <row r="498" spans="1:33" ht="18" x14ac:dyDescent="0.35">
      <c r="A498" s="559"/>
      <c r="B498" s="559"/>
      <c r="C498" s="559"/>
      <c r="D498" s="559"/>
      <c r="E498" s="559"/>
      <c r="F498" s="559"/>
      <c r="G498" s="559"/>
      <c r="H498" s="559"/>
      <c r="I498" s="559"/>
      <c r="J498" s="559"/>
      <c r="K498" s="559"/>
      <c r="L498" s="559"/>
      <c r="M498" s="559"/>
      <c r="N498" s="559"/>
      <c r="O498" s="559"/>
      <c r="P498" s="559"/>
      <c r="Q498" s="559"/>
      <c r="R498" s="559"/>
      <c r="S498" s="559"/>
      <c r="T498" s="559"/>
      <c r="U498" s="559"/>
      <c r="V498" s="559"/>
      <c r="W498" s="559"/>
      <c r="X498" s="559"/>
      <c r="Y498" s="559"/>
      <c r="Z498" s="559"/>
      <c r="AA498" s="559"/>
      <c r="AB498" s="559"/>
      <c r="AC498" s="559"/>
      <c r="AD498" s="559"/>
      <c r="AE498" s="559"/>
      <c r="AF498" s="559"/>
      <c r="AG498" s="559"/>
    </row>
    <row r="499" spans="1:33" ht="18" x14ac:dyDescent="0.35">
      <c r="A499" s="559"/>
      <c r="B499" s="559"/>
      <c r="C499" s="559"/>
      <c r="D499" s="559"/>
      <c r="E499" s="559"/>
      <c r="F499" s="559"/>
      <c r="G499" s="559"/>
      <c r="H499" s="559"/>
      <c r="I499" s="559"/>
      <c r="J499" s="559"/>
      <c r="K499" s="559"/>
      <c r="L499" s="559"/>
      <c r="M499" s="559"/>
      <c r="N499" s="559"/>
      <c r="O499" s="559"/>
      <c r="P499" s="559"/>
      <c r="Q499" s="559"/>
      <c r="R499" s="559"/>
      <c r="S499" s="559"/>
      <c r="T499" s="559"/>
      <c r="U499" s="559"/>
      <c r="V499" s="559"/>
      <c r="W499" s="559"/>
      <c r="X499" s="559"/>
      <c r="Y499" s="559"/>
      <c r="Z499" s="559"/>
      <c r="AA499" s="559"/>
      <c r="AB499" s="559"/>
      <c r="AC499" s="559"/>
      <c r="AD499" s="559"/>
      <c r="AE499" s="559"/>
      <c r="AF499" s="559"/>
      <c r="AG499" s="559"/>
    </row>
    <row r="500" spans="1:33" ht="18" x14ac:dyDescent="0.35">
      <c r="A500" s="559"/>
      <c r="B500" s="559"/>
      <c r="C500" s="559"/>
      <c r="D500" s="559"/>
      <c r="E500" s="559"/>
      <c r="F500" s="559"/>
      <c r="G500" s="559"/>
      <c r="H500" s="559"/>
      <c r="I500" s="559"/>
      <c r="J500" s="559"/>
      <c r="K500" s="559"/>
      <c r="L500" s="559"/>
      <c r="M500" s="559"/>
      <c r="N500" s="559"/>
      <c r="O500" s="559"/>
      <c r="P500" s="559"/>
      <c r="Q500" s="559"/>
      <c r="R500" s="559"/>
      <c r="S500" s="559"/>
      <c r="T500" s="559"/>
      <c r="U500" s="559"/>
      <c r="V500" s="559"/>
      <c r="W500" s="559"/>
      <c r="X500" s="559"/>
      <c r="Y500" s="559"/>
      <c r="Z500" s="559"/>
      <c r="AA500" s="559"/>
      <c r="AB500" s="559"/>
      <c r="AC500" s="559"/>
      <c r="AD500" s="559"/>
      <c r="AE500" s="559"/>
      <c r="AF500" s="559"/>
      <c r="AG500" s="559"/>
    </row>
    <row r="501" spans="1:33" ht="18" x14ac:dyDescent="0.35">
      <c r="A501" s="559"/>
      <c r="B501" s="559"/>
      <c r="C501" s="559"/>
      <c r="D501" s="559"/>
      <c r="E501" s="559"/>
      <c r="F501" s="559"/>
      <c r="G501" s="559"/>
      <c r="H501" s="559"/>
      <c r="I501" s="559"/>
      <c r="J501" s="559"/>
      <c r="K501" s="559"/>
      <c r="L501" s="559"/>
      <c r="M501" s="559"/>
      <c r="N501" s="559"/>
      <c r="O501" s="559"/>
      <c r="P501" s="559"/>
      <c r="Q501" s="559"/>
      <c r="R501" s="559"/>
      <c r="S501" s="559"/>
      <c r="T501" s="559"/>
      <c r="U501" s="559"/>
      <c r="V501" s="559"/>
      <c r="W501" s="559"/>
      <c r="X501" s="559"/>
      <c r="Y501" s="559"/>
      <c r="Z501" s="559"/>
      <c r="AA501" s="559"/>
      <c r="AB501" s="559"/>
      <c r="AC501" s="559"/>
      <c r="AD501" s="559"/>
      <c r="AE501" s="559"/>
      <c r="AF501" s="559"/>
      <c r="AG501" s="559"/>
    </row>
    <row r="502" spans="1:33" ht="18" x14ac:dyDescent="0.35">
      <c r="A502" s="559"/>
      <c r="B502" s="559"/>
      <c r="C502" s="559"/>
      <c r="D502" s="559"/>
      <c r="E502" s="559"/>
      <c r="F502" s="559"/>
      <c r="G502" s="559"/>
      <c r="H502" s="559"/>
      <c r="I502" s="559"/>
      <c r="J502" s="559"/>
      <c r="K502" s="559"/>
      <c r="L502" s="559"/>
      <c r="M502" s="559"/>
      <c r="N502" s="559"/>
      <c r="O502" s="559"/>
      <c r="P502" s="559"/>
      <c r="Q502" s="559"/>
      <c r="R502" s="559"/>
      <c r="S502" s="559"/>
      <c r="T502" s="559"/>
      <c r="U502" s="559"/>
      <c r="V502" s="559"/>
      <c r="W502" s="559"/>
      <c r="X502" s="559"/>
      <c r="Y502" s="559"/>
      <c r="Z502" s="559"/>
      <c r="AA502" s="559"/>
      <c r="AB502" s="559"/>
      <c r="AC502" s="559"/>
      <c r="AD502" s="559"/>
      <c r="AE502" s="559"/>
      <c r="AF502" s="559"/>
      <c r="AG502" s="559"/>
    </row>
    <row r="503" spans="1:33" ht="18" x14ac:dyDescent="0.35">
      <c r="A503" s="559"/>
      <c r="B503" s="559"/>
      <c r="C503" s="559"/>
      <c r="D503" s="559"/>
      <c r="E503" s="559"/>
      <c r="F503" s="559"/>
      <c r="G503" s="559"/>
      <c r="H503" s="559"/>
      <c r="I503" s="559"/>
      <c r="J503" s="559"/>
      <c r="K503" s="559"/>
      <c r="L503" s="559"/>
      <c r="M503" s="559"/>
      <c r="N503" s="559"/>
      <c r="O503" s="559"/>
      <c r="P503" s="559"/>
      <c r="Q503" s="559"/>
      <c r="R503" s="559"/>
      <c r="S503" s="559"/>
      <c r="T503" s="559"/>
      <c r="U503" s="559"/>
      <c r="V503" s="559"/>
      <c r="W503" s="559"/>
      <c r="X503" s="559"/>
      <c r="Y503" s="559"/>
      <c r="Z503" s="559"/>
      <c r="AA503" s="559"/>
      <c r="AB503" s="559"/>
      <c r="AC503" s="559"/>
      <c r="AD503" s="559"/>
      <c r="AE503" s="559"/>
      <c r="AF503" s="559"/>
      <c r="AG503" s="559"/>
    </row>
    <row r="504" spans="1:33" ht="18" x14ac:dyDescent="0.35">
      <c r="A504" s="559"/>
      <c r="B504" s="559"/>
      <c r="C504" s="559"/>
      <c r="D504" s="559"/>
      <c r="E504" s="559"/>
      <c r="F504" s="559"/>
      <c r="G504" s="559"/>
      <c r="H504" s="559"/>
      <c r="I504" s="559"/>
      <c r="J504" s="559"/>
      <c r="K504" s="559"/>
      <c r="L504" s="559"/>
      <c r="M504" s="559"/>
      <c r="N504" s="559"/>
      <c r="O504" s="559"/>
      <c r="P504" s="559"/>
      <c r="Q504" s="559"/>
      <c r="R504" s="559"/>
      <c r="S504" s="559"/>
      <c r="T504" s="559"/>
      <c r="U504" s="559"/>
      <c r="V504" s="559"/>
      <c r="W504" s="559"/>
      <c r="X504" s="559"/>
      <c r="Y504" s="559"/>
      <c r="Z504" s="559"/>
      <c r="AA504" s="559"/>
      <c r="AB504" s="559"/>
      <c r="AC504" s="559"/>
      <c r="AD504" s="559"/>
      <c r="AE504" s="559"/>
      <c r="AF504" s="559"/>
      <c r="AG504" s="559"/>
    </row>
    <row r="505" spans="1:33" ht="18" x14ac:dyDescent="0.35">
      <c r="A505" s="559"/>
      <c r="B505" s="559"/>
      <c r="C505" s="559"/>
      <c r="D505" s="559"/>
      <c r="E505" s="559"/>
      <c r="F505" s="559"/>
      <c r="G505" s="559"/>
      <c r="H505" s="559"/>
      <c r="I505" s="559"/>
      <c r="J505" s="559"/>
      <c r="K505" s="559"/>
      <c r="L505" s="559"/>
      <c r="M505" s="559"/>
      <c r="N505" s="559"/>
      <c r="O505" s="559"/>
      <c r="P505" s="559"/>
      <c r="Q505" s="559"/>
      <c r="R505" s="559"/>
      <c r="S505" s="559"/>
      <c r="T505" s="559"/>
      <c r="U505" s="559"/>
      <c r="V505" s="559"/>
      <c r="W505" s="559"/>
      <c r="X505" s="559"/>
      <c r="Y505" s="559"/>
      <c r="Z505" s="559"/>
      <c r="AA505" s="559"/>
      <c r="AB505" s="559"/>
      <c r="AC505" s="559"/>
      <c r="AD505" s="559"/>
      <c r="AE505" s="559"/>
      <c r="AF505" s="559"/>
      <c r="AG505" s="559"/>
    </row>
    <row r="506" spans="1:33" ht="18" x14ac:dyDescent="0.35">
      <c r="A506" s="559"/>
      <c r="B506" s="559"/>
      <c r="C506" s="559"/>
      <c r="D506" s="559"/>
      <c r="E506" s="559"/>
      <c r="F506" s="559"/>
      <c r="G506" s="559"/>
      <c r="H506" s="559"/>
      <c r="I506" s="559"/>
      <c r="J506" s="559"/>
      <c r="K506" s="559"/>
      <c r="L506" s="559"/>
      <c r="M506" s="559"/>
      <c r="N506" s="559"/>
      <c r="O506" s="559"/>
      <c r="P506" s="559"/>
      <c r="Q506" s="559"/>
      <c r="R506" s="559"/>
      <c r="S506" s="559"/>
      <c r="T506" s="559"/>
      <c r="U506" s="559"/>
      <c r="V506" s="559"/>
      <c r="W506" s="559"/>
      <c r="X506" s="559"/>
      <c r="Y506" s="559"/>
      <c r="Z506" s="559"/>
      <c r="AA506" s="559"/>
      <c r="AB506" s="559"/>
      <c r="AC506" s="559"/>
      <c r="AD506" s="559"/>
      <c r="AE506" s="559"/>
      <c r="AF506" s="559"/>
      <c r="AG506" s="559"/>
    </row>
    <row r="507" spans="1:33" ht="18" x14ac:dyDescent="0.35">
      <c r="A507" s="559"/>
      <c r="B507" s="559"/>
      <c r="C507" s="559"/>
      <c r="D507" s="559"/>
      <c r="E507" s="559"/>
      <c r="F507" s="559"/>
      <c r="G507" s="559"/>
      <c r="H507" s="559"/>
      <c r="I507" s="559"/>
      <c r="J507" s="559"/>
      <c r="K507" s="559"/>
      <c r="L507" s="559"/>
      <c r="M507" s="559"/>
      <c r="N507" s="559"/>
      <c r="O507" s="559"/>
      <c r="P507" s="559"/>
      <c r="Q507" s="559"/>
      <c r="R507" s="559"/>
      <c r="S507" s="559"/>
      <c r="T507" s="559"/>
      <c r="U507" s="559"/>
      <c r="V507" s="559"/>
      <c r="W507" s="559"/>
      <c r="X507" s="559"/>
      <c r="Y507" s="559"/>
      <c r="Z507" s="559"/>
      <c r="AA507" s="559"/>
      <c r="AB507" s="559"/>
      <c r="AC507" s="559"/>
      <c r="AD507" s="559"/>
      <c r="AE507" s="559"/>
      <c r="AF507" s="559"/>
      <c r="AG507" s="559"/>
    </row>
    <row r="508" spans="1:33" ht="18" x14ac:dyDescent="0.35">
      <c r="A508" s="559"/>
      <c r="B508" s="559"/>
      <c r="C508" s="559"/>
      <c r="D508" s="559"/>
      <c r="E508" s="559"/>
      <c r="F508" s="559"/>
      <c r="G508" s="559"/>
      <c r="H508" s="559"/>
      <c r="I508" s="559"/>
      <c r="J508" s="559"/>
      <c r="K508" s="559"/>
      <c r="L508" s="559"/>
      <c r="M508" s="559"/>
      <c r="N508" s="559"/>
      <c r="O508" s="559"/>
      <c r="P508" s="559"/>
      <c r="Q508" s="559"/>
      <c r="R508" s="559"/>
      <c r="S508" s="559"/>
      <c r="T508" s="559"/>
      <c r="U508" s="559"/>
      <c r="V508" s="559"/>
      <c r="W508" s="559"/>
      <c r="X508" s="559"/>
      <c r="Y508" s="559"/>
      <c r="Z508" s="559"/>
      <c r="AA508" s="559"/>
      <c r="AB508" s="559"/>
      <c r="AC508" s="559"/>
      <c r="AD508" s="559"/>
      <c r="AE508" s="559"/>
      <c r="AF508" s="559"/>
      <c r="AG508" s="559"/>
    </row>
    <row r="509" spans="1:33" ht="18" x14ac:dyDescent="0.35">
      <c r="A509" s="559"/>
      <c r="B509" s="559"/>
      <c r="C509" s="559"/>
      <c r="D509" s="559"/>
      <c r="E509" s="559"/>
      <c r="F509" s="559"/>
      <c r="G509" s="559"/>
      <c r="H509" s="559"/>
      <c r="I509" s="559"/>
      <c r="J509" s="559"/>
      <c r="K509" s="559"/>
      <c r="L509" s="559"/>
      <c r="M509" s="559"/>
      <c r="N509" s="559"/>
      <c r="O509" s="559"/>
      <c r="P509" s="559"/>
      <c r="Q509" s="559"/>
      <c r="R509" s="559"/>
      <c r="S509" s="559"/>
      <c r="T509" s="559"/>
      <c r="U509" s="559"/>
      <c r="V509" s="559"/>
      <c r="W509" s="559"/>
      <c r="X509" s="559"/>
      <c r="Y509" s="559"/>
      <c r="Z509" s="559"/>
      <c r="AA509" s="559"/>
      <c r="AB509" s="559"/>
      <c r="AC509" s="559"/>
      <c r="AD509" s="559"/>
      <c r="AE509" s="559"/>
      <c r="AF509" s="559"/>
      <c r="AG509" s="559"/>
    </row>
    <row r="510" spans="1:33" ht="18" x14ac:dyDescent="0.35">
      <c r="A510" s="559"/>
      <c r="B510" s="559"/>
      <c r="C510" s="559"/>
      <c r="D510" s="559"/>
      <c r="E510" s="559"/>
      <c r="F510" s="559"/>
      <c r="G510" s="559"/>
      <c r="H510" s="559"/>
      <c r="I510" s="559"/>
      <c r="J510" s="559"/>
      <c r="K510" s="559"/>
      <c r="L510" s="559"/>
      <c r="M510" s="559"/>
      <c r="N510" s="559"/>
      <c r="O510" s="559"/>
      <c r="P510" s="559"/>
      <c r="Q510" s="559"/>
      <c r="R510" s="559"/>
      <c r="S510" s="559"/>
      <c r="T510" s="559"/>
      <c r="U510" s="559"/>
      <c r="V510" s="559"/>
      <c r="W510" s="559"/>
      <c r="X510" s="559"/>
      <c r="Y510" s="559"/>
      <c r="Z510" s="559"/>
      <c r="AA510" s="559"/>
      <c r="AB510" s="559"/>
      <c r="AC510" s="559"/>
      <c r="AD510" s="559"/>
      <c r="AE510" s="559"/>
      <c r="AF510" s="559"/>
      <c r="AG510" s="559"/>
    </row>
    <row r="511" spans="1:33" ht="18" x14ac:dyDescent="0.35">
      <c r="A511" s="559"/>
      <c r="B511" s="559"/>
      <c r="C511" s="559"/>
      <c r="D511" s="559"/>
      <c r="E511" s="559"/>
      <c r="F511" s="559"/>
      <c r="G511" s="559"/>
      <c r="H511" s="559"/>
      <c r="I511" s="559"/>
      <c r="J511" s="559"/>
      <c r="K511" s="559"/>
      <c r="L511" s="559"/>
      <c r="M511" s="559"/>
      <c r="N511" s="559"/>
      <c r="O511" s="559"/>
      <c r="P511" s="559"/>
      <c r="Q511" s="559"/>
      <c r="R511" s="559"/>
      <c r="S511" s="559"/>
      <c r="T511" s="559"/>
      <c r="U511" s="559"/>
      <c r="V511" s="559"/>
      <c r="W511" s="559"/>
      <c r="X511" s="559"/>
      <c r="Y511" s="559"/>
      <c r="Z511" s="559"/>
      <c r="AA511" s="559"/>
      <c r="AB511" s="559"/>
      <c r="AC511" s="559"/>
      <c r="AD511" s="559"/>
      <c r="AE511" s="559"/>
      <c r="AF511" s="559"/>
      <c r="AG511" s="559"/>
    </row>
    <row r="512" spans="1:33" ht="18" x14ac:dyDescent="0.35">
      <c r="A512" s="559"/>
      <c r="B512" s="559"/>
      <c r="C512" s="559"/>
      <c r="D512" s="559"/>
      <c r="E512" s="559"/>
      <c r="F512" s="559"/>
      <c r="G512" s="559"/>
      <c r="H512" s="559"/>
      <c r="I512" s="559"/>
      <c r="J512" s="559"/>
      <c r="K512" s="559"/>
      <c r="L512" s="559"/>
      <c r="M512" s="559"/>
      <c r="N512" s="559"/>
      <c r="O512" s="559"/>
      <c r="P512" s="559"/>
      <c r="Q512" s="559"/>
      <c r="R512" s="559"/>
      <c r="S512" s="559"/>
      <c r="T512" s="559"/>
      <c r="U512" s="559"/>
      <c r="V512" s="559"/>
      <c r="W512" s="559"/>
      <c r="X512" s="559"/>
      <c r="Y512" s="559"/>
      <c r="Z512" s="559"/>
      <c r="AA512" s="559"/>
      <c r="AB512" s="559"/>
      <c r="AC512" s="559"/>
      <c r="AD512" s="559"/>
      <c r="AE512" s="559"/>
      <c r="AF512" s="559"/>
      <c r="AG512" s="559"/>
    </row>
    <row r="513" spans="1:33" ht="18" x14ac:dyDescent="0.35">
      <c r="A513" s="559"/>
      <c r="B513" s="559"/>
      <c r="C513" s="559"/>
      <c r="D513" s="559"/>
      <c r="E513" s="559"/>
      <c r="F513" s="559"/>
      <c r="G513" s="559"/>
      <c r="H513" s="559"/>
      <c r="I513" s="559"/>
      <c r="J513" s="559"/>
      <c r="K513" s="559"/>
      <c r="L513" s="559"/>
      <c r="M513" s="559"/>
      <c r="N513" s="559"/>
      <c r="O513" s="559"/>
      <c r="P513" s="559"/>
      <c r="Q513" s="559"/>
      <c r="R513" s="559"/>
      <c r="S513" s="559"/>
      <c r="T513" s="559"/>
      <c r="U513" s="559"/>
      <c r="V513" s="559"/>
      <c r="W513" s="559"/>
      <c r="X513" s="559"/>
      <c r="Y513" s="559"/>
      <c r="Z513" s="559"/>
      <c r="AA513" s="559"/>
      <c r="AB513" s="559"/>
      <c r="AC513" s="559"/>
      <c r="AD513" s="559"/>
      <c r="AE513" s="559"/>
      <c r="AF513" s="559"/>
      <c r="AG513" s="559"/>
    </row>
    <row r="514" spans="1:33" ht="18" x14ac:dyDescent="0.35">
      <c r="A514" s="559"/>
      <c r="B514" s="559"/>
      <c r="C514" s="559"/>
      <c r="D514" s="559"/>
      <c r="E514" s="559"/>
      <c r="F514" s="559"/>
      <c r="G514" s="559"/>
      <c r="H514" s="559"/>
      <c r="I514" s="559"/>
      <c r="J514" s="559"/>
      <c r="K514" s="559"/>
      <c r="L514" s="559"/>
      <c r="M514" s="559"/>
      <c r="N514" s="559"/>
      <c r="O514" s="559"/>
      <c r="P514" s="559"/>
      <c r="Q514" s="559"/>
      <c r="R514" s="559"/>
      <c r="S514" s="559"/>
      <c r="T514" s="559"/>
      <c r="U514" s="559"/>
      <c r="V514" s="559"/>
      <c r="W514" s="559"/>
      <c r="X514" s="559"/>
      <c r="Y514" s="559"/>
      <c r="Z514" s="559"/>
      <c r="AA514" s="559"/>
      <c r="AB514" s="559"/>
      <c r="AC514" s="559"/>
      <c r="AD514" s="559"/>
      <c r="AE514" s="559"/>
      <c r="AF514" s="559"/>
      <c r="AG514" s="559"/>
    </row>
    <row r="515" spans="1:33" ht="18" x14ac:dyDescent="0.35">
      <c r="A515" s="559"/>
      <c r="B515" s="559"/>
      <c r="C515" s="559"/>
      <c r="D515" s="559"/>
      <c r="E515" s="559"/>
      <c r="F515" s="559"/>
      <c r="G515" s="559"/>
      <c r="H515" s="559"/>
      <c r="I515" s="559"/>
      <c r="J515" s="559"/>
      <c r="K515" s="559"/>
      <c r="L515" s="559"/>
      <c r="M515" s="559"/>
      <c r="N515" s="559"/>
      <c r="O515" s="559"/>
      <c r="P515" s="559"/>
      <c r="Q515" s="559"/>
      <c r="R515" s="559"/>
      <c r="S515" s="559"/>
      <c r="T515" s="559"/>
      <c r="U515" s="559"/>
      <c r="V515" s="559"/>
      <c r="W515" s="559"/>
      <c r="X515" s="559"/>
      <c r="Y515" s="559"/>
      <c r="Z515" s="559"/>
      <c r="AA515" s="559"/>
      <c r="AB515" s="559"/>
      <c r="AC515" s="559"/>
      <c r="AD515" s="559"/>
      <c r="AE515" s="559"/>
      <c r="AF515" s="559"/>
      <c r="AG515" s="559"/>
    </row>
    <row r="516" spans="1:33" ht="18" x14ac:dyDescent="0.35">
      <c r="A516" s="559"/>
      <c r="B516" s="559"/>
      <c r="C516" s="559"/>
      <c r="D516" s="559"/>
      <c r="E516" s="559"/>
      <c r="F516" s="559"/>
      <c r="G516" s="559"/>
      <c r="H516" s="559"/>
      <c r="I516" s="559"/>
      <c r="J516" s="559"/>
      <c r="K516" s="559"/>
      <c r="L516" s="559"/>
      <c r="M516" s="559"/>
      <c r="N516" s="559"/>
      <c r="O516" s="559"/>
      <c r="P516" s="559"/>
      <c r="Q516" s="559"/>
      <c r="R516" s="559"/>
      <c r="S516" s="559"/>
      <c r="T516" s="559"/>
      <c r="U516" s="559"/>
      <c r="V516" s="559"/>
      <c r="W516" s="559"/>
      <c r="X516" s="559"/>
      <c r="Y516" s="559"/>
      <c r="Z516" s="559"/>
      <c r="AA516" s="559"/>
      <c r="AB516" s="559"/>
      <c r="AC516" s="559"/>
      <c r="AD516" s="559"/>
      <c r="AE516" s="559"/>
      <c r="AF516" s="559"/>
      <c r="AG516" s="559"/>
    </row>
    <row r="517" spans="1:33" ht="18" x14ac:dyDescent="0.35">
      <c r="A517" s="559"/>
      <c r="B517" s="559"/>
      <c r="C517" s="559"/>
      <c r="D517" s="559"/>
      <c r="E517" s="559"/>
      <c r="F517" s="559"/>
      <c r="G517" s="559"/>
      <c r="H517" s="559"/>
      <c r="I517" s="559"/>
      <c r="J517" s="559"/>
      <c r="K517" s="559"/>
      <c r="L517" s="559"/>
      <c r="M517" s="559"/>
      <c r="N517" s="559"/>
      <c r="O517" s="559"/>
      <c r="P517" s="559"/>
      <c r="Q517" s="559"/>
      <c r="R517" s="559"/>
      <c r="S517" s="559"/>
      <c r="T517" s="559"/>
      <c r="U517" s="559"/>
      <c r="V517" s="559"/>
      <c r="W517" s="559"/>
      <c r="X517" s="559"/>
      <c r="Y517" s="559"/>
      <c r="Z517" s="559"/>
      <c r="AA517" s="559"/>
      <c r="AB517" s="559"/>
      <c r="AC517" s="559"/>
      <c r="AD517" s="559"/>
      <c r="AE517" s="559"/>
      <c r="AF517" s="559"/>
      <c r="AG517" s="559"/>
    </row>
    <row r="518" spans="1:33" ht="18" x14ac:dyDescent="0.35">
      <c r="A518" s="559"/>
      <c r="B518" s="559"/>
      <c r="C518" s="559"/>
      <c r="D518" s="559"/>
      <c r="E518" s="559"/>
      <c r="F518" s="559"/>
      <c r="G518" s="559"/>
      <c r="H518" s="559"/>
      <c r="I518" s="559"/>
      <c r="J518" s="559"/>
      <c r="K518" s="559"/>
      <c r="L518" s="559"/>
      <c r="M518" s="559"/>
      <c r="N518" s="559"/>
      <c r="O518" s="559"/>
      <c r="P518" s="559"/>
      <c r="Q518" s="559"/>
      <c r="R518" s="559"/>
      <c r="S518" s="559"/>
      <c r="T518" s="559"/>
      <c r="U518" s="559"/>
      <c r="V518" s="559"/>
      <c r="W518" s="559"/>
      <c r="X518" s="559"/>
      <c r="Y518" s="559"/>
      <c r="Z518" s="559"/>
      <c r="AA518" s="559"/>
      <c r="AB518" s="559"/>
      <c r="AC518" s="559"/>
      <c r="AD518" s="559"/>
      <c r="AE518" s="559"/>
      <c r="AF518" s="559"/>
      <c r="AG518" s="559"/>
    </row>
    <row r="519" spans="1:33" ht="18" x14ac:dyDescent="0.35">
      <c r="A519" s="559"/>
      <c r="B519" s="559"/>
      <c r="C519" s="559"/>
      <c r="D519" s="559"/>
      <c r="E519" s="559"/>
      <c r="F519" s="559"/>
      <c r="G519" s="559"/>
      <c r="H519" s="559"/>
      <c r="I519" s="559"/>
      <c r="J519" s="559"/>
      <c r="K519" s="559"/>
      <c r="L519" s="559"/>
      <c r="M519" s="559"/>
      <c r="N519" s="559"/>
      <c r="O519" s="559"/>
      <c r="P519" s="559"/>
      <c r="Q519" s="559"/>
      <c r="R519" s="559"/>
      <c r="S519" s="559"/>
      <c r="T519" s="559"/>
      <c r="U519" s="559"/>
      <c r="V519" s="559"/>
      <c r="W519" s="559"/>
      <c r="X519" s="559"/>
      <c r="Y519" s="559"/>
      <c r="Z519" s="559"/>
      <c r="AA519" s="559"/>
      <c r="AB519" s="559"/>
      <c r="AC519" s="559"/>
      <c r="AD519" s="559"/>
      <c r="AE519" s="559"/>
      <c r="AF519" s="559"/>
      <c r="AG519" s="559"/>
    </row>
    <row r="520" spans="1:33" ht="18" x14ac:dyDescent="0.35">
      <c r="A520" s="559"/>
      <c r="B520" s="559"/>
      <c r="C520" s="559"/>
      <c r="D520" s="559"/>
      <c r="E520" s="559"/>
      <c r="F520" s="559"/>
      <c r="G520" s="559"/>
      <c r="H520" s="559"/>
      <c r="I520" s="559"/>
      <c r="J520" s="559"/>
      <c r="K520" s="559"/>
      <c r="L520" s="559"/>
      <c r="M520" s="559"/>
      <c r="N520" s="559"/>
      <c r="O520" s="559"/>
      <c r="P520" s="559"/>
      <c r="Q520" s="559"/>
      <c r="R520" s="559"/>
      <c r="S520" s="559"/>
      <c r="T520" s="559"/>
      <c r="U520" s="559"/>
      <c r="V520" s="559"/>
      <c r="W520" s="559"/>
      <c r="X520" s="559"/>
      <c r="Y520" s="559"/>
      <c r="Z520" s="559"/>
      <c r="AA520" s="559"/>
      <c r="AB520" s="559"/>
      <c r="AC520" s="559"/>
      <c r="AD520" s="559"/>
      <c r="AE520" s="559"/>
      <c r="AF520" s="559"/>
      <c r="AG520" s="559"/>
    </row>
    <row r="521" spans="1:33" ht="18" x14ac:dyDescent="0.35">
      <c r="A521" s="559"/>
      <c r="B521" s="559"/>
      <c r="C521" s="559"/>
      <c r="D521" s="559"/>
      <c r="E521" s="559"/>
      <c r="F521" s="559"/>
      <c r="G521" s="559"/>
      <c r="H521" s="559"/>
      <c r="I521" s="559"/>
      <c r="J521" s="559"/>
      <c r="K521" s="559"/>
      <c r="L521" s="559"/>
      <c r="M521" s="559"/>
      <c r="N521" s="559"/>
      <c r="O521" s="559"/>
      <c r="P521" s="559"/>
      <c r="Q521" s="559"/>
      <c r="R521" s="559"/>
      <c r="S521" s="559"/>
      <c r="T521" s="559"/>
      <c r="U521" s="559"/>
      <c r="V521" s="559"/>
      <c r="W521" s="559"/>
      <c r="X521" s="559"/>
      <c r="Y521" s="559"/>
      <c r="Z521" s="559"/>
      <c r="AA521" s="559"/>
      <c r="AB521" s="559"/>
      <c r="AC521" s="559"/>
      <c r="AD521" s="559"/>
      <c r="AE521" s="559"/>
      <c r="AF521" s="559"/>
      <c r="AG521" s="559"/>
    </row>
    <row r="522" spans="1:33" ht="18" x14ac:dyDescent="0.35">
      <c r="A522" s="559"/>
      <c r="B522" s="559"/>
      <c r="C522" s="559"/>
      <c r="D522" s="559"/>
      <c r="E522" s="559"/>
      <c r="F522" s="559"/>
      <c r="G522" s="559"/>
      <c r="H522" s="559"/>
      <c r="I522" s="559"/>
      <c r="J522" s="559"/>
      <c r="K522" s="559"/>
      <c r="L522" s="559"/>
      <c r="M522" s="559"/>
      <c r="N522" s="559"/>
      <c r="O522" s="559"/>
      <c r="P522" s="559"/>
      <c r="Q522" s="559"/>
      <c r="R522" s="559"/>
      <c r="S522" s="559"/>
      <c r="T522" s="559"/>
      <c r="U522" s="559"/>
      <c r="V522" s="559"/>
      <c r="W522" s="559"/>
      <c r="X522" s="559"/>
      <c r="Y522" s="559"/>
      <c r="Z522" s="559"/>
      <c r="AA522" s="559"/>
      <c r="AB522" s="559"/>
      <c r="AC522" s="559"/>
      <c r="AD522" s="559"/>
      <c r="AE522" s="559"/>
      <c r="AF522" s="559"/>
      <c r="AG522" s="559"/>
    </row>
    <row r="523" spans="1:33" ht="18" x14ac:dyDescent="0.35">
      <c r="A523" s="559"/>
      <c r="B523" s="559"/>
      <c r="C523" s="559"/>
      <c r="D523" s="559"/>
      <c r="E523" s="559"/>
      <c r="F523" s="559"/>
      <c r="G523" s="559"/>
      <c r="H523" s="559"/>
      <c r="I523" s="559"/>
      <c r="J523" s="559"/>
      <c r="K523" s="559"/>
      <c r="L523" s="559"/>
      <c r="M523" s="559"/>
      <c r="N523" s="559"/>
      <c r="O523" s="559"/>
      <c r="P523" s="559"/>
      <c r="Q523" s="559"/>
      <c r="R523" s="559"/>
      <c r="S523" s="559"/>
      <c r="T523" s="559"/>
      <c r="U523" s="559"/>
      <c r="V523" s="559"/>
      <c r="W523" s="559"/>
      <c r="X523" s="559"/>
      <c r="Y523" s="559"/>
      <c r="Z523" s="559"/>
      <c r="AA523" s="559"/>
      <c r="AB523" s="559"/>
      <c r="AC523" s="559"/>
      <c r="AD523" s="559"/>
      <c r="AE523" s="559"/>
      <c r="AF523" s="559"/>
      <c r="AG523" s="559"/>
    </row>
    <row r="524" spans="1:33" ht="18" x14ac:dyDescent="0.35">
      <c r="A524" s="559"/>
      <c r="B524" s="559"/>
      <c r="C524" s="559"/>
      <c r="D524" s="559"/>
      <c r="E524" s="559"/>
      <c r="F524" s="559"/>
      <c r="G524" s="559"/>
      <c r="H524" s="559"/>
      <c r="I524" s="559"/>
      <c r="J524" s="559"/>
      <c r="K524" s="559"/>
      <c r="L524" s="559"/>
      <c r="M524" s="559"/>
      <c r="N524" s="559"/>
      <c r="O524" s="559"/>
      <c r="P524" s="559"/>
      <c r="Q524" s="559"/>
      <c r="R524" s="559"/>
      <c r="S524" s="559"/>
      <c r="T524" s="559"/>
      <c r="U524" s="559"/>
      <c r="V524" s="559"/>
      <c r="W524" s="559"/>
      <c r="X524" s="559"/>
      <c r="Y524" s="559"/>
      <c r="Z524" s="559"/>
      <c r="AA524" s="559"/>
      <c r="AB524" s="559"/>
      <c r="AC524" s="559"/>
      <c r="AD524" s="559"/>
      <c r="AE524" s="559"/>
      <c r="AF524" s="559"/>
      <c r="AG524" s="559"/>
    </row>
    <row r="525" spans="1:33" ht="18" x14ac:dyDescent="0.35">
      <c r="A525" s="559"/>
      <c r="B525" s="559"/>
      <c r="C525" s="559"/>
      <c r="D525" s="559"/>
      <c r="E525" s="559"/>
      <c r="F525" s="559"/>
      <c r="G525" s="559"/>
      <c r="H525" s="559"/>
      <c r="I525" s="559"/>
      <c r="J525" s="559"/>
      <c r="K525" s="559"/>
      <c r="L525" s="559"/>
      <c r="M525" s="559"/>
      <c r="N525" s="559"/>
      <c r="O525" s="559"/>
      <c r="P525" s="559"/>
      <c r="Q525" s="559"/>
      <c r="R525" s="559"/>
      <c r="S525" s="559"/>
      <c r="T525" s="559"/>
      <c r="U525" s="559"/>
      <c r="V525" s="559"/>
      <c r="W525" s="559"/>
      <c r="X525" s="559"/>
      <c r="Y525" s="559"/>
      <c r="Z525" s="559"/>
      <c r="AA525" s="559"/>
      <c r="AB525" s="559"/>
      <c r="AC525" s="559"/>
      <c r="AD525" s="559"/>
      <c r="AE525" s="559"/>
      <c r="AF525" s="559"/>
      <c r="AG525" s="559"/>
    </row>
    <row r="526" spans="1:33" ht="18" x14ac:dyDescent="0.35">
      <c r="A526" s="559"/>
      <c r="B526" s="559"/>
      <c r="C526" s="559"/>
      <c r="D526" s="559"/>
      <c r="E526" s="559"/>
      <c r="F526" s="559"/>
      <c r="G526" s="559"/>
      <c r="H526" s="559"/>
      <c r="I526" s="559"/>
      <c r="J526" s="559"/>
      <c r="K526" s="559"/>
      <c r="L526" s="559"/>
      <c r="M526" s="559"/>
      <c r="N526" s="559"/>
      <c r="O526" s="559"/>
      <c r="P526" s="559"/>
      <c r="Q526" s="559"/>
      <c r="R526" s="559"/>
      <c r="S526" s="559"/>
      <c r="T526" s="559"/>
      <c r="U526" s="559"/>
      <c r="V526" s="559"/>
      <c r="W526" s="559"/>
      <c r="X526" s="559"/>
      <c r="Y526" s="559"/>
      <c r="Z526" s="559"/>
      <c r="AA526" s="559"/>
      <c r="AB526" s="559"/>
      <c r="AC526" s="559"/>
      <c r="AD526" s="559"/>
      <c r="AE526" s="559"/>
      <c r="AF526" s="559"/>
      <c r="AG526" s="559"/>
    </row>
    <row r="527" spans="1:33" ht="18" x14ac:dyDescent="0.35">
      <c r="A527" s="559"/>
      <c r="B527" s="559"/>
      <c r="C527" s="559"/>
      <c r="D527" s="559"/>
      <c r="E527" s="559"/>
      <c r="F527" s="559"/>
      <c r="G527" s="559"/>
      <c r="H527" s="559"/>
      <c r="I527" s="559"/>
      <c r="J527" s="559"/>
      <c r="K527" s="559"/>
      <c r="L527" s="559"/>
      <c r="M527" s="559"/>
      <c r="N527" s="559"/>
      <c r="O527" s="559"/>
      <c r="P527" s="559"/>
      <c r="Q527" s="559"/>
      <c r="R527" s="559"/>
      <c r="S527" s="559"/>
      <c r="T527" s="559"/>
      <c r="U527" s="559"/>
      <c r="V527" s="559"/>
      <c r="W527" s="559"/>
      <c r="X527" s="559"/>
      <c r="Y527" s="559"/>
      <c r="Z527" s="559"/>
      <c r="AA527" s="559"/>
      <c r="AB527" s="559"/>
      <c r="AC527" s="559"/>
      <c r="AD527" s="559"/>
      <c r="AE527" s="559"/>
      <c r="AF527" s="559"/>
      <c r="AG527" s="559"/>
    </row>
    <row r="528" spans="1:33" ht="18" x14ac:dyDescent="0.35">
      <c r="A528" s="559"/>
      <c r="B528" s="559"/>
      <c r="C528" s="559"/>
      <c r="D528" s="559"/>
      <c r="E528" s="559"/>
      <c r="F528" s="559"/>
      <c r="G528" s="559"/>
      <c r="H528" s="559"/>
      <c r="I528" s="559"/>
      <c r="J528" s="559"/>
      <c r="K528" s="559"/>
      <c r="L528" s="559"/>
      <c r="M528" s="559"/>
      <c r="N528" s="559"/>
      <c r="O528" s="559"/>
      <c r="P528" s="559"/>
      <c r="Q528" s="559"/>
      <c r="R528" s="559"/>
      <c r="S528" s="559"/>
      <c r="T528" s="559"/>
      <c r="U528" s="559"/>
      <c r="V528" s="559"/>
      <c r="W528" s="559"/>
      <c r="X528" s="559"/>
      <c r="Y528" s="559"/>
      <c r="Z528" s="559"/>
      <c r="AA528" s="559"/>
      <c r="AB528" s="559"/>
      <c r="AC528" s="559"/>
      <c r="AD528" s="559"/>
      <c r="AE528" s="559"/>
      <c r="AF528" s="559"/>
      <c r="AG528" s="559"/>
    </row>
    <row r="529" spans="1:33" ht="18" x14ac:dyDescent="0.35">
      <c r="A529" s="559"/>
      <c r="B529" s="559"/>
      <c r="C529" s="559"/>
      <c r="D529" s="559"/>
      <c r="E529" s="559"/>
      <c r="F529" s="559"/>
      <c r="G529" s="559"/>
      <c r="H529" s="559"/>
      <c r="I529" s="559"/>
      <c r="J529" s="559"/>
      <c r="K529" s="559"/>
      <c r="L529" s="559"/>
      <c r="M529" s="559"/>
      <c r="N529" s="559"/>
      <c r="O529" s="559"/>
      <c r="P529" s="559"/>
      <c r="Q529" s="559"/>
      <c r="R529" s="559"/>
      <c r="S529" s="559"/>
      <c r="T529" s="559"/>
      <c r="U529" s="559"/>
      <c r="V529" s="559"/>
      <c r="W529" s="559"/>
      <c r="X529" s="559"/>
      <c r="Y529" s="559"/>
      <c r="Z529" s="559"/>
      <c r="AA529" s="559"/>
      <c r="AB529" s="559"/>
      <c r="AC529" s="559"/>
      <c r="AD529" s="559"/>
      <c r="AE529" s="559"/>
      <c r="AF529" s="559"/>
      <c r="AG529" s="559"/>
    </row>
    <row r="530" spans="1:33" ht="18" x14ac:dyDescent="0.35">
      <c r="A530" s="559"/>
      <c r="B530" s="559"/>
      <c r="C530" s="559"/>
      <c r="D530" s="559"/>
      <c r="E530" s="559"/>
      <c r="F530" s="559"/>
      <c r="G530" s="559"/>
      <c r="H530" s="559"/>
      <c r="I530" s="559"/>
      <c r="J530" s="559"/>
      <c r="K530" s="559"/>
      <c r="L530" s="559"/>
      <c r="M530" s="559"/>
      <c r="N530" s="559"/>
      <c r="O530" s="559"/>
      <c r="P530" s="559"/>
      <c r="Q530" s="559"/>
      <c r="R530" s="559"/>
      <c r="S530" s="559"/>
      <c r="T530" s="559"/>
      <c r="U530" s="559"/>
      <c r="V530" s="559"/>
      <c r="W530" s="559"/>
      <c r="X530" s="559"/>
      <c r="Y530" s="559"/>
      <c r="Z530" s="559"/>
      <c r="AA530" s="559"/>
      <c r="AB530" s="559"/>
      <c r="AC530" s="559"/>
      <c r="AD530" s="559"/>
      <c r="AE530" s="559"/>
      <c r="AF530" s="559"/>
      <c r="AG530" s="559"/>
    </row>
    <row r="531" spans="1:33" ht="18" x14ac:dyDescent="0.35">
      <c r="A531" s="559"/>
      <c r="B531" s="559"/>
      <c r="C531" s="559"/>
      <c r="D531" s="559"/>
      <c r="E531" s="559"/>
      <c r="F531" s="559"/>
      <c r="G531" s="559"/>
      <c r="H531" s="559"/>
      <c r="I531" s="559"/>
      <c r="J531" s="559"/>
      <c r="K531" s="559"/>
      <c r="L531" s="559"/>
      <c r="M531" s="559"/>
      <c r="N531" s="559"/>
      <c r="O531" s="559"/>
      <c r="P531" s="559"/>
      <c r="Q531" s="559"/>
      <c r="R531" s="559"/>
      <c r="S531" s="559"/>
      <c r="T531" s="559"/>
      <c r="U531" s="559"/>
      <c r="V531" s="559"/>
      <c r="W531" s="559"/>
      <c r="X531" s="559"/>
      <c r="Y531" s="559"/>
      <c r="Z531" s="559"/>
      <c r="AA531" s="559"/>
      <c r="AB531" s="559"/>
      <c r="AC531" s="559"/>
      <c r="AD531" s="559"/>
      <c r="AE531" s="559"/>
      <c r="AF531" s="559"/>
      <c r="AG531" s="559"/>
    </row>
    <row r="532" spans="1:33" ht="18" x14ac:dyDescent="0.35">
      <c r="A532" s="559"/>
      <c r="B532" s="559"/>
      <c r="C532" s="559"/>
      <c r="D532" s="559"/>
      <c r="E532" s="559"/>
      <c r="F532" s="559"/>
      <c r="G532" s="559"/>
      <c r="H532" s="559"/>
      <c r="I532" s="559"/>
      <c r="J532" s="559"/>
      <c r="K532" s="559"/>
      <c r="L532" s="559"/>
      <c r="M532" s="559"/>
      <c r="N532" s="559"/>
      <c r="O532" s="559"/>
      <c r="P532" s="559"/>
      <c r="Q532" s="559"/>
      <c r="R532" s="559"/>
      <c r="S532" s="559"/>
      <c r="T532" s="559"/>
      <c r="U532" s="559"/>
      <c r="V532" s="559"/>
      <c r="W532" s="559"/>
      <c r="X532" s="559"/>
      <c r="Y532" s="559"/>
      <c r="Z532" s="559"/>
      <c r="AA532" s="559"/>
      <c r="AB532" s="559"/>
      <c r="AC532" s="559"/>
      <c r="AD532" s="559"/>
      <c r="AE532" s="559"/>
      <c r="AF532" s="559"/>
      <c r="AG532" s="559"/>
    </row>
    <row r="533" spans="1:33" ht="18" x14ac:dyDescent="0.35">
      <c r="A533" s="559"/>
      <c r="B533" s="559"/>
      <c r="C533" s="559"/>
      <c r="D533" s="559"/>
      <c r="E533" s="559"/>
      <c r="F533" s="559"/>
      <c r="G533" s="559"/>
      <c r="H533" s="559"/>
      <c r="I533" s="559"/>
      <c r="J533" s="559"/>
      <c r="K533" s="559"/>
      <c r="L533" s="559"/>
      <c r="M533" s="559"/>
      <c r="N533" s="559"/>
      <c r="O533" s="559"/>
      <c r="P533" s="559"/>
      <c r="Q533" s="559"/>
      <c r="R533" s="559"/>
      <c r="S533" s="559"/>
      <c r="T533" s="559"/>
      <c r="U533" s="559"/>
      <c r="V533" s="559"/>
      <c r="W533" s="559"/>
      <c r="X533" s="559"/>
      <c r="Y533" s="559"/>
      <c r="Z533" s="559"/>
      <c r="AA533" s="559"/>
      <c r="AB533" s="559"/>
      <c r="AC533" s="559"/>
      <c r="AD533" s="559"/>
      <c r="AE533" s="559"/>
      <c r="AF533" s="559"/>
      <c r="AG533" s="559"/>
    </row>
    <row r="534" spans="1:33" ht="18" x14ac:dyDescent="0.35">
      <c r="A534" s="559"/>
      <c r="B534" s="559"/>
      <c r="C534" s="559"/>
      <c r="D534" s="559"/>
      <c r="E534" s="559"/>
      <c r="F534" s="559"/>
      <c r="G534" s="559"/>
      <c r="H534" s="559"/>
      <c r="I534" s="559"/>
      <c r="J534" s="559"/>
      <c r="K534" s="559"/>
      <c r="L534" s="559"/>
      <c r="M534" s="559"/>
      <c r="N534" s="559"/>
      <c r="O534" s="559"/>
      <c r="P534" s="559"/>
      <c r="Q534" s="559"/>
      <c r="R534" s="559"/>
      <c r="S534" s="559"/>
      <c r="T534" s="559"/>
      <c r="U534" s="559"/>
      <c r="V534" s="559"/>
      <c r="W534" s="559"/>
      <c r="X534" s="559"/>
      <c r="Y534" s="559"/>
      <c r="Z534" s="559"/>
      <c r="AA534" s="559"/>
      <c r="AB534" s="559"/>
      <c r="AC534" s="559"/>
      <c r="AD534" s="559"/>
      <c r="AE534" s="559"/>
      <c r="AF534" s="559"/>
      <c r="AG534" s="559"/>
    </row>
    <row r="535" spans="1:33" ht="18" x14ac:dyDescent="0.35">
      <c r="A535" s="559"/>
      <c r="B535" s="559"/>
      <c r="C535" s="559"/>
      <c r="D535" s="559"/>
      <c r="E535" s="559"/>
      <c r="F535" s="559"/>
      <c r="G535" s="559"/>
      <c r="H535" s="559"/>
      <c r="I535" s="559"/>
      <c r="J535" s="559"/>
      <c r="K535" s="559"/>
      <c r="L535" s="559"/>
      <c r="M535" s="559"/>
      <c r="N535" s="559"/>
      <c r="O535" s="559"/>
      <c r="P535" s="559"/>
      <c r="Q535" s="559"/>
      <c r="R535" s="559"/>
      <c r="S535" s="559"/>
      <c r="T535" s="559"/>
      <c r="U535" s="559"/>
      <c r="V535" s="559"/>
      <c r="W535" s="559"/>
      <c r="X535" s="559"/>
      <c r="Y535" s="559"/>
      <c r="Z535" s="559"/>
      <c r="AA535" s="559"/>
      <c r="AB535" s="559"/>
      <c r="AC535" s="559"/>
      <c r="AD535" s="559"/>
      <c r="AE535" s="559"/>
      <c r="AF535" s="559"/>
      <c r="AG535" s="559"/>
    </row>
    <row r="536" spans="1:33" ht="18" x14ac:dyDescent="0.35">
      <c r="A536" s="559"/>
      <c r="B536" s="559"/>
      <c r="C536" s="559"/>
      <c r="D536" s="559"/>
      <c r="E536" s="559"/>
      <c r="F536" s="559"/>
      <c r="G536" s="559"/>
      <c r="H536" s="559"/>
      <c r="I536" s="559"/>
      <c r="J536" s="559"/>
      <c r="K536" s="559"/>
      <c r="L536" s="559"/>
      <c r="M536" s="559"/>
      <c r="N536" s="559"/>
      <c r="O536" s="559"/>
      <c r="P536" s="559"/>
      <c r="Q536" s="559"/>
      <c r="R536" s="559"/>
      <c r="S536" s="559"/>
      <c r="T536" s="559"/>
      <c r="U536" s="559"/>
      <c r="V536" s="559"/>
      <c r="W536" s="559"/>
      <c r="X536" s="559"/>
      <c r="Y536" s="559"/>
      <c r="Z536" s="559"/>
      <c r="AA536" s="559"/>
      <c r="AB536" s="559"/>
      <c r="AC536" s="559"/>
      <c r="AD536" s="559"/>
      <c r="AE536" s="559"/>
      <c r="AF536" s="559"/>
      <c r="AG536" s="559"/>
    </row>
    <row r="537" spans="1:33" ht="18" x14ac:dyDescent="0.35">
      <c r="A537" s="559"/>
      <c r="B537" s="559"/>
      <c r="C537" s="559"/>
      <c r="D537" s="559"/>
      <c r="E537" s="559"/>
      <c r="F537" s="559"/>
      <c r="G537" s="559"/>
      <c r="H537" s="559"/>
      <c r="I537" s="559"/>
      <c r="J537" s="559"/>
      <c r="K537" s="559"/>
      <c r="L537" s="559"/>
      <c r="M537" s="559"/>
      <c r="N537" s="559"/>
      <c r="O537" s="559"/>
      <c r="P537" s="559"/>
      <c r="Q537" s="559"/>
      <c r="R537" s="559"/>
      <c r="S537" s="559"/>
      <c r="T537" s="559"/>
      <c r="U537" s="559"/>
      <c r="V537" s="559"/>
      <c r="W537" s="559"/>
      <c r="X537" s="559"/>
      <c r="Y537" s="559"/>
      <c r="Z537" s="559"/>
      <c r="AA537" s="559"/>
      <c r="AB537" s="559"/>
      <c r="AC537" s="559"/>
      <c r="AD537" s="559"/>
      <c r="AE537" s="559"/>
      <c r="AF537" s="559"/>
      <c r="AG537" s="559"/>
    </row>
    <row r="538" spans="1:33" ht="18" x14ac:dyDescent="0.35">
      <c r="A538" s="559"/>
      <c r="B538" s="559"/>
      <c r="C538" s="559"/>
      <c r="D538" s="559"/>
      <c r="E538" s="559"/>
      <c r="F538" s="559"/>
      <c r="G538" s="559"/>
      <c r="H538" s="559"/>
      <c r="I538" s="559"/>
      <c r="J538" s="559"/>
      <c r="K538" s="559"/>
      <c r="L538" s="559"/>
      <c r="M538" s="559"/>
      <c r="N538" s="559"/>
      <c r="O538" s="559"/>
      <c r="P538" s="559"/>
      <c r="Q538" s="559"/>
      <c r="R538" s="559"/>
      <c r="S538" s="559"/>
      <c r="T538" s="559"/>
      <c r="U538" s="559"/>
      <c r="V538" s="559"/>
      <c r="W538" s="559"/>
      <c r="X538" s="559"/>
      <c r="Y538" s="559"/>
      <c r="Z538" s="559"/>
      <c r="AA538" s="559"/>
      <c r="AB538" s="559"/>
      <c r="AC538" s="559"/>
      <c r="AD538" s="559"/>
      <c r="AE538" s="559"/>
      <c r="AF538" s="559"/>
      <c r="AG538" s="559"/>
    </row>
    <row r="539" spans="1:33" ht="18" x14ac:dyDescent="0.35">
      <c r="A539" s="559"/>
      <c r="B539" s="559"/>
      <c r="C539" s="559"/>
      <c r="D539" s="559"/>
      <c r="E539" s="559"/>
      <c r="F539" s="559"/>
      <c r="G539" s="559"/>
      <c r="H539" s="559"/>
      <c r="I539" s="559"/>
      <c r="J539" s="559"/>
      <c r="K539" s="559"/>
      <c r="L539" s="559"/>
      <c r="M539" s="559"/>
      <c r="N539" s="559"/>
      <c r="O539" s="559"/>
      <c r="P539" s="559"/>
      <c r="Q539" s="559"/>
      <c r="R539" s="559"/>
      <c r="S539" s="559"/>
      <c r="T539" s="559"/>
      <c r="U539" s="559"/>
      <c r="V539" s="559"/>
      <c r="W539" s="559"/>
      <c r="X539" s="559"/>
      <c r="Y539" s="559"/>
      <c r="Z539" s="559"/>
      <c r="AA539" s="559"/>
      <c r="AB539" s="559"/>
      <c r="AC539" s="559"/>
      <c r="AD539" s="559"/>
      <c r="AE539" s="559"/>
      <c r="AF539" s="559"/>
      <c r="AG539" s="559"/>
    </row>
    <row r="540" spans="1:33" ht="18" x14ac:dyDescent="0.35">
      <c r="A540" s="559"/>
      <c r="B540" s="559"/>
      <c r="C540" s="559"/>
      <c r="D540" s="559"/>
      <c r="E540" s="559"/>
      <c r="F540" s="559"/>
      <c r="G540" s="559"/>
      <c r="H540" s="559"/>
      <c r="I540" s="559"/>
      <c r="J540" s="559"/>
      <c r="K540" s="559"/>
      <c r="L540" s="559"/>
      <c r="M540" s="559"/>
      <c r="N540" s="559"/>
      <c r="O540" s="559"/>
      <c r="P540" s="559"/>
      <c r="Q540" s="559"/>
      <c r="R540" s="559"/>
      <c r="S540" s="559"/>
      <c r="T540" s="559"/>
      <c r="U540" s="559"/>
      <c r="V540" s="559"/>
      <c r="W540" s="559"/>
      <c r="X540" s="559"/>
      <c r="Y540" s="559"/>
      <c r="Z540" s="559"/>
      <c r="AA540" s="559"/>
      <c r="AB540" s="559"/>
      <c r="AC540" s="559"/>
      <c r="AD540" s="559"/>
      <c r="AE540" s="559"/>
      <c r="AF540" s="559"/>
      <c r="AG540" s="559"/>
    </row>
    <row r="541" spans="1:33" ht="18" x14ac:dyDescent="0.35">
      <c r="A541" s="559"/>
      <c r="B541" s="559"/>
      <c r="C541" s="559"/>
      <c r="D541" s="559"/>
      <c r="E541" s="559"/>
      <c r="F541" s="559"/>
      <c r="G541" s="559"/>
      <c r="H541" s="559"/>
      <c r="I541" s="559"/>
      <c r="J541" s="559"/>
      <c r="K541" s="559"/>
      <c r="L541" s="559"/>
      <c r="M541" s="559"/>
      <c r="N541" s="559"/>
      <c r="O541" s="559"/>
      <c r="P541" s="559"/>
      <c r="Q541" s="559"/>
      <c r="R541" s="559"/>
      <c r="S541" s="559"/>
      <c r="T541" s="559"/>
      <c r="U541" s="559"/>
      <c r="V541" s="559"/>
      <c r="W541" s="559"/>
      <c r="X541" s="559"/>
      <c r="Y541" s="559"/>
      <c r="Z541" s="559"/>
      <c r="AA541" s="559"/>
      <c r="AB541" s="559"/>
      <c r="AC541" s="559"/>
      <c r="AD541" s="559"/>
      <c r="AE541" s="559"/>
      <c r="AF541" s="559"/>
      <c r="AG541" s="559"/>
    </row>
    <row r="542" spans="1:33" ht="18" x14ac:dyDescent="0.35">
      <c r="A542" s="559"/>
      <c r="B542" s="559"/>
      <c r="C542" s="559"/>
      <c r="D542" s="559"/>
      <c r="E542" s="559"/>
      <c r="F542" s="559"/>
      <c r="G542" s="559"/>
      <c r="H542" s="559"/>
      <c r="I542" s="559"/>
      <c r="J542" s="559"/>
      <c r="K542" s="559"/>
      <c r="L542" s="559"/>
      <c r="M542" s="559"/>
      <c r="N542" s="559"/>
      <c r="O542" s="559"/>
      <c r="P542" s="559"/>
      <c r="Q542" s="559"/>
      <c r="R542" s="559"/>
      <c r="S542" s="559"/>
      <c r="T542" s="559"/>
      <c r="U542" s="559"/>
      <c r="V542" s="559"/>
      <c r="W542" s="559"/>
      <c r="X542" s="559"/>
      <c r="Y542" s="559"/>
      <c r="Z542" s="559"/>
      <c r="AA542" s="559"/>
      <c r="AB542" s="559"/>
      <c r="AC542" s="559"/>
      <c r="AD542" s="559"/>
      <c r="AE542" s="559"/>
      <c r="AF542" s="559"/>
      <c r="AG542" s="559"/>
    </row>
    <row r="543" spans="1:33" ht="18" x14ac:dyDescent="0.35">
      <c r="A543" s="559"/>
      <c r="B543" s="559"/>
      <c r="C543" s="559"/>
      <c r="D543" s="559"/>
      <c r="E543" s="559"/>
      <c r="F543" s="559"/>
      <c r="G543" s="559"/>
      <c r="H543" s="559"/>
      <c r="I543" s="559"/>
      <c r="J543" s="559"/>
      <c r="K543" s="559"/>
      <c r="L543" s="559"/>
      <c r="M543" s="559"/>
      <c r="N543" s="559"/>
      <c r="O543" s="559"/>
      <c r="P543" s="559"/>
      <c r="Q543" s="559"/>
      <c r="R543" s="559"/>
      <c r="S543" s="559"/>
      <c r="T543" s="559"/>
      <c r="U543" s="559"/>
      <c r="V543" s="559"/>
      <c r="W543" s="559"/>
      <c r="X543" s="559"/>
      <c r="Y543" s="559"/>
      <c r="Z543" s="559"/>
      <c r="AA543" s="559"/>
      <c r="AB543" s="559"/>
      <c r="AC543" s="559"/>
      <c r="AD543" s="559"/>
      <c r="AE543" s="559"/>
      <c r="AF543" s="559"/>
      <c r="AG543" s="559"/>
    </row>
    <row r="544" spans="1:33" ht="18" x14ac:dyDescent="0.35">
      <c r="A544" s="559"/>
      <c r="B544" s="559"/>
      <c r="C544" s="559"/>
      <c r="D544" s="559"/>
      <c r="E544" s="559"/>
      <c r="F544" s="559"/>
      <c r="G544" s="559"/>
      <c r="H544" s="559"/>
      <c r="I544" s="559"/>
      <c r="J544" s="559"/>
      <c r="K544" s="559"/>
      <c r="L544" s="559"/>
      <c r="M544" s="559"/>
      <c r="N544" s="559"/>
      <c r="O544" s="559"/>
      <c r="P544" s="559"/>
      <c r="Q544" s="559"/>
      <c r="R544" s="559"/>
      <c r="S544" s="559"/>
      <c r="T544" s="559"/>
      <c r="U544" s="559"/>
      <c r="V544" s="559"/>
      <c r="W544" s="559"/>
      <c r="X544" s="559"/>
      <c r="Y544" s="559"/>
      <c r="Z544" s="559"/>
      <c r="AA544" s="559"/>
      <c r="AB544" s="559"/>
      <c r="AC544" s="559"/>
      <c r="AD544" s="559"/>
      <c r="AE544" s="559"/>
      <c r="AF544" s="559"/>
      <c r="AG544" s="559"/>
    </row>
    <row r="545" spans="1:33" ht="18" x14ac:dyDescent="0.35">
      <c r="A545" s="559"/>
      <c r="B545" s="559"/>
      <c r="C545" s="559"/>
      <c r="D545" s="559"/>
      <c r="E545" s="559"/>
      <c r="F545" s="559"/>
      <c r="G545" s="559"/>
      <c r="H545" s="559"/>
      <c r="I545" s="559"/>
      <c r="J545" s="559"/>
      <c r="K545" s="559"/>
      <c r="L545" s="559"/>
      <c r="M545" s="559"/>
      <c r="N545" s="559"/>
      <c r="O545" s="559"/>
      <c r="P545" s="559"/>
      <c r="Q545" s="559"/>
      <c r="R545" s="559"/>
      <c r="S545" s="559"/>
      <c r="T545" s="559"/>
      <c r="U545" s="559"/>
      <c r="V545" s="559"/>
      <c r="W545" s="559"/>
      <c r="X545" s="559"/>
      <c r="Y545" s="559"/>
      <c r="Z545" s="559"/>
      <c r="AA545" s="559"/>
      <c r="AB545" s="559"/>
      <c r="AC545" s="559"/>
      <c r="AD545" s="559"/>
      <c r="AE545" s="559"/>
      <c r="AF545" s="559"/>
      <c r="AG545" s="559"/>
    </row>
    <row r="546" spans="1:33" ht="18" x14ac:dyDescent="0.35">
      <c r="A546" s="559"/>
      <c r="B546" s="559"/>
      <c r="C546" s="559"/>
      <c r="D546" s="559"/>
      <c r="E546" s="559"/>
      <c r="F546" s="559"/>
      <c r="G546" s="559"/>
      <c r="H546" s="559"/>
      <c r="I546" s="559"/>
      <c r="J546" s="559"/>
      <c r="K546" s="559"/>
      <c r="L546" s="559"/>
      <c r="M546" s="559"/>
      <c r="N546" s="559"/>
      <c r="O546" s="559"/>
      <c r="P546" s="559"/>
      <c r="Q546" s="559"/>
      <c r="R546" s="559"/>
      <c r="S546" s="559"/>
      <c r="T546" s="559"/>
      <c r="U546" s="559"/>
      <c r="V546" s="559"/>
      <c r="W546" s="559"/>
      <c r="X546" s="559"/>
      <c r="Y546" s="559"/>
      <c r="Z546" s="559"/>
      <c r="AA546" s="559"/>
      <c r="AB546" s="559"/>
      <c r="AC546" s="559"/>
      <c r="AD546" s="559"/>
      <c r="AE546" s="559"/>
      <c r="AF546" s="559"/>
      <c r="AG546" s="559"/>
    </row>
    <row r="547" spans="1:33" ht="18" x14ac:dyDescent="0.35">
      <c r="A547" s="559"/>
      <c r="B547" s="559"/>
      <c r="C547" s="559"/>
      <c r="D547" s="559"/>
      <c r="E547" s="559"/>
      <c r="F547" s="559"/>
      <c r="G547" s="559"/>
      <c r="H547" s="559"/>
      <c r="I547" s="559"/>
      <c r="J547" s="559"/>
      <c r="K547" s="559"/>
      <c r="L547" s="559"/>
      <c r="M547" s="559"/>
      <c r="N547" s="559"/>
      <c r="O547" s="559"/>
      <c r="P547" s="559"/>
      <c r="Q547" s="559"/>
      <c r="R547" s="559"/>
      <c r="S547" s="559"/>
      <c r="T547" s="559"/>
      <c r="U547" s="559"/>
      <c r="V547" s="559"/>
      <c r="W547" s="559"/>
      <c r="X547" s="559"/>
      <c r="Y547" s="559"/>
      <c r="Z547" s="559"/>
      <c r="AA547" s="559"/>
      <c r="AB547" s="559"/>
      <c r="AC547" s="559"/>
      <c r="AD547" s="559"/>
      <c r="AE547" s="559"/>
      <c r="AF547" s="559"/>
      <c r="AG547" s="559"/>
    </row>
    <row r="548" spans="1:33" ht="18" x14ac:dyDescent="0.35">
      <c r="A548" s="559"/>
      <c r="B548" s="559"/>
      <c r="C548" s="559"/>
      <c r="D548" s="559"/>
      <c r="E548" s="559"/>
      <c r="F548" s="559"/>
      <c r="G548" s="559"/>
      <c r="H548" s="559"/>
      <c r="I548" s="559"/>
      <c r="J548" s="559"/>
      <c r="K548" s="559"/>
      <c r="L548" s="559"/>
      <c r="M548" s="559"/>
      <c r="N548" s="559"/>
      <c r="O548" s="559"/>
      <c r="P548" s="559"/>
      <c r="Q548" s="559"/>
      <c r="R548" s="559"/>
      <c r="S548" s="559"/>
      <c r="T548" s="559"/>
      <c r="U548" s="559"/>
      <c r="V548" s="559"/>
      <c r="W548" s="559"/>
      <c r="X548" s="559"/>
      <c r="Y548" s="559"/>
      <c r="Z548" s="559"/>
      <c r="AA548" s="559"/>
      <c r="AB548" s="559"/>
      <c r="AC548" s="559"/>
      <c r="AD548" s="559"/>
      <c r="AE548" s="559"/>
      <c r="AF548" s="559"/>
      <c r="AG548" s="559"/>
    </row>
    <row r="549" spans="1:33" ht="18" x14ac:dyDescent="0.35">
      <c r="A549" s="559"/>
      <c r="B549" s="559"/>
      <c r="C549" s="559"/>
      <c r="D549" s="559"/>
      <c r="E549" s="559"/>
      <c r="F549" s="559"/>
      <c r="G549" s="559"/>
      <c r="H549" s="559"/>
      <c r="I549" s="559"/>
      <c r="J549" s="559"/>
      <c r="K549" s="559"/>
      <c r="L549" s="559"/>
      <c r="M549" s="559"/>
      <c r="N549" s="559"/>
      <c r="O549" s="559"/>
      <c r="P549" s="559"/>
      <c r="Q549" s="559"/>
      <c r="R549" s="559"/>
      <c r="S549" s="559"/>
      <c r="T549" s="559"/>
      <c r="U549" s="559"/>
      <c r="V549" s="559"/>
      <c r="W549" s="559"/>
      <c r="X549" s="559"/>
      <c r="Y549" s="559"/>
      <c r="Z549" s="559"/>
      <c r="AA549" s="559"/>
      <c r="AB549" s="559"/>
      <c r="AC549" s="559"/>
      <c r="AD549" s="559"/>
      <c r="AE549" s="559"/>
      <c r="AF549" s="559"/>
      <c r="AG549" s="559"/>
    </row>
    <row r="550" spans="1:33" ht="18" x14ac:dyDescent="0.35">
      <c r="A550" s="559"/>
      <c r="B550" s="559"/>
      <c r="C550" s="559"/>
      <c r="D550" s="559"/>
      <c r="E550" s="559"/>
      <c r="F550" s="559"/>
      <c r="G550" s="559"/>
      <c r="H550" s="559"/>
      <c r="I550" s="559"/>
      <c r="J550" s="559"/>
      <c r="K550" s="559"/>
      <c r="L550" s="559"/>
      <c r="M550" s="559"/>
      <c r="N550" s="559"/>
      <c r="O550" s="559"/>
      <c r="P550" s="559"/>
      <c r="Q550" s="559"/>
      <c r="R550" s="559"/>
      <c r="S550" s="559"/>
      <c r="T550" s="559"/>
      <c r="U550" s="559"/>
      <c r="V550" s="559"/>
      <c r="W550" s="559"/>
      <c r="X550" s="559"/>
      <c r="Y550" s="559"/>
      <c r="Z550" s="559"/>
      <c r="AA550" s="559"/>
      <c r="AB550" s="559"/>
      <c r="AC550" s="559"/>
      <c r="AD550" s="559"/>
      <c r="AE550" s="559"/>
      <c r="AF550" s="559"/>
      <c r="AG550" s="559"/>
    </row>
    <row r="551" spans="1:33" ht="18" x14ac:dyDescent="0.35">
      <c r="A551" s="559"/>
      <c r="B551" s="559"/>
      <c r="C551" s="559"/>
      <c r="D551" s="559"/>
      <c r="E551" s="559"/>
      <c r="F551" s="559"/>
      <c r="G551" s="559"/>
      <c r="H551" s="559"/>
      <c r="I551" s="559"/>
      <c r="J551" s="559"/>
      <c r="K551" s="559"/>
      <c r="L551" s="559"/>
      <c r="M551" s="559"/>
      <c r="N551" s="559"/>
      <c r="O551" s="559"/>
      <c r="P551" s="559"/>
      <c r="Q551" s="559"/>
      <c r="R551" s="559"/>
      <c r="S551" s="559"/>
      <c r="T551" s="559"/>
      <c r="U551" s="559"/>
      <c r="V551" s="559"/>
      <c r="W551" s="559"/>
      <c r="X551" s="559"/>
      <c r="Y551" s="559"/>
      <c r="Z551" s="559"/>
      <c r="AA551" s="559"/>
      <c r="AB551" s="559"/>
      <c r="AC551" s="559"/>
      <c r="AD551" s="559"/>
      <c r="AE551" s="559"/>
      <c r="AF551" s="559"/>
      <c r="AG551" s="559"/>
    </row>
    <row r="552" spans="1:33" ht="18" x14ac:dyDescent="0.35">
      <c r="A552" s="559"/>
      <c r="B552" s="559"/>
      <c r="C552" s="559"/>
      <c r="D552" s="559"/>
      <c r="E552" s="559"/>
      <c r="F552" s="559"/>
      <c r="G552" s="559"/>
      <c r="H552" s="559"/>
      <c r="I552" s="559"/>
      <c r="J552" s="559"/>
      <c r="K552" s="559"/>
      <c r="L552" s="559"/>
      <c r="M552" s="559"/>
      <c r="N552" s="559"/>
      <c r="O552" s="559"/>
      <c r="P552" s="559"/>
      <c r="Q552" s="559"/>
      <c r="R552" s="559"/>
      <c r="S552" s="559"/>
      <c r="T552" s="559"/>
      <c r="U552" s="559"/>
      <c r="V552" s="559"/>
      <c r="W552" s="559"/>
      <c r="X552" s="559"/>
      <c r="Y552" s="559"/>
      <c r="Z552" s="559"/>
      <c r="AA552" s="559"/>
      <c r="AB552" s="559"/>
      <c r="AC552" s="559"/>
      <c r="AD552" s="559"/>
      <c r="AE552" s="559"/>
      <c r="AF552" s="559"/>
      <c r="AG552" s="559"/>
    </row>
    <row r="553" spans="1:33" ht="18" x14ac:dyDescent="0.35">
      <c r="A553" s="559"/>
      <c r="B553" s="559"/>
      <c r="C553" s="559"/>
      <c r="D553" s="559"/>
      <c r="E553" s="559"/>
      <c r="F553" s="559"/>
      <c r="G553" s="559"/>
      <c r="H553" s="559"/>
      <c r="I553" s="559"/>
      <c r="J553" s="559"/>
      <c r="K553" s="559"/>
      <c r="L553" s="559"/>
      <c r="M553" s="559"/>
      <c r="N553" s="559"/>
      <c r="O553" s="559"/>
      <c r="P553" s="559"/>
      <c r="Q553" s="559"/>
      <c r="R553" s="559"/>
      <c r="S553" s="559"/>
      <c r="T553" s="559"/>
      <c r="U553" s="559"/>
      <c r="V553" s="559"/>
      <c r="W553" s="559"/>
      <c r="X553" s="559"/>
      <c r="Y553" s="559"/>
      <c r="Z553" s="559"/>
      <c r="AA553" s="559"/>
      <c r="AB553" s="559"/>
      <c r="AC553" s="559"/>
      <c r="AD553" s="559"/>
      <c r="AE553" s="559"/>
      <c r="AF553" s="559"/>
      <c r="AG553" s="559"/>
    </row>
    <row r="554" spans="1:33" ht="18" x14ac:dyDescent="0.35">
      <c r="A554" s="559"/>
      <c r="B554" s="559"/>
      <c r="C554" s="559"/>
      <c r="D554" s="559"/>
      <c r="E554" s="559"/>
      <c r="F554" s="559"/>
      <c r="G554" s="559"/>
      <c r="H554" s="559"/>
      <c r="I554" s="559"/>
      <c r="J554" s="559"/>
      <c r="K554" s="559"/>
      <c r="L554" s="559"/>
      <c r="M554" s="559"/>
      <c r="N554" s="559"/>
      <c r="O554" s="559"/>
      <c r="P554" s="559"/>
      <c r="Q554" s="559"/>
      <c r="R554" s="559"/>
      <c r="S554" s="559"/>
      <c r="T554" s="559"/>
      <c r="U554" s="559"/>
      <c r="V554" s="559"/>
      <c r="W554" s="559"/>
      <c r="X554" s="559"/>
      <c r="Y554" s="559"/>
      <c r="Z554" s="559"/>
      <c r="AA554" s="559"/>
      <c r="AB554" s="559"/>
      <c r="AC554" s="559"/>
      <c r="AD554" s="559"/>
      <c r="AE554" s="559"/>
      <c r="AF554" s="559"/>
      <c r="AG554" s="559"/>
    </row>
    <row r="555" spans="1:33" ht="18" x14ac:dyDescent="0.35">
      <c r="A555" s="559"/>
      <c r="B555" s="559"/>
      <c r="C555" s="559"/>
      <c r="D555" s="559"/>
      <c r="E555" s="559"/>
      <c r="F555" s="559"/>
      <c r="G555" s="559"/>
      <c r="H555" s="559"/>
      <c r="I555" s="559"/>
      <c r="J555" s="559"/>
      <c r="K555" s="559"/>
      <c r="L555" s="559"/>
      <c r="M555" s="559"/>
      <c r="N555" s="559"/>
      <c r="O555" s="559"/>
      <c r="P555" s="559"/>
      <c r="Q555" s="559"/>
      <c r="R555" s="559"/>
      <c r="S555" s="559"/>
      <c r="T555" s="559"/>
      <c r="U555" s="559"/>
      <c r="V555" s="559"/>
      <c r="W555" s="559"/>
      <c r="X555" s="559"/>
      <c r="Y555" s="559"/>
      <c r="Z555" s="559"/>
      <c r="AA555" s="559"/>
      <c r="AB555" s="559"/>
      <c r="AC555" s="559"/>
      <c r="AD555" s="559"/>
      <c r="AE555" s="559"/>
      <c r="AF555" s="559"/>
      <c r="AG555" s="559"/>
    </row>
    <row r="556" spans="1:33" ht="18" x14ac:dyDescent="0.35">
      <c r="A556" s="559"/>
      <c r="B556" s="559"/>
      <c r="C556" s="559"/>
      <c r="D556" s="559"/>
      <c r="E556" s="559"/>
      <c r="F556" s="559"/>
      <c r="G556" s="559"/>
      <c r="H556" s="559"/>
      <c r="I556" s="559"/>
      <c r="J556" s="559"/>
      <c r="K556" s="559"/>
      <c r="L556" s="559"/>
      <c r="M556" s="559"/>
      <c r="N556" s="559"/>
      <c r="O556" s="559"/>
      <c r="P556" s="559"/>
      <c r="Q556" s="559"/>
      <c r="R556" s="559"/>
      <c r="S556" s="559"/>
      <c r="T556" s="559"/>
      <c r="U556" s="559"/>
      <c r="V556" s="559"/>
      <c r="W556" s="559"/>
      <c r="X556" s="559"/>
      <c r="Y556" s="559"/>
      <c r="Z556" s="559"/>
      <c r="AA556" s="559"/>
      <c r="AB556" s="559"/>
      <c r="AC556" s="559"/>
      <c r="AD556" s="559"/>
      <c r="AE556" s="559"/>
      <c r="AF556" s="559"/>
      <c r="AG556" s="559"/>
    </row>
    <row r="557" spans="1:33" ht="18" x14ac:dyDescent="0.35">
      <c r="A557" s="559"/>
      <c r="B557" s="559"/>
      <c r="C557" s="559"/>
      <c r="D557" s="559"/>
      <c r="E557" s="559"/>
      <c r="F557" s="559"/>
      <c r="G557" s="559"/>
      <c r="H557" s="559"/>
      <c r="I557" s="559"/>
      <c r="J557" s="559"/>
      <c r="K557" s="559"/>
      <c r="L557" s="559"/>
      <c r="M557" s="559"/>
      <c r="N557" s="559"/>
      <c r="O557" s="559"/>
      <c r="P557" s="559"/>
      <c r="Q557" s="559"/>
      <c r="R557" s="559"/>
      <c r="S557" s="559"/>
      <c r="T557" s="559"/>
      <c r="U557" s="559"/>
      <c r="V557" s="559"/>
      <c r="W557" s="559"/>
      <c r="X557" s="559"/>
      <c r="Y557" s="559"/>
      <c r="Z557" s="559"/>
      <c r="AA557" s="559"/>
      <c r="AB557" s="559"/>
      <c r="AC557" s="559"/>
      <c r="AD557" s="559"/>
      <c r="AE557" s="559"/>
      <c r="AF557" s="559"/>
      <c r="AG557" s="559"/>
    </row>
    <row r="558" spans="1:33" ht="18" x14ac:dyDescent="0.35">
      <c r="A558" s="559"/>
      <c r="B558" s="559"/>
      <c r="C558" s="559"/>
      <c r="D558" s="559"/>
      <c r="E558" s="559"/>
      <c r="F558" s="559"/>
      <c r="G558" s="559"/>
      <c r="H558" s="559"/>
      <c r="I558" s="559"/>
      <c r="J558" s="559"/>
      <c r="K558" s="559"/>
      <c r="L558" s="559"/>
      <c r="M558" s="559"/>
      <c r="N558" s="559"/>
      <c r="O558" s="559"/>
      <c r="P558" s="559"/>
      <c r="Q558" s="559"/>
      <c r="R558" s="559"/>
      <c r="S558" s="559"/>
      <c r="T558" s="559"/>
      <c r="U558" s="559"/>
      <c r="V558" s="559"/>
      <c r="W558" s="559"/>
      <c r="X558" s="559"/>
      <c r="Y558" s="559"/>
      <c r="Z558" s="559"/>
      <c r="AA558" s="559"/>
      <c r="AB558" s="559"/>
      <c r="AC558" s="559"/>
      <c r="AD558" s="559"/>
      <c r="AE558" s="559"/>
      <c r="AF558" s="559"/>
      <c r="AG558" s="559"/>
    </row>
    <row r="559" spans="1:33" ht="18" x14ac:dyDescent="0.35">
      <c r="A559" s="559"/>
      <c r="B559" s="559"/>
      <c r="C559" s="559"/>
      <c r="D559" s="559"/>
      <c r="E559" s="559"/>
      <c r="F559" s="559"/>
      <c r="G559" s="559"/>
      <c r="H559" s="559"/>
      <c r="I559" s="559"/>
      <c r="J559" s="559"/>
      <c r="K559" s="559"/>
      <c r="L559" s="559"/>
      <c r="M559" s="559"/>
      <c r="N559" s="559"/>
      <c r="O559" s="559"/>
      <c r="P559" s="559"/>
      <c r="Q559" s="559"/>
      <c r="R559" s="559"/>
      <c r="S559" s="559"/>
      <c r="T559" s="559"/>
      <c r="U559" s="559"/>
      <c r="V559" s="559"/>
      <c r="W559" s="559"/>
      <c r="X559" s="559"/>
      <c r="Y559" s="559"/>
      <c r="Z559" s="559"/>
      <c r="AA559" s="559"/>
      <c r="AB559" s="559"/>
      <c r="AC559" s="559"/>
      <c r="AD559" s="559"/>
      <c r="AE559" s="559"/>
      <c r="AF559" s="559"/>
      <c r="AG559" s="559"/>
    </row>
    <row r="560" spans="1:33" ht="18" x14ac:dyDescent="0.35">
      <c r="A560" s="559"/>
      <c r="B560" s="559"/>
      <c r="C560" s="559"/>
      <c r="D560" s="559"/>
      <c r="E560" s="559"/>
      <c r="F560" s="559"/>
      <c r="G560" s="559"/>
      <c r="H560" s="559"/>
      <c r="I560" s="559"/>
      <c r="J560" s="559"/>
      <c r="K560" s="559"/>
      <c r="L560" s="559"/>
      <c r="M560" s="559"/>
      <c r="N560" s="559"/>
      <c r="O560" s="559"/>
      <c r="P560" s="559"/>
      <c r="Q560" s="559"/>
      <c r="R560" s="559"/>
      <c r="S560" s="559"/>
      <c r="T560" s="559"/>
      <c r="U560" s="559"/>
      <c r="V560" s="559"/>
      <c r="W560" s="559"/>
      <c r="X560" s="559"/>
      <c r="Y560" s="559"/>
      <c r="Z560" s="559"/>
      <c r="AA560" s="559"/>
      <c r="AB560" s="559"/>
      <c r="AC560" s="559"/>
      <c r="AD560" s="559"/>
      <c r="AE560" s="559"/>
      <c r="AF560" s="559"/>
      <c r="AG560" s="559"/>
    </row>
    <row r="561" spans="1:33" ht="18" x14ac:dyDescent="0.35">
      <c r="A561" s="559"/>
      <c r="B561" s="559"/>
      <c r="C561" s="559"/>
      <c r="D561" s="559"/>
      <c r="E561" s="559"/>
      <c r="F561" s="559"/>
      <c r="G561" s="559"/>
      <c r="H561" s="559"/>
      <c r="I561" s="559"/>
      <c r="J561" s="559"/>
      <c r="K561" s="559"/>
      <c r="L561" s="559"/>
      <c r="M561" s="559"/>
      <c r="N561" s="559"/>
      <c r="O561" s="559"/>
      <c r="P561" s="559"/>
      <c r="Q561" s="559"/>
      <c r="R561" s="559"/>
      <c r="S561" s="559"/>
      <c r="T561" s="559"/>
      <c r="U561" s="559"/>
      <c r="V561" s="559"/>
      <c r="W561" s="559"/>
      <c r="X561" s="559"/>
      <c r="Y561" s="559"/>
      <c r="Z561" s="559"/>
      <c r="AA561" s="559"/>
      <c r="AB561" s="559"/>
      <c r="AC561" s="559"/>
      <c r="AD561" s="559"/>
      <c r="AE561" s="559"/>
      <c r="AF561" s="559"/>
      <c r="AG561" s="559"/>
    </row>
    <row r="562" spans="1:33" ht="18" x14ac:dyDescent="0.35">
      <c r="A562" s="559"/>
      <c r="B562" s="559"/>
      <c r="C562" s="559"/>
      <c r="D562" s="559"/>
      <c r="E562" s="559"/>
      <c r="F562" s="559"/>
      <c r="G562" s="559"/>
      <c r="H562" s="559"/>
      <c r="I562" s="559"/>
      <c r="J562" s="559"/>
      <c r="K562" s="559"/>
      <c r="L562" s="559"/>
      <c r="M562" s="559"/>
      <c r="N562" s="559"/>
      <c r="O562" s="559"/>
      <c r="P562" s="559"/>
      <c r="Q562" s="559"/>
      <c r="R562" s="559"/>
      <c r="S562" s="559"/>
      <c r="T562" s="559"/>
      <c r="U562" s="559"/>
      <c r="V562" s="559"/>
      <c r="W562" s="559"/>
      <c r="X562" s="559"/>
      <c r="Y562" s="559"/>
      <c r="Z562" s="559"/>
      <c r="AA562" s="559"/>
      <c r="AB562" s="559"/>
      <c r="AC562" s="559"/>
      <c r="AD562" s="559"/>
      <c r="AE562" s="559"/>
      <c r="AF562" s="559"/>
      <c r="AG562" s="559"/>
    </row>
    <row r="563" spans="1:33" ht="18" x14ac:dyDescent="0.35">
      <c r="A563" s="559"/>
      <c r="B563" s="559"/>
      <c r="C563" s="559"/>
      <c r="D563" s="559"/>
      <c r="E563" s="559"/>
      <c r="F563" s="559"/>
      <c r="G563" s="559"/>
      <c r="H563" s="559"/>
      <c r="I563" s="559"/>
      <c r="J563" s="559"/>
      <c r="K563" s="559"/>
      <c r="L563" s="559"/>
      <c r="M563" s="559"/>
      <c r="N563" s="559"/>
      <c r="O563" s="559"/>
      <c r="P563" s="559"/>
      <c r="Q563" s="559"/>
      <c r="R563" s="559"/>
      <c r="S563" s="559"/>
      <c r="T563" s="559"/>
      <c r="U563" s="559"/>
      <c r="V563" s="559"/>
      <c r="W563" s="559"/>
      <c r="X563" s="559"/>
      <c r="Y563" s="559"/>
      <c r="Z563" s="559"/>
      <c r="AA563" s="559"/>
      <c r="AB563" s="559"/>
      <c r="AC563" s="559"/>
      <c r="AD563" s="559"/>
      <c r="AE563" s="559"/>
      <c r="AF563" s="559"/>
      <c r="AG563" s="559"/>
    </row>
    <row r="564" spans="1:33" ht="18" x14ac:dyDescent="0.35">
      <c r="A564" s="559"/>
      <c r="B564" s="559"/>
      <c r="C564" s="559"/>
      <c r="D564" s="559"/>
      <c r="E564" s="559"/>
      <c r="F564" s="559"/>
      <c r="G564" s="559"/>
      <c r="H564" s="559"/>
      <c r="I564" s="559"/>
      <c r="J564" s="559"/>
      <c r="K564" s="559"/>
      <c r="L564" s="559"/>
      <c r="M564" s="559"/>
      <c r="N564" s="559"/>
      <c r="O564" s="559"/>
      <c r="P564" s="559"/>
      <c r="Q564" s="559"/>
      <c r="R564" s="559"/>
      <c r="S564" s="559"/>
      <c r="T564" s="559"/>
      <c r="U564" s="559"/>
      <c r="V564" s="559"/>
      <c r="W564" s="559"/>
      <c r="X564" s="559"/>
      <c r="Y564" s="559"/>
      <c r="Z564" s="559"/>
      <c r="AA564" s="559"/>
      <c r="AB564" s="559"/>
      <c r="AC564" s="559"/>
      <c r="AD564" s="559"/>
      <c r="AE564" s="559"/>
      <c r="AF564" s="559"/>
      <c r="AG564" s="559"/>
    </row>
    <row r="565" spans="1:33" ht="18" x14ac:dyDescent="0.35">
      <c r="A565" s="559"/>
      <c r="B565" s="559"/>
      <c r="C565" s="559"/>
      <c r="D565" s="559"/>
      <c r="E565" s="559"/>
      <c r="F565" s="559"/>
      <c r="G565" s="559"/>
      <c r="H565" s="559"/>
      <c r="I565" s="559"/>
      <c r="J565" s="559"/>
      <c r="K565" s="559"/>
      <c r="L565" s="559"/>
      <c r="M565" s="559"/>
      <c r="N565" s="559"/>
      <c r="O565" s="559"/>
      <c r="P565" s="559"/>
      <c r="Q565" s="559"/>
      <c r="R565" s="559"/>
      <c r="S565" s="559"/>
      <c r="T565" s="559"/>
      <c r="U565" s="559"/>
      <c r="V565" s="559"/>
      <c r="W565" s="559"/>
      <c r="X565" s="559"/>
      <c r="Y565" s="559"/>
      <c r="Z565" s="559"/>
      <c r="AA565" s="559"/>
      <c r="AB565" s="559"/>
      <c r="AC565" s="559"/>
      <c r="AD565" s="559"/>
      <c r="AE565" s="559"/>
      <c r="AF565" s="559"/>
      <c r="AG565" s="559"/>
    </row>
    <row r="566" spans="1:33" ht="18" x14ac:dyDescent="0.35">
      <c r="A566" s="559"/>
      <c r="B566" s="559"/>
      <c r="C566" s="559"/>
      <c r="D566" s="559"/>
      <c r="E566" s="559"/>
      <c r="F566" s="559"/>
      <c r="G566" s="559"/>
      <c r="H566" s="559"/>
      <c r="I566" s="559"/>
      <c r="J566" s="559"/>
      <c r="K566" s="559"/>
      <c r="L566" s="559"/>
      <c r="M566" s="559"/>
      <c r="N566" s="559"/>
      <c r="O566" s="559"/>
      <c r="P566" s="559"/>
      <c r="Q566" s="559"/>
      <c r="R566" s="559"/>
      <c r="S566" s="559"/>
      <c r="T566" s="559"/>
      <c r="U566" s="559"/>
      <c r="V566" s="559"/>
      <c r="W566" s="559"/>
      <c r="X566" s="559"/>
      <c r="Y566" s="559"/>
      <c r="Z566" s="559"/>
      <c r="AA566" s="559"/>
      <c r="AB566" s="559"/>
      <c r="AC566" s="559"/>
      <c r="AD566" s="559"/>
      <c r="AE566" s="559"/>
      <c r="AF566" s="559"/>
      <c r="AG566" s="559"/>
    </row>
    <row r="567" spans="1:33" ht="18" x14ac:dyDescent="0.35">
      <c r="A567" s="559"/>
      <c r="B567" s="559"/>
      <c r="C567" s="559"/>
      <c r="D567" s="559"/>
      <c r="E567" s="559"/>
      <c r="F567" s="559"/>
      <c r="G567" s="559"/>
      <c r="H567" s="559"/>
      <c r="I567" s="559"/>
      <c r="J567" s="559"/>
      <c r="K567" s="559"/>
      <c r="L567" s="559"/>
      <c r="M567" s="559"/>
      <c r="N567" s="559"/>
      <c r="O567" s="559"/>
      <c r="P567" s="559"/>
      <c r="Q567" s="559"/>
      <c r="R567" s="559"/>
      <c r="S567" s="559"/>
      <c r="T567" s="559"/>
      <c r="U567" s="559"/>
      <c r="V567" s="559"/>
      <c r="W567" s="559"/>
      <c r="X567" s="559"/>
      <c r="Y567" s="559"/>
      <c r="Z567" s="559"/>
      <c r="AA567" s="559"/>
      <c r="AB567" s="559"/>
      <c r="AC567" s="559"/>
      <c r="AD567" s="559"/>
      <c r="AE567" s="559"/>
      <c r="AF567" s="559"/>
      <c r="AG567" s="559"/>
    </row>
    <row r="568" spans="1:33" ht="18" x14ac:dyDescent="0.35">
      <c r="A568" s="559"/>
      <c r="B568" s="559"/>
      <c r="C568" s="559"/>
      <c r="D568" s="559"/>
      <c r="E568" s="559"/>
      <c r="F568" s="559"/>
      <c r="G568" s="559"/>
      <c r="H568" s="559"/>
      <c r="I568" s="559"/>
      <c r="J568" s="559"/>
      <c r="K568" s="559"/>
      <c r="L568" s="559"/>
      <c r="M568" s="559"/>
      <c r="N568" s="559"/>
      <c r="O568" s="559"/>
      <c r="P568" s="559"/>
      <c r="Q568" s="559"/>
      <c r="R568" s="559"/>
      <c r="S568" s="559"/>
      <c r="T568" s="559"/>
      <c r="U568" s="559"/>
      <c r="V568" s="559"/>
      <c r="W568" s="559"/>
      <c r="X568" s="559"/>
      <c r="Y568" s="559"/>
      <c r="Z568" s="559"/>
      <c r="AA568" s="559"/>
      <c r="AB568" s="559"/>
      <c r="AC568" s="559"/>
      <c r="AD568" s="559"/>
      <c r="AE568" s="559"/>
      <c r="AF568" s="559"/>
      <c r="AG568" s="559"/>
    </row>
    <row r="569" spans="1:33" ht="18" x14ac:dyDescent="0.35">
      <c r="A569" s="559"/>
      <c r="B569" s="559"/>
      <c r="C569" s="559"/>
      <c r="D569" s="559"/>
      <c r="E569" s="559"/>
      <c r="F569" s="559"/>
      <c r="G569" s="559"/>
      <c r="H569" s="559"/>
      <c r="I569" s="559"/>
      <c r="J569" s="559"/>
      <c r="K569" s="559"/>
      <c r="L569" s="559"/>
      <c r="M569" s="559"/>
      <c r="N569" s="559"/>
      <c r="O569" s="559"/>
      <c r="P569" s="559"/>
      <c r="Q569" s="559"/>
      <c r="R569" s="559"/>
      <c r="S569" s="559"/>
      <c r="T569" s="559"/>
      <c r="U569" s="559"/>
      <c r="V569" s="559"/>
      <c r="W569" s="559"/>
      <c r="X569" s="559"/>
      <c r="Y569" s="559"/>
      <c r="Z569" s="559"/>
      <c r="AA569" s="559"/>
      <c r="AB569" s="559"/>
      <c r="AC569" s="559"/>
      <c r="AD569" s="559"/>
      <c r="AE569" s="559"/>
      <c r="AF569" s="559"/>
      <c r="AG569" s="559"/>
    </row>
    <row r="570" spans="1:33" ht="18" x14ac:dyDescent="0.35">
      <c r="A570" s="559"/>
      <c r="B570" s="559"/>
      <c r="C570" s="559"/>
      <c r="D570" s="559"/>
      <c r="E570" s="559"/>
      <c r="F570" s="559"/>
      <c r="G570" s="559"/>
      <c r="H570" s="559"/>
      <c r="I570" s="559"/>
      <c r="J570" s="559"/>
      <c r="K570" s="559"/>
      <c r="L570" s="559"/>
      <c r="M570" s="559"/>
      <c r="N570" s="559"/>
      <c r="O570" s="559"/>
      <c r="P570" s="559"/>
      <c r="Q570" s="559"/>
      <c r="R570" s="559"/>
      <c r="S570" s="559"/>
      <c r="T570" s="559"/>
      <c r="U570" s="559"/>
      <c r="V570" s="559"/>
      <c r="W570" s="559"/>
      <c r="X570" s="559"/>
      <c r="Y570" s="559"/>
      <c r="Z570" s="559"/>
      <c r="AA570" s="559"/>
      <c r="AB570" s="559"/>
      <c r="AC570" s="559"/>
      <c r="AD570" s="559"/>
      <c r="AE570" s="559"/>
      <c r="AF570" s="559"/>
      <c r="AG570" s="559"/>
    </row>
    <row r="571" spans="1:33" ht="18" x14ac:dyDescent="0.35">
      <c r="A571" s="559"/>
      <c r="B571" s="559"/>
      <c r="C571" s="559"/>
      <c r="D571" s="559"/>
      <c r="E571" s="559"/>
      <c r="F571" s="559"/>
      <c r="G571" s="559"/>
      <c r="H571" s="559"/>
      <c r="I571" s="559"/>
      <c r="J571" s="559"/>
      <c r="K571" s="559"/>
      <c r="L571" s="559"/>
      <c r="M571" s="559"/>
      <c r="N571" s="559"/>
      <c r="O571" s="559"/>
      <c r="P571" s="559"/>
      <c r="Q571" s="559"/>
      <c r="R571" s="559"/>
      <c r="S571" s="559"/>
      <c r="T571" s="559"/>
      <c r="U571" s="559"/>
      <c r="V571" s="559"/>
      <c r="W571" s="559"/>
      <c r="X571" s="559"/>
      <c r="Y571" s="559"/>
      <c r="Z571" s="559"/>
      <c r="AA571" s="559"/>
      <c r="AB571" s="559"/>
      <c r="AC571" s="559"/>
      <c r="AD571" s="559"/>
      <c r="AE571" s="559"/>
      <c r="AF571" s="559"/>
      <c r="AG571" s="559"/>
    </row>
    <row r="572" spans="1:33" ht="18" x14ac:dyDescent="0.35">
      <c r="A572" s="559"/>
      <c r="B572" s="559"/>
      <c r="C572" s="559"/>
      <c r="D572" s="559"/>
      <c r="E572" s="559"/>
      <c r="F572" s="559"/>
      <c r="G572" s="559"/>
      <c r="H572" s="559"/>
      <c r="I572" s="559"/>
      <c r="J572" s="559"/>
      <c r="K572" s="559"/>
      <c r="L572" s="559"/>
      <c r="M572" s="559"/>
      <c r="N572" s="559"/>
      <c r="O572" s="559"/>
      <c r="P572" s="559"/>
      <c r="Q572" s="559"/>
      <c r="R572" s="559"/>
      <c r="S572" s="559"/>
      <c r="T572" s="559"/>
      <c r="U572" s="559"/>
      <c r="V572" s="559"/>
      <c r="W572" s="559"/>
      <c r="X572" s="559"/>
      <c r="Y572" s="559"/>
      <c r="Z572" s="559"/>
      <c r="AA572" s="559"/>
      <c r="AB572" s="559"/>
      <c r="AC572" s="559"/>
      <c r="AD572" s="559"/>
      <c r="AE572" s="559"/>
      <c r="AF572" s="559"/>
      <c r="AG572" s="559"/>
    </row>
    <row r="573" spans="1:33" ht="18" x14ac:dyDescent="0.35">
      <c r="A573" s="559"/>
      <c r="B573" s="559"/>
      <c r="C573" s="559"/>
      <c r="D573" s="559"/>
      <c r="E573" s="559"/>
      <c r="F573" s="559"/>
      <c r="G573" s="559"/>
      <c r="H573" s="559"/>
      <c r="I573" s="559"/>
      <c r="J573" s="559"/>
      <c r="K573" s="559"/>
      <c r="L573" s="559"/>
      <c r="M573" s="559"/>
      <c r="N573" s="559"/>
      <c r="O573" s="559"/>
      <c r="P573" s="559"/>
      <c r="Q573" s="559"/>
      <c r="R573" s="559"/>
      <c r="S573" s="559"/>
      <c r="T573" s="559"/>
      <c r="U573" s="559"/>
      <c r="V573" s="559"/>
      <c r="W573" s="559"/>
      <c r="X573" s="559"/>
      <c r="Y573" s="559"/>
      <c r="Z573" s="559"/>
      <c r="AA573" s="559"/>
      <c r="AB573" s="559"/>
      <c r="AC573" s="559"/>
      <c r="AD573" s="559"/>
      <c r="AE573" s="559"/>
      <c r="AF573" s="559"/>
      <c r="AG573" s="559"/>
    </row>
    <row r="574" spans="1:33" ht="18" x14ac:dyDescent="0.35">
      <c r="A574" s="559"/>
      <c r="B574" s="559"/>
      <c r="C574" s="559"/>
      <c r="D574" s="559"/>
      <c r="E574" s="559"/>
      <c r="F574" s="559"/>
      <c r="G574" s="559"/>
      <c r="H574" s="559"/>
      <c r="I574" s="559"/>
      <c r="J574" s="559"/>
      <c r="K574" s="559"/>
      <c r="L574" s="559"/>
      <c r="M574" s="559"/>
      <c r="N574" s="559"/>
      <c r="O574" s="559"/>
      <c r="P574" s="559"/>
      <c r="Q574" s="559"/>
      <c r="R574" s="559"/>
      <c r="S574" s="559"/>
      <c r="T574" s="559"/>
      <c r="U574" s="559"/>
      <c r="V574" s="559"/>
      <c r="W574" s="559"/>
      <c r="X574" s="559"/>
      <c r="Y574" s="559"/>
      <c r="Z574" s="559"/>
      <c r="AA574" s="559"/>
      <c r="AB574" s="559"/>
      <c r="AC574" s="559"/>
      <c r="AD574" s="559"/>
      <c r="AE574" s="559"/>
      <c r="AF574" s="559"/>
      <c r="AG574" s="559"/>
    </row>
    <row r="575" spans="1:33" ht="18" x14ac:dyDescent="0.35">
      <c r="A575" s="559"/>
      <c r="B575" s="559"/>
      <c r="C575" s="559"/>
      <c r="D575" s="559"/>
      <c r="E575" s="559"/>
      <c r="F575" s="559"/>
      <c r="G575" s="559"/>
      <c r="H575" s="559"/>
      <c r="I575" s="559"/>
      <c r="J575" s="559"/>
      <c r="K575" s="559"/>
      <c r="L575" s="559"/>
      <c r="M575" s="559"/>
      <c r="N575" s="559"/>
      <c r="O575" s="559"/>
      <c r="P575" s="559"/>
      <c r="Q575" s="559"/>
      <c r="R575" s="559"/>
      <c r="S575" s="559"/>
      <c r="T575" s="559"/>
      <c r="U575" s="559"/>
      <c r="V575" s="559"/>
      <c r="W575" s="559"/>
      <c r="X575" s="559"/>
      <c r="Y575" s="559"/>
      <c r="Z575" s="559"/>
      <c r="AA575" s="559"/>
      <c r="AB575" s="559"/>
      <c r="AC575" s="559"/>
      <c r="AD575" s="559"/>
      <c r="AE575" s="559"/>
      <c r="AF575" s="559"/>
      <c r="AG575" s="559"/>
    </row>
    <row r="576" spans="1:33" ht="18" x14ac:dyDescent="0.35">
      <c r="A576" s="559"/>
      <c r="B576" s="559"/>
      <c r="C576" s="559"/>
      <c r="D576" s="559"/>
      <c r="E576" s="559"/>
      <c r="F576" s="559"/>
      <c r="G576" s="559"/>
      <c r="H576" s="559"/>
      <c r="I576" s="559"/>
      <c r="J576" s="559"/>
      <c r="K576" s="559"/>
      <c r="L576" s="559"/>
      <c r="M576" s="559"/>
      <c r="N576" s="559"/>
      <c r="O576" s="559"/>
      <c r="P576" s="559"/>
      <c r="Q576" s="559"/>
      <c r="R576" s="559"/>
      <c r="S576" s="559"/>
      <c r="T576" s="559"/>
      <c r="U576" s="559"/>
      <c r="V576" s="559"/>
      <c r="W576" s="559"/>
      <c r="X576" s="559"/>
      <c r="Y576" s="559"/>
      <c r="Z576" s="559"/>
      <c r="AA576" s="559"/>
      <c r="AB576" s="559"/>
      <c r="AC576" s="559"/>
      <c r="AD576" s="559"/>
      <c r="AE576" s="559"/>
      <c r="AF576" s="559"/>
      <c r="AG576" s="559"/>
    </row>
    <row r="577" spans="1:33" ht="18" x14ac:dyDescent="0.35">
      <c r="A577" s="559"/>
      <c r="B577" s="559"/>
      <c r="C577" s="559"/>
      <c r="D577" s="559"/>
      <c r="E577" s="559"/>
      <c r="F577" s="559"/>
      <c r="G577" s="559"/>
      <c r="H577" s="559"/>
      <c r="I577" s="559"/>
      <c r="J577" s="559"/>
      <c r="K577" s="559"/>
      <c r="L577" s="559"/>
      <c r="M577" s="559"/>
      <c r="N577" s="559"/>
      <c r="O577" s="559"/>
      <c r="P577" s="559"/>
      <c r="Q577" s="559"/>
      <c r="R577" s="559"/>
      <c r="S577" s="559"/>
      <c r="T577" s="559"/>
      <c r="U577" s="559"/>
      <c r="V577" s="559"/>
      <c r="W577" s="559"/>
      <c r="X577" s="559"/>
      <c r="Y577" s="559"/>
      <c r="Z577" s="559"/>
      <c r="AA577" s="559"/>
      <c r="AB577" s="559"/>
      <c r="AC577" s="559"/>
      <c r="AD577" s="559"/>
      <c r="AE577" s="559"/>
      <c r="AF577" s="559"/>
      <c r="AG577" s="559"/>
    </row>
    <row r="578" spans="1:33" ht="18" x14ac:dyDescent="0.35">
      <c r="A578" s="559"/>
      <c r="B578" s="559"/>
      <c r="C578" s="559"/>
      <c r="D578" s="559"/>
      <c r="E578" s="559"/>
      <c r="F578" s="559"/>
      <c r="G578" s="559"/>
      <c r="H578" s="559"/>
      <c r="I578" s="559"/>
      <c r="J578" s="559"/>
      <c r="K578" s="559"/>
      <c r="L578" s="559"/>
      <c r="M578" s="559"/>
      <c r="N578" s="559"/>
      <c r="O578" s="559"/>
      <c r="P578" s="559"/>
      <c r="Q578" s="559"/>
      <c r="R578" s="559"/>
      <c r="S578" s="559"/>
      <c r="T578" s="559"/>
      <c r="U578" s="559"/>
      <c r="V578" s="559"/>
      <c r="W578" s="559"/>
      <c r="X578" s="559"/>
      <c r="Y578" s="559"/>
      <c r="Z578" s="559"/>
      <c r="AA578" s="559"/>
      <c r="AB578" s="559"/>
      <c r="AC578" s="559"/>
      <c r="AD578" s="559"/>
      <c r="AE578" s="559"/>
      <c r="AF578" s="559"/>
      <c r="AG578" s="559"/>
    </row>
    <row r="579" spans="1:33" ht="18" x14ac:dyDescent="0.35">
      <c r="A579" s="559"/>
      <c r="B579" s="559"/>
      <c r="C579" s="559"/>
      <c r="D579" s="559"/>
      <c r="E579" s="559"/>
      <c r="F579" s="559"/>
      <c r="G579" s="559"/>
      <c r="H579" s="559"/>
      <c r="I579" s="559"/>
      <c r="J579" s="559"/>
      <c r="K579" s="559"/>
      <c r="L579" s="559"/>
      <c r="M579" s="559"/>
      <c r="N579" s="559"/>
      <c r="O579" s="559"/>
      <c r="P579" s="559"/>
      <c r="Q579" s="559"/>
      <c r="R579" s="559"/>
      <c r="S579" s="559"/>
      <c r="T579" s="559"/>
      <c r="U579" s="559"/>
      <c r="V579" s="559"/>
      <c r="W579" s="559"/>
      <c r="X579" s="559"/>
      <c r="Y579" s="559"/>
      <c r="Z579" s="559"/>
      <c r="AA579" s="559"/>
      <c r="AB579" s="559"/>
      <c r="AC579" s="559"/>
      <c r="AD579" s="559"/>
      <c r="AE579" s="559"/>
      <c r="AF579" s="559"/>
      <c r="AG579" s="559"/>
    </row>
    <row r="580" spans="1:33" ht="18" x14ac:dyDescent="0.35">
      <c r="A580" s="559"/>
      <c r="B580" s="559"/>
      <c r="C580" s="559"/>
      <c r="D580" s="559"/>
      <c r="E580" s="559"/>
      <c r="F580" s="559"/>
      <c r="G580" s="559"/>
      <c r="H580" s="559"/>
      <c r="I580" s="559"/>
      <c r="J580" s="559"/>
      <c r="K580" s="559"/>
      <c r="L580" s="559"/>
      <c r="M580" s="559"/>
      <c r="N580" s="559"/>
      <c r="O580" s="559"/>
      <c r="P580" s="559"/>
      <c r="Q580" s="559"/>
      <c r="R580" s="559"/>
      <c r="S580" s="559"/>
      <c r="T580" s="559"/>
      <c r="U580" s="559"/>
      <c r="V580" s="559"/>
      <c r="W580" s="559"/>
      <c r="X580" s="559"/>
      <c r="Y580" s="559"/>
      <c r="Z580" s="559"/>
      <c r="AA580" s="559"/>
      <c r="AB580" s="559"/>
      <c r="AC580" s="559"/>
      <c r="AD580" s="559"/>
      <c r="AE580" s="559"/>
      <c r="AF580" s="559"/>
      <c r="AG580" s="559"/>
    </row>
    <row r="581" spans="1:33" ht="18" x14ac:dyDescent="0.35">
      <c r="A581" s="559"/>
      <c r="B581" s="559"/>
      <c r="C581" s="559"/>
      <c r="D581" s="559"/>
      <c r="E581" s="559"/>
      <c r="F581" s="559"/>
      <c r="G581" s="559"/>
      <c r="H581" s="559"/>
      <c r="I581" s="559"/>
      <c r="J581" s="559"/>
      <c r="K581" s="559"/>
      <c r="L581" s="559"/>
      <c r="M581" s="559"/>
      <c r="N581" s="559"/>
      <c r="O581" s="559"/>
      <c r="P581" s="559"/>
      <c r="Q581" s="559"/>
      <c r="R581" s="559"/>
      <c r="S581" s="559"/>
      <c r="T581" s="559"/>
      <c r="U581" s="559"/>
      <c r="V581" s="559"/>
      <c r="W581" s="559"/>
      <c r="X581" s="559"/>
      <c r="Y581" s="559"/>
      <c r="Z581" s="559"/>
      <c r="AA581" s="559"/>
      <c r="AB581" s="559"/>
      <c r="AC581" s="559"/>
      <c r="AD581" s="559"/>
      <c r="AE581" s="559"/>
      <c r="AF581" s="559"/>
      <c r="AG581" s="559"/>
    </row>
    <row r="582" spans="1:33" ht="18" x14ac:dyDescent="0.35">
      <c r="A582" s="559"/>
      <c r="B582" s="559"/>
      <c r="C582" s="559"/>
      <c r="D582" s="559"/>
      <c r="E582" s="559"/>
      <c r="F582" s="559"/>
      <c r="G582" s="559"/>
      <c r="H582" s="559"/>
      <c r="I582" s="559"/>
      <c r="J582" s="559"/>
      <c r="K582" s="559"/>
      <c r="L582" s="559"/>
      <c r="M582" s="559"/>
      <c r="N582" s="559"/>
      <c r="O582" s="559"/>
      <c r="P582" s="559"/>
      <c r="Q582" s="559"/>
      <c r="R582" s="559"/>
      <c r="S582" s="559"/>
      <c r="T582" s="559"/>
      <c r="U582" s="559"/>
      <c r="V582" s="559"/>
      <c r="W582" s="559"/>
      <c r="X582" s="559"/>
      <c r="Y582" s="559"/>
      <c r="Z582" s="559"/>
      <c r="AA582" s="559"/>
      <c r="AB582" s="559"/>
      <c r="AC582" s="559"/>
      <c r="AD582" s="559"/>
      <c r="AE582" s="559"/>
      <c r="AF582" s="559"/>
      <c r="AG582" s="559"/>
    </row>
    <row r="583" spans="1:33" ht="18" x14ac:dyDescent="0.35">
      <c r="A583" s="559"/>
      <c r="B583" s="559"/>
      <c r="C583" s="559"/>
      <c r="D583" s="559"/>
      <c r="E583" s="559"/>
      <c r="F583" s="559"/>
      <c r="G583" s="559"/>
      <c r="H583" s="559"/>
      <c r="I583" s="559"/>
      <c r="J583" s="559"/>
      <c r="K583" s="559"/>
      <c r="L583" s="559"/>
      <c r="M583" s="559"/>
      <c r="N583" s="559"/>
      <c r="O583" s="559"/>
      <c r="P583" s="559"/>
      <c r="Q583" s="559"/>
      <c r="R583" s="559"/>
      <c r="S583" s="559"/>
      <c r="T583" s="559"/>
      <c r="U583" s="559"/>
      <c r="V583" s="559"/>
      <c r="W583" s="559"/>
      <c r="X583" s="559"/>
      <c r="Y583" s="559"/>
      <c r="Z583" s="559"/>
      <c r="AA583" s="559"/>
      <c r="AB583" s="559"/>
      <c r="AC583" s="559"/>
      <c r="AD583" s="559"/>
      <c r="AE583" s="559"/>
      <c r="AF583" s="559"/>
      <c r="AG583" s="559"/>
    </row>
    <row r="584" spans="1:33" ht="18" x14ac:dyDescent="0.35">
      <c r="A584" s="559"/>
      <c r="B584" s="559"/>
      <c r="C584" s="559"/>
      <c r="D584" s="559"/>
      <c r="E584" s="559"/>
      <c r="F584" s="559"/>
      <c r="G584" s="559"/>
      <c r="H584" s="559"/>
      <c r="I584" s="559"/>
      <c r="J584" s="559"/>
      <c r="K584" s="559"/>
      <c r="L584" s="559"/>
      <c r="M584" s="559"/>
      <c r="N584" s="559"/>
      <c r="O584" s="559"/>
      <c r="P584" s="559"/>
      <c r="Q584" s="559"/>
      <c r="R584" s="559"/>
      <c r="S584" s="559"/>
      <c r="T584" s="559"/>
      <c r="U584" s="559"/>
      <c r="V584" s="559"/>
      <c r="W584" s="559"/>
      <c r="X584" s="559"/>
      <c r="Y584" s="559"/>
      <c r="Z584" s="559"/>
      <c r="AA584" s="559"/>
      <c r="AB584" s="559"/>
      <c r="AC584" s="559"/>
      <c r="AD584" s="559"/>
      <c r="AE584" s="559"/>
      <c r="AF584" s="559"/>
      <c r="AG584" s="559"/>
    </row>
    <row r="585" spans="1:33" ht="18" x14ac:dyDescent="0.35">
      <c r="A585" s="559"/>
      <c r="B585" s="559"/>
      <c r="C585" s="559"/>
      <c r="D585" s="559"/>
      <c r="E585" s="559"/>
      <c r="F585" s="559"/>
      <c r="G585" s="559"/>
      <c r="H585" s="559"/>
      <c r="I585" s="559"/>
      <c r="J585" s="559"/>
      <c r="K585" s="559"/>
      <c r="L585" s="559"/>
      <c r="M585" s="559"/>
      <c r="N585" s="559"/>
      <c r="O585" s="559"/>
      <c r="P585" s="559"/>
      <c r="Q585" s="559"/>
      <c r="R585" s="559"/>
      <c r="S585" s="559"/>
      <c r="T585" s="559"/>
      <c r="U585" s="559"/>
      <c r="V585" s="559"/>
      <c r="W585" s="559"/>
      <c r="X585" s="559"/>
      <c r="Y585" s="559"/>
      <c r="Z585" s="559"/>
      <c r="AA585" s="559"/>
      <c r="AB585" s="559"/>
      <c r="AC585" s="559"/>
      <c r="AD585" s="559"/>
      <c r="AE585" s="559"/>
      <c r="AF585" s="559"/>
      <c r="AG585" s="559"/>
    </row>
    <row r="586" spans="1:33" ht="18" x14ac:dyDescent="0.35">
      <c r="A586" s="559"/>
      <c r="B586" s="559"/>
      <c r="C586" s="559"/>
      <c r="D586" s="559"/>
      <c r="E586" s="559"/>
      <c r="F586" s="559"/>
      <c r="G586" s="559"/>
      <c r="H586" s="559"/>
      <c r="I586" s="559"/>
      <c r="J586" s="559"/>
      <c r="K586" s="559"/>
      <c r="L586" s="559"/>
      <c r="M586" s="559"/>
      <c r="N586" s="559"/>
      <c r="O586" s="559"/>
      <c r="P586" s="559"/>
      <c r="Q586" s="559"/>
      <c r="R586" s="559"/>
      <c r="S586" s="559"/>
      <c r="T586" s="559"/>
      <c r="U586" s="559"/>
      <c r="V586" s="559"/>
      <c r="W586" s="559"/>
      <c r="X586" s="559"/>
      <c r="Y586" s="559"/>
      <c r="Z586" s="559"/>
      <c r="AA586" s="559"/>
      <c r="AB586" s="559"/>
      <c r="AC586" s="559"/>
      <c r="AD586" s="559"/>
      <c r="AE586" s="559"/>
      <c r="AF586" s="559"/>
      <c r="AG586" s="559"/>
    </row>
    <row r="587" spans="1:33" ht="18" x14ac:dyDescent="0.35">
      <c r="A587" s="559"/>
      <c r="B587" s="559"/>
      <c r="C587" s="559"/>
      <c r="D587" s="559"/>
      <c r="E587" s="559"/>
      <c r="F587" s="559"/>
      <c r="G587" s="559"/>
      <c r="H587" s="559"/>
      <c r="I587" s="559"/>
      <c r="J587" s="559"/>
      <c r="K587" s="559"/>
      <c r="L587" s="559"/>
      <c r="M587" s="559"/>
      <c r="N587" s="559"/>
      <c r="O587" s="559"/>
      <c r="P587" s="559"/>
      <c r="Q587" s="559"/>
      <c r="R587" s="559"/>
      <c r="S587" s="559"/>
      <c r="T587" s="559"/>
      <c r="U587" s="559"/>
      <c r="V587" s="559"/>
      <c r="W587" s="559"/>
      <c r="X587" s="559"/>
      <c r="Y587" s="559"/>
      <c r="Z587" s="559"/>
      <c r="AA587" s="559"/>
      <c r="AB587" s="559"/>
      <c r="AC587" s="559"/>
      <c r="AD587" s="559"/>
      <c r="AE587" s="559"/>
      <c r="AF587" s="559"/>
      <c r="AG587" s="559"/>
    </row>
    <row r="588" spans="1:33" ht="18" x14ac:dyDescent="0.35">
      <c r="A588" s="559"/>
      <c r="B588" s="559"/>
      <c r="C588" s="559"/>
      <c r="D588" s="559"/>
      <c r="E588" s="559"/>
      <c r="F588" s="559"/>
      <c r="G588" s="559"/>
      <c r="H588" s="559"/>
      <c r="I588" s="559"/>
      <c r="J588" s="559"/>
      <c r="K588" s="559"/>
      <c r="L588" s="559"/>
      <c r="M588" s="559"/>
      <c r="N588" s="559"/>
      <c r="O588" s="559"/>
      <c r="P588" s="559"/>
      <c r="Q588" s="559"/>
      <c r="R588" s="559"/>
      <c r="S588" s="559"/>
      <c r="T588" s="559"/>
      <c r="U588" s="559"/>
      <c r="V588" s="559"/>
      <c r="W588" s="559"/>
      <c r="X588" s="559"/>
      <c r="Y588" s="559"/>
      <c r="Z588" s="559"/>
      <c r="AA588" s="559"/>
      <c r="AB588" s="559"/>
      <c r="AC588" s="559"/>
      <c r="AD588" s="559"/>
      <c r="AE588" s="559"/>
      <c r="AF588" s="559"/>
      <c r="AG588" s="559"/>
    </row>
    <row r="589" spans="1:33" ht="18" x14ac:dyDescent="0.35">
      <c r="A589" s="559"/>
      <c r="B589" s="559"/>
      <c r="C589" s="559"/>
      <c r="D589" s="559"/>
      <c r="E589" s="559"/>
      <c r="F589" s="559"/>
      <c r="G589" s="559"/>
      <c r="H589" s="559"/>
      <c r="I589" s="559"/>
      <c r="J589" s="559"/>
      <c r="K589" s="559"/>
      <c r="L589" s="559"/>
      <c r="M589" s="559"/>
      <c r="N589" s="559"/>
      <c r="O589" s="559"/>
      <c r="P589" s="559"/>
      <c r="Q589" s="559"/>
      <c r="R589" s="559"/>
      <c r="S589" s="559"/>
      <c r="T589" s="559"/>
      <c r="U589" s="559"/>
      <c r="V589" s="559"/>
      <c r="W589" s="559"/>
      <c r="X589" s="559"/>
      <c r="Y589" s="559"/>
      <c r="Z589" s="559"/>
      <c r="AA589" s="559"/>
      <c r="AB589" s="559"/>
      <c r="AC589" s="559"/>
      <c r="AD589" s="559"/>
      <c r="AE589" s="559"/>
      <c r="AF589" s="559"/>
      <c r="AG589" s="559"/>
    </row>
    <row r="590" spans="1:33" ht="18" x14ac:dyDescent="0.35">
      <c r="A590" s="559"/>
      <c r="B590" s="559"/>
      <c r="C590" s="559"/>
      <c r="D590" s="559"/>
      <c r="E590" s="559"/>
      <c r="F590" s="559"/>
      <c r="G590" s="559"/>
      <c r="H590" s="559"/>
      <c r="I590" s="559"/>
      <c r="J590" s="559"/>
      <c r="K590" s="559"/>
      <c r="L590" s="559"/>
      <c r="M590" s="559"/>
      <c r="N590" s="559"/>
      <c r="O590" s="559"/>
      <c r="P590" s="559"/>
      <c r="Q590" s="559"/>
      <c r="R590" s="559"/>
      <c r="S590" s="559"/>
      <c r="T590" s="559"/>
      <c r="U590" s="559"/>
      <c r="V590" s="559"/>
      <c r="W590" s="559"/>
      <c r="X590" s="559"/>
      <c r="Y590" s="559"/>
      <c r="Z590" s="559"/>
      <c r="AA590" s="559"/>
      <c r="AB590" s="559"/>
      <c r="AC590" s="559"/>
      <c r="AD590" s="559"/>
      <c r="AE590" s="559"/>
      <c r="AF590" s="559"/>
      <c r="AG590" s="559"/>
    </row>
    <row r="591" spans="1:33" ht="18" x14ac:dyDescent="0.35">
      <c r="A591" s="559"/>
      <c r="B591" s="559"/>
      <c r="C591" s="559"/>
      <c r="D591" s="559"/>
      <c r="E591" s="559"/>
      <c r="F591" s="559"/>
      <c r="G591" s="559"/>
      <c r="H591" s="559"/>
      <c r="I591" s="559"/>
      <c r="J591" s="559"/>
      <c r="K591" s="559"/>
      <c r="L591" s="559"/>
      <c r="M591" s="559"/>
      <c r="N591" s="559"/>
      <c r="O591" s="559"/>
      <c r="P591" s="559"/>
      <c r="Q591" s="559"/>
      <c r="R591" s="559"/>
      <c r="S591" s="559"/>
      <c r="T591" s="559"/>
      <c r="U591" s="559"/>
      <c r="V591" s="559"/>
      <c r="W591" s="559"/>
      <c r="X591" s="559"/>
      <c r="Y591" s="559"/>
      <c r="Z591" s="559"/>
      <c r="AA591" s="559"/>
      <c r="AB591" s="559"/>
      <c r="AC591" s="559"/>
      <c r="AD591" s="559"/>
      <c r="AE591" s="559"/>
      <c r="AF591" s="559"/>
      <c r="AG591" s="559"/>
    </row>
    <row r="592" spans="1:33" ht="18" x14ac:dyDescent="0.35">
      <c r="A592" s="559"/>
      <c r="B592" s="559"/>
      <c r="C592" s="559"/>
      <c r="D592" s="559"/>
      <c r="E592" s="559"/>
      <c r="F592" s="559"/>
      <c r="G592" s="559"/>
      <c r="H592" s="559"/>
      <c r="I592" s="559"/>
      <c r="J592" s="559"/>
      <c r="K592" s="559"/>
      <c r="L592" s="559"/>
      <c r="M592" s="559"/>
      <c r="N592" s="559"/>
      <c r="O592" s="559"/>
      <c r="P592" s="559"/>
      <c r="Q592" s="559"/>
      <c r="R592" s="559"/>
      <c r="S592" s="559"/>
      <c r="T592" s="559"/>
      <c r="U592" s="559"/>
      <c r="V592" s="559"/>
      <c r="W592" s="559"/>
      <c r="X592" s="559"/>
      <c r="Y592" s="559"/>
      <c r="Z592" s="559"/>
      <c r="AA592" s="559"/>
      <c r="AB592" s="559"/>
      <c r="AC592" s="559"/>
      <c r="AD592" s="559"/>
      <c r="AE592" s="559"/>
      <c r="AF592" s="559"/>
      <c r="AG592" s="559"/>
    </row>
    <row r="593" spans="1:33" ht="18" x14ac:dyDescent="0.35">
      <c r="A593" s="559"/>
      <c r="B593" s="559"/>
      <c r="C593" s="559"/>
      <c r="D593" s="559"/>
      <c r="E593" s="559"/>
      <c r="F593" s="559"/>
      <c r="G593" s="559"/>
      <c r="H593" s="559"/>
      <c r="I593" s="559"/>
      <c r="J593" s="559"/>
      <c r="K593" s="559"/>
      <c r="L593" s="559"/>
      <c r="M593" s="559"/>
      <c r="N593" s="559"/>
      <c r="O593" s="559"/>
      <c r="P593" s="559"/>
      <c r="Q593" s="559"/>
      <c r="R593" s="559"/>
      <c r="S593" s="559"/>
      <c r="T593" s="559"/>
      <c r="U593" s="559"/>
      <c r="V593" s="559"/>
      <c r="W593" s="559"/>
      <c r="X593" s="559"/>
      <c r="Y593" s="559"/>
      <c r="Z593" s="559"/>
      <c r="AA593" s="559"/>
      <c r="AB593" s="559"/>
      <c r="AC593" s="559"/>
      <c r="AD593" s="559"/>
      <c r="AE593" s="559"/>
      <c r="AF593" s="559"/>
      <c r="AG593" s="559"/>
    </row>
    <row r="594" spans="1:33" ht="18" x14ac:dyDescent="0.35">
      <c r="A594" s="559"/>
      <c r="B594" s="559"/>
      <c r="C594" s="559"/>
      <c r="D594" s="559"/>
      <c r="E594" s="559"/>
      <c r="F594" s="559"/>
      <c r="G594" s="559"/>
      <c r="H594" s="559"/>
      <c r="I594" s="559"/>
      <c r="J594" s="559"/>
      <c r="K594" s="559"/>
      <c r="L594" s="559"/>
      <c r="M594" s="559"/>
      <c r="N594" s="559"/>
      <c r="O594" s="559"/>
      <c r="P594" s="559"/>
      <c r="Q594" s="559"/>
      <c r="R594" s="559"/>
      <c r="S594" s="559"/>
      <c r="T594" s="559"/>
      <c r="U594" s="559"/>
      <c r="V594" s="559"/>
      <c r="W594" s="559"/>
      <c r="X594" s="559"/>
      <c r="Y594" s="559"/>
      <c r="Z594" s="559"/>
      <c r="AA594" s="559"/>
      <c r="AB594" s="559"/>
      <c r="AC594" s="559"/>
      <c r="AD594" s="559"/>
      <c r="AE594" s="559"/>
      <c r="AF594" s="559"/>
      <c r="AG594" s="559"/>
    </row>
    <row r="595" spans="1:33" ht="18" x14ac:dyDescent="0.35">
      <c r="A595" s="559"/>
      <c r="B595" s="559"/>
      <c r="C595" s="559"/>
      <c r="D595" s="559"/>
      <c r="E595" s="559"/>
      <c r="F595" s="559"/>
      <c r="G595" s="559"/>
      <c r="H595" s="559"/>
      <c r="I595" s="559"/>
      <c r="J595" s="559"/>
      <c r="K595" s="559"/>
      <c r="L595" s="559"/>
      <c r="M595" s="559"/>
      <c r="N595" s="559"/>
      <c r="O595" s="559"/>
      <c r="P595" s="559"/>
      <c r="Q595" s="559"/>
      <c r="R595" s="559"/>
      <c r="S595" s="559"/>
      <c r="T595" s="559"/>
      <c r="U595" s="559"/>
      <c r="V595" s="559"/>
      <c r="W595" s="559"/>
      <c r="X595" s="559"/>
      <c r="Y595" s="559"/>
      <c r="Z595" s="559"/>
      <c r="AA595" s="559"/>
      <c r="AB595" s="559"/>
      <c r="AC595" s="559"/>
      <c r="AD595" s="559"/>
      <c r="AE595" s="559"/>
      <c r="AF595" s="559"/>
      <c r="AG595" s="559"/>
    </row>
    <row r="596" spans="1:33" ht="18" x14ac:dyDescent="0.35">
      <c r="A596" s="559"/>
      <c r="B596" s="559"/>
      <c r="C596" s="559"/>
      <c r="D596" s="559"/>
      <c r="E596" s="559"/>
      <c r="F596" s="559"/>
      <c r="G596" s="559"/>
      <c r="H596" s="559"/>
      <c r="I596" s="559"/>
      <c r="J596" s="559"/>
      <c r="K596" s="559"/>
      <c r="L596" s="559"/>
      <c r="M596" s="559"/>
      <c r="N596" s="559"/>
      <c r="O596" s="559"/>
      <c r="P596" s="559"/>
      <c r="Q596" s="559"/>
      <c r="R596" s="559"/>
      <c r="S596" s="559"/>
      <c r="T596" s="559"/>
      <c r="U596" s="559"/>
      <c r="V596" s="559"/>
      <c r="W596" s="559"/>
      <c r="X596" s="559"/>
      <c r="Y596" s="559"/>
      <c r="Z596" s="559"/>
      <c r="AA596" s="559"/>
      <c r="AB596" s="559"/>
      <c r="AC596" s="559"/>
      <c r="AD596" s="559"/>
      <c r="AE596" s="559"/>
      <c r="AF596" s="559"/>
      <c r="AG596" s="559"/>
    </row>
    <row r="597" spans="1:33" ht="18" x14ac:dyDescent="0.35">
      <c r="A597" s="559"/>
      <c r="B597" s="559"/>
      <c r="C597" s="559"/>
      <c r="D597" s="559"/>
      <c r="E597" s="559"/>
      <c r="F597" s="559"/>
      <c r="G597" s="559"/>
      <c r="H597" s="559"/>
      <c r="I597" s="559"/>
      <c r="J597" s="559"/>
      <c r="K597" s="559"/>
      <c r="L597" s="559"/>
      <c r="M597" s="559"/>
      <c r="N597" s="559"/>
      <c r="O597" s="559"/>
      <c r="P597" s="559"/>
      <c r="Q597" s="559"/>
      <c r="R597" s="559"/>
      <c r="S597" s="559"/>
      <c r="T597" s="559"/>
      <c r="U597" s="559"/>
      <c r="V597" s="559"/>
      <c r="W597" s="559"/>
      <c r="X597" s="559"/>
      <c r="Y597" s="559"/>
      <c r="Z597" s="559"/>
      <c r="AA597" s="559"/>
      <c r="AB597" s="559"/>
      <c r="AC597" s="559"/>
      <c r="AD597" s="559"/>
      <c r="AE597" s="559"/>
      <c r="AF597" s="559"/>
      <c r="AG597" s="559"/>
    </row>
    <row r="598" spans="1:33" ht="18" x14ac:dyDescent="0.35">
      <c r="A598" s="559"/>
      <c r="B598" s="559"/>
      <c r="C598" s="559"/>
      <c r="D598" s="559"/>
      <c r="E598" s="559"/>
      <c r="F598" s="559"/>
      <c r="G598" s="559"/>
      <c r="H598" s="559"/>
      <c r="I598" s="559"/>
      <c r="J598" s="559"/>
      <c r="K598" s="559"/>
      <c r="L598" s="559"/>
      <c r="M598" s="559"/>
      <c r="N598" s="559"/>
      <c r="O598" s="559"/>
      <c r="P598" s="559"/>
      <c r="Q598" s="559"/>
      <c r="R598" s="559"/>
      <c r="S598" s="559"/>
      <c r="T598" s="559"/>
      <c r="U598" s="559"/>
      <c r="V598" s="559"/>
      <c r="W598" s="559"/>
      <c r="X598" s="559"/>
      <c r="Y598" s="559"/>
      <c r="Z598" s="559"/>
      <c r="AA598" s="559"/>
      <c r="AB598" s="559"/>
      <c r="AC598" s="559"/>
      <c r="AD598" s="559"/>
      <c r="AE598" s="559"/>
      <c r="AF598" s="559"/>
      <c r="AG598" s="559"/>
    </row>
    <row r="599" spans="1:33" ht="18" x14ac:dyDescent="0.35">
      <c r="A599" s="559"/>
      <c r="B599" s="559"/>
      <c r="C599" s="559"/>
      <c r="D599" s="559"/>
      <c r="E599" s="559"/>
      <c r="F599" s="559"/>
      <c r="G599" s="559"/>
      <c r="H599" s="559"/>
      <c r="I599" s="559"/>
      <c r="J599" s="559"/>
      <c r="K599" s="559"/>
      <c r="L599" s="559"/>
      <c r="M599" s="559"/>
      <c r="N599" s="559"/>
      <c r="O599" s="559"/>
      <c r="P599" s="559"/>
      <c r="Q599" s="559"/>
      <c r="R599" s="559"/>
      <c r="S599" s="559"/>
      <c r="T599" s="559"/>
      <c r="U599" s="559"/>
      <c r="V599" s="559"/>
      <c r="W599" s="559"/>
      <c r="X599" s="559"/>
      <c r="Y599" s="559"/>
      <c r="Z599" s="559"/>
      <c r="AA599" s="559"/>
      <c r="AB599" s="559"/>
      <c r="AC599" s="559"/>
      <c r="AD599" s="559"/>
      <c r="AE599" s="559"/>
      <c r="AF599" s="559"/>
      <c r="AG599" s="559"/>
    </row>
    <row r="600" spans="1:33" ht="18" x14ac:dyDescent="0.35">
      <c r="A600" s="559"/>
      <c r="B600" s="559"/>
      <c r="C600" s="559"/>
      <c r="D600" s="559"/>
      <c r="E600" s="559"/>
      <c r="F600" s="559"/>
      <c r="G600" s="559"/>
      <c r="H600" s="559"/>
      <c r="I600" s="559"/>
      <c r="J600" s="559"/>
      <c r="K600" s="559"/>
      <c r="L600" s="559"/>
      <c r="M600" s="559"/>
      <c r="N600" s="559"/>
      <c r="O600" s="559"/>
      <c r="P600" s="559"/>
      <c r="Q600" s="559"/>
      <c r="R600" s="559"/>
      <c r="S600" s="559"/>
      <c r="T600" s="559"/>
      <c r="U600" s="559"/>
      <c r="V600" s="559"/>
      <c r="W600" s="559"/>
      <c r="X600" s="559"/>
      <c r="Y600" s="559"/>
      <c r="Z600" s="559"/>
      <c r="AA600" s="559"/>
      <c r="AB600" s="559"/>
      <c r="AC600" s="559"/>
      <c r="AD600" s="559"/>
      <c r="AE600" s="559"/>
      <c r="AF600" s="559"/>
      <c r="AG600" s="559"/>
    </row>
    <row r="601" spans="1:33" ht="18" x14ac:dyDescent="0.35">
      <c r="A601" s="559"/>
      <c r="B601" s="559"/>
      <c r="C601" s="559"/>
      <c r="D601" s="559"/>
      <c r="E601" s="559"/>
      <c r="F601" s="559"/>
      <c r="G601" s="559"/>
      <c r="H601" s="559"/>
      <c r="I601" s="559"/>
      <c r="J601" s="559"/>
      <c r="K601" s="559"/>
      <c r="L601" s="559"/>
      <c r="M601" s="559"/>
      <c r="N601" s="559"/>
      <c r="O601" s="559"/>
      <c r="P601" s="559"/>
      <c r="Q601" s="559"/>
      <c r="R601" s="559"/>
      <c r="S601" s="559"/>
      <c r="T601" s="559"/>
      <c r="U601" s="559"/>
      <c r="V601" s="559"/>
      <c r="W601" s="559"/>
      <c r="X601" s="559"/>
      <c r="Y601" s="559"/>
      <c r="Z601" s="559"/>
      <c r="AA601" s="559"/>
      <c r="AB601" s="559"/>
      <c r="AC601" s="559"/>
      <c r="AD601" s="559"/>
      <c r="AE601" s="559"/>
      <c r="AF601" s="559"/>
      <c r="AG601" s="559"/>
    </row>
    <row r="602" spans="1:33" ht="18" x14ac:dyDescent="0.35">
      <c r="A602" s="559"/>
      <c r="B602" s="559"/>
      <c r="C602" s="559"/>
      <c r="D602" s="559"/>
      <c r="E602" s="559"/>
      <c r="F602" s="559"/>
      <c r="G602" s="559"/>
      <c r="H602" s="559"/>
      <c r="I602" s="559"/>
      <c r="J602" s="559"/>
      <c r="K602" s="559"/>
      <c r="L602" s="559"/>
      <c r="M602" s="559"/>
      <c r="N602" s="559"/>
      <c r="O602" s="559"/>
      <c r="P602" s="559"/>
      <c r="Q602" s="559"/>
      <c r="R602" s="559"/>
      <c r="S602" s="559"/>
      <c r="T602" s="559"/>
      <c r="U602" s="559"/>
      <c r="V602" s="559"/>
      <c r="W602" s="559"/>
      <c r="X602" s="559"/>
      <c r="Y602" s="559"/>
      <c r="Z602" s="559"/>
      <c r="AA602" s="559"/>
      <c r="AB602" s="559"/>
      <c r="AC602" s="559"/>
      <c r="AD602" s="559"/>
      <c r="AE602" s="559"/>
      <c r="AF602" s="559"/>
      <c r="AG602" s="559"/>
    </row>
    <row r="603" spans="1:33" ht="18" x14ac:dyDescent="0.35">
      <c r="A603" s="559"/>
      <c r="B603" s="559"/>
      <c r="C603" s="559"/>
      <c r="D603" s="559"/>
      <c r="E603" s="559"/>
      <c r="F603" s="559"/>
      <c r="G603" s="559"/>
      <c r="H603" s="559"/>
      <c r="I603" s="559"/>
      <c r="J603" s="559"/>
      <c r="K603" s="559"/>
      <c r="L603" s="559"/>
      <c r="M603" s="559"/>
      <c r="N603" s="559"/>
      <c r="O603" s="559"/>
      <c r="P603" s="559"/>
      <c r="Q603" s="559"/>
      <c r="R603" s="559"/>
      <c r="S603" s="559"/>
      <c r="T603" s="559"/>
      <c r="U603" s="559"/>
      <c r="V603" s="559"/>
      <c r="W603" s="559"/>
      <c r="X603" s="559"/>
      <c r="Y603" s="559"/>
      <c r="Z603" s="559"/>
      <c r="AA603" s="559"/>
      <c r="AB603" s="559"/>
      <c r="AC603" s="559"/>
      <c r="AD603" s="559"/>
      <c r="AE603" s="559"/>
      <c r="AF603" s="559"/>
      <c r="AG603" s="559"/>
    </row>
    <row r="604" spans="1:33" ht="18" x14ac:dyDescent="0.35">
      <c r="A604" s="559"/>
      <c r="B604" s="559"/>
      <c r="C604" s="559"/>
      <c r="D604" s="559"/>
      <c r="E604" s="559"/>
      <c r="F604" s="559"/>
      <c r="G604" s="559"/>
      <c r="H604" s="559"/>
      <c r="I604" s="559"/>
      <c r="J604" s="559"/>
      <c r="K604" s="559"/>
      <c r="L604" s="559"/>
      <c r="M604" s="559"/>
      <c r="N604" s="559"/>
      <c r="O604" s="559"/>
      <c r="P604" s="559"/>
      <c r="Q604" s="559"/>
      <c r="R604" s="559"/>
      <c r="S604" s="559"/>
      <c r="T604" s="559"/>
      <c r="U604" s="559"/>
      <c r="V604" s="559"/>
      <c r="W604" s="559"/>
      <c r="X604" s="559"/>
      <c r="Y604" s="559"/>
      <c r="Z604" s="559"/>
      <c r="AA604" s="559"/>
      <c r="AB604" s="559"/>
      <c r="AC604" s="559"/>
      <c r="AD604" s="559"/>
      <c r="AE604" s="559"/>
      <c r="AF604" s="559"/>
      <c r="AG604" s="559"/>
    </row>
    <row r="605" spans="1:33" ht="18" x14ac:dyDescent="0.35">
      <c r="A605" s="559"/>
      <c r="B605" s="559"/>
      <c r="C605" s="559"/>
      <c r="D605" s="559"/>
      <c r="E605" s="559"/>
      <c r="F605" s="559"/>
      <c r="G605" s="559"/>
      <c r="H605" s="559"/>
      <c r="I605" s="559"/>
      <c r="J605" s="559"/>
      <c r="K605" s="559"/>
      <c r="L605" s="559"/>
      <c r="M605" s="559"/>
      <c r="N605" s="559"/>
      <c r="O605" s="559"/>
      <c r="P605" s="559"/>
      <c r="Q605" s="559"/>
      <c r="R605" s="559"/>
      <c r="S605" s="559"/>
      <c r="T605" s="559"/>
      <c r="U605" s="559"/>
      <c r="V605" s="559"/>
      <c r="W605" s="559"/>
      <c r="X605" s="559"/>
      <c r="Y605" s="559"/>
      <c r="Z605" s="559"/>
      <c r="AA605" s="559"/>
      <c r="AB605" s="559"/>
      <c r="AC605" s="559"/>
      <c r="AD605" s="559"/>
      <c r="AE605" s="559"/>
      <c r="AF605" s="559"/>
      <c r="AG605" s="559"/>
    </row>
    <row r="606" spans="1:33" ht="18" x14ac:dyDescent="0.35">
      <c r="A606" s="559"/>
      <c r="B606" s="559"/>
      <c r="C606" s="559"/>
      <c r="D606" s="559"/>
      <c r="E606" s="559"/>
      <c r="F606" s="559"/>
      <c r="G606" s="559"/>
      <c r="H606" s="559"/>
      <c r="I606" s="559"/>
      <c r="J606" s="559"/>
      <c r="K606" s="559"/>
      <c r="L606" s="559"/>
      <c r="M606" s="559"/>
      <c r="N606" s="559"/>
      <c r="O606" s="559"/>
      <c r="P606" s="559"/>
      <c r="Q606" s="559"/>
      <c r="R606" s="559"/>
      <c r="S606" s="559"/>
      <c r="T606" s="559"/>
      <c r="U606" s="559"/>
      <c r="V606" s="559"/>
      <c r="W606" s="559"/>
      <c r="X606" s="559"/>
      <c r="Y606" s="559"/>
      <c r="Z606" s="559"/>
      <c r="AA606" s="559"/>
      <c r="AB606" s="559"/>
      <c r="AC606" s="559"/>
      <c r="AD606" s="559"/>
      <c r="AE606" s="559"/>
      <c r="AF606" s="559"/>
      <c r="AG606" s="559"/>
    </row>
    <row r="607" spans="1:33" ht="18" x14ac:dyDescent="0.35">
      <c r="A607" s="559"/>
      <c r="B607" s="559"/>
      <c r="C607" s="559"/>
      <c r="D607" s="559"/>
      <c r="E607" s="559"/>
      <c r="F607" s="559"/>
      <c r="G607" s="559"/>
      <c r="H607" s="559"/>
      <c r="I607" s="559"/>
      <c r="J607" s="559"/>
      <c r="K607" s="559"/>
      <c r="L607" s="559"/>
      <c r="M607" s="559"/>
      <c r="N607" s="559"/>
      <c r="O607" s="559"/>
      <c r="P607" s="559"/>
      <c r="Q607" s="559"/>
      <c r="R607" s="559"/>
      <c r="S607" s="559"/>
      <c r="T607" s="559"/>
      <c r="U607" s="559"/>
      <c r="V607" s="559"/>
      <c r="W607" s="559"/>
      <c r="X607" s="559"/>
      <c r="Y607" s="559"/>
      <c r="Z607" s="559"/>
      <c r="AA607" s="559"/>
      <c r="AB607" s="559"/>
      <c r="AC607" s="559"/>
      <c r="AD607" s="559"/>
      <c r="AE607" s="559"/>
      <c r="AF607" s="559"/>
      <c r="AG607" s="559"/>
    </row>
    <row r="608" spans="1:33" ht="18" x14ac:dyDescent="0.35">
      <c r="A608" s="559"/>
      <c r="B608" s="559"/>
      <c r="C608" s="559"/>
      <c r="D608" s="559"/>
      <c r="E608" s="559"/>
      <c r="F608" s="559"/>
      <c r="G608" s="559"/>
      <c r="H608" s="559"/>
      <c r="I608" s="559"/>
      <c r="J608" s="559"/>
      <c r="K608" s="559"/>
      <c r="L608" s="559"/>
      <c r="M608" s="559"/>
      <c r="N608" s="559"/>
      <c r="O608" s="559"/>
      <c r="P608" s="559"/>
      <c r="Q608" s="559"/>
      <c r="R608" s="559"/>
      <c r="S608" s="559"/>
      <c r="T608" s="559"/>
      <c r="U608" s="559"/>
      <c r="V608" s="559"/>
      <c r="W608" s="559"/>
      <c r="X608" s="559"/>
      <c r="Y608" s="559"/>
      <c r="Z608" s="559"/>
      <c r="AA608" s="559"/>
      <c r="AB608" s="559"/>
      <c r="AC608" s="559"/>
      <c r="AD608" s="559"/>
      <c r="AE608" s="559"/>
      <c r="AF608" s="559"/>
      <c r="AG608" s="559"/>
    </row>
    <row r="609" spans="1:33" ht="18" x14ac:dyDescent="0.35">
      <c r="A609" s="559"/>
      <c r="B609" s="559"/>
      <c r="C609" s="559"/>
      <c r="D609" s="559"/>
      <c r="E609" s="559"/>
      <c r="F609" s="559"/>
      <c r="G609" s="559"/>
      <c r="H609" s="559"/>
      <c r="I609" s="559"/>
      <c r="J609" s="559"/>
      <c r="K609" s="559"/>
      <c r="L609" s="559"/>
      <c r="M609" s="559"/>
      <c r="N609" s="559"/>
      <c r="O609" s="559"/>
      <c r="P609" s="559"/>
      <c r="Q609" s="559"/>
      <c r="R609" s="559"/>
      <c r="S609" s="559"/>
      <c r="T609" s="559"/>
      <c r="U609" s="559"/>
      <c r="V609" s="559"/>
      <c r="W609" s="559"/>
      <c r="X609" s="559"/>
      <c r="Y609" s="559"/>
      <c r="Z609" s="559"/>
      <c r="AA609" s="559"/>
      <c r="AB609" s="559"/>
      <c r="AC609" s="559"/>
      <c r="AD609" s="559"/>
      <c r="AE609" s="559"/>
      <c r="AF609" s="559"/>
      <c r="AG609" s="559"/>
    </row>
    <row r="610" spans="1:33" ht="18" x14ac:dyDescent="0.35">
      <c r="A610" s="559"/>
      <c r="B610" s="559"/>
      <c r="C610" s="559"/>
      <c r="D610" s="559"/>
      <c r="E610" s="559"/>
      <c r="F610" s="559"/>
      <c r="G610" s="559"/>
      <c r="H610" s="559"/>
      <c r="I610" s="559"/>
      <c r="J610" s="559"/>
      <c r="K610" s="559"/>
      <c r="L610" s="559"/>
      <c r="M610" s="559"/>
      <c r="N610" s="559"/>
      <c r="O610" s="559"/>
      <c r="P610" s="559"/>
      <c r="Q610" s="559"/>
      <c r="R610" s="559"/>
      <c r="S610" s="559"/>
      <c r="T610" s="559"/>
      <c r="U610" s="559"/>
      <c r="V610" s="559"/>
      <c r="W610" s="559"/>
      <c r="X610" s="559"/>
      <c r="Y610" s="559"/>
      <c r="Z610" s="559"/>
      <c r="AA610" s="559"/>
      <c r="AB610" s="559"/>
      <c r="AC610" s="559"/>
      <c r="AD610" s="559"/>
      <c r="AE610" s="559"/>
      <c r="AF610" s="559"/>
      <c r="AG610" s="559"/>
    </row>
    <row r="611" spans="1:33" ht="18" x14ac:dyDescent="0.35">
      <c r="A611" s="559"/>
      <c r="B611" s="559"/>
      <c r="C611" s="559"/>
      <c r="D611" s="559"/>
      <c r="E611" s="559"/>
      <c r="F611" s="559"/>
      <c r="G611" s="559"/>
      <c r="H611" s="559"/>
      <c r="I611" s="559"/>
      <c r="J611" s="559"/>
      <c r="K611" s="559"/>
      <c r="L611" s="559"/>
      <c r="M611" s="559"/>
      <c r="N611" s="559"/>
      <c r="O611" s="559"/>
      <c r="P611" s="559"/>
      <c r="Q611" s="559"/>
      <c r="R611" s="559"/>
      <c r="S611" s="559"/>
      <c r="T611" s="559"/>
      <c r="U611" s="559"/>
      <c r="V611" s="559"/>
      <c r="W611" s="559"/>
      <c r="X611" s="559"/>
      <c r="Y611" s="559"/>
      <c r="Z611" s="559"/>
      <c r="AA611" s="559"/>
      <c r="AB611" s="559"/>
      <c r="AC611" s="559"/>
      <c r="AD611" s="559"/>
      <c r="AE611" s="559"/>
      <c r="AF611" s="559"/>
      <c r="AG611" s="559"/>
    </row>
    <row r="612" spans="1:33" ht="18" x14ac:dyDescent="0.35">
      <c r="A612" s="559"/>
      <c r="B612" s="559"/>
      <c r="C612" s="559"/>
      <c r="D612" s="559"/>
      <c r="E612" s="559"/>
      <c r="F612" s="559"/>
      <c r="G612" s="559"/>
      <c r="H612" s="559"/>
      <c r="I612" s="559"/>
      <c r="J612" s="559"/>
      <c r="K612" s="559"/>
      <c r="L612" s="559"/>
      <c r="M612" s="559"/>
      <c r="N612" s="559"/>
      <c r="O612" s="559"/>
      <c r="P612" s="559"/>
      <c r="Q612" s="559"/>
      <c r="R612" s="559"/>
      <c r="S612" s="559"/>
      <c r="T612" s="559"/>
      <c r="U612" s="559"/>
      <c r="V612" s="559"/>
      <c r="W612" s="559"/>
      <c r="X612" s="559"/>
      <c r="Y612" s="559"/>
      <c r="Z612" s="559"/>
      <c r="AA612" s="559"/>
      <c r="AB612" s="559"/>
      <c r="AC612" s="559"/>
      <c r="AD612" s="559"/>
      <c r="AE612" s="559"/>
      <c r="AF612" s="559"/>
      <c r="AG612" s="559"/>
    </row>
    <row r="613" spans="1:33" ht="18" x14ac:dyDescent="0.35">
      <c r="A613" s="559"/>
      <c r="B613" s="559"/>
      <c r="C613" s="559"/>
      <c r="D613" s="559"/>
      <c r="E613" s="559"/>
      <c r="F613" s="559"/>
      <c r="G613" s="559"/>
      <c r="H613" s="559"/>
      <c r="I613" s="559"/>
      <c r="J613" s="559"/>
      <c r="K613" s="559"/>
      <c r="L613" s="559"/>
      <c r="M613" s="559"/>
      <c r="N613" s="559"/>
      <c r="O613" s="559"/>
      <c r="P613" s="559"/>
      <c r="Q613" s="559"/>
      <c r="R613" s="559"/>
      <c r="S613" s="559"/>
      <c r="T613" s="559"/>
      <c r="U613" s="559"/>
      <c r="V613" s="559"/>
      <c r="W613" s="559"/>
      <c r="X613" s="559"/>
      <c r="Y613" s="559"/>
      <c r="Z613" s="559"/>
      <c r="AA613" s="559"/>
      <c r="AB613" s="559"/>
      <c r="AC613" s="559"/>
      <c r="AD613" s="559"/>
      <c r="AE613" s="559"/>
      <c r="AF613" s="559"/>
      <c r="AG613" s="559"/>
    </row>
    <row r="614" spans="1:33" ht="18" x14ac:dyDescent="0.35">
      <c r="A614" s="559"/>
      <c r="B614" s="559"/>
      <c r="C614" s="559"/>
      <c r="D614" s="559"/>
      <c r="E614" s="559"/>
      <c r="F614" s="559"/>
      <c r="G614" s="559"/>
      <c r="H614" s="559"/>
      <c r="I614" s="559"/>
      <c r="J614" s="559"/>
      <c r="K614" s="559"/>
      <c r="L614" s="559"/>
      <c r="M614" s="559"/>
      <c r="N614" s="559"/>
      <c r="O614" s="559"/>
      <c r="P614" s="559"/>
      <c r="Q614" s="559"/>
      <c r="R614" s="559"/>
      <c r="S614" s="559"/>
      <c r="T614" s="559"/>
      <c r="U614" s="559"/>
      <c r="V614" s="559"/>
      <c r="W614" s="559"/>
      <c r="X614" s="559"/>
      <c r="Y614" s="559"/>
      <c r="Z614" s="559"/>
      <c r="AA614" s="559"/>
      <c r="AB614" s="559"/>
      <c r="AC614" s="559"/>
      <c r="AD614" s="559"/>
      <c r="AE614" s="559"/>
      <c r="AF614" s="559"/>
      <c r="AG614" s="559"/>
    </row>
    <row r="615" spans="1:33" ht="18" x14ac:dyDescent="0.35">
      <c r="A615" s="559"/>
      <c r="B615" s="559"/>
      <c r="C615" s="559"/>
      <c r="D615" s="559"/>
      <c r="E615" s="559"/>
      <c r="F615" s="559"/>
      <c r="G615" s="559"/>
      <c r="H615" s="559"/>
      <c r="I615" s="559"/>
      <c r="J615" s="559"/>
      <c r="K615" s="559"/>
      <c r="L615" s="559"/>
      <c r="M615" s="559"/>
      <c r="N615" s="559"/>
      <c r="O615" s="559"/>
      <c r="P615" s="559"/>
      <c r="Q615" s="559"/>
      <c r="R615" s="559"/>
      <c r="S615" s="559"/>
      <c r="T615" s="559"/>
      <c r="U615" s="559"/>
      <c r="V615" s="559"/>
      <c r="W615" s="559"/>
      <c r="X615" s="559"/>
      <c r="Y615" s="559"/>
      <c r="Z615" s="559"/>
      <c r="AA615" s="559"/>
      <c r="AB615" s="559"/>
      <c r="AC615" s="559"/>
      <c r="AD615" s="559"/>
      <c r="AE615" s="559"/>
      <c r="AF615" s="559"/>
      <c r="AG615" s="559"/>
    </row>
    <row r="616" spans="1:33" ht="18" x14ac:dyDescent="0.35">
      <c r="A616" s="559"/>
      <c r="B616" s="559"/>
      <c r="C616" s="559"/>
      <c r="D616" s="559"/>
      <c r="E616" s="559"/>
      <c r="F616" s="559"/>
      <c r="G616" s="559"/>
      <c r="H616" s="559"/>
      <c r="I616" s="559"/>
      <c r="J616" s="559"/>
      <c r="K616" s="559"/>
      <c r="L616" s="559"/>
      <c r="M616" s="559"/>
      <c r="N616" s="559"/>
      <c r="O616" s="559"/>
      <c r="P616" s="559"/>
      <c r="Q616" s="559"/>
      <c r="R616" s="559"/>
      <c r="S616" s="559"/>
      <c r="T616" s="559"/>
      <c r="U616" s="559"/>
      <c r="V616" s="559"/>
      <c r="W616" s="559"/>
      <c r="X616" s="559"/>
      <c r="Y616" s="559"/>
      <c r="Z616" s="559"/>
      <c r="AA616" s="559"/>
      <c r="AB616" s="559"/>
      <c r="AC616" s="559"/>
      <c r="AD616" s="559"/>
      <c r="AE616" s="559"/>
      <c r="AF616" s="559"/>
      <c r="AG616" s="559"/>
    </row>
    <row r="617" spans="1:33" ht="18" x14ac:dyDescent="0.35">
      <c r="A617" s="559"/>
      <c r="B617" s="559"/>
      <c r="C617" s="559"/>
      <c r="D617" s="559"/>
      <c r="E617" s="559"/>
      <c r="F617" s="559"/>
      <c r="G617" s="559"/>
      <c r="H617" s="559"/>
      <c r="I617" s="559"/>
      <c r="J617" s="559"/>
      <c r="K617" s="559"/>
      <c r="L617" s="559"/>
      <c r="M617" s="559"/>
      <c r="N617" s="559"/>
      <c r="O617" s="559"/>
      <c r="P617" s="559"/>
      <c r="Q617" s="559"/>
      <c r="R617" s="559"/>
      <c r="S617" s="559"/>
      <c r="T617" s="559"/>
      <c r="U617" s="559"/>
      <c r="V617" s="559"/>
      <c r="W617" s="559"/>
      <c r="X617" s="559"/>
      <c r="Y617" s="559"/>
      <c r="Z617" s="559"/>
      <c r="AA617" s="559"/>
      <c r="AB617" s="559"/>
      <c r="AC617" s="559"/>
      <c r="AD617" s="559"/>
      <c r="AE617" s="559"/>
      <c r="AF617" s="559"/>
      <c r="AG617" s="559"/>
    </row>
    <row r="618" spans="1:33" ht="18" x14ac:dyDescent="0.35">
      <c r="A618" s="559"/>
      <c r="B618" s="559"/>
      <c r="C618" s="559"/>
      <c r="D618" s="559"/>
      <c r="E618" s="559"/>
      <c r="F618" s="559"/>
      <c r="G618" s="559"/>
      <c r="H618" s="559"/>
      <c r="I618" s="559"/>
      <c r="J618" s="559"/>
      <c r="K618" s="559"/>
      <c r="L618" s="559"/>
      <c r="M618" s="559"/>
      <c r="N618" s="559"/>
      <c r="O618" s="559"/>
      <c r="P618" s="559"/>
      <c r="Q618" s="559"/>
      <c r="R618" s="559"/>
      <c r="S618" s="559"/>
      <c r="T618" s="559"/>
      <c r="U618" s="559"/>
      <c r="V618" s="559"/>
      <c r="W618" s="559"/>
      <c r="X618" s="559"/>
      <c r="Y618" s="559"/>
      <c r="Z618" s="559"/>
      <c r="AA618" s="559"/>
      <c r="AB618" s="559"/>
      <c r="AC618" s="559"/>
      <c r="AD618" s="559"/>
      <c r="AE618" s="559"/>
      <c r="AF618" s="559"/>
      <c r="AG618" s="559"/>
    </row>
    <row r="619" spans="1:33" ht="18" x14ac:dyDescent="0.35">
      <c r="A619" s="559"/>
      <c r="B619" s="559"/>
      <c r="C619" s="559"/>
      <c r="D619" s="559"/>
      <c r="E619" s="559"/>
      <c r="F619" s="559"/>
      <c r="G619" s="559"/>
      <c r="H619" s="559"/>
      <c r="I619" s="559"/>
      <c r="J619" s="559"/>
      <c r="K619" s="559"/>
      <c r="L619" s="559"/>
      <c r="M619" s="559"/>
      <c r="N619" s="559"/>
      <c r="O619" s="559"/>
      <c r="P619" s="559"/>
      <c r="Q619" s="559"/>
      <c r="R619" s="559"/>
      <c r="S619" s="559"/>
      <c r="T619" s="559"/>
      <c r="U619" s="559"/>
      <c r="V619" s="559"/>
      <c r="W619" s="559"/>
      <c r="X619" s="559"/>
      <c r="Y619" s="559"/>
      <c r="Z619" s="559"/>
      <c r="AA619" s="559"/>
      <c r="AB619" s="559"/>
      <c r="AC619" s="559"/>
      <c r="AD619" s="559"/>
      <c r="AE619" s="559"/>
      <c r="AF619" s="559"/>
      <c r="AG619" s="559"/>
    </row>
    <row r="620" spans="1:33" ht="18" x14ac:dyDescent="0.35">
      <c r="A620" s="559"/>
      <c r="B620" s="559"/>
      <c r="C620" s="559"/>
      <c r="D620" s="559"/>
      <c r="E620" s="559"/>
      <c r="F620" s="559"/>
      <c r="G620" s="559"/>
      <c r="H620" s="559"/>
      <c r="I620" s="559"/>
      <c r="J620" s="559"/>
      <c r="K620" s="559"/>
      <c r="L620" s="559"/>
      <c r="M620" s="559"/>
      <c r="N620" s="559"/>
      <c r="O620" s="559"/>
      <c r="P620" s="559"/>
      <c r="Q620" s="559"/>
      <c r="R620" s="559"/>
      <c r="S620" s="559"/>
      <c r="T620" s="559"/>
      <c r="U620" s="559"/>
      <c r="V620" s="559"/>
      <c r="W620" s="559"/>
      <c r="X620" s="559"/>
      <c r="Y620" s="559"/>
      <c r="Z620" s="559"/>
      <c r="AA620" s="559"/>
      <c r="AB620" s="559"/>
      <c r="AC620" s="559"/>
      <c r="AD620" s="559"/>
      <c r="AE620" s="559"/>
      <c r="AF620" s="559"/>
      <c r="AG620" s="559"/>
    </row>
    <row r="621" spans="1:33" ht="18" x14ac:dyDescent="0.35">
      <c r="A621" s="559"/>
      <c r="B621" s="559"/>
      <c r="C621" s="559"/>
      <c r="D621" s="559"/>
      <c r="E621" s="559"/>
      <c r="F621" s="559"/>
      <c r="G621" s="559"/>
      <c r="H621" s="559"/>
      <c r="I621" s="559"/>
      <c r="J621" s="559"/>
      <c r="K621" s="559"/>
      <c r="L621" s="559"/>
      <c r="M621" s="559"/>
      <c r="N621" s="559"/>
      <c r="O621" s="559"/>
      <c r="P621" s="559"/>
      <c r="Q621" s="559"/>
      <c r="R621" s="559"/>
      <c r="S621" s="559"/>
      <c r="T621" s="559"/>
      <c r="U621" s="559"/>
      <c r="V621" s="559"/>
      <c r="W621" s="559"/>
      <c r="X621" s="559"/>
      <c r="Y621" s="559"/>
      <c r="Z621" s="559"/>
      <c r="AA621" s="559"/>
      <c r="AB621" s="559"/>
      <c r="AC621" s="559"/>
      <c r="AD621" s="559"/>
      <c r="AE621" s="559"/>
      <c r="AF621" s="559"/>
      <c r="AG621" s="559"/>
    </row>
    <row r="622" spans="1:33" ht="18" x14ac:dyDescent="0.35">
      <c r="A622" s="559"/>
      <c r="B622" s="559"/>
      <c r="C622" s="559"/>
      <c r="D622" s="559"/>
      <c r="E622" s="559"/>
      <c r="F622" s="559"/>
      <c r="G622" s="559"/>
      <c r="H622" s="559"/>
      <c r="I622" s="559"/>
      <c r="J622" s="559"/>
      <c r="K622" s="559"/>
      <c r="L622" s="559"/>
      <c r="M622" s="559"/>
      <c r="N622" s="559"/>
      <c r="O622" s="559"/>
      <c r="P622" s="559"/>
      <c r="Q622" s="559"/>
      <c r="R622" s="559"/>
      <c r="S622" s="559"/>
      <c r="T622" s="559"/>
      <c r="U622" s="559"/>
      <c r="V622" s="559"/>
      <c r="W622" s="559"/>
      <c r="X622" s="559"/>
      <c r="Y622" s="559"/>
      <c r="Z622" s="559"/>
      <c r="AA622" s="559"/>
      <c r="AB622" s="559"/>
      <c r="AC622" s="559"/>
      <c r="AD622" s="559"/>
      <c r="AE622" s="559"/>
      <c r="AF622" s="559"/>
      <c r="AG622" s="559"/>
    </row>
    <row r="623" spans="1:33" ht="18" x14ac:dyDescent="0.35">
      <c r="A623" s="559"/>
      <c r="B623" s="559"/>
      <c r="C623" s="559"/>
      <c r="D623" s="559"/>
      <c r="E623" s="559"/>
      <c r="F623" s="559"/>
      <c r="G623" s="559"/>
      <c r="H623" s="559"/>
      <c r="I623" s="559"/>
      <c r="J623" s="559"/>
      <c r="K623" s="559"/>
      <c r="L623" s="559"/>
      <c r="M623" s="559"/>
      <c r="N623" s="559"/>
      <c r="O623" s="559"/>
      <c r="P623" s="559"/>
      <c r="Q623" s="559"/>
      <c r="R623" s="559"/>
      <c r="S623" s="559"/>
      <c r="T623" s="559"/>
      <c r="U623" s="559"/>
      <c r="V623" s="559"/>
      <c r="W623" s="559"/>
      <c r="X623" s="559"/>
      <c r="Y623" s="559"/>
      <c r="Z623" s="559"/>
      <c r="AA623" s="559"/>
      <c r="AB623" s="559"/>
      <c r="AC623" s="559"/>
      <c r="AD623" s="559"/>
      <c r="AE623" s="559"/>
      <c r="AF623" s="559"/>
      <c r="AG623" s="559"/>
    </row>
    <row r="624" spans="1:33" ht="18" x14ac:dyDescent="0.35">
      <c r="A624" s="559"/>
      <c r="B624" s="559"/>
      <c r="C624" s="559"/>
      <c r="D624" s="559"/>
      <c r="E624" s="559"/>
      <c r="F624" s="559"/>
      <c r="G624" s="559"/>
      <c r="H624" s="559"/>
      <c r="I624" s="559"/>
      <c r="J624" s="559"/>
      <c r="K624" s="559"/>
      <c r="L624" s="559"/>
      <c r="M624" s="559"/>
      <c r="N624" s="559"/>
      <c r="O624" s="559"/>
      <c r="P624" s="559"/>
      <c r="Q624" s="559"/>
      <c r="R624" s="559"/>
      <c r="S624" s="559"/>
      <c r="T624" s="559"/>
      <c r="U624" s="559"/>
      <c r="V624" s="559"/>
      <c r="W624" s="559"/>
      <c r="X624" s="559"/>
      <c r="Y624" s="559"/>
      <c r="Z624" s="559"/>
      <c r="AA624" s="559"/>
      <c r="AB624" s="559"/>
      <c r="AC624" s="559"/>
      <c r="AD624" s="559"/>
      <c r="AE624" s="559"/>
      <c r="AF624" s="559"/>
      <c r="AG624" s="559"/>
    </row>
    <row r="625" spans="1:33" ht="18" x14ac:dyDescent="0.35">
      <c r="A625" s="559"/>
      <c r="B625" s="559"/>
      <c r="C625" s="559"/>
      <c r="D625" s="559"/>
      <c r="E625" s="559"/>
      <c r="F625" s="559"/>
      <c r="G625" s="559"/>
      <c r="H625" s="559"/>
      <c r="I625" s="559"/>
      <c r="J625" s="559"/>
      <c r="K625" s="559"/>
      <c r="L625" s="559"/>
      <c r="M625" s="559"/>
      <c r="N625" s="559"/>
      <c r="O625" s="559"/>
      <c r="P625" s="559"/>
      <c r="Q625" s="559"/>
      <c r="R625" s="559"/>
      <c r="S625" s="559"/>
      <c r="T625" s="559"/>
      <c r="U625" s="559"/>
      <c r="V625" s="559"/>
      <c r="W625" s="559"/>
      <c r="X625" s="559"/>
      <c r="Y625" s="559"/>
      <c r="Z625" s="559"/>
      <c r="AA625" s="559"/>
      <c r="AB625" s="559"/>
      <c r="AC625" s="559"/>
      <c r="AD625" s="559"/>
      <c r="AE625" s="559"/>
      <c r="AF625" s="559"/>
      <c r="AG625" s="559"/>
    </row>
    <row r="626" spans="1:33" ht="18" x14ac:dyDescent="0.35">
      <c r="A626" s="559"/>
      <c r="B626" s="559"/>
      <c r="C626" s="559"/>
      <c r="D626" s="559"/>
      <c r="E626" s="559"/>
      <c r="F626" s="559"/>
      <c r="G626" s="559"/>
      <c r="H626" s="559"/>
      <c r="I626" s="559"/>
      <c r="J626" s="559"/>
      <c r="K626" s="559"/>
      <c r="L626" s="559"/>
      <c r="M626" s="559"/>
      <c r="N626" s="559"/>
      <c r="O626" s="559"/>
      <c r="P626" s="559"/>
      <c r="Q626" s="559"/>
      <c r="R626" s="559"/>
      <c r="S626" s="559"/>
      <c r="T626" s="559"/>
      <c r="U626" s="559"/>
      <c r="V626" s="559"/>
      <c r="W626" s="559"/>
      <c r="X626" s="559"/>
      <c r="Y626" s="559"/>
      <c r="Z626" s="559"/>
      <c r="AA626" s="559"/>
      <c r="AB626" s="559"/>
      <c r="AC626" s="559"/>
      <c r="AD626" s="559"/>
      <c r="AE626" s="559"/>
      <c r="AF626" s="559"/>
      <c r="AG626" s="559"/>
    </row>
    <row r="627" spans="1:33" ht="18" x14ac:dyDescent="0.35">
      <c r="A627" s="559"/>
      <c r="B627" s="559"/>
      <c r="C627" s="559"/>
      <c r="D627" s="559"/>
      <c r="E627" s="559"/>
      <c r="F627" s="559"/>
      <c r="G627" s="559"/>
      <c r="H627" s="559"/>
      <c r="I627" s="559"/>
      <c r="J627" s="559"/>
      <c r="K627" s="559"/>
      <c r="L627" s="559"/>
      <c r="M627" s="559"/>
      <c r="N627" s="559"/>
      <c r="O627" s="559"/>
      <c r="P627" s="559"/>
      <c r="Q627" s="559"/>
      <c r="R627" s="559"/>
      <c r="S627" s="559"/>
      <c r="T627" s="559"/>
      <c r="U627" s="559"/>
      <c r="V627" s="559"/>
      <c r="W627" s="559"/>
      <c r="X627" s="559"/>
      <c r="Y627" s="559"/>
      <c r="Z627" s="559"/>
      <c r="AA627" s="559"/>
      <c r="AB627" s="559"/>
      <c r="AC627" s="559"/>
      <c r="AD627" s="559"/>
      <c r="AE627" s="559"/>
      <c r="AF627" s="559"/>
      <c r="AG627" s="559"/>
    </row>
    <row r="628" spans="1:33" ht="18" x14ac:dyDescent="0.35">
      <c r="A628" s="559"/>
      <c r="B628" s="559"/>
      <c r="C628" s="559"/>
      <c r="D628" s="559"/>
      <c r="E628" s="559"/>
      <c r="F628" s="559"/>
      <c r="G628" s="559"/>
      <c r="H628" s="559"/>
      <c r="I628" s="559"/>
      <c r="J628" s="559"/>
      <c r="K628" s="559"/>
      <c r="L628" s="559"/>
      <c r="M628" s="559"/>
      <c r="N628" s="559"/>
      <c r="O628" s="559"/>
      <c r="P628" s="559"/>
      <c r="Q628" s="559"/>
      <c r="R628" s="559"/>
      <c r="S628" s="559"/>
      <c r="T628" s="559"/>
      <c r="U628" s="559"/>
      <c r="V628" s="559"/>
      <c r="W628" s="559"/>
      <c r="X628" s="559"/>
      <c r="Y628" s="559"/>
      <c r="Z628" s="559"/>
      <c r="AA628" s="559"/>
      <c r="AB628" s="559"/>
      <c r="AC628" s="559"/>
      <c r="AD628" s="559"/>
      <c r="AE628" s="559"/>
      <c r="AF628" s="559"/>
      <c r="AG628" s="559"/>
    </row>
    <row r="629" spans="1:33" ht="18" x14ac:dyDescent="0.35">
      <c r="A629" s="559"/>
      <c r="B629" s="559"/>
      <c r="C629" s="559"/>
      <c r="D629" s="559"/>
      <c r="E629" s="559"/>
      <c r="F629" s="559"/>
      <c r="G629" s="559"/>
      <c r="H629" s="559"/>
      <c r="I629" s="559"/>
      <c r="J629" s="559"/>
      <c r="K629" s="559"/>
      <c r="L629" s="559"/>
      <c r="M629" s="559"/>
      <c r="N629" s="559"/>
      <c r="O629" s="559"/>
      <c r="P629" s="559"/>
      <c r="Q629" s="559"/>
      <c r="R629" s="559"/>
      <c r="S629" s="559"/>
      <c r="T629" s="559"/>
      <c r="U629" s="559"/>
      <c r="V629" s="559"/>
      <c r="W629" s="559"/>
      <c r="X629" s="559"/>
      <c r="Y629" s="559"/>
      <c r="Z629" s="559"/>
      <c r="AA629" s="559"/>
      <c r="AB629" s="559"/>
      <c r="AC629" s="559"/>
      <c r="AD629" s="559"/>
      <c r="AE629" s="559"/>
      <c r="AF629" s="559"/>
      <c r="AG629" s="559"/>
    </row>
    <row r="630" spans="1:33" ht="18" x14ac:dyDescent="0.35">
      <c r="A630" s="559"/>
      <c r="B630" s="559"/>
      <c r="C630" s="559"/>
      <c r="D630" s="559"/>
      <c r="E630" s="559"/>
      <c r="F630" s="559"/>
      <c r="G630" s="559"/>
      <c r="H630" s="559"/>
      <c r="I630" s="559"/>
      <c r="J630" s="559"/>
      <c r="K630" s="559"/>
      <c r="L630" s="559"/>
      <c r="M630" s="559"/>
      <c r="N630" s="559"/>
      <c r="O630" s="559"/>
      <c r="P630" s="559"/>
      <c r="Q630" s="559"/>
      <c r="R630" s="559"/>
      <c r="S630" s="559"/>
      <c r="T630" s="559"/>
      <c r="U630" s="559"/>
      <c r="V630" s="559"/>
      <c r="W630" s="559"/>
      <c r="X630" s="559"/>
      <c r="Y630" s="559"/>
      <c r="Z630" s="559"/>
      <c r="AA630" s="559"/>
      <c r="AB630" s="559"/>
      <c r="AC630" s="559"/>
      <c r="AD630" s="559"/>
      <c r="AE630" s="559"/>
      <c r="AF630" s="559"/>
      <c r="AG630" s="559"/>
    </row>
    <row r="631" spans="1:33" ht="18" x14ac:dyDescent="0.35">
      <c r="A631" s="559"/>
      <c r="B631" s="559"/>
      <c r="C631" s="559"/>
      <c r="D631" s="559"/>
      <c r="E631" s="559"/>
      <c r="F631" s="559"/>
      <c r="G631" s="559"/>
      <c r="H631" s="559"/>
      <c r="I631" s="559"/>
      <c r="J631" s="559"/>
      <c r="K631" s="559"/>
      <c r="L631" s="559"/>
      <c r="M631" s="559"/>
      <c r="N631" s="559"/>
      <c r="O631" s="559"/>
      <c r="P631" s="559"/>
      <c r="Q631" s="559"/>
      <c r="R631" s="559"/>
      <c r="S631" s="559"/>
      <c r="T631" s="559"/>
      <c r="U631" s="559"/>
      <c r="V631" s="559"/>
      <c r="W631" s="559"/>
      <c r="X631" s="559"/>
      <c r="Y631" s="559"/>
      <c r="Z631" s="559"/>
      <c r="AA631" s="559"/>
      <c r="AB631" s="559"/>
      <c r="AC631" s="559"/>
      <c r="AD631" s="559"/>
      <c r="AE631" s="559"/>
      <c r="AF631" s="559"/>
      <c r="AG631" s="559"/>
    </row>
    <row r="632" spans="1:33" ht="18" x14ac:dyDescent="0.35">
      <c r="A632" s="559"/>
      <c r="B632" s="559"/>
      <c r="C632" s="559"/>
      <c r="D632" s="559"/>
      <c r="E632" s="559"/>
      <c r="F632" s="559"/>
      <c r="G632" s="559"/>
      <c r="H632" s="559"/>
      <c r="I632" s="559"/>
      <c r="J632" s="559"/>
      <c r="K632" s="559"/>
      <c r="L632" s="559"/>
      <c r="M632" s="559"/>
      <c r="N632" s="559"/>
      <c r="O632" s="559"/>
      <c r="P632" s="559"/>
      <c r="Q632" s="559"/>
      <c r="R632" s="559"/>
      <c r="S632" s="559"/>
      <c r="T632" s="559"/>
      <c r="U632" s="559"/>
      <c r="V632" s="559"/>
      <c r="W632" s="559"/>
      <c r="X632" s="559"/>
      <c r="Y632" s="559"/>
      <c r="Z632" s="559"/>
      <c r="AA632" s="559"/>
      <c r="AB632" s="559"/>
      <c r="AC632" s="559"/>
      <c r="AD632" s="559"/>
      <c r="AE632" s="559"/>
      <c r="AF632" s="559"/>
      <c r="AG632" s="559"/>
    </row>
    <row r="633" spans="1:33" ht="18" x14ac:dyDescent="0.35">
      <c r="A633" s="559"/>
      <c r="B633" s="559"/>
      <c r="C633" s="559"/>
      <c r="D633" s="559"/>
      <c r="E633" s="559"/>
      <c r="F633" s="559"/>
      <c r="G633" s="559"/>
      <c r="H633" s="559"/>
      <c r="I633" s="559"/>
      <c r="J633" s="559"/>
      <c r="K633" s="559"/>
      <c r="L633" s="559"/>
      <c r="M633" s="559"/>
      <c r="N633" s="559"/>
      <c r="O633" s="559"/>
      <c r="P633" s="559"/>
      <c r="Q633" s="559"/>
      <c r="R633" s="559"/>
      <c r="S633" s="559"/>
      <c r="T633" s="559"/>
      <c r="U633" s="559"/>
      <c r="V633" s="559"/>
      <c r="W633" s="559"/>
      <c r="X633" s="559"/>
      <c r="Y633" s="559"/>
      <c r="Z633" s="559"/>
      <c r="AA633" s="559"/>
      <c r="AB633" s="559"/>
      <c r="AC633" s="559"/>
      <c r="AD633" s="559"/>
      <c r="AE633" s="559"/>
      <c r="AF633" s="559"/>
      <c r="AG633" s="559"/>
    </row>
    <row r="634" spans="1:33" ht="18" x14ac:dyDescent="0.35">
      <c r="A634" s="559"/>
      <c r="B634" s="559"/>
      <c r="C634" s="559"/>
      <c r="D634" s="559"/>
      <c r="E634" s="559"/>
      <c r="F634" s="559"/>
      <c r="G634" s="559"/>
      <c r="H634" s="559"/>
      <c r="I634" s="559"/>
      <c r="J634" s="559"/>
      <c r="K634" s="559"/>
      <c r="L634" s="559"/>
      <c r="M634" s="559"/>
      <c r="N634" s="559"/>
      <c r="O634" s="559"/>
      <c r="P634" s="559"/>
      <c r="Q634" s="559"/>
      <c r="R634" s="559"/>
      <c r="S634" s="559"/>
      <c r="T634" s="559"/>
      <c r="U634" s="559"/>
      <c r="V634" s="559"/>
      <c r="W634" s="559"/>
      <c r="X634" s="559"/>
      <c r="Y634" s="559"/>
      <c r="Z634" s="559"/>
      <c r="AA634" s="559"/>
      <c r="AB634" s="559"/>
      <c r="AC634" s="559"/>
      <c r="AD634" s="559"/>
      <c r="AE634" s="559"/>
      <c r="AF634" s="559"/>
      <c r="AG634" s="559"/>
    </row>
    <row r="635" spans="1:33" ht="18" x14ac:dyDescent="0.35">
      <c r="A635" s="559"/>
      <c r="B635" s="559"/>
      <c r="C635" s="559"/>
      <c r="D635" s="559"/>
      <c r="E635" s="559"/>
      <c r="F635" s="559"/>
      <c r="G635" s="559"/>
      <c r="H635" s="559"/>
      <c r="I635" s="559"/>
      <c r="J635" s="559"/>
      <c r="K635" s="559"/>
      <c r="L635" s="559"/>
      <c r="M635" s="559"/>
      <c r="N635" s="559"/>
      <c r="O635" s="559"/>
      <c r="P635" s="559"/>
      <c r="Q635" s="559"/>
      <c r="R635" s="559"/>
      <c r="S635" s="559"/>
      <c r="T635" s="559"/>
      <c r="U635" s="559"/>
      <c r="V635" s="559"/>
      <c r="W635" s="559"/>
      <c r="X635" s="559"/>
      <c r="Y635" s="559"/>
      <c r="Z635" s="559"/>
      <c r="AA635" s="559"/>
      <c r="AB635" s="559"/>
      <c r="AC635" s="559"/>
      <c r="AD635" s="559"/>
      <c r="AE635" s="559"/>
      <c r="AF635" s="559"/>
      <c r="AG635" s="559"/>
    </row>
    <row r="636" spans="1:33" ht="18" x14ac:dyDescent="0.35">
      <c r="A636" s="559"/>
      <c r="B636" s="559"/>
      <c r="C636" s="559"/>
      <c r="D636" s="559"/>
      <c r="E636" s="559"/>
      <c r="F636" s="559"/>
      <c r="G636" s="559"/>
      <c r="H636" s="559"/>
      <c r="I636" s="559"/>
      <c r="J636" s="559"/>
      <c r="K636" s="559"/>
      <c r="L636" s="559"/>
      <c r="M636" s="559"/>
      <c r="N636" s="559"/>
      <c r="O636" s="559"/>
      <c r="P636" s="559"/>
      <c r="Q636" s="559"/>
      <c r="R636" s="559"/>
      <c r="S636" s="559"/>
      <c r="T636" s="559"/>
      <c r="U636" s="559"/>
      <c r="V636" s="559"/>
      <c r="W636" s="559"/>
      <c r="X636" s="559"/>
      <c r="Y636" s="559"/>
      <c r="Z636" s="559"/>
      <c r="AA636" s="559"/>
      <c r="AB636" s="559"/>
      <c r="AC636" s="559"/>
      <c r="AD636" s="559"/>
      <c r="AE636" s="559"/>
      <c r="AF636" s="559"/>
      <c r="AG636" s="559"/>
    </row>
    <row r="637" spans="1:33" ht="18" x14ac:dyDescent="0.35">
      <c r="A637" s="559"/>
      <c r="B637" s="559"/>
      <c r="C637" s="559"/>
      <c r="D637" s="559"/>
      <c r="E637" s="559"/>
      <c r="F637" s="559"/>
      <c r="G637" s="559"/>
      <c r="H637" s="559"/>
      <c r="I637" s="559"/>
      <c r="J637" s="559"/>
      <c r="K637" s="559"/>
      <c r="L637" s="559"/>
      <c r="M637" s="559"/>
      <c r="N637" s="559"/>
      <c r="O637" s="559"/>
      <c r="P637" s="559"/>
      <c r="Q637" s="559"/>
      <c r="R637" s="559"/>
      <c r="S637" s="559"/>
      <c r="T637" s="559"/>
      <c r="U637" s="559"/>
      <c r="V637" s="559"/>
      <c r="W637" s="559"/>
      <c r="X637" s="559"/>
      <c r="Y637" s="559"/>
      <c r="Z637" s="559"/>
      <c r="AA637" s="559"/>
      <c r="AB637" s="559"/>
      <c r="AC637" s="559"/>
      <c r="AD637" s="559"/>
      <c r="AE637" s="559"/>
      <c r="AF637" s="559"/>
      <c r="AG637" s="559"/>
    </row>
    <row r="638" spans="1:33" ht="18" x14ac:dyDescent="0.35">
      <c r="A638" s="559"/>
      <c r="B638" s="559"/>
      <c r="C638" s="559"/>
      <c r="D638" s="559"/>
      <c r="E638" s="559"/>
      <c r="F638" s="559"/>
      <c r="G638" s="559"/>
      <c r="H638" s="559"/>
      <c r="I638" s="559"/>
      <c r="J638" s="559"/>
      <c r="K638" s="559"/>
      <c r="L638" s="559"/>
      <c r="M638" s="559"/>
      <c r="N638" s="559"/>
      <c r="O638" s="559"/>
      <c r="P638" s="559"/>
      <c r="Q638" s="559"/>
      <c r="R638" s="559"/>
      <c r="S638" s="559"/>
      <c r="T638" s="559"/>
      <c r="U638" s="559"/>
      <c r="V638" s="559"/>
      <c r="W638" s="559"/>
      <c r="X638" s="559"/>
      <c r="Y638" s="559"/>
      <c r="Z638" s="559"/>
      <c r="AA638" s="559"/>
      <c r="AB638" s="559"/>
      <c r="AC638" s="559"/>
      <c r="AD638" s="559"/>
      <c r="AE638" s="559"/>
      <c r="AF638" s="559"/>
      <c r="AG638" s="559"/>
    </row>
    <row r="639" spans="1:33" ht="18" x14ac:dyDescent="0.35">
      <c r="A639" s="559"/>
      <c r="B639" s="559"/>
      <c r="C639" s="559"/>
      <c r="D639" s="559"/>
      <c r="E639" s="559"/>
      <c r="F639" s="559"/>
      <c r="G639" s="559"/>
      <c r="H639" s="559"/>
      <c r="I639" s="559"/>
      <c r="J639" s="559"/>
      <c r="K639" s="559"/>
      <c r="L639" s="559"/>
      <c r="M639" s="559"/>
      <c r="N639" s="559"/>
      <c r="O639" s="559"/>
      <c r="P639" s="559"/>
      <c r="Q639" s="559"/>
      <c r="R639" s="559"/>
      <c r="S639" s="559"/>
      <c r="T639" s="559"/>
      <c r="U639" s="559"/>
      <c r="V639" s="559"/>
      <c r="W639" s="559"/>
      <c r="X639" s="559"/>
      <c r="Y639" s="559"/>
      <c r="Z639" s="559"/>
      <c r="AA639" s="559"/>
      <c r="AB639" s="559"/>
      <c r="AC639" s="559"/>
      <c r="AD639" s="559"/>
      <c r="AE639" s="559"/>
      <c r="AF639" s="559"/>
      <c r="AG639" s="559"/>
    </row>
    <row r="640" spans="1:33" ht="18" x14ac:dyDescent="0.35">
      <c r="A640" s="559"/>
      <c r="B640" s="559"/>
      <c r="C640" s="559"/>
      <c r="D640" s="559"/>
      <c r="E640" s="559"/>
      <c r="F640" s="559"/>
      <c r="G640" s="559"/>
      <c r="H640" s="559"/>
      <c r="I640" s="559"/>
      <c r="J640" s="559"/>
      <c r="K640" s="559"/>
      <c r="L640" s="559"/>
      <c r="M640" s="559"/>
      <c r="N640" s="559"/>
      <c r="O640" s="559"/>
      <c r="P640" s="559"/>
      <c r="Q640" s="559"/>
      <c r="R640" s="559"/>
      <c r="S640" s="559"/>
      <c r="T640" s="559"/>
      <c r="U640" s="559"/>
      <c r="V640" s="559"/>
      <c r="W640" s="559"/>
      <c r="X640" s="559"/>
      <c r="Y640" s="559"/>
      <c r="Z640" s="559"/>
      <c r="AA640" s="559"/>
      <c r="AB640" s="559"/>
      <c r="AC640" s="559"/>
      <c r="AD640" s="559"/>
      <c r="AE640" s="559"/>
      <c r="AF640" s="559"/>
      <c r="AG640" s="559"/>
    </row>
    <row r="641" spans="1:33" ht="18" x14ac:dyDescent="0.35">
      <c r="A641" s="559"/>
      <c r="B641" s="559"/>
      <c r="C641" s="559"/>
      <c r="D641" s="559"/>
      <c r="E641" s="559"/>
      <c r="F641" s="559"/>
      <c r="G641" s="559"/>
      <c r="H641" s="559"/>
      <c r="I641" s="559"/>
      <c r="J641" s="559"/>
      <c r="K641" s="559"/>
      <c r="L641" s="559"/>
      <c r="M641" s="559"/>
      <c r="N641" s="559"/>
      <c r="O641" s="559"/>
      <c r="P641" s="559"/>
      <c r="Q641" s="559"/>
      <c r="R641" s="559"/>
      <c r="S641" s="559"/>
      <c r="T641" s="559"/>
      <c r="U641" s="559"/>
      <c r="V641" s="559"/>
      <c r="W641" s="559"/>
      <c r="X641" s="559"/>
      <c r="Y641" s="559"/>
      <c r="Z641" s="559"/>
      <c r="AA641" s="559"/>
      <c r="AB641" s="559"/>
      <c r="AC641" s="559"/>
      <c r="AD641" s="559"/>
      <c r="AE641" s="559"/>
      <c r="AF641" s="559"/>
      <c r="AG641" s="559"/>
    </row>
    <row r="642" spans="1:33" ht="18" x14ac:dyDescent="0.35">
      <c r="A642" s="559"/>
      <c r="B642" s="559"/>
      <c r="C642" s="559"/>
      <c r="D642" s="559"/>
      <c r="E642" s="559"/>
      <c r="F642" s="559"/>
      <c r="G642" s="559"/>
      <c r="H642" s="559"/>
      <c r="I642" s="559"/>
      <c r="J642" s="559"/>
      <c r="K642" s="559"/>
      <c r="L642" s="559"/>
      <c r="M642" s="559"/>
      <c r="N642" s="559"/>
      <c r="O642" s="559"/>
      <c r="P642" s="559"/>
      <c r="Q642" s="559"/>
      <c r="R642" s="559"/>
      <c r="S642" s="559"/>
      <c r="T642" s="559"/>
      <c r="U642" s="559"/>
      <c r="V642" s="559"/>
      <c r="W642" s="559"/>
      <c r="X642" s="559"/>
      <c r="Y642" s="559"/>
      <c r="Z642" s="559"/>
      <c r="AA642" s="559"/>
      <c r="AB642" s="559"/>
      <c r="AC642" s="559"/>
      <c r="AD642" s="559"/>
      <c r="AE642" s="559"/>
      <c r="AF642" s="559"/>
      <c r="AG642" s="559"/>
    </row>
    <row r="643" spans="1:33" ht="18" x14ac:dyDescent="0.35">
      <c r="A643" s="559"/>
      <c r="B643" s="559"/>
      <c r="C643" s="559"/>
      <c r="D643" s="559"/>
      <c r="E643" s="559"/>
      <c r="F643" s="559"/>
      <c r="G643" s="559"/>
      <c r="H643" s="559"/>
      <c r="I643" s="559"/>
      <c r="J643" s="559"/>
      <c r="K643" s="559"/>
      <c r="L643" s="559"/>
      <c r="M643" s="559"/>
      <c r="N643" s="559"/>
      <c r="O643" s="559"/>
      <c r="P643" s="559"/>
      <c r="Q643" s="559"/>
      <c r="R643" s="559"/>
      <c r="S643" s="559"/>
      <c r="T643" s="559"/>
      <c r="U643" s="559"/>
      <c r="V643" s="559"/>
      <c r="W643" s="559"/>
      <c r="X643" s="559"/>
      <c r="Y643" s="559"/>
      <c r="Z643" s="559"/>
      <c r="AA643" s="559"/>
      <c r="AB643" s="559"/>
      <c r="AC643" s="559"/>
      <c r="AD643" s="559"/>
      <c r="AE643" s="559"/>
      <c r="AF643" s="559"/>
      <c r="AG643" s="559"/>
    </row>
    <row r="644" spans="1:33" ht="18" x14ac:dyDescent="0.35">
      <c r="A644" s="559"/>
      <c r="B644" s="559"/>
      <c r="C644" s="559"/>
      <c r="D644" s="559"/>
      <c r="E644" s="559"/>
      <c r="F644" s="559"/>
      <c r="G644" s="559"/>
      <c r="H644" s="559"/>
      <c r="I644" s="559"/>
      <c r="J644" s="559"/>
      <c r="K644" s="559"/>
      <c r="L644" s="559"/>
      <c r="M644" s="559"/>
      <c r="N644" s="559"/>
      <c r="O644" s="559"/>
      <c r="P644" s="559"/>
      <c r="Q644" s="559"/>
      <c r="R644" s="559"/>
      <c r="S644" s="559"/>
      <c r="T644" s="559"/>
      <c r="U644" s="559"/>
      <c r="V644" s="559"/>
      <c r="W644" s="559"/>
      <c r="X644" s="559"/>
      <c r="Y644" s="559"/>
      <c r="Z644" s="559"/>
      <c r="AA644" s="559"/>
      <c r="AB644" s="559"/>
      <c r="AC644" s="559"/>
      <c r="AD644" s="559"/>
      <c r="AE644" s="559"/>
      <c r="AF644" s="559"/>
      <c r="AG644" s="559"/>
    </row>
    <row r="645" spans="1:33" ht="18" x14ac:dyDescent="0.35">
      <c r="A645" s="559"/>
      <c r="B645" s="559"/>
      <c r="C645" s="559"/>
      <c r="D645" s="559"/>
      <c r="E645" s="559"/>
      <c r="F645" s="559"/>
      <c r="G645" s="559"/>
      <c r="H645" s="559"/>
      <c r="I645" s="559"/>
      <c r="J645" s="559"/>
      <c r="K645" s="559"/>
      <c r="L645" s="559"/>
      <c r="M645" s="559"/>
      <c r="N645" s="559"/>
      <c r="O645" s="559"/>
      <c r="P645" s="559"/>
      <c r="Q645" s="559"/>
      <c r="R645" s="559"/>
      <c r="S645" s="559"/>
      <c r="T645" s="559"/>
      <c r="U645" s="559"/>
      <c r="V645" s="559"/>
      <c r="W645" s="559"/>
      <c r="X645" s="559"/>
      <c r="Y645" s="559"/>
      <c r="Z645" s="559"/>
      <c r="AA645" s="559"/>
      <c r="AB645" s="559"/>
      <c r="AC645" s="559"/>
      <c r="AD645" s="559"/>
      <c r="AE645" s="559"/>
      <c r="AF645" s="559"/>
      <c r="AG645" s="559"/>
    </row>
    <row r="646" spans="1:33" ht="18" x14ac:dyDescent="0.35">
      <c r="A646" s="559"/>
      <c r="B646" s="559"/>
      <c r="C646" s="559"/>
      <c r="D646" s="559"/>
      <c r="E646" s="559"/>
      <c r="F646" s="559"/>
      <c r="G646" s="559"/>
      <c r="H646" s="559"/>
      <c r="I646" s="559"/>
      <c r="J646" s="559"/>
      <c r="K646" s="559"/>
      <c r="L646" s="559"/>
      <c r="M646" s="559"/>
      <c r="N646" s="559"/>
      <c r="O646" s="559"/>
      <c r="P646" s="559"/>
      <c r="Q646" s="559"/>
      <c r="R646" s="559"/>
      <c r="S646" s="559"/>
      <c r="T646" s="559"/>
      <c r="U646" s="559"/>
      <c r="V646" s="559"/>
      <c r="W646" s="559"/>
      <c r="X646" s="559"/>
      <c r="Y646" s="559"/>
      <c r="Z646" s="559"/>
      <c r="AA646" s="559"/>
      <c r="AB646" s="559"/>
      <c r="AC646" s="559"/>
      <c r="AD646" s="559"/>
      <c r="AE646" s="559"/>
      <c r="AF646" s="559"/>
      <c r="AG646" s="559"/>
    </row>
    <row r="647" spans="1:33" ht="18" x14ac:dyDescent="0.35">
      <c r="A647" s="559"/>
      <c r="B647" s="559"/>
      <c r="C647" s="559"/>
      <c r="D647" s="559"/>
      <c r="E647" s="559"/>
      <c r="F647" s="559"/>
      <c r="G647" s="559"/>
      <c r="H647" s="559"/>
      <c r="I647" s="559"/>
      <c r="J647" s="559"/>
      <c r="K647" s="559"/>
      <c r="L647" s="559"/>
      <c r="M647" s="559"/>
      <c r="N647" s="559"/>
      <c r="O647" s="559"/>
      <c r="P647" s="559"/>
      <c r="Q647" s="559"/>
      <c r="R647" s="559"/>
      <c r="S647" s="559"/>
      <c r="T647" s="559"/>
      <c r="U647" s="559"/>
      <c r="V647" s="559"/>
      <c r="W647" s="559"/>
      <c r="X647" s="559"/>
      <c r="Y647" s="559"/>
      <c r="Z647" s="559"/>
      <c r="AA647" s="559"/>
      <c r="AB647" s="559"/>
      <c r="AC647" s="559"/>
      <c r="AD647" s="559"/>
      <c r="AE647" s="559"/>
      <c r="AF647" s="559"/>
      <c r="AG647" s="559"/>
    </row>
    <row r="648" spans="1:33" ht="18" x14ac:dyDescent="0.35">
      <c r="A648" s="559"/>
      <c r="B648" s="559"/>
      <c r="C648" s="559"/>
      <c r="D648" s="559"/>
      <c r="E648" s="559"/>
      <c r="F648" s="559"/>
      <c r="G648" s="559"/>
      <c r="H648" s="559"/>
      <c r="I648" s="559"/>
      <c r="J648" s="559"/>
      <c r="K648" s="559"/>
      <c r="L648" s="559"/>
      <c r="M648" s="559"/>
      <c r="N648" s="559"/>
      <c r="O648" s="559"/>
      <c r="P648" s="559"/>
      <c r="Q648" s="559"/>
      <c r="R648" s="559"/>
      <c r="S648" s="559"/>
      <c r="T648" s="559"/>
      <c r="U648" s="559"/>
      <c r="V648" s="559"/>
      <c r="W648" s="559"/>
      <c r="X648" s="559"/>
      <c r="Y648" s="559"/>
      <c r="Z648" s="559"/>
      <c r="AA648" s="559"/>
      <c r="AB648" s="559"/>
      <c r="AC648" s="559"/>
      <c r="AD648" s="559"/>
      <c r="AE648" s="559"/>
      <c r="AF648" s="559"/>
      <c r="AG648" s="559"/>
    </row>
    <row r="649" spans="1:33" ht="18" x14ac:dyDescent="0.35">
      <c r="A649" s="559"/>
      <c r="B649" s="559"/>
      <c r="C649" s="559"/>
      <c r="D649" s="559"/>
      <c r="E649" s="559"/>
      <c r="F649" s="559"/>
      <c r="G649" s="559"/>
      <c r="H649" s="559"/>
      <c r="I649" s="559"/>
      <c r="J649" s="559"/>
      <c r="K649" s="559"/>
      <c r="L649" s="559"/>
      <c r="M649" s="559"/>
      <c r="N649" s="559"/>
      <c r="O649" s="559"/>
      <c r="P649" s="559"/>
      <c r="Q649" s="559"/>
      <c r="R649" s="559"/>
      <c r="S649" s="559"/>
      <c r="T649" s="559"/>
      <c r="U649" s="559"/>
      <c r="V649" s="559"/>
      <c r="W649" s="559"/>
      <c r="X649" s="559"/>
      <c r="Y649" s="559"/>
      <c r="Z649" s="559"/>
      <c r="AA649" s="559"/>
      <c r="AB649" s="559"/>
      <c r="AC649" s="559"/>
      <c r="AD649" s="559"/>
      <c r="AE649" s="559"/>
      <c r="AF649" s="559"/>
      <c r="AG649" s="559"/>
    </row>
    <row r="650" spans="1:33" ht="18" x14ac:dyDescent="0.35">
      <c r="A650" s="559"/>
      <c r="B650" s="559"/>
      <c r="C650" s="559"/>
      <c r="D650" s="559"/>
      <c r="E650" s="559"/>
      <c r="F650" s="559"/>
      <c r="G650" s="559"/>
      <c r="H650" s="559"/>
      <c r="I650" s="559"/>
      <c r="J650" s="559"/>
      <c r="K650" s="559"/>
      <c r="L650" s="559"/>
      <c r="M650" s="559"/>
      <c r="N650" s="559"/>
      <c r="O650" s="559"/>
      <c r="P650" s="559"/>
      <c r="Q650" s="559"/>
      <c r="R650" s="559"/>
      <c r="S650" s="559"/>
      <c r="T650" s="559"/>
      <c r="U650" s="559"/>
      <c r="V650" s="559"/>
      <c r="W650" s="559"/>
      <c r="X650" s="559"/>
      <c r="Y650" s="559"/>
      <c r="Z650" s="559"/>
      <c r="AA650" s="559"/>
      <c r="AB650" s="559"/>
      <c r="AC650" s="559"/>
      <c r="AD650" s="559"/>
      <c r="AE650" s="559"/>
      <c r="AF650" s="559"/>
      <c r="AG650" s="559"/>
    </row>
    <row r="651" spans="1:33" ht="18" x14ac:dyDescent="0.35">
      <c r="A651" s="559"/>
      <c r="B651" s="559"/>
      <c r="C651" s="559"/>
      <c r="D651" s="559"/>
      <c r="E651" s="559"/>
      <c r="F651" s="559"/>
      <c r="G651" s="559"/>
      <c r="H651" s="559"/>
      <c r="I651" s="559"/>
      <c r="J651" s="559"/>
      <c r="K651" s="559"/>
      <c r="L651" s="559"/>
      <c r="M651" s="559"/>
      <c r="N651" s="559"/>
      <c r="O651" s="559"/>
      <c r="P651" s="559"/>
      <c r="Q651" s="559"/>
      <c r="R651" s="559"/>
      <c r="S651" s="559"/>
      <c r="T651" s="559"/>
      <c r="U651" s="559"/>
      <c r="V651" s="559"/>
      <c r="W651" s="559"/>
      <c r="X651" s="559"/>
      <c r="Y651" s="559"/>
      <c r="Z651" s="559"/>
      <c r="AA651" s="559"/>
      <c r="AB651" s="559"/>
      <c r="AC651" s="559"/>
      <c r="AD651" s="559"/>
      <c r="AE651" s="559"/>
      <c r="AF651" s="559"/>
      <c r="AG651" s="559"/>
    </row>
    <row r="652" spans="1:33" ht="18" x14ac:dyDescent="0.35">
      <c r="A652" s="559"/>
      <c r="B652" s="559"/>
      <c r="C652" s="559"/>
      <c r="D652" s="559"/>
      <c r="E652" s="559"/>
      <c r="F652" s="559"/>
      <c r="G652" s="559"/>
      <c r="H652" s="559"/>
      <c r="I652" s="559"/>
      <c r="J652" s="559"/>
      <c r="K652" s="559"/>
      <c r="L652" s="559"/>
      <c r="M652" s="559"/>
      <c r="N652" s="559"/>
      <c r="O652" s="559"/>
      <c r="P652" s="559"/>
      <c r="Q652" s="559"/>
      <c r="R652" s="559"/>
      <c r="S652" s="559"/>
      <c r="T652" s="559"/>
      <c r="U652" s="559"/>
      <c r="V652" s="559"/>
      <c r="W652" s="559"/>
      <c r="X652" s="559"/>
      <c r="Y652" s="559"/>
      <c r="Z652" s="559"/>
      <c r="AA652" s="559"/>
      <c r="AB652" s="559"/>
      <c r="AC652" s="559"/>
      <c r="AD652" s="559"/>
      <c r="AE652" s="559"/>
      <c r="AF652" s="559"/>
      <c r="AG652" s="559"/>
    </row>
    <row r="653" spans="1:33" ht="18" x14ac:dyDescent="0.35">
      <c r="A653" s="559"/>
      <c r="B653" s="559"/>
      <c r="C653" s="559"/>
      <c r="D653" s="559"/>
      <c r="E653" s="559"/>
      <c r="F653" s="559"/>
      <c r="G653" s="559"/>
      <c r="H653" s="559"/>
      <c r="I653" s="559"/>
      <c r="J653" s="559"/>
      <c r="K653" s="559"/>
      <c r="L653" s="559"/>
      <c r="M653" s="559"/>
      <c r="N653" s="559"/>
      <c r="O653" s="559"/>
      <c r="P653" s="559"/>
      <c r="Q653" s="559"/>
      <c r="R653" s="559"/>
      <c r="S653" s="559"/>
      <c r="T653" s="559"/>
      <c r="U653" s="559"/>
      <c r="V653" s="559"/>
      <c r="W653" s="559"/>
      <c r="X653" s="559"/>
      <c r="Y653" s="559"/>
      <c r="Z653" s="559"/>
      <c r="AA653" s="559"/>
      <c r="AB653" s="559"/>
      <c r="AC653" s="559"/>
      <c r="AD653" s="559"/>
      <c r="AE653" s="559"/>
      <c r="AF653" s="559"/>
      <c r="AG653" s="559"/>
    </row>
    <row r="654" spans="1:33" ht="18" x14ac:dyDescent="0.35">
      <c r="A654" s="559"/>
      <c r="B654" s="559"/>
      <c r="C654" s="559"/>
      <c r="D654" s="559"/>
      <c r="E654" s="559"/>
      <c r="F654" s="559"/>
      <c r="G654" s="559"/>
      <c r="H654" s="559"/>
      <c r="I654" s="559"/>
      <c r="J654" s="559"/>
      <c r="K654" s="559"/>
      <c r="L654" s="559"/>
      <c r="M654" s="559"/>
      <c r="N654" s="559"/>
      <c r="O654" s="559"/>
      <c r="P654" s="559"/>
      <c r="Q654" s="559"/>
      <c r="R654" s="559"/>
      <c r="S654" s="559"/>
      <c r="T654" s="559"/>
      <c r="U654" s="559"/>
      <c r="V654" s="559"/>
      <c r="W654" s="559"/>
      <c r="X654" s="559"/>
      <c r="Y654" s="559"/>
      <c r="Z654" s="559"/>
      <c r="AA654" s="559"/>
      <c r="AB654" s="559"/>
      <c r="AC654" s="559"/>
      <c r="AD654" s="559"/>
      <c r="AE654" s="559"/>
      <c r="AF654" s="559"/>
      <c r="AG654" s="559"/>
    </row>
    <row r="655" spans="1:33" ht="18" x14ac:dyDescent="0.35">
      <c r="A655" s="559"/>
      <c r="B655" s="559"/>
      <c r="C655" s="559"/>
      <c r="D655" s="559"/>
      <c r="E655" s="559"/>
      <c r="F655" s="559"/>
      <c r="G655" s="559"/>
      <c r="H655" s="559"/>
      <c r="I655" s="559"/>
      <c r="J655" s="559"/>
      <c r="K655" s="559"/>
      <c r="L655" s="559"/>
      <c r="M655" s="559"/>
      <c r="N655" s="559"/>
      <c r="O655" s="559"/>
      <c r="P655" s="559"/>
      <c r="Q655" s="559"/>
      <c r="R655" s="559"/>
      <c r="S655" s="559"/>
      <c r="T655" s="559"/>
      <c r="U655" s="559"/>
      <c r="V655" s="559"/>
      <c r="W655" s="559"/>
      <c r="X655" s="559"/>
      <c r="Y655" s="559"/>
      <c r="Z655" s="559"/>
      <c r="AA655" s="559"/>
      <c r="AB655" s="559"/>
      <c r="AC655" s="559"/>
      <c r="AD655" s="559"/>
      <c r="AE655" s="559"/>
      <c r="AF655" s="559"/>
      <c r="AG655" s="559"/>
    </row>
    <row r="656" spans="1:33" ht="18" x14ac:dyDescent="0.35">
      <c r="A656" s="559"/>
      <c r="B656" s="559"/>
      <c r="C656" s="559"/>
      <c r="D656" s="559"/>
      <c r="E656" s="559"/>
      <c r="F656" s="559"/>
      <c r="G656" s="559"/>
      <c r="H656" s="559"/>
      <c r="I656" s="559"/>
      <c r="J656" s="559"/>
      <c r="K656" s="559"/>
      <c r="L656" s="559"/>
      <c r="M656" s="559"/>
      <c r="N656" s="559"/>
      <c r="O656" s="559"/>
      <c r="P656" s="559"/>
      <c r="Q656" s="559"/>
      <c r="R656" s="559"/>
      <c r="S656" s="559"/>
      <c r="T656" s="559"/>
      <c r="U656" s="559"/>
      <c r="V656" s="559"/>
      <c r="W656" s="559"/>
      <c r="X656" s="559"/>
      <c r="Y656" s="559"/>
      <c r="Z656" s="559"/>
      <c r="AA656" s="559"/>
      <c r="AB656" s="559"/>
      <c r="AC656" s="559"/>
      <c r="AD656" s="559"/>
      <c r="AE656" s="559"/>
      <c r="AF656" s="559"/>
      <c r="AG656" s="559"/>
    </row>
    <row r="657" spans="1:33" ht="18" x14ac:dyDescent="0.35">
      <c r="A657" s="559"/>
      <c r="B657" s="559"/>
      <c r="C657" s="559"/>
      <c r="D657" s="559"/>
      <c r="E657" s="559"/>
      <c r="F657" s="559"/>
      <c r="G657" s="559"/>
      <c r="H657" s="559"/>
      <c r="I657" s="559"/>
      <c r="J657" s="559"/>
      <c r="K657" s="559"/>
      <c r="L657" s="559"/>
      <c r="M657" s="559"/>
      <c r="N657" s="559"/>
      <c r="O657" s="559"/>
      <c r="P657" s="559"/>
      <c r="Q657" s="559"/>
      <c r="R657" s="559"/>
      <c r="S657" s="559"/>
      <c r="T657" s="559"/>
      <c r="U657" s="559"/>
      <c r="V657" s="559"/>
      <c r="W657" s="559"/>
      <c r="X657" s="559"/>
      <c r="Y657" s="559"/>
      <c r="Z657" s="559"/>
      <c r="AA657" s="559"/>
      <c r="AB657" s="559"/>
      <c r="AC657" s="559"/>
      <c r="AD657" s="559"/>
      <c r="AE657" s="559"/>
      <c r="AF657" s="559"/>
      <c r="AG657" s="559"/>
    </row>
    <row r="658" spans="1:33" ht="18" x14ac:dyDescent="0.35">
      <c r="A658" s="559"/>
      <c r="B658" s="559"/>
      <c r="C658" s="559"/>
      <c r="D658" s="559"/>
      <c r="E658" s="559"/>
      <c r="F658" s="559"/>
      <c r="G658" s="559"/>
      <c r="H658" s="559"/>
      <c r="I658" s="559"/>
      <c r="J658" s="559"/>
      <c r="K658" s="559"/>
      <c r="L658" s="559"/>
      <c r="M658" s="559"/>
      <c r="N658" s="559"/>
      <c r="O658" s="559"/>
      <c r="P658" s="559"/>
      <c r="Q658" s="559"/>
      <c r="R658" s="559"/>
      <c r="S658" s="559"/>
      <c r="T658" s="559"/>
      <c r="U658" s="559"/>
      <c r="V658" s="559"/>
      <c r="W658" s="559"/>
      <c r="X658" s="559"/>
      <c r="Y658" s="559"/>
      <c r="Z658" s="559"/>
      <c r="AA658" s="559"/>
      <c r="AB658" s="559"/>
      <c r="AC658" s="559"/>
      <c r="AD658" s="559"/>
      <c r="AE658" s="559"/>
      <c r="AF658" s="559"/>
      <c r="AG658" s="559"/>
    </row>
    <row r="659" spans="1:33" ht="18" x14ac:dyDescent="0.35">
      <c r="A659" s="559"/>
      <c r="B659" s="559"/>
      <c r="C659" s="559"/>
      <c r="D659" s="559"/>
      <c r="E659" s="559"/>
      <c r="F659" s="559"/>
      <c r="G659" s="559"/>
      <c r="H659" s="559"/>
      <c r="I659" s="559"/>
      <c r="J659" s="559"/>
      <c r="K659" s="559"/>
      <c r="L659" s="559"/>
      <c r="M659" s="559"/>
      <c r="N659" s="559"/>
      <c r="O659" s="559"/>
      <c r="P659" s="559"/>
      <c r="Q659" s="559"/>
      <c r="R659" s="559"/>
      <c r="S659" s="559"/>
      <c r="T659" s="559"/>
      <c r="U659" s="559"/>
      <c r="V659" s="559"/>
      <c r="W659" s="559"/>
      <c r="X659" s="559"/>
      <c r="Y659" s="559"/>
      <c r="Z659" s="559"/>
      <c r="AA659" s="559"/>
      <c r="AB659" s="559"/>
      <c r="AC659" s="559"/>
      <c r="AD659" s="559"/>
      <c r="AE659" s="559"/>
      <c r="AF659" s="559"/>
      <c r="AG659" s="559"/>
    </row>
    <row r="660" spans="1:33" ht="18" x14ac:dyDescent="0.35">
      <c r="A660" s="559"/>
      <c r="B660" s="559"/>
      <c r="C660" s="559"/>
      <c r="D660" s="559"/>
      <c r="E660" s="559"/>
      <c r="F660" s="559"/>
      <c r="G660" s="559"/>
      <c r="H660" s="559"/>
      <c r="I660" s="559"/>
      <c r="J660" s="559"/>
      <c r="K660" s="559"/>
      <c r="L660" s="559"/>
      <c r="M660" s="559"/>
      <c r="N660" s="559"/>
      <c r="O660" s="559"/>
      <c r="P660" s="559"/>
      <c r="Q660" s="559"/>
      <c r="R660" s="559"/>
      <c r="S660" s="559"/>
      <c r="T660" s="559"/>
      <c r="U660" s="559"/>
      <c r="V660" s="559"/>
      <c r="W660" s="559"/>
      <c r="X660" s="559"/>
      <c r="Y660" s="559"/>
      <c r="Z660" s="559"/>
      <c r="AA660" s="559"/>
      <c r="AB660" s="559"/>
      <c r="AC660" s="559"/>
      <c r="AD660" s="559"/>
      <c r="AE660" s="559"/>
      <c r="AF660" s="559"/>
      <c r="AG660" s="559"/>
    </row>
    <row r="661" spans="1:33" ht="18" x14ac:dyDescent="0.35">
      <c r="A661" s="559"/>
      <c r="B661" s="559"/>
      <c r="C661" s="559"/>
      <c r="D661" s="559"/>
      <c r="E661" s="559"/>
      <c r="F661" s="559"/>
      <c r="G661" s="559"/>
      <c r="H661" s="559"/>
      <c r="I661" s="559"/>
      <c r="J661" s="559"/>
      <c r="K661" s="559"/>
      <c r="L661" s="559"/>
      <c r="M661" s="559"/>
      <c r="N661" s="559"/>
      <c r="O661" s="559"/>
      <c r="P661" s="559"/>
      <c r="Q661" s="559"/>
      <c r="R661" s="559"/>
      <c r="S661" s="559"/>
      <c r="T661" s="559"/>
      <c r="U661" s="559"/>
      <c r="V661" s="559"/>
      <c r="W661" s="559"/>
      <c r="X661" s="559"/>
      <c r="Y661" s="559"/>
      <c r="Z661" s="559"/>
      <c r="AA661" s="559"/>
      <c r="AB661" s="559"/>
      <c r="AC661" s="559"/>
      <c r="AD661" s="559"/>
      <c r="AE661" s="559"/>
      <c r="AF661" s="559"/>
      <c r="AG661" s="559"/>
    </row>
    <row r="662" spans="1:33" ht="18" x14ac:dyDescent="0.35">
      <c r="A662" s="559"/>
      <c r="B662" s="559"/>
      <c r="C662" s="559"/>
      <c r="D662" s="559"/>
      <c r="E662" s="559"/>
      <c r="F662" s="559"/>
      <c r="G662" s="559"/>
      <c r="H662" s="559"/>
      <c r="I662" s="559"/>
      <c r="J662" s="559"/>
      <c r="K662" s="559"/>
      <c r="L662" s="559"/>
      <c r="M662" s="559"/>
      <c r="N662" s="559"/>
      <c r="O662" s="559"/>
      <c r="P662" s="559"/>
      <c r="Q662" s="559"/>
      <c r="R662" s="559"/>
      <c r="S662" s="559"/>
      <c r="T662" s="559"/>
      <c r="U662" s="559"/>
      <c r="V662" s="559"/>
      <c r="W662" s="559"/>
      <c r="X662" s="559"/>
      <c r="Y662" s="559"/>
      <c r="Z662" s="559"/>
      <c r="AA662" s="559"/>
      <c r="AB662" s="559"/>
      <c r="AC662" s="559"/>
      <c r="AD662" s="559"/>
      <c r="AE662" s="559"/>
      <c r="AF662" s="559"/>
      <c r="AG662" s="559"/>
    </row>
    <row r="663" spans="1:33" ht="18" x14ac:dyDescent="0.35">
      <c r="A663" s="559"/>
      <c r="B663" s="559"/>
      <c r="C663" s="559"/>
      <c r="D663" s="559"/>
      <c r="E663" s="559"/>
      <c r="F663" s="559"/>
      <c r="G663" s="559"/>
      <c r="H663" s="559"/>
      <c r="I663" s="559"/>
      <c r="J663" s="559"/>
      <c r="K663" s="559"/>
      <c r="L663" s="559"/>
      <c r="M663" s="559"/>
      <c r="N663" s="559"/>
      <c r="O663" s="559"/>
      <c r="P663" s="559"/>
      <c r="Q663" s="559"/>
      <c r="R663" s="559"/>
      <c r="S663" s="559"/>
      <c r="T663" s="559"/>
      <c r="U663" s="559"/>
      <c r="V663" s="559"/>
      <c r="W663" s="559"/>
      <c r="X663" s="559"/>
      <c r="Y663" s="559"/>
      <c r="Z663" s="559"/>
      <c r="AA663" s="559"/>
      <c r="AB663" s="559"/>
      <c r="AC663" s="559"/>
      <c r="AD663" s="559"/>
      <c r="AE663" s="559"/>
      <c r="AF663" s="559"/>
      <c r="AG663" s="559"/>
    </row>
    <row r="664" spans="1:33" ht="18" x14ac:dyDescent="0.35">
      <c r="A664" s="559"/>
      <c r="B664" s="559"/>
      <c r="C664" s="559"/>
      <c r="D664" s="559"/>
      <c r="E664" s="559"/>
      <c r="F664" s="559"/>
      <c r="G664" s="559"/>
      <c r="H664" s="559"/>
      <c r="I664" s="559"/>
      <c r="J664" s="559"/>
      <c r="K664" s="559"/>
      <c r="L664" s="559"/>
      <c r="M664" s="559"/>
      <c r="N664" s="559"/>
      <c r="O664" s="559"/>
      <c r="P664" s="559"/>
      <c r="Q664" s="559"/>
      <c r="R664" s="559"/>
      <c r="S664" s="559"/>
      <c r="T664" s="559"/>
      <c r="U664" s="559"/>
      <c r="V664" s="559"/>
      <c r="W664" s="559"/>
      <c r="X664" s="559"/>
      <c r="Y664" s="559"/>
      <c r="Z664" s="559"/>
      <c r="AA664" s="559"/>
      <c r="AB664" s="559"/>
      <c r="AC664" s="559"/>
      <c r="AD664" s="559"/>
      <c r="AE664" s="559"/>
      <c r="AF664" s="559"/>
      <c r="AG664" s="559"/>
    </row>
    <row r="665" spans="1:33" ht="18" x14ac:dyDescent="0.35">
      <c r="A665" s="559"/>
      <c r="B665" s="559"/>
      <c r="C665" s="559"/>
      <c r="D665" s="559"/>
      <c r="E665" s="559"/>
      <c r="F665" s="559"/>
      <c r="G665" s="559"/>
      <c r="H665" s="559"/>
      <c r="I665" s="559"/>
      <c r="J665" s="559"/>
      <c r="K665" s="559"/>
      <c r="L665" s="559"/>
      <c r="M665" s="559"/>
      <c r="N665" s="559"/>
      <c r="O665" s="559"/>
      <c r="P665" s="559"/>
      <c r="Q665" s="559"/>
      <c r="R665" s="559"/>
      <c r="S665" s="559"/>
      <c r="T665" s="559"/>
      <c r="U665" s="559"/>
      <c r="V665" s="559"/>
      <c r="W665" s="559"/>
      <c r="X665" s="559"/>
      <c r="Y665" s="559"/>
      <c r="Z665" s="559"/>
      <c r="AA665" s="559"/>
      <c r="AB665" s="559"/>
      <c r="AC665" s="559"/>
      <c r="AD665" s="559"/>
      <c r="AE665" s="559"/>
      <c r="AF665" s="559"/>
      <c r="AG665" s="559"/>
    </row>
    <row r="666" spans="1:33" ht="18" x14ac:dyDescent="0.35">
      <c r="A666" s="559"/>
      <c r="B666" s="559"/>
      <c r="C666" s="559"/>
      <c r="D666" s="559"/>
      <c r="E666" s="559"/>
      <c r="F666" s="559"/>
      <c r="G666" s="559"/>
      <c r="H666" s="559"/>
      <c r="I666" s="559"/>
      <c r="J666" s="559"/>
      <c r="K666" s="559"/>
      <c r="L666" s="559"/>
      <c r="M666" s="559"/>
      <c r="N666" s="559"/>
      <c r="O666" s="559"/>
      <c r="P666" s="559"/>
      <c r="Q666" s="559"/>
      <c r="R666" s="559"/>
      <c r="S666" s="559"/>
      <c r="T666" s="559"/>
      <c r="U666" s="559"/>
      <c r="V666" s="559"/>
      <c r="W666" s="559"/>
      <c r="X666" s="559"/>
      <c r="Y666" s="559"/>
      <c r="Z666" s="559"/>
      <c r="AA666" s="559"/>
      <c r="AB666" s="559"/>
      <c r="AC666" s="559"/>
      <c r="AD666" s="559"/>
      <c r="AE666" s="559"/>
      <c r="AF666" s="559"/>
      <c r="AG666" s="559"/>
    </row>
    <row r="667" spans="1:33" ht="18" x14ac:dyDescent="0.35">
      <c r="A667" s="559"/>
      <c r="B667" s="559"/>
      <c r="C667" s="559"/>
      <c r="D667" s="559"/>
      <c r="E667" s="559"/>
      <c r="F667" s="559"/>
      <c r="G667" s="559"/>
      <c r="H667" s="559"/>
      <c r="I667" s="559"/>
      <c r="J667" s="559"/>
      <c r="K667" s="559"/>
      <c r="L667" s="559"/>
      <c r="M667" s="559"/>
      <c r="N667" s="559"/>
      <c r="O667" s="559"/>
      <c r="P667" s="559"/>
      <c r="Q667" s="559"/>
      <c r="R667" s="559"/>
      <c r="S667" s="559"/>
      <c r="T667" s="559"/>
      <c r="U667" s="559"/>
      <c r="V667" s="559"/>
      <c r="W667" s="559"/>
      <c r="X667" s="559"/>
      <c r="Y667" s="559"/>
      <c r="Z667" s="559"/>
      <c r="AA667" s="559"/>
      <c r="AB667" s="559"/>
      <c r="AC667" s="559"/>
      <c r="AD667" s="559"/>
      <c r="AE667" s="559"/>
      <c r="AF667" s="559"/>
      <c r="AG667" s="559"/>
    </row>
    <row r="668" spans="1:33" ht="18" x14ac:dyDescent="0.35">
      <c r="A668" s="559"/>
      <c r="B668" s="559"/>
      <c r="C668" s="559"/>
      <c r="D668" s="559"/>
      <c r="E668" s="559"/>
      <c r="F668" s="559"/>
      <c r="G668" s="559"/>
      <c r="H668" s="559"/>
      <c r="I668" s="559"/>
      <c r="J668" s="559"/>
      <c r="K668" s="559"/>
      <c r="L668" s="559"/>
      <c r="M668" s="559"/>
      <c r="N668" s="559"/>
      <c r="O668" s="559"/>
      <c r="P668" s="559"/>
      <c r="Q668" s="559"/>
      <c r="R668" s="559"/>
      <c r="S668" s="559"/>
      <c r="T668" s="559"/>
      <c r="U668" s="559"/>
      <c r="V668" s="559"/>
      <c r="W668" s="559"/>
      <c r="X668" s="559"/>
      <c r="Y668" s="559"/>
      <c r="Z668" s="559"/>
      <c r="AA668" s="559"/>
      <c r="AB668" s="559"/>
      <c r="AC668" s="559"/>
      <c r="AD668" s="559"/>
      <c r="AE668" s="559"/>
      <c r="AF668" s="559"/>
      <c r="AG668" s="559"/>
    </row>
    <row r="669" spans="1:33" ht="18" x14ac:dyDescent="0.35">
      <c r="A669" s="559"/>
      <c r="B669" s="559"/>
      <c r="C669" s="559"/>
      <c r="D669" s="559"/>
      <c r="E669" s="559"/>
      <c r="F669" s="559"/>
      <c r="G669" s="559"/>
      <c r="H669" s="559"/>
      <c r="I669" s="559"/>
      <c r="J669" s="559"/>
      <c r="K669" s="559"/>
      <c r="L669" s="559"/>
      <c r="M669" s="559"/>
      <c r="N669" s="559"/>
      <c r="O669" s="559"/>
      <c r="P669" s="559"/>
      <c r="Q669" s="559"/>
      <c r="R669" s="559"/>
      <c r="S669" s="559"/>
      <c r="T669" s="559"/>
      <c r="U669" s="559"/>
      <c r="V669" s="559"/>
      <c r="W669" s="559"/>
      <c r="X669" s="559"/>
      <c r="Y669" s="559"/>
      <c r="Z669" s="559"/>
      <c r="AA669" s="559"/>
      <c r="AB669" s="559"/>
      <c r="AC669" s="559"/>
      <c r="AD669" s="559"/>
      <c r="AE669" s="559"/>
      <c r="AF669" s="559"/>
      <c r="AG669" s="559"/>
    </row>
    <row r="670" spans="1:33" ht="18" x14ac:dyDescent="0.35">
      <c r="A670" s="559"/>
      <c r="B670" s="559"/>
      <c r="C670" s="559"/>
      <c r="D670" s="559"/>
      <c r="E670" s="559"/>
      <c r="F670" s="559"/>
      <c r="G670" s="559"/>
      <c r="H670" s="559"/>
      <c r="I670" s="559"/>
      <c r="J670" s="559"/>
      <c r="K670" s="559"/>
      <c r="L670" s="559"/>
      <c r="M670" s="559"/>
      <c r="N670" s="559"/>
      <c r="O670" s="559"/>
      <c r="P670" s="559"/>
      <c r="Q670" s="559"/>
      <c r="R670" s="559"/>
      <c r="S670" s="559"/>
      <c r="T670" s="559"/>
      <c r="U670" s="559"/>
      <c r="V670" s="559"/>
      <c r="W670" s="559"/>
      <c r="X670" s="559"/>
      <c r="Y670" s="559"/>
      <c r="Z670" s="559"/>
      <c r="AA670" s="559"/>
      <c r="AB670" s="559"/>
      <c r="AC670" s="559"/>
      <c r="AD670" s="559"/>
      <c r="AE670" s="559"/>
      <c r="AF670" s="559"/>
      <c r="AG670" s="559"/>
    </row>
    <row r="671" spans="1:33" ht="18" x14ac:dyDescent="0.35">
      <c r="A671" s="559"/>
      <c r="B671" s="559"/>
      <c r="C671" s="559"/>
      <c r="D671" s="559"/>
      <c r="E671" s="559"/>
      <c r="F671" s="559"/>
      <c r="G671" s="559"/>
      <c r="H671" s="559"/>
      <c r="I671" s="559"/>
      <c r="J671" s="559"/>
      <c r="K671" s="559"/>
      <c r="L671" s="559"/>
      <c r="M671" s="559"/>
      <c r="N671" s="559"/>
      <c r="O671" s="559"/>
      <c r="P671" s="559"/>
      <c r="Q671" s="559"/>
      <c r="R671" s="559"/>
      <c r="S671" s="559"/>
      <c r="T671" s="559"/>
      <c r="U671" s="559"/>
      <c r="V671" s="559"/>
      <c r="W671" s="559"/>
      <c r="X671" s="559"/>
      <c r="Y671" s="559"/>
      <c r="Z671" s="559"/>
      <c r="AA671" s="559"/>
      <c r="AB671" s="559"/>
      <c r="AC671" s="559"/>
      <c r="AD671" s="559"/>
      <c r="AE671" s="559"/>
      <c r="AF671" s="559"/>
      <c r="AG671" s="559"/>
    </row>
    <row r="672" spans="1:33" ht="18" x14ac:dyDescent="0.35">
      <c r="A672" s="559"/>
      <c r="B672" s="559"/>
      <c r="C672" s="559"/>
      <c r="D672" s="559"/>
      <c r="E672" s="559"/>
      <c r="F672" s="559"/>
      <c r="G672" s="559"/>
      <c r="H672" s="559"/>
      <c r="I672" s="559"/>
      <c r="J672" s="559"/>
      <c r="K672" s="559"/>
      <c r="L672" s="559"/>
      <c r="M672" s="559"/>
      <c r="N672" s="559"/>
      <c r="O672" s="559"/>
      <c r="P672" s="559"/>
      <c r="Q672" s="559"/>
      <c r="R672" s="559"/>
      <c r="S672" s="559"/>
      <c r="T672" s="559"/>
      <c r="U672" s="559"/>
      <c r="V672" s="559"/>
      <c r="W672" s="559"/>
      <c r="X672" s="559"/>
      <c r="Y672" s="559"/>
      <c r="Z672" s="559"/>
      <c r="AA672" s="559"/>
      <c r="AB672" s="559"/>
      <c r="AC672" s="559"/>
      <c r="AD672" s="559"/>
      <c r="AE672" s="559"/>
      <c r="AF672" s="559"/>
      <c r="AG672" s="559"/>
    </row>
    <row r="673" spans="1:33" ht="18" x14ac:dyDescent="0.35">
      <c r="A673" s="559"/>
      <c r="B673" s="559"/>
      <c r="C673" s="559"/>
      <c r="D673" s="559"/>
      <c r="E673" s="559"/>
      <c r="F673" s="559"/>
      <c r="G673" s="559"/>
      <c r="H673" s="559"/>
      <c r="I673" s="559"/>
      <c r="J673" s="559"/>
      <c r="K673" s="559"/>
      <c r="L673" s="559"/>
      <c r="M673" s="559"/>
      <c r="N673" s="559"/>
      <c r="O673" s="559"/>
      <c r="P673" s="559"/>
      <c r="Q673" s="559"/>
      <c r="R673" s="559"/>
      <c r="S673" s="559"/>
      <c r="T673" s="559"/>
      <c r="U673" s="559"/>
      <c r="V673" s="559"/>
      <c r="W673" s="559"/>
      <c r="X673" s="559"/>
      <c r="Y673" s="559"/>
      <c r="Z673" s="559"/>
      <c r="AA673" s="559"/>
      <c r="AB673" s="559"/>
      <c r="AC673" s="559"/>
      <c r="AD673" s="559"/>
      <c r="AE673" s="559"/>
      <c r="AF673" s="559"/>
      <c r="AG673" s="559"/>
    </row>
    <row r="674" spans="1:33" ht="18" x14ac:dyDescent="0.35">
      <c r="A674" s="559"/>
      <c r="B674" s="559"/>
      <c r="C674" s="559"/>
      <c r="D674" s="559"/>
      <c r="E674" s="559"/>
      <c r="F674" s="559"/>
      <c r="G674" s="559"/>
      <c r="H674" s="559"/>
      <c r="I674" s="559"/>
      <c r="J674" s="559"/>
      <c r="K674" s="559"/>
      <c r="L674" s="559"/>
      <c r="M674" s="559"/>
      <c r="N674" s="559"/>
      <c r="O674" s="559"/>
      <c r="P674" s="559"/>
      <c r="Q674" s="559"/>
      <c r="R674" s="559"/>
      <c r="S674" s="559"/>
      <c r="T674" s="559"/>
      <c r="U674" s="559"/>
      <c r="V674" s="559"/>
      <c r="W674" s="559"/>
      <c r="X674" s="559"/>
      <c r="Y674" s="559"/>
      <c r="Z674" s="559"/>
      <c r="AA674" s="559"/>
      <c r="AB674" s="559"/>
      <c r="AC674" s="559"/>
      <c r="AD674" s="559"/>
      <c r="AE674" s="559"/>
      <c r="AF674" s="559"/>
      <c r="AG674" s="559"/>
    </row>
    <row r="675" spans="1:33" ht="18" x14ac:dyDescent="0.35">
      <c r="A675" s="559"/>
      <c r="B675" s="559"/>
      <c r="C675" s="559"/>
      <c r="D675" s="559"/>
      <c r="E675" s="559"/>
      <c r="F675" s="559"/>
      <c r="G675" s="559"/>
      <c r="H675" s="559"/>
      <c r="I675" s="559"/>
      <c r="J675" s="559"/>
      <c r="K675" s="559"/>
      <c r="L675" s="559"/>
      <c r="M675" s="559"/>
      <c r="N675" s="559"/>
      <c r="O675" s="559"/>
      <c r="P675" s="559"/>
      <c r="Q675" s="559"/>
      <c r="R675" s="559"/>
      <c r="S675" s="559"/>
      <c r="T675" s="559"/>
      <c r="U675" s="559"/>
      <c r="V675" s="559"/>
      <c r="W675" s="559"/>
      <c r="X675" s="559"/>
      <c r="Y675" s="559"/>
      <c r="Z675" s="559"/>
      <c r="AA675" s="559"/>
      <c r="AB675" s="559"/>
      <c r="AC675" s="559"/>
      <c r="AD675" s="559"/>
      <c r="AE675" s="559"/>
      <c r="AF675" s="559"/>
      <c r="AG675" s="559"/>
    </row>
    <row r="676" spans="1:33" ht="18" x14ac:dyDescent="0.35">
      <c r="A676" s="559"/>
      <c r="B676" s="559"/>
      <c r="C676" s="559"/>
      <c r="D676" s="559"/>
      <c r="E676" s="559"/>
      <c r="F676" s="559"/>
      <c r="G676" s="559"/>
      <c r="H676" s="559"/>
      <c r="I676" s="559"/>
      <c r="J676" s="559"/>
      <c r="K676" s="559"/>
      <c r="L676" s="559"/>
      <c r="M676" s="559"/>
      <c r="N676" s="559"/>
      <c r="O676" s="559"/>
      <c r="P676" s="559"/>
      <c r="Q676" s="559"/>
      <c r="R676" s="559"/>
      <c r="S676" s="559"/>
      <c r="T676" s="559"/>
      <c r="U676" s="559"/>
      <c r="V676" s="559"/>
      <c r="W676" s="559"/>
      <c r="X676" s="559"/>
      <c r="Y676" s="559"/>
      <c r="Z676" s="559"/>
      <c r="AA676" s="559"/>
      <c r="AB676" s="559"/>
      <c r="AC676" s="559"/>
      <c r="AD676" s="559"/>
      <c r="AE676" s="559"/>
      <c r="AF676" s="559"/>
      <c r="AG676" s="559"/>
    </row>
    <row r="677" spans="1:33" ht="18" x14ac:dyDescent="0.35">
      <c r="A677" s="559"/>
      <c r="B677" s="559"/>
      <c r="C677" s="559"/>
      <c r="D677" s="559"/>
      <c r="E677" s="559"/>
      <c r="F677" s="559"/>
      <c r="G677" s="559"/>
      <c r="H677" s="559"/>
      <c r="I677" s="559"/>
      <c r="J677" s="559"/>
      <c r="K677" s="559"/>
      <c r="L677" s="559"/>
      <c r="M677" s="559"/>
      <c r="N677" s="559"/>
      <c r="O677" s="559"/>
      <c r="P677" s="559"/>
      <c r="Q677" s="559"/>
      <c r="R677" s="559"/>
      <c r="S677" s="559"/>
      <c r="T677" s="559"/>
      <c r="U677" s="559"/>
      <c r="V677" s="559"/>
      <c r="W677" s="559"/>
      <c r="X677" s="559"/>
      <c r="Y677" s="559"/>
      <c r="Z677" s="559"/>
      <c r="AA677" s="559"/>
      <c r="AB677" s="559"/>
      <c r="AC677" s="559"/>
      <c r="AD677" s="559"/>
      <c r="AE677" s="559"/>
      <c r="AF677" s="559"/>
      <c r="AG677" s="559"/>
    </row>
    <row r="678" spans="1:33" ht="18" x14ac:dyDescent="0.35">
      <c r="A678" s="559"/>
      <c r="B678" s="559"/>
      <c r="C678" s="559"/>
      <c r="D678" s="559"/>
      <c r="E678" s="559"/>
      <c r="F678" s="559"/>
      <c r="G678" s="559"/>
      <c r="H678" s="559"/>
      <c r="I678" s="559"/>
      <c r="J678" s="559"/>
      <c r="K678" s="559"/>
      <c r="L678" s="559"/>
      <c r="M678" s="559"/>
      <c r="N678" s="559"/>
      <c r="O678" s="559"/>
      <c r="P678" s="559"/>
      <c r="Q678" s="559"/>
      <c r="R678" s="559"/>
      <c r="S678" s="559"/>
      <c r="T678" s="559"/>
      <c r="U678" s="559"/>
      <c r="V678" s="559"/>
      <c r="W678" s="559"/>
      <c r="X678" s="559"/>
      <c r="Y678" s="559"/>
      <c r="Z678" s="559"/>
      <c r="AA678" s="559"/>
      <c r="AB678" s="559"/>
      <c r="AC678" s="559"/>
      <c r="AD678" s="559"/>
      <c r="AE678" s="559"/>
      <c r="AF678" s="559"/>
      <c r="AG678" s="559"/>
    </row>
    <row r="679" spans="1:33" ht="18" x14ac:dyDescent="0.35">
      <c r="A679" s="559"/>
      <c r="B679" s="559"/>
      <c r="C679" s="559"/>
      <c r="D679" s="559"/>
      <c r="E679" s="559"/>
      <c r="F679" s="559"/>
      <c r="G679" s="559"/>
      <c r="H679" s="559"/>
      <c r="I679" s="559"/>
      <c r="J679" s="559"/>
      <c r="K679" s="559"/>
      <c r="L679" s="559"/>
      <c r="M679" s="559"/>
      <c r="N679" s="559"/>
      <c r="O679" s="559"/>
      <c r="P679" s="559"/>
      <c r="Q679" s="559"/>
      <c r="R679" s="559"/>
      <c r="S679" s="559"/>
      <c r="T679" s="559"/>
      <c r="U679" s="559"/>
      <c r="V679" s="559"/>
      <c r="W679" s="559"/>
      <c r="X679" s="559"/>
      <c r="Y679" s="559"/>
      <c r="Z679" s="559"/>
      <c r="AA679" s="559"/>
      <c r="AB679" s="559"/>
      <c r="AC679" s="559"/>
      <c r="AD679" s="559"/>
      <c r="AE679" s="559"/>
      <c r="AF679" s="559"/>
      <c r="AG679" s="559"/>
    </row>
    <row r="680" spans="1:33" ht="18" x14ac:dyDescent="0.35">
      <c r="A680" s="559"/>
      <c r="B680" s="559"/>
      <c r="C680" s="559"/>
      <c r="D680" s="559"/>
      <c r="E680" s="559"/>
      <c r="F680" s="559"/>
      <c r="G680" s="559"/>
      <c r="H680" s="559"/>
      <c r="I680" s="559"/>
      <c r="J680" s="559"/>
      <c r="K680" s="559"/>
      <c r="L680" s="559"/>
      <c r="M680" s="559"/>
      <c r="N680" s="559"/>
      <c r="O680" s="559"/>
      <c r="P680" s="559"/>
      <c r="Q680" s="559"/>
      <c r="R680" s="559"/>
      <c r="S680" s="559"/>
      <c r="T680" s="559"/>
      <c r="U680" s="559"/>
      <c r="V680" s="559"/>
      <c r="W680" s="559"/>
      <c r="X680" s="559"/>
      <c r="Y680" s="559"/>
      <c r="Z680" s="559"/>
      <c r="AA680" s="559"/>
      <c r="AB680" s="559"/>
      <c r="AC680" s="559"/>
      <c r="AD680" s="559"/>
      <c r="AE680" s="559"/>
      <c r="AF680" s="559"/>
      <c r="AG680" s="559"/>
    </row>
    <row r="681" spans="1:33" ht="18" x14ac:dyDescent="0.35">
      <c r="A681" s="559"/>
      <c r="B681" s="559"/>
      <c r="C681" s="559"/>
      <c r="D681" s="559"/>
      <c r="E681" s="559"/>
      <c r="F681" s="559"/>
      <c r="G681" s="559"/>
      <c r="H681" s="559"/>
      <c r="I681" s="559"/>
      <c r="J681" s="559"/>
      <c r="K681" s="559"/>
      <c r="L681" s="559"/>
      <c r="M681" s="559"/>
      <c r="N681" s="559"/>
      <c r="O681" s="559"/>
      <c r="P681" s="559"/>
      <c r="Q681" s="559"/>
      <c r="R681" s="559"/>
      <c r="S681" s="559"/>
      <c r="T681" s="559"/>
      <c r="U681" s="559"/>
      <c r="V681" s="559"/>
      <c r="W681" s="559"/>
      <c r="X681" s="559"/>
      <c r="Y681" s="559"/>
      <c r="Z681" s="559"/>
      <c r="AA681" s="559"/>
      <c r="AB681" s="559"/>
      <c r="AC681" s="559"/>
      <c r="AD681" s="559"/>
      <c r="AE681" s="559"/>
      <c r="AF681" s="559"/>
      <c r="AG681" s="559"/>
    </row>
    <row r="682" spans="1:33" ht="18" x14ac:dyDescent="0.35">
      <c r="A682" s="559"/>
      <c r="B682" s="559"/>
      <c r="C682" s="559"/>
      <c r="D682" s="559"/>
      <c r="E682" s="559"/>
      <c r="F682" s="559"/>
      <c r="G682" s="559"/>
      <c r="H682" s="559"/>
      <c r="I682" s="559"/>
      <c r="J682" s="559"/>
      <c r="K682" s="559"/>
      <c r="L682" s="559"/>
      <c r="M682" s="559"/>
      <c r="N682" s="559"/>
      <c r="O682" s="559"/>
      <c r="P682" s="559"/>
      <c r="Q682" s="559"/>
      <c r="R682" s="559"/>
      <c r="S682" s="559"/>
      <c r="T682" s="559"/>
      <c r="U682" s="559"/>
      <c r="V682" s="559"/>
      <c r="W682" s="559"/>
      <c r="X682" s="559"/>
      <c r="Y682" s="559"/>
      <c r="Z682" s="559"/>
      <c r="AA682" s="559"/>
      <c r="AB682" s="559"/>
      <c r="AC682" s="559"/>
      <c r="AD682" s="559"/>
      <c r="AE682" s="559"/>
      <c r="AF682" s="559"/>
      <c r="AG682" s="559"/>
    </row>
    <row r="683" spans="1:33" ht="18" x14ac:dyDescent="0.35">
      <c r="A683" s="559"/>
      <c r="B683" s="559"/>
      <c r="C683" s="559"/>
      <c r="D683" s="559"/>
      <c r="E683" s="559"/>
      <c r="F683" s="559"/>
      <c r="G683" s="559"/>
      <c r="H683" s="559"/>
      <c r="I683" s="559"/>
      <c r="J683" s="559"/>
      <c r="K683" s="559"/>
      <c r="L683" s="559"/>
      <c r="M683" s="559"/>
      <c r="N683" s="559"/>
      <c r="O683" s="559"/>
      <c r="P683" s="559"/>
      <c r="Q683" s="559"/>
      <c r="R683" s="559"/>
      <c r="S683" s="559"/>
      <c r="T683" s="559"/>
      <c r="U683" s="559"/>
      <c r="V683" s="559"/>
      <c r="W683" s="559"/>
      <c r="X683" s="559"/>
      <c r="Y683" s="559"/>
      <c r="Z683" s="559"/>
      <c r="AA683" s="559"/>
      <c r="AB683" s="559"/>
      <c r="AC683" s="559"/>
      <c r="AD683" s="559"/>
      <c r="AE683" s="559"/>
      <c r="AF683" s="559"/>
      <c r="AG683" s="559"/>
    </row>
    <row r="684" spans="1:33" ht="18" x14ac:dyDescent="0.35">
      <c r="A684" s="559"/>
      <c r="B684" s="559"/>
      <c r="C684" s="559"/>
      <c r="D684" s="559"/>
      <c r="E684" s="559"/>
      <c r="F684" s="559"/>
      <c r="G684" s="559"/>
      <c r="H684" s="559"/>
      <c r="I684" s="559"/>
      <c r="J684" s="559"/>
      <c r="K684" s="559"/>
      <c r="L684" s="559"/>
      <c r="M684" s="559"/>
      <c r="N684" s="559"/>
      <c r="O684" s="559"/>
      <c r="P684" s="559"/>
      <c r="Q684" s="559"/>
      <c r="R684" s="559"/>
      <c r="S684" s="559"/>
      <c r="T684" s="559"/>
      <c r="U684" s="559"/>
      <c r="V684" s="559"/>
      <c r="W684" s="559"/>
      <c r="X684" s="559"/>
      <c r="Y684" s="559"/>
      <c r="Z684" s="559"/>
      <c r="AA684" s="559"/>
      <c r="AB684" s="559"/>
      <c r="AC684" s="559"/>
      <c r="AD684" s="559"/>
      <c r="AE684" s="559"/>
      <c r="AF684" s="559"/>
      <c r="AG684" s="559"/>
    </row>
    <row r="685" spans="1:33" ht="18" x14ac:dyDescent="0.35">
      <c r="A685" s="559"/>
      <c r="B685" s="559"/>
      <c r="C685" s="559"/>
      <c r="D685" s="559"/>
      <c r="E685" s="559"/>
      <c r="F685" s="559"/>
      <c r="G685" s="559"/>
      <c r="H685" s="559"/>
      <c r="I685" s="559"/>
      <c r="J685" s="559"/>
      <c r="K685" s="559"/>
      <c r="L685" s="559"/>
      <c r="M685" s="559"/>
      <c r="N685" s="559"/>
      <c r="O685" s="559"/>
      <c r="P685" s="559"/>
      <c r="Q685" s="559"/>
      <c r="R685" s="559"/>
      <c r="S685" s="559"/>
      <c r="T685" s="559"/>
      <c r="U685" s="559"/>
      <c r="V685" s="559"/>
      <c r="W685" s="559"/>
      <c r="X685" s="559"/>
      <c r="Y685" s="559"/>
      <c r="Z685" s="559"/>
      <c r="AA685" s="559"/>
      <c r="AB685" s="559"/>
      <c r="AC685" s="559"/>
      <c r="AD685" s="559"/>
      <c r="AE685" s="559"/>
      <c r="AF685" s="559"/>
      <c r="AG685" s="559"/>
    </row>
    <row r="686" spans="1:33" ht="18" x14ac:dyDescent="0.35">
      <c r="A686" s="559"/>
      <c r="B686" s="559"/>
      <c r="C686" s="559"/>
      <c r="D686" s="559"/>
      <c r="E686" s="559"/>
      <c r="F686" s="559"/>
      <c r="G686" s="559"/>
      <c r="H686" s="559"/>
      <c r="I686" s="559"/>
      <c r="J686" s="559"/>
      <c r="K686" s="559"/>
      <c r="L686" s="559"/>
      <c r="M686" s="559"/>
      <c r="N686" s="559"/>
      <c r="O686" s="559"/>
      <c r="P686" s="559"/>
      <c r="Q686" s="559"/>
      <c r="R686" s="559"/>
      <c r="S686" s="559"/>
      <c r="T686" s="559"/>
      <c r="U686" s="559"/>
      <c r="V686" s="559"/>
      <c r="W686" s="559"/>
      <c r="X686" s="559"/>
      <c r="Y686" s="559"/>
      <c r="Z686" s="559"/>
      <c r="AA686" s="559"/>
      <c r="AB686" s="559"/>
      <c r="AC686" s="559"/>
      <c r="AD686" s="559"/>
      <c r="AE686" s="559"/>
      <c r="AF686" s="559"/>
      <c r="AG686" s="559"/>
    </row>
    <row r="687" spans="1:33" ht="18" x14ac:dyDescent="0.35">
      <c r="A687" s="559"/>
      <c r="B687" s="559"/>
      <c r="C687" s="559"/>
      <c r="D687" s="559"/>
      <c r="E687" s="559"/>
      <c r="F687" s="559"/>
      <c r="G687" s="559"/>
      <c r="H687" s="559"/>
      <c r="I687" s="559"/>
      <c r="J687" s="559"/>
      <c r="K687" s="559"/>
      <c r="L687" s="559"/>
      <c r="M687" s="559"/>
      <c r="N687" s="559"/>
      <c r="O687" s="559"/>
      <c r="P687" s="559"/>
      <c r="Q687" s="559"/>
      <c r="R687" s="559"/>
      <c r="S687" s="559"/>
      <c r="T687" s="559"/>
      <c r="U687" s="559"/>
      <c r="V687" s="559"/>
      <c r="W687" s="559"/>
      <c r="X687" s="559"/>
      <c r="Y687" s="559"/>
      <c r="Z687" s="559"/>
      <c r="AA687" s="559"/>
      <c r="AB687" s="559"/>
      <c r="AC687" s="559"/>
      <c r="AD687" s="559"/>
      <c r="AE687" s="559"/>
      <c r="AF687" s="559"/>
      <c r="AG687" s="559"/>
    </row>
    <row r="688" spans="1:33" ht="18" x14ac:dyDescent="0.35">
      <c r="A688" s="559"/>
      <c r="B688" s="559"/>
      <c r="C688" s="559"/>
      <c r="D688" s="559"/>
      <c r="E688" s="559"/>
      <c r="F688" s="559"/>
      <c r="G688" s="559"/>
      <c r="H688" s="559"/>
      <c r="I688" s="559"/>
      <c r="J688" s="559"/>
      <c r="K688" s="559"/>
      <c r="L688" s="559"/>
      <c r="M688" s="559"/>
      <c r="N688" s="559"/>
      <c r="O688" s="559"/>
      <c r="P688" s="559"/>
      <c r="Q688" s="559"/>
      <c r="R688" s="559"/>
      <c r="S688" s="559"/>
      <c r="T688" s="559"/>
      <c r="U688" s="559"/>
      <c r="V688" s="559"/>
      <c r="W688" s="559"/>
      <c r="X688" s="559"/>
      <c r="Y688" s="559"/>
      <c r="Z688" s="559"/>
      <c r="AA688" s="559"/>
      <c r="AB688" s="559"/>
      <c r="AC688" s="559"/>
      <c r="AD688" s="559"/>
      <c r="AE688" s="559"/>
      <c r="AF688" s="559"/>
      <c r="AG688" s="559"/>
    </row>
    <row r="689" spans="1:33" ht="18" x14ac:dyDescent="0.35">
      <c r="A689" s="559"/>
      <c r="B689" s="559"/>
      <c r="C689" s="559"/>
      <c r="D689" s="559"/>
      <c r="E689" s="559"/>
      <c r="F689" s="559"/>
      <c r="G689" s="559"/>
      <c r="H689" s="559"/>
      <c r="I689" s="559"/>
      <c r="J689" s="559"/>
      <c r="K689" s="559"/>
      <c r="L689" s="559"/>
      <c r="M689" s="559"/>
      <c r="N689" s="559"/>
      <c r="O689" s="559"/>
      <c r="P689" s="559"/>
      <c r="Q689" s="559"/>
      <c r="R689" s="559"/>
      <c r="S689" s="559"/>
      <c r="T689" s="559"/>
      <c r="U689" s="559"/>
      <c r="V689" s="559"/>
      <c r="W689" s="559"/>
      <c r="X689" s="559"/>
      <c r="Y689" s="559"/>
      <c r="Z689" s="559"/>
      <c r="AA689" s="559"/>
      <c r="AB689" s="559"/>
      <c r="AC689" s="559"/>
      <c r="AD689" s="559"/>
      <c r="AE689" s="559"/>
      <c r="AF689" s="559"/>
      <c r="AG689" s="559"/>
    </row>
    <row r="690" spans="1:33" ht="18" x14ac:dyDescent="0.35">
      <c r="A690" s="559"/>
      <c r="B690" s="559"/>
      <c r="C690" s="559"/>
      <c r="D690" s="559"/>
      <c r="E690" s="559"/>
      <c r="F690" s="559"/>
      <c r="G690" s="559"/>
      <c r="H690" s="559"/>
      <c r="I690" s="559"/>
      <c r="J690" s="559"/>
      <c r="K690" s="559"/>
      <c r="L690" s="559"/>
      <c r="M690" s="559"/>
      <c r="N690" s="559"/>
      <c r="O690" s="559"/>
      <c r="P690" s="559"/>
      <c r="Q690" s="559"/>
      <c r="R690" s="559"/>
      <c r="S690" s="559"/>
      <c r="T690" s="559"/>
      <c r="U690" s="559"/>
      <c r="V690" s="559"/>
      <c r="W690" s="559"/>
      <c r="X690" s="559"/>
      <c r="Y690" s="559"/>
      <c r="Z690" s="559"/>
      <c r="AA690" s="559"/>
      <c r="AB690" s="559"/>
      <c r="AC690" s="559"/>
      <c r="AD690" s="559"/>
      <c r="AE690" s="559"/>
      <c r="AF690" s="559"/>
      <c r="AG690" s="559"/>
    </row>
    <row r="691" spans="1:33" ht="18" x14ac:dyDescent="0.35">
      <c r="A691" s="559"/>
      <c r="B691" s="559"/>
      <c r="C691" s="559"/>
      <c r="D691" s="559"/>
      <c r="E691" s="559"/>
      <c r="F691" s="559"/>
      <c r="G691" s="559"/>
      <c r="H691" s="559"/>
      <c r="I691" s="559"/>
      <c r="J691" s="559"/>
      <c r="K691" s="559"/>
      <c r="L691" s="559"/>
      <c r="M691" s="559"/>
      <c r="N691" s="559"/>
      <c r="O691" s="559"/>
      <c r="P691" s="559"/>
      <c r="Q691" s="559"/>
      <c r="R691" s="559"/>
      <c r="S691" s="559"/>
      <c r="T691" s="559"/>
      <c r="U691" s="559"/>
      <c r="V691" s="559"/>
      <c r="W691" s="559"/>
      <c r="X691" s="559"/>
      <c r="Y691" s="559"/>
      <c r="Z691" s="559"/>
      <c r="AA691" s="559"/>
      <c r="AB691" s="559"/>
      <c r="AC691" s="559"/>
      <c r="AD691" s="559"/>
      <c r="AE691" s="559"/>
      <c r="AF691" s="559"/>
      <c r="AG691" s="559"/>
    </row>
    <row r="692" spans="1:33" ht="18" x14ac:dyDescent="0.35">
      <c r="A692" s="559"/>
      <c r="B692" s="559"/>
      <c r="C692" s="559"/>
      <c r="D692" s="559"/>
      <c r="E692" s="559"/>
      <c r="F692" s="559"/>
      <c r="G692" s="559"/>
      <c r="H692" s="559"/>
      <c r="I692" s="559"/>
      <c r="J692" s="559"/>
      <c r="K692" s="559"/>
      <c r="L692" s="559"/>
      <c r="M692" s="559"/>
      <c r="N692" s="559"/>
      <c r="O692" s="559"/>
      <c r="P692" s="559"/>
      <c r="Q692" s="559"/>
      <c r="R692" s="559"/>
      <c r="S692" s="559"/>
      <c r="T692" s="559"/>
      <c r="U692" s="559"/>
      <c r="V692" s="559"/>
      <c r="W692" s="559"/>
      <c r="X692" s="559"/>
      <c r="Y692" s="559"/>
      <c r="Z692" s="559"/>
      <c r="AA692" s="559"/>
      <c r="AB692" s="559"/>
      <c r="AC692" s="559"/>
      <c r="AD692" s="559"/>
      <c r="AE692" s="559"/>
      <c r="AF692" s="559"/>
      <c r="AG692" s="559"/>
    </row>
    <row r="693" spans="1:33" ht="18" x14ac:dyDescent="0.35">
      <c r="A693" s="559"/>
      <c r="B693" s="559"/>
      <c r="C693" s="559"/>
      <c r="D693" s="559"/>
      <c r="E693" s="559"/>
      <c r="F693" s="559"/>
      <c r="G693" s="559"/>
      <c r="H693" s="559"/>
      <c r="I693" s="559"/>
      <c r="J693" s="559"/>
      <c r="K693" s="559"/>
      <c r="L693" s="559"/>
      <c r="M693" s="559"/>
      <c r="N693" s="559"/>
      <c r="O693" s="559"/>
      <c r="P693" s="559"/>
      <c r="Q693" s="559"/>
      <c r="R693" s="559"/>
      <c r="S693" s="559"/>
      <c r="T693" s="559"/>
      <c r="U693" s="559"/>
      <c r="V693" s="559"/>
      <c r="W693" s="559"/>
      <c r="X693" s="559"/>
      <c r="Y693" s="559"/>
      <c r="Z693" s="559"/>
      <c r="AA693" s="559"/>
      <c r="AB693" s="559"/>
      <c r="AC693" s="559"/>
      <c r="AD693" s="559"/>
      <c r="AE693" s="559"/>
      <c r="AF693" s="559"/>
      <c r="AG693" s="559"/>
    </row>
    <row r="694" spans="1:33" ht="18" x14ac:dyDescent="0.35">
      <c r="A694" s="559"/>
      <c r="B694" s="559"/>
      <c r="C694" s="559"/>
      <c r="D694" s="559"/>
      <c r="E694" s="559"/>
      <c r="F694" s="559"/>
      <c r="G694" s="559"/>
      <c r="H694" s="559"/>
      <c r="I694" s="559"/>
      <c r="J694" s="559"/>
      <c r="K694" s="559"/>
      <c r="L694" s="559"/>
      <c r="M694" s="559"/>
      <c r="N694" s="559"/>
      <c r="O694" s="559"/>
      <c r="P694" s="559"/>
      <c r="Q694" s="559"/>
      <c r="R694" s="559"/>
      <c r="S694" s="559"/>
      <c r="T694" s="559"/>
      <c r="U694" s="559"/>
      <c r="V694" s="559"/>
      <c r="W694" s="559"/>
      <c r="X694" s="559"/>
      <c r="Y694" s="559"/>
      <c r="Z694" s="559"/>
      <c r="AA694" s="559"/>
      <c r="AB694" s="559"/>
      <c r="AC694" s="559"/>
      <c r="AD694" s="559"/>
      <c r="AE694" s="559"/>
      <c r="AF694" s="559"/>
      <c r="AG694" s="559"/>
    </row>
    <row r="695" spans="1:33" ht="18" x14ac:dyDescent="0.35">
      <c r="A695" s="559"/>
      <c r="B695" s="559"/>
      <c r="C695" s="559"/>
      <c r="D695" s="559"/>
      <c r="E695" s="559"/>
      <c r="F695" s="559"/>
      <c r="G695" s="559"/>
      <c r="H695" s="559"/>
      <c r="I695" s="559"/>
      <c r="J695" s="559"/>
      <c r="K695" s="559"/>
      <c r="L695" s="559"/>
      <c r="M695" s="559"/>
      <c r="N695" s="559"/>
      <c r="O695" s="559"/>
      <c r="P695" s="559"/>
      <c r="Q695" s="559"/>
      <c r="R695" s="559"/>
      <c r="S695" s="559"/>
      <c r="T695" s="559"/>
      <c r="U695" s="559"/>
      <c r="V695" s="559"/>
      <c r="W695" s="559"/>
      <c r="X695" s="559"/>
      <c r="Y695" s="559"/>
      <c r="Z695" s="559"/>
      <c r="AA695" s="559"/>
      <c r="AB695" s="559"/>
      <c r="AC695" s="559"/>
      <c r="AD695" s="559"/>
      <c r="AE695" s="559"/>
      <c r="AF695" s="559"/>
      <c r="AG695" s="559"/>
    </row>
    <row r="696" spans="1:33" ht="18" x14ac:dyDescent="0.35">
      <c r="A696" s="559"/>
      <c r="B696" s="559"/>
      <c r="C696" s="559"/>
      <c r="D696" s="559"/>
      <c r="E696" s="559"/>
      <c r="F696" s="559"/>
      <c r="G696" s="559"/>
      <c r="H696" s="559"/>
      <c r="I696" s="559"/>
      <c r="J696" s="559"/>
      <c r="K696" s="559"/>
      <c r="L696" s="559"/>
      <c r="M696" s="559"/>
      <c r="N696" s="559"/>
      <c r="O696" s="559"/>
      <c r="P696" s="559"/>
      <c r="Q696" s="559"/>
      <c r="R696" s="559"/>
      <c r="S696" s="559"/>
      <c r="T696" s="559"/>
      <c r="U696" s="559"/>
      <c r="V696" s="559"/>
      <c r="W696" s="559"/>
      <c r="X696" s="559"/>
      <c r="Y696" s="559"/>
      <c r="Z696" s="559"/>
      <c r="AA696" s="559"/>
      <c r="AB696" s="559"/>
      <c r="AC696" s="559"/>
      <c r="AD696" s="559"/>
      <c r="AE696" s="559"/>
      <c r="AF696" s="559"/>
      <c r="AG696" s="559"/>
    </row>
    <row r="697" spans="1:33" ht="18" x14ac:dyDescent="0.35">
      <c r="A697" s="559"/>
      <c r="B697" s="559"/>
      <c r="C697" s="559"/>
      <c r="D697" s="559"/>
      <c r="E697" s="559"/>
      <c r="F697" s="559"/>
      <c r="G697" s="559"/>
      <c r="H697" s="559"/>
      <c r="I697" s="559"/>
      <c r="J697" s="559"/>
      <c r="K697" s="559"/>
      <c r="L697" s="559"/>
      <c r="M697" s="559"/>
      <c r="N697" s="559"/>
      <c r="O697" s="559"/>
      <c r="P697" s="559"/>
      <c r="Q697" s="559"/>
      <c r="R697" s="559"/>
      <c r="S697" s="559"/>
      <c r="T697" s="559"/>
      <c r="U697" s="559"/>
      <c r="V697" s="559"/>
      <c r="W697" s="559"/>
      <c r="X697" s="559"/>
      <c r="Y697" s="559"/>
      <c r="Z697" s="559"/>
      <c r="AA697" s="559"/>
      <c r="AB697" s="559"/>
      <c r="AC697" s="559"/>
      <c r="AD697" s="559"/>
      <c r="AE697" s="559"/>
      <c r="AF697" s="559"/>
      <c r="AG697" s="559"/>
    </row>
    <row r="698" spans="1:33" ht="18" x14ac:dyDescent="0.35">
      <c r="A698" s="559"/>
      <c r="B698" s="559"/>
      <c r="C698" s="559"/>
      <c r="D698" s="559"/>
      <c r="E698" s="559"/>
      <c r="F698" s="559"/>
      <c r="G698" s="559"/>
      <c r="H698" s="559"/>
      <c r="I698" s="559"/>
      <c r="J698" s="559"/>
      <c r="K698" s="559"/>
      <c r="L698" s="559"/>
      <c r="M698" s="559"/>
      <c r="N698" s="559"/>
      <c r="O698" s="559"/>
      <c r="P698" s="559"/>
      <c r="Q698" s="559"/>
      <c r="R698" s="559"/>
      <c r="S698" s="559"/>
      <c r="T698" s="559"/>
      <c r="U698" s="559"/>
      <c r="V698" s="559"/>
      <c r="W698" s="559"/>
      <c r="X698" s="559"/>
      <c r="Y698" s="559"/>
      <c r="Z698" s="559"/>
      <c r="AA698" s="559"/>
      <c r="AB698" s="559"/>
      <c r="AC698" s="559"/>
      <c r="AD698" s="559"/>
      <c r="AE698" s="559"/>
      <c r="AF698" s="559"/>
      <c r="AG698" s="559"/>
    </row>
    <row r="699" spans="1:33" ht="18" x14ac:dyDescent="0.35">
      <c r="A699" s="559"/>
      <c r="B699" s="559"/>
      <c r="C699" s="559"/>
      <c r="D699" s="559"/>
      <c r="E699" s="559"/>
      <c r="F699" s="559"/>
      <c r="G699" s="559"/>
      <c r="H699" s="559"/>
      <c r="I699" s="559"/>
      <c r="J699" s="559"/>
      <c r="K699" s="559"/>
      <c r="L699" s="559"/>
      <c r="M699" s="559"/>
      <c r="N699" s="559"/>
      <c r="O699" s="559"/>
      <c r="P699" s="559"/>
      <c r="Q699" s="559"/>
      <c r="R699" s="559"/>
      <c r="S699" s="559"/>
      <c r="T699" s="559"/>
      <c r="U699" s="559"/>
      <c r="V699" s="559"/>
      <c r="W699" s="559"/>
      <c r="X699" s="559"/>
      <c r="Y699" s="559"/>
      <c r="Z699" s="559"/>
      <c r="AA699" s="559"/>
      <c r="AB699" s="559"/>
      <c r="AC699" s="559"/>
      <c r="AD699" s="559"/>
      <c r="AE699" s="559"/>
      <c r="AF699" s="559"/>
      <c r="AG699" s="559"/>
    </row>
    <row r="700" spans="1:33" ht="18" x14ac:dyDescent="0.35">
      <c r="A700" s="559"/>
      <c r="B700" s="559"/>
      <c r="C700" s="559"/>
      <c r="D700" s="559"/>
      <c r="E700" s="559"/>
      <c r="F700" s="559"/>
      <c r="G700" s="559"/>
      <c r="H700" s="559"/>
      <c r="I700" s="559"/>
      <c r="J700" s="559"/>
      <c r="K700" s="559"/>
      <c r="L700" s="559"/>
      <c r="M700" s="559"/>
      <c r="N700" s="559"/>
      <c r="O700" s="559"/>
      <c r="P700" s="559"/>
      <c r="Q700" s="559"/>
      <c r="R700" s="559"/>
      <c r="S700" s="559"/>
      <c r="T700" s="559"/>
      <c r="U700" s="559"/>
      <c r="V700" s="559"/>
      <c r="W700" s="559"/>
      <c r="X700" s="559"/>
      <c r="Y700" s="559"/>
      <c r="Z700" s="559"/>
      <c r="AA700" s="559"/>
      <c r="AB700" s="559"/>
      <c r="AC700" s="559"/>
      <c r="AD700" s="559"/>
      <c r="AE700" s="559"/>
      <c r="AF700" s="559"/>
      <c r="AG700" s="559"/>
    </row>
    <row r="701" spans="1:33" ht="18" x14ac:dyDescent="0.35">
      <c r="A701" s="559"/>
      <c r="B701" s="559"/>
      <c r="C701" s="559"/>
      <c r="D701" s="559"/>
      <c r="E701" s="559"/>
      <c r="F701" s="559"/>
      <c r="G701" s="559"/>
      <c r="H701" s="559"/>
      <c r="I701" s="559"/>
      <c r="J701" s="559"/>
      <c r="K701" s="559"/>
      <c r="L701" s="559"/>
      <c r="M701" s="559"/>
      <c r="N701" s="559"/>
      <c r="O701" s="559"/>
      <c r="P701" s="559"/>
      <c r="Q701" s="559"/>
      <c r="R701" s="559"/>
      <c r="S701" s="559"/>
      <c r="T701" s="559"/>
      <c r="U701" s="559"/>
      <c r="V701" s="559"/>
      <c r="W701" s="559"/>
      <c r="X701" s="559"/>
      <c r="Y701" s="559"/>
      <c r="Z701" s="559"/>
      <c r="AA701" s="559"/>
      <c r="AB701" s="559"/>
      <c r="AC701" s="559"/>
      <c r="AD701" s="559"/>
      <c r="AE701" s="559"/>
      <c r="AF701" s="559"/>
      <c r="AG701" s="559"/>
    </row>
    <row r="702" spans="1:33" ht="18" x14ac:dyDescent="0.35">
      <c r="A702" s="559"/>
      <c r="B702" s="559"/>
      <c r="C702" s="559"/>
      <c r="D702" s="559"/>
      <c r="E702" s="559"/>
      <c r="F702" s="559"/>
      <c r="G702" s="559"/>
      <c r="H702" s="559"/>
      <c r="I702" s="559"/>
      <c r="J702" s="559"/>
      <c r="K702" s="559"/>
      <c r="L702" s="559"/>
      <c r="M702" s="559"/>
      <c r="N702" s="559"/>
      <c r="O702" s="559"/>
      <c r="P702" s="559"/>
      <c r="Q702" s="559"/>
      <c r="R702" s="559"/>
      <c r="S702" s="559"/>
      <c r="T702" s="559"/>
      <c r="U702" s="559"/>
      <c r="V702" s="559"/>
      <c r="W702" s="559"/>
      <c r="X702" s="559"/>
      <c r="Y702" s="559"/>
      <c r="Z702" s="559"/>
      <c r="AA702" s="559"/>
      <c r="AB702" s="559"/>
      <c r="AC702" s="559"/>
      <c r="AD702" s="559"/>
      <c r="AE702" s="559"/>
      <c r="AF702" s="559"/>
      <c r="AG702" s="559"/>
    </row>
    <row r="703" spans="1:33" ht="18" x14ac:dyDescent="0.35">
      <c r="A703" s="559"/>
      <c r="B703" s="559"/>
      <c r="C703" s="559"/>
      <c r="D703" s="559"/>
      <c r="E703" s="559"/>
      <c r="F703" s="559"/>
      <c r="G703" s="559"/>
      <c r="H703" s="559"/>
      <c r="I703" s="559"/>
      <c r="J703" s="559"/>
      <c r="K703" s="559"/>
      <c r="L703" s="559"/>
      <c r="M703" s="559"/>
      <c r="N703" s="559"/>
      <c r="O703" s="559"/>
      <c r="P703" s="559"/>
      <c r="Q703" s="559"/>
      <c r="R703" s="559"/>
      <c r="S703" s="559"/>
      <c r="T703" s="559"/>
      <c r="U703" s="559"/>
      <c r="V703" s="559"/>
      <c r="W703" s="559"/>
      <c r="X703" s="559"/>
      <c r="Y703" s="559"/>
      <c r="Z703" s="559"/>
      <c r="AA703" s="559"/>
      <c r="AB703" s="559"/>
      <c r="AC703" s="559"/>
      <c r="AD703" s="559"/>
      <c r="AE703" s="559"/>
      <c r="AF703" s="559"/>
      <c r="AG703" s="559"/>
    </row>
    <row r="704" spans="1:33" ht="18" x14ac:dyDescent="0.35">
      <c r="A704" s="559"/>
      <c r="B704" s="559"/>
      <c r="C704" s="559"/>
      <c r="D704" s="559"/>
      <c r="E704" s="559"/>
      <c r="F704" s="559"/>
      <c r="G704" s="559"/>
      <c r="H704" s="559"/>
      <c r="I704" s="559"/>
      <c r="J704" s="559"/>
      <c r="K704" s="559"/>
      <c r="L704" s="559"/>
      <c r="M704" s="559"/>
      <c r="N704" s="559"/>
      <c r="O704" s="559"/>
      <c r="P704" s="559"/>
      <c r="Q704" s="559"/>
      <c r="R704" s="559"/>
      <c r="S704" s="559"/>
      <c r="T704" s="559"/>
      <c r="U704" s="559"/>
      <c r="V704" s="559"/>
      <c r="W704" s="559"/>
      <c r="X704" s="559"/>
      <c r="Y704" s="559"/>
      <c r="Z704" s="559"/>
      <c r="AA704" s="559"/>
      <c r="AB704" s="559"/>
      <c r="AC704" s="559"/>
      <c r="AD704" s="559"/>
      <c r="AE704" s="559"/>
      <c r="AF704" s="559"/>
      <c r="AG704" s="559"/>
    </row>
    <row r="705" spans="1:33" ht="18" x14ac:dyDescent="0.35">
      <c r="A705" s="559"/>
      <c r="B705" s="559"/>
      <c r="C705" s="559"/>
      <c r="D705" s="559"/>
      <c r="E705" s="559"/>
      <c r="F705" s="559"/>
      <c r="G705" s="559"/>
      <c r="H705" s="559"/>
      <c r="I705" s="559"/>
      <c r="J705" s="559"/>
      <c r="K705" s="559"/>
      <c r="L705" s="559"/>
      <c r="M705" s="559"/>
      <c r="N705" s="559"/>
      <c r="O705" s="559"/>
      <c r="P705" s="559"/>
      <c r="Q705" s="559"/>
      <c r="R705" s="559"/>
      <c r="S705" s="559"/>
      <c r="T705" s="559"/>
      <c r="U705" s="559"/>
      <c r="V705" s="559"/>
      <c r="W705" s="559"/>
      <c r="X705" s="559"/>
      <c r="Y705" s="559"/>
      <c r="Z705" s="559"/>
      <c r="AA705" s="559"/>
      <c r="AB705" s="559"/>
      <c r="AC705" s="559"/>
      <c r="AD705" s="559"/>
      <c r="AE705" s="559"/>
      <c r="AF705" s="559"/>
      <c r="AG705" s="559"/>
    </row>
    <row r="706" spans="1:33" ht="18" x14ac:dyDescent="0.35">
      <c r="A706" s="559"/>
      <c r="B706" s="559"/>
      <c r="C706" s="559"/>
      <c r="D706" s="559"/>
      <c r="E706" s="559"/>
      <c r="F706" s="559"/>
      <c r="G706" s="559"/>
      <c r="H706" s="559"/>
      <c r="I706" s="559"/>
      <c r="J706" s="559"/>
      <c r="K706" s="559"/>
      <c r="L706" s="559"/>
      <c r="M706" s="559"/>
      <c r="N706" s="559"/>
      <c r="O706" s="559"/>
      <c r="P706" s="559"/>
      <c r="Q706" s="559"/>
      <c r="R706" s="559"/>
      <c r="S706" s="559"/>
      <c r="T706" s="559"/>
      <c r="U706" s="559"/>
      <c r="V706" s="559"/>
      <c r="W706" s="559"/>
      <c r="X706" s="559"/>
      <c r="Y706" s="559"/>
      <c r="Z706" s="559"/>
      <c r="AA706" s="559"/>
      <c r="AB706" s="559"/>
      <c r="AC706" s="559"/>
      <c r="AD706" s="559"/>
      <c r="AE706" s="559"/>
      <c r="AF706" s="559"/>
      <c r="AG706" s="559"/>
    </row>
    <row r="707" spans="1:33" ht="18" x14ac:dyDescent="0.35">
      <c r="A707" s="559"/>
      <c r="B707" s="559"/>
      <c r="C707" s="559"/>
      <c r="D707" s="559"/>
      <c r="E707" s="559"/>
      <c r="F707" s="559"/>
      <c r="G707" s="559"/>
      <c r="H707" s="559"/>
      <c r="I707" s="559"/>
      <c r="J707" s="559"/>
      <c r="K707" s="559"/>
      <c r="L707" s="559"/>
      <c r="M707" s="559"/>
      <c r="N707" s="559"/>
      <c r="O707" s="559"/>
      <c r="P707" s="559"/>
      <c r="Q707" s="559"/>
      <c r="R707" s="559"/>
      <c r="S707" s="559"/>
      <c r="T707" s="559"/>
      <c r="U707" s="559"/>
      <c r="V707" s="559"/>
      <c r="W707" s="559"/>
      <c r="X707" s="559"/>
      <c r="Y707" s="559"/>
      <c r="Z707" s="559"/>
      <c r="AA707" s="559"/>
      <c r="AB707" s="559"/>
      <c r="AC707" s="559"/>
      <c r="AD707" s="559"/>
      <c r="AE707" s="559"/>
      <c r="AF707" s="559"/>
      <c r="AG707" s="559"/>
    </row>
    <row r="708" spans="1:33" ht="18" x14ac:dyDescent="0.35">
      <c r="A708" s="559"/>
      <c r="B708" s="559"/>
      <c r="C708" s="559"/>
      <c r="D708" s="559"/>
      <c r="E708" s="559"/>
      <c r="F708" s="559"/>
      <c r="G708" s="559"/>
      <c r="H708" s="559"/>
      <c r="I708" s="559"/>
      <c r="J708" s="559"/>
      <c r="K708" s="559"/>
      <c r="L708" s="559"/>
      <c r="M708" s="559"/>
      <c r="N708" s="559"/>
      <c r="O708" s="559"/>
      <c r="P708" s="559"/>
      <c r="Q708" s="559"/>
      <c r="R708" s="559"/>
      <c r="S708" s="559"/>
      <c r="T708" s="559"/>
      <c r="U708" s="559"/>
      <c r="V708" s="559"/>
      <c r="W708" s="559"/>
      <c r="X708" s="559"/>
      <c r="Y708" s="559"/>
      <c r="Z708" s="559"/>
      <c r="AA708" s="559"/>
      <c r="AB708" s="559"/>
      <c r="AC708" s="559"/>
      <c r="AD708" s="559"/>
      <c r="AE708" s="559"/>
      <c r="AF708" s="559"/>
      <c r="AG708" s="559"/>
    </row>
    <row r="709" spans="1:33" ht="18" x14ac:dyDescent="0.35">
      <c r="A709" s="559"/>
      <c r="B709" s="559"/>
      <c r="C709" s="559"/>
      <c r="D709" s="559"/>
      <c r="E709" s="559"/>
      <c r="F709" s="559"/>
      <c r="G709" s="559"/>
      <c r="H709" s="559"/>
      <c r="I709" s="559"/>
      <c r="J709" s="559"/>
      <c r="K709" s="559"/>
      <c r="L709" s="559"/>
      <c r="M709" s="559"/>
      <c r="N709" s="559"/>
      <c r="O709" s="559"/>
      <c r="P709" s="559"/>
      <c r="Q709" s="559"/>
      <c r="R709" s="559"/>
      <c r="S709" s="559"/>
      <c r="T709" s="559"/>
      <c r="U709" s="559"/>
      <c r="V709" s="559"/>
      <c r="W709" s="559"/>
      <c r="X709" s="559"/>
      <c r="Y709" s="559"/>
      <c r="Z709" s="559"/>
      <c r="AA709" s="559"/>
      <c r="AB709" s="559"/>
      <c r="AC709" s="559"/>
      <c r="AD709" s="559"/>
      <c r="AE709" s="559"/>
      <c r="AF709" s="559"/>
      <c r="AG709" s="559"/>
    </row>
    <row r="710" spans="1:33" ht="18" x14ac:dyDescent="0.35">
      <c r="A710" s="559"/>
      <c r="B710" s="559"/>
      <c r="C710" s="559"/>
      <c r="D710" s="559"/>
      <c r="E710" s="559"/>
      <c r="F710" s="559"/>
      <c r="G710" s="559"/>
      <c r="H710" s="559"/>
      <c r="I710" s="559"/>
      <c r="J710" s="559"/>
      <c r="K710" s="559"/>
      <c r="L710" s="559"/>
      <c r="M710" s="559"/>
      <c r="N710" s="559"/>
      <c r="O710" s="559"/>
      <c r="P710" s="559"/>
      <c r="Q710" s="559"/>
      <c r="R710" s="559"/>
      <c r="S710" s="559"/>
      <c r="T710" s="559"/>
      <c r="U710" s="559"/>
      <c r="V710" s="559"/>
      <c r="W710" s="559"/>
      <c r="X710" s="559"/>
      <c r="Y710" s="559"/>
      <c r="Z710" s="559"/>
      <c r="AA710" s="559"/>
      <c r="AB710" s="559"/>
      <c r="AC710" s="559"/>
      <c r="AD710" s="559"/>
      <c r="AE710" s="559"/>
      <c r="AF710" s="559"/>
      <c r="AG710" s="559"/>
    </row>
    <row r="711" spans="1:33" ht="18" x14ac:dyDescent="0.35">
      <c r="A711" s="559"/>
      <c r="B711" s="559"/>
      <c r="C711" s="559"/>
      <c r="D711" s="559"/>
      <c r="E711" s="559"/>
      <c r="F711" s="559"/>
      <c r="G711" s="559"/>
      <c r="H711" s="559"/>
      <c r="I711" s="559"/>
      <c r="J711" s="559"/>
      <c r="K711" s="559"/>
      <c r="L711" s="559"/>
      <c r="M711" s="559"/>
      <c r="N711" s="559"/>
      <c r="O711" s="559"/>
      <c r="P711" s="559"/>
      <c r="Q711" s="559"/>
      <c r="R711" s="559"/>
      <c r="S711" s="559"/>
      <c r="T711" s="559"/>
      <c r="U711" s="559"/>
      <c r="V711" s="559"/>
      <c r="W711" s="559"/>
      <c r="X711" s="559"/>
      <c r="Y711" s="559"/>
      <c r="Z711" s="559"/>
      <c r="AA711" s="559"/>
      <c r="AB711" s="559"/>
      <c r="AC711" s="559"/>
      <c r="AD711" s="559"/>
      <c r="AE711" s="559"/>
      <c r="AF711" s="559"/>
      <c r="AG711" s="559"/>
    </row>
    <row r="712" spans="1:33" ht="18" x14ac:dyDescent="0.35">
      <c r="A712" s="559"/>
      <c r="B712" s="559"/>
      <c r="C712" s="559"/>
      <c r="D712" s="559"/>
      <c r="E712" s="559"/>
      <c r="F712" s="559"/>
      <c r="G712" s="559"/>
      <c r="H712" s="559"/>
      <c r="I712" s="559"/>
      <c r="J712" s="559"/>
      <c r="K712" s="559"/>
      <c r="L712" s="559"/>
      <c r="M712" s="559"/>
      <c r="N712" s="559"/>
      <c r="O712" s="559"/>
      <c r="P712" s="559"/>
      <c r="Q712" s="559"/>
      <c r="R712" s="559"/>
      <c r="S712" s="559"/>
      <c r="T712" s="559"/>
      <c r="U712" s="559"/>
      <c r="V712" s="559"/>
      <c r="W712" s="559"/>
      <c r="X712" s="559"/>
      <c r="Y712" s="559"/>
      <c r="Z712" s="559"/>
      <c r="AA712" s="559"/>
      <c r="AB712" s="559"/>
      <c r="AC712" s="559"/>
      <c r="AD712" s="559"/>
      <c r="AE712" s="559"/>
      <c r="AF712" s="559"/>
      <c r="AG712" s="559"/>
    </row>
    <row r="713" spans="1:33" ht="18" x14ac:dyDescent="0.35">
      <c r="A713" s="559"/>
      <c r="B713" s="559"/>
      <c r="C713" s="559"/>
      <c r="D713" s="559"/>
      <c r="E713" s="559"/>
      <c r="F713" s="559"/>
      <c r="G713" s="559"/>
      <c r="H713" s="559"/>
      <c r="I713" s="559"/>
      <c r="J713" s="559"/>
      <c r="K713" s="559"/>
      <c r="L713" s="559"/>
      <c r="M713" s="559"/>
      <c r="N713" s="559"/>
      <c r="O713" s="559"/>
      <c r="P713" s="559"/>
      <c r="Q713" s="559"/>
      <c r="R713" s="559"/>
      <c r="S713" s="559"/>
      <c r="T713" s="559"/>
      <c r="U713" s="559"/>
      <c r="V713" s="559"/>
      <c r="W713" s="559"/>
      <c r="X713" s="559"/>
      <c r="Y713" s="559"/>
      <c r="Z713" s="559"/>
      <c r="AA713" s="559"/>
      <c r="AB713" s="559"/>
      <c r="AC713" s="559"/>
      <c r="AD713" s="559"/>
      <c r="AE713" s="559"/>
      <c r="AF713" s="559"/>
      <c r="AG713" s="559"/>
    </row>
    <row r="714" spans="1:33" ht="18" x14ac:dyDescent="0.35">
      <c r="A714" s="559"/>
      <c r="B714" s="559"/>
      <c r="C714" s="559"/>
      <c r="D714" s="559"/>
      <c r="E714" s="559"/>
      <c r="F714" s="559"/>
      <c r="G714" s="559"/>
      <c r="H714" s="559"/>
      <c r="I714" s="559"/>
      <c r="J714" s="559"/>
      <c r="K714" s="559"/>
      <c r="L714" s="559"/>
      <c r="M714" s="559"/>
      <c r="N714" s="559"/>
      <c r="O714" s="559"/>
      <c r="P714" s="559"/>
      <c r="Q714" s="559"/>
      <c r="R714" s="559"/>
      <c r="S714" s="559"/>
      <c r="T714" s="559"/>
      <c r="U714" s="559"/>
      <c r="V714" s="559"/>
      <c r="W714" s="559"/>
      <c r="X714" s="559"/>
      <c r="Y714" s="559"/>
      <c r="Z714" s="559"/>
      <c r="AA714" s="559"/>
      <c r="AB714" s="559"/>
      <c r="AC714" s="559"/>
      <c r="AD714" s="559"/>
      <c r="AE714" s="559"/>
      <c r="AF714" s="559"/>
      <c r="AG714" s="559"/>
    </row>
    <row r="715" spans="1:33" ht="18" x14ac:dyDescent="0.35">
      <c r="A715" s="559"/>
      <c r="B715" s="559"/>
      <c r="C715" s="559"/>
      <c r="D715" s="559"/>
      <c r="E715" s="559"/>
      <c r="F715" s="559"/>
      <c r="G715" s="559"/>
      <c r="H715" s="559"/>
      <c r="I715" s="559"/>
      <c r="J715" s="559"/>
      <c r="K715" s="559"/>
      <c r="L715" s="559"/>
      <c r="M715" s="559"/>
      <c r="N715" s="559"/>
      <c r="O715" s="559"/>
      <c r="P715" s="559"/>
      <c r="Q715" s="559"/>
      <c r="R715" s="559"/>
      <c r="S715" s="559"/>
      <c r="T715" s="559"/>
      <c r="U715" s="559"/>
      <c r="V715" s="559"/>
      <c r="W715" s="559"/>
      <c r="X715" s="559"/>
      <c r="Y715" s="559"/>
      <c r="Z715" s="559"/>
      <c r="AA715" s="559"/>
      <c r="AB715" s="559"/>
      <c r="AC715" s="559"/>
      <c r="AD715" s="559"/>
      <c r="AE715" s="559"/>
      <c r="AF715" s="559"/>
      <c r="AG715" s="559"/>
    </row>
    <row r="716" spans="1:33" ht="18" x14ac:dyDescent="0.35">
      <c r="A716" s="559"/>
      <c r="B716" s="559"/>
      <c r="C716" s="559"/>
      <c r="D716" s="559"/>
      <c r="E716" s="559"/>
      <c r="F716" s="559"/>
      <c r="G716" s="559"/>
      <c r="H716" s="559"/>
      <c r="I716" s="559"/>
      <c r="J716" s="559"/>
      <c r="K716" s="559"/>
      <c r="L716" s="559"/>
      <c r="M716" s="559"/>
      <c r="N716" s="559"/>
      <c r="O716" s="559"/>
      <c r="P716" s="559"/>
      <c r="Q716" s="559"/>
      <c r="R716" s="559"/>
      <c r="S716" s="559"/>
      <c r="T716" s="559"/>
      <c r="U716" s="559"/>
      <c r="V716" s="559"/>
      <c r="W716" s="559"/>
      <c r="X716" s="559"/>
      <c r="Y716" s="559"/>
      <c r="Z716" s="559"/>
      <c r="AA716" s="559"/>
      <c r="AB716" s="559"/>
      <c r="AC716" s="559"/>
      <c r="AD716" s="559"/>
      <c r="AE716" s="559"/>
      <c r="AF716" s="559"/>
      <c r="AG716" s="559"/>
    </row>
    <row r="717" spans="1:33" ht="18" x14ac:dyDescent="0.35">
      <c r="A717" s="559"/>
      <c r="B717" s="559"/>
      <c r="C717" s="559"/>
      <c r="D717" s="559"/>
      <c r="E717" s="559"/>
      <c r="F717" s="559"/>
      <c r="G717" s="559"/>
      <c r="H717" s="559"/>
      <c r="I717" s="559"/>
      <c r="J717" s="559"/>
      <c r="K717" s="559"/>
      <c r="L717" s="559"/>
      <c r="M717" s="559"/>
      <c r="N717" s="559"/>
      <c r="O717" s="559"/>
      <c r="P717" s="559"/>
      <c r="Q717" s="559"/>
      <c r="R717" s="559"/>
      <c r="S717" s="559"/>
      <c r="T717" s="559"/>
      <c r="U717" s="559"/>
      <c r="V717" s="559"/>
      <c r="W717" s="559"/>
      <c r="X717" s="559"/>
      <c r="Y717" s="559"/>
      <c r="Z717" s="559"/>
      <c r="AA717" s="559"/>
      <c r="AB717" s="559"/>
      <c r="AC717" s="559"/>
      <c r="AD717" s="559"/>
      <c r="AE717" s="559"/>
      <c r="AF717" s="559"/>
      <c r="AG717" s="559"/>
    </row>
    <row r="718" spans="1:33" ht="18" x14ac:dyDescent="0.35">
      <c r="A718" s="559"/>
      <c r="B718" s="559"/>
      <c r="C718" s="559"/>
      <c r="D718" s="559"/>
      <c r="E718" s="559"/>
      <c r="F718" s="559"/>
      <c r="G718" s="559"/>
      <c r="H718" s="559"/>
      <c r="I718" s="559"/>
      <c r="J718" s="559"/>
      <c r="K718" s="559"/>
      <c r="L718" s="559"/>
      <c r="M718" s="559"/>
      <c r="N718" s="559"/>
      <c r="O718" s="559"/>
      <c r="P718" s="559"/>
      <c r="Q718" s="559"/>
      <c r="R718" s="559"/>
      <c r="S718" s="559"/>
      <c r="T718" s="559"/>
      <c r="U718" s="559"/>
      <c r="V718" s="559"/>
      <c r="W718" s="559"/>
      <c r="X718" s="559"/>
      <c r="Y718" s="559"/>
      <c r="Z718" s="559"/>
      <c r="AA718" s="559"/>
      <c r="AB718" s="559"/>
      <c r="AC718" s="559"/>
      <c r="AD718" s="559"/>
      <c r="AE718" s="559"/>
      <c r="AF718" s="559"/>
      <c r="AG718" s="559"/>
    </row>
    <row r="719" spans="1:33" ht="18" x14ac:dyDescent="0.35">
      <c r="A719" s="559"/>
      <c r="B719" s="559"/>
      <c r="C719" s="559"/>
      <c r="D719" s="559"/>
      <c r="E719" s="559"/>
      <c r="F719" s="559"/>
      <c r="G719" s="559"/>
      <c r="H719" s="559"/>
      <c r="I719" s="559"/>
      <c r="J719" s="559"/>
      <c r="K719" s="559"/>
      <c r="L719" s="559"/>
      <c r="M719" s="559"/>
      <c r="N719" s="559"/>
      <c r="O719" s="559"/>
      <c r="P719" s="559"/>
      <c r="Q719" s="559"/>
      <c r="R719" s="559"/>
      <c r="S719" s="559"/>
      <c r="T719" s="559"/>
      <c r="U719" s="559"/>
      <c r="V719" s="559"/>
      <c r="W719" s="559"/>
      <c r="X719" s="559"/>
      <c r="Y719" s="559"/>
      <c r="Z719" s="559"/>
      <c r="AA719" s="559"/>
      <c r="AB719" s="559"/>
      <c r="AC719" s="559"/>
      <c r="AD719" s="559"/>
      <c r="AE719" s="559"/>
      <c r="AF719" s="559"/>
      <c r="AG719" s="559"/>
    </row>
    <row r="720" spans="1:33" ht="18" x14ac:dyDescent="0.35">
      <c r="A720" s="559"/>
      <c r="B720" s="559"/>
      <c r="C720" s="559"/>
      <c r="D720" s="559"/>
      <c r="E720" s="559"/>
      <c r="F720" s="559"/>
      <c r="G720" s="559"/>
      <c r="H720" s="559"/>
      <c r="I720" s="559"/>
      <c r="J720" s="559"/>
      <c r="K720" s="559"/>
      <c r="L720" s="559"/>
      <c r="M720" s="559"/>
      <c r="N720" s="559"/>
      <c r="O720" s="559"/>
      <c r="P720" s="559"/>
      <c r="Q720" s="559"/>
      <c r="R720" s="559"/>
      <c r="S720" s="559"/>
      <c r="T720" s="559"/>
      <c r="U720" s="559"/>
      <c r="V720" s="559"/>
      <c r="W720" s="559"/>
      <c r="X720" s="559"/>
      <c r="Y720" s="559"/>
      <c r="Z720" s="559"/>
      <c r="AA720" s="559"/>
      <c r="AB720" s="559"/>
      <c r="AC720" s="559"/>
      <c r="AD720" s="559"/>
      <c r="AE720" s="559"/>
      <c r="AF720" s="559"/>
      <c r="AG720" s="559"/>
    </row>
    <row r="721" spans="1:33" ht="18" x14ac:dyDescent="0.35">
      <c r="A721" s="559"/>
      <c r="B721" s="559"/>
      <c r="C721" s="559"/>
      <c r="D721" s="559"/>
      <c r="E721" s="559"/>
      <c r="F721" s="559"/>
      <c r="G721" s="559"/>
      <c r="H721" s="559"/>
      <c r="I721" s="559"/>
      <c r="J721" s="559"/>
      <c r="K721" s="559"/>
      <c r="L721" s="559"/>
      <c r="M721" s="559"/>
      <c r="N721" s="559"/>
      <c r="O721" s="559"/>
      <c r="P721" s="559"/>
      <c r="Q721" s="559"/>
      <c r="R721" s="559"/>
      <c r="S721" s="559"/>
      <c r="T721" s="559"/>
      <c r="U721" s="559"/>
      <c r="V721" s="559"/>
      <c r="W721" s="559"/>
      <c r="X721" s="559"/>
      <c r="Y721" s="559"/>
      <c r="Z721" s="559"/>
      <c r="AA721" s="559"/>
      <c r="AB721" s="559"/>
      <c r="AC721" s="559"/>
      <c r="AD721" s="559"/>
      <c r="AE721" s="559"/>
      <c r="AF721" s="559"/>
      <c r="AG721" s="559"/>
    </row>
    <row r="722" spans="1:33" ht="18" x14ac:dyDescent="0.35">
      <c r="A722" s="559"/>
      <c r="B722" s="559"/>
      <c r="C722" s="559"/>
      <c r="D722" s="559"/>
      <c r="E722" s="559"/>
      <c r="F722" s="559"/>
      <c r="G722" s="559"/>
      <c r="H722" s="559"/>
      <c r="I722" s="559"/>
      <c r="J722" s="559"/>
      <c r="K722" s="559"/>
      <c r="L722" s="559"/>
      <c r="M722" s="559"/>
      <c r="N722" s="559"/>
      <c r="O722" s="559"/>
      <c r="P722" s="559"/>
      <c r="Q722" s="559"/>
      <c r="R722" s="559"/>
      <c r="S722" s="559"/>
      <c r="T722" s="559"/>
      <c r="U722" s="559"/>
      <c r="V722" s="559"/>
      <c r="W722" s="559"/>
      <c r="X722" s="559"/>
      <c r="Y722" s="559"/>
      <c r="Z722" s="559"/>
      <c r="AA722" s="559"/>
      <c r="AB722" s="559"/>
      <c r="AC722" s="559"/>
      <c r="AD722" s="559"/>
      <c r="AE722" s="559"/>
      <c r="AF722" s="559"/>
      <c r="AG722" s="559"/>
    </row>
    <row r="723" spans="1:33" ht="18" x14ac:dyDescent="0.35">
      <c r="A723" s="559"/>
      <c r="B723" s="559"/>
      <c r="C723" s="559"/>
      <c r="D723" s="559"/>
      <c r="E723" s="559"/>
      <c r="F723" s="559"/>
      <c r="G723" s="559"/>
      <c r="H723" s="559"/>
      <c r="I723" s="559"/>
      <c r="J723" s="559"/>
      <c r="K723" s="559"/>
      <c r="L723" s="559"/>
      <c r="M723" s="559"/>
      <c r="N723" s="559"/>
      <c r="O723" s="559"/>
      <c r="P723" s="559"/>
      <c r="Q723" s="559"/>
      <c r="R723" s="559"/>
      <c r="S723" s="559"/>
      <c r="T723" s="559"/>
      <c r="U723" s="559"/>
      <c r="V723" s="559"/>
      <c r="W723" s="559"/>
      <c r="X723" s="559"/>
      <c r="Y723" s="559"/>
      <c r="Z723" s="559"/>
      <c r="AA723" s="559"/>
      <c r="AB723" s="559"/>
      <c r="AC723" s="559"/>
      <c r="AD723" s="559"/>
      <c r="AE723" s="559"/>
      <c r="AF723" s="559"/>
      <c r="AG723" s="559"/>
    </row>
    <row r="724" spans="1:33" ht="18" x14ac:dyDescent="0.35">
      <c r="A724" s="559"/>
      <c r="B724" s="559"/>
      <c r="C724" s="559"/>
      <c r="D724" s="559"/>
      <c r="E724" s="559"/>
      <c r="F724" s="559"/>
      <c r="G724" s="559"/>
      <c r="H724" s="559"/>
      <c r="I724" s="559"/>
      <c r="J724" s="559"/>
      <c r="K724" s="559"/>
      <c r="L724" s="559"/>
      <c r="M724" s="559"/>
      <c r="N724" s="559"/>
      <c r="O724" s="559"/>
      <c r="P724" s="559"/>
      <c r="Q724" s="559"/>
      <c r="R724" s="559"/>
      <c r="S724" s="559"/>
      <c r="T724" s="559"/>
      <c r="U724" s="559"/>
      <c r="V724" s="559"/>
      <c r="W724" s="559"/>
      <c r="X724" s="559"/>
      <c r="Y724" s="559"/>
      <c r="Z724" s="559"/>
      <c r="AA724" s="559"/>
      <c r="AB724" s="559"/>
      <c r="AC724" s="559"/>
      <c r="AD724" s="559"/>
      <c r="AE724" s="559"/>
      <c r="AF724" s="559"/>
      <c r="AG724" s="559"/>
    </row>
    <row r="725" spans="1:33" ht="18" x14ac:dyDescent="0.35">
      <c r="A725" s="559"/>
      <c r="B725" s="559"/>
      <c r="C725" s="559"/>
      <c r="D725" s="559"/>
      <c r="E725" s="559"/>
      <c r="F725" s="559"/>
      <c r="G725" s="559"/>
      <c r="H725" s="559"/>
      <c r="I725" s="559"/>
      <c r="J725" s="559"/>
      <c r="K725" s="559"/>
      <c r="L725" s="559"/>
      <c r="M725" s="559"/>
      <c r="N725" s="559"/>
      <c r="O725" s="559"/>
      <c r="P725" s="559"/>
      <c r="Q725" s="559"/>
      <c r="R725" s="559"/>
      <c r="S725" s="559"/>
      <c r="T725" s="559"/>
      <c r="U725" s="559"/>
      <c r="V725" s="559"/>
      <c r="W725" s="559"/>
      <c r="X725" s="559"/>
      <c r="Y725" s="559"/>
      <c r="Z725" s="559"/>
      <c r="AA725" s="559"/>
      <c r="AB725" s="559"/>
      <c r="AC725" s="559"/>
      <c r="AD725" s="559"/>
      <c r="AE725" s="559"/>
      <c r="AF725" s="559"/>
      <c r="AG725" s="559"/>
    </row>
    <row r="726" spans="1:33" ht="18" x14ac:dyDescent="0.35">
      <c r="A726" s="559"/>
      <c r="B726" s="559"/>
      <c r="C726" s="559"/>
      <c r="D726" s="559"/>
      <c r="E726" s="559"/>
      <c r="F726" s="559"/>
      <c r="G726" s="559"/>
      <c r="H726" s="559"/>
      <c r="I726" s="559"/>
      <c r="J726" s="559"/>
      <c r="K726" s="559"/>
      <c r="L726" s="559"/>
      <c r="M726" s="559"/>
      <c r="N726" s="559"/>
      <c r="O726" s="559"/>
      <c r="P726" s="559"/>
      <c r="Q726" s="559"/>
      <c r="R726" s="559"/>
      <c r="S726" s="559"/>
      <c r="T726" s="559"/>
      <c r="U726" s="559"/>
      <c r="V726" s="559"/>
      <c r="W726" s="559"/>
      <c r="X726" s="559"/>
      <c r="Y726" s="559"/>
      <c r="Z726" s="559"/>
      <c r="AA726" s="559"/>
      <c r="AB726" s="559"/>
      <c r="AC726" s="559"/>
      <c r="AD726" s="559"/>
      <c r="AE726" s="559"/>
      <c r="AF726" s="559"/>
      <c r="AG726" s="559"/>
    </row>
    <row r="727" spans="1:33" ht="18" x14ac:dyDescent="0.35">
      <c r="A727" s="559"/>
      <c r="B727" s="559"/>
      <c r="C727" s="559"/>
      <c r="D727" s="559"/>
      <c r="E727" s="559"/>
      <c r="F727" s="559"/>
      <c r="G727" s="559"/>
      <c r="H727" s="559"/>
      <c r="I727" s="559"/>
      <c r="J727" s="559"/>
      <c r="K727" s="559"/>
      <c r="L727" s="559"/>
      <c r="M727" s="559"/>
      <c r="N727" s="559"/>
      <c r="O727" s="559"/>
      <c r="P727" s="559"/>
      <c r="Q727" s="559"/>
      <c r="R727" s="559"/>
      <c r="S727" s="559"/>
      <c r="T727" s="559"/>
      <c r="U727" s="559"/>
      <c r="V727" s="559"/>
      <c r="W727" s="559"/>
      <c r="X727" s="559"/>
      <c r="Y727" s="559"/>
      <c r="Z727" s="559"/>
      <c r="AA727" s="559"/>
      <c r="AB727" s="559"/>
      <c r="AC727" s="559"/>
      <c r="AD727" s="559"/>
      <c r="AE727" s="559"/>
      <c r="AF727" s="559"/>
      <c r="AG727" s="559"/>
    </row>
    <row r="728" spans="1:33" ht="18" x14ac:dyDescent="0.35">
      <c r="A728" s="559"/>
      <c r="B728" s="559"/>
      <c r="C728" s="559"/>
      <c r="D728" s="559"/>
      <c r="E728" s="559"/>
      <c r="F728" s="559"/>
      <c r="G728" s="559"/>
      <c r="H728" s="559"/>
      <c r="I728" s="559"/>
      <c r="J728" s="559"/>
      <c r="K728" s="559"/>
      <c r="L728" s="559"/>
      <c r="M728" s="559"/>
      <c r="N728" s="559"/>
      <c r="O728" s="559"/>
      <c r="P728" s="559"/>
      <c r="Q728" s="559"/>
      <c r="R728" s="559"/>
      <c r="S728" s="559"/>
      <c r="T728" s="559"/>
      <c r="U728" s="559"/>
      <c r="V728" s="559"/>
      <c r="W728" s="559"/>
      <c r="X728" s="559"/>
      <c r="Y728" s="559"/>
      <c r="Z728" s="559"/>
      <c r="AA728" s="559"/>
      <c r="AB728" s="559"/>
      <c r="AC728" s="559"/>
      <c r="AD728" s="559"/>
      <c r="AE728" s="559"/>
      <c r="AF728" s="559"/>
      <c r="AG728" s="559"/>
    </row>
    <row r="729" spans="1:33" ht="18" x14ac:dyDescent="0.35">
      <c r="A729" s="559"/>
      <c r="B729" s="559"/>
      <c r="C729" s="559"/>
      <c r="D729" s="559"/>
      <c r="E729" s="559"/>
      <c r="F729" s="559"/>
      <c r="G729" s="559"/>
      <c r="H729" s="559"/>
      <c r="I729" s="559"/>
      <c r="J729" s="559"/>
      <c r="K729" s="559"/>
      <c r="L729" s="559"/>
      <c r="M729" s="559"/>
      <c r="N729" s="559"/>
      <c r="O729" s="559"/>
      <c r="P729" s="559"/>
      <c r="Q729" s="559"/>
      <c r="R729" s="559"/>
      <c r="S729" s="559"/>
      <c r="T729" s="559"/>
      <c r="U729" s="559"/>
      <c r="V729" s="559"/>
      <c r="W729" s="559"/>
      <c r="X729" s="559"/>
      <c r="Y729" s="559"/>
      <c r="Z729" s="559"/>
      <c r="AA729" s="559"/>
      <c r="AB729" s="559"/>
      <c r="AC729" s="559"/>
      <c r="AD729" s="559"/>
      <c r="AE729" s="559"/>
      <c r="AF729" s="559"/>
      <c r="AG729" s="559"/>
    </row>
    <row r="730" spans="1:33" ht="18" x14ac:dyDescent="0.35">
      <c r="A730" s="559"/>
      <c r="B730" s="559"/>
      <c r="C730" s="559"/>
      <c r="D730" s="559"/>
      <c r="E730" s="559"/>
      <c r="F730" s="559"/>
      <c r="G730" s="559"/>
      <c r="H730" s="559"/>
      <c r="I730" s="559"/>
      <c r="J730" s="559"/>
      <c r="K730" s="559"/>
      <c r="L730" s="559"/>
      <c r="M730" s="559"/>
      <c r="N730" s="559"/>
      <c r="O730" s="559"/>
      <c r="P730" s="559"/>
      <c r="Q730" s="559"/>
      <c r="R730" s="559"/>
      <c r="S730" s="559"/>
      <c r="T730" s="559"/>
      <c r="U730" s="559"/>
      <c r="V730" s="559"/>
      <c r="W730" s="559"/>
      <c r="X730" s="559"/>
      <c r="Y730" s="559"/>
      <c r="Z730" s="559"/>
      <c r="AA730" s="559"/>
      <c r="AB730" s="559"/>
      <c r="AC730" s="559"/>
      <c r="AD730" s="559"/>
      <c r="AE730" s="559"/>
      <c r="AF730" s="559"/>
      <c r="AG730" s="559"/>
    </row>
    <row r="731" spans="1:33" ht="18" x14ac:dyDescent="0.35">
      <c r="A731" s="559"/>
      <c r="B731" s="559"/>
      <c r="C731" s="559"/>
      <c r="D731" s="559"/>
      <c r="E731" s="559"/>
      <c r="F731" s="559"/>
      <c r="G731" s="559"/>
      <c r="H731" s="559"/>
      <c r="I731" s="559"/>
      <c r="J731" s="559"/>
      <c r="K731" s="559"/>
      <c r="L731" s="559"/>
      <c r="M731" s="559"/>
      <c r="N731" s="559"/>
      <c r="O731" s="559"/>
      <c r="P731" s="559"/>
      <c r="Q731" s="559"/>
      <c r="R731" s="559"/>
      <c r="S731" s="559"/>
      <c r="T731" s="559"/>
      <c r="U731" s="559"/>
      <c r="V731" s="559"/>
      <c r="W731" s="559"/>
      <c r="X731" s="559"/>
      <c r="Y731" s="559"/>
      <c r="Z731" s="559"/>
      <c r="AA731" s="559"/>
      <c r="AB731" s="559"/>
      <c r="AC731" s="559"/>
      <c r="AD731" s="559"/>
      <c r="AE731" s="559"/>
      <c r="AF731" s="559"/>
      <c r="AG731" s="559"/>
    </row>
    <row r="732" spans="1:33" ht="18" x14ac:dyDescent="0.35">
      <c r="A732" s="559"/>
      <c r="B732" s="559"/>
      <c r="C732" s="559"/>
      <c r="D732" s="559"/>
      <c r="E732" s="559"/>
      <c r="F732" s="559"/>
      <c r="G732" s="559"/>
      <c r="H732" s="559"/>
      <c r="I732" s="559"/>
      <c r="J732" s="559"/>
      <c r="K732" s="559"/>
      <c r="L732" s="559"/>
      <c r="M732" s="559"/>
      <c r="N732" s="559"/>
      <c r="O732" s="559"/>
      <c r="P732" s="559"/>
      <c r="Q732" s="559"/>
      <c r="R732" s="559"/>
      <c r="S732" s="559"/>
      <c r="T732" s="559"/>
      <c r="U732" s="559"/>
      <c r="V732" s="559"/>
      <c r="W732" s="559"/>
      <c r="X732" s="559"/>
      <c r="Y732" s="559"/>
      <c r="Z732" s="559"/>
      <c r="AA732" s="559"/>
      <c r="AB732" s="559"/>
      <c r="AC732" s="559"/>
      <c r="AD732" s="559"/>
      <c r="AE732" s="559"/>
      <c r="AF732" s="559"/>
      <c r="AG732" s="559"/>
    </row>
    <row r="733" spans="1:33" ht="18" x14ac:dyDescent="0.35">
      <c r="A733" s="559"/>
      <c r="B733" s="559"/>
      <c r="C733" s="559"/>
      <c r="D733" s="559"/>
      <c r="E733" s="559"/>
      <c r="F733" s="559"/>
      <c r="G733" s="559"/>
      <c r="H733" s="559"/>
      <c r="I733" s="559"/>
      <c r="J733" s="559"/>
      <c r="K733" s="559"/>
      <c r="L733" s="559"/>
      <c r="M733" s="559"/>
      <c r="N733" s="559"/>
      <c r="O733" s="559"/>
      <c r="P733" s="559"/>
      <c r="Q733" s="559"/>
      <c r="R733" s="559"/>
      <c r="S733" s="559"/>
      <c r="T733" s="559"/>
      <c r="U733" s="559"/>
      <c r="V733" s="559"/>
      <c r="W733" s="559"/>
      <c r="X733" s="559"/>
      <c r="Y733" s="559"/>
      <c r="Z733" s="559"/>
      <c r="AA733" s="559"/>
      <c r="AB733" s="559"/>
      <c r="AC733" s="559"/>
      <c r="AD733" s="559"/>
      <c r="AE733" s="559"/>
      <c r="AF733" s="559"/>
      <c r="AG733" s="559"/>
    </row>
    <row r="734" spans="1:33" ht="18" x14ac:dyDescent="0.35">
      <c r="A734" s="559"/>
      <c r="B734" s="559"/>
      <c r="C734" s="559"/>
      <c r="D734" s="559"/>
      <c r="E734" s="559"/>
      <c r="F734" s="559"/>
      <c r="G734" s="559"/>
      <c r="H734" s="559"/>
      <c r="I734" s="559"/>
      <c r="J734" s="559"/>
      <c r="K734" s="559"/>
      <c r="L734" s="559"/>
      <c r="M734" s="559"/>
      <c r="N734" s="559"/>
      <c r="O734" s="559"/>
      <c r="P734" s="559"/>
      <c r="Q734" s="559"/>
      <c r="R734" s="559"/>
      <c r="S734" s="559"/>
      <c r="T734" s="559"/>
      <c r="U734" s="559"/>
      <c r="V734" s="559"/>
      <c r="W734" s="559"/>
      <c r="X734" s="559"/>
      <c r="Y734" s="559"/>
      <c r="Z734" s="559"/>
      <c r="AA734" s="559"/>
      <c r="AB734" s="559"/>
      <c r="AC734" s="559"/>
      <c r="AD734" s="559"/>
      <c r="AE734" s="559"/>
      <c r="AF734" s="559"/>
      <c r="AG734" s="559"/>
    </row>
    <row r="735" spans="1:33" ht="18" x14ac:dyDescent="0.35">
      <c r="A735" s="559"/>
      <c r="B735" s="559"/>
      <c r="C735" s="559"/>
      <c r="D735" s="559"/>
      <c r="E735" s="559"/>
      <c r="F735" s="559"/>
      <c r="G735" s="559"/>
      <c r="H735" s="559"/>
      <c r="I735" s="559"/>
      <c r="J735" s="559"/>
      <c r="K735" s="559"/>
      <c r="L735" s="559"/>
      <c r="M735" s="559"/>
      <c r="N735" s="559"/>
      <c r="O735" s="559"/>
      <c r="P735" s="559"/>
      <c r="Q735" s="559"/>
      <c r="R735" s="559"/>
      <c r="S735" s="559"/>
      <c r="T735" s="559"/>
      <c r="U735" s="559"/>
      <c r="V735" s="559"/>
      <c r="W735" s="559"/>
      <c r="X735" s="559"/>
      <c r="Y735" s="559"/>
      <c r="Z735" s="559"/>
      <c r="AA735" s="559"/>
      <c r="AB735" s="559"/>
      <c r="AC735" s="559"/>
      <c r="AD735" s="559"/>
      <c r="AE735" s="559"/>
      <c r="AF735" s="559"/>
      <c r="AG735" s="559"/>
    </row>
    <row r="736" spans="1:33" ht="18" x14ac:dyDescent="0.35">
      <c r="A736" s="559"/>
      <c r="B736" s="559"/>
      <c r="C736" s="559"/>
      <c r="D736" s="559"/>
      <c r="E736" s="559"/>
      <c r="F736" s="559"/>
      <c r="G736" s="559"/>
      <c r="H736" s="559"/>
      <c r="I736" s="559"/>
      <c r="J736" s="559"/>
      <c r="K736" s="559"/>
      <c r="L736" s="559"/>
      <c r="M736" s="559"/>
      <c r="N736" s="559"/>
      <c r="O736" s="559"/>
      <c r="P736" s="559"/>
      <c r="Q736" s="559"/>
      <c r="R736" s="559"/>
      <c r="S736" s="559"/>
      <c r="T736" s="559"/>
      <c r="U736" s="559"/>
      <c r="V736" s="559"/>
      <c r="W736" s="559"/>
      <c r="X736" s="559"/>
      <c r="Y736" s="559"/>
      <c r="Z736" s="559"/>
      <c r="AA736" s="559"/>
      <c r="AB736" s="559"/>
      <c r="AC736" s="559"/>
      <c r="AD736" s="559"/>
      <c r="AE736" s="559"/>
      <c r="AF736" s="559"/>
      <c r="AG736" s="559"/>
    </row>
    <row r="737" spans="1:33" ht="18" x14ac:dyDescent="0.35">
      <c r="A737" s="559"/>
      <c r="B737" s="559"/>
      <c r="C737" s="559"/>
      <c r="D737" s="559"/>
      <c r="E737" s="559"/>
      <c r="F737" s="559"/>
      <c r="G737" s="559"/>
      <c r="H737" s="559"/>
      <c r="I737" s="559"/>
      <c r="J737" s="559"/>
      <c r="K737" s="559"/>
      <c r="L737" s="559"/>
      <c r="M737" s="559"/>
      <c r="N737" s="559"/>
      <c r="O737" s="559"/>
      <c r="P737" s="559"/>
      <c r="Q737" s="559"/>
      <c r="R737" s="559"/>
      <c r="S737" s="559"/>
      <c r="T737" s="559"/>
      <c r="U737" s="559"/>
      <c r="V737" s="559"/>
      <c r="W737" s="559"/>
      <c r="X737" s="559"/>
      <c r="Y737" s="559"/>
      <c r="Z737" s="559"/>
      <c r="AA737" s="559"/>
      <c r="AB737" s="559"/>
      <c r="AC737" s="559"/>
      <c r="AD737" s="559"/>
      <c r="AE737" s="559"/>
      <c r="AF737" s="559"/>
      <c r="AG737" s="559"/>
    </row>
    <row r="738" spans="1:33" ht="18" x14ac:dyDescent="0.35">
      <c r="A738" s="559"/>
      <c r="B738" s="559"/>
      <c r="C738" s="559"/>
      <c r="D738" s="559"/>
      <c r="E738" s="559"/>
      <c r="F738" s="559"/>
      <c r="G738" s="559"/>
      <c r="H738" s="559"/>
      <c r="I738" s="559"/>
      <c r="J738" s="559"/>
      <c r="K738" s="559"/>
      <c r="L738" s="559"/>
      <c r="M738" s="559"/>
      <c r="N738" s="559"/>
      <c r="O738" s="559"/>
      <c r="P738" s="559"/>
      <c r="Q738" s="559"/>
      <c r="R738" s="559"/>
      <c r="S738" s="559"/>
      <c r="T738" s="559"/>
      <c r="U738" s="559"/>
      <c r="V738" s="559"/>
      <c r="W738" s="559"/>
      <c r="X738" s="559"/>
      <c r="Y738" s="559"/>
      <c r="Z738" s="559"/>
      <c r="AA738" s="559"/>
      <c r="AB738" s="559"/>
      <c r="AC738" s="559"/>
      <c r="AD738" s="559"/>
      <c r="AE738" s="559"/>
      <c r="AF738" s="559"/>
      <c r="AG738" s="559"/>
    </row>
    <row r="739" spans="1:33" ht="18" x14ac:dyDescent="0.35">
      <c r="A739" s="559"/>
      <c r="B739" s="559"/>
      <c r="C739" s="559"/>
      <c r="D739" s="559"/>
      <c r="E739" s="559"/>
      <c r="F739" s="559"/>
      <c r="G739" s="559"/>
      <c r="H739" s="559"/>
      <c r="I739" s="559"/>
      <c r="J739" s="559"/>
      <c r="K739" s="559"/>
      <c r="L739" s="559"/>
      <c r="M739" s="559"/>
      <c r="N739" s="559"/>
      <c r="O739" s="559"/>
      <c r="P739" s="559"/>
      <c r="Q739" s="559"/>
      <c r="R739" s="559"/>
      <c r="S739" s="559"/>
      <c r="T739" s="559"/>
      <c r="U739" s="559"/>
      <c r="V739" s="559"/>
      <c r="W739" s="559"/>
      <c r="X739" s="559"/>
      <c r="Y739" s="559"/>
      <c r="Z739" s="559"/>
      <c r="AA739" s="559"/>
      <c r="AB739" s="559"/>
      <c r="AC739" s="559"/>
      <c r="AD739" s="559"/>
      <c r="AE739" s="559"/>
      <c r="AF739" s="559"/>
      <c r="AG739" s="559"/>
    </row>
    <row r="740" spans="1:33" ht="18" x14ac:dyDescent="0.35">
      <c r="A740" s="559"/>
      <c r="B740" s="559"/>
      <c r="C740" s="559"/>
      <c r="D740" s="559"/>
      <c r="E740" s="559"/>
      <c r="F740" s="559"/>
      <c r="G740" s="559"/>
      <c r="H740" s="559"/>
      <c r="I740" s="559"/>
      <c r="J740" s="559"/>
      <c r="K740" s="559"/>
      <c r="L740" s="559"/>
      <c r="M740" s="559"/>
      <c r="N740" s="559"/>
      <c r="O740" s="559"/>
      <c r="P740" s="559"/>
      <c r="Q740" s="559"/>
      <c r="R740" s="559"/>
      <c r="S740" s="559"/>
      <c r="T740" s="559"/>
      <c r="U740" s="559"/>
      <c r="V740" s="559"/>
      <c r="W740" s="559"/>
      <c r="X740" s="559"/>
      <c r="Y740" s="559"/>
      <c r="Z740" s="559"/>
      <c r="AA740" s="559"/>
      <c r="AB740" s="559"/>
      <c r="AC740" s="559"/>
      <c r="AD740" s="559"/>
      <c r="AE740" s="559"/>
      <c r="AF740" s="559"/>
      <c r="AG740" s="559"/>
    </row>
    <row r="741" spans="1:33" ht="18" x14ac:dyDescent="0.35">
      <c r="A741" s="559"/>
      <c r="B741" s="559"/>
      <c r="C741" s="559"/>
      <c r="D741" s="559"/>
      <c r="E741" s="559"/>
      <c r="F741" s="559"/>
      <c r="G741" s="559"/>
      <c r="H741" s="559"/>
      <c r="I741" s="559"/>
      <c r="J741" s="559"/>
      <c r="K741" s="559"/>
      <c r="L741" s="559"/>
      <c r="M741" s="559"/>
      <c r="N741" s="559"/>
      <c r="O741" s="559"/>
      <c r="P741" s="559"/>
      <c r="Q741" s="559"/>
      <c r="R741" s="559"/>
      <c r="S741" s="559"/>
      <c r="T741" s="559"/>
      <c r="U741" s="559"/>
      <c r="V741" s="559"/>
      <c r="W741" s="559"/>
      <c r="X741" s="559"/>
      <c r="Y741" s="559"/>
      <c r="Z741" s="559"/>
      <c r="AA741" s="559"/>
      <c r="AB741" s="559"/>
      <c r="AC741" s="559"/>
      <c r="AD741" s="559"/>
      <c r="AE741" s="559"/>
      <c r="AF741" s="559"/>
      <c r="AG741" s="559"/>
    </row>
    <row r="742" spans="1:33" ht="18" x14ac:dyDescent="0.35">
      <c r="A742" s="559"/>
      <c r="B742" s="559"/>
      <c r="C742" s="559"/>
      <c r="D742" s="559"/>
      <c r="E742" s="559"/>
      <c r="F742" s="559"/>
      <c r="G742" s="559"/>
      <c r="H742" s="559"/>
      <c r="I742" s="559"/>
      <c r="J742" s="559"/>
      <c r="K742" s="559"/>
      <c r="L742" s="559"/>
      <c r="M742" s="559"/>
      <c r="N742" s="559"/>
      <c r="O742" s="559"/>
      <c r="P742" s="559"/>
      <c r="Q742" s="559"/>
      <c r="R742" s="559"/>
      <c r="S742" s="559"/>
      <c r="T742" s="559"/>
      <c r="U742" s="559"/>
      <c r="V742" s="559"/>
      <c r="W742" s="559"/>
      <c r="X742" s="559"/>
      <c r="Y742" s="559"/>
      <c r="Z742" s="559"/>
      <c r="AA742" s="559"/>
      <c r="AB742" s="559"/>
      <c r="AC742" s="559"/>
      <c r="AD742" s="559"/>
      <c r="AE742" s="559"/>
      <c r="AF742" s="559"/>
      <c r="AG742" s="559"/>
    </row>
    <row r="743" spans="1:33" ht="18" x14ac:dyDescent="0.35">
      <c r="A743" s="559"/>
      <c r="B743" s="559"/>
      <c r="C743" s="559"/>
      <c r="D743" s="559"/>
      <c r="E743" s="559"/>
      <c r="F743" s="559"/>
      <c r="G743" s="559"/>
      <c r="H743" s="559"/>
      <c r="I743" s="559"/>
      <c r="J743" s="559"/>
      <c r="K743" s="559"/>
      <c r="L743" s="559"/>
      <c r="M743" s="559"/>
      <c r="N743" s="559"/>
      <c r="O743" s="559"/>
      <c r="P743" s="559"/>
      <c r="Q743" s="559"/>
      <c r="R743" s="559"/>
      <c r="S743" s="559"/>
      <c r="T743" s="559"/>
      <c r="U743" s="559"/>
      <c r="V743" s="559"/>
      <c r="W743" s="559"/>
      <c r="X743" s="559"/>
      <c r="Y743" s="559"/>
      <c r="Z743" s="559"/>
      <c r="AA743" s="559"/>
      <c r="AB743" s="559"/>
      <c r="AC743" s="559"/>
      <c r="AD743" s="559"/>
      <c r="AE743" s="559"/>
      <c r="AF743" s="559"/>
      <c r="AG743" s="559"/>
    </row>
    <row r="744" spans="1:33" ht="18" x14ac:dyDescent="0.35">
      <c r="A744" s="559"/>
      <c r="B744" s="559"/>
      <c r="C744" s="559"/>
      <c r="D744" s="559"/>
      <c r="E744" s="559"/>
      <c r="F744" s="559"/>
      <c r="G744" s="559"/>
      <c r="H744" s="559"/>
      <c r="I744" s="559"/>
      <c r="J744" s="559"/>
      <c r="K744" s="559"/>
      <c r="L744" s="559"/>
      <c r="M744" s="559"/>
      <c r="N744" s="559"/>
      <c r="O744" s="559"/>
      <c r="P744" s="559"/>
      <c r="Q744" s="559"/>
      <c r="R744" s="559"/>
      <c r="S744" s="559"/>
      <c r="T744" s="559"/>
      <c r="U744" s="559"/>
      <c r="V744" s="559"/>
      <c r="W744" s="559"/>
      <c r="X744" s="559"/>
      <c r="Y744" s="559"/>
      <c r="Z744" s="559"/>
      <c r="AA744" s="559"/>
      <c r="AB744" s="559"/>
      <c r="AC744" s="559"/>
      <c r="AD744" s="559"/>
      <c r="AE744" s="559"/>
      <c r="AF744" s="559"/>
      <c r="AG744" s="559"/>
    </row>
    <row r="745" spans="1:33" ht="18" x14ac:dyDescent="0.35">
      <c r="A745" s="559"/>
      <c r="B745" s="559"/>
      <c r="C745" s="559"/>
      <c r="D745" s="559"/>
      <c r="E745" s="559"/>
      <c r="F745" s="559"/>
      <c r="G745" s="559"/>
      <c r="H745" s="559"/>
      <c r="I745" s="559"/>
      <c r="J745" s="559"/>
      <c r="K745" s="559"/>
      <c r="L745" s="559"/>
      <c r="M745" s="559"/>
      <c r="N745" s="559"/>
      <c r="O745" s="559"/>
      <c r="P745" s="559"/>
      <c r="Q745" s="559"/>
      <c r="R745" s="559"/>
      <c r="S745" s="559"/>
      <c r="T745" s="559"/>
      <c r="U745" s="559"/>
      <c r="V745" s="559"/>
      <c r="W745" s="559"/>
      <c r="X745" s="559"/>
      <c r="Y745" s="559"/>
      <c r="Z745" s="559"/>
      <c r="AA745" s="559"/>
      <c r="AB745" s="559"/>
      <c r="AC745" s="559"/>
      <c r="AD745" s="559"/>
      <c r="AE745" s="559"/>
      <c r="AF745" s="559"/>
      <c r="AG745" s="559"/>
    </row>
    <row r="746" spans="1:33" ht="18" x14ac:dyDescent="0.35">
      <c r="A746" s="559"/>
      <c r="B746" s="559"/>
      <c r="C746" s="559"/>
      <c r="D746" s="559"/>
      <c r="E746" s="559"/>
      <c r="F746" s="559"/>
      <c r="G746" s="559"/>
      <c r="H746" s="559"/>
      <c r="I746" s="559"/>
      <c r="J746" s="559"/>
      <c r="K746" s="559"/>
      <c r="L746" s="559"/>
      <c r="M746" s="559"/>
      <c r="N746" s="559"/>
      <c r="O746" s="559"/>
      <c r="P746" s="559"/>
      <c r="Q746" s="559"/>
      <c r="R746" s="559"/>
      <c r="S746" s="559"/>
      <c r="T746" s="559"/>
      <c r="U746" s="559"/>
      <c r="V746" s="559"/>
      <c r="W746" s="559"/>
      <c r="X746" s="559"/>
      <c r="Y746" s="559"/>
      <c r="Z746" s="559"/>
      <c r="AA746" s="559"/>
      <c r="AB746" s="559"/>
      <c r="AC746" s="559"/>
      <c r="AD746" s="559"/>
      <c r="AE746" s="559"/>
      <c r="AF746" s="559"/>
      <c r="AG746" s="559"/>
    </row>
    <row r="747" spans="1:33" ht="18" x14ac:dyDescent="0.35">
      <c r="A747" s="559"/>
      <c r="B747" s="559"/>
      <c r="C747" s="559"/>
      <c r="D747" s="559"/>
      <c r="E747" s="559"/>
      <c r="F747" s="559"/>
      <c r="G747" s="559"/>
      <c r="H747" s="559"/>
      <c r="I747" s="559"/>
      <c r="J747" s="559"/>
      <c r="K747" s="559"/>
      <c r="L747" s="559"/>
      <c r="M747" s="559"/>
      <c r="N747" s="559"/>
      <c r="O747" s="559"/>
      <c r="P747" s="559"/>
      <c r="Q747" s="559"/>
      <c r="R747" s="559"/>
      <c r="S747" s="559"/>
      <c r="T747" s="559"/>
      <c r="U747" s="559"/>
      <c r="V747" s="559"/>
      <c r="W747" s="559"/>
      <c r="X747" s="559"/>
      <c r="Y747" s="559"/>
      <c r="Z747" s="559"/>
      <c r="AA747" s="559"/>
      <c r="AB747" s="559"/>
      <c r="AC747" s="559"/>
      <c r="AD747" s="559"/>
      <c r="AE747" s="559"/>
      <c r="AF747" s="559"/>
      <c r="AG747" s="559"/>
    </row>
    <row r="748" spans="1:33" ht="18" x14ac:dyDescent="0.35">
      <c r="A748" s="559"/>
      <c r="B748" s="559"/>
      <c r="C748" s="559"/>
      <c r="D748" s="559"/>
      <c r="E748" s="559"/>
      <c r="F748" s="559"/>
      <c r="G748" s="559"/>
      <c r="H748" s="559"/>
      <c r="I748" s="559"/>
      <c r="J748" s="559"/>
      <c r="K748" s="559"/>
      <c r="L748" s="559"/>
      <c r="M748" s="559"/>
      <c r="N748" s="559"/>
      <c r="O748" s="559"/>
      <c r="P748" s="559"/>
      <c r="Q748" s="559"/>
      <c r="R748" s="559"/>
      <c r="S748" s="559"/>
      <c r="T748" s="559"/>
      <c r="U748" s="559"/>
      <c r="V748" s="559"/>
      <c r="W748" s="559"/>
      <c r="X748" s="559"/>
      <c r="Y748" s="559"/>
      <c r="Z748" s="559"/>
      <c r="AA748" s="559"/>
      <c r="AB748" s="559"/>
      <c r="AC748" s="559"/>
      <c r="AD748" s="559"/>
      <c r="AE748" s="559"/>
      <c r="AF748" s="559"/>
      <c r="AG748" s="559"/>
    </row>
    <row r="749" spans="1:33" ht="18" x14ac:dyDescent="0.35">
      <c r="A749" s="559"/>
      <c r="B749" s="559"/>
      <c r="C749" s="559"/>
      <c r="D749" s="559"/>
      <c r="E749" s="559"/>
      <c r="F749" s="559"/>
      <c r="G749" s="559"/>
      <c r="H749" s="559"/>
      <c r="I749" s="559"/>
      <c r="J749" s="559"/>
      <c r="K749" s="559"/>
      <c r="L749" s="559"/>
      <c r="M749" s="559"/>
      <c r="N749" s="559"/>
      <c r="O749" s="559"/>
      <c r="P749" s="559"/>
      <c r="Q749" s="559"/>
      <c r="R749" s="559"/>
      <c r="S749" s="559"/>
      <c r="T749" s="559"/>
      <c r="U749" s="559"/>
      <c r="V749" s="559"/>
      <c r="W749" s="559"/>
      <c r="X749" s="559"/>
      <c r="Y749" s="559"/>
      <c r="Z749" s="559"/>
      <c r="AA749" s="559"/>
      <c r="AB749" s="559"/>
      <c r="AC749" s="559"/>
      <c r="AD749" s="559"/>
      <c r="AE749" s="559"/>
      <c r="AF749" s="559"/>
      <c r="AG749" s="559"/>
    </row>
    <row r="750" spans="1:33" ht="18" x14ac:dyDescent="0.35">
      <c r="A750" s="559"/>
      <c r="B750" s="559"/>
      <c r="C750" s="559"/>
      <c r="D750" s="559"/>
      <c r="E750" s="559"/>
      <c r="F750" s="559"/>
      <c r="G750" s="559"/>
      <c r="H750" s="559"/>
      <c r="I750" s="559"/>
      <c r="J750" s="559"/>
      <c r="K750" s="559"/>
      <c r="L750" s="559"/>
      <c r="M750" s="559"/>
      <c r="N750" s="559"/>
      <c r="O750" s="559"/>
      <c r="P750" s="559"/>
      <c r="Q750" s="559"/>
      <c r="R750" s="559"/>
      <c r="S750" s="559"/>
      <c r="T750" s="559"/>
      <c r="U750" s="559"/>
      <c r="V750" s="559"/>
      <c r="W750" s="559"/>
      <c r="X750" s="559"/>
      <c r="Y750" s="559"/>
      <c r="Z750" s="559"/>
      <c r="AA750" s="559"/>
      <c r="AB750" s="559"/>
      <c r="AC750" s="559"/>
      <c r="AD750" s="559"/>
      <c r="AE750" s="559"/>
      <c r="AF750" s="559"/>
      <c r="AG750" s="559"/>
    </row>
    <row r="751" spans="1:33" ht="18" x14ac:dyDescent="0.35">
      <c r="A751" s="559"/>
      <c r="B751" s="559"/>
      <c r="C751" s="559"/>
      <c r="D751" s="559"/>
      <c r="E751" s="559"/>
      <c r="F751" s="559"/>
      <c r="G751" s="559"/>
      <c r="H751" s="559"/>
      <c r="I751" s="559"/>
      <c r="J751" s="559"/>
      <c r="K751" s="559"/>
      <c r="L751" s="559"/>
      <c r="M751" s="559"/>
      <c r="N751" s="559"/>
      <c r="O751" s="559"/>
      <c r="P751" s="559"/>
      <c r="Q751" s="559"/>
      <c r="R751" s="559"/>
      <c r="S751" s="559"/>
      <c r="T751" s="559"/>
      <c r="U751" s="559"/>
      <c r="V751" s="559"/>
      <c r="W751" s="559"/>
      <c r="X751" s="559"/>
      <c r="Y751" s="559"/>
      <c r="Z751" s="559"/>
      <c r="AA751" s="559"/>
      <c r="AB751" s="559"/>
      <c r="AC751" s="559"/>
      <c r="AD751" s="559"/>
      <c r="AE751" s="559"/>
      <c r="AF751" s="559"/>
      <c r="AG751" s="559"/>
    </row>
    <row r="752" spans="1:33" ht="18" x14ac:dyDescent="0.35">
      <c r="A752" s="559"/>
      <c r="B752" s="559"/>
      <c r="C752" s="559"/>
      <c r="D752" s="559"/>
      <c r="E752" s="559"/>
      <c r="F752" s="559"/>
      <c r="G752" s="559"/>
      <c r="H752" s="559"/>
      <c r="I752" s="559"/>
      <c r="J752" s="559"/>
      <c r="K752" s="559"/>
      <c r="L752" s="559"/>
      <c r="M752" s="559"/>
      <c r="N752" s="559"/>
      <c r="O752" s="559"/>
      <c r="P752" s="559"/>
      <c r="Q752" s="559"/>
      <c r="R752" s="559"/>
      <c r="S752" s="559"/>
      <c r="T752" s="559"/>
      <c r="U752" s="559"/>
      <c r="V752" s="559"/>
      <c r="W752" s="559"/>
      <c r="X752" s="559"/>
      <c r="Y752" s="559"/>
      <c r="Z752" s="559"/>
      <c r="AA752" s="559"/>
      <c r="AB752" s="559"/>
      <c r="AC752" s="559"/>
      <c r="AD752" s="559"/>
      <c r="AE752" s="559"/>
      <c r="AF752" s="559"/>
      <c r="AG752" s="559"/>
    </row>
    <row r="753" spans="1:33" ht="18" x14ac:dyDescent="0.35">
      <c r="A753" s="559"/>
      <c r="B753" s="559"/>
      <c r="C753" s="559"/>
      <c r="D753" s="559"/>
      <c r="E753" s="559"/>
      <c r="F753" s="559"/>
      <c r="G753" s="559"/>
      <c r="H753" s="559"/>
      <c r="I753" s="559"/>
      <c r="J753" s="559"/>
      <c r="K753" s="559"/>
      <c r="L753" s="559"/>
      <c r="M753" s="559"/>
      <c r="N753" s="559"/>
      <c r="O753" s="559"/>
      <c r="P753" s="559"/>
      <c r="Q753" s="559"/>
      <c r="R753" s="559"/>
      <c r="S753" s="559"/>
      <c r="T753" s="559"/>
      <c r="U753" s="559"/>
      <c r="V753" s="559"/>
      <c r="W753" s="559"/>
      <c r="X753" s="559"/>
      <c r="Y753" s="559"/>
      <c r="Z753" s="559"/>
      <c r="AA753" s="559"/>
      <c r="AB753" s="559"/>
      <c r="AC753" s="559"/>
      <c r="AD753" s="559"/>
      <c r="AE753" s="559"/>
      <c r="AF753" s="559"/>
      <c r="AG753" s="559"/>
    </row>
    <row r="754" spans="1:33" ht="18" x14ac:dyDescent="0.35">
      <c r="A754" s="559"/>
      <c r="B754" s="559"/>
      <c r="C754" s="559"/>
      <c r="D754" s="559"/>
      <c r="E754" s="559"/>
      <c r="F754" s="559"/>
      <c r="G754" s="559"/>
      <c r="H754" s="559"/>
      <c r="I754" s="559"/>
      <c r="J754" s="559"/>
      <c r="K754" s="559"/>
      <c r="L754" s="559"/>
      <c r="M754" s="559"/>
      <c r="N754" s="559"/>
      <c r="O754" s="559"/>
      <c r="P754" s="559"/>
      <c r="Q754" s="559"/>
      <c r="R754" s="559"/>
      <c r="S754" s="559"/>
      <c r="T754" s="559"/>
      <c r="U754" s="559"/>
      <c r="V754" s="559"/>
      <c r="W754" s="559"/>
      <c r="X754" s="559"/>
      <c r="Y754" s="559"/>
      <c r="Z754" s="559"/>
      <c r="AA754" s="559"/>
      <c r="AB754" s="559"/>
      <c r="AC754" s="559"/>
      <c r="AD754" s="559"/>
      <c r="AE754" s="559"/>
      <c r="AF754" s="559"/>
      <c r="AG754" s="559"/>
    </row>
    <row r="755" spans="1:33" ht="18" x14ac:dyDescent="0.35">
      <c r="A755" s="559"/>
      <c r="B755" s="559"/>
      <c r="C755" s="559"/>
      <c r="D755" s="559"/>
      <c r="E755" s="559"/>
      <c r="F755" s="559"/>
      <c r="G755" s="559"/>
      <c r="H755" s="559"/>
      <c r="I755" s="559"/>
      <c r="J755" s="559"/>
      <c r="K755" s="559"/>
      <c r="L755" s="559"/>
      <c r="M755" s="559"/>
      <c r="N755" s="559"/>
      <c r="O755" s="559"/>
      <c r="P755" s="559"/>
      <c r="Q755" s="559"/>
      <c r="R755" s="559"/>
      <c r="S755" s="559"/>
      <c r="T755" s="559"/>
      <c r="U755" s="559"/>
      <c r="V755" s="559"/>
      <c r="W755" s="559"/>
      <c r="X755" s="559"/>
      <c r="Y755" s="559"/>
      <c r="Z755" s="559"/>
      <c r="AA755" s="559"/>
      <c r="AB755" s="559"/>
      <c r="AC755" s="559"/>
      <c r="AD755" s="559"/>
      <c r="AE755" s="559"/>
      <c r="AF755" s="559"/>
      <c r="AG755" s="559"/>
    </row>
    <row r="756" spans="1:33" ht="18" x14ac:dyDescent="0.35">
      <c r="A756" s="559"/>
      <c r="B756" s="559"/>
      <c r="C756" s="559"/>
      <c r="D756" s="559"/>
      <c r="E756" s="559"/>
      <c r="F756" s="559"/>
      <c r="G756" s="559"/>
      <c r="H756" s="559"/>
      <c r="I756" s="559"/>
      <c r="J756" s="559"/>
      <c r="K756" s="559"/>
      <c r="L756" s="559"/>
      <c r="M756" s="559"/>
      <c r="N756" s="559"/>
      <c r="O756" s="559"/>
      <c r="P756" s="559"/>
      <c r="Q756" s="559"/>
      <c r="R756" s="559"/>
      <c r="S756" s="559"/>
      <c r="T756" s="559"/>
      <c r="U756" s="559"/>
      <c r="V756" s="559"/>
      <c r="W756" s="559"/>
      <c r="X756" s="559"/>
      <c r="Y756" s="559"/>
      <c r="Z756" s="559"/>
      <c r="AA756" s="559"/>
      <c r="AB756" s="559"/>
      <c r="AC756" s="559"/>
      <c r="AD756" s="559"/>
      <c r="AE756" s="559"/>
      <c r="AF756" s="559"/>
      <c r="AG756" s="559"/>
    </row>
    <row r="757" spans="1:33" ht="18" x14ac:dyDescent="0.35">
      <c r="A757" s="559"/>
      <c r="B757" s="559"/>
      <c r="C757" s="559"/>
      <c r="D757" s="559"/>
      <c r="E757" s="559"/>
      <c r="F757" s="559"/>
      <c r="G757" s="559"/>
      <c r="H757" s="559"/>
      <c r="I757" s="559"/>
      <c r="J757" s="559"/>
      <c r="K757" s="559"/>
      <c r="L757" s="559"/>
      <c r="M757" s="559"/>
      <c r="N757" s="559"/>
      <c r="O757" s="559"/>
      <c r="P757" s="559"/>
      <c r="Q757" s="559"/>
      <c r="R757" s="559"/>
      <c r="S757" s="559"/>
      <c r="T757" s="559"/>
      <c r="U757" s="559"/>
      <c r="V757" s="559"/>
      <c r="W757" s="559"/>
      <c r="X757" s="559"/>
      <c r="Y757" s="559"/>
      <c r="Z757" s="559"/>
      <c r="AA757" s="559"/>
      <c r="AB757" s="559"/>
      <c r="AC757" s="559"/>
      <c r="AD757" s="559"/>
      <c r="AE757" s="559"/>
      <c r="AF757" s="559"/>
      <c r="AG757" s="559"/>
    </row>
    <row r="758" spans="1:33" ht="18" x14ac:dyDescent="0.35">
      <c r="A758" s="559"/>
      <c r="B758" s="559"/>
      <c r="C758" s="559"/>
      <c r="D758" s="559"/>
      <c r="E758" s="559"/>
      <c r="F758" s="559"/>
      <c r="G758" s="559"/>
      <c r="H758" s="559"/>
      <c r="I758" s="559"/>
      <c r="J758" s="559"/>
      <c r="K758" s="559"/>
      <c r="L758" s="559"/>
      <c r="M758" s="559"/>
      <c r="N758" s="559"/>
      <c r="O758" s="559"/>
      <c r="P758" s="559"/>
      <c r="Q758" s="559"/>
      <c r="R758" s="559"/>
      <c r="S758" s="559"/>
      <c r="T758" s="559"/>
      <c r="U758" s="559"/>
      <c r="V758" s="559"/>
      <c r="W758" s="559"/>
      <c r="X758" s="559"/>
      <c r="Y758" s="559"/>
      <c r="Z758" s="559"/>
      <c r="AA758" s="559"/>
      <c r="AB758" s="559"/>
      <c r="AC758" s="559"/>
      <c r="AD758" s="559"/>
      <c r="AE758" s="559"/>
      <c r="AF758" s="559"/>
      <c r="AG758" s="559"/>
    </row>
    <row r="759" spans="1:33" ht="18" x14ac:dyDescent="0.35">
      <c r="A759" s="559"/>
      <c r="B759" s="559"/>
      <c r="C759" s="559"/>
      <c r="D759" s="559"/>
      <c r="E759" s="559"/>
      <c r="F759" s="559"/>
      <c r="G759" s="559"/>
      <c r="H759" s="559"/>
      <c r="I759" s="559"/>
      <c r="J759" s="559"/>
      <c r="K759" s="559"/>
      <c r="L759" s="559"/>
      <c r="M759" s="559"/>
      <c r="N759" s="559"/>
      <c r="O759" s="559"/>
      <c r="P759" s="559"/>
      <c r="Q759" s="559"/>
      <c r="R759" s="559"/>
      <c r="S759" s="559"/>
      <c r="T759" s="559"/>
      <c r="U759" s="559"/>
      <c r="V759" s="559"/>
      <c r="W759" s="559"/>
      <c r="X759" s="559"/>
      <c r="Y759" s="559"/>
      <c r="Z759" s="559"/>
      <c r="AA759" s="559"/>
      <c r="AB759" s="559"/>
      <c r="AC759" s="559"/>
      <c r="AD759" s="559"/>
      <c r="AE759" s="559"/>
      <c r="AF759" s="559"/>
      <c r="AG759" s="559"/>
    </row>
    <row r="760" spans="1:33" ht="18" x14ac:dyDescent="0.35">
      <c r="A760" s="559"/>
      <c r="B760" s="559"/>
      <c r="C760" s="559"/>
      <c r="D760" s="559"/>
      <c r="E760" s="559"/>
      <c r="F760" s="559"/>
      <c r="G760" s="559"/>
      <c r="H760" s="559"/>
      <c r="I760" s="559"/>
      <c r="J760" s="559"/>
      <c r="K760" s="559"/>
      <c r="L760" s="559"/>
      <c r="M760" s="559"/>
      <c r="N760" s="559"/>
      <c r="O760" s="559"/>
      <c r="P760" s="559"/>
      <c r="Q760" s="559"/>
      <c r="R760" s="559"/>
      <c r="S760" s="559"/>
      <c r="T760" s="559"/>
      <c r="U760" s="559"/>
      <c r="V760" s="559"/>
      <c r="W760" s="559"/>
      <c r="X760" s="559"/>
      <c r="Y760" s="559"/>
      <c r="Z760" s="559"/>
      <c r="AA760" s="559"/>
      <c r="AB760" s="559"/>
      <c r="AC760" s="559"/>
      <c r="AD760" s="559"/>
      <c r="AE760" s="559"/>
      <c r="AF760" s="559"/>
      <c r="AG760" s="559"/>
    </row>
    <row r="761" spans="1:33" ht="18" x14ac:dyDescent="0.35">
      <c r="A761" s="559"/>
      <c r="B761" s="559"/>
      <c r="C761" s="559"/>
      <c r="D761" s="559"/>
      <c r="E761" s="559"/>
      <c r="F761" s="559"/>
      <c r="G761" s="559"/>
      <c r="H761" s="559"/>
      <c r="I761" s="559"/>
      <c r="J761" s="559"/>
      <c r="K761" s="559"/>
      <c r="L761" s="559"/>
      <c r="M761" s="559"/>
      <c r="N761" s="559"/>
      <c r="O761" s="559"/>
      <c r="P761" s="559"/>
      <c r="Q761" s="559"/>
      <c r="R761" s="559"/>
      <c r="S761" s="559"/>
      <c r="T761" s="559"/>
      <c r="U761" s="559"/>
      <c r="V761" s="559"/>
      <c r="W761" s="559"/>
      <c r="X761" s="559"/>
      <c r="Y761" s="559"/>
      <c r="Z761" s="559"/>
      <c r="AA761" s="559"/>
      <c r="AB761" s="559"/>
      <c r="AC761" s="559"/>
      <c r="AD761" s="559"/>
      <c r="AE761" s="559"/>
      <c r="AF761" s="559"/>
      <c r="AG761" s="559"/>
    </row>
    <row r="762" spans="1:33" ht="18" x14ac:dyDescent="0.35">
      <c r="A762" s="559"/>
      <c r="B762" s="559"/>
      <c r="C762" s="559"/>
      <c r="D762" s="559"/>
      <c r="E762" s="559"/>
      <c r="F762" s="559"/>
      <c r="G762" s="559"/>
      <c r="H762" s="559"/>
      <c r="I762" s="559"/>
      <c r="J762" s="559"/>
      <c r="K762" s="559"/>
      <c r="L762" s="559"/>
      <c r="M762" s="559"/>
      <c r="N762" s="559"/>
      <c r="O762" s="559"/>
      <c r="P762" s="559"/>
      <c r="Q762" s="559"/>
      <c r="R762" s="559"/>
      <c r="S762" s="559"/>
      <c r="T762" s="559"/>
      <c r="U762" s="559"/>
      <c r="V762" s="559"/>
      <c r="W762" s="559"/>
      <c r="X762" s="559"/>
      <c r="Y762" s="559"/>
      <c r="Z762" s="559"/>
      <c r="AA762" s="559"/>
      <c r="AB762" s="559"/>
      <c r="AC762" s="559"/>
      <c r="AD762" s="559"/>
      <c r="AE762" s="559"/>
      <c r="AF762" s="559"/>
      <c r="AG762" s="559"/>
    </row>
    <row r="763" spans="1:33" ht="18" x14ac:dyDescent="0.35">
      <c r="A763" s="559"/>
      <c r="B763" s="559"/>
      <c r="C763" s="559"/>
      <c r="D763" s="559"/>
      <c r="E763" s="559"/>
      <c r="F763" s="559"/>
      <c r="G763" s="559"/>
      <c r="H763" s="559"/>
      <c r="I763" s="559"/>
      <c r="J763" s="559"/>
      <c r="K763" s="559"/>
      <c r="L763" s="559"/>
      <c r="M763" s="559"/>
      <c r="N763" s="559"/>
      <c r="O763" s="559"/>
      <c r="P763" s="559"/>
      <c r="Q763" s="559"/>
      <c r="R763" s="559"/>
      <c r="S763" s="559"/>
      <c r="T763" s="559"/>
      <c r="U763" s="559"/>
      <c r="V763" s="559"/>
      <c r="W763" s="559"/>
      <c r="X763" s="559"/>
      <c r="Y763" s="559"/>
      <c r="Z763" s="559"/>
      <c r="AA763" s="559"/>
      <c r="AB763" s="559"/>
      <c r="AC763" s="559"/>
      <c r="AD763" s="559"/>
      <c r="AE763" s="559"/>
      <c r="AF763" s="559"/>
      <c r="AG763" s="559"/>
    </row>
    <row r="764" spans="1:33" ht="18" x14ac:dyDescent="0.35">
      <c r="A764" s="559"/>
      <c r="B764" s="559"/>
      <c r="C764" s="559"/>
      <c r="D764" s="559"/>
      <c r="E764" s="559"/>
      <c r="F764" s="559"/>
      <c r="G764" s="559"/>
      <c r="H764" s="559"/>
      <c r="I764" s="559"/>
      <c r="J764" s="559"/>
      <c r="K764" s="559"/>
      <c r="L764" s="559"/>
      <c r="M764" s="559"/>
      <c r="N764" s="559"/>
      <c r="O764" s="559"/>
      <c r="P764" s="559"/>
      <c r="Q764" s="559"/>
      <c r="R764" s="559"/>
      <c r="S764" s="559"/>
      <c r="T764" s="559"/>
      <c r="U764" s="559"/>
      <c r="V764" s="559"/>
      <c r="W764" s="559"/>
      <c r="X764" s="559"/>
      <c r="Y764" s="559"/>
      <c r="Z764" s="559"/>
      <c r="AA764" s="559"/>
      <c r="AB764" s="559"/>
      <c r="AC764" s="559"/>
      <c r="AD764" s="559"/>
      <c r="AE764" s="559"/>
      <c r="AF764" s="559"/>
      <c r="AG764" s="559"/>
    </row>
    <row r="765" spans="1:33" ht="18" x14ac:dyDescent="0.35">
      <c r="A765" s="559"/>
      <c r="B765" s="559"/>
      <c r="C765" s="559"/>
      <c r="D765" s="559"/>
      <c r="E765" s="559"/>
      <c r="F765" s="559"/>
      <c r="G765" s="559"/>
      <c r="H765" s="559"/>
      <c r="I765" s="559"/>
      <c r="J765" s="559"/>
      <c r="K765" s="559"/>
      <c r="L765" s="559"/>
      <c r="M765" s="559"/>
      <c r="N765" s="559"/>
      <c r="O765" s="559"/>
      <c r="P765" s="559"/>
      <c r="Q765" s="559"/>
      <c r="R765" s="559"/>
      <c r="S765" s="559"/>
      <c r="T765" s="559"/>
      <c r="U765" s="559"/>
      <c r="V765" s="559"/>
      <c r="W765" s="559"/>
      <c r="X765" s="559"/>
      <c r="Y765" s="559"/>
      <c r="Z765" s="559"/>
      <c r="AA765" s="559"/>
      <c r="AB765" s="559"/>
      <c r="AC765" s="559"/>
      <c r="AD765" s="559"/>
      <c r="AE765" s="559"/>
      <c r="AF765" s="559"/>
      <c r="AG765" s="559"/>
    </row>
    <row r="766" spans="1:33" ht="18" x14ac:dyDescent="0.35">
      <c r="A766" s="559"/>
      <c r="B766" s="559"/>
      <c r="C766" s="559"/>
      <c r="D766" s="559"/>
      <c r="E766" s="559"/>
      <c r="F766" s="559"/>
      <c r="G766" s="559"/>
      <c r="H766" s="559"/>
      <c r="I766" s="559"/>
      <c r="J766" s="559"/>
      <c r="K766" s="559"/>
      <c r="L766" s="559"/>
      <c r="M766" s="559"/>
      <c r="N766" s="559"/>
      <c r="O766" s="559"/>
      <c r="P766" s="559"/>
      <c r="Q766" s="559"/>
      <c r="R766" s="559"/>
      <c r="S766" s="559"/>
      <c r="T766" s="559"/>
      <c r="U766" s="559"/>
      <c r="V766" s="559"/>
      <c r="W766" s="559"/>
      <c r="X766" s="559"/>
      <c r="Y766" s="559"/>
      <c r="Z766" s="559"/>
      <c r="AA766" s="559"/>
      <c r="AB766" s="559"/>
      <c r="AC766" s="559"/>
      <c r="AD766" s="559"/>
      <c r="AE766" s="559"/>
      <c r="AF766" s="559"/>
      <c r="AG766" s="559"/>
    </row>
    <row r="767" spans="1:33" ht="18" x14ac:dyDescent="0.35">
      <c r="A767" s="559"/>
      <c r="B767" s="559"/>
      <c r="C767" s="559"/>
      <c r="D767" s="559"/>
      <c r="E767" s="559"/>
      <c r="F767" s="559"/>
      <c r="G767" s="559"/>
      <c r="H767" s="559"/>
      <c r="I767" s="559"/>
      <c r="J767" s="559"/>
      <c r="K767" s="559"/>
      <c r="L767" s="559"/>
      <c r="M767" s="559"/>
      <c r="N767" s="559"/>
      <c r="O767" s="559"/>
      <c r="P767" s="559"/>
      <c r="Q767" s="559"/>
      <c r="R767" s="559"/>
      <c r="S767" s="559"/>
      <c r="T767" s="559"/>
      <c r="U767" s="559"/>
      <c r="V767" s="559"/>
      <c r="W767" s="559"/>
      <c r="X767" s="559"/>
      <c r="Y767" s="559"/>
      <c r="Z767" s="559"/>
      <c r="AA767" s="559"/>
      <c r="AB767" s="559"/>
      <c r="AC767" s="559"/>
      <c r="AD767" s="559"/>
      <c r="AE767" s="559"/>
      <c r="AF767" s="559"/>
      <c r="AG767" s="559"/>
    </row>
    <row r="768" spans="1:33" ht="18" x14ac:dyDescent="0.35">
      <c r="A768" s="559"/>
      <c r="B768" s="559"/>
      <c r="C768" s="559"/>
      <c r="D768" s="559"/>
      <c r="E768" s="559"/>
      <c r="F768" s="559"/>
      <c r="G768" s="559"/>
      <c r="H768" s="559"/>
      <c r="I768" s="559"/>
      <c r="J768" s="559"/>
      <c r="K768" s="559"/>
      <c r="L768" s="559"/>
      <c r="M768" s="559"/>
      <c r="N768" s="559"/>
      <c r="O768" s="559"/>
      <c r="P768" s="559"/>
      <c r="Q768" s="559"/>
      <c r="R768" s="559"/>
      <c r="S768" s="559"/>
      <c r="T768" s="559"/>
      <c r="U768" s="559"/>
      <c r="V768" s="559"/>
      <c r="W768" s="559"/>
      <c r="X768" s="559"/>
      <c r="Y768" s="559"/>
      <c r="Z768" s="559"/>
      <c r="AA768" s="559"/>
      <c r="AB768" s="559"/>
      <c r="AC768" s="559"/>
      <c r="AD768" s="559"/>
      <c r="AE768" s="559"/>
      <c r="AF768" s="559"/>
      <c r="AG768" s="559"/>
    </row>
    <row r="769" spans="1:33" ht="18" x14ac:dyDescent="0.35">
      <c r="A769" s="559"/>
      <c r="B769" s="559"/>
      <c r="C769" s="559"/>
      <c r="D769" s="559"/>
      <c r="E769" s="559"/>
      <c r="F769" s="559"/>
      <c r="G769" s="559"/>
      <c r="H769" s="559"/>
      <c r="I769" s="559"/>
      <c r="J769" s="559"/>
      <c r="K769" s="559"/>
      <c r="L769" s="559"/>
      <c r="M769" s="559"/>
      <c r="N769" s="559"/>
      <c r="O769" s="559"/>
      <c r="P769" s="559"/>
      <c r="Q769" s="559"/>
      <c r="R769" s="559"/>
      <c r="S769" s="559"/>
      <c r="T769" s="559"/>
      <c r="U769" s="559"/>
      <c r="V769" s="559"/>
      <c r="W769" s="559"/>
      <c r="X769" s="559"/>
      <c r="Y769" s="559"/>
      <c r="Z769" s="559"/>
      <c r="AA769" s="559"/>
      <c r="AB769" s="559"/>
      <c r="AC769" s="559"/>
      <c r="AD769" s="559"/>
      <c r="AE769" s="559"/>
      <c r="AF769" s="559"/>
      <c r="AG769" s="559"/>
    </row>
    <row r="770" spans="1:33" ht="18" x14ac:dyDescent="0.35">
      <c r="A770" s="559"/>
      <c r="B770" s="559"/>
      <c r="C770" s="559"/>
      <c r="D770" s="559"/>
      <c r="E770" s="559"/>
      <c r="F770" s="559"/>
      <c r="G770" s="559"/>
      <c r="H770" s="559"/>
      <c r="I770" s="559"/>
      <c r="J770" s="559"/>
      <c r="K770" s="559"/>
      <c r="L770" s="559"/>
      <c r="M770" s="559"/>
      <c r="N770" s="559"/>
      <c r="O770" s="559"/>
      <c r="P770" s="559"/>
      <c r="Q770" s="559"/>
      <c r="R770" s="559"/>
      <c r="S770" s="559"/>
      <c r="T770" s="559"/>
      <c r="U770" s="559"/>
      <c r="V770" s="559"/>
      <c r="W770" s="559"/>
      <c r="X770" s="559"/>
      <c r="Y770" s="559"/>
      <c r="Z770" s="559"/>
      <c r="AA770" s="559"/>
      <c r="AB770" s="559"/>
      <c r="AC770" s="559"/>
      <c r="AD770" s="559"/>
      <c r="AE770" s="559"/>
      <c r="AF770" s="559"/>
      <c r="AG770" s="559"/>
    </row>
    <row r="771" spans="1:33" ht="18" x14ac:dyDescent="0.35">
      <c r="A771" s="559"/>
      <c r="B771" s="559"/>
      <c r="C771" s="559"/>
      <c r="D771" s="559"/>
      <c r="E771" s="559"/>
      <c r="F771" s="559"/>
      <c r="G771" s="559"/>
      <c r="H771" s="559"/>
      <c r="I771" s="559"/>
      <c r="J771" s="559"/>
      <c r="K771" s="559"/>
      <c r="L771" s="559"/>
      <c r="M771" s="559"/>
      <c r="N771" s="559"/>
      <c r="O771" s="559"/>
      <c r="P771" s="559"/>
      <c r="Q771" s="559"/>
      <c r="R771" s="559"/>
      <c r="S771" s="559"/>
      <c r="T771" s="559"/>
      <c r="U771" s="559"/>
      <c r="V771" s="559"/>
      <c r="W771" s="559"/>
      <c r="X771" s="559"/>
      <c r="Y771" s="559"/>
      <c r="Z771" s="559"/>
      <c r="AA771" s="559"/>
      <c r="AB771" s="559"/>
      <c r="AC771" s="559"/>
      <c r="AD771" s="559"/>
      <c r="AE771" s="559"/>
      <c r="AF771" s="559"/>
      <c r="AG771" s="559"/>
    </row>
    <row r="772" spans="1:33" ht="18" x14ac:dyDescent="0.35">
      <c r="A772" s="559"/>
      <c r="B772" s="559"/>
      <c r="C772" s="559"/>
      <c r="D772" s="559"/>
      <c r="E772" s="559"/>
      <c r="F772" s="559"/>
      <c r="G772" s="559"/>
      <c r="H772" s="559"/>
      <c r="I772" s="559"/>
      <c r="J772" s="559"/>
      <c r="K772" s="559"/>
      <c r="L772" s="559"/>
      <c r="M772" s="559"/>
      <c r="N772" s="559"/>
      <c r="O772" s="559"/>
      <c r="P772" s="559"/>
      <c r="Q772" s="559"/>
      <c r="R772" s="559"/>
      <c r="S772" s="559"/>
      <c r="T772" s="559"/>
      <c r="U772" s="559"/>
      <c r="V772" s="559"/>
      <c r="W772" s="559"/>
      <c r="X772" s="559"/>
      <c r="Y772" s="559"/>
      <c r="Z772" s="559"/>
      <c r="AA772" s="559"/>
      <c r="AB772" s="559"/>
      <c r="AC772" s="559"/>
      <c r="AD772" s="559"/>
      <c r="AE772" s="559"/>
      <c r="AF772" s="559"/>
      <c r="AG772" s="559"/>
    </row>
    <row r="773" spans="1:33" ht="18" x14ac:dyDescent="0.35">
      <c r="A773" s="559"/>
      <c r="B773" s="559"/>
      <c r="C773" s="559"/>
      <c r="D773" s="559"/>
      <c r="E773" s="559"/>
      <c r="F773" s="559"/>
      <c r="G773" s="559"/>
      <c r="H773" s="559"/>
      <c r="I773" s="559"/>
      <c r="J773" s="559"/>
      <c r="K773" s="559"/>
      <c r="L773" s="559"/>
      <c r="M773" s="559"/>
      <c r="N773" s="559"/>
      <c r="O773" s="559"/>
      <c r="P773" s="559"/>
      <c r="Q773" s="559"/>
      <c r="R773" s="559"/>
      <c r="S773" s="559"/>
      <c r="T773" s="559"/>
      <c r="U773" s="559"/>
      <c r="V773" s="559"/>
      <c r="W773" s="559"/>
      <c r="X773" s="559"/>
      <c r="Y773" s="559"/>
      <c r="Z773" s="559"/>
      <c r="AA773" s="559"/>
      <c r="AB773" s="559"/>
      <c r="AC773" s="559"/>
      <c r="AD773" s="559"/>
      <c r="AE773" s="559"/>
      <c r="AF773" s="559"/>
      <c r="AG773" s="559"/>
    </row>
    <row r="774" spans="1:33" ht="18" x14ac:dyDescent="0.35">
      <c r="A774" s="559"/>
      <c r="B774" s="559"/>
      <c r="C774" s="559"/>
      <c r="D774" s="559"/>
      <c r="E774" s="559"/>
      <c r="F774" s="559"/>
      <c r="G774" s="559"/>
      <c r="H774" s="559"/>
      <c r="I774" s="559"/>
      <c r="J774" s="559"/>
      <c r="K774" s="559"/>
      <c r="L774" s="559"/>
      <c r="M774" s="559"/>
      <c r="N774" s="559"/>
      <c r="O774" s="559"/>
      <c r="P774" s="559"/>
      <c r="Q774" s="559"/>
      <c r="R774" s="559"/>
      <c r="S774" s="559"/>
      <c r="T774" s="559"/>
      <c r="U774" s="559"/>
      <c r="V774" s="559"/>
      <c r="W774" s="559"/>
      <c r="X774" s="559"/>
      <c r="Y774" s="559"/>
      <c r="Z774" s="559"/>
      <c r="AA774" s="559"/>
      <c r="AB774" s="559"/>
      <c r="AC774" s="559"/>
      <c r="AD774" s="559"/>
      <c r="AE774" s="559"/>
      <c r="AF774" s="559"/>
      <c r="AG774" s="559"/>
    </row>
    <row r="775" spans="1:33" ht="18" x14ac:dyDescent="0.35">
      <c r="A775" s="559"/>
      <c r="B775" s="559"/>
      <c r="C775" s="559"/>
      <c r="D775" s="559"/>
      <c r="E775" s="559"/>
      <c r="F775" s="559"/>
      <c r="G775" s="559"/>
      <c r="H775" s="559"/>
      <c r="I775" s="559"/>
      <c r="J775" s="559"/>
      <c r="K775" s="559"/>
      <c r="L775" s="559"/>
      <c r="M775" s="559"/>
      <c r="N775" s="559"/>
      <c r="O775" s="559"/>
      <c r="P775" s="559"/>
      <c r="Q775" s="559"/>
      <c r="R775" s="559"/>
      <c r="S775" s="559"/>
      <c r="T775" s="559"/>
      <c r="U775" s="559"/>
      <c r="V775" s="559"/>
      <c r="W775" s="559"/>
      <c r="X775" s="559"/>
      <c r="Y775" s="559"/>
      <c r="Z775" s="559"/>
      <c r="AA775" s="559"/>
      <c r="AB775" s="559"/>
      <c r="AC775" s="559"/>
      <c r="AD775" s="559"/>
      <c r="AE775" s="559"/>
      <c r="AF775" s="559"/>
      <c r="AG775" s="559"/>
    </row>
    <row r="776" spans="1:33" ht="18" x14ac:dyDescent="0.35">
      <c r="A776" s="559"/>
      <c r="B776" s="559"/>
      <c r="C776" s="559"/>
      <c r="D776" s="559"/>
      <c r="E776" s="559"/>
      <c r="F776" s="559"/>
      <c r="G776" s="559"/>
      <c r="H776" s="559"/>
      <c r="I776" s="559"/>
      <c r="J776" s="559"/>
      <c r="K776" s="559"/>
      <c r="L776" s="559"/>
      <c r="M776" s="559"/>
      <c r="N776" s="559"/>
      <c r="O776" s="559"/>
      <c r="P776" s="559"/>
      <c r="Q776" s="559"/>
      <c r="R776" s="559"/>
      <c r="S776" s="559"/>
      <c r="T776" s="559"/>
      <c r="U776" s="559"/>
      <c r="V776" s="559"/>
      <c r="W776" s="559"/>
      <c r="X776" s="559"/>
      <c r="Y776" s="559"/>
      <c r="Z776" s="559"/>
      <c r="AA776" s="559"/>
      <c r="AB776" s="559"/>
      <c r="AC776" s="559"/>
      <c r="AD776" s="559"/>
      <c r="AE776" s="559"/>
      <c r="AF776" s="559"/>
      <c r="AG776" s="559"/>
    </row>
    <row r="777" spans="1:33" ht="18" x14ac:dyDescent="0.35">
      <c r="A777" s="559"/>
      <c r="B777" s="559"/>
      <c r="C777" s="559"/>
      <c r="D777" s="559"/>
      <c r="E777" s="559"/>
      <c r="F777" s="559"/>
      <c r="G777" s="559"/>
      <c r="H777" s="559"/>
      <c r="I777" s="559"/>
      <c r="J777" s="559"/>
      <c r="K777" s="559"/>
      <c r="L777" s="559"/>
      <c r="M777" s="559"/>
      <c r="N777" s="559"/>
      <c r="O777" s="559"/>
      <c r="P777" s="559"/>
      <c r="Q777" s="559"/>
      <c r="R777" s="559"/>
      <c r="S777" s="559"/>
      <c r="T777" s="559"/>
      <c r="U777" s="559"/>
      <c r="V777" s="559"/>
      <c r="W777" s="559"/>
      <c r="X777" s="559"/>
      <c r="Y777" s="559"/>
      <c r="Z777" s="559"/>
      <c r="AA777" s="559"/>
      <c r="AB777" s="559"/>
      <c r="AC777" s="559"/>
      <c r="AD777" s="559"/>
      <c r="AE777" s="559"/>
      <c r="AF777" s="559"/>
      <c r="AG777" s="559"/>
    </row>
    <row r="778" spans="1:33" ht="18" x14ac:dyDescent="0.35">
      <c r="A778" s="559"/>
      <c r="B778" s="559"/>
      <c r="C778" s="559"/>
      <c r="D778" s="559"/>
      <c r="E778" s="559"/>
      <c r="F778" s="559"/>
      <c r="G778" s="559"/>
      <c r="H778" s="559"/>
      <c r="I778" s="559"/>
      <c r="J778" s="559"/>
      <c r="K778" s="559"/>
      <c r="L778" s="559"/>
      <c r="M778" s="559"/>
      <c r="N778" s="559"/>
      <c r="O778" s="559"/>
      <c r="P778" s="559"/>
      <c r="Q778" s="559"/>
      <c r="R778" s="559"/>
      <c r="S778" s="559"/>
      <c r="T778" s="559"/>
      <c r="U778" s="559"/>
      <c r="V778" s="559"/>
      <c r="W778" s="559"/>
      <c r="X778" s="559"/>
      <c r="Y778" s="559"/>
      <c r="Z778" s="559"/>
      <c r="AA778" s="559"/>
      <c r="AB778" s="559"/>
      <c r="AC778" s="559"/>
      <c r="AD778" s="559"/>
      <c r="AE778" s="559"/>
      <c r="AF778" s="559"/>
      <c r="AG778" s="559"/>
    </row>
    <row r="779" spans="1:33" ht="18" x14ac:dyDescent="0.35">
      <c r="A779" s="559"/>
      <c r="B779" s="559"/>
      <c r="C779" s="559"/>
      <c r="D779" s="559"/>
      <c r="E779" s="559"/>
      <c r="F779" s="559"/>
      <c r="G779" s="559"/>
      <c r="H779" s="559"/>
      <c r="I779" s="559"/>
      <c r="J779" s="559"/>
      <c r="K779" s="559"/>
      <c r="L779" s="559"/>
      <c r="M779" s="559"/>
      <c r="N779" s="559"/>
      <c r="O779" s="559"/>
      <c r="P779" s="559"/>
      <c r="Q779" s="559"/>
      <c r="R779" s="559"/>
      <c r="S779" s="559"/>
      <c r="T779" s="559"/>
      <c r="U779" s="559"/>
      <c r="V779" s="559"/>
      <c r="W779" s="559"/>
      <c r="X779" s="559"/>
      <c r="Y779" s="559"/>
      <c r="Z779" s="559"/>
      <c r="AA779" s="559"/>
      <c r="AB779" s="559"/>
      <c r="AC779" s="559"/>
      <c r="AD779" s="559"/>
      <c r="AE779" s="559"/>
      <c r="AF779" s="559"/>
      <c r="AG779" s="559"/>
    </row>
    <row r="780" spans="1:33" ht="18" x14ac:dyDescent="0.35">
      <c r="A780" s="559"/>
      <c r="B780" s="559"/>
      <c r="C780" s="559"/>
      <c r="D780" s="559"/>
      <c r="E780" s="559"/>
      <c r="F780" s="559"/>
      <c r="G780" s="559"/>
      <c r="H780" s="559"/>
      <c r="I780" s="559"/>
      <c r="J780" s="559"/>
      <c r="K780" s="559"/>
      <c r="L780" s="559"/>
      <c r="M780" s="559"/>
      <c r="N780" s="559"/>
      <c r="O780" s="559"/>
      <c r="P780" s="559"/>
      <c r="Q780" s="559"/>
      <c r="R780" s="559"/>
      <c r="S780" s="559"/>
      <c r="T780" s="559"/>
      <c r="U780" s="559"/>
      <c r="V780" s="559"/>
      <c r="W780" s="559"/>
      <c r="X780" s="559"/>
      <c r="Y780" s="559"/>
      <c r="Z780" s="559"/>
      <c r="AA780" s="559"/>
      <c r="AB780" s="559"/>
      <c r="AC780" s="559"/>
      <c r="AD780" s="559"/>
      <c r="AE780" s="559"/>
      <c r="AF780" s="559"/>
      <c r="AG780" s="559"/>
    </row>
    <row r="781" spans="1:33" ht="18" x14ac:dyDescent="0.35">
      <c r="A781" s="559"/>
      <c r="B781" s="559"/>
      <c r="C781" s="559"/>
      <c r="D781" s="559"/>
      <c r="E781" s="559"/>
      <c r="F781" s="559"/>
      <c r="G781" s="559"/>
      <c r="H781" s="559"/>
      <c r="I781" s="559"/>
      <c r="J781" s="559"/>
      <c r="K781" s="559"/>
      <c r="L781" s="559"/>
      <c r="M781" s="559"/>
      <c r="N781" s="559"/>
      <c r="O781" s="559"/>
      <c r="P781" s="559"/>
      <c r="Q781" s="559"/>
      <c r="R781" s="559"/>
      <c r="S781" s="559"/>
      <c r="T781" s="559"/>
      <c r="U781" s="559"/>
      <c r="V781" s="559"/>
      <c r="W781" s="559"/>
      <c r="X781" s="559"/>
      <c r="Y781" s="559"/>
      <c r="Z781" s="559"/>
      <c r="AA781" s="559"/>
      <c r="AB781" s="559"/>
      <c r="AC781" s="559"/>
      <c r="AD781" s="559"/>
      <c r="AE781" s="559"/>
      <c r="AF781" s="559"/>
      <c r="AG781" s="559"/>
    </row>
    <row r="782" spans="1:33" ht="18" x14ac:dyDescent="0.35">
      <c r="A782" s="559"/>
      <c r="B782" s="559"/>
      <c r="C782" s="559"/>
      <c r="D782" s="559"/>
      <c r="E782" s="559"/>
      <c r="F782" s="559"/>
      <c r="G782" s="559"/>
      <c r="H782" s="559"/>
      <c r="I782" s="559"/>
      <c r="J782" s="559"/>
      <c r="K782" s="559"/>
      <c r="L782" s="559"/>
      <c r="M782" s="559"/>
      <c r="N782" s="559"/>
      <c r="O782" s="559"/>
      <c r="P782" s="559"/>
      <c r="Q782" s="559"/>
      <c r="R782" s="559"/>
      <c r="S782" s="559"/>
      <c r="T782" s="559"/>
      <c r="U782" s="559"/>
      <c r="V782" s="559"/>
      <c r="W782" s="559"/>
      <c r="X782" s="559"/>
      <c r="Y782" s="559"/>
      <c r="Z782" s="559"/>
      <c r="AA782" s="559"/>
      <c r="AB782" s="559"/>
      <c r="AC782" s="559"/>
      <c r="AD782" s="559"/>
      <c r="AE782" s="559"/>
      <c r="AF782" s="559"/>
      <c r="AG782" s="559"/>
    </row>
    <row r="783" spans="1:33" ht="18" x14ac:dyDescent="0.35">
      <c r="A783" s="559"/>
      <c r="B783" s="559"/>
      <c r="C783" s="559"/>
      <c r="D783" s="559"/>
      <c r="E783" s="559"/>
      <c r="F783" s="559"/>
      <c r="G783" s="559"/>
      <c r="H783" s="559"/>
      <c r="I783" s="559"/>
      <c r="J783" s="559"/>
      <c r="K783" s="559"/>
      <c r="L783" s="559"/>
      <c r="M783" s="559"/>
      <c r="N783" s="559"/>
      <c r="O783" s="559"/>
      <c r="P783" s="559"/>
      <c r="Q783" s="559"/>
      <c r="R783" s="559"/>
      <c r="S783" s="559"/>
      <c r="T783" s="559"/>
      <c r="U783" s="559"/>
      <c r="V783" s="559"/>
      <c r="W783" s="559"/>
      <c r="X783" s="559"/>
      <c r="Y783" s="559"/>
      <c r="Z783" s="559"/>
      <c r="AA783" s="559"/>
      <c r="AB783" s="559"/>
      <c r="AC783" s="559"/>
      <c r="AD783" s="559"/>
      <c r="AE783" s="559"/>
      <c r="AF783" s="559"/>
      <c r="AG783" s="559"/>
    </row>
    <row r="784" spans="1:33" ht="18" x14ac:dyDescent="0.35">
      <c r="A784" s="559"/>
      <c r="B784" s="559"/>
      <c r="C784" s="559"/>
      <c r="D784" s="559"/>
      <c r="E784" s="559"/>
      <c r="F784" s="559"/>
      <c r="G784" s="559"/>
      <c r="H784" s="559"/>
      <c r="I784" s="559"/>
      <c r="J784" s="559"/>
      <c r="K784" s="559"/>
      <c r="L784" s="559"/>
      <c r="M784" s="559"/>
      <c r="N784" s="559"/>
      <c r="O784" s="559"/>
      <c r="P784" s="559"/>
      <c r="Q784" s="559"/>
      <c r="R784" s="559"/>
      <c r="S784" s="559"/>
      <c r="T784" s="559"/>
      <c r="U784" s="559"/>
      <c r="V784" s="559"/>
      <c r="W784" s="559"/>
      <c r="X784" s="559"/>
      <c r="Y784" s="559"/>
      <c r="Z784" s="559"/>
      <c r="AA784" s="559"/>
      <c r="AB784" s="559"/>
      <c r="AC784" s="559"/>
      <c r="AD784" s="559"/>
      <c r="AE784" s="559"/>
      <c r="AF784" s="559"/>
      <c r="AG784" s="559"/>
    </row>
    <row r="785" spans="1:33" ht="18" x14ac:dyDescent="0.35">
      <c r="A785" s="559"/>
      <c r="B785" s="559"/>
      <c r="C785" s="559"/>
      <c r="D785" s="559"/>
      <c r="E785" s="559"/>
      <c r="F785" s="559"/>
      <c r="G785" s="559"/>
      <c r="H785" s="559"/>
      <c r="I785" s="559"/>
      <c r="J785" s="559"/>
      <c r="K785" s="559"/>
      <c r="L785" s="559"/>
      <c r="M785" s="559"/>
      <c r="N785" s="559"/>
      <c r="O785" s="559"/>
      <c r="P785" s="559"/>
      <c r="Q785" s="559"/>
      <c r="R785" s="559"/>
      <c r="S785" s="559"/>
      <c r="T785" s="559"/>
      <c r="U785" s="559"/>
      <c r="V785" s="559"/>
      <c r="W785" s="559"/>
      <c r="X785" s="559"/>
      <c r="Y785" s="559"/>
      <c r="Z785" s="559"/>
      <c r="AA785" s="559"/>
      <c r="AB785" s="559"/>
      <c r="AC785" s="559"/>
      <c r="AD785" s="559"/>
      <c r="AE785" s="559"/>
      <c r="AF785" s="559"/>
      <c r="AG785" s="559"/>
    </row>
    <row r="786" spans="1:33" ht="18" x14ac:dyDescent="0.35">
      <c r="A786" s="559"/>
      <c r="B786" s="559"/>
      <c r="C786" s="559"/>
      <c r="D786" s="559"/>
      <c r="E786" s="559"/>
      <c r="F786" s="559"/>
      <c r="G786" s="559"/>
      <c r="H786" s="559"/>
      <c r="I786" s="559"/>
      <c r="J786" s="559"/>
      <c r="K786" s="559"/>
      <c r="L786" s="559"/>
      <c r="M786" s="559"/>
      <c r="N786" s="559"/>
      <c r="O786" s="559"/>
      <c r="P786" s="559"/>
      <c r="Q786" s="559"/>
      <c r="R786" s="559"/>
      <c r="S786" s="559"/>
      <c r="T786" s="559"/>
      <c r="U786" s="559"/>
      <c r="V786" s="559"/>
      <c r="W786" s="559"/>
      <c r="X786" s="559"/>
      <c r="Y786" s="559"/>
      <c r="Z786" s="559"/>
      <c r="AA786" s="559"/>
      <c r="AB786" s="559"/>
      <c r="AC786" s="559"/>
      <c r="AD786" s="559"/>
      <c r="AE786" s="559"/>
      <c r="AF786" s="559"/>
      <c r="AG786" s="559"/>
    </row>
    <row r="787" spans="1:33" ht="18" x14ac:dyDescent="0.35">
      <c r="A787" s="559"/>
      <c r="B787" s="559"/>
      <c r="C787" s="559"/>
      <c r="D787" s="559"/>
      <c r="E787" s="559"/>
      <c r="F787" s="559"/>
      <c r="G787" s="559"/>
      <c r="H787" s="559"/>
      <c r="I787" s="559"/>
      <c r="J787" s="559"/>
      <c r="K787" s="559"/>
      <c r="L787" s="559"/>
      <c r="M787" s="559"/>
      <c r="N787" s="559"/>
      <c r="O787" s="559"/>
      <c r="P787" s="559"/>
      <c r="Q787" s="559"/>
      <c r="R787" s="559"/>
      <c r="S787" s="559"/>
      <c r="T787" s="559"/>
      <c r="U787" s="559"/>
      <c r="V787" s="559"/>
      <c r="W787" s="559"/>
      <c r="X787" s="559"/>
      <c r="Y787" s="559"/>
      <c r="Z787" s="559"/>
      <c r="AA787" s="559"/>
      <c r="AB787" s="559"/>
      <c r="AC787" s="559"/>
      <c r="AD787" s="559"/>
      <c r="AE787" s="559"/>
      <c r="AF787" s="559"/>
      <c r="AG787" s="559"/>
    </row>
    <row r="788" spans="1:33" ht="18" x14ac:dyDescent="0.35">
      <c r="A788" s="559"/>
      <c r="B788" s="559"/>
      <c r="C788" s="559"/>
      <c r="D788" s="559"/>
      <c r="E788" s="559"/>
      <c r="F788" s="559"/>
      <c r="G788" s="559"/>
      <c r="H788" s="559"/>
      <c r="I788" s="559"/>
      <c r="J788" s="559"/>
      <c r="K788" s="559"/>
      <c r="L788" s="559"/>
      <c r="M788" s="559"/>
      <c r="N788" s="559"/>
      <c r="O788" s="559"/>
      <c r="P788" s="559"/>
      <c r="Q788" s="559"/>
      <c r="R788" s="559"/>
      <c r="S788" s="559"/>
      <c r="T788" s="559"/>
      <c r="U788" s="559"/>
      <c r="V788" s="559"/>
      <c r="W788" s="559"/>
      <c r="X788" s="559"/>
      <c r="Y788" s="559"/>
      <c r="Z788" s="559"/>
      <c r="AA788" s="559"/>
      <c r="AB788" s="559"/>
      <c r="AC788" s="559"/>
      <c r="AD788" s="559"/>
      <c r="AE788" s="559"/>
      <c r="AF788" s="559"/>
      <c r="AG788" s="559"/>
    </row>
    <row r="789" spans="1:33" ht="18" x14ac:dyDescent="0.35">
      <c r="A789" s="559"/>
      <c r="B789" s="559"/>
      <c r="C789" s="559"/>
      <c r="D789" s="559"/>
      <c r="E789" s="559"/>
      <c r="F789" s="559"/>
      <c r="G789" s="559"/>
      <c r="H789" s="559"/>
      <c r="I789" s="559"/>
      <c r="J789" s="559"/>
      <c r="K789" s="559"/>
      <c r="L789" s="559"/>
      <c r="M789" s="559"/>
      <c r="N789" s="559"/>
      <c r="O789" s="559"/>
      <c r="P789" s="559"/>
      <c r="Q789" s="559"/>
      <c r="R789" s="559"/>
      <c r="S789" s="559"/>
      <c r="T789" s="559"/>
      <c r="U789" s="559"/>
      <c r="V789" s="559"/>
      <c r="W789" s="559"/>
      <c r="X789" s="559"/>
      <c r="Y789" s="559"/>
      <c r="Z789" s="559"/>
      <c r="AA789" s="559"/>
      <c r="AB789" s="559"/>
      <c r="AC789" s="559"/>
      <c r="AD789" s="559"/>
      <c r="AE789" s="559"/>
      <c r="AF789" s="559"/>
      <c r="AG789" s="559"/>
    </row>
    <row r="790" spans="1:33" ht="18" x14ac:dyDescent="0.35">
      <c r="A790" s="559"/>
      <c r="B790" s="559"/>
      <c r="C790" s="559"/>
      <c r="D790" s="559"/>
      <c r="E790" s="559"/>
      <c r="F790" s="559"/>
      <c r="G790" s="559"/>
      <c r="H790" s="559"/>
      <c r="I790" s="559"/>
      <c r="J790" s="559"/>
      <c r="K790" s="559"/>
      <c r="L790" s="559"/>
      <c r="M790" s="559"/>
      <c r="N790" s="559"/>
      <c r="O790" s="559"/>
      <c r="P790" s="559"/>
      <c r="Q790" s="559"/>
      <c r="R790" s="559"/>
      <c r="S790" s="559"/>
      <c r="T790" s="559"/>
      <c r="U790" s="559"/>
      <c r="V790" s="559"/>
      <c r="W790" s="559"/>
      <c r="X790" s="559"/>
      <c r="Y790" s="559"/>
      <c r="Z790" s="559"/>
      <c r="AA790" s="559"/>
      <c r="AB790" s="559"/>
      <c r="AC790" s="559"/>
      <c r="AD790" s="559"/>
      <c r="AE790" s="559"/>
      <c r="AF790" s="559"/>
      <c r="AG790" s="559"/>
    </row>
    <row r="791" spans="1:33" ht="18" x14ac:dyDescent="0.35">
      <c r="A791" s="559"/>
      <c r="B791" s="559"/>
      <c r="C791" s="559"/>
      <c r="D791" s="559"/>
      <c r="E791" s="559"/>
      <c r="F791" s="559"/>
      <c r="G791" s="559"/>
      <c r="H791" s="559"/>
      <c r="I791" s="559"/>
      <c r="J791" s="559"/>
      <c r="K791" s="559"/>
      <c r="L791" s="559"/>
      <c r="M791" s="559"/>
      <c r="N791" s="559"/>
      <c r="O791" s="559"/>
      <c r="P791" s="559"/>
      <c r="Q791" s="559"/>
      <c r="R791" s="559"/>
      <c r="S791" s="559"/>
      <c r="T791" s="559"/>
      <c r="U791" s="559"/>
      <c r="V791" s="559"/>
      <c r="W791" s="559"/>
      <c r="X791" s="559"/>
      <c r="Y791" s="559"/>
      <c r="Z791" s="559"/>
      <c r="AA791" s="559"/>
      <c r="AB791" s="559"/>
      <c r="AC791" s="559"/>
      <c r="AD791" s="559"/>
      <c r="AE791" s="559"/>
      <c r="AF791" s="559"/>
      <c r="AG791" s="559"/>
    </row>
    <row r="792" spans="1:33" ht="18" x14ac:dyDescent="0.35">
      <c r="A792" s="559"/>
      <c r="B792" s="559"/>
      <c r="C792" s="559"/>
      <c r="D792" s="559"/>
      <c r="E792" s="559"/>
      <c r="F792" s="559"/>
      <c r="G792" s="559"/>
      <c r="H792" s="559"/>
      <c r="I792" s="559"/>
      <c r="J792" s="559"/>
      <c r="K792" s="559"/>
      <c r="L792" s="559"/>
      <c r="M792" s="559"/>
      <c r="N792" s="559"/>
      <c r="O792" s="559"/>
      <c r="P792" s="559"/>
      <c r="Q792" s="559"/>
      <c r="R792" s="559"/>
      <c r="S792" s="559"/>
      <c r="T792" s="559"/>
      <c r="U792" s="559"/>
      <c r="V792" s="559"/>
      <c r="W792" s="559"/>
      <c r="X792" s="559"/>
      <c r="Y792" s="559"/>
      <c r="Z792" s="559"/>
      <c r="AA792" s="559"/>
      <c r="AB792" s="559"/>
      <c r="AC792" s="559"/>
      <c r="AD792" s="559"/>
      <c r="AE792" s="559"/>
      <c r="AF792" s="559"/>
      <c r="AG792" s="559"/>
    </row>
    <row r="793" spans="1:33" ht="18" x14ac:dyDescent="0.35">
      <c r="A793" s="559"/>
      <c r="B793" s="559"/>
      <c r="C793" s="559"/>
      <c r="D793" s="559"/>
      <c r="E793" s="559"/>
      <c r="F793" s="559"/>
      <c r="G793" s="559"/>
      <c r="H793" s="559"/>
      <c r="I793" s="559"/>
      <c r="J793" s="559"/>
      <c r="K793" s="559"/>
      <c r="L793" s="559"/>
      <c r="M793" s="559"/>
      <c r="N793" s="559"/>
      <c r="O793" s="559"/>
      <c r="P793" s="559"/>
      <c r="Q793" s="559"/>
      <c r="R793" s="559"/>
      <c r="S793" s="559"/>
      <c r="T793" s="559"/>
      <c r="U793" s="559"/>
      <c r="V793" s="559"/>
      <c r="W793" s="559"/>
      <c r="X793" s="559"/>
      <c r="Y793" s="559"/>
      <c r="Z793" s="559"/>
      <c r="AA793" s="559"/>
      <c r="AB793" s="559"/>
      <c r="AC793" s="559"/>
      <c r="AD793" s="559"/>
      <c r="AE793" s="559"/>
      <c r="AF793" s="559"/>
      <c r="AG793" s="559"/>
    </row>
    <row r="794" spans="1:33" ht="18" x14ac:dyDescent="0.35">
      <c r="A794" s="559"/>
      <c r="B794" s="559"/>
      <c r="C794" s="559"/>
      <c r="D794" s="559"/>
      <c r="E794" s="559"/>
      <c r="F794" s="559"/>
      <c r="G794" s="559"/>
      <c r="H794" s="559"/>
      <c r="I794" s="559"/>
      <c r="J794" s="559"/>
      <c r="K794" s="559"/>
      <c r="L794" s="559"/>
      <c r="M794" s="559"/>
      <c r="N794" s="559"/>
      <c r="O794" s="559"/>
      <c r="P794" s="559"/>
      <c r="Q794" s="559"/>
      <c r="R794" s="559"/>
      <c r="S794" s="559"/>
      <c r="T794" s="559"/>
      <c r="U794" s="559"/>
      <c r="V794" s="559"/>
      <c r="W794" s="559"/>
      <c r="X794" s="559"/>
      <c r="Y794" s="559"/>
      <c r="Z794" s="559"/>
      <c r="AA794" s="559"/>
      <c r="AB794" s="559"/>
      <c r="AC794" s="559"/>
      <c r="AD794" s="559"/>
      <c r="AE794" s="559"/>
      <c r="AF794" s="559"/>
      <c r="AG794" s="559"/>
    </row>
    <row r="795" spans="1:33" ht="18" x14ac:dyDescent="0.35">
      <c r="A795" s="559"/>
      <c r="B795" s="559"/>
      <c r="C795" s="559"/>
      <c r="D795" s="559"/>
      <c r="E795" s="559"/>
      <c r="F795" s="559"/>
      <c r="G795" s="559"/>
      <c r="H795" s="559"/>
      <c r="I795" s="559"/>
      <c r="J795" s="559"/>
      <c r="K795" s="559"/>
      <c r="L795" s="559"/>
      <c r="M795" s="559"/>
      <c r="N795" s="559"/>
      <c r="O795" s="559"/>
      <c r="P795" s="559"/>
      <c r="Q795" s="559"/>
      <c r="R795" s="559"/>
      <c r="S795" s="559"/>
      <c r="T795" s="559"/>
      <c r="U795" s="559"/>
      <c r="V795" s="559"/>
      <c r="W795" s="559"/>
      <c r="X795" s="559"/>
      <c r="Y795" s="559"/>
      <c r="Z795" s="559"/>
      <c r="AA795" s="559"/>
      <c r="AB795" s="559"/>
      <c r="AC795" s="559"/>
      <c r="AD795" s="559"/>
      <c r="AE795" s="559"/>
      <c r="AF795" s="559"/>
      <c r="AG795" s="559"/>
    </row>
    <row r="796" spans="1:33" ht="18" x14ac:dyDescent="0.35">
      <c r="A796" s="559"/>
      <c r="B796" s="559"/>
      <c r="C796" s="559"/>
      <c r="D796" s="559"/>
      <c r="E796" s="559"/>
      <c r="F796" s="559"/>
      <c r="G796" s="559"/>
      <c r="H796" s="559"/>
      <c r="I796" s="559"/>
      <c r="J796" s="559"/>
      <c r="K796" s="559"/>
      <c r="L796" s="559"/>
      <c r="M796" s="559"/>
      <c r="N796" s="559"/>
      <c r="O796" s="559"/>
      <c r="P796" s="559"/>
      <c r="Q796" s="559"/>
      <c r="R796" s="559"/>
      <c r="S796" s="559"/>
      <c r="T796" s="559"/>
      <c r="U796" s="559"/>
      <c r="V796" s="559"/>
      <c r="W796" s="559"/>
      <c r="X796" s="559"/>
      <c r="Y796" s="559"/>
      <c r="Z796" s="559"/>
      <c r="AA796" s="559"/>
      <c r="AB796" s="559"/>
      <c r="AC796" s="559"/>
      <c r="AD796" s="559"/>
      <c r="AE796" s="559"/>
      <c r="AF796" s="559"/>
      <c r="AG796" s="559"/>
    </row>
    <row r="797" spans="1:33" ht="18" x14ac:dyDescent="0.35">
      <c r="A797" s="559"/>
      <c r="B797" s="559"/>
      <c r="C797" s="559"/>
      <c r="D797" s="559"/>
      <c r="E797" s="559"/>
      <c r="F797" s="559"/>
      <c r="G797" s="559"/>
      <c r="H797" s="559"/>
      <c r="I797" s="559"/>
      <c r="J797" s="559"/>
      <c r="K797" s="559"/>
      <c r="L797" s="559"/>
      <c r="M797" s="559"/>
      <c r="N797" s="559"/>
      <c r="O797" s="559"/>
      <c r="P797" s="559"/>
      <c r="Q797" s="559"/>
      <c r="R797" s="559"/>
      <c r="S797" s="559"/>
      <c r="T797" s="559"/>
      <c r="U797" s="559"/>
      <c r="V797" s="559"/>
      <c r="W797" s="559"/>
      <c r="X797" s="559"/>
      <c r="Y797" s="559"/>
      <c r="Z797" s="559"/>
      <c r="AA797" s="559"/>
      <c r="AB797" s="559"/>
      <c r="AC797" s="559"/>
      <c r="AD797" s="559"/>
      <c r="AE797" s="559"/>
      <c r="AF797" s="559"/>
      <c r="AG797" s="559"/>
    </row>
    <row r="798" spans="1:33" ht="18" x14ac:dyDescent="0.35">
      <c r="A798" s="559"/>
      <c r="B798" s="559"/>
      <c r="C798" s="559"/>
      <c r="D798" s="559"/>
      <c r="E798" s="559"/>
      <c r="F798" s="559"/>
      <c r="G798" s="559"/>
      <c r="H798" s="559"/>
      <c r="I798" s="559"/>
      <c r="J798" s="559"/>
      <c r="K798" s="559"/>
      <c r="L798" s="559"/>
      <c r="M798" s="559"/>
      <c r="N798" s="559"/>
      <c r="O798" s="559"/>
      <c r="P798" s="559"/>
      <c r="Q798" s="559"/>
      <c r="R798" s="559"/>
      <c r="S798" s="559"/>
      <c r="T798" s="559"/>
      <c r="U798" s="559"/>
      <c r="V798" s="559"/>
      <c r="W798" s="559"/>
      <c r="X798" s="559"/>
      <c r="Y798" s="559"/>
      <c r="Z798" s="559"/>
      <c r="AA798" s="559"/>
      <c r="AB798" s="559"/>
      <c r="AC798" s="559"/>
      <c r="AD798" s="559"/>
      <c r="AE798" s="559"/>
      <c r="AF798" s="559"/>
      <c r="AG798" s="559"/>
    </row>
    <row r="799" spans="1:33" ht="18" x14ac:dyDescent="0.35">
      <c r="A799" s="559"/>
      <c r="B799" s="559"/>
      <c r="C799" s="559"/>
      <c r="D799" s="559"/>
      <c r="E799" s="559"/>
      <c r="F799" s="559"/>
      <c r="G799" s="559"/>
      <c r="H799" s="559"/>
      <c r="I799" s="559"/>
      <c r="J799" s="559"/>
      <c r="K799" s="559"/>
      <c r="L799" s="559"/>
      <c r="M799" s="559"/>
      <c r="N799" s="559"/>
      <c r="O799" s="559"/>
      <c r="P799" s="559"/>
      <c r="Q799" s="559"/>
      <c r="R799" s="559"/>
      <c r="S799" s="559"/>
      <c r="T799" s="559"/>
      <c r="U799" s="559"/>
      <c r="V799" s="559"/>
      <c r="W799" s="559"/>
      <c r="X799" s="559"/>
      <c r="Y799" s="559"/>
      <c r="Z799" s="559"/>
      <c r="AA799" s="559"/>
      <c r="AB799" s="559"/>
      <c r="AC799" s="559"/>
      <c r="AD799" s="559"/>
      <c r="AE799" s="559"/>
      <c r="AF799" s="559"/>
      <c r="AG799" s="559"/>
    </row>
    <row r="800" spans="1:33" ht="18" x14ac:dyDescent="0.35">
      <c r="A800" s="559"/>
      <c r="B800" s="559"/>
      <c r="C800" s="559"/>
      <c r="D800" s="559"/>
      <c r="E800" s="559"/>
      <c r="F800" s="559"/>
      <c r="G800" s="559"/>
      <c r="H800" s="559"/>
      <c r="I800" s="559"/>
      <c r="J800" s="559"/>
      <c r="K800" s="559"/>
      <c r="L800" s="559"/>
      <c r="M800" s="559"/>
      <c r="N800" s="559"/>
      <c r="O800" s="559"/>
      <c r="P800" s="559"/>
      <c r="Q800" s="559"/>
      <c r="R800" s="559"/>
      <c r="S800" s="559"/>
      <c r="T800" s="559"/>
      <c r="U800" s="559"/>
      <c r="V800" s="559"/>
      <c r="W800" s="559"/>
      <c r="X800" s="559"/>
      <c r="Y800" s="559"/>
      <c r="Z800" s="559"/>
      <c r="AA800" s="559"/>
      <c r="AB800" s="559"/>
      <c r="AC800" s="559"/>
      <c r="AD800" s="559"/>
      <c r="AE800" s="559"/>
      <c r="AF800" s="559"/>
      <c r="AG800" s="559"/>
    </row>
    <row r="801" spans="1:33" ht="18" x14ac:dyDescent="0.35">
      <c r="A801" s="559"/>
      <c r="B801" s="559"/>
      <c r="C801" s="559"/>
      <c r="D801" s="559"/>
      <c r="E801" s="559"/>
      <c r="F801" s="559"/>
      <c r="G801" s="559"/>
      <c r="H801" s="559"/>
      <c r="I801" s="559"/>
      <c r="J801" s="559"/>
      <c r="K801" s="559"/>
      <c r="L801" s="559"/>
      <c r="M801" s="559"/>
      <c r="N801" s="559"/>
      <c r="O801" s="559"/>
      <c r="P801" s="559"/>
      <c r="Q801" s="559"/>
      <c r="R801" s="559"/>
      <c r="S801" s="559"/>
      <c r="T801" s="559"/>
      <c r="U801" s="559"/>
      <c r="V801" s="559"/>
      <c r="W801" s="559"/>
      <c r="X801" s="559"/>
      <c r="Y801" s="559"/>
      <c r="Z801" s="559"/>
      <c r="AA801" s="559"/>
      <c r="AB801" s="559"/>
      <c r="AC801" s="559"/>
      <c r="AD801" s="559"/>
      <c r="AE801" s="559"/>
      <c r="AF801" s="559"/>
      <c r="AG801" s="559"/>
    </row>
    <row r="802" spans="1:33" ht="18" x14ac:dyDescent="0.35">
      <c r="A802" s="559"/>
      <c r="B802" s="559"/>
      <c r="C802" s="559"/>
      <c r="D802" s="559"/>
      <c r="E802" s="559"/>
      <c r="F802" s="559"/>
      <c r="G802" s="559"/>
      <c r="H802" s="559"/>
      <c r="I802" s="559"/>
      <c r="J802" s="559"/>
      <c r="K802" s="559"/>
      <c r="L802" s="559"/>
      <c r="M802" s="559"/>
      <c r="N802" s="559"/>
      <c r="O802" s="559"/>
      <c r="P802" s="559"/>
      <c r="Q802" s="559"/>
      <c r="R802" s="559"/>
      <c r="S802" s="559"/>
      <c r="T802" s="559"/>
      <c r="U802" s="559"/>
      <c r="V802" s="559"/>
      <c r="W802" s="559"/>
      <c r="X802" s="559"/>
      <c r="Y802" s="559"/>
      <c r="Z802" s="559"/>
      <c r="AA802" s="559"/>
      <c r="AB802" s="559"/>
      <c r="AC802" s="559"/>
      <c r="AD802" s="559"/>
      <c r="AE802" s="559"/>
      <c r="AF802" s="559"/>
      <c r="AG802" s="559"/>
    </row>
    <row r="803" spans="1:33" ht="18" x14ac:dyDescent="0.35">
      <c r="A803" s="559"/>
      <c r="B803" s="559"/>
      <c r="C803" s="559"/>
      <c r="D803" s="559"/>
      <c r="E803" s="559"/>
      <c r="F803" s="559"/>
      <c r="G803" s="559"/>
      <c r="H803" s="559"/>
      <c r="I803" s="559"/>
      <c r="J803" s="559"/>
      <c r="K803" s="559"/>
      <c r="L803" s="559"/>
      <c r="M803" s="559"/>
      <c r="N803" s="559"/>
      <c r="O803" s="559"/>
      <c r="P803" s="559"/>
      <c r="Q803" s="559"/>
      <c r="R803" s="559"/>
      <c r="S803" s="559"/>
      <c r="T803" s="559"/>
      <c r="U803" s="559"/>
      <c r="V803" s="559"/>
      <c r="W803" s="559"/>
      <c r="X803" s="559"/>
      <c r="Y803" s="559"/>
      <c r="Z803" s="559"/>
      <c r="AA803" s="559"/>
      <c r="AB803" s="559"/>
      <c r="AC803" s="559"/>
      <c r="AD803" s="559"/>
      <c r="AE803" s="559"/>
      <c r="AF803" s="559"/>
      <c r="AG803" s="559"/>
    </row>
    <row r="804" spans="1:33" ht="18" x14ac:dyDescent="0.35">
      <c r="A804" s="559"/>
      <c r="B804" s="559"/>
      <c r="C804" s="559"/>
      <c r="D804" s="559"/>
      <c r="E804" s="559"/>
      <c r="F804" s="559"/>
      <c r="G804" s="559"/>
      <c r="H804" s="559"/>
      <c r="I804" s="559"/>
      <c r="J804" s="559"/>
      <c r="K804" s="559"/>
      <c r="L804" s="559"/>
      <c r="M804" s="559"/>
      <c r="N804" s="559"/>
      <c r="O804" s="559"/>
      <c r="P804" s="559"/>
      <c r="Q804" s="559"/>
      <c r="R804" s="559"/>
      <c r="S804" s="559"/>
      <c r="T804" s="559"/>
      <c r="U804" s="559"/>
      <c r="V804" s="559"/>
      <c r="W804" s="559"/>
      <c r="X804" s="559"/>
      <c r="Y804" s="559"/>
      <c r="Z804" s="559"/>
      <c r="AA804" s="559"/>
      <c r="AB804" s="559"/>
      <c r="AC804" s="559"/>
      <c r="AD804" s="559"/>
      <c r="AE804" s="559"/>
      <c r="AF804" s="559"/>
      <c r="AG804" s="559"/>
    </row>
    <row r="805" spans="1:33" ht="18" x14ac:dyDescent="0.35">
      <c r="A805" s="559"/>
      <c r="B805" s="559"/>
      <c r="C805" s="559"/>
      <c r="D805" s="559"/>
      <c r="E805" s="559"/>
      <c r="F805" s="559"/>
      <c r="G805" s="559"/>
      <c r="H805" s="559"/>
      <c r="I805" s="559"/>
      <c r="J805" s="559"/>
      <c r="K805" s="559"/>
      <c r="L805" s="559"/>
      <c r="M805" s="559"/>
      <c r="N805" s="559"/>
      <c r="O805" s="559"/>
      <c r="P805" s="559"/>
      <c r="Q805" s="559"/>
      <c r="R805" s="559"/>
      <c r="S805" s="559"/>
      <c r="T805" s="559"/>
      <c r="U805" s="559"/>
      <c r="V805" s="559"/>
      <c r="W805" s="559"/>
      <c r="X805" s="559"/>
      <c r="Y805" s="559"/>
      <c r="Z805" s="559"/>
      <c r="AA805" s="559"/>
      <c r="AB805" s="559"/>
      <c r="AC805" s="559"/>
      <c r="AD805" s="559"/>
      <c r="AE805" s="559"/>
      <c r="AF805" s="559"/>
      <c r="AG805" s="559"/>
    </row>
    <row r="806" spans="1:33" ht="18" x14ac:dyDescent="0.35">
      <c r="A806" s="559"/>
      <c r="B806" s="559"/>
      <c r="C806" s="559"/>
      <c r="D806" s="559"/>
      <c r="E806" s="559"/>
      <c r="F806" s="559"/>
      <c r="G806" s="559"/>
      <c r="H806" s="559"/>
      <c r="I806" s="559"/>
      <c r="J806" s="559"/>
      <c r="K806" s="559"/>
      <c r="L806" s="559"/>
      <c r="M806" s="559"/>
      <c r="N806" s="559"/>
      <c r="O806" s="559"/>
      <c r="P806" s="559"/>
      <c r="Q806" s="559"/>
      <c r="R806" s="559"/>
      <c r="S806" s="559"/>
      <c r="T806" s="559"/>
      <c r="U806" s="559"/>
      <c r="V806" s="559"/>
      <c r="W806" s="559"/>
      <c r="X806" s="559"/>
      <c r="Y806" s="559"/>
      <c r="Z806" s="559"/>
      <c r="AA806" s="559"/>
      <c r="AB806" s="559"/>
      <c r="AC806" s="559"/>
      <c r="AD806" s="559"/>
      <c r="AE806" s="559"/>
      <c r="AF806" s="559"/>
      <c r="AG806" s="559"/>
    </row>
    <row r="807" spans="1:33" ht="18" x14ac:dyDescent="0.35">
      <c r="A807" s="559"/>
      <c r="B807" s="559"/>
      <c r="C807" s="559"/>
      <c r="D807" s="559"/>
      <c r="E807" s="559"/>
      <c r="F807" s="559"/>
      <c r="G807" s="559"/>
      <c r="H807" s="559"/>
      <c r="I807" s="559"/>
      <c r="J807" s="559"/>
      <c r="K807" s="559"/>
      <c r="L807" s="559"/>
      <c r="M807" s="559"/>
      <c r="N807" s="559"/>
      <c r="O807" s="559"/>
      <c r="P807" s="559"/>
      <c r="Q807" s="559"/>
      <c r="R807" s="559"/>
      <c r="S807" s="559"/>
      <c r="T807" s="559"/>
      <c r="U807" s="559"/>
      <c r="V807" s="559"/>
      <c r="W807" s="559"/>
      <c r="X807" s="559"/>
      <c r="Y807" s="559"/>
      <c r="Z807" s="559"/>
      <c r="AA807" s="559"/>
      <c r="AB807" s="559"/>
      <c r="AC807" s="559"/>
      <c r="AD807" s="559"/>
      <c r="AE807" s="559"/>
      <c r="AF807" s="559"/>
      <c r="AG807" s="559"/>
    </row>
    <row r="808" spans="1:33" ht="18" x14ac:dyDescent="0.35">
      <c r="A808" s="559"/>
      <c r="B808" s="559"/>
      <c r="C808" s="559"/>
      <c r="D808" s="559"/>
      <c r="E808" s="559"/>
      <c r="F808" s="559"/>
      <c r="G808" s="559"/>
      <c r="H808" s="559"/>
      <c r="I808" s="559"/>
      <c r="J808" s="559"/>
      <c r="K808" s="559"/>
      <c r="L808" s="559"/>
      <c r="M808" s="559"/>
      <c r="N808" s="559"/>
      <c r="O808" s="559"/>
      <c r="P808" s="559"/>
      <c r="Q808" s="559"/>
      <c r="R808" s="559"/>
      <c r="S808" s="559"/>
      <c r="T808" s="559"/>
      <c r="U808" s="559"/>
      <c r="V808" s="559"/>
      <c r="W808" s="559"/>
      <c r="X808" s="559"/>
      <c r="Y808" s="559"/>
      <c r="Z808" s="559"/>
      <c r="AA808" s="559"/>
      <c r="AB808" s="559"/>
      <c r="AC808" s="559"/>
      <c r="AD808" s="559"/>
      <c r="AE808" s="559"/>
      <c r="AF808" s="559"/>
      <c r="AG808" s="559"/>
    </row>
    <row r="809" spans="1:33" ht="18" x14ac:dyDescent="0.35">
      <c r="A809" s="559"/>
      <c r="B809" s="559"/>
      <c r="C809" s="559"/>
      <c r="D809" s="559"/>
      <c r="E809" s="559"/>
      <c r="F809" s="559"/>
      <c r="G809" s="559"/>
      <c r="H809" s="559"/>
      <c r="I809" s="559"/>
      <c r="J809" s="559"/>
      <c r="K809" s="559"/>
      <c r="L809" s="559"/>
      <c r="M809" s="559"/>
      <c r="N809" s="559"/>
      <c r="O809" s="559"/>
      <c r="P809" s="559"/>
      <c r="Q809" s="559"/>
      <c r="R809" s="559"/>
      <c r="S809" s="559"/>
      <c r="T809" s="559"/>
      <c r="U809" s="559"/>
      <c r="V809" s="559"/>
      <c r="W809" s="559"/>
      <c r="X809" s="559"/>
      <c r="Y809" s="559"/>
      <c r="Z809" s="559"/>
      <c r="AA809" s="559"/>
      <c r="AB809" s="559"/>
      <c r="AC809" s="559"/>
      <c r="AD809" s="559"/>
      <c r="AE809" s="559"/>
      <c r="AF809" s="559"/>
      <c r="AG809" s="559"/>
    </row>
    <row r="810" spans="1:33" ht="18" x14ac:dyDescent="0.35">
      <c r="A810" s="559"/>
      <c r="B810" s="559"/>
      <c r="C810" s="559"/>
      <c r="D810" s="559"/>
      <c r="E810" s="559"/>
      <c r="F810" s="559"/>
      <c r="G810" s="559"/>
      <c r="H810" s="559"/>
      <c r="I810" s="559"/>
      <c r="J810" s="559"/>
      <c r="K810" s="559"/>
      <c r="L810" s="559"/>
      <c r="M810" s="559"/>
      <c r="N810" s="559"/>
      <c r="O810" s="559"/>
      <c r="P810" s="559"/>
      <c r="Q810" s="559"/>
      <c r="R810" s="559"/>
      <c r="S810" s="559"/>
      <c r="T810" s="559"/>
      <c r="U810" s="559"/>
      <c r="V810" s="559"/>
      <c r="W810" s="559"/>
      <c r="X810" s="559"/>
      <c r="Y810" s="559"/>
      <c r="Z810" s="559"/>
      <c r="AA810" s="559"/>
      <c r="AB810" s="559"/>
      <c r="AC810" s="559"/>
      <c r="AD810" s="559"/>
      <c r="AE810" s="559"/>
      <c r="AF810" s="559"/>
      <c r="AG810" s="559"/>
    </row>
    <row r="811" spans="1:33" ht="18" x14ac:dyDescent="0.35">
      <c r="A811" s="559"/>
      <c r="B811" s="559"/>
      <c r="C811" s="559"/>
      <c r="D811" s="559"/>
      <c r="E811" s="559"/>
      <c r="F811" s="559"/>
      <c r="G811" s="559"/>
      <c r="H811" s="559"/>
      <c r="I811" s="559"/>
      <c r="J811" s="559"/>
      <c r="K811" s="559"/>
      <c r="L811" s="559"/>
      <c r="M811" s="559"/>
      <c r="N811" s="559"/>
      <c r="O811" s="559"/>
      <c r="P811" s="559"/>
      <c r="Q811" s="559"/>
      <c r="R811" s="559"/>
      <c r="S811" s="559"/>
      <c r="T811" s="559"/>
      <c r="U811" s="559"/>
      <c r="V811" s="559"/>
      <c r="W811" s="559"/>
      <c r="X811" s="559"/>
      <c r="Y811" s="559"/>
      <c r="Z811" s="559"/>
      <c r="AA811" s="559"/>
      <c r="AB811" s="559"/>
      <c r="AC811" s="559"/>
      <c r="AD811" s="559"/>
      <c r="AE811" s="559"/>
      <c r="AF811" s="559"/>
      <c r="AG811" s="559"/>
    </row>
    <row r="812" spans="1:33" ht="18" x14ac:dyDescent="0.35">
      <c r="A812" s="559"/>
      <c r="B812" s="559"/>
      <c r="C812" s="559"/>
      <c r="D812" s="559"/>
      <c r="E812" s="559"/>
      <c r="F812" s="559"/>
      <c r="G812" s="559"/>
      <c r="H812" s="559"/>
      <c r="I812" s="559"/>
      <c r="J812" s="559"/>
      <c r="K812" s="559"/>
      <c r="L812" s="559"/>
      <c r="M812" s="559"/>
      <c r="N812" s="559"/>
      <c r="O812" s="559"/>
      <c r="P812" s="559"/>
      <c r="Q812" s="559"/>
      <c r="R812" s="559"/>
      <c r="S812" s="559"/>
      <c r="T812" s="559"/>
      <c r="U812" s="559"/>
      <c r="V812" s="559"/>
      <c r="W812" s="559"/>
      <c r="X812" s="559"/>
      <c r="Y812" s="559"/>
      <c r="Z812" s="559"/>
      <c r="AA812" s="559"/>
      <c r="AB812" s="559"/>
      <c r="AC812" s="559"/>
      <c r="AD812" s="559"/>
      <c r="AE812" s="559"/>
      <c r="AF812" s="559"/>
      <c r="AG812" s="559"/>
    </row>
    <row r="813" spans="1:33" ht="18" x14ac:dyDescent="0.35">
      <c r="A813" s="559"/>
      <c r="B813" s="559"/>
      <c r="C813" s="559"/>
      <c r="D813" s="559"/>
      <c r="E813" s="559"/>
      <c r="F813" s="559"/>
      <c r="G813" s="559"/>
      <c r="H813" s="559"/>
      <c r="I813" s="559"/>
      <c r="J813" s="559"/>
      <c r="K813" s="559"/>
      <c r="L813" s="559"/>
      <c r="M813" s="559"/>
      <c r="N813" s="559"/>
      <c r="O813" s="559"/>
      <c r="P813" s="559"/>
      <c r="Q813" s="559"/>
      <c r="R813" s="559"/>
      <c r="S813" s="559"/>
      <c r="T813" s="559"/>
      <c r="U813" s="559"/>
      <c r="V813" s="559"/>
      <c r="W813" s="559"/>
      <c r="X813" s="559"/>
      <c r="Y813" s="559"/>
      <c r="Z813" s="559"/>
      <c r="AA813" s="559"/>
      <c r="AB813" s="559"/>
      <c r="AC813" s="559"/>
      <c r="AD813" s="559"/>
      <c r="AE813" s="559"/>
      <c r="AF813" s="559"/>
      <c r="AG813" s="559"/>
    </row>
    <row r="814" spans="1:33" ht="18" x14ac:dyDescent="0.35">
      <c r="A814" s="559"/>
      <c r="B814" s="559"/>
      <c r="C814" s="559"/>
      <c r="D814" s="559"/>
      <c r="E814" s="559"/>
      <c r="F814" s="559"/>
      <c r="G814" s="559"/>
      <c r="H814" s="559"/>
      <c r="I814" s="559"/>
      <c r="J814" s="559"/>
      <c r="K814" s="559"/>
      <c r="L814" s="559"/>
      <c r="M814" s="559"/>
      <c r="N814" s="559"/>
      <c r="O814" s="559"/>
      <c r="P814" s="559"/>
      <c r="Q814" s="559"/>
      <c r="R814" s="559"/>
      <c r="S814" s="559"/>
      <c r="T814" s="559"/>
      <c r="U814" s="559"/>
      <c r="V814" s="559"/>
      <c r="W814" s="559"/>
      <c r="X814" s="559"/>
      <c r="Y814" s="559"/>
      <c r="Z814" s="559"/>
      <c r="AA814" s="559"/>
      <c r="AB814" s="559"/>
      <c r="AC814" s="559"/>
      <c r="AD814" s="559"/>
      <c r="AE814" s="559"/>
      <c r="AF814" s="559"/>
      <c r="AG814" s="559"/>
    </row>
    <row r="815" spans="1:33" ht="18" x14ac:dyDescent="0.35">
      <c r="A815" s="559"/>
      <c r="B815" s="559"/>
      <c r="C815" s="559"/>
      <c r="D815" s="559"/>
      <c r="E815" s="559"/>
      <c r="F815" s="559"/>
      <c r="G815" s="559"/>
      <c r="H815" s="559"/>
      <c r="I815" s="559"/>
      <c r="J815" s="559"/>
      <c r="K815" s="559"/>
      <c r="L815" s="559"/>
      <c r="M815" s="559"/>
      <c r="N815" s="559"/>
      <c r="O815" s="559"/>
      <c r="P815" s="559"/>
      <c r="Q815" s="559"/>
      <c r="R815" s="559"/>
      <c r="S815" s="559"/>
      <c r="T815" s="559"/>
      <c r="U815" s="559"/>
      <c r="V815" s="559"/>
      <c r="W815" s="559"/>
      <c r="X815" s="559"/>
      <c r="Y815" s="559"/>
      <c r="Z815" s="559"/>
      <c r="AA815" s="559"/>
      <c r="AB815" s="559"/>
      <c r="AC815" s="559"/>
      <c r="AD815" s="559"/>
      <c r="AE815" s="559"/>
      <c r="AF815" s="559"/>
      <c r="AG815" s="559"/>
    </row>
    <row r="816" spans="1:33" ht="18" x14ac:dyDescent="0.35">
      <c r="A816" s="559"/>
      <c r="B816" s="559"/>
      <c r="C816" s="559"/>
      <c r="D816" s="559"/>
      <c r="E816" s="559"/>
      <c r="F816" s="559"/>
      <c r="G816" s="559"/>
      <c r="H816" s="559"/>
      <c r="I816" s="559"/>
      <c r="J816" s="559"/>
      <c r="K816" s="559"/>
      <c r="L816" s="559"/>
      <c r="M816" s="559"/>
      <c r="N816" s="559"/>
      <c r="O816" s="559"/>
      <c r="P816" s="559"/>
      <c r="Q816" s="559"/>
      <c r="R816" s="559"/>
      <c r="S816" s="559"/>
      <c r="T816" s="559"/>
      <c r="U816" s="559"/>
      <c r="V816" s="559"/>
      <c r="W816" s="559"/>
      <c r="X816" s="559"/>
      <c r="Y816" s="559"/>
      <c r="Z816" s="559"/>
      <c r="AA816" s="559"/>
      <c r="AB816" s="559"/>
      <c r="AC816" s="559"/>
      <c r="AD816" s="559"/>
      <c r="AE816" s="559"/>
      <c r="AF816" s="559"/>
      <c r="AG816" s="559"/>
    </row>
    <row r="817" spans="1:33" ht="18" x14ac:dyDescent="0.35">
      <c r="A817" s="559"/>
      <c r="B817" s="559"/>
      <c r="C817" s="559"/>
      <c r="D817" s="559"/>
      <c r="E817" s="559"/>
      <c r="F817" s="559"/>
      <c r="G817" s="559"/>
      <c r="H817" s="559"/>
      <c r="I817" s="559"/>
      <c r="J817" s="559"/>
      <c r="K817" s="559"/>
      <c r="L817" s="559"/>
      <c r="M817" s="559"/>
      <c r="N817" s="559"/>
      <c r="O817" s="559"/>
      <c r="P817" s="559"/>
      <c r="Q817" s="559"/>
      <c r="R817" s="559"/>
      <c r="S817" s="559"/>
      <c r="T817" s="559"/>
      <c r="U817" s="559"/>
      <c r="V817" s="559"/>
      <c r="W817" s="559"/>
      <c r="X817" s="559"/>
      <c r="Y817" s="559"/>
      <c r="Z817" s="559"/>
      <c r="AA817" s="559"/>
      <c r="AB817" s="559"/>
      <c r="AC817" s="559"/>
      <c r="AD817" s="559"/>
      <c r="AE817" s="559"/>
      <c r="AF817" s="559"/>
      <c r="AG817" s="559"/>
    </row>
    <row r="818" spans="1:33" ht="18" x14ac:dyDescent="0.35">
      <c r="A818" s="559"/>
      <c r="B818" s="559"/>
      <c r="C818" s="559"/>
      <c r="D818" s="559"/>
      <c r="E818" s="559"/>
      <c r="F818" s="559"/>
      <c r="G818" s="559"/>
      <c r="H818" s="559"/>
      <c r="I818" s="559"/>
      <c r="J818" s="559"/>
      <c r="K818" s="559"/>
      <c r="L818" s="559"/>
      <c r="M818" s="559"/>
      <c r="N818" s="559"/>
      <c r="O818" s="559"/>
      <c r="P818" s="559"/>
      <c r="Q818" s="559"/>
      <c r="R818" s="559"/>
      <c r="S818" s="559"/>
      <c r="T818" s="559"/>
      <c r="U818" s="559"/>
      <c r="V818" s="559"/>
      <c r="W818" s="559"/>
      <c r="X818" s="559"/>
      <c r="Y818" s="559"/>
      <c r="Z818" s="559"/>
      <c r="AA818" s="559"/>
      <c r="AB818" s="559"/>
      <c r="AC818" s="559"/>
      <c r="AD818" s="559"/>
      <c r="AE818" s="559"/>
      <c r="AF818" s="559"/>
      <c r="AG818" s="559"/>
    </row>
    <row r="819" spans="1:33" ht="18" x14ac:dyDescent="0.35">
      <c r="A819" s="559"/>
      <c r="B819" s="559"/>
      <c r="C819" s="559"/>
      <c r="D819" s="559"/>
      <c r="E819" s="559"/>
      <c r="F819" s="559"/>
      <c r="G819" s="559"/>
      <c r="H819" s="559"/>
      <c r="I819" s="559"/>
      <c r="J819" s="559"/>
      <c r="K819" s="559"/>
      <c r="L819" s="559"/>
      <c r="M819" s="559"/>
      <c r="N819" s="559"/>
      <c r="O819" s="559"/>
      <c r="P819" s="559"/>
      <c r="Q819" s="559"/>
      <c r="R819" s="559"/>
      <c r="S819" s="559"/>
      <c r="T819" s="559"/>
      <c r="U819" s="559"/>
      <c r="V819" s="559"/>
      <c r="W819" s="559"/>
      <c r="X819" s="559"/>
      <c r="Y819" s="559"/>
      <c r="Z819" s="559"/>
      <c r="AA819" s="559"/>
      <c r="AB819" s="559"/>
      <c r="AC819" s="559"/>
      <c r="AD819" s="559"/>
      <c r="AE819" s="559"/>
      <c r="AF819" s="559"/>
      <c r="AG819" s="559"/>
    </row>
    <row r="820" spans="1:33" ht="18" x14ac:dyDescent="0.35">
      <c r="A820" s="559"/>
      <c r="B820" s="559"/>
      <c r="C820" s="559"/>
      <c r="D820" s="559"/>
      <c r="E820" s="559"/>
      <c r="F820" s="559"/>
      <c r="G820" s="559"/>
      <c r="H820" s="559"/>
      <c r="I820" s="559"/>
      <c r="J820" s="559"/>
      <c r="K820" s="559"/>
      <c r="L820" s="559"/>
      <c r="M820" s="559"/>
      <c r="N820" s="559"/>
      <c r="O820" s="559"/>
      <c r="P820" s="559"/>
      <c r="Q820" s="559"/>
      <c r="R820" s="559"/>
      <c r="S820" s="559"/>
      <c r="T820" s="559"/>
      <c r="U820" s="559"/>
      <c r="V820" s="559"/>
      <c r="W820" s="559"/>
      <c r="X820" s="559"/>
      <c r="Y820" s="559"/>
      <c r="Z820" s="559"/>
      <c r="AA820" s="559"/>
      <c r="AB820" s="559"/>
      <c r="AC820" s="559"/>
      <c r="AD820" s="559"/>
      <c r="AE820" s="559"/>
      <c r="AF820" s="559"/>
      <c r="AG820" s="559"/>
    </row>
    <row r="821" spans="1:33" ht="18" x14ac:dyDescent="0.35">
      <c r="A821" s="559"/>
      <c r="B821" s="559"/>
      <c r="C821" s="559"/>
      <c r="D821" s="559"/>
      <c r="E821" s="559"/>
      <c r="F821" s="559"/>
      <c r="G821" s="559"/>
      <c r="H821" s="559"/>
      <c r="I821" s="559"/>
      <c r="J821" s="559"/>
      <c r="K821" s="559"/>
      <c r="L821" s="559"/>
      <c r="M821" s="559"/>
      <c r="N821" s="559"/>
      <c r="O821" s="559"/>
      <c r="P821" s="559"/>
      <c r="Q821" s="559"/>
      <c r="R821" s="559"/>
      <c r="S821" s="559"/>
      <c r="T821" s="559"/>
      <c r="U821" s="559"/>
      <c r="V821" s="559"/>
      <c r="W821" s="559"/>
      <c r="X821" s="559"/>
      <c r="Y821" s="559"/>
      <c r="Z821" s="559"/>
      <c r="AA821" s="559"/>
      <c r="AB821" s="559"/>
      <c r="AC821" s="559"/>
      <c r="AD821" s="559"/>
      <c r="AE821" s="559"/>
      <c r="AF821" s="559"/>
      <c r="AG821" s="559"/>
    </row>
    <row r="822" spans="1:33" ht="18" x14ac:dyDescent="0.35">
      <c r="A822" s="559"/>
      <c r="B822" s="559"/>
      <c r="C822" s="559"/>
      <c r="D822" s="559"/>
      <c r="E822" s="559"/>
      <c r="F822" s="559"/>
      <c r="G822" s="559"/>
      <c r="H822" s="559"/>
      <c r="I822" s="559"/>
      <c r="J822" s="559"/>
      <c r="K822" s="559"/>
      <c r="L822" s="559"/>
      <c r="M822" s="559"/>
      <c r="N822" s="559"/>
      <c r="O822" s="559"/>
      <c r="P822" s="559"/>
      <c r="Q822" s="559"/>
      <c r="R822" s="559"/>
      <c r="S822" s="559"/>
      <c r="T822" s="559"/>
      <c r="U822" s="559"/>
      <c r="V822" s="559"/>
      <c r="W822" s="559"/>
      <c r="X822" s="559"/>
      <c r="Y822" s="559"/>
      <c r="Z822" s="559"/>
      <c r="AA822" s="559"/>
      <c r="AB822" s="559"/>
      <c r="AC822" s="559"/>
      <c r="AD822" s="559"/>
      <c r="AE822" s="559"/>
      <c r="AF822" s="559"/>
      <c r="AG822" s="559"/>
    </row>
    <row r="823" spans="1:33" ht="18" x14ac:dyDescent="0.35">
      <c r="A823" s="559"/>
      <c r="B823" s="559"/>
      <c r="C823" s="559"/>
      <c r="D823" s="559"/>
      <c r="E823" s="559"/>
      <c r="F823" s="559"/>
      <c r="G823" s="559"/>
      <c r="H823" s="559"/>
      <c r="I823" s="559"/>
      <c r="J823" s="559"/>
      <c r="K823" s="559"/>
      <c r="L823" s="559"/>
      <c r="M823" s="559"/>
      <c r="N823" s="559"/>
      <c r="O823" s="559"/>
      <c r="P823" s="559"/>
      <c r="Q823" s="559"/>
      <c r="R823" s="559"/>
      <c r="S823" s="559"/>
      <c r="T823" s="559"/>
      <c r="U823" s="559"/>
      <c r="V823" s="559"/>
      <c r="W823" s="559"/>
      <c r="X823" s="559"/>
      <c r="Y823" s="559"/>
      <c r="Z823" s="559"/>
      <c r="AA823" s="559"/>
      <c r="AB823" s="559"/>
      <c r="AC823" s="559"/>
      <c r="AD823" s="559"/>
      <c r="AE823" s="559"/>
      <c r="AF823" s="559"/>
      <c r="AG823" s="559"/>
    </row>
    <row r="824" spans="1:33" ht="18" x14ac:dyDescent="0.35">
      <c r="A824" s="559"/>
      <c r="B824" s="559"/>
      <c r="C824" s="559"/>
      <c r="D824" s="559"/>
      <c r="E824" s="559"/>
      <c r="F824" s="559"/>
      <c r="G824" s="559"/>
      <c r="H824" s="559"/>
      <c r="I824" s="559"/>
      <c r="J824" s="559"/>
      <c r="K824" s="559"/>
      <c r="L824" s="559"/>
      <c r="M824" s="559"/>
      <c r="N824" s="559"/>
      <c r="O824" s="559"/>
      <c r="P824" s="559"/>
      <c r="Q824" s="559"/>
      <c r="R824" s="559"/>
      <c r="S824" s="559"/>
      <c r="T824" s="559"/>
      <c r="U824" s="559"/>
      <c r="V824" s="559"/>
      <c r="W824" s="559"/>
      <c r="X824" s="559"/>
      <c r="Y824" s="559"/>
      <c r="Z824" s="559"/>
      <c r="AA824" s="559"/>
      <c r="AB824" s="559"/>
      <c r="AC824" s="559"/>
      <c r="AD824" s="559"/>
      <c r="AE824" s="559"/>
      <c r="AF824" s="559"/>
      <c r="AG824" s="559"/>
    </row>
    <row r="825" spans="1:33" ht="18" x14ac:dyDescent="0.35">
      <c r="A825" s="559"/>
      <c r="B825" s="559"/>
      <c r="C825" s="559"/>
      <c r="D825" s="559"/>
      <c r="E825" s="559"/>
      <c r="F825" s="559"/>
      <c r="G825" s="559"/>
      <c r="H825" s="559"/>
      <c r="I825" s="559"/>
      <c r="J825" s="559"/>
      <c r="K825" s="559"/>
      <c r="L825" s="559"/>
      <c r="M825" s="559"/>
      <c r="N825" s="559"/>
      <c r="O825" s="559"/>
      <c r="P825" s="559"/>
      <c r="Q825" s="559"/>
      <c r="R825" s="559"/>
      <c r="S825" s="559"/>
      <c r="T825" s="559"/>
      <c r="U825" s="559"/>
      <c r="V825" s="559"/>
      <c r="W825" s="559"/>
      <c r="X825" s="559"/>
      <c r="Y825" s="559"/>
      <c r="Z825" s="559"/>
      <c r="AA825" s="559"/>
      <c r="AB825" s="559"/>
      <c r="AC825" s="559"/>
      <c r="AD825" s="559"/>
      <c r="AE825" s="559"/>
      <c r="AF825" s="559"/>
      <c r="AG825" s="559"/>
    </row>
    <row r="826" spans="1:33" ht="18" x14ac:dyDescent="0.35">
      <c r="A826" s="559"/>
      <c r="B826" s="559"/>
      <c r="C826" s="559"/>
      <c r="D826" s="559"/>
      <c r="E826" s="559"/>
      <c r="F826" s="559"/>
      <c r="G826" s="559"/>
      <c r="H826" s="559"/>
      <c r="I826" s="559"/>
      <c r="J826" s="559"/>
      <c r="K826" s="559"/>
      <c r="L826" s="559"/>
      <c r="M826" s="559"/>
      <c r="N826" s="559"/>
      <c r="O826" s="559"/>
      <c r="P826" s="559"/>
      <c r="Q826" s="559"/>
      <c r="R826" s="559"/>
      <c r="S826" s="559"/>
      <c r="T826" s="559"/>
      <c r="U826" s="559"/>
      <c r="V826" s="559"/>
      <c r="W826" s="559"/>
      <c r="X826" s="559"/>
      <c r="Y826" s="559"/>
      <c r="Z826" s="559"/>
      <c r="AA826" s="559"/>
      <c r="AB826" s="559"/>
      <c r="AC826" s="559"/>
      <c r="AD826" s="559"/>
      <c r="AE826" s="559"/>
      <c r="AF826" s="559"/>
      <c r="AG826" s="559"/>
    </row>
    <row r="827" spans="1:33" ht="18" x14ac:dyDescent="0.35">
      <c r="A827" s="559"/>
      <c r="B827" s="559"/>
      <c r="C827" s="559"/>
      <c r="D827" s="559"/>
      <c r="E827" s="559"/>
      <c r="F827" s="559"/>
      <c r="G827" s="559"/>
      <c r="H827" s="559"/>
      <c r="I827" s="559"/>
      <c r="J827" s="559"/>
      <c r="K827" s="559"/>
      <c r="L827" s="559"/>
      <c r="M827" s="559"/>
      <c r="N827" s="559"/>
      <c r="O827" s="559"/>
      <c r="P827" s="559"/>
      <c r="Q827" s="559"/>
      <c r="R827" s="559"/>
      <c r="S827" s="559"/>
      <c r="T827" s="559"/>
      <c r="U827" s="559"/>
      <c r="V827" s="559"/>
      <c r="W827" s="559"/>
      <c r="X827" s="559"/>
      <c r="Y827" s="559"/>
      <c r="Z827" s="559"/>
      <c r="AA827" s="559"/>
      <c r="AB827" s="559"/>
      <c r="AC827" s="559"/>
      <c r="AD827" s="559"/>
      <c r="AE827" s="559"/>
      <c r="AF827" s="559"/>
      <c r="AG827" s="559"/>
    </row>
    <row r="828" spans="1:33" ht="18" x14ac:dyDescent="0.35">
      <c r="A828" s="559"/>
      <c r="B828" s="559"/>
      <c r="C828" s="559"/>
      <c r="D828" s="559"/>
      <c r="E828" s="559"/>
      <c r="F828" s="559"/>
      <c r="G828" s="559"/>
      <c r="H828" s="559"/>
      <c r="I828" s="559"/>
      <c r="J828" s="559"/>
      <c r="K828" s="559"/>
      <c r="L828" s="559"/>
      <c r="M828" s="559"/>
      <c r="N828" s="559"/>
      <c r="O828" s="559"/>
      <c r="P828" s="559"/>
      <c r="Q828" s="559"/>
      <c r="R828" s="559"/>
      <c r="S828" s="559"/>
      <c r="T828" s="559"/>
      <c r="U828" s="559"/>
      <c r="V828" s="559"/>
      <c r="W828" s="559"/>
      <c r="X828" s="559"/>
      <c r="Y828" s="559"/>
      <c r="Z828" s="559"/>
      <c r="AA828" s="559"/>
      <c r="AB828" s="559"/>
      <c r="AC828" s="559"/>
      <c r="AD828" s="559"/>
      <c r="AE828" s="559"/>
      <c r="AF828" s="559"/>
      <c r="AG828" s="559"/>
    </row>
    <row r="829" spans="1:33" ht="18" x14ac:dyDescent="0.35">
      <c r="A829" s="559"/>
      <c r="B829" s="559"/>
      <c r="C829" s="559"/>
      <c r="D829" s="559"/>
      <c r="E829" s="559"/>
      <c r="F829" s="559"/>
      <c r="G829" s="559"/>
      <c r="H829" s="559"/>
      <c r="I829" s="559"/>
      <c r="J829" s="559"/>
      <c r="K829" s="559"/>
      <c r="L829" s="559"/>
      <c r="M829" s="559"/>
      <c r="N829" s="559"/>
      <c r="O829" s="559"/>
      <c r="P829" s="559"/>
      <c r="Q829" s="559"/>
      <c r="R829" s="559"/>
      <c r="S829" s="559"/>
      <c r="T829" s="559"/>
      <c r="U829" s="559"/>
      <c r="V829" s="559"/>
      <c r="W829" s="559"/>
      <c r="X829" s="559"/>
      <c r="Y829" s="559"/>
      <c r="Z829" s="559"/>
      <c r="AA829" s="559"/>
      <c r="AB829" s="559"/>
      <c r="AC829" s="559"/>
      <c r="AD829" s="559"/>
      <c r="AE829" s="559"/>
      <c r="AF829" s="559"/>
      <c r="AG829" s="559"/>
    </row>
    <row r="830" spans="1:33" ht="18" x14ac:dyDescent="0.35">
      <c r="A830" s="559"/>
      <c r="B830" s="559"/>
      <c r="C830" s="559"/>
      <c r="D830" s="559"/>
      <c r="E830" s="559"/>
      <c r="F830" s="559"/>
      <c r="G830" s="559"/>
      <c r="H830" s="559"/>
      <c r="I830" s="559"/>
      <c r="J830" s="559"/>
      <c r="K830" s="559"/>
      <c r="L830" s="559"/>
      <c r="M830" s="559"/>
      <c r="N830" s="559"/>
      <c r="O830" s="559"/>
      <c r="P830" s="559"/>
      <c r="Q830" s="559"/>
      <c r="R830" s="559"/>
      <c r="S830" s="559"/>
      <c r="T830" s="559"/>
      <c r="U830" s="559"/>
      <c r="V830" s="559"/>
      <c r="W830" s="559"/>
      <c r="X830" s="559"/>
      <c r="Y830" s="559"/>
      <c r="Z830" s="559"/>
      <c r="AA830" s="559"/>
      <c r="AB830" s="559"/>
      <c r="AC830" s="559"/>
      <c r="AD830" s="559"/>
      <c r="AE830" s="559"/>
      <c r="AF830" s="559"/>
      <c r="AG830" s="559"/>
    </row>
    <row r="831" spans="1:33" ht="18" x14ac:dyDescent="0.35">
      <c r="A831" s="559"/>
      <c r="B831" s="559"/>
      <c r="C831" s="559"/>
      <c r="D831" s="559"/>
      <c r="E831" s="559"/>
      <c r="F831" s="559"/>
      <c r="G831" s="559"/>
      <c r="H831" s="559"/>
      <c r="I831" s="559"/>
      <c r="J831" s="559"/>
      <c r="K831" s="559"/>
      <c r="L831" s="559"/>
      <c r="M831" s="559"/>
      <c r="N831" s="559"/>
      <c r="O831" s="559"/>
      <c r="P831" s="559"/>
      <c r="Q831" s="559"/>
      <c r="R831" s="559"/>
      <c r="S831" s="559"/>
      <c r="T831" s="559"/>
      <c r="U831" s="559"/>
      <c r="V831" s="559"/>
      <c r="W831" s="559"/>
      <c r="X831" s="559"/>
      <c r="Y831" s="559"/>
      <c r="Z831" s="559"/>
      <c r="AA831" s="559"/>
      <c r="AB831" s="559"/>
      <c r="AC831" s="559"/>
      <c r="AD831" s="559"/>
      <c r="AE831" s="559"/>
      <c r="AF831" s="559"/>
      <c r="AG831" s="559"/>
    </row>
    <row r="832" spans="1:33" ht="18" x14ac:dyDescent="0.35">
      <c r="A832" s="559"/>
      <c r="B832" s="559"/>
      <c r="C832" s="559"/>
      <c r="D832" s="559"/>
      <c r="E832" s="559"/>
      <c r="F832" s="559"/>
      <c r="G832" s="559"/>
      <c r="H832" s="559"/>
      <c r="I832" s="559"/>
      <c r="J832" s="559"/>
      <c r="K832" s="559"/>
      <c r="L832" s="559"/>
      <c r="M832" s="559"/>
      <c r="N832" s="559"/>
      <c r="O832" s="559"/>
      <c r="P832" s="559"/>
      <c r="Q832" s="559"/>
      <c r="R832" s="559"/>
      <c r="S832" s="559"/>
      <c r="T832" s="559"/>
      <c r="U832" s="559"/>
      <c r="V832" s="559"/>
      <c r="W832" s="559"/>
      <c r="X832" s="559"/>
      <c r="Y832" s="559"/>
      <c r="Z832" s="559"/>
      <c r="AA832" s="559"/>
      <c r="AB832" s="559"/>
      <c r="AC832" s="559"/>
      <c r="AD832" s="559"/>
      <c r="AE832" s="559"/>
      <c r="AF832" s="559"/>
      <c r="AG832" s="559"/>
    </row>
    <row r="833" spans="1:33" ht="18" x14ac:dyDescent="0.35">
      <c r="A833" s="559"/>
      <c r="B833" s="559"/>
      <c r="C833" s="559"/>
      <c r="D833" s="559"/>
      <c r="E833" s="559"/>
      <c r="F833" s="559"/>
      <c r="G833" s="559"/>
      <c r="H833" s="559"/>
      <c r="I833" s="559"/>
      <c r="J833" s="559"/>
      <c r="K833" s="559"/>
      <c r="L833" s="559"/>
      <c r="M833" s="559"/>
      <c r="N833" s="559"/>
      <c r="O833" s="559"/>
      <c r="P833" s="559"/>
      <c r="Q833" s="559"/>
      <c r="R833" s="559"/>
      <c r="S833" s="559"/>
      <c r="T833" s="559"/>
      <c r="U833" s="559"/>
      <c r="V833" s="559"/>
      <c r="W833" s="559"/>
      <c r="X833" s="559"/>
      <c r="Y833" s="559"/>
      <c r="Z833" s="559"/>
      <c r="AA833" s="559"/>
      <c r="AB833" s="559"/>
      <c r="AC833" s="559"/>
      <c r="AD833" s="559"/>
      <c r="AE833" s="559"/>
      <c r="AF833" s="559"/>
      <c r="AG833" s="559"/>
    </row>
    <row r="834" spans="1:33" ht="18" x14ac:dyDescent="0.35">
      <c r="A834" s="559"/>
      <c r="B834" s="559"/>
      <c r="C834" s="559"/>
      <c r="D834" s="559"/>
      <c r="E834" s="559"/>
      <c r="F834" s="559"/>
      <c r="G834" s="559"/>
      <c r="H834" s="559"/>
      <c r="I834" s="559"/>
      <c r="J834" s="559"/>
      <c r="K834" s="559"/>
      <c r="L834" s="559"/>
      <c r="M834" s="559"/>
      <c r="N834" s="559"/>
      <c r="O834" s="559"/>
      <c r="P834" s="559"/>
      <c r="Q834" s="559"/>
      <c r="R834" s="559"/>
      <c r="S834" s="559"/>
      <c r="T834" s="559"/>
      <c r="U834" s="559"/>
      <c r="V834" s="559"/>
      <c r="W834" s="559"/>
      <c r="X834" s="559"/>
      <c r="Y834" s="559"/>
      <c r="Z834" s="559"/>
      <c r="AA834" s="559"/>
      <c r="AB834" s="559"/>
      <c r="AC834" s="559"/>
      <c r="AD834" s="559"/>
      <c r="AE834" s="559"/>
      <c r="AF834" s="559"/>
      <c r="AG834" s="559"/>
    </row>
    <row r="835" spans="1:33" ht="18" x14ac:dyDescent="0.35">
      <c r="A835" s="559"/>
      <c r="B835" s="559"/>
      <c r="C835" s="559"/>
      <c r="D835" s="559"/>
      <c r="E835" s="559"/>
      <c r="F835" s="559"/>
      <c r="G835" s="559"/>
      <c r="H835" s="559"/>
      <c r="I835" s="559"/>
      <c r="J835" s="559"/>
      <c r="K835" s="559"/>
      <c r="L835" s="559"/>
      <c r="M835" s="559"/>
      <c r="N835" s="559"/>
      <c r="O835" s="559"/>
      <c r="P835" s="559"/>
      <c r="Q835" s="559"/>
      <c r="R835" s="559"/>
      <c r="S835" s="559"/>
      <c r="T835" s="559"/>
      <c r="U835" s="559"/>
      <c r="V835" s="559"/>
      <c r="W835" s="559"/>
      <c r="X835" s="559"/>
      <c r="Y835" s="559"/>
      <c r="Z835" s="559"/>
      <c r="AA835" s="559"/>
      <c r="AB835" s="559"/>
      <c r="AC835" s="559"/>
      <c r="AD835" s="559"/>
      <c r="AE835" s="559"/>
      <c r="AF835" s="559"/>
      <c r="AG835" s="559"/>
    </row>
    <row r="836" spans="1:33" ht="18" x14ac:dyDescent="0.35">
      <c r="A836" s="559"/>
      <c r="B836" s="559"/>
      <c r="C836" s="559"/>
      <c r="D836" s="559"/>
      <c r="E836" s="559"/>
      <c r="F836" s="559"/>
      <c r="G836" s="559"/>
      <c r="H836" s="559"/>
      <c r="I836" s="559"/>
      <c r="J836" s="559"/>
      <c r="K836" s="559"/>
      <c r="L836" s="559"/>
      <c r="M836" s="559"/>
      <c r="N836" s="559"/>
      <c r="O836" s="559"/>
      <c r="P836" s="559"/>
      <c r="Q836" s="559"/>
      <c r="R836" s="559"/>
      <c r="S836" s="559"/>
      <c r="T836" s="559"/>
      <c r="U836" s="559"/>
      <c r="V836" s="559"/>
      <c r="W836" s="559"/>
      <c r="X836" s="559"/>
      <c r="Y836" s="559"/>
      <c r="Z836" s="559"/>
      <c r="AA836" s="559"/>
      <c r="AB836" s="559"/>
      <c r="AC836" s="559"/>
      <c r="AD836" s="559"/>
      <c r="AE836" s="559"/>
      <c r="AF836" s="559"/>
      <c r="AG836" s="559"/>
    </row>
    <row r="837" spans="1:33" ht="18" x14ac:dyDescent="0.35">
      <c r="A837" s="559"/>
      <c r="B837" s="559"/>
      <c r="C837" s="559"/>
      <c r="D837" s="559"/>
      <c r="E837" s="559"/>
      <c r="F837" s="559"/>
      <c r="G837" s="559"/>
      <c r="H837" s="559"/>
      <c r="I837" s="559"/>
      <c r="J837" s="559"/>
      <c r="K837" s="559"/>
      <c r="L837" s="559"/>
      <c r="M837" s="559"/>
      <c r="N837" s="559"/>
      <c r="O837" s="559"/>
      <c r="P837" s="559"/>
      <c r="Q837" s="559"/>
      <c r="R837" s="559"/>
      <c r="S837" s="559"/>
      <c r="T837" s="559"/>
      <c r="U837" s="559"/>
      <c r="V837" s="559"/>
      <c r="W837" s="559"/>
      <c r="X837" s="559"/>
      <c r="Y837" s="559"/>
      <c r="Z837" s="559"/>
      <c r="AA837" s="559"/>
      <c r="AB837" s="559"/>
      <c r="AC837" s="559"/>
      <c r="AD837" s="559"/>
      <c r="AE837" s="559"/>
      <c r="AF837" s="559"/>
      <c r="AG837" s="559"/>
    </row>
    <row r="838" spans="1:33" ht="18" x14ac:dyDescent="0.35">
      <c r="A838" s="559"/>
      <c r="B838" s="559"/>
      <c r="C838" s="559"/>
      <c r="D838" s="559"/>
      <c r="E838" s="559"/>
      <c r="F838" s="559"/>
      <c r="G838" s="559"/>
      <c r="H838" s="559"/>
      <c r="I838" s="559"/>
      <c r="J838" s="559"/>
      <c r="K838" s="559"/>
      <c r="L838" s="559"/>
      <c r="M838" s="559"/>
      <c r="N838" s="559"/>
      <c r="O838" s="559"/>
      <c r="P838" s="559"/>
      <c r="Q838" s="559"/>
      <c r="R838" s="559"/>
      <c r="S838" s="559"/>
      <c r="T838" s="559"/>
      <c r="U838" s="559"/>
      <c r="V838" s="559"/>
      <c r="W838" s="559"/>
      <c r="X838" s="559"/>
      <c r="Y838" s="559"/>
      <c r="Z838" s="559"/>
      <c r="AA838" s="559"/>
      <c r="AB838" s="559"/>
      <c r="AC838" s="559"/>
      <c r="AD838" s="559"/>
      <c r="AE838" s="559"/>
      <c r="AF838" s="559"/>
      <c r="AG838" s="559"/>
    </row>
    <row r="839" spans="1:33" ht="18" x14ac:dyDescent="0.35">
      <c r="A839" s="559"/>
      <c r="B839" s="559"/>
      <c r="C839" s="559"/>
      <c r="D839" s="559"/>
      <c r="E839" s="559"/>
      <c r="F839" s="559"/>
      <c r="G839" s="559"/>
      <c r="H839" s="559"/>
      <c r="I839" s="559"/>
      <c r="J839" s="559"/>
      <c r="K839" s="559"/>
      <c r="L839" s="559"/>
      <c r="M839" s="559"/>
      <c r="N839" s="559"/>
      <c r="O839" s="559"/>
      <c r="P839" s="559"/>
      <c r="Q839" s="559"/>
      <c r="R839" s="559"/>
      <c r="S839" s="559"/>
      <c r="T839" s="559"/>
      <c r="U839" s="559"/>
      <c r="V839" s="559"/>
      <c r="W839" s="559"/>
      <c r="X839" s="559"/>
      <c r="Y839" s="559"/>
      <c r="Z839" s="559"/>
      <c r="AA839" s="559"/>
      <c r="AB839" s="559"/>
      <c r="AC839" s="559"/>
      <c r="AD839" s="559"/>
      <c r="AE839" s="559"/>
      <c r="AF839" s="559"/>
      <c r="AG839" s="559"/>
    </row>
    <row r="840" spans="1:33" ht="18" x14ac:dyDescent="0.35">
      <c r="A840" s="559"/>
      <c r="B840" s="559"/>
      <c r="C840" s="559"/>
      <c r="D840" s="559"/>
      <c r="E840" s="559"/>
      <c r="F840" s="559"/>
      <c r="G840" s="559"/>
      <c r="H840" s="559"/>
      <c r="I840" s="559"/>
      <c r="J840" s="559"/>
      <c r="K840" s="559"/>
      <c r="L840" s="559"/>
      <c r="M840" s="559"/>
      <c r="N840" s="559"/>
      <c r="O840" s="559"/>
      <c r="P840" s="559"/>
      <c r="Q840" s="559"/>
      <c r="R840" s="559"/>
      <c r="S840" s="559"/>
      <c r="T840" s="559"/>
      <c r="U840" s="559"/>
      <c r="V840" s="559"/>
      <c r="W840" s="559"/>
      <c r="X840" s="559"/>
      <c r="Y840" s="559"/>
      <c r="Z840" s="559"/>
      <c r="AA840" s="559"/>
      <c r="AB840" s="559"/>
      <c r="AC840" s="559"/>
      <c r="AD840" s="559"/>
      <c r="AE840" s="559"/>
      <c r="AF840" s="559"/>
      <c r="AG840" s="559"/>
    </row>
    <row r="841" spans="1:33" ht="18" x14ac:dyDescent="0.35">
      <c r="A841" s="559"/>
      <c r="B841" s="559"/>
      <c r="C841" s="559"/>
      <c r="D841" s="559"/>
      <c r="E841" s="559"/>
      <c r="F841" s="559"/>
      <c r="G841" s="559"/>
      <c r="H841" s="559"/>
      <c r="I841" s="559"/>
      <c r="J841" s="559"/>
      <c r="K841" s="559"/>
      <c r="L841" s="559"/>
      <c r="M841" s="559"/>
      <c r="N841" s="559"/>
      <c r="O841" s="559"/>
      <c r="P841" s="559"/>
      <c r="Q841" s="559"/>
      <c r="R841" s="559"/>
      <c r="S841" s="559"/>
      <c r="T841" s="559"/>
      <c r="U841" s="559"/>
      <c r="V841" s="559"/>
      <c r="W841" s="559"/>
      <c r="X841" s="559"/>
      <c r="Y841" s="559"/>
      <c r="Z841" s="559"/>
      <c r="AA841" s="559"/>
      <c r="AB841" s="559"/>
      <c r="AC841" s="559"/>
      <c r="AD841" s="559"/>
      <c r="AE841" s="559"/>
      <c r="AF841" s="559"/>
      <c r="AG841" s="559"/>
    </row>
    <row r="842" spans="1:33" ht="18" x14ac:dyDescent="0.35">
      <c r="A842" s="559"/>
      <c r="B842" s="559"/>
      <c r="C842" s="559"/>
      <c r="D842" s="559"/>
      <c r="E842" s="559"/>
      <c r="F842" s="559"/>
      <c r="G842" s="559"/>
      <c r="H842" s="559"/>
      <c r="I842" s="559"/>
      <c r="J842" s="559"/>
      <c r="K842" s="559"/>
      <c r="L842" s="559"/>
      <c r="M842" s="559"/>
      <c r="N842" s="559"/>
      <c r="O842" s="559"/>
      <c r="P842" s="559"/>
      <c r="Q842" s="559"/>
      <c r="R842" s="559"/>
      <c r="S842" s="559"/>
      <c r="T842" s="559"/>
      <c r="U842" s="559"/>
      <c r="V842" s="559"/>
      <c r="W842" s="559"/>
      <c r="X842" s="559"/>
      <c r="Y842" s="559"/>
      <c r="Z842" s="559"/>
      <c r="AA842" s="559"/>
      <c r="AB842" s="559"/>
      <c r="AC842" s="559"/>
      <c r="AD842" s="559"/>
      <c r="AE842" s="559"/>
      <c r="AF842" s="559"/>
      <c r="AG842" s="559"/>
    </row>
    <row r="843" spans="1:33" ht="18" x14ac:dyDescent="0.35">
      <c r="A843" s="559"/>
      <c r="B843" s="559"/>
      <c r="C843" s="559"/>
      <c r="D843" s="559"/>
      <c r="E843" s="559"/>
      <c r="F843" s="559"/>
      <c r="G843" s="559"/>
      <c r="H843" s="559"/>
      <c r="I843" s="559"/>
      <c r="J843" s="559"/>
      <c r="K843" s="559"/>
      <c r="L843" s="559"/>
      <c r="M843" s="559"/>
      <c r="N843" s="559"/>
      <c r="O843" s="559"/>
      <c r="P843" s="559"/>
      <c r="Q843" s="559"/>
      <c r="R843" s="559"/>
      <c r="S843" s="559"/>
      <c r="T843" s="559"/>
      <c r="U843" s="559"/>
      <c r="V843" s="559"/>
      <c r="W843" s="559"/>
      <c r="X843" s="559"/>
      <c r="Y843" s="559"/>
      <c r="Z843" s="559"/>
      <c r="AA843" s="559"/>
      <c r="AB843" s="559"/>
      <c r="AC843" s="559"/>
      <c r="AD843" s="559"/>
      <c r="AE843" s="559"/>
      <c r="AF843" s="559"/>
      <c r="AG843" s="559"/>
    </row>
    <row r="844" spans="1:33" ht="18" x14ac:dyDescent="0.35">
      <c r="A844" s="559"/>
      <c r="B844" s="559"/>
      <c r="C844" s="559"/>
      <c r="D844" s="559"/>
      <c r="E844" s="559"/>
      <c r="F844" s="559"/>
      <c r="G844" s="559"/>
      <c r="H844" s="559"/>
      <c r="I844" s="559"/>
      <c r="J844" s="559"/>
      <c r="K844" s="559"/>
      <c r="L844" s="559"/>
      <c r="M844" s="559"/>
      <c r="N844" s="559"/>
      <c r="O844" s="559"/>
      <c r="P844" s="559"/>
      <c r="Q844" s="559"/>
      <c r="R844" s="559"/>
      <c r="S844" s="559"/>
      <c r="T844" s="559"/>
      <c r="U844" s="559"/>
      <c r="V844" s="559"/>
      <c r="W844" s="559"/>
      <c r="X844" s="559"/>
      <c r="Y844" s="559"/>
      <c r="Z844" s="559"/>
      <c r="AA844" s="559"/>
      <c r="AB844" s="559"/>
      <c r="AC844" s="559"/>
      <c r="AD844" s="559"/>
      <c r="AE844" s="559"/>
      <c r="AF844" s="559"/>
      <c r="AG844" s="559"/>
    </row>
    <row r="845" spans="1:33" ht="18" x14ac:dyDescent="0.35">
      <c r="A845" s="559"/>
      <c r="B845" s="559"/>
      <c r="C845" s="559"/>
      <c r="D845" s="559"/>
      <c r="E845" s="559"/>
      <c r="F845" s="559"/>
      <c r="G845" s="559"/>
      <c r="H845" s="559"/>
      <c r="I845" s="559"/>
      <c r="J845" s="559"/>
      <c r="K845" s="559"/>
      <c r="L845" s="559"/>
      <c r="M845" s="559"/>
      <c r="N845" s="559"/>
      <c r="O845" s="559"/>
      <c r="P845" s="559"/>
      <c r="Q845" s="559"/>
      <c r="R845" s="559"/>
      <c r="S845" s="559"/>
      <c r="T845" s="559"/>
      <c r="U845" s="559"/>
      <c r="V845" s="559"/>
      <c r="W845" s="559"/>
      <c r="X845" s="559"/>
      <c r="Y845" s="559"/>
      <c r="Z845" s="559"/>
      <c r="AA845" s="559"/>
      <c r="AB845" s="559"/>
      <c r="AC845" s="559"/>
      <c r="AD845" s="559"/>
      <c r="AE845" s="559"/>
      <c r="AF845" s="559"/>
      <c r="AG845" s="559"/>
    </row>
    <row r="846" spans="1:33" ht="18" x14ac:dyDescent="0.35">
      <c r="A846" s="559"/>
      <c r="B846" s="559"/>
      <c r="C846" s="559"/>
      <c r="D846" s="559"/>
      <c r="E846" s="559"/>
      <c r="F846" s="559"/>
      <c r="G846" s="559"/>
      <c r="H846" s="559"/>
      <c r="I846" s="559"/>
      <c r="J846" s="559"/>
      <c r="K846" s="559"/>
      <c r="L846" s="559"/>
      <c r="M846" s="559"/>
      <c r="N846" s="559"/>
      <c r="O846" s="559"/>
      <c r="P846" s="559"/>
      <c r="Q846" s="559"/>
      <c r="R846" s="559"/>
      <c r="S846" s="559"/>
      <c r="T846" s="559"/>
      <c r="U846" s="559"/>
      <c r="V846" s="559"/>
      <c r="W846" s="559"/>
      <c r="X846" s="559"/>
      <c r="Y846" s="559"/>
      <c r="Z846" s="559"/>
      <c r="AA846" s="559"/>
      <c r="AB846" s="559"/>
      <c r="AC846" s="559"/>
      <c r="AD846" s="559"/>
      <c r="AE846" s="559"/>
      <c r="AF846" s="559"/>
      <c r="AG846" s="559"/>
    </row>
    <row r="847" spans="1:33" ht="18" x14ac:dyDescent="0.35">
      <c r="A847" s="559"/>
      <c r="B847" s="559"/>
      <c r="C847" s="559"/>
      <c r="D847" s="559"/>
      <c r="E847" s="559"/>
      <c r="F847" s="559"/>
      <c r="G847" s="559"/>
      <c r="H847" s="559"/>
      <c r="I847" s="559"/>
      <c r="J847" s="559"/>
      <c r="K847" s="559"/>
      <c r="L847" s="559"/>
      <c r="M847" s="559"/>
      <c r="N847" s="559"/>
      <c r="O847" s="559"/>
      <c r="P847" s="559"/>
      <c r="Q847" s="559"/>
      <c r="R847" s="559"/>
      <c r="S847" s="559"/>
      <c r="T847" s="559"/>
      <c r="U847" s="559"/>
      <c r="V847" s="559"/>
      <c r="W847" s="559"/>
      <c r="X847" s="559"/>
      <c r="Y847" s="559"/>
      <c r="Z847" s="559"/>
      <c r="AA847" s="559"/>
      <c r="AB847" s="559"/>
      <c r="AC847" s="559"/>
      <c r="AD847" s="559"/>
      <c r="AE847" s="559"/>
      <c r="AF847" s="559"/>
      <c r="AG847" s="559"/>
    </row>
    <row r="848" spans="1:33" ht="18" x14ac:dyDescent="0.35">
      <c r="A848" s="559"/>
      <c r="B848" s="559"/>
      <c r="C848" s="559"/>
      <c r="D848" s="559"/>
      <c r="E848" s="559"/>
      <c r="F848" s="559"/>
      <c r="G848" s="559"/>
      <c r="H848" s="559"/>
      <c r="I848" s="559"/>
      <c r="J848" s="559"/>
      <c r="K848" s="559"/>
      <c r="L848" s="559"/>
      <c r="M848" s="559"/>
      <c r="N848" s="559"/>
      <c r="O848" s="559"/>
      <c r="P848" s="559"/>
      <c r="Q848" s="559"/>
      <c r="R848" s="559"/>
      <c r="S848" s="559"/>
      <c r="T848" s="559"/>
      <c r="U848" s="559"/>
      <c r="V848" s="559"/>
      <c r="W848" s="559"/>
      <c r="X848" s="559"/>
      <c r="Y848" s="559"/>
      <c r="Z848" s="559"/>
      <c r="AA848" s="559"/>
      <c r="AB848" s="559"/>
      <c r="AC848" s="559"/>
      <c r="AD848" s="559"/>
      <c r="AE848" s="559"/>
      <c r="AF848" s="559"/>
      <c r="AG848" s="559"/>
    </row>
    <row r="849" spans="1:33" ht="18" x14ac:dyDescent="0.35">
      <c r="A849" s="559"/>
      <c r="B849" s="559"/>
      <c r="C849" s="559"/>
      <c r="D849" s="559"/>
      <c r="E849" s="559"/>
      <c r="F849" s="559"/>
      <c r="G849" s="559"/>
      <c r="H849" s="559"/>
      <c r="I849" s="559"/>
      <c r="J849" s="559"/>
      <c r="K849" s="559"/>
      <c r="L849" s="559"/>
      <c r="M849" s="559"/>
      <c r="N849" s="559"/>
      <c r="O849" s="559"/>
      <c r="P849" s="559"/>
      <c r="Q849" s="559"/>
      <c r="R849" s="559"/>
      <c r="S849" s="559"/>
      <c r="T849" s="559"/>
      <c r="U849" s="559"/>
      <c r="V849" s="559"/>
      <c r="W849" s="559"/>
      <c r="X849" s="559"/>
      <c r="Y849" s="559"/>
      <c r="Z849" s="559"/>
      <c r="AA849" s="559"/>
      <c r="AB849" s="559"/>
      <c r="AC849" s="559"/>
      <c r="AD849" s="559"/>
      <c r="AE849" s="559"/>
      <c r="AF849" s="559"/>
      <c r="AG849" s="559"/>
    </row>
    <row r="850" spans="1:33" ht="18" x14ac:dyDescent="0.35">
      <c r="A850" s="559"/>
      <c r="B850" s="559"/>
      <c r="C850" s="559"/>
      <c r="D850" s="559"/>
      <c r="E850" s="559"/>
      <c r="F850" s="559"/>
      <c r="G850" s="559"/>
      <c r="H850" s="559"/>
      <c r="I850" s="559"/>
      <c r="J850" s="559"/>
      <c r="K850" s="559"/>
      <c r="L850" s="559"/>
      <c r="M850" s="559"/>
      <c r="N850" s="559"/>
      <c r="O850" s="559"/>
      <c r="P850" s="559"/>
      <c r="Q850" s="559"/>
      <c r="R850" s="559"/>
      <c r="S850" s="559"/>
      <c r="T850" s="559"/>
      <c r="U850" s="559"/>
      <c r="V850" s="559"/>
      <c r="W850" s="559"/>
      <c r="X850" s="559"/>
      <c r="Y850" s="559"/>
      <c r="Z850" s="559"/>
      <c r="AA850" s="559"/>
      <c r="AB850" s="559"/>
      <c r="AC850" s="559"/>
      <c r="AD850" s="559"/>
      <c r="AE850" s="559"/>
      <c r="AF850" s="559"/>
      <c r="AG850" s="559"/>
    </row>
    <row r="851" spans="1:33" ht="18" x14ac:dyDescent="0.35">
      <c r="A851" s="559"/>
      <c r="B851" s="559"/>
      <c r="C851" s="559"/>
      <c r="D851" s="559"/>
      <c r="E851" s="559"/>
      <c r="F851" s="559"/>
      <c r="G851" s="559"/>
      <c r="H851" s="559"/>
      <c r="I851" s="559"/>
      <c r="J851" s="559"/>
      <c r="K851" s="559"/>
      <c r="L851" s="559"/>
      <c r="M851" s="559"/>
      <c r="N851" s="559"/>
      <c r="O851" s="559"/>
      <c r="P851" s="559"/>
      <c r="Q851" s="559"/>
      <c r="R851" s="559"/>
      <c r="S851" s="559"/>
      <c r="T851" s="559"/>
      <c r="U851" s="559"/>
      <c r="V851" s="559"/>
      <c r="W851" s="559"/>
      <c r="X851" s="559"/>
      <c r="Y851" s="559"/>
      <c r="Z851" s="559"/>
      <c r="AA851" s="559"/>
      <c r="AB851" s="559"/>
      <c r="AC851" s="559"/>
      <c r="AD851" s="559"/>
      <c r="AE851" s="559"/>
      <c r="AF851" s="559"/>
      <c r="AG851" s="559"/>
    </row>
    <row r="852" spans="1:33" ht="18" x14ac:dyDescent="0.35">
      <c r="A852" s="559"/>
      <c r="B852" s="559"/>
      <c r="C852" s="559"/>
      <c r="D852" s="559"/>
      <c r="E852" s="559"/>
      <c r="F852" s="559"/>
      <c r="G852" s="559"/>
      <c r="H852" s="559"/>
      <c r="I852" s="559"/>
      <c r="J852" s="559"/>
      <c r="K852" s="559"/>
      <c r="L852" s="559"/>
      <c r="M852" s="559"/>
      <c r="N852" s="559"/>
      <c r="O852" s="559"/>
      <c r="P852" s="559"/>
      <c r="Q852" s="559"/>
      <c r="R852" s="559"/>
      <c r="S852" s="559"/>
      <c r="T852" s="559"/>
      <c r="U852" s="559"/>
      <c r="V852" s="559"/>
      <c r="W852" s="559"/>
      <c r="X852" s="559"/>
      <c r="Y852" s="559"/>
      <c r="Z852" s="559"/>
      <c r="AA852" s="559"/>
      <c r="AB852" s="559"/>
      <c r="AC852" s="559"/>
      <c r="AD852" s="559"/>
      <c r="AE852" s="559"/>
      <c r="AF852" s="559"/>
      <c r="AG852" s="559"/>
    </row>
    <row r="853" spans="1:33" ht="18" x14ac:dyDescent="0.35">
      <c r="A853" s="559"/>
      <c r="B853" s="559"/>
      <c r="C853" s="559"/>
      <c r="D853" s="559"/>
      <c r="E853" s="559"/>
      <c r="F853" s="559"/>
      <c r="G853" s="559"/>
      <c r="H853" s="559"/>
      <c r="I853" s="559"/>
      <c r="J853" s="559"/>
      <c r="K853" s="559"/>
      <c r="L853" s="559"/>
      <c r="M853" s="559"/>
      <c r="N853" s="559"/>
      <c r="O853" s="559"/>
      <c r="P853" s="559"/>
      <c r="Q853" s="559"/>
      <c r="R853" s="559"/>
      <c r="S853" s="559"/>
      <c r="T853" s="559"/>
      <c r="U853" s="559"/>
      <c r="V853" s="559"/>
      <c r="W853" s="559"/>
      <c r="X853" s="559"/>
      <c r="Y853" s="559"/>
      <c r="Z853" s="559"/>
      <c r="AA853" s="559"/>
      <c r="AB853" s="559"/>
      <c r="AC853" s="559"/>
      <c r="AD853" s="559"/>
      <c r="AE853" s="559"/>
      <c r="AF853" s="559"/>
      <c r="AG853" s="559"/>
    </row>
    <row r="854" spans="1:33" ht="18" x14ac:dyDescent="0.35">
      <c r="A854" s="559"/>
      <c r="B854" s="559"/>
      <c r="C854" s="559"/>
      <c r="D854" s="559"/>
      <c r="E854" s="559"/>
      <c r="F854" s="559"/>
      <c r="G854" s="559"/>
      <c r="H854" s="559"/>
      <c r="I854" s="559"/>
      <c r="J854" s="559"/>
      <c r="K854" s="559"/>
      <c r="L854" s="559"/>
      <c r="M854" s="559"/>
      <c r="N854" s="559"/>
      <c r="O854" s="559"/>
      <c r="P854" s="559"/>
      <c r="Q854" s="559"/>
      <c r="R854" s="559"/>
      <c r="S854" s="559"/>
      <c r="T854" s="559"/>
      <c r="U854" s="559"/>
      <c r="V854" s="559"/>
      <c r="W854" s="559"/>
      <c r="X854" s="559"/>
      <c r="Y854" s="559"/>
      <c r="Z854" s="559"/>
      <c r="AA854" s="559"/>
      <c r="AB854" s="559"/>
      <c r="AC854" s="559"/>
      <c r="AD854" s="559"/>
      <c r="AE854" s="559"/>
      <c r="AF854" s="559"/>
      <c r="AG854" s="559"/>
    </row>
    <row r="855" spans="1:33" ht="18" x14ac:dyDescent="0.35">
      <c r="A855" s="559"/>
      <c r="B855" s="559"/>
      <c r="C855" s="559"/>
      <c r="D855" s="559"/>
      <c r="E855" s="559"/>
      <c r="F855" s="559"/>
      <c r="G855" s="559"/>
      <c r="H855" s="559"/>
      <c r="I855" s="559"/>
      <c r="J855" s="559"/>
      <c r="K855" s="559"/>
      <c r="L855" s="559"/>
      <c r="M855" s="559"/>
      <c r="N855" s="559"/>
      <c r="O855" s="559"/>
      <c r="P855" s="559"/>
      <c r="Q855" s="559"/>
      <c r="R855" s="559"/>
      <c r="S855" s="559"/>
      <c r="T855" s="559"/>
      <c r="U855" s="559"/>
      <c r="V855" s="559"/>
      <c r="W855" s="559"/>
      <c r="X855" s="559"/>
      <c r="Y855" s="559"/>
      <c r="Z855" s="559"/>
      <c r="AA855" s="559"/>
      <c r="AB855" s="559"/>
      <c r="AC855" s="559"/>
      <c r="AD855" s="559"/>
      <c r="AE855" s="559"/>
      <c r="AF855" s="559"/>
      <c r="AG855" s="559"/>
    </row>
    <row r="856" spans="1:33" ht="18" x14ac:dyDescent="0.35">
      <c r="A856" s="559"/>
      <c r="B856" s="559"/>
      <c r="C856" s="559"/>
      <c r="D856" s="559"/>
      <c r="E856" s="559"/>
      <c r="F856" s="559"/>
      <c r="G856" s="559"/>
      <c r="H856" s="559"/>
      <c r="I856" s="559"/>
      <c r="J856" s="559"/>
      <c r="K856" s="559"/>
      <c r="L856" s="559"/>
      <c r="M856" s="559"/>
      <c r="N856" s="559"/>
      <c r="O856" s="559"/>
      <c r="P856" s="559"/>
      <c r="Q856" s="559"/>
      <c r="R856" s="559"/>
      <c r="S856" s="559"/>
      <c r="T856" s="559"/>
      <c r="U856" s="559"/>
      <c r="V856" s="559"/>
      <c r="W856" s="559"/>
      <c r="X856" s="559"/>
      <c r="Y856" s="559"/>
      <c r="Z856" s="559"/>
      <c r="AA856" s="559"/>
      <c r="AB856" s="559"/>
      <c r="AC856" s="559"/>
      <c r="AD856" s="559"/>
      <c r="AE856" s="559"/>
      <c r="AF856" s="559"/>
      <c r="AG856" s="559"/>
    </row>
    <row r="857" spans="1:33" ht="18" x14ac:dyDescent="0.35">
      <c r="A857" s="559"/>
      <c r="B857" s="559"/>
      <c r="C857" s="559"/>
      <c r="D857" s="559"/>
      <c r="E857" s="559"/>
      <c r="F857" s="559"/>
      <c r="G857" s="559"/>
      <c r="H857" s="559"/>
      <c r="I857" s="559"/>
      <c r="J857" s="559"/>
      <c r="K857" s="559"/>
      <c r="L857" s="559"/>
      <c r="M857" s="559"/>
      <c r="N857" s="559"/>
      <c r="O857" s="559"/>
      <c r="P857" s="559"/>
      <c r="Q857" s="559"/>
      <c r="R857" s="559"/>
      <c r="S857" s="559"/>
      <c r="T857" s="559"/>
      <c r="U857" s="559"/>
      <c r="V857" s="559"/>
      <c r="W857" s="559"/>
      <c r="X857" s="559"/>
      <c r="Y857" s="559"/>
      <c r="Z857" s="559"/>
      <c r="AA857" s="559"/>
      <c r="AB857" s="559"/>
      <c r="AC857" s="559"/>
      <c r="AD857" s="559"/>
      <c r="AE857" s="559"/>
      <c r="AF857" s="559"/>
      <c r="AG857" s="559"/>
    </row>
    <row r="858" spans="1:33" ht="18" x14ac:dyDescent="0.35">
      <c r="A858" s="559"/>
      <c r="B858" s="559"/>
      <c r="C858" s="559"/>
      <c r="D858" s="559"/>
      <c r="E858" s="559"/>
      <c r="F858" s="559"/>
      <c r="G858" s="559"/>
      <c r="H858" s="559"/>
      <c r="I858" s="559"/>
      <c r="J858" s="559"/>
      <c r="K858" s="559"/>
      <c r="L858" s="559"/>
      <c r="M858" s="559"/>
      <c r="N858" s="559"/>
      <c r="O858" s="559"/>
      <c r="P858" s="559"/>
      <c r="Q858" s="559"/>
      <c r="R858" s="559"/>
      <c r="S858" s="559"/>
      <c r="T858" s="559"/>
      <c r="U858" s="559"/>
      <c r="V858" s="559"/>
      <c r="W858" s="559"/>
      <c r="X858" s="559"/>
      <c r="Y858" s="559"/>
      <c r="Z858" s="559"/>
      <c r="AA858" s="559"/>
      <c r="AB858" s="559"/>
      <c r="AC858" s="559"/>
      <c r="AD858" s="559"/>
      <c r="AE858" s="559"/>
      <c r="AF858" s="559"/>
      <c r="AG858" s="559"/>
    </row>
    <row r="859" spans="1:33" ht="18" x14ac:dyDescent="0.35">
      <c r="A859" s="559"/>
      <c r="B859" s="559"/>
      <c r="C859" s="559"/>
      <c r="D859" s="559"/>
      <c r="E859" s="559"/>
      <c r="F859" s="559"/>
      <c r="G859" s="559"/>
      <c r="H859" s="559"/>
      <c r="I859" s="559"/>
      <c r="J859" s="559"/>
      <c r="K859" s="559"/>
      <c r="L859" s="559"/>
      <c r="M859" s="559"/>
      <c r="N859" s="559"/>
      <c r="O859" s="559"/>
      <c r="P859" s="559"/>
      <c r="Q859" s="559"/>
      <c r="R859" s="559"/>
      <c r="S859" s="559"/>
      <c r="T859" s="559"/>
      <c r="U859" s="559"/>
      <c r="V859" s="559"/>
      <c r="W859" s="559"/>
      <c r="X859" s="559"/>
      <c r="Y859" s="559"/>
      <c r="Z859" s="559"/>
      <c r="AA859" s="559"/>
      <c r="AB859" s="559"/>
      <c r="AC859" s="559"/>
      <c r="AD859" s="559"/>
      <c r="AE859" s="559"/>
      <c r="AF859" s="559"/>
      <c r="AG859" s="559"/>
    </row>
    <row r="860" spans="1:33" ht="18" x14ac:dyDescent="0.35">
      <c r="A860" s="559"/>
      <c r="B860" s="559"/>
      <c r="C860" s="559"/>
      <c r="D860" s="559"/>
      <c r="E860" s="559"/>
      <c r="F860" s="559"/>
      <c r="G860" s="559"/>
      <c r="H860" s="559"/>
      <c r="I860" s="559"/>
      <c r="J860" s="559"/>
      <c r="K860" s="559"/>
      <c r="L860" s="559"/>
      <c r="M860" s="559"/>
      <c r="N860" s="559"/>
      <c r="O860" s="559"/>
      <c r="P860" s="559"/>
      <c r="Q860" s="559"/>
      <c r="R860" s="559"/>
      <c r="S860" s="559"/>
      <c r="T860" s="559"/>
      <c r="U860" s="559"/>
      <c r="V860" s="559"/>
      <c r="W860" s="559"/>
      <c r="X860" s="559"/>
      <c r="Y860" s="559"/>
      <c r="Z860" s="559"/>
      <c r="AA860" s="559"/>
      <c r="AB860" s="559"/>
      <c r="AC860" s="559"/>
      <c r="AD860" s="559"/>
      <c r="AE860" s="559"/>
      <c r="AF860" s="559"/>
      <c r="AG860" s="559"/>
    </row>
    <row r="861" spans="1:33" ht="18" x14ac:dyDescent="0.35">
      <c r="A861" s="559"/>
      <c r="B861" s="559"/>
      <c r="C861" s="559"/>
      <c r="D861" s="559"/>
      <c r="E861" s="559"/>
      <c r="F861" s="559"/>
      <c r="G861" s="559"/>
      <c r="H861" s="559"/>
      <c r="I861" s="559"/>
      <c r="J861" s="559"/>
      <c r="K861" s="559"/>
      <c r="L861" s="559"/>
      <c r="M861" s="559"/>
      <c r="N861" s="559"/>
      <c r="O861" s="559"/>
      <c r="P861" s="559"/>
      <c r="Q861" s="559"/>
      <c r="R861" s="559"/>
      <c r="S861" s="559"/>
      <c r="T861" s="559"/>
      <c r="U861" s="559"/>
      <c r="V861" s="559"/>
      <c r="W861" s="559"/>
      <c r="X861" s="559"/>
      <c r="Y861" s="559"/>
      <c r="Z861" s="559"/>
      <c r="AA861" s="559"/>
      <c r="AB861" s="559"/>
      <c r="AC861" s="559"/>
      <c r="AD861" s="559"/>
      <c r="AE861" s="559"/>
      <c r="AF861" s="559"/>
      <c r="AG861" s="559"/>
    </row>
    <row r="862" spans="1:33" ht="18" x14ac:dyDescent="0.35">
      <c r="A862" s="559"/>
      <c r="B862" s="559"/>
      <c r="C862" s="559"/>
      <c r="D862" s="559"/>
      <c r="E862" s="559"/>
      <c r="F862" s="559"/>
      <c r="G862" s="559"/>
      <c r="H862" s="559"/>
      <c r="I862" s="559"/>
      <c r="J862" s="559"/>
      <c r="K862" s="559"/>
      <c r="L862" s="559"/>
      <c r="M862" s="559"/>
      <c r="N862" s="559"/>
      <c r="O862" s="559"/>
      <c r="P862" s="559"/>
      <c r="Q862" s="559"/>
      <c r="R862" s="559"/>
      <c r="S862" s="559"/>
      <c r="T862" s="559"/>
      <c r="U862" s="559"/>
      <c r="V862" s="559"/>
      <c r="W862" s="559"/>
      <c r="X862" s="559"/>
      <c r="Y862" s="559"/>
      <c r="Z862" s="559"/>
      <c r="AA862" s="559"/>
      <c r="AB862" s="559"/>
      <c r="AC862" s="559"/>
      <c r="AD862" s="559"/>
      <c r="AE862" s="559"/>
      <c r="AF862" s="559"/>
      <c r="AG862" s="559"/>
    </row>
    <row r="863" spans="1:33" ht="18" x14ac:dyDescent="0.35">
      <c r="A863" s="559"/>
      <c r="B863" s="559"/>
      <c r="C863" s="559"/>
      <c r="D863" s="559"/>
      <c r="E863" s="559"/>
      <c r="F863" s="559"/>
      <c r="G863" s="559"/>
      <c r="H863" s="559"/>
      <c r="I863" s="559"/>
      <c r="J863" s="559"/>
      <c r="K863" s="559"/>
      <c r="L863" s="559"/>
      <c r="M863" s="559"/>
      <c r="N863" s="559"/>
      <c r="O863" s="559"/>
      <c r="P863" s="559"/>
      <c r="Q863" s="559"/>
      <c r="R863" s="559"/>
      <c r="S863" s="559"/>
      <c r="T863" s="559"/>
      <c r="U863" s="559"/>
      <c r="V863" s="559"/>
      <c r="W863" s="559"/>
      <c r="X863" s="559"/>
      <c r="Y863" s="559"/>
      <c r="Z863" s="559"/>
      <c r="AA863" s="559"/>
      <c r="AB863" s="559"/>
      <c r="AC863" s="559"/>
      <c r="AD863" s="559"/>
      <c r="AE863" s="559"/>
      <c r="AF863" s="559"/>
      <c r="AG863" s="559"/>
    </row>
    <row r="864" spans="1:33" ht="18" x14ac:dyDescent="0.35">
      <c r="A864" s="559"/>
      <c r="B864" s="559"/>
      <c r="C864" s="559"/>
      <c r="D864" s="559"/>
      <c r="E864" s="559"/>
      <c r="F864" s="559"/>
      <c r="G864" s="559"/>
      <c r="H864" s="559"/>
      <c r="I864" s="559"/>
      <c r="J864" s="559"/>
      <c r="K864" s="559"/>
      <c r="L864" s="559"/>
      <c r="M864" s="559"/>
      <c r="N864" s="559"/>
      <c r="O864" s="559"/>
      <c r="P864" s="559"/>
      <c r="Q864" s="559"/>
      <c r="R864" s="559"/>
      <c r="S864" s="559"/>
      <c r="T864" s="559"/>
      <c r="U864" s="559"/>
      <c r="V864" s="559"/>
      <c r="W864" s="559"/>
      <c r="X864" s="559"/>
      <c r="Y864" s="559"/>
      <c r="Z864" s="559"/>
      <c r="AA864" s="559"/>
      <c r="AB864" s="559"/>
      <c r="AC864" s="559"/>
      <c r="AD864" s="559"/>
      <c r="AE864" s="559"/>
      <c r="AF864" s="559"/>
      <c r="AG864" s="559"/>
    </row>
    <row r="865" spans="1:33" ht="18" x14ac:dyDescent="0.35">
      <c r="A865" s="559"/>
      <c r="B865" s="559"/>
      <c r="C865" s="559"/>
      <c r="D865" s="559"/>
      <c r="E865" s="559"/>
      <c r="F865" s="559"/>
      <c r="G865" s="559"/>
      <c r="H865" s="559"/>
      <c r="I865" s="559"/>
      <c r="J865" s="559"/>
      <c r="K865" s="559"/>
      <c r="L865" s="559"/>
      <c r="M865" s="559"/>
      <c r="N865" s="559"/>
      <c r="O865" s="559"/>
      <c r="P865" s="559"/>
      <c r="Q865" s="559"/>
      <c r="R865" s="559"/>
      <c r="S865" s="559"/>
      <c r="T865" s="559"/>
      <c r="U865" s="559"/>
      <c r="V865" s="559"/>
      <c r="W865" s="559"/>
      <c r="X865" s="559"/>
      <c r="Y865" s="559"/>
      <c r="Z865" s="559"/>
      <c r="AA865" s="559"/>
      <c r="AB865" s="559"/>
      <c r="AC865" s="559"/>
      <c r="AD865" s="559"/>
      <c r="AE865" s="559"/>
      <c r="AF865" s="559"/>
      <c r="AG865" s="559"/>
    </row>
    <row r="866" spans="1:33" ht="18" x14ac:dyDescent="0.35">
      <c r="A866" s="559"/>
      <c r="B866" s="559"/>
      <c r="C866" s="559"/>
      <c r="D866" s="559"/>
      <c r="E866" s="559"/>
      <c r="F866" s="559"/>
      <c r="G866" s="559"/>
      <c r="H866" s="559"/>
      <c r="I866" s="559"/>
      <c r="J866" s="559"/>
      <c r="K866" s="559"/>
      <c r="L866" s="559"/>
      <c r="M866" s="559"/>
      <c r="N866" s="559"/>
      <c r="O866" s="559"/>
      <c r="P866" s="559"/>
      <c r="Q866" s="559"/>
      <c r="R866" s="559"/>
      <c r="S866" s="559"/>
      <c r="T866" s="559"/>
      <c r="U866" s="559"/>
      <c r="V866" s="559"/>
      <c r="W866" s="559"/>
      <c r="X866" s="559"/>
      <c r="Y866" s="559"/>
      <c r="Z866" s="559"/>
      <c r="AA866" s="559"/>
      <c r="AB866" s="559"/>
      <c r="AC866" s="559"/>
      <c r="AD866" s="559"/>
      <c r="AE866" s="559"/>
      <c r="AF866" s="559"/>
      <c r="AG866" s="559"/>
    </row>
    <row r="867" spans="1:33" ht="18" x14ac:dyDescent="0.35">
      <c r="A867" s="559"/>
      <c r="B867" s="559"/>
      <c r="C867" s="559"/>
      <c r="D867" s="559"/>
      <c r="E867" s="559"/>
      <c r="F867" s="559"/>
      <c r="G867" s="559"/>
      <c r="H867" s="559"/>
      <c r="I867" s="559"/>
      <c r="J867" s="559"/>
      <c r="K867" s="559"/>
      <c r="L867" s="559"/>
      <c r="M867" s="559"/>
      <c r="N867" s="559"/>
      <c r="O867" s="559"/>
      <c r="P867" s="559"/>
      <c r="Q867" s="559"/>
      <c r="R867" s="559"/>
      <c r="S867" s="559"/>
      <c r="T867" s="559"/>
      <c r="U867" s="559"/>
      <c r="V867" s="559"/>
      <c r="W867" s="559"/>
      <c r="X867" s="559"/>
      <c r="Y867" s="559"/>
      <c r="Z867" s="559"/>
      <c r="AA867" s="559"/>
      <c r="AB867" s="559"/>
      <c r="AC867" s="559"/>
      <c r="AD867" s="559"/>
      <c r="AE867" s="559"/>
      <c r="AF867" s="559"/>
      <c r="AG867" s="559"/>
    </row>
    <row r="868" spans="1:33" ht="18" x14ac:dyDescent="0.35">
      <c r="A868" s="559"/>
      <c r="B868" s="559"/>
      <c r="C868" s="559"/>
      <c r="D868" s="559"/>
      <c r="E868" s="559"/>
      <c r="F868" s="559"/>
      <c r="G868" s="559"/>
      <c r="H868" s="559"/>
      <c r="I868" s="559"/>
      <c r="J868" s="559"/>
      <c r="K868" s="559"/>
      <c r="L868" s="559"/>
      <c r="M868" s="559"/>
      <c r="N868" s="559"/>
      <c r="O868" s="559"/>
      <c r="P868" s="559"/>
      <c r="Q868" s="559"/>
      <c r="R868" s="559"/>
      <c r="S868" s="559"/>
      <c r="T868" s="559"/>
      <c r="U868" s="559"/>
      <c r="V868" s="559"/>
      <c r="W868" s="559"/>
      <c r="X868" s="559"/>
      <c r="Y868" s="559"/>
      <c r="Z868" s="559"/>
      <c r="AA868" s="559"/>
      <c r="AB868" s="559"/>
      <c r="AC868" s="559"/>
      <c r="AD868" s="559"/>
      <c r="AE868" s="559"/>
      <c r="AF868" s="559"/>
      <c r="AG868" s="559"/>
    </row>
    <row r="869" spans="1:33" ht="18" x14ac:dyDescent="0.35">
      <c r="A869" s="559"/>
      <c r="B869" s="559"/>
      <c r="C869" s="559"/>
      <c r="D869" s="559"/>
      <c r="E869" s="559"/>
      <c r="F869" s="559"/>
      <c r="G869" s="559"/>
      <c r="H869" s="559"/>
      <c r="I869" s="559"/>
      <c r="J869" s="559"/>
      <c r="K869" s="559"/>
      <c r="L869" s="559"/>
      <c r="M869" s="559"/>
      <c r="N869" s="559"/>
      <c r="O869" s="559"/>
      <c r="P869" s="559"/>
      <c r="Q869" s="559"/>
      <c r="R869" s="559"/>
      <c r="S869" s="559"/>
      <c r="T869" s="559"/>
      <c r="U869" s="559"/>
      <c r="V869" s="559"/>
      <c r="W869" s="559"/>
      <c r="X869" s="559"/>
      <c r="Y869" s="559"/>
      <c r="Z869" s="559"/>
      <c r="AA869" s="559"/>
      <c r="AB869" s="559"/>
      <c r="AC869" s="559"/>
      <c r="AD869" s="559"/>
      <c r="AE869" s="559"/>
      <c r="AF869" s="559"/>
      <c r="AG869" s="559"/>
    </row>
    <row r="870" spans="1:33" ht="18" x14ac:dyDescent="0.35">
      <c r="A870" s="559"/>
      <c r="B870" s="559"/>
      <c r="C870" s="559"/>
      <c r="D870" s="559"/>
      <c r="E870" s="559"/>
      <c r="F870" s="559"/>
      <c r="G870" s="559"/>
      <c r="H870" s="559"/>
      <c r="I870" s="559"/>
      <c r="J870" s="559"/>
      <c r="K870" s="559"/>
      <c r="L870" s="559"/>
      <c r="M870" s="559"/>
      <c r="N870" s="559"/>
      <c r="O870" s="559"/>
      <c r="P870" s="559"/>
      <c r="Q870" s="559"/>
      <c r="R870" s="559"/>
      <c r="S870" s="559"/>
      <c r="T870" s="559"/>
      <c r="U870" s="559"/>
      <c r="V870" s="559"/>
      <c r="W870" s="559"/>
      <c r="X870" s="559"/>
      <c r="Y870" s="559"/>
      <c r="Z870" s="559"/>
      <c r="AA870" s="559"/>
      <c r="AB870" s="559"/>
      <c r="AC870" s="559"/>
      <c r="AD870" s="559"/>
      <c r="AE870" s="559"/>
      <c r="AF870" s="559"/>
      <c r="AG870" s="559"/>
    </row>
    <row r="871" spans="1:33" ht="18" x14ac:dyDescent="0.35">
      <c r="A871" s="559"/>
      <c r="B871" s="559"/>
      <c r="C871" s="559"/>
      <c r="D871" s="559"/>
      <c r="E871" s="559"/>
      <c r="F871" s="559"/>
      <c r="G871" s="559"/>
      <c r="H871" s="559"/>
      <c r="I871" s="559"/>
      <c r="J871" s="559"/>
      <c r="K871" s="559"/>
      <c r="L871" s="559"/>
      <c r="M871" s="559"/>
      <c r="N871" s="559"/>
      <c r="O871" s="559"/>
      <c r="P871" s="559"/>
      <c r="Q871" s="559"/>
      <c r="R871" s="559"/>
      <c r="S871" s="559"/>
      <c r="T871" s="559"/>
      <c r="U871" s="559"/>
      <c r="V871" s="559"/>
      <c r="W871" s="559"/>
      <c r="X871" s="559"/>
      <c r="Y871" s="559"/>
      <c r="Z871" s="559"/>
      <c r="AA871" s="559"/>
      <c r="AB871" s="559"/>
      <c r="AC871" s="559"/>
      <c r="AD871" s="559"/>
      <c r="AE871" s="559"/>
      <c r="AF871" s="559"/>
      <c r="AG871" s="559"/>
    </row>
    <row r="872" spans="1:33" ht="18" x14ac:dyDescent="0.35">
      <c r="A872" s="559"/>
      <c r="B872" s="559"/>
      <c r="C872" s="559"/>
      <c r="D872" s="559"/>
      <c r="E872" s="559"/>
      <c r="F872" s="559"/>
      <c r="G872" s="559"/>
      <c r="H872" s="559"/>
      <c r="I872" s="559"/>
      <c r="J872" s="559"/>
      <c r="K872" s="559"/>
      <c r="L872" s="559"/>
      <c r="M872" s="559"/>
      <c r="N872" s="559"/>
      <c r="O872" s="559"/>
      <c r="P872" s="559"/>
      <c r="Q872" s="559"/>
      <c r="R872" s="559"/>
      <c r="S872" s="559"/>
      <c r="T872" s="559"/>
      <c r="U872" s="559"/>
      <c r="V872" s="559"/>
      <c r="W872" s="559"/>
      <c r="X872" s="559"/>
      <c r="Y872" s="559"/>
      <c r="Z872" s="559"/>
      <c r="AA872" s="559"/>
      <c r="AB872" s="559"/>
      <c r="AC872" s="559"/>
      <c r="AD872" s="559"/>
      <c r="AE872" s="559"/>
      <c r="AF872" s="559"/>
      <c r="AG872" s="559"/>
    </row>
    <row r="873" spans="1:33" ht="18" x14ac:dyDescent="0.35">
      <c r="A873" s="559"/>
      <c r="B873" s="559"/>
      <c r="C873" s="559"/>
      <c r="D873" s="559"/>
      <c r="E873" s="559"/>
      <c r="F873" s="559"/>
      <c r="G873" s="559"/>
      <c r="H873" s="559"/>
      <c r="I873" s="559"/>
      <c r="J873" s="559"/>
      <c r="K873" s="559"/>
      <c r="L873" s="559"/>
      <c r="M873" s="559"/>
      <c r="N873" s="559"/>
      <c r="O873" s="559"/>
      <c r="P873" s="559"/>
      <c r="Q873" s="559"/>
      <c r="R873" s="559"/>
      <c r="S873" s="559"/>
      <c r="T873" s="559"/>
      <c r="U873" s="559"/>
      <c r="V873" s="559"/>
      <c r="W873" s="559"/>
      <c r="X873" s="559"/>
      <c r="Y873" s="559"/>
      <c r="Z873" s="559"/>
      <c r="AA873" s="559"/>
      <c r="AB873" s="559"/>
      <c r="AC873" s="559"/>
      <c r="AD873" s="559"/>
      <c r="AE873" s="559"/>
      <c r="AF873" s="559"/>
      <c r="AG873" s="559"/>
    </row>
    <row r="874" spans="1:33" ht="18" x14ac:dyDescent="0.35">
      <c r="A874" s="559"/>
      <c r="B874" s="559"/>
      <c r="C874" s="559"/>
      <c r="D874" s="559"/>
      <c r="E874" s="559"/>
      <c r="F874" s="559"/>
      <c r="G874" s="559"/>
      <c r="H874" s="559"/>
      <c r="I874" s="559"/>
      <c r="J874" s="559"/>
      <c r="K874" s="559"/>
      <c r="L874" s="559"/>
      <c r="M874" s="559"/>
      <c r="N874" s="559"/>
      <c r="O874" s="559"/>
      <c r="P874" s="559"/>
      <c r="Q874" s="559"/>
      <c r="R874" s="559"/>
      <c r="S874" s="559"/>
      <c r="T874" s="559"/>
      <c r="U874" s="559"/>
      <c r="V874" s="559"/>
      <c r="W874" s="559"/>
      <c r="X874" s="559"/>
      <c r="Y874" s="559"/>
      <c r="Z874" s="559"/>
      <c r="AA874" s="559"/>
      <c r="AB874" s="559"/>
      <c r="AC874" s="559"/>
      <c r="AD874" s="559"/>
      <c r="AE874" s="559"/>
      <c r="AF874" s="559"/>
      <c r="AG874" s="559"/>
    </row>
    <row r="875" spans="1:33" ht="18" x14ac:dyDescent="0.35">
      <c r="A875" s="559"/>
      <c r="B875" s="559"/>
      <c r="C875" s="559"/>
      <c r="D875" s="559"/>
      <c r="E875" s="559"/>
      <c r="F875" s="559"/>
      <c r="G875" s="559"/>
      <c r="H875" s="559"/>
      <c r="I875" s="559"/>
      <c r="J875" s="559"/>
      <c r="K875" s="559"/>
      <c r="L875" s="559"/>
      <c r="M875" s="559"/>
      <c r="N875" s="559"/>
      <c r="O875" s="559"/>
      <c r="P875" s="559"/>
      <c r="Q875" s="559"/>
      <c r="R875" s="559"/>
      <c r="S875" s="559"/>
      <c r="T875" s="559"/>
      <c r="U875" s="559"/>
      <c r="V875" s="559"/>
      <c r="W875" s="559"/>
      <c r="X875" s="559"/>
      <c r="Y875" s="559"/>
      <c r="Z875" s="559"/>
      <c r="AA875" s="559"/>
      <c r="AB875" s="559"/>
      <c r="AC875" s="559"/>
      <c r="AD875" s="559"/>
      <c r="AE875" s="559"/>
      <c r="AF875" s="559"/>
      <c r="AG875" s="559"/>
    </row>
    <row r="876" spans="1:33" ht="18" x14ac:dyDescent="0.35">
      <c r="A876" s="559"/>
      <c r="B876" s="559"/>
      <c r="C876" s="559"/>
      <c r="D876" s="559"/>
      <c r="E876" s="559"/>
      <c r="F876" s="559"/>
      <c r="G876" s="559"/>
      <c r="H876" s="559"/>
      <c r="I876" s="559"/>
      <c r="J876" s="559"/>
      <c r="K876" s="559"/>
      <c r="L876" s="559"/>
      <c r="M876" s="559"/>
      <c r="N876" s="559"/>
      <c r="O876" s="559"/>
      <c r="P876" s="559"/>
      <c r="Q876" s="559"/>
      <c r="R876" s="559"/>
      <c r="S876" s="559"/>
      <c r="T876" s="559"/>
      <c r="U876" s="559"/>
      <c r="V876" s="559"/>
      <c r="W876" s="559"/>
      <c r="X876" s="559"/>
      <c r="Y876" s="559"/>
      <c r="Z876" s="559"/>
      <c r="AA876" s="559"/>
      <c r="AB876" s="559"/>
      <c r="AC876" s="559"/>
      <c r="AD876" s="559"/>
      <c r="AE876" s="559"/>
      <c r="AF876" s="559"/>
      <c r="AG876" s="559"/>
    </row>
    <row r="877" spans="1:33" ht="18" x14ac:dyDescent="0.35">
      <c r="A877" s="559"/>
      <c r="B877" s="559"/>
      <c r="C877" s="559"/>
      <c r="D877" s="559"/>
      <c r="E877" s="559"/>
      <c r="F877" s="559"/>
      <c r="G877" s="559"/>
      <c r="H877" s="559"/>
      <c r="I877" s="559"/>
      <c r="J877" s="559"/>
      <c r="K877" s="559"/>
      <c r="L877" s="559"/>
      <c r="M877" s="559"/>
      <c r="N877" s="559"/>
      <c r="O877" s="559"/>
      <c r="P877" s="559"/>
      <c r="Q877" s="559"/>
      <c r="R877" s="559"/>
      <c r="S877" s="559"/>
      <c r="T877" s="559"/>
      <c r="U877" s="559"/>
      <c r="V877" s="559"/>
      <c r="W877" s="559"/>
      <c r="X877" s="559"/>
      <c r="Y877" s="559"/>
      <c r="Z877" s="559"/>
      <c r="AA877" s="559"/>
      <c r="AB877" s="559"/>
      <c r="AC877" s="559"/>
      <c r="AD877" s="559"/>
      <c r="AE877" s="559"/>
      <c r="AF877" s="559"/>
      <c r="AG877" s="559"/>
    </row>
    <row r="878" spans="1:33" ht="18" x14ac:dyDescent="0.35">
      <c r="A878" s="559"/>
      <c r="B878" s="559"/>
      <c r="C878" s="559"/>
      <c r="D878" s="559"/>
      <c r="E878" s="559"/>
      <c r="F878" s="559"/>
      <c r="G878" s="559"/>
      <c r="H878" s="559"/>
      <c r="I878" s="559"/>
      <c r="J878" s="559"/>
      <c r="K878" s="559"/>
      <c r="L878" s="559"/>
      <c r="M878" s="559"/>
      <c r="N878" s="559"/>
      <c r="O878" s="559"/>
      <c r="P878" s="559"/>
      <c r="Q878" s="559"/>
      <c r="R878" s="559"/>
      <c r="S878" s="559"/>
      <c r="T878" s="559"/>
      <c r="U878" s="559"/>
      <c r="V878" s="559"/>
      <c r="W878" s="559"/>
      <c r="X878" s="559"/>
      <c r="Y878" s="559"/>
      <c r="Z878" s="559"/>
      <c r="AA878" s="559"/>
      <c r="AB878" s="559"/>
      <c r="AC878" s="559"/>
      <c r="AD878" s="559"/>
      <c r="AE878" s="559"/>
      <c r="AF878" s="559"/>
      <c r="AG878" s="559"/>
    </row>
    <row r="879" spans="1:33" ht="18" x14ac:dyDescent="0.35">
      <c r="A879" s="559"/>
      <c r="B879" s="559"/>
      <c r="C879" s="559"/>
      <c r="D879" s="559"/>
      <c r="E879" s="559"/>
      <c r="F879" s="559"/>
      <c r="G879" s="559"/>
      <c r="H879" s="559"/>
      <c r="I879" s="559"/>
      <c r="J879" s="559"/>
      <c r="K879" s="559"/>
      <c r="L879" s="559"/>
      <c r="M879" s="559"/>
      <c r="N879" s="559"/>
      <c r="O879" s="559"/>
      <c r="P879" s="559"/>
      <c r="Q879" s="559"/>
      <c r="R879" s="559"/>
      <c r="S879" s="559"/>
      <c r="T879" s="559"/>
      <c r="U879" s="559"/>
      <c r="V879" s="559"/>
      <c r="W879" s="559"/>
      <c r="X879" s="559"/>
      <c r="Y879" s="559"/>
      <c r="Z879" s="559"/>
      <c r="AA879" s="559"/>
      <c r="AB879" s="559"/>
      <c r="AC879" s="559"/>
      <c r="AD879" s="559"/>
      <c r="AE879" s="559"/>
      <c r="AF879" s="559"/>
      <c r="AG879" s="559"/>
    </row>
    <row r="880" spans="1:33" ht="18" x14ac:dyDescent="0.35">
      <c r="A880" s="559"/>
      <c r="B880" s="559"/>
      <c r="C880" s="559"/>
      <c r="D880" s="559"/>
      <c r="E880" s="559"/>
      <c r="F880" s="559"/>
      <c r="G880" s="559"/>
      <c r="H880" s="559"/>
      <c r="I880" s="559"/>
      <c r="J880" s="559"/>
      <c r="K880" s="559"/>
      <c r="L880" s="559"/>
      <c r="M880" s="559"/>
      <c r="N880" s="559"/>
      <c r="O880" s="559"/>
      <c r="P880" s="559"/>
      <c r="Q880" s="559"/>
      <c r="R880" s="559"/>
      <c r="S880" s="559"/>
      <c r="T880" s="559"/>
      <c r="U880" s="559"/>
      <c r="V880" s="559"/>
      <c r="W880" s="559"/>
      <c r="X880" s="559"/>
      <c r="Y880" s="559"/>
      <c r="Z880" s="559"/>
      <c r="AA880" s="559"/>
      <c r="AB880" s="559"/>
      <c r="AC880" s="559"/>
      <c r="AD880" s="559"/>
      <c r="AE880" s="559"/>
      <c r="AF880" s="559"/>
      <c r="AG880" s="559"/>
    </row>
    <row r="881" spans="1:33" ht="18" x14ac:dyDescent="0.35">
      <c r="A881" s="559"/>
      <c r="B881" s="559"/>
      <c r="C881" s="559"/>
      <c r="D881" s="559"/>
      <c r="E881" s="559"/>
      <c r="F881" s="559"/>
      <c r="G881" s="559"/>
      <c r="H881" s="559"/>
      <c r="I881" s="559"/>
      <c r="J881" s="559"/>
      <c r="K881" s="559"/>
      <c r="L881" s="559"/>
      <c r="M881" s="559"/>
      <c r="N881" s="559"/>
      <c r="O881" s="559"/>
      <c r="P881" s="559"/>
      <c r="Q881" s="559"/>
      <c r="R881" s="559"/>
      <c r="S881" s="559"/>
      <c r="T881" s="559"/>
      <c r="U881" s="559"/>
      <c r="V881" s="559"/>
      <c r="W881" s="559"/>
      <c r="X881" s="559"/>
      <c r="Y881" s="559"/>
      <c r="Z881" s="559"/>
      <c r="AA881" s="559"/>
      <c r="AB881" s="559"/>
      <c r="AC881" s="559"/>
      <c r="AD881" s="559"/>
      <c r="AE881" s="559"/>
      <c r="AF881" s="559"/>
      <c r="AG881" s="559"/>
    </row>
    <row r="882" spans="1:33" ht="18" x14ac:dyDescent="0.35">
      <c r="A882" s="559"/>
      <c r="B882" s="559"/>
      <c r="C882" s="559"/>
      <c r="D882" s="559"/>
      <c r="E882" s="559"/>
      <c r="F882" s="559"/>
      <c r="G882" s="559"/>
      <c r="H882" s="559"/>
      <c r="I882" s="559"/>
      <c r="J882" s="559"/>
      <c r="K882" s="559"/>
      <c r="L882" s="559"/>
      <c r="M882" s="559"/>
      <c r="N882" s="559"/>
      <c r="O882" s="559"/>
      <c r="P882" s="559"/>
      <c r="Q882" s="559"/>
      <c r="R882" s="559"/>
      <c r="S882" s="559"/>
      <c r="T882" s="559"/>
      <c r="U882" s="559"/>
      <c r="V882" s="559"/>
      <c r="W882" s="559"/>
      <c r="X882" s="559"/>
      <c r="Y882" s="559"/>
      <c r="Z882" s="559"/>
      <c r="AA882" s="559"/>
      <c r="AB882" s="559"/>
      <c r="AC882" s="559"/>
      <c r="AD882" s="559"/>
      <c r="AE882" s="559"/>
      <c r="AF882" s="559"/>
      <c r="AG882" s="559"/>
    </row>
    <row r="883" spans="1:33" ht="18" x14ac:dyDescent="0.35">
      <c r="A883" s="559"/>
      <c r="B883" s="559"/>
      <c r="C883" s="559"/>
      <c r="D883" s="559"/>
      <c r="E883" s="559"/>
      <c r="F883" s="559"/>
      <c r="G883" s="559"/>
      <c r="H883" s="559"/>
      <c r="I883" s="559"/>
      <c r="J883" s="559"/>
      <c r="K883" s="559"/>
      <c r="L883" s="559"/>
      <c r="M883" s="559"/>
      <c r="N883" s="559"/>
      <c r="O883" s="559"/>
      <c r="P883" s="559"/>
      <c r="Q883" s="559"/>
      <c r="R883" s="559"/>
      <c r="S883" s="559"/>
      <c r="T883" s="559"/>
      <c r="U883" s="559"/>
      <c r="V883" s="559"/>
      <c r="W883" s="559"/>
      <c r="X883" s="559"/>
      <c r="Y883" s="559"/>
      <c r="Z883" s="559"/>
      <c r="AA883" s="559"/>
      <c r="AB883" s="559"/>
      <c r="AC883" s="559"/>
      <c r="AD883" s="559"/>
      <c r="AE883" s="559"/>
      <c r="AF883" s="559"/>
      <c r="AG883" s="559"/>
    </row>
    <row r="884" spans="1:33" ht="18" x14ac:dyDescent="0.35">
      <c r="A884" s="559"/>
      <c r="B884" s="559"/>
      <c r="C884" s="559"/>
      <c r="D884" s="559"/>
      <c r="E884" s="559"/>
      <c r="F884" s="559"/>
      <c r="G884" s="559"/>
      <c r="H884" s="559"/>
      <c r="I884" s="559"/>
      <c r="J884" s="559"/>
      <c r="K884" s="559"/>
      <c r="L884" s="559"/>
      <c r="M884" s="559"/>
      <c r="N884" s="559"/>
      <c r="O884" s="559"/>
      <c r="P884" s="559"/>
      <c r="Q884" s="559"/>
      <c r="R884" s="559"/>
      <c r="S884" s="559"/>
      <c r="T884" s="559"/>
      <c r="U884" s="559"/>
      <c r="V884" s="559"/>
      <c r="W884" s="559"/>
      <c r="X884" s="559"/>
      <c r="Y884" s="559"/>
      <c r="Z884" s="559"/>
      <c r="AA884" s="559"/>
      <c r="AB884" s="559"/>
      <c r="AC884" s="559"/>
      <c r="AD884" s="559"/>
      <c r="AE884" s="559"/>
      <c r="AF884" s="559"/>
      <c r="AG884" s="559"/>
    </row>
    <row r="885" spans="1:33" ht="18" x14ac:dyDescent="0.35">
      <c r="A885" s="559"/>
      <c r="B885" s="559"/>
      <c r="C885" s="559"/>
      <c r="D885" s="559"/>
      <c r="E885" s="559"/>
      <c r="F885" s="559"/>
      <c r="G885" s="559"/>
      <c r="H885" s="559"/>
      <c r="I885" s="559"/>
      <c r="J885" s="559"/>
      <c r="K885" s="559"/>
      <c r="L885" s="559"/>
      <c r="M885" s="559"/>
      <c r="N885" s="559"/>
      <c r="O885" s="559"/>
      <c r="P885" s="559"/>
      <c r="Q885" s="559"/>
      <c r="R885" s="559"/>
      <c r="S885" s="559"/>
      <c r="T885" s="559"/>
      <c r="U885" s="559"/>
      <c r="V885" s="559"/>
      <c r="W885" s="559"/>
      <c r="X885" s="559"/>
      <c r="Y885" s="559"/>
      <c r="Z885" s="559"/>
      <c r="AA885" s="559"/>
      <c r="AB885" s="559"/>
      <c r="AC885" s="559"/>
      <c r="AD885" s="559"/>
      <c r="AE885" s="559"/>
      <c r="AF885" s="559"/>
      <c r="AG885" s="559"/>
    </row>
    <row r="886" spans="1:33" ht="18" x14ac:dyDescent="0.35">
      <c r="A886" s="559"/>
      <c r="B886" s="559"/>
      <c r="C886" s="559"/>
      <c r="D886" s="559"/>
      <c r="E886" s="559"/>
      <c r="F886" s="559"/>
      <c r="G886" s="559"/>
      <c r="H886" s="559"/>
      <c r="I886" s="559"/>
      <c r="J886" s="559"/>
      <c r="K886" s="559"/>
      <c r="L886" s="559"/>
      <c r="M886" s="559"/>
      <c r="N886" s="559"/>
      <c r="O886" s="559"/>
      <c r="P886" s="559"/>
      <c r="Q886" s="559"/>
      <c r="R886" s="559"/>
      <c r="S886" s="559"/>
      <c r="T886" s="559"/>
      <c r="U886" s="559"/>
      <c r="V886" s="559"/>
      <c r="W886" s="559"/>
      <c r="X886" s="559"/>
      <c r="Y886" s="559"/>
      <c r="Z886" s="559"/>
      <c r="AA886" s="559"/>
      <c r="AB886" s="559"/>
      <c r="AC886" s="559"/>
      <c r="AD886" s="559"/>
      <c r="AE886" s="559"/>
      <c r="AF886" s="559"/>
      <c r="AG886" s="559"/>
    </row>
    <row r="887" spans="1:33" ht="18" x14ac:dyDescent="0.35">
      <c r="A887" s="559"/>
      <c r="B887" s="559"/>
      <c r="C887" s="559"/>
      <c r="D887" s="559"/>
      <c r="E887" s="559"/>
      <c r="F887" s="559"/>
      <c r="G887" s="559"/>
      <c r="H887" s="559"/>
      <c r="I887" s="559"/>
      <c r="J887" s="559"/>
      <c r="K887" s="559"/>
      <c r="L887" s="559"/>
      <c r="M887" s="559"/>
      <c r="N887" s="559"/>
      <c r="O887" s="559"/>
      <c r="P887" s="559"/>
      <c r="Q887" s="559"/>
      <c r="R887" s="559"/>
      <c r="S887" s="559"/>
      <c r="T887" s="559"/>
      <c r="U887" s="559"/>
      <c r="V887" s="559"/>
      <c r="W887" s="559"/>
      <c r="X887" s="559"/>
      <c r="Y887" s="559"/>
      <c r="Z887" s="559"/>
      <c r="AA887" s="559"/>
      <c r="AB887" s="559"/>
      <c r="AC887" s="559"/>
      <c r="AD887" s="559"/>
      <c r="AE887" s="559"/>
      <c r="AF887" s="559"/>
      <c r="AG887" s="559"/>
    </row>
    <row r="888" spans="1:33" ht="18" x14ac:dyDescent="0.35">
      <c r="A888" s="559"/>
      <c r="B888" s="559"/>
      <c r="C888" s="559"/>
      <c r="D888" s="559"/>
      <c r="E888" s="559"/>
      <c r="F888" s="559"/>
      <c r="G888" s="559"/>
      <c r="H888" s="559"/>
      <c r="I888" s="559"/>
      <c r="J888" s="559"/>
      <c r="K888" s="559"/>
      <c r="L888" s="559"/>
      <c r="M888" s="559"/>
      <c r="N888" s="559"/>
      <c r="O888" s="559"/>
      <c r="P888" s="559"/>
      <c r="Q888" s="559"/>
      <c r="R888" s="559"/>
      <c r="S888" s="559"/>
      <c r="T888" s="559"/>
      <c r="U888" s="559"/>
      <c r="V888" s="559"/>
      <c r="W888" s="559"/>
      <c r="X888" s="559"/>
      <c r="Y888" s="559"/>
      <c r="Z888" s="559"/>
      <c r="AA888" s="559"/>
      <c r="AB888" s="559"/>
      <c r="AC888" s="559"/>
      <c r="AD888" s="559"/>
      <c r="AE888" s="559"/>
      <c r="AF888" s="559"/>
      <c r="AG888" s="559"/>
    </row>
    <row r="889" spans="1:33" ht="18" x14ac:dyDescent="0.35">
      <c r="A889" s="559"/>
      <c r="B889" s="559"/>
      <c r="C889" s="559"/>
      <c r="D889" s="559"/>
      <c r="E889" s="559"/>
      <c r="F889" s="559"/>
      <c r="G889" s="559"/>
      <c r="H889" s="559"/>
      <c r="I889" s="559"/>
      <c r="J889" s="559"/>
      <c r="K889" s="559"/>
      <c r="L889" s="559"/>
      <c r="M889" s="559"/>
      <c r="N889" s="559"/>
      <c r="O889" s="559"/>
      <c r="P889" s="559"/>
      <c r="Q889" s="559"/>
      <c r="R889" s="559"/>
      <c r="S889" s="559"/>
      <c r="T889" s="559"/>
      <c r="U889" s="559"/>
      <c r="V889" s="559"/>
      <c r="W889" s="559"/>
      <c r="X889" s="559"/>
      <c r="Y889" s="559"/>
      <c r="Z889" s="559"/>
      <c r="AA889" s="559"/>
      <c r="AB889" s="559"/>
      <c r="AC889" s="559"/>
      <c r="AD889" s="559"/>
      <c r="AE889" s="559"/>
      <c r="AF889" s="559"/>
      <c r="AG889" s="559"/>
    </row>
    <row r="890" spans="1:33" ht="18" x14ac:dyDescent="0.35">
      <c r="A890" s="559"/>
      <c r="B890" s="559"/>
      <c r="C890" s="559"/>
      <c r="D890" s="559"/>
      <c r="E890" s="559"/>
      <c r="F890" s="559"/>
      <c r="G890" s="559"/>
      <c r="H890" s="559"/>
      <c r="I890" s="559"/>
      <c r="J890" s="559"/>
      <c r="K890" s="559"/>
      <c r="L890" s="559"/>
      <c r="M890" s="559"/>
      <c r="N890" s="559"/>
      <c r="O890" s="559"/>
      <c r="P890" s="559"/>
      <c r="Q890" s="559"/>
      <c r="R890" s="559"/>
      <c r="S890" s="559"/>
      <c r="T890" s="559"/>
      <c r="U890" s="559"/>
      <c r="V890" s="559"/>
      <c r="W890" s="559"/>
      <c r="X890" s="559"/>
      <c r="Y890" s="559"/>
      <c r="Z890" s="559"/>
      <c r="AA890" s="559"/>
      <c r="AB890" s="559"/>
      <c r="AC890" s="559"/>
      <c r="AD890" s="559"/>
      <c r="AE890" s="559"/>
      <c r="AF890" s="559"/>
      <c r="AG890" s="559"/>
    </row>
    <row r="891" spans="1:33" ht="18" x14ac:dyDescent="0.35">
      <c r="A891" s="559"/>
      <c r="B891" s="559"/>
      <c r="C891" s="559"/>
      <c r="D891" s="559"/>
      <c r="E891" s="559"/>
      <c r="F891" s="559"/>
      <c r="G891" s="559"/>
      <c r="H891" s="559"/>
      <c r="I891" s="559"/>
      <c r="J891" s="559"/>
      <c r="K891" s="559"/>
      <c r="L891" s="559"/>
      <c r="M891" s="559"/>
      <c r="N891" s="559"/>
      <c r="O891" s="559"/>
      <c r="P891" s="559"/>
      <c r="Q891" s="559"/>
      <c r="R891" s="559"/>
      <c r="S891" s="559"/>
      <c r="T891" s="559"/>
      <c r="U891" s="559"/>
      <c r="V891" s="559"/>
      <c r="W891" s="559"/>
      <c r="X891" s="559"/>
      <c r="Y891" s="559"/>
      <c r="Z891" s="559"/>
      <c r="AA891" s="559"/>
      <c r="AB891" s="559"/>
      <c r="AC891" s="559"/>
      <c r="AD891" s="559"/>
      <c r="AE891" s="559"/>
      <c r="AF891" s="559"/>
      <c r="AG891" s="559"/>
    </row>
    <row r="892" spans="1:33" ht="18" x14ac:dyDescent="0.35">
      <c r="A892" s="559"/>
      <c r="B892" s="559"/>
      <c r="C892" s="559"/>
      <c r="D892" s="559"/>
      <c r="E892" s="559"/>
      <c r="F892" s="559"/>
      <c r="G892" s="559"/>
      <c r="H892" s="559"/>
      <c r="I892" s="559"/>
      <c r="J892" s="559"/>
      <c r="K892" s="559"/>
      <c r="L892" s="559"/>
      <c r="M892" s="559"/>
      <c r="N892" s="559"/>
      <c r="O892" s="559"/>
      <c r="P892" s="559"/>
      <c r="Q892" s="559"/>
      <c r="R892" s="559"/>
      <c r="S892" s="559"/>
      <c r="T892" s="559"/>
      <c r="U892" s="559"/>
      <c r="V892" s="559"/>
      <c r="W892" s="559"/>
      <c r="X892" s="559"/>
      <c r="Y892" s="559"/>
      <c r="Z892" s="559"/>
      <c r="AA892" s="559"/>
      <c r="AB892" s="559"/>
      <c r="AC892" s="559"/>
      <c r="AD892" s="559"/>
      <c r="AE892" s="559"/>
      <c r="AF892" s="559"/>
      <c r="AG892" s="559"/>
    </row>
    <row r="893" spans="1:33" ht="18" x14ac:dyDescent="0.35">
      <c r="A893" s="559"/>
      <c r="B893" s="559"/>
      <c r="C893" s="559"/>
      <c r="D893" s="559"/>
      <c r="E893" s="559"/>
      <c r="F893" s="559"/>
      <c r="G893" s="559"/>
      <c r="H893" s="559"/>
      <c r="I893" s="559"/>
      <c r="J893" s="559"/>
      <c r="K893" s="559"/>
      <c r="L893" s="559"/>
      <c r="M893" s="559"/>
      <c r="N893" s="559"/>
      <c r="O893" s="559"/>
      <c r="P893" s="559"/>
      <c r="Q893" s="559"/>
      <c r="R893" s="559"/>
      <c r="S893" s="559"/>
      <c r="T893" s="559"/>
      <c r="U893" s="559"/>
      <c r="V893" s="559"/>
      <c r="W893" s="559"/>
      <c r="X893" s="559"/>
      <c r="Y893" s="559"/>
      <c r="Z893" s="559"/>
      <c r="AA893" s="559"/>
      <c r="AB893" s="559"/>
      <c r="AC893" s="559"/>
      <c r="AD893" s="559"/>
      <c r="AE893" s="559"/>
      <c r="AF893" s="559"/>
      <c r="AG893" s="559"/>
    </row>
    <row r="894" spans="1:33" ht="18" x14ac:dyDescent="0.35">
      <c r="A894" s="559"/>
      <c r="B894" s="559"/>
      <c r="C894" s="559"/>
      <c r="D894" s="559"/>
      <c r="E894" s="559"/>
      <c r="F894" s="559"/>
      <c r="G894" s="559"/>
      <c r="H894" s="559"/>
      <c r="I894" s="559"/>
      <c r="J894" s="559"/>
      <c r="K894" s="559"/>
      <c r="L894" s="559"/>
      <c r="M894" s="559"/>
      <c r="N894" s="559"/>
      <c r="O894" s="559"/>
      <c r="P894" s="559"/>
      <c r="Q894" s="559"/>
      <c r="R894" s="559"/>
      <c r="S894" s="559"/>
      <c r="T894" s="559"/>
      <c r="U894" s="559"/>
      <c r="V894" s="559"/>
      <c r="W894" s="559"/>
      <c r="X894" s="559"/>
      <c r="Y894" s="559"/>
      <c r="Z894" s="559"/>
      <c r="AA894" s="559"/>
      <c r="AB894" s="559"/>
      <c r="AC894" s="559"/>
      <c r="AD894" s="559"/>
      <c r="AE894" s="559"/>
      <c r="AF894" s="559"/>
      <c r="AG894" s="559"/>
    </row>
    <row r="895" spans="1:33" ht="18" x14ac:dyDescent="0.35">
      <c r="A895" s="559"/>
      <c r="B895" s="559"/>
      <c r="C895" s="559"/>
      <c r="D895" s="559"/>
      <c r="E895" s="559"/>
      <c r="F895" s="559"/>
      <c r="G895" s="559"/>
      <c r="H895" s="559"/>
      <c r="I895" s="559"/>
      <c r="J895" s="559"/>
      <c r="K895" s="559"/>
      <c r="L895" s="559"/>
      <c r="M895" s="559"/>
      <c r="N895" s="559"/>
      <c r="O895" s="559"/>
      <c r="P895" s="559"/>
      <c r="Q895" s="559"/>
      <c r="R895" s="559"/>
      <c r="S895" s="559"/>
      <c r="T895" s="559"/>
      <c r="U895" s="559"/>
      <c r="V895" s="559"/>
      <c r="W895" s="559"/>
      <c r="X895" s="559"/>
      <c r="Y895" s="559"/>
      <c r="Z895" s="559"/>
      <c r="AA895" s="559"/>
      <c r="AB895" s="559"/>
      <c r="AC895" s="559"/>
      <c r="AD895" s="559"/>
      <c r="AE895" s="559"/>
      <c r="AF895" s="559"/>
      <c r="AG895" s="559"/>
    </row>
    <row r="896" spans="1:33" ht="18" x14ac:dyDescent="0.35">
      <c r="A896" s="559"/>
      <c r="B896" s="559"/>
      <c r="C896" s="559"/>
      <c r="D896" s="559"/>
      <c r="E896" s="559"/>
      <c r="F896" s="559"/>
      <c r="G896" s="559"/>
      <c r="H896" s="559"/>
      <c r="I896" s="559"/>
      <c r="J896" s="559"/>
      <c r="K896" s="559"/>
      <c r="L896" s="559"/>
      <c r="M896" s="559"/>
      <c r="N896" s="559"/>
      <c r="O896" s="559"/>
      <c r="P896" s="559"/>
      <c r="Q896" s="559"/>
      <c r="R896" s="559"/>
      <c r="S896" s="559"/>
      <c r="T896" s="559"/>
      <c r="U896" s="559"/>
      <c r="V896" s="559"/>
      <c r="W896" s="559"/>
      <c r="X896" s="559"/>
      <c r="Y896" s="559"/>
      <c r="Z896" s="559"/>
      <c r="AA896" s="559"/>
      <c r="AB896" s="559"/>
      <c r="AC896" s="559"/>
      <c r="AD896" s="559"/>
      <c r="AE896" s="559"/>
      <c r="AF896" s="559"/>
      <c r="AG896" s="559"/>
    </row>
    <row r="897" spans="1:33" ht="18" x14ac:dyDescent="0.35">
      <c r="A897" s="559"/>
      <c r="B897" s="559"/>
      <c r="C897" s="559"/>
      <c r="D897" s="559"/>
      <c r="E897" s="559"/>
      <c r="F897" s="559"/>
      <c r="G897" s="559"/>
      <c r="H897" s="559"/>
      <c r="I897" s="559"/>
      <c r="J897" s="559"/>
      <c r="K897" s="559"/>
      <c r="L897" s="559"/>
      <c r="M897" s="559"/>
      <c r="N897" s="559"/>
      <c r="O897" s="559"/>
      <c r="P897" s="559"/>
      <c r="Q897" s="559"/>
      <c r="R897" s="559"/>
      <c r="S897" s="559"/>
      <c r="T897" s="559"/>
      <c r="U897" s="559"/>
      <c r="V897" s="559"/>
      <c r="W897" s="559"/>
      <c r="X897" s="559"/>
      <c r="Y897" s="559"/>
      <c r="Z897" s="559"/>
      <c r="AA897" s="559"/>
      <c r="AB897" s="559"/>
      <c r="AC897" s="559"/>
      <c r="AD897" s="559"/>
      <c r="AE897" s="559"/>
      <c r="AF897" s="559"/>
      <c r="AG897" s="559"/>
    </row>
    <row r="898" spans="1:33" ht="18" x14ac:dyDescent="0.35">
      <c r="A898" s="559"/>
      <c r="B898" s="559"/>
      <c r="C898" s="559"/>
      <c r="D898" s="559"/>
      <c r="E898" s="559"/>
      <c r="F898" s="559"/>
      <c r="G898" s="559"/>
      <c r="H898" s="559"/>
      <c r="I898" s="559"/>
      <c r="J898" s="559"/>
      <c r="K898" s="559"/>
      <c r="L898" s="559"/>
      <c r="M898" s="559"/>
      <c r="N898" s="559"/>
      <c r="O898" s="559"/>
      <c r="P898" s="559"/>
      <c r="Q898" s="559"/>
      <c r="R898" s="559"/>
      <c r="S898" s="559"/>
      <c r="T898" s="559"/>
      <c r="U898" s="559"/>
      <c r="V898" s="559"/>
      <c r="W898" s="559"/>
      <c r="X898" s="559"/>
      <c r="Y898" s="559"/>
      <c r="Z898" s="559"/>
      <c r="AA898" s="559"/>
      <c r="AB898" s="559"/>
      <c r="AC898" s="559"/>
      <c r="AD898" s="559"/>
      <c r="AE898" s="559"/>
      <c r="AF898" s="559"/>
      <c r="AG898" s="559"/>
    </row>
    <row r="899" spans="1:33" ht="18" x14ac:dyDescent="0.35">
      <c r="A899" s="559"/>
      <c r="B899" s="559"/>
      <c r="C899" s="559"/>
      <c r="D899" s="559"/>
      <c r="E899" s="559"/>
      <c r="F899" s="559"/>
      <c r="G899" s="559"/>
      <c r="H899" s="559"/>
      <c r="I899" s="559"/>
      <c r="J899" s="559"/>
      <c r="K899" s="559"/>
      <c r="L899" s="559"/>
      <c r="M899" s="559"/>
      <c r="N899" s="559"/>
      <c r="O899" s="559"/>
      <c r="P899" s="559"/>
      <c r="Q899" s="559"/>
      <c r="R899" s="559"/>
      <c r="S899" s="559"/>
      <c r="T899" s="559"/>
      <c r="U899" s="559"/>
      <c r="V899" s="559"/>
      <c r="W899" s="559"/>
      <c r="X899" s="559"/>
      <c r="Y899" s="559"/>
      <c r="Z899" s="559"/>
      <c r="AA899" s="559"/>
      <c r="AB899" s="559"/>
      <c r="AC899" s="559"/>
      <c r="AD899" s="559"/>
      <c r="AE899" s="559"/>
      <c r="AF899" s="559"/>
      <c r="AG899" s="559"/>
    </row>
    <row r="900" spans="1:33" ht="18" x14ac:dyDescent="0.35">
      <c r="A900" s="559"/>
      <c r="B900" s="559"/>
      <c r="C900" s="559"/>
      <c r="D900" s="559"/>
      <c r="E900" s="559"/>
      <c r="F900" s="559"/>
      <c r="G900" s="559"/>
      <c r="H900" s="559"/>
      <c r="I900" s="559"/>
      <c r="J900" s="559"/>
      <c r="K900" s="559"/>
      <c r="L900" s="559"/>
      <c r="M900" s="559"/>
      <c r="N900" s="559"/>
      <c r="O900" s="559"/>
      <c r="P900" s="559"/>
      <c r="Q900" s="559"/>
      <c r="R900" s="559"/>
      <c r="S900" s="559"/>
      <c r="T900" s="559"/>
      <c r="U900" s="559"/>
      <c r="V900" s="559"/>
      <c r="W900" s="559"/>
      <c r="X900" s="559"/>
      <c r="Y900" s="559"/>
      <c r="Z900" s="559"/>
      <c r="AA900" s="559"/>
      <c r="AB900" s="559"/>
      <c r="AC900" s="559"/>
      <c r="AD900" s="559"/>
      <c r="AE900" s="559"/>
      <c r="AF900" s="559"/>
      <c r="AG900" s="559"/>
    </row>
    <row r="901" spans="1:33" ht="18" x14ac:dyDescent="0.35">
      <c r="A901" s="559"/>
      <c r="B901" s="559"/>
      <c r="C901" s="559"/>
      <c r="D901" s="559"/>
      <c r="E901" s="559"/>
      <c r="F901" s="559"/>
      <c r="G901" s="559"/>
      <c r="H901" s="559"/>
      <c r="I901" s="559"/>
      <c r="J901" s="559"/>
      <c r="K901" s="559"/>
      <c r="L901" s="559"/>
      <c r="M901" s="559"/>
      <c r="N901" s="559"/>
      <c r="O901" s="559"/>
      <c r="P901" s="559"/>
      <c r="Q901" s="559"/>
      <c r="R901" s="559"/>
      <c r="S901" s="559"/>
      <c r="T901" s="559"/>
      <c r="U901" s="559"/>
      <c r="V901" s="559"/>
      <c r="W901" s="559"/>
      <c r="X901" s="559"/>
      <c r="Y901" s="559"/>
      <c r="Z901" s="559"/>
      <c r="AA901" s="559"/>
      <c r="AB901" s="559"/>
      <c r="AC901" s="559"/>
      <c r="AD901" s="559"/>
      <c r="AE901" s="559"/>
      <c r="AF901" s="559"/>
      <c r="AG901" s="559"/>
    </row>
    <row r="902" spans="1:33" ht="18" x14ac:dyDescent="0.35">
      <c r="A902" s="559"/>
      <c r="B902" s="559"/>
      <c r="C902" s="559"/>
      <c r="D902" s="559"/>
      <c r="E902" s="559"/>
      <c r="F902" s="559"/>
      <c r="G902" s="559"/>
      <c r="H902" s="559"/>
      <c r="I902" s="559"/>
      <c r="J902" s="559"/>
      <c r="K902" s="559"/>
      <c r="L902" s="559"/>
      <c r="M902" s="559"/>
      <c r="N902" s="559"/>
      <c r="O902" s="559"/>
      <c r="P902" s="559"/>
      <c r="Q902" s="559"/>
      <c r="R902" s="559"/>
      <c r="S902" s="559"/>
      <c r="T902" s="559"/>
      <c r="U902" s="559"/>
      <c r="V902" s="559"/>
      <c r="W902" s="559"/>
      <c r="X902" s="559"/>
      <c r="Y902" s="559"/>
      <c r="Z902" s="559"/>
      <c r="AA902" s="559"/>
      <c r="AB902" s="559"/>
      <c r="AC902" s="559"/>
      <c r="AD902" s="559"/>
      <c r="AE902" s="559"/>
      <c r="AF902" s="559"/>
      <c r="AG902" s="559"/>
    </row>
    <row r="903" spans="1:33" ht="18" x14ac:dyDescent="0.35">
      <c r="A903" s="559"/>
      <c r="B903" s="559"/>
      <c r="C903" s="559"/>
      <c r="D903" s="559"/>
      <c r="E903" s="559"/>
      <c r="F903" s="559"/>
      <c r="G903" s="559"/>
      <c r="H903" s="559"/>
      <c r="I903" s="559"/>
      <c r="J903" s="559"/>
      <c r="K903" s="559"/>
      <c r="L903" s="559"/>
      <c r="M903" s="559"/>
      <c r="N903" s="559"/>
      <c r="O903" s="559"/>
      <c r="P903" s="559"/>
      <c r="Q903" s="559"/>
      <c r="R903" s="559"/>
      <c r="S903" s="559"/>
      <c r="T903" s="559"/>
      <c r="U903" s="559"/>
      <c r="V903" s="559"/>
      <c r="W903" s="559"/>
      <c r="X903" s="559"/>
      <c r="Y903" s="559"/>
      <c r="Z903" s="559"/>
      <c r="AA903" s="559"/>
      <c r="AB903" s="559"/>
      <c r="AC903" s="559"/>
      <c r="AD903" s="559"/>
      <c r="AE903" s="559"/>
      <c r="AF903" s="559"/>
      <c r="AG903" s="559"/>
    </row>
    <row r="904" spans="1:33" ht="18" x14ac:dyDescent="0.35">
      <c r="A904" s="559"/>
      <c r="B904" s="559"/>
      <c r="C904" s="559"/>
      <c r="D904" s="559"/>
      <c r="E904" s="559"/>
      <c r="F904" s="559"/>
      <c r="G904" s="559"/>
      <c r="H904" s="559"/>
      <c r="I904" s="559"/>
      <c r="J904" s="559"/>
      <c r="K904" s="559"/>
      <c r="L904" s="559"/>
      <c r="M904" s="559"/>
      <c r="N904" s="559"/>
      <c r="O904" s="559"/>
      <c r="P904" s="559"/>
      <c r="Q904" s="559"/>
      <c r="R904" s="559"/>
      <c r="S904" s="559"/>
      <c r="T904" s="559"/>
      <c r="U904" s="559"/>
      <c r="V904" s="559"/>
      <c r="W904" s="559"/>
      <c r="X904" s="559"/>
      <c r="Y904" s="559"/>
      <c r="Z904" s="559"/>
      <c r="AA904" s="559"/>
      <c r="AB904" s="559"/>
      <c r="AC904" s="559"/>
      <c r="AD904" s="559"/>
      <c r="AE904" s="559"/>
      <c r="AF904" s="559"/>
      <c r="AG904" s="559"/>
    </row>
    <row r="905" spans="1:33" ht="18" x14ac:dyDescent="0.35">
      <c r="A905" s="559"/>
      <c r="B905" s="559"/>
      <c r="C905" s="559"/>
      <c r="D905" s="559"/>
      <c r="E905" s="559"/>
      <c r="F905" s="559"/>
      <c r="G905" s="559"/>
      <c r="H905" s="559"/>
      <c r="I905" s="559"/>
      <c r="J905" s="559"/>
      <c r="K905" s="559"/>
      <c r="L905" s="559"/>
      <c r="M905" s="559"/>
      <c r="N905" s="559"/>
      <c r="O905" s="559"/>
      <c r="P905" s="559"/>
      <c r="Q905" s="559"/>
      <c r="R905" s="559"/>
      <c r="S905" s="559"/>
      <c r="T905" s="559"/>
      <c r="U905" s="559"/>
      <c r="V905" s="559"/>
      <c r="W905" s="559"/>
      <c r="X905" s="559"/>
      <c r="Y905" s="559"/>
      <c r="Z905" s="559"/>
      <c r="AA905" s="559"/>
      <c r="AB905" s="559"/>
      <c r="AC905" s="559"/>
      <c r="AD905" s="559"/>
      <c r="AE905" s="559"/>
      <c r="AF905" s="559"/>
      <c r="AG905" s="559"/>
    </row>
    <row r="906" spans="1:33" ht="18" x14ac:dyDescent="0.35">
      <c r="A906" s="559"/>
      <c r="B906" s="559"/>
      <c r="C906" s="559"/>
      <c r="D906" s="559"/>
      <c r="E906" s="559"/>
      <c r="F906" s="559"/>
      <c r="G906" s="559"/>
      <c r="H906" s="559"/>
      <c r="I906" s="559"/>
      <c r="J906" s="559"/>
      <c r="K906" s="559"/>
      <c r="L906" s="559"/>
      <c r="M906" s="559"/>
      <c r="N906" s="559"/>
      <c r="O906" s="559"/>
      <c r="P906" s="559"/>
      <c r="Q906" s="559"/>
      <c r="R906" s="559"/>
      <c r="S906" s="559"/>
      <c r="T906" s="559"/>
      <c r="U906" s="559"/>
      <c r="V906" s="559"/>
      <c r="W906" s="559"/>
      <c r="X906" s="559"/>
      <c r="Y906" s="559"/>
      <c r="Z906" s="559"/>
      <c r="AA906" s="559"/>
      <c r="AB906" s="559"/>
      <c r="AC906" s="559"/>
      <c r="AD906" s="559"/>
      <c r="AE906" s="559"/>
      <c r="AF906" s="559"/>
      <c r="AG906" s="559"/>
    </row>
    <row r="907" spans="1:33" ht="18" x14ac:dyDescent="0.35">
      <c r="A907" s="559"/>
      <c r="B907" s="559"/>
      <c r="C907" s="559"/>
      <c r="D907" s="559"/>
      <c r="E907" s="559"/>
      <c r="F907" s="559"/>
      <c r="G907" s="559"/>
      <c r="H907" s="559"/>
      <c r="I907" s="559"/>
      <c r="J907" s="559"/>
      <c r="K907" s="559"/>
      <c r="L907" s="559"/>
      <c r="M907" s="559"/>
      <c r="N907" s="559"/>
      <c r="O907" s="559"/>
      <c r="P907" s="559"/>
      <c r="Q907" s="559"/>
      <c r="R907" s="559"/>
      <c r="S907" s="559"/>
      <c r="T907" s="559"/>
      <c r="U907" s="559"/>
      <c r="V907" s="559"/>
      <c r="W907" s="559"/>
      <c r="X907" s="559"/>
      <c r="Y907" s="559"/>
      <c r="Z907" s="559"/>
      <c r="AA907" s="559"/>
      <c r="AB907" s="559"/>
      <c r="AC907" s="559"/>
      <c r="AD907" s="559"/>
      <c r="AE907" s="559"/>
      <c r="AF907" s="559"/>
      <c r="AG907" s="559"/>
    </row>
    <row r="908" spans="1:33" ht="18" x14ac:dyDescent="0.35">
      <c r="A908" s="559"/>
      <c r="B908" s="559"/>
      <c r="C908" s="559"/>
      <c r="D908" s="559"/>
      <c r="E908" s="559"/>
      <c r="F908" s="559"/>
      <c r="G908" s="559"/>
      <c r="H908" s="559"/>
      <c r="I908" s="559"/>
      <c r="J908" s="559"/>
      <c r="K908" s="559"/>
      <c r="L908" s="559"/>
      <c r="M908" s="559"/>
      <c r="N908" s="559"/>
      <c r="O908" s="559"/>
      <c r="P908" s="559"/>
      <c r="Q908" s="559"/>
      <c r="R908" s="559"/>
      <c r="S908" s="559"/>
      <c r="T908" s="559"/>
      <c r="U908" s="559"/>
      <c r="V908" s="559"/>
      <c r="W908" s="559"/>
      <c r="X908" s="559"/>
      <c r="Y908" s="559"/>
      <c r="Z908" s="559"/>
      <c r="AA908" s="559"/>
      <c r="AB908" s="559"/>
      <c r="AC908" s="559"/>
      <c r="AD908" s="559"/>
      <c r="AE908" s="559"/>
      <c r="AF908" s="559"/>
      <c r="AG908" s="559"/>
    </row>
    <row r="909" spans="1:33" ht="18" x14ac:dyDescent="0.35">
      <c r="A909" s="559"/>
      <c r="B909" s="559"/>
      <c r="C909" s="559"/>
      <c r="D909" s="559"/>
      <c r="E909" s="559"/>
      <c r="F909" s="559"/>
      <c r="G909" s="559"/>
      <c r="H909" s="559"/>
      <c r="I909" s="559"/>
      <c r="J909" s="559"/>
      <c r="K909" s="559"/>
      <c r="L909" s="559"/>
      <c r="M909" s="559"/>
      <c r="N909" s="559"/>
      <c r="O909" s="559"/>
      <c r="P909" s="559"/>
      <c r="Q909" s="559"/>
      <c r="R909" s="559"/>
      <c r="S909" s="559"/>
      <c r="T909" s="559"/>
      <c r="U909" s="559"/>
      <c r="V909" s="559"/>
      <c r="W909" s="559"/>
      <c r="X909" s="559"/>
      <c r="Y909" s="559"/>
      <c r="Z909" s="559"/>
      <c r="AA909" s="559"/>
      <c r="AB909" s="559"/>
      <c r="AC909" s="559"/>
      <c r="AD909" s="559"/>
      <c r="AE909" s="559"/>
      <c r="AF909" s="559"/>
      <c r="AG909" s="559"/>
    </row>
    <row r="910" spans="1:33" ht="18" x14ac:dyDescent="0.35">
      <c r="A910" s="559"/>
      <c r="B910" s="559"/>
      <c r="C910" s="559"/>
      <c r="D910" s="559"/>
      <c r="E910" s="559"/>
      <c r="F910" s="559"/>
      <c r="G910" s="559"/>
      <c r="H910" s="559"/>
      <c r="I910" s="559"/>
      <c r="J910" s="559"/>
      <c r="K910" s="559"/>
      <c r="L910" s="559"/>
      <c r="M910" s="559"/>
      <c r="N910" s="559"/>
      <c r="O910" s="559"/>
      <c r="P910" s="559"/>
      <c r="Q910" s="559"/>
      <c r="R910" s="559"/>
      <c r="S910" s="559"/>
      <c r="T910" s="559"/>
      <c r="U910" s="559"/>
      <c r="V910" s="559"/>
      <c r="W910" s="559"/>
      <c r="X910" s="559"/>
      <c r="Y910" s="559"/>
      <c r="Z910" s="559"/>
      <c r="AA910" s="559"/>
      <c r="AB910" s="559"/>
      <c r="AC910" s="559"/>
      <c r="AD910" s="559"/>
      <c r="AE910" s="559"/>
      <c r="AF910" s="559"/>
      <c r="AG910" s="559"/>
    </row>
    <row r="911" spans="1:33" ht="18" x14ac:dyDescent="0.35">
      <c r="A911" s="559"/>
      <c r="B911" s="559"/>
      <c r="C911" s="559"/>
      <c r="D911" s="559"/>
      <c r="E911" s="559"/>
      <c r="F911" s="559"/>
      <c r="G911" s="559"/>
      <c r="H911" s="559"/>
      <c r="I911" s="559"/>
      <c r="J911" s="559"/>
      <c r="K911" s="559"/>
      <c r="L911" s="559"/>
      <c r="M911" s="559"/>
      <c r="N911" s="559"/>
      <c r="O911" s="559"/>
      <c r="P911" s="559"/>
      <c r="Q911" s="559"/>
      <c r="R911" s="559"/>
      <c r="S911" s="559"/>
      <c r="T911" s="559"/>
      <c r="U911" s="559"/>
      <c r="V911" s="559"/>
      <c r="W911" s="559"/>
      <c r="X911" s="559"/>
      <c r="Y911" s="559"/>
      <c r="Z911" s="559"/>
      <c r="AA911" s="559"/>
      <c r="AB911" s="559"/>
      <c r="AC911" s="559"/>
      <c r="AD911" s="559"/>
      <c r="AE911" s="559"/>
      <c r="AF911" s="559"/>
      <c r="AG911" s="559"/>
    </row>
    <row r="912" spans="1:33" ht="18" x14ac:dyDescent="0.35">
      <c r="A912" s="559"/>
      <c r="B912" s="559"/>
      <c r="C912" s="559"/>
      <c r="D912" s="559"/>
      <c r="E912" s="559"/>
      <c r="F912" s="559"/>
      <c r="G912" s="559"/>
      <c r="H912" s="559"/>
      <c r="I912" s="559"/>
      <c r="J912" s="559"/>
      <c r="K912" s="559"/>
      <c r="L912" s="559"/>
      <c r="M912" s="559"/>
      <c r="N912" s="559"/>
      <c r="O912" s="559"/>
      <c r="P912" s="559"/>
      <c r="Q912" s="559"/>
      <c r="R912" s="559"/>
      <c r="S912" s="559"/>
      <c r="T912" s="559"/>
      <c r="U912" s="559"/>
      <c r="V912" s="559"/>
      <c r="W912" s="559"/>
      <c r="X912" s="559"/>
      <c r="Y912" s="559"/>
      <c r="Z912" s="559"/>
      <c r="AA912" s="559"/>
      <c r="AB912" s="559"/>
      <c r="AC912" s="559"/>
      <c r="AD912" s="559"/>
      <c r="AE912" s="559"/>
      <c r="AF912" s="559"/>
      <c r="AG912" s="559"/>
    </row>
    <row r="913" spans="1:33" ht="18" x14ac:dyDescent="0.35">
      <c r="A913" s="559"/>
      <c r="B913" s="559"/>
      <c r="C913" s="559"/>
      <c r="D913" s="559"/>
      <c r="E913" s="559"/>
      <c r="F913" s="559"/>
      <c r="G913" s="559"/>
      <c r="H913" s="559"/>
      <c r="I913" s="559"/>
      <c r="J913" s="559"/>
      <c r="K913" s="559"/>
      <c r="L913" s="559"/>
      <c r="M913" s="559"/>
      <c r="N913" s="559"/>
      <c r="O913" s="559"/>
      <c r="P913" s="559"/>
      <c r="Q913" s="559"/>
      <c r="R913" s="559"/>
      <c r="S913" s="559"/>
      <c r="T913" s="559"/>
      <c r="U913" s="559"/>
      <c r="V913" s="559"/>
      <c r="W913" s="559"/>
      <c r="X913" s="559"/>
      <c r="Y913" s="559"/>
      <c r="Z913" s="559"/>
      <c r="AA913" s="559"/>
      <c r="AB913" s="559"/>
      <c r="AC913" s="559"/>
      <c r="AD913" s="559"/>
      <c r="AE913" s="559"/>
      <c r="AF913" s="559"/>
      <c r="AG913" s="559"/>
    </row>
    <row r="914" spans="1:33" ht="18" x14ac:dyDescent="0.35">
      <c r="A914" s="559"/>
      <c r="B914" s="559"/>
      <c r="C914" s="559"/>
      <c r="D914" s="559"/>
      <c r="E914" s="559"/>
      <c r="F914" s="559"/>
      <c r="G914" s="559"/>
      <c r="H914" s="559"/>
      <c r="I914" s="559"/>
      <c r="J914" s="559"/>
      <c r="K914" s="559"/>
      <c r="L914" s="559"/>
      <c r="M914" s="559"/>
      <c r="N914" s="559"/>
      <c r="O914" s="559"/>
      <c r="P914" s="559"/>
      <c r="Q914" s="559"/>
      <c r="R914" s="559"/>
      <c r="S914" s="559"/>
      <c r="T914" s="559"/>
      <c r="U914" s="559"/>
      <c r="V914" s="559"/>
      <c r="W914" s="559"/>
      <c r="X914" s="559"/>
      <c r="Y914" s="559"/>
      <c r="Z914" s="559"/>
      <c r="AA914" s="559"/>
      <c r="AB914" s="559"/>
      <c r="AC914" s="559"/>
      <c r="AD914" s="559"/>
      <c r="AE914" s="559"/>
      <c r="AF914" s="559"/>
      <c r="AG914" s="559"/>
    </row>
    <row r="915" spans="1:33" ht="18" x14ac:dyDescent="0.35">
      <c r="A915" s="559"/>
      <c r="B915" s="559"/>
      <c r="C915" s="559"/>
      <c r="D915" s="559"/>
      <c r="E915" s="559"/>
      <c r="F915" s="559"/>
      <c r="G915" s="559"/>
      <c r="H915" s="559"/>
      <c r="I915" s="559"/>
      <c r="J915" s="559"/>
      <c r="K915" s="559"/>
      <c r="L915" s="559"/>
      <c r="M915" s="559"/>
      <c r="N915" s="559"/>
      <c r="O915" s="559"/>
      <c r="P915" s="559"/>
      <c r="Q915" s="559"/>
      <c r="R915" s="559"/>
      <c r="S915" s="559"/>
      <c r="T915" s="559"/>
      <c r="U915" s="559"/>
      <c r="V915" s="559"/>
      <c r="W915" s="559"/>
      <c r="X915" s="559"/>
      <c r="Y915" s="559"/>
      <c r="Z915" s="559"/>
      <c r="AA915" s="559"/>
      <c r="AB915" s="559"/>
      <c r="AC915" s="559"/>
      <c r="AD915" s="559"/>
      <c r="AE915" s="559"/>
      <c r="AF915" s="559"/>
      <c r="AG915" s="559"/>
    </row>
    <row r="916" spans="1:33" ht="18" x14ac:dyDescent="0.35">
      <c r="A916" s="559"/>
      <c r="B916" s="559"/>
      <c r="C916" s="559"/>
      <c r="D916" s="559"/>
      <c r="E916" s="559"/>
      <c r="F916" s="559"/>
      <c r="G916" s="559"/>
      <c r="H916" s="559"/>
      <c r="I916" s="559"/>
      <c r="J916" s="559"/>
      <c r="K916" s="559"/>
      <c r="L916" s="559"/>
      <c r="M916" s="559"/>
      <c r="N916" s="559"/>
      <c r="O916" s="559"/>
      <c r="P916" s="559"/>
      <c r="Q916" s="559"/>
      <c r="R916" s="559"/>
      <c r="S916" s="559"/>
      <c r="T916" s="559"/>
      <c r="U916" s="559"/>
      <c r="V916" s="559"/>
      <c r="W916" s="559"/>
      <c r="X916" s="559"/>
      <c r="Y916" s="559"/>
      <c r="Z916" s="559"/>
      <c r="AA916" s="559"/>
      <c r="AB916" s="559"/>
      <c r="AC916" s="559"/>
      <c r="AD916" s="559"/>
      <c r="AE916" s="559"/>
      <c r="AF916" s="559"/>
      <c r="AG916" s="559"/>
    </row>
    <row r="917" spans="1:33" ht="18" x14ac:dyDescent="0.35">
      <c r="A917" s="559"/>
      <c r="B917" s="559"/>
      <c r="C917" s="559"/>
      <c r="D917" s="559"/>
      <c r="E917" s="559"/>
      <c r="F917" s="559"/>
      <c r="G917" s="559"/>
      <c r="H917" s="559"/>
      <c r="I917" s="559"/>
      <c r="J917" s="559"/>
      <c r="K917" s="559"/>
      <c r="L917" s="559"/>
      <c r="M917" s="559"/>
      <c r="N917" s="559"/>
      <c r="O917" s="559"/>
      <c r="P917" s="559"/>
      <c r="Q917" s="559"/>
      <c r="R917" s="559"/>
      <c r="S917" s="559"/>
      <c r="T917" s="559"/>
      <c r="U917" s="559"/>
      <c r="V917" s="559"/>
      <c r="W917" s="559"/>
      <c r="X917" s="559"/>
      <c r="Y917" s="559"/>
      <c r="Z917" s="559"/>
      <c r="AA917" s="559"/>
      <c r="AB917" s="559"/>
      <c r="AC917" s="559"/>
      <c r="AD917" s="559"/>
      <c r="AE917" s="559"/>
      <c r="AF917" s="559"/>
      <c r="AG917" s="559"/>
    </row>
    <row r="918" spans="1:33" ht="18" x14ac:dyDescent="0.35">
      <c r="A918" s="559"/>
      <c r="B918" s="559"/>
      <c r="C918" s="559"/>
      <c r="D918" s="559"/>
      <c r="E918" s="559"/>
      <c r="F918" s="559"/>
      <c r="G918" s="559"/>
      <c r="H918" s="559"/>
      <c r="I918" s="559"/>
      <c r="J918" s="559"/>
      <c r="K918" s="559"/>
      <c r="L918" s="559"/>
      <c r="M918" s="559"/>
      <c r="N918" s="559"/>
      <c r="O918" s="559"/>
      <c r="P918" s="559"/>
      <c r="Q918" s="559"/>
      <c r="R918" s="559"/>
      <c r="S918" s="559"/>
      <c r="T918" s="559"/>
      <c r="U918" s="559"/>
      <c r="V918" s="559"/>
      <c r="W918" s="559"/>
      <c r="X918" s="559"/>
      <c r="Y918" s="559"/>
      <c r="Z918" s="559"/>
      <c r="AA918" s="559"/>
      <c r="AB918" s="559"/>
      <c r="AC918" s="559"/>
      <c r="AD918" s="559"/>
      <c r="AE918" s="559"/>
      <c r="AF918" s="559"/>
      <c r="AG918" s="559"/>
    </row>
    <row r="919" spans="1:33" ht="18" x14ac:dyDescent="0.35">
      <c r="A919" s="559"/>
      <c r="B919" s="559"/>
      <c r="C919" s="559"/>
      <c r="D919" s="559"/>
      <c r="E919" s="559"/>
      <c r="F919" s="559"/>
      <c r="G919" s="559"/>
      <c r="H919" s="559"/>
      <c r="I919" s="559"/>
      <c r="J919" s="559"/>
      <c r="K919" s="559"/>
      <c r="L919" s="559"/>
      <c r="M919" s="559"/>
      <c r="N919" s="559"/>
      <c r="O919" s="559"/>
      <c r="P919" s="559"/>
      <c r="Q919" s="559"/>
      <c r="R919" s="559"/>
      <c r="S919" s="559"/>
      <c r="T919" s="559"/>
      <c r="U919" s="559"/>
      <c r="V919" s="559"/>
      <c r="W919" s="559"/>
      <c r="X919" s="559"/>
      <c r="Y919" s="559"/>
      <c r="Z919" s="559"/>
      <c r="AA919" s="559"/>
      <c r="AB919" s="559"/>
      <c r="AC919" s="559"/>
      <c r="AD919" s="559"/>
      <c r="AE919" s="559"/>
      <c r="AF919" s="559"/>
      <c r="AG919" s="559"/>
    </row>
    <row r="920" spans="1:33" ht="18" x14ac:dyDescent="0.35">
      <c r="A920" s="559"/>
      <c r="B920" s="559"/>
      <c r="C920" s="559"/>
      <c r="D920" s="559"/>
      <c r="E920" s="559"/>
      <c r="F920" s="559"/>
      <c r="G920" s="559"/>
      <c r="H920" s="559"/>
      <c r="I920" s="559"/>
      <c r="J920" s="559"/>
      <c r="K920" s="559"/>
      <c r="L920" s="559"/>
      <c r="M920" s="559"/>
      <c r="N920" s="559"/>
      <c r="O920" s="559"/>
      <c r="P920" s="559"/>
      <c r="Q920" s="559"/>
      <c r="R920" s="559"/>
      <c r="S920" s="559"/>
      <c r="T920" s="559"/>
      <c r="U920" s="559"/>
      <c r="V920" s="559"/>
      <c r="W920" s="559"/>
      <c r="X920" s="559"/>
      <c r="Y920" s="559"/>
      <c r="Z920" s="559"/>
      <c r="AA920" s="559"/>
      <c r="AB920" s="559"/>
      <c r="AC920" s="559"/>
      <c r="AD920" s="559"/>
      <c r="AE920" s="559"/>
      <c r="AF920" s="559"/>
      <c r="AG920" s="559"/>
    </row>
    <row r="921" spans="1:33" ht="18" x14ac:dyDescent="0.35">
      <c r="A921" s="559"/>
      <c r="B921" s="559"/>
      <c r="C921" s="559"/>
      <c r="D921" s="559"/>
      <c r="E921" s="559"/>
      <c r="F921" s="559"/>
      <c r="G921" s="559"/>
      <c r="H921" s="559"/>
      <c r="I921" s="559"/>
      <c r="J921" s="559"/>
      <c r="K921" s="559"/>
      <c r="L921" s="559"/>
      <c r="M921" s="559"/>
      <c r="N921" s="559"/>
      <c r="O921" s="559"/>
      <c r="P921" s="559"/>
      <c r="Q921" s="559"/>
      <c r="R921" s="559"/>
      <c r="S921" s="559"/>
      <c r="T921" s="559"/>
      <c r="U921" s="559"/>
      <c r="V921" s="559"/>
      <c r="W921" s="559"/>
      <c r="X921" s="559"/>
      <c r="Y921" s="559"/>
      <c r="Z921" s="559"/>
      <c r="AA921" s="559"/>
      <c r="AB921" s="559"/>
      <c r="AC921" s="559"/>
      <c r="AD921" s="559"/>
      <c r="AE921" s="559"/>
      <c r="AF921" s="559"/>
      <c r="AG921" s="559"/>
    </row>
    <row r="922" spans="1:33" ht="18" x14ac:dyDescent="0.35">
      <c r="A922" s="559"/>
      <c r="B922" s="559"/>
      <c r="C922" s="559"/>
      <c r="D922" s="559"/>
      <c r="E922" s="559"/>
      <c r="F922" s="559"/>
      <c r="G922" s="559"/>
      <c r="H922" s="559"/>
      <c r="I922" s="559"/>
      <c r="J922" s="559"/>
      <c r="K922" s="559"/>
      <c r="L922" s="559"/>
      <c r="M922" s="559"/>
      <c r="N922" s="559"/>
      <c r="O922" s="559"/>
      <c r="P922" s="559"/>
      <c r="Q922" s="559"/>
      <c r="R922" s="559"/>
      <c r="S922" s="559"/>
      <c r="T922" s="559"/>
      <c r="U922" s="559"/>
      <c r="V922" s="559"/>
      <c r="W922" s="559"/>
      <c r="X922" s="559"/>
      <c r="Y922" s="559"/>
      <c r="Z922" s="559"/>
      <c r="AA922" s="559"/>
      <c r="AB922" s="559"/>
      <c r="AC922" s="559"/>
      <c r="AD922" s="559"/>
      <c r="AE922" s="559"/>
      <c r="AF922" s="559"/>
      <c r="AG922" s="559"/>
    </row>
    <row r="923" spans="1:33" ht="18" x14ac:dyDescent="0.35">
      <c r="A923" s="559"/>
      <c r="B923" s="559"/>
      <c r="C923" s="559"/>
      <c r="D923" s="559"/>
      <c r="E923" s="559"/>
      <c r="F923" s="559"/>
      <c r="G923" s="559"/>
      <c r="H923" s="559"/>
      <c r="I923" s="559"/>
      <c r="J923" s="559"/>
      <c r="K923" s="559"/>
      <c r="L923" s="559"/>
      <c r="M923" s="559"/>
      <c r="N923" s="559"/>
      <c r="O923" s="559"/>
      <c r="P923" s="559"/>
      <c r="Q923" s="559"/>
      <c r="R923" s="559"/>
      <c r="S923" s="559"/>
      <c r="T923" s="559"/>
      <c r="U923" s="559"/>
      <c r="V923" s="559"/>
      <c r="W923" s="559"/>
      <c r="X923" s="559"/>
      <c r="Y923" s="559"/>
      <c r="Z923" s="559"/>
      <c r="AA923" s="559"/>
      <c r="AB923" s="559"/>
      <c r="AC923" s="559"/>
      <c r="AD923" s="559"/>
      <c r="AE923" s="559"/>
      <c r="AF923" s="559"/>
      <c r="AG923" s="559"/>
    </row>
    <row r="924" spans="1:33" ht="18" x14ac:dyDescent="0.35">
      <c r="A924" s="559"/>
      <c r="B924" s="559"/>
      <c r="C924" s="559"/>
      <c r="D924" s="559"/>
      <c r="E924" s="559"/>
      <c r="F924" s="559"/>
      <c r="G924" s="559"/>
      <c r="H924" s="559"/>
      <c r="I924" s="559"/>
      <c r="J924" s="559"/>
      <c r="K924" s="559"/>
      <c r="L924" s="559"/>
      <c r="M924" s="559"/>
      <c r="N924" s="559"/>
      <c r="O924" s="559"/>
      <c r="P924" s="559"/>
      <c r="Q924" s="559"/>
      <c r="R924" s="559"/>
      <c r="S924" s="559"/>
      <c r="T924" s="559"/>
      <c r="U924" s="559"/>
      <c r="V924" s="559"/>
      <c r="W924" s="559"/>
      <c r="X924" s="559"/>
      <c r="Y924" s="559"/>
      <c r="Z924" s="559"/>
      <c r="AA924" s="559"/>
      <c r="AB924" s="559"/>
      <c r="AC924" s="559"/>
      <c r="AD924" s="559"/>
      <c r="AE924" s="559"/>
      <c r="AF924" s="559"/>
      <c r="AG924" s="559"/>
    </row>
    <row r="925" spans="1:33" ht="18" x14ac:dyDescent="0.35">
      <c r="A925" s="559"/>
      <c r="B925" s="559"/>
      <c r="C925" s="559"/>
      <c r="D925" s="559"/>
      <c r="E925" s="559"/>
      <c r="F925" s="559"/>
      <c r="G925" s="559"/>
      <c r="H925" s="559"/>
      <c r="I925" s="559"/>
      <c r="J925" s="559"/>
      <c r="K925" s="559"/>
      <c r="L925" s="559"/>
      <c r="M925" s="559"/>
      <c r="N925" s="559"/>
      <c r="O925" s="559"/>
      <c r="P925" s="559"/>
      <c r="Q925" s="559"/>
      <c r="R925" s="559"/>
      <c r="S925" s="559"/>
      <c r="T925" s="559"/>
      <c r="U925" s="559"/>
      <c r="V925" s="559"/>
      <c r="W925" s="559"/>
      <c r="X925" s="559"/>
      <c r="Y925" s="559"/>
      <c r="Z925" s="559"/>
      <c r="AA925" s="559"/>
      <c r="AB925" s="559"/>
      <c r="AC925" s="559"/>
      <c r="AD925" s="559"/>
      <c r="AE925" s="559"/>
      <c r="AF925" s="559"/>
      <c r="AG925" s="559"/>
    </row>
    <row r="926" spans="1:33" ht="18" x14ac:dyDescent="0.35">
      <c r="A926" s="559"/>
      <c r="B926" s="559"/>
      <c r="C926" s="559"/>
      <c r="D926" s="559"/>
      <c r="E926" s="559"/>
      <c r="F926" s="559"/>
      <c r="G926" s="559"/>
      <c r="H926" s="559"/>
      <c r="I926" s="559"/>
      <c r="J926" s="559"/>
      <c r="K926" s="559"/>
      <c r="L926" s="559"/>
      <c r="M926" s="559"/>
      <c r="N926" s="559"/>
      <c r="O926" s="559"/>
      <c r="P926" s="559"/>
      <c r="Q926" s="559"/>
      <c r="R926" s="559"/>
      <c r="S926" s="559"/>
      <c r="T926" s="559"/>
      <c r="U926" s="559"/>
      <c r="V926" s="559"/>
      <c r="W926" s="559"/>
      <c r="X926" s="559"/>
      <c r="Y926" s="559"/>
      <c r="Z926" s="559"/>
      <c r="AA926" s="559"/>
      <c r="AB926" s="559"/>
      <c r="AC926" s="559"/>
      <c r="AD926" s="559"/>
      <c r="AE926" s="559"/>
      <c r="AF926" s="559"/>
      <c r="AG926" s="559"/>
    </row>
    <row r="927" spans="1:33" ht="18" x14ac:dyDescent="0.35">
      <c r="A927" s="559"/>
      <c r="B927" s="559"/>
      <c r="C927" s="559"/>
      <c r="D927" s="559"/>
      <c r="E927" s="559"/>
      <c r="F927" s="559"/>
      <c r="G927" s="559"/>
      <c r="H927" s="559"/>
      <c r="I927" s="559"/>
      <c r="J927" s="559"/>
      <c r="K927" s="559"/>
      <c r="L927" s="559"/>
      <c r="M927" s="559"/>
      <c r="N927" s="559"/>
      <c r="O927" s="559"/>
      <c r="P927" s="559"/>
      <c r="Q927" s="559"/>
      <c r="R927" s="559"/>
      <c r="S927" s="559"/>
      <c r="T927" s="559"/>
      <c r="U927" s="559"/>
      <c r="V927" s="559"/>
      <c r="W927" s="559"/>
      <c r="X927" s="559"/>
      <c r="Y927" s="559"/>
      <c r="Z927" s="559"/>
      <c r="AA927" s="559"/>
      <c r="AB927" s="559"/>
      <c r="AC927" s="559"/>
      <c r="AD927" s="559"/>
      <c r="AE927" s="559"/>
      <c r="AF927" s="559"/>
      <c r="AG927" s="559"/>
    </row>
    <row r="928" spans="1:33" ht="18" x14ac:dyDescent="0.35">
      <c r="A928" s="559"/>
      <c r="B928" s="559"/>
      <c r="C928" s="559"/>
      <c r="D928" s="559"/>
      <c r="E928" s="559"/>
      <c r="F928" s="559"/>
      <c r="G928" s="559"/>
      <c r="H928" s="559"/>
      <c r="I928" s="559"/>
      <c r="J928" s="559"/>
      <c r="K928" s="559"/>
      <c r="L928" s="559"/>
      <c r="M928" s="559"/>
      <c r="N928" s="559"/>
      <c r="O928" s="559"/>
      <c r="P928" s="559"/>
      <c r="Q928" s="559"/>
      <c r="R928" s="559"/>
      <c r="S928" s="559"/>
      <c r="T928" s="559"/>
      <c r="U928" s="559"/>
      <c r="V928" s="559"/>
      <c r="W928" s="559"/>
      <c r="X928" s="559"/>
      <c r="Y928" s="559"/>
      <c r="Z928" s="559"/>
      <c r="AA928" s="559"/>
      <c r="AB928" s="559"/>
      <c r="AC928" s="559"/>
      <c r="AD928" s="559"/>
      <c r="AE928" s="559"/>
      <c r="AF928" s="559"/>
      <c r="AG928" s="559"/>
    </row>
    <row r="929" spans="1:33" ht="18" x14ac:dyDescent="0.35">
      <c r="A929" s="559"/>
      <c r="B929" s="559"/>
      <c r="C929" s="559"/>
      <c r="D929" s="559"/>
      <c r="E929" s="559"/>
      <c r="F929" s="559"/>
      <c r="G929" s="559"/>
      <c r="H929" s="559"/>
      <c r="I929" s="559"/>
      <c r="J929" s="559"/>
      <c r="K929" s="559"/>
      <c r="L929" s="559"/>
      <c r="M929" s="559"/>
      <c r="N929" s="559"/>
      <c r="O929" s="559"/>
      <c r="P929" s="559"/>
      <c r="Q929" s="559"/>
      <c r="R929" s="559"/>
      <c r="S929" s="559"/>
      <c r="T929" s="559"/>
      <c r="U929" s="559"/>
      <c r="V929" s="559"/>
      <c r="W929" s="559"/>
      <c r="X929" s="559"/>
      <c r="Y929" s="559"/>
      <c r="Z929" s="559"/>
      <c r="AA929" s="559"/>
      <c r="AB929" s="559"/>
      <c r="AC929" s="559"/>
      <c r="AD929" s="559"/>
      <c r="AE929" s="559"/>
      <c r="AF929" s="559"/>
      <c r="AG929" s="559"/>
    </row>
    <row r="930" spans="1:33" ht="18" x14ac:dyDescent="0.35">
      <c r="A930" s="559"/>
      <c r="B930" s="559"/>
      <c r="C930" s="559"/>
      <c r="D930" s="559"/>
      <c r="E930" s="559"/>
      <c r="F930" s="559"/>
      <c r="G930" s="559"/>
      <c r="H930" s="559"/>
      <c r="I930" s="559"/>
      <c r="J930" s="559"/>
      <c r="K930" s="559"/>
      <c r="L930" s="559"/>
      <c r="M930" s="559"/>
      <c r="N930" s="559"/>
      <c r="O930" s="559"/>
      <c r="P930" s="559"/>
      <c r="Q930" s="559"/>
      <c r="R930" s="559"/>
      <c r="S930" s="559"/>
      <c r="T930" s="559"/>
      <c r="U930" s="559"/>
      <c r="V930" s="559"/>
      <c r="W930" s="559"/>
      <c r="X930" s="559"/>
      <c r="Y930" s="559"/>
      <c r="Z930" s="559"/>
      <c r="AA930" s="559"/>
      <c r="AB930" s="559"/>
      <c r="AC930" s="559"/>
      <c r="AD930" s="559"/>
      <c r="AE930" s="559"/>
      <c r="AF930" s="559"/>
      <c r="AG930" s="559"/>
    </row>
    <row r="931" spans="1:33" ht="18" x14ac:dyDescent="0.35">
      <c r="A931" s="559"/>
      <c r="B931" s="559"/>
      <c r="C931" s="559"/>
      <c r="D931" s="559"/>
      <c r="E931" s="559"/>
      <c r="F931" s="559"/>
      <c r="G931" s="559"/>
      <c r="H931" s="559"/>
      <c r="I931" s="559"/>
      <c r="J931" s="559"/>
      <c r="K931" s="559"/>
      <c r="L931" s="559"/>
      <c r="M931" s="559"/>
      <c r="N931" s="559"/>
      <c r="O931" s="559"/>
      <c r="P931" s="559"/>
      <c r="Q931" s="559"/>
      <c r="R931" s="559"/>
      <c r="S931" s="559"/>
      <c r="T931" s="559"/>
      <c r="U931" s="559"/>
      <c r="V931" s="559"/>
      <c r="W931" s="559"/>
      <c r="X931" s="559"/>
      <c r="Y931" s="559"/>
      <c r="Z931" s="559"/>
      <c r="AA931" s="559"/>
      <c r="AB931" s="559"/>
      <c r="AC931" s="559"/>
      <c r="AD931" s="559"/>
      <c r="AE931" s="559"/>
      <c r="AF931" s="559"/>
      <c r="AG931" s="559"/>
    </row>
    <row r="932" spans="1:33" ht="18" x14ac:dyDescent="0.35">
      <c r="A932" s="559"/>
      <c r="B932" s="559"/>
      <c r="C932" s="559"/>
      <c r="D932" s="559"/>
      <c r="E932" s="559"/>
      <c r="F932" s="559"/>
      <c r="G932" s="559"/>
      <c r="H932" s="559"/>
      <c r="I932" s="559"/>
      <c r="J932" s="559"/>
      <c r="K932" s="559"/>
      <c r="L932" s="559"/>
      <c r="M932" s="559"/>
      <c r="N932" s="559"/>
      <c r="O932" s="559"/>
      <c r="P932" s="559"/>
      <c r="Q932" s="559"/>
      <c r="R932" s="559"/>
      <c r="S932" s="559"/>
      <c r="T932" s="559"/>
      <c r="U932" s="559"/>
      <c r="V932" s="559"/>
      <c r="W932" s="559"/>
      <c r="X932" s="559"/>
      <c r="Y932" s="559"/>
      <c r="Z932" s="559"/>
      <c r="AA932" s="559"/>
      <c r="AB932" s="559"/>
      <c r="AC932" s="559"/>
      <c r="AD932" s="559"/>
      <c r="AE932" s="559"/>
      <c r="AF932" s="559"/>
      <c r="AG932" s="559"/>
    </row>
    <row r="933" spans="1:33" ht="18" x14ac:dyDescent="0.35">
      <c r="A933" s="559"/>
      <c r="B933" s="559"/>
      <c r="C933" s="559"/>
      <c r="D933" s="559"/>
      <c r="E933" s="559"/>
      <c r="F933" s="559"/>
      <c r="G933" s="559"/>
      <c r="H933" s="559"/>
      <c r="I933" s="559"/>
      <c r="J933" s="559"/>
      <c r="K933" s="559"/>
      <c r="L933" s="559"/>
      <c r="M933" s="559"/>
      <c r="N933" s="559"/>
      <c r="O933" s="559"/>
      <c r="P933" s="559"/>
      <c r="Q933" s="559"/>
      <c r="R933" s="559"/>
      <c r="S933" s="559"/>
      <c r="T933" s="559"/>
      <c r="U933" s="559"/>
      <c r="V933" s="559"/>
      <c r="W933" s="559"/>
      <c r="X933" s="559"/>
      <c r="Y933" s="559"/>
      <c r="Z933" s="559"/>
      <c r="AA933" s="559"/>
      <c r="AB933" s="559"/>
      <c r="AC933" s="559"/>
      <c r="AD933" s="559"/>
      <c r="AE933" s="559"/>
      <c r="AF933" s="559"/>
      <c r="AG933" s="559"/>
    </row>
    <row r="934" spans="1:33" ht="18" x14ac:dyDescent="0.35">
      <c r="A934" s="559"/>
      <c r="B934" s="559"/>
      <c r="C934" s="559"/>
      <c r="D934" s="559"/>
      <c r="E934" s="559"/>
      <c r="F934" s="559"/>
      <c r="G934" s="559"/>
      <c r="H934" s="559"/>
      <c r="I934" s="559"/>
      <c r="J934" s="559"/>
      <c r="K934" s="559"/>
      <c r="L934" s="559"/>
      <c r="M934" s="559"/>
      <c r="N934" s="559"/>
      <c r="O934" s="559"/>
      <c r="P934" s="559"/>
      <c r="Q934" s="559"/>
      <c r="R934" s="559"/>
      <c r="S934" s="559"/>
      <c r="T934" s="559"/>
      <c r="U934" s="559"/>
      <c r="V934" s="559"/>
      <c r="W934" s="559"/>
      <c r="X934" s="559"/>
      <c r="Y934" s="559"/>
      <c r="Z934" s="559"/>
      <c r="AA934" s="559"/>
      <c r="AB934" s="559"/>
      <c r="AC934" s="559"/>
      <c r="AD934" s="559"/>
      <c r="AE934" s="559"/>
      <c r="AF934" s="559"/>
      <c r="AG934" s="559"/>
    </row>
    <row r="935" spans="1:33" ht="18" x14ac:dyDescent="0.35">
      <c r="A935" s="559"/>
      <c r="B935" s="559"/>
      <c r="C935" s="559"/>
      <c r="D935" s="559"/>
      <c r="E935" s="559"/>
      <c r="F935" s="559"/>
      <c r="G935" s="559"/>
      <c r="H935" s="559"/>
      <c r="I935" s="559"/>
      <c r="J935" s="559"/>
      <c r="K935" s="559"/>
      <c r="L935" s="559"/>
      <c r="M935" s="559"/>
      <c r="N935" s="559"/>
      <c r="O935" s="559"/>
      <c r="P935" s="559"/>
      <c r="Q935" s="559"/>
      <c r="R935" s="559"/>
      <c r="S935" s="559"/>
      <c r="T935" s="559"/>
      <c r="U935" s="559"/>
      <c r="V935" s="559"/>
      <c r="W935" s="559"/>
      <c r="X935" s="559"/>
      <c r="Y935" s="559"/>
      <c r="Z935" s="559"/>
      <c r="AA935" s="559"/>
      <c r="AB935" s="559"/>
      <c r="AC935" s="559"/>
      <c r="AD935" s="559"/>
      <c r="AE935" s="559"/>
      <c r="AF935" s="559"/>
      <c r="AG935" s="559"/>
    </row>
    <row r="936" spans="1:33" ht="18" x14ac:dyDescent="0.35">
      <c r="A936" s="559"/>
      <c r="B936" s="559"/>
      <c r="C936" s="559"/>
      <c r="D936" s="559"/>
      <c r="E936" s="559"/>
      <c r="F936" s="559"/>
      <c r="G936" s="559"/>
      <c r="H936" s="559"/>
      <c r="I936" s="559"/>
      <c r="J936" s="559"/>
      <c r="K936" s="559"/>
      <c r="L936" s="559"/>
      <c r="M936" s="559"/>
      <c r="N936" s="559"/>
      <c r="O936" s="559"/>
      <c r="P936" s="559"/>
      <c r="Q936" s="559"/>
      <c r="R936" s="559"/>
      <c r="S936" s="559"/>
      <c r="T936" s="559"/>
      <c r="U936" s="559"/>
      <c r="V936" s="559"/>
      <c r="W936" s="559"/>
      <c r="X936" s="559"/>
      <c r="Y936" s="559"/>
      <c r="Z936" s="559"/>
      <c r="AA936" s="559"/>
      <c r="AB936" s="559"/>
      <c r="AC936" s="559"/>
      <c r="AD936" s="559"/>
      <c r="AE936" s="559"/>
      <c r="AF936" s="559"/>
      <c r="AG936" s="559"/>
    </row>
    <row r="937" spans="1:33" ht="18" x14ac:dyDescent="0.35">
      <c r="A937" s="559"/>
      <c r="B937" s="559"/>
      <c r="C937" s="559"/>
      <c r="D937" s="559"/>
      <c r="E937" s="559"/>
      <c r="F937" s="559"/>
      <c r="G937" s="559"/>
      <c r="H937" s="559"/>
      <c r="I937" s="559"/>
      <c r="J937" s="559"/>
      <c r="K937" s="559"/>
      <c r="L937" s="559"/>
      <c r="M937" s="559"/>
      <c r="N937" s="559"/>
      <c r="O937" s="559"/>
      <c r="P937" s="559"/>
      <c r="Q937" s="559"/>
      <c r="R937" s="559"/>
      <c r="S937" s="559"/>
      <c r="T937" s="559"/>
      <c r="U937" s="559"/>
      <c r="V937" s="559"/>
      <c r="W937" s="559"/>
      <c r="X937" s="559"/>
      <c r="Y937" s="559"/>
      <c r="Z937" s="559"/>
      <c r="AA937" s="559"/>
      <c r="AB937" s="559"/>
      <c r="AC937" s="559"/>
      <c r="AD937" s="559"/>
      <c r="AE937" s="559"/>
      <c r="AF937" s="559"/>
      <c r="AG937" s="559"/>
    </row>
    <row r="938" spans="1:33" ht="18" x14ac:dyDescent="0.35">
      <c r="A938" s="559"/>
      <c r="B938" s="559"/>
      <c r="C938" s="559"/>
      <c r="D938" s="559"/>
      <c r="E938" s="559"/>
      <c r="F938" s="559"/>
      <c r="G938" s="559"/>
      <c r="H938" s="559"/>
      <c r="I938" s="559"/>
      <c r="J938" s="559"/>
      <c r="K938" s="559"/>
      <c r="L938" s="559"/>
      <c r="M938" s="559"/>
      <c r="N938" s="559"/>
      <c r="O938" s="559"/>
      <c r="P938" s="559"/>
      <c r="Q938" s="559"/>
      <c r="R938" s="559"/>
      <c r="S938" s="559"/>
      <c r="T938" s="559"/>
      <c r="U938" s="559"/>
      <c r="V938" s="559"/>
      <c r="W938" s="559"/>
      <c r="X938" s="559"/>
      <c r="Y938" s="559"/>
      <c r="Z938" s="559"/>
      <c r="AA938" s="559"/>
      <c r="AB938" s="559"/>
      <c r="AC938" s="559"/>
      <c r="AD938" s="559"/>
      <c r="AE938" s="559"/>
      <c r="AF938" s="559"/>
      <c r="AG938" s="559"/>
    </row>
    <row r="939" spans="1:33" ht="18" x14ac:dyDescent="0.35">
      <c r="A939" s="559"/>
      <c r="B939" s="559"/>
      <c r="C939" s="559"/>
      <c r="D939" s="559"/>
      <c r="E939" s="559"/>
      <c r="F939" s="559"/>
      <c r="G939" s="559"/>
      <c r="H939" s="559"/>
      <c r="I939" s="559"/>
      <c r="J939" s="559"/>
      <c r="K939" s="559"/>
      <c r="L939" s="559"/>
      <c r="M939" s="559"/>
      <c r="N939" s="559"/>
      <c r="O939" s="559"/>
      <c r="P939" s="559"/>
      <c r="Q939" s="559"/>
      <c r="R939" s="559"/>
      <c r="S939" s="559"/>
      <c r="T939" s="559"/>
      <c r="U939" s="559"/>
      <c r="V939" s="559"/>
      <c r="W939" s="559"/>
      <c r="X939" s="559"/>
      <c r="Y939" s="559"/>
      <c r="Z939" s="559"/>
      <c r="AA939" s="559"/>
      <c r="AB939" s="559"/>
      <c r="AC939" s="559"/>
      <c r="AD939" s="559"/>
      <c r="AE939" s="559"/>
      <c r="AF939" s="559"/>
      <c r="AG939" s="559"/>
    </row>
    <row r="940" spans="1:33" ht="18" x14ac:dyDescent="0.35">
      <c r="A940" s="559"/>
      <c r="B940" s="559"/>
      <c r="C940" s="559"/>
      <c r="D940" s="559"/>
      <c r="E940" s="559"/>
      <c r="F940" s="559"/>
      <c r="G940" s="559"/>
      <c r="H940" s="559"/>
      <c r="I940" s="559"/>
      <c r="J940" s="559"/>
      <c r="K940" s="559"/>
      <c r="L940" s="559"/>
      <c r="M940" s="559"/>
      <c r="N940" s="559"/>
      <c r="O940" s="559"/>
      <c r="P940" s="559"/>
      <c r="Q940" s="559"/>
      <c r="R940" s="559"/>
      <c r="S940" s="559"/>
      <c r="T940" s="559"/>
      <c r="U940" s="559"/>
      <c r="V940" s="559"/>
      <c r="W940" s="559"/>
      <c r="X940" s="559"/>
      <c r="Y940" s="559"/>
      <c r="Z940" s="559"/>
      <c r="AA940" s="559"/>
      <c r="AB940" s="559"/>
      <c r="AC940" s="559"/>
      <c r="AD940" s="559"/>
      <c r="AE940" s="559"/>
      <c r="AF940" s="559"/>
      <c r="AG940" s="559"/>
    </row>
    <row r="941" spans="1:33" ht="18" x14ac:dyDescent="0.35">
      <c r="A941" s="559"/>
      <c r="B941" s="559"/>
      <c r="C941" s="559"/>
      <c r="D941" s="559"/>
      <c r="E941" s="559"/>
      <c r="F941" s="559"/>
      <c r="G941" s="559"/>
      <c r="H941" s="559"/>
      <c r="I941" s="559"/>
      <c r="J941" s="559"/>
      <c r="K941" s="559"/>
      <c r="L941" s="559"/>
      <c r="M941" s="559"/>
      <c r="N941" s="559"/>
      <c r="O941" s="559"/>
      <c r="P941" s="559"/>
      <c r="Q941" s="559"/>
      <c r="R941" s="559"/>
      <c r="S941" s="559"/>
      <c r="T941" s="559"/>
      <c r="U941" s="559"/>
      <c r="V941" s="559"/>
      <c r="W941" s="559"/>
      <c r="X941" s="559"/>
      <c r="Y941" s="559"/>
      <c r="Z941" s="559"/>
      <c r="AA941" s="559"/>
      <c r="AB941" s="559"/>
      <c r="AC941" s="559"/>
      <c r="AD941" s="559"/>
      <c r="AE941" s="559"/>
      <c r="AF941" s="559"/>
      <c r="AG941" s="559"/>
    </row>
    <row r="942" spans="1:33" ht="18" x14ac:dyDescent="0.35">
      <c r="A942" s="559"/>
      <c r="B942" s="559"/>
      <c r="C942" s="559"/>
      <c r="D942" s="559"/>
      <c r="E942" s="559"/>
      <c r="F942" s="559"/>
      <c r="G942" s="559"/>
      <c r="H942" s="559"/>
      <c r="I942" s="559"/>
      <c r="J942" s="559"/>
      <c r="K942" s="559"/>
      <c r="L942" s="559"/>
      <c r="M942" s="559"/>
      <c r="N942" s="559"/>
      <c r="O942" s="559"/>
      <c r="P942" s="559"/>
      <c r="Q942" s="559"/>
      <c r="R942" s="559"/>
      <c r="S942" s="559"/>
      <c r="T942" s="559"/>
      <c r="U942" s="559"/>
      <c r="V942" s="559"/>
      <c r="W942" s="559"/>
      <c r="X942" s="559"/>
      <c r="Y942" s="559"/>
      <c r="Z942" s="559"/>
      <c r="AA942" s="559"/>
      <c r="AB942" s="559"/>
      <c r="AC942" s="559"/>
      <c r="AD942" s="559"/>
      <c r="AE942" s="559"/>
      <c r="AF942" s="559"/>
      <c r="AG942" s="559"/>
    </row>
    <row r="943" spans="1:33" ht="18" x14ac:dyDescent="0.35">
      <c r="A943" s="559"/>
      <c r="B943" s="559"/>
      <c r="C943" s="559"/>
      <c r="D943" s="559"/>
      <c r="E943" s="559"/>
      <c r="F943" s="559"/>
      <c r="G943" s="559"/>
      <c r="H943" s="559"/>
      <c r="I943" s="559"/>
      <c r="J943" s="559"/>
      <c r="K943" s="559"/>
      <c r="L943" s="559"/>
      <c r="M943" s="559"/>
      <c r="N943" s="559"/>
      <c r="O943" s="559"/>
      <c r="P943" s="559"/>
      <c r="Q943" s="559"/>
      <c r="R943" s="559"/>
      <c r="S943" s="559"/>
      <c r="T943" s="559"/>
      <c r="U943" s="559"/>
      <c r="V943" s="559"/>
      <c r="W943" s="559"/>
      <c r="X943" s="559"/>
      <c r="Y943" s="559"/>
      <c r="Z943" s="559"/>
      <c r="AA943" s="559"/>
      <c r="AB943" s="559"/>
      <c r="AC943" s="559"/>
      <c r="AD943" s="559"/>
      <c r="AE943" s="559"/>
      <c r="AF943" s="559"/>
      <c r="AG943" s="559"/>
    </row>
    <row r="944" spans="1:33" ht="18" x14ac:dyDescent="0.35">
      <c r="A944" s="559"/>
      <c r="B944" s="559"/>
      <c r="C944" s="559"/>
      <c r="D944" s="559"/>
      <c r="E944" s="559"/>
      <c r="F944" s="559"/>
      <c r="G944" s="559"/>
      <c r="H944" s="559"/>
      <c r="I944" s="559"/>
      <c r="J944" s="559"/>
      <c r="K944" s="559"/>
      <c r="L944" s="559"/>
      <c r="M944" s="559"/>
      <c r="N944" s="559"/>
      <c r="O944" s="559"/>
      <c r="P944" s="559"/>
      <c r="Q944" s="559"/>
      <c r="R944" s="559"/>
      <c r="S944" s="559"/>
      <c r="T944" s="559"/>
      <c r="U944" s="559"/>
      <c r="V944" s="559"/>
      <c r="W944" s="559"/>
      <c r="X944" s="559"/>
      <c r="Y944" s="559"/>
      <c r="Z944" s="559"/>
      <c r="AA944" s="559"/>
      <c r="AB944" s="559"/>
      <c r="AC944" s="559"/>
      <c r="AD944" s="559"/>
      <c r="AE944" s="559"/>
      <c r="AF944" s="559"/>
      <c r="AG944" s="559"/>
    </row>
    <row r="945" spans="1:33" ht="18" x14ac:dyDescent="0.35">
      <c r="A945" s="559"/>
      <c r="B945" s="559"/>
      <c r="C945" s="559"/>
      <c r="D945" s="559"/>
      <c r="E945" s="559"/>
      <c r="F945" s="559"/>
      <c r="G945" s="559"/>
      <c r="H945" s="559"/>
      <c r="I945" s="559"/>
      <c r="J945" s="559"/>
      <c r="K945" s="559"/>
      <c r="L945" s="559"/>
      <c r="M945" s="559"/>
      <c r="N945" s="559"/>
      <c r="O945" s="559"/>
      <c r="P945" s="559"/>
      <c r="Q945" s="559"/>
      <c r="R945" s="559"/>
      <c r="S945" s="559"/>
      <c r="T945" s="559"/>
      <c r="U945" s="559"/>
      <c r="V945" s="559"/>
      <c r="W945" s="559"/>
      <c r="X945" s="559"/>
      <c r="Y945" s="559"/>
      <c r="Z945" s="559"/>
      <c r="AA945" s="559"/>
      <c r="AB945" s="559"/>
      <c r="AC945" s="559"/>
      <c r="AD945" s="559"/>
      <c r="AE945" s="559"/>
      <c r="AF945" s="559"/>
      <c r="AG945" s="559"/>
    </row>
    <row r="946" spans="1:33" ht="18" x14ac:dyDescent="0.35">
      <c r="A946" s="559"/>
      <c r="B946" s="559"/>
      <c r="C946" s="559"/>
      <c r="D946" s="559"/>
      <c r="E946" s="559"/>
      <c r="F946" s="559"/>
      <c r="G946" s="559"/>
      <c r="H946" s="559"/>
      <c r="I946" s="559"/>
      <c r="J946" s="559"/>
      <c r="K946" s="559"/>
      <c r="L946" s="559"/>
      <c r="M946" s="559"/>
      <c r="N946" s="559"/>
      <c r="O946" s="559"/>
      <c r="P946" s="559"/>
      <c r="Q946" s="559"/>
      <c r="R946" s="559"/>
      <c r="S946" s="559"/>
      <c r="T946" s="559"/>
      <c r="U946" s="559"/>
      <c r="V946" s="559"/>
      <c r="W946" s="559"/>
      <c r="X946" s="559"/>
      <c r="Y946" s="559"/>
      <c r="Z946" s="559"/>
      <c r="AA946" s="559"/>
      <c r="AB946" s="559"/>
      <c r="AC946" s="559"/>
      <c r="AD946" s="559"/>
      <c r="AE946" s="559"/>
      <c r="AF946" s="559"/>
      <c r="AG946" s="559"/>
    </row>
    <row r="947" spans="1:33" ht="18" x14ac:dyDescent="0.35">
      <c r="A947" s="559"/>
      <c r="B947" s="559"/>
      <c r="C947" s="559"/>
      <c r="D947" s="559"/>
      <c r="E947" s="559"/>
      <c r="F947" s="559"/>
      <c r="G947" s="559"/>
      <c r="H947" s="559"/>
      <c r="I947" s="559"/>
      <c r="J947" s="559"/>
      <c r="K947" s="559"/>
      <c r="L947" s="559"/>
      <c r="M947" s="559"/>
      <c r="N947" s="559"/>
      <c r="O947" s="559"/>
      <c r="P947" s="559"/>
      <c r="Q947" s="559"/>
      <c r="R947" s="559"/>
      <c r="S947" s="559"/>
      <c r="T947" s="559"/>
      <c r="U947" s="559"/>
      <c r="V947" s="559"/>
      <c r="W947" s="559"/>
      <c r="X947" s="559"/>
      <c r="Y947" s="559"/>
      <c r="Z947" s="559"/>
      <c r="AA947" s="559"/>
      <c r="AB947" s="559"/>
      <c r="AC947" s="559"/>
      <c r="AD947" s="559"/>
      <c r="AE947" s="559"/>
      <c r="AF947" s="559"/>
      <c r="AG947" s="559"/>
    </row>
    <row r="948" spans="1:33" ht="18" x14ac:dyDescent="0.35">
      <c r="A948" s="559"/>
      <c r="B948" s="559"/>
      <c r="C948" s="559"/>
      <c r="D948" s="559"/>
      <c r="E948" s="559"/>
      <c r="F948" s="559"/>
      <c r="G948" s="559"/>
      <c r="H948" s="559"/>
      <c r="I948" s="559"/>
      <c r="J948" s="559"/>
      <c r="K948" s="559"/>
      <c r="L948" s="559"/>
      <c r="M948" s="559"/>
      <c r="N948" s="559"/>
      <c r="O948" s="559"/>
      <c r="P948" s="559"/>
      <c r="Q948" s="559"/>
      <c r="R948" s="559"/>
      <c r="S948" s="559"/>
      <c r="T948" s="559"/>
      <c r="U948" s="559"/>
      <c r="V948" s="559"/>
      <c r="W948" s="559"/>
      <c r="X948" s="559"/>
      <c r="Y948" s="559"/>
      <c r="Z948" s="559"/>
      <c r="AA948" s="559"/>
      <c r="AB948" s="559"/>
      <c r="AC948" s="559"/>
      <c r="AD948" s="559"/>
      <c r="AE948" s="559"/>
      <c r="AF948" s="559"/>
      <c r="AG948" s="559"/>
    </row>
    <row r="949" spans="1:33" ht="18" x14ac:dyDescent="0.35">
      <c r="A949" s="559"/>
      <c r="B949" s="559"/>
      <c r="C949" s="559"/>
      <c r="D949" s="559"/>
      <c r="E949" s="559"/>
      <c r="F949" s="559"/>
      <c r="G949" s="559"/>
      <c r="H949" s="559"/>
      <c r="I949" s="559"/>
      <c r="J949" s="559"/>
      <c r="K949" s="559"/>
      <c r="L949" s="559"/>
      <c r="M949" s="559"/>
      <c r="N949" s="559"/>
      <c r="O949" s="559"/>
      <c r="P949" s="559"/>
      <c r="Q949" s="559"/>
      <c r="R949" s="559"/>
      <c r="S949" s="559"/>
      <c r="T949" s="559"/>
      <c r="U949" s="559"/>
      <c r="V949" s="559"/>
      <c r="W949" s="559"/>
      <c r="X949" s="559"/>
      <c r="Y949" s="559"/>
      <c r="Z949" s="559"/>
      <c r="AA949" s="559"/>
      <c r="AB949" s="559"/>
      <c r="AC949" s="559"/>
      <c r="AD949" s="559"/>
      <c r="AE949" s="559"/>
      <c r="AF949" s="559"/>
      <c r="AG949" s="559"/>
    </row>
    <row r="950" spans="1:33" ht="18" x14ac:dyDescent="0.35">
      <c r="A950" s="559"/>
      <c r="B950" s="559"/>
      <c r="C950" s="559"/>
      <c r="D950" s="559"/>
      <c r="E950" s="559"/>
      <c r="F950" s="559"/>
      <c r="G950" s="559"/>
      <c r="H950" s="559"/>
      <c r="I950" s="559"/>
      <c r="J950" s="559"/>
      <c r="K950" s="559"/>
      <c r="L950" s="559"/>
      <c r="M950" s="559"/>
      <c r="N950" s="559"/>
      <c r="O950" s="559"/>
      <c r="P950" s="559"/>
      <c r="Q950" s="559"/>
      <c r="R950" s="559"/>
      <c r="S950" s="559"/>
      <c r="T950" s="559"/>
      <c r="U950" s="559"/>
      <c r="V950" s="559"/>
      <c r="W950" s="559"/>
      <c r="X950" s="559"/>
      <c r="Y950" s="559"/>
      <c r="Z950" s="559"/>
      <c r="AA950" s="559"/>
      <c r="AB950" s="559"/>
      <c r="AC950" s="559"/>
      <c r="AD950" s="559"/>
      <c r="AE950" s="559"/>
      <c r="AF950" s="559"/>
      <c r="AG950" s="559"/>
    </row>
    <row r="951" spans="1:33" ht="18" x14ac:dyDescent="0.35">
      <c r="A951" s="559"/>
      <c r="B951" s="559"/>
      <c r="C951" s="559"/>
      <c r="D951" s="559"/>
      <c r="E951" s="559"/>
      <c r="F951" s="559"/>
      <c r="G951" s="559"/>
      <c r="H951" s="559"/>
      <c r="I951" s="559"/>
      <c r="J951" s="559"/>
      <c r="K951" s="559"/>
      <c r="L951" s="559"/>
      <c r="M951" s="559"/>
      <c r="N951" s="559"/>
      <c r="O951" s="559"/>
      <c r="P951" s="559"/>
      <c r="Q951" s="559"/>
      <c r="R951" s="559"/>
      <c r="S951" s="559"/>
      <c r="T951" s="559"/>
      <c r="U951" s="559"/>
      <c r="V951" s="559"/>
      <c r="W951" s="559"/>
      <c r="X951" s="559"/>
      <c r="Y951" s="559"/>
      <c r="Z951" s="559"/>
      <c r="AA951" s="559"/>
      <c r="AB951" s="559"/>
      <c r="AC951" s="559"/>
      <c r="AD951" s="559"/>
      <c r="AE951" s="559"/>
      <c r="AF951" s="559"/>
      <c r="AG951" s="559"/>
    </row>
    <row r="952" spans="1:33" ht="18" x14ac:dyDescent="0.35">
      <c r="A952" s="559"/>
      <c r="B952" s="559"/>
      <c r="C952" s="559"/>
      <c r="D952" s="559"/>
      <c r="E952" s="559"/>
      <c r="F952" s="559"/>
      <c r="G952" s="559"/>
      <c r="H952" s="559"/>
      <c r="I952" s="559"/>
      <c r="J952" s="559"/>
      <c r="K952" s="559"/>
      <c r="L952" s="559"/>
      <c r="M952" s="559"/>
      <c r="N952" s="559"/>
      <c r="O952" s="559"/>
      <c r="P952" s="559"/>
      <c r="Q952" s="559"/>
      <c r="R952" s="559"/>
      <c r="S952" s="559"/>
      <c r="T952" s="559"/>
      <c r="U952" s="559"/>
      <c r="V952" s="559"/>
      <c r="W952" s="559"/>
      <c r="X952" s="559"/>
      <c r="Y952" s="559"/>
      <c r="Z952" s="559"/>
      <c r="AA952" s="559"/>
      <c r="AB952" s="559"/>
      <c r="AC952" s="559"/>
      <c r="AD952" s="559"/>
      <c r="AE952" s="559"/>
      <c r="AF952" s="559"/>
      <c r="AG952" s="559"/>
    </row>
    <row r="953" spans="1:33" ht="18" x14ac:dyDescent="0.35">
      <c r="A953" s="559"/>
      <c r="B953" s="559"/>
      <c r="C953" s="559"/>
      <c r="D953" s="559"/>
      <c r="E953" s="559"/>
      <c r="F953" s="559"/>
      <c r="G953" s="559"/>
      <c r="H953" s="559"/>
      <c r="I953" s="559"/>
      <c r="J953" s="559"/>
      <c r="K953" s="559"/>
      <c r="L953" s="559"/>
      <c r="M953" s="559"/>
      <c r="N953" s="559"/>
      <c r="O953" s="559"/>
      <c r="P953" s="559"/>
      <c r="Q953" s="559"/>
      <c r="R953" s="559"/>
      <c r="S953" s="559"/>
      <c r="T953" s="559"/>
      <c r="U953" s="559"/>
      <c r="V953" s="559"/>
      <c r="W953" s="559"/>
      <c r="X953" s="559"/>
      <c r="Y953" s="559"/>
      <c r="Z953" s="559"/>
      <c r="AA953" s="559"/>
      <c r="AB953" s="559"/>
      <c r="AC953" s="559"/>
      <c r="AD953" s="559"/>
      <c r="AE953" s="559"/>
      <c r="AF953" s="559"/>
      <c r="AG953" s="559"/>
    </row>
    <row r="954" spans="1:33" ht="18" x14ac:dyDescent="0.35">
      <c r="A954" s="559"/>
      <c r="B954" s="559"/>
      <c r="C954" s="559"/>
      <c r="D954" s="559"/>
      <c r="E954" s="559"/>
      <c r="F954" s="559"/>
      <c r="G954" s="559"/>
      <c r="H954" s="559"/>
      <c r="I954" s="559"/>
      <c r="J954" s="559"/>
      <c r="K954" s="559"/>
      <c r="L954" s="559"/>
      <c r="M954" s="559"/>
      <c r="N954" s="559"/>
      <c r="O954" s="559"/>
      <c r="P954" s="559"/>
      <c r="Q954" s="559"/>
      <c r="R954" s="559"/>
      <c r="S954" s="559"/>
      <c r="T954" s="559"/>
      <c r="U954" s="559"/>
      <c r="V954" s="559"/>
      <c r="W954" s="559"/>
      <c r="X954" s="559"/>
      <c r="Y954" s="559"/>
      <c r="Z954" s="559"/>
      <c r="AA954" s="559"/>
      <c r="AB954" s="559"/>
      <c r="AC954" s="559"/>
      <c r="AD954" s="559"/>
      <c r="AE954" s="559"/>
      <c r="AF954" s="559"/>
      <c r="AG954" s="559"/>
    </row>
    <row r="955" spans="1:33" ht="18" x14ac:dyDescent="0.35">
      <c r="A955" s="559"/>
      <c r="B955" s="559"/>
      <c r="C955" s="559"/>
      <c r="D955" s="559"/>
      <c r="E955" s="559"/>
      <c r="F955" s="559"/>
      <c r="G955" s="559"/>
      <c r="H955" s="559"/>
      <c r="I955" s="559"/>
      <c r="J955" s="559"/>
      <c r="K955" s="559"/>
      <c r="L955" s="559"/>
      <c r="M955" s="559"/>
      <c r="N955" s="559"/>
      <c r="O955" s="559"/>
      <c r="P955" s="559"/>
      <c r="Q955" s="559"/>
      <c r="R955" s="559"/>
      <c r="S955" s="559"/>
      <c r="T955" s="559"/>
      <c r="U955" s="559"/>
      <c r="V955" s="559"/>
      <c r="W955" s="559"/>
      <c r="X955" s="559"/>
      <c r="Y955" s="559"/>
      <c r="Z955" s="559"/>
      <c r="AA955" s="559"/>
      <c r="AB955" s="559"/>
      <c r="AC955" s="559"/>
      <c r="AD955" s="559"/>
      <c r="AE955" s="559"/>
      <c r="AF955" s="559"/>
      <c r="AG955" s="559"/>
    </row>
    <row r="956" spans="1:33" ht="18" x14ac:dyDescent="0.35">
      <c r="A956" s="559"/>
      <c r="B956" s="559"/>
      <c r="C956" s="559"/>
      <c r="D956" s="559"/>
      <c r="E956" s="559"/>
      <c r="F956" s="559"/>
      <c r="G956" s="559"/>
      <c r="H956" s="559"/>
      <c r="I956" s="559"/>
      <c r="J956" s="559"/>
      <c r="K956" s="559"/>
      <c r="L956" s="559"/>
      <c r="M956" s="559"/>
      <c r="N956" s="559"/>
      <c r="O956" s="559"/>
      <c r="P956" s="559"/>
      <c r="Q956" s="559"/>
      <c r="R956" s="559"/>
      <c r="S956" s="559"/>
      <c r="T956" s="559"/>
      <c r="U956" s="559"/>
      <c r="V956" s="559"/>
      <c r="W956" s="559"/>
      <c r="X956" s="559"/>
      <c r="Y956" s="559"/>
      <c r="Z956" s="559"/>
      <c r="AA956" s="559"/>
      <c r="AB956" s="559"/>
      <c r="AC956" s="559"/>
      <c r="AD956" s="559"/>
      <c r="AE956" s="559"/>
      <c r="AF956" s="559"/>
      <c r="AG956" s="559"/>
    </row>
    <row r="957" spans="1:33" ht="18" x14ac:dyDescent="0.35">
      <c r="A957" s="559"/>
      <c r="B957" s="559"/>
      <c r="C957" s="559"/>
      <c r="D957" s="559"/>
      <c r="E957" s="559"/>
      <c r="F957" s="559"/>
      <c r="G957" s="559"/>
      <c r="H957" s="559"/>
      <c r="I957" s="559"/>
      <c r="J957" s="559"/>
      <c r="K957" s="559"/>
      <c r="L957" s="559"/>
      <c r="M957" s="559"/>
      <c r="N957" s="559"/>
      <c r="O957" s="559"/>
      <c r="P957" s="559"/>
      <c r="Q957" s="559"/>
      <c r="R957" s="559"/>
      <c r="S957" s="559"/>
      <c r="T957" s="559"/>
      <c r="U957" s="559"/>
      <c r="V957" s="559"/>
      <c r="W957" s="559"/>
      <c r="X957" s="559"/>
      <c r="Y957" s="559"/>
      <c r="Z957" s="559"/>
      <c r="AA957" s="559"/>
      <c r="AB957" s="559"/>
      <c r="AC957" s="559"/>
      <c r="AD957" s="559"/>
      <c r="AE957" s="559"/>
      <c r="AF957" s="559"/>
      <c r="AG957" s="559"/>
    </row>
    <row r="958" spans="1:33" ht="18" x14ac:dyDescent="0.35">
      <c r="A958" s="559"/>
      <c r="B958" s="559"/>
      <c r="C958" s="559"/>
      <c r="D958" s="559"/>
      <c r="E958" s="559"/>
      <c r="F958" s="559"/>
      <c r="G958" s="559"/>
      <c r="H958" s="559"/>
      <c r="I958" s="559"/>
      <c r="J958" s="559"/>
      <c r="K958" s="559"/>
      <c r="L958" s="559"/>
      <c r="M958" s="559"/>
      <c r="N958" s="559"/>
      <c r="O958" s="559"/>
      <c r="P958" s="559"/>
      <c r="Q958" s="559"/>
      <c r="R958" s="559"/>
      <c r="S958" s="559"/>
      <c r="T958" s="559"/>
      <c r="U958" s="559"/>
      <c r="V958" s="559"/>
      <c r="W958" s="559"/>
      <c r="X958" s="559"/>
      <c r="Y958" s="559"/>
      <c r="Z958" s="559"/>
      <c r="AA958" s="559"/>
      <c r="AB958" s="559"/>
      <c r="AC958" s="559"/>
      <c r="AD958" s="559"/>
      <c r="AE958" s="559"/>
      <c r="AF958" s="559"/>
      <c r="AG958" s="559"/>
    </row>
    <row r="959" spans="1:33" ht="18" x14ac:dyDescent="0.35">
      <c r="A959" s="559"/>
      <c r="B959" s="559"/>
      <c r="C959" s="559"/>
      <c r="D959" s="559"/>
      <c r="E959" s="559"/>
      <c r="F959" s="559"/>
      <c r="G959" s="559"/>
      <c r="H959" s="559"/>
      <c r="I959" s="559"/>
      <c r="J959" s="559"/>
      <c r="K959" s="559"/>
      <c r="L959" s="559"/>
      <c r="M959" s="559"/>
      <c r="N959" s="559"/>
      <c r="O959" s="559"/>
      <c r="P959" s="559"/>
      <c r="Q959" s="559"/>
      <c r="R959" s="559"/>
      <c r="S959" s="559"/>
      <c r="T959" s="559"/>
      <c r="U959" s="559"/>
      <c r="V959" s="559"/>
      <c r="W959" s="559"/>
      <c r="X959" s="559"/>
      <c r="Y959" s="559"/>
      <c r="Z959" s="559"/>
      <c r="AA959" s="559"/>
      <c r="AB959" s="559"/>
      <c r="AC959" s="559"/>
      <c r="AD959" s="559"/>
      <c r="AE959" s="559"/>
      <c r="AF959" s="559"/>
      <c r="AG959" s="559"/>
    </row>
    <row r="960" spans="1:33" ht="18" x14ac:dyDescent="0.35">
      <c r="A960" s="559"/>
      <c r="B960" s="559"/>
      <c r="C960" s="559"/>
      <c r="D960" s="559"/>
      <c r="E960" s="559"/>
      <c r="F960" s="559"/>
      <c r="G960" s="559"/>
      <c r="H960" s="559"/>
      <c r="I960" s="559"/>
      <c r="J960" s="559"/>
      <c r="K960" s="559"/>
      <c r="L960" s="559"/>
      <c r="M960" s="559"/>
      <c r="N960" s="559"/>
      <c r="O960" s="559"/>
      <c r="P960" s="559"/>
      <c r="Q960" s="559"/>
      <c r="R960" s="559"/>
      <c r="S960" s="559"/>
      <c r="T960" s="559"/>
      <c r="U960" s="559"/>
      <c r="V960" s="559"/>
      <c r="W960" s="559"/>
      <c r="X960" s="559"/>
      <c r="Y960" s="559"/>
      <c r="Z960" s="559"/>
      <c r="AA960" s="559"/>
      <c r="AB960" s="559"/>
      <c r="AC960" s="559"/>
      <c r="AD960" s="559"/>
      <c r="AE960" s="559"/>
      <c r="AF960" s="559"/>
      <c r="AG960" s="559"/>
    </row>
    <row r="961" spans="1:33" ht="18" x14ac:dyDescent="0.35">
      <c r="A961" s="559"/>
      <c r="B961" s="559"/>
      <c r="C961" s="559"/>
      <c r="D961" s="559"/>
      <c r="E961" s="559"/>
      <c r="F961" s="559"/>
      <c r="G961" s="559"/>
      <c r="H961" s="559"/>
      <c r="I961" s="559"/>
      <c r="J961" s="559"/>
      <c r="K961" s="559"/>
      <c r="L961" s="559"/>
      <c r="M961" s="559"/>
      <c r="N961" s="559"/>
      <c r="O961" s="559"/>
      <c r="P961" s="559"/>
      <c r="Q961" s="559"/>
      <c r="R961" s="559"/>
      <c r="S961" s="559"/>
      <c r="T961" s="559"/>
      <c r="U961" s="559"/>
      <c r="V961" s="559"/>
      <c r="W961" s="559"/>
      <c r="X961" s="559"/>
      <c r="Y961" s="559"/>
      <c r="Z961" s="559"/>
      <c r="AA961" s="559"/>
      <c r="AB961" s="559"/>
      <c r="AC961" s="559"/>
      <c r="AD961" s="559"/>
      <c r="AE961" s="559"/>
      <c r="AF961" s="559"/>
      <c r="AG961" s="559"/>
    </row>
    <row r="962" spans="1:33" ht="18" x14ac:dyDescent="0.35">
      <c r="A962" s="559"/>
      <c r="B962" s="559"/>
      <c r="C962" s="559"/>
      <c r="D962" s="559"/>
      <c r="E962" s="559"/>
      <c r="F962" s="559"/>
      <c r="G962" s="559"/>
      <c r="H962" s="559"/>
      <c r="I962" s="559"/>
      <c r="J962" s="559"/>
      <c r="K962" s="559"/>
      <c r="L962" s="559"/>
      <c r="M962" s="559"/>
      <c r="N962" s="559"/>
      <c r="O962" s="559"/>
      <c r="P962" s="559"/>
      <c r="Q962" s="559"/>
      <c r="R962" s="559"/>
      <c r="S962" s="559"/>
      <c r="T962" s="559"/>
      <c r="U962" s="559"/>
      <c r="V962" s="559"/>
      <c r="W962" s="559"/>
      <c r="X962" s="559"/>
      <c r="Y962" s="559"/>
      <c r="Z962" s="559"/>
      <c r="AA962" s="559"/>
      <c r="AB962" s="559"/>
      <c r="AC962" s="559"/>
      <c r="AD962" s="559"/>
      <c r="AE962" s="559"/>
      <c r="AF962" s="559"/>
      <c r="AG962" s="559"/>
    </row>
    <row r="963" spans="1:33" ht="18" x14ac:dyDescent="0.35">
      <c r="A963" s="559"/>
      <c r="B963" s="559"/>
      <c r="C963" s="559"/>
      <c r="D963" s="559"/>
      <c r="E963" s="559"/>
      <c r="F963" s="559"/>
      <c r="G963" s="559"/>
      <c r="H963" s="559"/>
      <c r="I963" s="559"/>
      <c r="J963" s="559"/>
      <c r="K963" s="559"/>
      <c r="L963" s="559"/>
      <c r="M963" s="559"/>
      <c r="N963" s="559"/>
      <c r="O963" s="559"/>
      <c r="P963" s="559"/>
      <c r="Q963" s="559"/>
      <c r="R963" s="559"/>
      <c r="S963" s="559"/>
      <c r="T963" s="559"/>
      <c r="U963" s="559"/>
      <c r="V963" s="559"/>
      <c r="W963" s="559"/>
      <c r="X963" s="559"/>
      <c r="Y963" s="559"/>
      <c r="Z963" s="559"/>
      <c r="AA963" s="559"/>
      <c r="AB963" s="559"/>
      <c r="AC963" s="559"/>
      <c r="AD963" s="559"/>
      <c r="AE963" s="559"/>
      <c r="AF963" s="559"/>
      <c r="AG963" s="559"/>
    </row>
    <row r="964" spans="1:33" ht="18" x14ac:dyDescent="0.35">
      <c r="A964" s="559"/>
      <c r="B964" s="559"/>
      <c r="C964" s="559"/>
      <c r="D964" s="559"/>
      <c r="E964" s="559"/>
      <c r="F964" s="559"/>
      <c r="G964" s="559"/>
      <c r="H964" s="559"/>
      <c r="I964" s="559"/>
      <c r="J964" s="559"/>
      <c r="K964" s="559"/>
      <c r="L964" s="559"/>
      <c r="M964" s="559"/>
      <c r="N964" s="559"/>
      <c r="O964" s="559"/>
      <c r="P964" s="559"/>
      <c r="Q964" s="559"/>
      <c r="R964" s="559"/>
      <c r="S964" s="559"/>
      <c r="T964" s="559"/>
      <c r="U964" s="559"/>
      <c r="V964" s="559"/>
      <c r="W964" s="559"/>
      <c r="X964" s="559"/>
      <c r="Y964" s="559"/>
      <c r="Z964" s="559"/>
      <c r="AA964" s="559"/>
      <c r="AB964" s="559"/>
      <c r="AC964" s="559"/>
      <c r="AD964" s="559"/>
      <c r="AE964" s="559"/>
      <c r="AF964" s="559"/>
      <c r="AG964" s="559"/>
    </row>
    <row r="965" spans="1:33" ht="18" x14ac:dyDescent="0.35">
      <c r="A965" s="559"/>
      <c r="B965" s="559"/>
      <c r="C965" s="559"/>
      <c r="D965" s="559"/>
      <c r="E965" s="559"/>
      <c r="F965" s="559"/>
      <c r="G965" s="559"/>
      <c r="H965" s="559"/>
      <c r="I965" s="559"/>
      <c r="J965" s="559"/>
      <c r="K965" s="559"/>
      <c r="L965" s="559"/>
      <c r="M965" s="559"/>
      <c r="N965" s="559"/>
      <c r="O965" s="559"/>
      <c r="P965" s="559"/>
      <c r="Q965" s="559"/>
      <c r="R965" s="559"/>
      <c r="S965" s="559"/>
      <c r="T965" s="559"/>
      <c r="U965" s="559"/>
      <c r="V965" s="559"/>
      <c r="W965" s="559"/>
      <c r="X965" s="559"/>
      <c r="Y965" s="559"/>
      <c r="Z965" s="559"/>
      <c r="AA965" s="559"/>
      <c r="AB965" s="559"/>
      <c r="AC965" s="559"/>
      <c r="AD965" s="559"/>
      <c r="AE965" s="559"/>
      <c r="AF965" s="559"/>
      <c r="AG965" s="559"/>
    </row>
    <row r="966" spans="1:33" ht="18" x14ac:dyDescent="0.35">
      <c r="A966" s="559"/>
      <c r="B966" s="559"/>
      <c r="C966" s="559"/>
      <c r="D966" s="559"/>
      <c r="E966" s="559"/>
      <c r="F966" s="559"/>
      <c r="G966" s="559"/>
      <c r="H966" s="559"/>
      <c r="I966" s="559"/>
      <c r="J966" s="559"/>
      <c r="K966" s="559"/>
      <c r="L966" s="559"/>
      <c r="M966" s="559"/>
      <c r="N966" s="559"/>
      <c r="O966" s="559"/>
      <c r="P966" s="559"/>
      <c r="Q966" s="559"/>
      <c r="R966" s="559"/>
      <c r="S966" s="559"/>
      <c r="T966" s="559"/>
      <c r="U966" s="559"/>
      <c r="V966" s="559"/>
      <c r="W966" s="559"/>
      <c r="X966" s="559"/>
      <c r="Y966" s="559"/>
      <c r="Z966" s="559"/>
      <c r="AA966" s="559"/>
      <c r="AB966" s="559"/>
      <c r="AC966" s="559"/>
      <c r="AD966" s="559"/>
      <c r="AE966" s="559"/>
      <c r="AF966" s="559"/>
      <c r="AG966" s="559"/>
    </row>
    <row r="967" spans="1:33" ht="18" x14ac:dyDescent="0.35">
      <c r="A967" s="559"/>
      <c r="B967" s="559"/>
      <c r="C967" s="559"/>
      <c r="D967" s="559"/>
      <c r="E967" s="559"/>
      <c r="F967" s="559"/>
      <c r="G967" s="559"/>
      <c r="H967" s="559"/>
      <c r="I967" s="559"/>
      <c r="J967" s="559"/>
      <c r="K967" s="559"/>
      <c r="L967" s="559"/>
      <c r="M967" s="559"/>
      <c r="N967" s="559"/>
      <c r="O967" s="559"/>
      <c r="P967" s="559"/>
      <c r="Q967" s="559"/>
      <c r="R967" s="559"/>
      <c r="S967" s="559"/>
      <c r="T967" s="559"/>
      <c r="U967" s="559"/>
      <c r="V967" s="559"/>
      <c r="W967" s="559"/>
      <c r="X967" s="559"/>
      <c r="Y967" s="559"/>
      <c r="Z967" s="559"/>
      <c r="AA967" s="559"/>
      <c r="AB967" s="559"/>
      <c r="AC967" s="559"/>
      <c r="AD967" s="559"/>
      <c r="AE967" s="559"/>
      <c r="AF967" s="559"/>
      <c r="AG967" s="559"/>
    </row>
    <row r="968" spans="1:33" ht="18" x14ac:dyDescent="0.35">
      <c r="A968" s="559"/>
      <c r="B968" s="559"/>
      <c r="C968" s="559"/>
      <c r="D968" s="559"/>
      <c r="E968" s="559"/>
      <c r="F968" s="559"/>
      <c r="G968" s="559"/>
      <c r="H968" s="559"/>
      <c r="I968" s="559"/>
      <c r="J968" s="559"/>
      <c r="K968" s="559"/>
      <c r="L968" s="559"/>
      <c r="M968" s="559"/>
      <c r="N968" s="559"/>
      <c r="O968" s="559"/>
      <c r="P968" s="559"/>
      <c r="Q968" s="559"/>
      <c r="R968" s="559"/>
      <c r="S968" s="559"/>
      <c r="T968" s="559"/>
      <c r="U968" s="559"/>
      <c r="V968" s="559"/>
      <c r="W968" s="559"/>
      <c r="X968" s="559"/>
      <c r="Y968" s="559"/>
      <c r="Z968" s="559"/>
      <c r="AA968" s="559"/>
      <c r="AB968" s="559"/>
      <c r="AC968" s="559"/>
      <c r="AD968" s="559"/>
      <c r="AE968" s="559"/>
      <c r="AF968" s="559"/>
      <c r="AG968" s="559"/>
    </row>
    <row r="969" spans="1:33" ht="18" x14ac:dyDescent="0.35">
      <c r="A969" s="559"/>
      <c r="B969" s="559"/>
      <c r="C969" s="559"/>
      <c r="D969" s="559"/>
      <c r="E969" s="559"/>
      <c r="F969" s="559"/>
      <c r="G969" s="559"/>
      <c r="H969" s="559"/>
      <c r="I969" s="559"/>
      <c r="J969" s="559"/>
      <c r="K969" s="559"/>
      <c r="L969" s="559"/>
      <c r="M969" s="559"/>
      <c r="N969" s="559"/>
      <c r="O969" s="559"/>
      <c r="P969" s="559"/>
      <c r="Q969" s="559"/>
      <c r="R969" s="559"/>
      <c r="S969" s="559"/>
      <c r="T969" s="559"/>
      <c r="U969" s="559"/>
      <c r="V969" s="559"/>
      <c r="W969" s="559"/>
      <c r="X969" s="559"/>
      <c r="Y969" s="559"/>
      <c r="Z969" s="559"/>
      <c r="AA969" s="559"/>
      <c r="AB969" s="559"/>
      <c r="AC969" s="559"/>
      <c r="AD969" s="559"/>
      <c r="AE969" s="559"/>
      <c r="AF969" s="559"/>
      <c r="AG969" s="559"/>
    </row>
    <row r="970" spans="1:33" ht="18" x14ac:dyDescent="0.35">
      <c r="A970" s="559"/>
      <c r="B970" s="559"/>
      <c r="C970" s="559"/>
      <c r="D970" s="559"/>
      <c r="E970" s="559"/>
      <c r="F970" s="559"/>
      <c r="G970" s="559"/>
      <c r="H970" s="559"/>
      <c r="I970" s="559"/>
      <c r="J970" s="559"/>
      <c r="K970" s="559"/>
      <c r="L970" s="559"/>
      <c r="M970" s="559"/>
      <c r="N970" s="559"/>
      <c r="O970" s="559"/>
      <c r="P970" s="559"/>
      <c r="Q970" s="559"/>
      <c r="R970" s="559"/>
      <c r="S970" s="559"/>
      <c r="T970" s="559"/>
      <c r="U970" s="559"/>
      <c r="V970" s="559"/>
      <c r="W970" s="559"/>
      <c r="X970" s="559"/>
      <c r="Y970" s="559"/>
      <c r="Z970" s="559"/>
      <c r="AA970" s="559"/>
      <c r="AB970" s="559"/>
      <c r="AC970" s="559"/>
      <c r="AD970" s="559"/>
      <c r="AE970" s="559"/>
      <c r="AF970" s="559"/>
      <c r="AG970" s="559"/>
    </row>
    <row r="971" spans="1:33" ht="18" x14ac:dyDescent="0.35">
      <c r="A971" s="559"/>
      <c r="B971" s="559"/>
      <c r="C971" s="559"/>
      <c r="D971" s="559"/>
      <c r="E971" s="559"/>
      <c r="F971" s="559"/>
      <c r="G971" s="559"/>
      <c r="H971" s="559"/>
      <c r="I971" s="559"/>
      <c r="J971" s="559"/>
      <c r="K971" s="559"/>
      <c r="L971" s="559"/>
      <c r="M971" s="559"/>
      <c r="N971" s="559"/>
      <c r="O971" s="559"/>
      <c r="P971" s="559"/>
      <c r="Q971" s="559"/>
      <c r="R971" s="559"/>
      <c r="S971" s="559"/>
      <c r="T971" s="559"/>
      <c r="U971" s="559"/>
      <c r="V971" s="559"/>
      <c r="W971" s="559"/>
      <c r="X971" s="559"/>
      <c r="Y971" s="559"/>
      <c r="Z971" s="559"/>
      <c r="AA971" s="559"/>
      <c r="AB971" s="559"/>
      <c r="AC971" s="559"/>
      <c r="AD971" s="559"/>
      <c r="AE971" s="559"/>
      <c r="AF971" s="559"/>
      <c r="AG971" s="559"/>
    </row>
    <row r="972" spans="1:33" ht="18" x14ac:dyDescent="0.35">
      <c r="A972" s="559"/>
      <c r="B972" s="559"/>
      <c r="C972" s="559"/>
      <c r="D972" s="559"/>
      <c r="E972" s="559"/>
      <c r="F972" s="559"/>
      <c r="G972" s="559"/>
      <c r="H972" s="559"/>
      <c r="I972" s="559"/>
      <c r="J972" s="559"/>
      <c r="K972" s="559"/>
      <c r="L972" s="559"/>
      <c r="M972" s="559"/>
      <c r="N972" s="559"/>
      <c r="O972" s="559"/>
      <c r="P972" s="559"/>
      <c r="Q972" s="559"/>
      <c r="R972" s="559"/>
      <c r="S972" s="559"/>
      <c r="T972" s="559"/>
      <c r="U972" s="559"/>
      <c r="V972" s="559"/>
      <c r="W972" s="559"/>
      <c r="X972" s="559"/>
      <c r="Y972" s="559"/>
      <c r="Z972" s="559"/>
      <c r="AA972" s="559"/>
      <c r="AB972" s="559"/>
      <c r="AC972" s="559"/>
      <c r="AD972" s="559"/>
      <c r="AE972" s="559"/>
      <c r="AF972" s="559"/>
      <c r="AG972" s="559"/>
    </row>
    <row r="973" spans="1:33" ht="18" x14ac:dyDescent="0.35">
      <c r="A973" s="559"/>
      <c r="B973" s="559"/>
      <c r="C973" s="559"/>
      <c r="D973" s="559"/>
      <c r="E973" s="559"/>
      <c r="F973" s="559"/>
      <c r="G973" s="559"/>
      <c r="H973" s="559"/>
      <c r="I973" s="559"/>
      <c r="J973" s="559"/>
      <c r="K973" s="559"/>
      <c r="L973" s="559"/>
      <c r="M973" s="559"/>
      <c r="N973" s="559"/>
      <c r="O973" s="559"/>
      <c r="P973" s="559"/>
      <c r="Q973" s="559"/>
      <c r="R973" s="559"/>
      <c r="S973" s="559"/>
      <c r="T973" s="559"/>
      <c r="U973" s="559"/>
      <c r="V973" s="559"/>
      <c r="W973" s="559"/>
      <c r="X973" s="559"/>
      <c r="Y973" s="559"/>
      <c r="Z973" s="559"/>
      <c r="AA973" s="559"/>
      <c r="AB973" s="559"/>
      <c r="AC973" s="559"/>
      <c r="AD973" s="559"/>
      <c r="AE973" s="559"/>
      <c r="AF973" s="559"/>
      <c r="AG973" s="559"/>
    </row>
    <row r="974" spans="1:33" ht="18" x14ac:dyDescent="0.35">
      <c r="A974" s="559"/>
      <c r="B974" s="559"/>
      <c r="C974" s="559"/>
      <c r="D974" s="559"/>
      <c r="E974" s="559"/>
      <c r="F974" s="559"/>
      <c r="G974" s="559"/>
      <c r="H974" s="559"/>
      <c r="I974" s="559"/>
      <c r="J974" s="559"/>
      <c r="K974" s="559"/>
      <c r="L974" s="559"/>
      <c r="M974" s="559"/>
      <c r="N974" s="559"/>
      <c r="O974" s="559"/>
      <c r="P974" s="559"/>
      <c r="Q974" s="559"/>
      <c r="R974" s="559"/>
      <c r="S974" s="559"/>
      <c r="T974" s="559"/>
      <c r="U974" s="559"/>
      <c r="V974" s="559"/>
      <c r="W974" s="559"/>
      <c r="X974" s="559"/>
      <c r="Y974" s="559"/>
      <c r="Z974" s="559"/>
      <c r="AA974" s="559"/>
      <c r="AB974" s="559"/>
      <c r="AC974" s="559"/>
      <c r="AD974" s="559"/>
      <c r="AE974" s="559"/>
      <c r="AF974" s="559"/>
      <c r="AG974" s="559"/>
    </row>
    <row r="975" spans="1:33" ht="18" x14ac:dyDescent="0.35">
      <c r="A975" s="559"/>
      <c r="B975" s="559"/>
      <c r="C975" s="559"/>
      <c r="D975" s="559"/>
      <c r="E975" s="559"/>
      <c r="F975" s="559"/>
      <c r="G975" s="559"/>
      <c r="H975" s="559"/>
      <c r="I975" s="559"/>
      <c r="J975" s="559"/>
      <c r="K975" s="559"/>
      <c r="L975" s="559"/>
      <c r="M975" s="559"/>
      <c r="N975" s="559"/>
      <c r="O975" s="559"/>
      <c r="P975" s="559"/>
      <c r="Q975" s="559"/>
      <c r="R975" s="559"/>
      <c r="S975" s="559"/>
      <c r="T975" s="559"/>
      <c r="U975" s="559"/>
      <c r="V975" s="559"/>
      <c r="W975" s="559"/>
      <c r="X975" s="559"/>
      <c r="Y975" s="559"/>
      <c r="Z975" s="559"/>
      <c r="AA975" s="559"/>
      <c r="AB975" s="559"/>
      <c r="AC975" s="559"/>
      <c r="AD975" s="559"/>
      <c r="AE975" s="559"/>
      <c r="AF975" s="559"/>
      <c r="AG975" s="559"/>
    </row>
    <row r="976" spans="1:33" ht="18" x14ac:dyDescent="0.35">
      <c r="A976" s="559"/>
      <c r="B976" s="559"/>
      <c r="C976" s="559"/>
      <c r="D976" s="559"/>
      <c r="E976" s="559"/>
      <c r="F976" s="559"/>
      <c r="G976" s="559"/>
      <c r="H976" s="559"/>
      <c r="I976" s="559"/>
      <c r="J976" s="559"/>
      <c r="K976" s="559"/>
      <c r="L976" s="559"/>
      <c r="M976" s="559"/>
      <c r="N976" s="559"/>
      <c r="O976" s="559"/>
      <c r="P976" s="559"/>
      <c r="Q976" s="559"/>
      <c r="R976" s="559"/>
      <c r="S976" s="559"/>
      <c r="T976" s="559"/>
      <c r="U976" s="559"/>
      <c r="V976" s="559"/>
      <c r="W976" s="559"/>
      <c r="X976" s="559"/>
      <c r="Y976" s="559"/>
      <c r="Z976" s="559"/>
      <c r="AA976" s="559"/>
      <c r="AB976" s="559"/>
      <c r="AC976" s="559"/>
      <c r="AD976" s="559"/>
      <c r="AE976" s="559"/>
      <c r="AF976" s="559"/>
      <c r="AG976" s="559"/>
    </row>
    <row r="977" spans="1:33" ht="18" x14ac:dyDescent="0.35">
      <c r="A977" s="559"/>
      <c r="B977" s="559"/>
      <c r="C977" s="559"/>
      <c r="D977" s="559"/>
      <c r="E977" s="559"/>
      <c r="F977" s="559"/>
      <c r="G977" s="559"/>
      <c r="H977" s="559"/>
      <c r="I977" s="559"/>
      <c r="J977" s="559"/>
      <c r="K977" s="559"/>
      <c r="L977" s="559"/>
      <c r="M977" s="559"/>
      <c r="N977" s="559"/>
      <c r="O977" s="559"/>
      <c r="P977" s="559"/>
      <c r="Q977" s="559"/>
      <c r="R977" s="559"/>
      <c r="S977" s="559"/>
      <c r="T977" s="559"/>
      <c r="U977" s="559"/>
      <c r="V977" s="559"/>
      <c r="W977" s="559"/>
      <c r="X977" s="559"/>
      <c r="Y977" s="559"/>
      <c r="Z977" s="559"/>
      <c r="AA977" s="559"/>
      <c r="AB977" s="559"/>
      <c r="AC977" s="559"/>
      <c r="AD977" s="559"/>
      <c r="AE977" s="559"/>
      <c r="AF977" s="559"/>
      <c r="AG977" s="559"/>
    </row>
    <row r="978" spans="1:33" ht="18" x14ac:dyDescent="0.35">
      <c r="A978" s="559"/>
      <c r="B978" s="559"/>
      <c r="C978" s="559"/>
      <c r="D978" s="559"/>
      <c r="E978" s="559"/>
      <c r="F978" s="559"/>
      <c r="G978" s="559"/>
      <c r="H978" s="559"/>
      <c r="I978" s="559"/>
      <c r="J978" s="559"/>
      <c r="K978" s="559"/>
      <c r="L978" s="559"/>
      <c r="M978" s="559"/>
      <c r="N978" s="559"/>
      <c r="O978" s="559"/>
      <c r="P978" s="559"/>
      <c r="Q978" s="559"/>
      <c r="R978" s="559"/>
      <c r="S978" s="559"/>
      <c r="T978" s="559"/>
      <c r="U978" s="559"/>
      <c r="V978" s="559"/>
      <c r="W978" s="559"/>
      <c r="X978" s="559"/>
      <c r="Y978" s="559"/>
      <c r="Z978" s="559"/>
      <c r="AA978" s="559"/>
      <c r="AB978" s="559"/>
      <c r="AC978" s="559"/>
      <c r="AD978" s="559"/>
      <c r="AE978" s="559"/>
      <c r="AF978" s="559"/>
      <c r="AG978" s="559"/>
    </row>
    <row r="979" spans="1:33" ht="18" x14ac:dyDescent="0.35">
      <c r="A979" s="559"/>
      <c r="B979" s="559"/>
      <c r="C979" s="559"/>
      <c r="D979" s="559"/>
      <c r="E979" s="559"/>
      <c r="F979" s="559"/>
      <c r="G979" s="559"/>
      <c r="H979" s="559"/>
      <c r="I979" s="559"/>
      <c r="J979" s="559"/>
      <c r="K979" s="559"/>
      <c r="L979" s="559"/>
      <c r="M979" s="559"/>
      <c r="N979" s="559"/>
      <c r="O979" s="559"/>
      <c r="P979" s="559"/>
      <c r="Q979" s="559"/>
      <c r="R979" s="559"/>
      <c r="S979" s="559"/>
      <c r="T979" s="559"/>
      <c r="U979" s="559"/>
      <c r="V979" s="559"/>
      <c r="W979" s="559"/>
      <c r="X979" s="559"/>
      <c r="Y979" s="559"/>
      <c r="Z979" s="559"/>
      <c r="AA979" s="559"/>
      <c r="AB979" s="559"/>
      <c r="AC979" s="559"/>
      <c r="AD979" s="559"/>
      <c r="AE979" s="559"/>
      <c r="AF979" s="559"/>
      <c r="AG979" s="559"/>
    </row>
    <row r="980" spans="1:33" ht="18" x14ac:dyDescent="0.35">
      <c r="A980" s="559"/>
      <c r="B980" s="559"/>
      <c r="C980" s="559"/>
      <c r="D980" s="559"/>
      <c r="E980" s="559"/>
      <c r="F980" s="559"/>
      <c r="G980" s="559"/>
      <c r="H980" s="559"/>
      <c r="I980" s="559"/>
      <c r="J980" s="559"/>
      <c r="K980" s="559"/>
      <c r="L980" s="559"/>
      <c r="M980" s="559"/>
      <c r="N980" s="559"/>
      <c r="O980" s="559"/>
      <c r="P980" s="559"/>
      <c r="Q980" s="559"/>
      <c r="R980" s="559"/>
      <c r="S980" s="559"/>
      <c r="T980" s="559"/>
      <c r="U980" s="559"/>
      <c r="V980" s="559"/>
      <c r="W980" s="559"/>
      <c r="X980" s="559"/>
      <c r="Y980" s="559"/>
      <c r="Z980" s="559"/>
      <c r="AA980" s="559"/>
      <c r="AB980" s="559"/>
      <c r="AC980" s="559"/>
      <c r="AD980" s="559"/>
      <c r="AE980" s="559"/>
      <c r="AF980" s="559"/>
      <c r="AG980" s="559"/>
    </row>
    <row r="981" spans="1:33" ht="18" x14ac:dyDescent="0.35">
      <c r="A981" s="559"/>
      <c r="B981" s="559"/>
      <c r="C981" s="559"/>
      <c r="D981" s="559"/>
      <c r="E981" s="559"/>
      <c r="F981" s="559"/>
      <c r="G981" s="559"/>
      <c r="H981" s="559"/>
      <c r="I981" s="559"/>
      <c r="J981" s="559"/>
      <c r="K981" s="559"/>
      <c r="L981" s="559"/>
      <c r="M981" s="559"/>
      <c r="N981" s="559"/>
      <c r="O981" s="559"/>
      <c r="P981" s="559"/>
      <c r="Q981" s="559"/>
      <c r="R981" s="559"/>
      <c r="S981" s="559"/>
      <c r="T981" s="559"/>
      <c r="U981" s="559"/>
      <c r="V981" s="559"/>
      <c r="W981" s="559"/>
      <c r="X981" s="559"/>
      <c r="Y981" s="559"/>
      <c r="Z981" s="559"/>
      <c r="AA981" s="559"/>
      <c r="AB981" s="559"/>
      <c r="AC981" s="559"/>
      <c r="AD981" s="559"/>
      <c r="AE981" s="559"/>
      <c r="AF981" s="559"/>
      <c r="AG981" s="559"/>
    </row>
    <row r="982" spans="1:33" ht="18" x14ac:dyDescent="0.35">
      <c r="A982" s="559"/>
      <c r="B982" s="559"/>
      <c r="C982" s="559"/>
      <c r="D982" s="559"/>
      <c r="E982" s="559"/>
      <c r="F982" s="559"/>
      <c r="G982" s="559"/>
      <c r="H982" s="559"/>
      <c r="I982" s="559"/>
      <c r="J982" s="559"/>
      <c r="K982" s="559"/>
      <c r="L982" s="559"/>
      <c r="M982" s="559"/>
      <c r="N982" s="559"/>
      <c r="O982" s="559"/>
      <c r="P982" s="559"/>
      <c r="Q982" s="559"/>
      <c r="R982" s="559"/>
      <c r="S982" s="559"/>
      <c r="T982" s="559"/>
      <c r="U982" s="559"/>
      <c r="V982" s="559"/>
      <c r="W982" s="559"/>
      <c r="X982" s="559"/>
      <c r="Y982" s="559"/>
      <c r="Z982" s="559"/>
      <c r="AA982" s="559"/>
      <c r="AB982" s="559"/>
      <c r="AC982" s="559"/>
      <c r="AD982" s="559"/>
      <c r="AE982" s="559"/>
      <c r="AF982" s="559"/>
      <c r="AG982" s="559"/>
    </row>
    <row r="983" spans="1:33" ht="18" x14ac:dyDescent="0.35">
      <c r="A983" s="559"/>
      <c r="B983" s="559"/>
      <c r="C983" s="559"/>
      <c r="D983" s="559"/>
      <c r="E983" s="559"/>
      <c r="F983" s="559"/>
      <c r="G983" s="559"/>
      <c r="H983" s="559"/>
      <c r="I983" s="559"/>
      <c r="J983" s="559"/>
      <c r="K983" s="559"/>
      <c r="L983" s="559"/>
      <c r="M983" s="559"/>
      <c r="N983" s="559"/>
      <c r="O983" s="559"/>
      <c r="P983" s="559"/>
      <c r="Q983" s="559"/>
      <c r="R983" s="559"/>
      <c r="S983" s="559"/>
      <c r="T983" s="559"/>
      <c r="U983" s="559"/>
      <c r="V983" s="559"/>
      <c r="W983" s="559"/>
      <c r="X983" s="559"/>
      <c r="Y983" s="559"/>
      <c r="Z983" s="559"/>
      <c r="AA983" s="559"/>
      <c r="AB983" s="559"/>
      <c r="AC983" s="559"/>
      <c r="AD983" s="559"/>
      <c r="AE983" s="559"/>
      <c r="AF983" s="559"/>
      <c r="AG983" s="559"/>
    </row>
    <row r="984" spans="1:33" ht="18" x14ac:dyDescent="0.35">
      <c r="A984" s="559"/>
      <c r="B984" s="559"/>
      <c r="C984" s="559"/>
      <c r="D984" s="559"/>
      <c r="E984" s="559"/>
      <c r="F984" s="559"/>
      <c r="G984" s="559"/>
      <c r="H984" s="559"/>
      <c r="I984" s="559"/>
      <c r="J984" s="559"/>
      <c r="K984" s="559"/>
      <c r="L984" s="559"/>
      <c r="M984" s="559"/>
      <c r="N984" s="559"/>
      <c r="O984" s="559"/>
      <c r="P984" s="559"/>
      <c r="Q984" s="559"/>
      <c r="R984" s="559"/>
      <c r="S984" s="559"/>
      <c r="T984" s="559"/>
      <c r="U984" s="559"/>
      <c r="V984" s="559"/>
      <c r="W984" s="559"/>
      <c r="X984" s="559"/>
      <c r="Y984" s="559"/>
      <c r="Z984" s="559"/>
      <c r="AA984" s="559"/>
      <c r="AB984" s="559"/>
      <c r="AC984" s="559"/>
      <c r="AD984" s="559"/>
      <c r="AE984" s="559"/>
      <c r="AF984" s="559"/>
      <c r="AG984" s="559"/>
    </row>
    <row r="985" spans="1:33" ht="18" x14ac:dyDescent="0.35">
      <c r="A985" s="559"/>
      <c r="B985" s="559"/>
      <c r="C985" s="559"/>
      <c r="D985" s="559"/>
      <c r="E985" s="559"/>
      <c r="F985" s="559"/>
      <c r="G985" s="559"/>
      <c r="H985" s="559"/>
      <c r="I985" s="559"/>
      <c r="J985" s="559"/>
      <c r="K985" s="559"/>
      <c r="L985" s="559"/>
      <c r="M985" s="559"/>
      <c r="N985" s="559"/>
      <c r="O985" s="559"/>
      <c r="P985" s="559"/>
      <c r="Q985" s="559"/>
      <c r="R985" s="559"/>
      <c r="S985" s="559"/>
      <c r="T985" s="559"/>
      <c r="U985" s="559"/>
      <c r="V985" s="559"/>
      <c r="W985" s="559"/>
      <c r="X985" s="559"/>
      <c r="Y985" s="559"/>
      <c r="Z985" s="559"/>
      <c r="AA985" s="559"/>
      <c r="AB985" s="559"/>
      <c r="AC985" s="559"/>
      <c r="AD985" s="559"/>
      <c r="AE985" s="559"/>
      <c r="AF985" s="559"/>
      <c r="AG985" s="559"/>
    </row>
    <row r="986" spans="1:33" ht="18" x14ac:dyDescent="0.35">
      <c r="A986" s="559"/>
      <c r="B986" s="559"/>
      <c r="C986" s="559"/>
      <c r="D986" s="559"/>
      <c r="E986" s="559"/>
      <c r="F986" s="559"/>
      <c r="G986" s="559"/>
      <c r="H986" s="559"/>
      <c r="I986" s="559"/>
      <c r="J986" s="559"/>
      <c r="K986" s="559"/>
      <c r="L986" s="559"/>
      <c r="M986" s="559"/>
      <c r="N986" s="559"/>
      <c r="O986" s="559"/>
      <c r="P986" s="559"/>
      <c r="Q986" s="559"/>
      <c r="R986" s="559"/>
      <c r="S986" s="559"/>
      <c r="T986" s="559"/>
      <c r="U986" s="559"/>
      <c r="V986" s="559"/>
      <c r="W986" s="559"/>
      <c r="X986" s="559"/>
      <c r="Y986" s="559"/>
      <c r="Z986" s="559"/>
      <c r="AA986" s="559"/>
      <c r="AB986" s="559"/>
      <c r="AC986" s="559"/>
      <c r="AD986" s="559"/>
      <c r="AE986" s="559"/>
      <c r="AF986" s="559"/>
      <c r="AG986" s="559"/>
    </row>
    <row r="987" spans="1:33" ht="18" x14ac:dyDescent="0.35">
      <c r="A987" s="559"/>
      <c r="B987" s="559"/>
      <c r="C987" s="559"/>
      <c r="D987" s="559"/>
      <c r="E987" s="559"/>
      <c r="F987" s="559"/>
      <c r="G987" s="559"/>
      <c r="H987" s="559"/>
      <c r="I987" s="559"/>
      <c r="J987" s="559"/>
      <c r="K987" s="559"/>
      <c r="L987" s="559"/>
      <c r="M987" s="559"/>
      <c r="N987" s="559"/>
      <c r="O987" s="559"/>
      <c r="P987" s="559"/>
      <c r="Q987" s="559"/>
      <c r="R987" s="559"/>
      <c r="S987" s="559"/>
      <c r="T987" s="559"/>
      <c r="U987" s="559"/>
      <c r="V987" s="559"/>
      <c r="W987" s="559"/>
      <c r="X987" s="559"/>
      <c r="Y987" s="559"/>
      <c r="Z987" s="559"/>
      <c r="AA987" s="559"/>
      <c r="AB987" s="559"/>
      <c r="AC987" s="559"/>
      <c r="AD987" s="559"/>
      <c r="AE987" s="559"/>
      <c r="AF987" s="559"/>
      <c r="AG987" s="559"/>
    </row>
    <row r="988" spans="1:33" ht="18" x14ac:dyDescent="0.35">
      <c r="A988" s="559"/>
      <c r="B988" s="559"/>
      <c r="C988" s="559"/>
      <c r="D988" s="559"/>
      <c r="E988" s="559"/>
      <c r="F988" s="559"/>
      <c r="G988" s="559"/>
      <c r="H988" s="559"/>
      <c r="I988" s="559"/>
      <c r="J988" s="559"/>
      <c r="K988" s="559"/>
      <c r="L988" s="559"/>
      <c r="M988" s="559"/>
      <c r="N988" s="559"/>
      <c r="O988" s="559"/>
      <c r="P988" s="559"/>
      <c r="Q988" s="559"/>
      <c r="R988" s="559"/>
      <c r="S988" s="559"/>
      <c r="T988" s="559"/>
      <c r="U988" s="559"/>
      <c r="V988" s="559"/>
      <c r="W988" s="559"/>
      <c r="X988" s="559"/>
      <c r="Y988" s="559"/>
      <c r="Z988" s="559"/>
      <c r="AA988" s="559"/>
      <c r="AB988" s="559"/>
      <c r="AC988" s="559"/>
      <c r="AD988" s="559"/>
      <c r="AE988" s="559"/>
      <c r="AF988" s="559"/>
      <c r="AG988" s="559"/>
    </row>
    <row r="989" spans="1:33" ht="18" x14ac:dyDescent="0.35">
      <c r="A989" s="559"/>
      <c r="B989" s="559"/>
      <c r="C989" s="559"/>
      <c r="D989" s="559"/>
      <c r="E989" s="559"/>
      <c r="F989" s="559"/>
      <c r="G989" s="559"/>
      <c r="H989" s="559"/>
      <c r="I989" s="559"/>
      <c r="J989" s="559"/>
      <c r="K989" s="559"/>
      <c r="L989" s="559"/>
      <c r="M989" s="559"/>
      <c r="N989" s="559"/>
      <c r="O989" s="559"/>
      <c r="P989" s="559"/>
      <c r="Q989" s="559"/>
      <c r="R989" s="559"/>
      <c r="S989" s="559"/>
      <c r="T989" s="559"/>
      <c r="U989" s="559"/>
      <c r="V989" s="559"/>
      <c r="W989" s="559"/>
      <c r="X989" s="559"/>
      <c r="Y989" s="559"/>
      <c r="Z989" s="559"/>
      <c r="AA989" s="559"/>
      <c r="AB989" s="559"/>
      <c r="AC989" s="559"/>
      <c r="AD989" s="559"/>
      <c r="AE989" s="559"/>
      <c r="AF989" s="559"/>
      <c r="AG989" s="559"/>
    </row>
    <row r="990" spans="1:33" ht="18" x14ac:dyDescent="0.35">
      <c r="A990" s="559"/>
      <c r="B990" s="559"/>
      <c r="C990" s="559"/>
      <c r="D990" s="559"/>
      <c r="E990" s="559"/>
      <c r="F990" s="559"/>
      <c r="G990" s="559"/>
      <c r="H990" s="559"/>
      <c r="I990" s="559"/>
      <c r="J990" s="559"/>
      <c r="K990" s="559"/>
      <c r="L990" s="559"/>
      <c r="M990" s="559"/>
      <c r="N990" s="559"/>
      <c r="O990" s="559"/>
      <c r="P990" s="559"/>
      <c r="Q990" s="559"/>
      <c r="R990" s="559"/>
      <c r="S990" s="559"/>
      <c r="T990" s="559"/>
      <c r="U990" s="559"/>
      <c r="V990" s="559"/>
      <c r="W990" s="559"/>
      <c r="X990" s="559"/>
      <c r="Y990" s="559"/>
      <c r="Z990" s="559"/>
      <c r="AA990" s="559"/>
      <c r="AB990" s="559"/>
      <c r="AC990" s="559"/>
      <c r="AD990" s="559"/>
      <c r="AE990" s="559"/>
      <c r="AF990" s="559"/>
      <c r="AG990" s="559"/>
    </row>
    <row r="991" spans="1:33" ht="18" x14ac:dyDescent="0.35">
      <c r="A991" s="559"/>
      <c r="B991" s="559"/>
      <c r="C991" s="559"/>
      <c r="D991" s="559"/>
      <c r="E991" s="559"/>
      <c r="F991" s="559"/>
      <c r="G991" s="559"/>
      <c r="H991" s="559"/>
      <c r="I991" s="559"/>
      <c r="J991" s="559"/>
      <c r="K991" s="559"/>
      <c r="L991" s="559"/>
      <c r="M991" s="559"/>
      <c r="N991" s="559"/>
      <c r="O991" s="559"/>
      <c r="P991" s="559"/>
      <c r="Q991" s="559"/>
      <c r="R991" s="559"/>
      <c r="S991" s="559"/>
      <c r="T991" s="559"/>
      <c r="U991" s="559"/>
      <c r="V991" s="559"/>
      <c r="W991" s="559"/>
      <c r="X991" s="559"/>
      <c r="Y991" s="559"/>
      <c r="Z991" s="559"/>
      <c r="AA991" s="559"/>
      <c r="AB991" s="559"/>
      <c r="AC991" s="559"/>
      <c r="AD991" s="559"/>
      <c r="AE991" s="559"/>
      <c r="AF991" s="559"/>
      <c r="AG991" s="559"/>
    </row>
    <row r="992" spans="1:33" ht="18" x14ac:dyDescent="0.35">
      <c r="A992" s="559"/>
      <c r="B992" s="559"/>
      <c r="C992" s="559"/>
      <c r="D992" s="559"/>
      <c r="E992" s="559"/>
      <c r="F992" s="559"/>
      <c r="G992" s="559"/>
      <c r="H992" s="559"/>
      <c r="I992" s="559"/>
      <c r="J992" s="559"/>
      <c r="K992" s="559"/>
      <c r="L992" s="559"/>
      <c r="M992" s="559"/>
      <c r="N992" s="559"/>
      <c r="O992" s="559"/>
      <c r="P992" s="559"/>
      <c r="Q992" s="559"/>
      <c r="R992" s="559"/>
      <c r="S992" s="559"/>
      <c r="T992" s="559"/>
      <c r="U992" s="559"/>
      <c r="V992" s="559"/>
      <c r="W992" s="559"/>
      <c r="X992" s="559"/>
      <c r="Y992" s="559"/>
      <c r="Z992" s="559"/>
      <c r="AA992" s="559"/>
      <c r="AB992" s="559"/>
      <c r="AC992" s="559"/>
      <c r="AD992" s="559"/>
      <c r="AE992" s="559"/>
      <c r="AF992" s="559"/>
      <c r="AG992" s="559"/>
    </row>
    <row r="993" spans="1:33" ht="18" x14ac:dyDescent="0.35">
      <c r="A993" s="559"/>
      <c r="B993" s="559"/>
      <c r="C993" s="559"/>
      <c r="D993" s="559"/>
      <c r="E993" s="559"/>
      <c r="F993" s="559"/>
      <c r="G993" s="559"/>
      <c r="H993" s="559"/>
      <c r="I993" s="559"/>
      <c r="J993" s="559"/>
      <c r="K993" s="559"/>
      <c r="L993" s="559"/>
      <c r="M993" s="559"/>
      <c r="N993" s="559"/>
      <c r="O993" s="559"/>
      <c r="P993" s="559"/>
      <c r="Q993" s="559"/>
      <c r="R993" s="559"/>
      <c r="S993" s="559"/>
      <c r="T993" s="559"/>
      <c r="U993" s="559"/>
      <c r="V993" s="559"/>
      <c r="W993" s="559"/>
      <c r="X993" s="559"/>
      <c r="Y993" s="559"/>
      <c r="Z993" s="559"/>
      <c r="AA993" s="559"/>
      <c r="AB993" s="559"/>
      <c r="AC993" s="559"/>
      <c r="AD993" s="559"/>
      <c r="AE993" s="559"/>
      <c r="AF993" s="559"/>
      <c r="AG993" s="559"/>
    </row>
    <row r="994" spans="1:33" ht="18" x14ac:dyDescent="0.35">
      <c r="A994" s="559"/>
      <c r="B994" s="559"/>
      <c r="C994" s="559"/>
      <c r="D994" s="559"/>
      <c r="E994" s="559"/>
      <c r="F994" s="559"/>
      <c r="G994" s="559"/>
      <c r="H994" s="559"/>
      <c r="I994" s="559"/>
      <c r="J994" s="559"/>
      <c r="K994" s="559"/>
      <c r="L994" s="559"/>
      <c r="M994" s="559"/>
      <c r="N994" s="559"/>
      <c r="O994" s="559"/>
      <c r="P994" s="559"/>
      <c r="Q994" s="559"/>
      <c r="R994" s="559"/>
      <c r="S994" s="559"/>
      <c r="T994" s="559"/>
      <c r="U994" s="559"/>
      <c r="V994" s="559"/>
      <c r="W994" s="559"/>
      <c r="X994" s="559"/>
      <c r="Y994" s="559"/>
      <c r="Z994" s="559"/>
      <c r="AA994" s="559"/>
      <c r="AB994" s="559"/>
      <c r="AC994" s="559"/>
      <c r="AD994" s="559"/>
      <c r="AE994" s="559"/>
      <c r="AF994" s="559"/>
      <c r="AG994" s="559"/>
    </row>
    <row r="995" spans="1:33" ht="18" x14ac:dyDescent="0.35">
      <c r="A995" s="559"/>
      <c r="B995" s="559"/>
      <c r="C995" s="559"/>
      <c r="D995" s="559"/>
      <c r="E995" s="559"/>
      <c r="F995" s="559"/>
      <c r="G995" s="559"/>
      <c r="H995" s="559"/>
      <c r="I995" s="559"/>
      <c r="J995" s="559"/>
      <c r="K995" s="559"/>
      <c r="L995" s="559"/>
      <c r="M995" s="559"/>
      <c r="N995" s="559"/>
      <c r="O995" s="559"/>
      <c r="P995" s="559"/>
      <c r="Q995" s="559"/>
      <c r="R995" s="559"/>
      <c r="S995" s="559"/>
      <c r="T995" s="559"/>
      <c r="U995" s="559"/>
      <c r="V995" s="559"/>
      <c r="W995" s="559"/>
      <c r="X995" s="559"/>
      <c r="Y995" s="559"/>
      <c r="Z995" s="559"/>
      <c r="AA995" s="559"/>
      <c r="AB995" s="559"/>
      <c r="AC995" s="559"/>
      <c r="AD995" s="559"/>
      <c r="AE995" s="559"/>
      <c r="AF995" s="559"/>
      <c r="AG995" s="559"/>
    </row>
    <row r="996" spans="1:33" ht="18" x14ac:dyDescent="0.35">
      <c r="A996" s="559"/>
      <c r="B996" s="559"/>
      <c r="C996" s="559"/>
      <c r="D996" s="559"/>
      <c r="E996" s="559"/>
      <c r="F996" s="559"/>
      <c r="G996" s="559"/>
      <c r="H996" s="559"/>
      <c r="I996" s="559"/>
      <c r="J996" s="559"/>
      <c r="K996" s="559"/>
      <c r="L996" s="559"/>
      <c r="M996" s="559"/>
      <c r="N996" s="559"/>
      <c r="O996" s="559"/>
      <c r="P996" s="559"/>
      <c r="Q996" s="559"/>
      <c r="R996" s="559"/>
      <c r="S996" s="559"/>
      <c r="T996" s="559"/>
      <c r="U996" s="559"/>
      <c r="V996" s="559"/>
      <c r="W996" s="559"/>
      <c r="X996" s="559"/>
      <c r="Y996" s="559"/>
      <c r="Z996" s="559"/>
      <c r="AA996" s="559"/>
      <c r="AB996" s="559"/>
      <c r="AC996" s="559"/>
      <c r="AD996" s="559"/>
      <c r="AE996" s="559"/>
      <c r="AF996" s="559"/>
      <c r="AG996" s="559"/>
    </row>
    <row r="997" spans="1:33" ht="18" x14ac:dyDescent="0.35">
      <c r="A997" s="559"/>
      <c r="B997" s="559"/>
      <c r="C997" s="559"/>
      <c r="D997" s="559"/>
      <c r="E997" s="559"/>
      <c r="F997" s="559"/>
      <c r="G997" s="559"/>
      <c r="H997" s="559"/>
      <c r="I997" s="559"/>
      <c r="J997" s="559"/>
      <c r="K997" s="559"/>
      <c r="L997" s="559"/>
      <c r="M997" s="559"/>
      <c r="N997" s="559"/>
      <c r="O997" s="559"/>
      <c r="P997" s="559"/>
      <c r="Q997" s="559"/>
      <c r="R997" s="559"/>
      <c r="S997" s="559"/>
      <c r="T997" s="559"/>
      <c r="U997" s="559"/>
      <c r="V997" s="559"/>
      <c r="W997" s="559"/>
      <c r="X997" s="559"/>
      <c r="Y997" s="559"/>
      <c r="Z997" s="559"/>
      <c r="AA997" s="559"/>
      <c r="AB997" s="559"/>
      <c r="AC997" s="559"/>
      <c r="AD997" s="559"/>
      <c r="AE997" s="559"/>
      <c r="AF997" s="559"/>
      <c r="AG997" s="559"/>
    </row>
    <row r="998" spans="1:33" ht="18" x14ac:dyDescent="0.35">
      <c r="A998" s="559"/>
      <c r="B998" s="559"/>
      <c r="C998" s="559"/>
      <c r="D998" s="559"/>
      <c r="E998" s="559"/>
      <c r="F998" s="559"/>
      <c r="G998" s="559"/>
      <c r="H998" s="559"/>
      <c r="I998" s="559"/>
      <c r="J998" s="559"/>
      <c r="K998" s="559"/>
      <c r="L998" s="559"/>
      <c r="M998" s="559"/>
      <c r="N998" s="559"/>
      <c r="O998" s="559"/>
      <c r="P998" s="559"/>
      <c r="Q998" s="559"/>
      <c r="R998" s="559"/>
      <c r="S998" s="559"/>
      <c r="T998" s="559"/>
      <c r="U998" s="559"/>
      <c r="V998" s="559"/>
      <c r="W998" s="559"/>
      <c r="X998" s="559"/>
      <c r="Y998" s="559"/>
      <c r="Z998" s="559"/>
      <c r="AA998" s="559"/>
      <c r="AB998" s="559"/>
      <c r="AC998" s="559"/>
      <c r="AD998" s="559"/>
      <c r="AE998" s="559"/>
      <c r="AF998" s="559"/>
      <c r="AG998" s="559"/>
    </row>
    <row r="999" spans="1:33" ht="18" x14ac:dyDescent="0.35">
      <c r="A999" s="559"/>
      <c r="B999" s="559"/>
      <c r="C999" s="559"/>
      <c r="D999" s="559"/>
      <c r="E999" s="559"/>
      <c r="F999" s="559"/>
      <c r="G999" s="559"/>
      <c r="H999" s="559"/>
      <c r="I999" s="559"/>
      <c r="J999" s="559"/>
      <c r="K999" s="559"/>
      <c r="L999" s="559"/>
      <c r="M999" s="559"/>
      <c r="N999" s="559"/>
      <c r="O999" s="559"/>
      <c r="P999" s="559"/>
      <c r="Q999" s="559"/>
      <c r="R999" s="559"/>
      <c r="S999" s="559"/>
      <c r="T999" s="559"/>
      <c r="U999" s="559"/>
      <c r="V999" s="559"/>
      <c r="W999" s="559"/>
      <c r="X999" s="559"/>
      <c r="Y999" s="559"/>
      <c r="Z999" s="559"/>
      <c r="AA999" s="559"/>
      <c r="AB999" s="559"/>
      <c r="AC999" s="559"/>
      <c r="AD999" s="559"/>
      <c r="AE999" s="559"/>
      <c r="AF999" s="559"/>
      <c r="AG999" s="559"/>
    </row>
    <row r="1000" spans="1:33" ht="18" x14ac:dyDescent="0.35">
      <c r="A1000" s="559"/>
      <c r="B1000" s="559"/>
      <c r="C1000" s="559"/>
      <c r="D1000" s="559"/>
      <c r="E1000" s="559"/>
      <c r="F1000" s="559"/>
      <c r="G1000" s="559"/>
      <c r="H1000" s="559"/>
      <c r="I1000" s="559"/>
      <c r="J1000" s="559"/>
      <c r="K1000" s="559"/>
      <c r="L1000" s="559"/>
      <c r="M1000" s="559"/>
      <c r="N1000" s="559"/>
      <c r="O1000" s="559"/>
      <c r="P1000" s="559"/>
      <c r="Q1000" s="559"/>
      <c r="R1000" s="559"/>
      <c r="S1000" s="559"/>
      <c r="T1000" s="559"/>
      <c r="U1000" s="559"/>
      <c r="V1000" s="559"/>
      <c r="W1000" s="559"/>
      <c r="X1000" s="559"/>
      <c r="Y1000" s="559"/>
      <c r="Z1000" s="559"/>
      <c r="AA1000" s="559"/>
      <c r="AB1000" s="559"/>
      <c r="AC1000" s="559"/>
      <c r="AD1000" s="559"/>
      <c r="AE1000" s="559"/>
      <c r="AF1000" s="559"/>
      <c r="AG1000" s="559"/>
    </row>
  </sheetData>
  <mergeCells count="8">
    <mergeCell ref="F20:G20"/>
    <mergeCell ref="F21:G21"/>
    <mergeCell ref="D29:E29"/>
    <mergeCell ref="A1:H2"/>
    <mergeCell ref="I12:M17"/>
    <mergeCell ref="E13:G13"/>
    <mergeCell ref="E14:G14"/>
    <mergeCell ref="E16:G18"/>
  </mergeCells>
  <conditionalFormatting sqref="C3 F3 C19">
    <cfRule type="beginsWith" dxfId="26" priority="1" operator="beginsWith" text="Boulons">
      <formula>LEFT((C3),LEN("Boulons"))=("Boulons")</formula>
    </cfRule>
  </conditionalFormatting>
  <conditionalFormatting sqref="F19">
    <cfRule type="containsText" dxfId="25" priority="2" operator="containsText" text="oui">
      <formula>NOT(ISERROR(SEARCH(("oui"),(F19))))</formula>
    </cfRule>
  </conditionalFormatting>
  <dataValidations disablePrompts="1" count="12">
    <dataValidation type="list" allowBlank="1" showErrorMessage="1" sqref="F21" xr:uid="{00000000-0002-0000-0D00-000000000000}">
      <formula1>$A$151:$A$153</formula1>
    </dataValidation>
    <dataValidation type="list" allowBlank="1" showErrorMessage="1" sqref="F22:G22 F23" xr:uid="{00000000-0002-0000-0D00-000001000000}">
      <formula1>$A$201:$A$204</formula1>
    </dataValidation>
    <dataValidation type="list" allowBlank="1" showErrorMessage="1" sqref="C17" xr:uid="{00000000-0002-0000-0D00-000002000000}">
      <formula1>$A$140:$A$146</formula1>
    </dataValidation>
    <dataValidation type="list" allowBlank="1" showErrorMessage="1" sqref="C15" xr:uid="{00000000-0002-0000-0D00-000003000000}">
      <formula1>$A$162:$A$163</formula1>
    </dataValidation>
    <dataValidation type="list" allowBlank="1" showErrorMessage="1" sqref="C32" xr:uid="{00000000-0002-0000-0D00-000004000000}">
      <formula1>$A$174:$A$182</formula1>
    </dataValidation>
    <dataValidation type="list" allowBlank="1" showErrorMessage="1" sqref="F29" xr:uid="{00000000-0002-0000-0D00-000005000000}">
      <formula1>IF($D$29="Type de mousse",$A$184:$A$186,IF($D$29="Nombre",$A$188:$A$193,0))</formula1>
    </dataValidation>
    <dataValidation type="list" allowBlank="1" showErrorMessage="1" sqref="C13" xr:uid="{00000000-0002-0000-0D00-000006000000}">
      <formula1>$A$159:$A$160</formula1>
    </dataValidation>
    <dataValidation type="list" allowBlank="1" showErrorMessage="1" sqref="C31" xr:uid="{00000000-0002-0000-0D00-000007000000}">
      <formula1>$A$165:$A$171</formula1>
    </dataValidation>
    <dataValidation type="list" allowBlank="1" showErrorMessage="1" sqref="F15 F19 F32" xr:uid="{00000000-0002-0000-0D00-000008000000}">
      <formula1>$A$195:$A$196</formula1>
    </dataValidation>
    <dataValidation type="list" allowBlank="1" showErrorMessage="1" sqref="C29" xr:uid="{00000000-0002-0000-0D00-000009000000}">
      <formula1>$A$208:$A$219</formula1>
    </dataValidation>
    <dataValidation type="list" allowBlank="1" showErrorMessage="1" sqref="C19" xr:uid="{00000000-0002-0000-0D00-00000A000000}">
      <formula1>$A$148:$A$149</formula1>
    </dataValidation>
    <dataValidation type="list" allowBlank="1" showErrorMessage="1" sqref="C23" xr:uid="{00000000-0002-0000-0D00-00000B000000}">
      <formula1>$A$222:$A$224</formula1>
    </dataValidation>
  </dataValidations>
  <pageMargins left="0.51181102362204722" right="0.31496062992125984" top="0.55118110236220474" bottom="0.55118110236220474" header="0" footer="0"/>
  <pageSetup paperSize="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92D050"/>
    <pageSetUpPr fitToPage="1"/>
  </sheetPr>
  <dimension ref="A1:Z1000"/>
  <sheetViews>
    <sheetView zoomScale="70" zoomScaleNormal="70" workbookViewId="0">
      <selection activeCell="H18" sqref="H18"/>
    </sheetView>
  </sheetViews>
  <sheetFormatPr baseColWidth="10" defaultColWidth="14.44140625" defaultRowHeight="15" customHeight="1" x14ac:dyDescent="0.3"/>
  <cols>
    <col min="1" max="1" width="17" customWidth="1"/>
    <col min="2" max="2" width="35.5546875" customWidth="1"/>
    <col min="3" max="3" width="32.6640625" customWidth="1"/>
    <col min="4" max="4" width="17" customWidth="1"/>
    <col min="5" max="5" width="31.88671875" customWidth="1"/>
    <col min="6" max="6" width="26.44140625" customWidth="1"/>
    <col min="7" max="7" width="16.6640625" customWidth="1"/>
    <col min="8" max="8" width="14.6640625" customWidth="1"/>
    <col min="9" max="9" width="11.44140625" customWidth="1"/>
    <col min="10" max="10" width="11.5546875" customWidth="1"/>
    <col min="11" max="12" width="12.88671875" customWidth="1"/>
    <col min="13" max="13" width="15.44140625" customWidth="1"/>
    <col min="14" max="14" width="14.5546875" customWidth="1"/>
    <col min="15" max="26" width="11.44140625" customWidth="1"/>
  </cols>
  <sheetData>
    <row r="1" spans="1:26" ht="18" customHeight="1" x14ac:dyDescent="0.35">
      <c r="A1" s="1084" t="s">
        <v>397</v>
      </c>
      <c r="B1" s="1085"/>
      <c r="C1" s="1085"/>
      <c r="D1" s="1085"/>
      <c r="E1" s="1085"/>
      <c r="F1" s="1085"/>
      <c r="G1" s="1086"/>
      <c r="H1" s="559"/>
      <c r="I1" s="559"/>
      <c r="J1" s="559"/>
      <c r="K1" s="559"/>
      <c r="L1" s="559"/>
      <c r="M1" s="559"/>
      <c r="N1" s="559"/>
      <c r="O1" s="559"/>
      <c r="P1" s="559"/>
      <c r="Q1" s="559"/>
      <c r="R1" s="559"/>
      <c r="S1" s="559"/>
      <c r="T1" s="559"/>
      <c r="U1" s="559"/>
      <c r="V1" s="559"/>
      <c r="W1" s="559"/>
      <c r="X1" s="559"/>
      <c r="Y1" s="559"/>
      <c r="Z1" s="559"/>
    </row>
    <row r="2" spans="1:26" ht="18" customHeight="1" x14ac:dyDescent="0.35">
      <c r="A2" s="1087"/>
      <c r="B2" s="1088"/>
      <c r="C2" s="1088"/>
      <c r="D2" s="1088"/>
      <c r="E2" s="1088"/>
      <c r="F2" s="1088"/>
      <c r="G2" s="1089"/>
      <c r="H2" s="559"/>
      <c r="I2" s="559"/>
      <c r="J2" s="559"/>
      <c r="K2" s="559"/>
      <c r="L2" s="559"/>
      <c r="M2" s="559"/>
      <c r="N2" s="559"/>
      <c r="O2" s="559"/>
      <c r="P2" s="559"/>
      <c r="Q2" s="559"/>
      <c r="R2" s="559"/>
      <c r="S2" s="559"/>
      <c r="T2" s="559"/>
      <c r="U2" s="559"/>
      <c r="V2" s="559"/>
      <c r="W2" s="559"/>
      <c r="X2" s="559"/>
      <c r="Y2" s="559"/>
      <c r="Z2" s="559"/>
    </row>
    <row r="3" spans="1:26" ht="21.75" customHeight="1" x14ac:dyDescent="0.35">
      <c r="A3" s="1090" t="str">
        <f>VLOOKUP($F$10,'Infos Clients'!$B$2:$G$10,2)</f>
        <v>#VALUE!</v>
      </c>
      <c r="B3" s="1086"/>
      <c r="C3" s="610"/>
      <c r="D3" s="610"/>
      <c r="E3" s="610"/>
      <c r="F3" s="610"/>
      <c r="G3" s="610"/>
      <c r="H3" s="559"/>
      <c r="I3" s="559"/>
      <c r="J3" s="559"/>
      <c r="K3" s="559"/>
      <c r="L3" s="559"/>
      <c r="M3" s="559"/>
      <c r="N3" s="559"/>
      <c r="O3" s="559"/>
      <c r="P3" s="559"/>
      <c r="Q3" s="559"/>
      <c r="R3" s="559"/>
      <c r="S3" s="559"/>
      <c r="T3" s="559"/>
      <c r="U3" s="559"/>
      <c r="V3" s="559"/>
      <c r="W3" s="559"/>
      <c r="X3" s="559"/>
      <c r="Y3" s="559"/>
      <c r="Z3" s="559"/>
    </row>
    <row r="4" spans="1:26" ht="18.75" customHeight="1" x14ac:dyDescent="0.35">
      <c r="A4" s="1091"/>
      <c r="B4" s="1092"/>
      <c r="C4" s="610"/>
      <c r="D4" s="563"/>
      <c r="E4" s="729"/>
      <c r="F4" s="610"/>
      <c r="G4" s="563"/>
      <c r="H4" s="559"/>
      <c r="I4" s="559"/>
      <c r="J4" s="559"/>
      <c r="K4" s="559"/>
      <c r="L4" s="559"/>
      <c r="M4" s="559"/>
      <c r="N4" s="559"/>
      <c r="O4" s="559"/>
      <c r="P4" s="559"/>
      <c r="Q4" s="559"/>
      <c r="R4" s="559"/>
      <c r="S4" s="559"/>
      <c r="T4" s="559"/>
      <c r="U4" s="559"/>
      <c r="V4" s="559"/>
      <c r="W4" s="559"/>
      <c r="X4" s="559"/>
      <c r="Y4" s="559"/>
      <c r="Z4" s="559"/>
    </row>
    <row r="5" spans="1:26" ht="18" customHeight="1" x14ac:dyDescent="0.35">
      <c r="A5" s="1091"/>
      <c r="B5" s="1092"/>
      <c r="C5" s="730"/>
      <c r="D5" s="559"/>
      <c r="E5" s="729"/>
      <c r="F5" s="730"/>
      <c r="G5" s="559"/>
      <c r="H5" s="559"/>
      <c r="I5" s="559"/>
      <c r="J5" s="559"/>
      <c r="K5" s="559"/>
      <c r="L5" s="559"/>
      <c r="M5" s="559"/>
      <c r="N5" s="559"/>
      <c r="O5" s="559"/>
      <c r="P5" s="559"/>
      <c r="Q5" s="559"/>
      <c r="R5" s="559"/>
      <c r="S5" s="559"/>
      <c r="T5" s="559"/>
      <c r="U5" s="559"/>
      <c r="V5" s="559"/>
      <c r="W5" s="559"/>
      <c r="X5" s="559"/>
      <c r="Y5" s="559"/>
      <c r="Z5" s="559"/>
    </row>
    <row r="6" spans="1:26" ht="18" customHeight="1" x14ac:dyDescent="0.35">
      <c r="A6" s="1091"/>
      <c r="B6" s="1092"/>
      <c r="C6" s="610"/>
      <c r="D6" s="563"/>
      <c r="E6" s="729"/>
      <c r="F6" s="610"/>
      <c r="G6" s="563"/>
      <c r="H6" s="559"/>
      <c r="I6" s="559"/>
      <c r="J6" s="559"/>
      <c r="K6" s="559"/>
      <c r="L6" s="559"/>
      <c r="M6" s="559"/>
      <c r="N6" s="559"/>
      <c r="O6" s="559"/>
      <c r="P6" s="559"/>
      <c r="Q6" s="559"/>
      <c r="R6" s="559"/>
      <c r="S6" s="559"/>
      <c r="T6" s="559"/>
      <c r="U6" s="559"/>
      <c r="V6" s="559"/>
      <c r="W6" s="559"/>
      <c r="X6" s="559"/>
      <c r="Y6" s="559"/>
      <c r="Z6" s="559"/>
    </row>
    <row r="7" spans="1:26" ht="18" customHeight="1" x14ac:dyDescent="0.35">
      <c r="A7" s="1087"/>
      <c r="B7" s="1089"/>
      <c r="C7" s="730"/>
      <c r="D7" s="559"/>
      <c r="E7" s="729"/>
      <c r="F7" s="730"/>
      <c r="G7" s="559"/>
      <c r="H7" s="559"/>
      <c r="I7" s="559"/>
      <c r="J7" s="559"/>
      <c r="K7" s="559"/>
      <c r="L7" s="559"/>
      <c r="M7" s="559"/>
      <c r="N7" s="559"/>
      <c r="O7" s="559"/>
      <c r="P7" s="559"/>
      <c r="Q7" s="559"/>
      <c r="R7" s="559"/>
      <c r="S7" s="559"/>
      <c r="T7" s="559"/>
      <c r="U7" s="559"/>
      <c r="V7" s="559"/>
      <c r="W7" s="559"/>
      <c r="X7" s="559"/>
      <c r="Y7" s="559"/>
      <c r="Z7" s="559"/>
    </row>
    <row r="8" spans="1:26" ht="18" customHeight="1" x14ac:dyDescent="0.35">
      <c r="A8" s="559"/>
      <c r="B8" s="559"/>
      <c r="C8" s="559"/>
      <c r="D8" s="559"/>
      <c r="E8" s="559"/>
      <c r="F8" s="563"/>
      <c r="G8" s="559"/>
      <c r="H8" s="559"/>
      <c r="I8" s="559"/>
      <c r="J8" s="559"/>
      <c r="K8" s="559"/>
      <c r="L8" s="559"/>
      <c r="M8" s="559"/>
      <c r="N8" s="559"/>
      <c r="O8" s="559"/>
      <c r="P8" s="559"/>
      <c r="Q8" s="559"/>
      <c r="R8" s="559"/>
      <c r="S8" s="559"/>
      <c r="T8" s="559"/>
      <c r="U8" s="559"/>
      <c r="V8" s="559"/>
      <c r="W8" s="559"/>
      <c r="X8" s="559"/>
      <c r="Y8" s="559"/>
      <c r="Z8" s="559"/>
    </row>
    <row r="9" spans="1:26" ht="18" customHeight="1" x14ac:dyDescent="0.35">
      <c r="A9" s="559"/>
      <c r="B9" s="559" t="s">
        <v>1</v>
      </c>
      <c r="C9" s="20"/>
      <c r="D9" s="559"/>
      <c r="E9" s="563" t="s">
        <v>2</v>
      </c>
      <c r="F9" s="22" t="s">
        <v>298</v>
      </c>
      <c r="G9" s="559"/>
      <c r="H9" s="559"/>
      <c r="I9" s="559"/>
      <c r="J9" s="559"/>
      <c r="K9" s="559"/>
      <c r="L9" s="559"/>
      <c r="M9" s="559"/>
      <c r="N9" s="559"/>
      <c r="O9" s="559"/>
      <c r="P9" s="559"/>
      <c r="Q9" s="559"/>
      <c r="R9" s="559"/>
      <c r="S9" s="559"/>
      <c r="T9" s="559"/>
      <c r="U9" s="559"/>
      <c r="V9" s="559"/>
      <c r="W9" s="559"/>
      <c r="X9" s="559"/>
      <c r="Y9" s="559"/>
      <c r="Z9" s="559"/>
    </row>
    <row r="10" spans="1:26" ht="18" customHeight="1" x14ac:dyDescent="0.35">
      <c r="A10" s="559"/>
      <c r="B10" s="559" t="s">
        <v>4</v>
      </c>
      <c r="C10" s="23"/>
      <c r="D10" s="559"/>
      <c r="E10" s="563" t="s">
        <v>5</v>
      </c>
      <c r="F10" s="569" t="s">
        <v>6</v>
      </c>
      <c r="G10" s="559"/>
      <c r="H10" s="559"/>
      <c r="I10" s="559"/>
      <c r="J10" s="559"/>
      <c r="K10" s="559"/>
      <c r="L10" s="559"/>
      <c r="M10" s="559"/>
      <c r="N10" s="559"/>
      <c r="O10" s="559"/>
      <c r="P10" s="559"/>
      <c r="Q10" s="559"/>
      <c r="R10" s="559"/>
      <c r="S10" s="559"/>
      <c r="T10" s="559"/>
      <c r="U10" s="559"/>
      <c r="V10" s="559"/>
      <c r="W10" s="559"/>
      <c r="X10" s="559"/>
      <c r="Y10" s="559"/>
      <c r="Z10" s="559"/>
    </row>
    <row r="11" spans="1:26" ht="18" customHeight="1" x14ac:dyDescent="0.35">
      <c r="A11" s="559"/>
      <c r="B11" s="559" t="s">
        <v>138</v>
      </c>
      <c r="C11" s="20"/>
      <c r="D11" s="559"/>
      <c r="E11" s="571" t="s">
        <v>8</v>
      </c>
      <c r="F11" s="25"/>
      <c r="G11" s="559"/>
      <c r="H11" s="559"/>
      <c r="I11" s="559"/>
      <c r="J11" s="559"/>
      <c r="K11" s="559"/>
      <c r="L11" s="559"/>
      <c r="M11" s="559"/>
      <c r="N11" s="559"/>
      <c r="O11" s="559"/>
      <c r="P11" s="559"/>
      <c r="Q11" s="559"/>
      <c r="R11" s="559"/>
      <c r="S11" s="559"/>
      <c r="T11" s="559"/>
      <c r="U11" s="559"/>
      <c r="V11" s="559"/>
      <c r="W11" s="559"/>
      <c r="X11" s="559"/>
      <c r="Y11" s="559"/>
      <c r="Z11" s="559"/>
    </row>
    <row r="12" spans="1:26" ht="18" customHeight="1" x14ac:dyDescent="0.35">
      <c r="A12" s="559"/>
      <c r="B12" s="559"/>
      <c r="C12" s="563"/>
      <c r="D12" s="559"/>
      <c r="E12" s="571"/>
      <c r="F12" s="559"/>
      <c r="G12" s="559"/>
      <c r="H12" s="559"/>
      <c r="I12" s="559"/>
      <c r="J12" s="559"/>
      <c r="K12" s="559"/>
      <c r="L12" s="559"/>
      <c r="M12" s="559"/>
      <c r="N12" s="559"/>
      <c r="O12" s="559"/>
      <c r="P12" s="559"/>
      <c r="Q12" s="559"/>
      <c r="R12" s="559"/>
      <c r="S12" s="559"/>
      <c r="T12" s="559"/>
      <c r="U12" s="559"/>
      <c r="V12" s="559"/>
      <c r="W12" s="559"/>
      <c r="X12" s="559"/>
      <c r="Y12" s="559"/>
      <c r="Z12" s="559"/>
    </row>
    <row r="13" spans="1:26" ht="22.5" customHeight="1" x14ac:dyDescent="0.35">
      <c r="A13" s="559"/>
      <c r="B13" s="731" t="s">
        <v>24</v>
      </c>
      <c r="C13" s="23" t="s">
        <v>136</v>
      </c>
      <c r="D13" s="563"/>
      <c r="E13" s="574" t="s">
        <v>13</v>
      </c>
      <c r="F13" s="23" t="s">
        <v>20</v>
      </c>
      <c r="G13" s="559"/>
      <c r="H13" s="559"/>
      <c r="I13" s="559"/>
      <c r="J13" s="559"/>
      <c r="K13" s="559"/>
      <c r="L13" s="559"/>
      <c r="M13" s="559"/>
      <c r="N13" s="559"/>
      <c r="O13" s="559"/>
      <c r="P13" s="559"/>
      <c r="Q13" s="559"/>
      <c r="R13" s="559"/>
      <c r="S13" s="559"/>
      <c r="T13" s="559"/>
      <c r="U13" s="559"/>
      <c r="V13" s="559"/>
      <c r="W13" s="559"/>
      <c r="X13" s="559"/>
      <c r="Y13" s="559"/>
      <c r="Z13" s="559"/>
    </row>
    <row r="14" spans="1:26" ht="22.5" customHeight="1" x14ac:dyDescent="0.35">
      <c r="A14" s="559"/>
      <c r="B14" s="573"/>
      <c r="C14" s="559"/>
      <c r="D14" s="559"/>
      <c r="E14" s="610"/>
      <c r="F14" s="718"/>
      <c r="G14" s="718"/>
      <c r="H14" s="559"/>
      <c r="I14" s="559"/>
      <c r="J14" s="559"/>
      <c r="K14" s="559"/>
      <c r="L14" s="559"/>
      <c r="M14" s="559"/>
      <c r="N14" s="559"/>
      <c r="O14" s="559"/>
      <c r="P14" s="559"/>
      <c r="Q14" s="559"/>
      <c r="R14" s="559"/>
      <c r="S14" s="559"/>
      <c r="T14" s="559"/>
      <c r="U14" s="559"/>
      <c r="V14" s="559"/>
      <c r="W14" s="559"/>
      <c r="X14" s="559"/>
      <c r="Y14" s="559"/>
      <c r="Z14" s="559"/>
    </row>
    <row r="15" spans="1:26" ht="22.5" customHeight="1" x14ac:dyDescent="0.35">
      <c r="A15" s="559"/>
      <c r="B15" s="573" t="s">
        <v>387</v>
      </c>
      <c r="C15" s="23" t="s">
        <v>398</v>
      </c>
      <c r="D15" s="559"/>
      <c r="E15" s="610"/>
      <c r="F15" s="718"/>
      <c r="G15" s="571"/>
      <c r="H15" s="559"/>
      <c r="I15" s="559"/>
      <c r="J15" s="559"/>
      <c r="K15" s="559"/>
      <c r="L15" s="559"/>
      <c r="M15" s="559"/>
      <c r="N15" s="559"/>
      <c r="O15" s="559"/>
      <c r="P15" s="559"/>
      <c r="Q15" s="559"/>
      <c r="R15" s="559"/>
      <c r="S15" s="559"/>
      <c r="T15" s="559"/>
      <c r="U15" s="559"/>
      <c r="V15" s="559"/>
      <c r="W15" s="559"/>
      <c r="X15" s="559"/>
      <c r="Y15" s="559"/>
      <c r="Z15" s="559"/>
    </row>
    <row r="16" spans="1:26" ht="21" customHeight="1" x14ac:dyDescent="0.35">
      <c r="A16" s="559"/>
      <c r="B16" s="573"/>
      <c r="C16" s="559"/>
      <c r="D16" s="559"/>
      <c r="E16" s="571"/>
      <c r="F16" s="571"/>
      <c r="G16" s="571"/>
      <c r="H16" s="559"/>
      <c r="I16" s="559"/>
      <c r="J16" s="559"/>
      <c r="K16" s="559"/>
      <c r="L16" s="559"/>
      <c r="M16" s="559"/>
      <c r="N16" s="559"/>
      <c r="O16" s="559"/>
      <c r="P16" s="559"/>
      <c r="Q16" s="559"/>
      <c r="R16" s="559"/>
      <c r="S16" s="559"/>
      <c r="T16" s="559"/>
      <c r="U16" s="559"/>
      <c r="V16" s="559"/>
      <c r="W16" s="559"/>
      <c r="X16" s="559"/>
      <c r="Y16" s="559"/>
      <c r="Z16" s="559"/>
    </row>
    <row r="17" spans="1:26" ht="19.5" customHeight="1" x14ac:dyDescent="0.35">
      <c r="A17" s="559"/>
      <c r="B17" s="559"/>
      <c r="C17" s="732" t="s">
        <v>28</v>
      </c>
      <c r="D17" s="732" t="s">
        <v>33</v>
      </c>
      <c r="E17" s="563"/>
      <c r="F17" s="559"/>
      <c r="G17" s="559"/>
      <c r="H17" s="559"/>
      <c r="I17" s="559"/>
      <c r="J17" s="559"/>
      <c r="K17" s="559"/>
      <c r="L17" s="559"/>
      <c r="M17" s="559"/>
      <c r="N17" s="559"/>
      <c r="O17" s="559"/>
      <c r="P17" s="559"/>
      <c r="Q17" s="559"/>
      <c r="R17" s="559"/>
      <c r="S17" s="559"/>
      <c r="T17" s="559"/>
      <c r="U17" s="559"/>
      <c r="V17" s="559"/>
      <c r="W17" s="559"/>
      <c r="X17" s="559"/>
      <c r="Y17" s="559"/>
      <c r="Z17" s="559"/>
    </row>
    <row r="18" spans="1:26" ht="19.5" customHeight="1" x14ac:dyDescent="0.35">
      <c r="A18" s="559"/>
      <c r="B18" s="573" t="s">
        <v>303</v>
      </c>
      <c r="C18" s="581"/>
      <c r="D18" s="581"/>
      <c r="E18" s="595"/>
      <c r="F18" s="559"/>
      <c r="G18" s="559"/>
      <c r="H18" s="559"/>
      <c r="I18" s="559"/>
      <c r="J18" s="559"/>
      <c r="K18" s="559"/>
      <c r="L18" s="559"/>
      <c r="M18" s="559"/>
      <c r="N18" s="559"/>
      <c r="O18" s="559"/>
      <c r="P18" s="559"/>
      <c r="Q18" s="559"/>
      <c r="R18" s="559"/>
      <c r="S18" s="559"/>
      <c r="T18" s="559"/>
      <c r="U18" s="559"/>
      <c r="V18" s="559"/>
      <c r="W18" s="559"/>
      <c r="X18" s="559"/>
      <c r="Y18" s="559"/>
      <c r="Z18" s="559"/>
    </row>
    <row r="19" spans="1:26" ht="18" customHeight="1" x14ac:dyDescent="0.35">
      <c r="A19" s="559"/>
      <c r="B19" s="559"/>
      <c r="C19" s="559"/>
      <c r="D19" s="559"/>
      <c r="E19" s="559"/>
      <c r="F19" s="559"/>
      <c r="G19" s="559"/>
      <c r="H19" s="559"/>
      <c r="I19" s="559"/>
      <c r="J19" s="559"/>
      <c r="K19" s="559"/>
      <c r="L19" s="559"/>
      <c r="M19" s="559"/>
      <c r="N19" s="559"/>
      <c r="O19" s="559"/>
      <c r="P19" s="559"/>
      <c r="Q19" s="559"/>
      <c r="R19" s="559"/>
      <c r="S19" s="559"/>
      <c r="T19" s="559"/>
      <c r="U19" s="559"/>
      <c r="V19" s="559"/>
      <c r="W19" s="559"/>
      <c r="X19" s="559"/>
      <c r="Y19" s="559"/>
      <c r="Z19" s="559"/>
    </row>
    <row r="20" spans="1:26" ht="18.75" customHeight="1" x14ac:dyDescent="0.35">
      <c r="A20" s="559"/>
      <c r="B20" s="723" t="s">
        <v>306</v>
      </c>
      <c r="C20" s="181" t="s">
        <v>16</v>
      </c>
      <c r="D20" s="571"/>
      <c r="E20" s="559"/>
      <c r="F20" s="559"/>
      <c r="G20" s="559"/>
      <c r="H20" s="559"/>
      <c r="I20" s="559"/>
      <c r="J20" s="559"/>
      <c r="K20" s="559"/>
      <c r="L20" s="559"/>
      <c r="M20" s="559"/>
      <c r="N20" s="559"/>
      <c r="O20" s="559"/>
      <c r="P20" s="559"/>
      <c r="Q20" s="559"/>
      <c r="R20" s="559"/>
      <c r="S20" s="559"/>
      <c r="T20" s="559"/>
      <c r="U20" s="559"/>
      <c r="V20" s="559"/>
      <c r="W20" s="559"/>
      <c r="X20" s="559"/>
      <c r="Y20" s="559"/>
      <c r="Z20" s="559"/>
    </row>
    <row r="21" spans="1:26" ht="18" customHeight="1" x14ac:dyDescent="0.35">
      <c r="A21" s="559"/>
      <c r="B21" s="724" t="s">
        <v>308</v>
      </c>
      <c r="C21" s="181" t="s">
        <v>16</v>
      </c>
      <c r="D21" s="571"/>
      <c r="E21" s="594"/>
      <c r="F21" s="595"/>
      <c r="G21" s="559"/>
      <c r="H21" s="559"/>
      <c r="I21" s="559"/>
      <c r="J21" s="559"/>
      <c r="K21" s="559"/>
      <c r="L21" s="559"/>
      <c r="M21" s="559"/>
      <c r="N21" s="559"/>
      <c r="O21" s="559"/>
      <c r="P21" s="559"/>
      <c r="Q21" s="559"/>
      <c r="R21" s="559"/>
      <c r="S21" s="559"/>
      <c r="T21" s="559"/>
      <c r="U21" s="559"/>
      <c r="V21" s="559"/>
      <c r="W21" s="559"/>
      <c r="X21" s="559"/>
      <c r="Y21" s="559"/>
      <c r="Z21" s="559"/>
    </row>
    <row r="22" spans="1:26" ht="18" customHeight="1" x14ac:dyDescent="0.35">
      <c r="A22" s="559"/>
      <c r="B22" s="559"/>
      <c r="C22" s="559"/>
      <c r="D22" s="559"/>
      <c r="E22" s="559"/>
      <c r="F22" s="559"/>
      <c r="G22" s="559"/>
      <c r="H22" s="559"/>
      <c r="I22" s="559"/>
      <c r="J22" s="559"/>
      <c r="K22" s="559"/>
      <c r="L22" s="559"/>
      <c r="M22" s="559"/>
      <c r="N22" s="559"/>
      <c r="O22" s="559"/>
      <c r="P22" s="559"/>
      <c r="Q22" s="559"/>
      <c r="R22" s="559"/>
      <c r="S22" s="559"/>
      <c r="T22" s="559"/>
      <c r="U22" s="559"/>
      <c r="V22" s="559"/>
      <c r="W22" s="559"/>
      <c r="X22" s="559"/>
      <c r="Y22" s="559"/>
      <c r="Z22" s="559"/>
    </row>
    <row r="23" spans="1:26" ht="18" customHeight="1" x14ac:dyDescent="0.35">
      <c r="A23" s="559"/>
      <c r="B23" s="606" t="s">
        <v>42</v>
      </c>
      <c r="C23" s="607">
        <f t="shared" ref="C23:D23" si="0">C18</f>
        <v>0</v>
      </c>
      <c r="D23" s="607">
        <f t="shared" si="0"/>
        <v>0</v>
      </c>
      <c r="E23" s="608">
        <f>VLOOKUP(C15,A80:D83,4)+VLOOKUP($C$20,A60:B66,2)+VLOOKUP($C$21,A69:C77,3)+VLOOKUP(C13,A55:B57,2)</f>
        <v>13.6</v>
      </c>
      <c r="F23" s="559"/>
      <c r="G23" s="725" t="s">
        <v>256</v>
      </c>
      <c r="H23" s="559"/>
      <c r="I23" s="559"/>
      <c r="J23" s="559"/>
      <c r="K23" s="559"/>
      <c r="L23" s="559"/>
      <c r="M23" s="559"/>
      <c r="N23" s="559"/>
      <c r="O23" s="559"/>
      <c r="P23" s="559"/>
      <c r="Q23" s="559"/>
      <c r="R23" s="559"/>
      <c r="S23" s="559"/>
      <c r="T23" s="559"/>
      <c r="U23" s="559"/>
      <c r="V23" s="559"/>
      <c r="W23" s="559"/>
      <c r="X23" s="559"/>
      <c r="Y23" s="559"/>
      <c r="Z23" s="559"/>
    </row>
    <row r="24" spans="1:26" ht="18" customHeight="1" x14ac:dyDescent="0.35">
      <c r="A24" s="559"/>
      <c r="B24" s="573"/>
      <c r="C24" s="573"/>
      <c r="D24" s="573"/>
      <c r="E24" s="573"/>
      <c r="F24" s="559"/>
      <c r="G24" s="726" t="e">
        <f>C52</f>
        <v>#VALUE!</v>
      </c>
      <c r="H24" s="559"/>
      <c r="I24" s="559"/>
      <c r="J24" s="559"/>
      <c r="K24" s="559"/>
      <c r="L24" s="559"/>
      <c r="M24" s="559"/>
      <c r="N24" s="559"/>
      <c r="O24" s="559"/>
      <c r="P24" s="559"/>
      <c r="Q24" s="559"/>
      <c r="R24" s="559"/>
      <c r="S24" s="559"/>
      <c r="T24" s="559"/>
      <c r="U24" s="559"/>
      <c r="V24" s="559"/>
      <c r="W24" s="559"/>
      <c r="X24" s="559"/>
      <c r="Y24" s="559"/>
      <c r="Z24" s="559"/>
    </row>
    <row r="25" spans="1:26" ht="18" customHeight="1" x14ac:dyDescent="0.35">
      <c r="A25" s="559"/>
      <c r="B25" s="615" t="s">
        <v>45</v>
      </c>
      <c r="C25" s="616">
        <f>P44</f>
        <v>0</v>
      </c>
      <c r="D25" s="608" t="s">
        <v>46</v>
      </c>
      <c r="E25" s="573"/>
      <c r="F25" s="559"/>
      <c r="G25" s="559"/>
      <c r="H25" s="559"/>
      <c r="I25" s="559"/>
      <c r="J25" s="559"/>
      <c r="K25" s="559"/>
      <c r="L25" s="559"/>
      <c r="M25" s="559"/>
      <c r="N25" s="559"/>
      <c r="O25" s="559"/>
      <c r="P25" s="559"/>
      <c r="Q25" s="559"/>
      <c r="R25" s="559"/>
      <c r="S25" s="559"/>
      <c r="T25" s="559"/>
      <c r="U25" s="559"/>
      <c r="V25" s="559"/>
      <c r="W25" s="559"/>
      <c r="X25" s="559"/>
      <c r="Y25" s="559"/>
      <c r="Z25" s="559"/>
    </row>
    <row r="26" spans="1:26" ht="18" hidden="1" customHeight="1" x14ac:dyDescent="0.35">
      <c r="A26" s="559"/>
      <c r="B26" s="617" t="s">
        <v>48</v>
      </c>
      <c r="C26" s="618">
        <f>D46</f>
        <v>-0.38600000000000012</v>
      </c>
      <c r="D26" s="619" t="s">
        <v>49</v>
      </c>
      <c r="E26" s="573"/>
      <c r="F26" s="559"/>
      <c r="G26" s="559"/>
      <c r="H26" s="559"/>
      <c r="I26" s="559"/>
      <c r="J26" s="559"/>
      <c r="K26" s="559"/>
      <c r="L26" s="559"/>
      <c r="M26" s="559"/>
      <c r="N26" s="559"/>
      <c r="O26" s="559"/>
      <c r="P26" s="559"/>
      <c r="Q26" s="559"/>
      <c r="R26" s="559"/>
      <c r="S26" s="559"/>
      <c r="T26" s="559"/>
      <c r="U26" s="559"/>
      <c r="V26" s="559"/>
      <c r="W26" s="559"/>
      <c r="X26" s="559"/>
      <c r="Y26" s="559"/>
      <c r="Z26" s="559"/>
    </row>
    <row r="27" spans="1:26" ht="18" hidden="1" customHeight="1" x14ac:dyDescent="0.35">
      <c r="A27" s="559"/>
      <c r="B27" s="559"/>
      <c r="C27" s="614"/>
      <c r="D27" s="559"/>
      <c r="E27" s="559"/>
      <c r="F27" s="559"/>
      <c r="G27" s="559"/>
      <c r="H27" s="559"/>
      <c r="I27" s="559"/>
      <c r="J27" s="559"/>
      <c r="K27" s="559"/>
      <c r="L27" s="559"/>
      <c r="M27" s="559"/>
      <c r="N27" s="559"/>
      <c r="O27" s="559"/>
      <c r="P27" s="559"/>
      <c r="Q27" s="559"/>
      <c r="R27" s="559"/>
      <c r="S27" s="559"/>
      <c r="T27" s="559"/>
      <c r="U27" s="559"/>
      <c r="V27" s="559"/>
      <c r="W27" s="559"/>
      <c r="X27" s="559"/>
      <c r="Y27" s="559"/>
      <c r="Z27" s="559"/>
    </row>
    <row r="28" spans="1:26" ht="18" hidden="1" customHeight="1" x14ac:dyDescent="0.35">
      <c r="A28" s="559"/>
      <c r="B28" s="559"/>
      <c r="C28" s="559"/>
      <c r="D28" s="559"/>
      <c r="E28" s="559"/>
      <c r="F28" s="559" t="s">
        <v>34</v>
      </c>
      <c r="G28" s="559"/>
      <c r="H28" s="559"/>
      <c r="I28" s="559"/>
      <c r="J28" s="559"/>
      <c r="K28" s="559"/>
      <c r="L28" s="559"/>
      <c r="M28" s="559"/>
      <c r="N28" s="559"/>
      <c r="O28" s="559"/>
      <c r="P28" s="559" t="s">
        <v>157</v>
      </c>
      <c r="Q28" s="559"/>
      <c r="R28" s="559"/>
      <c r="S28" s="559"/>
      <c r="T28" s="559"/>
      <c r="U28" s="559"/>
      <c r="V28" s="559"/>
      <c r="W28" s="559"/>
      <c r="X28" s="559"/>
      <c r="Y28" s="559"/>
      <c r="Z28" s="559"/>
    </row>
    <row r="29" spans="1:26" ht="18" hidden="1" customHeight="1" x14ac:dyDescent="0.35">
      <c r="A29" s="620" t="s">
        <v>176</v>
      </c>
      <c r="B29" s="621" t="str">
        <f>VLOOKUP($C$15,A80:C83,2)</f>
        <v>Peuplier 15 mm</v>
      </c>
      <c r="C29" s="621">
        <f t="shared" ref="C29:D29" si="1">C23</f>
        <v>0</v>
      </c>
      <c r="D29" s="621">
        <f t="shared" si="1"/>
        <v>0</v>
      </c>
      <c r="E29" s="622" t="str">
        <f>B29</f>
        <v>Peuplier 15 mm</v>
      </c>
      <c r="F29" s="623">
        <v>1</v>
      </c>
      <c r="G29" s="559"/>
      <c r="H29" s="559"/>
      <c r="I29" s="624">
        <f>IF(C29=0,0,(C29/100)*(D29/100)*F29)</f>
        <v>0</v>
      </c>
      <c r="J29" s="624">
        <f>I29/0.8</f>
        <v>0</v>
      </c>
      <c r="K29" s="625">
        <f>IF(E29=0,0,VLOOKUP(E29,'[1]Prix Matiere'!$A$4:$J$65,10))</f>
        <v>16.895876288659796</v>
      </c>
      <c r="L29" s="625">
        <f>K29*J29-IF($F$13="Non",J29*0.75,0)</f>
        <v>0</v>
      </c>
      <c r="M29" s="626">
        <f>IF(I29=0,0,IF($F$13="Oui",(7.0924*I29)+15,(6.0924*I29)+10))</f>
        <v>0</v>
      </c>
      <c r="N29" s="625">
        <f>M29*Palette!MinuteMO</f>
        <v>0</v>
      </c>
      <c r="O29" s="559"/>
      <c r="P29" s="627">
        <v>0</v>
      </c>
      <c r="Q29" s="559"/>
      <c r="R29" s="559"/>
      <c r="S29" s="559"/>
      <c r="T29" s="559"/>
      <c r="U29" s="559"/>
      <c r="V29" s="559"/>
      <c r="W29" s="559"/>
      <c r="X29" s="559"/>
      <c r="Y29" s="559"/>
      <c r="Z29" s="559"/>
    </row>
    <row r="30" spans="1:26" ht="18" hidden="1" customHeight="1" x14ac:dyDescent="0.35">
      <c r="A30" s="559"/>
      <c r="B30" s="559"/>
      <c r="C30" s="559"/>
      <c r="D30" s="559"/>
      <c r="E30" s="559"/>
      <c r="F30" s="559"/>
      <c r="G30" s="559"/>
      <c r="H30" s="559"/>
      <c r="I30" s="624"/>
      <c r="J30" s="624"/>
      <c r="K30" s="625"/>
      <c r="L30" s="625"/>
      <c r="M30" s="626"/>
      <c r="N30" s="625"/>
      <c r="O30" s="559"/>
      <c r="P30" s="627">
        <v>0</v>
      </c>
      <c r="Q30" s="559"/>
      <c r="R30" s="559"/>
      <c r="S30" s="559"/>
      <c r="T30" s="559"/>
      <c r="U30" s="559"/>
      <c r="V30" s="559"/>
      <c r="W30" s="559"/>
      <c r="X30" s="559"/>
      <c r="Y30" s="559"/>
      <c r="Z30" s="559"/>
    </row>
    <row r="31" spans="1:26" ht="18" hidden="1" customHeight="1" x14ac:dyDescent="0.35">
      <c r="A31" s="559"/>
      <c r="B31" s="559"/>
      <c r="C31" s="559"/>
      <c r="D31" s="559"/>
      <c r="E31" s="559"/>
      <c r="F31" s="559"/>
      <c r="G31" s="559"/>
      <c r="H31" s="559"/>
      <c r="I31" s="624"/>
      <c r="J31" s="624"/>
      <c r="K31" s="625"/>
      <c r="L31" s="625"/>
      <c r="M31" s="626"/>
      <c r="N31" s="625"/>
      <c r="O31" s="559"/>
      <c r="P31" s="627">
        <v>0</v>
      </c>
      <c r="Q31" s="559"/>
      <c r="R31" s="559"/>
      <c r="S31" s="559"/>
      <c r="T31" s="559"/>
      <c r="U31" s="559"/>
      <c r="V31" s="559"/>
      <c r="W31" s="559"/>
      <c r="X31" s="559"/>
      <c r="Y31" s="559"/>
      <c r="Z31" s="559"/>
    </row>
    <row r="32" spans="1:26" ht="18" hidden="1" customHeight="1" x14ac:dyDescent="0.35">
      <c r="A32" s="559" t="s">
        <v>11</v>
      </c>
      <c r="B32" s="584" t="s">
        <v>179</v>
      </c>
      <c r="C32" s="621">
        <f>Palette!Plateau</f>
        <v>0</v>
      </c>
      <c r="D32" s="584">
        <f>VLOOKUP(C15,A80:E83,5)</f>
        <v>7</v>
      </c>
      <c r="E32" s="579" t="str">
        <f>VLOOKUP(C15,A80:C83,3)</f>
        <v>Barres 21 R4F</v>
      </c>
      <c r="F32" s="584">
        <f>IF(C23&gt;250,5,IF(C23&gt;180,4,IF(C23&gt;80,3,2)))</f>
        <v>2</v>
      </c>
      <c r="G32" s="559"/>
      <c r="H32" s="559"/>
      <c r="I32" s="624">
        <f t="shared" ref="I32:I34" si="2">IF(C32=0,0,(C32/100)*(D32/100)*F32)</f>
        <v>0</v>
      </c>
      <c r="J32" s="624">
        <f t="shared" ref="J32:J34" si="3">I32/0.8</f>
        <v>0</v>
      </c>
      <c r="K32" s="625" t="s">
        <v>663</v>
      </c>
      <c r="L32" s="625" t="e">
        <f t="shared" ref="L32:L34" si="4">K32*J32</f>
        <v>#VALUE!</v>
      </c>
      <c r="M32" s="626">
        <f t="shared" ref="M32:M34" si="5">IF(I32=0,0,1+(11*I32))</f>
        <v>0</v>
      </c>
      <c r="N32" s="625">
        <f t="shared" ref="N32:N34" si="6">M32*Palette!MinuteMO</f>
        <v>0</v>
      </c>
      <c r="O32" s="559"/>
      <c r="P32" s="627">
        <v>0</v>
      </c>
      <c r="Q32" s="559"/>
      <c r="R32" s="559"/>
      <c r="S32" s="559"/>
      <c r="T32" s="559"/>
      <c r="U32" s="559"/>
      <c r="V32" s="559"/>
      <c r="W32" s="559"/>
      <c r="X32" s="559"/>
      <c r="Y32" s="559"/>
      <c r="Z32" s="559"/>
    </row>
    <row r="33" spans="1:26" ht="18" hidden="1" customHeight="1" x14ac:dyDescent="0.35">
      <c r="A33" s="559"/>
      <c r="B33" s="584" t="s">
        <v>180</v>
      </c>
      <c r="C33" s="621">
        <f>IF(C29=0,0,(D23-(D32*F32))/(F32-1))</f>
        <v>0</v>
      </c>
      <c r="D33" s="584">
        <f t="shared" ref="D33:E33" si="7">D32</f>
        <v>7</v>
      </c>
      <c r="E33" s="579" t="str">
        <f t="shared" si="7"/>
        <v>Barres 21 R4F</v>
      </c>
      <c r="F33" s="584">
        <f>IF(F32=2,2,IF(F32=3,4,IF(F32=4,8,IF(F32=5,12))))</f>
        <v>2</v>
      </c>
      <c r="G33" s="559"/>
      <c r="H33" s="559"/>
      <c r="I33" s="624">
        <f t="shared" si="2"/>
        <v>0</v>
      </c>
      <c r="J33" s="624">
        <f t="shared" si="3"/>
        <v>0</v>
      </c>
      <c r="K33" s="625" t="s">
        <v>663</v>
      </c>
      <c r="L33" s="625" t="e">
        <f t="shared" si="4"/>
        <v>#VALUE!</v>
      </c>
      <c r="M33" s="626">
        <f t="shared" si="5"/>
        <v>0</v>
      </c>
      <c r="N33" s="625">
        <f t="shared" si="6"/>
        <v>0</v>
      </c>
      <c r="O33" s="559"/>
      <c r="P33" s="627">
        <v>0</v>
      </c>
      <c r="Q33" s="559"/>
      <c r="R33" s="559"/>
      <c r="S33" s="559"/>
      <c r="T33" s="559"/>
      <c r="U33" s="559"/>
      <c r="V33" s="559"/>
      <c r="W33" s="559"/>
      <c r="X33" s="559"/>
      <c r="Y33" s="559"/>
      <c r="Z33" s="559"/>
    </row>
    <row r="34" spans="1:26" ht="18" hidden="1" customHeight="1" x14ac:dyDescent="0.35">
      <c r="A34" s="559"/>
      <c r="B34" s="584" t="str">
        <f>C13</f>
        <v>10 dessous en skis</v>
      </c>
      <c r="C34" s="621">
        <f>IF(B34="10 dessous en skis", (C29-60)/2,IF(B34="10 dessous en semelles",D29,C29-10))</f>
        <v>-30</v>
      </c>
      <c r="D34" s="584">
        <f>IF($F$10="BOVIS",9.4,7)</f>
        <v>7</v>
      </c>
      <c r="E34" s="579" t="str">
        <f>IF(B34="skis","Barres 21 R4F","Semelles R4F")</f>
        <v>Semelles R4F</v>
      </c>
      <c r="F34" s="584">
        <f>IF(B34="10 dessous en skis",6,IF(B34="10 dessous en semelles",2,2))</f>
        <v>6</v>
      </c>
      <c r="G34" s="559"/>
      <c r="H34" s="559"/>
      <c r="I34" s="624">
        <f t="shared" si="2"/>
        <v>-0.126</v>
      </c>
      <c r="J34" s="624">
        <f t="shared" si="3"/>
        <v>-0.1575</v>
      </c>
      <c r="K34" s="625" t="s">
        <v>663</v>
      </c>
      <c r="L34" s="625" t="e">
        <f t="shared" si="4"/>
        <v>#VALUE!</v>
      </c>
      <c r="M34" s="626">
        <f t="shared" si="5"/>
        <v>-0.38600000000000012</v>
      </c>
      <c r="N34" s="625">
        <f t="shared" si="6"/>
        <v>-0.32810000000000011</v>
      </c>
      <c r="O34" s="559"/>
      <c r="P34" s="627" t="s">
        <v>663</v>
      </c>
      <c r="Q34" s="559"/>
      <c r="R34" s="559"/>
      <c r="S34" s="559"/>
      <c r="T34" s="559"/>
      <c r="U34" s="559"/>
      <c r="V34" s="559"/>
      <c r="W34" s="559"/>
      <c r="X34" s="559"/>
      <c r="Y34" s="559"/>
      <c r="Z34" s="559"/>
    </row>
    <row r="35" spans="1:26" ht="18" hidden="1" customHeight="1" x14ac:dyDescent="0.35">
      <c r="A35" s="559"/>
      <c r="B35" s="559"/>
      <c r="C35" s="559"/>
      <c r="D35" s="559"/>
      <c r="E35" s="559"/>
      <c r="F35" s="559"/>
      <c r="G35" s="559"/>
      <c r="H35" s="559"/>
      <c r="I35" s="624"/>
      <c r="J35" s="624"/>
      <c r="K35" s="625"/>
      <c r="L35" s="625"/>
      <c r="M35" s="626"/>
      <c r="N35" s="625"/>
      <c r="O35" s="559"/>
      <c r="P35" s="627"/>
      <c r="Q35" s="559"/>
      <c r="R35" s="559"/>
      <c r="S35" s="559"/>
      <c r="T35" s="559"/>
      <c r="U35" s="559"/>
      <c r="V35" s="559"/>
      <c r="W35" s="559"/>
      <c r="X35" s="559"/>
      <c r="Y35" s="559"/>
      <c r="Z35" s="559"/>
    </row>
    <row r="36" spans="1:26" ht="18" hidden="1" customHeight="1" x14ac:dyDescent="0.35">
      <c r="A36" s="559"/>
      <c r="B36" s="559"/>
      <c r="C36" s="559"/>
      <c r="D36" s="559"/>
      <c r="E36" s="559"/>
      <c r="F36" s="559"/>
      <c r="G36" s="559"/>
      <c r="H36" s="559"/>
      <c r="I36" s="559"/>
      <c r="J36" s="559"/>
      <c r="K36" s="625"/>
      <c r="L36" s="625"/>
      <c r="M36" s="626"/>
      <c r="N36" s="625"/>
      <c r="O36" s="559"/>
      <c r="P36" s="627"/>
      <c r="Q36" s="559"/>
      <c r="R36" s="559"/>
      <c r="S36" s="559"/>
      <c r="T36" s="559"/>
      <c r="U36" s="559"/>
      <c r="V36" s="559"/>
      <c r="W36" s="559"/>
      <c r="X36" s="559"/>
      <c r="Y36" s="559"/>
      <c r="Z36" s="559"/>
    </row>
    <row r="37" spans="1:26" ht="18" hidden="1" customHeight="1" x14ac:dyDescent="0.35">
      <c r="A37" s="559"/>
      <c r="B37" s="560" t="s">
        <v>399</v>
      </c>
      <c r="C37" s="559"/>
      <c r="D37" s="559"/>
      <c r="E37" s="559"/>
      <c r="F37" s="559"/>
      <c r="G37" s="559"/>
      <c r="H37" s="559"/>
      <c r="I37" s="559"/>
      <c r="J37" s="559"/>
      <c r="K37" s="625"/>
      <c r="L37" s="625"/>
      <c r="M37" s="626"/>
      <c r="N37" s="625"/>
      <c r="O37" s="559"/>
      <c r="P37" s="627"/>
      <c r="Q37" s="559"/>
      <c r="R37" s="559"/>
      <c r="S37" s="559"/>
      <c r="T37" s="559"/>
      <c r="U37" s="559"/>
      <c r="V37" s="559"/>
      <c r="W37" s="559"/>
      <c r="X37" s="559"/>
      <c r="Y37" s="559"/>
      <c r="Z37" s="559"/>
    </row>
    <row r="38" spans="1:26" ht="18" hidden="1" customHeight="1" x14ac:dyDescent="0.35">
      <c r="A38" s="559"/>
      <c r="B38" s="629"/>
      <c r="C38" s="622"/>
      <c r="D38" s="630" t="s">
        <v>28</v>
      </c>
      <c r="E38" s="630" t="s">
        <v>33</v>
      </c>
      <c r="F38" s="631" t="s">
        <v>34</v>
      </c>
      <c r="G38" s="559"/>
      <c r="H38" s="559"/>
      <c r="I38" s="559"/>
      <c r="J38" s="559"/>
      <c r="K38" s="625"/>
      <c r="L38" s="625"/>
      <c r="M38" s="626"/>
      <c r="N38" s="625"/>
      <c r="O38" s="559"/>
      <c r="P38" s="627"/>
      <c r="Q38" s="559"/>
      <c r="R38" s="559"/>
      <c r="S38" s="559"/>
      <c r="T38" s="559"/>
      <c r="U38" s="559"/>
      <c r="V38" s="559"/>
      <c r="W38" s="559"/>
      <c r="X38" s="559"/>
      <c r="Y38" s="559"/>
      <c r="Z38" s="559"/>
    </row>
    <row r="39" spans="1:26" ht="18" hidden="1" customHeight="1" x14ac:dyDescent="0.35">
      <c r="A39" s="559"/>
      <c r="B39" s="622" t="s">
        <v>80</v>
      </c>
      <c r="C39" s="584">
        <f>IF(Palette!BaseP="Aucun",0,Palette!BaseP)</f>
        <v>0</v>
      </c>
      <c r="D39" s="631">
        <f>IF(C39=0,0,Palette!Plateau)</f>
        <v>0</v>
      </c>
      <c r="E39" s="631">
        <f>IF(D39=0,0,Palette!Plateau)</f>
        <v>0</v>
      </c>
      <c r="F39" s="631">
        <f>IF(E39=0,0,1)</f>
        <v>0</v>
      </c>
      <c r="G39" s="559">
        <f>C39</f>
        <v>0</v>
      </c>
      <c r="H39" s="559"/>
      <c r="I39" s="559">
        <f t="shared" ref="I39:I41" si="8">IF(D39=0,0,(D39/100)*(E39/100)*F39)</f>
        <v>0</v>
      </c>
      <c r="J39" s="559">
        <f t="shared" ref="J39:J41" si="9">I39/0.8</f>
        <v>0</v>
      </c>
      <c r="K39" s="625">
        <v>0</v>
      </c>
      <c r="L39" s="625">
        <f t="shared" ref="L39:L41" si="10">K39*J39</f>
        <v>0</v>
      </c>
      <c r="M39" s="626">
        <f t="shared" ref="M39:M41" si="11">IF(I39=0,0,4.7283*I39+2)</f>
        <v>0</v>
      </c>
      <c r="N39" s="625">
        <f t="shared" ref="N39:N41" si="12">M39*Palette!MinuteMO</f>
        <v>0</v>
      </c>
      <c r="O39" s="559"/>
      <c r="P39" s="627">
        <v>0</v>
      </c>
      <c r="Q39" s="559"/>
      <c r="R39" s="559"/>
      <c r="S39" s="559"/>
      <c r="T39" s="559"/>
      <c r="U39" s="559"/>
      <c r="V39" s="559"/>
      <c r="W39" s="559"/>
      <c r="X39" s="559"/>
      <c r="Y39" s="559"/>
      <c r="Z39" s="559"/>
    </row>
    <row r="40" spans="1:26" ht="18" hidden="1" customHeight="1" x14ac:dyDescent="0.35">
      <c r="A40" s="559"/>
      <c r="B40" s="584"/>
      <c r="C40" s="584"/>
      <c r="D40" s="630"/>
      <c r="E40" s="630"/>
      <c r="F40" s="631"/>
      <c r="G40" s="559"/>
      <c r="H40" s="559"/>
      <c r="I40" s="559">
        <f t="shared" si="8"/>
        <v>0</v>
      </c>
      <c r="J40" s="559">
        <f t="shared" si="9"/>
        <v>0</v>
      </c>
      <c r="K40" s="625">
        <v>0</v>
      </c>
      <c r="L40" s="625">
        <f t="shared" si="10"/>
        <v>0</v>
      </c>
      <c r="M40" s="626">
        <f t="shared" si="11"/>
        <v>0</v>
      </c>
      <c r="N40" s="625">
        <f t="shared" si="12"/>
        <v>0</v>
      </c>
      <c r="O40" s="559"/>
      <c r="P40" s="627">
        <v>0</v>
      </c>
      <c r="Q40" s="559"/>
      <c r="R40" s="559"/>
      <c r="S40" s="559"/>
      <c r="T40" s="559"/>
      <c r="U40" s="559"/>
      <c r="V40" s="559"/>
      <c r="W40" s="559"/>
      <c r="X40" s="559"/>
      <c r="Y40" s="559"/>
      <c r="Z40" s="559"/>
    </row>
    <row r="41" spans="1:26" ht="18" hidden="1" customHeight="1" x14ac:dyDescent="0.35">
      <c r="A41" s="559"/>
      <c r="B41" s="579" t="s">
        <v>176</v>
      </c>
      <c r="C41" s="584">
        <f>IF(Palette!PlateauP="Aucun",0,Palette!PlateauP)</f>
        <v>0</v>
      </c>
      <c r="D41" s="630">
        <f>IF($C$20="Aucun",0,Palette!Plateau-0.3)</f>
        <v>0</v>
      </c>
      <c r="E41" s="630">
        <f>IF($C$20="Aucun",0,D23-0.3)</f>
        <v>0</v>
      </c>
      <c r="F41" s="631">
        <f>IF(C41=0,0,1)</f>
        <v>0</v>
      </c>
      <c r="G41" s="559"/>
      <c r="H41" s="559"/>
      <c r="I41" s="559">
        <f t="shared" si="8"/>
        <v>0</v>
      </c>
      <c r="J41" s="559">
        <f t="shared" si="9"/>
        <v>0</v>
      </c>
      <c r="K41" s="625">
        <f>IF(D41=0,0,VLOOKUP(C41,A60:C66,3))</f>
        <v>0</v>
      </c>
      <c r="L41" s="625">
        <f t="shared" si="10"/>
        <v>0</v>
      </c>
      <c r="M41" s="626">
        <f t="shared" si="11"/>
        <v>0</v>
      </c>
      <c r="N41" s="625">
        <f t="shared" si="12"/>
        <v>0</v>
      </c>
      <c r="O41" s="559"/>
      <c r="P41" s="627">
        <f>IF(I41=0,0,I41*VLOOKUP(C41,A60:D66,4))</f>
        <v>0</v>
      </c>
      <c r="Q41" s="559"/>
      <c r="R41" s="559"/>
      <c r="S41" s="559"/>
      <c r="T41" s="559"/>
      <c r="U41" s="559"/>
      <c r="V41" s="559"/>
      <c r="W41" s="559"/>
      <c r="X41" s="559"/>
      <c r="Y41" s="559"/>
      <c r="Z41" s="559"/>
    </row>
    <row r="42" spans="1:26" ht="17.25" hidden="1" customHeight="1" x14ac:dyDescent="0.35">
      <c r="A42" s="559"/>
      <c r="B42" s="559"/>
      <c r="C42" s="559"/>
      <c r="D42" s="559"/>
      <c r="E42" s="559"/>
      <c r="F42" s="559"/>
      <c r="G42" s="559"/>
      <c r="H42" s="559"/>
      <c r="I42" s="559"/>
      <c r="J42" s="559"/>
      <c r="K42" s="559"/>
      <c r="L42" s="559"/>
      <c r="M42" s="626"/>
      <c r="N42" s="559"/>
      <c r="O42" s="559"/>
      <c r="P42" s="559"/>
      <c r="Q42" s="559"/>
      <c r="R42" s="559"/>
      <c r="S42" s="559"/>
      <c r="T42" s="559"/>
      <c r="U42" s="559"/>
      <c r="V42" s="559"/>
      <c r="W42" s="559"/>
      <c r="X42" s="559"/>
      <c r="Y42" s="559"/>
      <c r="Z42" s="559"/>
    </row>
    <row r="43" spans="1:26" ht="18" hidden="1" customHeight="1" x14ac:dyDescent="0.35">
      <c r="A43" s="559"/>
      <c r="B43" s="559"/>
      <c r="C43" s="559"/>
      <c r="D43" s="559"/>
      <c r="E43" s="559"/>
      <c r="F43" s="559"/>
      <c r="G43" s="559"/>
      <c r="H43" s="559"/>
      <c r="I43" s="559"/>
      <c r="J43" s="559"/>
      <c r="K43" s="559"/>
      <c r="L43" s="559"/>
      <c r="M43" s="626"/>
      <c r="N43" s="559"/>
      <c r="O43" s="559"/>
      <c r="P43" s="559"/>
      <c r="Q43" s="559"/>
      <c r="R43" s="559"/>
      <c r="S43" s="559"/>
      <c r="T43" s="559"/>
      <c r="U43" s="559"/>
      <c r="V43" s="559"/>
      <c r="W43" s="559"/>
      <c r="X43" s="559"/>
      <c r="Y43" s="559"/>
      <c r="Z43" s="559"/>
    </row>
    <row r="44" spans="1:26" ht="18" hidden="1" customHeight="1" x14ac:dyDescent="0.35">
      <c r="A44" s="559"/>
      <c r="B44" s="559"/>
      <c r="C44" s="559"/>
      <c r="D44" s="559"/>
      <c r="E44" s="559"/>
      <c r="F44" s="559"/>
      <c r="G44" s="559"/>
      <c r="H44" s="559"/>
      <c r="I44" s="559"/>
      <c r="J44" s="559"/>
      <c r="K44" s="614"/>
      <c r="L44" s="614" t="e">
        <f t="shared" ref="L44:N44" si="13">SUM(L29:L43)</f>
        <v>#VALUE!</v>
      </c>
      <c r="M44" s="638">
        <f t="shared" si="13"/>
        <v>-0.38600000000000012</v>
      </c>
      <c r="N44" s="614">
        <f t="shared" si="13"/>
        <v>-0.32810000000000011</v>
      </c>
      <c r="O44" s="559"/>
      <c r="P44" s="627">
        <f>SUM(P29:P43)</f>
        <v>0</v>
      </c>
      <c r="Q44" s="559"/>
      <c r="R44" s="559"/>
      <c r="S44" s="559"/>
      <c r="T44" s="559"/>
      <c r="U44" s="559"/>
      <c r="V44" s="559"/>
      <c r="W44" s="559"/>
      <c r="X44" s="559"/>
      <c r="Y44" s="559"/>
      <c r="Z44" s="559"/>
    </row>
    <row r="45" spans="1:26" ht="18" hidden="1" customHeight="1" x14ac:dyDescent="0.35">
      <c r="A45" s="559"/>
      <c r="B45" s="639" t="s">
        <v>73</v>
      </c>
      <c r="C45" s="640" t="e">
        <f>IF($F$9=0,0,L44)</f>
        <v>#VALUE!</v>
      </c>
      <c r="D45" s="641"/>
      <c r="E45" s="642" t="s">
        <v>74</v>
      </c>
      <c r="F45" s="643" t="str">
        <f>CONCATENATE(ROUNDUP(SUM(J29)+J41,2)," m²")</f>
        <v>0 m²</v>
      </c>
      <c r="G45" s="644">
        <f>(SUM(L29)+L41)</f>
        <v>0</v>
      </c>
      <c r="H45" s="559"/>
      <c r="I45" s="559"/>
      <c r="J45" s="559"/>
      <c r="K45" s="559"/>
      <c r="L45" s="559"/>
      <c r="M45" s="559"/>
      <c r="N45" s="559"/>
      <c r="O45" s="559"/>
      <c r="P45" s="559"/>
      <c r="Q45" s="559"/>
      <c r="R45" s="559"/>
      <c r="S45" s="559"/>
      <c r="T45" s="559"/>
      <c r="U45" s="559"/>
      <c r="V45" s="559"/>
      <c r="W45" s="559"/>
      <c r="X45" s="559"/>
      <c r="Y45" s="559"/>
      <c r="Z45" s="559"/>
    </row>
    <row r="46" spans="1:26" ht="18" hidden="1" customHeight="1" x14ac:dyDescent="0.35">
      <c r="A46" s="559"/>
      <c r="B46" s="645" t="s">
        <v>75</v>
      </c>
      <c r="C46" s="625">
        <f>IF($F$9=0,0,N44)</f>
        <v>-0.32810000000000011</v>
      </c>
      <c r="D46" s="646">
        <f>IF($F$9=0,0,M44)</f>
        <v>-0.38600000000000012</v>
      </c>
      <c r="E46" s="647" t="s">
        <v>76</v>
      </c>
      <c r="F46" s="648" t="str">
        <f>CONCATENATE(ROUNDUP(SUM(J32:J34),2)," m²")</f>
        <v>-0,16 m²</v>
      </c>
      <c r="G46" s="649" t="e">
        <f>(SUM(L32:L34))</f>
        <v>#VALUE!</v>
      </c>
      <c r="H46" s="559"/>
      <c r="I46" s="559"/>
      <c r="J46" s="559"/>
      <c r="K46" s="559"/>
      <c r="L46" s="559"/>
      <c r="M46" s="559"/>
      <c r="N46" s="559"/>
      <c r="O46" s="559"/>
      <c r="P46" s="559"/>
      <c r="Q46" s="559"/>
      <c r="R46" s="559"/>
      <c r="S46" s="559"/>
      <c r="T46" s="559"/>
      <c r="U46" s="559"/>
      <c r="V46" s="559"/>
      <c r="W46" s="559"/>
      <c r="X46" s="559"/>
      <c r="Y46" s="559"/>
      <c r="Z46" s="559"/>
    </row>
    <row r="47" spans="1:26" ht="18" hidden="1" customHeight="1" x14ac:dyDescent="0.35">
      <c r="A47" s="559"/>
      <c r="B47" s="645" t="s">
        <v>77</v>
      </c>
      <c r="C47" s="625" t="e">
        <f>IF($F$9=0,0,((C45+C46)/Palette!Frais_Généraux)-(C45+C46))</f>
        <v>#VALUE!</v>
      </c>
      <c r="D47" s="650"/>
      <c r="E47" s="647"/>
      <c r="F47" s="648"/>
      <c r="G47" s="649"/>
      <c r="H47" s="559"/>
      <c r="I47" s="559"/>
      <c r="J47" s="559"/>
      <c r="K47" s="559"/>
      <c r="L47" s="559"/>
      <c r="M47" s="559"/>
      <c r="N47" s="559"/>
      <c r="O47" s="559"/>
      <c r="P47" s="559"/>
      <c r="Q47" s="559"/>
      <c r="R47" s="559"/>
      <c r="S47" s="559"/>
      <c r="T47" s="559"/>
      <c r="U47" s="559"/>
      <c r="V47" s="559"/>
      <c r="W47" s="559"/>
      <c r="X47" s="559"/>
      <c r="Y47" s="559"/>
      <c r="Z47" s="559"/>
    </row>
    <row r="48" spans="1:26" ht="18" hidden="1" customHeight="1" x14ac:dyDescent="0.35">
      <c r="A48" s="559"/>
      <c r="B48" s="645" t="s">
        <v>79</v>
      </c>
      <c r="C48" s="625" t="e">
        <f>IF($F$9=0,0,SUM(C45:C47))</f>
        <v>#VALUE!</v>
      </c>
      <c r="D48" s="650"/>
      <c r="E48" s="647" t="s">
        <v>80</v>
      </c>
      <c r="F48" s="648" t="str">
        <f>CONCATENATE(ROUNDUP(SUM(J39),2)," m²")</f>
        <v>0 m²</v>
      </c>
      <c r="G48" s="649">
        <f>(SUM(L39))</f>
        <v>0</v>
      </c>
      <c r="H48" s="559"/>
      <c r="I48" s="559"/>
      <c r="J48" s="559"/>
      <c r="K48" s="559"/>
      <c r="L48" s="559"/>
      <c r="M48" s="559"/>
      <c r="N48" s="559"/>
      <c r="O48" s="559"/>
      <c r="P48" s="559"/>
      <c r="Q48" s="559"/>
      <c r="R48" s="559"/>
      <c r="S48" s="559"/>
      <c r="T48" s="559"/>
      <c r="U48" s="559"/>
      <c r="V48" s="559"/>
      <c r="W48" s="559"/>
      <c r="X48" s="559"/>
      <c r="Y48" s="559"/>
      <c r="Z48" s="559"/>
    </row>
    <row r="49" spans="1:26" ht="18" hidden="1" customHeight="1" x14ac:dyDescent="0.35">
      <c r="A49" s="559"/>
      <c r="B49" s="645" t="s">
        <v>81</v>
      </c>
      <c r="C49" s="625" t="e">
        <f>IF($F$9=0,0,(C48/(1-Palette!Marge)-C48))</f>
        <v>#VALUE!</v>
      </c>
      <c r="D49" s="651" t="e">
        <f>C48+C49</f>
        <v>#VALUE!</v>
      </c>
      <c r="E49" s="647"/>
      <c r="F49" s="648"/>
      <c r="G49" s="652"/>
      <c r="H49" s="559"/>
      <c r="I49" s="559"/>
      <c r="J49" s="559"/>
      <c r="K49" s="559"/>
      <c r="L49" s="559"/>
      <c r="M49" s="559"/>
      <c r="N49" s="559"/>
      <c r="O49" s="559"/>
      <c r="P49" s="559"/>
      <c r="Q49" s="559"/>
      <c r="R49" s="559"/>
      <c r="S49" s="559"/>
      <c r="T49" s="559"/>
      <c r="U49" s="559"/>
      <c r="V49" s="559"/>
      <c r="W49" s="559"/>
      <c r="X49" s="559"/>
      <c r="Y49" s="559"/>
      <c r="Z49" s="559"/>
    </row>
    <row r="50" spans="1:26" ht="18" hidden="1" customHeight="1" x14ac:dyDescent="0.35">
      <c r="A50" s="559"/>
      <c r="B50" s="645" t="s">
        <v>83</v>
      </c>
      <c r="C50" s="625" t="e">
        <f>IF($F$10="BOVIS",((C48+C49)*(1+C51))-(C48+C49),((C48+C49)*(1+D50))-(C48+C49))</f>
        <v>#VALUE!</v>
      </c>
      <c r="D50" s="22"/>
      <c r="E50" s="647"/>
      <c r="F50" s="648"/>
      <c r="G50" s="652"/>
      <c r="H50" s="559"/>
      <c r="I50" s="559"/>
      <c r="J50" s="559"/>
      <c r="K50" s="559"/>
      <c r="L50" s="559"/>
      <c r="M50" s="559"/>
      <c r="N50" s="559"/>
      <c r="O50" s="559"/>
      <c r="P50" s="559"/>
      <c r="Q50" s="559"/>
      <c r="R50" s="559"/>
      <c r="S50" s="559"/>
      <c r="T50" s="559"/>
      <c r="U50" s="559"/>
      <c r="V50" s="559"/>
      <c r="W50" s="559"/>
      <c r="X50" s="559"/>
      <c r="Y50" s="559"/>
      <c r="Z50" s="559"/>
    </row>
    <row r="51" spans="1:26" ht="18" hidden="1" customHeight="1" x14ac:dyDescent="0.35">
      <c r="A51" s="559"/>
      <c r="B51" s="645"/>
      <c r="C51" s="653">
        <f>IF($F$10="BOVIS",0.03,0)</f>
        <v>0</v>
      </c>
      <c r="D51" s="654"/>
      <c r="E51" s="647"/>
      <c r="F51" s="648"/>
      <c r="G51" s="652"/>
      <c r="H51" s="559"/>
      <c r="I51" s="559"/>
      <c r="J51" s="559"/>
      <c r="K51" s="559"/>
      <c r="L51" s="559"/>
      <c r="M51" s="559"/>
      <c r="N51" s="559"/>
      <c r="O51" s="559"/>
      <c r="P51" s="559"/>
      <c r="Q51" s="559"/>
      <c r="R51" s="559"/>
      <c r="S51" s="559"/>
      <c r="T51" s="559"/>
      <c r="U51" s="559"/>
      <c r="V51" s="559"/>
      <c r="W51" s="559"/>
      <c r="X51" s="559"/>
      <c r="Y51" s="559"/>
      <c r="Z51" s="559"/>
    </row>
    <row r="52" spans="1:26" ht="18" hidden="1" customHeight="1" x14ac:dyDescent="0.35">
      <c r="A52" s="559"/>
      <c r="B52" s="655" t="s">
        <v>84</v>
      </c>
      <c r="C52" s="656" t="e">
        <f>SUM(C48:C51)</f>
        <v>#VALUE!</v>
      </c>
      <c r="D52" s="657"/>
      <c r="E52" s="658" t="s">
        <v>85</v>
      </c>
      <c r="F52" s="567"/>
      <c r="G52" s="659" t="e">
        <f>C45-SUM(G45:G49)</f>
        <v>#VALUE!</v>
      </c>
      <c r="H52" s="559"/>
      <c r="I52" s="559"/>
      <c r="J52" s="559"/>
      <c r="K52" s="559"/>
      <c r="L52" s="559"/>
      <c r="M52" s="559"/>
      <c r="N52" s="559"/>
      <c r="O52" s="559"/>
      <c r="P52" s="559"/>
      <c r="Q52" s="559"/>
      <c r="R52" s="559"/>
      <c r="S52" s="559"/>
      <c r="T52" s="559"/>
      <c r="U52" s="559"/>
      <c r="V52" s="559"/>
      <c r="W52" s="559"/>
      <c r="X52" s="559"/>
      <c r="Y52" s="559"/>
      <c r="Z52" s="559"/>
    </row>
    <row r="53" spans="1:26" ht="18" hidden="1" customHeight="1" x14ac:dyDescent="0.35">
      <c r="A53" s="559"/>
      <c r="B53" s="559"/>
      <c r="C53" s="559"/>
      <c r="D53" s="559"/>
      <c r="E53" s="559"/>
      <c r="F53" s="559"/>
      <c r="G53" s="559"/>
      <c r="H53" s="559"/>
      <c r="I53" s="559"/>
      <c r="J53" s="559"/>
      <c r="K53" s="559"/>
      <c r="L53" s="559"/>
      <c r="M53" s="559"/>
      <c r="N53" s="559"/>
      <c r="O53" s="559"/>
      <c r="P53" s="559"/>
      <c r="Q53" s="559"/>
      <c r="R53" s="559"/>
      <c r="S53" s="559"/>
      <c r="T53" s="559"/>
      <c r="U53" s="559"/>
      <c r="V53" s="559"/>
      <c r="W53" s="559"/>
      <c r="X53" s="559"/>
      <c r="Y53" s="559"/>
      <c r="Z53" s="559"/>
    </row>
    <row r="54" spans="1:26" ht="18" hidden="1" customHeight="1" x14ac:dyDescent="0.3">
      <c r="A54" s="663"/>
      <c r="B54" s="663"/>
      <c r="C54" s="663"/>
      <c r="D54" s="663"/>
      <c r="E54" s="663"/>
      <c r="F54" s="663"/>
      <c r="G54" s="663"/>
      <c r="H54" s="663"/>
      <c r="I54" s="663"/>
      <c r="J54" s="663"/>
      <c r="K54" s="663"/>
      <c r="L54" s="663"/>
      <c r="M54" s="663"/>
      <c r="N54" s="663"/>
      <c r="O54" s="663"/>
      <c r="P54" s="663"/>
      <c r="Q54" s="663"/>
      <c r="R54" s="663"/>
      <c r="S54" s="663"/>
      <c r="T54" s="663"/>
      <c r="U54" s="663"/>
      <c r="V54" s="663"/>
      <c r="W54" s="663"/>
      <c r="X54" s="663"/>
      <c r="Y54" s="663"/>
      <c r="Z54" s="663"/>
    </row>
    <row r="55" spans="1:26" ht="18" hidden="1" customHeight="1" x14ac:dyDescent="0.35">
      <c r="A55" s="660" t="s">
        <v>135</v>
      </c>
      <c r="B55" s="641">
        <v>10</v>
      </c>
      <c r="C55" s="663"/>
      <c r="D55" s="663"/>
      <c r="E55" s="663"/>
      <c r="F55" s="663"/>
      <c r="G55" s="663"/>
      <c r="H55" s="663"/>
      <c r="I55" s="663"/>
      <c r="J55" s="663"/>
      <c r="K55" s="663"/>
      <c r="L55" s="663"/>
      <c r="M55" s="663"/>
      <c r="N55" s="663"/>
      <c r="O55" s="663"/>
      <c r="P55" s="663"/>
      <c r="Q55" s="663"/>
      <c r="R55" s="663"/>
      <c r="S55" s="663"/>
      <c r="T55" s="663"/>
      <c r="U55" s="663"/>
      <c r="V55" s="663"/>
      <c r="W55" s="663"/>
      <c r="X55" s="663"/>
      <c r="Y55" s="663"/>
      <c r="Z55" s="663"/>
    </row>
    <row r="56" spans="1:26" ht="18" hidden="1" customHeight="1" x14ac:dyDescent="0.35">
      <c r="A56" s="664" t="s">
        <v>136</v>
      </c>
      <c r="B56" s="650">
        <v>10</v>
      </c>
      <c r="C56" s="663"/>
      <c r="D56" s="663"/>
      <c r="E56" s="663"/>
      <c r="F56" s="663"/>
      <c r="G56" s="663"/>
      <c r="H56" s="663"/>
      <c r="I56" s="663"/>
      <c r="J56" s="663"/>
      <c r="K56" s="663"/>
      <c r="L56" s="663"/>
      <c r="M56" s="663"/>
      <c r="N56" s="663"/>
      <c r="O56" s="663"/>
      <c r="P56" s="663"/>
      <c r="Q56" s="663"/>
      <c r="R56" s="663"/>
      <c r="S56" s="663"/>
      <c r="T56" s="663"/>
      <c r="U56" s="663"/>
      <c r="V56" s="663"/>
      <c r="W56" s="663"/>
      <c r="X56" s="663"/>
      <c r="Y56" s="663"/>
      <c r="Z56" s="663"/>
    </row>
    <row r="57" spans="1:26" ht="18" hidden="1" customHeight="1" x14ac:dyDescent="0.35">
      <c r="A57" s="666" t="s">
        <v>24</v>
      </c>
      <c r="B57" s="657">
        <v>2.1</v>
      </c>
      <c r="C57" s="663"/>
      <c r="D57" s="663"/>
      <c r="E57" s="663"/>
      <c r="F57" s="663"/>
      <c r="G57" s="663"/>
      <c r="H57" s="663"/>
      <c r="I57" s="663"/>
      <c r="J57" s="663"/>
      <c r="K57" s="663"/>
      <c r="L57" s="663"/>
      <c r="M57" s="663"/>
      <c r="N57" s="663"/>
      <c r="O57" s="663"/>
      <c r="P57" s="663"/>
      <c r="Q57" s="663"/>
      <c r="R57" s="663"/>
      <c r="S57" s="663"/>
      <c r="T57" s="663"/>
      <c r="U57" s="663"/>
      <c r="V57" s="663"/>
      <c r="W57" s="663"/>
      <c r="X57" s="663"/>
      <c r="Y57" s="663"/>
      <c r="Z57" s="663"/>
    </row>
    <row r="58" spans="1:26" ht="18" hidden="1" customHeight="1" x14ac:dyDescent="0.3">
      <c r="A58" s="663"/>
      <c r="B58" s="663"/>
      <c r="C58" s="663"/>
      <c r="D58" s="663"/>
      <c r="E58" s="663"/>
      <c r="F58" s="663"/>
      <c r="G58" s="663"/>
      <c r="H58" s="663"/>
      <c r="I58" s="663"/>
      <c r="J58" s="663"/>
      <c r="K58" s="663"/>
      <c r="L58" s="663"/>
      <c r="M58" s="663"/>
      <c r="N58" s="663"/>
      <c r="O58" s="663"/>
      <c r="P58" s="663"/>
      <c r="Q58" s="663"/>
      <c r="R58" s="663"/>
      <c r="S58" s="663"/>
      <c r="T58" s="663"/>
      <c r="U58" s="663"/>
      <c r="V58" s="663"/>
      <c r="W58" s="663"/>
      <c r="X58" s="663"/>
      <c r="Y58" s="663"/>
      <c r="Z58" s="663"/>
    </row>
    <row r="59" spans="1:26" ht="18" hidden="1" customHeight="1" x14ac:dyDescent="0.3">
      <c r="A59" s="663"/>
      <c r="B59" s="663"/>
      <c r="C59" s="663"/>
      <c r="D59" s="663"/>
      <c r="E59" s="663"/>
      <c r="F59" s="663"/>
      <c r="G59" s="663"/>
      <c r="H59" s="663"/>
      <c r="I59" s="663"/>
      <c r="J59" s="663"/>
      <c r="K59" s="663"/>
      <c r="L59" s="663"/>
      <c r="M59" s="663"/>
      <c r="N59" s="663"/>
      <c r="O59" s="663"/>
      <c r="P59" s="663"/>
      <c r="Q59" s="663"/>
      <c r="R59" s="663"/>
      <c r="S59" s="663"/>
      <c r="T59" s="663"/>
      <c r="U59" s="663"/>
      <c r="V59" s="663"/>
      <c r="W59" s="663"/>
      <c r="X59" s="663"/>
      <c r="Y59" s="663"/>
      <c r="Z59" s="663"/>
    </row>
    <row r="60" spans="1:26" ht="18" hidden="1" customHeight="1" x14ac:dyDescent="0.3">
      <c r="A60" s="660" t="s">
        <v>16</v>
      </c>
      <c r="B60" s="661">
        <v>0</v>
      </c>
      <c r="C60" s="662">
        <v>0</v>
      </c>
      <c r="D60" s="662"/>
      <c r="E60" s="663"/>
      <c r="F60" s="663"/>
      <c r="G60" s="663"/>
      <c r="H60" s="663"/>
      <c r="I60" s="663"/>
      <c r="J60" s="663"/>
      <c r="K60" s="663"/>
      <c r="L60" s="663"/>
      <c r="M60" s="663"/>
      <c r="N60" s="663"/>
      <c r="O60" s="663"/>
      <c r="P60" s="663"/>
      <c r="Q60" s="663"/>
      <c r="R60" s="663"/>
      <c r="S60" s="663"/>
      <c r="T60" s="663"/>
      <c r="U60" s="663"/>
      <c r="V60" s="663"/>
      <c r="W60" s="663"/>
      <c r="X60" s="663"/>
      <c r="Y60" s="663"/>
      <c r="Z60" s="663"/>
    </row>
    <row r="61" spans="1:26" ht="18" hidden="1" customHeight="1" x14ac:dyDescent="0.3">
      <c r="A61" s="664" t="s">
        <v>334</v>
      </c>
      <c r="B61" s="663">
        <v>0.7</v>
      </c>
      <c r="C61" s="665">
        <v>2</v>
      </c>
      <c r="D61" s="665">
        <v>1</v>
      </c>
      <c r="E61" s="663"/>
      <c r="F61" s="663"/>
      <c r="G61" s="663"/>
      <c r="H61" s="663"/>
      <c r="I61" s="663"/>
      <c r="J61" s="663"/>
      <c r="K61" s="663"/>
      <c r="L61" s="663"/>
      <c r="M61" s="663"/>
      <c r="N61" s="663"/>
      <c r="O61" s="663"/>
      <c r="P61" s="663"/>
      <c r="Q61" s="663"/>
      <c r="R61" s="663"/>
      <c r="S61" s="663"/>
      <c r="T61" s="663"/>
      <c r="U61" s="663"/>
      <c r="V61" s="663"/>
      <c r="W61" s="663"/>
      <c r="X61" s="663"/>
      <c r="Y61" s="663"/>
      <c r="Z61" s="663"/>
    </row>
    <row r="62" spans="1:26" ht="18" hidden="1" customHeight="1" x14ac:dyDescent="0.3">
      <c r="A62" s="664" t="s">
        <v>335</v>
      </c>
      <c r="B62" s="663">
        <v>1</v>
      </c>
      <c r="C62" s="665">
        <v>8</v>
      </c>
      <c r="D62" s="665">
        <v>5.3</v>
      </c>
      <c r="E62" s="663"/>
      <c r="F62" s="663"/>
      <c r="G62" s="663"/>
      <c r="H62" s="663"/>
      <c r="I62" s="663"/>
      <c r="J62" s="663"/>
      <c r="K62" s="663"/>
      <c r="L62" s="663"/>
      <c r="M62" s="663"/>
      <c r="N62" s="663"/>
      <c r="O62" s="663"/>
      <c r="P62" s="663"/>
      <c r="Q62" s="663"/>
      <c r="R62" s="663"/>
      <c r="S62" s="663"/>
      <c r="T62" s="663"/>
      <c r="U62" s="663"/>
      <c r="V62" s="663"/>
      <c r="W62" s="663"/>
      <c r="X62" s="663"/>
      <c r="Y62" s="663"/>
      <c r="Z62" s="663"/>
    </row>
    <row r="63" spans="1:26" ht="18" hidden="1" customHeight="1" x14ac:dyDescent="0.3">
      <c r="A63" s="664" t="s">
        <v>336</v>
      </c>
      <c r="B63" s="663">
        <f>1.5+2</f>
        <v>3.5</v>
      </c>
      <c r="C63" s="665">
        <v>19</v>
      </c>
      <c r="D63" s="665">
        <v>6.3</v>
      </c>
      <c r="E63" s="663"/>
      <c r="F63" s="663"/>
      <c r="G63" s="663"/>
      <c r="H63" s="663"/>
      <c r="I63" s="663"/>
      <c r="J63" s="663"/>
      <c r="K63" s="663"/>
      <c r="L63" s="663"/>
      <c r="M63" s="663"/>
      <c r="N63" s="663"/>
      <c r="O63" s="663"/>
      <c r="P63" s="663"/>
      <c r="Q63" s="663"/>
      <c r="R63" s="663"/>
      <c r="S63" s="663"/>
      <c r="T63" s="663"/>
      <c r="U63" s="663"/>
      <c r="V63" s="663"/>
      <c r="W63" s="663"/>
      <c r="X63" s="663"/>
      <c r="Y63" s="663"/>
      <c r="Z63" s="663"/>
    </row>
    <row r="64" spans="1:26" ht="18" hidden="1" customHeight="1" x14ac:dyDescent="0.3">
      <c r="A64" s="664" t="s">
        <v>337</v>
      </c>
      <c r="B64" s="663">
        <f>1.5+2+1</f>
        <v>4.5</v>
      </c>
      <c r="C64" s="665">
        <v>22</v>
      </c>
      <c r="D64" s="665">
        <v>6.5</v>
      </c>
      <c r="E64" s="663"/>
      <c r="F64" s="663"/>
      <c r="G64" s="663"/>
      <c r="H64" s="663"/>
      <c r="I64" s="663"/>
      <c r="J64" s="663"/>
      <c r="K64" s="663"/>
      <c r="L64" s="663"/>
      <c r="M64" s="663"/>
      <c r="N64" s="663"/>
      <c r="O64" s="663"/>
      <c r="P64" s="663"/>
      <c r="Q64" s="663"/>
      <c r="R64" s="663"/>
      <c r="S64" s="663"/>
      <c r="T64" s="663"/>
      <c r="U64" s="663"/>
      <c r="V64" s="663"/>
      <c r="W64" s="663"/>
      <c r="X64" s="663"/>
      <c r="Y64" s="663"/>
      <c r="Z64" s="663"/>
    </row>
    <row r="65" spans="1:26" ht="18" hidden="1" customHeight="1" x14ac:dyDescent="0.3">
      <c r="A65" s="664" t="s">
        <v>338</v>
      </c>
      <c r="B65" s="663">
        <v>1.5</v>
      </c>
      <c r="C65" s="665">
        <v>11</v>
      </c>
      <c r="D65" s="665">
        <v>5.95</v>
      </c>
      <c r="E65" s="663"/>
      <c r="F65" s="663"/>
      <c r="G65" s="663"/>
      <c r="H65" s="663"/>
      <c r="I65" s="663"/>
      <c r="J65" s="663"/>
      <c r="K65" s="663"/>
      <c r="L65" s="663"/>
      <c r="M65" s="663"/>
      <c r="N65" s="663"/>
      <c r="O65" s="663"/>
      <c r="P65" s="663"/>
      <c r="Q65" s="663"/>
      <c r="R65" s="663"/>
      <c r="S65" s="663"/>
      <c r="T65" s="663"/>
      <c r="U65" s="663"/>
      <c r="V65" s="663"/>
      <c r="W65" s="663"/>
      <c r="X65" s="663"/>
      <c r="Y65" s="663"/>
      <c r="Z65" s="663"/>
    </row>
    <row r="66" spans="1:26" ht="18" hidden="1" customHeight="1" x14ac:dyDescent="0.3">
      <c r="A66" s="666" t="s">
        <v>339</v>
      </c>
      <c r="B66" s="667">
        <v>2.5</v>
      </c>
      <c r="C66" s="668">
        <v>13</v>
      </c>
      <c r="D66" s="668">
        <v>6.1</v>
      </c>
      <c r="E66" s="663"/>
      <c r="F66" s="663"/>
      <c r="G66" s="663"/>
      <c r="H66" s="663"/>
      <c r="I66" s="663"/>
      <c r="J66" s="663"/>
      <c r="K66" s="663"/>
      <c r="L66" s="663"/>
      <c r="M66" s="663"/>
      <c r="N66" s="663"/>
      <c r="O66" s="663"/>
      <c r="P66" s="663"/>
      <c r="Q66" s="663"/>
      <c r="R66" s="663"/>
      <c r="S66" s="663"/>
      <c r="T66" s="663"/>
      <c r="U66" s="663"/>
      <c r="V66" s="663"/>
      <c r="W66" s="663"/>
      <c r="X66" s="663"/>
      <c r="Y66" s="663"/>
      <c r="Z66" s="663"/>
    </row>
    <row r="67" spans="1:26" ht="18" hidden="1" customHeight="1" x14ac:dyDescent="0.3">
      <c r="A67" s="663"/>
      <c r="B67" s="663"/>
      <c r="C67" s="663"/>
      <c r="D67" s="663"/>
      <c r="E67" s="663"/>
      <c r="F67" s="663"/>
      <c r="G67" s="663"/>
      <c r="H67" s="663"/>
      <c r="I67" s="663"/>
      <c r="J67" s="663"/>
      <c r="K67" s="663"/>
      <c r="L67" s="663"/>
      <c r="M67" s="663"/>
      <c r="N67" s="663"/>
      <c r="O67" s="663"/>
      <c r="P67" s="663"/>
      <c r="Q67" s="663"/>
      <c r="R67" s="663"/>
      <c r="S67" s="663"/>
      <c r="T67" s="663"/>
      <c r="U67" s="663"/>
      <c r="V67" s="663"/>
      <c r="W67" s="663"/>
      <c r="X67" s="663"/>
      <c r="Y67" s="663"/>
      <c r="Z67" s="663"/>
    </row>
    <row r="68" spans="1:26" ht="18" hidden="1" customHeight="1" x14ac:dyDescent="0.3">
      <c r="A68" s="663"/>
      <c r="B68" s="663"/>
      <c r="C68" s="663"/>
      <c r="D68" s="663"/>
      <c r="E68" s="663"/>
      <c r="F68" s="663"/>
      <c r="G68" s="663"/>
      <c r="H68" s="663"/>
      <c r="I68" s="663"/>
      <c r="J68" s="663"/>
      <c r="K68" s="663"/>
      <c r="L68" s="663"/>
      <c r="M68" s="663"/>
      <c r="N68" s="663"/>
      <c r="O68" s="663"/>
      <c r="P68" s="663"/>
      <c r="Q68" s="663"/>
      <c r="R68" s="663"/>
      <c r="S68" s="663"/>
      <c r="T68" s="663"/>
      <c r="U68" s="663"/>
      <c r="V68" s="663"/>
      <c r="W68" s="663"/>
      <c r="X68" s="663"/>
      <c r="Y68" s="663"/>
      <c r="Z68" s="663"/>
    </row>
    <row r="69" spans="1:26" ht="18" hidden="1" customHeight="1" x14ac:dyDescent="0.3">
      <c r="A69" s="660" t="s">
        <v>375</v>
      </c>
      <c r="B69" s="661">
        <v>1</v>
      </c>
      <c r="C69" s="662">
        <v>3</v>
      </c>
      <c r="D69" s="663"/>
      <c r="E69" s="663"/>
      <c r="F69" s="663"/>
      <c r="G69" s="663"/>
      <c r="H69" s="663"/>
      <c r="I69" s="663"/>
      <c r="J69" s="663"/>
      <c r="K69" s="663"/>
      <c r="L69" s="663"/>
      <c r="M69" s="663"/>
      <c r="N69" s="663"/>
      <c r="O69" s="663"/>
      <c r="P69" s="663"/>
      <c r="Q69" s="663"/>
      <c r="R69" s="663"/>
      <c r="S69" s="663"/>
      <c r="T69" s="663"/>
      <c r="U69" s="663"/>
      <c r="V69" s="663"/>
      <c r="W69" s="663"/>
      <c r="X69" s="663"/>
      <c r="Y69" s="663"/>
      <c r="Z69" s="663"/>
    </row>
    <row r="70" spans="1:26" ht="18" hidden="1" customHeight="1" x14ac:dyDescent="0.3">
      <c r="A70" s="664" t="s">
        <v>113</v>
      </c>
      <c r="B70" s="663">
        <v>1</v>
      </c>
      <c r="C70" s="665">
        <v>5</v>
      </c>
      <c r="D70" s="663"/>
      <c r="E70" s="663"/>
      <c r="F70" s="663"/>
      <c r="G70" s="663"/>
      <c r="H70" s="663"/>
      <c r="I70" s="663"/>
      <c r="J70" s="663"/>
      <c r="K70" s="663"/>
      <c r="L70" s="663"/>
      <c r="M70" s="663"/>
      <c r="N70" s="663"/>
      <c r="O70" s="663"/>
      <c r="P70" s="663"/>
      <c r="Q70" s="663"/>
      <c r="R70" s="663"/>
      <c r="S70" s="663"/>
      <c r="T70" s="663"/>
      <c r="U70" s="663"/>
      <c r="V70" s="663"/>
      <c r="W70" s="663"/>
      <c r="X70" s="663"/>
      <c r="Y70" s="663"/>
      <c r="Z70" s="663"/>
    </row>
    <row r="71" spans="1:26" ht="18" hidden="1" customHeight="1" x14ac:dyDescent="0.3">
      <c r="A71" s="664" t="s">
        <v>16</v>
      </c>
      <c r="B71" s="663"/>
      <c r="C71" s="665"/>
      <c r="D71" s="663"/>
      <c r="E71" s="663"/>
      <c r="F71" s="663"/>
      <c r="G71" s="663"/>
      <c r="H71" s="663"/>
      <c r="I71" s="663"/>
      <c r="J71" s="663"/>
      <c r="K71" s="663"/>
      <c r="L71" s="663"/>
      <c r="M71" s="663"/>
      <c r="N71" s="663"/>
      <c r="O71" s="663"/>
      <c r="P71" s="663"/>
      <c r="Q71" s="663"/>
      <c r="R71" s="663"/>
      <c r="S71" s="663"/>
      <c r="T71" s="663"/>
      <c r="U71" s="663"/>
      <c r="V71" s="663"/>
      <c r="W71" s="663"/>
      <c r="X71" s="663"/>
      <c r="Y71" s="663"/>
      <c r="Z71" s="663"/>
    </row>
    <row r="72" spans="1:26" ht="18" hidden="1" customHeight="1" x14ac:dyDescent="0.3">
      <c r="A72" s="664" t="s">
        <v>105</v>
      </c>
      <c r="B72" s="663">
        <v>1</v>
      </c>
      <c r="C72" s="665">
        <v>3</v>
      </c>
      <c r="D72" s="663"/>
      <c r="E72" s="663"/>
      <c r="F72" s="663"/>
      <c r="G72" s="663"/>
      <c r="H72" s="663"/>
      <c r="I72" s="663"/>
      <c r="J72" s="663"/>
      <c r="K72" s="663"/>
      <c r="L72" s="663"/>
      <c r="M72" s="663"/>
      <c r="N72" s="663"/>
      <c r="O72" s="663"/>
      <c r="P72" s="663"/>
      <c r="Q72" s="663"/>
      <c r="R72" s="663"/>
      <c r="S72" s="663"/>
      <c r="T72" s="663"/>
      <c r="U72" s="663"/>
      <c r="V72" s="663"/>
      <c r="W72" s="663"/>
      <c r="X72" s="663"/>
      <c r="Y72" s="663"/>
      <c r="Z72" s="663"/>
    </row>
    <row r="73" spans="1:26" ht="18" hidden="1" customHeight="1" x14ac:dyDescent="0.3">
      <c r="A73" s="664" t="s">
        <v>27</v>
      </c>
      <c r="B73" s="663">
        <v>1</v>
      </c>
      <c r="C73" s="665">
        <v>5</v>
      </c>
      <c r="D73" s="663"/>
      <c r="E73" s="663"/>
      <c r="F73" s="663"/>
      <c r="G73" s="663"/>
      <c r="H73" s="663"/>
      <c r="I73" s="663"/>
      <c r="J73" s="663"/>
      <c r="K73" s="663"/>
      <c r="L73" s="663"/>
      <c r="M73" s="663"/>
      <c r="N73" s="663"/>
      <c r="O73" s="663"/>
      <c r="P73" s="663"/>
      <c r="Q73" s="663"/>
      <c r="R73" s="663"/>
      <c r="S73" s="663"/>
      <c r="T73" s="663"/>
      <c r="U73" s="663"/>
      <c r="V73" s="663"/>
      <c r="W73" s="663"/>
      <c r="X73" s="663"/>
      <c r="Y73" s="663"/>
      <c r="Z73" s="663"/>
    </row>
    <row r="74" spans="1:26" ht="18" hidden="1" customHeight="1" x14ac:dyDescent="0.3">
      <c r="A74" s="664" t="s">
        <v>128</v>
      </c>
      <c r="B74" s="663">
        <v>1</v>
      </c>
      <c r="C74" s="665">
        <v>3.2</v>
      </c>
      <c r="D74" s="663"/>
      <c r="E74" s="663"/>
      <c r="F74" s="663"/>
      <c r="G74" s="663"/>
      <c r="H74" s="663"/>
      <c r="I74" s="663"/>
      <c r="J74" s="663"/>
      <c r="K74" s="663"/>
      <c r="L74" s="663"/>
      <c r="M74" s="663"/>
      <c r="N74" s="663"/>
      <c r="O74" s="663"/>
      <c r="P74" s="663"/>
      <c r="Q74" s="663"/>
      <c r="R74" s="663"/>
      <c r="S74" s="663"/>
      <c r="T74" s="663"/>
      <c r="U74" s="663"/>
      <c r="V74" s="663"/>
      <c r="W74" s="663"/>
      <c r="X74" s="663"/>
      <c r="Y74" s="663"/>
      <c r="Z74" s="663"/>
    </row>
    <row r="75" spans="1:26" ht="18" hidden="1" customHeight="1" x14ac:dyDescent="0.3">
      <c r="A75" s="664" t="s">
        <v>376</v>
      </c>
      <c r="B75" s="663">
        <v>1</v>
      </c>
      <c r="C75" s="665">
        <v>3.2</v>
      </c>
      <c r="D75" s="663"/>
      <c r="E75" s="663"/>
      <c r="F75" s="663"/>
      <c r="G75" s="663"/>
      <c r="H75" s="663"/>
      <c r="I75" s="663"/>
      <c r="J75" s="663"/>
      <c r="K75" s="663"/>
      <c r="L75" s="663"/>
      <c r="M75" s="663"/>
      <c r="N75" s="663"/>
      <c r="O75" s="663"/>
      <c r="P75" s="663"/>
      <c r="Q75" s="663"/>
      <c r="R75" s="663"/>
      <c r="S75" s="663"/>
      <c r="T75" s="663"/>
      <c r="U75" s="663"/>
      <c r="V75" s="663"/>
      <c r="W75" s="663"/>
      <c r="X75" s="663"/>
      <c r="Y75" s="663"/>
      <c r="Z75" s="663"/>
    </row>
    <row r="76" spans="1:26" ht="18" hidden="1" customHeight="1" x14ac:dyDescent="0.3">
      <c r="A76" s="664" t="s">
        <v>203</v>
      </c>
      <c r="B76" s="663">
        <v>1</v>
      </c>
      <c r="C76" s="665">
        <v>5.3</v>
      </c>
      <c r="D76" s="663"/>
      <c r="E76" s="663"/>
      <c r="F76" s="663"/>
      <c r="G76" s="663"/>
      <c r="H76" s="663"/>
      <c r="I76" s="663"/>
      <c r="J76" s="663"/>
      <c r="K76" s="663"/>
      <c r="L76" s="663"/>
      <c r="M76" s="663"/>
      <c r="N76" s="663"/>
      <c r="O76" s="663"/>
      <c r="P76" s="663"/>
      <c r="Q76" s="663"/>
      <c r="R76" s="663"/>
      <c r="S76" s="663"/>
      <c r="T76" s="663"/>
      <c r="U76" s="663"/>
      <c r="V76" s="663"/>
      <c r="W76" s="663"/>
      <c r="X76" s="663"/>
      <c r="Y76" s="663"/>
      <c r="Z76" s="663"/>
    </row>
    <row r="77" spans="1:26" ht="18" hidden="1" customHeight="1" x14ac:dyDescent="0.3">
      <c r="A77" s="666" t="s">
        <v>377</v>
      </c>
      <c r="B77" s="667">
        <v>1</v>
      </c>
      <c r="C77" s="668">
        <v>5.3</v>
      </c>
      <c r="D77" s="663"/>
      <c r="E77" s="663"/>
      <c r="F77" s="663"/>
      <c r="G77" s="663"/>
      <c r="H77" s="663"/>
      <c r="I77" s="663"/>
      <c r="J77" s="663"/>
      <c r="K77" s="663"/>
      <c r="L77" s="663"/>
      <c r="M77" s="663"/>
      <c r="N77" s="663"/>
      <c r="O77" s="663"/>
      <c r="P77" s="663"/>
      <c r="Q77" s="663"/>
      <c r="R77" s="663"/>
      <c r="S77" s="663"/>
      <c r="T77" s="663"/>
      <c r="U77" s="663"/>
      <c r="V77" s="663"/>
      <c r="W77" s="663"/>
      <c r="X77" s="663"/>
      <c r="Y77" s="663"/>
      <c r="Z77" s="663"/>
    </row>
    <row r="78" spans="1:26" ht="18" hidden="1" customHeight="1" x14ac:dyDescent="0.35">
      <c r="A78" s="559"/>
      <c r="B78" s="559"/>
      <c r="C78" s="559"/>
      <c r="D78" s="559"/>
      <c r="E78" s="559"/>
      <c r="F78" s="559"/>
      <c r="G78" s="559"/>
      <c r="H78" s="559"/>
      <c r="I78" s="559"/>
      <c r="J78" s="559"/>
      <c r="K78" s="559"/>
      <c r="L78" s="559"/>
      <c r="M78" s="559"/>
      <c r="N78" s="559"/>
      <c r="O78" s="559"/>
      <c r="P78" s="559"/>
      <c r="Q78" s="559"/>
      <c r="R78" s="559"/>
      <c r="S78" s="559"/>
      <c r="T78" s="559"/>
      <c r="U78" s="559"/>
      <c r="V78" s="559"/>
      <c r="W78" s="559"/>
      <c r="X78" s="559"/>
      <c r="Y78" s="559"/>
      <c r="Z78" s="559"/>
    </row>
    <row r="79" spans="1:26" ht="18" hidden="1" customHeight="1" x14ac:dyDescent="0.35">
      <c r="A79" s="559"/>
      <c r="B79" s="559"/>
      <c r="C79" s="559"/>
      <c r="D79" s="559"/>
      <c r="E79" s="559"/>
      <c r="F79" s="559"/>
      <c r="G79" s="559"/>
      <c r="H79" s="559"/>
      <c r="I79" s="559"/>
      <c r="J79" s="559"/>
      <c r="K79" s="559"/>
      <c r="L79" s="559"/>
      <c r="M79" s="559"/>
      <c r="N79" s="559"/>
      <c r="O79" s="559"/>
      <c r="P79" s="559"/>
      <c r="Q79" s="559"/>
      <c r="R79" s="559"/>
      <c r="S79" s="559"/>
      <c r="T79" s="559"/>
      <c r="U79" s="559"/>
      <c r="V79" s="559"/>
      <c r="W79" s="559"/>
      <c r="X79" s="559"/>
      <c r="Y79" s="559"/>
      <c r="Z79" s="559"/>
    </row>
    <row r="80" spans="1:26" ht="18" hidden="1" customHeight="1" x14ac:dyDescent="0.35">
      <c r="A80" s="639" t="s">
        <v>398</v>
      </c>
      <c r="B80" s="728" t="s">
        <v>10</v>
      </c>
      <c r="C80" s="641" t="s">
        <v>61</v>
      </c>
      <c r="D80" s="641">
        <v>3.6</v>
      </c>
      <c r="E80" s="641">
        <v>7</v>
      </c>
      <c r="F80" s="559"/>
      <c r="G80" s="559"/>
      <c r="H80" s="559"/>
      <c r="I80" s="559"/>
      <c r="J80" s="559"/>
      <c r="K80" s="559"/>
      <c r="L80" s="559"/>
      <c r="M80" s="559"/>
      <c r="N80" s="559"/>
      <c r="O80" s="559"/>
      <c r="P80" s="559"/>
      <c r="Q80" s="559"/>
      <c r="R80" s="559"/>
      <c r="S80" s="559"/>
      <c r="T80" s="559"/>
      <c r="U80" s="559"/>
      <c r="V80" s="559"/>
      <c r="W80" s="559"/>
      <c r="X80" s="559"/>
      <c r="Y80" s="559"/>
      <c r="Z80" s="559"/>
    </row>
    <row r="81" spans="1:26" ht="18" hidden="1" customHeight="1" x14ac:dyDescent="0.35">
      <c r="A81" s="645" t="s">
        <v>390</v>
      </c>
      <c r="B81" s="559" t="s">
        <v>391</v>
      </c>
      <c r="C81" s="650" t="s">
        <v>392</v>
      </c>
      <c r="D81" s="650">
        <f>4.8</f>
        <v>4.8</v>
      </c>
      <c r="E81" s="650">
        <v>9.4</v>
      </c>
      <c r="F81" s="559"/>
      <c r="G81" s="559"/>
      <c r="H81" s="559"/>
      <c r="I81" s="559"/>
      <c r="J81" s="559"/>
      <c r="K81" s="559"/>
      <c r="L81" s="559"/>
      <c r="M81" s="559"/>
      <c r="N81" s="559"/>
      <c r="O81" s="559"/>
      <c r="P81" s="559"/>
      <c r="Q81" s="559"/>
      <c r="R81" s="559"/>
      <c r="S81" s="559"/>
      <c r="T81" s="559"/>
      <c r="U81" s="559"/>
      <c r="V81" s="559"/>
      <c r="W81" s="559"/>
      <c r="X81" s="559"/>
      <c r="Y81" s="559"/>
      <c r="Z81" s="559"/>
    </row>
    <row r="82" spans="1:26" ht="18" hidden="1" customHeight="1" x14ac:dyDescent="0.35">
      <c r="A82" s="645" t="s">
        <v>393</v>
      </c>
      <c r="B82" s="559" t="s">
        <v>391</v>
      </c>
      <c r="C82" s="650" t="s">
        <v>394</v>
      </c>
      <c r="D82" s="650">
        <f>7.2</f>
        <v>7.2</v>
      </c>
      <c r="E82" s="650">
        <v>10</v>
      </c>
      <c r="F82" s="559"/>
      <c r="G82" s="559"/>
      <c r="H82" s="559"/>
      <c r="I82" s="559"/>
      <c r="J82" s="559"/>
      <c r="K82" s="559"/>
      <c r="L82" s="559"/>
      <c r="M82" s="559"/>
      <c r="N82" s="559"/>
      <c r="O82" s="559"/>
      <c r="P82" s="559"/>
      <c r="Q82" s="559"/>
      <c r="R82" s="559"/>
      <c r="S82" s="559"/>
      <c r="T82" s="559"/>
      <c r="U82" s="559"/>
      <c r="V82" s="559"/>
      <c r="W82" s="559"/>
      <c r="X82" s="559"/>
      <c r="Y82" s="559"/>
      <c r="Z82" s="559"/>
    </row>
    <row r="83" spans="1:26" ht="18" hidden="1" customHeight="1" x14ac:dyDescent="0.35">
      <c r="A83" s="655" t="s">
        <v>388</v>
      </c>
      <c r="B83" s="567" t="s">
        <v>395</v>
      </c>
      <c r="C83" s="657" t="s">
        <v>396</v>
      </c>
      <c r="D83" s="657">
        <f>10</f>
        <v>10</v>
      </c>
      <c r="E83" s="657">
        <v>10</v>
      </c>
      <c r="F83" s="559"/>
      <c r="G83" s="559"/>
      <c r="H83" s="559"/>
      <c r="I83" s="559"/>
      <c r="J83" s="559"/>
      <c r="K83" s="559"/>
      <c r="L83" s="559"/>
      <c r="M83" s="559"/>
      <c r="N83" s="559"/>
      <c r="O83" s="559"/>
      <c r="P83" s="559"/>
      <c r="Q83" s="559"/>
      <c r="R83" s="559"/>
      <c r="S83" s="559"/>
      <c r="T83" s="559"/>
      <c r="U83" s="559"/>
      <c r="V83" s="559"/>
      <c r="W83" s="559"/>
      <c r="X83" s="559"/>
      <c r="Y83" s="559"/>
      <c r="Z83" s="559"/>
    </row>
    <row r="84" spans="1:26" ht="18" hidden="1" customHeight="1" x14ac:dyDescent="0.35">
      <c r="A84" s="559"/>
      <c r="B84" s="559"/>
      <c r="C84" s="559"/>
      <c r="D84" s="559"/>
      <c r="E84" s="559"/>
      <c r="F84" s="559"/>
      <c r="G84" s="559"/>
      <c r="H84" s="559"/>
      <c r="I84" s="559"/>
      <c r="J84" s="559"/>
      <c r="K84" s="559"/>
      <c r="L84" s="559"/>
      <c r="M84" s="559"/>
      <c r="N84" s="559"/>
      <c r="O84" s="559"/>
      <c r="P84" s="559"/>
      <c r="Q84" s="559"/>
      <c r="R84" s="559"/>
      <c r="S84" s="559"/>
      <c r="T84" s="559"/>
      <c r="U84" s="559"/>
      <c r="V84" s="559"/>
      <c r="W84" s="559"/>
      <c r="X84" s="559"/>
      <c r="Y84" s="559"/>
      <c r="Z84" s="559"/>
    </row>
    <row r="85" spans="1:26" ht="18" hidden="1" customHeight="1" x14ac:dyDescent="0.35">
      <c r="A85" s="675" t="s">
        <v>20</v>
      </c>
      <c r="B85" s="559"/>
      <c r="C85" s="559"/>
      <c r="D85" s="559"/>
      <c r="E85" s="559"/>
      <c r="F85" s="559"/>
      <c r="G85" s="559"/>
      <c r="H85" s="559"/>
      <c r="I85" s="559"/>
      <c r="J85" s="559"/>
      <c r="K85" s="559"/>
      <c r="L85" s="559"/>
      <c r="M85" s="559"/>
      <c r="N85" s="559"/>
      <c r="O85" s="559"/>
      <c r="P85" s="559"/>
      <c r="Q85" s="559"/>
      <c r="R85" s="559"/>
      <c r="S85" s="559"/>
      <c r="T85" s="559"/>
      <c r="U85" s="559"/>
      <c r="V85" s="559"/>
      <c r="W85" s="559"/>
      <c r="X85" s="559"/>
      <c r="Y85" s="559"/>
      <c r="Z85" s="559"/>
    </row>
    <row r="86" spans="1:26" ht="18" hidden="1" customHeight="1" x14ac:dyDescent="0.35">
      <c r="A86" s="677" t="s">
        <v>14</v>
      </c>
      <c r="B86" s="559"/>
      <c r="C86" s="559"/>
      <c r="D86" s="559"/>
      <c r="E86" s="559"/>
      <c r="F86" s="559"/>
      <c r="G86" s="559"/>
      <c r="H86" s="559"/>
      <c r="I86" s="559"/>
      <c r="J86" s="559"/>
      <c r="K86" s="559"/>
      <c r="L86" s="559"/>
      <c r="M86" s="559"/>
      <c r="N86" s="559"/>
      <c r="O86" s="559"/>
      <c r="P86" s="559"/>
      <c r="Q86" s="559"/>
      <c r="R86" s="559"/>
      <c r="S86" s="559"/>
      <c r="T86" s="559"/>
      <c r="U86" s="559"/>
      <c r="V86" s="559"/>
      <c r="W86" s="559"/>
      <c r="X86" s="559"/>
      <c r="Y86" s="559"/>
      <c r="Z86" s="559"/>
    </row>
    <row r="87" spans="1:26" ht="18" customHeight="1" x14ac:dyDescent="0.35">
      <c r="A87" s="559"/>
      <c r="B87" s="559"/>
      <c r="C87" s="559"/>
      <c r="D87" s="559"/>
      <c r="E87" s="559"/>
      <c r="F87" s="559"/>
      <c r="G87" s="559"/>
      <c r="H87" s="559"/>
      <c r="I87" s="559"/>
      <c r="J87" s="559"/>
      <c r="K87" s="559"/>
      <c r="L87" s="559"/>
      <c r="M87" s="559"/>
      <c r="N87" s="559"/>
      <c r="O87" s="559"/>
      <c r="P87" s="559"/>
      <c r="Q87" s="559"/>
      <c r="R87" s="559"/>
      <c r="S87" s="559"/>
      <c r="T87" s="559"/>
      <c r="U87" s="559"/>
      <c r="V87" s="559"/>
      <c r="W87" s="559"/>
      <c r="X87" s="559"/>
      <c r="Y87" s="559"/>
      <c r="Z87" s="559"/>
    </row>
    <row r="88" spans="1:26" ht="18" customHeight="1" x14ac:dyDescent="0.35">
      <c r="A88" s="559"/>
      <c r="B88" s="559"/>
      <c r="C88" s="559"/>
      <c r="D88" s="559"/>
      <c r="E88" s="559"/>
      <c r="F88" s="559"/>
      <c r="G88" s="559"/>
      <c r="H88" s="559"/>
      <c r="I88" s="559"/>
      <c r="J88" s="559"/>
      <c r="K88" s="559"/>
      <c r="L88" s="559"/>
      <c r="M88" s="559"/>
      <c r="N88" s="559"/>
      <c r="O88" s="559"/>
      <c r="P88" s="559"/>
      <c r="Q88" s="559"/>
      <c r="R88" s="559"/>
      <c r="S88" s="559"/>
      <c r="T88" s="559"/>
      <c r="U88" s="559"/>
      <c r="V88" s="559"/>
      <c r="W88" s="559"/>
      <c r="X88" s="559"/>
      <c r="Y88" s="559"/>
      <c r="Z88" s="559"/>
    </row>
    <row r="89" spans="1:26" ht="18" customHeight="1" x14ac:dyDescent="0.35">
      <c r="A89" s="559"/>
      <c r="B89" s="559"/>
      <c r="C89" s="559"/>
      <c r="D89" s="559"/>
      <c r="E89" s="559"/>
      <c r="F89" s="559"/>
      <c r="G89" s="559"/>
      <c r="H89" s="559"/>
      <c r="I89" s="559"/>
      <c r="J89" s="559"/>
      <c r="K89" s="559"/>
      <c r="L89" s="559"/>
      <c r="M89" s="559"/>
      <c r="N89" s="559"/>
      <c r="O89" s="559"/>
      <c r="P89" s="559"/>
      <c r="Q89" s="559"/>
      <c r="R89" s="559"/>
      <c r="S89" s="559"/>
      <c r="T89" s="559"/>
      <c r="U89" s="559"/>
      <c r="V89" s="559"/>
      <c r="W89" s="559"/>
      <c r="X89" s="559"/>
      <c r="Y89" s="559"/>
      <c r="Z89" s="559"/>
    </row>
    <row r="90" spans="1:26" ht="18" customHeight="1" x14ac:dyDescent="0.35">
      <c r="A90" s="559"/>
      <c r="B90" s="559"/>
      <c r="C90" s="559"/>
      <c r="D90" s="559"/>
      <c r="E90" s="559"/>
      <c r="F90" s="559"/>
      <c r="G90" s="559"/>
      <c r="H90" s="559"/>
      <c r="I90" s="559"/>
      <c r="J90" s="559"/>
      <c r="K90" s="559"/>
      <c r="L90" s="559"/>
      <c r="M90" s="559"/>
      <c r="N90" s="559"/>
      <c r="O90" s="559"/>
      <c r="P90" s="559"/>
      <c r="Q90" s="559"/>
      <c r="R90" s="559"/>
      <c r="S90" s="559"/>
      <c r="T90" s="559"/>
      <c r="U90" s="559"/>
      <c r="V90" s="559"/>
      <c r="W90" s="559"/>
      <c r="X90" s="559"/>
      <c r="Y90" s="559"/>
      <c r="Z90" s="559"/>
    </row>
    <row r="91" spans="1:26" ht="18" customHeight="1" x14ac:dyDescent="0.35">
      <c r="A91" s="559"/>
      <c r="B91" s="559"/>
      <c r="C91" s="559"/>
      <c r="D91" s="559"/>
      <c r="E91" s="559"/>
      <c r="F91" s="559"/>
      <c r="G91" s="559"/>
      <c r="H91" s="559"/>
      <c r="I91" s="559"/>
      <c r="J91" s="559"/>
      <c r="K91" s="559"/>
      <c r="L91" s="559"/>
      <c r="M91" s="559"/>
      <c r="N91" s="559"/>
      <c r="O91" s="559"/>
      <c r="P91" s="559"/>
      <c r="Q91" s="559"/>
      <c r="R91" s="559"/>
      <c r="S91" s="559"/>
      <c r="T91" s="559"/>
      <c r="U91" s="559"/>
      <c r="V91" s="559"/>
      <c r="W91" s="559"/>
      <c r="X91" s="559"/>
      <c r="Y91" s="559"/>
      <c r="Z91" s="559"/>
    </row>
    <row r="92" spans="1:26" ht="18" customHeight="1" x14ac:dyDescent="0.35">
      <c r="A92" s="559"/>
      <c r="B92" s="559"/>
      <c r="C92" s="559"/>
      <c r="D92" s="559"/>
      <c r="E92" s="559"/>
      <c r="F92" s="559"/>
      <c r="G92" s="559"/>
      <c r="H92" s="559"/>
      <c r="I92" s="559"/>
      <c r="J92" s="559"/>
      <c r="K92" s="559"/>
      <c r="L92" s="559"/>
      <c r="M92" s="559"/>
      <c r="N92" s="559"/>
      <c r="O92" s="559"/>
      <c r="P92" s="559"/>
      <c r="Q92" s="559"/>
      <c r="R92" s="559"/>
      <c r="S92" s="559"/>
      <c r="T92" s="559"/>
      <c r="U92" s="559"/>
      <c r="V92" s="559"/>
      <c r="W92" s="559"/>
      <c r="X92" s="559"/>
      <c r="Y92" s="559"/>
      <c r="Z92" s="559"/>
    </row>
    <row r="93" spans="1:26" ht="18" customHeight="1" x14ac:dyDescent="0.35">
      <c r="A93" s="559"/>
      <c r="B93" s="559"/>
      <c r="C93" s="559"/>
      <c r="D93" s="559"/>
      <c r="E93" s="559"/>
      <c r="F93" s="559"/>
      <c r="G93" s="559"/>
      <c r="H93" s="559"/>
      <c r="I93" s="559"/>
      <c r="J93" s="559"/>
      <c r="K93" s="559"/>
      <c r="L93" s="559"/>
      <c r="M93" s="559"/>
      <c r="N93" s="559"/>
      <c r="O93" s="559"/>
      <c r="P93" s="559"/>
      <c r="Q93" s="559"/>
      <c r="R93" s="559"/>
      <c r="S93" s="559"/>
      <c r="T93" s="559"/>
      <c r="U93" s="559"/>
      <c r="V93" s="559"/>
      <c r="W93" s="559"/>
      <c r="X93" s="559"/>
      <c r="Y93" s="559"/>
      <c r="Z93" s="559"/>
    </row>
    <row r="94" spans="1:26" ht="18" customHeight="1" x14ac:dyDescent="0.35">
      <c r="A94" s="559"/>
      <c r="B94" s="559"/>
      <c r="C94" s="559"/>
      <c r="D94" s="559"/>
      <c r="E94" s="559"/>
      <c r="F94" s="559"/>
      <c r="G94" s="559"/>
      <c r="H94" s="559"/>
      <c r="I94" s="559"/>
      <c r="J94" s="559"/>
      <c r="K94" s="559"/>
      <c r="L94" s="559"/>
      <c r="M94" s="559"/>
      <c r="N94" s="559"/>
      <c r="O94" s="559"/>
      <c r="P94" s="559"/>
      <c r="Q94" s="559"/>
      <c r="R94" s="559"/>
      <c r="S94" s="559"/>
      <c r="T94" s="559"/>
      <c r="U94" s="559"/>
      <c r="V94" s="559"/>
      <c r="W94" s="559"/>
      <c r="X94" s="559"/>
      <c r="Y94" s="559"/>
      <c r="Z94" s="559"/>
    </row>
    <row r="95" spans="1:26" ht="18" customHeight="1" x14ac:dyDescent="0.35">
      <c r="A95" s="559"/>
      <c r="B95" s="559"/>
      <c r="C95" s="559"/>
      <c r="D95" s="559"/>
      <c r="E95" s="559"/>
      <c r="F95" s="559"/>
      <c r="G95" s="559"/>
      <c r="H95" s="559"/>
      <c r="I95" s="559"/>
      <c r="J95" s="559"/>
      <c r="K95" s="559"/>
      <c r="L95" s="559"/>
      <c r="M95" s="559"/>
      <c r="N95" s="559"/>
      <c r="O95" s="559"/>
      <c r="P95" s="559"/>
      <c r="Q95" s="559"/>
      <c r="R95" s="559"/>
      <c r="S95" s="559"/>
      <c r="T95" s="559"/>
      <c r="U95" s="559"/>
      <c r="V95" s="559"/>
      <c r="W95" s="559"/>
      <c r="X95" s="559"/>
      <c r="Y95" s="559"/>
      <c r="Z95" s="559"/>
    </row>
    <row r="96" spans="1:26" ht="18" customHeight="1" x14ac:dyDescent="0.35">
      <c r="A96" s="559"/>
      <c r="B96" s="559"/>
      <c r="C96" s="559"/>
      <c r="D96" s="559"/>
      <c r="E96" s="559"/>
      <c r="F96" s="559"/>
      <c r="G96" s="559"/>
      <c r="H96" s="559"/>
      <c r="I96" s="559"/>
      <c r="J96" s="559"/>
      <c r="K96" s="559"/>
      <c r="L96" s="559"/>
      <c r="M96" s="559"/>
      <c r="N96" s="559"/>
      <c r="O96" s="559"/>
      <c r="P96" s="559"/>
      <c r="Q96" s="559"/>
      <c r="R96" s="559"/>
      <c r="S96" s="559"/>
      <c r="T96" s="559"/>
      <c r="U96" s="559"/>
      <c r="V96" s="559"/>
      <c r="W96" s="559"/>
      <c r="X96" s="559"/>
      <c r="Y96" s="559"/>
      <c r="Z96" s="559"/>
    </row>
    <row r="97" spans="1:26" ht="18" customHeight="1" x14ac:dyDescent="0.35">
      <c r="A97" s="559"/>
      <c r="B97" s="559"/>
      <c r="C97" s="559"/>
      <c r="D97" s="559"/>
      <c r="E97" s="559"/>
      <c r="F97" s="559"/>
      <c r="G97" s="559"/>
      <c r="H97" s="559"/>
      <c r="I97" s="559"/>
      <c r="J97" s="559"/>
      <c r="K97" s="559"/>
      <c r="L97" s="559"/>
      <c r="M97" s="559"/>
      <c r="N97" s="559"/>
      <c r="O97" s="559"/>
      <c r="P97" s="559"/>
      <c r="Q97" s="559"/>
      <c r="R97" s="559"/>
      <c r="S97" s="559"/>
      <c r="T97" s="559"/>
      <c r="U97" s="559"/>
      <c r="V97" s="559"/>
      <c r="W97" s="559"/>
      <c r="X97" s="559"/>
      <c r="Y97" s="559"/>
      <c r="Z97" s="559"/>
    </row>
    <row r="98" spans="1:26" ht="18" customHeight="1" x14ac:dyDescent="0.35">
      <c r="A98" s="559"/>
      <c r="B98" s="559"/>
      <c r="C98" s="559"/>
      <c r="D98" s="559"/>
      <c r="E98" s="559"/>
      <c r="F98" s="559"/>
      <c r="G98" s="559"/>
      <c r="H98" s="559"/>
      <c r="I98" s="559"/>
      <c r="J98" s="559"/>
      <c r="K98" s="559"/>
      <c r="L98" s="559"/>
      <c r="M98" s="559"/>
      <c r="N98" s="559"/>
      <c r="O98" s="559"/>
      <c r="P98" s="559"/>
      <c r="Q98" s="559"/>
      <c r="R98" s="559"/>
      <c r="S98" s="559"/>
      <c r="T98" s="559"/>
      <c r="U98" s="559"/>
      <c r="V98" s="559"/>
      <c r="W98" s="559"/>
      <c r="X98" s="559"/>
      <c r="Y98" s="559"/>
      <c r="Z98" s="559"/>
    </row>
    <row r="99" spans="1:26" ht="18" customHeight="1" x14ac:dyDescent="0.35">
      <c r="A99" s="559"/>
      <c r="B99" s="559"/>
      <c r="C99" s="559"/>
      <c r="D99" s="559"/>
      <c r="E99" s="559"/>
      <c r="F99" s="559"/>
      <c r="G99" s="559"/>
      <c r="H99" s="559"/>
      <c r="I99" s="559"/>
      <c r="J99" s="559"/>
      <c r="K99" s="559"/>
      <c r="L99" s="559"/>
      <c r="M99" s="559"/>
      <c r="N99" s="559"/>
      <c r="O99" s="559"/>
      <c r="P99" s="559"/>
      <c r="Q99" s="559"/>
      <c r="R99" s="559"/>
      <c r="S99" s="559"/>
      <c r="T99" s="559"/>
      <c r="U99" s="559"/>
      <c r="V99" s="559"/>
      <c r="W99" s="559"/>
      <c r="X99" s="559"/>
      <c r="Y99" s="559"/>
      <c r="Z99" s="559"/>
    </row>
    <row r="100" spans="1:26" ht="18" customHeight="1" x14ac:dyDescent="0.35">
      <c r="A100" s="559"/>
      <c r="B100" s="559"/>
      <c r="C100" s="559"/>
      <c r="D100" s="559"/>
      <c r="E100" s="559"/>
      <c r="F100" s="559"/>
      <c r="G100" s="559"/>
      <c r="H100" s="559"/>
      <c r="I100" s="559"/>
      <c r="J100" s="559"/>
      <c r="K100" s="559"/>
      <c r="L100" s="559"/>
      <c r="M100" s="559"/>
      <c r="N100" s="559"/>
      <c r="O100" s="559"/>
      <c r="P100" s="559"/>
      <c r="Q100" s="559"/>
      <c r="R100" s="559"/>
      <c r="S100" s="559"/>
      <c r="T100" s="559"/>
      <c r="U100" s="559"/>
      <c r="V100" s="559"/>
      <c r="W100" s="559"/>
      <c r="X100" s="559"/>
      <c r="Y100" s="559"/>
      <c r="Z100" s="559"/>
    </row>
    <row r="101" spans="1:26" ht="18" customHeight="1" x14ac:dyDescent="0.35">
      <c r="A101" s="559"/>
      <c r="B101" s="559"/>
      <c r="C101" s="559"/>
      <c r="D101" s="559"/>
      <c r="E101" s="559"/>
      <c r="F101" s="559"/>
      <c r="G101" s="559"/>
      <c r="H101" s="559"/>
      <c r="I101" s="559"/>
      <c r="J101" s="559"/>
      <c r="K101" s="559"/>
      <c r="L101" s="559"/>
      <c r="M101" s="559"/>
      <c r="N101" s="559"/>
      <c r="O101" s="559"/>
      <c r="P101" s="559"/>
      <c r="Q101" s="559"/>
      <c r="R101" s="559"/>
      <c r="S101" s="559"/>
      <c r="T101" s="559"/>
      <c r="U101" s="559"/>
      <c r="V101" s="559"/>
      <c r="W101" s="559"/>
      <c r="X101" s="559"/>
      <c r="Y101" s="559"/>
      <c r="Z101" s="559"/>
    </row>
    <row r="102" spans="1:26" ht="18" customHeight="1" x14ac:dyDescent="0.35">
      <c r="A102" s="559"/>
      <c r="B102" s="559"/>
      <c r="C102" s="559"/>
      <c r="D102" s="559"/>
      <c r="E102" s="559"/>
      <c r="F102" s="559"/>
      <c r="G102" s="559"/>
      <c r="H102" s="559"/>
      <c r="I102" s="559"/>
      <c r="J102" s="559"/>
      <c r="K102" s="559"/>
      <c r="L102" s="559"/>
      <c r="M102" s="559"/>
      <c r="N102" s="559"/>
      <c r="O102" s="559"/>
      <c r="P102" s="559"/>
      <c r="Q102" s="559"/>
      <c r="R102" s="559"/>
      <c r="S102" s="559"/>
      <c r="T102" s="559"/>
      <c r="U102" s="559"/>
      <c r="V102" s="559"/>
      <c r="W102" s="559"/>
      <c r="X102" s="559"/>
      <c r="Y102" s="559"/>
      <c r="Z102" s="559"/>
    </row>
    <row r="103" spans="1:26" ht="18" customHeight="1" x14ac:dyDescent="0.35">
      <c r="A103" s="559"/>
      <c r="B103" s="559"/>
      <c r="C103" s="559"/>
      <c r="D103" s="559"/>
      <c r="E103" s="559"/>
      <c r="F103" s="559"/>
      <c r="G103" s="559"/>
      <c r="H103" s="559"/>
      <c r="I103" s="559"/>
      <c r="J103" s="559"/>
      <c r="K103" s="559"/>
      <c r="L103" s="559"/>
      <c r="M103" s="559"/>
      <c r="N103" s="559"/>
      <c r="O103" s="559"/>
      <c r="P103" s="559"/>
      <c r="Q103" s="559"/>
      <c r="R103" s="559"/>
      <c r="S103" s="559"/>
      <c r="T103" s="559"/>
      <c r="U103" s="559"/>
      <c r="V103" s="559"/>
      <c r="W103" s="559"/>
      <c r="X103" s="559"/>
      <c r="Y103" s="559"/>
      <c r="Z103" s="559"/>
    </row>
    <row r="104" spans="1:26" ht="18" customHeight="1" x14ac:dyDescent="0.35">
      <c r="A104" s="559"/>
      <c r="B104" s="559"/>
      <c r="C104" s="559"/>
      <c r="D104" s="559"/>
      <c r="E104" s="559"/>
      <c r="F104" s="559"/>
      <c r="G104" s="559"/>
      <c r="H104" s="559"/>
      <c r="I104" s="559"/>
      <c r="J104" s="559"/>
      <c r="K104" s="559"/>
      <c r="L104" s="559"/>
      <c r="M104" s="559"/>
      <c r="N104" s="559"/>
      <c r="O104" s="559"/>
      <c r="P104" s="559"/>
      <c r="Q104" s="559"/>
      <c r="R104" s="559"/>
      <c r="S104" s="559"/>
      <c r="T104" s="559"/>
      <c r="U104" s="559"/>
      <c r="V104" s="559"/>
      <c r="W104" s="559"/>
      <c r="X104" s="559"/>
      <c r="Y104" s="559"/>
      <c r="Z104" s="559"/>
    </row>
    <row r="105" spans="1:26" ht="18" customHeight="1" x14ac:dyDescent="0.35">
      <c r="A105" s="559"/>
      <c r="B105" s="559"/>
      <c r="C105" s="559"/>
      <c r="D105" s="559"/>
      <c r="E105" s="559"/>
      <c r="F105" s="559"/>
      <c r="G105" s="559"/>
      <c r="H105" s="559"/>
      <c r="I105" s="559"/>
      <c r="J105" s="559"/>
      <c r="K105" s="559"/>
      <c r="L105" s="559"/>
      <c r="M105" s="559"/>
      <c r="N105" s="559"/>
      <c r="O105" s="559"/>
      <c r="P105" s="559"/>
      <c r="Q105" s="559"/>
      <c r="R105" s="559"/>
      <c r="S105" s="559"/>
      <c r="T105" s="559"/>
      <c r="U105" s="559"/>
      <c r="V105" s="559"/>
      <c r="W105" s="559"/>
      <c r="X105" s="559"/>
      <c r="Y105" s="559"/>
      <c r="Z105" s="559"/>
    </row>
    <row r="106" spans="1:26" ht="18" customHeight="1" x14ac:dyDescent="0.35">
      <c r="A106" s="559"/>
      <c r="B106" s="559"/>
      <c r="C106" s="559"/>
      <c r="D106" s="559"/>
      <c r="E106" s="559"/>
      <c r="F106" s="559"/>
      <c r="G106" s="559"/>
      <c r="H106" s="559"/>
      <c r="I106" s="559"/>
      <c r="J106" s="559"/>
      <c r="K106" s="559"/>
      <c r="L106" s="559"/>
      <c r="M106" s="559"/>
      <c r="N106" s="559"/>
      <c r="O106" s="559"/>
      <c r="P106" s="559"/>
      <c r="Q106" s="559"/>
      <c r="R106" s="559"/>
      <c r="S106" s="559"/>
      <c r="T106" s="559"/>
      <c r="U106" s="559"/>
      <c r="V106" s="559"/>
      <c r="W106" s="559"/>
      <c r="X106" s="559"/>
      <c r="Y106" s="559"/>
      <c r="Z106" s="559"/>
    </row>
    <row r="107" spans="1:26" ht="18" customHeight="1" x14ac:dyDescent="0.35">
      <c r="A107" s="559"/>
      <c r="B107" s="559"/>
      <c r="C107" s="559"/>
      <c r="D107" s="559"/>
      <c r="E107" s="559"/>
      <c r="F107" s="559"/>
      <c r="G107" s="559"/>
      <c r="H107" s="559"/>
      <c r="I107" s="559"/>
      <c r="J107" s="559"/>
      <c r="K107" s="559"/>
      <c r="L107" s="559"/>
      <c r="M107" s="559"/>
      <c r="N107" s="559"/>
      <c r="O107" s="559"/>
      <c r="P107" s="559"/>
      <c r="Q107" s="559"/>
      <c r="R107" s="559"/>
      <c r="S107" s="559"/>
      <c r="T107" s="559"/>
      <c r="U107" s="559"/>
      <c r="V107" s="559"/>
      <c r="W107" s="559"/>
      <c r="X107" s="559"/>
      <c r="Y107" s="559"/>
      <c r="Z107" s="559"/>
    </row>
    <row r="108" spans="1:26" ht="18" customHeight="1" x14ac:dyDescent="0.35">
      <c r="A108" s="559"/>
      <c r="B108" s="559"/>
      <c r="C108" s="559"/>
      <c r="D108" s="559"/>
      <c r="E108" s="559"/>
      <c r="F108" s="559"/>
      <c r="G108" s="559"/>
      <c r="H108" s="559"/>
      <c r="I108" s="559"/>
      <c r="J108" s="559"/>
      <c r="K108" s="559"/>
      <c r="L108" s="559"/>
      <c r="M108" s="559"/>
      <c r="N108" s="559"/>
      <c r="O108" s="559"/>
      <c r="P108" s="559"/>
      <c r="Q108" s="559"/>
      <c r="R108" s="559"/>
      <c r="S108" s="559"/>
      <c r="T108" s="559"/>
      <c r="U108" s="559"/>
      <c r="V108" s="559"/>
      <c r="W108" s="559"/>
      <c r="X108" s="559"/>
      <c r="Y108" s="559"/>
      <c r="Z108" s="559"/>
    </row>
    <row r="109" spans="1:26" ht="18" customHeight="1" x14ac:dyDescent="0.35">
      <c r="A109" s="559"/>
      <c r="B109" s="559"/>
      <c r="C109" s="559"/>
      <c r="D109" s="559"/>
      <c r="E109" s="559"/>
      <c r="F109" s="559"/>
      <c r="G109" s="559"/>
      <c r="H109" s="559"/>
      <c r="I109" s="559"/>
      <c r="J109" s="559"/>
      <c r="K109" s="559"/>
      <c r="L109" s="559"/>
      <c r="M109" s="559"/>
      <c r="N109" s="559"/>
      <c r="O109" s="559"/>
      <c r="P109" s="559"/>
      <c r="Q109" s="559"/>
      <c r="R109" s="559"/>
      <c r="S109" s="559"/>
      <c r="T109" s="559"/>
      <c r="U109" s="559"/>
      <c r="V109" s="559"/>
      <c r="W109" s="559"/>
      <c r="X109" s="559"/>
      <c r="Y109" s="559"/>
      <c r="Z109" s="559"/>
    </row>
    <row r="110" spans="1:26" ht="18" customHeight="1" x14ac:dyDescent="0.35">
      <c r="A110" s="559"/>
      <c r="B110" s="559"/>
      <c r="C110" s="559"/>
      <c r="D110" s="559"/>
      <c r="E110" s="559"/>
      <c r="F110" s="559"/>
      <c r="G110" s="559"/>
      <c r="H110" s="559"/>
      <c r="I110" s="559"/>
      <c r="J110" s="559"/>
      <c r="K110" s="559"/>
      <c r="L110" s="559"/>
      <c r="M110" s="559"/>
      <c r="N110" s="559"/>
      <c r="O110" s="559"/>
      <c r="P110" s="559"/>
      <c r="Q110" s="559"/>
      <c r="R110" s="559"/>
      <c r="S110" s="559"/>
      <c r="T110" s="559"/>
      <c r="U110" s="559"/>
      <c r="V110" s="559"/>
      <c r="W110" s="559"/>
      <c r="X110" s="559"/>
      <c r="Y110" s="559"/>
      <c r="Z110" s="559"/>
    </row>
    <row r="111" spans="1:26" ht="18" customHeight="1" x14ac:dyDescent="0.35">
      <c r="A111" s="559"/>
      <c r="B111" s="559"/>
      <c r="C111" s="559"/>
      <c r="D111" s="559"/>
      <c r="E111" s="559"/>
      <c r="F111" s="559"/>
      <c r="G111" s="559"/>
      <c r="H111" s="559"/>
      <c r="I111" s="559"/>
      <c r="J111" s="559"/>
      <c r="K111" s="559"/>
      <c r="L111" s="559"/>
      <c r="M111" s="559"/>
      <c r="N111" s="559"/>
      <c r="O111" s="559"/>
      <c r="P111" s="559"/>
      <c r="Q111" s="559"/>
      <c r="R111" s="559"/>
      <c r="S111" s="559"/>
      <c r="T111" s="559"/>
      <c r="U111" s="559"/>
      <c r="V111" s="559"/>
      <c r="W111" s="559"/>
      <c r="X111" s="559"/>
      <c r="Y111" s="559"/>
      <c r="Z111" s="559"/>
    </row>
    <row r="112" spans="1:26" ht="18" customHeight="1" x14ac:dyDescent="0.35">
      <c r="A112" s="559"/>
      <c r="B112" s="559"/>
      <c r="C112" s="559"/>
      <c r="D112" s="559"/>
      <c r="E112" s="559"/>
      <c r="F112" s="559"/>
      <c r="G112" s="559"/>
      <c r="H112" s="559"/>
      <c r="I112" s="559"/>
      <c r="J112" s="559"/>
      <c r="K112" s="559"/>
      <c r="L112" s="559"/>
      <c r="M112" s="559"/>
      <c r="N112" s="559"/>
      <c r="O112" s="559"/>
      <c r="P112" s="559"/>
      <c r="Q112" s="559"/>
      <c r="R112" s="559"/>
      <c r="S112" s="559"/>
      <c r="T112" s="559"/>
      <c r="U112" s="559"/>
      <c r="V112" s="559"/>
      <c r="W112" s="559"/>
      <c r="X112" s="559"/>
      <c r="Y112" s="559"/>
      <c r="Z112" s="559"/>
    </row>
    <row r="113" spans="1:26" ht="18" customHeight="1" x14ac:dyDescent="0.35">
      <c r="A113" s="559"/>
      <c r="B113" s="559"/>
      <c r="C113" s="559"/>
      <c r="D113" s="559"/>
      <c r="E113" s="559"/>
      <c r="F113" s="559"/>
      <c r="G113" s="559"/>
      <c r="H113" s="559"/>
      <c r="I113" s="559"/>
      <c r="J113" s="559"/>
      <c r="K113" s="559"/>
      <c r="L113" s="559"/>
      <c r="M113" s="559"/>
      <c r="N113" s="559"/>
      <c r="O113" s="559"/>
      <c r="P113" s="559"/>
      <c r="Q113" s="559"/>
      <c r="R113" s="559"/>
      <c r="S113" s="559"/>
      <c r="T113" s="559"/>
      <c r="U113" s="559"/>
      <c r="V113" s="559"/>
      <c r="W113" s="559"/>
      <c r="X113" s="559"/>
      <c r="Y113" s="559"/>
      <c r="Z113" s="559"/>
    </row>
    <row r="114" spans="1:26" ht="18" customHeight="1" x14ac:dyDescent="0.35">
      <c r="A114" s="559"/>
      <c r="B114" s="559"/>
      <c r="C114" s="559"/>
      <c r="D114" s="559"/>
      <c r="E114" s="559"/>
      <c r="F114" s="559"/>
      <c r="G114" s="559"/>
      <c r="H114" s="559"/>
      <c r="I114" s="559"/>
      <c r="J114" s="559"/>
      <c r="K114" s="559"/>
      <c r="L114" s="559"/>
      <c r="M114" s="559"/>
      <c r="N114" s="559"/>
      <c r="O114" s="559"/>
      <c r="P114" s="559"/>
      <c r="Q114" s="559"/>
      <c r="R114" s="559"/>
      <c r="S114" s="559"/>
      <c r="T114" s="559"/>
      <c r="U114" s="559"/>
      <c r="V114" s="559"/>
      <c r="W114" s="559"/>
      <c r="X114" s="559"/>
      <c r="Y114" s="559"/>
      <c r="Z114" s="559"/>
    </row>
    <row r="115" spans="1:26" ht="18" customHeight="1" x14ac:dyDescent="0.35">
      <c r="A115" s="559"/>
      <c r="B115" s="559"/>
      <c r="C115" s="559"/>
      <c r="D115" s="559"/>
      <c r="E115" s="559"/>
      <c r="F115" s="559"/>
      <c r="G115" s="559"/>
      <c r="H115" s="559"/>
      <c r="I115" s="559"/>
      <c r="J115" s="559"/>
      <c r="K115" s="559"/>
      <c r="L115" s="559"/>
      <c r="M115" s="559"/>
      <c r="N115" s="559"/>
      <c r="O115" s="559"/>
      <c r="P115" s="559"/>
      <c r="Q115" s="559"/>
      <c r="R115" s="559"/>
      <c r="S115" s="559"/>
      <c r="T115" s="559"/>
      <c r="U115" s="559"/>
      <c r="V115" s="559"/>
      <c r="W115" s="559"/>
      <c r="X115" s="559"/>
      <c r="Y115" s="559"/>
      <c r="Z115" s="559"/>
    </row>
    <row r="116" spans="1:26" ht="18" customHeight="1" x14ac:dyDescent="0.35">
      <c r="A116" s="559"/>
      <c r="B116" s="559"/>
      <c r="C116" s="559"/>
      <c r="D116" s="559"/>
      <c r="E116" s="559"/>
      <c r="F116" s="559"/>
      <c r="G116" s="559"/>
      <c r="H116" s="559"/>
      <c r="I116" s="559"/>
      <c r="J116" s="559"/>
      <c r="K116" s="559"/>
      <c r="L116" s="559"/>
      <c r="M116" s="559"/>
      <c r="N116" s="559"/>
      <c r="O116" s="559"/>
      <c r="P116" s="559"/>
      <c r="Q116" s="559"/>
      <c r="R116" s="559"/>
      <c r="S116" s="559"/>
      <c r="T116" s="559"/>
      <c r="U116" s="559"/>
      <c r="V116" s="559"/>
      <c r="W116" s="559"/>
      <c r="X116" s="559"/>
      <c r="Y116" s="559"/>
      <c r="Z116" s="559"/>
    </row>
    <row r="117" spans="1:26" ht="18" customHeight="1" x14ac:dyDescent="0.35">
      <c r="A117" s="559"/>
      <c r="B117" s="559"/>
      <c r="C117" s="559"/>
      <c r="D117" s="559"/>
      <c r="E117" s="559"/>
      <c r="F117" s="559"/>
      <c r="G117" s="559"/>
      <c r="H117" s="559"/>
      <c r="I117" s="559"/>
      <c r="J117" s="559"/>
      <c r="K117" s="559"/>
      <c r="L117" s="559"/>
      <c r="M117" s="559"/>
      <c r="N117" s="559"/>
      <c r="O117" s="559"/>
      <c r="P117" s="559"/>
      <c r="Q117" s="559"/>
      <c r="R117" s="559"/>
      <c r="S117" s="559"/>
      <c r="T117" s="559"/>
      <c r="U117" s="559"/>
      <c r="V117" s="559"/>
      <c r="W117" s="559"/>
      <c r="X117" s="559"/>
      <c r="Y117" s="559"/>
      <c r="Z117" s="559"/>
    </row>
    <row r="118" spans="1:26" ht="18" customHeight="1" x14ac:dyDescent="0.35">
      <c r="A118" s="559"/>
      <c r="B118" s="559"/>
      <c r="C118" s="559"/>
      <c r="D118" s="559"/>
      <c r="E118" s="559"/>
      <c r="F118" s="559"/>
      <c r="G118" s="559"/>
      <c r="H118" s="559"/>
      <c r="I118" s="559"/>
      <c r="J118" s="559"/>
      <c r="K118" s="559"/>
      <c r="L118" s="559"/>
      <c r="M118" s="559"/>
      <c r="N118" s="559"/>
      <c r="O118" s="559"/>
      <c r="P118" s="559"/>
      <c r="Q118" s="559"/>
      <c r="R118" s="559"/>
      <c r="S118" s="559"/>
      <c r="T118" s="559"/>
      <c r="U118" s="559"/>
      <c r="V118" s="559"/>
      <c r="W118" s="559"/>
      <c r="X118" s="559"/>
      <c r="Y118" s="559"/>
      <c r="Z118" s="559"/>
    </row>
    <row r="119" spans="1:26" ht="18" customHeight="1" x14ac:dyDescent="0.35">
      <c r="A119" s="559"/>
      <c r="B119" s="559"/>
      <c r="C119" s="559"/>
      <c r="D119" s="559"/>
      <c r="E119" s="559"/>
      <c r="F119" s="559"/>
      <c r="G119" s="559"/>
      <c r="H119" s="559"/>
      <c r="I119" s="559"/>
      <c r="J119" s="559"/>
      <c r="K119" s="559"/>
      <c r="L119" s="559"/>
      <c r="M119" s="559"/>
      <c r="N119" s="559"/>
      <c r="O119" s="559"/>
      <c r="P119" s="559"/>
      <c r="Q119" s="559"/>
      <c r="R119" s="559"/>
      <c r="S119" s="559"/>
      <c r="T119" s="559"/>
      <c r="U119" s="559"/>
      <c r="V119" s="559"/>
      <c r="W119" s="559"/>
      <c r="X119" s="559"/>
      <c r="Y119" s="559"/>
      <c r="Z119" s="559"/>
    </row>
    <row r="120" spans="1:26" ht="18" customHeight="1" x14ac:dyDescent="0.35">
      <c r="A120" s="559"/>
      <c r="B120" s="559"/>
      <c r="C120" s="559"/>
      <c r="D120" s="559"/>
      <c r="E120" s="559"/>
      <c r="F120" s="559"/>
      <c r="G120" s="559"/>
      <c r="H120" s="559"/>
      <c r="I120" s="559"/>
      <c r="J120" s="559"/>
      <c r="K120" s="559"/>
      <c r="L120" s="559"/>
      <c r="M120" s="559"/>
      <c r="N120" s="559"/>
      <c r="O120" s="559"/>
      <c r="P120" s="559"/>
      <c r="Q120" s="559"/>
      <c r="R120" s="559"/>
      <c r="S120" s="559"/>
      <c r="T120" s="559"/>
      <c r="U120" s="559"/>
      <c r="V120" s="559"/>
      <c r="W120" s="559"/>
      <c r="X120" s="559"/>
      <c r="Y120" s="559"/>
      <c r="Z120" s="559"/>
    </row>
    <row r="121" spans="1:26" ht="18" customHeight="1" x14ac:dyDescent="0.35">
      <c r="A121" s="559"/>
      <c r="B121" s="559"/>
      <c r="C121" s="559"/>
      <c r="D121" s="559"/>
      <c r="E121" s="559"/>
      <c r="F121" s="559"/>
      <c r="G121" s="559"/>
      <c r="H121" s="559"/>
      <c r="I121" s="559"/>
      <c r="J121" s="559"/>
      <c r="K121" s="559"/>
      <c r="L121" s="559"/>
      <c r="M121" s="559"/>
      <c r="N121" s="559"/>
      <c r="O121" s="559"/>
      <c r="P121" s="559"/>
      <c r="Q121" s="559"/>
      <c r="R121" s="559"/>
      <c r="S121" s="559"/>
      <c r="T121" s="559"/>
      <c r="U121" s="559"/>
      <c r="V121" s="559"/>
      <c r="W121" s="559"/>
      <c r="X121" s="559"/>
      <c r="Y121" s="559"/>
      <c r="Z121" s="559"/>
    </row>
    <row r="122" spans="1:26" ht="18" customHeight="1" x14ac:dyDescent="0.35">
      <c r="A122" s="559"/>
      <c r="B122" s="559"/>
      <c r="C122" s="559"/>
      <c r="D122" s="559"/>
      <c r="E122" s="559"/>
      <c r="F122" s="559"/>
      <c r="G122" s="559"/>
      <c r="H122" s="559"/>
      <c r="I122" s="559"/>
      <c r="J122" s="559"/>
      <c r="K122" s="559"/>
      <c r="L122" s="559"/>
      <c r="M122" s="559"/>
      <c r="N122" s="559"/>
      <c r="O122" s="559"/>
      <c r="P122" s="559"/>
      <c r="Q122" s="559"/>
      <c r="R122" s="559"/>
      <c r="S122" s="559"/>
      <c r="T122" s="559"/>
      <c r="U122" s="559"/>
      <c r="V122" s="559"/>
      <c r="W122" s="559"/>
      <c r="X122" s="559"/>
      <c r="Y122" s="559"/>
      <c r="Z122" s="559"/>
    </row>
    <row r="123" spans="1:26" ht="18" customHeight="1" x14ac:dyDescent="0.35">
      <c r="A123" s="559"/>
      <c r="B123" s="559"/>
      <c r="C123" s="559"/>
      <c r="D123" s="559"/>
      <c r="E123" s="559"/>
      <c r="F123" s="559"/>
      <c r="G123" s="559"/>
      <c r="H123" s="559"/>
      <c r="I123" s="559"/>
      <c r="J123" s="559"/>
      <c r="K123" s="559"/>
      <c r="L123" s="559"/>
      <c r="M123" s="559"/>
      <c r="N123" s="559"/>
      <c r="O123" s="559"/>
      <c r="P123" s="559"/>
      <c r="Q123" s="559"/>
      <c r="R123" s="559"/>
      <c r="S123" s="559"/>
      <c r="T123" s="559"/>
      <c r="U123" s="559"/>
      <c r="V123" s="559"/>
      <c r="W123" s="559"/>
      <c r="X123" s="559"/>
      <c r="Y123" s="559"/>
      <c r="Z123" s="559"/>
    </row>
    <row r="124" spans="1:26" ht="18" customHeight="1" x14ac:dyDescent="0.35">
      <c r="A124" s="559"/>
      <c r="B124" s="559"/>
      <c r="C124" s="559"/>
      <c r="D124" s="559"/>
      <c r="E124" s="559"/>
      <c r="F124" s="559"/>
      <c r="G124" s="559"/>
      <c r="H124" s="559"/>
      <c r="I124" s="559"/>
      <c r="J124" s="559"/>
      <c r="K124" s="559"/>
      <c r="L124" s="559"/>
      <c r="M124" s="559"/>
      <c r="N124" s="559"/>
      <c r="O124" s="559"/>
      <c r="P124" s="559"/>
      <c r="Q124" s="559"/>
      <c r="R124" s="559"/>
      <c r="S124" s="559"/>
      <c r="T124" s="559"/>
      <c r="U124" s="559"/>
      <c r="V124" s="559"/>
      <c r="W124" s="559"/>
      <c r="X124" s="559"/>
      <c r="Y124" s="559"/>
      <c r="Z124" s="559"/>
    </row>
    <row r="125" spans="1:26" ht="18" customHeight="1" x14ac:dyDescent="0.35">
      <c r="A125" s="559"/>
      <c r="B125" s="559"/>
      <c r="C125" s="559"/>
      <c r="D125" s="559"/>
      <c r="E125" s="559"/>
      <c r="F125" s="559"/>
      <c r="G125" s="559"/>
      <c r="H125" s="559"/>
      <c r="I125" s="559"/>
      <c r="J125" s="559"/>
      <c r="K125" s="559"/>
      <c r="L125" s="559"/>
      <c r="M125" s="559"/>
      <c r="N125" s="559"/>
      <c r="O125" s="559"/>
      <c r="P125" s="559"/>
      <c r="Q125" s="559"/>
      <c r="R125" s="559"/>
      <c r="S125" s="559"/>
      <c r="T125" s="559"/>
      <c r="U125" s="559"/>
      <c r="V125" s="559"/>
      <c r="W125" s="559"/>
      <c r="X125" s="559"/>
      <c r="Y125" s="559"/>
      <c r="Z125" s="559"/>
    </row>
    <row r="126" spans="1:26" ht="18" customHeight="1" x14ac:dyDescent="0.35">
      <c r="A126" s="559"/>
      <c r="B126" s="559"/>
      <c r="C126" s="559"/>
      <c r="D126" s="559"/>
      <c r="E126" s="559"/>
      <c r="F126" s="559"/>
      <c r="G126" s="559"/>
      <c r="H126" s="559"/>
      <c r="I126" s="559"/>
      <c r="J126" s="559"/>
      <c r="K126" s="559"/>
      <c r="L126" s="559"/>
      <c r="M126" s="559"/>
      <c r="N126" s="559"/>
      <c r="O126" s="559"/>
      <c r="P126" s="559"/>
      <c r="Q126" s="559"/>
      <c r="R126" s="559"/>
      <c r="S126" s="559"/>
      <c r="T126" s="559"/>
      <c r="U126" s="559"/>
      <c r="V126" s="559"/>
      <c r="W126" s="559"/>
      <c r="X126" s="559"/>
      <c r="Y126" s="559"/>
      <c r="Z126" s="559"/>
    </row>
    <row r="127" spans="1:26" ht="18" customHeight="1" x14ac:dyDescent="0.35">
      <c r="A127" s="559"/>
      <c r="B127" s="559"/>
      <c r="C127" s="559"/>
      <c r="D127" s="559"/>
      <c r="E127" s="559"/>
      <c r="F127" s="559"/>
      <c r="G127" s="559"/>
      <c r="H127" s="559"/>
      <c r="I127" s="559"/>
      <c r="J127" s="559"/>
      <c r="K127" s="559"/>
      <c r="L127" s="559"/>
      <c r="M127" s="559"/>
      <c r="N127" s="559"/>
      <c r="O127" s="559"/>
      <c r="P127" s="559"/>
      <c r="Q127" s="559"/>
      <c r="R127" s="559"/>
      <c r="S127" s="559"/>
      <c r="T127" s="559"/>
      <c r="U127" s="559"/>
      <c r="V127" s="559"/>
      <c r="W127" s="559"/>
      <c r="X127" s="559"/>
      <c r="Y127" s="559"/>
      <c r="Z127" s="559"/>
    </row>
    <row r="128" spans="1:26" ht="18" customHeight="1" x14ac:dyDescent="0.35">
      <c r="A128" s="559"/>
      <c r="B128" s="559"/>
      <c r="C128" s="559"/>
      <c r="D128" s="559"/>
      <c r="E128" s="559"/>
      <c r="F128" s="559"/>
      <c r="G128" s="559"/>
      <c r="H128" s="559"/>
      <c r="I128" s="559"/>
      <c r="J128" s="559"/>
      <c r="K128" s="559"/>
      <c r="L128" s="559"/>
      <c r="M128" s="559"/>
      <c r="N128" s="559"/>
      <c r="O128" s="559"/>
      <c r="P128" s="559"/>
      <c r="Q128" s="559"/>
      <c r="R128" s="559"/>
      <c r="S128" s="559"/>
      <c r="T128" s="559"/>
      <c r="U128" s="559"/>
      <c r="V128" s="559"/>
      <c r="W128" s="559"/>
      <c r="X128" s="559"/>
      <c r="Y128" s="559"/>
      <c r="Z128" s="559"/>
    </row>
    <row r="129" spans="1:26" ht="18" customHeight="1" x14ac:dyDescent="0.35">
      <c r="A129" s="559"/>
      <c r="B129" s="559"/>
      <c r="C129" s="559"/>
      <c r="D129" s="559"/>
      <c r="E129" s="559"/>
      <c r="F129" s="559"/>
      <c r="G129" s="559"/>
      <c r="H129" s="559"/>
      <c r="I129" s="559"/>
      <c r="J129" s="559"/>
      <c r="K129" s="559"/>
      <c r="L129" s="559"/>
      <c r="M129" s="559"/>
      <c r="N129" s="559"/>
      <c r="O129" s="559"/>
      <c r="P129" s="559"/>
      <c r="Q129" s="559"/>
      <c r="R129" s="559"/>
      <c r="S129" s="559"/>
      <c r="T129" s="559"/>
      <c r="U129" s="559"/>
      <c r="V129" s="559"/>
      <c r="W129" s="559"/>
      <c r="X129" s="559"/>
      <c r="Y129" s="559"/>
      <c r="Z129" s="559"/>
    </row>
    <row r="130" spans="1:26" ht="18" customHeight="1" x14ac:dyDescent="0.35">
      <c r="A130" s="559"/>
      <c r="B130" s="559"/>
      <c r="C130" s="559"/>
      <c r="D130" s="559"/>
      <c r="E130" s="559"/>
      <c r="F130" s="559"/>
      <c r="G130" s="559"/>
      <c r="H130" s="559"/>
      <c r="I130" s="559"/>
      <c r="J130" s="559"/>
      <c r="K130" s="559"/>
      <c r="L130" s="559"/>
      <c r="M130" s="559"/>
      <c r="N130" s="559"/>
      <c r="O130" s="559"/>
      <c r="P130" s="559"/>
      <c r="Q130" s="559"/>
      <c r="R130" s="559"/>
      <c r="S130" s="559"/>
      <c r="T130" s="559"/>
      <c r="U130" s="559"/>
      <c r="V130" s="559"/>
      <c r="W130" s="559"/>
      <c r="X130" s="559"/>
      <c r="Y130" s="559"/>
      <c r="Z130" s="559"/>
    </row>
    <row r="131" spans="1:26" ht="18" customHeight="1" x14ac:dyDescent="0.35">
      <c r="A131" s="559"/>
      <c r="B131" s="559"/>
      <c r="C131" s="559"/>
      <c r="D131" s="559"/>
      <c r="E131" s="559"/>
      <c r="F131" s="559"/>
      <c r="G131" s="559"/>
      <c r="H131" s="559"/>
      <c r="I131" s="559"/>
      <c r="J131" s="559"/>
      <c r="K131" s="559"/>
      <c r="L131" s="559"/>
      <c r="M131" s="559"/>
      <c r="N131" s="559"/>
      <c r="O131" s="559"/>
      <c r="P131" s="559"/>
      <c r="Q131" s="559"/>
      <c r="R131" s="559"/>
      <c r="S131" s="559"/>
      <c r="T131" s="559"/>
      <c r="U131" s="559"/>
      <c r="V131" s="559"/>
      <c r="W131" s="559"/>
      <c r="X131" s="559"/>
      <c r="Y131" s="559"/>
      <c r="Z131" s="559"/>
    </row>
    <row r="132" spans="1:26" ht="18" customHeight="1" x14ac:dyDescent="0.35">
      <c r="A132" s="559"/>
      <c r="B132" s="559"/>
      <c r="C132" s="559"/>
      <c r="D132" s="559"/>
      <c r="E132" s="559"/>
      <c r="F132" s="559"/>
      <c r="G132" s="559"/>
      <c r="H132" s="559"/>
      <c r="I132" s="559"/>
      <c r="J132" s="559"/>
      <c r="K132" s="559"/>
      <c r="L132" s="559"/>
      <c r="M132" s="559"/>
      <c r="N132" s="559"/>
      <c r="O132" s="559"/>
      <c r="P132" s="559"/>
      <c r="Q132" s="559"/>
      <c r="R132" s="559"/>
      <c r="S132" s="559"/>
      <c r="T132" s="559"/>
      <c r="U132" s="559"/>
      <c r="V132" s="559"/>
      <c r="W132" s="559"/>
      <c r="X132" s="559"/>
      <c r="Y132" s="559"/>
      <c r="Z132" s="559"/>
    </row>
    <row r="133" spans="1:26" ht="18" customHeight="1" x14ac:dyDescent="0.35">
      <c r="A133" s="559"/>
      <c r="B133" s="559"/>
      <c r="C133" s="559"/>
      <c r="D133" s="559"/>
      <c r="E133" s="559"/>
      <c r="F133" s="559"/>
      <c r="G133" s="559"/>
      <c r="H133" s="559"/>
      <c r="I133" s="559"/>
      <c r="J133" s="559"/>
      <c r="K133" s="559"/>
      <c r="L133" s="559"/>
      <c r="M133" s="559"/>
      <c r="N133" s="559"/>
      <c r="O133" s="559"/>
      <c r="P133" s="559"/>
      <c r="Q133" s="559"/>
      <c r="R133" s="559"/>
      <c r="S133" s="559"/>
      <c r="T133" s="559"/>
      <c r="U133" s="559"/>
      <c r="V133" s="559"/>
      <c r="W133" s="559"/>
      <c r="X133" s="559"/>
      <c r="Y133" s="559"/>
      <c r="Z133" s="559"/>
    </row>
    <row r="134" spans="1:26" ht="18" customHeight="1" x14ac:dyDescent="0.35">
      <c r="A134" s="559"/>
      <c r="B134" s="559"/>
      <c r="C134" s="559"/>
      <c r="D134" s="559"/>
      <c r="E134" s="559"/>
      <c r="F134" s="559"/>
      <c r="G134" s="559"/>
      <c r="H134" s="559"/>
      <c r="I134" s="559"/>
      <c r="J134" s="559"/>
      <c r="K134" s="559"/>
      <c r="L134" s="559"/>
      <c r="M134" s="559"/>
      <c r="N134" s="559"/>
      <c r="O134" s="559"/>
      <c r="P134" s="559"/>
      <c r="Q134" s="559"/>
      <c r="R134" s="559"/>
      <c r="S134" s="559"/>
      <c r="T134" s="559"/>
      <c r="U134" s="559"/>
      <c r="V134" s="559"/>
      <c r="W134" s="559"/>
      <c r="X134" s="559"/>
      <c r="Y134" s="559"/>
      <c r="Z134" s="559"/>
    </row>
    <row r="135" spans="1:26" ht="18" customHeight="1" x14ac:dyDescent="0.35">
      <c r="A135" s="559"/>
      <c r="B135" s="559"/>
      <c r="C135" s="559"/>
      <c r="D135" s="559"/>
      <c r="E135" s="559"/>
      <c r="F135" s="559"/>
      <c r="G135" s="559"/>
      <c r="H135" s="559"/>
      <c r="I135" s="559"/>
      <c r="J135" s="559"/>
      <c r="K135" s="559"/>
      <c r="L135" s="559"/>
      <c r="M135" s="559"/>
      <c r="N135" s="559"/>
      <c r="O135" s="559"/>
      <c r="P135" s="559"/>
      <c r="Q135" s="559"/>
      <c r="R135" s="559"/>
      <c r="S135" s="559"/>
      <c r="T135" s="559"/>
      <c r="U135" s="559"/>
      <c r="V135" s="559"/>
      <c r="W135" s="559"/>
      <c r="X135" s="559"/>
      <c r="Y135" s="559"/>
      <c r="Z135" s="559"/>
    </row>
    <row r="136" spans="1:26" ht="18" customHeight="1" x14ac:dyDescent="0.35">
      <c r="A136" s="559"/>
      <c r="B136" s="559"/>
      <c r="C136" s="559"/>
      <c r="D136" s="559"/>
      <c r="E136" s="559"/>
      <c r="F136" s="559"/>
      <c r="G136" s="559"/>
      <c r="H136" s="559"/>
      <c r="I136" s="559"/>
      <c r="J136" s="559"/>
      <c r="K136" s="559"/>
      <c r="L136" s="559"/>
      <c r="M136" s="559"/>
      <c r="N136" s="559"/>
      <c r="O136" s="559"/>
      <c r="P136" s="559"/>
      <c r="Q136" s="559"/>
      <c r="R136" s="559"/>
      <c r="S136" s="559"/>
      <c r="T136" s="559"/>
      <c r="U136" s="559"/>
      <c r="V136" s="559"/>
      <c r="W136" s="559"/>
      <c r="X136" s="559"/>
      <c r="Y136" s="559"/>
      <c r="Z136" s="559"/>
    </row>
    <row r="137" spans="1:26" ht="18" customHeight="1" x14ac:dyDescent="0.35">
      <c r="A137" s="559"/>
      <c r="B137" s="559"/>
      <c r="C137" s="559"/>
      <c r="D137" s="559"/>
      <c r="E137" s="559"/>
      <c r="F137" s="559"/>
      <c r="G137" s="559"/>
      <c r="H137" s="559"/>
      <c r="I137" s="559"/>
      <c r="J137" s="559"/>
      <c r="K137" s="559"/>
      <c r="L137" s="559"/>
      <c r="M137" s="559"/>
      <c r="N137" s="559"/>
      <c r="O137" s="559"/>
      <c r="P137" s="559"/>
      <c r="Q137" s="559"/>
      <c r="R137" s="559"/>
      <c r="S137" s="559"/>
      <c r="T137" s="559"/>
      <c r="U137" s="559"/>
      <c r="V137" s="559"/>
      <c r="W137" s="559"/>
      <c r="X137" s="559"/>
      <c r="Y137" s="559"/>
      <c r="Z137" s="559"/>
    </row>
    <row r="138" spans="1:26" ht="18" customHeight="1" x14ac:dyDescent="0.35">
      <c r="A138" s="559"/>
      <c r="B138" s="559"/>
      <c r="C138" s="559"/>
      <c r="D138" s="559"/>
      <c r="E138" s="559"/>
      <c r="F138" s="559"/>
      <c r="G138" s="559"/>
      <c r="H138" s="559"/>
      <c r="I138" s="559"/>
      <c r="J138" s="559"/>
      <c r="K138" s="559"/>
      <c r="L138" s="559"/>
      <c r="M138" s="559"/>
      <c r="N138" s="559"/>
      <c r="O138" s="559"/>
      <c r="P138" s="559"/>
      <c r="Q138" s="559"/>
      <c r="R138" s="559"/>
      <c r="S138" s="559"/>
      <c r="T138" s="559"/>
      <c r="U138" s="559"/>
      <c r="V138" s="559"/>
      <c r="W138" s="559"/>
      <c r="X138" s="559"/>
      <c r="Y138" s="559"/>
      <c r="Z138" s="559"/>
    </row>
    <row r="139" spans="1:26" ht="18" customHeight="1" x14ac:dyDescent="0.35">
      <c r="A139" s="559"/>
      <c r="B139" s="559"/>
      <c r="C139" s="559"/>
      <c r="D139" s="559"/>
      <c r="E139" s="559"/>
      <c r="F139" s="559"/>
      <c r="G139" s="559"/>
      <c r="H139" s="559"/>
      <c r="I139" s="559"/>
      <c r="J139" s="559"/>
      <c r="K139" s="559"/>
      <c r="L139" s="559"/>
      <c r="M139" s="559"/>
      <c r="N139" s="559"/>
      <c r="O139" s="559"/>
      <c r="P139" s="559"/>
      <c r="Q139" s="559"/>
      <c r="R139" s="559"/>
      <c r="S139" s="559"/>
      <c r="T139" s="559"/>
      <c r="U139" s="559"/>
      <c r="V139" s="559"/>
      <c r="W139" s="559"/>
      <c r="X139" s="559"/>
      <c r="Y139" s="559"/>
      <c r="Z139" s="559"/>
    </row>
    <row r="140" spans="1:26" ht="18" customHeight="1" x14ac:dyDescent="0.35">
      <c r="A140" s="559"/>
      <c r="B140" s="559"/>
      <c r="C140" s="559"/>
      <c r="D140" s="559"/>
      <c r="E140" s="559"/>
      <c r="F140" s="559"/>
      <c r="G140" s="559"/>
      <c r="H140" s="559"/>
      <c r="I140" s="559"/>
      <c r="J140" s="559"/>
      <c r="K140" s="559"/>
      <c r="L140" s="559"/>
      <c r="M140" s="559"/>
      <c r="N140" s="559"/>
      <c r="O140" s="559"/>
      <c r="P140" s="559"/>
      <c r="Q140" s="559"/>
      <c r="R140" s="559"/>
      <c r="S140" s="559"/>
      <c r="T140" s="559"/>
      <c r="U140" s="559"/>
      <c r="V140" s="559"/>
      <c r="W140" s="559"/>
      <c r="X140" s="559"/>
      <c r="Y140" s="559"/>
      <c r="Z140" s="559"/>
    </row>
    <row r="141" spans="1:26" ht="18" customHeight="1" x14ac:dyDescent="0.35">
      <c r="A141" s="559"/>
      <c r="B141" s="559"/>
      <c r="C141" s="559"/>
      <c r="D141" s="559"/>
      <c r="E141" s="559"/>
      <c r="F141" s="559"/>
      <c r="G141" s="559"/>
      <c r="H141" s="559"/>
      <c r="I141" s="559"/>
      <c r="J141" s="559"/>
      <c r="K141" s="559"/>
      <c r="L141" s="559"/>
      <c r="M141" s="559"/>
      <c r="N141" s="559"/>
      <c r="O141" s="559"/>
      <c r="P141" s="559"/>
      <c r="Q141" s="559"/>
      <c r="R141" s="559"/>
      <c r="S141" s="559"/>
      <c r="T141" s="559"/>
      <c r="U141" s="559"/>
      <c r="V141" s="559"/>
      <c r="W141" s="559"/>
      <c r="X141" s="559"/>
      <c r="Y141" s="559"/>
      <c r="Z141" s="559"/>
    </row>
    <row r="142" spans="1:26" ht="18" customHeight="1" x14ac:dyDescent="0.35">
      <c r="A142" s="559"/>
      <c r="B142" s="559"/>
      <c r="C142" s="559"/>
      <c r="D142" s="559"/>
      <c r="E142" s="559"/>
      <c r="F142" s="559"/>
      <c r="G142" s="559"/>
      <c r="H142" s="559"/>
      <c r="I142" s="559"/>
      <c r="J142" s="559"/>
      <c r="K142" s="559"/>
      <c r="L142" s="559"/>
      <c r="M142" s="559"/>
      <c r="N142" s="559"/>
      <c r="O142" s="559"/>
      <c r="P142" s="559"/>
      <c r="Q142" s="559"/>
      <c r="R142" s="559"/>
      <c r="S142" s="559"/>
      <c r="T142" s="559"/>
      <c r="U142" s="559"/>
      <c r="V142" s="559"/>
      <c r="W142" s="559"/>
      <c r="X142" s="559"/>
      <c r="Y142" s="559"/>
      <c r="Z142" s="559"/>
    </row>
    <row r="143" spans="1:26" ht="18" customHeight="1" x14ac:dyDescent="0.35">
      <c r="A143" s="559"/>
      <c r="B143" s="559"/>
      <c r="C143" s="559"/>
      <c r="D143" s="559"/>
      <c r="E143" s="559"/>
      <c r="F143" s="559"/>
      <c r="G143" s="559"/>
      <c r="H143" s="559"/>
      <c r="I143" s="559"/>
      <c r="J143" s="559"/>
      <c r="K143" s="559"/>
      <c r="L143" s="559"/>
      <c r="M143" s="559"/>
      <c r="N143" s="559"/>
      <c r="O143" s="559"/>
      <c r="P143" s="559"/>
      <c r="Q143" s="559"/>
      <c r="R143" s="559"/>
      <c r="S143" s="559"/>
      <c r="T143" s="559"/>
      <c r="U143" s="559"/>
      <c r="V143" s="559"/>
      <c r="W143" s="559"/>
      <c r="X143" s="559"/>
      <c r="Y143" s="559"/>
      <c r="Z143" s="559"/>
    </row>
    <row r="144" spans="1:26" ht="18" customHeight="1" x14ac:dyDescent="0.35">
      <c r="A144" s="559"/>
      <c r="B144" s="559"/>
      <c r="C144" s="559"/>
      <c r="D144" s="559"/>
      <c r="E144" s="559"/>
      <c r="F144" s="559"/>
      <c r="G144" s="559"/>
      <c r="H144" s="559"/>
      <c r="I144" s="559"/>
      <c r="J144" s="559"/>
      <c r="K144" s="559"/>
      <c r="L144" s="559"/>
      <c r="M144" s="559"/>
      <c r="N144" s="559"/>
      <c r="O144" s="559"/>
      <c r="P144" s="559"/>
      <c r="Q144" s="559"/>
      <c r="R144" s="559"/>
      <c r="S144" s="559"/>
      <c r="T144" s="559"/>
      <c r="U144" s="559"/>
      <c r="V144" s="559"/>
      <c r="W144" s="559"/>
      <c r="X144" s="559"/>
      <c r="Y144" s="559"/>
      <c r="Z144" s="559"/>
    </row>
    <row r="145" spans="1:26" ht="18" customHeight="1" x14ac:dyDescent="0.35">
      <c r="A145" s="559"/>
      <c r="B145" s="559"/>
      <c r="C145" s="559"/>
      <c r="D145" s="559"/>
      <c r="E145" s="559"/>
      <c r="F145" s="559"/>
      <c r="G145" s="559"/>
      <c r="H145" s="559"/>
      <c r="I145" s="559"/>
      <c r="J145" s="559"/>
      <c r="K145" s="559"/>
      <c r="L145" s="559"/>
      <c r="M145" s="559"/>
      <c r="N145" s="559"/>
      <c r="O145" s="559"/>
      <c r="P145" s="559"/>
      <c r="Q145" s="559"/>
      <c r="R145" s="559"/>
      <c r="S145" s="559"/>
      <c r="T145" s="559"/>
      <c r="U145" s="559"/>
      <c r="V145" s="559"/>
      <c r="W145" s="559"/>
      <c r="X145" s="559"/>
      <c r="Y145" s="559"/>
      <c r="Z145" s="559"/>
    </row>
    <row r="146" spans="1:26" ht="18" customHeight="1" x14ac:dyDescent="0.35">
      <c r="A146" s="559"/>
      <c r="B146" s="559"/>
      <c r="C146" s="559"/>
      <c r="D146" s="559"/>
      <c r="E146" s="559"/>
      <c r="F146" s="559"/>
      <c r="G146" s="559"/>
      <c r="H146" s="559"/>
      <c r="I146" s="559"/>
      <c r="J146" s="559"/>
      <c r="K146" s="559"/>
      <c r="L146" s="559"/>
      <c r="M146" s="559"/>
      <c r="N146" s="559"/>
      <c r="O146" s="559"/>
      <c r="P146" s="559"/>
      <c r="Q146" s="559"/>
      <c r="R146" s="559"/>
      <c r="S146" s="559"/>
      <c r="T146" s="559"/>
      <c r="U146" s="559"/>
      <c r="V146" s="559"/>
      <c r="W146" s="559"/>
      <c r="X146" s="559"/>
      <c r="Y146" s="559"/>
      <c r="Z146" s="559"/>
    </row>
    <row r="147" spans="1:26" ht="18" customHeight="1" x14ac:dyDescent="0.35">
      <c r="A147" s="559"/>
      <c r="B147" s="559"/>
      <c r="C147" s="559"/>
      <c r="D147" s="559"/>
      <c r="E147" s="559"/>
      <c r="F147" s="559"/>
      <c r="G147" s="559"/>
      <c r="H147" s="559"/>
      <c r="I147" s="559"/>
      <c r="J147" s="559"/>
      <c r="K147" s="559"/>
      <c r="L147" s="559"/>
      <c r="M147" s="559"/>
      <c r="N147" s="559"/>
      <c r="O147" s="559"/>
      <c r="P147" s="559"/>
      <c r="Q147" s="559"/>
      <c r="R147" s="559"/>
      <c r="S147" s="559"/>
      <c r="T147" s="559"/>
      <c r="U147" s="559"/>
      <c r="V147" s="559"/>
      <c r="W147" s="559"/>
      <c r="X147" s="559"/>
      <c r="Y147" s="559"/>
      <c r="Z147" s="559"/>
    </row>
    <row r="148" spans="1:26" ht="18" customHeight="1" x14ac:dyDescent="0.35">
      <c r="A148" s="559"/>
      <c r="B148" s="559"/>
      <c r="C148" s="559"/>
      <c r="D148" s="559"/>
      <c r="E148" s="559"/>
      <c r="F148" s="559"/>
      <c r="G148" s="559"/>
      <c r="H148" s="559"/>
      <c r="I148" s="559"/>
      <c r="J148" s="559"/>
      <c r="K148" s="559"/>
      <c r="L148" s="559"/>
      <c r="M148" s="559"/>
      <c r="N148" s="559"/>
      <c r="O148" s="559"/>
      <c r="P148" s="559"/>
      <c r="Q148" s="559"/>
      <c r="R148" s="559"/>
      <c r="S148" s="559"/>
      <c r="T148" s="559"/>
      <c r="U148" s="559"/>
      <c r="V148" s="559"/>
      <c r="W148" s="559"/>
      <c r="X148" s="559"/>
      <c r="Y148" s="559"/>
      <c r="Z148" s="559"/>
    </row>
    <row r="149" spans="1:26" ht="18" customHeight="1" x14ac:dyDescent="0.35">
      <c r="A149" s="559"/>
      <c r="B149" s="559"/>
      <c r="C149" s="559"/>
      <c r="D149" s="559"/>
      <c r="E149" s="559"/>
      <c r="F149" s="559"/>
      <c r="G149" s="559"/>
      <c r="H149" s="559"/>
      <c r="I149" s="559"/>
      <c r="J149" s="559"/>
      <c r="K149" s="559"/>
      <c r="L149" s="559"/>
      <c r="M149" s="559"/>
      <c r="N149" s="559"/>
      <c r="O149" s="559"/>
      <c r="P149" s="559"/>
      <c r="Q149" s="559"/>
      <c r="R149" s="559"/>
      <c r="S149" s="559"/>
      <c r="T149" s="559"/>
      <c r="U149" s="559"/>
      <c r="V149" s="559"/>
      <c r="W149" s="559"/>
      <c r="X149" s="559"/>
      <c r="Y149" s="559"/>
      <c r="Z149" s="559"/>
    </row>
    <row r="150" spans="1:26" ht="18" customHeight="1" x14ac:dyDescent="0.35">
      <c r="A150" s="559"/>
      <c r="B150" s="559"/>
      <c r="C150" s="559"/>
      <c r="D150" s="559"/>
      <c r="E150" s="559"/>
      <c r="F150" s="559"/>
      <c r="G150" s="559"/>
      <c r="H150" s="559"/>
      <c r="I150" s="559"/>
      <c r="J150" s="559"/>
      <c r="K150" s="559"/>
      <c r="L150" s="559"/>
      <c r="M150" s="559"/>
      <c r="N150" s="559"/>
      <c r="O150" s="559"/>
      <c r="P150" s="559"/>
      <c r="Q150" s="559"/>
      <c r="R150" s="559"/>
      <c r="S150" s="559"/>
      <c r="T150" s="559"/>
      <c r="U150" s="559"/>
      <c r="V150" s="559"/>
      <c r="W150" s="559"/>
      <c r="X150" s="559"/>
      <c r="Y150" s="559"/>
      <c r="Z150" s="559"/>
    </row>
    <row r="151" spans="1:26" ht="18" customHeight="1" x14ac:dyDescent="0.35">
      <c r="A151" s="559"/>
      <c r="B151" s="559"/>
      <c r="C151" s="559"/>
      <c r="D151" s="559"/>
      <c r="E151" s="559"/>
      <c r="F151" s="559"/>
      <c r="G151" s="559"/>
      <c r="H151" s="559"/>
      <c r="I151" s="559"/>
      <c r="J151" s="559"/>
      <c r="K151" s="559"/>
      <c r="L151" s="559"/>
      <c r="M151" s="559"/>
      <c r="N151" s="559"/>
      <c r="O151" s="559"/>
      <c r="P151" s="559"/>
      <c r="Q151" s="559"/>
      <c r="R151" s="559"/>
      <c r="S151" s="559"/>
      <c r="T151" s="559"/>
      <c r="U151" s="559"/>
      <c r="V151" s="559"/>
      <c r="W151" s="559"/>
      <c r="X151" s="559"/>
      <c r="Y151" s="559"/>
      <c r="Z151" s="559"/>
    </row>
    <row r="152" spans="1:26" ht="18" customHeight="1" x14ac:dyDescent="0.35">
      <c r="A152" s="559"/>
      <c r="B152" s="559"/>
      <c r="C152" s="559"/>
      <c r="D152" s="559"/>
      <c r="E152" s="559"/>
      <c r="F152" s="559"/>
      <c r="G152" s="559"/>
      <c r="H152" s="559"/>
      <c r="I152" s="559"/>
      <c r="J152" s="559"/>
      <c r="K152" s="559"/>
      <c r="L152" s="559"/>
      <c r="M152" s="559"/>
      <c r="N152" s="559"/>
      <c r="O152" s="559"/>
      <c r="P152" s="559"/>
      <c r="Q152" s="559"/>
      <c r="R152" s="559"/>
      <c r="S152" s="559"/>
      <c r="T152" s="559"/>
      <c r="U152" s="559"/>
      <c r="V152" s="559"/>
      <c r="W152" s="559"/>
      <c r="X152" s="559"/>
      <c r="Y152" s="559"/>
      <c r="Z152" s="559"/>
    </row>
    <row r="153" spans="1:26" ht="18" customHeight="1" x14ac:dyDescent="0.35">
      <c r="A153" s="559"/>
      <c r="B153" s="559"/>
      <c r="C153" s="559"/>
      <c r="D153" s="559"/>
      <c r="E153" s="559"/>
      <c r="F153" s="559"/>
      <c r="G153" s="559"/>
      <c r="H153" s="559"/>
      <c r="I153" s="559"/>
      <c r="J153" s="559"/>
      <c r="K153" s="559"/>
      <c r="L153" s="559"/>
      <c r="M153" s="559"/>
      <c r="N153" s="559"/>
      <c r="O153" s="559"/>
      <c r="P153" s="559"/>
      <c r="Q153" s="559"/>
      <c r="R153" s="559"/>
      <c r="S153" s="559"/>
      <c r="T153" s="559"/>
      <c r="U153" s="559"/>
      <c r="V153" s="559"/>
      <c r="W153" s="559"/>
      <c r="X153" s="559"/>
      <c r="Y153" s="559"/>
      <c r="Z153" s="559"/>
    </row>
    <row r="154" spans="1:26" ht="18" customHeight="1" x14ac:dyDescent="0.35">
      <c r="A154" s="559"/>
      <c r="B154" s="559"/>
      <c r="C154" s="559"/>
      <c r="D154" s="559"/>
      <c r="E154" s="559"/>
      <c r="F154" s="559"/>
      <c r="G154" s="559"/>
      <c r="H154" s="559"/>
      <c r="I154" s="559"/>
      <c r="J154" s="559"/>
      <c r="K154" s="559"/>
      <c r="L154" s="559"/>
      <c r="M154" s="559"/>
      <c r="N154" s="559"/>
      <c r="O154" s="559"/>
      <c r="P154" s="559"/>
      <c r="Q154" s="559"/>
      <c r="R154" s="559"/>
      <c r="S154" s="559"/>
      <c r="T154" s="559"/>
      <c r="U154" s="559"/>
      <c r="V154" s="559"/>
      <c r="W154" s="559"/>
      <c r="X154" s="559"/>
      <c r="Y154" s="559"/>
      <c r="Z154" s="559"/>
    </row>
    <row r="155" spans="1:26" ht="18" customHeight="1" x14ac:dyDescent="0.35">
      <c r="A155" s="559"/>
      <c r="B155" s="559"/>
      <c r="C155" s="559"/>
      <c r="D155" s="559"/>
      <c r="E155" s="559"/>
      <c r="F155" s="559"/>
      <c r="G155" s="559"/>
      <c r="H155" s="559"/>
      <c r="I155" s="559"/>
      <c r="J155" s="559"/>
      <c r="K155" s="559"/>
      <c r="L155" s="559"/>
      <c r="M155" s="559"/>
      <c r="N155" s="559"/>
      <c r="O155" s="559"/>
      <c r="P155" s="559"/>
      <c r="Q155" s="559"/>
      <c r="R155" s="559"/>
      <c r="S155" s="559"/>
      <c r="T155" s="559"/>
      <c r="U155" s="559"/>
      <c r="V155" s="559"/>
      <c r="W155" s="559"/>
      <c r="X155" s="559"/>
      <c r="Y155" s="559"/>
      <c r="Z155" s="559"/>
    </row>
    <row r="156" spans="1:26" ht="18" customHeight="1" x14ac:dyDescent="0.35">
      <c r="A156" s="559"/>
      <c r="B156" s="559"/>
      <c r="C156" s="559"/>
      <c r="D156" s="559"/>
      <c r="E156" s="559"/>
      <c r="F156" s="559"/>
      <c r="G156" s="559"/>
      <c r="H156" s="559"/>
      <c r="I156" s="559"/>
      <c r="J156" s="559"/>
      <c r="K156" s="559"/>
      <c r="L156" s="559"/>
      <c r="M156" s="559"/>
      <c r="N156" s="559"/>
      <c r="O156" s="559"/>
      <c r="P156" s="559"/>
      <c r="Q156" s="559"/>
      <c r="R156" s="559"/>
      <c r="S156" s="559"/>
      <c r="T156" s="559"/>
      <c r="U156" s="559"/>
      <c r="V156" s="559"/>
      <c r="W156" s="559"/>
      <c r="X156" s="559"/>
      <c r="Y156" s="559"/>
      <c r="Z156" s="559"/>
    </row>
    <row r="157" spans="1:26" ht="18" customHeight="1" x14ac:dyDescent="0.35">
      <c r="A157" s="559"/>
      <c r="B157" s="559"/>
      <c r="C157" s="559"/>
      <c r="D157" s="559"/>
      <c r="E157" s="559"/>
      <c r="F157" s="559"/>
      <c r="G157" s="559"/>
      <c r="H157" s="559"/>
      <c r="I157" s="559"/>
      <c r="J157" s="559"/>
      <c r="K157" s="559"/>
      <c r="L157" s="559"/>
      <c r="M157" s="559"/>
      <c r="N157" s="559"/>
      <c r="O157" s="559"/>
      <c r="P157" s="559"/>
      <c r="Q157" s="559"/>
      <c r="R157" s="559"/>
      <c r="S157" s="559"/>
      <c r="T157" s="559"/>
      <c r="U157" s="559"/>
      <c r="V157" s="559"/>
      <c r="W157" s="559"/>
      <c r="X157" s="559"/>
      <c r="Y157" s="559"/>
      <c r="Z157" s="559"/>
    </row>
    <row r="158" spans="1:26" ht="18" customHeight="1" x14ac:dyDescent="0.35">
      <c r="A158" s="559"/>
      <c r="B158" s="559"/>
      <c r="C158" s="559"/>
      <c r="D158" s="559"/>
      <c r="E158" s="559"/>
      <c r="F158" s="559"/>
      <c r="G158" s="559"/>
      <c r="H158" s="559"/>
      <c r="I158" s="559"/>
      <c r="J158" s="559"/>
      <c r="K158" s="559"/>
      <c r="L158" s="559"/>
      <c r="M158" s="559"/>
      <c r="N158" s="559"/>
      <c r="O158" s="559"/>
      <c r="P158" s="559"/>
      <c r="Q158" s="559"/>
      <c r="R158" s="559"/>
      <c r="S158" s="559"/>
      <c r="T158" s="559"/>
      <c r="U158" s="559"/>
      <c r="V158" s="559"/>
      <c r="W158" s="559"/>
      <c r="X158" s="559"/>
      <c r="Y158" s="559"/>
      <c r="Z158" s="559"/>
    </row>
    <row r="159" spans="1:26" ht="18" customHeight="1" x14ac:dyDescent="0.35">
      <c r="A159" s="559"/>
      <c r="B159" s="559"/>
      <c r="C159" s="559"/>
      <c r="D159" s="559"/>
      <c r="E159" s="559"/>
      <c r="F159" s="559"/>
      <c r="G159" s="559"/>
      <c r="H159" s="559"/>
      <c r="I159" s="559"/>
      <c r="J159" s="559"/>
      <c r="K159" s="559"/>
      <c r="L159" s="559"/>
      <c r="M159" s="559"/>
      <c r="N159" s="559"/>
      <c r="O159" s="559"/>
      <c r="P159" s="559"/>
      <c r="Q159" s="559"/>
      <c r="R159" s="559"/>
      <c r="S159" s="559"/>
      <c r="T159" s="559"/>
      <c r="U159" s="559"/>
      <c r="V159" s="559"/>
      <c r="W159" s="559"/>
      <c r="X159" s="559"/>
      <c r="Y159" s="559"/>
      <c r="Z159" s="559"/>
    </row>
    <row r="160" spans="1:26" ht="18" customHeight="1" x14ac:dyDescent="0.35">
      <c r="A160" s="559"/>
      <c r="B160" s="559"/>
      <c r="C160" s="559"/>
      <c r="D160" s="559"/>
      <c r="E160" s="559"/>
      <c r="F160" s="559"/>
      <c r="G160" s="559"/>
      <c r="H160" s="559"/>
      <c r="I160" s="559"/>
      <c r="J160" s="559"/>
      <c r="K160" s="559"/>
      <c r="L160" s="559"/>
      <c r="M160" s="559"/>
      <c r="N160" s="559"/>
      <c r="O160" s="559"/>
      <c r="P160" s="559"/>
      <c r="Q160" s="559"/>
      <c r="R160" s="559"/>
      <c r="S160" s="559"/>
      <c r="T160" s="559"/>
      <c r="U160" s="559"/>
      <c r="V160" s="559"/>
      <c r="W160" s="559"/>
      <c r="X160" s="559"/>
      <c r="Y160" s="559"/>
      <c r="Z160" s="559"/>
    </row>
    <row r="161" spans="1:26" ht="18" customHeight="1" x14ac:dyDescent="0.35">
      <c r="A161" s="559"/>
      <c r="B161" s="559"/>
      <c r="C161" s="559"/>
      <c r="D161" s="559"/>
      <c r="E161" s="559"/>
      <c r="F161" s="559"/>
      <c r="G161" s="559"/>
      <c r="H161" s="559"/>
      <c r="I161" s="559"/>
      <c r="J161" s="559"/>
      <c r="K161" s="559"/>
      <c r="L161" s="559"/>
      <c r="M161" s="559"/>
      <c r="N161" s="559"/>
      <c r="O161" s="559"/>
      <c r="P161" s="559"/>
      <c r="Q161" s="559"/>
      <c r="R161" s="559"/>
      <c r="S161" s="559"/>
      <c r="T161" s="559"/>
      <c r="U161" s="559"/>
      <c r="V161" s="559"/>
      <c r="W161" s="559"/>
      <c r="X161" s="559"/>
      <c r="Y161" s="559"/>
      <c r="Z161" s="559"/>
    </row>
    <row r="162" spans="1:26" ht="18" customHeight="1" x14ac:dyDescent="0.35">
      <c r="A162" s="559"/>
      <c r="B162" s="559"/>
      <c r="C162" s="559"/>
      <c r="D162" s="559"/>
      <c r="E162" s="559"/>
      <c r="F162" s="559"/>
      <c r="G162" s="559"/>
      <c r="H162" s="559"/>
      <c r="I162" s="559"/>
      <c r="J162" s="559"/>
      <c r="K162" s="559"/>
      <c r="L162" s="559"/>
      <c r="M162" s="559"/>
      <c r="N162" s="559"/>
      <c r="O162" s="559"/>
      <c r="P162" s="559"/>
      <c r="Q162" s="559"/>
      <c r="R162" s="559"/>
      <c r="S162" s="559"/>
      <c r="T162" s="559"/>
      <c r="U162" s="559"/>
      <c r="V162" s="559"/>
      <c r="W162" s="559"/>
      <c r="X162" s="559"/>
      <c r="Y162" s="559"/>
      <c r="Z162" s="559"/>
    </row>
    <row r="163" spans="1:26" ht="18" customHeight="1" x14ac:dyDescent="0.35">
      <c r="A163" s="559"/>
      <c r="B163" s="559"/>
      <c r="C163" s="559"/>
      <c r="D163" s="559"/>
      <c r="E163" s="559"/>
      <c r="F163" s="559"/>
      <c r="G163" s="559"/>
      <c r="H163" s="559"/>
      <c r="I163" s="559"/>
      <c r="J163" s="559"/>
      <c r="K163" s="559"/>
      <c r="L163" s="559"/>
      <c r="M163" s="559"/>
      <c r="N163" s="559"/>
      <c r="O163" s="559"/>
      <c r="P163" s="559"/>
      <c r="Q163" s="559"/>
      <c r="R163" s="559"/>
      <c r="S163" s="559"/>
      <c r="T163" s="559"/>
      <c r="U163" s="559"/>
      <c r="V163" s="559"/>
      <c r="W163" s="559"/>
      <c r="X163" s="559"/>
      <c r="Y163" s="559"/>
      <c r="Z163" s="559"/>
    </row>
    <row r="164" spans="1:26" ht="18" customHeight="1" x14ac:dyDescent="0.35">
      <c r="A164" s="559"/>
      <c r="B164" s="559"/>
      <c r="C164" s="559"/>
      <c r="D164" s="559"/>
      <c r="E164" s="559"/>
      <c r="F164" s="559"/>
      <c r="G164" s="559"/>
      <c r="H164" s="559"/>
      <c r="I164" s="559"/>
      <c r="J164" s="559"/>
      <c r="K164" s="559"/>
      <c r="L164" s="559"/>
      <c r="M164" s="559"/>
      <c r="N164" s="559"/>
      <c r="O164" s="559"/>
      <c r="P164" s="559"/>
      <c r="Q164" s="559"/>
      <c r="R164" s="559"/>
      <c r="S164" s="559"/>
      <c r="T164" s="559"/>
      <c r="U164" s="559"/>
      <c r="V164" s="559"/>
      <c r="W164" s="559"/>
      <c r="X164" s="559"/>
      <c r="Y164" s="559"/>
      <c r="Z164" s="559"/>
    </row>
    <row r="165" spans="1:26" ht="18" customHeight="1" x14ac:dyDescent="0.35">
      <c r="A165" s="559"/>
      <c r="B165" s="559"/>
      <c r="C165" s="559"/>
      <c r="D165" s="559"/>
      <c r="E165" s="559"/>
      <c r="F165" s="559"/>
      <c r="G165" s="559"/>
      <c r="H165" s="559"/>
      <c r="I165" s="559"/>
      <c r="J165" s="559"/>
      <c r="K165" s="559"/>
      <c r="L165" s="559"/>
      <c r="M165" s="559"/>
      <c r="N165" s="559"/>
      <c r="O165" s="559"/>
      <c r="P165" s="559"/>
      <c r="Q165" s="559"/>
      <c r="R165" s="559"/>
      <c r="S165" s="559"/>
      <c r="T165" s="559"/>
      <c r="U165" s="559"/>
      <c r="V165" s="559"/>
      <c r="W165" s="559"/>
      <c r="X165" s="559"/>
      <c r="Y165" s="559"/>
      <c r="Z165" s="559"/>
    </row>
    <row r="166" spans="1:26" ht="18" customHeight="1" x14ac:dyDescent="0.35">
      <c r="A166" s="559"/>
      <c r="B166" s="559"/>
      <c r="C166" s="559"/>
      <c r="D166" s="559"/>
      <c r="E166" s="559"/>
      <c r="F166" s="559"/>
      <c r="G166" s="559"/>
      <c r="H166" s="559"/>
      <c r="I166" s="559"/>
      <c r="J166" s="559"/>
      <c r="K166" s="559"/>
      <c r="L166" s="559"/>
      <c r="M166" s="559"/>
      <c r="N166" s="559"/>
      <c r="O166" s="559"/>
      <c r="P166" s="559"/>
      <c r="Q166" s="559"/>
      <c r="R166" s="559"/>
      <c r="S166" s="559"/>
      <c r="T166" s="559"/>
      <c r="U166" s="559"/>
      <c r="V166" s="559"/>
      <c r="W166" s="559"/>
      <c r="X166" s="559"/>
      <c r="Y166" s="559"/>
      <c r="Z166" s="559"/>
    </row>
    <row r="167" spans="1:26" ht="18" customHeight="1" x14ac:dyDescent="0.35">
      <c r="A167" s="559"/>
      <c r="B167" s="559"/>
      <c r="C167" s="559"/>
      <c r="D167" s="559"/>
      <c r="E167" s="559"/>
      <c r="F167" s="559"/>
      <c r="G167" s="559"/>
      <c r="H167" s="559"/>
      <c r="I167" s="559"/>
      <c r="J167" s="559"/>
      <c r="K167" s="559"/>
      <c r="L167" s="559"/>
      <c r="M167" s="559"/>
      <c r="N167" s="559"/>
      <c r="O167" s="559"/>
      <c r="P167" s="559"/>
      <c r="Q167" s="559"/>
      <c r="R167" s="559"/>
      <c r="S167" s="559"/>
      <c r="T167" s="559"/>
      <c r="U167" s="559"/>
      <c r="V167" s="559"/>
      <c r="W167" s="559"/>
      <c r="X167" s="559"/>
      <c r="Y167" s="559"/>
      <c r="Z167" s="559"/>
    </row>
    <row r="168" spans="1:26" ht="18" customHeight="1" x14ac:dyDescent="0.35">
      <c r="A168" s="559"/>
      <c r="B168" s="559"/>
      <c r="C168" s="559"/>
      <c r="D168" s="559"/>
      <c r="E168" s="559"/>
      <c r="F168" s="559"/>
      <c r="G168" s="559"/>
      <c r="H168" s="559"/>
      <c r="I168" s="559"/>
      <c r="J168" s="559"/>
      <c r="K168" s="559"/>
      <c r="L168" s="559"/>
      <c r="M168" s="559"/>
      <c r="N168" s="559"/>
      <c r="O168" s="559"/>
      <c r="P168" s="559"/>
      <c r="Q168" s="559"/>
      <c r="R168" s="559"/>
      <c r="S168" s="559"/>
      <c r="T168" s="559"/>
      <c r="U168" s="559"/>
      <c r="V168" s="559"/>
      <c r="W168" s="559"/>
      <c r="X168" s="559"/>
      <c r="Y168" s="559"/>
      <c r="Z168" s="559"/>
    </row>
    <row r="169" spans="1:26" ht="18" customHeight="1" x14ac:dyDescent="0.35">
      <c r="A169" s="559"/>
      <c r="B169" s="559"/>
      <c r="C169" s="559"/>
      <c r="D169" s="559"/>
      <c r="E169" s="559"/>
      <c r="F169" s="559"/>
      <c r="G169" s="559"/>
      <c r="H169" s="559"/>
      <c r="I169" s="559"/>
      <c r="J169" s="559"/>
      <c r="K169" s="559"/>
      <c r="L169" s="559"/>
      <c r="M169" s="559"/>
      <c r="N169" s="559"/>
      <c r="O169" s="559"/>
      <c r="P169" s="559"/>
      <c r="Q169" s="559"/>
      <c r="R169" s="559"/>
      <c r="S169" s="559"/>
      <c r="T169" s="559"/>
      <c r="U169" s="559"/>
      <c r="V169" s="559"/>
      <c r="W169" s="559"/>
      <c r="X169" s="559"/>
      <c r="Y169" s="559"/>
      <c r="Z169" s="559"/>
    </row>
    <row r="170" spans="1:26" ht="18" customHeight="1" x14ac:dyDescent="0.35">
      <c r="A170" s="559"/>
      <c r="B170" s="559"/>
      <c r="C170" s="559"/>
      <c r="D170" s="559"/>
      <c r="E170" s="559"/>
      <c r="F170" s="559"/>
      <c r="G170" s="559"/>
      <c r="H170" s="559"/>
      <c r="I170" s="559"/>
      <c r="J170" s="559"/>
      <c r="K170" s="559"/>
      <c r="L170" s="559"/>
      <c r="M170" s="559"/>
      <c r="N170" s="559"/>
      <c r="O170" s="559"/>
      <c r="P170" s="559"/>
      <c r="Q170" s="559"/>
      <c r="R170" s="559"/>
      <c r="S170" s="559"/>
      <c r="T170" s="559"/>
      <c r="U170" s="559"/>
      <c r="V170" s="559"/>
      <c r="W170" s="559"/>
      <c r="X170" s="559"/>
      <c r="Y170" s="559"/>
      <c r="Z170" s="559"/>
    </row>
    <row r="171" spans="1:26" ht="18" customHeight="1" x14ac:dyDescent="0.35">
      <c r="A171" s="559"/>
      <c r="B171" s="559"/>
      <c r="C171" s="559"/>
      <c r="D171" s="559"/>
      <c r="E171" s="559"/>
      <c r="F171" s="559"/>
      <c r="G171" s="559"/>
      <c r="H171" s="559"/>
      <c r="I171" s="559"/>
      <c r="J171" s="559"/>
      <c r="K171" s="559"/>
      <c r="L171" s="559"/>
      <c r="M171" s="559"/>
      <c r="N171" s="559"/>
      <c r="O171" s="559"/>
      <c r="P171" s="559"/>
      <c r="Q171" s="559"/>
      <c r="R171" s="559"/>
      <c r="S171" s="559"/>
      <c r="T171" s="559"/>
      <c r="U171" s="559"/>
      <c r="V171" s="559"/>
      <c r="W171" s="559"/>
      <c r="X171" s="559"/>
      <c r="Y171" s="559"/>
      <c r="Z171" s="559"/>
    </row>
    <row r="172" spans="1:26" ht="18" customHeight="1" x14ac:dyDescent="0.35">
      <c r="A172" s="559"/>
      <c r="B172" s="559"/>
      <c r="C172" s="559"/>
      <c r="D172" s="559"/>
      <c r="E172" s="559"/>
      <c r="F172" s="559"/>
      <c r="G172" s="559"/>
      <c r="H172" s="559"/>
      <c r="I172" s="559"/>
      <c r="J172" s="559"/>
      <c r="K172" s="559"/>
      <c r="L172" s="559"/>
      <c r="M172" s="559"/>
      <c r="N172" s="559"/>
      <c r="O172" s="559"/>
      <c r="P172" s="559"/>
      <c r="Q172" s="559"/>
      <c r="R172" s="559"/>
      <c r="S172" s="559"/>
      <c r="T172" s="559"/>
      <c r="U172" s="559"/>
      <c r="V172" s="559"/>
      <c r="W172" s="559"/>
      <c r="X172" s="559"/>
      <c r="Y172" s="559"/>
      <c r="Z172" s="559"/>
    </row>
    <row r="173" spans="1:26" ht="18" customHeight="1" x14ac:dyDescent="0.35">
      <c r="A173" s="559"/>
      <c r="B173" s="559"/>
      <c r="C173" s="559"/>
      <c r="D173" s="559"/>
      <c r="E173" s="559"/>
      <c r="F173" s="559"/>
      <c r="G173" s="559"/>
      <c r="H173" s="559"/>
      <c r="I173" s="559"/>
      <c r="J173" s="559"/>
      <c r="K173" s="559"/>
      <c r="L173" s="559"/>
      <c r="M173" s="559"/>
      <c r="N173" s="559"/>
      <c r="O173" s="559"/>
      <c r="P173" s="559"/>
      <c r="Q173" s="559"/>
      <c r="R173" s="559"/>
      <c r="S173" s="559"/>
      <c r="T173" s="559"/>
      <c r="U173" s="559"/>
      <c r="V173" s="559"/>
      <c r="W173" s="559"/>
      <c r="X173" s="559"/>
      <c r="Y173" s="559"/>
      <c r="Z173" s="559"/>
    </row>
    <row r="174" spans="1:26" ht="18" customHeight="1" x14ac:dyDescent="0.35">
      <c r="A174" s="559"/>
      <c r="B174" s="559"/>
      <c r="C174" s="559"/>
      <c r="D174" s="559"/>
      <c r="E174" s="559"/>
      <c r="F174" s="559"/>
      <c r="G174" s="559"/>
      <c r="H174" s="559"/>
      <c r="I174" s="559"/>
      <c r="J174" s="559"/>
      <c r="K174" s="559"/>
      <c r="L174" s="559"/>
      <c r="M174" s="559"/>
      <c r="N174" s="559"/>
      <c r="O174" s="559"/>
      <c r="P174" s="559"/>
      <c r="Q174" s="559"/>
      <c r="R174" s="559"/>
      <c r="S174" s="559"/>
      <c r="T174" s="559"/>
      <c r="U174" s="559"/>
      <c r="V174" s="559"/>
      <c r="W174" s="559"/>
      <c r="X174" s="559"/>
      <c r="Y174" s="559"/>
      <c r="Z174" s="559"/>
    </row>
    <row r="175" spans="1:26" ht="18" customHeight="1" x14ac:dyDescent="0.35">
      <c r="A175" s="559"/>
      <c r="B175" s="559"/>
      <c r="C175" s="559"/>
      <c r="D175" s="559"/>
      <c r="E175" s="559"/>
      <c r="F175" s="559"/>
      <c r="G175" s="559"/>
      <c r="H175" s="559"/>
      <c r="I175" s="559"/>
      <c r="J175" s="559"/>
      <c r="K175" s="559"/>
      <c r="L175" s="559"/>
      <c r="M175" s="559"/>
      <c r="N175" s="559"/>
      <c r="O175" s="559"/>
      <c r="P175" s="559"/>
      <c r="Q175" s="559"/>
      <c r="R175" s="559"/>
      <c r="S175" s="559"/>
      <c r="T175" s="559"/>
      <c r="U175" s="559"/>
      <c r="V175" s="559"/>
      <c r="W175" s="559"/>
      <c r="X175" s="559"/>
      <c r="Y175" s="559"/>
      <c r="Z175" s="559"/>
    </row>
    <row r="176" spans="1:26" ht="18" customHeight="1" x14ac:dyDescent="0.35">
      <c r="A176" s="559"/>
      <c r="B176" s="559"/>
      <c r="C176" s="559"/>
      <c r="D176" s="559"/>
      <c r="E176" s="559"/>
      <c r="F176" s="559"/>
      <c r="G176" s="559"/>
      <c r="H176" s="559"/>
      <c r="I176" s="559"/>
      <c r="J176" s="559"/>
      <c r="K176" s="559"/>
      <c r="L176" s="559"/>
      <c r="M176" s="559"/>
      <c r="N176" s="559"/>
      <c r="O176" s="559"/>
      <c r="P176" s="559"/>
      <c r="Q176" s="559"/>
      <c r="R176" s="559"/>
      <c r="S176" s="559"/>
      <c r="T176" s="559"/>
      <c r="U176" s="559"/>
      <c r="V176" s="559"/>
      <c r="W176" s="559"/>
      <c r="X176" s="559"/>
      <c r="Y176" s="559"/>
      <c r="Z176" s="559"/>
    </row>
    <row r="177" spans="1:26" ht="18" customHeight="1" x14ac:dyDescent="0.35">
      <c r="A177" s="559"/>
      <c r="B177" s="559"/>
      <c r="C177" s="559"/>
      <c r="D177" s="559"/>
      <c r="E177" s="559"/>
      <c r="F177" s="559"/>
      <c r="G177" s="559"/>
      <c r="H177" s="559"/>
      <c r="I177" s="559"/>
      <c r="J177" s="559"/>
      <c r="K177" s="559"/>
      <c r="L177" s="559"/>
      <c r="M177" s="559"/>
      <c r="N177" s="559"/>
      <c r="O177" s="559"/>
      <c r="P177" s="559"/>
      <c r="Q177" s="559"/>
      <c r="R177" s="559"/>
      <c r="S177" s="559"/>
      <c r="T177" s="559"/>
      <c r="U177" s="559"/>
      <c r="V177" s="559"/>
      <c r="W177" s="559"/>
      <c r="X177" s="559"/>
      <c r="Y177" s="559"/>
      <c r="Z177" s="559"/>
    </row>
    <row r="178" spans="1:26" ht="18" customHeight="1" x14ac:dyDescent="0.35">
      <c r="A178" s="559"/>
      <c r="B178" s="559"/>
      <c r="C178" s="559"/>
      <c r="D178" s="559"/>
      <c r="E178" s="559"/>
      <c r="F178" s="559"/>
      <c r="G178" s="559"/>
      <c r="H178" s="559"/>
      <c r="I178" s="559"/>
      <c r="J178" s="559"/>
      <c r="K178" s="559"/>
      <c r="L178" s="559"/>
      <c r="M178" s="559"/>
      <c r="N178" s="559"/>
      <c r="O178" s="559"/>
      <c r="P178" s="559"/>
      <c r="Q178" s="559"/>
      <c r="R178" s="559"/>
      <c r="S178" s="559"/>
      <c r="T178" s="559"/>
      <c r="U178" s="559"/>
      <c r="V178" s="559"/>
      <c r="W178" s="559"/>
      <c r="X178" s="559"/>
      <c r="Y178" s="559"/>
      <c r="Z178" s="559"/>
    </row>
    <row r="179" spans="1:26" ht="18" customHeight="1" x14ac:dyDescent="0.35">
      <c r="A179" s="559"/>
      <c r="B179" s="559"/>
      <c r="C179" s="559"/>
      <c r="D179" s="559"/>
      <c r="E179" s="559"/>
      <c r="F179" s="559"/>
      <c r="G179" s="559"/>
      <c r="H179" s="559"/>
      <c r="I179" s="559"/>
      <c r="J179" s="559"/>
      <c r="K179" s="559"/>
      <c r="L179" s="559"/>
      <c r="M179" s="559"/>
      <c r="N179" s="559"/>
      <c r="O179" s="559"/>
      <c r="P179" s="559"/>
      <c r="Q179" s="559"/>
      <c r="R179" s="559"/>
      <c r="S179" s="559"/>
      <c r="T179" s="559"/>
      <c r="U179" s="559"/>
      <c r="V179" s="559"/>
      <c r="W179" s="559"/>
      <c r="X179" s="559"/>
      <c r="Y179" s="559"/>
      <c r="Z179" s="559"/>
    </row>
    <row r="180" spans="1:26" ht="18" customHeight="1" x14ac:dyDescent="0.35">
      <c r="A180" s="559"/>
      <c r="B180" s="559"/>
      <c r="C180" s="559"/>
      <c r="D180" s="559"/>
      <c r="E180" s="559"/>
      <c r="F180" s="559"/>
      <c r="G180" s="559"/>
      <c r="H180" s="559"/>
      <c r="I180" s="559"/>
      <c r="J180" s="559"/>
      <c r="K180" s="559"/>
      <c r="L180" s="559"/>
      <c r="M180" s="559"/>
      <c r="N180" s="559"/>
      <c r="O180" s="559"/>
      <c r="P180" s="559"/>
      <c r="Q180" s="559"/>
      <c r="R180" s="559"/>
      <c r="S180" s="559"/>
      <c r="T180" s="559"/>
      <c r="U180" s="559"/>
      <c r="V180" s="559"/>
      <c r="W180" s="559"/>
      <c r="X180" s="559"/>
      <c r="Y180" s="559"/>
      <c r="Z180" s="559"/>
    </row>
    <row r="181" spans="1:26" ht="18" customHeight="1" x14ac:dyDescent="0.35">
      <c r="A181" s="559"/>
      <c r="B181" s="559"/>
      <c r="C181" s="559"/>
      <c r="D181" s="559"/>
      <c r="E181" s="559"/>
      <c r="F181" s="559"/>
      <c r="G181" s="559"/>
      <c r="H181" s="559"/>
      <c r="I181" s="559"/>
      <c r="J181" s="559"/>
      <c r="K181" s="559"/>
      <c r="L181" s="559"/>
      <c r="M181" s="559"/>
      <c r="N181" s="559"/>
      <c r="O181" s="559"/>
      <c r="P181" s="559"/>
      <c r="Q181" s="559"/>
      <c r="R181" s="559"/>
      <c r="S181" s="559"/>
      <c r="T181" s="559"/>
      <c r="U181" s="559"/>
      <c r="V181" s="559"/>
      <c r="W181" s="559"/>
      <c r="X181" s="559"/>
      <c r="Y181" s="559"/>
      <c r="Z181" s="559"/>
    </row>
    <row r="182" spans="1:26" ht="18" customHeight="1" x14ac:dyDescent="0.35">
      <c r="A182" s="559"/>
      <c r="B182" s="559"/>
      <c r="C182" s="559"/>
      <c r="D182" s="559"/>
      <c r="E182" s="559"/>
      <c r="F182" s="559"/>
      <c r="G182" s="559"/>
      <c r="H182" s="559"/>
      <c r="I182" s="559"/>
      <c r="J182" s="559"/>
      <c r="K182" s="559"/>
      <c r="L182" s="559"/>
      <c r="M182" s="559"/>
      <c r="N182" s="559"/>
      <c r="O182" s="559"/>
      <c r="P182" s="559"/>
      <c r="Q182" s="559"/>
      <c r="R182" s="559"/>
      <c r="S182" s="559"/>
      <c r="T182" s="559"/>
      <c r="U182" s="559"/>
      <c r="V182" s="559"/>
      <c r="W182" s="559"/>
      <c r="X182" s="559"/>
      <c r="Y182" s="559"/>
      <c r="Z182" s="559"/>
    </row>
    <row r="183" spans="1:26" ht="18" customHeight="1" x14ac:dyDescent="0.35">
      <c r="A183" s="559"/>
      <c r="B183" s="559"/>
      <c r="C183" s="559"/>
      <c r="D183" s="559"/>
      <c r="E183" s="559"/>
      <c r="F183" s="559"/>
      <c r="G183" s="559"/>
      <c r="H183" s="559"/>
      <c r="I183" s="559"/>
      <c r="J183" s="559"/>
      <c r="K183" s="559"/>
      <c r="L183" s="559"/>
      <c r="M183" s="559"/>
      <c r="N183" s="559"/>
      <c r="O183" s="559"/>
      <c r="P183" s="559"/>
      <c r="Q183" s="559"/>
      <c r="R183" s="559"/>
      <c r="S183" s="559"/>
      <c r="T183" s="559"/>
      <c r="U183" s="559"/>
      <c r="V183" s="559"/>
      <c r="W183" s="559"/>
      <c r="X183" s="559"/>
      <c r="Y183" s="559"/>
      <c r="Z183" s="559"/>
    </row>
    <row r="184" spans="1:26" ht="18" customHeight="1" x14ac:dyDescent="0.35">
      <c r="A184" s="559"/>
      <c r="B184" s="559"/>
      <c r="C184" s="559"/>
      <c r="D184" s="559"/>
      <c r="E184" s="559"/>
      <c r="F184" s="559"/>
      <c r="G184" s="559"/>
      <c r="H184" s="559"/>
      <c r="I184" s="559"/>
      <c r="J184" s="559"/>
      <c r="K184" s="559"/>
      <c r="L184" s="559"/>
      <c r="M184" s="559"/>
      <c r="N184" s="559"/>
      <c r="O184" s="559"/>
      <c r="P184" s="559"/>
      <c r="Q184" s="559"/>
      <c r="R184" s="559"/>
      <c r="S184" s="559"/>
      <c r="T184" s="559"/>
      <c r="U184" s="559"/>
      <c r="V184" s="559"/>
      <c r="W184" s="559"/>
      <c r="X184" s="559"/>
      <c r="Y184" s="559"/>
      <c r="Z184" s="559"/>
    </row>
    <row r="185" spans="1:26" ht="18" customHeight="1" x14ac:dyDescent="0.35">
      <c r="A185" s="559"/>
      <c r="B185" s="559"/>
      <c r="C185" s="559"/>
      <c r="D185" s="559"/>
      <c r="E185" s="559"/>
      <c r="F185" s="559"/>
      <c r="G185" s="559"/>
      <c r="H185" s="559"/>
      <c r="I185" s="559"/>
      <c r="J185" s="559"/>
      <c r="K185" s="559"/>
      <c r="L185" s="559"/>
      <c r="M185" s="559"/>
      <c r="N185" s="559"/>
      <c r="O185" s="559"/>
      <c r="P185" s="559"/>
      <c r="Q185" s="559"/>
      <c r="R185" s="559"/>
      <c r="S185" s="559"/>
      <c r="T185" s="559"/>
      <c r="U185" s="559"/>
      <c r="V185" s="559"/>
      <c r="W185" s="559"/>
      <c r="X185" s="559"/>
      <c r="Y185" s="559"/>
      <c r="Z185" s="559"/>
    </row>
    <row r="186" spans="1:26" ht="18" customHeight="1" x14ac:dyDescent="0.35">
      <c r="A186" s="559"/>
      <c r="B186" s="559"/>
      <c r="C186" s="559"/>
      <c r="D186" s="559"/>
      <c r="E186" s="559"/>
      <c r="F186" s="559"/>
      <c r="G186" s="559"/>
      <c r="H186" s="559"/>
      <c r="I186" s="559"/>
      <c r="J186" s="559"/>
      <c r="K186" s="559"/>
      <c r="L186" s="559"/>
      <c r="M186" s="559"/>
      <c r="N186" s="559"/>
      <c r="O186" s="559"/>
      <c r="P186" s="559"/>
      <c r="Q186" s="559"/>
      <c r="R186" s="559"/>
      <c r="S186" s="559"/>
      <c r="T186" s="559"/>
      <c r="U186" s="559"/>
      <c r="V186" s="559"/>
      <c r="W186" s="559"/>
      <c r="X186" s="559"/>
      <c r="Y186" s="559"/>
      <c r="Z186" s="559"/>
    </row>
    <row r="187" spans="1:26" ht="18" customHeight="1" x14ac:dyDescent="0.35">
      <c r="A187" s="559"/>
      <c r="B187" s="559"/>
      <c r="C187" s="559"/>
      <c r="D187" s="559"/>
      <c r="E187" s="559"/>
      <c r="F187" s="559"/>
      <c r="G187" s="559"/>
      <c r="H187" s="559"/>
      <c r="I187" s="559"/>
      <c r="J187" s="559"/>
      <c r="K187" s="559"/>
      <c r="L187" s="559"/>
      <c r="M187" s="559"/>
      <c r="N187" s="559"/>
      <c r="O187" s="559"/>
      <c r="P187" s="559"/>
      <c r="Q187" s="559"/>
      <c r="R187" s="559"/>
      <c r="S187" s="559"/>
      <c r="T187" s="559"/>
      <c r="U187" s="559"/>
      <c r="V187" s="559"/>
      <c r="W187" s="559"/>
      <c r="X187" s="559"/>
      <c r="Y187" s="559"/>
      <c r="Z187" s="559"/>
    </row>
    <row r="188" spans="1:26" ht="18" customHeight="1" x14ac:dyDescent="0.35">
      <c r="A188" s="559"/>
      <c r="B188" s="559"/>
      <c r="C188" s="559"/>
      <c r="D188" s="559"/>
      <c r="E188" s="559"/>
      <c r="F188" s="559"/>
      <c r="G188" s="559"/>
      <c r="H188" s="559"/>
      <c r="I188" s="559"/>
      <c r="J188" s="559"/>
      <c r="K188" s="559"/>
      <c r="L188" s="559"/>
      <c r="M188" s="559"/>
      <c r="N188" s="559"/>
      <c r="O188" s="559"/>
      <c r="P188" s="559"/>
      <c r="Q188" s="559"/>
      <c r="R188" s="559"/>
      <c r="S188" s="559"/>
      <c r="T188" s="559"/>
      <c r="U188" s="559"/>
      <c r="V188" s="559"/>
      <c r="W188" s="559"/>
      <c r="X188" s="559"/>
      <c r="Y188" s="559"/>
      <c r="Z188" s="559"/>
    </row>
    <row r="189" spans="1:26" ht="18" customHeight="1" x14ac:dyDescent="0.35">
      <c r="A189" s="559"/>
      <c r="B189" s="559"/>
      <c r="C189" s="559"/>
      <c r="D189" s="559"/>
      <c r="E189" s="559"/>
      <c r="F189" s="559"/>
      <c r="G189" s="559"/>
      <c r="H189" s="559"/>
      <c r="I189" s="559"/>
      <c r="J189" s="559"/>
      <c r="K189" s="559"/>
      <c r="L189" s="559"/>
      <c r="M189" s="559"/>
      <c r="N189" s="559"/>
      <c r="O189" s="559"/>
      <c r="P189" s="559"/>
      <c r="Q189" s="559"/>
      <c r="R189" s="559"/>
      <c r="S189" s="559"/>
      <c r="T189" s="559"/>
      <c r="U189" s="559"/>
      <c r="V189" s="559"/>
      <c r="W189" s="559"/>
      <c r="X189" s="559"/>
      <c r="Y189" s="559"/>
      <c r="Z189" s="559"/>
    </row>
    <row r="190" spans="1:26" ht="18" customHeight="1" x14ac:dyDescent="0.35">
      <c r="A190" s="559"/>
      <c r="B190" s="559"/>
      <c r="C190" s="559"/>
      <c r="D190" s="559"/>
      <c r="E190" s="559"/>
      <c r="F190" s="559"/>
      <c r="G190" s="559"/>
      <c r="H190" s="559"/>
      <c r="I190" s="559"/>
      <c r="J190" s="559"/>
      <c r="K190" s="559"/>
      <c r="L190" s="559"/>
      <c r="M190" s="559"/>
      <c r="N190" s="559"/>
      <c r="O190" s="559"/>
      <c r="P190" s="559"/>
      <c r="Q190" s="559"/>
      <c r="R190" s="559"/>
      <c r="S190" s="559"/>
      <c r="T190" s="559"/>
      <c r="U190" s="559"/>
      <c r="V190" s="559"/>
      <c r="W190" s="559"/>
      <c r="X190" s="559"/>
      <c r="Y190" s="559"/>
      <c r="Z190" s="559"/>
    </row>
    <row r="191" spans="1:26" ht="18" customHeight="1" x14ac:dyDescent="0.35">
      <c r="A191" s="559"/>
      <c r="B191" s="559"/>
      <c r="C191" s="559"/>
      <c r="D191" s="559"/>
      <c r="E191" s="559"/>
      <c r="F191" s="559"/>
      <c r="G191" s="559"/>
      <c r="H191" s="559"/>
      <c r="I191" s="559"/>
      <c r="J191" s="559"/>
      <c r="K191" s="559"/>
      <c r="L191" s="559"/>
      <c r="M191" s="559"/>
      <c r="N191" s="559"/>
      <c r="O191" s="559"/>
      <c r="P191" s="559"/>
      <c r="Q191" s="559"/>
      <c r="R191" s="559"/>
      <c r="S191" s="559"/>
      <c r="T191" s="559"/>
      <c r="U191" s="559"/>
      <c r="V191" s="559"/>
      <c r="W191" s="559"/>
      <c r="X191" s="559"/>
      <c r="Y191" s="559"/>
      <c r="Z191" s="559"/>
    </row>
    <row r="192" spans="1:26" ht="18" customHeight="1" x14ac:dyDescent="0.35">
      <c r="A192" s="559"/>
      <c r="B192" s="559"/>
      <c r="C192" s="559"/>
      <c r="D192" s="559"/>
      <c r="E192" s="559"/>
      <c r="F192" s="559"/>
      <c r="G192" s="559"/>
      <c r="H192" s="559"/>
      <c r="I192" s="559"/>
      <c r="J192" s="559"/>
      <c r="K192" s="559"/>
      <c r="L192" s="559"/>
      <c r="M192" s="559"/>
      <c r="N192" s="559"/>
      <c r="O192" s="559"/>
      <c r="P192" s="559"/>
      <c r="Q192" s="559"/>
      <c r="R192" s="559"/>
      <c r="S192" s="559"/>
      <c r="T192" s="559"/>
      <c r="U192" s="559"/>
      <c r="V192" s="559"/>
      <c r="W192" s="559"/>
      <c r="X192" s="559"/>
      <c r="Y192" s="559"/>
      <c r="Z192" s="559"/>
    </row>
    <row r="193" spans="1:26" ht="18" customHeight="1" x14ac:dyDescent="0.35">
      <c r="A193" s="559"/>
      <c r="B193" s="559"/>
      <c r="C193" s="559"/>
      <c r="D193" s="559"/>
      <c r="E193" s="559"/>
      <c r="F193" s="559"/>
      <c r="G193" s="559"/>
      <c r="H193" s="559"/>
      <c r="I193" s="559"/>
      <c r="J193" s="559"/>
      <c r="K193" s="559"/>
      <c r="L193" s="559"/>
      <c r="M193" s="559"/>
      <c r="N193" s="559"/>
      <c r="O193" s="559"/>
      <c r="P193" s="559"/>
      <c r="Q193" s="559"/>
      <c r="R193" s="559"/>
      <c r="S193" s="559"/>
      <c r="T193" s="559"/>
      <c r="U193" s="559"/>
      <c r="V193" s="559"/>
      <c r="W193" s="559"/>
      <c r="X193" s="559"/>
      <c r="Y193" s="559"/>
      <c r="Z193" s="559"/>
    </row>
    <row r="194" spans="1:26" ht="18" customHeight="1" x14ac:dyDescent="0.35">
      <c r="A194" s="559"/>
      <c r="B194" s="559"/>
      <c r="C194" s="559"/>
      <c r="D194" s="559"/>
      <c r="E194" s="559"/>
      <c r="F194" s="559"/>
      <c r="G194" s="559"/>
      <c r="H194" s="559"/>
      <c r="I194" s="559"/>
      <c r="J194" s="559"/>
      <c r="K194" s="559"/>
      <c r="L194" s="559"/>
      <c r="M194" s="559"/>
      <c r="N194" s="559"/>
      <c r="O194" s="559"/>
      <c r="P194" s="559"/>
      <c r="Q194" s="559"/>
      <c r="R194" s="559"/>
      <c r="S194" s="559"/>
      <c r="T194" s="559"/>
      <c r="U194" s="559"/>
      <c r="V194" s="559"/>
      <c r="W194" s="559"/>
      <c r="X194" s="559"/>
      <c r="Y194" s="559"/>
      <c r="Z194" s="559"/>
    </row>
    <row r="195" spans="1:26" ht="18" customHeight="1" x14ac:dyDescent="0.35">
      <c r="A195" s="559"/>
      <c r="B195" s="559"/>
      <c r="C195" s="559"/>
      <c r="D195" s="559"/>
      <c r="E195" s="559"/>
      <c r="F195" s="559"/>
      <c r="G195" s="559"/>
      <c r="H195" s="559"/>
      <c r="I195" s="559"/>
      <c r="J195" s="559"/>
      <c r="K195" s="559"/>
      <c r="L195" s="559"/>
      <c r="M195" s="559"/>
      <c r="N195" s="559"/>
      <c r="O195" s="559"/>
      <c r="P195" s="559"/>
      <c r="Q195" s="559"/>
      <c r="R195" s="559"/>
      <c r="S195" s="559"/>
      <c r="T195" s="559"/>
      <c r="U195" s="559"/>
      <c r="V195" s="559"/>
      <c r="W195" s="559"/>
      <c r="X195" s="559"/>
      <c r="Y195" s="559"/>
      <c r="Z195" s="559"/>
    </row>
    <row r="196" spans="1:26" ht="18" customHeight="1" x14ac:dyDescent="0.35">
      <c r="A196" s="559"/>
      <c r="B196" s="559"/>
      <c r="C196" s="559"/>
      <c r="D196" s="559"/>
      <c r="E196" s="559"/>
      <c r="F196" s="559"/>
      <c r="G196" s="559"/>
      <c r="H196" s="559"/>
      <c r="I196" s="559"/>
      <c r="J196" s="559"/>
      <c r="K196" s="559"/>
      <c r="L196" s="559"/>
      <c r="M196" s="559"/>
      <c r="N196" s="559"/>
      <c r="O196" s="559"/>
      <c r="P196" s="559"/>
      <c r="Q196" s="559"/>
      <c r="R196" s="559"/>
      <c r="S196" s="559"/>
      <c r="T196" s="559"/>
      <c r="U196" s="559"/>
      <c r="V196" s="559"/>
      <c r="W196" s="559"/>
      <c r="X196" s="559"/>
      <c r="Y196" s="559"/>
      <c r="Z196" s="559"/>
    </row>
    <row r="197" spans="1:26" ht="18" customHeight="1" x14ac:dyDescent="0.35">
      <c r="A197" s="559"/>
      <c r="B197" s="559"/>
      <c r="C197" s="559"/>
      <c r="D197" s="559"/>
      <c r="E197" s="559"/>
      <c r="F197" s="559"/>
      <c r="G197" s="559"/>
      <c r="H197" s="559"/>
      <c r="I197" s="559"/>
      <c r="J197" s="559"/>
      <c r="K197" s="559"/>
      <c r="L197" s="559"/>
      <c r="M197" s="559"/>
      <c r="N197" s="559"/>
      <c r="O197" s="559"/>
      <c r="P197" s="559"/>
      <c r="Q197" s="559"/>
      <c r="R197" s="559"/>
      <c r="S197" s="559"/>
      <c r="T197" s="559"/>
      <c r="U197" s="559"/>
      <c r="V197" s="559"/>
      <c r="W197" s="559"/>
      <c r="X197" s="559"/>
      <c r="Y197" s="559"/>
      <c r="Z197" s="559"/>
    </row>
    <row r="198" spans="1:26" ht="18" customHeight="1" x14ac:dyDescent="0.35">
      <c r="A198" s="559"/>
      <c r="B198" s="559"/>
      <c r="C198" s="559"/>
      <c r="D198" s="559"/>
      <c r="E198" s="559"/>
      <c r="F198" s="559"/>
      <c r="G198" s="559"/>
      <c r="H198" s="559"/>
      <c r="I198" s="559"/>
      <c r="J198" s="559"/>
      <c r="K198" s="559"/>
      <c r="L198" s="559"/>
      <c r="M198" s="559"/>
      <c r="N198" s="559"/>
      <c r="O198" s="559"/>
      <c r="P198" s="559"/>
      <c r="Q198" s="559"/>
      <c r="R198" s="559"/>
      <c r="S198" s="559"/>
      <c r="T198" s="559"/>
      <c r="U198" s="559"/>
      <c r="V198" s="559"/>
      <c r="W198" s="559"/>
      <c r="X198" s="559"/>
      <c r="Y198" s="559"/>
      <c r="Z198" s="559"/>
    </row>
    <row r="199" spans="1:26" ht="18" customHeight="1" x14ac:dyDescent="0.35">
      <c r="A199" s="559"/>
      <c r="B199" s="559"/>
      <c r="C199" s="559"/>
      <c r="D199" s="559"/>
      <c r="E199" s="559"/>
      <c r="F199" s="559"/>
      <c r="G199" s="559"/>
      <c r="H199" s="559"/>
      <c r="I199" s="559"/>
      <c r="J199" s="559"/>
      <c r="K199" s="559"/>
      <c r="L199" s="559"/>
      <c r="M199" s="559"/>
      <c r="N199" s="559"/>
      <c r="O199" s="559"/>
      <c r="P199" s="559"/>
      <c r="Q199" s="559"/>
      <c r="R199" s="559"/>
      <c r="S199" s="559"/>
      <c r="T199" s="559"/>
      <c r="U199" s="559"/>
      <c r="V199" s="559"/>
      <c r="W199" s="559"/>
      <c r="X199" s="559"/>
      <c r="Y199" s="559"/>
      <c r="Z199" s="559"/>
    </row>
    <row r="200" spans="1:26" ht="18" customHeight="1" x14ac:dyDescent="0.35">
      <c r="A200" s="559"/>
      <c r="B200" s="559"/>
      <c r="C200" s="559"/>
      <c r="D200" s="559"/>
      <c r="E200" s="559"/>
      <c r="F200" s="559"/>
      <c r="G200" s="559"/>
      <c r="H200" s="559"/>
      <c r="I200" s="559"/>
      <c r="J200" s="559"/>
      <c r="K200" s="559"/>
      <c r="L200" s="559"/>
      <c r="M200" s="559"/>
      <c r="N200" s="559"/>
      <c r="O200" s="559"/>
      <c r="P200" s="559"/>
      <c r="Q200" s="559"/>
      <c r="R200" s="559"/>
      <c r="S200" s="559"/>
      <c r="T200" s="559"/>
      <c r="U200" s="559"/>
      <c r="V200" s="559"/>
      <c r="W200" s="559"/>
      <c r="X200" s="559"/>
      <c r="Y200" s="559"/>
      <c r="Z200" s="559"/>
    </row>
    <row r="201" spans="1:26" ht="18" customHeight="1" x14ac:dyDescent="0.35">
      <c r="A201" s="559"/>
      <c r="B201" s="559"/>
      <c r="C201" s="559"/>
      <c r="D201" s="559"/>
      <c r="E201" s="559"/>
      <c r="F201" s="559"/>
      <c r="G201" s="559"/>
      <c r="H201" s="559"/>
      <c r="I201" s="559"/>
      <c r="J201" s="559"/>
      <c r="K201" s="559"/>
      <c r="L201" s="559"/>
      <c r="M201" s="559"/>
      <c r="N201" s="559"/>
      <c r="O201" s="559"/>
      <c r="P201" s="559"/>
      <c r="Q201" s="559"/>
      <c r="R201" s="559"/>
      <c r="S201" s="559"/>
      <c r="T201" s="559"/>
      <c r="U201" s="559"/>
      <c r="V201" s="559"/>
      <c r="W201" s="559"/>
      <c r="X201" s="559"/>
      <c r="Y201" s="559"/>
      <c r="Z201" s="559"/>
    </row>
    <row r="202" spans="1:26" ht="18" customHeight="1" x14ac:dyDescent="0.35">
      <c r="A202" s="559"/>
      <c r="B202" s="559"/>
      <c r="C202" s="559"/>
      <c r="D202" s="559"/>
      <c r="E202" s="559"/>
      <c r="F202" s="559"/>
      <c r="G202" s="559"/>
      <c r="H202" s="559"/>
      <c r="I202" s="559"/>
      <c r="J202" s="559"/>
      <c r="K202" s="559"/>
      <c r="L202" s="559"/>
      <c r="M202" s="559"/>
      <c r="N202" s="559"/>
      <c r="O202" s="559"/>
      <c r="P202" s="559"/>
      <c r="Q202" s="559"/>
      <c r="R202" s="559"/>
      <c r="S202" s="559"/>
      <c r="T202" s="559"/>
      <c r="U202" s="559"/>
      <c r="V202" s="559"/>
      <c r="W202" s="559"/>
      <c r="X202" s="559"/>
      <c r="Y202" s="559"/>
      <c r="Z202" s="559"/>
    </row>
    <row r="203" spans="1:26" ht="18" customHeight="1" x14ac:dyDescent="0.35">
      <c r="A203" s="559"/>
      <c r="B203" s="559"/>
      <c r="C203" s="559"/>
      <c r="D203" s="559"/>
      <c r="E203" s="559"/>
      <c r="F203" s="559"/>
      <c r="G203" s="559"/>
      <c r="H203" s="559"/>
      <c r="I203" s="559"/>
      <c r="J203" s="559"/>
      <c r="K203" s="559"/>
      <c r="L203" s="559"/>
      <c r="M203" s="559"/>
      <c r="N203" s="559"/>
      <c r="O203" s="559"/>
      <c r="P203" s="559"/>
      <c r="Q203" s="559"/>
      <c r="R203" s="559"/>
      <c r="S203" s="559"/>
      <c r="T203" s="559"/>
      <c r="U203" s="559"/>
      <c r="V203" s="559"/>
      <c r="W203" s="559"/>
      <c r="X203" s="559"/>
      <c r="Y203" s="559"/>
      <c r="Z203" s="559"/>
    </row>
    <row r="204" spans="1:26" ht="18" customHeight="1" x14ac:dyDescent="0.35">
      <c r="A204" s="559"/>
      <c r="B204" s="559"/>
      <c r="C204" s="559"/>
      <c r="D204" s="559"/>
      <c r="E204" s="559"/>
      <c r="F204" s="559"/>
      <c r="G204" s="559"/>
      <c r="H204" s="559"/>
      <c r="I204" s="559"/>
      <c r="J204" s="559"/>
      <c r="K204" s="559"/>
      <c r="L204" s="559"/>
      <c r="M204" s="559"/>
      <c r="N204" s="559"/>
      <c r="O204" s="559"/>
      <c r="P204" s="559"/>
      <c r="Q204" s="559"/>
      <c r="R204" s="559"/>
      <c r="S204" s="559"/>
      <c r="T204" s="559"/>
      <c r="U204" s="559"/>
      <c r="V204" s="559"/>
      <c r="W204" s="559"/>
      <c r="X204" s="559"/>
      <c r="Y204" s="559"/>
      <c r="Z204" s="559"/>
    </row>
    <row r="205" spans="1:26" ht="18" customHeight="1" x14ac:dyDescent="0.35">
      <c r="A205" s="559"/>
      <c r="B205" s="559"/>
      <c r="C205" s="559"/>
      <c r="D205" s="559"/>
      <c r="E205" s="559"/>
      <c r="F205" s="559"/>
      <c r="G205" s="559"/>
      <c r="H205" s="559"/>
      <c r="I205" s="559"/>
      <c r="J205" s="559"/>
      <c r="K205" s="559"/>
      <c r="L205" s="559"/>
      <c r="M205" s="559"/>
      <c r="N205" s="559"/>
      <c r="O205" s="559"/>
      <c r="P205" s="559"/>
      <c r="Q205" s="559"/>
      <c r="R205" s="559"/>
      <c r="S205" s="559"/>
      <c r="T205" s="559"/>
      <c r="U205" s="559"/>
      <c r="V205" s="559"/>
      <c r="W205" s="559"/>
      <c r="X205" s="559"/>
      <c r="Y205" s="559"/>
      <c r="Z205" s="559"/>
    </row>
    <row r="206" spans="1:26" ht="18" customHeight="1" x14ac:dyDescent="0.35">
      <c r="A206" s="559"/>
      <c r="B206" s="559"/>
      <c r="C206" s="559"/>
      <c r="D206" s="559"/>
      <c r="E206" s="559"/>
      <c r="F206" s="559"/>
      <c r="G206" s="559"/>
      <c r="H206" s="559"/>
      <c r="I206" s="559"/>
      <c r="J206" s="559"/>
      <c r="K206" s="559"/>
      <c r="L206" s="559"/>
      <c r="M206" s="559"/>
      <c r="N206" s="559"/>
      <c r="O206" s="559"/>
      <c r="P206" s="559"/>
      <c r="Q206" s="559"/>
      <c r="R206" s="559"/>
      <c r="S206" s="559"/>
      <c r="T206" s="559"/>
      <c r="U206" s="559"/>
      <c r="V206" s="559"/>
      <c r="W206" s="559"/>
      <c r="X206" s="559"/>
      <c r="Y206" s="559"/>
      <c r="Z206" s="559"/>
    </row>
    <row r="207" spans="1:26" ht="18" customHeight="1" x14ac:dyDescent="0.35">
      <c r="A207" s="559"/>
      <c r="B207" s="559"/>
      <c r="C207" s="559"/>
      <c r="D207" s="559"/>
      <c r="E207" s="559"/>
      <c r="F207" s="559"/>
      <c r="G207" s="559"/>
      <c r="H207" s="559"/>
      <c r="I207" s="559"/>
      <c r="J207" s="559"/>
      <c r="K207" s="559"/>
      <c r="L207" s="559"/>
      <c r="M207" s="559"/>
      <c r="N207" s="559"/>
      <c r="O207" s="559"/>
      <c r="P207" s="559"/>
      <c r="Q207" s="559"/>
      <c r="R207" s="559"/>
      <c r="S207" s="559"/>
      <c r="T207" s="559"/>
      <c r="U207" s="559"/>
      <c r="V207" s="559"/>
      <c r="W207" s="559"/>
      <c r="X207" s="559"/>
      <c r="Y207" s="559"/>
      <c r="Z207" s="559"/>
    </row>
    <row r="208" spans="1:26" ht="18" customHeight="1" x14ac:dyDescent="0.35">
      <c r="A208" s="559"/>
      <c r="B208" s="559"/>
      <c r="C208" s="559"/>
      <c r="D208" s="559"/>
      <c r="E208" s="559"/>
      <c r="F208" s="559"/>
      <c r="G208" s="559"/>
      <c r="H208" s="559"/>
      <c r="I208" s="559"/>
      <c r="J208" s="559"/>
      <c r="K208" s="559"/>
      <c r="L208" s="559"/>
      <c r="M208" s="559"/>
      <c r="N208" s="559"/>
      <c r="O208" s="559"/>
      <c r="P208" s="559"/>
      <c r="Q208" s="559"/>
      <c r="R208" s="559"/>
      <c r="S208" s="559"/>
      <c r="T208" s="559"/>
      <c r="U208" s="559"/>
      <c r="V208" s="559"/>
      <c r="W208" s="559"/>
      <c r="X208" s="559"/>
      <c r="Y208" s="559"/>
      <c r="Z208" s="559"/>
    </row>
    <row r="209" spans="1:26" ht="18" customHeight="1" x14ac:dyDescent="0.35">
      <c r="A209" s="559"/>
      <c r="B209" s="559"/>
      <c r="C209" s="559"/>
      <c r="D209" s="559"/>
      <c r="E209" s="559"/>
      <c r="F209" s="559"/>
      <c r="G209" s="559"/>
      <c r="H209" s="559"/>
      <c r="I209" s="559"/>
      <c r="J209" s="559"/>
      <c r="K209" s="559"/>
      <c r="L209" s="559"/>
      <c r="M209" s="559"/>
      <c r="N209" s="559"/>
      <c r="O209" s="559"/>
      <c r="P209" s="559"/>
      <c r="Q209" s="559"/>
      <c r="R209" s="559"/>
      <c r="S209" s="559"/>
      <c r="T209" s="559"/>
      <c r="U209" s="559"/>
      <c r="V209" s="559"/>
      <c r="W209" s="559"/>
      <c r="X209" s="559"/>
      <c r="Y209" s="559"/>
      <c r="Z209" s="559"/>
    </row>
    <row r="210" spans="1:26" ht="18" customHeight="1" x14ac:dyDescent="0.35">
      <c r="A210" s="559"/>
      <c r="B210" s="559"/>
      <c r="C210" s="559"/>
      <c r="D210" s="559"/>
      <c r="E210" s="559"/>
      <c r="F210" s="559"/>
      <c r="G210" s="559"/>
      <c r="H210" s="559"/>
      <c r="I210" s="559"/>
      <c r="J210" s="559"/>
      <c r="K210" s="559"/>
      <c r="L210" s="559"/>
      <c r="M210" s="559"/>
      <c r="N210" s="559"/>
      <c r="O210" s="559"/>
      <c r="P210" s="559"/>
      <c r="Q210" s="559"/>
      <c r="R210" s="559"/>
      <c r="S210" s="559"/>
      <c r="T210" s="559"/>
      <c r="U210" s="559"/>
      <c r="V210" s="559"/>
      <c r="W210" s="559"/>
      <c r="X210" s="559"/>
      <c r="Y210" s="559"/>
      <c r="Z210" s="559"/>
    </row>
    <row r="211" spans="1:26" ht="18" customHeight="1" x14ac:dyDescent="0.35">
      <c r="A211" s="559"/>
      <c r="B211" s="559"/>
      <c r="C211" s="559"/>
      <c r="D211" s="559"/>
      <c r="E211" s="559"/>
      <c r="F211" s="559"/>
      <c r="G211" s="559"/>
      <c r="H211" s="559"/>
      <c r="I211" s="559"/>
      <c r="J211" s="559"/>
      <c r="K211" s="559"/>
      <c r="L211" s="559"/>
      <c r="M211" s="559"/>
      <c r="N211" s="559"/>
      <c r="O211" s="559"/>
      <c r="P211" s="559"/>
      <c r="Q211" s="559"/>
      <c r="R211" s="559"/>
      <c r="S211" s="559"/>
      <c r="T211" s="559"/>
      <c r="U211" s="559"/>
      <c r="V211" s="559"/>
      <c r="W211" s="559"/>
      <c r="X211" s="559"/>
      <c r="Y211" s="559"/>
      <c r="Z211" s="559"/>
    </row>
    <row r="212" spans="1:26" ht="18" customHeight="1" x14ac:dyDescent="0.35">
      <c r="A212" s="559"/>
      <c r="B212" s="559"/>
      <c r="C212" s="559"/>
      <c r="D212" s="559"/>
      <c r="E212" s="559"/>
      <c r="F212" s="559"/>
      <c r="G212" s="559"/>
      <c r="H212" s="559"/>
      <c r="I212" s="559"/>
      <c r="J212" s="559"/>
      <c r="K212" s="559"/>
      <c r="L212" s="559"/>
      <c r="M212" s="559"/>
      <c r="N212" s="559"/>
      <c r="O212" s="559"/>
      <c r="P212" s="559"/>
      <c r="Q212" s="559"/>
      <c r="R212" s="559"/>
      <c r="S212" s="559"/>
      <c r="T212" s="559"/>
      <c r="U212" s="559"/>
      <c r="V212" s="559"/>
      <c r="W212" s="559"/>
      <c r="X212" s="559"/>
      <c r="Y212" s="559"/>
      <c r="Z212" s="559"/>
    </row>
    <row r="213" spans="1:26" ht="18" customHeight="1" x14ac:dyDescent="0.35">
      <c r="A213" s="559"/>
      <c r="B213" s="559"/>
      <c r="C213" s="559"/>
      <c r="D213" s="559"/>
      <c r="E213" s="559"/>
      <c r="F213" s="559"/>
      <c r="G213" s="559"/>
      <c r="H213" s="559"/>
      <c r="I213" s="559"/>
      <c r="J213" s="559"/>
      <c r="K213" s="559"/>
      <c r="L213" s="559"/>
      <c r="M213" s="559"/>
      <c r="N213" s="559"/>
      <c r="O213" s="559"/>
      <c r="P213" s="559"/>
      <c r="Q213" s="559"/>
      <c r="R213" s="559"/>
      <c r="S213" s="559"/>
      <c r="T213" s="559"/>
      <c r="U213" s="559"/>
      <c r="V213" s="559"/>
      <c r="W213" s="559"/>
      <c r="X213" s="559"/>
      <c r="Y213" s="559"/>
      <c r="Z213" s="559"/>
    </row>
    <row r="214" spans="1:26" ht="18" customHeight="1" x14ac:dyDescent="0.35">
      <c r="A214" s="559"/>
      <c r="B214" s="559"/>
      <c r="C214" s="559"/>
      <c r="D214" s="559"/>
      <c r="E214" s="559"/>
      <c r="F214" s="559"/>
      <c r="G214" s="559"/>
      <c r="H214" s="559"/>
      <c r="I214" s="559"/>
      <c r="J214" s="559"/>
      <c r="K214" s="559"/>
      <c r="L214" s="559"/>
      <c r="M214" s="559"/>
      <c r="N214" s="559"/>
      <c r="O214" s="559"/>
      <c r="P214" s="559"/>
      <c r="Q214" s="559"/>
      <c r="R214" s="559"/>
      <c r="S214" s="559"/>
      <c r="T214" s="559"/>
      <c r="U214" s="559"/>
      <c r="V214" s="559"/>
      <c r="W214" s="559"/>
      <c r="X214" s="559"/>
      <c r="Y214" s="559"/>
      <c r="Z214" s="559"/>
    </row>
    <row r="215" spans="1:26" ht="18" customHeight="1" x14ac:dyDescent="0.35">
      <c r="A215" s="559"/>
      <c r="B215" s="559"/>
      <c r="C215" s="559"/>
      <c r="D215" s="559"/>
      <c r="E215" s="559"/>
      <c r="F215" s="559"/>
      <c r="G215" s="559"/>
      <c r="H215" s="559"/>
      <c r="I215" s="559"/>
      <c r="J215" s="559"/>
      <c r="K215" s="559"/>
      <c r="L215" s="559"/>
      <c r="M215" s="559"/>
      <c r="N215" s="559"/>
      <c r="O215" s="559"/>
      <c r="P215" s="559"/>
      <c r="Q215" s="559"/>
      <c r="R215" s="559"/>
      <c r="S215" s="559"/>
      <c r="T215" s="559"/>
      <c r="U215" s="559"/>
      <c r="V215" s="559"/>
      <c r="W215" s="559"/>
      <c r="X215" s="559"/>
      <c r="Y215" s="559"/>
      <c r="Z215" s="559"/>
    </row>
    <row r="216" spans="1:26" ht="18" customHeight="1" x14ac:dyDescent="0.35">
      <c r="A216" s="559"/>
      <c r="B216" s="559"/>
      <c r="C216" s="559"/>
      <c r="D216" s="559"/>
      <c r="E216" s="559"/>
      <c r="F216" s="559"/>
      <c r="G216" s="559"/>
      <c r="H216" s="559"/>
      <c r="I216" s="559"/>
      <c r="J216" s="559"/>
      <c r="K216" s="559"/>
      <c r="L216" s="559"/>
      <c r="M216" s="559"/>
      <c r="N216" s="559"/>
      <c r="O216" s="559"/>
      <c r="P216" s="559"/>
      <c r="Q216" s="559"/>
      <c r="R216" s="559"/>
      <c r="S216" s="559"/>
      <c r="T216" s="559"/>
      <c r="U216" s="559"/>
      <c r="V216" s="559"/>
      <c r="W216" s="559"/>
      <c r="X216" s="559"/>
      <c r="Y216" s="559"/>
      <c r="Z216" s="559"/>
    </row>
    <row r="217" spans="1:26" ht="18" customHeight="1" x14ac:dyDescent="0.35">
      <c r="A217" s="559"/>
      <c r="B217" s="559"/>
      <c r="C217" s="559"/>
      <c r="D217" s="559"/>
      <c r="E217" s="559"/>
      <c r="F217" s="559"/>
      <c r="G217" s="559"/>
      <c r="H217" s="559"/>
      <c r="I217" s="559"/>
      <c r="J217" s="559"/>
      <c r="K217" s="559"/>
      <c r="L217" s="559"/>
      <c r="M217" s="559"/>
      <c r="N217" s="559"/>
      <c r="O217" s="559"/>
      <c r="P217" s="559"/>
      <c r="Q217" s="559"/>
      <c r="R217" s="559"/>
      <c r="S217" s="559"/>
      <c r="T217" s="559"/>
      <c r="U217" s="559"/>
      <c r="V217" s="559"/>
      <c r="W217" s="559"/>
      <c r="X217" s="559"/>
      <c r="Y217" s="559"/>
      <c r="Z217" s="559"/>
    </row>
    <row r="218" spans="1:26" ht="18" customHeight="1" x14ac:dyDescent="0.35">
      <c r="A218" s="559"/>
      <c r="B218" s="559"/>
      <c r="C218" s="559"/>
      <c r="D218" s="559"/>
      <c r="E218" s="559"/>
      <c r="F218" s="559"/>
      <c r="G218" s="559"/>
      <c r="H218" s="559"/>
      <c r="I218" s="559"/>
      <c r="J218" s="559"/>
      <c r="K218" s="559"/>
      <c r="L218" s="559"/>
      <c r="M218" s="559"/>
      <c r="N218" s="559"/>
      <c r="O218" s="559"/>
      <c r="P218" s="559"/>
      <c r="Q218" s="559"/>
      <c r="R218" s="559"/>
      <c r="S218" s="559"/>
      <c r="T218" s="559"/>
      <c r="U218" s="559"/>
      <c r="V218" s="559"/>
      <c r="W218" s="559"/>
      <c r="X218" s="559"/>
      <c r="Y218" s="559"/>
      <c r="Z218" s="559"/>
    </row>
    <row r="219" spans="1:26" ht="18" customHeight="1" x14ac:dyDescent="0.35">
      <c r="A219" s="559"/>
      <c r="B219" s="559"/>
      <c r="C219" s="559"/>
      <c r="D219" s="559"/>
      <c r="E219" s="559"/>
      <c r="F219" s="559"/>
      <c r="G219" s="559"/>
      <c r="H219" s="559"/>
      <c r="I219" s="559"/>
      <c r="J219" s="559"/>
      <c r="K219" s="559"/>
      <c r="L219" s="559"/>
      <c r="M219" s="559"/>
      <c r="N219" s="559"/>
      <c r="O219" s="559"/>
      <c r="P219" s="559"/>
      <c r="Q219" s="559"/>
      <c r="R219" s="559"/>
      <c r="S219" s="559"/>
      <c r="T219" s="559"/>
      <c r="U219" s="559"/>
      <c r="V219" s="559"/>
      <c r="W219" s="559"/>
      <c r="X219" s="559"/>
      <c r="Y219" s="559"/>
      <c r="Z219" s="559"/>
    </row>
    <row r="220" spans="1:26" ht="18" customHeight="1" x14ac:dyDescent="0.35">
      <c r="A220" s="559"/>
      <c r="B220" s="559"/>
      <c r="C220" s="559"/>
      <c r="D220" s="559"/>
      <c r="E220" s="559"/>
      <c r="F220" s="559"/>
      <c r="G220" s="559"/>
      <c r="H220" s="559"/>
      <c r="I220" s="559"/>
      <c r="J220" s="559"/>
      <c r="K220" s="559"/>
      <c r="L220" s="559"/>
      <c r="M220" s="559"/>
      <c r="N220" s="559"/>
      <c r="O220" s="559"/>
      <c r="P220" s="559"/>
      <c r="Q220" s="559"/>
      <c r="R220" s="559"/>
      <c r="S220" s="559"/>
      <c r="T220" s="559"/>
      <c r="U220" s="559"/>
      <c r="V220" s="559"/>
      <c r="W220" s="559"/>
      <c r="X220" s="559"/>
      <c r="Y220" s="559"/>
      <c r="Z220" s="559"/>
    </row>
    <row r="221" spans="1:26" ht="18" customHeight="1" x14ac:dyDescent="0.35">
      <c r="A221" s="559"/>
      <c r="B221" s="559"/>
      <c r="C221" s="559"/>
      <c r="D221" s="559"/>
      <c r="E221" s="559"/>
      <c r="F221" s="559"/>
      <c r="G221" s="559"/>
      <c r="H221" s="559"/>
      <c r="I221" s="559"/>
      <c r="J221" s="559"/>
      <c r="K221" s="559"/>
      <c r="L221" s="559"/>
      <c r="M221" s="559"/>
      <c r="N221" s="559"/>
      <c r="O221" s="559"/>
      <c r="P221" s="559"/>
      <c r="Q221" s="559"/>
      <c r="R221" s="559"/>
      <c r="S221" s="559"/>
      <c r="T221" s="559"/>
      <c r="U221" s="559"/>
      <c r="V221" s="559"/>
      <c r="W221" s="559"/>
      <c r="X221" s="559"/>
      <c r="Y221" s="559"/>
      <c r="Z221" s="559"/>
    </row>
    <row r="222" spans="1:26" ht="18" customHeight="1" x14ac:dyDescent="0.35">
      <c r="A222" s="559"/>
      <c r="B222" s="559"/>
      <c r="C222" s="559"/>
      <c r="D222" s="559"/>
      <c r="E222" s="559"/>
      <c r="F222" s="559"/>
      <c r="G222" s="559"/>
      <c r="H222" s="559"/>
      <c r="I222" s="559"/>
      <c r="J222" s="559"/>
      <c r="K222" s="559"/>
      <c r="L222" s="559"/>
      <c r="M222" s="559"/>
      <c r="N222" s="559"/>
      <c r="O222" s="559"/>
      <c r="P222" s="559"/>
      <c r="Q222" s="559"/>
      <c r="R222" s="559"/>
      <c r="S222" s="559"/>
      <c r="T222" s="559"/>
      <c r="U222" s="559"/>
      <c r="V222" s="559"/>
      <c r="W222" s="559"/>
      <c r="X222" s="559"/>
      <c r="Y222" s="559"/>
      <c r="Z222" s="559"/>
    </row>
    <row r="223" spans="1:26" ht="18" customHeight="1" x14ac:dyDescent="0.35">
      <c r="A223" s="559"/>
      <c r="B223" s="559"/>
      <c r="C223" s="559"/>
      <c r="D223" s="559"/>
      <c r="E223" s="559"/>
      <c r="F223" s="559"/>
      <c r="G223" s="559"/>
      <c r="H223" s="559"/>
      <c r="I223" s="559"/>
      <c r="J223" s="559"/>
      <c r="K223" s="559"/>
      <c r="L223" s="559"/>
      <c r="M223" s="559"/>
      <c r="N223" s="559"/>
      <c r="O223" s="559"/>
      <c r="P223" s="559"/>
      <c r="Q223" s="559"/>
      <c r="R223" s="559"/>
      <c r="S223" s="559"/>
      <c r="T223" s="559"/>
      <c r="U223" s="559"/>
      <c r="V223" s="559"/>
      <c r="W223" s="559"/>
      <c r="X223" s="559"/>
      <c r="Y223" s="559"/>
      <c r="Z223" s="559"/>
    </row>
    <row r="224" spans="1:26" ht="18" customHeight="1" x14ac:dyDescent="0.35">
      <c r="A224" s="559"/>
      <c r="B224" s="559"/>
      <c r="C224" s="559"/>
      <c r="D224" s="559"/>
      <c r="E224" s="559"/>
      <c r="F224" s="559"/>
      <c r="G224" s="559"/>
      <c r="H224" s="559"/>
      <c r="I224" s="559"/>
      <c r="J224" s="559"/>
      <c r="K224" s="559"/>
      <c r="L224" s="559"/>
      <c r="M224" s="559"/>
      <c r="N224" s="559"/>
      <c r="O224" s="559"/>
      <c r="P224" s="559"/>
      <c r="Q224" s="559"/>
      <c r="R224" s="559"/>
      <c r="S224" s="559"/>
      <c r="T224" s="559"/>
      <c r="U224" s="559"/>
      <c r="V224" s="559"/>
      <c r="W224" s="559"/>
      <c r="X224" s="559"/>
      <c r="Y224" s="559"/>
      <c r="Z224" s="559"/>
    </row>
    <row r="225" spans="1:26" ht="18" customHeight="1" x14ac:dyDescent="0.35">
      <c r="A225" s="559"/>
      <c r="B225" s="559"/>
      <c r="C225" s="559"/>
      <c r="D225" s="559"/>
      <c r="E225" s="559"/>
      <c r="F225" s="559"/>
      <c r="G225" s="559"/>
      <c r="H225" s="559"/>
      <c r="I225" s="559"/>
      <c r="J225" s="559"/>
      <c r="K225" s="559"/>
      <c r="L225" s="559"/>
      <c r="M225" s="559"/>
      <c r="N225" s="559"/>
      <c r="O225" s="559"/>
      <c r="P225" s="559"/>
      <c r="Q225" s="559"/>
      <c r="R225" s="559"/>
      <c r="S225" s="559"/>
      <c r="T225" s="559"/>
      <c r="U225" s="559"/>
      <c r="V225" s="559"/>
      <c r="W225" s="559"/>
      <c r="X225" s="559"/>
      <c r="Y225" s="559"/>
      <c r="Z225" s="559"/>
    </row>
    <row r="226" spans="1:26" ht="18" customHeight="1" x14ac:dyDescent="0.35">
      <c r="A226" s="559"/>
      <c r="B226" s="559"/>
      <c r="C226" s="559"/>
      <c r="D226" s="559"/>
      <c r="E226" s="559"/>
      <c r="F226" s="559"/>
      <c r="G226" s="559"/>
      <c r="H226" s="559"/>
      <c r="I226" s="559"/>
      <c r="J226" s="559"/>
      <c r="K226" s="559"/>
      <c r="L226" s="559"/>
      <c r="M226" s="559"/>
      <c r="N226" s="559"/>
      <c r="O226" s="559"/>
      <c r="P226" s="559"/>
      <c r="Q226" s="559"/>
      <c r="R226" s="559"/>
      <c r="S226" s="559"/>
      <c r="T226" s="559"/>
      <c r="U226" s="559"/>
      <c r="V226" s="559"/>
      <c r="W226" s="559"/>
      <c r="X226" s="559"/>
      <c r="Y226" s="559"/>
      <c r="Z226" s="559"/>
    </row>
    <row r="227" spans="1:26" ht="18" customHeight="1" x14ac:dyDescent="0.35">
      <c r="A227" s="559"/>
      <c r="B227" s="559"/>
      <c r="C227" s="559"/>
      <c r="D227" s="559"/>
      <c r="E227" s="559"/>
      <c r="F227" s="559"/>
      <c r="G227" s="559"/>
      <c r="H227" s="559"/>
      <c r="I227" s="559"/>
      <c r="J227" s="559"/>
      <c r="K227" s="559"/>
      <c r="L227" s="559"/>
      <c r="M227" s="559"/>
      <c r="N227" s="559"/>
      <c r="O227" s="559"/>
      <c r="P227" s="559"/>
      <c r="Q227" s="559"/>
      <c r="R227" s="559"/>
      <c r="S227" s="559"/>
      <c r="T227" s="559"/>
      <c r="U227" s="559"/>
      <c r="V227" s="559"/>
      <c r="W227" s="559"/>
      <c r="X227" s="559"/>
      <c r="Y227" s="559"/>
      <c r="Z227" s="559"/>
    </row>
    <row r="228" spans="1:26" ht="18" customHeight="1" x14ac:dyDescent="0.35">
      <c r="A228" s="559"/>
      <c r="B228" s="559"/>
      <c r="C228" s="559"/>
      <c r="D228" s="559"/>
      <c r="E228" s="559"/>
      <c r="F228" s="559"/>
      <c r="G228" s="559"/>
      <c r="H228" s="559"/>
      <c r="I228" s="559"/>
      <c r="J228" s="559"/>
      <c r="K228" s="559"/>
      <c r="L228" s="559"/>
      <c r="M228" s="559"/>
      <c r="N228" s="559"/>
      <c r="O228" s="559"/>
      <c r="P228" s="559"/>
      <c r="Q228" s="559"/>
      <c r="R228" s="559"/>
      <c r="S228" s="559"/>
      <c r="T228" s="559"/>
      <c r="U228" s="559"/>
      <c r="V228" s="559"/>
      <c r="W228" s="559"/>
      <c r="X228" s="559"/>
      <c r="Y228" s="559"/>
      <c r="Z228" s="559"/>
    </row>
    <row r="229" spans="1:26" ht="18" customHeight="1" x14ac:dyDescent="0.35">
      <c r="A229" s="559"/>
      <c r="B229" s="559"/>
      <c r="C229" s="559"/>
      <c r="D229" s="559"/>
      <c r="E229" s="559"/>
      <c r="F229" s="559"/>
      <c r="G229" s="559"/>
      <c r="H229" s="559"/>
      <c r="I229" s="559"/>
      <c r="J229" s="559"/>
      <c r="K229" s="559"/>
      <c r="L229" s="559"/>
      <c r="M229" s="559"/>
      <c r="N229" s="559"/>
      <c r="O229" s="559"/>
      <c r="P229" s="559"/>
      <c r="Q229" s="559"/>
      <c r="R229" s="559"/>
      <c r="S229" s="559"/>
      <c r="T229" s="559"/>
      <c r="U229" s="559"/>
      <c r="V229" s="559"/>
      <c r="W229" s="559"/>
      <c r="X229" s="559"/>
      <c r="Y229" s="559"/>
      <c r="Z229" s="559"/>
    </row>
    <row r="230" spans="1:26" ht="18" customHeight="1" x14ac:dyDescent="0.35">
      <c r="A230" s="559"/>
      <c r="B230" s="559"/>
      <c r="C230" s="559"/>
      <c r="D230" s="559"/>
      <c r="E230" s="559"/>
      <c r="F230" s="559"/>
      <c r="G230" s="559"/>
      <c r="H230" s="559"/>
      <c r="I230" s="559"/>
      <c r="J230" s="559"/>
      <c r="K230" s="559"/>
      <c r="L230" s="559"/>
      <c r="M230" s="559"/>
      <c r="N230" s="559"/>
      <c r="O230" s="559"/>
      <c r="P230" s="559"/>
      <c r="Q230" s="559"/>
      <c r="R230" s="559"/>
      <c r="S230" s="559"/>
      <c r="T230" s="559"/>
      <c r="U230" s="559"/>
      <c r="V230" s="559"/>
      <c r="W230" s="559"/>
      <c r="X230" s="559"/>
      <c r="Y230" s="559"/>
      <c r="Z230" s="559"/>
    </row>
    <row r="231" spans="1:26" ht="18" customHeight="1" x14ac:dyDescent="0.35">
      <c r="A231" s="559"/>
      <c r="B231" s="559"/>
      <c r="C231" s="559"/>
      <c r="D231" s="559"/>
      <c r="E231" s="559"/>
      <c r="F231" s="559"/>
      <c r="G231" s="559"/>
      <c r="H231" s="559"/>
      <c r="I231" s="559"/>
      <c r="J231" s="559"/>
      <c r="K231" s="559"/>
      <c r="L231" s="559"/>
      <c r="M231" s="559"/>
      <c r="N231" s="559"/>
      <c r="O231" s="559"/>
      <c r="P231" s="559"/>
      <c r="Q231" s="559"/>
      <c r="R231" s="559"/>
      <c r="S231" s="559"/>
      <c r="T231" s="559"/>
      <c r="U231" s="559"/>
      <c r="V231" s="559"/>
      <c r="W231" s="559"/>
      <c r="X231" s="559"/>
      <c r="Y231" s="559"/>
      <c r="Z231" s="559"/>
    </row>
    <row r="232" spans="1:26" ht="18" customHeight="1" x14ac:dyDescent="0.35">
      <c r="A232" s="559"/>
      <c r="B232" s="559"/>
      <c r="C232" s="559"/>
      <c r="D232" s="559"/>
      <c r="E232" s="559"/>
      <c r="F232" s="559"/>
      <c r="G232" s="559"/>
      <c r="H232" s="559"/>
      <c r="I232" s="559"/>
      <c r="J232" s="559"/>
      <c r="K232" s="559"/>
      <c r="L232" s="559"/>
      <c r="M232" s="559"/>
      <c r="N232" s="559"/>
      <c r="O232" s="559"/>
      <c r="P232" s="559"/>
      <c r="Q232" s="559"/>
      <c r="R232" s="559"/>
      <c r="S232" s="559"/>
      <c r="T232" s="559"/>
      <c r="U232" s="559"/>
      <c r="V232" s="559"/>
      <c r="W232" s="559"/>
      <c r="X232" s="559"/>
      <c r="Y232" s="559"/>
      <c r="Z232" s="559"/>
    </row>
    <row r="233" spans="1:26" ht="18" customHeight="1" x14ac:dyDescent="0.35">
      <c r="A233" s="559"/>
      <c r="B233" s="559"/>
      <c r="C233" s="559"/>
      <c r="D233" s="559"/>
      <c r="E233" s="559"/>
      <c r="F233" s="559"/>
      <c r="G233" s="559"/>
      <c r="H233" s="559"/>
      <c r="I233" s="559"/>
      <c r="J233" s="559"/>
      <c r="K233" s="559"/>
      <c r="L233" s="559"/>
      <c r="M233" s="559"/>
      <c r="N233" s="559"/>
      <c r="O233" s="559"/>
      <c r="P233" s="559"/>
      <c r="Q233" s="559"/>
      <c r="R233" s="559"/>
      <c r="S233" s="559"/>
      <c r="T233" s="559"/>
      <c r="U233" s="559"/>
      <c r="V233" s="559"/>
      <c r="W233" s="559"/>
      <c r="X233" s="559"/>
      <c r="Y233" s="559"/>
      <c r="Z233" s="559"/>
    </row>
    <row r="234" spans="1:26" ht="18" customHeight="1" x14ac:dyDescent="0.35">
      <c r="A234" s="559"/>
      <c r="B234" s="559"/>
      <c r="C234" s="559"/>
      <c r="D234" s="559"/>
      <c r="E234" s="559"/>
      <c r="F234" s="559"/>
      <c r="G234" s="559"/>
      <c r="H234" s="559"/>
      <c r="I234" s="559"/>
      <c r="J234" s="559"/>
      <c r="K234" s="559"/>
      <c r="L234" s="559"/>
      <c r="M234" s="559"/>
      <c r="N234" s="559"/>
      <c r="O234" s="559"/>
      <c r="P234" s="559"/>
      <c r="Q234" s="559"/>
      <c r="R234" s="559"/>
      <c r="S234" s="559"/>
      <c r="T234" s="559"/>
      <c r="U234" s="559"/>
      <c r="V234" s="559"/>
      <c r="W234" s="559"/>
      <c r="X234" s="559"/>
      <c r="Y234" s="559"/>
      <c r="Z234" s="559"/>
    </row>
    <row r="235" spans="1:26" ht="18" customHeight="1" x14ac:dyDescent="0.35">
      <c r="A235" s="559"/>
      <c r="B235" s="559"/>
      <c r="C235" s="559"/>
      <c r="D235" s="559"/>
      <c r="E235" s="559"/>
      <c r="F235" s="559"/>
      <c r="G235" s="559"/>
      <c r="H235" s="559"/>
      <c r="I235" s="559"/>
      <c r="J235" s="559"/>
      <c r="K235" s="559"/>
      <c r="L235" s="559"/>
      <c r="M235" s="559"/>
      <c r="N235" s="559"/>
      <c r="O235" s="559"/>
      <c r="P235" s="559"/>
      <c r="Q235" s="559"/>
      <c r="R235" s="559"/>
      <c r="S235" s="559"/>
      <c r="T235" s="559"/>
      <c r="U235" s="559"/>
      <c r="V235" s="559"/>
      <c r="W235" s="559"/>
      <c r="X235" s="559"/>
      <c r="Y235" s="559"/>
      <c r="Z235" s="559"/>
    </row>
    <row r="236" spans="1:26" ht="18" customHeight="1" x14ac:dyDescent="0.35">
      <c r="A236" s="559"/>
      <c r="B236" s="559"/>
      <c r="C236" s="559"/>
      <c r="D236" s="559"/>
      <c r="E236" s="559"/>
      <c r="F236" s="559"/>
      <c r="G236" s="559"/>
      <c r="H236" s="559"/>
      <c r="I236" s="559"/>
      <c r="J236" s="559"/>
      <c r="K236" s="559"/>
      <c r="L236" s="559"/>
      <c r="M236" s="559"/>
      <c r="N236" s="559"/>
      <c r="O236" s="559"/>
      <c r="P236" s="559"/>
      <c r="Q236" s="559"/>
      <c r="R236" s="559"/>
      <c r="S236" s="559"/>
      <c r="T236" s="559"/>
      <c r="U236" s="559"/>
      <c r="V236" s="559"/>
      <c r="W236" s="559"/>
      <c r="X236" s="559"/>
      <c r="Y236" s="559"/>
      <c r="Z236" s="559"/>
    </row>
    <row r="237" spans="1:26" ht="18" customHeight="1" x14ac:dyDescent="0.35">
      <c r="A237" s="559"/>
      <c r="B237" s="559"/>
      <c r="C237" s="559"/>
      <c r="D237" s="559"/>
      <c r="E237" s="559"/>
      <c r="F237" s="559"/>
      <c r="G237" s="559"/>
      <c r="H237" s="559"/>
      <c r="I237" s="559"/>
      <c r="J237" s="559"/>
      <c r="K237" s="559"/>
      <c r="L237" s="559"/>
      <c r="M237" s="559"/>
      <c r="N237" s="559"/>
      <c r="O237" s="559"/>
      <c r="P237" s="559"/>
      <c r="Q237" s="559"/>
      <c r="R237" s="559"/>
      <c r="S237" s="559"/>
      <c r="T237" s="559"/>
      <c r="U237" s="559"/>
      <c r="V237" s="559"/>
      <c r="W237" s="559"/>
      <c r="X237" s="559"/>
      <c r="Y237" s="559"/>
      <c r="Z237" s="559"/>
    </row>
    <row r="238" spans="1:26" ht="18" customHeight="1" x14ac:dyDescent="0.35">
      <c r="A238" s="559"/>
      <c r="B238" s="559"/>
      <c r="C238" s="559"/>
      <c r="D238" s="559"/>
      <c r="E238" s="559"/>
      <c r="F238" s="559"/>
      <c r="G238" s="559"/>
      <c r="H238" s="559"/>
      <c r="I238" s="559"/>
      <c r="J238" s="559"/>
      <c r="K238" s="559"/>
      <c r="L238" s="559"/>
      <c r="M238" s="559"/>
      <c r="N238" s="559"/>
      <c r="O238" s="559"/>
      <c r="P238" s="559"/>
      <c r="Q238" s="559"/>
      <c r="R238" s="559"/>
      <c r="S238" s="559"/>
      <c r="T238" s="559"/>
      <c r="U238" s="559"/>
      <c r="V238" s="559"/>
      <c r="W238" s="559"/>
      <c r="X238" s="559"/>
      <c r="Y238" s="559"/>
      <c r="Z238" s="559"/>
    </row>
    <row r="239" spans="1:26" ht="18" customHeight="1" x14ac:dyDescent="0.35">
      <c r="A239" s="559"/>
      <c r="B239" s="559"/>
      <c r="C239" s="559"/>
      <c r="D239" s="559"/>
      <c r="E239" s="559"/>
      <c r="F239" s="559"/>
      <c r="G239" s="559"/>
      <c r="H239" s="559"/>
      <c r="I239" s="559"/>
      <c r="J239" s="559"/>
      <c r="K239" s="559"/>
      <c r="L239" s="559"/>
      <c r="M239" s="559"/>
      <c r="N239" s="559"/>
      <c r="O239" s="559"/>
      <c r="P239" s="559"/>
      <c r="Q239" s="559"/>
      <c r="R239" s="559"/>
      <c r="S239" s="559"/>
      <c r="T239" s="559"/>
      <c r="U239" s="559"/>
      <c r="V239" s="559"/>
      <c r="W239" s="559"/>
      <c r="X239" s="559"/>
      <c r="Y239" s="559"/>
      <c r="Z239" s="559"/>
    </row>
    <row r="240" spans="1:26" ht="18" customHeight="1" x14ac:dyDescent="0.35">
      <c r="A240" s="559"/>
      <c r="B240" s="559"/>
      <c r="C240" s="559"/>
      <c r="D240" s="559"/>
      <c r="E240" s="559"/>
      <c r="F240" s="559"/>
      <c r="G240" s="559"/>
      <c r="H240" s="559"/>
      <c r="I240" s="559"/>
      <c r="J240" s="559"/>
      <c r="K240" s="559"/>
      <c r="L240" s="559"/>
      <c r="M240" s="559"/>
      <c r="N240" s="559"/>
      <c r="O240" s="559"/>
      <c r="P240" s="559"/>
      <c r="Q240" s="559"/>
      <c r="R240" s="559"/>
      <c r="S240" s="559"/>
      <c r="T240" s="559"/>
      <c r="U240" s="559"/>
      <c r="V240" s="559"/>
      <c r="W240" s="559"/>
      <c r="X240" s="559"/>
      <c r="Y240" s="559"/>
      <c r="Z240" s="559"/>
    </row>
    <row r="241" spans="1:26" ht="18" customHeight="1" x14ac:dyDescent="0.35">
      <c r="A241" s="559"/>
      <c r="B241" s="559"/>
      <c r="C241" s="559"/>
      <c r="D241" s="559"/>
      <c r="E241" s="559"/>
      <c r="F241" s="559"/>
      <c r="G241" s="559"/>
      <c r="H241" s="559"/>
      <c r="I241" s="559"/>
      <c r="J241" s="559"/>
      <c r="K241" s="559"/>
      <c r="L241" s="559"/>
      <c r="M241" s="559"/>
      <c r="N241" s="559"/>
      <c r="O241" s="559"/>
      <c r="P241" s="559"/>
      <c r="Q241" s="559"/>
      <c r="R241" s="559"/>
      <c r="S241" s="559"/>
      <c r="T241" s="559"/>
      <c r="U241" s="559"/>
      <c r="V241" s="559"/>
      <c r="W241" s="559"/>
      <c r="X241" s="559"/>
      <c r="Y241" s="559"/>
      <c r="Z241" s="559"/>
    </row>
    <row r="242" spans="1:26" ht="18" customHeight="1" x14ac:dyDescent="0.35">
      <c r="A242" s="559"/>
      <c r="B242" s="559"/>
      <c r="C242" s="559"/>
      <c r="D242" s="559"/>
      <c r="E242" s="559"/>
      <c r="F242" s="559"/>
      <c r="G242" s="559"/>
      <c r="H242" s="559"/>
      <c r="I242" s="559"/>
      <c r="J242" s="559"/>
      <c r="K242" s="559"/>
      <c r="L242" s="559"/>
      <c r="M242" s="559"/>
      <c r="N242" s="559"/>
      <c r="O242" s="559"/>
      <c r="P242" s="559"/>
      <c r="Q242" s="559"/>
      <c r="R242" s="559"/>
      <c r="S242" s="559"/>
      <c r="T242" s="559"/>
      <c r="U242" s="559"/>
      <c r="V242" s="559"/>
      <c r="W242" s="559"/>
      <c r="X242" s="559"/>
      <c r="Y242" s="559"/>
      <c r="Z242" s="559"/>
    </row>
    <row r="243" spans="1:26" ht="18" customHeight="1" x14ac:dyDescent="0.35">
      <c r="A243" s="559"/>
      <c r="B243" s="559"/>
      <c r="C243" s="559"/>
      <c r="D243" s="559"/>
      <c r="E243" s="559"/>
      <c r="F243" s="559"/>
      <c r="G243" s="559"/>
      <c r="H243" s="559"/>
      <c r="I243" s="559"/>
      <c r="J243" s="559"/>
      <c r="K243" s="559"/>
      <c r="L243" s="559"/>
      <c r="M243" s="559"/>
      <c r="N243" s="559"/>
      <c r="O243" s="559"/>
      <c r="P243" s="559"/>
      <c r="Q243" s="559"/>
      <c r="R243" s="559"/>
      <c r="S243" s="559"/>
      <c r="T243" s="559"/>
      <c r="U243" s="559"/>
      <c r="V243" s="559"/>
      <c r="W243" s="559"/>
      <c r="X243" s="559"/>
      <c r="Y243" s="559"/>
      <c r="Z243" s="559"/>
    </row>
    <row r="244" spans="1:26" ht="18" customHeight="1" x14ac:dyDescent="0.35">
      <c r="A244" s="559"/>
      <c r="B244" s="559"/>
      <c r="C244" s="559"/>
      <c r="D244" s="559"/>
      <c r="E244" s="559"/>
      <c r="F244" s="559"/>
      <c r="G244" s="559"/>
      <c r="H244" s="559"/>
      <c r="I244" s="559"/>
      <c r="J244" s="559"/>
      <c r="K244" s="559"/>
      <c r="L244" s="559"/>
      <c r="M244" s="559"/>
      <c r="N244" s="559"/>
      <c r="O244" s="559"/>
      <c r="P244" s="559"/>
      <c r="Q244" s="559"/>
      <c r="R244" s="559"/>
      <c r="S244" s="559"/>
      <c r="T244" s="559"/>
      <c r="U244" s="559"/>
      <c r="V244" s="559"/>
      <c r="W244" s="559"/>
      <c r="X244" s="559"/>
      <c r="Y244" s="559"/>
      <c r="Z244" s="559"/>
    </row>
    <row r="245" spans="1:26" ht="18" customHeight="1" x14ac:dyDescent="0.35">
      <c r="A245" s="559"/>
      <c r="B245" s="559"/>
      <c r="C245" s="559"/>
      <c r="D245" s="559"/>
      <c r="E245" s="559"/>
      <c r="F245" s="559"/>
      <c r="G245" s="559"/>
      <c r="H245" s="559"/>
      <c r="I245" s="559"/>
      <c r="J245" s="559"/>
      <c r="K245" s="559"/>
      <c r="L245" s="559"/>
      <c r="M245" s="559"/>
      <c r="N245" s="559"/>
      <c r="O245" s="559"/>
      <c r="P245" s="559"/>
      <c r="Q245" s="559"/>
      <c r="R245" s="559"/>
      <c r="S245" s="559"/>
      <c r="T245" s="559"/>
      <c r="U245" s="559"/>
      <c r="V245" s="559"/>
      <c r="W245" s="559"/>
      <c r="X245" s="559"/>
      <c r="Y245" s="559"/>
      <c r="Z245" s="559"/>
    </row>
    <row r="246" spans="1:26" ht="18" customHeight="1" x14ac:dyDescent="0.35">
      <c r="A246" s="559"/>
      <c r="B246" s="559"/>
      <c r="C246" s="559"/>
      <c r="D246" s="559"/>
      <c r="E246" s="559"/>
      <c r="F246" s="559"/>
      <c r="G246" s="559"/>
      <c r="H246" s="559"/>
      <c r="I246" s="559"/>
      <c r="J246" s="559"/>
      <c r="K246" s="559"/>
      <c r="L246" s="559"/>
      <c r="M246" s="559"/>
      <c r="N246" s="559"/>
      <c r="O246" s="559"/>
      <c r="P246" s="559"/>
      <c r="Q246" s="559"/>
      <c r="R246" s="559"/>
      <c r="S246" s="559"/>
      <c r="T246" s="559"/>
      <c r="U246" s="559"/>
      <c r="V246" s="559"/>
      <c r="W246" s="559"/>
      <c r="X246" s="559"/>
      <c r="Y246" s="559"/>
      <c r="Z246" s="559"/>
    </row>
    <row r="247" spans="1:26" ht="18" customHeight="1" x14ac:dyDescent="0.35">
      <c r="A247" s="559"/>
      <c r="B247" s="559"/>
      <c r="C247" s="559"/>
      <c r="D247" s="559"/>
      <c r="E247" s="559"/>
      <c r="F247" s="559"/>
      <c r="G247" s="559"/>
      <c r="H247" s="559"/>
      <c r="I247" s="559"/>
      <c r="J247" s="559"/>
      <c r="K247" s="559"/>
      <c r="L247" s="559"/>
      <c r="M247" s="559"/>
      <c r="N247" s="559"/>
      <c r="O247" s="559"/>
      <c r="P247" s="559"/>
      <c r="Q247" s="559"/>
      <c r="R247" s="559"/>
      <c r="S247" s="559"/>
      <c r="T247" s="559"/>
      <c r="U247" s="559"/>
      <c r="V247" s="559"/>
      <c r="W247" s="559"/>
      <c r="X247" s="559"/>
      <c r="Y247" s="559"/>
      <c r="Z247" s="559"/>
    </row>
    <row r="248" spans="1:26" ht="18" customHeight="1" x14ac:dyDescent="0.35">
      <c r="A248" s="559"/>
      <c r="B248" s="559"/>
      <c r="C248" s="559"/>
      <c r="D248" s="559"/>
      <c r="E248" s="559"/>
      <c r="F248" s="559"/>
      <c r="G248" s="559"/>
      <c r="H248" s="559"/>
      <c r="I248" s="559"/>
      <c r="J248" s="559"/>
      <c r="K248" s="559"/>
      <c r="L248" s="559"/>
      <c r="M248" s="559"/>
      <c r="N248" s="559"/>
      <c r="O248" s="559"/>
      <c r="P248" s="559"/>
      <c r="Q248" s="559"/>
      <c r="R248" s="559"/>
      <c r="S248" s="559"/>
      <c r="T248" s="559"/>
      <c r="U248" s="559"/>
      <c r="V248" s="559"/>
      <c r="W248" s="559"/>
      <c r="X248" s="559"/>
      <c r="Y248" s="559"/>
      <c r="Z248" s="559"/>
    </row>
    <row r="249" spans="1:26" ht="18" customHeight="1" x14ac:dyDescent="0.35">
      <c r="A249" s="559"/>
      <c r="B249" s="559"/>
      <c r="C249" s="559"/>
      <c r="D249" s="559"/>
      <c r="E249" s="559"/>
      <c r="F249" s="559"/>
      <c r="G249" s="559"/>
      <c r="H249" s="559"/>
      <c r="I249" s="559"/>
      <c r="J249" s="559"/>
      <c r="K249" s="559"/>
      <c r="L249" s="559"/>
      <c r="M249" s="559"/>
      <c r="N249" s="559"/>
      <c r="O249" s="559"/>
      <c r="P249" s="559"/>
      <c r="Q249" s="559"/>
      <c r="R249" s="559"/>
      <c r="S249" s="559"/>
      <c r="T249" s="559"/>
      <c r="U249" s="559"/>
      <c r="V249" s="559"/>
      <c r="W249" s="559"/>
      <c r="X249" s="559"/>
      <c r="Y249" s="559"/>
      <c r="Z249" s="559"/>
    </row>
    <row r="250" spans="1:26" ht="18" customHeight="1" x14ac:dyDescent="0.35">
      <c r="A250" s="559"/>
      <c r="B250" s="559"/>
      <c r="C250" s="559"/>
      <c r="D250" s="559"/>
      <c r="E250" s="559"/>
      <c r="F250" s="559"/>
      <c r="G250" s="559"/>
      <c r="H250" s="559"/>
      <c r="I250" s="559"/>
      <c r="J250" s="559"/>
      <c r="K250" s="559"/>
      <c r="L250" s="559"/>
      <c r="M250" s="559"/>
      <c r="N250" s="559"/>
      <c r="O250" s="559"/>
      <c r="P250" s="559"/>
      <c r="Q250" s="559"/>
      <c r="R250" s="559"/>
      <c r="S250" s="559"/>
      <c r="T250" s="559"/>
      <c r="U250" s="559"/>
      <c r="V250" s="559"/>
      <c r="W250" s="559"/>
      <c r="X250" s="559"/>
      <c r="Y250" s="559"/>
      <c r="Z250" s="559"/>
    </row>
    <row r="251" spans="1:26" ht="18" customHeight="1" x14ac:dyDescent="0.35">
      <c r="A251" s="559"/>
      <c r="B251" s="559"/>
      <c r="C251" s="559"/>
      <c r="D251" s="559"/>
      <c r="E251" s="559"/>
      <c r="F251" s="559"/>
      <c r="G251" s="559"/>
      <c r="H251" s="559"/>
      <c r="I251" s="559"/>
      <c r="J251" s="559"/>
      <c r="K251" s="559"/>
      <c r="L251" s="559"/>
      <c r="M251" s="559"/>
      <c r="N251" s="559"/>
      <c r="O251" s="559"/>
      <c r="P251" s="559"/>
      <c r="Q251" s="559"/>
      <c r="R251" s="559"/>
      <c r="S251" s="559"/>
      <c r="T251" s="559"/>
      <c r="U251" s="559"/>
      <c r="V251" s="559"/>
      <c r="W251" s="559"/>
      <c r="X251" s="559"/>
      <c r="Y251" s="559"/>
      <c r="Z251" s="559"/>
    </row>
    <row r="252" spans="1:26" ht="18" customHeight="1" x14ac:dyDescent="0.35">
      <c r="A252" s="559"/>
      <c r="B252" s="559"/>
      <c r="C252" s="559"/>
      <c r="D252" s="559"/>
      <c r="E252" s="559"/>
      <c r="F252" s="559"/>
      <c r="G252" s="559"/>
      <c r="H252" s="559"/>
      <c r="I252" s="559"/>
      <c r="J252" s="559"/>
      <c r="K252" s="559"/>
      <c r="L252" s="559"/>
      <c r="M252" s="559"/>
      <c r="N252" s="559"/>
      <c r="O252" s="559"/>
      <c r="P252" s="559"/>
      <c r="Q252" s="559"/>
      <c r="R252" s="559"/>
      <c r="S252" s="559"/>
      <c r="T252" s="559"/>
      <c r="U252" s="559"/>
      <c r="V252" s="559"/>
      <c r="W252" s="559"/>
      <c r="X252" s="559"/>
      <c r="Y252" s="559"/>
      <c r="Z252" s="559"/>
    </row>
    <row r="253" spans="1:26" ht="18" customHeight="1" x14ac:dyDescent="0.35">
      <c r="A253" s="559"/>
      <c r="B253" s="559"/>
      <c r="C253" s="559"/>
      <c r="D253" s="559"/>
      <c r="E253" s="559"/>
      <c r="F253" s="559"/>
      <c r="G253" s="559"/>
      <c r="H253" s="559"/>
      <c r="I253" s="559"/>
      <c r="J253" s="559"/>
      <c r="K253" s="559"/>
      <c r="L253" s="559"/>
      <c r="M253" s="559"/>
      <c r="N253" s="559"/>
      <c r="O253" s="559"/>
      <c r="P253" s="559"/>
      <c r="Q253" s="559"/>
      <c r="R253" s="559"/>
      <c r="S253" s="559"/>
      <c r="T253" s="559"/>
      <c r="U253" s="559"/>
      <c r="V253" s="559"/>
      <c r="W253" s="559"/>
      <c r="X253" s="559"/>
      <c r="Y253" s="559"/>
      <c r="Z253" s="559"/>
    </row>
    <row r="254" spans="1:26" ht="18" customHeight="1" x14ac:dyDescent="0.35">
      <c r="A254" s="559"/>
      <c r="B254" s="559"/>
      <c r="C254" s="559"/>
      <c r="D254" s="559"/>
      <c r="E254" s="559"/>
      <c r="F254" s="559"/>
      <c r="G254" s="559"/>
      <c r="H254" s="559"/>
      <c r="I254" s="559"/>
      <c r="J254" s="559"/>
      <c r="K254" s="559"/>
      <c r="L254" s="559"/>
      <c r="M254" s="559"/>
      <c r="N254" s="559"/>
      <c r="O254" s="559"/>
      <c r="P254" s="559"/>
      <c r="Q254" s="559"/>
      <c r="R254" s="559"/>
      <c r="S254" s="559"/>
      <c r="T254" s="559"/>
      <c r="U254" s="559"/>
      <c r="V254" s="559"/>
      <c r="W254" s="559"/>
      <c r="X254" s="559"/>
      <c r="Y254" s="559"/>
      <c r="Z254" s="559"/>
    </row>
    <row r="255" spans="1:26" ht="18" customHeight="1" x14ac:dyDescent="0.35">
      <c r="A255" s="559"/>
      <c r="B255" s="559"/>
      <c r="C255" s="559"/>
      <c r="D255" s="559"/>
      <c r="E255" s="559"/>
      <c r="F255" s="559"/>
      <c r="G255" s="559"/>
      <c r="H255" s="559"/>
      <c r="I255" s="559"/>
      <c r="J255" s="559"/>
      <c r="K255" s="559"/>
      <c r="L255" s="559"/>
      <c r="M255" s="559"/>
      <c r="N255" s="559"/>
      <c r="O255" s="559"/>
      <c r="P255" s="559"/>
      <c r="Q255" s="559"/>
      <c r="R255" s="559"/>
      <c r="S255" s="559"/>
      <c r="T255" s="559"/>
      <c r="U255" s="559"/>
      <c r="V255" s="559"/>
      <c r="W255" s="559"/>
      <c r="X255" s="559"/>
      <c r="Y255" s="559"/>
      <c r="Z255" s="559"/>
    </row>
    <row r="256" spans="1:26" ht="18" customHeight="1" x14ac:dyDescent="0.35">
      <c r="A256" s="559"/>
      <c r="B256" s="559"/>
      <c r="C256" s="559"/>
      <c r="D256" s="559"/>
      <c r="E256" s="559"/>
      <c r="F256" s="559"/>
      <c r="G256" s="559"/>
      <c r="H256" s="559"/>
      <c r="I256" s="559"/>
      <c r="J256" s="559"/>
      <c r="K256" s="559"/>
      <c r="L256" s="559"/>
      <c r="M256" s="559"/>
      <c r="N256" s="559"/>
      <c r="O256" s="559"/>
      <c r="P256" s="559"/>
      <c r="Q256" s="559"/>
      <c r="R256" s="559"/>
      <c r="S256" s="559"/>
      <c r="T256" s="559"/>
      <c r="U256" s="559"/>
      <c r="V256" s="559"/>
      <c r="W256" s="559"/>
      <c r="X256" s="559"/>
      <c r="Y256" s="559"/>
      <c r="Z256" s="559"/>
    </row>
    <row r="257" spans="1:26" ht="18" customHeight="1" x14ac:dyDescent="0.35">
      <c r="A257" s="559"/>
      <c r="B257" s="559"/>
      <c r="C257" s="559"/>
      <c r="D257" s="559"/>
      <c r="E257" s="559"/>
      <c r="F257" s="559"/>
      <c r="G257" s="559"/>
      <c r="H257" s="559"/>
      <c r="I257" s="559"/>
      <c r="J257" s="559"/>
      <c r="K257" s="559"/>
      <c r="L257" s="559"/>
      <c r="M257" s="559"/>
      <c r="N257" s="559"/>
      <c r="O257" s="559"/>
      <c r="P257" s="559"/>
      <c r="Q257" s="559"/>
      <c r="R257" s="559"/>
      <c r="S257" s="559"/>
      <c r="T257" s="559"/>
      <c r="U257" s="559"/>
      <c r="V257" s="559"/>
      <c r="W257" s="559"/>
      <c r="X257" s="559"/>
      <c r="Y257" s="559"/>
      <c r="Z257" s="559"/>
    </row>
    <row r="258" spans="1:26" ht="18" customHeight="1" x14ac:dyDescent="0.35">
      <c r="A258" s="559"/>
      <c r="B258" s="559"/>
      <c r="C258" s="559"/>
      <c r="D258" s="559"/>
      <c r="E258" s="559"/>
      <c r="F258" s="559"/>
      <c r="G258" s="559"/>
      <c r="H258" s="559"/>
      <c r="I258" s="559"/>
      <c r="J258" s="559"/>
      <c r="K258" s="559"/>
      <c r="L258" s="559"/>
      <c r="M258" s="559"/>
      <c r="N258" s="559"/>
      <c r="O258" s="559"/>
      <c r="P258" s="559"/>
      <c r="Q258" s="559"/>
      <c r="R258" s="559"/>
      <c r="S258" s="559"/>
      <c r="T258" s="559"/>
      <c r="U258" s="559"/>
      <c r="V258" s="559"/>
      <c r="W258" s="559"/>
      <c r="X258" s="559"/>
      <c r="Y258" s="559"/>
      <c r="Z258" s="559"/>
    </row>
    <row r="259" spans="1:26" ht="18" customHeight="1" x14ac:dyDescent="0.35">
      <c r="A259" s="559"/>
      <c r="B259" s="559"/>
      <c r="C259" s="559"/>
      <c r="D259" s="559"/>
      <c r="E259" s="559"/>
      <c r="F259" s="559"/>
      <c r="G259" s="559"/>
      <c r="H259" s="559"/>
      <c r="I259" s="559"/>
      <c r="J259" s="559"/>
      <c r="K259" s="559"/>
      <c r="L259" s="559"/>
      <c r="M259" s="559"/>
      <c r="N259" s="559"/>
      <c r="O259" s="559"/>
      <c r="P259" s="559"/>
      <c r="Q259" s="559"/>
      <c r="R259" s="559"/>
      <c r="S259" s="559"/>
      <c r="T259" s="559"/>
      <c r="U259" s="559"/>
      <c r="V259" s="559"/>
      <c r="W259" s="559"/>
      <c r="X259" s="559"/>
      <c r="Y259" s="559"/>
      <c r="Z259" s="559"/>
    </row>
    <row r="260" spans="1:26" ht="18" customHeight="1" x14ac:dyDescent="0.35">
      <c r="A260" s="559"/>
      <c r="B260" s="559"/>
      <c r="C260" s="559"/>
      <c r="D260" s="559"/>
      <c r="E260" s="559"/>
      <c r="F260" s="559"/>
      <c r="G260" s="559"/>
      <c r="H260" s="559"/>
      <c r="I260" s="559"/>
      <c r="J260" s="559"/>
      <c r="K260" s="559"/>
      <c r="L260" s="559"/>
      <c r="M260" s="559"/>
      <c r="N260" s="559"/>
      <c r="O260" s="559"/>
      <c r="P260" s="559"/>
      <c r="Q260" s="559"/>
      <c r="R260" s="559"/>
      <c r="S260" s="559"/>
      <c r="T260" s="559"/>
      <c r="U260" s="559"/>
      <c r="V260" s="559"/>
      <c r="W260" s="559"/>
      <c r="X260" s="559"/>
      <c r="Y260" s="559"/>
      <c r="Z260" s="559"/>
    </row>
    <row r="261" spans="1:26" ht="18" customHeight="1" x14ac:dyDescent="0.35">
      <c r="A261" s="559"/>
      <c r="B261" s="559"/>
      <c r="C261" s="559"/>
      <c r="D261" s="559"/>
      <c r="E261" s="559"/>
      <c r="F261" s="559"/>
      <c r="G261" s="559"/>
      <c r="H261" s="559"/>
      <c r="I261" s="559"/>
      <c r="J261" s="559"/>
      <c r="K261" s="559"/>
      <c r="L261" s="559"/>
      <c r="M261" s="559"/>
      <c r="N261" s="559"/>
      <c r="O261" s="559"/>
      <c r="P261" s="559"/>
      <c r="Q261" s="559"/>
      <c r="R261" s="559"/>
      <c r="S261" s="559"/>
      <c r="T261" s="559"/>
      <c r="U261" s="559"/>
      <c r="V261" s="559"/>
      <c r="W261" s="559"/>
      <c r="X261" s="559"/>
      <c r="Y261" s="559"/>
      <c r="Z261" s="559"/>
    </row>
    <row r="262" spans="1:26" ht="18" customHeight="1" x14ac:dyDescent="0.35">
      <c r="A262" s="559"/>
      <c r="B262" s="559"/>
      <c r="C262" s="559"/>
      <c r="D262" s="559"/>
      <c r="E262" s="559"/>
      <c r="F262" s="559"/>
      <c r="G262" s="559"/>
      <c r="H262" s="559"/>
      <c r="I262" s="559"/>
      <c r="J262" s="559"/>
      <c r="K262" s="559"/>
      <c r="L262" s="559"/>
      <c r="M262" s="559"/>
      <c r="N262" s="559"/>
      <c r="O262" s="559"/>
      <c r="P262" s="559"/>
      <c r="Q262" s="559"/>
      <c r="R262" s="559"/>
      <c r="S262" s="559"/>
      <c r="T262" s="559"/>
      <c r="U262" s="559"/>
      <c r="V262" s="559"/>
      <c r="W262" s="559"/>
      <c r="X262" s="559"/>
      <c r="Y262" s="559"/>
      <c r="Z262" s="559"/>
    </row>
    <row r="263" spans="1:26" ht="18" customHeight="1" x14ac:dyDescent="0.35">
      <c r="A263" s="559"/>
      <c r="B263" s="559"/>
      <c r="C263" s="559"/>
      <c r="D263" s="559"/>
      <c r="E263" s="559"/>
      <c r="F263" s="559"/>
      <c r="G263" s="559"/>
      <c r="H263" s="559"/>
      <c r="I263" s="559"/>
      <c r="J263" s="559"/>
      <c r="K263" s="559"/>
      <c r="L263" s="559"/>
      <c r="M263" s="559"/>
      <c r="N263" s="559"/>
      <c r="O263" s="559"/>
      <c r="P263" s="559"/>
      <c r="Q263" s="559"/>
      <c r="R263" s="559"/>
      <c r="S263" s="559"/>
      <c r="T263" s="559"/>
      <c r="U263" s="559"/>
      <c r="V263" s="559"/>
      <c r="W263" s="559"/>
      <c r="X263" s="559"/>
      <c r="Y263" s="559"/>
      <c r="Z263" s="559"/>
    </row>
    <row r="264" spans="1:26" ht="18" customHeight="1" x14ac:dyDescent="0.35">
      <c r="A264" s="559"/>
      <c r="B264" s="559"/>
      <c r="C264" s="559"/>
      <c r="D264" s="559"/>
      <c r="E264" s="559"/>
      <c r="F264" s="559"/>
      <c r="G264" s="559"/>
      <c r="H264" s="559"/>
      <c r="I264" s="559"/>
      <c r="J264" s="559"/>
      <c r="K264" s="559"/>
      <c r="L264" s="559"/>
      <c r="M264" s="559"/>
      <c r="N264" s="559"/>
      <c r="O264" s="559"/>
      <c r="P264" s="559"/>
      <c r="Q264" s="559"/>
      <c r="R264" s="559"/>
      <c r="S264" s="559"/>
      <c r="T264" s="559"/>
      <c r="U264" s="559"/>
      <c r="V264" s="559"/>
      <c r="W264" s="559"/>
      <c r="X264" s="559"/>
      <c r="Y264" s="559"/>
      <c r="Z264" s="559"/>
    </row>
    <row r="265" spans="1:26" ht="18" customHeight="1" x14ac:dyDescent="0.35">
      <c r="A265" s="559"/>
      <c r="B265" s="559"/>
      <c r="C265" s="559"/>
      <c r="D265" s="559"/>
      <c r="E265" s="559"/>
      <c r="F265" s="559"/>
      <c r="G265" s="559"/>
      <c r="H265" s="559"/>
      <c r="I265" s="559"/>
      <c r="J265" s="559"/>
      <c r="K265" s="559"/>
      <c r="L265" s="559"/>
      <c r="M265" s="559"/>
      <c r="N265" s="559"/>
      <c r="O265" s="559"/>
      <c r="P265" s="559"/>
      <c r="Q265" s="559"/>
      <c r="R265" s="559"/>
      <c r="S265" s="559"/>
      <c r="T265" s="559"/>
      <c r="U265" s="559"/>
      <c r="V265" s="559"/>
      <c r="W265" s="559"/>
      <c r="X265" s="559"/>
      <c r="Y265" s="559"/>
      <c r="Z265" s="559"/>
    </row>
    <row r="266" spans="1:26" ht="18" customHeight="1" x14ac:dyDescent="0.35">
      <c r="A266" s="559"/>
      <c r="B266" s="559"/>
      <c r="C266" s="559"/>
      <c r="D266" s="559"/>
      <c r="E266" s="559"/>
      <c r="F266" s="559"/>
      <c r="G266" s="559"/>
      <c r="H266" s="559"/>
      <c r="I266" s="559"/>
      <c r="J266" s="559"/>
      <c r="K266" s="559"/>
      <c r="L266" s="559"/>
      <c r="M266" s="559"/>
      <c r="N266" s="559"/>
      <c r="O266" s="559"/>
      <c r="P266" s="559"/>
      <c r="Q266" s="559"/>
      <c r="R266" s="559"/>
      <c r="S266" s="559"/>
      <c r="T266" s="559"/>
      <c r="U266" s="559"/>
      <c r="V266" s="559"/>
      <c r="W266" s="559"/>
      <c r="X266" s="559"/>
      <c r="Y266" s="559"/>
      <c r="Z266" s="559"/>
    </row>
    <row r="267" spans="1:26" ht="18" customHeight="1" x14ac:dyDescent="0.35">
      <c r="A267" s="559"/>
      <c r="B267" s="559"/>
      <c r="C267" s="559"/>
      <c r="D267" s="559"/>
      <c r="E267" s="559"/>
      <c r="F267" s="559"/>
      <c r="G267" s="559"/>
      <c r="H267" s="559"/>
      <c r="I267" s="559"/>
      <c r="J267" s="559"/>
      <c r="K267" s="559"/>
      <c r="L267" s="559"/>
      <c r="M267" s="559"/>
      <c r="N267" s="559"/>
      <c r="O267" s="559"/>
      <c r="P267" s="559"/>
      <c r="Q267" s="559"/>
      <c r="R267" s="559"/>
      <c r="S267" s="559"/>
      <c r="T267" s="559"/>
      <c r="U267" s="559"/>
      <c r="V267" s="559"/>
      <c r="W267" s="559"/>
      <c r="X267" s="559"/>
      <c r="Y267" s="559"/>
      <c r="Z267" s="559"/>
    </row>
    <row r="268" spans="1:26" ht="18" customHeight="1" x14ac:dyDescent="0.35">
      <c r="A268" s="559"/>
      <c r="B268" s="559"/>
      <c r="C268" s="559"/>
      <c r="D268" s="559"/>
      <c r="E268" s="559"/>
      <c r="F268" s="559"/>
      <c r="G268" s="559"/>
      <c r="H268" s="559"/>
      <c r="I268" s="559"/>
      <c r="J268" s="559"/>
      <c r="K268" s="559"/>
      <c r="L268" s="559"/>
      <c r="M268" s="559"/>
      <c r="N268" s="559"/>
      <c r="O268" s="559"/>
      <c r="P268" s="559"/>
      <c r="Q268" s="559"/>
      <c r="R268" s="559"/>
      <c r="S268" s="559"/>
      <c r="T268" s="559"/>
      <c r="U268" s="559"/>
      <c r="V268" s="559"/>
      <c r="W268" s="559"/>
      <c r="X268" s="559"/>
      <c r="Y268" s="559"/>
      <c r="Z268" s="559"/>
    </row>
    <row r="269" spans="1:26" ht="18" customHeight="1" x14ac:dyDescent="0.35">
      <c r="A269" s="559"/>
      <c r="B269" s="559"/>
      <c r="C269" s="559"/>
      <c r="D269" s="559"/>
      <c r="E269" s="559"/>
      <c r="F269" s="559"/>
      <c r="G269" s="559"/>
      <c r="H269" s="559"/>
      <c r="I269" s="559"/>
      <c r="J269" s="559"/>
      <c r="K269" s="559"/>
      <c r="L269" s="559"/>
      <c r="M269" s="559"/>
      <c r="N269" s="559"/>
      <c r="O269" s="559"/>
      <c r="P269" s="559"/>
      <c r="Q269" s="559"/>
      <c r="R269" s="559"/>
      <c r="S269" s="559"/>
      <c r="T269" s="559"/>
      <c r="U269" s="559"/>
      <c r="V269" s="559"/>
      <c r="W269" s="559"/>
      <c r="X269" s="559"/>
      <c r="Y269" s="559"/>
      <c r="Z269" s="559"/>
    </row>
    <row r="270" spans="1:26" ht="18" customHeight="1" x14ac:dyDescent="0.35">
      <c r="A270" s="559"/>
      <c r="B270" s="559"/>
      <c r="C270" s="559"/>
      <c r="D270" s="559"/>
      <c r="E270" s="559"/>
      <c r="F270" s="559"/>
      <c r="G270" s="559"/>
      <c r="H270" s="559"/>
      <c r="I270" s="559"/>
      <c r="J270" s="559"/>
      <c r="K270" s="559"/>
      <c r="L270" s="559"/>
      <c r="M270" s="559"/>
      <c r="N270" s="559"/>
      <c r="O270" s="559"/>
      <c r="P270" s="559"/>
      <c r="Q270" s="559"/>
      <c r="R270" s="559"/>
      <c r="S270" s="559"/>
      <c r="T270" s="559"/>
      <c r="U270" s="559"/>
      <c r="V270" s="559"/>
      <c r="W270" s="559"/>
      <c r="X270" s="559"/>
      <c r="Y270" s="559"/>
      <c r="Z270" s="559"/>
    </row>
    <row r="271" spans="1:26" ht="18" customHeight="1" x14ac:dyDescent="0.35">
      <c r="A271" s="559"/>
      <c r="B271" s="559"/>
      <c r="C271" s="559"/>
      <c r="D271" s="559"/>
      <c r="E271" s="559"/>
      <c r="F271" s="559"/>
      <c r="G271" s="559"/>
      <c r="H271" s="559"/>
      <c r="I271" s="559"/>
      <c r="J271" s="559"/>
      <c r="K271" s="559"/>
      <c r="L271" s="559"/>
      <c r="M271" s="559"/>
      <c r="N271" s="559"/>
      <c r="O271" s="559"/>
      <c r="P271" s="559"/>
      <c r="Q271" s="559"/>
      <c r="R271" s="559"/>
      <c r="S271" s="559"/>
      <c r="T271" s="559"/>
      <c r="U271" s="559"/>
      <c r="V271" s="559"/>
      <c r="W271" s="559"/>
      <c r="X271" s="559"/>
      <c r="Y271" s="559"/>
      <c r="Z271" s="559"/>
    </row>
    <row r="272" spans="1:26" ht="18" customHeight="1" x14ac:dyDescent="0.35">
      <c r="A272" s="559"/>
      <c r="B272" s="559"/>
      <c r="C272" s="559"/>
      <c r="D272" s="559"/>
      <c r="E272" s="559"/>
      <c r="F272" s="559"/>
      <c r="G272" s="559"/>
      <c r="H272" s="559"/>
      <c r="I272" s="559"/>
      <c r="J272" s="559"/>
      <c r="K272" s="559"/>
      <c r="L272" s="559"/>
      <c r="M272" s="559"/>
      <c r="N272" s="559"/>
      <c r="O272" s="559"/>
      <c r="P272" s="559"/>
      <c r="Q272" s="559"/>
      <c r="R272" s="559"/>
      <c r="S272" s="559"/>
      <c r="T272" s="559"/>
      <c r="U272" s="559"/>
      <c r="V272" s="559"/>
      <c r="W272" s="559"/>
      <c r="X272" s="559"/>
      <c r="Y272" s="559"/>
      <c r="Z272" s="559"/>
    </row>
    <row r="273" spans="1:26" ht="18" customHeight="1" x14ac:dyDescent="0.35">
      <c r="A273" s="559"/>
      <c r="B273" s="559"/>
      <c r="C273" s="559"/>
      <c r="D273" s="559"/>
      <c r="E273" s="559"/>
      <c r="F273" s="559"/>
      <c r="G273" s="559"/>
      <c r="H273" s="559"/>
      <c r="I273" s="559"/>
      <c r="J273" s="559"/>
      <c r="K273" s="559"/>
      <c r="L273" s="559"/>
      <c r="M273" s="559"/>
      <c r="N273" s="559"/>
      <c r="O273" s="559"/>
      <c r="P273" s="559"/>
      <c r="Q273" s="559"/>
      <c r="R273" s="559"/>
      <c r="S273" s="559"/>
      <c r="T273" s="559"/>
      <c r="U273" s="559"/>
      <c r="V273" s="559"/>
      <c r="W273" s="559"/>
      <c r="X273" s="559"/>
      <c r="Y273" s="559"/>
      <c r="Z273" s="559"/>
    </row>
    <row r="274" spans="1:26" ht="18" customHeight="1" x14ac:dyDescent="0.35">
      <c r="A274" s="559"/>
      <c r="B274" s="559"/>
      <c r="C274" s="559"/>
      <c r="D274" s="559"/>
      <c r="E274" s="559"/>
      <c r="F274" s="559"/>
      <c r="G274" s="559"/>
      <c r="H274" s="559"/>
      <c r="I274" s="559"/>
      <c r="J274" s="559"/>
      <c r="K274" s="559"/>
      <c r="L274" s="559"/>
      <c r="M274" s="559"/>
      <c r="N274" s="559"/>
      <c r="O274" s="559"/>
      <c r="P274" s="559"/>
      <c r="Q274" s="559"/>
      <c r="R274" s="559"/>
      <c r="S274" s="559"/>
      <c r="T274" s="559"/>
      <c r="U274" s="559"/>
      <c r="V274" s="559"/>
      <c r="W274" s="559"/>
      <c r="X274" s="559"/>
      <c r="Y274" s="559"/>
      <c r="Z274" s="559"/>
    </row>
    <row r="275" spans="1:26" ht="18" customHeight="1" x14ac:dyDescent="0.35">
      <c r="A275" s="559"/>
      <c r="B275" s="559"/>
      <c r="C275" s="559"/>
      <c r="D275" s="559"/>
      <c r="E275" s="559"/>
      <c r="F275" s="559"/>
      <c r="G275" s="559"/>
      <c r="H275" s="559"/>
      <c r="I275" s="559"/>
      <c r="J275" s="559"/>
      <c r="K275" s="559"/>
      <c r="L275" s="559"/>
      <c r="M275" s="559"/>
      <c r="N275" s="559"/>
      <c r="O275" s="559"/>
      <c r="P275" s="559"/>
      <c r="Q275" s="559"/>
      <c r="R275" s="559"/>
      <c r="S275" s="559"/>
      <c r="T275" s="559"/>
      <c r="U275" s="559"/>
      <c r="V275" s="559"/>
      <c r="W275" s="559"/>
      <c r="X275" s="559"/>
      <c r="Y275" s="559"/>
      <c r="Z275" s="559"/>
    </row>
    <row r="276" spans="1:26" ht="18" customHeight="1" x14ac:dyDescent="0.35">
      <c r="A276" s="559"/>
      <c r="B276" s="559"/>
      <c r="C276" s="559"/>
      <c r="D276" s="559"/>
      <c r="E276" s="559"/>
      <c r="F276" s="559"/>
      <c r="G276" s="559"/>
      <c r="H276" s="559"/>
      <c r="I276" s="559"/>
      <c r="J276" s="559"/>
      <c r="K276" s="559"/>
      <c r="L276" s="559"/>
      <c r="M276" s="559"/>
      <c r="N276" s="559"/>
      <c r="O276" s="559"/>
      <c r="P276" s="559"/>
      <c r="Q276" s="559"/>
      <c r="R276" s="559"/>
      <c r="S276" s="559"/>
      <c r="T276" s="559"/>
      <c r="U276" s="559"/>
      <c r="V276" s="559"/>
      <c r="W276" s="559"/>
      <c r="X276" s="559"/>
      <c r="Y276" s="559"/>
      <c r="Z276" s="559"/>
    </row>
    <row r="277" spans="1:26" ht="18" customHeight="1" x14ac:dyDescent="0.35">
      <c r="A277" s="559"/>
      <c r="B277" s="559"/>
      <c r="C277" s="559"/>
      <c r="D277" s="559"/>
      <c r="E277" s="559"/>
      <c r="F277" s="559"/>
      <c r="G277" s="559"/>
      <c r="H277" s="559"/>
      <c r="I277" s="559"/>
      <c r="J277" s="559"/>
      <c r="K277" s="559"/>
      <c r="L277" s="559"/>
      <c r="M277" s="559"/>
      <c r="N277" s="559"/>
      <c r="O277" s="559"/>
      <c r="P277" s="559"/>
      <c r="Q277" s="559"/>
      <c r="R277" s="559"/>
      <c r="S277" s="559"/>
      <c r="T277" s="559"/>
      <c r="U277" s="559"/>
      <c r="V277" s="559"/>
      <c r="W277" s="559"/>
      <c r="X277" s="559"/>
      <c r="Y277" s="559"/>
      <c r="Z277" s="559"/>
    </row>
    <row r="278" spans="1:26" ht="18" customHeight="1" x14ac:dyDescent="0.35">
      <c r="A278" s="559"/>
      <c r="B278" s="559"/>
      <c r="C278" s="559"/>
      <c r="D278" s="559"/>
      <c r="E278" s="559"/>
      <c r="F278" s="559"/>
      <c r="G278" s="559"/>
      <c r="H278" s="559"/>
      <c r="I278" s="559"/>
      <c r="J278" s="559"/>
      <c r="K278" s="559"/>
      <c r="L278" s="559"/>
      <c r="M278" s="559"/>
      <c r="N278" s="559"/>
      <c r="O278" s="559"/>
      <c r="P278" s="559"/>
      <c r="Q278" s="559"/>
      <c r="R278" s="559"/>
      <c r="S278" s="559"/>
      <c r="T278" s="559"/>
      <c r="U278" s="559"/>
      <c r="V278" s="559"/>
      <c r="W278" s="559"/>
      <c r="X278" s="559"/>
      <c r="Y278" s="559"/>
      <c r="Z278" s="559"/>
    </row>
    <row r="279" spans="1:26" ht="18" customHeight="1" x14ac:dyDescent="0.35">
      <c r="A279" s="559"/>
      <c r="B279" s="559"/>
      <c r="C279" s="559"/>
      <c r="D279" s="559"/>
      <c r="E279" s="559"/>
      <c r="F279" s="559"/>
      <c r="G279" s="559"/>
      <c r="H279" s="559"/>
      <c r="I279" s="559"/>
      <c r="J279" s="559"/>
      <c r="K279" s="559"/>
      <c r="L279" s="559"/>
      <c r="M279" s="559"/>
      <c r="N279" s="559"/>
      <c r="O279" s="559"/>
      <c r="P279" s="559"/>
      <c r="Q279" s="559"/>
      <c r="R279" s="559"/>
      <c r="S279" s="559"/>
      <c r="T279" s="559"/>
      <c r="U279" s="559"/>
      <c r="V279" s="559"/>
      <c r="W279" s="559"/>
      <c r="X279" s="559"/>
      <c r="Y279" s="559"/>
      <c r="Z279" s="559"/>
    </row>
    <row r="280" spans="1:26" ht="18" customHeight="1" x14ac:dyDescent="0.35">
      <c r="A280" s="559"/>
      <c r="B280" s="559"/>
      <c r="C280" s="559"/>
      <c r="D280" s="559"/>
      <c r="E280" s="559"/>
      <c r="F280" s="559"/>
      <c r="G280" s="559"/>
      <c r="H280" s="559"/>
      <c r="I280" s="559"/>
      <c r="J280" s="559"/>
      <c r="K280" s="559"/>
      <c r="L280" s="559"/>
      <c r="M280" s="559"/>
      <c r="N280" s="559"/>
      <c r="O280" s="559"/>
      <c r="P280" s="559"/>
      <c r="Q280" s="559"/>
      <c r="R280" s="559"/>
      <c r="S280" s="559"/>
      <c r="T280" s="559"/>
      <c r="U280" s="559"/>
      <c r="V280" s="559"/>
      <c r="W280" s="559"/>
      <c r="X280" s="559"/>
      <c r="Y280" s="559"/>
      <c r="Z280" s="559"/>
    </row>
    <row r="281" spans="1:26" ht="18" customHeight="1" x14ac:dyDescent="0.35">
      <c r="A281" s="559"/>
      <c r="B281" s="559"/>
      <c r="C281" s="559"/>
      <c r="D281" s="559"/>
      <c r="E281" s="559"/>
      <c r="F281" s="559"/>
      <c r="G281" s="559"/>
      <c r="H281" s="559"/>
      <c r="I281" s="559"/>
      <c r="J281" s="559"/>
      <c r="K281" s="559"/>
      <c r="L281" s="559"/>
      <c r="M281" s="559"/>
      <c r="N281" s="559"/>
      <c r="O281" s="559"/>
      <c r="P281" s="559"/>
      <c r="Q281" s="559"/>
      <c r="R281" s="559"/>
      <c r="S281" s="559"/>
      <c r="T281" s="559"/>
      <c r="U281" s="559"/>
      <c r="V281" s="559"/>
      <c r="W281" s="559"/>
      <c r="X281" s="559"/>
      <c r="Y281" s="559"/>
      <c r="Z281" s="559"/>
    </row>
    <row r="282" spans="1:26" ht="18" customHeight="1" x14ac:dyDescent="0.35">
      <c r="A282" s="559"/>
      <c r="B282" s="559"/>
      <c r="C282" s="559"/>
      <c r="D282" s="559"/>
      <c r="E282" s="559"/>
      <c r="F282" s="559"/>
      <c r="G282" s="559"/>
      <c r="H282" s="559"/>
      <c r="I282" s="559"/>
      <c r="J282" s="559"/>
      <c r="K282" s="559"/>
      <c r="L282" s="559"/>
      <c r="M282" s="559"/>
      <c r="N282" s="559"/>
      <c r="O282" s="559"/>
      <c r="P282" s="559"/>
      <c r="Q282" s="559"/>
      <c r="R282" s="559"/>
      <c r="S282" s="559"/>
      <c r="T282" s="559"/>
      <c r="U282" s="559"/>
      <c r="V282" s="559"/>
      <c r="W282" s="559"/>
      <c r="X282" s="559"/>
      <c r="Y282" s="559"/>
      <c r="Z282" s="559"/>
    </row>
    <row r="283" spans="1:26" ht="18" customHeight="1" x14ac:dyDescent="0.35">
      <c r="A283" s="559"/>
      <c r="B283" s="559"/>
      <c r="C283" s="559"/>
      <c r="D283" s="559"/>
      <c r="E283" s="559"/>
      <c r="F283" s="559"/>
      <c r="G283" s="559"/>
      <c r="H283" s="559"/>
      <c r="I283" s="559"/>
      <c r="J283" s="559"/>
      <c r="K283" s="559"/>
      <c r="L283" s="559"/>
      <c r="M283" s="559"/>
      <c r="N283" s="559"/>
      <c r="O283" s="559"/>
      <c r="P283" s="559"/>
      <c r="Q283" s="559"/>
      <c r="R283" s="559"/>
      <c r="S283" s="559"/>
      <c r="T283" s="559"/>
      <c r="U283" s="559"/>
      <c r="V283" s="559"/>
      <c r="W283" s="559"/>
      <c r="X283" s="559"/>
      <c r="Y283" s="559"/>
      <c r="Z283" s="559"/>
    </row>
    <row r="284" spans="1:26" ht="18" customHeight="1" x14ac:dyDescent="0.35">
      <c r="A284" s="559"/>
      <c r="B284" s="559"/>
      <c r="C284" s="559"/>
      <c r="D284" s="559"/>
      <c r="E284" s="559"/>
      <c r="F284" s="559"/>
      <c r="G284" s="559"/>
      <c r="H284" s="559"/>
      <c r="I284" s="559"/>
      <c r="J284" s="559"/>
      <c r="K284" s="559"/>
      <c r="L284" s="559"/>
      <c r="M284" s="559"/>
      <c r="N284" s="559"/>
      <c r="O284" s="559"/>
      <c r="P284" s="559"/>
      <c r="Q284" s="559"/>
      <c r="R284" s="559"/>
      <c r="S284" s="559"/>
      <c r="T284" s="559"/>
      <c r="U284" s="559"/>
      <c r="V284" s="559"/>
      <c r="W284" s="559"/>
      <c r="X284" s="559"/>
      <c r="Y284" s="559"/>
      <c r="Z284" s="559"/>
    </row>
    <row r="285" spans="1:26" ht="18" customHeight="1" x14ac:dyDescent="0.35">
      <c r="A285" s="559"/>
      <c r="B285" s="559"/>
      <c r="C285" s="559"/>
      <c r="D285" s="559"/>
      <c r="E285" s="559"/>
      <c r="F285" s="559"/>
      <c r="G285" s="559"/>
      <c r="H285" s="559"/>
      <c r="I285" s="559"/>
      <c r="J285" s="559"/>
      <c r="K285" s="559"/>
      <c r="L285" s="559"/>
      <c r="M285" s="559"/>
      <c r="N285" s="559"/>
      <c r="O285" s="559"/>
      <c r="P285" s="559"/>
      <c r="Q285" s="559"/>
      <c r="R285" s="559"/>
      <c r="S285" s="559"/>
      <c r="T285" s="559"/>
      <c r="U285" s="559"/>
      <c r="V285" s="559"/>
      <c r="W285" s="559"/>
      <c r="X285" s="559"/>
      <c r="Y285" s="559"/>
      <c r="Z285" s="559"/>
    </row>
    <row r="286" spans="1:26" ht="18" customHeight="1" x14ac:dyDescent="0.35">
      <c r="A286" s="559"/>
      <c r="B286" s="559"/>
      <c r="C286" s="559"/>
      <c r="D286" s="559"/>
      <c r="E286" s="559"/>
      <c r="F286" s="559"/>
      <c r="G286" s="559"/>
      <c r="H286" s="559"/>
      <c r="I286" s="559"/>
      <c r="J286" s="559"/>
      <c r="K286" s="559"/>
      <c r="L286" s="559"/>
      <c r="M286" s="559"/>
      <c r="N286" s="559"/>
      <c r="O286" s="559"/>
      <c r="P286" s="559"/>
      <c r="Q286" s="559"/>
      <c r="R286" s="559"/>
      <c r="S286" s="559"/>
      <c r="T286" s="559"/>
      <c r="U286" s="559"/>
      <c r="V286" s="559"/>
      <c r="W286" s="559"/>
      <c r="X286" s="559"/>
      <c r="Y286" s="559"/>
      <c r="Z286" s="559"/>
    </row>
    <row r="287" spans="1:26" ht="18" customHeight="1" x14ac:dyDescent="0.35">
      <c r="A287" s="559"/>
      <c r="B287" s="559"/>
      <c r="C287" s="559"/>
      <c r="D287" s="559"/>
      <c r="E287" s="559"/>
      <c r="F287" s="559"/>
      <c r="G287" s="559"/>
      <c r="H287" s="559"/>
      <c r="I287" s="559"/>
      <c r="J287" s="559"/>
      <c r="K287" s="559"/>
      <c r="L287" s="559"/>
      <c r="M287" s="559"/>
      <c r="N287" s="559"/>
      <c r="O287" s="559"/>
      <c r="P287" s="559"/>
      <c r="Q287" s="559"/>
      <c r="R287" s="559"/>
      <c r="S287" s="559"/>
      <c r="T287" s="559"/>
      <c r="U287" s="559"/>
      <c r="V287" s="559"/>
      <c r="W287" s="559"/>
      <c r="X287" s="559"/>
      <c r="Y287" s="559"/>
      <c r="Z287" s="559"/>
    </row>
    <row r="288" spans="1:26" ht="18" customHeight="1" x14ac:dyDescent="0.35">
      <c r="A288" s="559"/>
      <c r="B288" s="559"/>
      <c r="C288" s="559"/>
      <c r="D288" s="559"/>
      <c r="E288" s="559"/>
      <c r="F288" s="559"/>
      <c r="G288" s="559"/>
      <c r="H288" s="559"/>
      <c r="I288" s="559"/>
      <c r="J288" s="559"/>
      <c r="K288" s="559"/>
      <c r="L288" s="559"/>
      <c r="M288" s="559"/>
      <c r="N288" s="559"/>
      <c r="O288" s="559"/>
      <c r="P288" s="559"/>
      <c r="Q288" s="559"/>
      <c r="R288" s="559"/>
      <c r="S288" s="559"/>
      <c r="T288" s="559"/>
      <c r="U288" s="559"/>
      <c r="V288" s="559"/>
      <c r="W288" s="559"/>
      <c r="X288" s="559"/>
      <c r="Y288" s="559"/>
      <c r="Z288" s="559"/>
    </row>
    <row r="289" spans="1:26" ht="18" customHeight="1" x14ac:dyDescent="0.35">
      <c r="A289" s="559"/>
      <c r="B289" s="559"/>
      <c r="C289" s="559"/>
      <c r="D289" s="559"/>
      <c r="E289" s="559"/>
      <c r="F289" s="559"/>
      <c r="G289" s="559"/>
      <c r="H289" s="559"/>
      <c r="I289" s="559"/>
      <c r="J289" s="559"/>
      <c r="K289" s="559"/>
      <c r="L289" s="559"/>
      <c r="M289" s="559"/>
      <c r="N289" s="559"/>
      <c r="O289" s="559"/>
      <c r="P289" s="559"/>
      <c r="Q289" s="559"/>
      <c r="R289" s="559"/>
      <c r="S289" s="559"/>
      <c r="T289" s="559"/>
      <c r="U289" s="559"/>
      <c r="V289" s="559"/>
      <c r="W289" s="559"/>
      <c r="X289" s="559"/>
      <c r="Y289" s="559"/>
      <c r="Z289" s="559"/>
    </row>
    <row r="290" spans="1:26" ht="18" customHeight="1" x14ac:dyDescent="0.35">
      <c r="A290" s="559"/>
      <c r="B290" s="559"/>
      <c r="C290" s="559"/>
      <c r="D290" s="559"/>
      <c r="E290" s="559"/>
      <c r="F290" s="559"/>
      <c r="G290" s="559"/>
      <c r="H290" s="559"/>
      <c r="I290" s="559"/>
      <c r="J290" s="559"/>
      <c r="K290" s="559"/>
      <c r="L290" s="559"/>
      <c r="M290" s="559"/>
      <c r="N290" s="559"/>
      <c r="O290" s="559"/>
      <c r="P290" s="559"/>
      <c r="Q290" s="559"/>
      <c r="R290" s="559"/>
      <c r="S290" s="559"/>
      <c r="T290" s="559"/>
      <c r="U290" s="559"/>
      <c r="V290" s="559"/>
      <c r="W290" s="559"/>
      <c r="X290" s="559"/>
      <c r="Y290" s="559"/>
      <c r="Z290" s="559"/>
    </row>
    <row r="291" spans="1:26" ht="18" customHeight="1" x14ac:dyDescent="0.35">
      <c r="A291" s="559"/>
      <c r="B291" s="559"/>
      <c r="C291" s="559"/>
      <c r="D291" s="559"/>
      <c r="E291" s="559"/>
      <c r="F291" s="559"/>
      <c r="G291" s="559"/>
      <c r="H291" s="559"/>
      <c r="I291" s="559"/>
      <c r="J291" s="559"/>
      <c r="K291" s="559"/>
      <c r="L291" s="559"/>
      <c r="M291" s="559"/>
      <c r="N291" s="559"/>
      <c r="O291" s="559"/>
      <c r="P291" s="559"/>
      <c r="Q291" s="559"/>
      <c r="R291" s="559"/>
      <c r="S291" s="559"/>
      <c r="T291" s="559"/>
      <c r="U291" s="559"/>
      <c r="V291" s="559"/>
      <c r="W291" s="559"/>
      <c r="X291" s="559"/>
      <c r="Y291" s="559"/>
      <c r="Z291" s="559"/>
    </row>
    <row r="292" spans="1:26" ht="18" customHeight="1" x14ac:dyDescent="0.35">
      <c r="A292" s="559"/>
      <c r="B292" s="559"/>
      <c r="C292" s="559"/>
      <c r="D292" s="559"/>
      <c r="E292" s="559"/>
      <c r="F292" s="559"/>
      <c r="G292" s="559"/>
      <c r="H292" s="559"/>
      <c r="I292" s="559"/>
      <c r="J292" s="559"/>
      <c r="K292" s="559"/>
      <c r="L292" s="559"/>
      <c r="M292" s="559"/>
      <c r="N292" s="559"/>
      <c r="O292" s="559"/>
      <c r="P292" s="559"/>
      <c r="Q292" s="559"/>
      <c r="R292" s="559"/>
      <c r="S292" s="559"/>
      <c r="T292" s="559"/>
      <c r="U292" s="559"/>
      <c r="V292" s="559"/>
      <c r="W292" s="559"/>
      <c r="X292" s="559"/>
      <c r="Y292" s="559"/>
      <c r="Z292" s="559"/>
    </row>
    <row r="293" spans="1:26" ht="18" customHeight="1" x14ac:dyDescent="0.35">
      <c r="A293" s="559"/>
      <c r="B293" s="559"/>
      <c r="C293" s="559"/>
      <c r="D293" s="559"/>
      <c r="E293" s="559"/>
      <c r="F293" s="559"/>
      <c r="G293" s="559"/>
      <c r="H293" s="559"/>
      <c r="I293" s="559"/>
      <c r="J293" s="559"/>
      <c r="K293" s="559"/>
      <c r="L293" s="559"/>
      <c r="M293" s="559"/>
      <c r="N293" s="559"/>
      <c r="O293" s="559"/>
      <c r="P293" s="559"/>
      <c r="Q293" s="559"/>
      <c r="R293" s="559"/>
      <c r="S293" s="559"/>
      <c r="T293" s="559"/>
      <c r="U293" s="559"/>
      <c r="V293" s="559"/>
      <c r="W293" s="559"/>
      <c r="X293" s="559"/>
      <c r="Y293" s="559"/>
      <c r="Z293" s="559"/>
    </row>
    <row r="294" spans="1:26" ht="18" customHeight="1" x14ac:dyDescent="0.35">
      <c r="A294" s="559"/>
      <c r="B294" s="559"/>
      <c r="C294" s="559"/>
      <c r="D294" s="559"/>
      <c r="E294" s="559"/>
      <c r="F294" s="559"/>
      <c r="G294" s="559"/>
      <c r="H294" s="559"/>
      <c r="I294" s="559"/>
      <c r="J294" s="559"/>
      <c r="K294" s="559"/>
      <c r="L294" s="559"/>
      <c r="M294" s="559"/>
      <c r="N294" s="559"/>
      <c r="O294" s="559"/>
      <c r="P294" s="559"/>
      <c r="Q294" s="559"/>
      <c r="R294" s="559"/>
      <c r="S294" s="559"/>
      <c r="T294" s="559"/>
      <c r="U294" s="559"/>
      <c r="V294" s="559"/>
      <c r="W294" s="559"/>
      <c r="X294" s="559"/>
      <c r="Y294" s="559"/>
      <c r="Z294" s="559"/>
    </row>
    <row r="295" spans="1:26" ht="18" customHeight="1" x14ac:dyDescent="0.35">
      <c r="A295" s="559"/>
      <c r="B295" s="559"/>
      <c r="C295" s="559"/>
      <c r="D295" s="559"/>
      <c r="E295" s="559"/>
      <c r="F295" s="559"/>
      <c r="G295" s="559"/>
      <c r="H295" s="559"/>
      <c r="I295" s="559"/>
      <c r="J295" s="559"/>
      <c r="K295" s="559"/>
      <c r="L295" s="559"/>
      <c r="M295" s="559"/>
      <c r="N295" s="559"/>
      <c r="O295" s="559"/>
      <c r="P295" s="559"/>
      <c r="Q295" s="559"/>
      <c r="R295" s="559"/>
      <c r="S295" s="559"/>
      <c r="T295" s="559"/>
      <c r="U295" s="559"/>
      <c r="V295" s="559"/>
      <c r="W295" s="559"/>
      <c r="X295" s="559"/>
      <c r="Y295" s="559"/>
      <c r="Z295" s="559"/>
    </row>
    <row r="296" spans="1:26" ht="18" customHeight="1" x14ac:dyDescent="0.35">
      <c r="A296" s="559"/>
      <c r="B296" s="559"/>
      <c r="C296" s="559"/>
      <c r="D296" s="559"/>
      <c r="E296" s="559"/>
      <c r="F296" s="559"/>
      <c r="G296" s="559"/>
      <c r="H296" s="559"/>
      <c r="I296" s="559"/>
      <c r="J296" s="559"/>
      <c r="K296" s="559"/>
      <c r="L296" s="559"/>
      <c r="M296" s="559"/>
      <c r="N296" s="559"/>
      <c r="O296" s="559"/>
      <c r="P296" s="559"/>
      <c r="Q296" s="559"/>
      <c r="R296" s="559"/>
      <c r="S296" s="559"/>
      <c r="T296" s="559"/>
      <c r="U296" s="559"/>
      <c r="V296" s="559"/>
      <c r="W296" s="559"/>
      <c r="X296" s="559"/>
      <c r="Y296" s="559"/>
      <c r="Z296" s="559"/>
    </row>
    <row r="297" spans="1:26" ht="18" customHeight="1" x14ac:dyDescent="0.35">
      <c r="A297" s="559"/>
      <c r="B297" s="559"/>
      <c r="C297" s="559"/>
      <c r="D297" s="559"/>
      <c r="E297" s="559"/>
      <c r="F297" s="559"/>
      <c r="G297" s="559"/>
      <c r="H297" s="559"/>
      <c r="I297" s="559"/>
      <c r="J297" s="559"/>
      <c r="K297" s="559"/>
      <c r="L297" s="559"/>
      <c r="M297" s="559"/>
      <c r="N297" s="559"/>
      <c r="O297" s="559"/>
      <c r="P297" s="559"/>
      <c r="Q297" s="559"/>
      <c r="R297" s="559"/>
      <c r="S297" s="559"/>
      <c r="T297" s="559"/>
      <c r="U297" s="559"/>
      <c r="V297" s="559"/>
      <c r="W297" s="559"/>
      <c r="X297" s="559"/>
      <c r="Y297" s="559"/>
      <c r="Z297" s="559"/>
    </row>
    <row r="298" spans="1:26" ht="18" customHeight="1" x14ac:dyDescent="0.35">
      <c r="A298" s="559"/>
      <c r="B298" s="559"/>
      <c r="C298" s="559"/>
      <c r="D298" s="559"/>
      <c r="E298" s="559"/>
      <c r="F298" s="559"/>
      <c r="G298" s="559"/>
      <c r="H298" s="559"/>
      <c r="I298" s="559"/>
      <c r="J298" s="559"/>
      <c r="K298" s="559"/>
      <c r="L298" s="559"/>
      <c r="M298" s="559"/>
      <c r="N298" s="559"/>
      <c r="O298" s="559"/>
      <c r="P298" s="559"/>
      <c r="Q298" s="559"/>
      <c r="R298" s="559"/>
      <c r="S298" s="559"/>
      <c r="T298" s="559"/>
      <c r="U298" s="559"/>
      <c r="V298" s="559"/>
      <c r="W298" s="559"/>
      <c r="X298" s="559"/>
      <c r="Y298" s="559"/>
      <c r="Z298" s="559"/>
    </row>
    <row r="299" spans="1:26" ht="18" customHeight="1" x14ac:dyDescent="0.35">
      <c r="A299" s="559"/>
      <c r="B299" s="559"/>
      <c r="C299" s="559"/>
      <c r="D299" s="559"/>
      <c r="E299" s="559"/>
      <c r="F299" s="559"/>
      <c r="G299" s="559"/>
      <c r="H299" s="559"/>
      <c r="I299" s="559"/>
      <c r="J299" s="559"/>
      <c r="K299" s="559"/>
      <c r="L299" s="559"/>
      <c r="M299" s="559"/>
      <c r="N299" s="559"/>
      <c r="O299" s="559"/>
      <c r="P299" s="559"/>
      <c r="Q299" s="559"/>
      <c r="R299" s="559"/>
      <c r="S299" s="559"/>
      <c r="T299" s="559"/>
      <c r="U299" s="559"/>
      <c r="V299" s="559"/>
      <c r="W299" s="559"/>
      <c r="X299" s="559"/>
      <c r="Y299" s="559"/>
      <c r="Z299" s="559"/>
    </row>
    <row r="300" spans="1:26" ht="18" customHeight="1" x14ac:dyDescent="0.35">
      <c r="A300" s="559"/>
      <c r="B300" s="559"/>
      <c r="C300" s="559"/>
      <c r="D300" s="559"/>
      <c r="E300" s="559"/>
      <c r="F300" s="559"/>
      <c r="G300" s="559"/>
      <c r="H300" s="559"/>
      <c r="I300" s="559"/>
      <c r="J300" s="559"/>
      <c r="K300" s="559"/>
      <c r="L300" s="559"/>
      <c r="M300" s="559"/>
      <c r="N300" s="559"/>
      <c r="O300" s="559"/>
      <c r="P300" s="559"/>
      <c r="Q300" s="559"/>
      <c r="R300" s="559"/>
      <c r="S300" s="559"/>
      <c r="T300" s="559"/>
      <c r="U300" s="559"/>
      <c r="V300" s="559"/>
      <c r="W300" s="559"/>
      <c r="X300" s="559"/>
      <c r="Y300" s="559"/>
      <c r="Z300" s="559"/>
    </row>
    <row r="301" spans="1:26" ht="18" customHeight="1" x14ac:dyDescent="0.35">
      <c r="A301" s="559"/>
      <c r="B301" s="559"/>
      <c r="C301" s="559"/>
      <c r="D301" s="559"/>
      <c r="E301" s="559"/>
      <c r="F301" s="559"/>
      <c r="G301" s="559"/>
      <c r="H301" s="559"/>
      <c r="I301" s="559"/>
      <c r="J301" s="559"/>
      <c r="K301" s="559"/>
      <c r="L301" s="559"/>
      <c r="M301" s="559"/>
      <c r="N301" s="559"/>
      <c r="O301" s="559"/>
      <c r="P301" s="559"/>
      <c r="Q301" s="559"/>
      <c r="R301" s="559"/>
      <c r="S301" s="559"/>
      <c r="T301" s="559"/>
      <c r="U301" s="559"/>
      <c r="V301" s="559"/>
      <c r="W301" s="559"/>
      <c r="X301" s="559"/>
      <c r="Y301" s="559"/>
      <c r="Z301" s="559"/>
    </row>
    <row r="302" spans="1:26" ht="18" customHeight="1" x14ac:dyDescent="0.35">
      <c r="A302" s="559"/>
      <c r="B302" s="559"/>
      <c r="C302" s="559"/>
      <c r="D302" s="559"/>
      <c r="E302" s="559"/>
      <c r="F302" s="559"/>
      <c r="G302" s="559"/>
      <c r="H302" s="559"/>
      <c r="I302" s="559"/>
      <c r="J302" s="559"/>
      <c r="K302" s="559"/>
      <c r="L302" s="559"/>
      <c r="M302" s="559"/>
      <c r="N302" s="559"/>
      <c r="O302" s="559"/>
      <c r="P302" s="559"/>
      <c r="Q302" s="559"/>
      <c r="R302" s="559"/>
      <c r="S302" s="559"/>
      <c r="T302" s="559"/>
      <c r="U302" s="559"/>
      <c r="V302" s="559"/>
      <c r="W302" s="559"/>
      <c r="X302" s="559"/>
      <c r="Y302" s="559"/>
      <c r="Z302" s="559"/>
    </row>
    <row r="303" spans="1:26" ht="18" customHeight="1" x14ac:dyDescent="0.35">
      <c r="A303" s="559"/>
      <c r="B303" s="559"/>
      <c r="C303" s="559"/>
      <c r="D303" s="559"/>
      <c r="E303" s="559"/>
      <c r="F303" s="559"/>
      <c r="G303" s="559"/>
      <c r="H303" s="559"/>
      <c r="I303" s="559"/>
      <c r="J303" s="559"/>
      <c r="K303" s="559"/>
      <c r="L303" s="559"/>
      <c r="M303" s="559"/>
      <c r="N303" s="559"/>
      <c r="O303" s="559"/>
      <c r="P303" s="559"/>
      <c r="Q303" s="559"/>
      <c r="R303" s="559"/>
      <c r="S303" s="559"/>
      <c r="T303" s="559"/>
      <c r="U303" s="559"/>
      <c r="V303" s="559"/>
      <c r="W303" s="559"/>
      <c r="X303" s="559"/>
      <c r="Y303" s="559"/>
      <c r="Z303" s="559"/>
    </row>
    <row r="304" spans="1:26" ht="18" customHeight="1" x14ac:dyDescent="0.35">
      <c r="A304" s="559"/>
      <c r="B304" s="559"/>
      <c r="C304" s="559"/>
      <c r="D304" s="559"/>
      <c r="E304" s="559"/>
      <c r="F304" s="559"/>
      <c r="G304" s="559"/>
      <c r="H304" s="559"/>
      <c r="I304" s="559"/>
      <c r="J304" s="559"/>
      <c r="K304" s="559"/>
      <c r="L304" s="559"/>
      <c r="M304" s="559"/>
      <c r="N304" s="559"/>
      <c r="O304" s="559"/>
      <c r="P304" s="559"/>
      <c r="Q304" s="559"/>
      <c r="R304" s="559"/>
      <c r="S304" s="559"/>
      <c r="T304" s="559"/>
      <c r="U304" s="559"/>
      <c r="V304" s="559"/>
      <c r="W304" s="559"/>
      <c r="X304" s="559"/>
      <c r="Y304" s="559"/>
      <c r="Z304" s="559"/>
    </row>
    <row r="305" spans="1:26" ht="18" customHeight="1" x14ac:dyDescent="0.35">
      <c r="A305" s="559"/>
      <c r="B305" s="559"/>
      <c r="C305" s="559"/>
      <c r="D305" s="559"/>
      <c r="E305" s="559"/>
      <c r="F305" s="559"/>
      <c r="G305" s="559"/>
      <c r="H305" s="559"/>
      <c r="I305" s="559"/>
      <c r="J305" s="559"/>
      <c r="K305" s="559"/>
      <c r="L305" s="559"/>
      <c r="M305" s="559"/>
      <c r="N305" s="559"/>
      <c r="O305" s="559"/>
      <c r="P305" s="559"/>
      <c r="Q305" s="559"/>
      <c r="R305" s="559"/>
      <c r="S305" s="559"/>
      <c r="T305" s="559"/>
      <c r="U305" s="559"/>
      <c r="V305" s="559"/>
      <c r="W305" s="559"/>
      <c r="X305" s="559"/>
      <c r="Y305" s="559"/>
      <c r="Z305" s="559"/>
    </row>
    <row r="306" spans="1:26" ht="18" customHeight="1" x14ac:dyDescent="0.35">
      <c r="A306" s="559"/>
      <c r="B306" s="559"/>
      <c r="C306" s="559"/>
      <c r="D306" s="559"/>
      <c r="E306" s="559"/>
      <c r="F306" s="559"/>
      <c r="G306" s="559"/>
      <c r="H306" s="559"/>
      <c r="I306" s="559"/>
      <c r="J306" s="559"/>
      <c r="K306" s="559"/>
      <c r="L306" s="559"/>
      <c r="M306" s="559"/>
      <c r="N306" s="559"/>
      <c r="O306" s="559"/>
      <c r="P306" s="559"/>
      <c r="Q306" s="559"/>
      <c r="R306" s="559"/>
      <c r="S306" s="559"/>
      <c r="T306" s="559"/>
      <c r="U306" s="559"/>
      <c r="V306" s="559"/>
      <c r="W306" s="559"/>
      <c r="X306" s="559"/>
      <c r="Y306" s="559"/>
      <c r="Z306" s="559"/>
    </row>
    <row r="307" spans="1:26" ht="18" customHeight="1" x14ac:dyDescent="0.35">
      <c r="A307" s="559"/>
      <c r="B307" s="559"/>
      <c r="C307" s="559"/>
      <c r="D307" s="559"/>
      <c r="E307" s="559"/>
      <c r="F307" s="559"/>
      <c r="G307" s="559"/>
      <c r="H307" s="559"/>
      <c r="I307" s="559"/>
      <c r="J307" s="559"/>
      <c r="K307" s="559"/>
      <c r="L307" s="559"/>
      <c r="M307" s="559"/>
      <c r="N307" s="559"/>
      <c r="O307" s="559"/>
      <c r="P307" s="559"/>
      <c r="Q307" s="559"/>
      <c r="R307" s="559"/>
      <c r="S307" s="559"/>
      <c r="T307" s="559"/>
      <c r="U307" s="559"/>
      <c r="V307" s="559"/>
      <c r="W307" s="559"/>
      <c r="X307" s="559"/>
      <c r="Y307" s="559"/>
      <c r="Z307" s="559"/>
    </row>
    <row r="308" spans="1:26" ht="18" customHeight="1" x14ac:dyDescent="0.35">
      <c r="A308" s="559"/>
      <c r="B308" s="559"/>
      <c r="C308" s="559"/>
      <c r="D308" s="559"/>
      <c r="E308" s="559"/>
      <c r="F308" s="559"/>
      <c r="G308" s="559"/>
      <c r="H308" s="559"/>
      <c r="I308" s="559"/>
      <c r="J308" s="559"/>
      <c r="K308" s="559"/>
      <c r="L308" s="559"/>
      <c r="M308" s="559"/>
      <c r="N308" s="559"/>
      <c r="O308" s="559"/>
      <c r="P308" s="559"/>
      <c r="Q308" s="559"/>
      <c r="R308" s="559"/>
      <c r="S308" s="559"/>
      <c r="T308" s="559"/>
      <c r="U308" s="559"/>
      <c r="V308" s="559"/>
      <c r="W308" s="559"/>
      <c r="X308" s="559"/>
      <c r="Y308" s="559"/>
      <c r="Z308" s="559"/>
    </row>
    <row r="309" spans="1:26" ht="18" customHeight="1" x14ac:dyDescent="0.35">
      <c r="A309" s="559"/>
      <c r="B309" s="559"/>
      <c r="C309" s="559"/>
      <c r="D309" s="559"/>
      <c r="E309" s="559"/>
      <c r="F309" s="559"/>
      <c r="G309" s="559"/>
      <c r="H309" s="559"/>
      <c r="I309" s="559"/>
      <c r="J309" s="559"/>
      <c r="K309" s="559"/>
      <c r="L309" s="559"/>
      <c r="M309" s="559"/>
      <c r="N309" s="559"/>
      <c r="O309" s="559"/>
      <c r="P309" s="559"/>
      <c r="Q309" s="559"/>
      <c r="R309" s="559"/>
      <c r="S309" s="559"/>
      <c r="T309" s="559"/>
      <c r="U309" s="559"/>
      <c r="V309" s="559"/>
      <c r="W309" s="559"/>
      <c r="X309" s="559"/>
      <c r="Y309" s="559"/>
      <c r="Z309" s="559"/>
    </row>
    <row r="310" spans="1:26" ht="18" customHeight="1" x14ac:dyDescent="0.35">
      <c r="A310" s="559"/>
      <c r="B310" s="559"/>
      <c r="C310" s="559"/>
      <c r="D310" s="559"/>
      <c r="E310" s="559"/>
      <c r="F310" s="559"/>
      <c r="G310" s="559"/>
      <c r="H310" s="559"/>
      <c r="I310" s="559"/>
      <c r="J310" s="559"/>
      <c r="K310" s="559"/>
      <c r="L310" s="559"/>
      <c r="M310" s="559"/>
      <c r="N310" s="559"/>
      <c r="O310" s="559"/>
      <c r="P310" s="559"/>
      <c r="Q310" s="559"/>
      <c r="R310" s="559"/>
      <c r="S310" s="559"/>
      <c r="T310" s="559"/>
      <c r="U310" s="559"/>
      <c r="V310" s="559"/>
      <c r="W310" s="559"/>
      <c r="X310" s="559"/>
      <c r="Y310" s="559"/>
      <c r="Z310" s="559"/>
    </row>
    <row r="311" spans="1:26" ht="18" customHeight="1" x14ac:dyDescent="0.35">
      <c r="A311" s="559"/>
      <c r="B311" s="559"/>
      <c r="C311" s="559"/>
      <c r="D311" s="559"/>
      <c r="E311" s="559"/>
      <c r="F311" s="559"/>
      <c r="G311" s="559"/>
      <c r="H311" s="559"/>
      <c r="I311" s="559"/>
      <c r="J311" s="559"/>
      <c r="K311" s="559"/>
      <c r="L311" s="559"/>
      <c r="M311" s="559"/>
      <c r="N311" s="559"/>
      <c r="O311" s="559"/>
      <c r="P311" s="559"/>
      <c r="Q311" s="559"/>
      <c r="R311" s="559"/>
      <c r="S311" s="559"/>
      <c r="T311" s="559"/>
      <c r="U311" s="559"/>
      <c r="V311" s="559"/>
      <c r="W311" s="559"/>
      <c r="X311" s="559"/>
      <c r="Y311" s="559"/>
      <c r="Z311" s="559"/>
    </row>
    <row r="312" spans="1:26" ht="18" customHeight="1" x14ac:dyDescent="0.35">
      <c r="A312" s="559"/>
      <c r="B312" s="559"/>
      <c r="C312" s="559"/>
      <c r="D312" s="559"/>
      <c r="E312" s="559"/>
      <c r="F312" s="559"/>
      <c r="G312" s="559"/>
      <c r="H312" s="559"/>
      <c r="I312" s="559"/>
      <c r="J312" s="559"/>
      <c r="K312" s="559"/>
      <c r="L312" s="559"/>
      <c r="M312" s="559"/>
      <c r="N312" s="559"/>
      <c r="O312" s="559"/>
      <c r="P312" s="559"/>
      <c r="Q312" s="559"/>
      <c r="R312" s="559"/>
      <c r="S312" s="559"/>
      <c r="T312" s="559"/>
      <c r="U312" s="559"/>
      <c r="V312" s="559"/>
      <c r="W312" s="559"/>
      <c r="X312" s="559"/>
      <c r="Y312" s="559"/>
      <c r="Z312" s="559"/>
    </row>
    <row r="313" spans="1:26" ht="18" customHeight="1" x14ac:dyDescent="0.35">
      <c r="A313" s="559"/>
      <c r="B313" s="559"/>
      <c r="C313" s="559"/>
      <c r="D313" s="559"/>
      <c r="E313" s="559"/>
      <c r="F313" s="559"/>
      <c r="G313" s="559"/>
      <c r="H313" s="559"/>
      <c r="I313" s="559"/>
      <c r="J313" s="559"/>
      <c r="K313" s="559"/>
      <c r="L313" s="559"/>
      <c r="M313" s="559"/>
      <c r="N313" s="559"/>
      <c r="O313" s="559"/>
      <c r="P313" s="559"/>
      <c r="Q313" s="559"/>
      <c r="R313" s="559"/>
      <c r="S313" s="559"/>
      <c r="T313" s="559"/>
      <c r="U313" s="559"/>
      <c r="V313" s="559"/>
      <c r="W313" s="559"/>
      <c r="X313" s="559"/>
      <c r="Y313" s="559"/>
      <c r="Z313" s="559"/>
    </row>
    <row r="314" spans="1:26" ht="18" customHeight="1" x14ac:dyDescent="0.35">
      <c r="A314" s="559"/>
      <c r="B314" s="559"/>
      <c r="C314" s="559"/>
      <c r="D314" s="559"/>
      <c r="E314" s="559"/>
      <c r="F314" s="559"/>
      <c r="G314" s="559"/>
      <c r="H314" s="559"/>
      <c r="I314" s="559"/>
      <c r="J314" s="559"/>
      <c r="K314" s="559"/>
      <c r="L314" s="559"/>
      <c r="M314" s="559"/>
      <c r="N314" s="559"/>
      <c r="O314" s="559"/>
      <c r="P314" s="559"/>
      <c r="Q314" s="559"/>
      <c r="R314" s="559"/>
      <c r="S314" s="559"/>
      <c r="T314" s="559"/>
      <c r="U314" s="559"/>
      <c r="V314" s="559"/>
      <c r="W314" s="559"/>
      <c r="X314" s="559"/>
      <c r="Y314" s="559"/>
      <c r="Z314" s="559"/>
    </row>
    <row r="315" spans="1:26" ht="18" customHeight="1" x14ac:dyDescent="0.35">
      <c r="A315" s="559"/>
      <c r="B315" s="559"/>
      <c r="C315" s="559"/>
      <c r="D315" s="559"/>
      <c r="E315" s="559"/>
      <c r="F315" s="559"/>
      <c r="G315" s="559"/>
      <c r="H315" s="559"/>
      <c r="I315" s="559"/>
      <c r="J315" s="559"/>
      <c r="K315" s="559"/>
      <c r="L315" s="559"/>
      <c r="M315" s="559"/>
      <c r="N315" s="559"/>
      <c r="O315" s="559"/>
      <c r="P315" s="559"/>
      <c r="Q315" s="559"/>
      <c r="R315" s="559"/>
      <c r="S315" s="559"/>
      <c r="T315" s="559"/>
      <c r="U315" s="559"/>
      <c r="V315" s="559"/>
      <c r="W315" s="559"/>
      <c r="X315" s="559"/>
      <c r="Y315" s="559"/>
      <c r="Z315" s="559"/>
    </row>
    <row r="316" spans="1:26" ht="18" customHeight="1" x14ac:dyDescent="0.35">
      <c r="A316" s="559"/>
      <c r="B316" s="559"/>
      <c r="C316" s="559"/>
      <c r="D316" s="559"/>
      <c r="E316" s="559"/>
      <c r="F316" s="559"/>
      <c r="G316" s="559"/>
      <c r="H316" s="559"/>
      <c r="I316" s="559"/>
      <c r="J316" s="559"/>
      <c r="K316" s="559"/>
      <c r="L316" s="559"/>
      <c r="M316" s="559"/>
      <c r="N316" s="559"/>
      <c r="O316" s="559"/>
      <c r="P316" s="559"/>
      <c r="Q316" s="559"/>
      <c r="R316" s="559"/>
      <c r="S316" s="559"/>
      <c r="T316" s="559"/>
      <c r="U316" s="559"/>
      <c r="V316" s="559"/>
      <c r="W316" s="559"/>
      <c r="X316" s="559"/>
      <c r="Y316" s="559"/>
      <c r="Z316" s="559"/>
    </row>
    <row r="317" spans="1:26" ht="18" customHeight="1" x14ac:dyDescent="0.35">
      <c r="A317" s="559"/>
      <c r="B317" s="559"/>
      <c r="C317" s="559"/>
      <c r="D317" s="559"/>
      <c r="E317" s="559"/>
      <c r="F317" s="559"/>
      <c r="G317" s="559"/>
      <c r="H317" s="559"/>
      <c r="I317" s="559"/>
      <c r="J317" s="559"/>
      <c r="K317" s="559"/>
      <c r="L317" s="559"/>
      <c r="M317" s="559"/>
      <c r="N317" s="559"/>
      <c r="O317" s="559"/>
      <c r="P317" s="559"/>
      <c r="Q317" s="559"/>
      <c r="R317" s="559"/>
      <c r="S317" s="559"/>
      <c r="T317" s="559"/>
      <c r="U317" s="559"/>
      <c r="V317" s="559"/>
      <c r="W317" s="559"/>
      <c r="X317" s="559"/>
      <c r="Y317" s="559"/>
      <c r="Z317" s="559"/>
    </row>
    <row r="318" spans="1:26" ht="18" customHeight="1" x14ac:dyDescent="0.35">
      <c r="A318" s="559"/>
      <c r="B318" s="559"/>
      <c r="C318" s="559"/>
      <c r="D318" s="559"/>
      <c r="E318" s="559"/>
      <c r="F318" s="559"/>
      <c r="G318" s="559"/>
      <c r="H318" s="559"/>
      <c r="I318" s="559"/>
      <c r="J318" s="559"/>
      <c r="K318" s="559"/>
      <c r="L318" s="559"/>
      <c r="M318" s="559"/>
      <c r="N318" s="559"/>
      <c r="O318" s="559"/>
      <c r="P318" s="559"/>
      <c r="Q318" s="559"/>
      <c r="R318" s="559"/>
      <c r="S318" s="559"/>
      <c r="T318" s="559"/>
      <c r="U318" s="559"/>
      <c r="V318" s="559"/>
      <c r="W318" s="559"/>
      <c r="X318" s="559"/>
      <c r="Y318" s="559"/>
      <c r="Z318" s="559"/>
    </row>
    <row r="319" spans="1:26" ht="18" customHeight="1" x14ac:dyDescent="0.35">
      <c r="A319" s="559"/>
      <c r="B319" s="559"/>
      <c r="C319" s="559"/>
      <c r="D319" s="559"/>
      <c r="E319" s="559"/>
      <c r="F319" s="559"/>
      <c r="G319" s="559"/>
      <c r="H319" s="559"/>
      <c r="I319" s="559"/>
      <c r="J319" s="559"/>
      <c r="K319" s="559"/>
      <c r="L319" s="559"/>
      <c r="M319" s="559"/>
      <c r="N319" s="559"/>
      <c r="O319" s="559"/>
      <c r="P319" s="559"/>
      <c r="Q319" s="559"/>
      <c r="R319" s="559"/>
      <c r="S319" s="559"/>
      <c r="T319" s="559"/>
      <c r="U319" s="559"/>
      <c r="V319" s="559"/>
      <c r="W319" s="559"/>
      <c r="X319" s="559"/>
      <c r="Y319" s="559"/>
      <c r="Z319" s="559"/>
    </row>
    <row r="320" spans="1:26" ht="18" customHeight="1" x14ac:dyDescent="0.35">
      <c r="A320" s="559"/>
      <c r="B320" s="559"/>
      <c r="C320" s="559"/>
      <c r="D320" s="559"/>
      <c r="E320" s="559"/>
      <c r="F320" s="559"/>
      <c r="G320" s="559"/>
      <c r="H320" s="559"/>
      <c r="I320" s="559"/>
      <c r="J320" s="559"/>
      <c r="K320" s="559"/>
      <c r="L320" s="559"/>
      <c r="M320" s="559"/>
      <c r="N320" s="559"/>
      <c r="O320" s="559"/>
      <c r="P320" s="559"/>
      <c r="Q320" s="559"/>
      <c r="R320" s="559"/>
      <c r="S320" s="559"/>
      <c r="T320" s="559"/>
      <c r="U320" s="559"/>
      <c r="V320" s="559"/>
      <c r="W320" s="559"/>
      <c r="X320" s="559"/>
      <c r="Y320" s="559"/>
      <c r="Z320" s="559"/>
    </row>
    <row r="321" spans="1:26" ht="18" customHeight="1" x14ac:dyDescent="0.35">
      <c r="A321" s="559"/>
      <c r="B321" s="559"/>
      <c r="C321" s="559"/>
      <c r="D321" s="559"/>
      <c r="E321" s="559"/>
      <c r="F321" s="559"/>
      <c r="G321" s="559"/>
      <c r="H321" s="559"/>
      <c r="I321" s="559"/>
      <c r="J321" s="559"/>
      <c r="K321" s="559"/>
      <c r="L321" s="559"/>
      <c r="M321" s="559"/>
      <c r="N321" s="559"/>
      <c r="O321" s="559"/>
      <c r="P321" s="559"/>
      <c r="Q321" s="559"/>
      <c r="R321" s="559"/>
      <c r="S321" s="559"/>
      <c r="T321" s="559"/>
      <c r="U321" s="559"/>
      <c r="V321" s="559"/>
      <c r="W321" s="559"/>
      <c r="X321" s="559"/>
      <c r="Y321" s="559"/>
      <c r="Z321" s="559"/>
    </row>
    <row r="322" spans="1:26" ht="18" customHeight="1" x14ac:dyDescent="0.35">
      <c r="A322" s="559"/>
      <c r="B322" s="559"/>
      <c r="C322" s="559"/>
      <c r="D322" s="559"/>
      <c r="E322" s="559"/>
      <c r="F322" s="559"/>
      <c r="G322" s="559"/>
      <c r="H322" s="559"/>
      <c r="I322" s="559"/>
      <c r="J322" s="559"/>
      <c r="K322" s="559"/>
      <c r="L322" s="559"/>
      <c r="M322" s="559"/>
      <c r="N322" s="559"/>
      <c r="O322" s="559"/>
      <c r="P322" s="559"/>
      <c r="Q322" s="559"/>
      <c r="R322" s="559"/>
      <c r="S322" s="559"/>
      <c r="T322" s="559"/>
      <c r="U322" s="559"/>
      <c r="V322" s="559"/>
      <c r="W322" s="559"/>
      <c r="X322" s="559"/>
      <c r="Y322" s="559"/>
      <c r="Z322" s="559"/>
    </row>
    <row r="323" spans="1:26" ht="18" customHeight="1" x14ac:dyDescent="0.35">
      <c r="A323" s="559"/>
      <c r="B323" s="559"/>
      <c r="C323" s="559"/>
      <c r="D323" s="559"/>
      <c r="E323" s="559"/>
      <c r="F323" s="559"/>
      <c r="G323" s="559"/>
      <c r="H323" s="559"/>
      <c r="I323" s="559"/>
      <c r="J323" s="559"/>
      <c r="K323" s="559"/>
      <c r="L323" s="559"/>
      <c r="M323" s="559"/>
      <c r="N323" s="559"/>
      <c r="O323" s="559"/>
      <c r="P323" s="559"/>
      <c r="Q323" s="559"/>
      <c r="R323" s="559"/>
      <c r="S323" s="559"/>
      <c r="T323" s="559"/>
      <c r="U323" s="559"/>
      <c r="V323" s="559"/>
      <c r="W323" s="559"/>
      <c r="X323" s="559"/>
      <c r="Y323" s="559"/>
      <c r="Z323" s="559"/>
    </row>
    <row r="324" spans="1:26" ht="18" customHeight="1" x14ac:dyDescent="0.35">
      <c r="A324" s="559"/>
      <c r="B324" s="559"/>
      <c r="C324" s="559"/>
      <c r="D324" s="559"/>
      <c r="E324" s="559"/>
      <c r="F324" s="559"/>
      <c r="G324" s="559"/>
      <c r="H324" s="559"/>
      <c r="I324" s="559"/>
      <c r="J324" s="559"/>
      <c r="K324" s="559"/>
      <c r="L324" s="559"/>
      <c r="M324" s="559"/>
      <c r="N324" s="559"/>
      <c r="O324" s="559"/>
      <c r="P324" s="559"/>
      <c r="Q324" s="559"/>
      <c r="R324" s="559"/>
      <c r="S324" s="559"/>
      <c r="T324" s="559"/>
      <c r="U324" s="559"/>
      <c r="V324" s="559"/>
      <c r="W324" s="559"/>
      <c r="X324" s="559"/>
      <c r="Y324" s="559"/>
      <c r="Z324" s="559"/>
    </row>
    <row r="325" spans="1:26" ht="18" customHeight="1" x14ac:dyDescent="0.35">
      <c r="A325" s="559"/>
      <c r="B325" s="559"/>
      <c r="C325" s="559"/>
      <c r="D325" s="559"/>
      <c r="E325" s="559"/>
      <c r="F325" s="559"/>
      <c r="G325" s="559"/>
      <c r="H325" s="559"/>
      <c r="I325" s="559"/>
      <c r="J325" s="559"/>
      <c r="K325" s="559"/>
      <c r="L325" s="559"/>
      <c r="M325" s="559"/>
      <c r="N325" s="559"/>
      <c r="O325" s="559"/>
      <c r="P325" s="559"/>
      <c r="Q325" s="559"/>
      <c r="R325" s="559"/>
      <c r="S325" s="559"/>
      <c r="T325" s="559"/>
      <c r="U325" s="559"/>
      <c r="V325" s="559"/>
      <c r="W325" s="559"/>
      <c r="X325" s="559"/>
      <c r="Y325" s="559"/>
      <c r="Z325" s="559"/>
    </row>
    <row r="326" spans="1:26" ht="18" customHeight="1" x14ac:dyDescent="0.35">
      <c r="A326" s="559"/>
      <c r="B326" s="559"/>
      <c r="C326" s="559"/>
      <c r="D326" s="559"/>
      <c r="E326" s="559"/>
      <c r="F326" s="559"/>
      <c r="G326" s="559"/>
      <c r="H326" s="559"/>
      <c r="I326" s="559"/>
      <c r="J326" s="559"/>
      <c r="K326" s="559"/>
      <c r="L326" s="559"/>
      <c r="M326" s="559"/>
      <c r="N326" s="559"/>
      <c r="O326" s="559"/>
      <c r="P326" s="559"/>
      <c r="Q326" s="559"/>
      <c r="R326" s="559"/>
      <c r="S326" s="559"/>
      <c r="T326" s="559"/>
      <c r="U326" s="559"/>
      <c r="V326" s="559"/>
      <c r="W326" s="559"/>
      <c r="X326" s="559"/>
      <c r="Y326" s="559"/>
      <c r="Z326" s="559"/>
    </row>
    <row r="327" spans="1:26" ht="18" customHeight="1" x14ac:dyDescent="0.35">
      <c r="A327" s="559"/>
      <c r="B327" s="559"/>
      <c r="C327" s="559"/>
      <c r="D327" s="559"/>
      <c r="E327" s="559"/>
      <c r="F327" s="559"/>
      <c r="G327" s="559"/>
      <c r="H327" s="559"/>
      <c r="I327" s="559"/>
      <c r="J327" s="559"/>
      <c r="K327" s="559"/>
      <c r="L327" s="559"/>
      <c r="M327" s="559"/>
      <c r="N327" s="559"/>
      <c r="O327" s="559"/>
      <c r="P327" s="559"/>
      <c r="Q327" s="559"/>
      <c r="R327" s="559"/>
      <c r="S327" s="559"/>
      <c r="T327" s="559"/>
      <c r="U327" s="559"/>
      <c r="V327" s="559"/>
      <c r="W327" s="559"/>
      <c r="X327" s="559"/>
      <c r="Y327" s="559"/>
      <c r="Z327" s="559"/>
    </row>
    <row r="328" spans="1:26" ht="18" customHeight="1" x14ac:dyDescent="0.35">
      <c r="A328" s="559"/>
      <c r="B328" s="559"/>
      <c r="C328" s="559"/>
      <c r="D328" s="559"/>
      <c r="E328" s="559"/>
      <c r="F328" s="559"/>
      <c r="G328" s="559"/>
      <c r="H328" s="559"/>
      <c r="I328" s="559"/>
      <c r="J328" s="559"/>
      <c r="K328" s="559"/>
      <c r="L328" s="559"/>
      <c r="M328" s="559"/>
      <c r="N328" s="559"/>
      <c r="O328" s="559"/>
      <c r="P328" s="559"/>
      <c r="Q328" s="559"/>
      <c r="R328" s="559"/>
      <c r="S328" s="559"/>
      <c r="T328" s="559"/>
      <c r="U328" s="559"/>
      <c r="V328" s="559"/>
      <c r="W328" s="559"/>
      <c r="X328" s="559"/>
      <c r="Y328" s="559"/>
      <c r="Z328" s="559"/>
    </row>
    <row r="329" spans="1:26" ht="18" customHeight="1" x14ac:dyDescent="0.35">
      <c r="A329" s="559"/>
      <c r="B329" s="559"/>
      <c r="C329" s="559"/>
      <c r="D329" s="559"/>
      <c r="E329" s="559"/>
      <c r="F329" s="559"/>
      <c r="G329" s="559"/>
      <c r="H329" s="559"/>
      <c r="I329" s="559"/>
      <c r="J329" s="559"/>
      <c r="K329" s="559"/>
      <c r="L329" s="559"/>
      <c r="M329" s="559"/>
      <c r="N329" s="559"/>
      <c r="O329" s="559"/>
      <c r="P329" s="559"/>
      <c r="Q329" s="559"/>
      <c r="R329" s="559"/>
      <c r="S329" s="559"/>
      <c r="T329" s="559"/>
      <c r="U329" s="559"/>
      <c r="V329" s="559"/>
      <c r="W329" s="559"/>
      <c r="X329" s="559"/>
      <c r="Y329" s="559"/>
      <c r="Z329" s="559"/>
    </row>
    <row r="330" spans="1:26" ht="18" customHeight="1" x14ac:dyDescent="0.35">
      <c r="A330" s="559"/>
      <c r="B330" s="559"/>
      <c r="C330" s="559"/>
      <c r="D330" s="559"/>
      <c r="E330" s="559"/>
      <c r="F330" s="559"/>
      <c r="G330" s="559"/>
      <c r="H330" s="559"/>
      <c r="I330" s="559"/>
      <c r="J330" s="559"/>
      <c r="K330" s="559"/>
      <c r="L330" s="559"/>
      <c r="M330" s="559"/>
      <c r="N330" s="559"/>
      <c r="O330" s="559"/>
      <c r="P330" s="559"/>
      <c r="Q330" s="559"/>
      <c r="R330" s="559"/>
      <c r="S330" s="559"/>
      <c r="T330" s="559"/>
      <c r="U330" s="559"/>
      <c r="V330" s="559"/>
      <c r="W330" s="559"/>
      <c r="X330" s="559"/>
      <c r="Y330" s="559"/>
      <c r="Z330" s="559"/>
    </row>
    <row r="331" spans="1:26" ht="18" customHeight="1" x14ac:dyDescent="0.35">
      <c r="A331" s="559"/>
      <c r="B331" s="559"/>
      <c r="C331" s="559"/>
      <c r="D331" s="559"/>
      <c r="E331" s="559"/>
      <c r="F331" s="559"/>
      <c r="G331" s="559"/>
      <c r="H331" s="559"/>
      <c r="I331" s="559"/>
      <c r="J331" s="559"/>
      <c r="K331" s="559"/>
      <c r="L331" s="559"/>
      <c r="M331" s="559"/>
      <c r="N331" s="559"/>
      <c r="O331" s="559"/>
      <c r="P331" s="559"/>
      <c r="Q331" s="559"/>
      <c r="R331" s="559"/>
      <c r="S331" s="559"/>
      <c r="T331" s="559"/>
      <c r="U331" s="559"/>
      <c r="V331" s="559"/>
      <c r="W331" s="559"/>
      <c r="X331" s="559"/>
      <c r="Y331" s="559"/>
      <c r="Z331" s="559"/>
    </row>
    <row r="332" spans="1:26" ht="18" customHeight="1" x14ac:dyDescent="0.35">
      <c r="A332" s="559"/>
      <c r="B332" s="559"/>
      <c r="C332" s="559"/>
      <c r="D332" s="559"/>
      <c r="E332" s="559"/>
      <c r="F332" s="559"/>
      <c r="G332" s="559"/>
      <c r="H332" s="559"/>
      <c r="I332" s="559"/>
      <c r="J332" s="559"/>
      <c r="K332" s="559"/>
      <c r="L332" s="559"/>
      <c r="M332" s="559"/>
      <c r="N332" s="559"/>
      <c r="O332" s="559"/>
      <c r="P332" s="559"/>
      <c r="Q332" s="559"/>
      <c r="R332" s="559"/>
      <c r="S332" s="559"/>
      <c r="T332" s="559"/>
      <c r="U332" s="559"/>
      <c r="V332" s="559"/>
      <c r="W332" s="559"/>
      <c r="X332" s="559"/>
      <c r="Y332" s="559"/>
      <c r="Z332" s="559"/>
    </row>
    <row r="333" spans="1:26" ht="18" customHeight="1" x14ac:dyDescent="0.35">
      <c r="A333" s="559"/>
      <c r="B333" s="559"/>
      <c r="C333" s="559"/>
      <c r="D333" s="559"/>
      <c r="E333" s="559"/>
      <c r="F333" s="559"/>
      <c r="G333" s="559"/>
      <c r="H333" s="559"/>
      <c r="I333" s="559"/>
      <c r="J333" s="559"/>
      <c r="K333" s="559"/>
      <c r="L333" s="559"/>
      <c r="M333" s="559"/>
      <c r="N333" s="559"/>
      <c r="O333" s="559"/>
      <c r="P333" s="559"/>
      <c r="Q333" s="559"/>
      <c r="R333" s="559"/>
      <c r="S333" s="559"/>
      <c r="T333" s="559"/>
      <c r="U333" s="559"/>
      <c r="V333" s="559"/>
      <c r="W333" s="559"/>
      <c r="X333" s="559"/>
      <c r="Y333" s="559"/>
      <c r="Z333" s="559"/>
    </row>
    <row r="334" spans="1:26" ht="18" customHeight="1" x14ac:dyDescent="0.35">
      <c r="A334" s="559"/>
      <c r="B334" s="559"/>
      <c r="C334" s="559"/>
      <c r="D334" s="559"/>
      <c r="E334" s="559"/>
      <c r="F334" s="559"/>
      <c r="G334" s="559"/>
      <c r="H334" s="559"/>
      <c r="I334" s="559"/>
      <c r="J334" s="559"/>
      <c r="K334" s="559"/>
      <c r="L334" s="559"/>
      <c r="M334" s="559"/>
      <c r="N334" s="559"/>
      <c r="O334" s="559"/>
      <c r="P334" s="559"/>
      <c r="Q334" s="559"/>
      <c r="R334" s="559"/>
      <c r="S334" s="559"/>
      <c r="T334" s="559"/>
      <c r="U334" s="559"/>
      <c r="V334" s="559"/>
      <c r="W334" s="559"/>
      <c r="X334" s="559"/>
      <c r="Y334" s="559"/>
      <c r="Z334" s="559"/>
    </row>
    <row r="335" spans="1:26" ht="18" customHeight="1" x14ac:dyDescent="0.35">
      <c r="A335" s="559"/>
      <c r="B335" s="559"/>
      <c r="C335" s="559"/>
      <c r="D335" s="559"/>
      <c r="E335" s="559"/>
      <c r="F335" s="559"/>
      <c r="G335" s="559"/>
      <c r="H335" s="559"/>
      <c r="I335" s="559"/>
      <c r="J335" s="559"/>
      <c r="K335" s="559"/>
      <c r="L335" s="559"/>
      <c r="M335" s="559"/>
      <c r="N335" s="559"/>
      <c r="O335" s="559"/>
      <c r="P335" s="559"/>
      <c r="Q335" s="559"/>
      <c r="R335" s="559"/>
      <c r="S335" s="559"/>
      <c r="T335" s="559"/>
      <c r="U335" s="559"/>
      <c r="V335" s="559"/>
      <c r="W335" s="559"/>
      <c r="X335" s="559"/>
      <c r="Y335" s="559"/>
      <c r="Z335" s="559"/>
    </row>
    <row r="336" spans="1:26" ht="18" customHeight="1" x14ac:dyDescent="0.35">
      <c r="A336" s="559"/>
      <c r="B336" s="559"/>
      <c r="C336" s="559"/>
      <c r="D336" s="559"/>
      <c r="E336" s="559"/>
      <c r="F336" s="559"/>
      <c r="G336" s="559"/>
      <c r="H336" s="559"/>
      <c r="I336" s="559"/>
      <c r="J336" s="559"/>
      <c r="K336" s="559"/>
      <c r="L336" s="559"/>
      <c r="M336" s="559"/>
      <c r="N336" s="559"/>
      <c r="O336" s="559"/>
      <c r="P336" s="559"/>
      <c r="Q336" s="559"/>
      <c r="R336" s="559"/>
      <c r="S336" s="559"/>
      <c r="T336" s="559"/>
      <c r="U336" s="559"/>
      <c r="V336" s="559"/>
      <c r="W336" s="559"/>
      <c r="X336" s="559"/>
      <c r="Y336" s="559"/>
      <c r="Z336" s="559"/>
    </row>
    <row r="337" spans="1:26" ht="18" customHeight="1" x14ac:dyDescent="0.35">
      <c r="A337" s="559"/>
      <c r="B337" s="559"/>
      <c r="C337" s="559"/>
      <c r="D337" s="559"/>
      <c r="E337" s="559"/>
      <c r="F337" s="559"/>
      <c r="G337" s="559"/>
      <c r="H337" s="559"/>
      <c r="I337" s="559"/>
      <c r="J337" s="559"/>
      <c r="K337" s="559"/>
      <c r="L337" s="559"/>
      <c r="M337" s="559"/>
      <c r="N337" s="559"/>
      <c r="O337" s="559"/>
      <c r="P337" s="559"/>
      <c r="Q337" s="559"/>
      <c r="R337" s="559"/>
      <c r="S337" s="559"/>
      <c r="T337" s="559"/>
      <c r="U337" s="559"/>
      <c r="V337" s="559"/>
      <c r="W337" s="559"/>
      <c r="X337" s="559"/>
      <c r="Y337" s="559"/>
      <c r="Z337" s="559"/>
    </row>
    <row r="338" spans="1:26" ht="18" customHeight="1" x14ac:dyDescent="0.35">
      <c r="A338" s="559"/>
      <c r="B338" s="559"/>
      <c r="C338" s="559"/>
      <c r="D338" s="559"/>
      <c r="E338" s="559"/>
      <c r="F338" s="559"/>
      <c r="G338" s="559"/>
      <c r="H338" s="559"/>
      <c r="I338" s="559"/>
      <c r="J338" s="559"/>
      <c r="K338" s="559"/>
      <c r="L338" s="559"/>
      <c r="M338" s="559"/>
      <c r="N338" s="559"/>
      <c r="O338" s="559"/>
      <c r="P338" s="559"/>
      <c r="Q338" s="559"/>
      <c r="R338" s="559"/>
      <c r="S338" s="559"/>
      <c r="T338" s="559"/>
      <c r="U338" s="559"/>
      <c r="V338" s="559"/>
      <c r="W338" s="559"/>
      <c r="X338" s="559"/>
      <c r="Y338" s="559"/>
      <c r="Z338" s="559"/>
    </row>
    <row r="339" spans="1:26" ht="18" customHeight="1" x14ac:dyDescent="0.35">
      <c r="A339" s="559"/>
      <c r="B339" s="559"/>
      <c r="C339" s="559"/>
      <c r="D339" s="559"/>
      <c r="E339" s="559"/>
      <c r="F339" s="559"/>
      <c r="G339" s="559"/>
      <c r="H339" s="559"/>
      <c r="I339" s="559"/>
      <c r="J339" s="559"/>
      <c r="K339" s="559"/>
      <c r="L339" s="559"/>
      <c r="M339" s="559"/>
      <c r="N339" s="559"/>
      <c r="O339" s="559"/>
      <c r="P339" s="559"/>
      <c r="Q339" s="559"/>
      <c r="R339" s="559"/>
      <c r="S339" s="559"/>
      <c r="T339" s="559"/>
      <c r="U339" s="559"/>
      <c r="V339" s="559"/>
      <c r="W339" s="559"/>
      <c r="X339" s="559"/>
      <c r="Y339" s="559"/>
      <c r="Z339" s="559"/>
    </row>
    <row r="340" spans="1:26" ht="18" customHeight="1" x14ac:dyDescent="0.35">
      <c r="A340" s="559"/>
      <c r="B340" s="559"/>
      <c r="C340" s="559"/>
      <c r="D340" s="559"/>
      <c r="E340" s="559"/>
      <c r="F340" s="559"/>
      <c r="G340" s="559"/>
      <c r="H340" s="559"/>
      <c r="I340" s="559"/>
      <c r="J340" s="559"/>
      <c r="K340" s="559"/>
      <c r="L340" s="559"/>
      <c r="M340" s="559"/>
      <c r="N340" s="559"/>
      <c r="O340" s="559"/>
      <c r="P340" s="559"/>
      <c r="Q340" s="559"/>
      <c r="R340" s="559"/>
      <c r="S340" s="559"/>
      <c r="T340" s="559"/>
      <c r="U340" s="559"/>
      <c r="V340" s="559"/>
      <c r="W340" s="559"/>
      <c r="X340" s="559"/>
      <c r="Y340" s="559"/>
      <c r="Z340" s="559"/>
    </row>
    <row r="341" spans="1:26" ht="18" customHeight="1" x14ac:dyDescent="0.35">
      <c r="A341" s="559"/>
      <c r="B341" s="559"/>
      <c r="C341" s="559"/>
      <c r="D341" s="559"/>
      <c r="E341" s="559"/>
      <c r="F341" s="559"/>
      <c r="G341" s="559"/>
      <c r="H341" s="559"/>
      <c r="I341" s="559"/>
      <c r="J341" s="559"/>
      <c r="K341" s="559"/>
      <c r="L341" s="559"/>
      <c r="M341" s="559"/>
      <c r="N341" s="559"/>
      <c r="O341" s="559"/>
      <c r="P341" s="559"/>
      <c r="Q341" s="559"/>
      <c r="R341" s="559"/>
      <c r="S341" s="559"/>
      <c r="T341" s="559"/>
      <c r="U341" s="559"/>
      <c r="V341" s="559"/>
      <c r="W341" s="559"/>
      <c r="X341" s="559"/>
      <c r="Y341" s="559"/>
      <c r="Z341" s="559"/>
    </row>
    <row r="342" spans="1:26" ht="18" customHeight="1" x14ac:dyDescent="0.35">
      <c r="A342" s="559"/>
      <c r="B342" s="559"/>
      <c r="C342" s="559"/>
      <c r="D342" s="559"/>
      <c r="E342" s="559"/>
      <c r="F342" s="559"/>
      <c r="G342" s="559"/>
      <c r="H342" s="559"/>
      <c r="I342" s="559"/>
      <c r="J342" s="559"/>
      <c r="K342" s="559"/>
      <c r="L342" s="559"/>
      <c r="M342" s="559"/>
      <c r="N342" s="559"/>
      <c r="O342" s="559"/>
      <c r="P342" s="559"/>
      <c r="Q342" s="559"/>
      <c r="R342" s="559"/>
      <c r="S342" s="559"/>
      <c r="T342" s="559"/>
      <c r="U342" s="559"/>
      <c r="V342" s="559"/>
      <c r="W342" s="559"/>
      <c r="X342" s="559"/>
      <c r="Y342" s="559"/>
      <c r="Z342" s="559"/>
    </row>
    <row r="343" spans="1:26" ht="18" customHeight="1" x14ac:dyDescent="0.35">
      <c r="A343" s="559"/>
      <c r="B343" s="559"/>
      <c r="C343" s="559"/>
      <c r="D343" s="559"/>
      <c r="E343" s="559"/>
      <c r="F343" s="559"/>
      <c r="G343" s="559"/>
      <c r="H343" s="559"/>
      <c r="I343" s="559"/>
      <c r="J343" s="559"/>
      <c r="K343" s="559"/>
      <c r="L343" s="559"/>
      <c r="M343" s="559"/>
      <c r="N343" s="559"/>
      <c r="O343" s="559"/>
      <c r="P343" s="559"/>
      <c r="Q343" s="559"/>
      <c r="R343" s="559"/>
      <c r="S343" s="559"/>
      <c r="T343" s="559"/>
      <c r="U343" s="559"/>
      <c r="V343" s="559"/>
      <c r="W343" s="559"/>
      <c r="X343" s="559"/>
      <c r="Y343" s="559"/>
      <c r="Z343" s="559"/>
    </row>
    <row r="344" spans="1:26" ht="18" customHeight="1" x14ac:dyDescent="0.35">
      <c r="A344" s="559"/>
      <c r="B344" s="559"/>
      <c r="C344" s="559"/>
      <c r="D344" s="559"/>
      <c r="E344" s="559"/>
      <c r="F344" s="559"/>
      <c r="G344" s="559"/>
      <c r="H344" s="559"/>
      <c r="I344" s="559"/>
      <c r="J344" s="559"/>
      <c r="K344" s="559"/>
      <c r="L344" s="559"/>
      <c r="M344" s="559"/>
      <c r="N344" s="559"/>
      <c r="O344" s="559"/>
      <c r="P344" s="559"/>
      <c r="Q344" s="559"/>
      <c r="R344" s="559"/>
      <c r="S344" s="559"/>
      <c r="T344" s="559"/>
      <c r="U344" s="559"/>
      <c r="V344" s="559"/>
      <c r="W344" s="559"/>
      <c r="X344" s="559"/>
      <c r="Y344" s="559"/>
      <c r="Z344" s="559"/>
    </row>
    <row r="345" spans="1:26" ht="18" customHeight="1" x14ac:dyDescent="0.35">
      <c r="A345" s="559"/>
      <c r="B345" s="559"/>
      <c r="C345" s="559"/>
      <c r="D345" s="559"/>
      <c r="E345" s="559"/>
      <c r="F345" s="559"/>
      <c r="G345" s="559"/>
      <c r="H345" s="559"/>
      <c r="I345" s="559"/>
      <c r="J345" s="559"/>
      <c r="K345" s="559"/>
      <c r="L345" s="559"/>
      <c r="M345" s="559"/>
      <c r="N345" s="559"/>
      <c r="O345" s="559"/>
      <c r="P345" s="559"/>
      <c r="Q345" s="559"/>
      <c r="R345" s="559"/>
      <c r="S345" s="559"/>
      <c r="T345" s="559"/>
      <c r="U345" s="559"/>
      <c r="V345" s="559"/>
      <c r="W345" s="559"/>
      <c r="X345" s="559"/>
      <c r="Y345" s="559"/>
      <c r="Z345" s="559"/>
    </row>
    <row r="346" spans="1:26" ht="18" customHeight="1" x14ac:dyDescent="0.35">
      <c r="A346" s="559"/>
      <c r="B346" s="559"/>
      <c r="C346" s="559"/>
      <c r="D346" s="559"/>
      <c r="E346" s="559"/>
      <c r="F346" s="559"/>
      <c r="G346" s="559"/>
      <c r="H346" s="559"/>
      <c r="I346" s="559"/>
      <c r="J346" s="559"/>
      <c r="K346" s="559"/>
      <c r="L346" s="559"/>
      <c r="M346" s="559"/>
      <c r="N346" s="559"/>
      <c r="O346" s="559"/>
      <c r="P346" s="559"/>
      <c r="Q346" s="559"/>
      <c r="R346" s="559"/>
      <c r="S346" s="559"/>
      <c r="T346" s="559"/>
      <c r="U346" s="559"/>
      <c r="V346" s="559"/>
      <c r="W346" s="559"/>
      <c r="X346" s="559"/>
      <c r="Y346" s="559"/>
      <c r="Z346" s="559"/>
    </row>
    <row r="347" spans="1:26" ht="18" customHeight="1" x14ac:dyDescent="0.35">
      <c r="A347" s="559"/>
      <c r="B347" s="559"/>
      <c r="C347" s="559"/>
      <c r="D347" s="559"/>
      <c r="E347" s="559"/>
      <c r="F347" s="559"/>
      <c r="G347" s="559"/>
      <c r="H347" s="559"/>
      <c r="I347" s="559"/>
      <c r="J347" s="559"/>
      <c r="K347" s="559"/>
      <c r="L347" s="559"/>
      <c r="M347" s="559"/>
      <c r="N347" s="559"/>
      <c r="O347" s="559"/>
      <c r="P347" s="559"/>
      <c r="Q347" s="559"/>
      <c r="R347" s="559"/>
      <c r="S347" s="559"/>
      <c r="T347" s="559"/>
      <c r="U347" s="559"/>
      <c r="V347" s="559"/>
      <c r="W347" s="559"/>
      <c r="X347" s="559"/>
      <c r="Y347" s="559"/>
      <c r="Z347" s="559"/>
    </row>
    <row r="348" spans="1:26" ht="18" customHeight="1" x14ac:dyDescent="0.35">
      <c r="A348" s="559"/>
      <c r="B348" s="559"/>
      <c r="C348" s="559"/>
      <c r="D348" s="559"/>
      <c r="E348" s="559"/>
      <c r="F348" s="559"/>
      <c r="G348" s="559"/>
      <c r="H348" s="559"/>
      <c r="I348" s="559"/>
      <c r="J348" s="559"/>
      <c r="K348" s="559"/>
      <c r="L348" s="559"/>
      <c r="M348" s="559"/>
      <c r="N348" s="559"/>
      <c r="O348" s="559"/>
      <c r="P348" s="559"/>
      <c r="Q348" s="559"/>
      <c r="R348" s="559"/>
      <c r="S348" s="559"/>
      <c r="T348" s="559"/>
      <c r="U348" s="559"/>
      <c r="V348" s="559"/>
      <c r="W348" s="559"/>
      <c r="X348" s="559"/>
      <c r="Y348" s="559"/>
      <c r="Z348" s="559"/>
    </row>
    <row r="349" spans="1:26" ht="18" customHeight="1" x14ac:dyDescent="0.35">
      <c r="A349" s="559"/>
      <c r="B349" s="559"/>
      <c r="C349" s="559"/>
      <c r="D349" s="559"/>
      <c r="E349" s="559"/>
      <c r="F349" s="559"/>
      <c r="G349" s="559"/>
      <c r="H349" s="559"/>
      <c r="I349" s="559"/>
      <c r="J349" s="559"/>
      <c r="K349" s="559"/>
      <c r="L349" s="559"/>
      <c r="M349" s="559"/>
      <c r="N349" s="559"/>
      <c r="O349" s="559"/>
      <c r="P349" s="559"/>
      <c r="Q349" s="559"/>
      <c r="R349" s="559"/>
      <c r="S349" s="559"/>
      <c r="T349" s="559"/>
      <c r="U349" s="559"/>
      <c r="V349" s="559"/>
      <c r="W349" s="559"/>
      <c r="X349" s="559"/>
      <c r="Y349" s="559"/>
      <c r="Z349" s="559"/>
    </row>
    <row r="350" spans="1:26" ht="18" customHeight="1" x14ac:dyDescent="0.35">
      <c r="A350" s="559"/>
      <c r="B350" s="559"/>
      <c r="C350" s="559"/>
      <c r="D350" s="559"/>
      <c r="E350" s="559"/>
      <c r="F350" s="559"/>
      <c r="G350" s="559"/>
      <c r="H350" s="559"/>
      <c r="I350" s="559"/>
      <c r="J350" s="559"/>
      <c r="K350" s="559"/>
      <c r="L350" s="559"/>
      <c r="M350" s="559"/>
      <c r="N350" s="559"/>
      <c r="O350" s="559"/>
      <c r="P350" s="559"/>
      <c r="Q350" s="559"/>
      <c r="R350" s="559"/>
      <c r="S350" s="559"/>
      <c r="T350" s="559"/>
      <c r="U350" s="559"/>
      <c r="V350" s="559"/>
      <c r="W350" s="559"/>
      <c r="X350" s="559"/>
      <c r="Y350" s="559"/>
      <c r="Z350" s="559"/>
    </row>
    <row r="351" spans="1:26" ht="18" customHeight="1" x14ac:dyDescent="0.35">
      <c r="A351" s="559"/>
      <c r="B351" s="559"/>
      <c r="C351" s="559"/>
      <c r="D351" s="559"/>
      <c r="E351" s="559"/>
      <c r="F351" s="559"/>
      <c r="G351" s="559"/>
      <c r="H351" s="559"/>
      <c r="I351" s="559"/>
      <c r="J351" s="559"/>
      <c r="K351" s="559"/>
      <c r="L351" s="559"/>
      <c r="M351" s="559"/>
      <c r="N351" s="559"/>
      <c r="O351" s="559"/>
      <c r="P351" s="559"/>
      <c r="Q351" s="559"/>
      <c r="R351" s="559"/>
      <c r="S351" s="559"/>
      <c r="T351" s="559"/>
      <c r="U351" s="559"/>
      <c r="V351" s="559"/>
      <c r="W351" s="559"/>
      <c r="X351" s="559"/>
      <c r="Y351" s="559"/>
      <c r="Z351" s="559"/>
    </row>
    <row r="352" spans="1:26" ht="18" customHeight="1" x14ac:dyDescent="0.35">
      <c r="A352" s="559"/>
      <c r="B352" s="559"/>
      <c r="C352" s="559"/>
      <c r="D352" s="559"/>
      <c r="E352" s="559"/>
      <c r="F352" s="559"/>
      <c r="G352" s="559"/>
      <c r="H352" s="559"/>
      <c r="I352" s="559"/>
      <c r="J352" s="559"/>
      <c r="K352" s="559"/>
      <c r="L352" s="559"/>
      <c r="M352" s="559"/>
      <c r="N352" s="559"/>
      <c r="O352" s="559"/>
      <c r="P352" s="559"/>
      <c r="Q352" s="559"/>
      <c r="R352" s="559"/>
      <c r="S352" s="559"/>
      <c r="T352" s="559"/>
      <c r="U352" s="559"/>
      <c r="V352" s="559"/>
      <c r="W352" s="559"/>
      <c r="X352" s="559"/>
      <c r="Y352" s="559"/>
      <c r="Z352" s="559"/>
    </row>
    <row r="353" spans="1:26" ht="18" customHeight="1" x14ac:dyDescent="0.35">
      <c r="A353" s="559"/>
      <c r="B353" s="559"/>
      <c r="C353" s="559"/>
      <c r="D353" s="559"/>
      <c r="E353" s="559"/>
      <c r="F353" s="559"/>
      <c r="G353" s="559"/>
      <c r="H353" s="559"/>
      <c r="I353" s="559"/>
      <c r="J353" s="559"/>
      <c r="K353" s="559"/>
      <c r="L353" s="559"/>
      <c r="M353" s="559"/>
      <c r="N353" s="559"/>
      <c r="O353" s="559"/>
      <c r="P353" s="559"/>
      <c r="Q353" s="559"/>
      <c r="R353" s="559"/>
      <c r="S353" s="559"/>
      <c r="T353" s="559"/>
      <c r="U353" s="559"/>
      <c r="V353" s="559"/>
      <c r="W353" s="559"/>
      <c r="X353" s="559"/>
      <c r="Y353" s="559"/>
      <c r="Z353" s="559"/>
    </row>
    <row r="354" spans="1:26" ht="18" customHeight="1" x14ac:dyDescent="0.35">
      <c r="A354" s="559"/>
      <c r="B354" s="559"/>
      <c r="C354" s="559"/>
      <c r="D354" s="559"/>
      <c r="E354" s="559"/>
      <c r="F354" s="559"/>
      <c r="G354" s="559"/>
      <c r="H354" s="559"/>
      <c r="I354" s="559"/>
      <c r="J354" s="559"/>
      <c r="K354" s="559"/>
      <c r="L354" s="559"/>
      <c r="M354" s="559"/>
      <c r="N354" s="559"/>
      <c r="O354" s="559"/>
      <c r="P354" s="559"/>
      <c r="Q354" s="559"/>
      <c r="R354" s="559"/>
      <c r="S354" s="559"/>
      <c r="T354" s="559"/>
      <c r="U354" s="559"/>
      <c r="V354" s="559"/>
      <c r="W354" s="559"/>
      <c r="X354" s="559"/>
      <c r="Y354" s="559"/>
      <c r="Z354" s="559"/>
    </row>
    <row r="355" spans="1:26" ht="18" customHeight="1" x14ac:dyDescent="0.35">
      <c r="A355" s="559"/>
      <c r="B355" s="559"/>
      <c r="C355" s="559"/>
      <c r="D355" s="559"/>
      <c r="E355" s="559"/>
      <c r="F355" s="559"/>
      <c r="G355" s="559"/>
      <c r="H355" s="559"/>
      <c r="I355" s="559"/>
      <c r="J355" s="559"/>
      <c r="K355" s="559"/>
      <c r="L355" s="559"/>
      <c r="M355" s="559"/>
      <c r="N355" s="559"/>
      <c r="O355" s="559"/>
      <c r="P355" s="559"/>
      <c r="Q355" s="559"/>
      <c r="R355" s="559"/>
      <c r="S355" s="559"/>
      <c r="T355" s="559"/>
      <c r="U355" s="559"/>
      <c r="V355" s="559"/>
      <c r="W355" s="559"/>
      <c r="X355" s="559"/>
      <c r="Y355" s="559"/>
      <c r="Z355" s="559"/>
    </row>
    <row r="356" spans="1:26" ht="18" customHeight="1" x14ac:dyDescent="0.35">
      <c r="A356" s="559"/>
      <c r="B356" s="559"/>
      <c r="C356" s="559"/>
      <c r="D356" s="559"/>
      <c r="E356" s="559"/>
      <c r="F356" s="559"/>
      <c r="G356" s="559"/>
      <c r="H356" s="559"/>
      <c r="I356" s="559"/>
      <c r="J356" s="559"/>
      <c r="K356" s="559"/>
      <c r="L356" s="559"/>
      <c r="M356" s="559"/>
      <c r="N356" s="559"/>
      <c r="O356" s="559"/>
      <c r="P356" s="559"/>
      <c r="Q356" s="559"/>
      <c r="R356" s="559"/>
      <c r="S356" s="559"/>
      <c r="T356" s="559"/>
      <c r="U356" s="559"/>
      <c r="V356" s="559"/>
      <c r="W356" s="559"/>
      <c r="X356" s="559"/>
      <c r="Y356" s="559"/>
      <c r="Z356" s="559"/>
    </row>
    <row r="357" spans="1:26" ht="18" customHeight="1" x14ac:dyDescent="0.35">
      <c r="A357" s="559"/>
      <c r="B357" s="559"/>
      <c r="C357" s="559"/>
      <c r="D357" s="559"/>
      <c r="E357" s="559"/>
      <c r="F357" s="559"/>
      <c r="G357" s="559"/>
      <c r="H357" s="559"/>
      <c r="I357" s="559"/>
      <c r="J357" s="559"/>
      <c r="K357" s="559"/>
      <c r="L357" s="559"/>
      <c r="M357" s="559"/>
      <c r="N357" s="559"/>
      <c r="O357" s="559"/>
      <c r="P357" s="559"/>
      <c r="Q357" s="559"/>
      <c r="R357" s="559"/>
      <c r="S357" s="559"/>
      <c r="T357" s="559"/>
      <c r="U357" s="559"/>
      <c r="V357" s="559"/>
      <c r="W357" s="559"/>
      <c r="X357" s="559"/>
      <c r="Y357" s="559"/>
      <c r="Z357" s="559"/>
    </row>
    <row r="358" spans="1:26" ht="18" customHeight="1" x14ac:dyDescent="0.35">
      <c r="A358" s="559"/>
      <c r="B358" s="559"/>
      <c r="C358" s="559"/>
      <c r="D358" s="559"/>
      <c r="E358" s="559"/>
      <c r="F358" s="559"/>
      <c r="G358" s="559"/>
      <c r="H358" s="559"/>
      <c r="I358" s="559"/>
      <c r="J358" s="559"/>
      <c r="K358" s="559"/>
      <c r="L358" s="559"/>
      <c r="M358" s="559"/>
      <c r="N358" s="559"/>
      <c r="O358" s="559"/>
      <c r="P358" s="559"/>
      <c r="Q358" s="559"/>
      <c r="R358" s="559"/>
      <c r="S358" s="559"/>
      <c r="T358" s="559"/>
      <c r="U358" s="559"/>
      <c r="V358" s="559"/>
      <c r="W358" s="559"/>
      <c r="X358" s="559"/>
      <c r="Y358" s="559"/>
      <c r="Z358" s="559"/>
    </row>
    <row r="359" spans="1:26" ht="18" customHeight="1" x14ac:dyDescent="0.35">
      <c r="A359" s="559"/>
      <c r="B359" s="559"/>
      <c r="C359" s="559"/>
      <c r="D359" s="559"/>
      <c r="E359" s="559"/>
      <c r="F359" s="559"/>
      <c r="G359" s="559"/>
      <c r="H359" s="559"/>
      <c r="I359" s="559"/>
      <c r="J359" s="559"/>
      <c r="K359" s="559"/>
      <c r="L359" s="559"/>
      <c r="M359" s="559"/>
      <c r="N359" s="559"/>
      <c r="O359" s="559"/>
      <c r="P359" s="559"/>
      <c r="Q359" s="559"/>
      <c r="R359" s="559"/>
      <c r="S359" s="559"/>
      <c r="T359" s="559"/>
      <c r="U359" s="559"/>
      <c r="V359" s="559"/>
      <c r="W359" s="559"/>
      <c r="X359" s="559"/>
      <c r="Y359" s="559"/>
      <c r="Z359" s="559"/>
    </row>
    <row r="360" spans="1:26" ht="18" customHeight="1" x14ac:dyDescent="0.35">
      <c r="A360" s="559"/>
      <c r="B360" s="559"/>
      <c r="C360" s="559"/>
      <c r="D360" s="559"/>
      <c r="E360" s="559"/>
      <c r="F360" s="559"/>
      <c r="G360" s="559"/>
      <c r="H360" s="559"/>
      <c r="I360" s="559"/>
      <c r="J360" s="559"/>
      <c r="K360" s="559"/>
      <c r="L360" s="559"/>
      <c r="M360" s="559"/>
      <c r="N360" s="559"/>
      <c r="O360" s="559"/>
      <c r="P360" s="559"/>
      <c r="Q360" s="559"/>
      <c r="R360" s="559"/>
      <c r="S360" s="559"/>
      <c r="T360" s="559"/>
      <c r="U360" s="559"/>
      <c r="V360" s="559"/>
      <c r="W360" s="559"/>
      <c r="X360" s="559"/>
      <c r="Y360" s="559"/>
      <c r="Z360" s="559"/>
    </row>
    <row r="361" spans="1:26" ht="18" customHeight="1" x14ac:dyDescent="0.35">
      <c r="A361" s="559"/>
      <c r="B361" s="559"/>
      <c r="C361" s="559"/>
      <c r="D361" s="559"/>
      <c r="E361" s="559"/>
      <c r="F361" s="559"/>
      <c r="G361" s="559"/>
      <c r="H361" s="559"/>
      <c r="I361" s="559"/>
      <c r="J361" s="559"/>
      <c r="K361" s="559"/>
      <c r="L361" s="559"/>
      <c r="M361" s="559"/>
      <c r="N361" s="559"/>
      <c r="O361" s="559"/>
      <c r="P361" s="559"/>
      <c r="Q361" s="559"/>
      <c r="R361" s="559"/>
      <c r="S361" s="559"/>
      <c r="T361" s="559"/>
      <c r="U361" s="559"/>
      <c r="V361" s="559"/>
      <c r="W361" s="559"/>
      <c r="X361" s="559"/>
      <c r="Y361" s="559"/>
      <c r="Z361" s="559"/>
    </row>
    <row r="362" spans="1:26" ht="18" customHeight="1" x14ac:dyDescent="0.35">
      <c r="A362" s="559"/>
      <c r="B362" s="559"/>
      <c r="C362" s="559"/>
      <c r="D362" s="559"/>
      <c r="E362" s="559"/>
      <c r="F362" s="559"/>
      <c r="G362" s="559"/>
      <c r="H362" s="559"/>
      <c r="I362" s="559"/>
      <c r="J362" s="559"/>
      <c r="K362" s="559"/>
      <c r="L362" s="559"/>
      <c r="M362" s="559"/>
      <c r="N362" s="559"/>
      <c r="O362" s="559"/>
      <c r="P362" s="559"/>
      <c r="Q362" s="559"/>
      <c r="R362" s="559"/>
      <c r="S362" s="559"/>
      <c r="T362" s="559"/>
      <c r="U362" s="559"/>
      <c r="V362" s="559"/>
      <c r="W362" s="559"/>
      <c r="X362" s="559"/>
      <c r="Y362" s="559"/>
      <c r="Z362" s="559"/>
    </row>
    <row r="363" spans="1:26" ht="18" customHeight="1" x14ac:dyDescent="0.35">
      <c r="A363" s="559"/>
      <c r="B363" s="559"/>
      <c r="C363" s="559"/>
      <c r="D363" s="559"/>
      <c r="E363" s="559"/>
      <c r="F363" s="559"/>
      <c r="G363" s="559"/>
      <c r="H363" s="559"/>
      <c r="I363" s="559"/>
      <c r="J363" s="559"/>
      <c r="K363" s="559"/>
      <c r="L363" s="559"/>
      <c r="M363" s="559"/>
      <c r="N363" s="559"/>
      <c r="O363" s="559"/>
      <c r="P363" s="559"/>
      <c r="Q363" s="559"/>
      <c r="R363" s="559"/>
      <c r="S363" s="559"/>
      <c r="T363" s="559"/>
      <c r="U363" s="559"/>
      <c r="V363" s="559"/>
      <c r="W363" s="559"/>
      <c r="X363" s="559"/>
      <c r="Y363" s="559"/>
      <c r="Z363" s="559"/>
    </row>
    <row r="364" spans="1:26" ht="18" customHeight="1" x14ac:dyDescent="0.35">
      <c r="A364" s="559"/>
      <c r="B364" s="559"/>
      <c r="C364" s="559"/>
      <c r="D364" s="559"/>
      <c r="E364" s="559"/>
      <c r="F364" s="559"/>
      <c r="G364" s="559"/>
      <c r="H364" s="559"/>
      <c r="I364" s="559"/>
      <c r="J364" s="559"/>
      <c r="K364" s="559"/>
      <c r="L364" s="559"/>
      <c r="M364" s="559"/>
      <c r="N364" s="559"/>
      <c r="O364" s="559"/>
      <c r="P364" s="559"/>
      <c r="Q364" s="559"/>
      <c r="R364" s="559"/>
      <c r="S364" s="559"/>
      <c r="T364" s="559"/>
      <c r="U364" s="559"/>
      <c r="V364" s="559"/>
      <c r="W364" s="559"/>
      <c r="X364" s="559"/>
      <c r="Y364" s="559"/>
      <c r="Z364" s="559"/>
    </row>
    <row r="365" spans="1:26" ht="18" customHeight="1" x14ac:dyDescent="0.35">
      <c r="A365" s="559"/>
      <c r="B365" s="559"/>
      <c r="C365" s="559"/>
      <c r="D365" s="559"/>
      <c r="E365" s="559"/>
      <c r="F365" s="559"/>
      <c r="G365" s="559"/>
      <c r="H365" s="559"/>
      <c r="I365" s="559"/>
      <c r="J365" s="559"/>
      <c r="K365" s="559"/>
      <c r="L365" s="559"/>
      <c r="M365" s="559"/>
      <c r="N365" s="559"/>
      <c r="O365" s="559"/>
      <c r="P365" s="559"/>
      <c r="Q365" s="559"/>
      <c r="R365" s="559"/>
      <c r="S365" s="559"/>
      <c r="T365" s="559"/>
      <c r="U365" s="559"/>
      <c r="V365" s="559"/>
      <c r="W365" s="559"/>
      <c r="X365" s="559"/>
      <c r="Y365" s="559"/>
      <c r="Z365" s="559"/>
    </row>
    <row r="366" spans="1:26" ht="18" customHeight="1" x14ac:dyDescent="0.35">
      <c r="A366" s="559"/>
      <c r="B366" s="559"/>
      <c r="C366" s="559"/>
      <c r="D366" s="559"/>
      <c r="E366" s="559"/>
      <c r="F366" s="559"/>
      <c r="G366" s="559"/>
      <c r="H366" s="559"/>
      <c r="I366" s="559"/>
      <c r="J366" s="559"/>
      <c r="K366" s="559"/>
      <c r="L366" s="559"/>
      <c r="M366" s="559"/>
      <c r="N366" s="559"/>
      <c r="O366" s="559"/>
      <c r="P366" s="559"/>
      <c r="Q366" s="559"/>
      <c r="R366" s="559"/>
      <c r="S366" s="559"/>
      <c r="T366" s="559"/>
      <c r="U366" s="559"/>
      <c r="V366" s="559"/>
      <c r="W366" s="559"/>
      <c r="X366" s="559"/>
      <c r="Y366" s="559"/>
      <c r="Z366" s="559"/>
    </row>
    <row r="367" spans="1:26" ht="18" customHeight="1" x14ac:dyDescent="0.35">
      <c r="A367" s="559"/>
      <c r="B367" s="559"/>
      <c r="C367" s="559"/>
      <c r="D367" s="559"/>
      <c r="E367" s="559"/>
      <c r="F367" s="559"/>
      <c r="G367" s="559"/>
      <c r="H367" s="559"/>
      <c r="I367" s="559"/>
      <c r="J367" s="559"/>
      <c r="K367" s="559"/>
      <c r="L367" s="559"/>
      <c r="M367" s="559"/>
      <c r="N367" s="559"/>
      <c r="O367" s="559"/>
      <c r="P367" s="559"/>
      <c r="Q367" s="559"/>
      <c r="R367" s="559"/>
      <c r="S367" s="559"/>
      <c r="T367" s="559"/>
      <c r="U367" s="559"/>
      <c r="V367" s="559"/>
      <c r="W367" s="559"/>
      <c r="X367" s="559"/>
      <c r="Y367" s="559"/>
      <c r="Z367" s="559"/>
    </row>
    <row r="368" spans="1:26" ht="18" customHeight="1" x14ac:dyDescent="0.35">
      <c r="A368" s="559"/>
      <c r="B368" s="559"/>
      <c r="C368" s="559"/>
      <c r="D368" s="559"/>
      <c r="E368" s="559"/>
      <c r="F368" s="559"/>
      <c r="G368" s="559"/>
      <c r="H368" s="559"/>
      <c r="I368" s="559"/>
      <c r="J368" s="559"/>
      <c r="K368" s="559"/>
      <c r="L368" s="559"/>
      <c r="M368" s="559"/>
      <c r="N368" s="559"/>
      <c r="O368" s="559"/>
      <c r="P368" s="559"/>
      <c r="Q368" s="559"/>
      <c r="R368" s="559"/>
      <c r="S368" s="559"/>
      <c r="T368" s="559"/>
      <c r="U368" s="559"/>
      <c r="V368" s="559"/>
      <c r="W368" s="559"/>
      <c r="X368" s="559"/>
      <c r="Y368" s="559"/>
      <c r="Z368" s="559"/>
    </row>
    <row r="369" spans="1:26" ht="18" customHeight="1" x14ac:dyDescent="0.35">
      <c r="A369" s="559"/>
      <c r="B369" s="559"/>
      <c r="C369" s="559"/>
      <c r="D369" s="559"/>
      <c r="E369" s="559"/>
      <c r="F369" s="559"/>
      <c r="G369" s="559"/>
      <c r="H369" s="559"/>
      <c r="I369" s="559"/>
      <c r="J369" s="559"/>
      <c r="K369" s="559"/>
      <c r="L369" s="559"/>
      <c r="M369" s="559"/>
      <c r="N369" s="559"/>
      <c r="O369" s="559"/>
      <c r="P369" s="559"/>
      <c r="Q369" s="559"/>
      <c r="R369" s="559"/>
      <c r="S369" s="559"/>
      <c r="T369" s="559"/>
      <c r="U369" s="559"/>
      <c r="V369" s="559"/>
      <c r="W369" s="559"/>
      <c r="X369" s="559"/>
      <c r="Y369" s="559"/>
      <c r="Z369" s="559"/>
    </row>
    <row r="370" spans="1:26" ht="18" customHeight="1" x14ac:dyDescent="0.35">
      <c r="A370" s="559"/>
      <c r="B370" s="559"/>
      <c r="C370" s="559"/>
      <c r="D370" s="559"/>
      <c r="E370" s="559"/>
      <c r="F370" s="559"/>
      <c r="G370" s="559"/>
      <c r="H370" s="559"/>
      <c r="I370" s="559"/>
      <c r="J370" s="559"/>
      <c r="K370" s="559"/>
      <c r="L370" s="559"/>
      <c r="M370" s="559"/>
      <c r="N370" s="559"/>
      <c r="O370" s="559"/>
      <c r="P370" s="559"/>
      <c r="Q370" s="559"/>
      <c r="R370" s="559"/>
      <c r="S370" s="559"/>
      <c r="T370" s="559"/>
      <c r="U370" s="559"/>
      <c r="V370" s="559"/>
      <c r="W370" s="559"/>
      <c r="X370" s="559"/>
      <c r="Y370" s="559"/>
      <c r="Z370" s="559"/>
    </row>
    <row r="371" spans="1:26" ht="18" customHeight="1" x14ac:dyDescent="0.35">
      <c r="A371" s="559"/>
      <c r="B371" s="559"/>
      <c r="C371" s="559"/>
      <c r="D371" s="559"/>
      <c r="E371" s="559"/>
      <c r="F371" s="559"/>
      <c r="G371" s="559"/>
      <c r="H371" s="559"/>
      <c r="I371" s="559"/>
      <c r="J371" s="559"/>
      <c r="K371" s="559"/>
      <c r="L371" s="559"/>
      <c r="M371" s="559"/>
      <c r="N371" s="559"/>
      <c r="O371" s="559"/>
      <c r="P371" s="559"/>
      <c r="Q371" s="559"/>
      <c r="R371" s="559"/>
      <c r="S371" s="559"/>
      <c r="T371" s="559"/>
      <c r="U371" s="559"/>
      <c r="V371" s="559"/>
      <c r="W371" s="559"/>
      <c r="X371" s="559"/>
      <c r="Y371" s="559"/>
      <c r="Z371" s="559"/>
    </row>
    <row r="372" spans="1:26" ht="18" customHeight="1" x14ac:dyDescent="0.35">
      <c r="A372" s="559"/>
      <c r="B372" s="559"/>
      <c r="C372" s="559"/>
      <c r="D372" s="559"/>
      <c r="E372" s="559"/>
      <c r="F372" s="559"/>
      <c r="G372" s="559"/>
      <c r="H372" s="559"/>
      <c r="I372" s="559"/>
      <c r="J372" s="559"/>
      <c r="K372" s="559"/>
      <c r="L372" s="559"/>
      <c r="M372" s="559"/>
      <c r="N372" s="559"/>
      <c r="O372" s="559"/>
      <c r="P372" s="559"/>
      <c r="Q372" s="559"/>
      <c r="R372" s="559"/>
      <c r="S372" s="559"/>
      <c r="T372" s="559"/>
      <c r="U372" s="559"/>
      <c r="V372" s="559"/>
      <c r="W372" s="559"/>
      <c r="X372" s="559"/>
      <c r="Y372" s="559"/>
      <c r="Z372" s="559"/>
    </row>
    <row r="373" spans="1:26" ht="18" customHeight="1" x14ac:dyDescent="0.35">
      <c r="A373" s="559"/>
      <c r="B373" s="559"/>
      <c r="C373" s="559"/>
      <c r="D373" s="559"/>
      <c r="E373" s="559"/>
      <c r="F373" s="559"/>
      <c r="G373" s="559"/>
      <c r="H373" s="559"/>
      <c r="I373" s="559"/>
      <c r="J373" s="559"/>
      <c r="K373" s="559"/>
      <c r="L373" s="559"/>
      <c r="M373" s="559"/>
      <c r="N373" s="559"/>
      <c r="O373" s="559"/>
      <c r="P373" s="559"/>
      <c r="Q373" s="559"/>
      <c r="R373" s="559"/>
      <c r="S373" s="559"/>
      <c r="T373" s="559"/>
      <c r="U373" s="559"/>
      <c r="V373" s="559"/>
      <c r="W373" s="559"/>
      <c r="X373" s="559"/>
      <c r="Y373" s="559"/>
      <c r="Z373" s="559"/>
    </row>
    <row r="374" spans="1:26" ht="18" customHeight="1" x14ac:dyDescent="0.35">
      <c r="A374" s="559"/>
      <c r="B374" s="559"/>
      <c r="C374" s="559"/>
      <c r="D374" s="559"/>
      <c r="E374" s="559"/>
      <c r="F374" s="559"/>
      <c r="G374" s="559"/>
      <c r="H374" s="559"/>
      <c r="I374" s="559"/>
      <c r="J374" s="559"/>
      <c r="K374" s="559"/>
      <c r="L374" s="559"/>
      <c r="M374" s="559"/>
      <c r="N374" s="559"/>
      <c r="O374" s="559"/>
      <c r="P374" s="559"/>
      <c r="Q374" s="559"/>
      <c r="R374" s="559"/>
      <c r="S374" s="559"/>
      <c r="T374" s="559"/>
      <c r="U374" s="559"/>
      <c r="V374" s="559"/>
      <c r="W374" s="559"/>
      <c r="X374" s="559"/>
      <c r="Y374" s="559"/>
      <c r="Z374" s="559"/>
    </row>
    <row r="375" spans="1:26" ht="18" customHeight="1" x14ac:dyDescent="0.35">
      <c r="A375" s="559"/>
      <c r="B375" s="559"/>
      <c r="C375" s="559"/>
      <c r="D375" s="559"/>
      <c r="E375" s="559"/>
      <c r="F375" s="559"/>
      <c r="G375" s="559"/>
      <c r="H375" s="559"/>
      <c r="I375" s="559"/>
      <c r="J375" s="559"/>
      <c r="K375" s="559"/>
      <c r="L375" s="559"/>
      <c r="M375" s="559"/>
      <c r="N375" s="559"/>
      <c r="O375" s="559"/>
      <c r="P375" s="559"/>
      <c r="Q375" s="559"/>
      <c r="R375" s="559"/>
      <c r="S375" s="559"/>
      <c r="T375" s="559"/>
      <c r="U375" s="559"/>
      <c r="V375" s="559"/>
      <c r="W375" s="559"/>
      <c r="X375" s="559"/>
      <c r="Y375" s="559"/>
      <c r="Z375" s="559"/>
    </row>
    <row r="376" spans="1:26" ht="18" customHeight="1" x14ac:dyDescent="0.35">
      <c r="A376" s="559"/>
      <c r="B376" s="559"/>
      <c r="C376" s="559"/>
      <c r="D376" s="559"/>
      <c r="E376" s="559"/>
      <c r="F376" s="559"/>
      <c r="G376" s="559"/>
      <c r="H376" s="559"/>
      <c r="I376" s="559"/>
      <c r="J376" s="559"/>
      <c r="K376" s="559"/>
      <c r="L376" s="559"/>
      <c r="M376" s="559"/>
      <c r="N376" s="559"/>
      <c r="O376" s="559"/>
      <c r="P376" s="559"/>
      <c r="Q376" s="559"/>
      <c r="R376" s="559"/>
      <c r="S376" s="559"/>
      <c r="T376" s="559"/>
      <c r="U376" s="559"/>
      <c r="V376" s="559"/>
      <c r="W376" s="559"/>
      <c r="X376" s="559"/>
      <c r="Y376" s="559"/>
      <c r="Z376" s="559"/>
    </row>
    <row r="377" spans="1:26" ht="18" customHeight="1" x14ac:dyDescent="0.35">
      <c r="A377" s="559"/>
      <c r="B377" s="559"/>
      <c r="C377" s="559"/>
      <c r="D377" s="559"/>
      <c r="E377" s="559"/>
      <c r="F377" s="559"/>
      <c r="G377" s="559"/>
      <c r="H377" s="559"/>
      <c r="I377" s="559"/>
      <c r="J377" s="559"/>
      <c r="K377" s="559"/>
      <c r="L377" s="559"/>
      <c r="M377" s="559"/>
      <c r="N377" s="559"/>
      <c r="O377" s="559"/>
      <c r="P377" s="559"/>
      <c r="Q377" s="559"/>
      <c r="R377" s="559"/>
      <c r="S377" s="559"/>
      <c r="T377" s="559"/>
      <c r="U377" s="559"/>
      <c r="V377" s="559"/>
      <c r="W377" s="559"/>
      <c r="X377" s="559"/>
      <c r="Y377" s="559"/>
      <c r="Z377" s="559"/>
    </row>
    <row r="378" spans="1:26" ht="18" customHeight="1" x14ac:dyDescent="0.35">
      <c r="A378" s="559"/>
      <c r="B378" s="559"/>
      <c r="C378" s="559"/>
      <c r="D378" s="559"/>
      <c r="E378" s="559"/>
      <c r="F378" s="559"/>
      <c r="G378" s="559"/>
      <c r="H378" s="559"/>
      <c r="I378" s="559"/>
      <c r="J378" s="559"/>
      <c r="K378" s="559"/>
      <c r="L378" s="559"/>
      <c r="M378" s="559"/>
      <c r="N378" s="559"/>
      <c r="O378" s="559"/>
      <c r="P378" s="559"/>
      <c r="Q378" s="559"/>
      <c r="R378" s="559"/>
      <c r="S378" s="559"/>
      <c r="T378" s="559"/>
      <c r="U378" s="559"/>
      <c r="V378" s="559"/>
      <c r="W378" s="559"/>
      <c r="X378" s="559"/>
      <c r="Y378" s="559"/>
      <c r="Z378" s="559"/>
    </row>
    <row r="379" spans="1:26" ht="18" customHeight="1" x14ac:dyDescent="0.35">
      <c r="A379" s="559"/>
      <c r="B379" s="559"/>
      <c r="C379" s="559"/>
      <c r="D379" s="559"/>
      <c r="E379" s="559"/>
      <c r="F379" s="559"/>
      <c r="G379" s="559"/>
      <c r="H379" s="559"/>
      <c r="I379" s="559"/>
      <c r="J379" s="559"/>
      <c r="K379" s="559"/>
      <c r="L379" s="559"/>
      <c r="M379" s="559"/>
      <c r="N379" s="559"/>
      <c r="O379" s="559"/>
      <c r="P379" s="559"/>
      <c r="Q379" s="559"/>
      <c r="R379" s="559"/>
      <c r="S379" s="559"/>
      <c r="T379" s="559"/>
      <c r="U379" s="559"/>
      <c r="V379" s="559"/>
      <c r="W379" s="559"/>
      <c r="X379" s="559"/>
      <c r="Y379" s="559"/>
      <c r="Z379" s="559"/>
    </row>
    <row r="380" spans="1:26" ht="18" customHeight="1" x14ac:dyDescent="0.35">
      <c r="A380" s="559"/>
      <c r="B380" s="559"/>
      <c r="C380" s="559"/>
      <c r="D380" s="559"/>
      <c r="E380" s="559"/>
      <c r="F380" s="559"/>
      <c r="G380" s="559"/>
      <c r="H380" s="559"/>
      <c r="I380" s="559"/>
      <c r="J380" s="559"/>
      <c r="K380" s="559"/>
      <c r="L380" s="559"/>
      <c r="M380" s="559"/>
      <c r="N380" s="559"/>
      <c r="O380" s="559"/>
      <c r="P380" s="559"/>
      <c r="Q380" s="559"/>
      <c r="R380" s="559"/>
      <c r="S380" s="559"/>
      <c r="T380" s="559"/>
      <c r="U380" s="559"/>
      <c r="V380" s="559"/>
      <c r="W380" s="559"/>
      <c r="X380" s="559"/>
      <c r="Y380" s="559"/>
      <c r="Z380" s="559"/>
    </row>
    <row r="381" spans="1:26" ht="18" customHeight="1" x14ac:dyDescent="0.35">
      <c r="A381" s="559"/>
      <c r="B381" s="559"/>
      <c r="C381" s="559"/>
      <c r="D381" s="559"/>
      <c r="E381" s="559"/>
      <c r="F381" s="559"/>
      <c r="G381" s="559"/>
      <c r="H381" s="559"/>
      <c r="I381" s="559"/>
      <c r="J381" s="559"/>
      <c r="K381" s="559"/>
      <c r="L381" s="559"/>
      <c r="M381" s="559"/>
      <c r="N381" s="559"/>
      <c r="O381" s="559"/>
      <c r="P381" s="559"/>
      <c r="Q381" s="559"/>
      <c r="R381" s="559"/>
      <c r="S381" s="559"/>
      <c r="T381" s="559"/>
      <c r="U381" s="559"/>
      <c r="V381" s="559"/>
      <c r="W381" s="559"/>
      <c r="X381" s="559"/>
      <c r="Y381" s="559"/>
      <c r="Z381" s="559"/>
    </row>
    <row r="382" spans="1:26" ht="18" customHeight="1" x14ac:dyDescent="0.35">
      <c r="A382" s="559"/>
      <c r="B382" s="559"/>
      <c r="C382" s="559"/>
      <c r="D382" s="559"/>
      <c r="E382" s="559"/>
      <c r="F382" s="559"/>
      <c r="G382" s="559"/>
      <c r="H382" s="559"/>
      <c r="I382" s="559"/>
      <c r="J382" s="559"/>
      <c r="K382" s="559"/>
      <c r="L382" s="559"/>
      <c r="M382" s="559"/>
      <c r="N382" s="559"/>
      <c r="O382" s="559"/>
      <c r="P382" s="559"/>
      <c r="Q382" s="559"/>
      <c r="R382" s="559"/>
      <c r="S382" s="559"/>
      <c r="T382" s="559"/>
      <c r="U382" s="559"/>
      <c r="V382" s="559"/>
      <c r="W382" s="559"/>
      <c r="X382" s="559"/>
      <c r="Y382" s="559"/>
      <c r="Z382" s="559"/>
    </row>
    <row r="383" spans="1:26" ht="18" customHeight="1" x14ac:dyDescent="0.35">
      <c r="A383" s="559"/>
      <c r="B383" s="559"/>
      <c r="C383" s="559"/>
      <c r="D383" s="559"/>
      <c r="E383" s="559"/>
      <c r="F383" s="559"/>
      <c r="G383" s="559"/>
      <c r="H383" s="559"/>
      <c r="I383" s="559"/>
      <c r="J383" s="559"/>
      <c r="K383" s="559"/>
      <c r="L383" s="559"/>
      <c r="M383" s="559"/>
      <c r="N383" s="559"/>
      <c r="O383" s="559"/>
      <c r="P383" s="559"/>
      <c r="Q383" s="559"/>
      <c r="R383" s="559"/>
      <c r="S383" s="559"/>
      <c r="T383" s="559"/>
      <c r="U383" s="559"/>
      <c r="V383" s="559"/>
      <c r="W383" s="559"/>
      <c r="X383" s="559"/>
      <c r="Y383" s="559"/>
      <c r="Z383" s="559"/>
    </row>
    <row r="384" spans="1:26" ht="18" customHeight="1" x14ac:dyDescent="0.35">
      <c r="A384" s="559"/>
      <c r="B384" s="559"/>
      <c r="C384" s="559"/>
      <c r="D384" s="559"/>
      <c r="E384" s="559"/>
      <c r="F384" s="559"/>
      <c r="G384" s="559"/>
      <c r="H384" s="559"/>
      <c r="I384" s="559"/>
      <c r="J384" s="559"/>
      <c r="K384" s="559"/>
      <c r="L384" s="559"/>
      <c r="M384" s="559"/>
      <c r="N384" s="559"/>
      <c r="O384" s="559"/>
      <c r="P384" s="559"/>
      <c r="Q384" s="559"/>
      <c r="R384" s="559"/>
      <c r="S384" s="559"/>
      <c r="T384" s="559"/>
      <c r="U384" s="559"/>
      <c r="V384" s="559"/>
      <c r="W384" s="559"/>
      <c r="X384" s="559"/>
      <c r="Y384" s="559"/>
      <c r="Z384" s="559"/>
    </row>
    <row r="385" spans="1:26" ht="18" customHeight="1" x14ac:dyDescent="0.35">
      <c r="A385" s="559"/>
      <c r="B385" s="559"/>
      <c r="C385" s="559"/>
      <c r="D385" s="559"/>
      <c r="E385" s="559"/>
      <c r="F385" s="559"/>
      <c r="G385" s="559"/>
      <c r="H385" s="559"/>
      <c r="I385" s="559"/>
      <c r="J385" s="559"/>
      <c r="K385" s="559"/>
      <c r="L385" s="559"/>
      <c r="M385" s="559"/>
      <c r="N385" s="559"/>
      <c r="O385" s="559"/>
      <c r="P385" s="559"/>
      <c r="Q385" s="559"/>
      <c r="R385" s="559"/>
      <c r="S385" s="559"/>
      <c r="T385" s="559"/>
      <c r="U385" s="559"/>
      <c r="V385" s="559"/>
      <c r="W385" s="559"/>
      <c r="X385" s="559"/>
      <c r="Y385" s="559"/>
      <c r="Z385" s="559"/>
    </row>
    <row r="386" spans="1:26" ht="18" customHeight="1" x14ac:dyDescent="0.35">
      <c r="A386" s="559"/>
      <c r="B386" s="559"/>
      <c r="C386" s="559"/>
      <c r="D386" s="559"/>
      <c r="E386" s="559"/>
      <c r="F386" s="559"/>
      <c r="G386" s="559"/>
      <c r="H386" s="559"/>
      <c r="I386" s="559"/>
      <c r="J386" s="559"/>
      <c r="K386" s="559"/>
      <c r="L386" s="559"/>
      <c r="M386" s="559"/>
      <c r="N386" s="559"/>
      <c r="O386" s="559"/>
      <c r="P386" s="559"/>
      <c r="Q386" s="559"/>
      <c r="R386" s="559"/>
      <c r="S386" s="559"/>
      <c r="T386" s="559"/>
      <c r="U386" s="559"/>
      <c r="V386" s="559"/>
      <c r="W386" s="559"/>
      <c r="X386" s="559"/>
      <c r="Y386" s="559"/>
      <c r="Z386" s="559"/>
    </row>
    <row r="387" spans="1:26" ht="18" customHeight="1" x14ac:dyDescent="0.35">
      <c r="A387" s="559"/>
      <c r="B387" s="559"/>
      <c r="C387" s="559"/>
      <c r="D387" s="559"/>
      <c r="E387" s="559"/>
      <c r="F387" s="559"/>
      <c r="G387" s="559"/>
      <c r="H387" s="559"/>
      <c r="I387" s="559"/>
      <c r="J387" s="559"/>
      <c r="K387" s="559"/>
      <c r="L387" s="559"/>
      <c r="M387" s="559"/>
      <c r="N387" s="559"/>
      <c r="O387" s="559"/>
      <c r="P387" s="559"/>
      <c r="Q387" s="559"/>
      <c r="R387" s="559"/>
      <c r="S387" s="559"/>
      <c r="T387" s="559"/>
      <c r="U387" s="559"/>
      <c r="V387" s="559"/>
      <c r="W387" s="559"/>
      <c r="X387" s="559"/>
      <c r="Y387" s="559"/>
      <c r="Z387" s="559"/>
    </row>
    <row r="388" spans="1:26" ht="18" customHeight="1" x14ac:dyDescent="0.35">
      <c r="A388" s="559"/>
      <c r="B388" s="559"/>
      <c r="C388" s="559"/>
      <c r="D388" s="559"/>
      <c r="E388" s="559"/>
      <c r="F388" s="559"/>
      <c r="G388" s="559"/>
      <c r="H388" s="559"/>
      <c r="I388" s="559"/>
      <c r="J388" s="559"/>
      <c r="K388" s="559"/>
      <c r="L388" s="559"/>
      <c r="M388" s="559"/>
      <c r="N388" s="559"/>
      <c r="O388" s="559"/>
      <c r="P388" s="559"/>
      <c r="Q388" s="559"/>
      <c r="R388" s="559"/>
      <c r="S388" s="559"/>
      <c r="T388" s="559"/>
      <c r="U388" s="559"/>
      <c r="V388" s="559"/>
      <c r="W388" s="559"/>
      <c r="X388" s="559"/>
      <c r="Y388" s="559"/>
      <c r="Z388" s="559"/>
    </row>
    <row r="389" spans="1:26" ht="18" customHeight="1" x14ac:dyDescent="0.35">
      <c r="A389" s="559"/>
      <c r="B389" s="559"/>
      <c r="C389" s="559"/>
      <c r="D389" s="559"/>
      <c r="E389" s="559"/>
      <c r="F389" s="559"/>
      <c r="G389" s="559"/>
      <c r="H389" s="559"/>
      <c r="I389" s="559"/>
      <c r="J389" s="559"/>
      <c r="K389" s="559"/>
      <c r="L389" s="559"/>
      <c r="M389" s="559"/>
      <c r="N389" s="559"/>
      <c r="O389" s="559"/>
      <c r="P389" s="559"/>
      <c r="Q389" s="559"/>
      <c r="R389" s="559"/>
      <c r="S389" s="559"/>
      <c r="T389" s="559"/>
      <c r="U389" s="559"/>
      <c r="V389" s="559"/>
      <c r="W389" s="559"/>
      <c r="X389" s="559"/>
      <c r="Y389" s="559"/>
      <c r="Z389" s="559"/>
    </row>
    <row r="390" spans="1:26" ht="18" customHeight="1" x14ac:dyDescent="0.35">
      <c r="A390" s="559"/>
      <c r="B390" s="559"/>
      <c r="C390" s="559"/>
      <c r="D390" s="559"/>
      <c r="E390" s="559"/>
      <c r="F390" s="559"/>
      <c r="G390" s="559"/>
      <c r="H390" s="559"/>
      <c r="I390" s="559"/>
      <c r="J390" s="559"/>
      <c r="K390" s="559"/>
      <c r="L390" s="559"/>
      <c r="M390" s="559"/>
      <c r="N390" s="559"/>
      <c r="O390" s="559"/>
      <c r="P390" s="559"/>
      <c r="Q390" s="559"/>
      <c r="R390" s="559"/>
      <c r="S390" s="559"/>
      <c r="T390" s="559"/>
      <c r="U390" s="559"/>
      <c r="V390" s="559"/>
      <c r="W390" s="559"/>
      <c r="X390" s="559"/>
      <c r="Y390" s="559"/>
      <c r="Z390" s="559"/>
    </row>
    <row r="391" spans="1:26" ht="18" customHeight="1" x14ac:dyDescent="0.35">
      <c r="A391" s="559"/>
      <c r="B391" s="559"/>
      <c r="C391" s="559"/>
      <c r="D391" s="559"/>
      <c r="E391" s="559"/>
      <c r="F391" s="559"/>
      <c r="G391" s="559"/>
      <c r="H391" s="559"/>
      <c r="I391" s="559"/>
      <c r="J391" s="559"/>
      <c r="K391" s="559"/>
      <c r="L391" s="559"/>
      <c r="M391" s="559"/>
      <c r="N391" s="559"/>
      <c r="O391" s="559"/>
      <c r="P391" s="559"/>
      <c r="Q391" s="559"/>
      <c r="R391" s="559"/>
      <c r="S391" s="559"/>
      <c r="T391" s="559"/>
      <c r="U391" s="559"/>
      <c r="V391" s="559"/>
      <c r="W391" s="559"/>
      <c r="X391" s="559"/>
      <c r="Y391" s="559"/>
      <c r="Z391" s="559"/>
    </row>
    <row r="392" spans="1:26" ht="18" customHeight="1" x14ac:dyDescent="0.35">
      <c r="A392" s="559"/>
      <c r="B392" s="559"/>
      <c r="C392" s="559"/>
      <c r="D392" s="559"/>
      <c r="E392" s="559"/>
      <c r="F392" s="559"/>
      <c r="G392" s="559"/>
      <c r="H392" s="559"/>
      <c r="I392" s="559"/>
      <c r="J392" s="559"/>
      <c r="K392" s="559"/>
      <c r="L392" s="559"/>
      <c r="M392" s="559"/>
      <c r="N392" s="559"/>
      <c r="O392" s="559"/>
      <c r="P392" s="559"/>
      <c r="Q392" s="559"/>
      <c r="R392" s="559"/>
      <c r="S392" s="559"/>
      <c r="T392" s="559"/>
      <c r="U392" s="559"/>
      <c r="V392" s="559"/>
      <c r="W392" s="559"/>
      <c r="X392" s="559"/>
      <c r="Y392" s="559"/>
      <c r="Z392" s="559"/>
    </row>
    <row r="393" spans="1:26" ht="18" customHeight="1" x14ac:dyDescent="0.35">
      <c r="A393" s="559"/>
      <c r="B393" s="559"/>
      <c r="C393" s="559"/>
      <c r="D393" s="559"/>
      <c r="E393" s="559"/>
      <c r="F393" s="559"/>
      <c r="G393" s="559"/>
      <c r="H393" s="559"/>
      <c r="I393" s="559"/>
      <c r="J393" s="559"/>
      <c r="K393" s="559"/>
      <c r="L393" s="559"/>
      <c r="M393" s="559"/>
      <c r="N393" s="559"/>
      <c r="O393" s="559"/>
      <c r="P393" s="559"/>
      <c r="Q393" s="559"/>
      <c r="R393" s="559"/>
      <c r="S393" s="559"/>
      <c r="T393" s="559"/>
      <c r="U393" s="559"/>
      <c r="V393" s="559"/>
      <c r="W393" s="559"/>
      <c r="X393" s="559"/>
      <c r="Y393" s="559"/>
      <c r="Z393" s="559"/>
    </row>
    <row r="394" spans="1:26" ht="18" customHeight="1" x14ac:dyDescent="0.35">
      <c r="A394" s="559"/>
      <c r="B394" s="559"/>
      <c r="C394" s="559"/>
      <c r="D394" s="559"/>
      <c r="E394" s="559"/>
      <c r="F394" s="559"/>
      <c r="G394" s="559"/>
      <c r="H394" s="559"/>
      <c r="I394" s="559"/>
      <c r="J394" s="559"/>
      <c r="K394" s="559"/>
      <c r="L394" s="559"/>
      <c r="M394" s="559"/>
      <c r="N394" s="559"/>
      <c r="O394" s="559"/>
      <c r="P394" s="559"/>
      <c r="Q394" s="559"/>
      <c r="R394" s="559"/>
      <c r="S394" s="559"/>
      <c r="T394" s="559"/>
      <c r="U394" s="559"/>
      <c r="V394" s="559"/>
      <c r="W394" s="559"/>
      <c r="X394" s="559"/>
      <c r="Y394" s="559"/>
      <c r="Z394" s="559"/>
    </row>
    <row r="395" spans="1:26" ht="18" customHeight="1" x14ac:dyDescent="0.35">
      <c r="A395" s="559"/>
      <c r="B395" s="559"/>
      <c r="C395" s="559"/>
      <c r="D395" s="559"/>
      <c r="E395" s="559"/>
      <c r="F395" s="559"/>
      <c r="G395" s="559"/>
      <c r="H395" s="559"/>
      <c r="I395" s="559"/>
      <c r="J395" s="559"/>
      <c r="K395" s="559"/>
      <c r="L395" s="559"/>
      <c r="M395" s="559"/>
      <c r="N395" s="559"/>
      <c r="O395" s="559"/>
      <c r="P395" s="559"/>
      <c r="Q395" s="559"/>
      <c r="R395" s="559"/>
      <c r="S395" s="559"/>
      <c r="T395" s="559"/>
      <c r="U395" s="559"/>
      <c r="V395" s="559"/>
      <c r="W395" s="559"/>
      <c r="X395" s="559"/>
      <c r="Y395" s="559"/>
      <c r="Z395" s="559"/>
    </row>
    <row r="396" spans="1:26" ht="18" customHeight="1" x14ac:dyDescent="0.35">
      <c r="A396" s="559"/>
      <c r="B396" s="559"/>
      <c r="C396" s="559"/>
      <c r="D396" s="559"/>
      <c r="E396" s="559"/>
      <c r="F396" s="559"/>
      <c r="G396" s="559"/>
      <c r="H396" s="559"/>
      <c r="I396" s="559"/>
      <c r="J396" s="559"/>
      <c r="K396" s="559"/>
      <c r="L396" s="559"/>
      <c r="M396" s="559"/>
      <c r="N396" s="559"/>
      <c r="O396" s="559"/>
      <c r="P396" s="559"/>
      <c r="Q396" s="559"/>
      <c r="R396" s="559"/>
      <c r="S396" s="559"/>
      <c r="T396" s="559"/>
      <c r="U396" s="559"/>
      <c r="V396" s="559"/>
      <c r="W396" s="559"/>
      <c r="X396" s="559"/>
      <c r="Y396" s="559"/>
      <c r="Z396" s="559"/>
    </row>
    <row r="397" spans="1:26" ht="18" customHeight="1" x14ac:dyDescent="0.35">
      <c r="A397" s="559"/>
      <c r="B397" s="559"/>
      <c r="C397" s="559"/>
      <c r="D397" s="559"/>
      <c r="E397" s="559"/>
      <c r="F397" s="559"/>
      <c r="G397" s="559"/>
      <c r="H397" s="559"/>
      <c r="I397" s="559"/>
      <c r="J397" s="559"/>
      <c r="K397" s="559"/>
      <c r="L397" s="559"/>
      <c r="M397" s="559"/>
      <c r="N397" s="559"/>
      <c r="O397" s="559"/>
      <c r="P397" s="559"/>
      <c r="Q397" s="559"/>
      <c r="R397" s="559"/>
      <c r="S397" s="559"/>
      <c r="T397" s="559"/>
      <c r="U397" s="559"/>
      <c r="V397" s="559"/>
      <c r="W397" s="559"/>
      <c r="X397" s="559"/>
      <c r="Y397" s="559"/>
      <c r="Z397" s="559"/>
    </row>
    <row r="398" spans="1:26" ht="18" customHeight="1" x14ac:dyDescent="0.35">
      <c r="A398" s="559"/>
      <c r="B398" s="559"/>
      <c r="C398" s="559"/>
      <c r="D398" s="559"/>
      <c r="E398" s="559"/>
      <c r="F398" s="559"/>
      <c r="G398" s="559"/>
      <c r="H398" s="559"/>
      <c r="I398" s="559"/>
      <c r="J398" s="559"/>
      <c r="K398" s="559"/>
      <c r="L398" s="559"/>
      <c r="M398" s="559"/>
      <c r="N398" s="559"/>
      <c r="O398" s="559"/>
      <c r="P398" s="559"/>
      <c r="Q398" s="559"/>
      <c r="R398" s="559"/>
      <c r="S398" s="559"/>
      <c r="T398" s="559"/>
      <c r="U398" s="559"/>
      <c r="V398" s="559"/>
      <c r="W398" s="559"/>
      <c r="X398" s="559"/>
      <c r="Y398" s="559"/>
      <c r="Z398" s="559"/>
    </row>
    <row r="399" spans="1:26" ht="18" customHeight="1" x14ac:dyDescent="0.35">
      <c r="A399" s="559"/>
      <c r="B399" s="559"/>
      <c r="C399" s="559"/>
      <c r="D399" s="559"/>
      <c r="E399" s="559"/>
      <c r="F399" s="559"/>
      <c r="G399" s="559"/>
      <c r="H399" s="559"/>
      <c r="I399" s="559"/>
      <c r="J399" s="559"/>
      <c r="K399" s="559"/>
      <c r="L399" s="559"/>
      <c r="M399" s="559"/>
      <c r="N399" s="559"/>
      <c r="O399" s="559"/>
      <c r="P399" s="559"/>
      <c r="Q399" s="559"/>
      <c r="R399" s="559"/>
      <c r="S399" s="559"/>
      <c r="T399" s="559"/>
      <c r="U399" s="559"/>
      <c r="V399" s="559"/>
      <c r="W399" s="559"/>
      <c r="X399" s="559"/>
      <c r="Y399" s="559"/>
      <c r="Z399" s="559"/>
    </row>
    <row r="400" spans="1:26" ht="18" customHeight="1" x14ac:dyDescent="0.35">
      <c r="A400" s="559"/>
      <c r="B400" s="559"/>
      <c r="C400" s="559"/>
      <c r="D400" s="559"/>
      <c r="E400" s="559"/>
      <c r="F400" s="559"/>
      <c r="G400" s="559"/>
      <c r="H400" s="559"/>
      <c r="I400" s="559"/>
      <c r="J400" s="559"/>
      <c r="K400" s="559"/>
      <c r="L400" s="559"/>
      <c r="M400" s="559"/>
      <c r="N400" s="559"/>
      <c r="O400" s="559"/>
      <c r="P400" s="559"/>
      <c r="Q400" s="559"/>
      <c r="R400" s="559"/>
      <c r="S400" s="559"/>
      <c r="T400" s="559"/>
      <c r="U400" s="559"/>
      <c r="V400" s="559"/>
      <c r="W400" s="559"/>
      <c r="X400" s="559"/>
      <c r="Y400" s="559"/>
      <c r="Z400" s="559"/>
    </row>
    <row r="401" spans="1:26" ht="18" customHeight="1" x14ac:dyDescent="0.35">
      <c r="A401" s="559"/>
      <c r="B401" s="559"/>
      <c r="C401" s="559"/>
      <c r="D401" s="559"/>
      <c r="E401" s="559"/>
      <c r="F401" s="559"/>
      <c r="G401" s="559"/>
      <c r="H401" s="559"/>
      <c r="I401" s="559"/>
      <c r="J401" s="559"/>
      <c r="K401" s="559"/>
      <c r="L401" s="559"/>
      <c r="M401" s="559"/>
      <c r="N401" s="559"/>
      <c r="O401" s="559"/>
      <c r="P401" s="559"/>
      <c r="Q401" s="559"/>
      <c r="R401" s="559"/>
      <c r="S401" s="559"/>
      <c r="T401" s="559"/>
      <c r="U401" s="559"/>
      <c r="V401" s="559"/>
      <c r="W401" s="559"/>
      <c r="X401" s="559"/>
      <c r="Y401" s="559"/>
      <c r="Z401" s="559"/>
    </row>
    <row r="402" spans="1:26" ht="18" customHeight="1" x14ac:dyDescent="0.35">
      <c r="A402" s="559"/>
      <c r="B402" s="559"/>
      <c r="C402" s="559"/>
      <c r="D402" s="559"/>
      <c r="E402" s="559"/>
      <c r="F402" s="559"/>
      <c r="G402" s="559"/>
      <c r="H402" s="559"/>
      <c r="I402" s="559"/>
      <c r="J402" s="559"/>
      <c r="K402" s="559"/>
      <c r="L402" s="559"/>
      <c r="M402" s="559"/>
      <c r="N402" s="559"/>
      <c r="O402" s="559"/>
      <c r="P402" s="559"/>
      <c r="Q402" s="559"/>
      <c r="R402" s="559"/>
      <c r="S402" s="559"/>
      <c r="T402" s="559"/>
      <c r="U402" s="559"/>
      <c r="V402" s="559"/>
      <c r="W402" s="559"/>
      <c r="X402" s="559"/>
      <c r="Y402" s="559"/>
      <c r="Z402" s="559"/>
    </row>
    <row r="403" spans="1:26" ht="18" customHeight="1" x14ac:dyDescent="0.35">
      <c r="A403" s="559"/>
      <c r="B403" s="559"/>
      <c r="C403" s="559"/>
      <c r="D403" s="559"/>
      <c r="E403" s="559"/>
      <c r="F403" s="559"/>
      <c r="G403" s="559"/>
      <c r="H403" s="559"/>
      <c r="I403" s="559"/>
      <c r="J403" s="559"/>
      <c r="K403" s="559"/>
      <c r="L403" s="559"/>
      <c r="M403" s="559"/>
      <c r="N403" s="559"/>
      <c r="O403" s="559"/>
      <c r="P403" s="559"/>
      <c r="Q403" s="559"/>
      <c r="R403" s="559"/>
      <c r="S403" s="559"/>
      <c r="T403" s="559"/>
      <c r="U403" s="559"/>
      <c r="V403" s="559"/>
      <c r="W403" s="559"/>
      <c r="X403" s="559"/>
      <c r="Y403" s="559"/>
      <c r="Z403" s="559"/>
    </row>
    <row r="404" spans="1:26" ht="18" customHeight="1" x14ac:dyDescent="0.35">
      <c r="A404" s="559"/>
      <c r="B404" s="559"/>
      <c r="C404" s="559"/>
      <c r="D404" s="559"/>
      <c r="E404" s="559"/>
      <c r="F404" s="559"/>
      <c r="G404" s="559"/>
      <c r="H404" s="559"/>
      <c r="I404" s="559"/>
      <c r="J404" s="559"/>
      <c r="K404" s="559"/>
      <c r="L404" s="559"/>
      <c r="M404" s="559"/>
      <c r="N404" s="559"/>
      <c r="O404" s="559"/>
      <c r="P404" s="559"/>
      <c r="Q404" s="559"/>
      <c r="R404" s="559"/>
      <c r="S404" s="559"/>
      <c r="T404" s="559"/>
      <c r="U404" s="559"/>
      <c r="V404" s="559"/>
      <c r="W404" s="559"/>
      <c r="X404" s="559"/>
      <c r="Y404" s="559"/>
      <c r="Z404" s="559"/>
    </row>
    <row r="405" spans="1:26" ht="18" customHeight="1" x14ac:dyDescent="0.35">
      <c r="A405" s="559"/>
      <c r="B405" s="559"/>
      <c r="C405" s="559"/>
      <c r="D405" s="559"/>
      <c r="E405" s="559"/>
      <c r="F405" s="559"/>
      <c r="G405" s="559"/>
      <c r="H405" s="559"/>
      <c r="I405" s="559"/>
      <c r="J405" s="559"/>
      <c r="K405" s="559"/>
      <c r="L405" s="559"/>
      <c r="M405" s="559"/>
      <c r="N405" s="559"/>
      <c r="O405" s="559"/>
      <c r="P405" s="559"/>
      <c r="Q405" s="559"/>
      <c r="R405" s="559"/>
      <c r="S405" s="559"/>
      <c r="T405" s="559"/>
      <c r="U405" s="559"/>
      <c r="V405" s="559"/>
      <c r="W405" s="559"/>
      <c r="X405" s="559"/>
      <c r="Y405" s="559"/>
      <c r="Z405" s="559"/>
    </row>
    <row r="406" spans="1:26" ht="18" customHeight="1" x14ac:dyDescent="0.35">
      <c r="A406" s="559"/>
      <c r="B406" s="559"/>
      <c r="C406" s="559"/>
      <c r="D406" s="559"/>
      <c r="E406" s="559"/>
      <c r="F406" s="559"/>
      <c r="G406" s="559"/>
      <c r="H406" s="559"/>
      <c r="I406" s="559"/>
      <c r="J406" s="559"/>
      <c r="K406" s="559"/>
      <c r="L406" s="559"/>
      <c r="M406" s="559"/>
      <c r="N406" s="559"/>
      <c r="O406" s="559"/>
      <c r="P406" s="559"/>
      <c r="Q406" s="559"/>
      <c r="R406" s="559"/>
      <c r="S406" s="559"/>
      <c r="T406" s="559"/>
      <c r="U406" s="559"/>
      <c r="V406" s="559"/>
      <c r="W406" s="559"/>
      <c r="X406" s="559"/>
      <c r="Y406" s="559"/>
      <c r="Z406" s="559"/>
    </row>
    <row r="407" spans="1:26" ht="18" customHeight="1" x14ac:dyDescent="0.35">
      <c r="A407" s="559"/>
      <c r="B407" s="559"/>
      <c r="C407" s="559"/>
      <c r="D407" s="559"/>
      <c r="E407" s="559"/>
      <c r="F407" s="559"/>
      <c r="G407" s="559"/>
      <c r="H407" s="559"/>
      <c r="I407" s="559"/>
      <c r="J407" s="559"/>
      <c r="K407" s="559"/>
      <c r="L407" s="559"/>
      <c r="M407" s="559"/>
      <c r="N407" s="559"/>
      <c r="O407" s="559"/>
      <c r="P407" s="559"/>
      <c r="Q407" s="559"/>
      <c r="R407" s="559"/>
      <c r="S407" s="559"/>
      <c r="T407" s="559"/>
      <c r="U407" s="559"/>
      <c r="V407" s="559"/>
      <c r="W407" s="559"/>
      <c r="X407" s="559"/>
      <c r="Y407" s="559"/>
      <c r="Z407" s="559"/>
    </row>
    <row r="408" spans="1:26" ht="18" customHeight="1" x14ac:dyDescent="0.35">
      <c r="A408" s="559"/>
      <c r="B408" s="559"/>
      <c r="C408" s="559"/>
      <c r="D408" s="559"/>
      <c r="E408" s="559"/>
      <c r="F408" s="559"/>
      <c r="G408" s="559"/>
      <c r="H408" s="559"/>
      <c r="I408" s="559"/>
      <c r="J408" s="559"/>
      <c r="K408" s="559"/>
      <c r="L408" s="559"/>
      <c r="M408" s="559"/>
      <c r="N408" s="559"/>
      <c r="O408" s="559"/>
      <c r="P408" s="559"/>
      <c r="Q408" s="559"/>
      <c r="R408" s="559"/>
      <c r="S408" s="559"/>
      <c r="T408" s="559"/>
      <c r="U408" s="559"/>
      <c r="V408" s="559"/>
      <c r="W408" s="559"/>
      <c r="X408" s="559"/>
      <c r="Y408" s="559"/>
      <c r="Z408" s="559"/>
    </row>
    <row r="409" spans="1:26" ht="18" customHeight="1" x14ac:dyDescent="0.35">
      <c r="A409" s="559"/>
      <c r="B409" s="559"/>
      <c r="C409" s="559"/>
      <c r="D409" s="559"/>
      <c r="E409" s="559"/>
      <c r="F409" s="559"/>
      <c r="G409" s="559"/>
      <c r="H409" s="559"/>
      <c r="I409" s="559"/>
      <c r="J409" s="559"/>
      <c r="K409" s="559"/>
      <c r="L409" s="559"/>
      <c r="M409" s="559"/>
      <c r="N409" s="559"/>
      <c r="O409" s="559"/>
      <c r="P409" s="559"/>
      <c r="Q409" s="559"/>
      <c r="R409" s="559"/>
      <c r="S409" s="559"/>
      <c r="T409" s="559"/>
      <c r="U409" s="559"/>
      <c r="V409" s="559"/>
      <c r="W409" s="559"/>
      <c r="X409" s="559"/>
      <c r="Y409" s="559"/>
      <c r="Z409" s="559"/>
    </row>
    <row r="410" spans="1:26" ht="18" customHeight="1" x14ac:dyDescent="0.35">
      <c r="A410" s="559"/>
      <c r="B410" s="559"/>
      <c r="C410" s="559"/>
      <c r="D410" s="559"/>
      <c r="E410" s="559"/>
      <c r="F410" s="559"/>
      <c r="G410" s="559"/>
      <c r="H410" s="559"/>
      <c r="I410" s="559"/>
      <c r="J410" s="559"/>
      <c r="K410" s="559"/>
      <c r="L410" s="559"/>
      <c r="M410" s="559"/>
      <c r="N410" s="559"/>
      <c r="O410" s="559"/>
      <c r="P410" s="559"/>
      <c r="Q410" s="559"/>
      <c r="R410" s="559"/>
      <c r="S410" s="559"/>
      <c r="T410" s="559"/>
      <c r="U410" s="559"/>
      <c r="V410" s="559"/>
      <c r="W410" s="559"/>
      <c r="X410" s="559"/>
      <c r="Y410" s="559"/>
      <c r="Z410" s="559"/>
    </row>
    <row r="411" spans="1:26" ht="18" customHeight="1" x14ac:dyDescent="0.35">
      <c r="A411" s="559"/>
      <c r="B411" s="559"/>
      <c r="C411" s="559"/>
      <c r="D411" s="559"/>
      <c r="E411" s="559"/>
      <c r="F411" s="559"/>
      <c r="G411" s="559"/>
      <c r="H411" s="559"/>
      <c r="I411" s="559"/>
      <c r="J411" s="559"/>
      <c r="K411" s="559"/>
      <c r="L411" s="559"/>
      <c r="M411" s="559"/>
      <c r="N411" s="559"/>
      <c r="O411" s="559"/>
      <c r="P411" s="559"/>
      <c r="Q411" s="559"/>
      <c r="R411" s="559"/>
      <c r="S411" s="559"/>
      <c r="T411" s="559"/>
      <c r="U411" s="559"/>
      <c r="V411" s="559"/>
      <c r="W411" s="559"/>
      <c r="X411" s="559"/>
      <c r="Y411" s="559"/>
      <c r="Z411" s="559"/>
    </row>
    <row r="412" spans="1:26" ht="18" customHeight="1" x14ac:dyDescent="0.35">
      <c r="A412" s="559"/>
      <c r="B412" s="559"/>
      <c r="C412" s="559"/>
      <c r="D412" s="559"/>
      <c r="E412" s="559"/>
      <c r="F412" s="559"/>
      <c r="G412" s="559"/>
      <c r="H412" s="559"/>
      <c r="I412" s="559"/>
      <c r="J412" s="559"/>
      <c r="K412" s="559"/>
      <c r="L412" s="559"/>
      <c r="M412" s="559"/>
      <c r="N412" s="559"/>
      <c r="O412" s="559"/>
      <c r="P412" s="559"/>
      <c r="Q412" s="559"/>
      <c r="R412" s="559"/>
      <c r="S412" s="559"/>
      <c r="T412" s="559"/>
      <c r="U412" s="559"/>
      <c r="V412" s="559"/>
      <c r="W412" s="559"/>
      <c r="X412" s="559"/>
      <c r="Y412" s="559"/>
      <c r="Z412" s="559"/>
    </row>
    <row r="413" spans="1:26" ht="18" customHeight="1" x14ac:dyDescent="0.35">
      <c r="A413" s="559"/>
      <c r="B413" s="559"/>
      <c r="C413" s="559"/>
      <c r="D413" s="559"/>
      <c r="E413" s="559"/>
      <c r="F413" s="559"/>
      <c r="G413" s="559"/>
      <c r="H413" s="559"/>
      <c r="I413" s="559"/>
      <c r="J413" s="559"/>
      <c r="K413" s="559"/>
      <c r="L413" s="559"/>
      <c r="M413" s="559"/>
      <c r="N413" s="559"/>
      <c r="O413" s="559"/>
      <c r="P413" s="559"/>
      <c r="Q413" s="559"/>
      <c r="R413" s="559"/>
      <c r="S413" s="559"/>
      <c r="T413" s="559"/>
      <c r="U413" s="559"/>
      <c r="V413" s="559"/>
      <c r="W413" s="559"/>
      <c r="X413" s="559"/>
      <c r="Y413" s="559"/>
      <c r="Z413" s="559"/>
    </row>
    <row r="414" spans="1:26" ht="18" customHeight="1" x14ac:dyDescent="0.35">
      <c r="A414" s="559"/>
      <c r="B414" s="559"/>
      <c r="C414" s="559"/>
      <c r="D414" s="559"/>
      <c r="E414" s="559"/>
      <c r="F414" s="559"/>
      <c r="G414" s="559"/>
      <c r="H414" s="559"/>
      <c r="I414" s="559"/>
      <c r="J414" s="559"/>
      <c r="K414" s="559"/>
      <c r="L414" s="559"/>
      <c r="M414" s="559"/>
      <c r="N414" s="559"/>
      <c r="O414" s="559"/>
      <c r="P414" s="559"/>
      <c r="Q414" s="559"/>
      <c r="R414" s="559"/>
      <c r="S414" s="559"/>
      <c r="T414" s="559"/>
      <c r="U414" s="559"/>
      <c r="V414" s="559"/>
      <c r="W414" s="559"/>
      <c r="X414" s="559"/>
      <c r="Y414" s="559"/>
      <c r="Z414" s="559"/>
    </row>
    <row r="415" spans="1:26" ht="18" customHeight="1" x14ac:dyDescent="0.35">
      <c r="A415" s="559"/>
      <c r="B415" s="559"/>
      <c r="C415" s="559"/>
      <c r="D415" s="559"/>
      <c r="E415" s="559"/>
      <c r="F415" s="559"/>
      <c r="G415" s="559"/>
      <c r="H415" s="559"/>
      <c r="I415" s="559"/>
      <c r="J415" s="559"/>
      <c r="K415" s="559"/>
      <c r="L415" s="559"/>
      <c r="M415" s="559"/>
      <c r="N415" s="559"/>
      <c r="O415" s="559"/>
      <c r="P415" s="559"/>
      <c r="Q415" s="559"/>
      <c r="R415" s="559"/>
      <c r="S415" s="559"/>
      <c r="T415" s="559"/>
      <c r="U415" s="559"/>
      <c r="V415" s="559"/>
      <c r="W415" s="559"/>
      <c r="X415" s="559"/>
      <c r="Y415" s="559"/>
      <c r="Z415" s="559"/>
    </row>
    <row r="416" spans="1:26" ht="18" customHeight="1" x14ac:dyDescent="0.35">
      <c r="A416" s="559"/>
      <c r="B416" s="559"/>
      <c r="C416" s="559"/>
      <c r="D416" s="559"/>
      <c r="E416" s="559"/>
      <c r="F416" s="559"/>
      <c r="G416" s="559"/>
      <c r="H416" s="559"/>
      <c r="I416" s="559"/>
      <c r="J416" s="559"/>
      <c r="K416" s="559"/>
      <c r="L416" s="559"/>
      <c r="M416" s="559"/>
      <c r="N416" s="559"/>
      <c r="O416" s="559"/>
      <c r="P416" s="559"/>
      <c r="Q416" s="559"/>
      <c r="R416" s="559"/>
      <c r="S416" s="559"/>
      <c r="T416" s="559"/>
      <c r="U416" s="559"/>
      <c r="V416" s="559"/>
      <c r="W416" s="559"/>
      <c r="X416" s="559"/>
      <c r="Y416" s="559"/>
      <c r="Z416" s="559"/>
    </row>
    <row r="417" spans="1:26" ht="18" customHeight="1" x14ac:dyDescent="0.35">
      <c r="A417" s="559"/>
      <c r="B417" s="559"/>
      <c r="C417" s="559"/>
      <c r="D417" s="559"/>
      <c r="E417" s="559"/>
      <c r="F417" s="559"/>
      <c r="G417" s="559"/>
      <c r="H417" s="559"/>
      <c r="I417" s="559"/>
      <c r="J417" s="559"/>
      <c r="K417" s="559"/>
      <c r="L417" s="559"/>
      <c r="M417" s="559"/>
      <c r="N417" s="559"/>
      <c r="O417" s="559"/>
      <c r="P417" s="559"/>
      <c r="Q417" s="559"/>
      <c r="R417" s="559"/>
      <c r="S417" s="559"/>
      <c r="T417" s="559"/>
      <c r="U417" s="559"/>
      <c r="V417" s="559"/>
      <c r="W417" s="559"/>
      <c r="X417" s="559"/>
      <c r="Y417" s="559"/>
      <c r="Z417" s="559"/>
    </row>
    <row r="418" spans="1:26" ht="18" customHeight="1" x14ac:dyDescent="0.35">
      <c r="A418" s="559"/>
      <c r="B418" s="559"/>
      <c r="C418" s="559"/>
      <c r="D418" s="559"/>
      <c r="E418" s="559"/>
      <c r="F418" s="559"/>
      <c r="G418" s="559"/>
      <c r="H418" s="559"/>
      <c r="I418" s="559"/>
      <c r="J418" s="559"/>
      <c r="K418" s="559"/>
      <c r="L418" s="559"/>
      <c r="M418" s="559"/>
      <c r="N418" s="559"/>
      <c r="O418" s="559"/>
      <c r="P418" s="559"/>
      <c r="Q418" s="559"/>
      <c r="R418" s="559"/>
      <c r="S418" s="559"/>
      <c r="T418" s="559"/>
      <c r="U418" s="559"/>
      <c r="V418" s="559"/>
      <c r="W418" s="559"/>
      <c r="X418" s="559"/>
      <c r="Y418" s="559"/>
      <c r="Z418" s="559"/>
    </row>
    <row r="419" spans="1:26" ht="18" customHeight="1" x14ac:dyDescent="0.35">
      <c r="A419" s="559"/>
      <c r="B419" s="559"/>
      <c r="C419" s="559"/>
      <c r="D419" s="559"/>
      <c r="E419" s="559"/>
      <c r="F419" s="559"/>
      <c r="G419" s="559"/>
      <c r="H419" s="559"/>
      <c r="I419" s="559"/>
      <c r="J419" s="559"/>
      <c r="K419" s="559"/>
      <c r="L419" s="559"/>
      <c r="M419" s="559"/>
      <c r="N419" s="559"/>
      <c r="O419" s="559"/>
      <c r="P419" s="559"/>
      <c r="Q419" s="559"/>
      <c r="R419" s="559"/>
      <c r="S419" s="559"/>
      <c r="T419" s="559"/>
      <c r="U419" s="559"/>
      <c r="V419" s="559"/>
      <c r="W419" s="559"/>
      <c r="X419" s="559"/>
      <c r="Y419" s="559"/>
      <c r="Z419" s="559"/>
    </row>
    <row r="420" spans="1:26" ht="18" customHeight="1" x14ac:dyDescent="0.35">
      <c r="A420" s="559"/>
      <c r="B420" s="559"/>
      <c r="C420" s="559"/>
      <c r="D420" s="559"/>
      <c r="E420" s="559"/>
      <c r="F420" s="559"/>
      <c r="G420" s="559"/>
      <c r="H420" s="559"/>
      <c r="I420" s="559"/>
      <c r="J420" s="559"/>
      <c r="K420" s="559"/>
      <c r="L420" s="559"/>
      <c r="M420" s="559"/>
      <c r="N420" s="559"/>
      <c r="O420" s="559"/>
      <c r="P420" s="559"/>
      <c r="Q420" s="559"/>
      <c r="R420" s="559"/>
      <c r="S420" s="559"/>
      <c r="T420" s="559"/>
      <c r="U420" s="559"/>
      <c r="V420" s="559"/>
      <c r="W420" s="559"/>
      <c r="X420" s="559"/>
      <c r="Y420" s="559"/>
      <c r="Z420" s="559"/>
    </row>
    <row r="421" spans="1:26" ht="18" customHeight="1" x14ac:dyDescent="0.35">
      <c r="A421" s="559"/>
      <c r="B421" s="559"/>
      <c r="C421" s="559"/>
      <c r="D421" s="559"/>
      <c r="E421" s="559"/>
      <c r="F421" s="559"/>
      <c r="G421" s="559"/>
      <c r="H421" s="559"/>
      <c r="I421" s="559"/>
      <c r="J421" s="559"/>
      <c r="K421" s="559"/>
      <c r="L421" s="559"/>
      <c r="M421" s="559"/>
      <c r="N421" s="559"/>
      <c r="O421" s="559"/>
      <c r="P421" s="559"/>
      <c r="Q421" s="559"/>
      <c r="R421" s="559"/>
      <c r="S421" s="559"/>
      <c r="T421" s="559"/>
      <c r="U421" s="559"/>
      <c r="V421" s="559"/>
      <c r="W421" s="559"/>
      <c r="X421" s="559"/>
      <c r="Y421" s="559"/>
      <c r="Z421" s="559"/>
    </row>
    <row r="422" spans="1:26" ht="18" customHeight="1" x14ac:dyDescent="0.35">
      <c r="A422" s="559"/>
      <c r="B422" s="559"/>
      <c r="C422" s="559"/>
      <c r="D422" s="559"/>
      <c r="E422" s="559"/>
      <c r="F422" s="559"/>
      <c r="G422" s="559"/>
      <c r="H422" s="559"/>
      <c r="I422" s="559"/>
      <c r="J422" s="559"/>
      <c r="K422" s="559"/>
      <c r="L422" s="559"/>
      <c r="M422" s="559"/>
      <c r="N422" s="559"/>
      <c r="O422" s="559"/>
      <c r="P422" s="559"/>
      <c r="Q422" s="559"/>
      <c r="R422" s="559"/>
      <c r="S422" s="559"/>
      <c r="T422" s="559"/>
      <c r="U422" s="559"/>
      <c r="V422" s="559"/>
      <c r="W422" s="559"/>
      <c r="X422" s="559"/>
      <c r="Y422" s="559"/>
      <c r="Z422" s="559"/>
    </row>
    <row r="423" spans="1:26" ht="18" customHeight="1" x14ac:dyDescent="0.35">
      <c r="A423" s="559"/>
      <c r="B423" s="559"/>
      <c r="C423" s="559"/>
      <c r="D423" s="559"/>
      <c r="E423" s="559"/>
      <c r="F423" s="559"/>
      <c r="G423" s="559"/>
      <c r="H423" s="559"/>
      <c r="I423" s="559"/>
      <c r="J423" s="559"/>
      <c r="K423" s="559"/>
      <c r="L423" s="559"/>
      <c r="M423" s="559"/>
      <c r="N423" s="559"/>
      <c r="O423" s="559"/>
      <c r="P423" s="559"/>
      <c r="Q423" s="559"/>
      <c r="R423" s="559"/>
      <c r="S423" s="559"/>
      <c r="T423" s="559"/>
      <c r="U423" s="559"/>
      <c r="V423" s="559"/>
      <c r="W423" s="559"/>
      <c r="X423" s="559"/>
      <c r="Y423" s="559"/>
      <c r="Z423" s="559"/>
    </row>
    <row r="424" spans="1:26" ht="18" customHeight="1" x14ac:dyDescent="0.35">
      <c r="A424" s="559"/>
      <c r="B424" s="559"/>
      <c r="C424" s="559"/>
      <c r="D424" s="559"/>
      <c r="E424" s="559"/>
      <c r="F424" s="559"/>
      <c r="G424" s="559"/>
      <c r="H424" s="559"/>
      <c r="I424" s="559"/>
      <c r="J424" s="559"/>
      <c r="K424" s="559"/>
      <c r="L424" s="559"/>
      <c r="M424" s="559"/>
      <c r="N424" s="559"/>
      <c r="O424" s="559"/>
      <c r="P424" s="559"/>
      <c r="Q424" s="559"/>
      <c r="R424" s="559"/>
      <c r="S424" s="559"/>
      <c r="T424" s="559"/>
      <c r="U424" s="559"/>
      <c r="V424" s="559"/>
      <c r="W424" s="559"/>
      <c r="X424" s="559"/>
      <c r="Y424" s="559"/>
      <c r="Z424" s="559"/>
    </row>
    <row r="425" spans="1:26" ht="18" customHeight="1" x14ac:dyDescent="0.35">
      <c r="A425" s="559"/>
      <c r="B425" s="559"/>
      <c r="C425" s="559"/>
      <c r="D425" s="559"/>
      <c r="E425" s="559"/>
      <c r="F425" s="559"/>
      <c r="G425" s="559"/>
      <c r="H425" s="559"/>
      <c r="I425" s="559"/>
      <c r="J425" s="559"/>
      <c r="K425" s="559"/>
      <c r="L425" s="559"/>
      <c r="M425" s="559"/>
      <c r="N425" s="559"/>
      <c r="O425" s="559"/>
      <c r="P425" s="559"/>
      <c r="Q425" s="559"/>
      <c r="R425" s="559"/>
      <c r="S425" s="559"/>
      <c r="T425" s="559"/>
      <c r="U425" s="559"/>
      <c r="V425" s="559"/>
      <c r="W425" s="559"/>
      <c r="X425" s="559"/>
      <c r="Y425" s="559"/>
      <c r="Z425" s="559"/>
    </row>
    <row r="426" spans="1:26" ht="18" customHeight="1" x14ac:dyDescent="0.35">
      <c r="A426" s="559"/>
      <c r="B426" s="559"/>
      <c r="C426" s="559"/>
      <c r="D426" s="559"/>
      <c r="E426" s="559"/>
      <c r="F426" s="559"/>
      <c r="G426" s="559"/>
      <c r="H426" s="559"/>
      <c r="I426" s="559"/>
      <c r="J426" s="559"/>
      <c r="K426" s="559"/>
      <c r="L426" s="559"/>
      <c r="M426" s="559"/>
      <c r="N426" s="559"/>
      <c r="O426" s="559"/>
      <c r="P426" s="559"/>
      <c r="Q426" s="559"/>
      <c r="R426" s="559"/>
      <c r="S426" s="559"/>
      <c r="T426" s="559"/>
      <c r="U426" s="559"/>
      <c r="V426" s="559"/>
      <c r="W426" s="559"/>
      <c r="X426" s="559"/>
      <c r="Y426" s="559"/>
      <c r="Z426" s="559"/>
    </row>
    <row r="427" spans="1:26" ht="18" customHeight="1" x14ac:dyDescent="0.35">
      <c r="A427" s="559"/>
      <c r="B427" s="559"/>
      <c r="C427" s="559"/>
      <c r="D427" s="559"/>
      <c r="E427" s="559"/>
      <c r="F427" s="559"/>
      <c r="G427" s="559"/>
      <c r="H427" s="559"/>
      <c r="I427" s="559"/>
      <c r="J427" s="559"/>
      <c r="K427" s="559"/>
      <c r="L427" s="559"/>
      <c r="M427" s="559"/>
      <c r="N427" s="559"/>
      <c r="O427" s="559"/>
      <c r="P427" s="559"/>
      <c r="Q427" s="559"/>
      <c r="R427" s="559"/>
      <c r="S427" s="559"/>
      <c r="T427" s="559"/>
      <c r="U427" s="559"/>
      <c r="V427" s="559"/>
      <c r="W427" s="559"/>
      <c r="X427" s="559"/>
      <c r="Y427" s="559"/>
      <c r="Z427" s="559"/>
    </row>
    <row r="428" spans="1:26" ht="18" customHeight="1" x14ac:dyDescent="0.35">
      <c r="A428" s="559"/>
      <c r="B428" s="559"/>
      <c r="C428" s="559"/>
      <c r="D428" s="559"/>
      <c r="E428" s="559"/>
      <c r="F428" s="559"/>
      <c r="G428" s="559"/>
      <c r="H428" s="559"/>
      <c r="I428" s="559"/>
      <c r="J428" s="559"/>
      <c r="K428" s="559"/>
      <c r="L428" s="559"/>
      <c r="M428" s="559"/>
      <c r="N428" s="559"/>
      <c r="O428" s="559"/>
      <c r="P428" s="559"/>
      <c r="Q428" s="559"/>
      <c r="R428" s="559"/>
      <c r="S428" s="559"/>
      <c r="T428" s="559"/>
      <c r="U428" s="559"/>
      <c r="V428" s="559"/>
      <c r="W428" s="559"/>
      <c r="X428" s="559"/>
      <c r="Y428" s="559"/>
      <c r="Z428" s="559"/>
    </row>
    <row r="429" spans="1:26" ht="18" customHeight="1" x14ac:dyDescent="0.35">
      <c r="A429" s="559"/>
      <c r="B429" s="559"/>
      <c r="C429" s="559"/>
      <c r="D429" s="559"/>
      <c r="E429" s="559"/>
      <c r="F429" s="559"/>
      <c r="G429" s="559"/>
      <c r="H429" s="559"/>
      <c r="I429" s="559"/>
      <c r="J429" s="559"/>
      <c r="K429" s="559"/>
      <c r="L429" s="559"/>
      <c r="M429" s="559"/>
      <c r="N429" s="559"/>
      <c r="O429" s="559"/>
      <c r="P429" s="559"/>
      <c r="Q429" s="559"/>
      <c r="R429" s="559"/>
      <c r="S429" s="559"/>
      <c r="T429" s="559"/>
      <c r="U429" s="559"/>
      <c r="V429" s="559"/>
      <c r="W429" s="559"/>
      <c r="X429" s="559"/>
      <c r="Y429" s="559"/>
      <c r="Z429" s="559"/>
    </row>
    <row r="430" spans="1:26" ht="18" customHeight="1" x14ac:dyDescent="0.35">
      <c r="A430" s="559"/>
      <c r="B430" s="559"/>
      <c r="C430" s="559"/>
      <c r="D430" s="559"/>
      <c r="E430" s="559"/>
      <c r="F430" s="559"/>
      <c r="G430" s="559"/>
      <c r="H430" s="559"/>
      <c r="I430" s="559"/>
      <c r="J430" s="559"/>
      <c r="K430" s="559"/>
      <c r="L430" s="559"/>
      <c r="M430" s="559"/>
      <c r="N430" s="559"/>
      <c r="O430" s="559"/>
      <c r="P430" s="559"/>
      <c r="Q430" s="559"/>
      <c r="R430" s="559"/>
      <c r="S430" s="559"/>
      <c r="T430" s="559"/>
      <c r="U430" s="559"/>
      <c r="V430" s="559"/>
      <c r="W430" s="559"/>
      <c r="X430" s="559"/>
      <c r="Y430" s="559"/>
      <c r="Z430" s="559"/>
    </row>
    <row r="431" spans="1:26" ht="18" customHeight="1" x14ac:dyDescent="0.35">
      <c r="A431" s="559"/>
      <c r="B431" s="559"/>
      <c r="C431" s="559"/>
      <c r="D431" s="559"/>
      <c r="E431" s="559"/>
      <c r="F431" s="559"/>
      <c r="G431" s="559"/>
      <c r="H431" s="559"/>
      <c r="I431" s="559"/>
      <c r="J431" s="559"/>
      <c r="K431" s="559"/>
      <c r="L431" s="559"/>
      <c r="M431" s="559"/>
      <c r="N431" s="559"/>
      <c r="O431" s="559"/>
      <c r="P431" s="559"/>
      <c r="Q431" s="559"/>
      <c r="R431" s="559"/>
      <c r="S431" s="559"/>
      <c r="T431" s="559"/>
      <c r="U431" s="559"/>
      <c r="V431" s="559"/>
      <c r="W431" s="559"/>
      <c r="X431" s="559"/>
      <c r="Y431" s="559"/>
      <c r="Z431" s="559"/>
    </row>
    <row r="432" spans="1:26" ht="18" customHeight="1" x14ac:dyDescent="0.35">
      <c r="A432" s="559"/>
      <c r="B432" s="559"/>
      <c r="C432" s="559"/>
      <c r="D432" s="559"/>
      <c r="E432" s="559"/>
      <c r="F432" s="559"/>
      <c r="G432" s="559"/>
      <c r="H432" s="559"/>
      <c r="I432" s="559"/>
      <c r="J432" s="559"/>
      <c r="K432" s="559"/>
      <c r="L432" s="559"/>
      <c r="M432" s="559"/>
      <c r="N432" s="559"/>
      <c r="O432" s="559"/>
      <c r="P432" s="559"/>
      <c r="Q432" s="559"/>
      <c r="R432" s="559"/>
      <c r="S432" s="559"/>
      <c r="T432" s="559"/>
      <c r="U432" s="559"/>
      <c r="V432" s="559"/>
      <c r="W432" s="559"/>
      <c r="X432" s="559"/>
      <c r="Y432" s="559"/>
      <c r="Z432" s="559"/>
    </row>
    <row r="433" spans="1:26" ht="18" customHeight="1" x14ac:dyDescent="0.35">
      <c r="A433" s="559"/>
      <c r="B433" s="559"/>
      <c r="C433" s="559"/>
      <c r="D433" s="559"/>
      <c r="E433" s="559"/>
      <c r="F433" s="559"/>
      <c r="G433" s="559"/>
      <c r="H433" s="559"/>
      <c r="I433" s="559"/>
      <c r="J433" s="559"/>
      <c r="K433" s="559"/>
      <c r="L433" s="559"/>
      <c r="M433" s="559"/>
      <c r="N433" s="559"/>
      <c r="O433" s="559"/>
      <c r="P433" s="559"/>
      <c r="Q433" s="559"/>
      <c r="R433" s="559"/>
      <c r="S433" s="559"/>
      <c r="T433" s="559"/>
      <c r="U433" s="559"/>
      <c r="V433" s="559"/>
      <c r="W433" s="559"/>
      <c r="X433" s="559"/>
      <c r="Y433" s="559"/>
      <c r="Z433" s="559"/>
    </row>
    <row r="434" spans="1:26" ht="18" customHeight="1" x14ac:dyDescent="0.35">
      <c r="A434" s="559"/>
      <c r="B434" s="559"/>
      <c r="C434" s="559"/>
      <c r="D434" s="559"/>
      <c r="E434" s="559"/>
      <c r="F434" s="559"/>
      <c r="G434" s="559"/>
      <c r="H434" s="559"/>
      <c r="I434" s="559"/>
      <c r="J434" s="559"/>
      <c r="K434" s="559"/>
      <c r="L434" s="559"/>
      <c r="M434" s="559"/>
      <c r="N434" s="559"/>
      <c r="O434" s="559"/>
      <c r="P434" s="559"/>
      <c r="Q434" s="559"/>
      <c r="R434" s="559"/>
      <c r="S434" s="559"/>
      <c r="T434" s="559"/>
      <c r="U434" s="559"/>
      <c r="V434" s="559"/>
      <c r="W434" s="559"/>
      <c r="X434" s="559"/>
      <c r="Y434" s="559"/>
      <c r="Z434" s="559"/>
    </row>
    <row r="435" spans="1:26" ht="18" customHeight="1" x14ac:dyDescent="0.35">
      <c r="A435" s="559"/>
      <c r="B435" s="559"/>
      <c r="C435" s="559"/>
      <c r="D435" s="559"/>
      <c r="E435" s="559"/>
      <c r="F435" s="559"/>
      <c r="G435" s="559"/>
      <c r="H435" s="559"/>
      <c r="I435" s="559"/>
      <c r="J435" s="559"/>
      <c r="K435" s="559"/>
      <c r="L435" s="559"/>
      <c r="M435" s="559"/>
      <c r="N435" s="559"/>
      <c r="O435" s="559"/>
      <c r="P435" s="559"/>
      <c r="Q435" s="559"/>
      <c r="R435" s="559"/>
      <c r="S435" s="559"/>
      <c r="T435" s="559"/>
      <c r="U435" s="559"/>
      <c r="V435" s="559"/>
      <c r="W435" s="559"/>
      <c r="X435" s="559"/>
      <c r="Y435" s="559"/>
      <c r="Z435" s="559"/>
    </row>
    <row r="436" spans="1:26" ht="18" customHeight="1" x14ac:dyDescent="0.35">
      <c r="A436" s="559"/>
      <c r="B436" s="559"/>
      <c r="C436" s="559"/>
      <c r="D436" s="559"/>
      <c r="E436" s="559"/>
      <c r="F436" s="559"/>
      <c r="G436" s="559"/>
      <c r="H436" s="559"/>
      <c r="I436" s="559"/>
      <c r="J436" s="559"/>
      <c r="K436" s="559"/>
      <c r="L436" s="559"/>
      <c r="M436" s="559"/>
      <c r="N436" s="559"/>
      <c r="O436" s="559"/>
      <c r="P436" s="559"/>
      <c r="Q436" s="559"/>
      <c r="R436" s="559"/>
      <c r="S436" s="559"/>
      <c r="T436" s="559"/>
      <c r="U436" s="559"/>
      <c r="V436" s="559"/>
      <c r="W436" s="559"/>
      <c r="X436" s="559"/>
      <c r="Y436" s="559"/>
      <c r="Z436" s="559"/>
    </row>
    <row r="437" spans="1:26" ht="18" customHeight="1" x14ac:dyDescent="0.35">
      <c r="A437" s="559"/>
      <c r="B437" s="559"/>
      <c r="C437" s="559"/>
      <c r="D437" s="559"/>
      <c r="E437" s="559"/>
      <c r="F437" s="559"/>
      <c r="G437" s="559"/>
      <c r="H437" s="559"/>
      <c r="I437" s="559"/>
      <c r="J437" s="559"/>
      <c r="K437" s="559"/>
      <c r="L437" s="559"/>
      <c r="M437" s="559"/>
      <c r="N437" s="559"/>
      <c r="O437" s="559"/>
      <c r="P437" s="559"/>
      <c r="Q437" s="559"/>
      <c r="R437" s="559"/>
      <c r="S437" s="559"/>
      <c r="T437" s="559"/>
      <c r="U437" s="559"/>
      <c r="V437" s="559"/>
      <c r="W437" s="559"/>
      <c r="X437" s="559"/>
      <c r="Y437" s="559"/>
      <c r="Z437" s="559"/>
    </row>
    <row r="438" spans="1:26" ht="18" customHeight="1" x14ac:dyDescent="0.35">
      <c r="A438" s="559"/>
      <c r="B438" s="559"/>
      <c r="C438" s="559"/>
      <c r="D438" s="559"/>
      <c r="E438" s="559"/>
      <c r="F438" s="559"/>
      <c r="G438" s="559"/>
      <c r="H438" s="559"/>
      <c r="I438" s="559"/>
      <c r="J438" s="559"/>
      <c r="K438" s="559"/>
      <c r="L438" s="559"/>
      <c r="M438" s="559"/>
      <c r="N438" s="559"/>
      <c r="O438" s="559"/>
      <c r="P438" s="559"/>
      <c r="Q438" s="559"/>
      <c r="R438" s="559"/>
      <c r="S438" s="559"/>
      <c r="T438" s="559"/>
      <c r="U438" s="559"/>
      <c r="V438" s="559"/>
      <c r="W438" s="559"/>
      <c r="X438" s="559"/>
      <c r="Y438" s="559"/>
      <c r="Z438" s="559"/>
    </row>
    <row r="439" spans="1:26" ht="18" customHeight="1" x14ac:dyDescent="0.35">
      <c r="A439" s="559"/>
      <c r="B439" s="559"/>
      <c r="C439" s="559"/>
      <c r="D439" s="559"/>
      <c r="E439" s="559"/>
      <c r="F439" s="559"/>
      <c r="G439" s="559"/>
      <c r="H439" s="559"/>
      <c r="I439" s="559"/>
      <c r="J439" s="559"/>
      <c r="K439" s="559"/>
      <c r="L439" s="559"/>
      <c r="M439" s="559"/>
      <c r="N439" s="559"/>
      <c r="O439" s="559"/>
      <c r="P439" s="559"/>
      <c r="Q439" s="559"/>
      <c r="R439" s="559"/>
      <c r="S439" s="559"/>
      <c r="T439" s="559"/>
      <c r="U439" s="559"/>
      <c r="V439" s="559"/>
      <c r="W439" s="559"/>
      <c r="X439" s="559"/>
      <c r="Y439" s="559"/>
      <c r="Z439" s="559"/>
    </row>
    <row r="440" spans="1:26" ht="18" customHeight="1" x14ac:dyDescent="0.35">
      <c r="A440" s="559"/>
      <c r="B440" s="559"/>
      <c r="C440" s="559"/>
      <c r="D440" s="559"/>
      <c r="E440" s="559"/>
      <c r="F440" s="559"/>
      <c r="G440" s="559"/>
      <c r="H440" s="559"/>
      <c r="I440" s="559"/>
      <c r="J440" s="559"/>
      <c r="K440" s="559"/>
      <c r="L440" s="559"/>
      <c r="M440" s="559"/>
      <c r="N440" s="559"/>
      <c r="O440" s="559"/>
      <c r="P440" s="559"/>
      <c r="Q440" s="559"/>
      <c r="R440" s="559"/>
      <c r="S440" s="559"/>
      <c r="T440" s="559"/>
      <c r="U440" s="559"/>
      <c r="V440" s="559"/>
      <c r="W440" s="559"/>
      <c r="X440" s="559"/>
      <c r="Y440" s="559"/>
      <c r="Z440" s="559"/>
    </row>
    <row r="441" spans="1:26" ht="18" customHeight="1" x14ac:dyDescent="0.35">
      <c r="A441" s="559"/>
      <c r="B441" s="559"/>
      <c r="C441" s="559"/>
      <c r="D441" s="559"/>
      <c r="E441" s="559"/>
      <c r="F441" s="559"/>
      <c r="G441" s="559"/>
      <c r="H441" s="559"/>
      <c r="I441" s="559"/>
      <c r="J441" s="559"/>
      <c r="K441" s="559"/>
      <c r="L441" s="559"/>
      <c r="M441" s="559"/>
      <c r="N441" s="559"/>
      <c r="O441" s="559"/>
      <c r="P441" s="559"/>
      <c r="Q441" s="559"/>
      <c r="R441" s="559"/>
      <c r="S441" s="559"/>
      <c r="T441" s="559"/>
      <c r="U441" s="559"/>
      <c r="V441" s="559"/>
      <c r="W441" s="559"/>
      <c r="X441" s="559"/>
      <c r="Y441" s="559"/>
      <c r="Z441" s="559"/>
    </row>
    <row r="442" spans="1:26" ht="18" customHeight="1" x14ac:dyDescent="0.35">
      <c r="A442" s="559"/>
      <c r="B442" s="559"/>
      <c r="C442" s="559"/>
      <c r="D442" s="559"/>
      <c r="E442" s="559"/>
      <c r="F442" s="559"/>
      <c r="G442" s="559"/>
      <c r="H442" s="559"/>
      <c r="I442" s="559"/>
      <c r="J442" s="559"/>
      <c r="K442" s="559"/>
      <c r="L442" s="559"/>
      <c r="M442" s="559"/>
      <c r="N442" s="559"/>
      <c r="O442" s="559"/>
      <c r="P442" s="559"/>
      <c r="Q442" s="559"/>
      <c r="R442" s="559"/>
      <c r="S442" s="559"/>
      <c r="T442" s="559"/>
      <c r="U442" s="559"/>
      <c r="V442" s="559"/>
      <c r="W442" s="559"/>
      <c r="X442" s="559"/>
      <c r="Y442" s="559"/>
      <c r="Z442" s="559"/>
    </row>
    <row r="443" spans="1:26" ht="18" customHeight="1" x14ac:dyDescent="0.35">
      <c r="A443" s="559"/>
      <c r="B443" s="559"/>
      <c r="C443" s="559"/>
      <c r="D443" s="559"/>
      <c r="E443" s="559"/>
      <c r="F443" s="559"/>
      <c r="G443" s="559"/>
      <c r="H443" s="559"/>
      <c r="I443" s="559"/>
      <c r="J443" s="559"/>
      <c r="K443" s="559"/>
      <c r="L443" s="559"/>
      <c r="M443" s="559"/>
      <c r="N443" s="559"/>
      <c r="O443" s="559"/>
      <c r="P443" s="559"/>
      <c r="Q443" s="559"/>
      <c r="R443" s="559"/>
      <c r="S443" s="559"/>
      <c r="T443" s="559"/>
      <c r="U443" s="559"/>
      <c r="V443" s="559"/>
      <c r="W443" s="559"/>
      <c r="X443" s="559"/>
      <c r="Y443" s="559"/>
      <c r="Z443" s="559"/>
    </row>
    <row r="444" spans="1:26" ht="18" customHeight="1" x14ac:dyDescent="0.35">
      <c r="A444" s="559"/>
      <c r="B444" s="559"/>
      <c r="C444" s="559"/>
      <c r="D444" s="559"/>
      <c r="E444" s="559"/>
      <c r="F444" s="559"/>
      <c r="G444" s="559"/>
      <c r="H444" s="559"/>
      <c r="I444" s="559"/>
      <c r="J444" s="559"/>
      <c r="K444" s="559"/>
      <c r="L444" s="559"/>
      <c r="M444" s="559"/>
      <c r="N444" s="559"/>
      <c r="O444" s="559"/>
      <c r="P444" s="559"/>
      <c r="Q444" s="559"/>
      <c r="R444" s="559"/>
      <c r="S444" s="559"/>
      <c r="T444" s="559"/>
      <c r="U444" s="559"/>
      <c r="V444" s="559"/>
      <c r="W444" s="559"/>
      <c r="X444" s="559"/>
      <c r="Y444" s="559"/>
      <c r="Z444" s="559"/>
    </row>
    <row r="445" spans="1:26" ht="18" customHeight="1" x14ac:dyDescent="0.35">
      <c r="A445" s="559"/>
      <c r="B445" s="559"/>
      <c r="C445" s="559"/>
      <c r="D445" s="559"/>
      <c r="E445" s="559"/>
      <c r="F445" s="559"/>
      <c r="G445" s="559"/>
      <c r="H445" s="559"/>
      <c r="I445" s="559"/>
      <c r="J445" s="559"/>
      <c r="K445" s="559"/>
      <c r="L445" s="559"/>
      <c r="M445" s="559"/>
      <c r="N445" s="559"/>
      <c r="O445" s="559"/>
      <c r="P445" s="559"/>
      <c r="Q445" s="559"/>
      <c r="R445" s="559"/>
      <c r="S445" s="559"/>
      <c r="T445" s="559"/>
      <c r="U445" s="559"/>
      <c r="V445" s="559"/>
      <c r="W445" s="559"/>
      <c r="X445" s="559"/>
      <c r="Y445" s="559"/>
      <c r="Z445" s="559"/>
    </row>
    <row r="446" spans="1:26" ht="18" customHeight="1" x14ac:dyDescent="0.35">
      <c r="A446" s="559"/>
      <c r="B446" s="559"/>
      <c r="C446" s="559"/>
      <c r="D446" s="559"/>
      <c r="E446" s="559"/>
      <c r="F446" s="559"/>
      <c r="G446" s="559"/>
      <c r="H446" s="559"/>
      <c r="I446" s="559"/>
      <c r="J446" s="559"/>
      <c r="K446" s="559"/>
      <c r="L446" s="559"/>
      <c r="M446" s="559"/>
      <c r="N446" s="559"/>
      <c r="O446" s="559"/>
      <c r="P446" s="559"/>
      <c r="Q446" s="559"/>
      <c r="R446" s="559"/>
      <c r="S446" s="559"/>
      <c r="T446" s="559"/>
      <c r="U446" s="559"/>
      <c r="V446" s="559"/>
      <c r="W446" s="559"/>
      <c r="X446" s="559"/>
      <c r="Y446" s="559"/>
      <c r="Z446" s="559"/>
    </row>
    <row r="447" spans="1:26" ht="18" customHeight="1" x14ac:dyDescent="0.35">
      <c r="A447" s="559"/>
      <c r="B447" s="559"/>
      <c r="C447" s="559"/>
      <c r="D447" s="559"/>
      <c r="E447" s="559"/>
      <c r="F447" s="559"/>
      <c r="G447" s="559"/>
      <c r="H447" s="559"/>
      <c r="I447" s="559"/>
      <c r="J447" s="559"/>
      <c r="K447" s="559"/>
      <c r="L447" s="559"/>
      <c r="M447" s="559"/>
      <c r="N447" s="559"/>
      <c r="O447" s="559"/>
      <c r="P447" s="559"/>
      <c r="Q447" s="559"/>
      <c r="R447" s="559"/>
      <c r="S447" s="559"/>
      <c r="T447" s="559"/>
      <c r="U447" s="559"/>
      <c r="V447" s="559"/>
      <c r="W447" s="559"/>
      <c r="X447" s="559"/>
      <c r="Y447" s="559"/>
      <c r="Z447" s="559"/>
    </row>
    <row r="448" spans="1:26" ht="18" customHeight="1" x14ac:dyDescent="0.35">
      <c r="A448" s="559"/>
      <c r="B448" s="559"/>
      <c r="C448" s="559"/>
      <c r="D448" s="559"/>
      <c r="E448" s="559"/>
      <c r="F448" s="559"/>
      <c r="G448" s="559"/>
      <c r="H448" s="559"/>
      <c r="I448" s="559"/>
      <c r="J448" s="559"/>
      <c r="K448" s="559"/>
      <c r="L448" s="559"/>
      <c r="M448" s="559"/>
      <c r="N448" s="559"/>
      <c r="O448" s="559"/>
      <c r="P448" s="559"/>
      <c r="Q448" s="559"/>
      <c r="R448" s="559"/>
      <c r="S448" s="559"/>
      <c r="T448" s="559"/>
      <c r="U448" s="559"/>
      <c r="V448" s="559"/>
      <c r="W448" s="559"/>
      <c r="X448" s="559"/>
      <c r="Y448" s="559"/>
      <c r="Z448" s="559"/>
    </row>
    <row r="449" spans="1:26" ht="18" customHeight="1" x14ac:dyDescent="0.35">
      <c r="A449" s="559"/>
      <c r="B449" s="559"/>
      <c r="C449" s="559"/>
      <c r="D449" s="559"/>
      <c r="E449" s="559"/>
      <c r="F449" s="559"/>
      <c r="G449" s="559"/>
      <c r="H449" s="559"/>
      <c r="I449" s="559"/>
      <c r="J449" s="559"/>
      <c r="K449" s="559"/>
      <c r="L449" s="559"/>
      <c r="M449" s="559"/>
      <c r="N449" s="559"/>
      <c r="O449" s="559"/>
      <c r="P449" s="559"/>
      <c r="Q449" s="559"/>
      <c r="R449" s="559"/>
      <c r="S449" s="559"/>
      <c r="T449" s="559"/>
      <c r="U449" s="559"/>
      <c r="V449" s="559"/>
      <c r="W449" s="559"/>
      <c r="X449" s="559"/>
      <c r="Y449" s="559"/>
      <c r="Z449" s="559"/>
    </row>
    <row r="450" spans="1:26" ht="18" customHeight="1" x14ac:dyDescent="0.35">
      <c r="A450" s="559"/>
      <c r="B450" s="559"/>
      <c r="C450" s="559"/>
      <c r="D450" s="559"/>
      <c r="E450" s="559"/>
      <c r="F450" s="559"/>
      <c r="G450" s="559"/>
      <c r="H450" s="559"/>
      <c r="I450" s="559"/>
      <c r="J450" s="559"/>
      <c r="K450" s="559"/>
      <c r="L450" s="559"/>
      <c r="M450" s="559"/>
      <c r="N450" s="559"/>
      <c r="O450" s="559"/>
      <c r="P450" s="559"/>
      <c r="Q450" s="559"/>
      <c r="R450" s="559"/>
      <c r="S450" s="559"/>
      <c r="T450" s="559"/>
      <c r="U450" s="559"/>
      <c r="V450" s="559"/>
      <c r="W450" s="559"/>
      <c r="X450" s="559"/>
      <c r="Y450" s="559"/>
      <c r="Z450" s="559"/>
    </row>
    <row r="451" spans="1:26" ht="18" customHeight="1" x14ac:dyDescent="0.35">
      <c r="A451" s="559"/>
      <c r="B451" s="559"/>
      <c r="C451" s="559"/>
      <c r="D451" s="559"/>
      <c r="E451" s="559"/>
      <c r="F451" s="559"/>
      <c r="G451" s="559"/>
      <c r="H451" s="559"/>
      <c r="I451" s="559"/>
      <c r="J451" s="559"/>
      <c r="K451" s="559"/>
      <c r="L451" s="559"/>
      <c r="M451" s="559"/>
      <c r="N451" s="559"/>
      <c r="O451" s="559"/>
      <c r="P451" s="559"/>
      <c r="Q451" s="559"/>
      <c r="R451" s="559"/>
      <c r="S451" s="559"/>
      <c r="T451" s="559"/>
      <c r="U451" s="559"/>
      <c r="V451" s="559"/>
      <c r="W451" s="559"/>
      <c r="X451" s="559"/>
      <c r="Y451" s="559"/>
      <c r="Z451" s="559"/>
    </row>
    <row r="452" spans="1:26" ht="18" customHeight="1" x14ac:dyDescent="0.35">
      <c r="A452" s="559"/>
      <c r="B452" s="559"/>
      <c r="C452" s="559"/>
      <c r="D452" s="559"/>
      <c r="E452" s="559"/>
      <c r="F452" s="559"/>
      <c r="G452" s="559"/>
      <c r="H452" s="559"/>
      <c r="I452" s="559"/>
      <c r="J452" s="559"/>
      <c r="K452" s="559"/>
      <c r="L452" s="559"/>
      <c r="M452" s="559"/>
      <c r="N452" s="559"/>
      <c r="O452" s="559"/>
      <c r="P452" s="559"/>
      <c r="Q452" s="559"/>
      <c r="R452" s="559"/>
      <c r="S452" s="559"/>
      <c r="T452" s="559"/>
      <c r="U452" s="559"/>
      <c r="V452" s="559"/>
      <c r="W452" s="559"/>
      <c r="X452" s="559"/>
      <c r="Y452" s="559"/>
      <c r="Z452" s="559"/>
    </row>
    <row r="453" spans="1:26" ht="18" customHeight="1" x14ac:dyDescent="0.35">
      <c r="A453" s="559"/>
      <c r="B453" s="559"/>
      <c r="C453" s="559"/>
      <c r="D453" s="559"/>
      <c r="E453" s="559"/>
      <c r="F453" s="559"/>
      <c r="G453" s="559"/>
      <c r="H453" s="559"/>
      <c r="I453" s="559"/>
      <c r="J453" s="559"/>
      <c r="K453" s="559"/>
      <c r="L453" s="559"/>
      <c r="M453" s="559"/>
      <c r="N453" s="559"/>
      <c r="O453" s="559"/>
      <c r="P453" s="559"/>
      <c r="Q453" s="559"/>
      <c r="R453" s="559"/>
      <c r="S453" s="559"/>
      <c r="T453" s="559"/>
      <c r="U453" s="559"/>
      <c r="V453" s="559"/>
      <c r="W453" s="559"/>
      <c r="X453" s="559"/>
      <c r="Y453" s="559"/>
      <c r="Z453" s="559"/>
    </row>
    <row r="454" spans="1:26" ht="18" customHeight="1" x14ac:dyDescent="0.35">
      <c r="A454" s="559"/>
      <c r="B454" s="559"/>
      <c r="C454" s="559"/>
      <c r="D454" s="559"/>
      <c r="E454" s="559"/>
      <c r="F454" s="559"/>
      <c r="G454" s="559"/>
      <c r="H454" s="559"/>
      <c r="I454" s="559"/>
      <c r="J454" s="559"/>
      <c r="K454" s="559"/>
      <c r="L454" s="559"/>
      <c r="M454" s="559"/>
      <c r="N454" s="559"/>
      <c r="O454" s="559"/>
      <c r="P454" s="559"/>
      <c r="Q454" s="559"/>
      <c r="R454" s="559"/>
      <c r="S454" s="559"/>
      <c r="T454" s="559"/>
      <c r="U454" s="559"/>
      <c r="V454" s="559"/>
      <c r="W454" s="559"/>
      <c r="X454" s="559"/>
      <c r="Y454" s="559"/>
      <c r="Z454" s="559"/>
    </row>
    <row r="455" spans="1:26" ht="18" customHeight="1" x14ac:dyDescent="0.35">
      <c r="A455" s="559"/>
      <c r="B455" s="559"/>
      <c r="C455" s="559"/>
      <c r="D455" s="559"/>
      <c r="E455" s="559"/>
      <c r="F455" s="559"/>
      <c r="G455" s="559"/>
      <c r="H455" s="559"/>
      <c r="I455" s="559"/>
      <c r="J455" s="559"/>
      <c r="K455" s="559"/>
      <c r="L455" s="559"/>
      <c r="M455" s="559"/>
      <c r="N455" s="559"/>
      <c r="O455" s="559"/>
      <c r="P455" s="559"/>
      <c r="Q455" s="559"/>
      <c r="R455" s="559"/>
      <c r="S455" s="559"/>
      <c r="T455" s="559"/>
      <c r="U455" s="559"/>
      <c r="V455" s="559"/>
      <c r="W455" s="559"/>
      <c r="X455" s="559"/>
      <c r="Y455" s="559"/>
      <c r="Z455" s="559"/>
    </row>
    <row r="456" spans="1:26" ht="18" customHeight="1" x14ac:dyDescent="0.35">
      <c r="A456" s="559"/>
      <c r="B456" s="559"/>
      <c r="C456" s="559"/>
      <c r="D456" s="559"/>
      <c r="E456" s="559"/>
      <c r="F456" s="559"/>
      <c r="G456" s="559"/>
      <c r="H456" s="559"/>
      <c r="I456" s="559"/>
      <c r="J456" s="559"/>
      <c r="K456" s="559"/>
      <c r="L456" s="559"/>
      <c r="M456" s="559"/>
      <c r="N456" s="559"/>
      <c r="O456" s="559"/>
      <c r="P456" s="559"/>
      <c r="Q456" s="559"/>
      <c r="R456" s="559"/>
      <c r="S456" s="559"/>
      <c r="T456" s="559"/>
      <c r="U456" s="559"/>
      <c r="V456" s="559"/>
      <c r="W456" s="559"/>
      <c r="X456" s="559"/>
      <c r="Y456" s="559"/>
      <c r="Z456" s="559"/>
    </row>
    <row r="457" spans="1:26" ht="18" customHeight="1" x14ac:dyDescent="0.35">
      <c r="A457" s="559"/>
      <c r="B457" s="559"/>
      <c r="C457" s="559"/>
      <c r="D457" s="559"/>
      <c r="E457" s="559"/>
      <c r="F457" s="559"/>
      <c r="G457" s="559"/>
      <c r="H457" s="559"/>
      <c r="I457" s="559"/>
      <c r="J457" s="559"/>
      <c r="K457" s="559"/>
      <c r="L457" s="559"/>
      <c r="M457" s="559"/>
      <c r="N457" s="559"/>
      <c r="O457" s="559"/>
      <c r="P457" s="559"/>
      <c r="Q457" s="559"/>
      <c r="R457" s="559"/>
      <c r="S457" s="559"/>
      <c r="T457" s="559"/>
      <c r="U457" s="559"/>
      <c r="V457" s="559"/>
      <c r="W457" s="559"/>
      <c r="X457" s="559"/>
      <c r="Y457" s="559"/>
      <c r="Z457" s="559"/>
    </row>
    <row r="458" spans="1:26" ht="18" customHeight="1" x14ac:dyDescent="0.35">
      <c r="A458" s="559"/>
      <c r="B458" s="559"/>
      <c r="C458" s="559"/>
      <c r="D458" s="559"/>
      <c r="E458" s="559"/>
      <c r="F458" s="559"/>
      <c r="G458" s="559"/>
      <c r="H458" s="559"/>
      <c r="I458" s="559"/>
      <c r="J458" s="559"/>
      <c r="K458" s="559"/>
      <c r="L458" s="559"/>
      <c r="M458" s="559"/>
      <c r="N458" s="559"/>
      <c r="O458" s="559"/>
      <c r="P458" s="559"/>
      <c r="Q458" s="559"/>
      <c r="R458" s="559"/>
      <c r="S458" s="559"/>
      <c r="T458" s="559"/>
      <c r="U458" s="559"/>
      <c r="V458" s="559"/>
      <c r="W458" s="559"/>
      <c r="X458" s="559"/>
      <c r="Y458" s="559"/>
      <c r="Z458" s="559"/>
    </row>
    <row r="459" spans="1:26" ht="18" customHeight="1" x14ac:dyDescent="0.35">
      <c r="A459" s="559"/>
      <c r="B459" s="559"/>
      <c r="C459" s="559"/>
      <c r="D459" s="559"/>
      <c r="E459" s="559"/>
      <c r="F459" s="559"/>
      <c r="G459" s="559"/>
      <c r="H459" s="559"/>
      <c r="I459" s="559"/>
      <c r="J459" s="559"/>
      <c r="K459" s="559"/>
      <c r="L459" s="559"/>
      <c r="M459" s="559"/>
      <c r="N459" s="559"/>
      <c r="O459" s="559"/>
      <c r="P459" s="559"/>
      <c r="Q459" s="559"/>
      <c r="R459" s="559"/>
      <c r="S459" s="559"/>
      <c r="T459" s="559"/>
      <c r="U459" s="559"/>
      <c r="V459" s="559"/>
      <c r="W459" s="559"/>
      <c r="X459" s="559"/>
      <c r="Y459" s="559"/>
      <c r="Z459" s="559"/>
    </row>
    <row r="460" spans="1:26" ht="18" customHeight="1" x14ac:dyDescent="0.35">
      <c r="A460" s="559"/>
      <c r="B460" s="559"/>
      <c r="C460" s="559"/>
      <c r="D460" s="559"/>
      <c r="E460" s="559"/>
      <c r="F460" s="559"/>
      <c r="G460" s="559"/>
      <c r="H460" s="559"/>
      <c r="I460" s="559"/>
      <c r="J460" s="559"/>
      <c r="K460" s="559"/>
      <c r="L460" s="559"/>
      <c r="M460" s="559"/>
      <c r="N460" s="559"/>
      <c r="O460" s="559"/>
      <c r="P460" s="559"/>
      <c r="Q460" s="559"/>
      <c r="R460" s="559"/>
      <c r="S460" s="559"/>
      <c r="T460" s="559"/>
      <c r="U460" s="559"/>
      <c r="V460" s="559"/>
      <c r="W460" s="559"/>
      <c r="X460" s="559"/>
      <c r="Y460" s="559"/>
      <c r="Z460" s="559"/>
    </row>
    <row r="461" spans="1:26" ht="18" customHeight="1" x14ac:dyDescent="0.35">
      <c r="A461" s="559"/>
      <c r="B461" s="559"/>
      <c r="C461" s="559"/>
      <c r="D461" s="559"/>
      <c r="E461" s="559"/>
      <c r="F461" s="559"/>
      <c r="G461" s="559"/>
      <c r="H461" s="559"/>
      <c r="I461" s="559"/>
      <c r="J461" s="559"/>
      <c r="K461" s="559"/>
      <c r="L461" s="559"/>
      <c r="M461" s="559"/>
      <c r="N461" s="559"/>
      <c r="O461" s="559"/>
      <c r="P461" s="559"/>
      <c r="Q461" s="559"/>
      <c r="R461" s="559"/>
      <c r="S461" s="559"/>
      <c r="T461" s="559"/>
      <c r="U461" s="559"/>
      <c r="V461" s="559"/>
      <c r="W461" s="559"/>
      <c r="X461" s="559"/>
      <c r="Y461" s="559"/>
      <c r="Z461" s="559"/>
    </row>
    <row r="462" spans="1:26" ht="18" customHeight="1" x14ac:dyDescent="0.35">
      <c r="A462" s="559"/>
      <c r="B462" s="559"/>
      <c r="C462" s="559"/>
      <c r="D462" s="559"/>
      <c r="E462" s="559"/>
      <c r="F462" s="559"/>
      <c r="G462" s="559"/>
      <c r="H462" s="559"/>
      <c r="I462" s="559"/>
      <c r="J462" s="559"/>
      <c r="K462" s="559"/>
      <c r="L462" s="559"/>
      <c r="M462" s="559"/>
      <c r="N462" s="559"/>
      <c r="O462" s="559"/>
      <c r="P462" s="559"/>
      <c r="Q462" s="559"/>
      <c r="R462" s="559"/>
      <c r="S462" s="559"/>
      <c r="T462" s="559"/>
      <c r="U462" s="559"/>
      <c r="V462" s="559"/>
      <c r="W462" s="559"/>
      <c r="X462" s="559"/>
      <c r="Y462" s="559"/>
      <c r="Z462" s="559"/>
    </row>
    <row r="463" spans="1:26" ht="18" customHeight="1" x14ac:dyDescent="0.35">
      <c r="A463" s="559"/>
      <c r="B463" s="559"/>
      <c r="C463" s="559"/>
      <c r="D463" s="559"/>
      <c r="E463" s="559"/>
      <c r="F463" s="559"/>
      <c r="G463" s="559"/>
      <c r="H463" s="559"/>
      <c r="I463" s="559"/>
      <c r="J463" s="559"/>
      <c r="K463" s="559"/>
      <c r="L463" s="559"/>
      <c r="M463" s="559"/>
      <c r="N463" s="559"/>
      <c r="O463" s="559"/>
      <c r="P463" s="559"/>
      <c r="Q463" s="559"/>
      <c r="R463" s="559"/>
      <c r="S463" s="559"/>
      <c r="T463" s="559"/>
      <c r="U463" s="559"/>
      <c r="V463" s="559"/>
      <c r="W463" s="559"/>
      <c r="X463" s="559"/>
      <c r="Y463" s="559"/>
      <c r="Z463" s="559"/>
    </row>
    <row r="464" spans="1:26" ht="18" customHeight="1" x14ac:dyDescent="0.35">
      <c r="A464" s="559"/>
      <c r="B464" s="559"/>
      <c r="C464" s="559"/>
      <c r="D464" s="559"/>
      <c r="E464" s="559"/>
      <c r="F464" s="559"/>
      <c r="G464" s="559"/>
      <c r="H464" s="559"/>
      <c r="I464" s="559"/>
      <c r="J464" s="559"/>
      <c r="K464" s="559"/>
      <c r="L464" s="559"/>
      <c r="M464" s="559"/>
      <c r="N464" s="559"/>
      <c r="O464" s="559"/>
      <c r="P464" s="559"/>
      <c r="Q464" s="559"/>
      <c r="R464" s="559"/>
      <c r="S464" s="559"/>
      <c r="T464" s="559"/>
      <c r="U464" s="559"/>
      <c r="V464" s="559"/>
      <c r="W464" s="559"/>
      <c r="X464" s="559"/>
      <c r="Y464" s="559"/>
      <c r="Z464" s="559"/>
    </row>
    <row r="465" spans="1:26" ht="18" customHeight="1" x14ac:dyDescent="0.35">
      <c r="A465" s="559"/>
      <c r="B465" s="559"/>
      <c r="C465" s="559"/>
      <c r="D465" s="559"/>
      <c r="E465" s="559"/>
      <c r="F465" s="559"/>
      <c r="G465" s="559"/>
      <c r="H465" s="559"/>
      <c r="I465" s="559"/>
      <c r="J465" s="559"/>
      <c r="K465" s="559"/>
      <c r="L465" s="559"/>
      <c r="M465" s="559"/>
      <c r="N465" s="559"/>
      <c r="O465" s="559"/>
      <c r="P465" s="559"/>
      <c r="Q465" s="559"/>
      <c r="R465" s="559"/>
      <c r="S465" s="559"/>
      <c r="T465" s="559"/>
      <c r="U465" s="559"/>
      <c r="V465" s="559"/>
      <c r="W465" s="559"/>
      <c r="X465" s="559"/>
      <c r="Y465" s="559"/>
      <c r="Z465" s="559"/>
    </row>
    <row r="466" spans="1:26" ht="18" customHeight="1" x14ac:dyDescent="0.35">
      <c r="A466" s="559"/>
      <c r="B466" s="559"/>
      <c r="C466" s="559"/>
      <c r="D466" s="559"/>
      <c r="E466" s="559"/>
      <c r="F466" s="559"/>
      <c r="G466" s="559"/>
      <c r="H466" s="559"/>
      <c r="I466" s="559"/>
      <c r="J466" s="559"/>
      <c r="K466" s="559"/>
      <c r="L466" s="559"/>
      <c r="M466" s="559"/>
      <c r="N466" s="559"/>
      <c r="O466" s="559"/>
      <c r="P466" s="559"/>
      <c r="Q466" s="559"/>
      <c r="R466" s="559"/>
      <c r="S466" s="559"/>
      <c r="T466" s="559"/>
      <c r="U466" s="559"/>
      <c r="V466" s="559"/>
      <c r="W466" s="559"/>
      <c r="X466" s="559"/>
      <c r="Y466" s="559"/>
      <c r="Z466" s="559"/>
    </row>
    <row r="467" spans="1:26" ht="18" customHeight="1" x14ac:dyDescent="0.35">
      <c r="A467" s="559"/>
      <c r="B467" s="559"/>
      <c r="C467" s="559"/>
      <c r="D467" s="559"/>
      <c r="E467" s="559"/>
      <c r="F467" s="559"/>
      <c r="G467" s="559"/>
      <c r="H467" s="559"/>
      <c r="I467" s="559"/>
      <c r="J467" s="559"/>
      <c r="K467" s="559"/>
      <c r="L467" s="559"/>
      <c r="M467" s="559"/>
      <c r="N467" s="559"/>
      <c r="O467" s="559"/>
      <c r="P467" s="559"/>
      <c r="Q467" s="559"/>
      <c r="R467" s="559"/>
      <c r="S467" s="559"/>
      <c r="T467" s="559"/>
      <c r="U467" s="559"/>
      <c r="V467" s="559"/>
      <c r="W467" s="559"/>
      <c r="X467" s="559"/>
      <c r="Y467" s="559"/>
      <c r="Z467" s="559"/>
    </row>
    <row r="468" spans="1:26" ht="18" customHeight="1" x14ac:dyDescent="0.35">
      <c r="A468" s="559"/>
      <c r="B468" s="559"/>
      <c r="C468" s="559"/>
      <c r="D468" s="559"/>
      <c r="E468" s="559"/>
      <c r="F468" s="559"/>
      <c r="G468" s="559"/>
      <c r="H468" s="559"/>
      <c r="I468" s="559"/>
      <c r="J468" s="559"/>
      <c r="K468" s="559"/>
      <c r="L468" s="559"/>
      <c r="M468" s="559"/>
      <c r="N468" s="559"/>
      <c r="O468" s="559"/>
      <c r="P468" s="559"/>
      <c r="Q468" s="559"/>
      <c r="R468" s="559"/>
      <c r="S468" s="559"/>
      <c r="T468" s="559"/>
      <c r="U468" s="559"/>
      <c r="V468" s="559"/>
      <c r="W468" s="559"/>
      <c r="X468" s="559"/>
      <c r="Y468" s="559"/>
      <c r="Z468" s="559"/>
    </row>
    <row r="469" spans="1:26" ht="18" customHeight="1" x14ac:dyDescent="0.35">
      <c r="A469" s="559"/>
      <c r="B469" s="559"/>
      <c r="C469" s="559"/>
      <c r="D469" s="559"/>
      <c r="E469" s="559"/>
      <c r="F469" s="559"/>
      <c r="G469" s="559"/>
      <c r="H469" s="559"/>
      <c r="I469" s="559"/>
      <c r="J469" s="559"/>
      <c r="K469" s="559"/>
      <c r="L469" s="559"/>
      <c r="M469" s="559"/>
      <c r="N469" s="559"/>
      <c r="O469" s="559"/>
      <c r="P469" s="559"/>
      <c r="Q469" s="559"/>
      <c r="R469" s="559"/>
      <c r="S469" s="559"/>
      <c r="T469" s="559"/>
      <c r="U469" s="559"/>
      <c r="V469" s="559"/>
      <c r="W469" s="559"/>
      <c r="X469" s="559"/>
      <c r="Y469" s="559"/>
      <c r="Z469" s="559"/>
    </row>
    <row r="470" spans="1:26" ht="18" customHeight="1" x14ac:dyDescent="0.35">
      <c r="A470" s="559"/>
      <c r="B470" s="559"/>
      <c r="C470" s="559"/>
      <c r="D470" s="559"/>
      <c r="E470" s="559"/>
      <c r="F470" s="559"/>
      <c r="G470" s="559"/>
      <c r="H470" s="559"/>
      <c r="I470" s="559"/>
      <c r="J470" s="559"/>
      <c r="K470" s="559"/>
      <c r="L470" s="559"/>
      <c r="M470" s="559"/>
      <c r="N470" s="559"/>
      <c r="O470" s="559"/>
      <c r="P470" s="559"/>
      <c r="Q470" s="559"/>
      <c r="R470" s="559"/>
      <c r="S470" s="559"/>
      <c r="T470" s="559"/>
      <c r="U470" s="559"/>
      <c r="V470" s="559"/>
      <c r="W470" s="559"/>
      <c r="X470" s="559"/>
      <c r="Y470" s="559"/>
      <c r="Z470" s="559"/>
    </row>
    <row r="471" spans="1:26" ht="18" customHeight="1" x14ac:dyDescent="0.35">
      <c r="A471" s="559"/>
      <c r="B471" s="559"/>
      <c r="C471" s="559"/>
      <c r="D471" s="559"/>
      <c r="E471" s="559"/>
      <c r="F471" s="559"/>
      <c r="G471" s="559"/>
      <c r="H471" s="559"/>
      <c r="I471" s="559"/>
      <c r="J471" s="559"/>
      <c r="K471" s="559"/>
      <c r="L471" s="559"/>
      <c r="M471" s="559"/>
      <c r="N471" s="559"/>
      <c r="O471" s="559"/>
      <c r="P471" s="559"/>
      <c r="Q471" s="559"/>
      <c r="R471" s="559"/>
      <c r="S471" s="559"/>
      <c r="T471" s="559"/>
      <c r="U471" s="559"/>
      <c r="V471" s="559"/>
      <c r="W471" s="559"/>
      <c r="X471" s="559"/>
      <c r="Y471" s="559"/>
      <c r="Z471" s="559"/>
    </row>
    <row r="472" spans="1:26" ht="18" customHeight="1" x14ac:dyDescent="0.35">
      <c r="A472" s="559"/>
      <c r="B472" s="559"/>
      <c r="C472" s="559"/>
      <c r="D472" s="559"/>
      <c r="E472" s="559"/>
      <c r="F472" s="559"/>
      <c r="G472" s="559"/>
      <c r="H472" s="559"/>
      <c r="I472" s="559"/>
      <c r="J472" s="559"/>
      <c r="K472" s="559"/>
      <c r="L472" s="559"/>
      <c r="M472" s="559"/>
      <c r="N472" s="559"/>
      <c r="O472" s="559"/>
      <c r="P472" s="559"/>
      <c r="Q472" s="559"/>
      <c r="R472" s="559"/>
      <c r="S472" s="559"/>
      <c r="T472" s="559"/>
      <c r="U472" s="559"/>
      <c r="V472" s="559"/>
      <c r="W472" s="559"/>
      <c r="X472" s="559"/>
      <c r="Y472" s="559"/>
      <c r="Z472" s="559"/>
    </row>
    <row r="473" spans="1:26" ht="18" customHeight="1" x14ac:dyDescent="0.35">
      <c r="A473" s="559"/>
      <c r="B473" s="559"/>
      <c r="C473" s="559"/>
      <c r="D473" s="559"/>
      <c r="E473" s="559"/>
      <c r="F473" s="559"/>
      <c r="G473" s="559"/>
      <c r="H473" s="559"/>
      <c r="I473" s="559"/>
      <c r="J473" s="559"/>
      <c r="K473" s="559"/>
      <c r="L473" s="559"/>
      <c r="M473" s="559"/>
      <c r="N473" s="559"/>
      <c r="O473" s="559"/>
      <c r="P473" s="559"/>
      <c r="Q473" s="559"/>
      <c r="R473" s="559"/>
      <c r="S473" s="559"/>
      <c r="T473" s="559"/>
      <c r="U473" s="559"/>
      <c r="V473" s="559"/>
      <c r="W473" s="559"/>
      <c r="X473" s="559"/>
      <c r="Y473" s="559"/>
      <c r="Z473" s="559"/>
    </row>
    <row r="474" spans="1:26" ht="18" customHeight="1" x14ac:dyDescent="0.35">
      <c r="A474" s="559"/>
      <c r="B474" s="559"/>
      <c r="C474" s="559"/>
      <c r="D474" s="559"/>
      <c r="E474" s="559"/>
      <c r="F474" s="559"/>
      <c r="G474" s="559"/>
      <c r="H474" s="559"/>
      <c r="I474" s="559"/>
      <c r="J474" s="559"/>
      <c r="K474" s="559"/>
      <c r="L474" s="559"/>
      <c r="M474" s="559"/>
      <c r="N474" s="559"/>
      <c r="O474" s="559"/>
      <c r="P474" s="559"/>
      <c r="Q474" s="559"/>
      <c r="R474" s="559"/>
      <c r="S474" s="559"/>
      <c r="T474" s="559"/>
      <c r="U474" s="559"/>
      <c r="V474" s="559"/>
      <c r="W474" s="559"/>
      <c r="X474" s="559"/>
      <c r="Y474" s="559"/>
      <c r="Z474" s="559"/>
    </row>
    <row r="475" spans="1:26" ht="18" customHeight="1" x14ac:dyDescent="0.35">
      <c r="A475" s="559"/>
      <c r="B475" s="559"/>
      <c r="C475" s="559"/>
      <c r="D475" s="559"/>
      <c r="E475" s="559"/>
      <c r="F475" s="559"/>
      <c r="G475" s="559"/>
      <c r="H475" s="559"/>
      <c r="I475" s="559"/>
      <c r="J475" s="559"/>
      <c r="K475" s="559"/>
      <c r="L475" s="559"/>
      <c r="M475" s="559"/>
      <c r="N475" s="559"/>
      <c r="O475" s="559"/>
      <c r="P475" s="559"/>
      <c r="Q475" s="559"/>
      <c r="R475" s="559"/>
      <c r="S475" s="559"/>
      <c r="T475" s="559"/>
      <c r="U475" s="559"/>
      <c r="V475" s="559"/>
      <c r="W475" s="559"/>
      <c r="X475" s="559"/>
      <c r="Y475" s="559"/>
      <c r="Z475" s="559"/>
    </row>
    <row r="476" spans="1:26" ht="18" customHeight="1" x14ac:dyDescent="0.35">
      <c r="A476" s="559"/>
      <c r="B476" s="559"/>
      <c r="C476" s="559"/>
      <c r="D476" s="559"/>
      <c r="E476" s="559"/>
      <c r="F476" s="559"/>
      <c r="G476" s="559"/>
      <c r="H476" s="559"/>
      <c r="I476" s="559"/>
      <c r="J476" s="559"/>
      <c r="K476" s="559"/>
      <c r="L476" s="559"/>
      <c r="M476" s="559"/>
      <c r="N476" s="559"/>
      <c r="O476" s="559"/>
      <c r="P476" s="559"/>
      <c r="Q476" s="559"/>
      <c r="R476" s="559"/>
      <c r="S476" s="559"/>
      <c r="T476" s="559"/>
      <c r="U476" s="559"/>
      <c r="V476" s="559"/>
      <c r="W476" s="559"/>
      <c r="X476" s="559"/>
      <c r="Y476" s="559"/>
      <c r="Z476" s="559"/>
    </row>
    <row r="477" spans="1:26" ht="18" customHeight="1" x14ac:dyDescent="0.35">
      <c r="A477" s="559"/>
      <c r="B477" s="559"/>
      <c r="C477" s="559"/>
      <c r="D477" s="559"/>
      <c r="E477" s="559"/>
      <c r="F477" s="559"/>
      <c r="G477" s="559"/>
      <c r="H477" s="559"/>
      <c r="I477" s="559"/>
      <c r="J477" s="559"/>
      <c r="K477" s="559"/>
      <c r="L477" s="559"/>
      <c r="M477" s="559"/>
      <c r="N477" s="559"/>
      <c r="O477" s="559"/>
      <c r="P477" s="559"/>
      <c r="Q477" s="559"/>
      <c r="R477" s="559"/>
      <c r="S477" s="559"/>
      <c r="T477" s="559"/>
      <c r="U477" s="559"/>
      <c r="V477" s="559"/>
      <c r="W477" s="559"/>
      <c r="X477" s="559"/>
      <c r="Y477" s="559"/>
      <c r="Z477" s="559"/>
    </row>
    <row r="478" spans="1:26" ht="18" customHeight="1" x14ac:dyDescent="0.35">
      <c r="A478" s="559"/>
      <c r="B478" s="559"/>
      <c r="C478" s="559"/>
      <c r="D478" s="559"/>
      <c r="E478" s="559"/>
      <c r="F478" s="559"/>
      <c r="G478" s="559"/>
      <c r="H478" s="559"/>
      <c r="I478" s="559"/>
      <c r="J478" s="559"/>
      <c r="K478" s="559"/>
      <c r="L478" s="559"/>
      <c r="M478" s="559"/>
      <c r="N478" s="559"/>
      <c r="O478" s="559"/>
      <c r="P478" s="559"/>
      <c r="Q478" s="559"/>
      <c r="R478" s="559"/>
      <c r="S478" s="559"/>
      <c r="T478" s="559"/>
      <c r="U478" s="559"/>
      <c r="V478" s="559"/>
      <c r="W478" s="559"/>
      <c r="X478" s="559"/>
      <c r="Y478" s="559"/>
      <c r="Z478" s="559"/>
    </row>
    <row r="479" spans="1:26" ht="18" customHeight="1" x14ac:dyDescent="0.35">
      <c r="A479" s="559"/>
      <c r="B479" s="559"/>
      <c r="C479" s="559"/>
      <c r="D479" s="559"/>
      <c r="E479" s="559"/>
      <c r="F479" s="559"/>
      <c r="G479" s="559"/>
      <c r="H479" s="559"/>
      <c r="I479" s="559"/>
      <c r="J479" s="559"/>
      <c r="K479" s="559"/>
      <c r="L479" s="559"/>
      <c r="M479" s="559"/>
      <c r="N479" s="559"/>
      <c r="O479" s="559"/>
      <c r="P479" s="559"/>
      <c r="Q479" s="559"/>
      <c r="R479" s="559"/>
      <c r="S479" s="559"/>
      <c r="T479" s="559"/>
      <c r="U479" s="559"/>
      <c r="V479" s="559"/>
      <c r="W479" s="559"/>
      <c r="X479" s="559"/>
      <c r="Y479" s="559"/>
      <c r="Z479" s="559"/>
    </row>
    <row r="480" spans="1:26" ht="18" customHeight="1" x14ac:dyDescent="0.35">
      <c r="A480" s="559"/>
      <c r="B480" s="559"/>
      <c r="C480" s="559"/>
      <c r="D480" s="559"/>
      <c r="E480" s="559"/>
      <c r="F480" s="559"/>
      <c r="G480" s="559"/>
      <c r="H480" s="559"/>
      <c r="I480" s="559"/>
      <c r="J480" s="559"/>
      <c r="K480" s="559"/>
      <c r="L480" s="559"/>
      <c r="M480" s="559"/>
      <c r="N480" s="559"/>
      <c r="O480" s="559"/>
      <c r="P480" s="559"/>
      <c r="Q480" s="559"/>
      <c r="R480" s="559"/>
      <c r="S480" s="559"/>
      <c r="T480" s="559"/>
      <c r="U480" s="559"/>
      <c r="V480" s="559"/>
      <c r="W480" s="559"/>
      <c r="X480" s="559"/>
      <c r="Y480" s="559"/>
      <c r="Z480" s="559"/>
    </row>
    <row r="481" spans="1:26" ht="18" customHeight="1" x14ac:dyDescent="0.35">
      <c r="A481" s="559"/>
      <c r="B481" s="559"/>
      <c r="C481" s="559"/>
      <c r="D481" s="559"/>
      <c r="E481" s="559"/>
      <c r="F481" s="559"/>
      <c r="G481" s="559"/>
      <c r="H481" s="559"/>
      <c r="I481" s="559"/>
      <c r="J481" s="559"/>
      <c r="K481" s="559"/>
      <c r="L481" s="559"/>
      <c r="M481" s="559"/>
      <c r="N481" s="559"/>
      <c r="O481" s="559"/>
      <c r="P481" s="559"/>
      <c r="Q481" s="559"/>
      <c r="R481" s="559"/>
      <c r="S481" s="559"/>
      <c r="T481" s="559"/>
      <c r="U481" s="559"/>
      <c r="V481" s="559"/>
      <c r="W481" s="559"/>
      <c r="X481" s="559"/>
      <c r="Y481" s="559"/>
      <c r="Z481" s="559"/>
    </row>
    <row r="482" spans="1:26" ht="18" customHeight="1" x14ac:dyDescent="0.35">
      <c r="A482" s="559"/>
      <c r="B482" s="559"/>
      <c r="C482" s="559"/>
      <c r="D482" s="559"/>
      <c r="E482" s="559"/>
      <c r="F482" s="559"/>
      <c r="G482" s="559"/>
      <c r="H482" s="559"/>
      <c r="I482" s="559"/>
      <c r="J482" s="559"/>
      <c r="K482" s="559"/>
      <c r="L482" s="559"/>
      <c r="M482" s="559"/>
      <c r="N482" s="559"/>
      <c r="O482" s="559"/>
      <c r="P482" s="559"/>
      <c r="Q482" s="559"/>
      <c r="R482" s="559"/>
      <c r="S482" s="559"/>
      <c r="T482" s="559"/>
      <c r="U482" s="559"/>
      <c r="V482" s="559"/>
      <c r="W482" s="559"/>
      <c r="X482" s="559"/>
      <c r="Y482" s="559"/>
      <c r="Z482" s="559"/>
    </row>
    <row r="483" spans="1:26" ht="18" customHeight="1" x14ac:dyDescent="0.35">
      <c r="A483" s="559"/>
      <c r="B483" s="559"/>
      <c r="C483" s="559"/>
      <c r="D483" s="559"/>
      <c r="E483" s="559"/>
      <c r="F483" s="559"/>
      <c r="G483" s="559"/>
      <c r="H483" s="559"/>
      <c r="I483" s="559"/>
      <c r="J483" s="559"/>
      <c r="K483" s="559"/>
      <c r="L483" s="559"/>
      <c r="M483" s="559"/>
      <c r="N483" s="559"/>
      <c r="O483" s="559"/>
      <c r="P483" s="559"/>
      <c r="Q483" s="559"/>
      <c r="R483" s="559"/>
      <c r="S483" s="559"/>
      <c r="T483" s="559"/>
      <c r="U483" s="559"/>
      <c r="V483" s="559"/>
      <c r="W483" s="559"/>
      <c r="X483" s="559"/>
      <c r="Y483" s="559"/>
      <c r="Z483" s="559"/>
    </row>
    <row r="484" spans="1:26" ht="18" customHeight="1" x14ac:dyDescent="0.35">
      <c r="A484" s="559"/>
      <c r="B484" s="559"/>
      <c r="C484" s="559"/>
      <c r="D484" s="559"/>
      <c r="E484" s="559"/>
      <c r="F484" s="559"/>
      <c r="G484" s="559"/>
      <c r="H484" s="559"/>
      <c r="I484" s="559"/>
      <c r="J484" s="559"/>
      <c r="K484" s="559"/>
      <c r="L484" s="559"/>
      <c r="M484" s="559"/>
      <c r="N484" s="559"/>
      <c r="O484" s="559"/>
      <c r="P484" s="559"/>
      <c r="Q484" s="559"/>
      <c r="R484" s="559"/>
      <c r="S484" s="559"/>
      <c r="T484" s="559"/>
      <c r="U484" s="559"/>
      <c r="V484" s="559"/>
      <c r="W484" s="559"/>
      <c r="X484" s="559"/>
      <c r="Y484" s="559"/>
      <c r="Z484" s="559"/>
    </row>
    <row r="485" spans="1:26" ht="18" customHeight="1" x14ac:dyDescent="0.35">
      <c r="A485" s="559"/>
      <c r="B485" s="559"/>
      <c r="C485" s="559"/>
      <c r="D485" s="559"/>
      <c r="E485" s="559"/>
      <c r="F485" s="559"/>
      <c r="G485" s="559"/>
      <c r="H485" s="559"/>
      <c r="I485" s="559"/>
      <c r="J485" s="559"/>
      <c r="K485" s="559"/>
      <c r="L485" s="559"/>
      <c r="M485" s="559"/>
      <c r="N485" s="559"/>
      <c r="O485" s="559"/>
      <c r="P485" s="559"/>
      <c r="Q485" s="559"/>
      <c r="R485" s="559"/>
      <c r="S485" s="559"/>
      <c r="T485" s="559"/>
      <c r="U485" s="559"/>
      <c r="V485" s="559"/>
      <c r="W485" s="559"/>
      <c r="X485" s="559"/>
      <c r="Y485" s="559"/>
      <c r="Z485" s="559"/>
    </row>
    <row r="486" spans="1:26" ht="18" customHeight="1" x14ac:dyDescent="0.35">
      <c r="A486" s="559"/>
      <c r="B486" s="559"/>
      <c r="C486" s="559"/>
      <c r="D486" s="559"/>
      <c r="E486" s="559"/>
      <c r="F486" s="559"/>
      <c r="G486" s="559"/>
      <c r="H486" s="559"/>
      <c r="I486" s="559"/>
      <c r="J486" s="559"/>
      <c r="K486" s="559"/>
      <c r="L486" s="559"/>
      <c r="M486" s="559"/>
      <c r="N486" s="559"/>
      <c r="O486" s="559"/>
      <c r="P486" s="559"/>
      <c r="Q486" s="559"/>
      <c r="R486" s="559"/>
      <c r="S486" s="559"/>
      <c r="T486" s="559"/>
      <c r="U486" s="559"/>
      <c r="V486" s="559"/>
      <c r="W486" s="559"/>
      <c r="X486" s="559"/>
      <c r="Y486" s="559"/>
      <c r="Z486" s="559"/>
    </row>
    <row r="487" spans="1:26" ht="18" customHeight="1" x14ac:dyDescent="0.35">
      <c r="A487" s="559"/>
      <c r="B487" s="559"/>
      <c r="C487" s="559"/>
      <c r="D487" s="559"/>
      <c r="E487" s="559"/>
      <c r="F487" s="559"/>
      <c r="G487" s="559"/>
      <c r="H487" s="559"/>
      <c r="I487" s="559"/>
      <c r="J487" s="559"/>
      <c r="K487" s="559"/>
      <c r="L487" s="559"/>
      <c r="M487" s="559"/>
      <c r="N487" s="559"/>
      <c r="O487" s="559"/>
      <c r="P487" s="559"/>
      <c r="Q487" s="559"/>
      <c r="R487" s="559"/>
      <c r="S487" s="559"/>
      <c r="T487" s="559"/>
      <c r="U487" s="559"/>
      <c r="V487" s="559"/>
      <c r="W487" s="559"/>
      <c r="X487" s="559"/>
      <c r="Y487" s="559"/>
      <c r="Z487" s="559"/>
    </row>
    <row r="488" spans="1:26" ht="18" customHeight="1" x14ac:dyDescent="0.35">
      <c r="A488" s="559"/>
      <c r="B488" s="559"/>
      <c r="C488" s="559"/>
      <c r="D488" s="559"/>
      <c r="E488" s="559"/>
      <c r="F488" s="559"/>
      <c r="G488" s="559"/>
      <c r="H488" s="559"/>
      <c r="I488" s="559"/>
      <c r="J488" s="559"/>
      <c r="K488" s="559"/>
      <c r="L488" s="559"/>
      <c r="M488" s="559"/>
      <c r="N488" s="559"/>
      <c r="O488" s="559"/>
      <c r="P488" s="559"/>
      <c r="Q488" s="559"/>
      <c r="R488" s="559"/>
      <c r="S488" s="559"/>
      <c r="T488" s="559"/>
      <c r="U488" s="559"/>
      <c r="V488" s="559"/>
      <c r="W488" s="559"/>
      <c r="X488" s="559"/>
      <c r="Y488" s="559"/>
      <c r="Z488" s="559"/>
    </row>
    <row r="489" spans="1:26" ht="18" customHeight="1" x14ac:dyDescent="0.35">
      <c r="A489" s="559"/>
      <c r="B489" s="559"/>
      <c r="C489" s="559"/>
      <c r="D489" s="559"/>
      <c r="E489" s="559"/>
      <c r="F489" s="559"/>
      <c r="G489" s="559"/>
      <c r="H489" s="559"/>
      <c r="I489" s="559"/>
      <c r="J489" s="559"/>
      <c r="K489" s="559"/>
      <c r="L489" s="559"/>
      <c r="M489" s="559"/>
      <c r="N489" s="559"/>
      <c r="O489" s="559"/>
      <c r="P489" s="559"/>
      <c r="Q489" s="559"/>
      <c r="R489" s="559"/>
      <c r="S489" s="559"/>
      <c r="T489" s="559"/>
      <c r="U489" s="559"/>
      <c r="V489" s="559"/>
      <c r="W489" s="559"/>
      <c r="X489" s="559"/>
      <c r="Y489" s="559"/>
      <c r="Z489" s="559"/>
    </row>
    <row r="490" spans="1:26" ht="18" customHeight="1" x14ac:dyDescent="0.35">
      <c r="A490" s="559"/>
      <c r="B490" s="559"/>
      <c r="C490" s="559"/>
      <c r="D490" s="559"/>
      <c r="E490" s="559"/>
      <c r="F490" s="559"/>
      <c r="G490" s="559"/>
      <c r="H490" s="559"/>
      <c r="I490" s="559"/>
      <c r="J490" s="559"/>
      <c r="K490" s="559"/>
      <c r="L490" s="559"/>
      <c r="M490" s="559"/>
      <c r="N490" s="559"/>
      <c r="O490" s="559"/>
      <c r="P490" s="559"/>
      <c r="Q490" s="559"/>
      <c r="R490" s="559"/>
      <c r="S490" s="559"/>
      <c r="T490" s="559"/>
      <c r="U490" s="559"/>
      <c r="V490" s="559"/>
      <c r="W490" s="559"/>
      <c r="X490" s="559"/>
      <c r="Y490" s="559"/>
      <c r="Z490" s="559"/>
    </row>
    <row r="491" spans="1:26" ht="18" customHeight="1" x14ac:dyDescent="0.35">
      <c r="A491" s="559"/>
      <c r="B491" s="559"/>
      <c r="C491" s="559"/>
      <c r="D491" s="559"/>
      <c r="E491" s="559"/>
      <c r="F491" s="559"/>
      <c r="G491" s="559"/>
      <c r="H491" s="559"/>
      <c r="I491" s="559"/>
      <c r="J491" s="559"/>
      <c r="K491" s="559"/>
      <c r="L491" s="559"/>
      <c r="M491" s="559"/>
      <c r="N491" s="559"/>
      <c r="O491" s="559"/>
      <c r="P491" s="559"/>
      <c r="Q491" s="559"/>
      <c r="R491" s="559"/>
      <c r="S491" s="559"/>
      <c r="T491" s="559"/>
      <c r="U491" s="559"/>
      <c r="V491" s="559"/>
      <c r="W491" s="559"/>
      <c r="X491" s="559"/>
      <c r="Y491" s="559"/>
      <c r="Z491" s="559"/>
    </row>
    <row r="492" spans="1:26" ht="18" customHeight="1" x14ac:dyDescent="0.35">
      <c r="A492" s="559"/>
      <c r="B492" s="559"/>
      <c r="C492" s="559"/>
      <c r="D492" s="559"/>
      <c r="E492" s="559"/>
      <c r="F492" s="559"/>
      <c r="G492" s="559"/>
      <c r="H492" s="559"/>
      <c r="I492" s="559"/>
      <c r="J492" s="559"/>
      <c r="K492" s="559"/>
      <c r="L492" s="559"/>
      <c r="M492" s="559"/>
      <c r="N492" s="559"/>
      <c r="O492" s="559"/>
      <c r="P492" s="559"/>
      <c r="Q492" s="559"/>
      <c r="R492" s="559"/>
      <c r="S492" s="559"/>
      <c r="T492" s="559"/>
      <c r="U492" s="559"/>
      <c r="V492" s="559"/>
      <c r="W492" s="559"/>
      <c r="X492" s="559"/>
      <c r="Y492" s="559"/>
      <c r="Z492" s="559"/>
    </row>
    <row r="493" spans="1:26" ht="18" customHeight="1" x14ac:dyDescent="0.35">
      <c r="A493" s="559"/>
      <c r="B493" s="559"/>
      <c r="C493" s="559"/>
      <c r="D493" s="559"/>
      <c r="E493" s="559"/>
      <c r="F493" s="559"/>
      <c r="G493" s="559"/>
      <c r="H493" s="559"/>
      <c r="I493" s="559"/>
      <c r="J493" s="559"/>
      <c r="K493" s="559"/>
      <c r="L493" s="559"/>
      <c r="M493" s="559"/>
      <c r="N493" s="559"/>
      <c r="O493" s="559"/>
      <c r="P493" s="559"/>
      <c r="Q493" s="559"/>
      <c r="R493" s="559"/>
      <c r="S493" s="559"/>
      <c r="T493" s="559"/>
      <c r="U493" s="559"/>
      <c r="V493" s="559"/>
      <c r="W493" s="559"/>
      <c r="X493" s="559"/>
      <c r="Y493" s="559"/>
      <c r="Z493" s="559"/>
    </row>
    <row r="494" spans="1:26" ht="18" customHeight="1" x14ac:dyDescent="0.35">
      <c r="A494" s="559"/>
      <c r="B494" s="559"/>
      <c r="C494" s="559"/>
      <c r="D494" s="559"/>
      <c r="E494" s="559"/>
      <c r="F494" s="559"/>
      <c r="G494" s="559"/>
      <c r="H494" s="559"/>
      <c r="I494" s="559"/>
      <c r="J494" s="559"/>
      <c r="K494" s="559"/>
      <c r="L494" s="559"/>
      <c r="M494" s="559"/>
      <c r="N494" s="559"/>
      <c r="O494" s="559"/>
      <c r="P494" s="559"/>
      <c r="Q494" s="559"/>
      <c r="R494" s="559"/>
      <c r="S494" s="559"/>
      <c r="T494" s="559"/>
      <c r="U494" s="559"/>
      <c r="V494" s="559"/>
      <c r="W494" s="559"/>
      <c r="X494" s="559"/>
      <c r="Y494" s="559"/>
      <c r="Z494" s="559"/>
    </row>
    <row r="495" spans="1:26" ht="18" customHeight="1" x14ac:dyDescent="0.35">
      <c r="A495" s="559"/>
      <c r="B495" s="559"/>
      <c r="C495" s="559"/>
      <c r="D495" s="559"/>
      <c r="E495" s="559"/>
      <c r="F495" s="559"/>
      <c r="G495" s="559"/>
      <c r="H495" s="559"/>
      <c r="I495" s="559"/>
      <c r="J495" s="559"/>
      <c r="K495" s="559"/>
      <c r="L495" s="559"/>
      <c r="M495" s="559"/>
      <c r="N495" s="559"/>
      <c r="O495" s="559"/>
      <c r="P495" s="559"/>
      <c r="Q495" s="559"/>
      <c r="R495" s="559"/>
      <c r="S495" s="559"/>
      <c r="T495" s="559"/>
      <c r="U495" s="559"/>
      <c r="V495" s="559"/>
      <c r="W495" s="559"/>
      <c r="X495" s="559"/>
      <c r="Y495" s="559"/>
      <c r="Z495" s="559"/>
    </row>
    <row r="496" spans="1:26" ht="18" customHeight="1" x14ac:dyDescent="0.35">
      <c r="A496" s="559"/>
      <c r="B496" s="559"/>
      <c r="C496" s="559"/>
      <c r="D496" s="559"/>
      <c r="E496" s="559"/>
      <c r="F496" s="559"/>
      <c r="G496" s="559"/>
      <c r="H496" s="559"/>
      <c r="I496" s="559"/>
      <c r="J496" s="559"/>
      <c r="K496" s="559"/>
      <c r="L496" s="559"/>
      <c r="M496" s="559"/>
      <c r="N496" s="559"/>
      <c r="O496" s="559"/>
      <c r="P496" s="559"/>
      <c r="Q496" s="559"/>
      <c r="R496" s="559"/>
      <c r="S496" s="559"/>
      <c r="T496" s="559"/>
      <c r="U496" s="559"/>
      <c r="V496" s="559"/>
      <c r="W496" s="559"/>
      <c r="X496" s="559"/>
      <c r="Y496" s="559"/>
      <c r="Z496" s="559"/>
    </row>
    <row r="497" spans="1:26" ht="18" customHeight="1" x14ac:dyDescent="0.35">
      <c r="A497" s="559"/>
      <c r="B497" s="559"/>
      <c r="C497" s="559"/>
      <c r="D497" s="559"/>
      <c r="E497" s="559"/>
      <c r="F497" s="559"/>
      <c r="G497" s="559"/>
      <c r="H497" s="559"/>
      <c r="I497" s="559"/>
      <c r="J497" s="559"/>
      <c r="K497" s="559"/>
      <c r="L497" s="559"/>
      <c r="M497" s="559"/>
      <c r="N497" s="559"/>
      <c r="O497" s="559"/>
      <c r="P497" s="559"/>
      <c r="Q497" s="559"/>
      <c r="R497" s="559"/>
      <c r="S497" s="559"/>
      <c r="T497" s="559"/>
      <c r="U497" s="559"/>
      <c r="V497" s="559"/>
      <c r="W497" s="559"/>
      <c r="X497" s="559"/>
      <c r="Y497" s="559"/>
      <c r="Z497" s="559"/>
    </row>
    <row r="498" spans="1:26" ht="18" customHeight="1" x14ac:dyDescent="0.35">
      <c r="A498" s="559"/>
      <c r="B498" s="559"/>
      <c r="C498" s="559"/>
      <c r="D498" s="559"/>
      <c r="E498" s="559"/>
      <c r="F498" s="559"/>
      <c r="G498" s="559"/>
      <c r="H498" s="559"/>
      <c r="I498" s="559"/>
      <c r="J498" s="559"/>
      <c r="K498" s="559"/>
      <c r="L498" s="559"/>
      <c r="M498" s="559"/>
      <c r="N498" s="559"/>
      <c r="O498" s="559"/>
      <c r="P498" s="559"/>
      <c r="Q498" s="559"/>
      <c r="R498" s="559"/>
      <c r="S498" s="559"/>
      <c r="T498" s="559"/>
      <c r="U498" s="559"/>
      <c r="V498" s="559"/>
      <c r="W498" s="559"/>
      <c r="X498" s="559"/>
      <c r="Y498" s="559"/>
      <c r="Z498" s="559"/>
    </row>
    <row r="499" spans="1:26" ht="18" customHeight="1" x14ac:dyDescent="0.35">
      <c r="A499" s="559"/>
      <c r="B499" s="559"/>
      <c r="C499" s="559"/>
      <c r="D499" s="559"/>
      <c r="E499" s="559"/>
      <c r="F499" s="559"/>
      <c r="G499" s="559"/>
      <c r="H499" s="559"/>
      <c r="I499" s="559"/>
      <c r="J499" s="559"/>
      <c r="K499" s="559"/>
      <c r="L499" s="559"/>
      <c r="M499" s="559"/>
      <c r="N499" s="559"/>
      <c r="O499" s="559"/>
      <c r="P499" s="559"/>
      <c r="Q499" s="559"/>
      <c r="R499" s="559"/>
      <c r="S499" s="559"/>
      <c r="T499" s="559"/>
      <c r="U499" s="559"/>
      <c r="V499" s="559"/>
      <c r="W499" s="559"/>
      <c r="X499" s="559"/>
      <c r="Y499" s="559"/>
      <c r="Z499" s="559"/>
    </row>
    <row r="500" spans="1:26" ht="18" customHeight="1" x14ac:dyDescent="0.35">
      <c r="A500" s="559"/>
      <c r="B500" s="559"/>
      <c r="C500" s="559"/>
      <c r="D500" s="559"/>
      <c r="E500" s="559"/>
      <c r="F500" s="559"/>
      <c r="G500" s="559"/>
      <c r="H500" s="559"/>
      <c r="I500" s="559"/>
      <c r="J500" s="559"/>
      <c r="K500" s="559"/>
      <c r="L500" s="559"/>
      <c r="M500" s="559"/>
      <c r="N500" s="559"/>
      <c r="O500" s="559"/>
      <c r="P500" s="559"/>
      <c r="Q500" s="559"/>
      <c r="R500" s="559"/>
      <c r="S500" s="559"/>
      <c r="T500" s="559"/>
      <c r="U500" s="559"/>
      <c r="V500" s="559"/>
      <c r="W500" s="559"/>
      <c r="X500" s="559"/>
      <c r="Y500" s="559"/>
      <c r="Z500" s="559"/>
    </row>
    <row r="501" spans="1:26" ht="18" customHeight="1" x14ac:dyDescent="0.35">
      <c r="A501" s="559"/>
      <c r="B501" s="559"/>
      <c r="C501" s="559"/>
      <c r="D501" s="559"/>
      <c r="E501" s="559"/>
      <c r="F501" s="559"/>
      <c r="G501" s="559"/>
      <c r="H501" s="559"/>
      <c r="I501" s="559"/>
      <c r="J501" s="559"/>
      <c r="K501" s="559"/>
      <c r="L501" s="559"/>
      <c r="M501" s="559"/>
      <c r="N501" s="559"/>
      <c r="O501" s="559"/>
      <c r="P501" s="559"/>
      <c r="Q501" s="559"/>
      <c r="R501" s="559"/>
      <c r="S501" s="559"/>
      <c r="T501" s="559"/>
      <c r="U501" s="559"/>
      <c r="V501" s="559"/>
      <c r="W501" s="559"/>
      <c r="X501" s="559"/>
      <c r="Y501" s="559"/>
      <c r="Z501" s="559"/>
    </row>
    <row r="502" spans="1:26" ht="18" customHeight="1" x14ac:dyDescent="0.35">
      <c r="A502" s="559"/>
      <c r="B502" s="559"/>
      <c r="C502" s="559"/>
      <c r="D502" s="559"/>
      <c r="E502" s="559"/>
      <c r="F502" s="559"/>
      <c r="G502" s="559"/>
      <c r="H502" s="559"/>
      <c r="I502" s="559"/>
      <c r="J502" s="559"/>
      <c r="K502" s="559"/>
      <c r="L502" s="559"/>
      <c r="M502" s="559"/>
      <c r="N502" s="559"/>
      <c r="O502" s="559"/>
      <c r="P502" s="559"/>
      <c r="Q502" s="559"/>
      <c r="R502" s="559"/>
      <c r="S502" s="559"/>
      <c r="T502" s="559"/>
      <c r="U502" s="559"/>
      <c r="V502" s="559"/>
      <c r="W502" s="559"/>
      <c r="X502" s="559"/>
      <c r="Y502" s="559"/>
      <c r="Z502" s="559"/>
    </row>
    <row r="503" spans="1:26" ht="18" customHeight="1" x14ac:dyDescent="0.35">
      <c r="A503" s="559"/>
      <c r="B503" s="559"/>
      <c r="C503" s="559"/>
      <c r="D503" s="559"/>
      <c r="E503" s="559"/>
      <c r="F503" s="559"/>
      <c r="G503" s="559"/>
      <c r="H503" s="559"/>
      <c r="I503" s="559"/>
      <c r="J503" s="559"/>
      <c r="K503" s="559"/>
      <c r="L503" s="559"/>
      <c r="M503" s="559"/>
      <c r="N503" s="559"/>
      <c r="O503" s="559"/>
      <c r="P503" s="559"/>
      <c r="Q503" s="559"/>
      <c r="R503" s="559"/>
      <c r="S503" s="559"/>
      <c r="T503" s="559"/>
      <c r="U503" s="559"/>
      <c r="V503" s="559"/>
      <c r="W503" s="559"/>
      <c r="X503" s="559"/>
      <c r="Y503" s="559"/>
      <c r="Z503" s="559"/>
    </row>
    <row r="504" spans="1:26" ht="18" customHeight="1" x14ac:dyDescent="0.35">
      <c r="A504" s="559"/>
      <c r="B504" s="559"/>
      <c r="C504" s="559"/>
      <c r="D504" s="559"/>
      <c r="E504" s="559"/>
      <c r="F504" s="559"/>
      <c r="G504" s="559"/>
      <c r="H504" s="559"/>
      <c r="I504" s="559"/>
      <c r="J504" s="559"/>
      <c r="K504" s="559"/>
      <c r="L504" s="559"/>
      <c r="M504" s="559"/>
      <c r="N504" s="559"/>
      <c r="O504" s="559"/>
      <c r="P504" s="559"/>
      <c r="Q504" s="559"/>
      <c r="R504" s="559"/>
      <c r="S504" s="559"/>
      <c r="T504" s="559"/>
      <c r="U504" s="559"/>
      <c r="V504" s="559"/>
      <c r="W504" s="559"/>
      <c r="X504" s="559"/>
      <c r="Y504" s="559"/>
      <c r="Z504" s="559"/>
    </row>
    <row r="505" spans="1:26" ht="18" customHeight="1" x14ac:dyDescent="0.35">
      <c r="A505" s="559"/>
      <c r="B505" s="559"/>
      <c r="C505" s="559"/>
      <c r="D505" s="559"/>
      <c r="E505" s="559"/>
      <c r="F505" s="559"/>
      <c r="G505" s="559"/>
      <c r="H505" s="559"/>
      <c r="I505" s="559"/>
      <c r="J505" s="559"/>
      <c r="K505" s="559"/>
      <c r="L505" s="559"/>
      <c r="M505" s="559"/>
      <c r="N505" s="559"/>
      <c r="O505" s="559"/>
      <c r="P505" s="559"/>
      <c r="Q505" s="559"/>
      <c r="R505" s="559"/>
      <c r="S505" s="559"/>
      <c r="T505" s="559"/>
      <c r="U505" s="559"/>
      <c r="V505" s="559"/>
      <c r="W505" s="559"/>
      <c r="X505" s="559"/>
      <c r="Y505" s="559"/>
      <c r="Z505" s="559"/>
    </row>
    <row r="506" spans="1:26" ht="18" customHeight="1" x14ac:dyDescent="0.35">
      <c r="A506" s="559"/>
      <c r="B506" s="559"/>
      <c r="C506" s="559"/>
      <c r="D506" s="559"/>
      <c r="E506" s="559"/>
      <c r="F506" s="559"/>
      <c r="G506" s="559"/>
      <c r="H506" s="559"/>
      <c r="I506" s="559"/>
      <c r="J506" s="559"/>
      <c r="K506" s="559"/>
      <c r="L506" s="559"/>
      <c r="M506" s="559"/>
      <c r="N506" s="559"/>
      <c r="O506" s="559"/>
      <c r="P506" s="559"/>
      <c r="Q506" s="559"/>
      <c r="R506" s="559"/>
      <c r="S506" s="559"/>
      <c r="T506" s="559"/>
      <c r="U506" s="559"/>
      <c r="V506" s="559"/>
      <c r="W506" s="559"/>
      <c r="X506" s="559"/>
      <c r="Y506" s="559"/>
      <c r="Z506" s="559"/>
    </row>
    <row r="507" spans="1:26" ht="18" customHeight="1" x14ac:dyDescent="0.35">
      <c r="A507" s="559"/>
      <c r="B507" s="559"/>
      <c r="C507" s="559"/>
      <c r="D507" s="559"/>
      <c r="E507" s="559"/>
      <c r="F507" s="559"/>
      <c r="G507" s="559"/>
      <c r="H507" s="559"/>
      <c r="I507" s="559"/>
      <c r="J507" s="559"/>
      <c r="K507" s="559"/>
      <c r="L507" s="559"/>
      <c r="M507" s="559"/>
      <c r="N507" s="559"/>
      <c r="O507" s="559"/>
      <c r="P507" s="559"/>
      <c r="Q507" s="559"/>
      <c r="R507" s="559"/>
      <c r="S507" s="559"/>
      <c r="T507" s="559"/>
      <c r="U507" s="559"/>
      <c r="V507" s="559"/>
      <c r="W507" s="559"/>
      <c r="X507" s="559"/>
      <c r="Y507" s="559"/>
      <c r="Z507" s="559"/>
    </row>
    <row r="508" spans="1:26" ht="18" customHeight="1" x14ac:dyDescent="0.35">
      <c r="A508" s="559"/>
      <c r="B508" s="559"/>
      <c r="C508" s="559"/>
      <c r="D508" s="559"/>
      <c r="E508" s="559"/>
      <c r="F508" s="559"/>
      <c r="G508" s="559"/>
      <c r="H508" s="559"/>
      <c r="I508" s="559"/>
      <c r="J508" s="559"/>
      <c r="K508" s="559"/>
      <c r="L508" s="559"/>
      <c r="M508" s="559"/>
      <c r="N508" s="559"/>
      <c r="O508" s="559"/>
      <c r="P508" s="559"/>
      <c r="Q508" s="559"/>
      <c r="R508" s="559"/>
      <c r="S508" s="559"/>
      <c r="T508" s="559"/>
      <c r="U508" s="559"/>
      <c r="V508" s="559"/>
      <c r="W508" s="559"/>
      <c r="X508" s="559"/>
      <c r="Y508" s="559"/>
      <c r="Z508" s="559"/>
    </row>
    <row r="509" spans="1:26" ht="18" customHeight="1" x14ac:dyDescent="0.35">
      <c r="A509" s="559"/>
      <c r="B509" s="559"/>
      <c r="C509" s="559"/>
      <c r="D509" s="559"/>
      <c r="E509" s="559"/>
      <c r="F509" s="559"/>
      <c r="G509" s="559"/>
      <c r="H509" s="559"/>
      <c r="I509" s="559"/>
      <c r="J509" s="559"/>
      <c r="K509" s="559"/>
      <c r="L509" s="559"/>
      <c r="M509" s="559"/>
      <c r="N509" s="559"/>
      <c r="O509" s="559"/>
      <c r="P509" s="559"/>
      <c r="Q509" s="559"/>
      <c r="R509" s="559"/>
      <c r="S509" s="559"/>
      <c r="T509" s="559"/>
      <c r="U509" s="559"/>
      <c r="V509" s="559"/>
      <c r="W509" s="559"/>
      <c r="X509" s="559"/>
      <c r="Y509" s="559"/>
      <c r="Z509" s="559"/>
    </row>
    <row r="510" spans="1:26" ht="18" customHeight="1" x14ac:dyDescent="0.35">
      <c r="A510" s="559"/>
      <c r="B510" s="559"/>
      <c r="C510" s="559"/>
      <c r="D510" s="559"/>
      <c r="E510" s="559"/>
      <c r="F510" s="559"/>
      <c r="G510" s="559"/>
      <c r="H510" s="559"/>
      <c r="I510" s="559"/>
      <c r="J510" s="559"/>
      <c r="K510" s="559"/>
      <c r="L510" s="559"/>
      <c r="M510" s="559"/>
      <c r="N510" s="559"/>
      <c r="O510" s="559"/>
      <c r="P510" s="559"/>
      <c r="Q510" s="559"/>
      <c r="R510" s="559"/>
      <c r="S510" s="559"/>
      <c r="T510" s="559"/>
      <c r="U510" s="559"/>
      <c r="V510" s="559"/>
      <c r="W510" s="559"/>
      <c r="X510" s="559"/>
      <c r="Y510" s="559"/>
      <c r="Z510" s="559"/>
    </row>
    <row r="511" spans="1:26" ht="18" customHeight="1" x14ac:dyDescent="0.35">
      <c r="A511" s="559"/>
      <c r="B511" s="559"/>
      <c r="C511" s="559"/>
      <c r="D511" s="559"/>
      <c r="E511" s="559"/>
      <c r="F511" s="559"/>
      <c r="G511" s="559"/>
      <c r="H511" s="559"/>
      <c r="I511" s="559"/>
      <c r="J511" s="559"/>
      <c r="K511" s="559"/>
      <c r="L511" s="559"/>
      <c r="M511" s="559"/>
      <c r="N511" s="559"/>
      <c r="O511" s="559"/>
      <c r="P511" s="559"/>
      <c r="Q511" s="559"/>
      <c r="R511" s="559"/>
      <c r="S511" s="559"/>
      <c r="T511" s="559"/>
      <c r="U511" s="559"/>
      <c r="V511" s="559"/>
      <c r="W511" s="559"/>
      <c r="X511" s="559"/>
      <c r="Y511" s="559"/>
      <c r="Z511" s="559"/>
    </row>
    <row r="512" spans="1:26" ht="18" customHeight="1" x14ac:dyDescent="0.35">
      <c r="A512" s="559"/>
      <c r="B512" s="559"/>
      <c r="C512" s="559"/>
      <c r="D512" s="559"/>
      <c r="E512" s="559"/>
      <c r="F512" s="559"/>
      <c r="G512" s="559"/>
      <c r="H512" s="559"/>
      <c r="I512" s="559"/>
      <c r="J512" s="559"/>
      <c r="K512" s="559"/>
      <c r="L512" s="559"/>
      <c r="M512" s="559"/>
      <c r="N512" s="559"/>
      <c r="O512" s="559"/>
      <c r="P512" s="559"/>
      <c r="Q512" s="559"/>
      <c r="R512" s="559"/>
      <c r="S512" s="559"/>
      <c r="T512" s="559"/>
      <c r="U512" s="559"/>
      <c r="V512" s="559"/>
      <c r="W512" s="559"/>
      <c r="X512" s="559"/>
      <c r="Y512" s="559"/>
      <c r="Z512" s="559"/>
    </row>
    <row r="513" spans="1:26" ht="18" customHeight="1" x14ac:dyDescent="0.35">
      <c r="A513" s="559"/>
      <c r="B513" s="559"/>
      <c r="C513" s="559"/>
      <c r="D513" s="559"/>
      <c r="E513" s="559"/>
      <c r="F513" s="559"/>
      <c r="G513" s="559"/>
      <c r="H513" s="559"/>
      <c r="I513" s="559"/>
      <c r="J513" s="559"/>
      <c r="K513" s="559"/>
      <c r="L513" s="559"/>
      <c r="M513" s="559"/>
      <c r="N513" s="559"/>
      <c r="O513" s="559"/>
      <c r="P513" s="559"/>
      <c r="Q513" s="559"/>
      <c r="R513" s="559"/>
      <c r="S513" s="559"/>
      <c r="T513" s="559"/>
      <c r="U513" s="559"/>
      <c r="V513" s="559"/>
      <c r="W513" s="559"/>
      <c r="X513" s="559"/>
      <c r="Y513" s="559"/>
      <c r="Z513" s="559"/>
    </row>
    <row r="514" spans="1:26" ht="18" customHeight="1" x14ac:dyDescent="0.35">
      <c r="A514" s="559"/>
      <c r="B514" s="559"/>
      <c r="C514" s="559"/>
      <c r="D514" s="559"/>
      <c r="E514" s="559"/>
      <c r="F514" s="559"/>
      <c r="G514" s="559"/>
      <c r="H514" s="559"/>
      <c r="I514" s="559"/>
      <c r="J514" s="559"/>
      <c r="K514" s="559"/>
      <c r="L514" s="559"/>
      <c r="M514" s="559"/>
      <c r="N514" s="559"/>
      <c r="O514" s="559"/>
      <c r="P514" s="559"/>
      <c r="Q514" s="559"/>
      <c r="R514" s="559"/>
      <c r="S514" s="559"/>
      <c r="T514" s="559"/>
      <c r="U514" s="559"/>
      <c r="V514" s="559"/>
      <c r="W514" s="559"/>
      <c r="X514" s="559"/>
      <c r="Y514" s="559"/>
      <c r="Z514" s="559"/>
    </row>
    <row r="515" spans="1:26" ht="18" customHeight="1" x14ac:dyDescent="0.35">
      <c r="A515" s="559"/>
      <c r="B515" s="559"/>
      <c r="C515" s="559"/>
      <c r="D515" s="559"/>
      <c r="E515" s="559"/>
      <c r="F515" s="559"/>
      <c r="G515" s="559"/>
      <c r="H515" s="559"/>
      <c r="I515" s="559"/>
      <c r="J515" s="559"/>
      <c r="K515" s="559"/>
      <c r="L515" s="559"/>
      <c r="M515" s="559"/>
      <c r="N515" s="559"/>
      <c r="O515" s="559"/>
      <c r="P515" s="559"/>
      <c r="Q515" s="559"/>
      <c r="R515" s="559"/>
      <c r="S515" s="559"/>
      <c r="T515" s="559"/>
      <c r="U515" s="559"/>
      <c r="V515" s="559"/>
      <c r="W515" s="559"/>
      <c r="X515" s="559"/>
      <c r="Y515" s="559"/>
      <c r="Z515" s="559"/>
    </row>
    <row r="516" spans="1:26" ht="18" customHeight="1" x14ac:dyDescent="0.35">
      <c r="A516" s="559"/>
      <c r="B516" s="559"/>
      <c r="C516" s="559"/>
      <c r="D516" s="559"/>
      <c r="E516" s="559"/>
      <c r="F516" s="559"/>
      <c r="G516" s="559"/>
      <c r="H516" s="559"/>
      <c r="I516" s="559"/>
      <c r="J516" s="559"/>
      <c r="K516" s="559"/>
      <c r="L516" s="559"/>
      <c r="M516" s="559"/>
      <c r="N516" s="559"/>
      <c r="O516" s="559"/>
      <c r="P516" s="559"/>
      <c r="Q516" s="559"/>
      <c r="R516" s="559"/>
      <c r="S516" s="559"/>
      <c r="T516" s="559"/>
      <c r="U516" s="559"/>
      <c r="V516" s="559"/>
      <c r="W516" s="559"/>
      <c r="X516" s="559"/>
      <c r="Y516" s="559"/>
      <c r="Z516" s="559"/>
    </row>
    <row r="517" spans="1:26" ht="18" customHeight="1" x14ac:dyDescent="0.35">
      <c r="A517" s="559"/>
      <c r="B517" s="559"/>
      <c r="C517" s="559"/>
      <c r="D517" s="559"/>
      <c r="E517" s="559"/>
      <c r="F517" s="559"/>
      <c r="G517" s="559"/>
      <c r="H517" s="559"/>
      <c r="I517" s="559"/>
      <c r="J517" s="559"/>
      <c r="K517" s="559"/>
      <c r="L517" s="559"/>
      <c r="M517" s="559"/>
      <c r="N517" s="559"/>
      <c r="O517" s="559"/>
      <c r="P517" s="559"/>
      <c r="Q517" s="559"/>
      <c r="R517" s="559"/>
      <c r="S517" s="559"/>
      <c r="T517" s="559"/>
      <c r="U517" s="559"/>
      <c r="V517" s="559"/>
      <c r="W517" s="559"/>
      <c r="X517" s="559"/>
      <c r="Y517" s="559"/>
      <c r="Z517" s="559"/>
    </row>
    <row r="518" spans="1:26" ht="18" customHeight="1" x14ac:dyDescent="0.35">
      <c r="A518" s="559"/>
      <c r="B518" s="559"/>
      <c r="C518" s="559"/>
      <c r="D518" s="559"/>
      <c r="E518" s="559"/>
      <c r="F518" s="559"/>
      <c r="G518" s="559"/>
      <c r="H518" s="559"/>
      <c r="I518" s="559"/>
      <c r="J518" s="559"/>
      <c r="K518" s="559"/>
      <c r="L518" s="559"/>
      <c r="M518" s="559"/>
      <c r="N518" s="559"/>
      <c r="O518" s="559"/>
      <c r="P518" s="559"/>
      <c r="Q518" s="559"/>
      <c r="R518" s="559"/>
      <c r="S518" s="559"/>
      <c r="T518" s="559"/>
      <c r="U518" s="559"/>
      <c r="V518" s="559"/>
      <c r="W518" s="559"/>
      <c r="X518" s="559"/>
      <c r="Y518" s="559"/>
      <c r="Z518" s="559"/>
    </row>
    <row r="519" spans="1:26" ht="18" customHeight="1" x14ac:dyDescent="0.35">
      <c r="A519" s="559"/>
      <c r="B519" s="559"/>
      <c r="C519" s="559"/>
      <c r="D519" s="559"/>
      <c r="E519" s="559"/>
      <c r="F519" s="559"/>
      <c r="G519" s="559"/>
      <c r="H519" s="559"/>
      <c r="I519" s="559"/>
      <c r="J519" s="559"/>
      <c r="K519" s="559"/>
      <c r="L519" s="559"/>
      <c r="M519" s="559"/>
      <c r="N519" s="559"/>
      <c r="O519" s="559"/>
      <c r="P519" s="559"/>
      <c r="Q519" s="559"/>
      <c r="R519" s="559"/>
      <c r="S519" s="559"/>
      <c r="T519" s="559"/>
      <c r="U519" s="559"/>
      <c r="V519" s="559"/>
      <c r="W519" s="559"/>
      <c r="X519" s="559"/>
      <c r="Y519" s="559"/>
      <c r="Z519" s="559"/>
    </row>
    <row r="520" spans="1:26" ht="18" customHeight="1" x14ac:dyDescent="0.35">
      <c r="A520" s="559"/>
      <c r="B520" s="559"/>
      <c r="C520" s="559"/>
      <c r="D520" s="559"/>
      <c r="E520" s="559"/>
      <c r="F520" s="559"/>
      <c r="G520" s="559"/>
      <c r="H520" s="559"/>
      <c r="I520" s="559"/>
      <c r="J520" s="559"/>
      <c r="K520" s="559"/>
      <c r="L520" s="559"/>
      <c r="M520" s="559"/>
      <c r="N520" s="559"/>
      <c r="O520" s="559"/>
      <c r="P520" s="559"/>
      <c r="Q520" s="559"/>
      <c r="R520" s="559"/>
      <c r="S520" s="559"/>
      <c r="T520" s="559"/>
      <c r="U520" s="559"/>
      <c r="V520" s="559"/>
      <c r="W520" s="559"/>
      <c r="X520" s="559"/>
      <c r="Y520" s="559"/>
      <c r="Z520" s="559"/>
    </row>
    <row r="521" spans="1:26" ht="18" customHeight="1" x14ac:dyDescent="0.35">
      <c r="A521" s="559"/>
      <c r="B521" s="559"/>
      <c r="C521" s="559"/>
      <c r="D521" s="559"/>
      <c r="E521" s="559"/>
      <c r="F521" s="559"/>
      <c r="G521" s="559"/>
      <c r="H521" s="559"/>
      <c r="I521" s="559"/>
      <c r="J521" s="559"/>
      <c r="K521" s="559"/>
      <c r="L521" s="559"/>
      <c r="M521" s="559"/>
      <c r="N521" s="559"/>
      <c r="O521" s="559"/>
      <c r="P521" s="559"/>
      <c r="Q521" s="559"/>
      <c r="R521" s="559"/>
      <c r="S521" s="559"/>
      <c r="T521" s="559"/>
      <c r="U521" s="559"/>
      <c r="V521" s="559"/>
      <c r="W521" s="559"/>
      <c r="X521" s="559"/>
      <c r="Y521" s="559"/>
      <c r="Z521" s="559"/>
    </row>
    <row r="522" spans="1:26" ht="18" customHeight="1" x14ac:dyDescent="0.35">
      <c r="A522" s="559"/>
      <c r="B522" s="559"/>
      <c r="C522" s="559"/>
      <c r="D522" s="559"/>
      <c r="E522" s="559"/>
      <c r="F522" s="559"/>
      <c r="G522" s="559"/>
      <c r="H522" s="559"/>
      <c r="I522" s="559"/>
      <c r="J522" s="559"/>
      <c r="K522" s="559"/>
      <c r="L522" s="559"/>
      <c r="M522" s="559"/>
      <c r="N522" s="559"/>
      <c r="O522" s="559"/>
      <c r="P522" s="559"/>
      <c r="Q522" s="559"/>
      <c r="R522" s="559"/>
      <c r="S522" s="559"/>
      <c r="T522" s="559"/>
      <c r="U522" s="559"/>
      <c r="V522" s="559"/>
      <c r="W522" s="559"/>
      <c r="X522" s="559"/>
      <c r="Y522" s="559"/>
      <c r="Z522" s="559"/>
    </row>
    <row r="523" spans="1:26" ht="18" customHeight="1" x14ac:dyDescent="0.35">
      <c r="A523" s="559"/>
      <c r="B523" s="559"/>
      <c r="C523" s="559"/>
      <c r="D523" s="559"/>
      <c r="E523" s="559"/>
      <c r="F523" s="559"/>
      <c r="G523" s="559"/>
      <c r="H523" s="559"/>
      <c r="I523" s="559"/>
      <c r="J523" s="559"/>
      <c r="K523" s="559"/>
      <c r="L523" s="559"/>
      <c r="M523" s="559"/>
      <c r="N523" s="559"/>
      <c r="O523" s="559"/>
      <c r="P523" s="559"/>
      <c r="Q523" s="559"/>
      <c r="R523" s="559"/>
      <c r="S523" s="559"/>
      <c r="T523" s="559"/>
      <c r="U523" s="559"/>
      <c r="V523" s="559"/>
      <c r="W523" s="559"/>
      <c r="X523" s="559"/>
      <c r="Y523" s="559"/>
      <c r="Z523" s="559"/>
    </row>
    <row r="524" spans="1:26" ht="18" customHeight="1" x14ac:dyDescent="0.35">
      <c r="A524" s="559"/>
      <c r="B524" s="559"/>
      <c r="C524" s="559"/>
      <c r="D524" s="559"/>
      <c r="E524" s="559"/>
      <c r="F524" s="559"/>
      <c r="G524" s="559"/>
      <c r="H524" s="559"/>
      <c r="I524" s="559"/>
      <c r="J524" s="559"/>
      <c r="K524" s="559"/>
      <c r="L524" s="559"/>
      <c r="M524" s="559"/>
      <c r="N524" s="559"/>
      <c r="O524" s="559"/>
      <c r="P524" s="559"/>
      <c r="Q524" s="559"/>
      <c r="R524" s="559"/>
      <c r="S524" s="559"/>
      <c r="T524" s="559"/>
      <c r="U524" s="559"/>
      <c r="V524" s="559"/>
      <c r="W524" s="559"/>
      <c r="X524" s="559"/>
      <c r="Y524" s="559"/>
      <c r="Z524" s="559"/>
    </row>
    <row r="525" spans="1:26" ht="18" customHeight="1" x14ac:dyDescent="0.35">
      <c r="A525" s="559"/>
      <c r="B525" s="559"/>
      <c r="C525" s="559"/>
      <c r="D525" s="559"/>
      <c r="E525" s="559"/>
      <c r="F525" s="559"/>
      <c r="G525" s="559"/>
      <c r="H525" s="559"/>
      <c r="I525" s="559"/>
      <c r="J525" s="559"/>
      <c r="K525" s="559"/>
      <c r="L525" s="559"/>
      <c r="M525" s="559"/>
      <c r="N525" s="559"/>
      <c r="O525" s="559"/>
      <c r="P525" s="559"/>
      <c r="Q525" s="559"/>
      <c r="R525" s="559"/>
      <c r="S525" s="559"/>
      <c r="T525" s="559"/>
      <c r="U525" s="559"/>
      <c r="V525" s="559"/>
      <c r="W525" s="559"/>
      <c r="X525" s="559"/>
      <c r="Y525" s="559"/>
      <c r="Z525" s="559"/>
    </row>
    <row r="526" spans="1:26" ht="18" customHeight="1" x14ac:dyDescent="0.35">
      <c r="A526" s="559"/>
      <c r="B526" s="559"/>
      <c r="C526" s="559"/>
      <c r="D526" s="559"/>
      <c r="E526" s="559"/>
      <c r="F526" s="559"/>
      <c r="G526" s="559"/>
      <c r="H526" s="559"/>
      <c r="I526" s="559"/>
      <c r="J526" s="559"/>
      <c r="K526" s="559"/>
      <c r="L526" s="559"/>
      <c r="M526" s="559"/>
      <c r="N526" s="559"/>
      <c r="O526" s="559"/>
      <c r="P526" s="559"/>
      <c r="Q526" s="559"/>
      <c r="R526" s="559"/>
      <c r="S526" s="559"/>
      <c r="T526" s="559"/>
      <c r="U526" s="559"/>
      <c r="V526" s="559"/>
      <c r="W526" s="559"/>
      <c r="X526" s="559"/>
      <c r="Y526" s="559"/>
      <c r="Z526" s="559"/>
    </row>
    <row r="527" spans="1:26" ht="18" customHeight="1" x14ac:dyDescent="0.35">
      <c r="A527" s="559"/>
      <c r="B527" s="559"/>
      <c r="C527" s="559"/>
      <c r="D527" s="559"/>
      <c r="E527" s="559"/>
      <c r="F527" s="559"/>
      <c r="G527" s="559"/>
      <c r="H527" s="559"/>
      <c r="I527" s="559"/>
      <c r="J527" s="559"/>
      <c r="K527" s="559"/>
      <c r="L527" s="559"/>
      <c r="M527" s="559"/>
      <c r="N527" s="559"/>
      <c r="O527" s="559"/>
      <c r="P527" s="559"/>
      <c r="Q527" s="559"/>
      <c r="R527" s="559"/>
      <c r="S527" s="559"/>
      <c r="T527" s="559"/>
      <c r="U527" s="559"/>
      <c r="V527" s="559"/>
      <c r="W527" s="559"/>
      <c r="X527" s="559"/>
      <c r="Y527" s="559"/>
      <c r="Z527" s="559"/>
    </row>
    <row r="528" spans="1:26" ht="18" customHeight="1" x14ac:dyDescent="0.35">
      <c r="A528" s="559"/>
      <c r="B528" s="559"/>
      <c r="C528" s="559"/>
      <c r="D528" s="559"/>
      <c r="E528" s="559"/>
      <c r="F528" s="559"/>
      <c r="G528" s="559"/>
      <c r="H528" s="559"/>
      <c r="I528" s="559"/>
      <c r="J528" s="559"/>
      <c r="K528" s="559"/>
      <c r="L528" s="559"/>
      <c r="M528" s="559"/>
      <c r="N528" s="559"/>
      <c r="O528" s="559"/>
      <c r="P528" s="559"/>
      <c r="Q528" s="559"/>
      <c r="R528" s="559"/>
      <c r="S528" s="559"/>
      <c r="T528" s="559"/>
      <c r="U528" s="559"/>
      <c r="V528" s="559"/>
      <c r="W528" s="559"/>
      <c r="X528" s="559"/>
      <c r="Y528" s="559"/>
      <c r="Z528" s="559"/>
    </row>
    <row r="529" spans="1:26" ht="18" customHeight="1" x14ac:dyDescent="0.35">
      <c r="A529" s="559"/>
      <c r="B529" s="559"/>
      <c r="C529" s="559"/>
      <c r="D529" s="559"/>
      <c r="E529" s="559"/>
      <c r="F529" s="559"/>
      <c r="G529" s="559"/>
      <c r="H529" s="559"/>
      <c r="I529" s="559"/>
      <c r="J529" s="559"/>
      <c r="K529" s="559"/>
      <c r="L529" s="559"/>
      <c r="M529" s="559"/>
      <c r="N529" s="559"/>
      <c r="O529" s="559"/>
      <c r="P529" s="559"/>
      <c r="Q529" s="559"/>
      <c r="R529" s="559"/>
      <c r="S529" s="559"/>
      <c r="T529" s="559"/>
      <c r="U529" s="559"/>
      <c r="V529" s="559"/>
      <c r="W529" s="559"/>
      <c r="X529" s="559"/>
      <c r="Y529" s="559"/>
      <c r="Z529" s="559"/>
    </row>
    <row r="530" spans="1:26" ht="18" customHeight="1" x14ac:dyDescent="0.35">
      <c r="A530" s="559"/>
      <c r="B530" s="559"/>
      <c r="C530" s="559"/>
      <c r="D530" s="559"/>
      <c r="E530" s="559"/>
      <c r="F530" s="559"/>
      <c r="G530" s="559"/>
      <c r="H530" s="559"/>
      <c r="I530" s="559"/>
      <c r="J530" s="559"/>
      <c r="K530" s="559"/>
      <c r="L530" s="559"/>
      <c r="M530" s="559"/>
      <c r="N530" s="559"/>
      <c r="O530" s="559"/>
      <c r="P530" s="559"/>
      <c r="Q530" s="559"/>
      <c r="R530" s="559"/>
      <c r="S530" s="559"/>
      <c r="T530" s="559"/>
      <c r="U530" s="559"/>
      <c r="V530" s="559"/>
      <c r="W530" s="559"/>
      <c r="X530" s="559"/>
      <c r="Y530" s="559"/>
      <c r="Z530" s="559"/>
    </row>
    <row r="531" spans="1:26" ht="18" customHeight="1" x14ac:dyDescent="0.35">
      <c r="A531" s="559"/>
      <c r="B531" s="559"/>
      <c r="C531" s="559"/>
      <c r="D531" s="559"/>
      <c r="E531" s="559"/>
      <c r="F531" s="559"/>
      <c r="G531" s="559"/>
      <c r="H531" s="559"/>
      <c r="I531" s="559"/>
      <c r="J531" s="559"/>
      <c r="K531" s="559"/>
      <c r="L531" s="559"/>
      <c r="M531" s="559"/>
      <c r="N531" s="559"/>
      <c r="O531" s="559"/>
      <c r="P531" s="559"/>
      <c r="Q531" s="559"/>
      <c r="R531" s="559"/>
      <c r="S531" s="559"/>
      <c r="T531" s="559"/>
      <c r="U531" s="559"/>
      <c r="V531" s="559"/>
      <c r="W531" s="559"/>
      <c r="X531" s="559"/>
      <c r="Y531" s="559"/>
      <c r="Z531" s="559"/>
    </row>
    <row r="532" spans="1:26" ht="18" customHeight="1" x14ac:dyDescent="0.35">
      <c r="A532" s="559"/>
      <c r="B532" s="559"/>
      <c r="C532" s="559"/>
      <c r="D532" s="559"/>
      <c r="E532" s="559"/>
      <c r="F532" s="559"/>
      <c r="G532" s="559"/>
      <c r="H532" s="559"/>
      <c r="I532" s="559"/>
      <c r="J532" s="559"/>
      <c r="K532" s="559"/>
      <c r="L532" s="559"/>
      <c r="M532" s="559"/>
      <c r="N532" s="559"/>
      <c r="O532" s="559"/>
      <c r="P532" s="559"/>
      <c r="Q532" s="559"/>
      <c r="R532" s="559"/>
      <c r="S532" s="559"/>
      <c r="T532" s="559"/>
      <c r="U532" s="559"/>
      <c r="V532" s="559"/>
      <c r="W532" s="559"/>
      <c r="X532" s="559"/>
      <c r="Y532" s="559"/>
      <c r="Z532" s="559"/>
    </row>
    <row r="533" spans="1:26" ht="18" customHeight="1" x14ac:dyDescent="0.35">
      <c r="A533" s="559"/>
      <c r="B533" s="559"/>
      <c r="C533" s="559"/>
      <c r="D533" s="559"/>
      <c r="E533" s="559"/>
      <c r="F533" s="559"/>
      <c r="G533" s="559"/>
      <c r="H533" s="559"/>
      <c r="I533" s="559"/>
      <c r="J533" s="559"/>
      <c r="K533" s="559"/>
      <c r="L533" s="559"/>
      <c r="M533" s="559"/>
      <c r="N533" s="559"/>
      <c r="O533" s="559"/>
      <c r="P533" s="559"/>
      <c r="Q533" s="559"/>
      <c r="R533" s="559"/>
      <c r="S533" s="559"/>
      <c r="T533" s="559"/>
      <c r="U533" s="559"/>
      <c r="V533" s="559"/>
      <c r="W533" s="559"/>
      <c r="X533" s="559"/>
      <c r="Y533" s="559"/>
      <c r="Z533" s="559"/>
    </row>
    <row r="534" spans="1:26" ht="18" customHeight="1" x14ac:dyDescent="0.35">
      <c r="A534" s="559"/>
      <c r="B534" s="559"/>
      <c r="C534" s="559"/>
      <c r="D534" s="559"/>
      <c r="E534" s="559"/>
      <c r="F534" s="559"/>
      <c r="G534" s="559"/>
      <c r="H534" s="559"/>
      <c r="I534" s="559"/>
      <c r="J534" s="559"/>
      <c r="K534" s="559"/>
      <c r="L534" s="559"/>
      <c r="M534" s="559"/>
      <c r="N534" s="559"/>
      <c r="O534" s="559"/>
      <c r="P534" s="559"/>
      <c r="Q534" s="559"/>
      <c r="R534" s="559"/>
      <c r="S534" s="559"/>
      <c r="T534" s="559"/>
      <c r="U534" s="559"/>
      <c r="V534" s="559"/>
      <c r="W534" s="559"/>
      <c r="X534" s="559"/>
      <c r="Y534" s="559"/>
      <c r="Z534" s="559"/>
    </row>
    <row r="535" spans="1:26" ht="18" customHeight="1" x14ac:dyDescent="0.35">
      <c r="A535" s="559"/>
      <c r="B535" s="559"/>
      <c r="C535" s="559"/>
      <c r="D535" s="559"/>
      <c r="E535" s="559"/>
      <c r="F535" s="559"/>
      <c r="G535" s="559"/>
      <c r="H535" s="559"/>
      <c r="I535" s="559"/>
      <c r="J535" s="559"/>
      <c r="K535" s="559"/>
      <c r="L535" s="559"/>
      <c r="M535" s="559"/>
      <c r="N535" s="559"/>
      <c r="O535" s="559"/>
      <c r="P535" s="559"/>
      <c r="Q535" s="559"/>
      <c r="R535" s="559"/>
      <c r="S535" s="559"/>
      <c r="T535" s="559"/>
      <c r="U535" s="559"/>
      <c r="V535" s="559"/>
      <c r="W535" s="559"/>
      <c r="X535" s="559"/>
      <c r="Y535" s="559"/>
      <c r="Z535" s="559"/>
    </row>
    <row r="536" spans="1:26" ht="18" customHeight="1" x14ac:dyDescent="0.35">
      <c r="A536" s="559"/>
      <c r="B536" s="559"/>
      <c r="C536" s="559"/>
      <c r="D536" s="559"/>
      <c r="E536" s="559"/>
      <c r="F536" s="559"/>
      <c r="G536" s="559"/>
      <c r="H536" s="559"/>
      <c r="I536" s="559"/>
      <c r="J536" s="559"/>
      <c r="K536" s="559"/>
      <c r="L536" s="559"/>
      <c r="M536" s="559"/>
      <c r="N536" s="559"/>
      <c r="O536" s="559"/>
      <c r="P536" s="559"/>
      <c r="Q536" s="559"/>
      <c r="R536" s="559"/>
      <c r="S536" s="559"/>
      <c r="T536" s="559"/>
      <c r="U536" s="559"/>
      <c r="V536" s="559"/>
      <c r="W536" s="559"/>
      <c r="X536" s="559"/>
      <c r="Y536" s="559"/>
      <c r="Z536" s="559"/>
    </row>
    <row r="537" spans="1:26" ht="18" customHeight="1" x14ac:dyDescent="0.35">
      <c r="A537" s="559"/>
      <c r="B537" s="559"/>
      <c r="C537" s="559"/>
      <c r="D537" s="559"/>
      <c r="E537" s="559"/>
      <c r="F537" s="559"/>
      <c r="G537" s="559"/>
      <c r="H537" s="559"/>
      <c r="I537" s="559"/>
      <c r="J537" s="559"/>
      <c r="K537" s="559"/>
      <c r="L537" s="559"/>
      <c r="M537" s="559"/>
      <c r="N537" s="559"/>
      <c r="O537" s="559"/>
      <c r="P537" s="559"/>
      <c r="Q537" s="559"/>
      <c r="R537" s="559"/>
      <c r="S537" s="559"/>
      <c r="T537" s="559"/>
      <c r="U537" s="559"/>
      <c r="V537" s="559"/>
      <c r="W537" s="559"/>
      <c r="X537" s="559"/>
      <c r="Y537" s="559"/>
      <c r="Z537" s="559"/>
    </row>
    <row r="538" spans="1:26" ht="18" customHeight="1" x14ac:dyDescent="0.35">
      <c r="A538" s="559"/>
      <c r="B538" s="559"/>
      <c r="C538" s="559"/>
      <c r="D538" s="559"/>
      <c r="E538" s="559"/>
      <c r="F538" s="559"/>
      <c r="G538" s="559"/>
      <c r="H538" s="559"/>
      <c r="I538" s="559"/>
      <c r="J538" s="559"/>
      <c r="K538" s="559"/>
      <c r="L538" s="559"/>
      <c r="M538" s="559"/>
      <c r="N538" s="559"/>
      <c r="O538" s="559"/>
      <c r="P538" s="559"/>
      <c r="Q538" s="559"/>
      <c r="R538" s="559"/>
      <c r="S538" s="559"/>
      <c r="T538" s="559"/>
      <c r="U538" s="559"/>
      <c r="V538" s="559"/>
      <c r="W538" s="559"/>
      <c r="X538" s="559"/>
      <c r="Y538" s="559"/>
      <c r="Z538" s="559"/>
    </row>
    <row r="539" spans="1:26" ht="18" customHeight="1" x14ac:dyDescent="0.35">
      <c r="A539" s="559"/>
      <c r="B539" s="559"/>
      <c r="C539" s="559"/>
      <c r="D539" s="559"/>
      <c r="E539" s="559"/>
      <c r="F539" s="559"/>
      <c r="G539" s="559"/>
      <c r="H539" s="559"/>
      <c r="I539" s="559"/>
      <c r="J539" s="559"/>
      <c r="K539" s="559"/>
      <c r="L539" s="559"/>
      <c r="M539" s="559"/>
      <c r="N539" s="559"/>
      <c r="O539" s="559"/>
      <c r="P539" s="559"/>
      <c r="Q539" s="559"/>
      <c r="R539" s="559"/>
      <c r="S539" s="559"/>
      <c r="T539" s="559"/>
      <c r="U539" s="559"/>
      <c r="V539" s="559"/>
      <c r="W539" s="559"/>
      <c r="X539" s="559"/>
      <c r="Y539" s="559"/>
      <c r="Z539" s="559"/>
    </row>
    <row r="540" spans="1:26" ht="18" customHeight="1" x14ac:dyDescent="0.35">
      <c r="A540" s="559"/>
      <c r="B540" s="559"/>
      <c r="C540" s="559"/>
      <c r="D540" s="559"/>
      <c r="E540" s="559"/>
      <c r="F540" s="559"/>
      <c r="G540" s="559"/>
      <c r="H540" s="559"/>
      <c r="I540" s="559"/>
      <c r="J540" s="559"/>
      <c r="K540" s="559"/>
      <c r="L540" s="559"/>
      <c r="M540" s="559"/>
      <c r="N540" s="559"/>
      <c r="O540" s="559"/>
      <c r="P540" s="559"/>
      <c r="Q540" s="559"/>
      <c r="R540" s="559"/>
      <c r="S540" s="559"/>
      <c r="T540" s="559"/>
      <c r="U540" s="559"/>
      <c r="V540" s="559"/>
      <c r="W540" s="559"/>
      <c r="X540" s="559"/>
      <c r="Y540" s="559"/>
      <c r="Z540" s="559"/>
    </row>
    <row r="541" spans="1:26" ht="18" customHeight="1" x14ac:dyDescent="0.35">
      <c r="A541" s="559"/>
      <c r="B541" s="559"/>
      <c r="C541" s="559"/>
      <c r="D541" s="559"/>
      <c r="E541" s="559"/>
      <c r="F541" s="559"/>
      <c r="G541" s="559"/>
      <c r="H541" s="559"/>
      <c r="I541" s="559"/>
      <c r="J541" s="559"/>
      <c r="K541" s="559"/>
      <c r="L541" s="559"/>
      <c r="M541" s="559"/>
      <c r="N541" s="559"/>
      <c r="O541" s="559"/>
      <c r="P541" s="559"/>
      <c r="Q541" s="559"/>
      <c r="R541" s="559"/>
      <c r="S541" s="559"/>
      <c r="T541" s="559"/>
      <c r="U541" s="559"/>
      <c r="V541" s="559"/>
      <c r="W541" s="559"/>
      <c r="X541" s="559"/>
      <c r="Y541" s="559"/>
      <c r="Z541" s="559"/>
    </row>
    <row r="542" spans="1:26" ht="18" customHeight="1" x14ac:dyDescent="0.35">
      <c r="A542" s="559"/>
      <c r="B542" s="559"/>
      <c r="C542" s="559"/>
      <c r="D542" s="559"/>
      <c r="E542" s="559"/>
      <c r="F542" s="559"/>
      <c r="G542" s="559"/>
      <c r="H542" s="559"/>
      <c r="I542" s="559"/>
      <c r="J542" s="559"/>
      <c r="K542" s="559"/>
      <c r="L542" s="559"/>
      <c r="M542" s="559"/>
      <c r="N542" s="559"/>
      <c r="O542" s="559"/>
      <c r="P542" s="559"/>
      <c r="Q542" s="559"/>
      <c r="R542" s="559"/>
      <c r="S542" s="559"/>
      <c r="T542" s="559"/>
      <c r="U542" s="559"/>
      <c r="V542" s="559"/>
      <c r="W542" s="559"/>
      <c r="X542" s="559"/>
      <c r="Y542" s="559"/>
      <c r="Z542" s="559"/>
    </row>
    <row r="543" spans="1:26" ht="18" customHeight="1" x14ac:dyDescent="0.35">
      <c r="A543" s="559"/>
      <c r="B543" s="559"/>
      <c r="C543" s="559"/>
      <c r="D543" s="559"/>
      <c r="E543" s="559"/>
      <c r="F543" s="559"/>
      <c r="G543" s="559"/>
      <c r="H543" s="559"/>
      <c r="I543" s="559"/>
      <c r="J543" s="559"/>
      <c r="K543" s="559"/>
      <c r="L543" s="559"/>
      <c r="M543" s="559"/>
      <c r="N543" s="559"/>
      <c r="O543" s="559"/>
      <c r="P543" s="559"/>
      <c r="Q543" s="559"/>
      <c r="R543" s="559"/>
      <c r="S543" s="559"/>
      <c r="T543" s="559"/>
      <c r="U543" s="559"/>
      <c r="V543" s="559"/>
      <c r="W543" s="559"/>
      <c r="X543" s="559"/>
      <c r="Y543" s="559"/>
      <c r="Z543" s="559"/>
    </row>
    <row r="544" spans="1:26" ht="18" customHeight="1" x14ac:dyDescent="0.35">
      <c r="A544" s="559"/>
      <c r="B544" s="559"/>
      <c r="C544" s="559"/>
      <c r="D544" s="559"/>
      <c r="E544" s="559"/>
      <c r="F544" s="559"/>
      <c r="G544" s="559"/>
      <c r="H544" s="559"/>
      <c r="I544" s="559"/>
      <c r="J544" s="559"/>
      <c r="K544" s="559"/>
      <c r="L544" s="559"/>
      <c r="M544" s="559"/>
      <c r="N544" s="559"/>
      <c r="O544" s="559"/>
      <c r="P544" s="559"/>
      <c r="Q544" s="559"/>
      <c r="R544" s="559"/>
      <c r="S544" s="559"/>
      <c r="T544" s="559"/>
      <c r="U544" s="559"/>
      <c r="V544" s="559"/>
      <c r="W544" s="559"/>
      <c r="X544" s="559"/>
      <c r="Y544" s="559"/>
      <c r="Z544" s="559"/>
    </row>
    <row r="545" spans="1:26" ht="18" customHeight="1" x14ac:dyDescent="0.35">
      <c r="A545" s="559"/>
      <c r="B545" s="559"/>
      <c r="C545" s="559"/>
      <c r="D545" s="559"/>
      <c r="E545" s="559"/>
      <c r="F545" s="559"/>
      <c r="G545" s="559"/>
      <c r="H545" s="559"/>
      <c r="I545" s="559"/>
      <c r="J545" s="559"/>
      <c r="K545" s="559"/>
      <c r="L545" s="559"/>
      <c r="M545" s="559"/>
      <c r="N545" s="559"/>
      <c r="O545" s="559"/>
      <c r="P545" s="559"/>
      <c r="Q545" s="559"/>
      <c r="R545" s="559"/>
      <c r="S545" s="559"/>
      <c r="T545" s="559"/>
      <c r="U545" s="559"/>
      <c r="V545" s="559"/>
      <c r="W545" s="559"/>
      <c r="X545" s="559"/>
      <c r="Y545" s="559"/>
      <c r="Z545" s="559"/>
    </row>
    <row r="546" spans="1:26" ht="18" customHeight="1" x14ac:dyDescent="0.35">
      <c r="A546" s="559"/>
      <c r="B546" s="559"/>
      <c r="C546" s="559"/>
      <c r="D546" s="559"/>
      <c r="E546" s="559"/>
      <c r="F546" s="559"/>
      <c r="G546" s="559"/>
      <c r="H546" s="559"/>
      <c r="I546" s="559"/>
      <c r="J546" s="559"/>
      <c r="K546" s="559"/>
      <c r="L546" s="559"/>
      <c r="M546" s="559"/>
      <c r="N546" s="559"/>
      <c r="O546" s="559"/>
      <c r="P546" s="559"/>
      <c r="Q546" s="559"/>
      <c r="R546" s="559"/>
      <c r="S546" s="559"/>
      <c r="T546" s="559"/>
      <c r="U546" s="559"/>
      <c r="V546" s="559"/>
      <c r="W546" s="559"/>
      <c r="X546" s="559"/>
      <c r="Y546" s="559"/>
      <c r="Z546" s="559"/>
    </row>
    <row r="547" spans="1:26" ht="18" customHeight="1" x14ac:dyDescent="0.35">
      <c r="A547" s="559"/>
      <c r="B547" s="559"/>
      <c r="C547" s="559"/>
      <c r="D547" s="559"/>
      <c r="E547" s="559"/>
      <c r="F547" s="559"/>
      <c r="G547" s="559"/>
      <c r="H547" s="559"/>
      <c r="I547" s="559"/>
      <c r="J547" s="559"/>
      <c r="K547" s="559"/>
      <c r="L547" s="559"/>
      <c r="M547" s="559"/>
      <c r="N547" s="559"/>
      <c r="O547" s="559"/>
      <c r="P547" s="559"/>
      <c r="Q547" s="559"/>
      <c r="R547" s="559"/>
      <c r="S547" s="559"/>
      <c r="T547" s="559"/>
      <c r="U547" s="559"/>
      <c r="V547" s="559"/>
      <c r="W547" s="559"/>
      <c r="X547" s="559"/>
      <c r="Y547" s="559"/>
      <c r="Z547" s="559"/>
    </row>
    <row r="548" spans="1:26" ht="18" customHeight="1" x14ac:dyDescent="0.35">
      <c r="A548" s="559"/>
      <c r="B548" s="559"/>
      <c r="C548" s="559"/>
      <c r="D548" s="559"/>
      <c r="E548" s="559"/>
      <c r="F548" s="559"/>
      <c r="G548" s="559"/>
      <c r="H548" s="559"/>
      <c r="I548" s="559"/>
      <c r="J548" s="559"/>
      <c r="K548" s="559"/>
      <c r="L548" s="559"/>
      <c r="M548" s="559"/>
      <c r="N548" s="559"/>
      <c r="O548" s="559"/>
      <c r="P548" s="559"/>
      <c r="Q548" s="559"/>
      <c r="R548" s="559"/>
      <c r="S548" s="559"/>
      <c r="T548" s="559"/>
      <c r="U548" s="559"/>
      <c r="V548" s="559"/>
      <c r="W548" s="559"/>
      <c r="X548" s="559"/>
      <c r="Y548" s="559"/>
      <c r="Z548" s="559"/>
    </row>
    <row r="549" spans="1:26" ht="18" customHeight="1" x14ac:dyDescent="0.35">
      <c r="A549" s="559"/>
      <c r="B549" s="559"/>
      <c r="C549" s="559"/>
      <c r="D549" s="559"/>
      <c r="E549" s="559"/>
      <c r="F549" s="559"/>
      <c r="G549" s="559"/>
      <c r="H549" s="559"/>
      <c r="I549" s="559"/>
      <c r="J549" s="559"/>
      <c r="K549" s="559"/>
      <c r="L549" s="559"/>
      <c r="M549" s="559"/>
      <c r="N549" s="559"/>
      <c r="O549" s="559"/>
      <c r="P549" s="559"/>
      <c r="Q549" s="559"/>
      <c r="R549" s="559"/>
      <c r="S549" s="559"/>
      <c r="T549" s="559"/>
      <c r="U549" s="559"/>
      <c r="V549" s="559"/>
      <c r="W549" s="559"/>
      <c r="X549" s="559"/>
      <c r="Y549" s="559"/>
      <c r="Z549" s="559"/>
    </row>
    <row r="550" spans="1:26" ht="18" customHeight="1" x14ac:dyDescent="0.35">
      <c r="A550" s="559"/>
      <c r="B550" s="559"/>
      <c r="C550" s="559"/>
      <c r="D550" s="559"/>
      <c r="E550" s="559"/>
      <c r="F550" s="559"/>
      <c r="G550" s="559"/>
      <c r="H550" s="559"/>
      <c r="I550" s="559"/>
      <c r="J550" s="559"/>
      <c r="K550" s="559"/>
      <c r="L550" s="559"/>
      <c r="M550" s="559"/>
      <c r="N550" s="559"/>
      <c r="O550" s="559"/>
      <c r="P550" s="559"/>
      <c r="Q550" s="559"/>
      <c r="R550" s="559"/>
      <c r="S550" s="559"/>
      <c r="T550" s="559"/>
      <c r="U550" s="559"/>
      <c r="V550" s="559"/>
      <c r="W550" s="559"/>
      <c r="X550" s="559"/>
      <c r="Y550" s="559"/>
      <c r="Z550" s="559"/>
    </row>
    <row r="551" spans="1:26" ht="18" customHeight="1" x14ac:dyDescent="0.35">
      <c r="A551" s="559"/>
      <c r="B551" s="559"/>
      <c r="C551" s="559"/>
      <c r="D551" s="559"/>
      <c r="E551" s="559"/>
      <c r="F551" s="559"/>
      <c r="G551" s="559"/>
      <c r="H551" s="559"/>
      <c r="I551" s="559"/>
      <c r="J551" s="559"/>
      <c r="K551" s="559"/>
      <c r="L551" s="559"/>
      <c r="M551" s="559"/>
      <c r="N551" s="559"/>
      <c r="O551" s="559"/>
      <c r="P551" s="559"/>
      <c r="Q551" s="559"/>
      <c r="R551" s="559"/>
      <c r="S551" s="559"/>
      <c r="T551" s="559"/>
      <c r="U551" s="559"/>
      <c r="V551" s="559"/>
      <c r="W551" s="559"/>
      <c r="X551" s="559"/>
      <c r="Y551" s="559"/>
      <c r="Z551" s="559"/>
    </row>
    <row r="552" spans="1:26" ht="18" customHeight="1" x14ac:dyDescent="0.35">
      <c r="A552" s="559"/>
      <c r="B552" s="559"/>
      <c r="C552" s="559"/>
      <c r="D552" s="559"/>
      <c r="E552" s="559"/>
      <c r="F552" s="559"/>
      <c r="G552" s="559"/>
      <c r="H552" s="559"/>
      <c r="I552" s="559"/>
      <c r="J552" s="559"/>
      <c r="K552" s="559"/>
      <c r="L552" s="559"/>
      <c r="M552" s="559"/>
      <c r="N552" s="559"/>
      <c r="O552" s="559"/>
      <c r="P552" s="559"/>
      <c r="Q552" s="559"/>
      <c r="R552" s="559"/>
      <c r="S552" s="559"/>
      <c r="T552" s="559"/>
      <c r="U552" s="559"/>
      <c r="V552" s="559"/>
      <c r="W552" s="559"/>
      <c r="X552" s="559"/>
      <c r="Y552" s="559"/>
      <c r="Z552" s="559"/>
    </row>
    <row r="553" spans="1:26" ht="18" customHeight="1" x14ac:dyDescent="0.35">
      <c r="A553" s="559"/>
      <c r="B553" s="559"/>
      <c r="C553" s="559"/>
      <c r="D553" s="559"/>
      <c r="E553" s="559"/>
      <c r="F553" s="559"/>
      <c r="G553" s="559"/>
      <c r="H553" s="559"/>
      <c r="I553" s="559"/>
      <c r="J553" s="559"/>
      <c r="K553" s="559"/>
      <c r="L553" s="559"/>
      <c r="M553" s="559"/>
      <c r="N553" s="559"/>
      <c r="O553" s="559"/>
      <c r="P553" s="559"/>
      <c r="Q553" s="559"/>
      <c r="R553" s="559"/>
      <c r="S553" s="559"/>
      <c r="T553" s="559"/>
      <c r="U553" s="559"/>
      <c r="V553" s="559"/>
      <c r="W553" s="559"/>
      <c r="X553" s="559"/>
      <c r="Y553" s="559"/>
      <c r="Z553" s="559"/>
    </row>
    <row r="554" spans="1:26" ht="18" customHeight="1" x14ac:dyDescent="0.35">
      <c r="A554" s="559"/>
      <c r="B554" s="559"/>
      <c r="C554" s="559"/>
      <c r="D554" s="559"/>
      <c r="E554" s="559"/>
      <c r="F554" s="559"/>
      <c r="G554" s="559"/>
      <c r="H554" s="559"/>
      <c r="I554" s="559"/>
      <c r="J554" s="559"/>
      <c r="K554" s="559"/>
      <c r="L554" s="559"/>
      <c r="M554" s="559"/>
      <c r="N554" s="559"/>
      <c r="O554" s="559"/>
      <c r="P554" s="559"/>
      <c r="Q554" s="559"/>
      <c r="R554" s="559"/>
      <c r="S554" s="559"/>
      <c r="T554" s="559"/>
      <c r="U554" s="559"/>
      <c r="V554" s="559"/>
      <c r="W554" s="559"/>
      <c r="X554" s="559"/>
      <c r="Y554" s="559"/>
      <c r="Z554" s="559"/>
    </row>
    <row r="555" spans="1:26" ht="18" customHeight="1" x14ac:dyDescent="0.35">
      <c r="A555" s="559"/>
      <c r="B555" s="559"/>
      <c r="C555" s="559"/>
      <c r="D555" s="559"/>
      <c r="E555" s="559"/>
      <c r="F555" s="559"/>
      <c r="G555" s="559"/>
      <c r="H555" s="559"/>
      <c r="I555" s="559"/>
      <c r="J555" s="559"/>
      <c r="K555" s="559"/>
      <c r="L555" s="559"/>
      <c r="M555" s="559"/>
      <c r="N555" s="559"/>
      <c r="O555" s="559"/>
      <c r="P555" s="559"/>
      <c r="Q555" s="559"/>
      <c r="R555" s="559"/>
      <c r="S555" s="559"/>
      <c r="T555" s="559"/>
      <c r="U555" s="559"/>
      <c r="V555" s="559"/>
      <c r="W555" s="559"/>
      <c r="X555" s="559"/>
      <c r="Y555" s="559"/>
      <c r="Z555" s="559"/>
    </row>
    <row r="556" spans="1:26" ht="18" customHeight="1" x14ac:dyDescent="0.35">
      <c r="A556" s="559"/>
      <c r="B556" s="559"/>
      <c r="C556" s="559"/>
      <c r="D556" s="559"/>
      <c r="E556" s="559"/>
      <c r="F556" s="559"/>
      <c r="G556" s="559"/>
      <c r="H556" s="559"/>
      <c r="I556" s="559"/>
      <c r="J556" s="559"/>
      <c r="K556" s="559"/>
      <c r="L556" s="559"/>
      <c r="M556" s="559"/>
      <c r="N556" s="559"/>
      <c r="O556" s="559"/>
      <c r="P556" s="559"/>
      <c r="Q556" s="559"/>
      <c r="R556" s="559"/>
      <c r="S556" s="559"/>
      <c r="T556" s="559"/>
      <c r="U556" s="559"/>
      <c r="V556" s="559"/>
      <c r="W556" s="559"/>
      <c r="X556" s="559"/>
      <c r="Y556" s="559"/>
      <c r="Z556" s="559"/>
    </row>
    <row r="557" spans="1:26" ht="18" customHeight="1" x14ac:dyDescent="0.35">
      <c r="A557" s="559"/>
      <c r="B557" s="559"/>
      <c r="C557" s="559"/>
      <c r="D557" s="559"/>
      <c r="E557" s="559"/>
      <c r="F557" s="559"/>
      <c r="G557" s="559"/>
      <c r="H557" s="559"/>
      <c r="I557" s="559"/>
      <c r="J557" s="559"/>
      <c r="K557" s="559"/>
      <c r="L557" s="559"/>
      <c r="M557" s="559"/>
      <c r="N557" s="559"/>
      <c r="O557" s="559"/>
      <c r="P557" s="559"/>
      <c r="Q557" s="559"/>
      <c r="R557" s="559"/>
      <c r="S557" s="559"/>
      <c r="T557" s="559"/>
      <c r="U557" s="559"/>
      <c r="V557" s="559"/>
      <c r="W557" s="559"/>
      <c r="X557" s="559"/>
      <c r="Y557" s="559"/>
      <c r="Z557" s="559"/>
    </row>
    <row r="558" spans="1:26" ht="18" customHeight="1" x14ac:dyDescent="0.35">
      <c r="A558" s="559"/>
      <c r="B558" s="559"/>
      <c r="C558" s="559"/>
      <c r="D558" s="559"/>
      <c r="E558" s="559"/>
      <c r="F558" s="559"/>
      <c r="G558" s="559"/>
      <c r="H558" s="559"/>
      <c r="I558" s="559"/>
      <c r="J558" s="559"/>
      <c r="K558" s="559"/>
      <c r="L558" s="559"/>
      <c r="M558" s="559"/>
      <c r="N558" s="559"/>
      <c r="O558" s="559"/>
      <c r="P558" s="559"/>
      <c r="Q558" s="559"/>
      <c r="R558" s="559"/>
      <c r="S558" s="559"/>
      <c r="T558" s="559"/>
      <c r="U558" s="559"/>
      <c r="V558" s="559"/>
      <c r="W558" s="559"/>
      <c r="X558" s="559"/>
      <c r="Y558" s="559"/>
      <c r="Z558" s="559"/>
    </row>
    <row r="559" spans="1:26" ht="18" customHeight="1" x14ac:dyDescent="0.35">
      <c r="A559" s="559"/>
      <c r="B559" s="559"/>
      <c r="C559" s="559"/>
      <c r="D559" s="559"/>
      <c r="E559" s="559"/>
      <c r="F559" s="559"/>
      <c r="G559" s="559"/>
      <c r="H559" s="559"/>
      <c r="I559" s="559"/>
      <c r="J559" s="559"/>
      <c r="K559" s="559"/>
      <c r="L559" s="559"/>
      <c r="M559" s="559"/>
      <c r="N559" s="559"/>
      <c r="O559" s="559"/>
      <c r="P559" s="559"/>
      <c r="Q559" s="559"/>
      <c r="R559" s="559"/>
      <c r="S559" s="559"/>
      <c r="T559" s="559"/>
      <c r="U559" s="559"/>
      <c r="V559" s="559"/>
      <c r="W559" s="559"/>
      <c r="X559" s="559"/>
      <c r="Y559" s="559"/>
      <c r="Z559" s="559"/>
    </row>
    <row r="560" spans="1:26" ht="18" customHeight="1" x14ac:dyDescent="0.35">
      <c r="A560" s="559"/>
      <c r="B560" s="559"/>
      <c r="C560" s="559"/>
      <c r="D560" s="559"/>
      <c r="E560" s="559"/>
      <c r="F560" s="559"/>
      <c r="G560" s="559"/>
      <c r="H560" s="559"/>
      <c r="I560" s="559"/>
      <c r="J560" s="559"/>
      <c r="K560" s="559"/>
      <c r="L560" s="559"/>
      <c r="M560" s="559"/>
      <c r="N560" s="559"/>
      <c r="O560" s="559"/>
      <c r="P560" s="559"/>
      <c r="Q560" s="559"/>
      <c r="R560" s="559"/>
      <c r="S560" s="559"/>
      <c r="T560" s="559"/>
      <c r="U560" s="559"/>
      <c r="V560" s="559"/>
      <c r="W560" s="559"/>
      <c r="X560" s="559"/>
      <c r="Y560" s="559"/>
      <c r="Z560" s="559"/>
    </row>
    <row r="561" spans="1:26" ht="18" customHeight="1" x14ac:dyDescent="0.35">
      <c r="A561" s="559"/>
      <c r="B561" s="559"/>
      <c r="C561" s="559"/>
      <c r="D561" s="559"/>
      <c r="E561" s="559"/>
      <c r="F561" s="559"/>
      <c r="G561" s="559"/>
      <c r="H561" s="559"/>
      <c r="I561" s="559"/>
      <c r="J561" s="559"/>
      <c r="K561" s="559"/>
      <c r="L561" s="559"/>
      <c r="M561" s="559"/>
      <c r="N561" s="559"/>
      <c r="O561" s="559"/>
      <c r="P561" s="559"/>
      <c r="Q561" s="559"/>
      <c r="R561" s="559"/>
      <c r="S561" s="559"/>
      <c r="T561" s="559"/>
      <c r="U561" s="559"/>
      <c r="V561" s="559"/>
      <c r="W561" s="559"/>
      <c r="X561" s="559"/>
      <c r="Y561" s="559"/>
      <c r="Z561" s="559"/>
    </row>
    <row r="562" spans="1:26" ht="18" customHeight="1" x14ac:dyDescent="0.35">
      <c r="A562" s="559"/>
      <c r="B562" s="559"/>
      <c r="C562" s="559"/>
      <c r="D562" s="559"/>
      <c r="E562" s="559"/>
      <c r="F562" s="559"/>
      <c r="G562" s="559"/>
      <c r="H562" s="559"/>
      <c r="I562" s="559"/>
      <c r="J562" s="559"/>
      <c r="K562" s="559"/>
      <c r="L562" s="559"/>
      <c r="M562" s="559"/>
      <c r="N562" s="559"/>
      <c r="O562" s="559"/>
      <c r="P562" s="559"/>
      <c r="Q562" s="559"/>
      <c r="R562" s="559"/>
      <c r="S562" s="559"/>
      <c r="T562" s="559"/>
      <c r="U562" s="559"/>
      <c r="V562" s="559"/>
      <c r="W562" s="559"/>
      <c r="X562" s="559"/>
      <c r="Y562" s="559"/>
      <c r="Z562" s="559"/>
    </row>
    <row r="563" spans="1:26" ht="18" customHeight="1" x14ac:dyDescent="0.35">
      <c r="A563" s="559"/>
      <c r="B563" s="559"/>
      <c r="C563" s="559"/>
      <c r="D563" s="559"/>
      <c r="E563" s="559"/>
      <c r="F563" s="559"/>
      <c r="G563" s="559"/>
      <c r="H563" s="559"/>
      <c r="I563" s="559"/>
      <c r="J563" s="559"/>
      <c r="K563" s="559"/>
      <c r="L563" s="559"/>
      <c r="M563" s="559"/>
      <c r="N563" s="559"/>
      <c r="O563" s="559"/>
      <c r="P563" s="559"/>
      <c r="Q563" s="559"/>
      <c r="R563" s="559"/>
      <c r="S563" s="559"/>
      <c r="T563" s="559"/>
      <c r="U563" s="559"/>
      <c r="V563" s="559"/>
      <c r="W563" s="559"/>
      <c r="X563" s="559"/>
      <c r="Y563" s="559"/>
      <c r="Z563" s="559"/>
    </row>
    <row r="564" spans="1:26" ht="18" customHeight="1" x14ac:dyDescent="0.35">
      <c r="A564" s="559"/>
      <c r="B564" s="559"/>
      <c r="C564" s="559"/>
      <c r="D564" s="559"/>
      <c r="E564" s="559"/>
      <c r="F564" s="559"/>
      <c r="G564" s="559"/>
      <c r="H564" s="559"/>
      <c r="I564" s="559"/>
      <c r="J564" s="559"/>
      <c r="K564" s="559"/>
      <c r="L564" s="559"/>
      <c r="M564" s="559"/>
      <c r="N564" s="559"/>
      <c r="O564" s="559"/>
      <c r="P564" s="559"/>
      <c r="Q564" s="559"/>
      <c r="R564" s="559"/>
      <c r="S564" s="559"/>
      <c r="T564" s="559"/>
      <c r="U564" s="559"/>
      <c r="V564" s="559"/>
      <c r="W564" s="559"/>
      <c r="X564" s="559"/>
      <c r="Y564" s="559"/>
      <c r="Z564" s="559"/>
    </row>
    <row r="565" spans="1:26" ht="18" customHeight="1" x14ac:dyDescent="0.35">
      <c r="A565" s="559"/>
      <c r="B565" s="559"/>
      <c r="C565" s="559"/>
      <c r="D565" s="559"/>
      <c r="E565" s="559"/>
      <c r="F565" s="559"/>
      <c r="G565" s="559"/>
      <c r="H565" s="559"/>
      <c r="I565" s="559"/>
      <c r="J565" s="559"/>
      <c r="K565" s="559"/>
      <c r="L565" s="559"/>
      <c r="M565" s="559"/>
      <c r="N565" s="559"/>
      <c r="O565" s="559"/>
      <c r="P565" s="559"/>
      <c r="Q565" s="559"/>
      <c r="R565" s="559"/>
      <c r="S565" s="559"/>
      <c r="T565" s="559"/>
      <c r="U565" s="559"/>
      <c r="V565" s="559"/>
      <c r="W565" s="559"/>
      <c r="X565" s="559"/>
      <c r="Y565" s="559"/>
      <c r="Z565" s="559"/>
    </row>
    <row r="566" spans="1:26" ht="18" customHeight="1" x14ac:dyDescent="0.35">
      <c r="A566" s="559"/>
      <c r="B566" s="559"/>
      <c r="C566" s="559"/>
      <c r="D566" s="559"/>
      <c r="E566" s="559"/>
      <c r="F566" s="559"/>
      <c r="G566" s="559"/>
      <c r="H566" s="559"/>
      <c r="I566" s="559"/>
      <c r="J566" s="559"/>
      <c r="K566" s="559"/>
      <c r="L566" s="559"/>
      <c r="M566" s="559"/>
      <c r="N566" s="559"/>
      <c r="O566" s="559"/>
      <c r="P566" s="559"/>
      <c r="Q566" s="559"/>
      <c r="R566" s="559"/>
      <c r="S566" s="559"/>
      <c r="T566" s="559"/>
      <c r="U566" s="559"/>
      <c r="V566" s="559"/>
      <c r="W566" s="559"/>
      <c r="X566" s="559"/>
      <c r="Y566" s="559"/>
      <c r="Z566" s="559"/>
    </row>
    <row r="567" spans="1:26" ht="18" customHeight="1" x14ac:dyDescent="0.35">
      <c r="A567" s="559"/>
      <c r="B567" s="559"/>
      <c r="C567" s="559"/>
      <c r="D567" s="559"/>
      <c r="E567" s="559"/>
      <c r="F567" s="559"/>
      <c r="G567" s="559"/>
      <c r="H567" s="559"/>
      <c r="I567" s="559"/>
      <c r="J567" s="559"/>
      <c r="K567" s="559"/>
      <c r="L567" s="559"/>
      <c r="M567" s="559"/>
      <c r="N567" s="559"/>
      <c r="O567" s="559"/>
      <c r="P567" s="559"/>
      <c r="Q567" s="559"/>
      <c r="R567" s="559"/>
      <c r="S567" s="559"/>
      <c r="T567" s="559"/>
      <c r="U567" s="559"/>
      <c r="V567" s="559"/>
      <c r="W567" s="559"/>
      <c r="X567" s="559"/>
      <c r="Y567" s="559"/>
      <c r="Z567" s="559"/>
    </row>
    <row r="568" spans="1:26" ht="18" customHeight="1" x14ac:dyDescent="0.35">
      <c r="A568" s="559"/>
      <c r="B568" s="559"/>
      <c r="C568" s="559"/>
      <c r="D568" s="559"/>
      <c r="E568" s="559"/>
      <c r="F568" s="559"/>
      <c r="G568" s="559"/>
      <c r="H568" s="559"/>
      <c r="I568" s="559"/>
      <c r="J568" s="559"/>
      <c r="K568" s="559"/>
      <c r="L568" s="559"/>
      <c r="M568" s="559"/>
      <c r="N568" s="559"/>
      <c r="O568" s="559"/>
      <c r="P568" s="559"/>
      <c r="Q568" s="559"/>
      <c r="R568" s="559"/>
      <c r="S568" s="559"/>
      <c r="T568" s="559"/>
      <c r="U568" s="559"/>
      <c r="V568" s="559"/>
      <c r="W568" s="559"/>
      <c r="X568" s="559"/>
      <c r="Y568" s="559"/>
      <c r="Z568" s="559"/>
    </row>
    <row r="569" spans="1:26" ht="18" customHeight="1" x14ac:dyDescent="0.35">
      <c r="A569" s="559"/>
      <c r="B569" s="559"/>
      <c r="C569" s="559"/>
      <c r="D569" s="559"/>
      <c r="E569" s="559"/>
      <c r="F569" s="559"/>
      <c r="G569" s="559"/>
      <c r="H569" s="559"/>
      <c r="I569" s="559"/>
      <c r="J569" s="559"/>
      <c r="K569" s="559"/>
      <c r="L569" s="559"/>
      <c r="M569" s="559"/>
      <c r="N569" s="559"/>
      <c r="O569" s="559"/>
      <c r="P569" s="559"/>
      <c r="Q569" s="559"/>
      <c r="R569" s="559"/>
      <c r="S569" s="559"/>
      <c r="T569" s="559"/>
      <c r="U569" s="559"/>
      <c r="V569" s="559"/>
      <c r="W569" s="559"/>
      <c r="X569" s="559"/>
      <c r="Y569" s="559"/>
      <c r="Z569" s="559"/>
    </row>
    <row r="570" spans="1:26" ht="18" customHeight="1" x14ac:dyDescent="0.35">
      <c r="A570" s="559"/>
      <c r="B570" s="559"/>
      <c r="C570" s="559"/>
      <c r="D570" s="559"/>
      <c r="E570" s="559"/>
      <c r="F570" s="559"/>
      <c r="G570" s="559"/>
      <c r="H570" s="559"/>
      <c r="I570" s="559"/>
      <c r="J570" s="559"/>
      <c r="K570" s="559"/>
      <c r="L570" s="559"/>
      <c r="M570" s="559"/>
      <c r="N570" s="559"/>
      <c r="O570" s="559"/>
      <c r="P570" s="559"/>
      <c r="Q570" s="559"/>
      <c r="R570" s="559"/>
      <c r="S570" s="559"/>
      <c r="T570" s="559"/>
      <c r="U570" s="559"/>
      <c r="V570" s="559"/>
      <c r="W570" s="559"/>
      <c r="X570" s="559"/>
      <c r="Y570" s="559"/>
      <c r="Z570" s="559"/>
    </row>
    <row r="571" spans="1:26" ht="18" customHeight="1" x14ac:dyDescent="0.35">
      <c r="A571" s="559"/>
      <c r="B571" s="559"/>
      <c r="C571" s="559"/>
      <c r="D571" s="559"/>
      <c r="E571" s="559"/>
      <c r="F571" s="559"/>
      <c r="G571" s="559"/>
      <c r="H571" s="559"/>
      <c r="I571" s="559"/>
      <c r="J571" s="559"/>
      <c r="K571" s="559"/>
      <c r="L571" s="559"/>
      <c r="M571" s="559"/>
      <c r="N571" s="559"/>
      <c r="O571" s="559"/>
      <c r="P571" s="559"/>
      <c r="Q571" s="559"/>
      <c r="R571" s="559"/>
      <c r="S571" s="559"/>
      <c r="T571" s="559"/>
      <c r="U571" s="559"/>
      <c r="V571" s="559"/>
      <c r="W571" s="559"/>
      <c r="X571" s="559"/>
      <c r="Y571" s="559"/>
      <c r="Z571" s="559"/>
    </row>
    <row r="572" spans="1:26" ht="18" customHeight="1" x14ac:dyDescent="0.35">
      <c r="A572" s="559"/>
      <c r="B572" s="559"/>
      <c r="C572" s="559"/>
      <c r="D572" s="559"/>
      <c r="E572" s="559"/>
      <c r="F572" s="559"/>
      <c r="G572" s="559"/>
      <c r="H572" s="559"/>
      <c r="I572" s="559"/>
      <c r="J572" s="559"/>
      <c r="K572" s="559"/>
      <c r="L572" s="559"/>
      <c r="M572" s="559"/>
      <c r="N572" s="559"/>
      <c r="O572" s="559"/>
      <c r="P572" s="559"/>
      <c r="Q572" s="559"/>
      <c r="R572" s="559"/>
      <c r="S572" s="559"/>
      <c r="T572" s="559"/>
      <c r="U572" s="559"/>
      <c r="V572" s="559"/>
      <c r="W572" s="559"/>
      <c r="X572" s="559"/>
      <c r="Y572" s="559"/>
      <c r="Z572" s="559"/>
    </row>
    <row r="573" spans="1:26" ht="18" customHeight="1" x14ac:dyDescent="0.35">
      <c r="A573" s="559"/>
      <c r="B573" s="559"/>
      <c r="C573" s="559"/>
      <c r="D573" s="559"/>
      <c r="E573" s="559"/>
      <c r="F573" s="559"/>
      <c r="G573" s="559"/>
      <c r="H573" s="559"/>
      <c r="I573" s="559"/>
      <c r="J573" s="559"/>
      <c r="K573" s="559"/>
      <c r="L573" s="559"/>
      <c r="M573" s="559"/>
      <c r="N573" s="559"/>
      <c r="O573" s="559"/>
      <c r="P573" s="559"/>
      <c r="Q573" s="559"/>
      <c r="R573" s="559"/>
      <c r="S573" s="559"/>
      <c r="T573" s="559"/>
      <c r="U573" s="559"/>
      <c r="V573" s="559"/>
      <c r="W573" s="559"/>
      <c r="X573" s="559"/>
      <c r="Y573" s="559"/>
      <c r="Z573" s="559"/>
    </row>
    <row r="574" spans="1:26" ht="18" customHeight="1" x14ac:dyDescent="0.35">
      <c r="A574" s="559"/>
      <c r="B574" s="559"/>
      <c r="C574" s="559"/>
      <c r="D574" s="559"/>
      <c r="E574" s="559"/>
      <c r="F574" s="559"/>
      <c r="G574" s="559"/>
      <c r="H574" s="559"/>
      <c r="I574" s="559"/>
      <c r="J574" s="559"/>
      <c r="K574" s="559"/>
      <c r="L574" s="559"/>
      <c r="M574" s="559"/>
      <c r="N574" s="559"/>
      <c r="O574" s="559"/>
      <c r="P574" s="559"/>
      <c r="Q574" s="559"/>
      <c r="R574" s="559"/>
      <c r="S574" s="559"/>
      <c r="T574" s="559"/>
      <c r="U574" s="559"/>
      <c r="V574" s="559"/>
      <c r="W574" s="559"/>
      <c r="X574" s="559"/>
      <c r="Y574" s="559"/>
      <c r="Z574" s="559"/>
    </row>
    <row r="575" spans="1:26" ht="18" customHeight="1" x14ac:dyDescent="0.35">
      <c r="A575" s="559"/>
      <c r="B575" s="559"/>
      <c r="C575" s="559"/>
      <c r="D575" s="559"/>
      <c r="E575" s="559"/>
      <c r="F575" s="559"/>
      <c r="G575" s="559"/>
      <c r="H575" s="559"/>
      <c r="I575" s="559"/>
      <c r="J575" s="559"/>
      <c r="K575" s="559"/>
      <c r="L575" s="559"/>
      <c r="M575" s="559"/>
      <c r="N575" s="559"/>
      <c r="O575" s="559"/>
      <c r="P575" s="559"/>
      <c r="Q575" s="559"/>
      <c r="R575" s="559"/>
      <c r="S575" s="559"/>
      <c r="T575" s="559"/>
      <c r="U575" s="559"/>
      <c r="V575" s="559"/>
      <c r="W575" s="559"/>
      <c r="X575" s="559"/>
      <c r="Y575" s="559"/>
      <c r="Z575" s="559"/>
    </row>
    <row r="576" spans="1:26" ht="18" customHeight="1" x14ac:dyDescent="0.35">
      <c r="A576" s="559"/>
      <c r="B576" s="559"/>
      <c r="C576" s="559"/>
      <c r="D576" s="559"/>
      <c r="E576" s="559"/>
      <c r="F576" s="559"/>
      <c r="G576" s="559"/>
      <c r="H576" s="559"/>
      <c r="I576" s="559"/>
      <c r="J576" s="559"/>
      <c r="K576" s="559"/>
      <c r="L576" s="559"/>
      <c r="M576" s="559"/>
      <c r="N576" s="559"/>
      <c r="O576" s="559"/>
      <c r="P576" s="559"/>
      <c r="Q576" s="559"/>
      <c r="R576" s="559"/>
      <c r="S576" s="559"/>
      <c r="T576" s="559"/>
      <c r="U576" s="559"/>
      <c r="V576" s="559"/>
      <c r="W576" s="559"/>
      <c r="X576" s="559"/>
      <c r="Y576" s="559"/>
      <c r="Z576" s="559"/>
    </row>
    <row r="577" spans="1:26" ht="18" customHeight="1" x14ac:dyDescent="0.35">
      <c r="A577" s="559"/>
      <c r="B577" s="559"/>
      <c r="C577" s="559"/>
      <c r="D577" s="559"/>
      <c r="E577" s="559"/>
      <c r="F577" s="559"/>
      <c r="G577" s="559"/>
      <c r="H577" s="559"/>
      <c r="I577" s="559"/>
      <c r="J577" s="559"/>
      <c r="K577" s="559"/>
      <c r="L577" s="559"/>
      <c r="M577" s="559"/>
      <c r="N577" s="559"/>
      <c r="O577" s="559"/>
      <c r="P577" s="559"/>
      <c r="Q577" s="559"/>
      <c r="R577" s="559"/>
      <c r="S577" s="559"/>
      <c r="T577" s="559"/>
      <c r="U577" s="559"/>
      <c r="V577" s="559"/>
      <c r="W577" s="559"/>
      <c r="X577" s="559"/>
      <c r="Y577" s="559"/>
      <c r="Z577" s="559"/>
    </row>
    <row r="578" spans="1:26" ht="18" customHeight="1" x14ac:dyDescent="0.35">
      <c r="A578" s="559"/>
      <c r="B578" s="559"/>
      <c r="C578" s="559"/>
      <c r="D578" s="559"/>
      <c r="E578" s="559"/>
      <c r="F578" s="559"/>
      <c r="G578" s="559"/>
      <c r="H578" s="559"/>
      <c r="I578" s="559"/>
      <c r="J578" s="559"/>
      <c r="K578" s="559"/>
      <c r="L578" s="559"/>
      <c r="M578" s="559"/>
      <c r="N578" s="559"/>
      <c r="O578" s="559"/>
      <c r="P578" s="559"/>
      <c r="Q578" s="559"/>
      <c r="R578" s="559"/>
      <c r="S578" s="559"/>
      <c r="T578" s="559"/>
      <c r="U578" s="559"/>
      <c r="V578" s="559"/>
      <c r="W578" s="559"/>
      <c r="X578" s="559"/>
      <c r="Y578" s="559"/>
      <c r="Z578" s="559"/>
    </row>
    <row r="579" spans="1:26" ht="18" customHeight="1" x14ac:dyDescent="0.35">
      <c r="A579" s="559"/>
      <c r="B579" s="559"/>
      <c r="C579" s="559"/>
      <c r="D579" s="559"/>
      <c r="E579" s="559"/>
      <c r="F579" s="559"/>
      <c r="G579" s="559"/>
      <c r="H579" s="559"/>
      <c r="I579" s="559"/>
      <c r="J579" s="559"/>
      <c r="K579" s="559"/>
      <c r="L579" s="559"/>
      <c r="M579" s="559"/>
      <c r="N579" s="559"/>
      <c r="O579" s="559"/>
      <c r="P579" s="559"/>
      <c r="Q579" s="559"/>
      <c r="R579" s="559"/>
      <c r="S579" s="559"/>
      <c r="T579" s="559"/>
      <c r="U579" s="559"/>
      <c r="V579" s="559"/>
      <c r="W579" s="559"/>
      <c r="X579" s="559"/>
      <c r="Y579" s="559"/>
      <c r="Z579" s="559"/>
    </row>
    <row r="580" spans="1:26" ht="18" customHeight="1" x14ac:dyDescent="0.35">
      <c r="A580" s="559"/>
      <c r="B580" s="559"/>
      <c r="C580" s="559"/>
      <c r="D580" s="559"/>
      <c r="E580" s="559"/>
      <c r="F580" s="559"/>
      <c r="G580" s="559"/>
      <c r="H580" s="559"/>
      <c r="I580" s="559"/>
      <c r="J580" s="559"/>
      <c r="K580" s="559"/>
      <c r="L580" s="559"/>
      <c r="M580" s="559"/>
      <c r="N580" s="559"/>
      <c r="O580" s="559"/>
      <c r="P580" s="559"/>
      <c r="Q580" s="559"/>
      <c r="R580" s="559"/>
      <c r="S580" s="559"/>
      <c r="T580" s="559"/>
      <c r="U580" s="559"/>
      <c r="V580" s="559"/>
      <c r="W580" s="559"/>
      <c r="X580" s="559"/>
      <c r="Y580" s="559"/>
      <c r="Z580" s="559"/>
    </row>
    <row r="581" spans="1:26" ht="18" customHeight="1" x14ac:dyDescent="0.35">
      <c r="A581" s="559"/>
      <c r="B581" s="559"/>
      <c r="C581" s="559"/>
      <c r="D581" s="559"/>
      <c r="E581" s="559"/>
      <c r="F581" s="559"/>
      <c r="G581" s="559"/>
      <c r="H581" s="559"/>
      <c r="I581" s="559"/>
      <c r="J581" s="559"/>
      <c r="K581" s="559"/>
      <c r="L581" s="559"/>
      <c r="M581" s="559"/>
      <c r="N581" s="559"/>
      <c r="O581" s="559"/>
      <c r="P581" s="559"/>
      <c r="Q581" s="559"/>
      <c r="R581" s="559"/>
      <c r="S581" s="559"/>
      <c r="T581" s="559"/>
      <c r="U581" s="559"/>
      <c r="V581" s="559"/>
      <c r="W581" s="559"/>
      <c r="X581" s="559"/>
      <c r="Y581" s="559"/>
      <c r="Z581" s="559"/>
    </row>
    <row r="582" spans="1:26" ht="18" customHeight="1" x14ac:dyDescent="0.35">
      <c r="A582" s="559"/>
      <c r="B582" s="559"/>
      <c r="C582" s="559"/>
      <c r="D582" s="559"/>
      <c r="E582" s="559"/>
      <c r="F582" s="559"/>
      <c r="G582" s="559"/>
      <c r="H582" s="559"/>
      <c r="I582" s="559"/>
      <c r="J582" s="559"/>
      <c r="K582" s="559"/>
      <c r="L582" s="559"/>
      <c r="M582" s="559"/>
      <c r="N582" s="559"/>
      <c r="O582" s="559"/>
      <c r="P582" s="559"/>
      <c r="Q582" s="559"/>
      <c r="R582" s="559"/>
      <c r="S582" s="559"/>
      <c r="T582" s="559"/>
      <c r="U582" s="559"/>
      <c r="V582" s="559"/>
      <c r="W582" s="559"/>
      <c r="X582" s="559"/>
      <c r="Y582" s="559"/>
      <c r="Z582" s="559"/>
    </row>
    <row r="583" spans="1:26" ht="18" customHeight="1" x14ac:dyDescent="0.35">
      <c r="A583" s="559"/>
      <c r="B583" s="559"/>
      <c r="C583" s="559"/>
      <c r="D583" s="559"/>
      <c r="E583" s="559"/>
      <c r="F583" s="559"/>
      <c r="G583" s="559"/>
      <c r="H583" s="559"/>
      <c r="I583" s="559"/>
      <c r="J583" s="559"/>
      <c r="K583" s="559"/>
      <c r="L583" s="559"/>
      <c r="M583" s="559"/>
      <c r="N583" s="559"/>
      <c r="O583" s="559"/>
      <c r="P583" s="559"/>
      <c r="Q583" s="559"/>
      <c r="R583" s="559"/>
      <c r="S583" s="559"/>
      <c r="T583" s="559"/>
      <c r="U583" s="559"/>
      <c r="V583" s="559"/>
      <c r="W583" s="559"/>
      <c r="X583" s="559"/>
      <c r="Y583" s="559"/>
      <c r="Z583" s="559"/>
    </row>
    <row r="584" spans="1:26" ht="18" customHeight="1" x14ac:dyDescent="0.35">
      <c r="A584" s="559"/>
      <c r="B584" s="559"/>
      <c r="C584" s="559"/>
      <c r="D584" s="559"/>
      <c r="E584" s="559"/>
      <c r="F584" s="559"/>
      <c r="G584" s="559"/>
      <c r="H584" s="559"/>
      <c r="I584" s="559"/>
      <c r="J584" s="559"/>
      <c r="K584" s="559"/>
      <c r="L584" s="559"/>
      <c r="M584" s="559"/>
      <c r="N584" s="559"/>
      <c r="O584" s="559"/>
      <c r="P584" s="559"/>
      <c r="Q584" s="559"/>
      <c r="R584" s="559"/>
      <c r="S584" s="559"/>
      <c r="T584" s="559"/>
      <c r="U584" s="559"/>
      <c r="V584" s="559"/>
      <c r="W584" s="559"/>
      <c r="X584" s="559"/>
      <c r="Y584" s="559"/>
      <c r="Z584" s="559"/>
    </row>
    <row r="585" spans="1:26" ht="18" customHeight="1" x14ac:dyDescent="0.35">
      <c r="A585" s="559"/>
      <c r="B585" s="559"/>
      <c r="C585" s="559"/>
      <c r="D585" s="559"/>
      <c r="E585" s="559"/>
      <c r="F585" s="559"/>
      <c r="G585" s="559"/>
      <c r="H585" s="559"/>
      <c r="I585" s="559"/>
      <c r="J585" s="559"/>
      <c r="K585" s="559"/>
      <c r="L585" s="559"/>
      <c r="M585" s="559"/>
      <c r="N585" s="559"/>
      <c r="O585" s="559"/>
      <c r="P585" s="559"/>
      <c r="Q585" s="559"/>
      <c r="R585" s="559"/>
      <c r="S585" s="559"/>
      <c r="T585" s="559"/>
      <c r="U585" s="559"/>
      <c r="V585" s="559"/>
      <c r="W585" s="559"/>
      <c r="X585" s="559"/>
      <c r="Y585" s="559"/>
      <c r="Z585" s="559"/>
    </row>
    <row r="586" spans="1:26" ht="18" customHeight="1" x14ac:dyDescent="0.35">
      <c r="A586" s="559"/>
      <c r="B586" s="559"/>
      <c r="C586" s="559"/>
      <c r="D586" s="559"/>
      <c r="E586" s="559"/>
      <c r="F586" s="559"/>
      <c r="G586" s="559"/>
      <c r="H586" s="559"/>
      <c r="I586" s="559"/>
      <c r="J586" s="559"/>
      <c r="K586" s="559"/>
      <c r="L586" s="559"/>
      <c r="M586" s="559"/>
      <c r="N586" s="559"/>
      <c r="O586" s="559"/>
      <c r="P586" s="559"/>
      <c r="Q586" s="559"/>
      <c r="R586" s="559"/>
      <c r="S586" s="559"/>
      <c r="T586" s="559"/>
      <c r="U586" s="559"/>
      <c r="V586" s="559"/>
      <c r="W586" s="559"/>
      <c r="X586" s="559"/>
      <c r="Y586" s="559"/>
      <c r="Z586" s="559"/>
    </row>
    <row r="587" spans="1:26" ht="18" customHeight="1" x14ac:dyDescent="0.35">
      <c r="A587" s="559"/>
      <c r="B587" s="559"/>
      <c r="C587" s="559"/>
      <c r="D587" s="559"/>
      <c r="E587" s="559"/>
      <c r="F587" s="559"/>
      <c r="G587" s="559"/>
      <c r="H587" s="559"/>
      <c r="I587" s="559"/>
      <c r="J587" s="559"/>
      <c r="K587" s="559"/>
      <c r="L587" s="559"/>
      <c r="M587" s="559"/>
      <c r="N587" s="559"/>
      <c r="O587" s="559"/>
      <c r="P587" s="559"/>
      <c r="Q587" s="559"/>
      <c r="R587" s="559"/>
      <c r="S587" s="559"/>
      <c r="T587" s="559"/>
      <c r="U587" s="559"/>
      <c r="V587" s="559"/>
      <c r="W587" s="559"/>
      <c r="X587" s="559"/>
      <c r="Y587" s="559"/>
      <c r="Z587" s="559"/>
    </row>
    <row r="588" spans="1:26" ht="18" customHeight="1" x14ac:dyDescent="0.35">
      <c r="A588" s="559"/>
      <c r="B588" s="559"/>
      <c r="C588" s="559"/>
      <c r="D588" s="559"/>
      <c r="E588" s="559"/>
      <c r="F588" s="559"/>
      <c r="G588" s="559"/>
      <c r="H588" s="559"/>
      <c r="I588" s="559"/>
      <c r="J588" s="559"/>
      <c r="K588" s="559"/>
      <c r="L588" s="559"/>
      <c r="M588" s="559"/>
      <c r="N588" s="559"/>
      <c r="O588" s="559"/>
      <c r="P588" s="559"/>
      <c r="Q588" s="559"/>
      <c r="R588" s="559"/>
      <c r="S588" s="559"/>
      <c r="T588" s="559"/>
      <c r="U588" s="559"/>
      <c r="V588" s="559"/>
      <c r="W588" s="559"/>
      <c r="X588" s="559"/>
      <c r="Y588" s="559"/>
      <c r="Z588" s="559"/>
    </row>
    <row r="589" spans="1:26" ht="18" customHeight="1" x14ac:dyDescent="0.35">
      <c r="A589" s="559"/>
      <c r="B589" s="559"/>
      <c r="C589" s="559"/>
      <c r="D589" s="559"/>
      <c r="E589" s="559"/>
      <c r="F589" s="559"/>
      <c r="G589" s="559"/>
      <c r="H589" s="559"/>
      <c r="I589" s="559"/>
      <c r="J589" s="559"/>
      <c r="K589" s="559"/>
      <c r="L589" s="559"/>
      <c r="M589" s="559"/>
      <c r="N589" s="559"/>
      <c r="O589" s="559"/>
      <c r="P589" s="559"/>
      <c r="Q589" s="559"/>
      <c r="R589" s="559"/>
      <c r="S589" s="559"/>
      <c r="T589" s="559"/>
      <c r="U589" s="559"/>
      <c r="V589" s="559"/>
      <c r="W589" s="559"/>
      <c r="X589" s="559"/>
      <c r="Y589" s="559"/>
      <c r="Z589" s="559"/>
    </row>
    <row r="590" spans="1:26" ht="18" customHeight="1" x14ac:dyDescent="0.35">
      <c r="A590" s="559"/>
      <c r="B590" s="559"/>
      <c r="C590" s="559"/>
      <c r="D590" s="559"/>
      <c r="E590" s="559"/>
      <c r="F590" s="559"/>
      <c r="G590" s="559"/>
      <c r="H590" s="559"/>
      <c r="I590" s="559"/>
      <c r="J590" s="559"/>
      <c r="K590" s="559"/>
      <c r="L590" s="559"/>
      <c r="M590" s="559"/>
      <c r="N590" s="559"/>
      <c r="O590" s="559"/>
      <c r="P590" s="559"/>
      <c r="Q590" s="559"/>
      <c r="R590" s="559"/>
      <c r="S590" s="559"/>
      <c r="T590" s="559"/>
      <c r="U590" s="559"/>
      <c r="V590" s="559"/>
      <c r="W590" s="559"/>
      <c r="X590" s="559"/>
      <c r="Y590" s="559"/>
      <c r="Z590" s="559"/>
    </row>
    <row r="591" spans="1:26" ht="18" customHeight="1" x14ac:dyDescent="0.35">
      <c r="A591" s="559"/>
      <c r="B591" s="559"/>
      <c r="C591" s="559"/>
      <c r="D591" s="559"/>
      <c r="E591" s="559"/>
      <c r="F591" s="559"/>
      <c r="G591" s="559"/>
      <c r="H591" s="559"/>
      <c r="I591" s="559"/>
      <c r="J591" s="559"/>
      <c r="K591" s="559"/>
      <c r="L591" s="559"/>
      <c r="M591" s="559"/>
      <c r="N591" s="559"/>
      <c r="O591" s="559"/>
      <c r="P591" s="559"/>
      <c r="Q591" s="559"/>
      <c r="R591" s="559"/>
      <c r="S591" s="559"/>
      <c r="T591" s="559"/>
      <c r="U591" s="559"/>
      <c r="V591" s="559"/>
      <c r="W591" s="559"/>
      <c r="X591" s="559"/>
      <c r="Y591" s="559"/>
      <c r="Z591" s="559"/>
    </row>
    <row r="592" spans="1:26" ht="18" customHeight="1" x14ac:dyDescent="0.35">
      <c r="A592" s="559"/>
      <c r="B592" s="559"/>
      <c r="C592" s="559"/>
      <c r="D592" s="559"/>
      <c r="E592" s="559"/>
      <c r="F592" s="559"/>
      <c r="G592" s="559"/>
      <c r="H592" s="559"/>
      <c r="I592" s="559"/>
      <c r="J592" s="559"/>
      <c r="K592" s="559"/>
      <c r="L592" s="559"/>
      <c r="M592" s="559"/>
      <c r="N592" s="559"/>
      <c r="O592" s="559"/>
      <c r="P592" s="559"/>
      <c r="Q592" s="559"/>
      <c r="R592" s="559"/>
      <c r="S592" s="559"/>
      <c r="T592" s="559"/>
      <c r="U592" s="559"/>
      <c r="V592" s="559"/>
      <c r="W592" s="559"/>
      <c r="X592" s="559"/>
      <c r="Y592" s="559"/>
      <c r="Z592" s="559"/>
    </row>
    <row r="593" spans="1:26" ht="18" customHeight="1" x14ac:dyDescent="0.35">
      <c r="A593" s="559"/>
      <c r="B593" s="559"/>
      <c r="C593" s="559"/>
      <c r="D593" s="559"/>
      <c r="E593" s="559"/>
      <c r="F593" s="559"/>
      <c r="G593" s="559"/>
      <c r="H593" s="559"/>
      <c r="I593" s="559"/>
      <c r="J593" s="559"/>
      <c r="K593" s="559"/>
      <c r="L593" s="559"/>
      <c r="M593" s="559"/>
      <c r="N593" s="559"/>
      <c r="O593" s="559"/>
      <c r="P593" s="559"/>
      <c r="Q593" s="559"/>
      <c r="R593" s="559"/>
      <c r="S593" s="559"/>
      <c r="T593" s="559"/>
      <c r="U593" s="559"/>
      <c r="V593" s="559"/>
      <c r="W593" s="559"/>
      <c r="X593" s="559"/>
      <c r="Y593" s="559"/>
      <c r="Z593" s="559"/>
    </row>
    <row r="594" spans="1:26" ht="18" customHeight="1" x14ac:dyDescent="0.35">
      <c r="A594" s="559"/>
      <c r="B594" s="559"/>
      <c r="C594" s="559"/>
      <c r="D594" s="559"/>
      <c r="E594" s="559"/>
      <c r="F594" s="559"/>
      <c r="G594" s="559"/>
      <c r="H594" s="559"/>
      <c r="I594" s="559"/>
      <c r="J594" s="559"/>
      <c r="K594" s="559"/>
      <c r="L594" s="559"/>
      <c r="M594" s="559"/>
      <c r="N594" s="559"/>
      <c r="O594" s="559"/>
      <c r="P594" s="559"/>
      <c r="Q594" s="559"/>
      <c r="R594" s="559"/>
      <c r="S594" s="559"/>
      <c r="T594" s="559"/>
      <c r="U594" s="559"/>
      <c r="V594" s="559"/>
      <c r="W594" s="559"/>
      <c r="X594" s="559"/>
      <c r="Y594" s="559"/>
      <c r="Z594" s="559"/>
    </row>
    <row r="595" spans="1:26" ht="18" customHeight="1" x14ac:dyDescent="0.35">
      <c r="A595" s="559"/>
      <c r="B595" s="559"/>
      <c r="C595" s="559"/>
      <c r="D595" s="559"/>
      <c r="E595" s="559"/>
      <c r="F595" s="559"/>
      <c r="G595" s="559"/>
      <c r="H595" s="559"/>
      <c r="I595" s="559"/>
      <c r="J595" s="559"/>
      <c r="K595" s="559"/>
      <c r="L595" s="559"/>
      <c r="M595" s="559"/>
      <c r="N595" s="559"/>
      <c r="O595" s="559"/>
      <c r="P595" s="559"/>
      <c r="Q595" s="559"/>
      <c r="R595" s="559"/>
      <c r="S595" s="559"/>
      <c r="T595" s="559"/>
      <c r="U595" s="559"/>
      <c r="V595" s="559"/>
      <c r="W595" s="559"/>
      <c r="X595" s="559"/>
      <c r="Y595" s="559"/>
      <c r="Z595" s="559"/>
    </row>
    <row r="596" spans="1:26" ht="18" customHeight="1" x14ac:dyDescent="0.35">
      <c r="A596" s="559"/>
      <c r="B596" s="559"/>
      <c r="C596" s="559"/>
      <c r="D596" s="559"/>
      <c r="E596" s="559"/>
      <c r="F596" s="559"/>
      <c r="G596" s="559"/>
      <c r="H596" s="559"/>
      <c r="I596" s="559"/>
      <c r="J596" s="559"/>
      <c r="K596" s="559"/>
      <c r="L596" s="559"/>
      <c r="M596" s="559"/>
      <c r="N596" s="559"/>
      <c r="O596" s="559"/>
      <c r="P596" s="559"/>
      <c r="Q596" s="559"/>
      <c r="R596" s="559"/>
      <c r="S596" s="559"/>
      <c r="T596" s="559"/>
      <c r="U596" s="559"/>
      <c r="V596" s="559"/>
      <c r="W596" s="559"/>
      <c r="X596" s="559"/>
      <c r="Y596" s="559"/>
      <c r="Z596" s="559"/>
    </row>
    <row r="597" spans="1:26" ht="18" customHeight="1" x14ac:dyDescent="0.35">
      <c r="A597" s="559"/>
      <c r="B597" s="559"/>
      <c r="C597" s="559"/>
      <c r="D597" s="559"/>
      <c r="E597" s="559"/>
      <c r="F597" s="559"/>
      <c r="G597" s="559"/>
      <c r="H597" s="559"/>
      <c r="I597" s="559"/>
      <c r="J597" s="559"/>
      <c r="K597" s="559"/>
      <c r="L597" s="559"/>
      <c r="M597" s="559"/>
      <c r="N597" s="559"/>
      <c r="O597" s="559"/>
      <c r="P597" s="559"/>
      <c r="Q597" s="559"/>
      <c r="R597" s="559"/>
      <c r="S597" s="559"/>
      <c r="T597" s="559"/>
      <c r="U597" s="559"/>
      <c r="V597" s="559"/>
      <c r="W597" s="559"/>
      <c r="X597" s="559"/>
      <c r="Y597" s="559"/>
      <c r="Z597" s="559"/>
    </row>
    <row r="598" spans="1:26" ht="18" customHeight="1" x14ac:dyDescent="0.35">
      <c r="A598" s="559"/>
      <c r="B598" s="559"/>
      <c r="C598" s="559"/>
      <c r="D598" s="559"/>
      <c r="E598" s="559"/>
      <c r="F598" s="559"/>
      <c r="G598" s="559"/>
      <c r="H598" s="559"/>
      <c r="I598" s="559"/>
      <c r="J598" s="559"/>
      <c r="K598" s="559"/>
      <c r="L598" s="559"/>
      <c r="M598" s="559"/>
      <c r="N598" s="559"/>
      <c r="O598" s="559"/>
      <c r="P598" s="559"/>
      <c r="Q598" s="559"/>
      <c r="R598" s="559"/>
      <c r="S598" s="559"/>
      <c r="T598" s="559"/>
      <c r="U598" s="559"/>
      <c r="V598" s="559"/>
      <c r="W598" s="559"/>
      <c r="X598" s="559"/>
      <c r="Y598" s="559"/>
      <c r="Z598" s="559"/>
    </row>
    <row r="599" spans="1:26" ht="18" customHeight="1" x14ac:dyDescent="0.35">
      <c r="A599" s="559"/>
      <c r="B599" s="559"/>
      <c r="C599" s="559"/>
      <c r="D599" s="559"/>
      <c r="E599" s="559"/>
      <c r="F599" s="559"/>
      <c r="G599" s="559"/>
      <c r="H599" s="559"/>
      <c r="I599" s="559"/>
      <c r="J599" s="559"/>
      <c r="K599" s="559"/>
      <c r="L599" s="559"/>
      <c r="M599" s="559"/>
      <c r="N599" s="559"/>
      <c r="O599" s="559"/>
      <c r="P599" s="559"/>
      <c r="Q599" s="559"/>
      <c r="R599" s="559"/>
      <c r="S599" s="559"/>
      <c r="T599" s="559"/>
      <c r="U599" s="559"/>
      <c r="V599" s="559"/>
      <c r="W599" s="559"/>
      <c r="X599" s="559"/>
      <c r="Y599" s="559"/>
      <c r="Z599" s="559"/>
    </row>
    <row r="600" spans="1:26" ht="18" customHeight="1" x14ac:dyDescent="0.35">
      <c r="A600" s="559"/>
      <c r="B600" s="559"/>
      <c r="C600" s="559"/>
      <c r="D600" s="559"/>
      <c r="E600" s="559"/>
      <c r="F600" s="559"/>
      <c r="G600" s="559"/>
      <c r="H600" s="559"/>
      <c r="I600" s="559"/>
      <c r="J600" s="559"/>
      <c r="K600" s="559"/>
      <c r="L600" s="559"/>
      <c r="M600" s="559"/>
      <c r="N600" s="559"/>
      <c r="O600" s="559"/>
      <c r="P600" s="559"/>
      <c r="Q600" s="559"/>
      <c r="R600" s="559"/>
      <c r="S600" s="559"/>
      <c r="T600" s="559"/>
      <c r="U600" s="559"/>
      <c r="V600" s="559"/>
      <c r="W600" s="559"/>
      <c r="X600" s="559"/>
      <c r="Y600" s="559"/>
      <c r="Z600" s="559"/>
    </row>
    <row r="601" spans="1:26" ht="18" customHeight="1" x14ac:dyDescent="0.35">
      <c r="A601" s="559"/>
      <c r="B601" s="559"/>
      <c r="C601" s="559"/>
      <c r="D601" s="559"/>
      <c r="E601" s="559"/>
      <c r="F601" s="559"/>
      <c r="G601" s="559"/>
      <c r="H601" s="559"/>
      <c r="I601" s="559"/>
      <c r="J601" s="559"/>
      <c r="K601" s="559"/>
      <c r="L601" s="559"/>
      <c r="M601" s="559"/>
      <c r="N601" s="559"/>
      <c r="O601" s="559"/>
      <c r="P601" s="559"/>
      <c r="Q601" s="559"/>
      <c r="R601" s="559"/>
      <c r="S601" s="559"/>
      <c r="T601" s="559"/>
      <c r="U601" s="559"/>
      <c r="V601" s="559"/>
      <c r="W601" s="559"/>
      <c r="X601" s="559"/>
      <c r="Y601" s="559"/>
      <c r="Z601" s="559"/>
    </row>
    <row r="602" spans="1:26" ht="18" customHeight="1" x14ac:dyDescent="0.35">
      <c r="A602" s="559"/>
      <c r="B602" s="559"/>
      <c r="C602" s="559"/>
      <c r="D602" s="559"/>
      <c r="E602" s="559"/>
      <c r="F602" s="559"/>
      <c r="G602" s="559"/>
      <c r="H602" s="559"/>
      <c r="I602" s="559"/>
      <c r="J602" s="559"/>
      <c r="K602" s="559"/>
      <c r="L602" s="559"/>
      <c r="M602" s="559"/>
      <c r="N602" s="559"/>
      <c r="O602" s="559"/>
      <c r="P602" s="559"/>
      <c r="Q602" s="559"/>
      <c r="R602" s="559"/>
      <c r="S602" s="559"/>
      <c r="T602" s="559"/>
      <c r="U602" s="559"/>
      <c r="V602" s="559"/>
      <c r="W602" s="559"/>
      <c r="X602" s="559"/>
      <c r="Y602" s="559"/>
      <c r="Z602" s="559"/>
    </row>
    <row r="603" spans="1:26" ht="18" customHeight="1" x14ac:dyDescent="0.35">
      <c r="A603" s="559"/>
      <c r="B603" s="559"/>
      <c r="C603" s="559"/>
      <c r="D603" s="559"/>
      <c r="E603" s="559"/>
      <c r="F603" s="559"/>
      <c r="G603" s="559"/>
      <c r="H603" s="559"/>
      <c r="I603" s="559"/>
      <c r="J603" s="559"/>
      <c r="K603" s="559"/>
      <c r="L603" s="559"/>
      <c r="M603" s="559"/>
      <c r="N603" s="559"/>
      <c r="O603" s="559"/>
      <c r="P603" s="559"/>
      <c r="Q603" s="559"/>
      <c r="R603" s="559"/>
      <c r="S603" s="559"/>
      <c r="T603" s="559"/>
      <c r="U603" s="559"/>
      <c r="V603" s="559"/>
      <c r="W603" s="559"/>
      <c r="X603" s="559"/>
      <c r="Y603" s="559"/>
      <c r="Z603" s="559"/>
    </row>
    <row r="604" spans="1:26" ht="18" customHeight="1" x14ac:dyDescent="0.35">
      <c r="A604" s="559"/>
      <c r="B604" s="559"/>
      <c r="C604" s="559"/>
      <c r="D604" s="559"/>
      <c r="E604" s="559"/>
      <c r="F604" s="559"/>
      <c r="G604" s="559"/>
      <c r="H604" s="559"/>
      <c r="I604" s="559"/>
      <c r="J604" s="559"/>
      <c r="K604" s="559"/>
      <c r="L604" s="559"/>
      <c r="M604" s="559"/>
      <c r="N604" s="559"/>
      <c r="O604" s="559"/>
      <c r="P604" s="559"/>
      <c r="Q604" s="559"/>
      <c r="R604" s="559"/>
      <c r="S604" s="559"/>
      <c r="T604" s="559"/>
      <c r="U604" s="559"/>
      <c r="V604" s="559"/>
      <c r="W604" s="559"/>
      <c r="X604" s="559"/>
      <c r="Y604" s="559"/>
      <c r="Z604" s="559"/>
    </row>
    <row r="605" spans="1:26" ht="18" customHeight="1" x14ac:dyDescent="0.35">
      <c r="A605" s="559"/>
      <c r="B605" s="559"/>
      <c r="C605" s="559"/>
      <c r="D605" s="559"/>
      <c r="E605" s="559"/>
      <c r="F605" s="559"/>
      <c r="G605" s="559"/>
      <c r="H605" s="559"/>
      <c r="I605" s="559"/>
      <c r="J605" s="559"/>
      <c r="K605" s="559"/>
      <c r="L605" s="559"/>
      <c r="M605" s="559"/>
      <c r="N605" s="559"/>
      <c r="O605" s="559"/>
      <c r="P605" s="559"/>
      <c r="Q605" s="559"/>
      <c r="R605" s="559"/>
      <c r="S605" s="559"/>
      <c r="T605" s="559"/>
      <c r="U605" s="559"/>
      <c r="V605" s="559"/>
      <c r="W605" s="559"/>
      <c r="X605" s="559"/>
      <c r="Y605" s="559"/>
      <c r="Z605" s="559"/>
    </row>
    <row r="606" spans="1:26" ht="18" customHeight="1" x14ac:dyDescent="0.35">
      <c r="A606" s="559"/>
      <c r="B606" s="559"/>
      <c r="C606" s="559"/>
      <c r="D606" s="559"/>
      <c r="E606" s="559"/>
      <c r="F606" s="559"/>
      <c r="G606" s="559"/>
      <c r="H606" s="559"/>
      <c r="I606" s="559"/>
      <c r="J606" s="559"/>
      <c r="K606" s="559"/>
      <c r="L606" s="559"/>
      <c r="M606" s="559"/>
      <c r="N606" s="559"/>
      <c r="O606" s="559"/>
      <c r="P606" s="559"/>
      <c r="Q606" s="559"/>
      <c r="R606" s="559"/>
      <c r="S606" s="559"/>
      <c r="T606" s="559"/>
      <c r="U606" s="559"/>
      <c r="V606" s="559"/>
      <c r="W606" s="559"/>
      <c r="X606" s="559"/>
      <c r="Y606" s="559"/>
      <c r="Z606" s="559"/>
    </row>
    <row r="607" spans="1:26" ht="18" customHeight="1" x14ac:dyDescent="0.35">
      <c r="A607" s="559"/>
      <c r="B607" s="559"/>
      <c r="C607" s="559"/>
      <c r="D607" s="559"/>
      <c r="E607" s="559"/>
      <c r="F607" s="559"/>
      <c r="G607" s="559"/>
      <c r="H607" s="559"/>
      <c r="I607" s="559"/>
      <c r="J607" s="559"/>
      <c r="K607" s="559"/>
      <c r="L607" s="559"/>
      <c r="M607" s="559"/>
      <c r="N607" s="559"/>
      <c r="O607" s="559"/>
      <c r="P607" s="559"/>
      <c r="Q607" s="559"/>
      <c r="R607" s="559"/>
      <c r="S607" s="559"/>
      <c r="T607" s="559"/>
      <c r="U607" s="559"/>
      <c r="V607" s="559"/>
      <c r="W607" s="559"/>
      <c r="X607" s="559"/>
      <c r="Y607" s="559"/>
      <c r="Z607" s="559"/>
    </row>
    <row r="608" spans="1:26" ht="18" customHeight="1" x14ac:dyDescent="0.35">
      <c r="A608" s="559"/>
      <c r="B608" s="559"/>
      <c r="C608" s="559"/>
      <c r="D608" s="559"/>
      <c r="E608" s="559"/>
      <c r="F608" s="559"/>
      <c r="G608" s="559"/>
      <c r="H608" s="559"/>
      <c r="I608" s="559"/>
      <c r="J608" s="559"/>
      <c r="K608" s="559"/>
      <c r="L608" s="559"/>
      <c r="M608" s="559"/>
      <c r="N608" s="559"/>
      <c r="O608" s="559"/>
      <c r="P608" s="559"/>
      <c r="Q608" s="559"/>
      <c r="R608" s="559"/>
      <c r="S608" s="559"/>
      <c r="T608" s="559"/>
      <c r="U608" s="559"/>
      <c r="V608" s="559"/>
      <c r="W608" s="559"/>
      <c r="X608" s="559"/>
      <c r="Y608" s="559"/>
      <c r="Z608" s="559"/>
    </row>
    <row r="609" spans="1:26" ht="18" customHeight="1" x14ac:dyDescent="0.35">
      <c r="A609" s="559"/>
      <c r="B609" s="559"/>
      <c r="C609" s="559"/>
      <c r="D609" s="559"/>
      <c r="E609" s="559"/>
      <c r="F609" s="559"/>
      <c r="G609" s="559"/>
      <c r="H609" s="559"/>
      <c r="I609" s="559"/>
      <c r="J609" s="559"/>
      <c r="K609" s="559"/>
      <c r="L609" s="559"/>
      <c r="M609" s="559"/>
      <c r="N609" s="559"/>
      <c r="O609" s="559"/>
      <c r="P609" s="559"/>
      <c r="Q609" s="559"/>
      <c r="R609" s="559"/>
      <c r="S609" s="559"/>
      <c r="T609" s="559"/>
      <c r="U609" s="559"/>
      <c r="V609" s="559"/>
      <c r="W609" s="559"/>
      <c r="X609" s="559"/>
      <c r="Y609" s="559"/>
      <c r="Z609" s="559"/>
    </row>
    <row r="610" spans="1:26" ht="18" customHeight="1" x14ac:dyDescent="0.35">
      <c r="A610" s="559"/>
      <c r="B610" s="559"/>
      <c r="C610" s="559"/>
      <c r="D610" s="559"/>
      <c r="E610" s="559"/>
      <c r="F610" s="559"/>
      <c r="G610" s="559"/>
      <c r="H610" s="559"/>
      <c r="I610" s="559"/>
      <c r="J610" s="559"/>
      <c r="K610" s="559"/>
      <c r="L610" s="559"/>
      <c r="M610" s="559"/>
      <c r="N610" s="559"/>
      <c r="O610" s="559"/>
      <c r="P610" s="559"/>
      <c r="Q610" s="559"/>
      <c r="R610" s="559"/>
      <c r="S610" s="559"/>
      <c r="T610" s="559"/>
      <c r="U610" s="559"/>
      <c r="V610" s="559"/>
      <c r="W610" s="559"/>
      <c r="X610" s="559"/>
      <c r="Y610" s="559"/>
      <c r="Z610" s="559"/>
    </row>
    <row r="611" spans="1:26" ht="18" customHeight="1" x14ac:dyDescent="0.35">
      <c r="A611" s="559"/>
      <c r="B611" s="559"/>
      <c r="C611" s="559"/>
      <c r="D611" s="559"/>
      <c r="E611" s="559"/>
      <c r="F611" s="559"/>
      <c r="G611" s="559"/>
      <c r="H611" s="559"/>
      <c r="I611" s="559"/>
      <c r="J611" s="559"/>
      <c r="K611" s="559"/>
      <c r="L611" s="559"/>
      <c r="M611" s="559"/>
      <c r="N611" s="559"/>
      <c r="O611" s="559"/>
      <c r="P611" s="559"/>
      <c r="Q611" s="559"/>
      <c r="R611" s="559"/>
      <c r="S611" s="559"/>
      <c r="T611" s="559"/>
      <c r="U611" s="559"/>
      <c r="V611" s="559"/>
      <c r="W611" s="559"/>
      <c r="X611" s="559"/>
      <c r="Y611" s="559"/>
      <c r="Z611" s="559"/>
    </row>
    <row r="612" spans="1:26" ht="18" customHeight="1" x14ac:dyDescent="0.35">
      <c r="A612" s="559"/>
      <c r="B612" s="559"/>
      <c r="C612" s="559"/>
      <c r="D612" s="559"/>
      <c r="E612" s="559"/>
      <c r="F612" s="559"/>
      <c r="G612" s="559"/>
      <c r="H612" s="559"/>
      <c r="I612" s="559"/>
      <c r="J612" s="559"/>
      <c r="K612" s="559"/>
      <c r="L612" s="559"/>
      <c r="M612" s="559"/>
      <c r="N612" s="559"/>
      <c r="O612" s="559"/>
      <c r="P612" s="559"/>
      <c r="Q612" s="559"/>
      <c r="R612" s="559"/>
      <c r="S612" s="559"/>
      <c r="T612" s="559"/>
      <c r="U612" s="559"/>
      <c r="V612" s="559"/>
      <c r="W612" s="559"/>
      <c r="X612" s="559"/>
      <c r="Y612" s="559"/>
      <c r="Z612" s="559"/>
    </row>
    <row r="613" spans="1:26" ht="18" customHeight="1" x14ac:dyDescent="0.35">
      <c r="A613" s="559"/>
      <c r="B613" s="559"/>
      <c r="C613" s="559"/>
      <c r="D613" s="559"/>
      <c r="E613" s="559"/>
      <c r="F613" s="559"/>
      <c r="G613" s="559"/>
      <c r="H613" s="559"/>
      <c r="I613" s="559"/>
      <c r="J613" s="559"/>
      <c r="K613" s="559"/>
      <c r="L613" s="559"/>
      <c r="M613" s="559"/>
      <c r="N613" s="559"/>
      <c r="O613" s="559"/>
      <c r="P613" s="559"/>
      <c r="Q613" s="559"/>
      <c r="R613" s="559"/>
      <c r="S613" s="559"/>
      <c r="T613" s="559"/>
      <c r="U613" s="559"/>
      <c r="V613" s="559"/>
      <c r="W613" s="559"/>
      <c r="X613" s="559"/>
      <c r="Y613" s="559"/>
      <c r="Z613" s="559"/>
    </row>
    <row r="614" spans="1:26" ht="18" customHeight="1" x14ac:dyDescent="0.35">
      <c r="A614" s="559"/>
      <c r="B614" s="559"/>
      <c r="C614" s="559"/>
      <c r="D614" s="559"/>
      <c r="E614" s="559"/>
      <c r="F614" s="559"/>
      <c r="G614" s="559"/>
      <c r="H614" s="559"/>
      <c r="I614" s="559"/>
      <c r="J614" s="559"/>
      <c r="K614" s="559"/>
      <c r="L614" s="559"/>
      <c r="M614" s="559"/>
      <c r="N614" s="559"/>
      <c r="O614" s="559"/>
      <c r="P614" s="559"/>
      <c r="Q614" s="559"/>
      <c r="R614" s="559"/>
      <c r="S614" s="559"/>
      <c r="T614" s="559"/>
      <c r="U614" s="559"/>
      <c r="V614" s="559"/>
      <c r="W614" s="559"/>
      <c r="X614" s="559"/>
      <c r="Y614" s="559"/>
      <c r="Z614" s="559"/>
    </row>
    <row r="615" spans="1:26" ht="18" customHeight="1" x14ac:dyDescent="0.35">
      <c r="A615" s="559"/>
      <c r="B615" s="559"/>
      <c r="C615" s="559"/>
      <c r="D615" s="559"/>
      <c r="E615" s="559"/>
      <c r="F615" s="559"/>
      <c r="G615" s="559"/>
      <c r="H615" s="559"/>
      <c r="I615" s="559"/>
      <c r="J615" s="559"/>
      <c r="K615" s="559"/>
      <c r="L615" s="559"/>
      <c r="M615" s="559"/>
      <c r="N615" s="559"/>
      <c r="O615" s="559"/>
      <c r="P615" s="559"/>
      <c r="Q615" s="559"/>
      <c r="R615" s="559"/>
      <c r="S615" s="559"/>
      <c r="T615" s="559"/>
      <c r="U615" s="559"/>
      <c r="V615" s="559"/>
      <c r="W615" s="559"/>
      <c r="X615" s="559"/>
      <c r="Y615" s="559"/>
      <c r="Z615" s="559"/>
    </row>
    <row r="616" spans="1:26" ht="18" customHeight="1" x14ac:dyDescent="0.35">
      <c r="A616" s="559"/>
      <c r="B616" s="559"/>
      <c r="C616" s="559"/>
      <c r="D616" s="559"/>
      <c r="E616" s="559"/>
      <c r="F616" s="559"/>
      <c r="G616" s="559"/>
      <c r="H616" s="559"/>
      <c r="I616" s="559"/>
      <c r="J616" s="559"/>
      <c r="K616" s="559"/>
      <c r="L616" s="559"/>
      <c r="M616" s="559"/>
      <c r="N616" s="559"/>
      <c r="O616" s="559"/>
      <c r="P616" s="559"/>
      <c r="Q616" s="559"/>
      <c r="R616" s="559"/>
      <c r="S616" s="559"/>
      <c r="T616" s="559"/>
      <c r="U616" s="559"/>
      <c r="V616" s="559"/>
      <c r="W616" s="559"/>
      <c r="X616" s="559"/>
      <c r="Y616" s="559"/>
      <c r="Z616" s="559"/>
    </row>
    <row r="617" spans="1:26" ht="18" customHeight="1" x14ac:dyDescent="0.35">
      <c r="A617" s="559"/>
      <c r="B617" s="559"/>
      <c r="C617" s="559"/>
      <c r="D617" s="559"/>
      <c r="E617" s="559"/>
      <c r="F617" s="559"/>
      <c r="G617" s="559"/>
      <c r="H617" s="559"/>
      <c r="I617" s="559"/>
      <c r="J617" s="559"/>
      <c r="K617" s="559"/>
      <c r="L617" s="559"/>
      <c r="M617" s="559"/>
      <c r="N617" s="559"/>
      <c r="O617" s="559"/>
      <c r="P617" s="559"/>
      <c r="Q617" s="559"/>
      <c r="R617" s="559"/>
      <c r="S617" s="559"/>
      <c r="T617" s="559"/>
      <c r="U617" s="559"/>
      <c r="V617" s="559"/>
      <c r="W617" s="559"/>
      <c r="X617" s="559"/>
      <c r="Y617" s="559"/>
      <c r="Z617" s="559"/>
    </row>
    <row r="618" spans="1:26" ht="18" customHeight="1" x14ac:dyDescent="0.35">
      <c r="A618" s="559"/>
      <c r="B618" s="559"/>
      <c r="C618" s="559"/>
      <c r="D618" s="559"/>
      <c r="E618" s="559"/>
      <c r="F618" s="559"/>
      <c r="G618" s="559"/>
      <c r="H618" s="559"/>
      <c r="I618" s="559"/>
      <c r="J618" s="559"/>
      <c r="K618" s="559"/>
      <c r="L618" s="559"/>
      <c r="M618" s="559"/>
      <c r="N618" s="559"/>
      <c r="O618" s="559"/>
      <c r="P618" s="559"/>
      <c r="Q618" s="559"/>
      <c r="R618" s="559"/>
      <c r="S618" s="559"/>
      <c r="T618" s="559"/>
      <c r="U618" s="559"/>
      <c r="V618" s="559"/>
      <c r="W618" s="559"/>
      <c r="X618" s="559"/>
      <c r="Y618" s="559"/>
      <c r="Z618" s="559"/>
    </row>
    <row r="619" spans="1:26" ht="18" customHeight="1" x14ac:dyDescent="0.35">
      <c r="A619" s="559"/>
      <c r="B619" s="559"/>
      <c r="C619" s="559"/>
      <c r="D619" s="559"/>
      <c r="E619" s="559"/>
      <c r="F619" s="559"/>
      <c r="G619" s="559"/>
      <c r="H619" s="559"/>
      <c r="I619" s="559"/>
      <c r="J619" s="559"/>
      <c r="K619" s="559"/>
      <c r="L619" s="559"/>
      <c r="M619" s="559"/>
      <c r="N619" s="559"/>
      <c r="O619" s="559"/>
      <c r="P619" s="559"/>
      <c r="Q619" s="559"/>
      <c r="R619" s="559"/>
      <c r="S619" s="559"/>
      <c r="T619" s="559"/>
      <c r="U619" s="559"/>
      <c r="V619" s="559"/>
      <c r="W619" s="559"/>
      <c r="X619" s="559"/>
      <c r="Y619" s="559"/>
      <c r="Z619" s="559"/>
    </row>
    <row r="620" spans="1:26" ht="18" customHeight="1" x14ac:dyDescent="0.35">
      <c r="A620" s="559"/>
      <c r="B620" s="559"/>
      <c r="C620" s="559"/>
      <c r="D620" s="559"/>
      <c r="E620" s="559"/>
      <c r="F620" s="559"/>
      <c r="G620" s="559"/>
      <c r="H620" s="559"/>
      <c r="I620" s="559"/>
      <c r="J620" s="559"/>
      <c r="K620" s="559"/>
      <c r="L620" s="559"/>
      <c r="M620" s="559"/>
      <c r="N620" s="559"/>
      <c r="O620" s="559"/>
      <c r="P620" s="559"/>
      <c r="Q620" s="559"/>
      <c r="R620" s="559"/>
      <c r="S620" s="559"/>
      <c r="T620" s="559"/>
      <c r="U620" s="559"/>
      <c r="V620" s="559"/>
      <c r="W620" s="559"/>
      <c r="X620" s="559"/>
      <c r="Y620" s="559"/>
      <c r="Z620" s="559"/>
    </row>
    <row r="621" spans="1:26" ht="18" customHeight="1" x14ac:dyDescent="0.35">
      <c r="A621" s="559"/>
      <c r="B621" s="559"/>
      <c r="C621" s="559"/>
      <c r="D621" s="559"/>
      <c r="E621" s="559"/>
      <c r="F621" s="559"/>
      <c r="G621" s="559"/>
      <c r="H621" s="559"/>
      <c r="I621" s="559"/>
      <c r="J621" s="559"/>
      <c r="K621" s="559"/>
      <c r="L621" s="559"/>
      <c r="M621" s="559"/>
      <c r="N621" s="559"/>
      <c r="O621" s="559"/>
      <c r="P621" s="559"/>
      <c r="Q621" s="559"/>
      <c r="R621" s="559"/>
      <c r="S621" s="559"/>
      <c r="T621" s="559"/>
      <c r="U621" s="559"/>
      <c r="V621" s="559"/>
      <c r="W621" s="559"/>
      <c r="X621" s="559"/>
      <c r="Y621" s="559"/>
      <c r="Z621" s="559"/>
    </row>
    <row r="622" spans="1:26" ht="18" customHeight="1" x14ac:dyDescent="0.35">
      <c r="A622" s="559"/>
      <c r="B622" s="559"/>
      <c r="C622" s="559"/>
      <c r="D622" s="559"/>
      <c r="E622" s="559"/>
      <c r="F622" s="559"/>
      <c r="G622" s="559"/>
      <c r="H622" s="559"/>
      <c r="I622" s="559"/>
      <c r="J622" s="559"/>
      <c r="K622" s="559"/>
      <c r="L622" s="559"/>
      <c r="M622" s="559"/>
      <c r="N622" s="559"/>
      <c r="O622" s="559"/>
      <c r="P622" s="559"/>
      <c r="Q622" s="559"/>
      <c r="R622" s="559"/>
      <c r="S622" s="559"/>
      <c r="T622" s="559"/>
      <c r="U622" s="559"/>
      <c r="V622" s="559"/>
      <c r="W622" s="559"/>
      <c r="X622" s="559"/>
      <c r="Y622" s="559"/>
      <c r="Z622" s="559"/>
    </row>
    <row r="623" spans="1:26" ht="18" customHeight="1" x14ac:dyDescent="0.35">
      <c r="A623" s="559"/>
      <c r="B623" s="559"/>
      <c r="C623" s="559"/>
      <c r="D623" s="559"/>
      <c r="E623" s="559"/>
      <c r="F623" s="559"/>
      <c r="G623" s="559"/>
      <c r="H623" s="559"/>
      <c r="I623" s="559"/>
      <c r="J623" s="559"/>
      <c r="K623" s="559"/>
      <c r="L623" s="559"/>
      <c r="M623" s="559"/>
      <c r="N623" s="559"/>
      <c r="O623" s="559"/>
      <c r="P623" s="559"/>
      <c r="Q623" s="559"/>
      <c r="R623" s="559"/>
      <c r="S623" s="559"/>
      <c r="T623" s="559"/>
      <c r="U623" s="559"/>
      <c r="V623" s="559"/>
      <c r="W623" s="559"/>
      <c r="X623" s="559"/>
      <c r="Y623" s="559"/>
      <c r="Z623" s="559"/>
    </row>
    <row r="624" spans="1:26" ht="18" customHeight="1" x14ac:dyDescent="0.35">
      <c r="A624" s="559"/>
      <c r="B624" s="559"/>
      <c r="C624" s="559"/>
      <c r="D624" s="559"/>
      <c r="E624" s="559"/>
      <c r="F624" s="559"/>
      <c r="G624" s="559"/>
      <c r="H624" s="559"/>
      <c r="I624" s="559"/>
      <c r="J624" s="559"/>
      <c r="K624" s="559"/>
      <c r="L624" s="559"/>
      <c r="M624" s="559"/>
      <c r="N624" s="559"/>
      <c r="O624" s="559"/>
      <c r="P624" s="559"/>
      <c r="Q624" s="559"/>
      <c r="R624" s="559"/>
      <c r="S624" s="559"/>
      <c r="T624" s="559"/>
      <c r="U624" s="559"/>
      <c r="V624" s="559"/>
      <c r="W624" s="559"/>
      <c r="X624" s="559"/>
      <c r="Y624" s="559"/>
      <c r="Z624" s="559"/>
    </row>
    <row r="625" spans="1:26" ht="18" customHeight="1" x14ac:dyDescent="0.35">
      <c r="A625" s="559"/>
      <c r="B625" s="559"/>
      <c r="C625" s="559"/>
      <c r="D625" s="559"/>
      <c r="E625" s="559"/>
      <c r="F625" s="559"/>
      <c r="G625" s="559"/>
      <c r="H625" s="559"/>
      <c r="I625" s="559"/>
      <c r="J625" s="559"/>
      <c r="K625" s="559"/>
      <c r="L625" s="559"/>
      <c r="M625" s="559"/>
      <c r="N625" s="559"/>
      <c r="O625" s="559"/>
      <c r="P625" s="559"/>
      <c r="Q625" s="559"/>
      <c r="R625" s="559"/>
      <c r="S625" s="559"/>
      <c r="T625" s="559"/>
      <c r="U625" s="559"/>
      <c r="V625" s="559"/>
      <c r="W625" s="559"/>
      <c r="X625" s="559"/>
      <c r="Y625" s="559"/>
      <c r="Z625" s="559"/>
    </row>
    <row r="626" spans="1:26" ht="18" customHeight="1" x14ac:dyDescent="0.35">
      <c r="A626" s="559"/>
      <c r="B626" s="559"/>
      <c r="C626" s="559"/>
      <c r="D626" s="559"/>
      <c r="E626" s="559"/>
      <c r="F626" s="559"/>
      <c r="G626" s="559"/>
      <c r="H626" s="559"/>
      <c r="I626" s="559"/>
      <c r="J626" s="559"/>
      <c r="K626" s="559"/>
      <c r="L626" s="559"/>
      <c r="M626" s="559"/>
      <c r="N626" s="559"/>
      <c r="O626" s="559"/>
      <c r="P626" s="559"/>
      <c r="Q626" s="559"/>
      <c r="R626" s="559"/>
      <c r="S626" s="559"/>
      <c r="T626" s="559"/>
      <c r="U626" s="559"/>
      <c r="V626" s="559"/>
      <c r="W626" s="559"/>
      <c r="X626" s="559"/>
      <c r="Y626" s="559"/>
      <c r="Z626" s="559"/>
    </row>
    <row r="627" spans="1:26" ht="18" customHeight="1" x14ac:dyDescent="0.35">
      <c r="A627" s="559"/>
      <c r="B627" s="559"/>
      <c r="C627" s="559"/>
      <c r="D627" s="559"/>
      <c r="E627" s="559"/>
      <c r="F627" s="559"/>
      <c r="G627" s="559"/>
      <c r="H627" s="559"/>
      <c r="I627" s="559"/>
      <c r="J627" s="559"/>
      <c r="K627" s="559"/>
      <c r="L627" s="559"/>
      <c r="M627" s="559"/>
      <c r="N627" s="559"/>
      <c r="O627" s="559"/>
      <c r="P627" s="559"/>
      <c r="Q627" s="559"/>
      <c r="R627" s="559"/>
      <c r="S627" s="559"/>
      <c r="T627" s="559"/>
      <c r="U627" s="559"/>
      <c r="V627" s="559"/>
      <c r="W627" s="559"/>
      <c r="X627" s="559"/>
      <c r="Y627" s="559"/>
      <c r="Z627" s="559"/>
    </row>
    <row r="628" spans="1:26" ht="18" customHeight="1" x14ac:dyDescent="0.35">
      <c r="A628" s="559"/>
      <c r="B628" s="559"/>
      <c r="C628" s="559"/>
      <c r="D628" s="559"/>
      <c r="E628" s="559"/>
      <c r="F628" s="559"/>
      <c r="G628" s="559"/>
      <c r="H628" s="559"/>
      <c r="I628" s="559"/>
      <c r="J628" s="559"/>
      <c r="K628" s="559"/>
      <c r="L628" s="559"/>
      <c r="M628" s="559"/>
      <c r="N628" s="559"/>
      <c r="O628" s="559"/>
      <c r="P628" s="559"/>
      <c r="Q628" s="559"/>
      <c r="R628" s="559"/>
      <c r="S628" s="559"/>
      <c r="T628" s="559"/>
      <c r="U628" s="559"/>
      <c r="V628" s="559"/>
      <c r="W628" s="559"/>
      <c r="X628" s="559"/>
      <c r="Y628" s="559"/>
      <c r="Z628" s="559"/>
    </row>
    <row r="629" spans="1:26" ht="18" customHeight="1" x14ac:dyDescent="0.35">
      <c r="A629" s="559"/>
      <c r="B629" s="559"/>
      <c r="C629" s="559"/>
      <c r="D629" s="559"/>
      <c r="E629" s="559"/>
      <c r="F629" s="559"/>
      <c r="G629" s="559"/>
      <c r="H629" s="559"/>
      <c r="I629" s="559"/>
      <c r="J629" s="559"/>
      <c r="K629" s="559"/>
      <c r="L629" s="559"/>
      <c r="M629" s="559"/>
      <c r="N629" s="559"/>
      <c r="O629" s="559"/>
      <c r="P629" s="559"/>
      <c r="Q629" s="559"/>
      <c r="R629" s="559"/>
      <c r="S629" s="559"/>
      <c r="T629" s="559"/>
      <c r="U629" s="559"/>
      <c r="V629" s="559"/>
      <c r="W629" s="559"/>
      <c r="X629" s="559"/>
      <c r="Y629" s="559"/>
      <c r="Z629" s="559"/>
    </row>
    <row r="630" spans="1:26" ht="18" customHeight="1" x14ac:dyDescent="0.35">
      <c r="A630" s="559"/>
      <c r="B630" s="559"/>
      <c r="C630" s="559"/>
      <c r="D630" s="559"/>
      <c r="E630" s="559"/>
      <c r="F630" s="559"/>
      <c r="G630" s="559"/>
      <c r="H630" s="559"/>
      <c r="I630" s="559"/>
      <c r="J630" s="559"/>
      <c r="K630" s="559"/>
      <c r="L630" s="559"/>
      <c r="M630" s="559"/>
      <c r="N630" s="559"/>
      <c r="O630" s="559"/>
      <c r="P630" s="559"/>
      <c r="Q630" s="559"/>
      <c r="R630" s="559"/>
      <c r="S630" s="559"/>
      <c r="T630" s="559"/>
      <c r="U630" s="559"/>
      <c r="V630" s="559"/>
      <c r="W630" s="559"/>
      <c r="X630" s="559"/>
      <c r="Y630" s="559"/>
      <c r="Z630" s="559"/>
    </row>
    <row r="631" spans="1:26" ht="18" customHeight="1" x14ac:dyDescent="0.35">
      <c r="A631" s="559"/>
      <c r="B631" s="559"/>
      <c r="C631" s="559"/>
      <c r="D631" s="559"/>
      <c r="E631" s="559"/>
      <c r="F631" s="559"/>
      <c r="G631" s="559"/>
      <c r="H631" s="559"/>
      <c r="I631" s="559"/>
      <c r="J631" s="559"/>
      <c r="K631" s="559"/>
      <c r="L631" s="559"/>
      <c r="M631" s="559"/>
      <c r="N631" s="559"/>
      <c r="O631" s="559"/>
      <c r="P631" s="559"/>
      <c r="Q631" s="559"/>
      <c r="R631" s="559"/>
      <c r="S631" s="559"/>
      <c r="T631" s="559"/>
      <c r="U631" s="559"/>
      <c r="V631" s="559"/>
      <c r="W631" s="559"/>
      <c r="X631" s="559"/>
      <c r="Y631" s="559"/>
      <c r="Z631" s="559"/>
    </row>
    <row r="632" spans="1:26" ht="18" customHeight="1" x14ac:dyDescent="0.35">
      <c r="A632" s="559"/>
      <c r="B632" s="559"/>
      <c r="C632" s="559"/>
      <c r="D632" s="559"/>
      <c r="E632" s="559"/>
      <c r="F632" s="559"/>
      <c r="G632" s="559"/>
      <c r="H632" s="559"/>
      <c r="I632" s="559"/>
      <c r="J632" s="559"/>
      <c r="K632" s="559"/>
      <c r="L632" s="559"/>
      <c r="M632" s="559"/>
      <c r="N632" s="559"/>
      <c r="O632" s="559"/>
      <c r="P632" s="559"/>
      <c r="Q632" s="559"/>
      <c r="R632" s="559"/>
      <c r="S632" s="559"/>
      <c r="T632" s="559"/>
      <c r="U632" s="559"/>
      <c r="V632" s="559"/>
      <c r="W632" s="559"/>
      <c r="X632" s="559"/>
      <c r="Y632" s="559"/>
      <c r="Z632" s="559"/>
    </row>
    <row r="633" spans="1:26" ht="18" customHeight="1" x14ac:dyDescent="0.35">
      <c r="A633" s="559"/>
      <c r="B633" s="559"/>
      <c r="C633" s="559"/>
      <c r="D633" s="559"/>
      <c r="E633" s="559"/>
      <c r="F633" s="559"/>
      <c r="G633" s="559"/>
      <c r="H633" s="559"/>
      <c r="I633" s="559"/>
      <c r="J633" s="559"/>
      <c r="K633" s="559"/>
      <c r="L633" s="559"/>
      <c r="M633" s="559"/>
      <c r="N633" s="559"/>
      <c r="O633" s="559"/>
      <c r="P633" s="559"/>
      <c r="Q633" s="559"/>
      <c r="R633" s="559"/>
      <c r="S633" s="559"/>
      <c r="T633" s="559"/>
      <c r="U633" s="559"/>
      <c r="V633" s="559"/>
      <c r="W633" s="559"/>
      <c r="X633" s="559"/>
      <c r="Y633" s="559"/>
      <c r="Z633" s="559"/>
    </row>
    <row r="634" spans="1:26" ht="18" customHeight="1" x14ac:dyDescent="0.35">
      <c r="A634" s="559"/>
      <c r="B634" s="559"/>
      <c r="C634" s="559"/>
      <c r="D634" s="559"/>
      <c r="E634" s="559"/>
      <c r="F634" s="559"/>
      <c r="G634" s="559"/>
      <c r="H634" s="559"/>
      <c r="I634" s="559"/>
      <c r="J634" s="559"/>
      <c r="K634" s="559"/>
      <c r="L634" s="559"/>
      <c r="M634" s="559"/>
      <c r="N634" s="559"/>
      <c r="O634" s="559"/>
      <c r="P634" s="559"/>
      <c r="Q634" s="559"/>
      <c r="R634" s="559"/>
      <c r="S634" s="559"/>
      <c r="T634" s="559"/>
      <c r="U634" s="559"/>
      <c r="V634" s="559"/>
      <c r="W634" s="559"/>
      <c r="X634" s="559"/>
      <c r="Y634" s="559"/>
      <c r="Z634" s="559"/>
    </row>
    <row r="635" spans="1:26" ht="18" customHeight="1" x14ac:dyDescent="0.35">
      <c r="A635" s="559"/>
      <c r="B635" s="559"/>
      <c r="C635" s="559"/>
      <c r="D635" s="559"/>
      <c r="E635" s="559"/>
      <c r="F635" s="559"/>
      <c r="G635" s="559"/>
      <c r="H635" s="559"/>
      <c r="I635" s="559"/>
      <c r="J635" s="559"/>
      <c r="K635" s="559"/>
      <c r="L635" s="559"/>
      <c r="M635" s="559"/>
      <c r="N635" s="559"/>
      <c r="O635" s="559"/>
      <c r="P635" s="559"/>
      <c r="Q635" s="559"/>
      <c r="R635" s="559"/>
      <c r="S635" s="559"/>
      <c r="T635" s="559"/>
      <c r="U635" s="559"/>
      <c r="V635" s="559"/>
      <c r="W635" s="559"/>
      <c r="X635" s="559"/>
      <c r="Y635" s="559"/>
      <c r="Z635" s="559"/>
    </row>
    <row r="636" spans="1:26" ht="18" customHeight="1" x14ac:dyDescent="0.35">
      <c r="A636" s="559"/>
      <c r="B636" s="559"/>
      <c r="C636" s="559"/>
      <c r="D636" s="559"/>
      <c r="E636" s="559"/>
      <c r="F636" s="559"/>
      <c r="G636" s="559"/>
      <c r="H636" s="559"/>
      <c r="I636" s="559"/>
      <c r="J636" s="559"/>
      <c r="K636" s="559"/>
      <c r="L636" s="559"/>
      <c r="M636" s="559"/>
      <c r="N636" s="559"/>
      <c r="O636" s="559"/>
      <c r="P636" s="559"/>
      <c r="Q636" s="559"/>
      <c r="R636" s="559"/>
      <c r="S636" s="559"/>
      <c r="T636" s="559"/>
      <c r="U636" s="559"/>
      <c r="V636" s="559"/>
      <c r="W636" s="559"/>
      <c r="X636" s="559"/>
      <c r="Y636" s="559"/>
      <c r="Z636" s="559"/>
    </row>
    <row r="637" spans="1:26" ht="18" customHeight="1" x14ac:dyDescent="0.35">
      <c r="A637" s="559"/>
      <c r="B637" s="559"/>
      <c r="C637" s="559"/>
      <c r="D637" s="559"/>
      <c r="E637" s="559"/>
      <c r="F637" s="559"/>
      <c r="G637" s="559"/>
      <c r="H637" s="559"/>
      <c r="I637" s="559"/>
      <c r="J637" s="559"/>
      <c r="K637" s="559"/>
      <c r="L637" s="559"/>
      <c r="M637" s="559"/>
      <c r="N637" s="559"/>
      <c r="O637" s="559"/>
      <c r="P637" s="559"/>
      <c r="Q637" s="559"/>
      <c r="R637" s="559"/>
      <c r="S637" s="559"/>
      <c r="T637" s="559"/>
      <c r="U637" s="559"/>
      <c r="V637" s="559"/>
      <c r="W637" s="559"/>
      <c r="X637" s="559"/>
      <c r="Y637" s="559"/>
      <c r="Z637" s="559"/>
    </row>
    <row r="638" spans="1:26" ht="18" customHeight="1" x14ac:dyDescent="0.35">
      <c r="A638" s="559"/>
      <c r="B638" s="559"/>
      <c r="C638" s="559"/>
      <c r="D638" s="559"/>
      <c r="E638" s="559"/>
      <c r="F638" s="559"/>
      <c r="G638" s="559"/>
      <c r="H638" s="559"/>
      <c r="I638" s="559"/>
      <c r="J638" s="559"/>
      <c r="K638" s="559"/>
      <c r="L638" s="559"/>
      <c r="M638" s="559"/>
      <c r="N638" s="559"/>
      <c r="O638" s="559"/>
      <c r="P638" s="559"/>
      <c r="Q638" s="559"/>
      <c r="R638" s="559"/>
      <c r="S638" s="559"/>
      <c r="T638" s="559"/>
      <c r="U638" s="559"/>
      <c r="V638" s="559"/>
      <c r="W638" s="559"/>
      <c r="X638" s="559"/>
      <c r="Y638" s="559"/>
      <c r="Z638" s="559"/>
    </row>
    <row r="639" spans="1:26" ht="18" customHeight="1" x14ac:dyDescent="0.35">
      <c r="A639" s="559"/>
      <c r="B639" s="559"/>
      <c r="C639" s="559"/>
      <c r="D639" s="559"/>
      <c r="E639" s="559"/>
      <c r="F639" s="559"/>
      <c r="G639" s="559"/>
      <c r="H639" s="559"/>
      <c r="I639" s="559"/>
      <c r="J639" s="559"/>
      <c r="K639" s="559"/>
      <c r="L639" s="559"/>
      <c r="M639" s="559"/>
      <c r="N639" s="559"/>
      <c r="O639" s="559"/>
      <c r="P639" s="559"/>
      <c r="Q639" s="559"/>
      <c r="R639" s="559"/>
      <c r="S639" s="559"/>
      <c r="T639" s="559"/>
      <c r="U639" s="559"/>
      <c r="V639" s="559"/>
      <c r="W639" s="559"/>
      <c r="X639" s="559"/>
      <c r="Y639" s="559"/>
      <c r="Z639" s="559"/>
    </row>
    <row r="640" spans="1:26" ht="18" customHeight="1" x14ac:dyDescent="0.35">
      <c r="A640" s="559"/>
      <c r="B640" s="559"/>
      <c r="C640" s="559"/>
      <c r="D640" s="559"/>
      <c r="E640" s="559"/>
      <c r="F640" s="559"/>
      <c r="G640" s="559"/>
      <c r="H640" s="559"/>
      <c r="I640" s="559"/>
      <c r="J640" s="559"/>
      <c r="K640" s="559"/>
      <c r="L640" s="559"/>
      <c r="M640" s="559"/>
      <c r="N640" s="559"/>
      <c r="O640" s="559"/>
      <c r="P640" s="559"/>
      <c r="Q640" s="559"/>
      <c r="R640" s="559"/>
      <c r="S640" s="559"/>
      <c r="T640" s="559"/>
      <c r="U640" s="559"/>
      <c r="V640" s="559"/>
      <c r="W640" s="559"/>
      <c r="X640" s="559"/>
      <c r="Y640" s="559"/>
      <c r="Z640" s="559"/>
    </row>
    <row r="641" spans="1:26" ht="18" customHeight="1" x14ac:dyDescent="0.35">
      <c r="A641" s="559"/>
      <c r="B641" s="559"/>
      <c r="C641" s="559"/>
      <c r="D641" s="559"/>
      <c r="E641" s="559"/>
      <c r="F641" s="559"/>
      <c r="G641" s="559"/>
      <c r="H641" s="559"/>
      <c r="I641" s="559"/>
      <c r="J641" s="559"/>
      <c r="K641" s="559"/>
      <c r="L641" s="559"/>
      <c r="M641" s="559"/>
      <c r="N641" s="559"/>
      <c r="O641" s="559"/>
      <c r="P641" s="559"/>
      <c r="Q641" s="559"/>
      <c r="R641" s="559"/>
      <c r="S641" s="559"/>
      <c r="T641" s="559"/>
      <c r="U641" s="559"/>
      <c r="V641" s="559"/>
      <c r="W641" s="559"/>
      <c r="X641" s="559"/>
      <c r="Y641" s="559"/>
      <c r="Z641" s="559"/>
    </row>
    <row r="642" spans="1:26" ht="18" customHeight="1" x14ac:dyDescent="0.35">
      <c r="A642" s="559"/>
      <c r="B642" s="559"/>
      <c r="C642" s="559"/>
      <c r="D642" s="559"/>
      <c r="E642" s="559"/>
      <c r="F642" s="559"/>
      <c r="G642" s="559"/>
      <c r="H642" s="559"/>
      <c r="I642" s="559"/>
      <c r="J642" s="559"/>
      <c r="K642" s="559"/>
      <c r="L642" s="559"/>
      <c r="M642" s="559"/>
      <c r="N642" s="559"/>
      <c r="O642" s="559"/>
      <c r="P642" s="559"/>
      <c r="Q642" s="559"/>
      <c r="R642" s="559"/>
      <c r="S642" s="559"/>
      <c r="T642" s="559"/>
      <c r="U642" s="559"/>
      <c r="V642" s="559"/>
      <c r="W642" s="559"/>
      <c r="X642" s="559"/>
      <c r="Y642" s="559"/>
      <c r="Z642" s="559"/>
    </row>
    <row r="643" spans="1:26" ht="18" customHeight="1" x14ac:dyDescent="0.35">
      <c r="A643" s="559"/>
      <c r="B643" s="559"/>
      <c r="C643" s="559"/>
      <c r="D643" s="559"/>
      <c r="E643" s="559"/>
      <c r="F643" s="559"/>
      <c r="G643" s="559"/>
      <c r="H643" s="559"/>
      <c r="I643" s="559"/>
      <c r="J643" s="559"/>
      <c r="K643" s="559"/>
      <c r="L643" s="559"/>
      <c r="M643" s="559"/>
      <c r="N643" s="559"/>
      <c r="O643" s="559"/>
      <c r="P643" s="559"/>
      <c r="Q643" s="559"/>
      <c r="R643" s="559"/>
      <c r="S643" s="559"/>
      <c r="T643" s="559"/>
      <c r="U643" s="559"/>
      <c r="V643" s="559"/>
      <c r="W643" s="559"/>
      <c r="X643" s="559"/>
      <c r="Y643" s="559"/>
      <c r="Z643" s="559"/>
    </row>
    <row r="644" spans="1:26" ht="18" customHeight="1" x14ac:dyDescent="0.35">
      <c r="A644" s="559"/>
      <c r="B644" s="559"/>
      <c r="C644" s="559"/>
      <c r="D644" s="559"/>
      <c r="E644" s="559"/>
      <c r="F644" s="559"/>
      <c r="G644" s="559"/>
      <c r="H644" s="559"/>
      <c r="I644" s="559"/>
      <c r="J644" s="559"/>
      <c r="K644" s="559"/>
      <c r="L644" s="559"/>
      <c r="M644" s="559"/>
      <c r="N644" s="559"/>
      <c r="O644" s="559"/>
      <c r="P644" s="559"/>
      <c r="Q644" s="559"/>
      <c r="R644" s="559"/>
      <c r="S644" s="559"/>
      <c r="T644" s="559"/>
      <c r="U644" s="559"/>
      <c r="V644" s="559"/>
      <c r="W644" s="559"/>
      <c r="X644" s="559"/>
      <c r="Y644" s="559"/>
      <c r="Z644" s="559"/>
    </row>
    <row r="645" spans="1:26" ht="18" customHeight="1" x14ac:dyDescent="0.35">
      <c r="A645" s="559"/>
      <c r="B645" s="559"/>
      <c r="C645" s="559"/>
      <c r="D645" s="559"/>
      <c r="E645" s="559"/>
      <c r="F645" s="559"/>
      <c r="G645" s="559"/>
      <c r="H645" s="559"/>
      <c r="I645" s="559"/>
      <c r="J645" s="559"/>
      <c r="K645" s="559"/>
      <c r="L645" s="559"/>
      <c r="M645" s="559"/>
      <c r="N645" s="559"/>
      <c r="O645" s="559"/>
      <c r="P645" s="559"/>
      <c r="Q645" s="559"/>
      <c r="R645" s="559"/>
      <c r="S645" s="559"/>
      <c r="T645" s="559"/>
      <c r="U645" s="559"/>
      <c r="V645" s="559"/>
      <c r="W645" s="559"/>
      <c r="X645" s="559"/>
      <c r="Y645" s="559"/>
      <c r="Z645" s="559"/>
    </row>
    <row r="646" spans="1:26" ht="18" customHeight="1" x14ac:dyDescent="0.35">
      <c r="A646" s="559"/>
      <c r="B646" s="559"/>
      <c r="C646" s="559"/>
      <c r="D646" s="559"/>
      <c r="E646" s="559"/>
      <c r="F646" s="559"/>
      <c r="G646" s="559"/>
      <c r="H646" s="559"/>
      <c r="I646" s="559"/>
      <c r="J646" s="559"/>
      <c r="K646" s="559"/>
      <c r="L646" s="559"/>
      <c r="M646" s="559"/>
      <c r="N646" s="559"/>
      <c r="O646" s="559"/>
      <c r="P646" s="559"/>
      <c r="Q646" s="559"/>
      <c r="R646" s="559"/>
      <c r="S646" s="559"/>
      <c r="T646" s="559"/>
      <c r="U646" s="559"/>
      <c r="V646" s="559"/>
      <c r="W646" s="559"/>
      <c r="X646" s="559"/>
      <c r="Y646" s="559"/>
      <c r="Z646" s="559"/>
    </row>
    <row r="647" spans="1:26" ht="18" customHeight="1" x14ac:dyDescent="0.35">
      <c r="A647" s="559"/>
      <c r="B647" s="559"/>
      <c r="C647" s="559"/>
      <c r="D647" s="559"/>
      <c r="E647" s="559"/>
      <c r="F647" s="559"/>
      <c r="G647" s="559"/>
      <c r="H647" s="559"/>
      <c r="I647" s="559"/>
      <c r="J647" s="559"/>
      <c r="K647" s="559"/>
      <c r="L647" s="559"/>
      <c r="M647" s="559"/>
      <c r="N647" s="559"/>
      <c r="O647" s="559"/>
      <c r="P647" s="559"/>
      <c r="Q647" s="559"/>
      <c r="R647" s="559"/>
      <c r="S647" s="559"/>
      <c r="T647" s="559"/>
      <c r="U647" s="559"/>
      <c r="V647" s="559"/>
      <c r="W647" s="559"/>
      <c r="X647" s="559"/>
      <c r="Y647" s="559"/>
      <c r="Z647" s="559"/>
    </row>
    <row r="648" spans="1:26" ht="18" customHeight="1" x14ac:dyDescent="0.35">
      <c r="A648" s="559"/>
      <c r="B648" s="559"/>
      <c r="C648" s="559"/>
      <c r="D648" s="559"/>
      <c r="E648" s="559"/>
      <c r="F648" s="559"/>
      <c r="G648" s="559"/>
      <c r="H648" s="559"/>
      <c r="I648" s="559"/>
      <c r="J648" s="559"/>
      <c r="K648" s="559"/>
      <c r="L648" s="559"/>
      <c r="M648" s="559"/>
      <c r="N648" s="559"/>
      <c r="O648" s="559"/>
      <c r="P648" s="559"/>
      <c r="Q648" s="559"/>
      <c r="R648" s="559"/>
      <c r="S648" s="559"/>
      <c r="T648" s="559"/>
      <c r="U648" s="559"/>
      <c r="V648" s="559"/>
      <c r="W648" s="559"/>
      <c r="X648" s="559"/>
      <c r="Y648" s="559"/>
      <c r="Z648" s="559"/>
    </row>
    <row r="649" spans="1:26" ht="18" customHeight="1" x14ac:dyDescent="0.35">
      <c r="A649" s="559"/>
      <c r="B649" s="559"/>
      <c r="C649" s="559"/>
      <c r="D649" s="559"/>
      <c r="E649" s="559"/>
      <c r="F649" s="559"/>
      <c r="G649" s="559"/>
      <c r="H649" s="559"/>
      <c r="I649" s="559"/>
      <c r="J649" s="559"/>
      <c r="K649" s="559"/>
      <c r="L649" s="559"/>
      <c r="M649" s="559"/>
      <c r="N649" s="559"/>
      <c r="O649" s="559"/>
      <c r="P649" s="559"/>
      <c r="Q649" s="559"/>
      <c r="R649" s="559"/>
      <c r="S649" s="559"/>
      <c r="T649" s="559"/>
      <c r="U649" s="559"/>
      <c r="V649" s="559"/>
      <c r="W649" s="559"/>
      <c r="X649" s="559"/>
      <c r="Y649" s="559"/>
      <c r="Z649" s="559"/>
    </row>
    <row r="650" spans="1:26" ht="18" customHeight="1" x14ac:dyDescent="0.35">
      <c r="A650" s="559"/>
      <c r="B650" s="559"/>
      <c r="C650" s="559"/>
      <c r="D650" s="559"/>
      <c r="E650" s="559"/>
      <c r="F650" s="559"/>
      <c r="G650" s="559"/>
      <c r="H650" s="559"/>
      <c r="I650" s="559"/>
      <c r="J650" s="559"/>
      <c r="K650" s="559"/>
      <c r="L650" s="559"/>
      <c r="M650" s="559"/>
      <c r="N650" s="559"/>
      <c r="O650" s="559"/>
      <c r="P650" s="559"/>
      <c r="Q650" s="559"/>
      <c r="R650" s="559"/>
      <c r="S650" s="559"/>
      <c r="T650" s="559"/>
      <c r="U650" s="559"/>
      <c r="V650" s="559"/>
      <c r="W650" s="559"/>
      <c r="X650" s="559"/>
      <c r="Y650" s="559"/>
      <c r="Z650" s="559"/>
    </row>
    <row r="651" spans="1:26" ht="18" customHeight="1" x14ac:dyDescent="0.35">
      <c r="A651" s="559"/>
      <c r="B651" s="559"/>
      <c r="C651" s="559"/>
      <c r="D651" s="559"/>
      <c r="E651" s="559"/>
      <c r="F651" s="559"/>
      <c r="G651" s="559"/>
      <c r="H651" s="559"/>
      <c r="I651" s="559"/>
      <c r="J651" s="559"/>
      <c r="K651" s="559"/>
      <c r="L651" s="559"/>
      <c r="M651" s="559"/>
      <c r="N651" s="559"/>
      <c r="O651" s="559"/>
      <c r="P651" s="559"/>
      <c r="Q651" s="559"/>
      <c r="R651" s="559"/>
      <c r="S651" s="559"/>
      <c r="T651" s="559"/>
      <c r="U651" s="559"/>
      <c r="V651" s="559"/>
      <c r="W651" s="559"/>
      <c r="X651" s="559"/>
      <c r="Y651" s="559"/>
      <c r="Z651" s="559"/>
    </row>
    <row r="652" spans="1:26" ht="18" customHeight="1" x14ac:dyDescent="0.35">
      <c r="A652" s="559"/>
      <c r="B652" s="559"/>
      <c r="C652" s="559"/>
      <c r="D652" s="559"/>
      <c r="E652" s="559"/>
      <c r="F652" s="559"/>
      <c r="G652" s="559"/>
      <c r="H652" s="559"/>
      <c r="I652" s="559"/>
      <c r="J652" s="559"/>
      <c r="K652" s="559"/>
      <c r="L652" s="559"/>
      <c r="M652" s="559"/>
      <c r="N652" s="559"/>
      <c r="O652" s="559"/>
      <c r="P652" s="559"/>
      <c r="Q652" s="559"/>
      <c r="R652" s="559"/>
      <c r="S652" s="559"/>
      <c r="T652" s="559"/>
      <c r="U652" s="559"/>
      <c r="V652" s="559"/>
      <c r="W652" s="559"/>
      <c r="X652" s="559"/>
      <c r="Y652" s="559"/>
      <c r="Z652" s="559"/>
    </row>
    <row r="653" spans="1:26" ht="18" customHeight="1" x14ac:dyDescent="0.35">
      <c r="A653" s="559"/>
      <c r="B653" s="559"/>
      <c r="C653" s="559"/>
      <c r="D653" s="559"/>
      <c r="E653" s="559"/>
      <c r="F653" s="559"/>
      <c r="G653" s="559"/>
      <c r="H653" s="559"/>
      <c r="I653" s="559"/>
      <c r="J653" s="559"/>
      <c r="K653" s="559"/>
      <c r="L653" s="559"/>
      <c r="M653" s="559"/>
      <c r="N653" s="559"/>
      <c r="O653" s="559"/>
      <c r="P653" s="559"/>
      <c r="Q653" s="559"/>
      <c r="R653" s="559"/>
      <c r="S653" s="559"/>
      <c r="T653" s="559"/>
      <c r="U653" s="559"/>
      <c r="V653" s="559"/>
      <c r="W653" s="559"/>
      <c r="X653" s="559"/>
      <c r="Y653" s="559"/>
      <c r="Z653" s="559"/>
    </row>
    <row r="654" spans="1:26" ht="18" customHeight="1" x14ac:dyDescent="0.35">
      <c r="A654" s="559"/>
      <c r="B654" s="559"/>
      <c r="C654" s="559"/>
      <c r="D654" s="559"/>
      <c r="E654" s="559"/>
      <c r="F654" s="559"/>
      <c r="G654" s="559"/>
      <c r="H654" s="559"/>
      <c r="I654" s="559"/>
      <c r="J654" s="559"/>
      <c r="K654" s="559"/>
      <c r="L654" s="559"/>
      <c r="M654" s="559"/>
      <c r="N654" s="559"/>
      <c r="O654" s="559"/>
      <c r="P654" s="559"/>
      <c r="Q654" s="559"/>
      <c r="R654" s="559"/>
      <c r="S654" s="559"/>
      <c r="T654" s="559"/>
      <c r="U654" s="559"/>
      <c r="V654" s="559"/>
      <c r="W654" s="559"/>
      <c r="X654" s="559"/>
      <c r="Y654" s="559"/>
      <c r="Z654" s="559"/>
    </row>
    <row r="655" spans="1:26" ht="18" customHeight="1" x14ac:dyDescent="0.35">
      <c r="A655" s="559"/>
      <c r="B655" s="559"/>
      <c r="C655" s="559"/>
      <c r="D655" s="559"/>
      <c r="E655" s="559"/>
      <c r="F655" s="559"/>
      <c r="G655" s="559"/>
      <c r="H655" s="559"/>
      <c r="I655" s="559"/>
      <c r="J655" s="559"/>
      <c r="K655" s="559"/>
      <c r="L655" s="559"/>
      <c r="M655" s="559"/>
      <c r="N655" s="559"/>
      <c r="O655" s="559"/>
      <c r="P655" s="559"/>
      <c r="Q655" s="559"/>
      <c r="R655" s="559"/>
      <c r="S655" s="559"/>
      <c r="T655" s="559"/>
      <c r="U655" s="559"/>
      <c r="V655" s="559"/>
      <c r="W655" s="559"/>
      <c r="X655" s="559"/>
      <c r="Y655" s="559"/>
      <c r="Z655" s="559"/>
    </row>
    <row r="656" spans="1:26" ht="18" customHeight="1" x14ac:dyDescent="0.35">
      <c r="A656" s="559"/>
      <c r="B656" s="559"/>
      <c r="C656" s="559"/>
      <c r="D656" s="559"/>
      <c r="E656" s="559"/>
      <c r="F656" s="559"/>
      <c r="G656" s="559"/>
      <c r="H656" s="559"/>
      <c r="I656" s="559"/>
      <c r="J656" s="559"/>
      <c r="K656" s="559"/>
      <c r="L656" s="559"/>
      <c r="M656" s="559"/>
      <c r="N656" s="559"/>
      <c r="O656" s="559"/>
      <c r="P656" s="559"/>
      <c r="Q656" s="559"/>
      <c r="R656" s="559"/>
      <c r="S656" s="559"/>
      <c r="T656" s="559"/>
      <c r="U656" s="559"/>
      <c r="V656" s="559"/>
      <c r="W656" s="559"/>
      <c r="X656" s="559"/>
      <c r="Y656" s="559"/>
      <c r="Z656" s="559"/>
    </row>
    <row r="657" spans="1:26" ht="18" customHeight="1" x14ac:dyDescent="0.35">
      <c r="A657" s="559"/>
      <c r="B657" s="559"/>
      <c r="C657" s="559"/>
      <c r="D657" s="559"/>
      <c r="E657" s="559"/>
      <c r="F657" s="559"/>
      <c r="G657" s="559"/>
      <c r="H657" s="559"/>
      <c r="I657" s="559"/>
      <c r="J657" s="559"/>
      <c r="K657" s="559"/>
      <c r="L657" s="559"/>
      <c r="M657" s="559"/>
      <c r="N657" s="559"/>
      <c r="O657" s="559"/>
      <c r="P657" s="559"/>
      <c r="Q657" s="559"/>
      <c r="R657" s="559"/>
      <c r="S657" s="559"/>
      <c r="T657" s="559"/>
      <c r="U657" s="559"/>
      <c r="V657" s="559"/>
      <c r="W657" s="559"/>
      <c r="X657" s="559"/>
      <c r="Y657" s="559"/>
      <c r="Z657" s="559"/>
    </row>
    <row r="658" spans="1:26" ht="18" customHeight="1" x14ac:dyDescent="0.35">
      <c r="A658" s="559"/>
      <c r="B658" s="559"/>
      <c r="C658" s="559"/>
      <c r="D658" s="559"/>
      <c r="E658" s="559"/>
      <c r="F658" s="559"/>
      <c r="G658" s="559"/>
      <c r="H658" s="559"/>
      <c r="I658" s="559"/>
      <c r="J658" s="559"/>
      <c r="K658" s="559"/>
      <c r="L658" s="559"/>
      <c r="M658" s="559"/>
      <c r="N658" s="559"/>
      <c r="O658" s="559"/>
      <c r="P658" s="559"/>
      <c r="Q658" s="559"/>
      <c r="R658" s="559"/>
      <c r="S658" s="559"/>
      <c r="T658" s="559"/>
      <c r="U658" s="559"/>
      <c r="V658" s="559"/>
      <c r="W658" s="559"/>
      <c r="X658" s="559"/>
      <c r="Y658" s="559"/>
      <c r="Z658" s="559"/>
    </row>
    <row r="659" spans="1:26" ht="18" customHeight="1" x14ac:dyDescent="0.35">
      <c r="A659" s="559"/>
      <c r="B659" s="559"/>
      <c r="C659" s="559"/>
      <c r="D659" s="559"/>
      <c r="E659" s="559"/>
      <c r="F659" s="559"/>
      <c r="G659" s="559"/>
      <c r="H659" s="559"/>
      <c r="I659" s="559"/>
      <c r="J659" s="559"/>
      <c r="K659" s="559"/>
      <c r="L659" s="559"/>
      <c r="M659" s="559"/>
      <c r="N659" s="559"/>
      <c r="O659" s="559"/>
      <c r="P659" s="559"/>
      <c r="Q659" s="559"/>
      <c r="R659" s="559"/>
      <c r="S659" s="559"/>
      <c r="T659" s="559"/>
      <c r="U659" s="559"/>
      <c r="V659" s="559"/>
      <c r="W659" s="559"/>
      <c r="X659" s="559"/>
      <c r="Y659" s="559"/>
      <c r="Z659" s="559"/>
    </row>
    <row r="660" spans="1:26" ht="18" customHeight="1" x14ac:dyDescent="0.35">
      <c r="A660" s="559"/>
      <c r="B660" s="559"/>
      <c r="C660" s="559"/>
      <c r="D660" s="559"/>
      <c r="E660" s="559"/>
      <c r="F660" s="559"/>
      <c r="G660" s="559"/>
      <c r="H660" s="559"/>
      <c r="I660" s="559"/>
      <c r="J660" s="559"/>
      <c r="K660" s="559"/>
      <c r="L660" s="559"/>
      <c r="M660" s="559"/>
      <c r="N660" s="559"/>
      <c r="O660" s="559"/>
      <c r="P660" s="559"/>
      <c r="Q660" s="559"/>
      <c r="R660" s="559"/>
      <c r="S660" s="559"/>
      <c r="T660" s="559"/>
      <c r="U660" s="559"/>
      <c r="V660" s="559"/>
      <c r="W660" s="559"/>
      <c r="X660" s="559"/>
      <c r="Y660" s="559"/>
      <c r="Z660" s="559"/>
    </row>
    <row r="661" spans="1:26" ht="18" customHeight="1" x14ac:dyDescent="0.35">
      <c r="A661" s="559"/>
      <c r="B661" s="559"/>
      <c r="C661" s="559"/>
      <c r="D661" s="559"/>
      <c r="E661" s="559"/>
      <c r="F661" s="559"/>
      <c r="G661" s="559"/>
      <c r="H661" s="559"/>
      <c r="I661" s="559"/>
      <c r="J661" s="559"/>
      <c r="K661" s="559"/>
      <c r="L661" s="559"/>
      <c r="M661" s="559"/>
      <c r="N661" s="559"/>
      <c r="O661" s="559"/>
      <c r="P661" s="559"/>
      <c r="Q661" s="559"/>
      <c r="R661" s="559"/>
      <c r="S661" s="559"/>
      <c r="T661" s="559"/>
      <c r="U661" s="559"/>
      <c r="V661" s="559"/>
      <c r="W661" s="559"/>
      <c r="X661" s="559"/>
      <c r="Y661" s="559"/>
      <c r="Z661" s="559"/>
    </row>
    <row r="662" spans="1:26" ht="18" customHeight="1" x14ac:dyDescent="0.35">
      <c r="A662" s="559"/>
      <c r="B662" s="559"/>
      <c r="C662" s="559"/>
      <c r="D662" s="559"/>
      <c r="E662" s="559"/>
      <c r="F662" s="559"/>
      <c r="G662" s="559"/>
      <c r="H662" s="559"/>
      <c r="I662" s="559"/>
      <c r="J662" s="559"/>
      <c r="K662" s="559"/>
      <c r="L662" s="559"/>
      <c r="M662" s="559"/>
      <c r="N662" s="559"/>
      <c r="O662" s="559"/>
      <c r="P662" s="559"/>
      <c r="Q662" s="559"/>
      <c r="R662" s="559"/>
      <c r="S662" s="559"/>
      <c r="T662" s="559"/>
      <c r="U662" s="559"/>
      <c r="V662" s="559"/>
      <c r="W662" s="559"/>
      <c r="X662" s="559"/>
      <c r="Y662" s="559"/>
      <c r="Z662" s="559"/>
    </row>
    <row r="663" spans="1:26" ht="18" customHeight="1" x14ac:dyDescent="0.35">
      <c r="A663" s="559"/>
      <c r="B663" s="559"/>
      <c r="C663" s="559"/>
      <c r="D663" s="559"/>
      <c r="E663" s="559"/>
      <c r="F663" s="559"/>
      <c r="G663" s="559"/>
      <c r="H663" s="559"/>
      <c r="I663" s="559"/>
      <c r="J663" s="559"/>
      <c r="K663" s="559"/>
      <c r="L663" s="559"/>
      <c r="M663" s="559"/>
      <c r="N663" s="559"/>
      <c r="O663" s="559"/>
      <c r="P663" s="559"/>
      <c r="Q663" s="559"/>
      <c r="R663" s="559"/>
      <c r="S663" s="559"/>
      <c r="T663" s="559"/>
      <c r="U663" s="559"/>
      <c r="V663" s="559"/>
      <c r="W663" s="559"/>
      <c r="X663" s="559"/>
      <c r="Y663" s="559"/>
      <c r="Z663" s="559"/>
    </row>
    <row r="664" spans="1:26" ht="18" customHeight="1" x14ac:dyDescent="0.35">
      <c r="A664" s="559"/>
      <c r="B664" s="559"/>
      <c r="C664" s="559"/>
      <c r="D664" s="559"/>
      <c r="E664" s="559"/>
      <c r="F664" s="559"/>
      <c r="G664" s="559"/>
      <c r="H664" s="559"/>
      <c r="I664" s="559"/>
      <c r="J664" s="559"/>
      <c r="K664" s="559"/>
      <c r="L664" s="559"/>
      <c r="M664" s="559"/>
      <c r="N664" s="559"/>
      <c r="O664" s="559"/>
      <c r="P664" s="559"/>
      <c r="Q664" s="559"/>
      <c r="R664" s="559"/>
      <c r="S664" s="559"/>
      <c r="T664" s="559"/>
      <c r="U664" s="559"/>
      <c r="V664" s="559"/>
      <c r="W664" s="559"/>
      <c r="X664" s="559"/>
      <c r="Y664" s="559"/>
      <c r="Z664" s="559"/>
    </row>
    <row r="665" spans="1:26" ht="18" customHeight="1" x14ac:dyDescent="0.35">
      <c r="A665" s="559"/>
      <c r="B665" s="559"/>
      <c r="C665" s="559"/>
      <c r="D665" s="559"/>
      <c r="E665" s="559"/>
      <c r="F665" s="559"/>
      <c r="G665" s="559"/>
      <c r="H665" s="559"/>
      <c r="I665" s="559"/>
      <c r="J665" s="559"/>
      <c r="K665" s="559"/>
      <c r="L665" s="559"/>
      <c r="M665" s="559"/>
      <c r="N665" s="559"/>
      <c r="O665" s="559"/>
      <c r="P665" s="559"/>
      <c r="Q665" s="559"/>
      <c r="R665" s="559"/>
      <c r="S665" s="559"/>
      <c r="T665" s="559"/>
      <c r="U665" s="559"/>
      <c r="V665" s="559"/>
      <c r="W665" s="559"/>
      <c r="X665" s="559"/>
      <c r="Y665" s="559"/>
      <c r="Z665" s="559"/>
    </row>
    <row r="666" spans="1:26" ht="18" customHeight="1" x14ac:dyDescent="0.35">
      <c r="A666" s="559"/>
      <c r="B666" s="559"/>
      <c r="C666" s="559"/>
      <c r="D666" s="559"/>
      <c r="E666" s="559"/>
      <c r="F666" s="559"/>
      <c r="G666" s="559"/>
      <c r="H666" s="559"/>
      <c r="I666" s="559"/>
      <c r="J666" s="559"/>
      <c r="K666" s="559"/>
      <c r="L666" s="559"/>
      <c r="M666" s="559"/>
      <c r="N666" s="559"/>
      <c r="O666" s="559"/>
      <c r="P666" s="559"/>
      <c r="Q666" s="559"/>
      <c r="R666" s="559"/>
      <c r="S666" s="559"/>
      <c r="T666" s="559"/>
      <c r="U666" s="559"/>
      <c r="V666" s="559"/>
      <c r="W666" s="559"/>
      <c r="X666" s="559"/>
      <c r="Y666" s="559"/>
      <c r="Z666" s="559"/>
    </row>
    <row r="667" spans="1:26" ht="18" customHeight="1" x14ac:dyDescent="0.35">
      <c r="A667" s="559"/>
      <c r="B667" s="559"/>
      <c r="C667" s="559"/>
      <c r="D667" s="559"/>
      <c r="E667" s="559"/>
      <c r="F667" s="559"/>
      <c r="G667" s="559"/>
      <c r="H667" s="559"/>
      <c r="I667" s="559"/>
      <c r="J667" s="559"/>
      <c r="K667" s="559"/>
      <c r="L667" s="559"/>
      <c r="M667" s="559"/>
      <c r="N667" s="559"/>
      <c r="O667" s="559"/>
      <c r="P667" s="559"/>
      <c r="Q667" s="559"/>
      <c r="R667" s="559"/>
      <c r="S667" s="559"/>
      <c r="T667" s="559"/>
      <c r="U667" s="559"/>
      <c r="V667" s="559"/>
      <c r="W667" s="559"/>
      <c r="X667" s="559"/>
      <c r="Y667" s="559"/>
      <c r="Z667" s="559"/>
    </row>
    <row r="668" spans="1:26" ht="18" customHeight="1" x14ac:dyDescent="0.35">
      <c r="A668" s="559"/>
      <c r="B668" s="559"/>
      <c r="C668" s="559"/>
      <c r="D668" s="559"/>
      <c r="E668" s="559"/>
      <c r="F668" s="559"/>
      <c r="G668" s="559"/>
      <c r="H668" s="559"/>
      <c r="I668" s="559"/>
      <c r="J668" s="559"/>
      <c r="K668" s="559"/>
      <c r="L668" s="559"/>
      <c r="M668" s="559"/>
      <c r="N668" s="559"/>
      <c r="O668" s="559"/>
      <c r="P668" s="559"/>
      <c r="Q668" s="559"/>
      <c r="R668" s="559"/>
      <c r="S668" s="559"/>
      <c r="T668" s="559"/>
      <c r="U668" s="559"/>
      <c r="V668" s="559"/>
      <c r="W668" s="559"/>
      <c r="X668" s="559"/>
      <c r="Y668" s="559"/>
      <c r="Z668" s="559"/>
    </row>
    <row r="669" spans="1:26" ht="18" customHeight="1" x14ac:dyDescent="0.35">
      <c r="A669" s="559"/>
      <c r="B669" s="559"/>
      <c r="C669" s="559"/>
      <c r="D669" s="559"/>
      <c r="E669" s="559"/>
      <c r="F669" s="559"/>
      <c r="G669" s="559"/>
      <c r="H669" s="559"/>
      <c r="I669" s="559"/>
      <c r="J669" s="559"/>
      <c r="K669" s="559"/>
      <c r="L669" s="559"/>
      <c r="M669" s="559"/>
      <c r="N669" s="559"/>
      <c r="O669" s="559"/>
      <c r="P669" s="559"/>
      <c r="Q669" s="559"/>
      <c r="R669" s="559"/>
      <c r="S669" s="559"/>
      <c r="T669" s="559"/>
      <c r="U669" s="559"/>
      <c r="V669" s="559"/>
      <c r="W669" s="559"/>
      <c r="X669" s="559"/>
      <c r="Y669" s="559"/>
      <c r="Z669" s="559"/>
    </row>
    <row r="670" spans="1:26" ht="18" customHeight="1" x14ac:dyDescent="0.35">
      <c r="A670" s="559"/>
      <c r="B670" s="559"/>
      <c r="C670" s="559"/>
      <c r="D670" s="559"/>
      <c r="E670" s="559"/>
      <c r="F670" s="559"/>
      <c r="G670" s="559"/>
      <c r="H670" s="559"/>
      <c r="I670" s="559"/>
      <c r="J670" s="559"/>
      <c r="K670" s="559"/>
      <c r="L670" s="559"/>
      <c r="M670" s="559"/>
      <c r="N670" s="559"/>
      <c r="O670" s="559"/>
      <c r="P670" s="559"/>
      <c r="Q670" s="559"/>
      <c r="R670" s="559"/>
      <c r="S670" s="559"/>
      <c r="T670" s="559"/>
      <c r="U670" s="559"/>
      <c r="V670" s="559"/>
      <c r="W670" s="559"/>
      <c r="X670" s="559"/>
      <c r="Y670" s="559"/>
      <c r="Z670" s="559"/>
    </row>
    <row r="671" spans="1:26" ht="18" customHeight="1" x14ac:dyDescent="0.35">
      <c r="A671" s="559"/>
      <c r="B671" s="559"/>
      <c r="C671" s="559"/>
      <c r="D671" s="559"/>
      <c r="E671" s="559"/>
      <c r="F671" s="559"/>
      <c r="G671" s="559"/>
      <c r="H671" s="559"/>
      <c r="I671" s="559"/>
      <c r="J671" s="559"/>
      <c r="K671" s="559"/>
      <c r="L671" s="559"/>
      <c r="M671" s="559"/>
      <c r="N671" s="559"/>
      <c r="O671" s="559"/>
      <c r="P671" s="559"/>
      <c r="Q671" s="559"/>
      <c r="R671" s="559"/>
      <c r="S671" s="559"/>
      <c r="T671" s="559"/>
      <c r="U671" s="559"/>
      <c r="V671" s="559"/>
      <c r="W671" s="559"/>
      <c r="X671" s="559"/>
      <c r="Y671" s="559"/>
      <c r="Z671" s="559"/>
    </row>
    <row r="672" spans="1:26" ht="18" customHeight="1" x14ac:dyDescent="0.35">
      <c r="A672" s="559"/>
      <c r="B672" s="559"/>
      <c r="C672" s="559"/>
      <c r="D672" s="559"/>
      <c r="E672" s="559"/>
      <c r="F672" s="559"/>
      <c r="G672" s="559"/>
      <c r="H672" s="559"/>
      <c r="I672" s="559"/>
      <c r="J672" s="559"/>
      <c r="K672" s="559"/>
      <c r="L672" s="559"/>
      <c r="M672" s="559"/>
      <c r="N672" s="559"/>
      <c r="O672" s="559"/>
      <c r="P672" s="559"/>
      <c r="Q672" s="559"/>
      <c r="R672" s="559"/>
      <c r="S672" s="559"/>
      <c r="T672" s="559"/>
      <c r="U672" s="559"/>
      <c r="V672" s="559"/>
      <c r="W672" s="559"/>
      <c r="X672" s="559"/>
      <c r="Y672" s="559"/>
      <c r="Z672" s="559"/>
    </row>
    <row r="673" spans="1:26" ht="18" customHeight="1" x14ac:dyDescent="0.35">
      <c r="A673" s="559"/>
      <c r="B673" s="559"/>
      <c r="C673" s="559"/>
      <c r="D673" s="559"/>
      <c r="E673" s="559"/>
      <c r="F673" s="559"/>
      <c r="G673" s="559"/>
      <c r="H673" s="559"/>
      <c r="I673" s="559"/>
      <c r="J673" s="559"/>
      <c r="K673" s="559"/>
      <c r="L673" s="559"/>
      <c r="M673" s="559"/>
      <c r="N673" s="559"/>
      <c r="O673" s="559"/>
      <c r="P673" s="559"/>
      <c r="Q673" s="559"/>
      <c r="R673" s="559"/>
      <c r="S673" s="559"/>
      <c r="T673" s="559"/>
      <c r="U673" s="559"/>
      <c r="V673" s="559"/>
      <c r="W673" s="559"/>
      <c r="X673" s="559"/>
      <c r="Y673" s="559"/>
      <c r="Z673" s="559"/>
    </row>
    <row r="674" spans="1:26" ht="18" customHeight="1" x14ac:dyDescent="0.35">
      <c r="A674" s="559"/>
      <c r="B674" s="559"/>
      <c r="C674" s="559"/>
      <c r="D674" s="559"/>
      <c r="E674" s="559"/>
      <c r="F674" s="559"/>
      <c r="G674" s="559"/>
      <c r="H674" s="559"/>
      <c r="I674" s="559"/>
      <c r="J674" s="559"/>
      <c r="K674" s="559"/>
      <c r="L674" s="559"/>
      <c r="M674" s="559"/>
      <c r="N674" s="559"/>
      <c r="O674" s="559"/>
      <c r="P674" s="559"/>
      <c r="Q674" s="559"/>
      <c r="R674" s="559"/>
      <c r="S674" s="559"/>
      <c r="T674" s="559"/>
      <c r="U674" s="559"/>
      <c r="V674" s="559"/>
      <c r="W674" s="559"/>
      <c r="X674" s="559"/>
      <c r="Y674" s="559"/>
      <c r="Z674" s="559"/>
    </row>
    <row r="675" spans="1:26" ht="18" customHeight="1" x14ac:dyDescent="0.35">
      <c r="A675" s="559"/>
      <c r="B675" s="559"/>
      <c r="C675" s="559"/>
      <c r="D675" s="559"/>
      <c r="E675" s="559"/>
      <c r="F675" s="559"/>
      <c r="G675" s="559"/>
      <c r="H675" s="559"/>
      <c r="I675" s="559"/>
      <c r="J675" s="559"/>
      <c r="K675" s="559"/>
      <c r="L675" s="559"/>
      <c r="M675" s="559"/>
      <c r="N675" s="559"/>
      <c r="O675" s="559"/>
      <c r="P675" s="559"/>
      <c r="Q675" s="559"/>
      <c r="R675" s="559"/>
      <c r="S675" s="559"/>
      <c r="T675" s="559"/>
      <c r="U675" s="559"/>
      <c r="V675" s="559"/>
      <c r="W675" s="559"/>
      <c r="X675" s="559"/>
      <c r="Y675" s="559"/>
      <c r="Z675" s="559"/>
    </row>
    <row r="676" spans="1:26" ht="18" customHeight="1" x14ac:dyDescent="0.35">
      <c r="A676" s="559"/>
      <c r="B676" s="559"/>
      <c r="C676" s="559"/>
      <c r="D676" s="559"/>
      <c r="E676" s="559"/>
      <c r="F676" s="559"/>
      <c r="G676" s="559"/>
      <c r="H676" s="559"/>
      <c r="I676" s="559"/>
      <c r="J676" s="559"/>
      <c r="K676" s="559"/>
      <c r="L676" s="559"/>
      <c r="M676" s="559"/>
      <c r="N676" s="559"/>
      <c r="O676" s="559"/>
      <c r="P676" s="559"/>
      <c r="Q676" s="559"/>
      <c r="R676" s="559"/>
      <c r="S676" s="559"/>
      <c r="T676" s="559"/>
      <c r="U676" s="559"/>
      <c r="V676" s="559"/>
      <c r="W676" s="559"/>
      <c r="X676" s="559"/>
      <c r="Y676" s="559"/>
      <c r="Z676" s="559"/>
    </row>
    <row r="677" spans="1:26" ht="18" customHeight="1" x14ac:dyDescent="0.35">
      <c r="A677" s="559"/>
      <c r="B677" s="559"/>
      <c r="C677" s="559"/>
      <c r="D677" s="559"/>
      <c r="E677" s="559"/>
      <c r="F677" s="559"/>
      <c r="G677" s="559"/>
      <c r="H677" s="559"/>
      <c r="I677" s="559"/>
      <c r="J677" s="559"/>
      <c r="K677" s="559"/>
      <c r="L677" s="559"/>
      <c r="M677" s="559"/>
      <c r="N677" s="559"/>
      <c r="O677" s="559"/>
      <c r="P677" s="559"/>
      <c r="Q677" s="559"/>
      <c r="R677" s="559"/>
      <c r="S677" s="559"/>
      <c r="T677" s="559"/>
      <c r="U677" s="559"/>
      <c r="V677" s="559"/>
      <c r="W677" s="559"/>
      <c r="X677" s="559"/>
      <c r="Y677" s="559"/>
      <c r="Z677" s="559"/>
    </row>
    <row r="678" spans="1:26" ht="18" customHeight="1" x14ac:dyDescent="0.35">
      <c r="A678" s="559"/>
      <c r="B678" s="559"/>
      <c r="C678" s="559"/>
      <c r="D678" s="559"/>
      <c r="E678" s="559"/>
      <c r="F678" s="559"/>
      <c r="G678" s="559"/>
      <c r="H678" s="559"/>
      <c r="I678" s="559"/>
      <c r="J678" s="559"/>
      <c r="K678" s="559"/>
      <c r="L678" s="559"/>
      <c r="M678" s="559"/>
      <c r="N678" s="559"/>
      <c r="O678" s="559"/>
      <c r="P678" s="559"/>
      <c r="Q678" s="559"/>
      <c r="R678" s="559"/>
      <c r="S678" s="559"/>
      <c r="T678" s="559"/>
      <c r="U678" s="559"/>
      <c r="V678" s="559"/>
      <c r="W678" s="559"/>
      <c r="X678" s="559"/>
      <c r="Y678" s="559"/>
      <c r="Z678" s="559"/>
    </row>
    <row r="679" spans="1:26" ht="18" customHeight="1" x14ac:dyDescent="0.35">
      <c r="A679" s="559"/>
      <c r="B679" s="559"/>
      <c r="C679" s="559"/>
      <c r="D679" s="559"/>
      <c r="E679" s="559"/>
      <c r="F679" s="559"/>
      <c r="G679" s="559"/>
      <c r="H679" s="559"/>
      <c r="I679" s="559"/>
      <c r="J679" s="559"/>
      <c r="K679" s="559"/>
      <c r="L679" s="559"/>
      <c r="M679" s="559"/>
      <c r="N679" s="559"/>
      <c r="O679" s="559"/>
      <c r="P679" s="559"/>
      <c r="Q679" s="559"/>
      <c r="R679" s="559"/>
      <c r="S679" s="559"/>
      <c r="T679" s="559"/>
      <c r="U679" s="559"/>
      <c r="V679" s="559"/>
      <c r="W679" s="559"/>
      <c r="X679" s="559"/>
      <c r="Y679" s="559"/>
      <c r="Z679" s="559"/>
    </row>
    <row r="680" spans="1:26" ht="18" customHeight="1" x14ac:dyDescent="0.35">
      <c r="A680" s="559"/>
      <c r="B680" s="559"/>
      <c r="C680" s="559"/>
      <c r="D680" s="559"/>
      <c r="E680" s="559"/>
      <c r="F680" s="559"/>
      <c r="G680" s="559"/>
      <c r="H680" s="559"/>
      <c r="I680" s="559"/>
      <c r="J680" s="559"/>
      <c r="K680" s="559"/>
      <c r="L680" s="559"/>
      <c r="M680" s="559"/>
      <c r="N680" s="559"/>
      <c r="O680" s="559"/>
      <c r="P680" s="559"/>
      <c r="Q680" s="559"/>
      <c r="R680" s="559"/>
      <c r="S680" s="559"/>
      <c r="T680" s="559"/>
      <c r="U680" s="559"/>
      <c r="V680" s="559"/>
      <c r="W680" s="559"/>
      <c r="X680" s="559"/>
      <c r="Y680" s="559"/>
      <c r="Z680" s="559"/>
    </row>
    <row r="681" spans="1:26" ht="18" customHeight="1" x14ac:dyDescent="0.35">
      <c r="A681" s="559"/>
      <c r="B681" s="559"/>
      <c r="C681" s="559"/>
      <c r="D681" s="559"/>
      <c r="E681" s="559"/>
      <c r="F681" s="559"/>
      <c r="G681" s="559"/>
      <c r="H681" s="559"/>
      <c r="I681" s="559"/>
      <c r="J681" s="559"/>
      <c r="K681" s="559"/>
      <c r="L681" s="559"/>
      <c r="M681" s="559"/>
      <c r="N681" s="559"/>
      <c r="O681" s="559"/>
      <c r="P681" s="559"/>
      <c r="Q681" s="559"/>
      <c r="R681" s="559"/>
      <c r="S681" s="559"/>
      <c r="T681" s="559"/>
      <c r="U681" s="559"/>
      <c r="V681" s="559"/>
      <c r="W681" s="559"/>
      <c r="X681" s="559"/>
      <c r="Y681" s="559"/>
      <c r="Z681" s="559"/>
    </row>
    <row r="682" spans="1:26" ht="18" customHeight="1" x14ac:dyDescent="0.35">
      <c r="A682" s="559"/>
      <c r="B682" s="559"/>
      <c r="C682" s="559"/>
      <c r="D682" s="559"/>
      <c r="E682" s="559"/>
      <c r="F682" s="559"/>
      <c r="G682" s="559"/>
      <c r="H682" s="559"/>
      <c r="I682" s="559"/>
      <c r="J682" s="559"/>
      <c r="K682" s="559"/>
      <c r="L682" s="559"/>
      <c r="M682" s="559"/>
      <c r="N682" s="559"/>
      <c r="O682" s="559"/>
      <c r="P682" s="559"/>
      <c r="Q682" s="559"/>
      <c r="R682" s="559"/>
      <c r="S682" s="559"/>
      <c r="T682" s="559"/>
      <c r="U682" s="559"/>
      <c r="V682" s="559"/>
      <c r="W682" s="559"/>
      <c r="X682" s="559"/>
      <c r="Y682" s="559"/>
      <c r="Z682" s="559"/>
    </row>
    <row r="683" spans="1:26" ht="18" customHeight="1" x14ac:dyDescent="0.35">
      <c r="A683" s="559"/>
      <c r="B683" s="559"/>
      <c r="C683" s="559"/>
      <c r="D683" s="559"/>
      <c r="E683" s="559"/>
      <c r="F683" s="559"/>
      <c r="G683" s="559"/>
      <c r="H683" s="559"/>
      <c r="I683" s="559"/>
      <c r="J683" s="559"/>
      <c r="K683" s="559"/>
      <c r="L683" s="559"/>
      <c r="M683" s="559"/>
      <c r="N683" s="559"/>
      <c r="O683" s="559"/>
      <c r="P683" s="559"/>
      <c r="Q683" s="559"/>
      <c r="R683" s="559"/>
      <c r="S683" s="559"/>
      <c r="T683" s="559"/>
      <c r="U683" s="559"/>
      <c r="V683" s="559"/>
      <c r="W683" s="559"/>
      <c r="X683" s="559"/>
      <c r="Y683" s="559"/>
      <c r="Z683" s="559"/>
    </row>
    <row r="684" spans="1:26" ht="18" customHeight="1" x14ac:dyDescent="0.35">
      <c r="A684" s="559"/>
      <c r="B684" s="559"/>
      <c r="C684" s="559"/>
      <c r="D684" s="559"/>
      <c r="E684" s="559"/>
      <c r="F684" s="559"/>
      <c r="G684" s="559"/>
      <c r="H684" s="559"/>
      <c r="I684" s="559"/>
      <c r="J684" s="559"/>
      <c r="K684" s="559"/>
      <c r="L684" s="559"/>
      <c r="M684" s="559"/>
      <c r="N684" s="559"/>
      <c r="O684" s="559"/>
      <c r="P684" s="559"/>
      <c r="Q684" s="559"/>
      <c r="R684" s="559"/>
      <c r="S684" s="559"/>
      <c r="T684" s="559"/>
      <c r="U684" s="559"/>
      <c r="V684" s="559"/>
      <c r="W684" s="559"/>
      <c r="X684" s="559"/>
      <c r="Y684" s="559"/>
      <c r="Z684" s="559"/>
    </row>
    <row r="685" spans="1:26" ht="18" customHeight="1" x14ac:dyDescent="0.35">
      <c r="A685" s="559"/>
      <c r="B685" s="559"/>
      <c r="C685" s="559"/>
      <c r="D685" s="559"/>
      <c r="E685" s="559"/>
      <c r="F685" s="559"/>
      <c r="G685" s="559"/>
      <c r="H685" s="559"/>
      <c r="I685" s="559"/>
      <c r="J685" s="559"/>
      <c r="K685" s="559"/>
      <c r="L685" s="559"/>
      <c r="M685" s="559"/>
      <c r="N685" s="559"/>
      <c r="O685" s="559"/>
      <c r="P685" s="559"/>
      <c r="Q685" s="559"/>
      <c r="R685" s="559"/>
      <c r="S685" s="559"/>
      <c r="T685" s="559"/>
      <c r="U685" s="559"/>
      <c r="V685" s="559"/>
      <c r="W685" s="559"/>
      <c r="X685" s="559"/>
      <c r="Y685" s="559"/>
      <c r="Z685" s="559"/>
    </row>
    <row r="686" spans="1:26" ht="18" customHeight="1" x14ac:dyDescent="0.35">
      <c r="A686" s="559"/>
      <c r="B686" s="559"/>
      <c r="C686" s="559"/>
      <c r="D686" s="559"/>
      <c r="E686" s="559"/>
      <c r="F686" s="559"/>
      <c r="G686" s="559"/>
      <c r="H686" s="559"/>
      <c r="I686" s="559"/>
      <c r="J686" s="559"/>
      <c r="K686" s="559"/>
      <c r="L686" s="559"/>
      <c r="M686" s="559"/>
      <c r="N686" s="559"/>
      <c r="O686" s="559"/>
      <c r="P686" s="559"/>
      <c r="Q686" s="559"/>
      <c r="R686" s="559"/>
      <c r="S686" s="559"/>
      <c r="T686" s="559"/>
      <c r="U686" s="559"/>
      <c r="V686" s="559"/>
      <c r="W686" s="559"/>
      <c r="X686" s="559"/>
      <c r="Y686" s="559"/>
      <c r="Z686" s="559"/>
    </row>
    <row r="687" spans="1:26" ht="18" customHeight="1" x14ac:dyDescent="0.35">
      <c r="A687" s="559"/>
      <c r="B687" s="559"/>
      <c r="C687" s="559"/>
      <c r="D687" s="559"/>
      <c r="E687" s="559"/>
      <c r="F687" s="559"/>
      <c r="G687" s="559"/>
      <c r="H687" s="559"/>
      <c r="I687" s="559"/>
      <c r="J687" s="559"/>
      <c r="K687" s="559"/>
      <c r="L687" s="559"/>
      <c r="M687" s="559"/>
      <c r="N687" s="559"/>
      <c r="O687" s="559"/>
      <c r="P687" s="559"/>
      <c r="Q687" s="559"/>
      <c r="R687" s="559"/>
      <c r="S687" s="559"/>
      <c r="T687" s="559"/>
      <c r="U687" s="559"/>
      <c r="V687" s="559"/>
      <c r="W687" s="559"/>
      <c r="X687" s="559"/>
      <c r="Y687" s="559"/>
      <c r="Z687" s="559"/>
    </row>
    <row r="688" spans="1:26" ht="18" customHeight="1" x14ac:dyDescent="0.35">
      <c r="A688" s="559"/>
      <c r="B688" s="559"/>
      <c r="C688" s="559"/>
      <c r="D688" s="559"/>
      <c r="E688" s="559"/>
      <c r="F688" s="559"/>
      <c r="G688" s="559"/>
      <c r="H688" s="559"/>
      <c r="I688" s="559"/>
      <c r="J688" s="559"/>
      <c r="K688" s="559"/>
      <c r="L688" s="559"/>
      <c r="M688" s="559"/>
      <c r="N688" s="559"/>
      <c r="O688" s="559"/>
      <c r="P688" s="559"/>
      <c r="Q688" s="559"/>
      <c r="R688" s="559"/>
      <c r="S688" s="559"/>
      <c r="T688" s="559"/>
      <c r="U688" s="559"/>
      <c r="V688" s="559"/>
      <c r="W688" s="559"/>
      <c r="X688" s="559"/>
      <c r="Y688" s="559"/>
      <c r="Z688" s="559"/>
    </row>
    <row r="689" spans="1:26" ht="18" customHeight="1" x14ac:dyDescent="0.35">
      <c r="A689" s="559"/>
      <c r="B689" s="559"/>
      <c r="C689" s="559"/>
      <c r="D689" s="559"/>
      <c r="E689" s="559"/>
      <c r="F689" s="559"/>
      <c r="G689" s="559"/>
      <c r="H689" s="559"/>
      <c r="I689" s="559"/>
      <c r="J689" s="559"/>
      <c r="K689" s="559"/>
      <c r="L689" s="559"/>
      <c r="M689" s="559"/>
      <c r="N689" s="559"/>
      <c r="O689" s="559"/>
      <c r="P689" s="559"/>
      <c r="Q689" s="559"/>
      <c r="R689" s="559"/>
      <c r="S689" s="559"/>
      <c r="T689" s="559"/>
      <c r="U689" s="559"/>
      <c r="V689" s="559"/>
      <c r="W689" s="559"/>
      <c r="X689" s="559"/>
      <c r="Y689" s="559"/>
      <c r="Z689" s="559"/>
    </row>
    <row r="690" spans="1:26" ht="18" customHeight="1" x14ac:dyDescent="0.35">
      <c r="A690" s="559"/>
      <c r="B690" s="559"/>
      <c r="C690" s="559"/>
      <c r="D690" s="559"/>
      <c r="E690" s="559"/>
      <c r="F690" s="559"/>
      <c r="G690" s="559"/>
      <c r="H690" s="559"/>
      <c r="I690" s="559"/>
      <c r="J690" s="559"/>
      <c r="K690" s="559"/>
      <c r="L690" s="559"/>
      <c r="M690" s="559"/>
      <c r="N690" s="559"/>
      <c r="O690" s="559"/>
      <c r="P690" s="559"/>
      <c r="Q690" s="559"/>
      <c r="R690" s="559"/>
      <c r="S690" s="559"/>
      <c r="T690" s="559"/>
      <c r="U690" s="559"/>
      <c r="V690" s="559"/>
      <c r="W690" s="559"/>
      <c r="X690" s="559"/>
      <c r="Y690" s="559"/>
      <c r="Z690" s="559"/>
    </row>
    <row r="691" spans="1:26" ht="18" customHeight="1" x14ac:dyDescent="0.35">
      <c r="A691" s="559"/>
      <c r="B691" s="559"/>
      <c r="C691" s="559"/>
      <c r="D691" s="559"/>
      <c r="E691" s="559"/>
      <c r="F691" s="559"/>
      <c r="G691" s="559"/>
      <c r="H691" s="559"/>
      <c r="I691" s="559"/>
      <c r="J691" s="559"/>
      <c r="K691" s="559"/>
      <c r="L691" s="559"/>
      <c r="M691" s="559"/>
      <c r="N691" s="559"/>
      <c r="O691" s="559"/>
      <c r="P691" s="559"/>
      <c r="Q691" s="559"/>
      <c r="R691" s="559"/>
      <c r="S691" s="559"/>
      <c r="T691" s="559"/>
      <c r="U691" s="559"/>
      <c r="V691" s="559"/>
      <c r="W691" s="559"/>
      <c r="X691" s="559"/>
      <c r="Y691" s="559"/>
      <c r="Z691" s="559"/>
    </row>
    <row r="692" spans="1:26" ht="18" customHeight="1" x14ac:dyDescent="0.35">
      <c r="A692" s="559"/>
      <c r="B692" s="559"/>
      <c r="C692" s="559"/>
      <c r="D692" s="559"/>
      <c r="E692" s="559"/>
      <c r="F692" s="559"/>
      <c r="G692" s="559"/>
      <c r="H692" s="559"/>
      <c r="I692" s="559"/>
      <c r="J692" s="559"/>
      <c r="K692" s="559"/>
      <c r="L692" s="559"/>
      <c r="M692" s="559"/>
      <c r="N692" s="559"/>
      <c r="O692" s="559"/>
      <c r="P692" s="559"/>
      <c r="Q692" s="559"/>
      <c r="R692" s="559"/>
      <c r="S692" s="559"/>
      <c r="T692" s="559"/>
      <c r="U692" s="559"/>
      <c r="V692" s="559"/>
      <c r="W692" s="559"/>
      <c r="X692" s="559"/>
      <c r="Y692" s="559"/>
      <c r="Z692" s="559"/>
    </row>
    <row r="693" spans="1:26" ht="18" customHeight="1" x14ac:dyDescent="0.35">
      <c r="A693" s="559"/>
      <c r="B693" s="559"/>
      <c r="C693" s="559"/>
      <c r="D693" s="559"/>
      <c r="E693" s="559"/>
      <c r="F693" s="559"/>
      <c r="G693" s="559"/>
      <c r="H693" s="559"/>
      <c r="I693" s="559"/>
      <c r="J693" s="559"/>
      <c r="K693" s="559"/>
      <c r="L693" s="559"/>
      <c r="M693" s="559"/>
      <c r="N693" s="559"/>
      <c r="O693" s="559"/>
      <c r="P693" s="559"/>
      <c r="Q693" s="559"/>
      <c r="R693" s="559"/>
      <c r="S693" s="559"/>
      <c r="T693" s="559"/>
      <c r="U693" s="559"/>
      <c r="V693" s="559"/>
      <c r="W693" s="559"/>
      <c r="X693" s="559"/>
      <c r="Y693" s="559"/>
      <c r="Z693" s="559"/>
    </row>
    <row r="694" spans="1:26" ht="18" customHeight="1" x14ac:dyDescent="0.35">
      <c r="A694" s="559"/>
      <c r="B694" s="559"/>
      <c r="C694" s="559"/>
      <c r="D694" s="559"/>
      <c r="E694" s="559"/>
      <c r="F694" s="559"/>
      <c r="G694" s="559"/>
      <c r="H694" s="559"/>
      <c r="I694" s="559"/>
      <c r="J694" s="559"/>
      <c r="K694" s="559"/>
      <c r="L694" s="559"/>
      <c r="M694" s="559"/>
      <c r="N694" s="559"/>
      <c r="O694" s="559"/>
      <c r="P694" s="559"/>
      <c r="Q694" s="559"/>
      <c r="R694" s="559"/>
      <c r="S694" s="559"/>
      <c r="T694" s="559"/>
      <c r="U694" s="559"/>
      <c r="V694" s="559"/>
      <c r="W694" s="559"/>
      <c r="X694" s="559"/>
      <c r="Y694" s="559"/>
      <c r="Z694" s="559"/>
    </row>
    <row r="695" spans="1:26" ht="18" customHeight="1" x14ac:dyDescent="0.35">
      <c r="A695" s="559"/>
      <c r="B695" s="559"/>
      <c r="C695" s="559"/>
      <c r="D695" s="559"/>
      <c r="E695" s="559"/>
      <c r="F695" s="559"/>
      <c r="G695" s="559"/>
      <c r="H695" s="559"/>
      <c r="I695" s="559"/>
      <c r="J695" s="559"/>
      <c r="K695" s="559"/>
      <c r="L695" s="559"/>
      <c r="M695" s="559"/>
      <c r="N695" s="559"/>
      <c r="O695" s="559"/>
      <c r="P695" s="559"/>
      <c r="Q695" s="559"/>
      <c r="R695" s="559"/>
      <c r="S695" s="559"/>
      <c r="T695" s="559"/>
      <c r="U695" s="559"/>
      <c r="V695" s="559"/>
      <c r="W695" s="559"/>
      <c r="X695" s="559"/>
      <c r="Y695" s="559"/>
      <c r="Z695" s="559"/>
    </row>
    <row r="696" spans="1:26" ht="18" customHeight="1" x14ac:dyDescent="0.35">
      <c r="A696" s="559"/>
      <c r="B696" s="559"/>
      <c r="C696" s="559"/>
      <c r="D696" s="559"/>
      <c r="E696" s="559"/>
      <c r="F696" s="559"/>
      <c r="G696" s="559"/>
      <c r="H696" s="559"/>
      <c r="I696" s="559"/>
      <c r="J696" s="559"/>
      <c r="K696" s="559"/>
      <c r="L696" s="559"/>
      <c r="M696" s="559"/>
      <c r="N696" s="559"/>
      <c r="O696" s="559"/>
      <c r="P696" s="559"/>
      <c r="Q696" s="559"/>
      <c r="R696" s="559"/>
      <c r="S696" s="559"/>
      <c r="T696" s="559"/>
      <c r="U696" s="559"/>
      <c r="V696" s="559"/>
      <c r="W696" s="559"/>
      <c r="X696" s="559"/>
      <c r="Y696" s="559"/>
      <c r="Z696" s="559"/>
    </row>
    <row r="697" spans="1:26" ht="18" customHeight="1" x14ac:dyDescent="0.35">
      <c r="A697" s="559"/>
      <c r="B697" s="559"/>
      <c r="C697" s="559"/>
      <c r="D697" s="559"/>
      <c r="E697" s="559"/>
      <c r="F697" s="559"/>
      <c r="G697" s="559"/>
      <c r="H697" s="559"/>
      <c r="I697" s="559"/>
      <c r="J697" s="559"/>
      <c r="K697" s="559"/>
      <c r="L697" s="559"/>
      <c r="M697" s="559"/>
      <c r="N697" s="559"/>
      <c r="O697" s="559"/>
      <c r="P697" s="559"/>
      <c r="Q697" s="559"/>
      <c r="R697" s="559"/>
      <c r="S697" s="559"/>
      <c r="T697" s="559"/>
      <c r="U697" s="559"/>
      <c r="V697" s="559"/>
      <c r="W697" s="559"/>
      <c r="X697" s="559"/>
      <c r="Y697" s="559"/>
      <c r="Z697" s="559"/>
    </row>
    <row r="698" spans="1:26" ht="18" customHeight="1" x14ac:dyDescent="0.35">
      <c r="A698" s="559"/>
      <c r="B698" s="559"/>
      <c r="C698" s="559"/>
      <c r="D698" s="559"/>
      <c r="E698" s="559"/>
      <c r="F698" s="559"/>
      <c r="G698" s="559"/>
      <c r="H698" s="559"/>
      <c r="I698" s="559"/>
      <c r="J698" s="559"/>
      <c r="K698" s="559"/>
      <c r="L698" s="559"/>
      <c r="M698" s="559"/>
      <c r="N698" s="559"/>
      <c r="O698" s="559"/>
      <c r="P698" s="559"/>
      <c r="Q698" s="559"/>
      <c r="R698" s="559"/>
      <c r="S698" s="559"/>
      <c r="T698" s="559"/>
      <c r="U698" s="559"/>
      <c r="V698" s="559"/>
      <c r="W698" s="559"/>
      <c r="X698" s="559"/>
      <c r="Y698" s="559"/>
      <c r="Z698" s="559"/>
    </row>
    <row r="699" spans="1:26" ht="18" customHeight="1" x14ac:dyDescent="0.35">
      <c r="A699" s="559"/>
      <c r="B699" s="559"/>
      <c r="C699" s="559"/>
      <c r="D699" s="559"/>
      <c r="E699" s="559"/>
      <c r="F699" s="559"/>
      <c r="G699" s="559"/>
      <c r="H699" s="559"/>
      <c r="I699" s="559"/>
      <c r="J699" s="559"/>
      <c r="K699" s="559"/>
      <c r="L699" s="559"/>
      <c r="M699" s="559"/>
      <c r="N699" s="559"/>
      <c r="O699" s="559"/>
      <c r="P699" s="559"/>
      <c r="Q699" s="559"/>
      <c r="R699" s="559"/>
      <c r="S699" s="559"/>
      <c r="T699" s="559"/>
      <c r="U699" s="559"/>
      <c r="V699" s="559"/>
      <c r="W699" s="559"/>
      <c r="X699" s="559"/>
      <c r="Y699" s="559"/>
      <c r="Z699" s="559"/>
    </row>
    <row r="700" spans="1:26" ht="18" customHeight="1" x14ac:dyDescent="0.35">
      <c r="A700" s="559"/>
      <c r="B700" s="559"/>
      <c r="C700" s="559"/>
      <c r="D700" s="559"/>
      <c r="E700" s="559"/>
      <c r="F700" s="559"/>
      <c r="G700" s="559"/>
      <c r="H700" s="559"/>
      <c r="I700" s="559"/>
      <c r="J700" s="559"/>
      <c r="K700" s="559"/>
      <c r="L700" s="559"/>
      <c r="M700" s="559"/>
      <c r="N700" s="559"/>
      <c r="O700" s="559"/>
      <c r="P700" s="559"/>
      <c r="Q700" s="559"/>
      <c r="R700" s="559"/>
      <c r="S700" s="559"/>
      <c r="T700" s="559"/>
      <c r="U700" s="559"/>
      <c r="V700" s="559"/>
      <c r="W700" s="559"/>
      <c r="X700" s="559"/>
      <c r="Y700" s="559"/>
      <c r="Z700" s="559"/>
    </row>
    <row r="701" spans="1:26" ht="18" customHeight="1" x14ac:dyDescent="0.35">
      <c r="A701" s="559"/>
      <c r="B701" s="559"/>
      <c r="C701" s="559"/>
      <c r="D701" s="559"/>
      <c r="E701" s="559"/>
      <c r="F701" s="559"/>
      <c r="G701" s="559"/>
      <c r="H701" s="559"/>
      <c r="I701" s="559"/>
      <c r="J701" s="559"/>
      <c r="K701" s="559"/>
      <c r="L701" s="559"/>
      <c r="M701" s="559"/>
      <c r="N701" s="559"/>
      <c r="O701" s="559"/>
      <c r="P701" s="559"/>
      <c r="Q701" s="559"/>
      <c r="R701" s="559"/>
      <c r="S701" s="559"/>
      <c r="T701" s="559"/>
      <c r="U701" s="559"/>
      <c r="V701" s="559"/>
      <c r="W701" s="559"/>
      <c r="X701" s="559"/>
      <c r="Y701" s="559"/>
      <c r="Z701" s="559"/>
    </row>
    <row r="702" spans="1:26" ht="18" customHeight="1" x14ac:dyDescent="0.35">
      <c r="A702" s="559"/>
      <c r="B702" s="559"/>
      <c r="C702" s="559"/>
      <c r="D702" s="559"/>
      <c r="E702" s="559"/>
      <c r="F702" s="559"/>
      <c r="G702" s="559"/>
      <c r="H702" s="559"/>
      <c r="I702" s="559"/>
      <c r="J702" s="559"/>
      <c r="K702" s="559"/>
      <c r="L702" s="559"/>
      <c r="M702" s="559"/>
      <c r="N702" s="559"/>
      <c r="O702" s="559"/>
      <c r="P702" s="559"/>
      <c r="Q702" s="559"/>
      <c r="R702" s="559"/>
      <c r="S702" s="559"/>
      <c r="T702" s="559"/>
      <c r="U702" s="559"/>
      <c r="V702" s="559"/>
      <c r="W702" s="559"/>
      <c r="X702" s="559"/>
      <c r="Y702" s="559"/>
      <c r="Z702" s="559"/>
    </row>
    <row r="703" spans="1:26" ht="18" customHeight="1" x14ac:dyDescent="0.35">
      <c r="A703" s="559"/>
      <c r="B703" s="559"/>
      <c r="C703" s="559"/>
      <c r="D703" s="559"/>
      <c r="E703" s="559"/>
      <c r="F703" s="559"/>
      <c r="G703" s="559"/>
      <c r="H703" s="559"/>
      <c r="I703" s="559"/>
      <c r="J703" s="559"/>
      <c r="K703" s="559"/>
      <c r="L703" s="559"/>
      <c r="M703" s="559"/>
      <c r="N703" s="559"/>
      <c r="O703" s="559"/>
      <c r="P703" s="559"/>
      <c r="Q703" s="559"/>
      <c r="R703" s="559"/>
      <c r="S703" s="559"/>
      <c r="T703" s="559"/>
      <c r="U703" s="559"/>
      <c r="V703" s="559"/>
      <c r="W703" s="559"/>
      <c r="X703" s="559"/>
      <c r="Y703" s="559"/>
      <c r="Z703" s="559"/>
    </row>
    <row r="704" spans="1:26" ht="18" customHeight="1" x14ac:dyDescent="0.35">
      <c r="A704" s="559"/>
      <c r="B704" s="559"/>
      <c r="C704" s="559"/>
      <c r="D704" s="559"/>
      <c r="E704" s="559"/>
      <c r="F704" s="559"/>
      <c r="G704" s="559"/>
      <c r="H704" s="559"/>
      <c r="I704" s="559"/>
      <c r="J704" s="559"/>
      <c r="K704" s="559"/>
      <c r="L704" s="559"/>
      <c r="M704" s="559"/>
      <c r="N704" s="559"/>
      <c r="O704" s="559"/>
      <c r="P704" s="559"/>
      <c r="Q704" s="559"/>
      <c r="R704" s="559"/>
      <c r="S704" s="559"/>
      <c r="T704" s="559"/>
      <c r="U704" s="559"/>
      <c r="V704" s="559"/>
      <c r="W704" s="559"/>
      <c r="X704" s="559"/>
      <c r="Y704" s="559"/>
      <c r="Z704" s="559"/>
    </row>
    <row r="705" spans="1:26" ht="18" customHeight="1" x14ac:dyDescent="0.35">
      <c r="A705" s="559"/>
      <c r="B705" s="559"/>
      <c r="C705" s="559"/>
      <c r="D705" s="559"/>
      <c r="E705" s="559"/>
      <c r="F705" s="559"/>
      <c r="G705" s="559"/>
      <c r="H705" s="559"/>
      <c r="I705" s="559"/>
      <c r="J705" s="559"/>
      <c r="K705" s="559"/>
      <c r="L705" s="559"/>
      <c r="M705" s="559"/>
      <c r="N705" s="559"/>
      <c r="O705" s="559"/>
      <c r="P705" s="559"/>
      <c r="Q705" s="559"/>
      <c r="R705" s="559"/>
      <c r="S705" s="559"/>
      <c r="T705" s="559"/>
      <c r="U705" s="559"/>
      <c r="V705" s="559"/>
      <c r="W705" s="559"/>
      <c r="X705" s="559"/>
      <c r="Y705" s="559"/>
      <c r="Z705" s="559"/>
    </row>
    <row r="706" spans="1:26" ht="18" customHeight="1" x14ac:dyDescent="0.35">
      <c r="A706" s="559"/>
      <c r="B706" s="559"/>
      <c r="C706" s="559"/>
      <c r="D706" s="559"/>
      <c r="E706" s="559"/>
      <c r="F706" s="559"/>
      <c r="G706" s="559"/>
      <c r="H706" s="559"/>
      <c r="I706" s="559"/>
      <c r="J706" s="559"/>
      <c r="K706" s="559"/>
      <c r="L706" s="559"/>
      <c r="M706" s="559"/>
      <c r="N706" s="559"/>
      <c r="O706" s="559"/>
      <c r="P706" s="559"/>
      <c r="Q706" s="559"/>
      <c r="R706" s="559"/>
      <c r="S706" s="559"/>
      <c r="T706" s="559"/>
      <c r="U706" s="559"/>
      <c r="V706" s="559"/>
      <c r="W706" s="559"/>
      <c r="X706" s="559"/>
      <c r="Y706" s="559"/>
      <c r="Z706" s="559"/>
    </row>
    <row r="707" spans="1:26" ht="18" customHeight="1" x14ac:dyDescent="0.35">
      <c r="A707" s="559"/>
      <c r="B707" s="559"/>
      <c r="C707" s="559"/>
      <c r="D707" s="559"/>
      <c r="E707" s="559"/>
      <c r="F707" s="559"/>
      <c r="G707" s="559"/>
      <c r="H707" s="559"/>
      <c r="I707" s="559"/>
      <c r="J707" s="559"/>
      <c r="K707" s="559"/>
      <c r="L707" s="559"/>
      <c r="M707" s="559"/>
      <c r="N707" s="559"/>
      <c r="O707" s="559"/>
      <c r="P707" s="559"/>
      <c r="Q707" s="559"/>
      <c r="R707" s="559"/>
      <c r="S707" s="559"/>
      <c r="T707" s="559"/>
      <c r="U707" s="559"/>
      <c r="V707" s="559"/>
      <c r="W707" s="559"/>
      <c r="X707" s="559"/>
      <c r="Y707" s="559"/>
      <c r="Z707" s="559"/>
    </row>
    <row r="708" spans="1:26" ht="18" customHeight="1" x14ac:dyDescent="0.35">
      <c r="A708" s="559"/>
      <c r="B708" s="559"/>
      <c r="C708" s="559"/>
      <c r="D708" s="559"/>
      <c r="E708" s="559"/>
      <c r="F708" s="559"/>
      <c r="G708" s="559"/>
      <c r="H708" s="559"/>
      <c r="I708" s="559"/>
      <c r="J708" s="559"/>
      <c r="K708" s="559"/>
      <c r="L708" s="559"/>
      <c r="M708" s="559"/>
      <c r="N708" s="559"/>
      <c r="O708" s="559"/>
      <c r="P708" s="559"/>
      <c r="Q708" s="559"/>
      <c r="R708" s="559"/>
      <c r="S708" s="559"/>
      <c r="T708" s="559"/>
      <c r="U708" s="559"/>
      <c r="V708" s="559"/>
      <c r="W708" s="559"/>
      <c r="X708" s="559"/>
      <c r="Y708" s="559"/>
      <c r="Z708" s="559"/>
    </row>
    <row r="709" spans="1:26" ht="18" customHeight="1" x14ac:dyDescent="0.35">
      <c r="A709" s="559"/>
      <c r="B709" s="559"/>
      <c r="C709" s="559"/>
      <c r="D709" s="559"/>
      <c r="E709" s="559"/>
      <c r="F709" s="559"/>
      <c r="G709" s="559"/>
      <c r="H709" s="559"/>
      <c r="I709" s="559"/>
      <c r="J709" s="559"/>
      <c r="K709" s="559"/>
      <c r="L709" s="559"/>
      <c r="M709" s="559"/>
      <c r="N709" s="559"/>
      <c r="O709" s="559"/>
      <c r="P709" s="559"/>
      <c r="Q709" s="559"/>
      <c r="R709" s="559"/>
      <c r="S709" s="559"/>
      <c r="T709" s="559"/>
      <c r="U709" s="559"/>
      <c r="V709" s="559"/>
      <c r="W709" s="559"/>
      <c r="X709" s="559"/>
      <c r="Y709" s="559"/>
      <c r="Z709" s="559"/>
    </row>
    <row r="710" spans="1:26" ht="18" customHeight="1" x14ac:dyDescent="0.35">
      <c r="A710" s="559"/>
      <c r="B710" s="559"/>
      <c r="C710" s="559"/>
      <c r="D710" s="559"/>
      <c r="E710" s="559"/>
      <c r="F710" s="559"/>
      <c r="G710" s="559"/>
      <c r="H710" s="559"/>
      <c r="I710" s="559"/>
      <c r="J710" s="559"/>
      <c r="K710" s="559"/>
      <c r="L710" s="559"/>
      <c r="M710" s="559"/>
      <c r="N710" s="559"/>
      <c r="O710" s="559"/>
      <c r="P710" s="559"/>
      <c r="Q710" s="559"/>
      <c r="R710" s="559"/>
      <c r="S710" s="559"/>
      <c r="T710" s="559"/>
      <c r="U710" s="559"/>
      <c r="V710" s="559"/>
      <c r="W710" s="559"/>
      <c r="X710" s="559"/>
      <c r="Y710" s="559"/>
      <c r="Z710" s="559"/>
    </row>
    <row r="711" spans="1:26" ht="18" customHeight="1" x14ac:dyDescent="0.35">
      <c r="A711" s="559"/>
      <c r="B711" s="559"/>
      <c r="C711" s="559"/>
      <c r="D711" s="559"/>
      <c r="E711" s="559"/>
      <c r="F711" s="559"/>
      <c r="G711" s="559"/>
      <c r="H711" s="559"/>
      <c r="I711" s="559"/>
      <c r="J711" s="559"/>
      <c r="K711" s="559"/>
      <c r="L711" s="559"/>
      <c r="M711" s="559"/>
      <c r="N711" s="559"/>
      <c r="O711" s="559"/>
      <c r="P711" s="559"/>
      <c r="Q711" s="559"/>
      <c r="R711" s="559"/>
      <c r="S711" s="559"/>
      <c r="T711" s="559"/>
      <c r="U711" s="559"/>
      <c r="V711" s="559"/>
      <c r="W711" s="559"/>
      <c r="X711" s="559"/>
      <c r="Y711" s="559"/>
      <c r="Z711" s="559"/>
    </row>
    <row r="712" spans="1:26" ht="18" customHeight="1" x14ac:dyDescent="0.35">
      <c r="A712" s="559"/>
      <c r="B712" s="559"/>
      <c r="C712" s="559"/>
      <c r="D712" s="559"/>
      <c r="E712" s="559"/>
      <c r="F712" s="559"/>
      <c r="G712" s="559"/>
      <c r="H712" s="559"/>
      <c r="I712" s="559"/>
      <c r="J712" s="559"/>
      <c r="K712" s="559"/>
      <c r="L712" s="559"/>
      <c r="M712" s="559"/>
      <c r="N712" s="559"/>
      <c r="O712" s="559"/>
      <c r="P712" s="559"/>
      <c r="Q712" s="559"/>
      <c r="R712" s="559"/>
      <c r="S712" s="559"/>
      <c r="T712" s="559"/>
      <c r="U712" s="559"/>
      <c r="V712" s="559"/>
      <c r="W712" s="559"/>
      <c r="X712" s="559"/>
      <c r="Y712" s="559"/>
      <c r="Z712" s="559"/>
    </row>
    <row r="713" spans="1:26" ht="18" customHeight="1" x14ac:dyDescent="0.35">
      <c r="A713" s="559"/>
      <c r="B713" s="559"/>
      <c r="C713" s="559"/>
      <c r="D713" s="559"/>
      <c r="E713" s="559"/>
      <c r="F713" s="559"/>
      <c r="G713" s="559"/>
      <c r="H713" s="559"/>
      <c r="I713" s="559"/>
      <c r="J713" s="559"/>
      <c r="K713" s="559"/>
      <c r="L713" s="559"/>
      <c r="M713" s="559"/>
      <c r="N713" s="559"/>
      <c r="O713" s="559"/>
      <c r="P713" s="559"/>
      <c r="Q713" s="559"/>
      <c r="R713" s="559"/>
      <c r="S713" s="559"/>
      <c r="T713" s="559"/>
      <c r="U713" s="559"/>
      <c r="V713" s="559"/>
      <c r="W713" s="559"/>
      <c r="X713" s="559"/>
      <c r="Y713" s="559"/>
      <c r="Z713" s="559"/>
    </row>
    <row r="714" spans="1:26" ht="18" customHeight="1" x14ac:dyDescent="0.35">
      <c r="A714" s="559"/>
      <c r="B714" s="559"/>
      <c r="C714" s="559"/>
      <c r="D714" s="559"/>
      <c r="E714" s="559"/>
      <c r="F714" s="559"/>
      <c r="G714" s="559"/>
      <c r="H714" s="559"/>
      <c r="I714" s="559"/>
      <c r="J714" s="559"/>
      <c r="K714" s="559"/>
      <c r="L714" s="559"/>
      <c r="M714" s="559"/>
      <c r="N714" s="559"/>
      <c r="O714" s="559"/>
      <c r="P714" s="559"/>
      <c r="Q714" s="559"/>
      <c r="R714" s="559"/>
      <c r="S714" s="559"/>
      <c r="T714" s="559"/>
      <c r="U714" s="559"/>
      <c r="V714" s="559"/>
      <c r="W714" s="559"/>
      <c r="X714" s="559"/>
      <c r="Y714" s="559"/>
      <c r="Z714" s="559"/>
    </row>
    <row r="715" spans="1:26" ht="18" customHeight="1" x14ac:dyDescent="0.35">
      <c r="A715" s="559"/>
      <c r="B715" s="559"/>
      <c r="C715" s="559"/>
      <c r="D715" s="559"/>
      <c r="E715" s="559"/>
      <c r="F715" s="559"/>
      <c r="G715" s="559"/>
      <c r="H715" s="559"/>
      <c r="I715" s="559"/>
      <c r="J715" s="559"/>
      <c r="K715" s="559"/>
      <c r="L715" s="559"/>
      <c r="M715" s="559"/>
      <c r="N715" s="559"/>
      <c r="O715" s="559"/>
      <c r="P715" s="559"/>
      <c r="Q715" s="559"/>
      <c r="R715" s="559"/>
      <c r="S715" s="559"/>
      <c r="T715" s="559"/>
      <c r="U715" s="559"/>
      <c r="V715" s="559"/>
      <c r="W715" s="559"/>
      <c r="X715" s="559"/>
      <c r="Y715" s="559"/>
      <c r="Z715" s="559"/>
    </row>
    <row r="716" spans="1:26" ht="18" customHeight="1" x14ac:dyDescent="0.35">
      <c r="A716" s="559"/>
      <c r="B716" s="559"/>
      <c r="C716" s="559"/>
      <c r="D716" s="559"/>
      <c r="E716" s="559"/>
      <c r="F716" s="559"/>
      <c r="G716" s="559"/>
      <c r="H716" s="559"/>
      <c r="I716" s="559"/>
      <c r="J716" s="559"/>
      <c r="K716" s="559"/>
      <c r="L716" s="559"/>
      <c r="M716" s="559"/>
      <c r="N716" s="559"/>
      <c r="O716" s="559"/>
      <c r="P716" s="559"/>
      <c r="Q716" s="559"/>
      <c r="R716" s="559"/>
      <c r="S716" s="559"/>
      <c r="T716" s="559"/>
      <c r="U716" s="559"/>
      <c r="V716" s="559"/>
      <c r="W716" s="559"/>
      <c r="X716" s="559"/>
      <c r="Y716" s="559"/>
      <c r="Z716" s="559"/>
    </row>
    <row r="717" spans="1:26" ht="18" customHeight="1" x14ac:dyDescent="0.35">
      <c r="A717" s="559"/>
      <c r="B717" s="559"/>
      <c r="C717" s="559"/>
      <c r="D717" s="559"/>
      <c r="E717" s="559"/>
      <c r="F717" s="559"/>
      <c r="G717" s="559"/>
      <c r="H717" s="559"/>
      <c r="I717" s="559"/>
      <c r="J717" s="559"/>
      <c r="K717" s="559"/>
      <c r="L717" s="559"/>
      <c r="M717" s="559"/>
      <c r="N717" s="559"/>
      <c r="O717" s="559"/>
      <c r="P717" s="559"/>
      <c r="Q717" s="559"/>
      <c r="R717" s="559"/>
      <c r="S717" s="559"/>
      <c r="T717" s="559"/>
      <c r="U717" s="559"/>
      <c r="V717" s="559"/>
      <c r="W717" s="559"/>
      <c r="X717" s="559"/>
      <c r="Y717" s="559"/>
      <c r="Z717" s="559"/>
    </row>
    <row r="718" spans="1:26" ht="18" customHeight="1" x14ac:dyDescent="0.35">
      <c r="A718" s="559"/>
      <c r="B718" s="559"/>
      <c r="C718" s="559"/>
      <c r="D718" s="559"/>
      <c r="E718" s="559"/>
      <c r="F718" s="559"/>
      <c r="G718" s="559"/>
      <c r="H718" s="559"/>
      <c r="I718" s="559"/>
      <c r="J718" s="559"/>
      <c r="K718" s="559"/>
      <c r="L718" s="559"/>
      <c r="M718" s="559"/>
      <c r="N718" s="559"/>
      <c r="O718" s="559"/>
      <c r="P718" s="559"/>
      <c r="Q718" s="559"/>
      <c r="R718" s="559"/>
      <c r="S718" s="559"/>
      <c r="T718" s="559"/>
      <c r="U718" s="559"/>
      <c r="V718" s="559"/>
      <c r="W718" s="559"/>
      <c r="X718" s="559"/>
      <c r="Y718" s="559"/>
      <c r="Z718" s="559"/>
    </row>
    <row r="719" spans="1:26" ht="18" customHeight="1" x14ac:dyDescent="0.35">
      <c r="A719" s="559"/>
      <c r="B719" s="559"/>
      <c r="C719" s="559"/>
      <c r="D719" s="559"/>
      <c r="E719" s="559"/>
      <c r="F719" s="559"/>
      <c r="G719" s="559"/>
      <c r="H719" s="559"/>
      <c r="I719" s="559"/>
      <c r="J719" s="559"/>
      <c r="K719" s="559"/>
      <c r="L719" s="559"/>
      <c r="M719" s="559"/>
      <c r="N719" s="559"/>
      <c r="O719" s="559"/>
      <c r="P719" s="559"/>
      <c r="Q719" s="559"/>
      <c r="R719" s="559"/>
      <c r="S719" s="559"/>
      <c r="T719" s="559"/>
      <c r="U719" s="559"/>
      <c r="V719" s="559"/>
      <c r="W719" s="559"/>
      <c r="X719" s="559"/>
      <c r="Y719" s="559"/>
      <c r="Z719" s="559"/>
    </row>
    <row r="720" spans="1:26" ht="18" customHeight="1" x14ac:dyDescent="0.35">
      <c r="A720" s="559"/>
      <c r="B720" s="559"/>
      <c r="C720" s="559"/>
      <c r="D720" s="559"/>
      <c r="E720" s="559"/>
      <c r="F720" s="559"/>
      <c r="G720" s="559"/>
      <c r="H720" s="559"/>
      <c r="I720" s="559"/>
      <c r="J720" s="559"/>
      <c r="K720" s="559"/>
      <c r="L720" s="559"/>
      <c r="M720" s="559"/>
      <c r="N720" s="559"/>
      <c r="O720" s="559"/>
      <c r="P720" s="559"/>
      <c r="Q720" s="559"/>
      <c r="R720" s="559"/>
      <c r="S720" s="559"/>
      <c r="T720" s="559"/>
      <c r="U720" s="559"/>
      <c r="V720" s="559"/>
      <c r="W720" s="559"/>
      <c r="X720" s="559"/>
      <c r="Y720" s="559"/>
      <c r="Z720" s="559"/>
    </row>
    <row r="721" spans="1:26" ht="18" customHeight="1" x14ac:dyDescent="0.35">
      <c r="A721" s="559"/>
      <c r="B721" s="559"/>
      <c r="C721" s="559"/>
      <c r="D721" s="559"/>
      <c r="E721" s="559"/>
      <c r="F721" s="559"/>
      <c r="G721" s="559"/>
      <c r="H721" s="559"/>
      <c r="I721" s="559"/>
      <c r="J721" s="559"/>
      <c r="K721" s="559"/>
      <c r="L721" s="559"/>
      <c r="M721" s="559"/>
      <c r="N721" s="559"/>
      <c r="O721" s="559"/>
      <c r="P721" s="559"/>
      <c r="Q721" s="559"/>
      <c r="R721" s="559"/>
      <c r="S721" s="559"/>
      <c r="T721" s="559"/>
      <c r="U721" s="559"/>
      <c r="V721" s="559"/>
      <c r="W721" s="559"/>
      <c r="X721" s="559"/>
      <c r="Y721" s="559"/>
      <c r="Z721" s="559"/>
    </row>
    <row r="722" spans="1:26" ht="18" customHeight="1" x14ac:dyDescent="0.35">
      <c r="A722" s="559"/>
      <c r="B722" s="559"/>
      <c r="C722" s="559"/>
      <c r="D722" s="559"/>
      <c r="E722" s="559"/>
      <c r="F722" s="559"/>
      <c r="G722" s="559"/>
      <c r="H722" s="559"/>
      <c r="I722" s="559"/>
      <c r="J722" s="559"/>
      <c r="K722" s="559"/>
      <c r="L722" s="559"/>
      <c r="M722" s="559"/>
      <c r="N722" s="559"/>
      <c r="O722" s="559"/>
      <c r="P722" s="559"/>
      <c r="Q722" s="559"/>
      <c r="R722" s="559"/>
      <c r="S722" s="559"/>
      <c r="T722" s="559"/>
      <c r="U722" s="559"/>
      <c r="V722" s="559"/>
      <c r="W722" s="559"/>
      <c r="X722" s="559"/>
      <c r="Y722" s="559"/>
      <c r="Z722" s="559"/>
    </row>
    <row r="723" spans="1:26" ht="18" customHeight="1" x14ac:dyDescent="0.35">
      <c r="A723" s="559"/>
      <c r="B723" s="559"/>
      <c r="C723" s="559"/>
      <c r="D723" s="559"/>
      <c r="E723" s="559"/>
      <c r="F723" s="559"/>
      <c r="G723" s="559"/>
      <c r="H723" s="559"/>
      <c r="I723" s="559"/>
      <c r="J723" s="559"/>
      <c r="K723" s="559"/>
      <c r="L723" s="559"/>
      <c r="M723" s="559"/>
      <c r="N723" s="559"/>
      <c r="O723" s="559"/>
      <c r="P723" s="559"/>
      <c r="Q723" s="559"/>
      <c r="R723" s="559"/>
      <c r="S723" s="559"/>
      <c r="T723" s="559"/>
      <c r="U723" s="559"/>
      <c r="V723" s="559"/>
      <c r="W723" s="559"/>
      <c r="X723" s="559"/>
      <c r="Y723" s="559"/>
      <c r="Z723" s="559"/>
    </row>
    <row r="724" spans="1:26" ht="18" customHeight="1" x14ac:dyDescent="0.35">
      <c r="A724" s="559"/>
      <c r="B724" s="559"/>
      <c r="C724" s="559"/>
      <c r="D724" s="559"/>
      <c r="E724" s="559"/>
      <c r="F724" s="559"/>
      <c r="G724" s="559"/>
      <c r="H724" s="559"/>
      <c r="I724" s="559"/>
      <c r="J724" s="559"/>
      <c r="K724" s="559"/>
      <c r="L724" s="559"/>
      <c r="M724" s="559"/>
      <c r="N724" s="559"/>
      <c r="O724" s="559"/>
      <c r="P724" s="559"/>
      <c r="Q724" s="559"/>
      <c r="R724" s="559"/>
      <c r="S724" s="559"/>
      <c r="T724" s="559"/>
      <c r="U724" s="559"/>
      <c r="V724" s="559"/>
      <c r="W724" s="559"/>
      <c r="X724" s="559"/>
      <c r="Y724" s="559"/>
      <c r="Z724" s="559"/>
    </row>
    <row r="725" spans="1:26" ht="18" customHeight="1" x14ac:dyDescent="0.35">
      <c r="A725" s="559"/>
      <c r="B725" s="559"/>
      <c r="C725" s="559"/>
      <c r="D725" s="559"/>
      <c r="E725" s="559"/>
      <c r="F725" s="559"/>
      <c r="G725" s="559"/>
      <c r="H725" s="559"/>
      <c r="I725" s="559"/>
      <c r="J725" s="559"/>
      <c r="K725" s="559"/>
      <c r="L725" s="559"/>
      <c r="M725" s="559"/>
      <c r="N725" s="559"/>
      <c r="O725" s="559"/>
      <c r="P725" s="559"/>
      <c r="Q725" s="559"/>
      <c r="R725" s="559"/>
      <c r="S725" s="559"/>
      <c r="T725" s="559"/>
      <c r="U725" s="559"/>
      <c r="V725" s="559"/>
      <c r="W725" s="559"/>
      <c r="X725" s="559"/>
      <c r="Y725" s="559"/>
      <c r="Z725" s="559"/>
    </row>
    <row r="726" spans="1:26" ht="18" customHeight="1" x14ac:dyDescent="0.35">
      <c r="A726" s="559"/>
      <c r="B726" s="559"/>
      <c r="C726" s="559"/>
      <c r="D726" s="559"/>
      <c r="E726" s="559"/>
      <c r="F726" s="559"/>
      <c r="G726" s="559"/>
      <c r="H726" s="559"/>
      <c r="I726" s="559"/>
      <c r="J726" s="559"/>
      <c r="K726" s="559"/>
      <c r="L726" s="559"/>
      <c r="M726" s="559"/>
      <c r="N726" s="559"/>
      <c r="O726" s="559"/>
      <c r="P726" s="559"/>
      <c r="Q726" s="559"/>
      <c r="R726" s="559"/>
      <c r="S726" s="559"/>
      <c r="T726" s="559"/>
      <c r="U726" s="559"/>
      <c r="V726" s="559"/>
      <c r="W726" s="559"/>
      <c r="X726" s="559"/>
      <c r="Y726" s="559"/>
      <c r="Z726" s="559"/>
    </row>
    <row r="727" spans="1:26" ht="18" customHeight="1" x14ac:dyDescent="0.35">
      <c r="A727" s="559"/>
      <c r="B727" s="559"/>
      <c r="C727" s="559"/>
      <c r="D727" s="559"/>
      <c r="E727" s="559"/>
      <c r="F727" s="559"/>
      <c r="G727" s="559"/>
      <c r="H727" s="559"/>
      <c r="I727" s="559"/>
      <c r="J727" s="559"/>
      <c r="K727" s="559"/>
      <c r="L727" s="559"/>
      <c r="M727" s="559"/>
      <c r="N727" s="559"/>
      <c r="O727" s="559"/>
      <c r="P727" s="559"/>
      <c r="Q727" s="559"/>
      <c r="R727" s="559"/>
      <c r="S727" s="559"/>
      <c r="T727" s="559"/>
      <c r="U727" s="559"/>
      <c r="V727" s="559"/>
      <c r="W727" s="559"/>
      <c r="X727" s="559"/>
      <c r="Y727" s="559"/>
      <c r="Z727" s="559"/>
    </row>
    <row r="728" spans="1:26" ht="18" customHeight="1" x14ac:dyDescent="0.35">
      <c r="A728" s="559"/>
      <c r="B728" s="559"/>
      <c r="C728" s="559"/>
      <c r="D728" s="559"/>
      <c r="E728" s="559"/>
      <c r="F728" s="559"/>
      <c r="G728" s="559"/>
      <c r="H728" s="559"/>
      <c r="I728" s="559"/>
      <c r="J728" s="559"/>
      <c r="K728" s="559"/>
      <c r="L728" s="559"/>
      <c r="M728" s="559"/>
      <c r="N728" s="559"/>
      <c r="O728" s="559"/>
      <c r="P728" s="559"/>
      <c r="Q728" s="559"/>
      <c r="R728" s="559"/>
      <c r="S728" s="559"/>
      <c r="T728" s="559"/>
      <c r="U728" s="559"/>
      <c r="V728" s="559"/>
      <c r="W728" s="559"/>
      <c r="X728" s="559"/>
      <c r="Y728" s="559"/>
      <c r="Z728" s="559"/>
    </row>
    <row r="729" spans="1:26" ht="18" customHeight="1" x14ac:dyDescent="0.35">
      <c r="A729" s="559"/>
      <c r="B729" s="559"/>
      <c r="C729" s="559"/>
      <c r="D729" s="559"/>
      <c r="E729" s="559"/>
      <c r="F729" s="559"/>
      <c r="G729" s="559"/>
      <c r="H729" s="559"/>
      <c r="I729" s="559"/>
      <c r="J729" s="559"/>
      <c r="K729" s="559"/>
      <c r="L729" s="559"/>
      <c r="M729" s="559"/>
      <c r="N729" s="559"/>
      <c r="O729" s="559"/>
      <c r="P729" s="559"/>
      <c r="Q729" s="559"/>
      <c r="R729" s="559"/>
      <c r="S729" s="559"/>
      <c r="T729" s="559"/>
      <c r="U729" s="559"/>
      <c r="V729" s="559"/>
      <c r="W729" s="559"/>
      <c r="X729" s="559"/>
      <c r="Y729" s="559"/>
      <c r="Z729" s="559"/>
    </row>
    <row r="730" spans="1:26" ht="18" customHeight="1" x14ac:dyDescent="0.35">
      <c r="A730" s="559"/>
      <c r="B730" s="559"/>
      <c r="C730" s="559"/>
      <c r="D730" s="559"/>
      <c r="E730" s="559"/>
      <c r="F730" s="559"/>
      <c r="G730" s="559"/>
      <c r="H730" s="559"/>
      <c r="I730" s="559"/>
      <c r="J730" s="559"/>
      <c r="K730" s="559"/>
      <c r="L730" s="559"/>
      <c r="M730" s="559"/>
      <c r="N730" s="559"/>
      <c r="O730" s="559"/>
      <c r="P730" s="559"/>
      <c r="Q730" s="559"/>
      <c r="R730" s="559"/>
      <c r="S730" s="559"/>
      <c r="T730" s="559"/>
      <c r="U730" s="559"/>
      <c r="V730" s="559"/>
      <c r="W730" s="559"/>
      <c r="X730" s="559"/>
      <c r="Y730" s="559"/>
      <c r="Z730" s="559"/>
    </row>
    <row r="731" spans="1:26" ht="18" customHeight="1" x14ac:dyDescent="0.35">
      <c r="A731" s="559"/>
      <c r="B731" s="559"/>
      <c r="C731" s="559"/>
      <c r="D731" s="559"/>
      <c r="E731" s="559"/>
      <c r="F731" s="559"/>
      <c r="G731" s="559"/>
      <c r="H731" s="559"/>
      <c r="I731" s="559"/>
      <c r="J731" s="559"/>
      <c r="K731" s="559"/>
      <c r="L731" s="559"/>
      <c r="M731" s="559"/>
      <c r="N731" s="559"/>
      <c r="O731" s="559"/>
      <c r="P731" s="559"/>
      <c r="Q731" s="559"/>
      <c r="R731" s="559"/>
      <c r="S731" s="559"/>
      <c r="T731" s="559"/>
      <c r="U731" s="559"/>
      <c r="V731" s="559"/>
      <c r="W731" s="559"/>
      <c r="X731" s="559"/>
      <c r="Y731" s="559"/>
      <c r="Z731" s="559"/>
    </row>
    <row r="732" spans="1:26" ht="18" customHeight="1" x14ac:dyDescent="0.35">
      <c r="A732" s="559"/>
      <c r="B732" s="559"/>
      <c r="C732" s="559"/>
      <c r="D732" s="559"/>
      <c r="E732" s="559"/>
      <c r="F732" s="559"/>
      <c r="G732" s="559"/>
      <c r="H732" s="559"/>
      <c r="I732" s="559"/>
      <c r="J732" s="559"/>
      <c r="K732" s="559"/>
      <c r="L732" s="559"/>
      <c r="M732" s="559"/>
      <c r="N732" s="559"/>
      <c r="O732" s="559"/>
      <c r="P732" s="559"/>
      <c r="Q732" s="559"/>
      <c r="R732" s="559"/>
      <c r="S732" s="559"/>
      <c r="T732" s="559"/>
      <c r="U732" s="559"/>
      <c r="V732" s="559"/>
      <c r="W732" s="559"/>
      <c r="X732" s="559"/>
      <c r="Y732" s="559"/>
      <c r="Z732" s="559"/>
    </row>
    <row r="733" spans="1:26" ht="18" customHeight="1" x14ac:dyDescent="0.35">
      <c r="A733" s="559"/>
      <c r="B733" s="559"/>
      <c r="C733" s="559"/>
      <c r="D733" s="559"/>
      <c r="E733" s="559"/>
      <c r="F733" s="559"/>
      <c r="G733" s="559"/>
      <c r="H733" s="559"/>
      <c r="I733" s="559"/>
      <c r="J733" s="559"/>
      <c r="K733" s="559"/>
      <c r="L733" s="559"/>
      <c r="M733" s="559"/>
      <c r="N733" s="559"/>
      <c r="O733" s="559"/>
      <c r="P733" s="559"/>
      <c r="Q733" s="559"/>
      <c r="R733" s="559"/>
      <c r="S733" s="559"/>
      <c r="T733" s="559"/>
      <c r="U733" s="559"/>
      <c r="V733" s="559"/>
      <c r="W733" s="559"/>
      <c r="X733" s="559"/>
      <c r="Y733" s="559"/>
      <c r="Z733" s="559"/>
    </row>
    <row r="734" spans="1:26" ht="18" customHeight="1" x14ac:dyDescent="0.35">
      <c r="A734" s="559"/>
      <c r="B734" s="559"/>
      <c r="C734" s="559"/>
      <c r="D734" s="559"/>
      <c r="E734" s="559"/>
      <c r="F734" s="559"/>
      <c r="G734" s="559"/>
      <c r="H734" s="559"/>
      <c r="I734" s="559"/>
      <c r="J734" s="559"/>
      <c r="K734" s="559"/>
      <c r="L734" s="559"/>
      <c r="M734" s="559"/>
      <c r="N734" s="559"/>
      <c r="O734" s="559"/>
      <c r="P734" s="559"/>
      <c r="Q734" s="559"/>
      <c r="R734" s="559"/>
      <c r="S734" s="559"/>
      <c r="T734" s="559"/>
      <c r="U734" s="559"/>
      <c r="V734" s="559"/>
      <c r="W734" s="559"/>
      <c r="X734" s="559"/>
      <c r="Y734" s="559"/>
      <c r="Z734" s="559"/>
    </row>
    <row r="735" spans="1:26" ht="18" customHeight="1" x14ac:dyDescent="0.35">
      <c r="A735" s="559"/>
      <c r="B735" s="559"/>
      <c r="C735" s="559"/>
      <c r="D735" s="559"/>
      <c r="E735" s="559"/>
      <c r="F735" s="559"/>
      <c r="G735" s="559"/>
      <c r="H735" s="559"/>
      <c r="I735" s="559"/>
      <c r="J735" s="559"/>
      <c r="K735" s="559"/>
      <c r="L735" s="559"/>
      <c r="M735" s="559"/>
      <c r="N735" s="559"/>
      <c r="O735" s="559"/>
      <c r="P735" s="559"/>
      <c r="Q735" s="559"/>
      <c r="R735" s="559"/>
      <c r="S735" s="559"/>
      <c r="T735" s="559"/>
      <c r="U735" s="559"/>
      <c r="V735" s="559"/>
      <c r="W735" s="559"/>
      <c r="X735" s="559"/>
      <c r="Y735" s="559"/>
      <c r="Z735" s="559"/>
    </row>
    <row r="736" spans="1:26" ht="18" customHeight="1" x14ac:dyDescent="0.35">
      <c r="A736" s="559"/>
      <c r="B736" s="559"/>
      <c r="C736" s="559"/>
      <c r="D736" s="559"/>
      <c r="E736" s="559"/>
      <c r="F736" s="559"/>
      <c r="G736" s="559"/>
      <c r="H736" s="559"/>
      <c r="I736" s="559"/>
      <c r="J736" s="559"/>
      <c r="K736" s="559"/>
      <c r="L736" s="559"/>
      <c r="M736" s="559"/>
      <c r="N736" s="559"/>
      <c r="O736" s="559"/>
      <c r="P736" s="559"/>
      <c r="Q736" s="559"/>
      <c r="R736" s="559"/>
      <c r="S736" s="559"/>
      <c r="T736" s="559"/>
      <c r="U736" s="559"/>
      <c r="V736" s="559"/>
      <c r="W736" s="559"/>
      <c r="X736" s="559"/>
      <c r="Y736" s="559"/>
      <c r="Z736" s="559"/>
    </row>
    <row r="737" spans="1:26" ht="18" customHeight="1" x14ac:dyDescent="0.35">
      <c r="A737" s="559"/>
      <c r="B737" s="559"/>
      <c r="C737" s="559"/>
      <c r="D737" s="559"/>
      <c r="E737" s="559"/>
      <c r="F737" s="559"/>
      <c r="G737" s="559"/>
      <c r="H737" s="559"/>
      <c r="I737" s="559"/>
      <c r="J737" s="559"/>
      <c r="K737" s="559"/>
      <c r="L737" s="559"/>
      <c r="M737" s="559"/>
      <c r="N737" s="559"/>
      <c r="O737" s="559"/>
      <c r="P737" s="559"/>
      <c r="Q737" s="559"/>
      <c r="R737" s="559"/>
      <c r="S737" s="559"/>
      <c r="T737" s="559"/>
      <c r="U737" s="559"/>
      <c r="V737" s="559"/>
      <c r="W737" s="559"/>
      <c r="X737" s="559"/>
      <c r="Y737" s="559"/>
      <c r="Z737" s="559"/>
    </row>
    <row r="738" spans="1:26" ht="18" customHeight="1" x14ac:dyDescent="0.35">
      <c r="A738" s="559"/>
      <c r="B738" s="559"/>
      <c r="C738" s="559"/>
      <c r="D738" s="559"/>
      <c r="E738" s="559"/>
      <c r="F738" s="559"/>
      <c r="G738" s="559"/>
      <c r="H738" s="559"/>
      <c r="I738" s="559"/>
      <c r="J738" s="559"/>
      <c r="K738" s="559"/>
      <c r="L738" s="559"/>
      <c r="M738" s="559"/>
      <c r="N738" s="559"/>
      <c r="O738" s="559"/>
      <c r="P738" s="559"/>
      <c r="Q738" s="559"/>
      <c r="R738" s="559"/>
      <c r="S738" s="559"/>
      <c r="T738" s="559"/>
      <c r="U738" s="559"/>
      <c r="V738" s="559"/>
      <c r="W738" s="559"/>
      <c r="X738" s="559"/>
      <c r="Y738" s="559"/>
      <c r="Z738" s="559"/>
    </row>
    <row r="739" spans="1:26" ht="18" customHeight="1" x14ac:dyDescent="0.35">
      <c r="A739" s="559"/>
      <c r="B739" s="559"/>
      <c r="C739" s="559"/>
      <c r="D739" s="559"/>
      <c r="E739" s="559"/>
      <c r="F739" s="559"/>
      <c r="G739" s="559"/>
      <c r="H739" s="559"/>
      <c r="I739" s="559"/>
      <c r="J739" s="559"/>
      <c r="K739" s="559"/>
      <c r="L739" s="559"/>
      <c r="M739" s="559"/>
      <c r="N739" s="559"/>
      <c r="O739" s="559"/>
      <c r="P739" s="559"/>
      <c r="Q739" s="559"/>
      <c r="R739" s="559"/>
      <c r="S739" s="559"/>
      <c r="T739" s="559"/>
      <c r="U739" s="559"/>
      <c r="V739" s="559"/>
      <c r="W739" s="559"/>
      <c r="X739" s="559"/>
      <c r="Y739" s="559"/>
      <c r="Z739" s="559"/>
    </row>
    <row r="740" spans="1:26" ht="18" customHeight="1" x14ac:dyDescent="0.35">
      <c r="A740" s="559"/>
      <c r="B740" s="559"/>
      <c r="C740" s="559"/>
      <c r="D740" s="559"/>
      <c r="E740" s="559"/>
      <c r="F740" s="559"/>
      <c r="G740" s="559"/>
      <c r="H740" s="559"/>
      <c r="I740" s="559"/>
      <c r="J740" s="559"/>
      <c r="K740" s="559"/>
      <c r="L740" s="559"/>
      <c r="M740" s="559"/>
      <c r="N740" s="559"/>
      <c r="O740" s="559"/>
      <c r="P740" s="559"/>
      <c r="Q740" s="559"/>
      <c r="R740" s="559"/>
      <c r="S740" s="559"/>
      <c r="T740" s="559"/>
      <c r="U740" s="559"/>
      <c r="V740" s="559"/>
      <c r="W740" s="559"/>
      <c r="X740" s="559"/>
      <c r="Y740" s="559"/>
      <c r="Z740" s="559"/>
    </row>
    <row r="741" spans="1:26" ht="18" customHeight="1" x14ac:dyDescent="0.35">
      <c r="A741" s="559"/>
      <c r="B741" s="559"/>
      <c r="C741" s="559"/>
      <c r="D741" s="559"/>
      <c r="E741" s="559"/>
      <c r="F741" s="559"/>
      <c r="G741" s="559"/>
      <c r="H741" s="559"/>
      <c r="I741" s="559"/>
      <c r="J741" s="559"/>
      <c r="K741" s="559"/>
      <c r="L741" s="559"/>
      <c r="M741" s="559"/>
      <c r="N741" s="559"/>
      <c r="O741" s="559"/>
      <c r="P741" s="559"/>
      <c r="Q741" s="559"/>
      <c r="R741" s="559"/>
      <c r="S741" s="559"/>
      <c r="T741" s="559"/>
      <c r="U741" s="559"/>
      <c r="V741" s="559"/>
      <c r="W741" s="559"/>
      <c r="X741" s="559"/>
      <c r="Y741" s="559"/>
      <c r="Z741" s="559"/>
    </row>
    <row r="742" spans="1:26" ht="18" customHeight="1" x14ac:dyDescent="0.35">
      <c r="A742" s="559"/>
      <c r="B742" s="559"/>
      <c r="C742" s="559"/>
      <c r="D742" s="559"/>
      <c r="E742" s="559"/>
      <c r="F742" s="559"/>
      <c r="G742" s="559"/>
      <c r="H742" s="559"/>
      <c r="I742" s="559"/>
      <c r="J742" s="559"/>
      <c r="K742" s="559"/>
      <c r="L742" s="559"/>
      <c r="M742" s="559"/>
      <c r="N742" s="559"/>
      <c r="O742" s="559"/>
      <c r="P742" s="559"/>
      <c r="Q742" s="559"/>
      <c r="R742" s="559"/>
      <c r="S742" s="559"/>
      <c r="T742" s="559"/>
      <c r="U742" s="559"/>
      <c r="V742" s="559"/>
      <c r="W742" s="559"/>
      <c r="X742" s="559"/>
      <c r="Y742" s="559"/>
      <c r="Z742" s="559"/>
    </row>
    <row r="743" spans="1:26" ht="18" customHeight="1" x14ac:dyDescent="0.35">
      <c r="A743" s="559"/>
      <c r="B743" s="559"/>
      <c r="C743" s="559"/>
      <c r="D743" s="559"/>
      <c r="E743" s="559"/>
      <c r="F743" s="559"/>
      <c r="G743" s="559"/>
      <c r="H743" s="559"/>
      <c r="I743" s="559"/>
      <c r="J743" s="559"/>
      <c r="K743" s="559"/>
      <c r="L743" s="559"/>
      <c r="M743" s="559"/>
      <c r="N743" s="559"/>
      <c r="O743" s="559"/>
      <c r="P743" s="559"/>
      <c r="Q743" s="559"/>
      <c r="R743" s="559"/>
      <c r="S743" s="559"/>
      <c r="T743" s="559"/>
      <c r="U743" s="559"/>
      <c r="V743" s="559"/>
      <c r="W743" s="559"/>
      <c r="X743" s="559"/>
      <c r="Y743" s="559"/>
      <c r="Z743" s="559"/>
    </row>
    <row r="744" spans="1:26" ht="18" customHeight="1" x14ac:dyDescent="0.35">
      <c r="A744" s="559"/>
      <c r="B744" s="559"/>
      <c r="C744" s="559"/>
      <c r="D744" s="559"/>
      <c r="E744" s="559"/>
      <c r="F744" s="559"/>
      <c r="G744" s="559"/>
      <c r="H744" s="559"/>
      <c r="I744" s="559"/>
      <c r="J744" s="559"/>
      <c r="K744" s="559"/>
      <c r="L744" s="559"/>
      <c r="M744" s="559"/>
      <c r="N744" s="559"/>
      <c r="O744" s="559"/>
      <c r="P744" s="559"/>
      <c r="Q744" s="559"/>
      <c r="R744" s="559"/>
      <c r="S744" s="559"/>
      <c r="T744" s="559"/>
      <c r="U744" s="559"/>
      <c r="V744" s="559"/>
      <c r="W744" s="559"/>
      <c r="X744" s="559"/>
      <c r="Y744" s="559"/>
      <c r="Z744" s="559"/>
    </row>
    <row r="745" spans="1:26" ht="18" customHeight="1" x14ac:dyDescent="0.35">
      <c r="A745" s="559"/>
      <c r="B745" s="559"/>
      <c r="C745" s="559"/>
      <c r="D745" s="559"/>
      <c r="E745" s="559"/>
      <c r="F745" s="559"/>
      <c r="G745" s="559"/>
      <c r="H745" s="559"/>
      <c r="I745" s="559"/>
      <c r="J745" s="559"/>
      <c r="K745" s="559"/>
      <c r="L745" s="559"/>
      <c r="M745" s="559"/>
      <c r="N745" s="559"/>
      <c r="O745" s="559"/>
      <c r="P745" s="559"/>
      <c r="Q745" s="559"/>
      <c r="R745" s="559"/>
      <c r="S745" s="559"/>
      <c r="T745" s="559"/>
      <c r="U745" s="559"/>
      <c r="V745" s="559"/>
      <c r="W745" s="559"/>
      <c r="X745" s="559"/>
      <c r="Y745" s="559"/>
      <c r="Z745" s="559"/>
    </row>
    <row r="746" spans="1:26" ht="18" customHeight="1" x14ac:dyDescent="0.35">
      <c r="A746" s="559"/>
      <c r="B746" s="559"/>
      <c r="C746" s="559"/>
      <c r="D746" s="559"/>
      <c r="E746" s="559"/>
      <c r="F746" s="559"/>
      <c r="G746" s="559"/>
      <c r="H746" s="559"/>
      <c r="I746" s="559"/>
      <c r="J746" s="559"/>
      <c r="K746" s="559"/>
      <c r="L746" s="559"/>
      <c r="M746" s="559"/>
      <c r="N746" s="559"/>
      <c r="O746" s="559"/>
      <c r="P746" s="559"/>
      <c r="Q746" s="559"/>
      <c r="R746" s="559"/>
      <c r="S746" s="559"/>
      <c r="T746" s="559"/>
      <c r="U746" s="559"/>
      <c r="V746" s="559"/>
      <c r="W746" s="559"/>
      <c r="X746" s="559"/>
      <c r="Y746" s="559"/>
      <c r="Z746" s="559"/>
    </row>
    <row r="747" spans="1:26" ht="18" customHeight="1" x14ac:dyDescent="0.35">
      <c r="A747" s="559"/>
      <c r="B747" s="559"/>
      <c r="C747" s="559"/>
      <c r="D747" s="559"/>
      <c r="E747" s="559"/>
      <c r="F747" s="559"/>
      <c r="G747" s="559"/>
      <c r="H747" s="559"/>
      <c r="I747" s="559"/>
      <c r="J747" s="559"/>
      <c r="K747" s="559"/>
      <c r="L747" s="559"/>
      <c r="M747" s="559"/>
      <c r="N747" s="559"/>
      <c r="O747" s="559"/>
      <c r="P747" s="559"/>
      <c r="Q747" s="559"/>
      <c r="R747" s="559"/>
      <c r="S747" s="559"/>
      <c r="T747" s="559"/>
      <c r="U747" s="559"/>
      <c r="V747" s="559"/>
      <c r="W747" s="559"/>
      <c r="X747" s="559"/>
      <c r="Y747" s="559"/>
      <c r="Z747" s="559"/>
    </row>
    <row r="748" spans="1:26" ht="18" customHeight="1" x14ac:dyDescent="0.35">
      <c r="A748" s="559"/>
      <c r="B748" s="559"/>
      <c r="C748" s="559"/>
      <c r="D748" s="559"/>
      <c r="E748" s="559"/>
      <c r="F748" s="559"/>
      <c r="G748" s="559"/>
      <c r="H748" s="559"/>
      <c r="I748" s="559"/>
      <c r="J748" s="559"/>
      <c r="K748" s="559"/>
      <c r="L748" s="559"/>
      <c r="M748" s="559"/>
      <c r="N748" s="559"/>
      <c r="O748" s="559"/>
      <c r="P748" s="559"/>
      <c r="Q748" s="559"/>
      <c r="R748" s="559"/>
      <c r="S748" s="559"/>
      <c r="T748" s="559"/>
      <c r="U748" s="559"/>
      <c r="V748" s="559"/>
      <c r="W748" s="559"/>
      <c r="X748" s="559"/>
      <c r="Y748" s="559"/>
      <c r="Z748" s="559"/>
    </row>
    <row r="749" spans="1:26" ht="18" customHeight="1" x14ac:dyDescent="0.35">
      <c r="A749" s="559"/>
      <c r="B749" s="559"/>
      <c r="C749" s="559"/>
      <c r="D749" s="559"/>
      <c r="E749" s="559"/>
      <c r="F749" s="559"/>
      <c r="G749" s="559"/>
      <c r="H749" s="559"/>
      <c r="I749" s="559"/>
      <c r="J749" s="559"/>
      <c r="K749" s="559"/>
      <c r="L749" s="559"/>
      <c r="M749" s="559"/>
      <c r="N749" s="559"/>
      <c r="O749" s="559"/>
      <c r="P749" s="559"/>
      <c r="Q749" s="559"/>
      <c r="R749" s="559"/>
      <c r="S749" s="559"/>
      <c r="T749" s="559"/>
      <c r="U749" s="559"/>
      <c r="V749" s="559"/>
      <c r="W749" s="559"/>
      <c r="X749" s="559"/>
      <c r="Y749" s="559"/>
      <c r="Z749" s="559"/>
    </row>
    <row r="750" spans="1:26" ht="18" customHeight="1" x14ac:dyDescent="0.35">
      <c r="A750" s="559"/>
      <c r="B750" s="559"/>
      <c r="C750" s="559"/>
      <c r="D750" s="559"/>
      <c r="E750" s="559"/>
      <c r="F750" s="559"/>
      <c r="G750" s="559"/>
      <c r="H750" s="559"/>
      <c r="I750" s="559"/>
      <c r="J750" s="559"/>
      <c r="K750" s="559"/>
      <c r="L750" s="559"/>
      <c r="M750" s="559"/>
      <c r="N750" s="559"/>
      <c r="O750" s="559"/>
      <c r="P750" s="559"/>
      <c r="Q750" s="559"/>
      <c r="R750" s="559"/>
      <c r="S750" s="559"/>
      <c r="T750" s="559"/>
      <c r="U750" s="559"/>
      <c r="V750" s="559"/>
      <c r="W750" s="559"/>
      <c r="X750" s="559"/>
      <c r="Y750" s="559"/>
      <c r="Z750" s="559"/>
    </row>
    <row r="751" spans="1:26" ht="18" customHeight="1" x14ac:dyDescent="0.35">
      <c r="A751" s="559"/>
      <c r="B751" s="559"/>
      <c r="C751" s="559"/>
      <c r="D751" s="559"/>
      <c r="E751" s="559"/>
      <c r="F751" s="559"/>
      <c r="G751" s="559"/>
      <c r="H751" s="559"/>
      <c r="I751" s="559"/>
      <c r="J751" s="559"/>
      <c r="K751" s="559"/>
      <c r="L751" s="559"/>
      <c r="M751" s="559"/>
      <c r="N751" s="559"/>
      <c r="O751" s="559"/>
      <c r="P751" s="559"/>
      <c r="Q751" s="559"/>
      <c r="R751" s="559"/>
      <c r="S751" s="559"/>
      <c r="T751" s="559"/>
      <c r="U751" s="559"/>
      <c r="V751" s="559"/>
      <c r="W751" s="559"/>
      <c r="X751" s="559"/>
      <c r="Y751" s="559"/>
      <c r="Z751" s="559"/>
    </row>
    <row r="752" spans="1:26" ht="18" customHeight="1" x14ac:dyDescent="0.35">
      <c r="A752" s="559"/>
      <c r="B752" s="559"/>
      <c r="C752" s="559"/>
      <c r="D752" s="559"/>
      <c r="E752" s="559"/>
      <c r="F752" s="559"/>
      <c r="G752" s="559"/>
      <c r="H752" s="559"/>
      <c r="I752" s="559"/>
      <c r="J752" s="559"/>
      <c r="K752" s="559"/>
      <c r="L752" s="559"/>
      <c r="M752" s="559"/>
      <c r="N752" s="559"/>
      <c r="O752" s="559"/>
      <c r="P752" s="559"/>
      <c r="Q752" s="559"/>
      <c r="R752" s="559"/>
      <c r="S752" s="559"/>
      <c r="T752" s="559"/>
      <c r="U752" s="559"/>
      <c r="V752" s="559"/>
      <c r="W752" s="559"/>
      <c r="X752" s="559"/>
      <c r="Y752" s="559"/>
      <c r="Z752" s="559"/>
    </row>
    <row r="753" spans="1:26" ht="18" customHeight="1" x14ac:dyDescent="0.35">
      <c r="A753" s="559"/>
      <c r="B753" s="559"/>
      <c r="C753" s="559"/>
      <c r="D753" s="559"/>
      <c r="E753" s="559"/>
      <c r="F753" s="559"/>
      <c r="G753" s="559"/>
      <c r="H753" s="559"/>
      <c r="I753" s="559"/>
      <c r="J753" s="559"/>
      <c r="K753" s="559"/>
      <c r="L753" s="559"/>
      <c r="M753" s="559"/>
      <c r="N753" s="559"/>
      <c r="O753" s="559"/>
      <c r="P753" s="559"/>
      <c r="Q753" s="559"/>
      <c r="R753" s="559"/>
      <c r="S753" s="559"/>
      <c r="T753" s="559"/>
      <c r="U753" s="559"/>
      <c r="V753" s="559"/>
      <c r="W753" s="559"/>
      <c r="X753" s="559"/>
      <c r="Y753" s="559"/>
      <c r="Z753" s="559"/>
    </row>
    <row r="754" spans="1:26" ht="18" customHeight="1" x14ac:dyDescent="0.35">
      <c r="A754" s="559"/>
      <c r="B754" s="559"/>
      <c r="C754" s="559"/>
      <c r="D754" s="559"/>
      <c r="E754" s="559"/>
      <c r="F754" s="559"/>
      <c r="G754" s="559"/>
      <c r="H754" s="559"/>
      <c r="I754" s="559"/>
      <c r="J754" s="559"/>
      <c r="K754" s="559"/>
      <c r="L754" s="559"/>
      <c r="M754" s="559"/>
      <c r="N754" s="559"/>
      <c r="O754" s="559"/>
      <c r="P754" s="559"/>
      <c r="Q754" s="559"/>
      <c r="R754" s="559"/>
      <c r="S754" s="559"/>
      <c r="T754" s="559"/>
      <c r="U754" s="559"/>
      <c r="V754" s="559"/>
      <c r="W754" s="559"/>
      <c r="X754" s="559"/>
      <c r="Y754" s="559"/>
      <c r="Z754" s="559"/>
    </row>
    <row r="755" spans="1:26" ht="18" customHeight="1" x14ac:dyDescent="0.35">
      <c r="A755" s="559"/>
      <c r="B755" s="559"/>
      <c r="C755" s="559"/>
      <c r="D755" s="559"/>
      <c r="E755" s="559"/>
      <c r="F755" s="559"/>
      <c r="G755" s="559"/>
      <c r="H755" s="559"/>
      <c r="I755" s="559"/>
      <c r="J755" s="559"/>
      <c r="K755" s="559"/>
      <c r="L755" s="559"/>
      <c r="M755" s="559"/>
      <c r="N755" s="559"/>
      <c r="O755" s="559"/>
      <c r="P755" s="559"/>
      <c r="Q755" s="559"/>
      <c r="R755" s="559"/>
      <c r="S755" s="559"/>
      <c r="T755" s="559"/>
      <c r="U755" s="559"/>
      <c r="V755" s="559"/>
      <c r="W755" s="559"/>
      <c r="X755" s="559"/>
      <c r="Y755" s="559"/>
      <c r="Z755" s="559"/>
    </row>
    <row r="756" spans="1:26" ht="18" customHeight="1" x14ac:dyDescent="0.35">
      <c r="A756" s="559"/>
      <c r="B756" s="559"/>
      <c r="C756" s="559"/>
      <c r="D756" s="559"/>
      <c r="E756" s="559"/>
      <c r="F756" s="559"/>
      <c r="G756" s="559"/>
      <c r="H756" s="559"/>
      <c r="I756" s="559"/>
      <c r="J756" s="559"/>
      <c r="K756" s="559"/>
      <c r="L756" s="559"/>
      <c r="M756" s="559"/>
      <c r="N756" s="559"/>
      <c r="O756" s="559"/>
      <c r="P756" s="559"/>
      <c r="Q756" s="559"/>
      <c r="R756" s="559"/>
      <c r="S756" s="559"/>
      <c r="T756" s="559"/>
      <c r="U756" s="559"/>
      <c r="V756" s="559"/>
      <c r="W756" s="559"/>
      <c r="X756" s="559"/>
      <c r="Y756" s="559"/>
      <c r="Z756" s="559"/>
    </row>
    <row r="757" spans="1:26" ht="18" customHeight="1" x14ac:dyDescent="0.35">
      <c r="A757" s="559"/>
      <c r="B757" s="559"/>
      <c r="C757" s="559"/>
      <c r="D757" s="559"/>
      <c r="E757" s="559"/>
      <c r="F757" s="559"/>
      <c r="G757" s="559"/>
      <c r="H757" s="559"/>
      <c r="I757" s="559"/>
      <c r="J757" s="559"/>
      <c r="K757" s="559"/>
      <c r="L757" s="559"/>
      <c r="M757" s="559"/>
      <c r="N757" s="559"/>
      <c r="O757" s="559"/>
      <c r="P757" s="559"/>
      <c r="Q757" s="559"/>
      <c r="R757" s="559"/>
      <c r="S757" s="559"/>
      <c r="T757" s="559"/>
      <c r="U757" s="559"/>
      <c r="V757" s="559"/>
      <c r="W757" s="559"/>
      <c r="X757" s="559"/>
      <c r="Y757" s="559"/>
      <c r="Z757" s="559"/>
    </row>
    <row r="758" spans="1:26" ht="18" customHeight="1" x14ac:dyDescent="0.35">
      <c r="A758" s="559"/>
      <c r="B758" s="559"/>
      <c r="C758" s="559"/>
      <c r="D758" s="559"/>
      <c r="E758" s="559"/>
      <c r="F758" s="559"/>
      <c r="G758" s="559"/>
      <c r="H758" s="559"/>
      <c r="I758" s="559"/>
      <c r="J758" s="559"/>
      <c r="K758" s="559"/>
      <c r="L758" s="559"/>
      <c r="M758" s="559"/>
      <c r="N758" s="559"/>
      <c r="O758" s="559"/>
      <c r="P758" s="559"/>
      <c r="Q758" s="559"/>
      <c r="R758" s="559"/>
      <c r="S758" s="559"/>
      <c r="T758" s="559"/>
      <c r="U758" s="559"/>
      <c r="V758" s="559"/>
      <c r="W758" s="559"/>
      <c r="X758" s="559"/>
      <c r="Y758" s="559"/>
      <c r="Z758" s="559"/>
    </row>
    <row r="759" spans="1:26" ht="18" customHeight="1" x14ac:dyDescent="0.35">
      <c r="A759" s="559"/>
      <c r="B759" s="559"/>
      <c r="C759" s="559"/>
      <c r="D759" s="559"/>
      <c r="E759" s="559"/>
      <c r="F759" s="559"/>
      <c r="G759" s="559"/>
      <c r="H759" s="559"/>
      <c r="I759" s="559"/>
      <c r="J759" s="559"/>
      <c r="K759" s="559"/>
      <c r="L759" s="559"/>
      <c r="M759" s="559"/>
      <c r="N759" s="559"/>
      <c r="O759" s="559"/>
      <c r="P759" s="559"/>
      <c r="Q759" s="559"/>
      <c r="R759" s="559"/>
      <c r="S759" s="559"/>
      <c r="T759" s="559"/>
      <c r="U759" s="559"/>
      <c r="V759" s="559"/>
      <c r="W759" s="559"/>
      <c r="X759" s="559"/>
      <c r="Y759" s="559"/>
      <c r="Z759" s="559"/>
    </row>
    <row r="760" spans="1:26" ht="18" customHeight="1" x14ac:dyDescent="0.35">
      <c r="A760" s="559"/>
      <c r="B760" s="559"/>
      <c r="C760" s="559"/>
      <c r="D760" s="559"/>
      <c r="E760" s="559"/>
      <c r="F760" s="559"/>
      <c r="G760" s="559"/>
      <c r="H760" s="559"/>
      <c r="I760" s="559"/>
      <c r="J760" s="559"/>
      <c r="K760" s="559"/>
      <c r="L760" s="559"/>
      <c r="M760" s="559"/>
      <c r="N760" s="559"/>
      <c r="O760" s="559"/>
      <c r="P760" s="559"/>
      <c r="Q760" s="559"/>
      <c r="R760" s="559"/>
      <c r="S760" s="559"/>
      <c r="T760" s="559"/>
      <c r="U760" s="559"/>
      <c r="V760" s="559"/>
      <c r="W760" s="559"/>
      <c r="X760" s="559"/>
      <c r="Y760" s="559"/>
      <c r="Z760" s="559"/>
    </row>
    <row r="761" spans="1:26" ht="18" customHeight="1" x14ac:dyDescent="0.35">
      <c r="A761" s="559"/>
      <c r="B761" s="559"/>
      <c r="C761" s="559"/>
      <c r="D761" s="559"/>
      <c r="E761" s="559"/>
      <c r="F761" s="559"/>
      <c r="G761" s="559"/>
      <c r="H761" s="559"/>
      <c r="I761" s="559"/>
      <c r="J761" s="559"/>
      <c r="K761" s="559"/>
      <c r="L761" s="559"/>
      <c r="M761" s="559"/>
      <c r="N761" s="559"/>
      <c r="O761" s="559"/>
      <c r="P761" s="559"/>
      <c r="Q761" s="559"/>
      <c r="R761" s="559"/>
      <c r="S761" s="559"/>
      <c r="T761" s="559"/>
      <c r="U761" s="559"/>
      <c r="V761" s="559"/>
      <c r="W761" s="559"/>
      <c r="X761" s="559"/>
      <c r="Y761" s="559"/>
      <c r="Z761" s="559"/>
    </row>
    <row r="762" spans="1:26" ht="18" customHeight="1" x14ac:dyDescent="0.35">
      <c r="A762" s="559"/>
      <c r="B762" s="559"/>
      <c r="C762" s="559"/>
      <c r="D762" s="559"/>
      <c r="E762" s="559"/>
      <c r="F762" s="559"/>
      <c r="G762" s="559"/>
      <c r="H762" s="559"/>
      <c r="I762" s="559"/>
      <c r="J762" s="559"/>
      <c r="K762" s="559"/>
      <c r="L762" s="559"/>
      <c r="M762" s="559"/>
      <c r="N762" s="559"/>
      <c r="O762" s="559"/>
      <c r="P762" s="559"/>
      <c r="Q762" s="559"/>
      <c r="R762" s="559"/>
      <c r="S762" s="559"/>
      <c r="T762" s="559"/>
      <c r="U762" s="559"/>
      <c r="V762" s="559"/>
      <c r="W762" s="559"/>
      <c r="X762" s="559"/>
      <c r="Y762" s="559"/>
      <c r="Z762" s="559"/>
    </row>
    <row r="763" spans="1:26" ht="18" customHeight="1" x14ac:dyDescent="0.35">
      <c r="A763" s="559"/>
      <c r="B763" s="559"/>
      <c r="C763" s="559"/>
      <c r="D763" s="559"/>
      <c r="E763" s="559"/>
      <c r="F763" s="559"/>
      <c r="G763" s="559"/>
      <c r="H763" s="559"/>
      <c r="I763" s="559"/>
      <c r="J763" s="559"/>
      <c r="K763" s="559"/>
      <c r="L763" s="559"/>
      <c r="M763" s="559"/>
      <c r="N763" s="559"/>
      <c r="O763" s="559"/>
      <c r="P763" s="559"/>
      <c r="Q763" s="559"/>
      <c r="R763" s="559"/>
      <c r="S763" s="559"/>
      <c r="T763" s="559"/>
      <c r="U763" s="559"/>
      <c r="V763" s="559"/>
      <c r="W763" s="559"/>
      <c r="X763" s="559"/>
      <c r="Y763" s="559"/>
      <c r="Z763" s="559"/>
    </row>
    <row r="764" spans="1:26" ht="18" customHeight="1" x14ac:dyDescent="0.35">
      <c r="A764" s="559"/>
      <c r="B764" s="559"/>
      <c r="C764" s="559"/>
      <c r="D764" s="559"/>
      <c r="E764" s="559"/>
      <c r="F764" s="559"/>
      <c r="G764" s="559"/>
      <c r="H764" s="559"/>
      <c r="I764" s="559"/>
      <c r="J764" s="559"/>
      <c r="K764" s="559"/>
      <c r="L764" s="559"/>
      <c r="M764" s="559"/>
      <c r="N764" s="559"/>
      <c r="O764" s="559"/>
      <c r="P764" s="559"/>
      <c r="Q764" s="559"/>
      <c r="R764" s="559"/>
      <c r="S764" s="559"/>
      <c r="T764" s="559"/>
      <c r="U764" s="559"/>
      <c r="V764" s="559"/>
      <c r="W764" s="559"/>
      <c r="X764" s="559"/>
      <c r="Y764" s="559"/>
      <c r="Z764" s="559"/>
    </row>
    <row r="765" spans="1:26" ht="18" customHeight="1" x14ac:dyDescent="0.35">
      <c r="A765" s="559"/>
      <c r="B765" s="559"/>
      <c r="C765" s="559"/>
      <c r="D765" s="559"/>
      <c r="E765" s="559"/>
      <c r="F765" s="559"/>
      <c r="G765" s="559"/>
      <c r="H765" s="559"/>
      <c r="I765" s="559"/>
      <c r="J765" s="559"/>
      <c r="K765" s="559"/>
      <c r="L765" s="559"/>
      <c r="M765" s="559"/>
      <c r="N765" s="559"/>
      <c r="O765" s="559"/>
      <c r="P765" s="559"/>
      <c r="Q765" s="559"/>
      <c r="R765" s="559"/>
      <c r="S765" s="559"/>
      <c r="T765" s="559"/>
      <c r="U765" s="559"/>
      <c r="V765" s="559"/>
      <c r="W765" s="559"/>
      <c r="X765" s="559"/>
      <c r="Y765" s="559"/>
      <c r="Z765" s="559"/>
    </row>
    <row r="766" spans="1:26" ht="18" customHeight="1" x14ac:dyDescent="0.35">
      <c r="A766" s="559"/>
      <c r="B766" s="559"/>
      <c r="C766" s="559"/>
      <c r="D766" s="559"/>
      <c r="E766" s="559"/>
      <c r="F766" s="559"/>
      <c r="G766" s="559"/>
      <c r="H766" s="559"/>
      <c r="I766" s="559"/>
      <c r="J766" s="559"/>
      <c r="K766" s="559"/>
      <c r="L766" s="559"/>
      <c r="M766" s="559"/>
      <c r="N766" s="559"/>
      <c r="O766" s="559"/>
      <c r="P766" s="559"/>
      <c r="Q766" s="559"/>
      <c r="R766" s="559"/>
      <c r="S766" s="559"/>
      <c r="T766" s="559"/>
      <c r="U766" s="559"/>
      <c r="V766" s="559"/>
      <c r="W766" s="559"/>
      <c r="X766" s="559"/>
      <c r="Y766" s="559"/>
      <c r="Z766" s="559"/>
    </row>
    <row r="767" spans="1:26" ht="18" customHeight="1" x14ac:dyDescent="0.35">
      <c r="A767" s="559"/>
      <c r="B767" s="559"/>
      <c r="C767" s="559"/>
      <c r="D767" s="559"/>
      <c r="E767" s="559"/>
      <c r="F767" s="559"/>
      <c r="G767" s="559"/>
      <c r="H767" s="559"/>
      <c r="I767" s="559"/>
      <c r="J767" s="559"/>
      <c r="K767" s="559"/>
      <c r="L767" s="559"/>
      <c r="M767" s="559"/>
      <c r="N767" s="559"/>
      <c r="O767" s="559"/>
      <c r="P767" s="559"/>
      <c r="Q767" s="559"/>
      <c r="R767" s="559"/>
      <c r="S767" s="559"/>
      <c r="T767" s="559"/>
      <c r="U767" s="559"/>
      <c r="V767" s="559"/>
      <c r="W767" s="559"/>
      <c r="X767" s="559"/>
      <c r="Y767" s="559"/>
      <c r="Z767" s="559"/>
    </row>
    <row r="768" spans="1:26" ht="18" customHeight="1" x14ac:dyDescent="0.35">
      <c r="A768" s="559"/>
      <c r="B768" s="559"/>
      <c r="C768" s="559"/>
      <c r="D768" s="559"/>
      <c r="E768" s="559"/>
      <c r="F768" s="559"/>
      <c r="G768" s="559"/>
      <c r="H768" s="559"/>
      <c r="I768" s="559"/>
      <c r="J768" s="559"/>
      <c r="K768" s="559"/>
      <c r="L768" s="559"/>
      <c r="M768" s="559"/>
      <c r="N768" s="559"/>
      <c r="O768" s="559"/>
      <c r="P768" s="559"/>
      <c r="Q768" s="559"/>
      <c r="R768" s="559"/>
      <c r="S768" s="559"/>
      <c r="T768" s="559"/>
      <c r="U768" s="559"/>
      <c r="V768" s="559"/>
      <c r="W768" s="559"/>
      <c r="X768" s="559"/>
      <c r="Y768" s="559"/>
      <c r="Z768" s="559"/>
    </row>
    <row r="769" spans="1:26" ht="18" customHeight="1" x14ac:dyDescent="0.35">
      <c r="A769" s="559"/>
      <c r="B769" s="559"/>
      <c r="C769" s="559"/>
      <c r="D769" s="559"/>
      <c r="E769" s="559"/>
      <c r="F769" s="559"/>
      <c r="G769" s="559"/>
      <c r="H769" s="559"/>
      <c r="I769" s="559"/>
      <c r="J769" s="559"/>
      <c r="K769" s="559"/>
      <c r="L769" s="559"/>
      <c r="M769" s="559"/>
      <c r="N769" s="559"/>
      <c r="O769" s="559"/>
      <c r="P769" s="559"/>
      <c r="Q769" s="559"/>
      <c r="R769" s="559"/>
      <c r="S769" s="559"/>
      <c r="T769" s="559"/>
      <c r="U769" s="559"/>
      <c r="V769" s="559"/>
      <c r="W769" s="559"/>
      <c r="X769" s="559"/>
      <c r="Y769" s="559"/>
      <c r="Z769" s="559"/>
    </row>
    <row r="770" spans="1:26" ht="18" customHeight="1" x14ac:dyDescent="0.35">
      <c r="A770" s="559"/>
      <c r="B770" s="559"/>
      <c r="C770" s="559"/>
      <c r="D770" s="559"/>
      <c r="E770" s="559"/>
      <c r="F770" s="559"/>
      <c r="G770" s="559"/>
      <c r="H770" s="559"/>
      <c r="I770" s="559"/>
      <c r="J770" s="559"/>
      <c r="K770" s="559"/>
      <c r="L770" s="559"/>
      <c r="M770" s="559"/>
      <c r="N770" s="559"/>
      <c r="O770" s="559"/>
      <c r="P770" s="559"/>
      <c r="Q770" s="559"/>
      <c r="R770" s="559"/>
      <c r="S770" s="559"/>
      <c r="T770" s="559"/>
      <c r="U770" s="559"/>
      <c r="V770" s="559"/>
      <c r="W770" s="559"/>
      <c r="X770" s="559"/>
      <c r="Y770" s="559"/>
      <c r="Z770" s="559"/>
    </row>
    <row r="771" spans="1:26" ht="18" customHeight="1" x14ac:dyDescent="0.35">
      <c r="A771" s="559"/>
      <c r="B771" s="559"/>
      <c r="C771" s="559"/>
      <c r="D771" s="559"/>
      <c r="E771" s="559"/>
      <c r="F771" s="559"/>
      <c r="G771" s="559"/>
      <c r="H771" s="559"/>
      <c r="I771" s="559"/>
      <c r="J771" s="559"/>
      <c r="K771" s="559"/>
      <c r="L771" s="559"/>
      <c r="M771" s="559"/>
      <c r="N771" s="559"/>
      <c r="O771" s="559"/>
      <c r="P771" s="559"/>
      <c r="Q771" s="559"/>
      <c r="R771" s="559"/>
      <c r="S771" s="559"/>
      <c r="T771" s="559"/>
      <c r="U771" s="559"/>
      <c r="V771" s="559"/>
      <c r="W771" s="559"/>
      <c r="X771" s="559"/>
      <c r="Y771" s="559"/>
      <c r="Z771" s="559"/>
    </row>
    <row r="772" spans="1:26" ht="18" customHeight="1" x14ac:dyDescent="0.35">
      <c r="A772" s="559"/>
      <c r="B772" s="559"/>
      <c r="C772" s="559"/>
      <c r="D772" s="559"/>
      <c r="E772" s="559"/>
      <c r="F772" s="559"/>
      <c r="G772" s="559"/>
      <c r="H772" s="559"/>
      <c r="I772" s="559"/>
      <c r="J772" s="559"/>
      <c r="K772" s="559"/>
      <c r="L772" s="559"/>
      <c r="M772" s="559"/>
      <c r="N772" s="559"/>
      <c r="O772" s="559"/>
      <c r="P772" s="559"/>
      <c r="Q772" s="559"/>
      <c r="R772" s="559"/>
      <c r="S772" s="559"/>
      <c r="T772" s="559"/>
      <c r="U772" s="559"/>
      <c r="V772" s="559"/>
      <c r="W772" s="559"/>
      <c r="X772" s="559"/>
      <c r="Y772" s="559"/>
      <c r="Z772" s="559"/>
    </row>
    <row r="773" spans="1:26" ht="18" customHeight="1" x14ac:dyDescent="0.35">
      <c r="A773" s="559"/>
      <c r="B773" s="559"/>
      <c r="C773" s="559"/>
      <c r="D773" s="559"/>
      <c r="E773" s="559"/>
      <c r="F773" s="559"/>
      <c r="G773" s="559"/>
      <c r="H773" s="559"/>
      <c r="I773" s="559"/>
      <c r="J773" s="559"/>
      <c r="K773" s="559"/>
      <c r="L773" s="559"/>
      <c r="M773" s="559"/>
      <c r="N773" s="559"/>
      <c r="O773" s="559"/>
      <c r="P773" s="559"/>
      <c r="Q773" s="559"/>
      <c r="R773" s="559"/>
      <c r="S773" s="559"/>
      <c r="T773" s="559"/>
      <c r="U773" s="559"/>
      <c r="V773" s="559"/>
      <c r="W773" s="559"/>
      <c r="X773" s="559"/>
      <c r="Y773" s="559"/>
      <c r="Z773" s="559"/>
    </row>
    <row r="774" spans="1:26" ht="18" customHeight="1" x14ac:dyDescent="0.35">
      <c r="A774" s="559"/>
      <c r="B774" s="559"/>
      <c r="C774" s="559"/>
      <c r="D774" s="559"/>
      <c r="E774" s="559"/>
      <c r="F774" s="559"/>
      <c r="G774" s="559"/>
      <c r="H774" s="559"/>
      <c r="I774" s="559"/>
      <c r="J774" s="559"/>
      <c r="K774" s="559"/>
      <c r="L774" s="559"/>
      <c r="M774" s="559"/>
      <c r="N774" s="559"/>
      <c r="O774" s="559"/>
      <c r="P774" s="559"/>
      <c r="Q774" s="559"/>
      <c r="R774" s="559"/>
      <c r="S774" s="559"/>
      <c r="T774" s="559"/>
      <c r="U774" s="559"/>
      <c r="V774" s="559"/>
      <c r="W774" s="559"/>
      <c r="X774" s="559"/>
      <c r="Y774" s="559"/>
      <c r="Z774" s="559"/>
    </row>
    <row r="775" spans="1:26" ht="18" customHeight="1" x14ac:dyDescent="0.35">
      <c r="A775" s="559"/>
      <c r="B775" s="559"/>
      <c r="C775" s="559"/>
      <c r="D775" s="559"/>
      <c r="E775" s="559"/>
      <c r="F775" s="559"/>
      <c r="G775" s="559"/>
      <c r="H775" s="559"/>
      <c r="I775" s="559"/>
      <c r="J775" s="559"/>
      <c r="K775" s="559"/>
      <c r="L775" s="559"/>
      <c r="M775" s="559"/>
      <c r="N775" s="559"/>
      <c r="O775" s="559"/>
      <c r="P775" s="559"/>
      <c r="Q775" s="559"/>
      <c r="R775" s="559"/>
      <c r="S775" s="559"/>
      <c r="T775" s="559"/>
      <c r="U775" s="559"/>
      <c r="V775" s="559"/>
      <c r="W775" s="559"/>
      <c r="X775" s="559"/>
      <c r="Y775" s="559"/>
      <c r="Z775" s="559"/>
    </row>
    <row r="776" spans="1:26" ht="18" customHeight="1" x14ac:dyDescent="0.35">
      <c r="A776" s="559"/>
      <c r="B776" s="559"/>
      <c r="C776" s="559"/>
      <c r="D776" s="559"/>
      <c r="E776" s="559"/>
      <c r="F776" s="559"/>
      <c r="G776" s="559"/>
      <c r="H776" s="559"/>
      <c r="I776" s="559"/>
      <c r="J776" s="559"/>
      <c r="K776" s="559"/>
      <c r="L776" s="559"/>
      <c r="M776" s="559"/>
      <c r="N776" s="559"/>
      <c r="O776" s="559"/>
      <c r="P776" s="559"/>
      <c r="Q776" s="559"/>
      <c r="R776" s="559"/>
      <c r="S776" s="559"/>
      <c r="T776" s="559"/>
      <c r="U776" s="559"/>
      <c r="V776" s="559"/>
      <c r="W776" s="559"/>
      <c r="X776" s="559"/>
      <c r="Y776" s="559"/>
      <c r="Z776" s="559"/>
    </row>
    <row r="777" spans="1:26" ht="18" customHeight="1" x14ac:dyDescent="0.35">
      <c r="A777" s="559"/>
      <c r="B777" s="559"/>
      <c r="C777" s="559"/>
      <c r="D777" s="559"/>
      <c r="E777" s="559"/>
      <c r="F777" s="559"/>
      <c r="G777" s="559"/>
      <c r="H777" s="559"/>
      <c r="I777" s="559"/>
      <c r="J777" s="559"/>
      <c r="K777" s="559"/>
      <c r="L777" s="559"/>
      <c r="M777" s="559"/>
      <c r="N777" s="559"/>
      <c r="O777" s="559"/>
      <c r="P777" s="559"/>
      <c r="Q777" s="559"/>
      <c r="R777" s="559"/>
      <c r="S777" s="559"/>
      <c r="T777" s="559"/>
      <c r="U777" s="559"/>
      <c r="V777" s="559"/>
      <c r="W777" s="559"/>
      <c r="X777" s="559"/>
      <c r="Y777" s="559"/>
      <c r="Z777" s="559"/>
    </row>
    <row r="778" spans="1:26" ht="18" customHeight="1" x14ac:dyDescent="0.35">
      <c r="A778" s="559"/>
      <c r="B778" s="559"/>
      <c r="C778" s="559"/>
      <c r="D778" s="559"/>
      <c r="E778" s="559"/>
      <c r="F778" s="559"/>
      <c r="G778" s="559"/>
      <c r="H778" s="559"/>
      <c r="I778" s="559"/>
      <c r="J778" s="559"/>
      <c r="K778" s="559"/>
      <c r="L778" s="559"/>
      <c r="M778" s="559"/>
      <c r="N778" s="559"/>
      <c r="O778" s="559"/>
      <c r="P778" s="559"/>
      <c r="Q778" s="559"/>
      <c r="R778" s="559"/>
      <c r="S778" s="559"/>
      <c r="T778" s="559"/>
      <c r="U778" s="559"/>
      <c r="V778" s="559"/>
      <c r="W778" s="559"/>
      <c r="X778" s="559"/>
      <c r="Y778" s="559"/>
      <c r="Z778" s="559"/>
    </row>
    <row r="779" spans="1:26" ht="18" customHeight="1" x14ac:dyDescent="0.35">
      <c r="A779" s="559"/>
      <c r="B779" s="559"/>
      <c r="C779" s="559"/>
      <c r="D779" s="559"/>
      <c r="E779" s="559"/>
      <c r="F779" s="559"/>
      <c r="G779" s="559"/>
      <c r="H779" s="559"/>
      <c r="I779" s="559"/>
      <c r="J779" s="559"/>
      <c r="K779" s="559"/>
      <c r="L779" s="559"/>
      <c r="M779" s="559"/>
      <c r="N779" s="559"/>
      <c r="O779" s="559"/>
      <c r="P779" s="559"/>
      <c r="Q779" s="559"/>
      <c r="R779" s="559"/>
      <c r="S779" s="559"/>
      <c r="T779" s="559"/>
      <c r="U779" s="559"/>
      <c r="V779" s="559"/>
      <c r="W779" s="559"/>
      <c r="X779" s="559"/>
      <c r="Y779" s="559"/>
      <c r="Z779" s="559"/>
    </row>
    <row r="780" spans="1:26" ht="18" customHeight="1" x14ac:dyDescent="0.35">
      <c r="A780" s="559"/>
      <c r="B780" s="559"/>
      <c r="C780" s="559"/>
      <c r="D780" s="559"/>
      <c r="E780" s="559"/>
      <c r="F780" s="559"/>
      <c r="G780" s="559"/>
      <c r="H780" s="559"/>
      <c r="I780" s="559"/>
      <c r="J780" s="559"/>
      <c r="K780" s="559"/>
      <c r="L780" s="559"/>
      <c r="M780" s="559"/>
      <c r="N780" s="559"/>
      <c r="O780" s="559"/>
      <c r="P780" s="559"/>
      <c r="Q780" s="559"/>
      <c r="R780" s="559"/>
      <c r="S780" s="559"/>
      <c r="T780" s="559"/>
      <c r="U780" s="559"/>
      <c r="V780" s="559"/>
      <c r="W780" s="559"/>
      <c r="X780" s="559"/>
      <c r="Y780" s="559"/>
      <c r="Z780" s="559"/>
    </row>
    <row r="781" spans="1:26" ht="18" customHeight="1" x14ac:dyDescent="0.35">
      <c r="A781" s="559"/>
      <c r="B781" s="559"/>
      <c r="C781" s="559"/>
      <c r="D781" s="559"/>
      <c r="E781" s="559"/>
      <c r="F781" s="559"/>
      <c r="G781" s="559"/>
      <c r="H781" s="559"/>
      <c r="I781" s="559"/>
      <c r="J781" s="559"/>
      <c r="K781" s="559"/>
      <c r="L781" s="559"/>
      <c r="M781" s="559"/>
      <c r="N781" s="559"/>
      <c r="O781" s="559"/>
      <c r="P781" s="559"/>
      <c r="Q781" s="559"/>
      <c r="R781" s="559"/>
      <c r="S781" s="559"/>
      <c r="T781" s="559"/>
      <c r="U781" s="559"/>
      <c r="V781" s="559"/>
      <c r="W781" s="559"/>
      <c r="X781" s="559"/>
      <c r="Y781" s="559"/>
      <c r="Z781" s="559"/>
    </row>
    <row r="782" spans="1:26" ht="18" customHeight="1" x14ac:dyDescent="0.35">
      <c r="A782" s="559"/>
      <c r="B782" s="559"/>
      <c r="C782" s="559"/>
      <c r="D782" s="559"/>
      <c r="E782" s="559"/>
      <c r="F782" s="559"/>
      <c r="G782" s="559"/>
      <c r="H782" s="559"/>
      <c r="I782" s="559"/>
      <c r="J782" s="559"/>
      <c r="K782" s="559"/>
      <c r="L782" s="559"/>
      <c r="M782" s="559"/>
      <c r="N782" s="559"/>
      <c r="O782" s="559"/>
      <c r="P782" s="559"/>
      <c r="Q782" s="559"/>
      <c r="R782" s="559"/>
      <c r="S782" s="559"/>
      <c r="T782" s="559"/>
      <c r="U782" s="559"/>
      <c r="V782" s="559"/>
      <c r="W782" s="559"/>
      <c r="X782" s="559"/>
      <c r="Y782" s="559"/>
      <c r="Z782" s="559"/>
    </row>
    <row r="783" spans="1:26" ht="18" customHeight="1" x14ac:dyDescent="0.35">
      <c r="A783" s="559"/>
      <c r="B783" s="559"/>
      <c r="C783" s="559"/>
      <c r="D783" s="559"/>
      <c r="E783" s="559"/>
      <c r="F783" s="559"/>
      <c r="G783" s="559"/>
      <c r="H783" s="559"/>
      <c r="I783" s="559"/>
      <c r="J783" s="559"/>
      <c r="K783" s="559"/>
      <c r="L783" s="559"/>
      <c r="M783" s="559"/>
      <c r="N783" s="559"/>
      <c r="O783" s="559"/>
      <c r="P783" s="559"/>
      <c r="Q783" s="559"/>
      <c r="R783" s="559"/>
      <c r="S783" s="559"/>
      <c r="T783" s="559"/>
      <c r="U783" s="559"/>
      <c r="V783" s="559"/>
      <c r="W783" s="559"/>
      <c r="X783" s="559"/>
      <c r="Y783" s="559"/>
      <c r="Z783" s="559"/>
    </row>
    <row r="784" spans="1:26" ht="18" customHeight="1" x14ac:dyDescent="0.35">
      <c r="A784" s="559"/>
      <c r="B784" s="559"/>
      <c r="C784" s="559"/>
      <c r="D784" s="559"/>
      <c r="E784" s="559"/>
      <c r="F784" s="559"/>
      <c r="G784" s="559"/>
      <c r="H784" s="559"/>
      <c r="I784" s="559"/>
      <c r="J784" s="559"/>
      <c r="K784" s="559"/>
      <c r="L784" s="559"/>
      <c r="M784" s="559"/>
      <c r="N784" s="559"/>
      <c r="O784" s="559"/>
      <c r="P784" s="559"/>
      <c r="Q784" s="559"/>
      <c r="R784" s="559"/>
      <c r="S784" s="559"/>
      <c r="T784" s="559"/>
      <c r="U784" s="559"/>
      <c r="V784" s="559"/>
      <c r="W784" s="559"/>
      <c r="X784" s="559"/>
      <c r="Y784" s="559"/>
      <c r="Z784" s="559"/>
    </row>
    <row r="785" spans="1:26" ht="18" customHeight="1" x14ac:dyDescent="0.35">
      <c r="A785" s="559"/>
      <c r="B785" s="559"/>
      <c r="C785" s="559"/>
      <c r="D785" s="559"/>
      <c r="E785" s="559"/>
      <c r="F785" s="559"/>
      <c r="G785" s="559"/>
      <c r="H785" s="559"/>
      <c r="I785" s="559"/>
      <c r="J785" s="559"/>
      <c r="K785" s="559"/>
      <c r="L785" s="559"/>
      <c r="M785" s="559"/>
      <c r="N785" s="559"/>
      <c r="O785" s="559"/>
      <c r="P785" s="559"/>
      <c r="Q785" s="559"/>
      <c r="R785" s="559"/>
      <c r="S785" s="559"/>
      <c r="T785" s="559"/>
      <c r="U785" s="559"/>
      <c r="V785" s="559"/>
      <c r="W785" s="559"/>
      <c r="X785" s="559"/>
      <c r="Y785" s="559"/>
      <c r="Z785" s="559"/>
    </row>
    <row r="786" spans="1:26" ht="18" customHeight="1" x14ac:dyDescent="0.35">
      <c r="A786" s="559"/>
      <c r="B786" s="559"/>
      <c r="C786" s="559"/>
      <c r="D786" s="559"/>
      <c r="E786" s="559"/>
      <c r="F786" s="559"/>
      <c r="G786" s="559"/>
      <c r="H786" s="559"/>
      <c r="I786" s="559"/>
      <c r="J786" s="559"/>
      <c r="K786" s="559"/>
      <c r="L786" s="559"/>
      <c r="M786" s="559"/>
      <c r="N786" s="559"/>
      <c r="O786" s="559"/>
      <c r="P786" s="559"/>
      <c r="Q786" s="559"/>
      <c r="R786" s="559"/>
      <c r="S786" s="559"/>
      <c r="T786" s="559"/>
      <c r="U786" s="559"/>
      <c r="V786" s="559"/>
      <c r="W786" s="559"/>
      <c r="X786" s="559"/>
      <c r="Y786" s="559"/>
      <c r="Z786" s="559"/>
    </row>
    <row r="787" spans="1:26" ht="18" customHeight="1" x14ac:dyDescent="0.35">
      <c r="A787" s="559"/>
      <c r="B787" s="559"/>
      <c r="C787" s="559"/>
      <c r="D787" s="559"/>
      <c r="E787" s="559"/>
      <c r="F787" s="559"/>
      <c r="G787" s="559"/>
      <c r="H787" s="559"/>
      <c r="I787" s="559"/>
      <c r="J787" s="559"/>
      <c r="K787" s="559"/>
      <c r="L787" s="559"/>
      <c r="M787" s="559"/>
      <c r="N787" s="559"/>
      <c r="O787" s="559"/>
      <c r="P787" s="559"/>
      <c r="Q787" s="559"/>
      <c r="R787" s="559"/>
      <c r="S787" s="559"/>
      <c r="T787" s="559"/>
      <c r="U787" s="559"/>
      <c r="V787" s="559"/>
      <c r="W787" s="559"/>
      <c r="X787" s="559"/>
      <c r="Y787" s="559"/>
      <c r="Z787" s="559"/>
    </row>
    <row r="788" spans="1:26" ht="18" customHeight="1" x14ac:dyDescent="0.35">
      <c r="A788" s="559"/>
      <c r="B788" s="559"/>
      <c r="C788" s="559"/>
      <c r="D788" s="559"/>
      <c r="E788" s="559"/>
      <c r="F788" s="559"/>
      <c r="G788" s="559"/>
      <c r="H788" s="559"/>
      <c r="I788" s="559"/>
      <c r="J788" s="559"/>
      <c r="K788" s="559"/>
      <c r="L788" s="559"/>
      <c r="M788" s="559"/>
      <c r="N788" s="559"/>
      <c r="O788" s="559"/>
      <c r="P788" s="559"/>
      <c r="Q788" s="559"/>
      <c r="R788" s="559"/>
      <c r="S788" s="559"/>
      <c r="T788" s="559"/>
      <c r="U788" s="559"/>
      <c r="V788" s="559"/>
      <c r="W788" s="559"/>
      <c r="X788" s="559"/>
      <c r="Y788" s="559"/>
      <c r="Z788" s="559"/>
    </row>
    <row r="789" spans="1:26" ht="18" customHeight="1" x14ac:dyDescent="0.35">
      <c r="A789" s="559"/>
      <c r="B789" s="559"/>
      <c r="C789" s="559"/>
      <c r="D789" s="559"/>
      <c r="E789" s="559"/>
      <c r="F789" s="559"/>
      <c r="G789" s="559"/>
      <c r="H789" s="559"/>
      <c r="I789" s="559"/>
      <c r="J789" s="559"/>
      <c r="K789" s="559"/>
      <c r="L789" s="559"/>
      <c r="M789" s="559"/>
      <c r="N789" s="559"/>
      <c r="O789" s="559"/>
      <c r="P789" s="559"/>
      <c r="Q789" s="559"/>
      <c r="R789" s="559"/>
      <c r="S789" s="559"/>
      <c r="T789" s="559"/>
      <c r="U789" s="559"/>
      <c r="V789" s="559"/>
      <c r="W789" s="559"/>
      <c r="X789" s="559"/>
      <c r="Y789" s="559"/>
      <c r="Z789" s="559"/>
    </row>
    <row r="790" spans="1:26" ht="18" customHeight="1" x14ac:dyDescent="0.35">
      <c r="A790" s="559"/>
      <c r="B790" s="559"/>
      <c r="C790" s="559"/>
      <c r="D790" s="559"/>
      <c r="E790" s="559"/>
      <c r="F790" s="559"/>
      <c r="G790" s="559"/>
      <c r="H790" s="559"/>
      <c r="I790" s="559"/>
      <c r="J790" s="559"/>
      <c r="K790" s="559"/>
      <c r="L790" s="559"/>
      <c r="M790" s="559"/>
      <c r="N790" s="559"/>
      <c r="O790" s="559"/>
      <c r="P790" s="559"/>
      <c r="Q790" s="559"/>
      <c r="R790" s="559"/>
      <c r="S790" s="559"/>
      <c r="T790" s="559"/>
      <c r="U790" s="559"/>
      <c r="V790" s="559"/>
      <c r="W790" s="559"/>
      <c r="X790" s="559"/>
      <c r="Y790" s="559"/>
      <c r="Z790" s="559"/>
    </row>
    <row r="791" spans="1:26" ht="18" customHeight="1" x14ac:dyDescent="0.35">
      <c r="A791" s="559"/>
      <c r="B791" s="559"/>
      <c r="C791" s="559"/>
      <c r="D791" s="559"/>
      <c r="E791" s="559"/>
      <c r="F791" s="559"/>
      <c r="G791" s="559"/>
      <c r="H791" s="559"/>
      <c r="I791" s="559"/>
      <c r="J791" s="559"/>
      <c r="K791" s="559"/>
      <c r="L791" s="559"/>
      <c r="M791" s="559"/>
      <c r="N791" s="559"/>
      <c r="O791" s="559"/>
      <c r="P791" s="559"/>
      <c r="Q791" s="559"/>
      <c r="R791" s="559"/>
      <c r="S791" s="559"/>
      <c r="T791" s="559"/>
      <c r="U791" s="559"/>
      <c r="V791" s="559"/>
      <c r="W791" s="559"/>
      <c r="X791" s="559"/>
      <c r="Y791" s="559"/>
      <c r="Z791" s="559"/>
    </row>
    <row r="792" spans="1:26" ht="18" customHeight="1" x14ac:dyDescent="0.35">
      <c r="A792" s="559"/>
      <c r="B792" s="559"/>
      <c r="C792" s="559"/>
      <c r="D792" s="559"/>
      <c r="E792" s="559"/>
      <c r="F792" s="559"/>
      <c r="G792" s="559"/>
      <c r="H792" s="559"/>
      <c r="I792" s="559"/>
      <c r="J792" s="559"/>
      <c r="K792" s="559"/>
      <c r="L792" s="559"/>
      <c r="M792" s="559"/>
      <c r="N792" s="559"/>
      <c r="O792" s="559"/>
      <c r="P792" s="559"/>
      <c r="Q792" s="559"/>
      <c r="R792" s="559"/>
      <c r="S792" s="559"/>
      <c r="T792" s="559"/>
      <c r="U792" s="559"/>
      <c r="V792" s="559"/>
      <c r="W792" s="559"/>
      <c r="X792" s="559"/>
      <c r="Y792" s="559"/>
      <c r="Z792" s="559"/>
    </row>
    <row r="793" spans="1:26" ht="18" customHeight="1" x14ac:dyDescent="0.35">
      <c r="A793" s="559"/>
      <c r="B793" s="559"/>
      <c r="C793" s="559"/>
      <c r="D793" s="559"/>
      <c r="E793" s="559"/>
      <c r="F793" s="559"/>
      <c r="G793" s="559"/>
      <c r="H793" s="559"/>
      <c r="I793" s="559"/>
      <c r="J793" s="559"/>
      <c r="K793" s="559"/>
      <c r="L793" s="559"/>
      <c r="M793" s="559"/>
      <c r="N793" s="559"/>
      <c r="O793" s="559"/>
      <c r="P793" s="559"/>
      <c r="Q793" s="559"/>
      <c r="R793" s="559"/>
      <c r="S793" s="559"/>
      <c r="T793" s="559"/>
      <c r="U793" s="559"/>
      <c r="V793" s="559"/>
      <c r="W793" s="559"/>
      <c r="X793" s="559"/>
      <c r="Y793" s="559"/>
      <c r="Z793" s="559"/>
    </row>
    <row r="794" spans="1:26" ht="18" customHeight="1" x14ac:dyDescent="0.35">
      <c r="A794" s="559"/>
      <c r="B794" s="559"/>
      <c r="C794" s="559"/>
      <c r="D794" s="559"/>
      <c r="E794" s="559"/>
      <c r="F794" s="559"/>
      <c r="G794" s="559"/>
      <c r="H794" s="559"/>
      <c r="I794" s="559"/>
      <c r="J794" s="559"/>
      <c r="K794" s="559"/>
      <c r="L794" s="559"/>
      <c r="M794" s="559"/>
      <c r="N794" s="559"/>
      <c r="O794" s="559"/>
      <c r="P794" s="559"/>
      <c r="Q794" s="559"/>
      <c r="R794" s="559"/>
      <c r="S794" s="559"/>
      <c r="T794" s="559"/>
      <c r="U794" s="559"/>
      <c r="V794" s="559"/>
      <c r="W794" s="559"/>
      <c r="X794" s="559"/>
      <c r="Y794" s="559"/>
      <c r="Z794" s="559"/>
    </row>
    <row r="795" spans="1:26" ht="18" customHeight="1" x14ac:dyDescent="0.35">
      <c r="A795" s="559"/>
      <c r="B795" s="559"/>
      <c r="C795" s="559"/>
      <c r="D795" s="559"/>
      <c r="E795" s="559"/>
      <c r="F795" s="559"/>
      <c r="G795" s="559"/>
      <c r="H795" s="559"/>
      <c r="I795" s="559"/>
      <c r="J795" s="559"/>
      <c r="K795" s="559"/>
      <c r="L795" s="559"/>
      <c r="M795" s="559"/>
      <c r="N795" s="559"/>
      <c r="O795" s="559"/>
      <c r="P795" s="559"/>
      <c r="Q795" s="559"/>
      <c r="R795" s="559"/>
      <c r="S795" s="559"/>
      <c r="T795" s="559"/>
      <c r="U795" s="559"/>
      <c r="V795" s="559"/>
      <c r="W795" s="559"/>
      <c r="X795" s="559"/>
      <c r="Y795" s="559"/>
      <c r="Z795" s="559"/>
    </row>
    <row r="796" spans="1:26" ht="18" customHeight="1" x14ac:dyDescent="0.35">
      <c r="A796" s="559"/>
      <c r="B796" s="559"/>
      <c r="C796" s="559"/>
      <c r="D796" s="559"/>
      <c r="E796" s="559"/>
      <c r="F796" s="559"/>
      <c r="G796" s="559"/>
      <c r="H796" s="559"/>
      <c r="I796" s="559"/>
      <c r="J796" s="559"/>
      <c r="K796" s="559"/>
      <c r="L796" s="559"/>
      <c r="M796" s="559"/>
      <c r="N796" s="559"/>
      <c r="O796" s="559"/>
      <c r="P796" s="559"/>
      <c r="Q796" s="559"/>
      <c r="R796" s="559"/>
      <c r="S796" s="559"/>
      <c r="T796" s="559"/>
      <c r="U796" s="559"/>
      <c r="V796" s="559"/>
      <c r="W796" s="559"/>
      <c r="X796" s="559"/>
      <c r="Y796" s="559"/>
      <c r="Z796" s="559"/>
    </row>
    <row r="797" spans="1:26" ht="18" customHeight="1" x14ac:dyDescent="0.35">
      <c r="A797" s="559"/>
      <c r="B797" s="559"/>
      <c r="C797" s="559"/>
      <c r="D797" s="559"/>
      <c r="E797" s="559"/>
      <c r="F797" s="559"/>
      <c r="G797" s="559"/>
      <c r="H797" s="559"/>
      <c r="I797" s="559"/>
      <c r="J797" s="559"/>
      <c r="K797" s="559"/>
      <c r="L797" s="559"/>
      <c r="M797" s="559"/>
      <c r="N797" s="559"/>
      <c r="O797" s="559"/>
      <c r="P797" s="559"/>
      <c r="Q797" s="559"/>
      <c r="R797" s="559"/>
      <c r="S797" s="559"/>
      <c r="T797" s="559"/>
      <c r="U797" s="559"/>
      <c r="V797" s="559"/>
      <c r="W797" s="559"/>
      <c r="X797" s="559"/>
      <c r="Y797" s="559"/>
      <c r="Z797" s="559"/>
    </row>
    <row r="798" spans="1:26" ht="18" customHeight="1" x14ac:dyDescent="0.35">
      <c r="A798" s="559"/>
      <c r="B798" s="559"/>
      <c r="C798" s="559"/>
      <c r="D798" s="559"/>
      <c r="E798" s="559"/>
      <c r="F798" s="559"/>
      <c r="G798" s="559"/>
      <c r="H798" s="559"/>
      <c r="I798" s="559"/>
      <c r="J798" s="559"/>
      <c r="K798" s="559"/>
      <c r="L798" s="559"/>
      <c r="M798" s="559"/>
      <c r="N798" s="559"/>
      <c r="O798" s="559"/>
      <c r="P798" s="559"/>
      <c r="Q798" s="559"/>
      <c r="R798" s="559"/>
      <c r="S798" s="559"/>
      <c r="T798" s="559"/>
      <c r="U798" s="559"/>
      <c r="V798" s="559"/>
      <c r="W798" s="559"/>
      <c r="X798" s="559"/>
      <c r="Y798" s="559"/>
      <c r="Z798" s="559"/>
    </row>
    <row r="799" spans="1:26" ht="18" customHeight="1" x14ac:dyDescent="0.35">
      <c r="A799" s="559"/>
      <c r="B799" s="559"/>
      <c r="C799" s="559"/>
      <c r="D799" s="559"/>
      <c r="E799" s="559"/>
      <c r="F799" s="559"/>
      <c r="G799" s="559"/>
      <c r="H799" s="559"/>
      <c r="I799" s="559"/>
      <c r="J799" s="559"/>
      <c r="K799" s="559"/>
      <c r="L799" s="559"/>
      <c r="M799" s="559"/>
      <c r="N799" s="559"/>
      <c r="O799" s="559"/>
      <c r="P799" s="559"/>
      <c r="Q799" s="559"/>
      <c r="R799" s="559"/>
      <c r="S799" s="559"/>
      <c r="T799" s="559"/>
      <c r="U799" s="559"/>
      <c r="V799" s="559"/>
      <c r="W799" s="559"/>
      <c r="X799" s="559"/>
      <c r="Y799" s="559"/>
      <c r="Z799" s="559"/>
    </row>
    <row r="800" spans="1:26" ht="18" customHeight="1" x14ac:dyDescent="0.35">
      <c r="A800" s="559"/>
      <c r="B800" s="559"/>
      <c r="C800" s="559"/>
      <c r="D800" s="559"/>
      <c r="E800" s="559"/>
      <c r="F800" s="559"/>
      <c r="G800" s="559"/>
      <c r="H800" s="559"/>
      <c r="I800" s="559"/>
      <c r="J800" s="559"/>
      <c r="K800" s="559"/>
      <c r="L800" s="559"/>
      <c r="M800" s="559"/>
      <c r="N800" s="559"/>
      <c r="O800" s="559"/>
      <c r="P800" s="559"/>
      <c r="Q800" s="559"/>
      <c r="R800" s="559"/>
      <c r="S800" s="559"/>
      <c r="T800" s="559"/>
      <c r="U800" s="559"/>
      <c r="V800" s="559"/>
      <c r="W800" s="559"/>
      <c r="X800" s="559"/>
      <c r="Y800" s="559"/>
      <c r="Z800" s="559"/>
    </row>
    <row r="801" spans="1:26" ht="18" customHeight="1" x14ac:dyDescent="0.35">
      <c r="A801" s="559"/>
      <c r="B801" s="559"/>
      <c r="C801" s="559"/>
      <c r="D801" s="559"/>
      <c r="E801" s="559"/>
      <c r="F801" s="559"/>
      <c r="G801" s="559"/>
      <c r="H801" s="559"/>
      <c r="I801" s="559"/>
      <c r="J801" s="559"/>
      <c r="K801" s="559"/>
      <c r="L801" s="559"/>
      <c r="M801" s="559"/>
      <c r="N801" s="559"/>
      <c r="O801" s="559"/>
      <c r="P801" s="559"/>
      <c r="Q801" s="559"/>
      <c r="R801" s="559"/>
      <c r="S801" s="559"/>
      <c r="T801" s="559"/>
      <c r="U801" s="559"/>
      <c r="V801" s="559"/>
      <c r="W801" s="559"/>
      <c r="X801" s="559"/>
      <c r="Y801" s="559"/>
      <c r="Z801" s="559"/>
    </row>
    <row r="802" spans="1:26" ht="18" customHeight="1" x14ac:dyDescent="0.35">
      <c r="A802" s="559"/>
      <c r="B802" s="559"/>
      <c r="C802" s="559"/>
      <c r="D802" s="559"/>
      <c r="E802" s="559"/>
      <c r="F802" s="559"/>
      <c r="G802" s="559"/>
      <c r="H802" s="559"/>
      <c r="I802" s="559"/>
      <c r="J802" s="559"/>
      <c r="K802" s="559"/>
      <c r="L802" s="559"/>
      <c r="M802" s="559"/>
      <c r="N802" s="559"/>
      <c r="O802" s="559"/>
      <c r="P802" s="559"/>
      <c r="Q802" s="559"/>
      <c r="R802" s="559"/>
      <c r="S802" s="559"/>
      <c r="T802" s="559"/>
      <c r="U802" s="559"/>
      <c r="V802" s="559"/>
      <c r="W802" s="559"/>
      <c r="X802" s="559"/>
      <c r="Y802" s="559"/>
      <c r="Z802" s="559"/>
    </row>
    <row r="803" spans="1:26" ht="18" customHeight="1" x14ac:dyDescent="0.35">
      <c r="A803" s="559"/>
      <c r="B803" s="559"/>
      <c r="C803" s="559"/>
      <c r="D803" s="559"/>
      <c r="E803" s="559"/>
      <c r="F803" s="559"/>
      <c r="G803" s="559"/>
      <c r="H803" s="559"/>
      <c r="I803" s="559"/>
      <c r="J803" s="559"/>
      <c r="K803" s="559"/>
      <c r="L803" s="559"/>
      <c r="M803" s="559"/>
      <c r="N803" s="559"/>
      <c r="O803" s="559"/>
      <c r="P803" s="559"/>
      <c r="Q803" s="559"/>
      <c r="R803" s="559"/>
      <c r="S803" s="559"/>
      <c r="T803" s="559"/>
      <c r="U803" s="559"/>
      <c r="V803" s="559"/>
      <c r="W803" s="559"/>
      <c r="X803" s="559"/>
      <c r="Y803" s="559"/>
      <c r="Z803" s="559"/>
    </row>
    <row r="804" spans="1:26" ht="18" customHeight="1" x14ac:dyDescent="0.35">
      <c r="A804" s="559"/>
      <c r="B804" s="559"/>
      <c r="C804" s="559"/>
      <c r="D804" s="559"/>
      <c r="E804" s="559"/>
      <c r="F804" s="559"/>
      <c r="G804" s="559"/>
      <c r="H804" s="559"/>
      <c r="I804" s="559"/>
      <c r="J804" s="559"/>
      <c r="K804" s="559"/>
      <c r="L804" s="559"/>
      <c r="M804" s="559"/>
      <c r="N804" s="559"/>
      <c r="O804" s="559"/>
      <c r="P804" s="559"/>
      <c r="Q804" s="559"/>
      <c r="R804" s="559"/>
      <c r="S804" s="559"/>
      <c r="T804" s="559"/>
      <c r="U804" s="559"/>
      <c r="V804" s="559"/>
      <c r="W804" s="559"/>
      <c r="X804" s="559"/>
      <c r="Y804" s="559"/>
      <c r="Z804" s="559"/>
    </row>
    <row r="805" spans="1:26" ht="18" customHeight="1" x14ac:dyDescent="0.35">
      <c r="A805" s="559"/>
      <c r="B805" s="559"/>
      <c r="C805" s="559"/>
      <c r="D805" s="559"/>
      <c r="E805" s="559"/>
      <c r="F805" s="559"/>
      <c r="G805" s="559"/>
      <c r="H805" s="559"/>
      <c r="I805" s="559"/>
      <c r="J805" s="559"/>
      <c r="K805" s="559"/>
      <c r="L805" s="559"/>
      <c r="M805" s="559"/>
      <c r="N805" s="559"/>
      <c r="O805" s="559"/>
      <c r="P805" s="559"/>
      <c r="Q805" s="559"/>
      <c r="R805" s="559"/>
      <c r="S805" s="559"/>
      <c r="T805" s="559"/>
      <c r="U805" s="559"/>
      <c r="V805" s="559"/>
      <c r="W805" s="559"/>
      <c r="X805" s="559"/>
      <c r="Y805" s="559"/>
      <c r="Z805" s="559"/>
    </row>
    <row r="806" spans="1:26" ht="18" customHeight="1" x14ac:dyDescent="0.35">
      <c r="A806" s="559"/>
      <c r="B806" s="559"/>
      <c r="C806" s="559"/>
      <c r="D806" s="559"/>
      <c r="E806" s="559"/>
      <c r="F806" s="559"/>
      <c r="G806" s="559"/>
      <c r="H806" s="559"/>
      <c r="I806" s="559"/>
      <c r="J806" s="559"/>
      <c r="K806" s="559"/>
      <c r="L806" s="559"/>
      <c r="M806" s="559"/>
      <c r="N806" s="559"/>
      <c r="O806" s="559"/>
      <c r="P806" s="559"/>
      <c r="Q806" s="559"/>
      <c r="R806" s="559"/>
      <c r="S806" s="559"/>
      <c r="T806" s="559"/>
      <c r="U806" s="559"/>
      <c r="V806" s="559"/>
      <c r="W806" s="559"/>
      <c r="X806" s="559"/>
      <c r="Y806" s="559"/>
      <c r="Z806" s="559"/>
    </row>
    <row r="807" spans="1:26" ht="18" customHeight="1" x14ac:dyDescent="0.35">
      <c r="A807" s="559"/>
      <c r="B807" s="559"/>
      <c r="C807" s="559"/>
      <c r="D807" s="559"/>
      <c r="E807" s="559"/>
      <c r="F807" s="559"/>
      <c r="G807" s="559"/>
      <c r="H807" s="559"/>
      <c r="I807" s="559"/>
      <c r="J807" s="559"/>
      <c r="K807" s="559"/>
      <c r="L807" s="559"/>
      <c r="M807" s="559"/>
      <c r="N807" s="559"/>
      <c r="O807" s="559"/>
      <c r="P807" s="559"/>
      <c r="Q807" s="559"/>
      <c r="R807" s="559"/>
      <c r="S807" s="559"/>
      <c r="T807" s="559"/>
      <c r="U807" s="559"/>
      <c r="V807" s="559"/>
      <c r="W807" s="559"/>
      <c r="X807" s="559"/>
      <c r="Y807" s="559"/>
      <c r="Z807" s="559"/>
    </row>
    <row r="808" spans="1:26" ht="18" customHeight="1" x14ac:dyDescent="0.35">
      <c r="A808" s="559"/>
      <c r="B808" s="559"/>
      <c r="C808" s="559"/>
      <c r="D808" s="559"/>
      <c r="E808" s="559"/>
      <c r="F808" s="559"/>
      <c r="G808" s="559"/>
      <c r="H808" s="559"/>
      <c r="I808" s="559"/>
      <c r="J808" s="559"/>
      <c r="K808" s="559"/>
      <c r="L808" s="559"/>
      <c r="M808" s="559"/>
      <c r="N808" s="559"/>
      <c r="O808" s="559"/>
      <c r="P808" s="559"/>
      <c r="Q808" s="559"/>
      <c r="R808" s="559"/>
      <c r="S808" s="559"/>
      <c r="T808" s="559"/>
      <c r="U808" s="559"/>
      <c r="V808" s="559"/>
      <c r="W808" s="559"/>
      <c r="X808" s="559"/>
      <c r="Y808" s="559"/>
      <c r="Z808" s="559"/>
    </row>
    <row r="809" spans="1:26" ht="18" customHeight="1" x14ac:dyDescent="0.35">
      <c r="A809" s="559"/>
      <c r="B809" s="559"/>
      <c r="C809" s="559"/>
      <c r="D809" s="559"/>
      <c r="E809" s="559"/>
      <c r="F809" s="559"/>
      <c r="G809" s="559"/>
      <c r="H809" s="559"/>
      <c r="I809" s="559"/>
      <c r="J809" s="559"/>
      <c r="K809" s="559"/>
      <c r="L809" s="559"/>
      <c r="M809" s="559"/>
      <c r="N809" s="559"/>
      <c r="O809" s="559"/>
      <c r="P809" s="559"/>
      <c r="Q809" s="559"/>
      <c r="R809" s="559"/>
      <c r="S809" s="559"/>
      <c r="T809" s="559"/>
      <c r="U809" s="559"/>
      <c r="V809" s="559"/>
      <c r="W809" s="559"/>
      <c r="X809" s="559"/>
      <c r="Y809" s="559"/>
      <c r="Z809" s="559"/>
    </row>
    <row r="810" spans="1:26" ht="18" customHeight="1" x14ac:dyDescent="0.35">
      <c r="A810" s="559"/>
      <c r="B810" s="559"/>
      <c r="C810" s="559"/>
      <c r="D810" s="559"/>
      <c r="E810" s="559"/>
      <c r="F810" s="559"/>
      <c r="G810" s="559"/>
      <c r="H810" s="559"/>
      <c r="I810" s="559"/>
      <c r="J810" s="559"/>
      <c r="K810" s="559"/>
      <c r="L810" s="559"/>
      <c r="M810" s="559"/>
      <c r="N810" s="559"/>
      <c r="O810" s="559"/>
      <c r="P810" s="559"/>
      <c r="Q810" s="559"/>
      <c r="R810" s="559"/>
      <c r="S810" s="559"/>
      <c r="T810" s="559"/>
      <c r="U810" s="559"/>
      <c r="V810" s="559"/>
      <c r="W810" s="559"/>
      <c r="X810" s="559"/>
      <c r="Y810" s="559"/>
      <c r="Z810" s="559"/>
    </row>
    <row r="811" spans="1:26" ht="18" customHeight="1" x14ac:dyDescent="0.35">
      <c r="A811" s="559"/>
      <c r="B811" s="559"/>
      <c r="C811" s="559"/>
      <c r="D811" s="559"/>
      <c r="E811" s="559"/>
      <c r="F811" s="559"/>
      <c r="G811" s="559"/>
      <c r="H811" s="559"/>
      <c r="I811" s="559"/>
      <c r="J811" s="559"/>
      <c r="K811" s="559"/>
      <c r="L811" s="559"/>
      <c r="M811" s="559"/>
      <c r="N811" s="559"/>
      <c r="O811" s="559"/>
      <c r="P811" s="559"/>
      <c r="Q811" s="559"/>
      <c r="R811" s="559"/>
      <c r="S811" s="559"/>
      <c r="T811" s="559"/>
      <c r="U811" s="559"/>
      <c r="V811" s="559"/>
      <c r="W811" s="559"/>
      <c r="X811" s="559"/>
      <c r="Y811" s="559"/>
      <c r="Z811" s="559"/>
    </row>
    <row r="812" spans="1:26" ht="18" customHeight="1" x14ac:dyDescent="0.35">
      <c r="A812" s="559"/>
      <c r="B812" s="559"/>
      <c r="C812" s="559"/>
      <c r="D812" s="559"/>
      <c r="E812" s="559"/>
      <c r="F812" s="559"/>
      <c r="G812" s="559"/>
      <c r="H812" s="559"/>
      <c r="I812" s="559"/>
      <c r="J812" s="559"/>
      <c r="K812" s="559"/>
      <c r="L812" s="559"/>
      <c r="M812" s="559"/>
      <c r="N812" s="559"/>
      <c r="O812" s="559"/>
      <c r="P812" s="559"/>
      <c r="Q812" s="559"/>
      <c r="R812" s="559"/>
      <c r="S812" s="559"/>
      <c r="T812" s="559"/>
      <c r="U812" s="559"/>
      <c r="V812" s="559"/>
      <c r="W812" s="559"/>
      <c r="X812" s="559"/>
      <c r="Y812" s="559"/>
      <c r="Z812" s="559"/>
    </row>
    <row r="813" spans="1:26" ht="18" customHeight="1" x14ac:dyDescent="0.35">
      <c r="A813" s="559"/>
      <c r="B813" s="559"/>
      <c r="C813" s="559"/>
      <c r="D813" s="559"/>
      <c r="E813" s="559"/>
      <c r="F813" s="559"/>
      <c r="G813" s="559"/>
      <c r="H813" s="559"/>
      <c r="I813" s="559"/>
      <c r="J813" s="559"/>
      <c r="K813" s="559"/>
      <c r="L813" s="559"/>
      <c r="M813" s="559"/>
      <c r="N813" s="559"/>
      <c r="O813" s="559"/>
      <c r="P813" s="559"/>
      <c r="Q813" s="559"/>
      <c r="R813" s="559"/>
      <c r="S813" s="559"/>
      <c r="T813" s="559"/>
      <c r="U813" s="559"/>
      <c r="V813" s="559"/>
      <c r="W813" s="559"/>
      <c r="X813" s="559"/>
      <c r="Y813" s="559"/>
      <c r="Z813" s="559"/>
    </row>
    <row r="814" spans="1:26" ht="18" customHeight="1" x14ac:dyDescent="0.35">
      <c r="A814" s="559"/>
      <c r="B814" s="559"/>
      <c r="C814" s="559"/>
      <c r="D814" s="559"/>
      <c r="E814" s="559"/>
      <c r="F814" s="559"/>
      <c r="G814" s="559"/>
      <c r="H814" s="559"/>
      <c r="I814" s="559"/>
      <c r="J814" s="559"/>
      <c r="K814" s="559"/>
      <c r="L814" s="559"/>
      <c r="M814" s="559"/>
      <c r="N814" s="559"/>
      <c r="O814" s="559"/>
      <c r="P814" s="559"/>
      <c r="Q814" s="559"/>
      <c r="R814" s="559"/>
      <c r="S814" s="559"/>
      <c r="T814" s="559"/>
      <c r="U814" s="559"/>
      <c r="V814" s="559"/>
      <c r="W814" s="559"/>
      <c r="X814" s="559"/>
      <c r="Y814" s="559"/>
      <c r="Z814" s="559"/>
    </row>
    <row r="815" spans="1:26" ht="18" customHeight="1" x14ac:dyDescent="0.35">
      <c r="A815" s="559"/>
      <c r="B815" s="559"/>
      <c r="C815" s="559"/>
      <c r="D815" s="559"/>
      <c r="E815" s="559"/>
      <c r="F815" s="559"/>
      <c r="G815" s="559"/>
      <c r="H815" s="559"/>
      <c r="I815" s="559"/>
      <c r="J815" s="559"/>
      <c r="K815" s="559"/>
      <c r="L815" s="559"/>
      <c r="M815" s="559"/>
      <c r="N815" s="559"/>
      <c r="O815" s="559"/>
      <c r="P815" s="559"/>
      <c r="Q815" s="559"/>
      <c r="R815" s="559"/>
      <c r="S815" s="559"/>
      <c r="T815" s="559"/>
      <c r="U815" s="559"/>
      <c r="V815" s="559"/>
      <c r="W815" s="559"/>
      <c r="X815" s="559"/>
      <c r="Y815" s="559"/>
      <c r="Z815" s="559"/>
    </row>
    <row r="816" spans="1:26" ht="18" customHeight="1" x14ac:dyDescent="0.35">
      <c r="A816" s="559"/>
      <c r="B816" s="559"/>
      <c r="C816" s="559"/>
      <c r="D816" s="559"/>
      <c r="E816" s="559"/>
      <c r="F816" s="559"/>
      <c r="G816" s="559"/>
      <c r="H816" s="559"/>
      <c r="I816" s="559"/>
      <c r="J816" s="559"/>
      <c r="K816" s="559"/>
      <c r="L816" s="559"/>
      <c r="M816" s="559"/>
      <c r="N816" s="559"/>
      <c r="O816" s="559"/>
      <c r="P816" s="559"/>
      <c r="Q816" s="559"/>
      <c r="R816" s="559"/>
      <c r="S816" s="559"/>
      <c r="T816" s="559"/>
      <c r="U816" s="559"/>
      <c r="V816" s="559"/>
      <c r="W816" s="559"/>
      <c r="X816" s="559"/>
      <c r="Y816" s="559"/>
      <c r="Z816" s="559"/>
    </row>
    <row r="817" spans="1:26" ht="18" customHeight="1" x14ac:dyDescent="0.35">
      <c r="A817" s="559"/>
      <c r="B817" s="559"/>
      <c r="C817" s="559"/>
      <c r="D817" s="559"/>
      <c r="E817" s="559"/>
      <c r="F817" s="559"/>
      <c r="G817" s="559"/>
      <c r="H817" s="559"/>
      <c r="I817" s="559"/>
      <c r="J817" s="559"/>
      <c r="K817" s="559"/>
      <c r="L817" s="559"/>
      <c r="M817" s="559"/>
      <c r="N817" s="559"/>
      <c r="O817" s="559"/>
      <c r="P817" s="559"/>
      <c r="Q817" s="559"/>
      <c r="R817" s="559"/>
      <c r="S817" s="559"/>
      <c r="T817" s="559"/>
      <c r="U817" s="559"/>
      <c r="V817" s="559"/>
      <c r="W817" s="559"/>
      <c r="X817" s="559"/>
      <c r="Y817" s="559"/>
      <c r="Z817" s="559"/>
    </row>
    <row r="818" spans="1:26" ht="18" customHeight="1" x14ac:dyDescent="0.35">
      <c r="A818" s="559"/>
      <c r="B818" s="559"/>
      <c r="C818" s="559"/>
      <c r="D818" s="559"/>
      <c r="E818" s="559"/>
      <c r="F818" s="559"/>
      <c r="G818" s="559"/>
      <c r="H818" s="559"/>
      <c r="I818" s="559"/>
      <c r="J818" s="559"/>
      <c r="K818" s="559"/>
      <c r="L818" s="559"/>
      <c r="M818" s="559"/>
      <c r="N818" s="559"/>
      <c r="O818" s="559"/>
      <c r="P818" s="559"/>
      <c r="Q818" s="559"/>
      <c r="R818" s="559"/>
      <c r="S818" s="559"/>
      <c r="T818" s="559"/>
      <c r="U818" s="559"/>
      <c r="V818" s="559"/>
      <c r="W818" s="559"/>
      <c r="X818" s="559"/>
      <c r="Y818" s="559"/>
      <c r="Z818" s="559"/>
    </row>
    <row r="819" spans="1:26" ht="18" customHeight="1" x14ac:dyDescent="0.35">
      <c r="A819" s="559"/>
      <c r="B819" s="559"/>
      <c r="C819" s="559"/>
      <c r="D819" s="559"/>
      <c r="E819" s="559"/>
      <c r="F819" s="559"/>
      <c r="G819" s="559"/>
      <c r="H819" s="559"/>
      <c r="I819" s="559"/>
      <c r="J819" s="559"/>
      <c r="K819" s="559"/>
      <c r="L819" s="559"/>
      <c r="M819" s="559"/>
      <c r="N819" s="559"/>
      <c r="O819" s="559"/>
      <c r="P819" s="559"/>
      <c r="Q819" s="559"/>
      <c r="R819" s="559"/>
      <c r="S819" s="559"/>
      <c r="T819" s="559"/>
      <c r="U819" s="559"/>
      <c r="V819" s="559"/>
      <c r="W819" s="559"/>
      <c r="X819" s="559"/>
      <c r="Y819" s="559"/>
      <c r="Z819" s="559"/>
    </row>
    <row r="820" spans="1:26" ht="18" customHeight="1" x14ac:dyDescent="0.35">
      <c r="A820" s="559"/>
      <c r="B820" s="559"/>
      <c r="C820" s="559"/>
      <c r="D820" s="559"/>
      <c r="E820" s="559"/>
      <c r="F820" s="559"/>
      <c r="G820" s="559"/>
      <c r="H820" s="559"/>
      <c r="I820" s="559"/>
      <c r="J820" s="559"/>
      <c r="K820" s="559"/>
      <c r="L820" s="559"/>
      <c r="M820" s="559"/>
      <c r="N820" s="559"/>
      <c r="O820" s="559"/>
      <c r="P820" s="559"/>
      <c r="Q820" s="559"/>
      <c r="R820" s="559"/>
      <c r="S820" s="559"/>
      <c r="T820" s="559"/>
      <c r="U820" s="559"/>
      <c r="V820" s="559"/>
      <c r="W820" s="559"/>
      <c r="X820" s="559"/>
      <c r="Y820" s="559"/>
      <c r="Z820" s="559"/>
    </row>
    <row r="821" spans="1:26" ht="18" customHeight="1" x14ac:dyDescent="0.35">
      <c r="A821" s="559"/>
      <c r="B821" s="559"/>
      <c r="C821" s="559"/>
      <c r="D821" s="559"/>
      <c r="E821" s="559"/>
      <c r="F821" s="559"/>
      <c r="G821" s="559"/>
      <c r="H821" s="559"/>
      <c r="I821" s="559"/>
      <c r="J821" s="559"/>
      <c r="K821" s="559"/>
      <c r="L821" s="559"/>
      <c r="M821" s="559"/>
      <c r="N821" s="559"/>
      <c r="O821" s="559"/>
      <c r="P821" s="559"/>
      <c r="Q821" s="559"/>
      <c r="R821" s="559"/>
      <c r="S821" s="559"/>
      <c r="T821" s="559"/>
      <c r="U821" s="559"/>
      <c r="V821" s="559"/>
      <c r="W821" s="559"/>
      <c r="X821" s="559"/>
      <c r="Y821" s="559"/>
      <c r="Z821" s="559"/>
    </row>
    <row r="822" spans="1:26" ht="18" customHeight="1" x14ac:dyDescent="0.35">
      <c r="A822" s="559"/>
      <c r="B822" s="559"/>
      <c r="C822" s="559"/>
      <c r="D822" s="559"/>
      <c r="E822" s="559"/>
      <c r="F822" s="559"/>
      <c r="G822" s="559"/>
      <c r="H822" s="559"/>
      <c r="I822" s="559"/>
      <c r="J822" s="559"/>
      <c r="K822" s="559"/>
      <c r="L822" s="559"/>
      <c r="M822" s="559"/>
      <c r="N822" s="559"/>
      <c r="O822" s="559"/>
      <c r="P822" s="559"/>
      <c r="Q822" s="559"/>
      <c r="R822" s="559"/>
      <c r="S822" s="559"/>
      <c r="T822" s="559"/>
      <c r="U822" s="559"/>
      <c r="V822" s="559"/>
      <c r="W822" s="559"/>
      <c r="X822" s="559"/>
      <c r="Y822" s="559"/>
      <c r="Z822" s="559"/>
    </row>
    <row r="823" spans="1:26" ht="18" customHeight="1" x14ac:dyDescent="0.35">
      <c r="A823" s="559"/>
      <c r="B823" s="559"/>
      <c r="C823" s="559"/>
      <c r="D823" s="559"/>
      <c r="E823" s="559"/>
      <c r="F823" s="559"/>
      <c r="G823" s="559"/>
      <c r="H823" s="559"/>
      <c r="I823" s="559"/>
      <c r="J823" s="559"/>
      <c r="K823" s="559"/>
      <c r="L823" s="559"/>
      <c r="M823" s="559"/>
      <c r="N823" s="559"/>
      <c r="O823" s="559"/>
      <c r="P823" s="559"/>
      <c r="Q823" s="559"/>
      <c r="R823" s="559"/>
      <c r="S823" s="559"/>
      <c r="T823" s="559"/>
      <c r="U823" s="559"/>
      <c r="V823" s="559"/>
      <c r="W823" s="559"/>
      <c r="X823" s="559"/>
      <c r="Y823" s="559"/>
      <c r="Z823" s="559"/>
    </row>
    <row r="824" spans="1:26" ht="18" customHeight="1" x14ac:dyDescent="0.35">
      <c r="A824" s="559"/>
      <c r="B824" s="559"/>
      <c r="C824" s="559"/>
      <c r="D824" s="559"/>
      <c r="E824" s="559"/>
      <c r="F824" s="559"/>
      <c r="G824" s="559"/>
      <c r="H824" s="559"/>
      <c r="I824" s="559"/>
      <c r="J824" s="559"/>
      <c r="K824" s="559"/>
      <c r="L824" s="559"/>
      <c r="M824" s="559"/>
      <c r="N824" s="559"/>
      <c r="O824" s="559"/>
      <c r="P824" s="559"/>
      <c r="Q824" s="559"/>
      <c r="R824" s="559"/>
      <c r="S824" s="559"/>
      <c r="T824" s="559"/>
      <c r="U824" s="559"/>
      <c r="V824" s="559"/>
      <c r="W824" s="559"/>
      <c r="X824" s="559"/>
      <c r="Y824" s="559"/>
      <c r="Z824" s="559"/>
    </row>
    <row r="825" spans="1:26" ht="18" customHeight="1" x14ac:dyDescent="0.35">
      <c r="A825" s="559"/>
      <c r="B825" s="559"/>
      <c r="C825" s="559"/>
      <c r="D825" s="559"/>
      <c r="E825" s="559"/>
      <c r="F825" s="559"/>
      <c r="G825" s="559"/>
      <c r="H825" s="559"/>
      <c r="I825" s="559"/>
      <c r="J825" s="559"/>
      <c r="K825" s="559"/>
      <c r="L825" s="559"/>
      <c r="M825" s="559"/>
      <c r="N825" s="559"/>
      <c r="O825" s="559"/>
      <c r="P825" s="559"/>
      <c r="Q825" s="559"/>
      <c r="R825" s="559"/>
      <c r="S825" s="559"/>
      <c r="T825" s="559"/>
      <c r="U825" s="559"/>
      <c r="V825" s="559"/>
      <c r="W825" s="559"/>
      <c r="X825" s="559"/>
      <c r="Y825" s="559"/>
      <c r="Z825" s="559"/>
    </row>
    <row r="826" spans="1:26" ht="18" customHeight="1" x14ac:dyDescent="0.35">
      <c r="A826" s="559"/>
      <c r="B826" s="559"/>
      <c r="C826" s="559"/>
      <c r="D826" s="559"/>
      <c r="E826" s="559"/>
      <c r="F826" s="559"/>
      <c r="G826" s="559"/>
      <c r="H826" s="559"/>
      <c r="I826" s="559"/>
      <c r="J826" s="559"/>
      <c r="K826" s="559"/>
      <c r="L826" s="559"/>
      <c r="M826" s="559"/>
      <c r="N826" s="559"/>
      <c r="O826" s="559"/>
      <c r="P826" s="559"/>
      <c r="Q826" s="559"/>
      <c r="R826" s="559"/>
      <c r="S826" s="559"/>
      <c r="T826" s="559"/>
      <c r="U826" s="559"/>
      <c r="V826" s="559"/>
      <c r="W826" s="559"/>
      <c r="X826" s="559"/>
      <c r="Y826" s="559"/>
      <c r="Z826" s="559"/>
    </row>
    <row r="827" spans="1:26" ht="18" customHeight="1" x14ac:dyDescent="0.35">
      <c r="A827" s="559"/>
      <c r="B827" s="559"/>
      <c r="C827" s="559"/>
      <c r="D827" s="559"/>
      <c r="E827" s="559"/>
      <c r="F827" s="559"/>
      <c r="G827" s="559"/>
      <c r="H827" s="559"/>
      <c r="I827" s="559"/>
      <c r="J827" s="559"/>
      <c r="K827" s="559"/>
      <c r="L827" s="559"/>
      <c r="M827" s="559"/>
      <c r="N827" s="559"/>
      <c r="O827" s="559"/>
      <c r="P827" s="559"/>
      <c r="Q827" s="559"/>
      <c r="R827" s="559"/>
      <c r="S827" s="559"/>
      <c r="T827" s="559"/>
      <c r="U827" s="559"/>
      <c r="V827" s="559"/>
      <c r="W827" s="559"/>
      <c r="X827" s="559"/>
      <c r="Y827" s="559"/>
      <c r="Z827" s="559"/>
    </row>
    <row r="828" spans="1:26" ht="18" customHeight="1" x14ac:dyDescent="0.35">
      <c r="A828" s="559"/>
      <c r="B828" s="559"/>
      <c r="C828" s="559"/>
      <c r="D828" s="559"/>
      <c r="E828" s="559"/>
      <c r="F828" s="559"/>
      <c r="G828" s="559"/>
      <c r="H828" s="559"/>
      <c r="I828" s="559"/>
      <c r="J828" s="559"/>
      <c r="K828" s="559"/>
      <c r="L828" s="559"/>
      <c r="M828" s="559"/>
      <c r="N828" s="559"/>
      <c r="O828" s="559"/>
      <c r="P828" s="559"/>
      <c r="Q828" s="559"/>
      <c r="R828" s="559"/>
      <c r="S828" s="559"/>
      <c r="T828" s="559"/>
      <c r="U828" s="559"/>
      <c r="V828" s="559"/>
      <c r="W828" s="559"/>
      <c r="X828" s="559"/>
      <c r="Y828" s="559"/>
      <c r="Z828" s="559"/>
    </row>
    <row r="829" spans="1:26" ht="18" customHeight="1" x14ac:dyDescent="0.35">
      <c r="A829" s="559"/>
      <c r="B829" s="559"/>
      <c r="C829" s="559"/>
      <c r="D829" s="559"/>
      <c r="E829" s="559"/>
      <c r="F829" s="559"/>
      <c r="G829" s="559"/>
      <c r="H829" s="559"/>
      <c r="I829" s="559"/>
      <c r="J829" s="559"/>
      <c r="K829" s="559"/>
      <c r="L829" s="559"/>
      <c r="M829" s="559"/>
      <c r="N829" s="559"/>
      <c r="O829" s="559"/>
      <c r="P829" s="559"/>
      <c r="Q829" s="559"/>
      <c r="R829" s="559"/>
      <c r="S829" s="559"/>
      <c r="T829" s="559"/>
      <c r="U829" s="559"/>
      <c r="V829" s="559"/>
      <c r="W829" s="559"/>
      <c r="X829" s="559"/>
      <c r="Y829" s="559"/>
      <c r="Z829" s="559"/>
    </row>
    <row r="830" spans="1:26" ht="18" customHeight="1" x14ac:dyDescent="0.35">
      <c r="A830" s="559"/>
      <c r="B830" s="559"/>
      <c r="C830" s="559"/>
      <c r="D830" s="559"/>
      <c r="E830" s="559"/>
      <c r="F830" s="559"/>
      <c r="G830" s="559"/>
      <c r="H830" s="559"/>
      <c r="I830" s="559"/>
      <c r="J830" s="559"/>
      <c r="K830" s="559"/>
      <c r="L830" s="559"/>
      <c r="M830" s="559"/>
      <c r="N830" s="559"/>
      <c r="O830" s="559"/>
      <c r="P830" s="559"/>
      <c r="Q830" s="559"/>
      <c r="R830" s="559"/>
      <c r="S830" s="559"/>
      <c r="T830" s="559"/>
      <c r="U830" s="559"/>
      <c r="V830" s="559"/>
      <c r="W830" s="559"/>
      <c r="X830" s="559"/>
      <c r="Y830" s="559"/>
      <c r="Z830" s="559"/>
    </row>
    <row r="831" spans="1:26" ht="18" customHeight="1" x14ac:dyDescent="0.35">
      <c r="A831" s="559"/>
      <c r="B831" s="559"/>
      <c r="C831" s="559"/>
      <c r="D831" s="559"/>
      <c r="E831" s="559"/>
      <c r="F831" s="559"/>
      <c r="G831" s="559"/>
      <c r="H831" s="559"/>
      <c r="I831" s="559"/>
      <c r="J831" s="559"/>
      <c r="K831" s="559"/>
      <c r="L831" s="559"/>
      <c r="M831" s="559"/>
      <c r="N831" s="559"/>
      <c r="O831" s="559"/>
      <c r="P831" s="559"/>
      <c r="Q831" s="559"/>
      <c r="R831" s="559"/>
      <c r="S831" s="559"/>
      <c r="T831" s="559"/>
      <c r="U831" s="559"/>
      <c r="V831" s="559"/>
      <c r="W831" s="559"/>
      <c r="X831" s="559"/>
      <c r="Y831" s="559"/>
      <c r="Z831" s="559"/>
    </row>
    <row r="832" spans="1:26" ht="18" customHeight="1" x14ac:dyDescent="0.35">
      <c r="A832" s="559"/>
      <c r="B832" s="559"/>
      <c r="C832" s="559"/>
      <c r="D832" s="559"/>
      <c r="E832" s="559"/>
      <c r="F832" s="559"/>
      <c r="G832" s="559"/>
      <c r="H832" s="559"/>
      <c r="I832" s="559"/>
      <c r="J832" s="559"/>
      <c r="K832" s="559"/>
      <c r="L832" s="559"/>
      <c r="M832" s="559"/>
      <c r="N832" s="559"/>
      <c r="O832" s="559"/>
      <c r="P832" s="559"/>
      <c r="Q832" s="559"/>
      <c r="R832" s="559"/>
      <c r="S832" s="559"/>
      <c r="T832" s="559"/>
      <c r="U832" s="559"/>
      <c r="V832" s="559"/>
      <c r="W832" s="559"/>
      <c r="X832" s="559"/>
      <c r="Y832" s="559"/>
      <c r="Z832" s="559"/>
    </row>
    <row r="833" spans="1:26" ht="18" customHeight="1" x14ac:dyDescent="0.35">
      <c r="A833" s="559"/>
      <c r="B833" s="559"/>
      <c r="C833" s="559"/>
      <c r="D833" s="559"/>
      <c r="E833" s="559"/>
      <c r="F833" s="559"/>
      <c r="G833" s="559"/>
      <c r="H833" s="559"/>
      <c r="I833" s="559"/>
      <c r="J833" s="559"/>
      <c r="K833" s="559"/>
      <c r="L833" s="559"/>
      <c r="M833" s="559"/>
      <c r="N833" s="559"/>
      <c r="O833" s="559"/>
      <c r="P833" s="559"/>
      <c r="Q833" s="559"/>
      <c r="R833" s="559"/>
      <c r="S833" s="559"/>
      <c r="T833" s="559"/>
      <c r="U833" s="559"/>
      <c r="V833" s="559"/>
      <c r="W833" s="559"/>
      <c r="X833" s="559"/>
      <c r="Y833" s="559"/>
      <c r="Z833" s="559"/>
    </row>
    <row r="834" spans="1:26" ht="18" customHeight="1" x14ac:dyDescent="0.35">
      <c r="A834" s="559"/>
      <c r="B834" s="559"/>
      <c r="C834" s="559"/>
      <c r="D834" s="559"/>
      <c r="E834" s="559"/>
      <c r="F834" s="559"/>
      <c r="G834" s="559"/>
      <c r="H834" s="559"/>
      <c r="I834" s="559"/>
      <c r="J834" s="559"/>
      <c r="K834" s="559"/>
      <c r="L834" s="559"/>
      <c r="M834" s="559"/>
      <c r="N834" s="559"/>
      <c r="O834" s="559"/>
      <c r="P834" s="559"/>
      <c r="Q834" s="559"/>
      <c r="R834" s="559"/>
      <c r="S834" s="559"/>
      <c r="T834" s="559"/>
      <c r="U834" s="559"/>
      <c r="V834" s="559"/>
      <c r="W834" s="559"/>
      <c r="X834" s="559"/>
      <c r="Y834" s="559"/>
      <c r="Z834" s="559"/>
    </row>
    <row r="835" spans="1:26" ht="18" customHeight="1" x14ac:dyDescent="0.35">
      <c r="A835" s="559"/>
      <c r="B835" s="559"/>
      <c r="C835" s="559"/>
      <c r="D835" s="559"/>
      <c r="E835" s="559"/>
      <c r="F835" s="559"/>
      <c r="G835" s="559"/>
      <c r="H835" s="559"/>
      <c r="I835" s="559"/>
      <c r="J835" s="559"/>
      <c r="K835" s="559"/>
      <c r="L835" s="559"/>
      <c r="M835" s="559"/>
      <c r="N835" s="559"/>
      <c r="O835" s="559"/>
      <c r="P835" s="559"/>
      <c r="Q835" s="559"/>
      <c r="R835" s="559"/>
      <c r="S835" s="559"/>
      <c r="T835" s="559"/>
      <c r="U835" s="559"/>
      <c r="V835" s="559"/>
      <c r="W835" s="559"/>
      <c r="X835" s="559"/>
      <c r="Y835" s="559"/>
      <c r="Z835" s="559"/>
    </row>
    <row r="836" spans="1:26" ht="18" customHeight="1" x14ac:dyDescent="0.35">
      <c r="A836" s="559"/>
      <c r="B836" s="559"/>
      <c r="C836" s="559"/>
      <c r="D836" s="559"/>
      <c r="E836" s="559"/>
      <c r="F836" s="559"/>
      <c r="G836" s="559"/>
      <c r="H836" s="559"/>
      <c r="I836" s="559"/>
      <c r="J836" s="559"/>
      <c r="K836" s="559"/>
      <c r="L836" s="559"/>
      <c r="M836" s="559"/>
      <c r="N836" s="559"/>
      <c r="O836" s="559"/>
      <c r="P836" s="559"/>
      <c r="Q836" s="559"/>
      <c r="R836" s="559"/>
      <c r="S836" s="559"/>
      <c r="T836" s="559"/>
      <c r="U836" s="559"/>
      <c r="V836" s="559"/>
      <c r="W836" s="559"/>
      <c r="X836" s="559"/>
      <c r="Y836" s="559"/>
      <c r="Z836" s="559"/>
    </row>
    <row r="837" spans="1:26" ht="18" customHeight="1" x14ac:dyDescent="0.35">
      <c r="A837" s="559"/>
      <c r="B837" s="559"/>
      <c r="C837" s="559"/>
      <c r="D837" s="559"/>
      <c r="E837" s="559"/>
      <c r="F837" s="559"/>
      <c r="G837" s="559"/>
      <c r="H837" s="559"/>
      <c r="I837" s="559"/>
      <c r="J837" s="559"/>
      <c r="K837" s="559"/>
      <c r="L837" s="559"/>
      <c r="M837" s="559"/>
      <c r="N837" s="559"/>
      <c r="O837" s="559"/>
      <c r="P837" s="559"/>
      <c r="Q837" s="559"/>
      <c r="R837" s="559"/>
      <c r="S837" s="559"/>
      <c r="T837" s="559"/>
      <c r="U837" s="559"/>
      <c r="V837" s="559"/>
      <c r="W837" s="559"/>
      <c r="X837" s="559"/>
      <c r="Y837" s="559"/>
      <c r="Z837" s="559"/>
    </row>
    <row r="838" spans="1:26" ht="18" customHeight="1" x14ac:dyDescent="0.35">
      <c r="A838" s="559"/>
      <c r="B838" s="559"/>
      <c r="C838" s="559"/>
      <c r="D838" s="559"/>
      <c r="E838" s="559"/>
      <c r="F838" s="559"/>
      <c r="G838" s="559"/>
      <c r="H838" s="559"/>
      <c r="I838" s="559"/>
      <c r="J838" s="559"/>
      <c r="K838" s="559"/>
      <c r="L838" s="559"/>
      <c r="M838" s="559"/>
      <c r="N838" s="559"/>
      <c r="O838" s="559"/>
      <c r="P838" s="559"/>
      <c r="Q838" s="559"/>
      <c r="R838" s="559"/>
      <c r="S838" s="559"/>
      <c r="T838" s="559"/>
      <c r="U838" s="559"/>
      <c r="V838" s="559"/>
      <c r="W838" s="559"/>
      <c r="X838" s="559"/>
      <c r="Y838" s="559"/>
      <c r="Z838" s="559"/>
    </row>
    <row r="839" spans="1:26" ht="18" customHeight="1" x14ac:dyDescent="0.35">
      <c r="A839" s="559"/>
      <c r="B839" s="559"/>
      <c r="C839" s="559"/>
      <c r="D839" s="559"/>
      <c r="E839" s="559"/>
      <c r="F839" s="559"/>
      <c r="G839" s="559"/>
      <c r="H839" s="559"/>
      <c r="I839" s="559"/>
      <c r="J839" s="559"/>
      <c r="K839" s="559"/>
      <c r="L839" s="559"/>
      <c r="M839" s="559"/>
      <c r="N839" s="559"/>
      <c r="O839" s="559"/>
      <c r="P839" s="559"/>
      <c r="Q839" s="559"/>
      <c r="R839" s="559"/>
      <c r="S839" s="559"/>
      <c r="T839" s="559"/>
      <c r="U839" s="559"/>
      <c r="V839" s="559"/>
      <c r="W839" s="559"/>
      <c r="X839" s="559"/>
      <c r="Y839" s="559"/>
      <c r="Z839" s="559"/>
    </row>
    <row r="840" spans="1:26" ht="18" customHeight="1" x14ac:dyDescent="0.35">
      <c r="A840" s="559"/>
      <c r="B840" s="559"/>
      <c r="C840" s="559"/>
      <c r="D840" s="559"/>
      <c r="E840" s="559"/>
      <c r="F840" s="559"/>
      <c r="G840" s="559"/>
      <c r="H840" s="559"/>
      <c r="I840" s="559"/>
      <c r="J840" s="559"/>
      <c r="K840" s="559"/>
      <c r="L840" s="559"/>
      <c r="M840" s="559"/>
      <c r="N840" s="559"/>
      <c r="O840" s="559"/>
      <c r="P840" s="559"/>
      <c r="Q840" s="559"/>
      <c r="R840" s="559"/>
      <c r="S840" s="559"/>
      <c r="T840" s="559"/>
      <c r="U840" s="559"/>
      <c r="V840" s="559"/>
      <c r="W840" s="559"/>
      <c r="X840" s="559"/>
      <c r="Y840" s="559"/>
      <c r="Z840" s="559"/>
    </row>
    <row r="841" spans="1:26" ht="18" customHeight="1" x14ac:dyDescent="0.35">
      <c r="A841" s="559"/>
      <c r="B841" s="559"/>
      <c r="C841" s="559"/>
      <c r="D841" s="559"/>
      <c r="E841" s="559"/>
      <c r="F841" s="559"/>
      <c r="G841" s="559"/>
      <c r="H841" s="559"/>
      <c r="I841" s="559"/>
      <c r="J841" s="559"/>
      <c r="K841" s="559"/>
      <c r="L841" s="559"/>
      <c r="M841" s="559"/>
      <c r="N841" s="559"/>
      <c r="O841" s="559"/>
      <c r="P841" s="559"/>
      <c r="Q841" s="559"/>
      <c r="R841" s="559"/>
      <c r="S841" s="559"/>
      <c r="T841" s="559"/>
      <c r="U841" s="559"/>
      <c r="V841" s="559"/>
      <c r="W841" s="559"/>
      <c r="X841" s="559"/>
      <c r="Y841" s="559"/>
      <c r="Z841" s="559"/>
    </row>
    <row r="842" spans="1:26" ht="18" customHeight="1" x14ac:dyDescent="0.35">
      <c r="A842" s="559"/>
      <c r="B842" s="559"/>
      <c r="C842" s="559"/>
      <c r="D842" s="559"/>
      <c r="E842" s="559"/>
      <c r="F842" s="559"/>
      <c r="G842" s="559"/>
      <c r="H842" s="559"/>
      <c r="I842" s="559"/>
      <c r="J842" s="559"/>
      <c r="K842" s="559"/>
      <c r="L842" s="559"/>
      <c r="M842" s="559"/>
      <c r="N842" s="559"/>
      <c r="O842" s="559"/>
      <c r="P842" s="559"/>
      <c r="Q842" s="559"/>
      <c r="R842" s="559"/>
      <c r="S842" s="559"/>
      <c r="T842" s="559"/>
      <c r="U842" s="559"/>
      <c r="V842" s="559"/>
      <c r="W842" s="559"/>
      <c r="X842" s="559"/>
      <c r="Y842" s="559"/>
      <c r="Z842" s="559"/>
    </row>
    <row r="843" spans="1:26" ht="18" customHeight="1" x14ac:dyDescent="0.35">
      <c r="A843" s="559"/>
      <c r="B843" s="559"/>
      <c r="C843" s="559"/>
      <c r="D843" s="559"/>
      <c r="E843" s="559"/>
      <c r="F843" s="559"/>
      <c r="G843" s="559"/>
      <c r="H843" s="559"/>
      <c r="I843" s="559"/>
      <c r="J843" s="559"/>
      <c r="K843" s="559"/>
      <c r="L843" s="559"/>
      <c r="M843" s="559"/>
      <c r="N843" s="559"/>
      <c r="O843" s="559"/>
      <c r="P843" s="559"/>
      <c r="Q843" s="559"/>
      <c r="R843" s="559"/>
      <c r="S843" s="559"/>
      <c r="T843" s="559"/>
      <c r="U843" s="559"/>
      <c r="V843" s="559"/>
      <c r="W843" s="559"/>
      <c r="X843" s="559"/>
      <c r="Y843" s="559"/>
      <c r="Z843" s="559"/>
    </row>
    <row r="844" spans="1:26" ht="18" customHeight="1" x14ac:dyDescent="0.35">
      <c r="A844" s="559"/>
      <c r="B844" s="559"/>
      <c r="C844" s="559"/>
      <c r="D844" s="559"/>
      <c r="E844" s="559"/>
      <c r="F844" s="559"/>
      <c r="G844" s="559"/>
      <c r="H844" s="559"/>
      <c r="I844" s="559"/>
      <c r="J844" s="559"/>
      <c r="K844" s="559"/>
      <c r="L844" s="559"/>
      <c r="M844" s="559"/>
      <c r="N844" s="559"/>
      <c r="O844" s="559"/>
      <c r="P844" s="559"/>
      <c r="Q844" s="559"/>
      <c r="R844" s="559"/>
      <c r="S844" s="559"/>
      <c r="T844" s="559"/>
      <c r="U844" s="559"/>
      <c r="V844" s="559"/>
      <c r="W844" s="559"/>
      <c r="X844" s="559"/>
      <c r="Y844" s="559"/>
      <c r="Z844" s="559"/>
    </row>
    <row r="845" spans="1:26" ht="18" customHeight="1" x14ac:dyDescent="0.35">
      <c r="A845" s="559"/>
      <c r="B845" s="559"/>
      <c r="C845" s="559"/>
      <c r="D845" s="559"/>
      <c r="E845" s="559"/>
      <c r="F845" s="559"/>
      <c r="G845" s="559"/>
      <c r="H845" s="559"/>
      <c r="I845" s="559"/>
      <c r="J845" s="559"/>
      <c r="K845" s="559"/>
      <c r="L845" s="559"/>
      <c r="M845" s="559"/>
      <c r="N845" s="559"/>
      <c r="O845" s="559"/>
      <c r="P845" s="559"/>
      <c r="Q845" s="559"/>
      <c r="R845" s="559"/>
      <c r="S845" s="559"/>
      <c r="T845" s="559"/>
      <c r="U845" s="559"/>
      <c r="V845" s="559"/>
      <c r="W845" s="559"/>
      <c r="X845" s="559"/>
      <c r="Y845" s="559"/>
      <c r="Z845" s="559"/>
    </row>
    <row r="846" spans="1:26" ht="18" customHeight="1" x14ac:dyDescent="0.35">
      <c r="A846" s="559"/>
      <c r="B846" s="559"/>
      <c r="C846" s="559"/>
      <c r="D846" s="559"/>
      <c r="E846" s="559"/>
      <c r="F846" s="559"/>
      <c r="G846" s="559"/>
      <c r="H846" s="559"/>
      <c r="I846" s="559"/>
      <c r="J846" s="559"/>
      <c r="K846" s="559"/>
      <c r="L846" s="559"/>
      <c r="M846" s="559"/>
      <c r="N846" s="559"/>
      <c r="O846" s="559"/>
      <c r="P846" s="559"/>
      <c r="Q846" s="559"/>
      <c r="R846" s="559"/>
      <c r="S846" s="559"/>
      <c r="T846" s="559"/>
      <c r="U846" s="559"/>
      <c r="V846" s="559"/>
      <c r="W846" s="559"/>
      <c r="X846" s="559"/>
      <c r="Y846" s="559"/>
      <c r="Z846" s="559"/>
    </row>
    <row r="847" spans="1:26" ht="18" customHeight="1" x14ac:dyDescent="0.35">
      <c r="A847" s="559"/>
      <c r="B847" s="559"/>
      <c r="C847" s="559"/>
      <c r="D847" s="559"/>
      <c r="E847" s="559"/>
      <c r="F847" s="559"/>
      <c r="G847" s="559"/>
      <c r="H847" s="559"/>
      <c r="I847" s="559"/>
      <c r="J847" s="559"/>
      <c r="K847" s="559"/>
      <c r="L847" s="559"/>
      <c r="M847" s="559"/>
      <c r="N847" s="559"/>
      <c r="O847" s="559"/>
      <c r="P847" s="559"/>
      <c r="Q847" s="559"/>
      <c r="R847" s="559"/>
      <c r="S847" s="559"/>
      <c r="T847" s="559"/>
      <c r="U847" s="559"/>
      <c r="V847" s="559"/>
      <c r="W847" s="559"/>
      <c r="X847" s="559"/>
      <c r="Y847" s="559"/>
      <c r="Z847" s="559"/>
    </row>
    <row r="848" spans="1:26" ht="18" customHeight="1" x14ac:dyDescent="0.35">
      <c r="A848" s="559"/>
      <c r="B848" s="559"/>
      <c r="C848" s="559"/>
      <c r="D848" s="559"/>
      <c r="E848" s="559"/>
      <c r="F848" s="559"/>
      <c r="G848" s="559"/>
      <c r="H848" s="559"/>
      <c r="I848" s="559"/>
      <c r="J848" s="559"/>
      <c r="K848" s="559"/>
      <c r="L848" s="559"/>
      <c r="M848" s="559"/>
      <c r="N848" s="559"/>
      <c r="O848" s="559"/>
      <c r="P848" s="559"/>
      <c r="Q848" s="559"/>
      <c r="R848" s="559"/>
      <c r="S848" s="559"/>
      <c r="T848" s="559"/>
      <c r="U848" s="559"/>
      <c r="V848" s="559"/>
      <c r="W848" s="559"/>
      <c r="X848" s="559"/>
      <c r="Y848" s="559"/>
      <c r="Z848" s="559"/>
    </row>
    <row r="849" spans="1:26" ht="18" customHeight="1" x14ac:dyDescent="0.35">
      <c r="A849" s="559"/>
      <c r="B849" s="559"/>
      <c r="C849" s="559"/>
      <c r="D849" s="559"/>
      <c r="E849" s="559"/>
      <c r="F849" s="559"/>
      <c r="G849" s="559"/>
      <c r="H849" s="559"/>
      <c r="I849" s="559"/>
      <c r="J849" s="559"/>
      <c r="K849" s="559"/>
      <c r="L849" s="559"/>
      <c r="M849" s="559"/>
      <c r="N849" s="559"/>
      <c r="O849" s="559"/>
      <c r="P849" s="559"/>
      <c r="Q849" s="559"/>
      <c r="R849" s="559"/>
      <c r="S849" s="559"/>
      <c r="T849" s="559"/>
      <c r="U849" s="559"/>
      <c r="V849" s="559"/>
      <c r="W849" s="559"/>
      <c r="X849" s="559"/>
      <c r="Y849" s="559"/>
      <c r="Z849" s="559"/>
    </row>
    <row r="850" spans="1:26" ht="18" customHeight="1" x14ac:dyDescent="0.35">
      <c r="A850" s="559"/>
      <c r="B850" s="559"/>
      <c r="C850" s="559"/>
      <c r="D850" s="559"/>
      <c r="E850" s="559"/>
      <c r="F850" s="559"/>
      <c r="G850" s="559"/>
      <c r="H850" s="559"/>
      <c r="I850" s="559"/>
      <c r="J850" s="559"/>
      <c r="K850" s="559"/>
      <c r="L850" s="559"/>
      <c r="M850" s="559"/>
      <c r="N850" s="559"/>
      <c r="O850" s="559"/>
      <c r="P850" s="559"/>
      <c r="Q850" s="559"/>
      <c r="R850" s="559"/>
      <c r="S850" s="559"/>
      <c r="T850" s="559"/>
      <c r="U850" s="559"/>
      <c r="V850" s="559"/>
      <c r="W850" s="559"/>
      <c r="X850" s="559"/>
      <c r="Y850" s="559"/>
      <c r="Z850" s="559"/>
    </row>
    <row r="851" spans="1:26" ht="18" customHeight="1" x14ac:dyDescent="0.35">
      <c r="A851" s="559"/>
      <c r="B851" s="559"/>
      <c r="C851" s="559"/>
      <c r="D851" s="559"/>
      <c r="E851" s="559"/>
      <c r="F851" s="559"/>
      <c r="G851" s="559"/>
      <c r="H851" s="559"/>
      <c r="I851" s="559"/>
      <c r="J851" s="559"/>
      <c r="K851" s="559"/>
      <c r="L851" s="559"/>
      <c r="M851" s="559"/>
      <c r="N851" s="559"/>
      <c r="O851" s="559"/>
      <c r="P851" s="559"/>
      <c r="Q851" s="559"/>
      <c r="R851" s="559"/>
      <c r="S851" s="559"/>
      <c r="T851" s="559"/>
      <c r="U851" s="559"/>
      <c r="V851" s="559"/>
      <c r="W851" s="559"/>
      <c r="X851" s="559"/>
      <c r="Y851" s="559"/>
      <c r="Z851" s="559"/>
    </row>
    <row r="852" spans="1:26" ht="18" customHeight="1" x14ac:dyDescent="0.35">
      <c r="A852" s="559"/>
      <c r="B852" s="559"/>
      <c r="C852" s="559"/>
      <c r="D852" s="559"/>
      <c r="E852" s="559"/>
      <c r="F852" s="559"/>
      <c r="G852" s="559"/>
      <c r="H852" s="559"/>
      <c r="I852" s="559"/>
      <c r="J852" s="559"/>
      <c r="K852" s="559"/>
      <c r="L852" s="559"/>
      <c r="M852" s="559"/>
      <c r="N852" s="559"/>
      <c r="O852" s="559"/>
      <c r="P852" s="559"/>
      <c r="Q852" s="559"/>
      <c r="R852" s="559"/>
      <c r="S852" s="559"/>
      <c r="T852" s="559"/>
      <c r="U852" s="559"/>
      <c r="V852" s="559"/>
      <c r="W852" s="559"/>
      <c r="X852" s="559"/>
      <c r="Y852" s="559"/>
      <c r="Z852" s="559"/>
    </row>
    <row r="853" spans="1:26" ht="18" customHeight="1" x14ac:dyDescent="0.35">
      <c r="A853" s="559"/>
      <c r="B853" s="559"/>
      <c r="C853" s="559"/>
      <c r="D853" s="559"/>
      <c r="E853" s="559"/>
      <c r="F853" s="559"/>
      <c r="G853" s="559"/>
      <c r="H853" s="559"/>
      <c r="I853" s="559"/>
      <c r="J853" s="559"/>
      <c r="K853" s="559"/>
      <c r="L853" s="559"/>
      <c r="M853" s="559"/>
      <c r="N853" s="559"/>
      <c r="O853" s="559"/>
      <c r="P853" s="559"/>
      <c r="Q853" s="559"/>
      <c r="R853" s="559"/>
      <c r="S853" s="559"/>
      <c r="T853" s="559"/>
      <c r="U853" s="559"/>
      <c r="V853" s="559"/>
      <c r="W853" s="559"/>
      <c r="X853" s="559"/>
      <c r="Y853" s="559"/>
      <c r="Z853" s="559"/>
    </row>
    <row r="854" spans="1:26" ht="18" customHeight="1" x14ac:dyDescent="0.35">
      <c r="A854" s="559"/>
      <c r="B854" s="559"/>
      <c r="C854" s="559"/>
      <c r="D854" s="559"/>
      <c r="E854" s="559"/>
      <c r="F854" s="559"/>
      <c r="G854" s="559"/>
      <c r="H854" s="559"/>
      <c r="I854" s="559"/>
      <c r="J854" s="559"/>
      <c r="K854" s="559"/>
      <c r="L854" s="559"/>
      <c r="M854" s="559"/>
      <c r="N854" s="559"/>
      <c r="O854" s="559"/>
      <c r="P854" s="559"/>
      <c r="Q854" s="559"/>
      <c r="R854" s="559"/>
      <c r="S854" s="559"/>
      <c r="T854" s="559"/>
      <c r="U854" s="559"/>
      <c r="V854" s="559"/>
      <c r="W854" s="559"/>
      <c r="X854" s="559"/>
      <c r="Y854" s="559"/>
      <c r="Z854" s="559"/>
    </row>
    <row r="855" spans="1:26" ht="18" customHeight="1" x14ac:dyDescent="0.35">
      <c r="A855" s="559"/>
      <c r="B855" s="559"/>
      <c r="C855" s="559"/>
      <c r="D855" s="559"/>
      <c r="E855" s="559"/>
      <c r="F855" s="559"/>
      <c r="G855" s="559"/>
      <c r="H855" s="559"/>
      <c r="I855" s="559"/>
      <c r="J855" s="559"/>
      <c r="K855" s="559"/>
      <c r="L855" s="559"/>
      <c r="M855" s="559"/>
      <c r="N855" s="559"/>
      <c r="O855" s="559"/>
      <c r="P855" s="559"/>
      <c r="Q855" s="559"/>
      <c r="R855" s="559"/>
      <c r="S855" s="559"/>
      <c r="T855" s="559"/>
      <c r="U855" s="559"/>
      <c r="V855" s="559"/>
      <c r="W855" s="559"/>
      <c r="X855" s="559"/>
      <c r="Y855" s="559"/>
      <c r="Z855" s="559"/>
    </row>
    <row r="856" spans="1:26" ht="18" customHeight="1" x14ac:dyDescent="0.35">
      <c r="A856" s="559"/>
      <c r="B856" s="559"/>
      <c r="C856" s="559"/>
      <c r="D856" s="559"/>
      <c r="E856" s="559"/>
      <c r="F856" s="559"/>
      <c r="G856" s="559"/>
      <c r="H856" s="559"/>
      <c r="I856" s="559"/>
      <c r="J856" s="559"/>
      <c r="K856" s="559"/>
      <c r="L856" s="559"/>
      <c r="M856" s="559"/>
      <c r="N856" s="559"/>
      <c r="O856" s="559"/>
      <c r="P856" s="559"/>
      <c r="Q856" s="559"/>
      <c r="R856" s="559"/>
      <c r="S856" s="559"/>
      <c r="T856" s="559"/>
      <c r="U856" s="559"/>
      <c r="V856" s="559"/>
      <c r="W856" s="559"/>
      <c r="X856" s="559"/>
      <c r="Y856" s="559"/>
      <c r="Z856" s="559"/>
    </row>
    <row r="857" spans="1:26" ht="18" customHeight="1" x14ac:dyDescent="0.35">
      <c r="A857" s="559"/>
      <c r="B857" s="559"/>
      <c r="C857" s="559"/>
      <c r="D857" s="559"/>
      <c r="E857" s="559"/>
      <c r="F857" s="559"/>
      <c r="G857" s="559"/>
      <c r="H857" s="559"/>
      <c r="I857" s="559"/>
      <c r="J857" s="559"/>
      <c r="K857" s="559"/>
      <c r="L857" s="559"/>
      <c r="M857" s="559"/>
      <c r="N857" s="559"/>
      <c r="O857" s="559"/>
      <c r="P857" s="559"/>
      <c r="Q857" s="559"/>
      <c r="R857" s="559"/>
      <c r="S857" s="559"/>
      <c r="T857" s="559"/>
      <c r="U857" s="559"/>
      <c r="V857" s="559"/>
      <c r="W857" s="559"/>
      <c r="X857" s="559"/>
      <c r="Y857" s="559"/>
      <c r="Z857" s="559"/>
    </row>
    <row r="858" spans="1:26" ht="18" customHeight="1" x14ac:dyDescent="0.35">
      <c r="A858" s="559"/>
      <c r="B858" s="559"/>
      <c r="C858" s="559"/>
      <c r="D858" s="559"/>
      <c r="E858" s="559"/>
      <c r="F858" s="559"/>
      <c r="G858" s="559"/>
      <c r="H858" s="559"/>
      <c r="I858" s="559"/>
      <c r="J858" s="559"/>
      <c r="K858" s="559"/>
      <c r="L858" s="559"/>
      <c r="M858" s="559"/>
      <c r="N858" s="559"/>
      <c r="O858" s="559"/>
      <c r="P858" s="559"/>
      <c r="Q858" s="559"/>
      <c r="R858" s="559"/>
      <c r="S858" s="559"/>
      <c r="T858" s="559"/>
      <c r="U858" s="559"/>
      <c r="V858" s="559"/>
      <c r="W858" s="559"/>
      <c r="X858" s="559"/>
      <c r="Y858" s="559"/>
      <c r="Z858" s="559"/>
    </row>
    <row r="859" spans="1:26" ht="18" customHeight="1" x14ac:dyDescent="0.35">
      <c r="A859" s="559"/>
      <c r="B859" s="559"/>
      <c r="C859" s="559"/>
      <c r="D859" s="559"/>
      <c r="E859" s="559"/>
      <c r="F859" s="559"/>
      <c r="G859" s="559"/>
      <c r="H859" s="559"/>
      <c r="I859" s="559"/>
      <c r="J859" s="559"/>
      <c r="K859" s="559"/>
      <c r="L859" s="559"/>
      <c r="M859" s="559"/>
      <c r="N859" s="559"/>
      <c r="O859" s="559"/>
      <c r="P859" s="559"/>
      <c r="Q859" s="559"/>
      <c r="R859" s="559"/>
      <c r="S859" s="559"/>
      <c r="T859" s="559"/>
      <c r="U859" s="559"/>
      <c r="V859" s="559"/>
      <c r="W859" s="559"/>
      <c r="X859" s="559"/>
      <c r="Y859" s="559"/>
      <c r="Z859" s="559"/>
    </row>
    <row r="860" spans="1:26" ht="18" customHeight="1" x14ac:dyDescent="0.35">
      <c r="A860" s="559"/>
      <c r="B860" s="559"/>
      <c r="C860" s="559"/>
      <c r="D860" s="559"/>
      <c r="E860" s="559"/>
      <c r="F860" s="559"/>
      <c r="G860" s="559"/>
      <c r="H860" s="559"/>
      <c r="I860" s="559"/>
      <c r="J860" s="559"/>
      <c r="K860" s="559"/>
      <c r="L860" s="559"/>
      <c r="M860" s="559"/>
      <c r="N860" s="559"/>
      <c r="O860" s="559"/>
      <c r="P860" s="559"/>
      <c r="Q860" s="559"/>
      <c r="R860" s="559"/>
      <c r="S860" s="559"/>
      <c r="T860" s="559"/>
      <c r="U860" s="559"/>
      <c r="V860" s="559"/>
      <c r="W860" s="559"/>
      <c r="X860" s="559"/>
      <c r="Y860" s="559"/>
      <c r="Z860" s="559"/>
    </row>
    <row r="861" spans="1:26" ht="18" customHeight="1" x14ac:dyDescent="0.35">
      <c r="A861" s="559"/>
      <c r="B861" s="559"/>
      <c r="C861" s="559"/>
      <c r="D861" s="559"/>
      <c r="E861" s="559"/>
      <c r="F861" s="559"/>
      <c r="G861" s="559"/>
      <c r="H861" s="559"/>
      <c r="I861" s="559"/>
      <c r="J861" s="559"/>
      <c r="K861" s="559"/>
      <c r="L861" s="559"/>
      <c r="M861" s="559"/>
      <c r="N861" s="559"/>
      <c r="O861" s="559"/>
      <c r="P861" s="559"/>
      <c r="Q861" s="559"/>
      <c r="R861" s="559"/>
      <c r="S861" s="559"/>
      <c r="T861" s="559"/>
      <c r="U861" s="559"/>
      <c r="V861" s="559"/>
      <c r="W861" s="559"/>
      <c r="X861" s="559"/>
      <c r="Y861" s="559"/>
      <c r="Z861" s="559"/>
    </row>
    <row r="862" spans="1:26" ht="18" customHeight="1" x14ac:dyDescent="0.35">
      <c r="A862" s="559"/>
      <c r="B862" s="559"/>
      <c r="C862" s="559"/>
      <c r="D862" s="559"/>
      <c r="E862" s="559"/>
      <c r="F862" s="559"/>
      <c r="G862" s="559"/>
      <c r="H862" s="559"/>
      <c r="I862" s="559"/>
      <c r="J862" s="559"/>
      <c r="K862" s="559"/>
      <c r="L862" s="559"/>
      <c r="M862" s="559"/>
      <c r="N862" s="559"/>
      <c r="O862" s="559"/>
      <c r="P862" s="559"/>
      <c r="Q862" s="559"/>
      <c r="R862" s="559"/>
      <c r="S862" s="559"/>
      <c r="T862" s="559"/>
      <c r="U862" s="559"/>
      <c r="V862" s="559"/>
      <c r="W862" s="559"/>
      <c r="X862" s="559"/>
      <c r="Y862" s="559"/>
      <c r="Z862" s="559"/>
    </row>
    <row r="863" spans="1:26" ht="18" customHeight="1" x14ac:dyDescent="0.35">
      <c r="A863" s="559"/>
      <c r="B863" s="559"/>
      <c r="C863" s="559"/>
      <c r="D863" s="559"/>
      <c r="E863" s="559"/>
      <c r="F863" s="559"/>
      <c r="G863" s="559"/>
      <c r="H863" s="559"/>
      <c r="I863" s="559"/>
      <c r="J863" s="559"/>
      <c r="K863" s="559"/>
      <c r="L863" s="559"/>
      <c r="M863" s="559"/>
      <c r="N863" s="559"/>
      <c r="O863" s="559"/>
      <c r="P863" s="559"/>
      <c r="Q863" s="559"/>
      <c r="R863" s="559"/>
      <c r="S863" s="559"/>
      <c r="T863" s="559"/>
      <c r="U863" s="559"/>
      <c r="V863" s="559"/>
      <c r="W863" s="559"/>
      <c r="X863" s="559"/>
      <c r="Y863" s="559"/>
      <c r="Z863" s="559"/>
    </row>
    <row r="864" spans="1:26" ht="18" customHeight="1" x14ac:dyDescent="0.35">
      <c r="A864" s="559"/>
      <c r="B864" s="559"/>
      <c r="C864" s="559"/>
      <c r="D864" s="559"/>
      <c r="E864" s="559"/>
      <c r="F864" s="559"/>
      <c r="G864" s="559"/>
      <c r="H864" s="559"/>
      <c r="I864" s="559"/>
      <c r="J864" s="559"/>
      <c r="K864" s="559"/>
      <c r="L864" s="559"/>
      <c r="M864" s="559"/>
      <c r="N864" s="559"/>
      <c r="O864" s="559"/>
      <c r="P864" s="559"/>
      <c r="Q864" s="559"/>
      <c r="R864" s="559"/>
      <c r="S864" s="559"/>
      <c r="T864" s="559"/>
      <c r="U864" s="559"/>
      <c r="V864" s="559"/>
      <c r="W864" s="559"/>
      <c r="X864" s="559"/>
      <c r="Y864" s="559"/>
      <c r="Z864" s="559"/>
    </row>
    <row r="865" spans="1:26" ht="18" customHeight="1" x14ac:dyDescent="0.35">
      <c r="A865" s="559"/>
      <c r="B865" s="559"/>
      <c r="C865" s="559"/>
      <c r="D865" s="559"/>
      <c r="E865" s="559"/>
      <c r="F865" s="559"/>
      <c r="G865" s="559"/>
      <c r="H865" s="559"/>
      <c r="I865" s="559"/>
      <c r="J865" s="559"/>
      <c r="K865" s="559"/>
      <c r="L865" s="559"/>
      <c r="M865" s="559"/>
      <c r="N865" s="559"/>
      <c r="O865" s="559"/>
      <c r="P865" s="559"/>
      <c r="Q865" s="559"/>
      <c r="R865" s="559"/>
      <c r="S865" s="559"/>
      <c r="T865" s="559"/>
      <c r="U865" s="559"/>
      <c r="V865" s="559"/>
      <c r="W865" s="559"/>
      <c r="X865" s="559"/>
      <c r="Y865" s="559"/>
      <c r="Z865" s="559"/>
    </row>
    <row r="866" spans="1:26" ht="18" customHeight="1" x14ac:dyDescent="0.35">
      <c r="A866" s="559"/>
      <c r="B866" s="559"/>
      <c r="C866" s="559"/>
      <c r="D866" s="559"/>
      <c r="E866" s="559"/>
      <c r="F866" s="559"/>
      <c r="G866" s="559"/>
      <c r="H866" s="559"/>
      <c r="I866" s="559"/>
      <c r="J866" s="559"/>
      <c r="K866" s="559"/>
      <c r="L866" s="559"/>
      <c r="M866" s="559"/>
      <c r="N866" s="559"/>
      <c r="O866" s="559"/>
      <c r="P866" s="559"/>
      <c r="Q866" s="559"/>
      <c r="R866" s="559"/>
      <c r="S866" s="559"/>
      <c r="T866" s="559"/>
      <c r="U866" s="559"/>
      <c r="V866" s="559"/>
      <c r="W866" s="559"/>
      <c r="X866" s="559"/>
      <c r="Y866" s="559"/>
      <c r="Z866" s="559"/>
    </row>
    <row r="867" spans="1:26" ht="18" customHeight="1" x14ac:dyDescent="0.35">
      <c r="A867" s="559"/>
      <c r="B867" s="559"/>
      <c r="C867" s="559"/>
      <c r="D867" s="559"/>
      <c r="E867" s="559"/>
      <c r="F867" s="559"/>
      <c r="G867" s="559"/>
      <c r="H867" s="559"/>
      <c r="I867" s="559"/>
      <c r="J867" s="559"/>
      <c r="K867" s="559"/>
      <c r="L867" s="559"/>
      <c r="M867" s="559"/>
      <c r="N867" s="559"/>
      <c r="O867" s="559"/>
      <c r="P867" s="559"/>
      <c r="Q867" s="559"/>
      <c r="R867" s="559"/>
      <c r="S867" s="559"/>
      <c r="T867" s="559"/>
      <c r="U867" s="559"/>
      <c r="V867" s="559"/>
      <c r="W867" s="559"/>
      <c r="X867" s="559"/>
      <c r="Y867" s="559"/>
      <c r="Z867" s="559"/>
    </row>
    <row r="868" spans="1:26" ht="18" customHeight="1" x14ac:dyDescent="0.35">
      <c r="A868" s="559"/>
      <c r="B868" s="559"/>
      <c r="C868" s="559"/>
      <c r="D868" s="559"/>
      <c r="E868" s="559"/>
      <c r="F868" s="559"/>
      <c r="G868" s="559"/>
      <c r="H868" s="559"/>
      <c r="I868" s="559"/>
      <c r="J868" s="559"/>
      <c r="K868" s="559"/>
      <c r="L868" s="559"/>
      <c r="M868" s="559"/>
      <c r="N868" s="559"/>
      <c r="O868" s="559"/>
      <c r="P868" s="559"/>
      <c r="Q868" s="559"/>
      <c r="R868" s="559"/>
      <c r="S868" s="559"/>
      <c r="T868" s="559"/>
      <c r="U868" s="559"/>
      <c r="V868" s="559"/>
      <c r="W868" s="559"/>
      <c r="X868" s="559"/>
      <c r="Y868" s="559"/>
      <c r="Z868" s="559"/>
    </row>
    <row r="869" spans="1:26" ht="18" customHeight="1" x14ac:dyDescent="0.35">
      <c r="A869" s="559"/>
      <c r="B869" s="559"/>
      <c r="C869" s="559"/>
      <c r="D869" s="559"/>
      <c r="E869" s="559"/>
      <c r="F869" s="559"/>
      <c r="G869" s="559"/>
      <c r="H869" s="559"/>
      <c r="I869" s="559"/>
      <c r="J869" s="559"/>
      <c r="K869" s="559"/>
      <c r="L869" s="559"/>
      <c r="M869" s="559"/>
      <c r="N869" s="559"/>
      <c r="O869" s="559"/>
      <c r="P869" s="559"/>
      <c r="Q869" s="559"/>
      <c r="R869" s="559"/>
      <c r="S869" s="559"/>
      <c r="T869" s="559"/>
      <c r="U869" s="559"/>
      <c r="V869" s="559"/>
      <c r="W869" s="559"/>
      <c r="X869" s="559"/>
      <c r="Y869" s="559"/>
      <c r="Z869" s="559"/>
    </row>
    <row r="870" spans="1:26" ht="18" customHeight="1" x14ac:dyDescent="0.35">
      <c r="A870" s="559"/>
      <c r="B870" s="559"/>
      <c r="C870" s="559"/>
      <c r="D870" s="559"/>
      <c r="E870" s="559"/>
      <c r="F870" s="559"/>
      <c r="G870" s="559"/>
      <c r="H870" s="559"/>
      <c r="I870" s="559"/>
      <c r="J870" s="559"/>
      <c r="K870" s="559"/>
      <c r="L870" s="559"/>
      <c r="M870" s="559"/>
      <c r="N870" s="559"/>
      <c r="O870" s="559"/>
      <c r="P870" s="559"/>
      <c r="Q870" s="559"/>
      <c r="R870" s="559"/>
      <c r="S870" s="559"/>
      <c r="T870" s="559"/>
      <c r="U870" s="559"/>
      <c r="V870" s="559"/>
      <c r="W870" s="559"/>
      <c r="X870" s="559"/>
      <c r="Y870" s="559"/>
      <c r="Z870" s="559"/>
    </row>
    <row r="871" spans="1:26" ht="18" customHeight="1" x14ac:dyDescent="0.35">
      <c r="A871" s="559"/>
      <c r="B871" s="559"/>
      <c r="C871" s="559"/>
      <c r="D871" s="559"/>
      <c r="E871" s="559"/>
      <c r="F871" s="559"/>
      <c r="G871" s="559"/>
      <c r="H871" s="559"/>
      <c r="I871" s="559"/>
      <c r="J871" s="559"/>
      <c r="K871" s="559"/>
      <c r="L871" s="559"/>
      <c r="M871" s="559"/>
      <c r="N871" s="559"/>
      <c r="O871" s="559"/>
      <c r="P871" s="559"/>
      <c r="Q871" s="559"/>
      <c r="R871" s="559"/>
      <c r="S871" s="559"/>
      <c r="T871" s="559"/>
      <c r="U871" s="559"/>
      <c r="V871" s="559"/>
      <c r="W871" s="559"/>
      <c r="X871" s="559"/>
      <c r="Y871" s="559"/>
      <c r="Z871" s="559"/>
    </row>
    <row r="872" spans="1:26" ht="18" customHeight="1" x14ac:dyDescent="0.35">
      <c r="A872" s="559"/>
      <c r="B872" s="559"/>
      <c r="C872" s="559"/>
      <c r="D872" s="559"/>
      <c r="E872" s="559"/>
      <c r="F872" s="559"/>
      <c r="G872" s="559"/>
      <c r="H872" s="559"/>
      <c r="I872" s="559"/>
      <c r="J872" s="559"/>
      <c r="K872" s="559"/>
      <c r="L872" s="559"/>
      <c r="M872" s="559"/>
      <c r="N872" s="559"/>
      <c r="O872" s="559"/>
      <c r="P872" s="559"/>
      <c r="Q872" s="559"/>
      <c r="R872" s="559"/>
      <c r="S872" s="559"/>
      <c r="T872" s="559"/>
      <c r="U872" s="559"/>
      <c r="V872" s="559"/>
      <c r="W872" s="559"/>
      <c r="X872" s="559"/>
      <c r="Y872" s="559"/>
      <c r="Z872" s="559"/>
    </row>
    <row r="873" spans="1:26" ht="18" customHeight="1" x14ac:dyDescent="0.35">
      <c r="A873" s="559"/>
      <c r="B873" s="559"/>
      <c r="C873" s="559"/>
      <c r="D873" s="559"/>
      <c r="E873" s="559"/>
      <c r="F873" s="559"/>
      <c r="G873" s="559"/>
      <c r="H873" s="559"/>
      <c r="I873" s="559"/>
      <c r="J873" s="559"/>
      <c r="K873" s="559"/>
      <c r="L873" s="559"/>
      <c r="M873" s="559"/>
      <c r="N873" s="559"/>
      <c r="O873" s="559"/>
      <c r="P873" s="559"/>
      <c r="Q873" s="559"/>
      <c r="R873" s="559"/>
      <c r="S873" s="559"/>
      <c r="T873" s="559"/>
      <c r="U873" s="559"/>
      <c r="V873" s="559"/>
      <c r="W873" s="559"/>
      <c r="X873" s="559"/>
      <c r="Y873" s="559"/>
      <c r="Z873" s="559"/>
    </row>
    <row r="874" spans="1:26" ht="18" customHeight="1" x14ac:dyDescent="0.35">
      <c r="A874" s="559"/>
      <c r="B874" s="559"/>
      <c r="C874" s="559"/>
      <c r="D874" s="559"/>
      <c r="E874" s="559"/>
      <c r="F874" s="559"/>
      <c r="G874" s="559"/>
      <c r="H874" s="559"/>
      <c r="I874" s="559"/>
      <c r="J874" s="559"/>
      <c r="K874" s="559"/>
      <c r="L874" s="559"/>
      <c r="M874" s="559"/>
      <c r="N874" s="559"/>
      <c r="O874" s="559"/>
      <c r="P874" s="559"/>
      <c r="Q874" s="559"/>
      <c r="R874" s="559"/>
      <c r="S874" s="559"/>
      <c r="T874" s="559"/>
      <c r="U874" s="559"/>
      <c r="V874" s="559"/>
      <c r="W874" s="559"/>
      <c r="X874" s="559"/>
      <c r="Y874" s="559"/>
      <c r="Z874" s="559"/>
    </row>
    <row r="875" spans="1:26" ht="18" customHeight="1" x14ac:dyDescent="0.35">
      <c r="A875" s="559"/>
      <c r="B875" s="559"/>
      <c r="C875" s="559"/>
      <c r="D875" s="559"/>
      <c r="E875" s="559"/>
      <c r="F875" s="559"/>
      <c r="G875" s="559"/>
      <c r="H875" s="559"/>
      <c r="I875" s="559"/>
      <c r="J875" s="559"/>
      <c r="K875" s="559"/>
      <c r="L875" s="559"/>
      <c r="M875" s="559"/>
      <c r="N875" s="559"/>
      <c r="O875" s="559"/>
      <c r="P875" s="559"/>
      <c r="Q875" s="559"/>
      <c r="R875" s="559"/>
      <c r="S875" s="559"/>
      <c r="T875" s="559"/>
      <c r="U875" s="559"/>
      <c r="V875" s="559"/>
      <c r="W875" s="559"/>
      <c r="X875" s="559"/>
      <c r="Y875" s="559"/>
      <c r="Z875" s="559"/>
    </row>
    <row r="876" spans="1:26" ht="18" customHeight="1" x14ac:dyDescent="0.35">
      <c r="A876" s="559"/>
      <c r="B876" s="559"/>
      <c r="C876" s="559"/>
      <c r="D876" s="559"/>
      <c r="E876" s="559"/>
      <c r="F876" s="559"/>
      <c r="G876" s="559"/>
      <c r="H876" s="559"/>
      <c r="I876" s="559"/>
      <c r="J876" s="559"/>
      <c r="K876" s="559"/>
      <c r="L876" s="559"/>
      <c r="M876" s="559"/>
      <c r="N876" s="559"/>
      <c r="O876" s="559"/>
      <c r="P876" s="559"/>
      <c r="Q876" s="559"/>
      <c r="R876" s="559"/>
      <c r="S876" s="559"/>
      <c r="T876" s="559"/>
      <c r="U876" s="559"/>
      <c r="V876" s="559"/>
      <c r="W876" s="559"/>
      <c r="X876" s="559"/>
      <c r="Y876" s="559"/>
      <c r="Z876" s="559"/>
    </row>
    <row r="877" spans="1:26" ht="18" customHeight="1" x14ac:dyDescent="0.35">
      <c r="A877" s="559"/>
      <c r="B877" s="559"/>
      <c r="C877" s="559"/>
      <c r="D877" s="559"/>
      <c r="E877" s="559"/>
      <c r="F877" s="559"/>
      <c r="G877" s="559"/>
      <c r="H877" s="559"/>
      <c r="I877" s="559"/>
      <c r="J877" s="559"/>
      <c r="K877" s="559"/>
      <c r="L877" s="559"/>
      <c r="M877" s="559"/>
      <c r="N877" s="559"/>
      <c r="O877" s="559"/>
      <c r="P877" s="559"/>
      <c r="Q877" s="559"/>
      <c r="R877" s="559"/>
      <c r="S877" s="559"/>
      <c r="T877" s="559"/>
      <c r="U877" s="559"/>
      <c r="V877" s="559"/>
      <c r="W877" s="559"/>
      <c r="X877" s="559"/>
      <c r="Y877" s="559"/>
      <c r="Z877" s="559"/>
    </row>
    <row r="878" spans="1:26" ht="18" customHeight="1" x14ac:dyDescent="0.35">
      <c r="A878" s="559"/>
      <c r="B878" s="559"/>
      <c r="C878" s="559"/>
      <c r="D878" s="559"/>
      <c r="E878" s="559"/>
      <c r="F878" s="559"/>
      <c r="G878" s="559"/>
      <c r="H878" s="559"/>
      <c r="I878" s="559"/>
      <c r="J878" s="559"/>
      <c r="K878" s="559"/>
      <c r="L878" s="559"/>
      <c r="M878" s="559"/>
      <c r="N878" s="559"/>
      <c r="O878" s="559"/>
      <c r="P878" s="559"/>
      <c r="Q878" s="559"/>
      <c r="R878" s="559"/>
      <c r="S878" s="559"/>
      <c r="T878" s="559"/>
      <c r="U878" s="559"/>
      <c r="V878" s="559"/>
      <c r="W878" s="559"/>
      <c r="X878" s="559"/>
      <c r="Y878" s="559"/>
      <c r="Z878" s="559"/>
    </row>
    <row r="879" spans="1:26" ht="18" customHeight="1" x14ac:dyDescent="0.35">
      <c r="A879" s="559"/>
      <c r="B879" s="559"/>
      <c r="C879" s="559"/>
      <c r="D879" s="559"/>
      <c r="E879" s="559"/>
      <c r="F879" s="559"/>
      <c r="G879" s="559"/>
      <c r="H879" s="559"/>
      <c r="I879" s="559"/>
      <c r="J879" s="559"/>
      <c r="K879" s="559"/>
      <c r="L879" s="559"/>
      <c r="M879" s="559"/>
      <c r="N879" s="559"/>
      <c r="O879" s="559"/>
      <c r="P879" s="559"/>
      <c r="Q879" s="559"/>
      <c r="R879" s="559"/>
      <c r="S879" s="559"/>
      <c r="T879" s="559"/>
      <c r="U879" s="559"/>
      <c r="V879" s="559"/>
      <c r="W879" s="559"/>
      <c r="X879" s="559"/>
      <c r="Y879" s="559"/>
      <c r="Z879" s="559"/>
    </row>
    <row r="880" spans="1:26" ht="18" customHeight="1" x14ac:dyDescent="0.35">
      <c r="A880" s="559"/>
      <c r="B880" s="559"/>
      <c r="C880" s="559"/>
      <c r="D880" s="559"/>
      <c r="E880" s="559"/>
      <c r="F880" s="559"/>
      <c r="G880" s="559"/>
      <c r="H880" s="559"/>
      <c r="I880" s="559"/>
      <c r="J880" s="559"/>
      <c r="K880" s="559"/>
      <c r="L880" s="559"/>
      <c r="M880" s="559"/>
      <c r="N880" s="559"/>
      <c r="O880" s="559"/>
      <c r="P880" s="559"/>
      <c r="Q880" s="559"/>
      <c r="R880" s="559"/>
      <c r="S880" s="559"/>
      <c r="T880" s="559"/>
      <c r="U880" s="559"/>
      <c r="V880" s="559"/>
      <c r="W880" s="559"/>
      <c r="X880" s="559"/>
      <c r="Y880" s="559"/>
      <c r="Z880" s="559"/>
    </row>
    <row r="881" spans="1:26" ht="18" customHeight="1" x14ac:dyDescent="0.35">
      <c r="A881" s="559"/>
      <c r="B881" s="559"/>
      <c r="C881" s="559"/>
      <c r="D881" s="559"/>
      <c r="E881" s="559"/>
      <c r="F881" s="559"/>
      <c r="G881" s="559"/>
      <c r="H881" s="559"/>
      <c r="I881" s="559"/>
      <c r="J881" s="559"/>
      <c r="K881" s="559"/>
      <c r="L881" s="559"/>
      <c r="M881" s="559"/>
      <c r="N881" s="559"/>
      <c r="O881" s="559"/>
      <c r="P881" s="559"/>
      <c r="Q881" s="559"/>
      <c r="R881" s="559"/>
      <c r="S881" s="559"/>
      <c r="T881" s="559"/>
      <c r="U881" s="559"/>
      <c r="V881" s="559"/>
      <c r="W881" s="559"/>
      <c r="X881" s="559"/>
      <c r="Y881" s="559"/>
      <c r="Z881" s="559"/>
    </row>
    <row r="882" spans="1:26" ht="18" customHeight="1" x14ac:dyDescent="0.35">
      <c r="A882" s="559"/>
      <c r="B882" s="559"/>
      <c r="C882" s="559"/>
      <c r="D882" s="559"/>
      <c r="E882" s="559"/>
      <c r="F882" s="559"/>
      <c r="G882" s="559"/>
      <c r="H882" s="559"/>
      <c r="I882" s="559"/>
      <c r="J882" s="559"/>
      <c r="K882" s="559"/>
      <c r="L882" s="559"/>
      <c r="M882" s="559"/>
      <c r="N882" s="559"/>
      <c r="O882" s="559"/>
      <c r="P882" s="559"/>
      <c r="Q882" s="559"/>
      <c r="R882" s="559"/>
      <c r="S882" s="559"/>
      <c r="T882" s="559"/>
      <c r="U882" s="559"/>
      <c r="V882" s="559"/>
      <c r="W882" s="559"/>
      <c r="X882" s="559"/>
      <c r="Y882" s="559"/>
      <c r="Z882" s="559"/>
    </row>
    <row r="883" spans="1:26" ht="18" customHeight="1" x14ac:dyDescent="0.35">
      <c r="A883" s="559"/>
      <c r="B883" s="559"/>
      <c r="C883" s="559"/>
      <c r="D883" s="559"/>
      <c r="E883" s="559"/>
      <c r="F883" s="559"/>
      <c r="G883" s="559"/>
      <c r="H883" s="559"/>
      <c r="I883" s="559"/>
      <c r="J883" s="559"/>
      <c r="K883" s="559"/>
      <c r="L883" s="559"/>
      <c r="M883" s="559"/>
      <c r="N883" s="559"/>
      <c r="O883" s="559"/>
      <c r="P883" s="559"/>
      <c r="Q883" s="559"/>
      <c r="R883" s="559"/>
      <c r="S883" s="559"/>
      <c r="T883" s="559"/>
      <c r="U883" s="559"/>
      <c r="V883" s="559"/>
      <c r="W883" s="559"/>
      <c r="X883" s="559"/>
      <c r="Y883" s="559"/>
      <c r="Z883" s="559"/>
    </row>
    <row r="884" spans="1:26" ht="18" customHeight="1" x14ac:dyDescent="0.35">
      <c r="A884" s="559"/>
      <c r="B884" s="559"/>
      <c r="C884" s="559"/>
      <c r="D884" s="559"/>
      <c r="E884" s="559"/>
      <c r="F884" s="559"/>
      <c r="G884" s="559"/>
      <c r="H884" s="559"/>
      <c r="I884" s="559"/>
      <c r="J884" s="559"/>
      <c r="K884" s="559"/>
      <c r="L884" s="559"/>
      <c r="M884" s="559"/>
      <c r="N884" s="559"/>
      <c r="O884" s="559"/>
      <c r="P884" s="559"/>
      <c r="Q884" s="559"/>
      <c r="R884" s="559"/>
      <c r="S884" s="559"/>
      <c r="T884" s="559"/>
      <c r="U884" s="559"/>
      <c r="V884" s="559"/>
      <c r="W884" s="559"/>
      <c r="X884" s="559"/>
      <c r="Y884" s="559"/>
      <c r="Z884" s="559"/>
    </row>
    <row r="885" spans="1:26" ht="18" customHeight="1" x14ac:dyDescent="0.35">
      <c r="A885" s="559"/>
      <c r="B885" s="559"/>
      <c r="C885" s="559"/>
      <c r="D885" s="559"/>
      <c r="E885" s="559"/>
      <c r="F885" s="559"/>
      <c r="G885" s="559"/>
      <c r="H885" s="559"/>
      <c r="I885" s="559"/>
      <c r="J885" s="559"/>
      <c r="K885" s="559"/>
      <c r="L885" s="559"/>
      <c r="M885" s="559"/>
      <c r="N885" s="559"/>
      <c r="O885" s="559"/>
      <c r="P885" s="559"/>
      <c r="Q885" s="559"/>
      <c r="R885" s="559"/>
      <c r="S885" s="559"/>
      <c r="T885" s="559"/>
      <c r="U885" s="559"/>
      <c r="V885" s="559"/>
      <c r="W885" s="559"/>
      <c r="X885" s="559"/>
      <c r="Y885" s="559"/>
      <c r="Z885" s="559"/>
    </row>
    <row r="886" spans="1:26" ht="18" customHeight="1" x14ac:dyDescent="0.35">
      <c r="A886" s="559"/>
      <c r="B886" s="559"/>
      <c r="C886" s="559"/>
      <c r="D886" s="559"/>
      <c r="E886" s="559"/>
      <c r="F886" s="559"/>
      <c r="G886" s="559"/>
      <c r="H886" s="559"/>
      <c r="I886" s="559"/>
      <c r="J886" s="559"/>
      <c r="K886" s="559"/>
      <c r="L886" s="559"/>
      <c r="M886" s="559"/>
      <c r="N886" s="559"/>
      <c r="O886" s="559"/>
      <c r="P886" s="559"/>
      <c r="Q886" s="559"/>
      <c r="R886" s="559"/>
      <c r="S886" s="559"/>
      <c r="T886" s="559"/>
      <c r="U886" s="559"/>
      <c r="V886" s="559"/>
      <c r="W886" s="559"/>
      <c r="X886" s="559"/>
      <c r="Y886" s="559"/>
      <c r="Z886" s="559"/>
    </row>
    <row r="887" spans="1:26" ht="18" customHeight="1" x14ac:dyDescent="0.35">
      <c r="A887" s="559"/>
      <c r="B887" s="559"/>
      <c r="C887" s="559"/>
      <c r="D887" s="559"/>
      <c r="E887" s="559"/>
      <c r="F887" s="559"/>
      <c r="G887" s="559"/>
      <c r="H887" s="559"/>
      <c r="I887" s="559"/>
      <c r="J887" s="559"/>
      <c r="K887" s="559"/>
      <c r="L887" s="559"/>
      <c r="M887" s="559"/>
      <c r="N887" s="559"/>
      <c r="O887" s="559"/>
      <c r="P887" s="559"/>
      <c r="Q887" s="559"/>
      <c r="R887" s="559"/>
      <c r="S887" s="559"/>
      <c r="T887" s="559"/>
      <c r="U887" s="559"/>
      <c r="V887" s="559"/>
      <c r="W887" s="559"/>
      <c r="X887" s="559"/>
      <c r="Y887" s="559"/>
      <c r="Z887" s="559"/>
    </row>
    <row r="888" spans="1:26" ht="18" customHeight="1" x14ac:dyDescent="0.35">
      <c r="A888" s="559"/>
      <c r="B888" s="559"/>
      <c r="C888" s="559"/>
      <c r="D888" s="559"/>
      <c r="E888" s="559"/>
      <c r="F888" s="559"/>
      <c r="G888" s="559"/>
      <c r="H888" s="559"/>
      <c r="I888" s="559"/>
      <c r="J888" s="559"/>
      <c r="K888" s="559"/>
      <c r="L888" s="559"/>
      <c r="M888" s="559"/>
      <c r="N888" s="559"/>
      <c r="O888" s="559"/>
      <c r="P888" s="559"/>
      <c r="Q888" s="559"/>
      <c r="R888" s="559"/>
      <c r="S888" s="559"/>
      <c r="T888" s="559"/>
      <c r="U888" s="559"/>
      <c r="V888" s="559"/>
      <c r="W888" s="559"/>
      <c r="X888" s="559"/>
      <c r="Y888" s="559"/>
      <c r="Z888" s="559"/>
    </row>
    <row r="889" spans="1:26" ht="18" customHeight="1" x14ac:dyDescent="0.35">
      <c r="A889" s="559"/>
      <c r="B889" s="559"/>
      <c r="C889" s="559"/>
      <c r="D889" s="559"/>
      <c r="E889" s="559"/>
      <c r="F889" s="559"/>
      <c r="G889" s="559"/>
      <c r="H889" s="559"/>
      <c r="I889" s="559"/>
      <c r="J889" s="559"/>
      <c r="K889" s="559"/>
      <c r="L889" s="559"/>
      <c r="M889" s="559"/>
      <c r="N889" s="559"/>
      <c r="O889" s="559"/>
      <c r="P889" s="559"/>
      <c r="Q889" s="559"/>
      <c r="R889" s="559"/>
      <c r="S889" s="559"/>
      <c r="T889" s="559"/>
      <c r="U889" s="559"/>
      <c r="V889" s="559"/>
      <c r="W889" s="559"/>
      <c r="X889" s="559"/>
      <c r="Y889" s="559"/>
      <c r="Z889" s="559"/>
    </row>
    <row r="890" spans="1:26" ht="18" customHeight="1" x14ac:dyDescent="0.35">
      <c r="A890" s="559"/>
      <c r="B890" s="559"/>
      <c r="C890" s="559"/>
      <c r="D890" s="559"/>
      <c r="E890" s="559"/>
      <c r="F890" s="559"/>
      <c r="G890" s="559"/>
      <c r="H890" s="559"/>
      <c r="I890" s="559"/>
      <c r="J890" s="559"/>
      <c r="K890" s="559"/>
      <c r="L890" s="559"/>
      <c r="M890" s="559"/>
      <c r="N890" s="559"/>
      <c r="O890" s="559"/>
      <c r="P890" s="559"/>
      <c r="Q890" s="559"/>
      <c r="R890" s="559"/>
      <c r="S890" s="559"/>
      <c r="T890" s="559"/>
      <c r="U890" s="559"/>
      <c r="V890" s="559"/>
      <c r="W890" s="559"/>
      <c r="X890" s="559"/>
      <c r="Y890" s="559"/>
      <c r="Z890" s="559"/>
    </row>
    <row r="891" spans="1:26" ht="18" customHeight="1" x14ac:dyDescent="0.35">
      <c r="A891" s="559"/>
      <c r="B891" s="559"/>
      <c r="C891" s="559"/>
      <c r="D891" s="559"/>
      <c r="E891" s="559"/>
      <c r="F891" s="559"/>
      <c r="G891" s="559"/>
      <c r="H891" s="559"/>
      <c r="I891" s="559"/>
      <c r="J891" s="559"/>
      <c r="K891" s="559"/>
      <c r="L891" s="559"/>
      <c r="M891" s="559"/>
      <c r="N891" s="559"/>
      <c r="O891" s="559"/>
      <c r="P891" s="559"/>
      <c r="Q891" s="559"/>
      <c r="R891" s="559"/>
      <c r="S891" s="559"/>
      <c r="T891" s="559"/>
      <c r="U891" s="559"/>
      <c r="V891" s="559"/>
      <c r="W891" s="559"/>
      <c r="X891" s="559"/>
      <c r="Y891" s="559"/>
      <c r="Z891" s="559"/>
    </row>
    <row r="892" spans="1:26" ht="18" customHeight="1" x14ac:dyDescent="0.35">
      <c r="A892" s="559"/>
      <c r="B892" s="559"/>
      <c r="C892" s="559"/>
      <c r="D892" s="559"/>
      <c r="E892" s="559"/>
      <c r="F892" s="559"/>
      <c r="G892" s="559"/>
      <c r="H892" s="559"/>
      <c r="I892" s="559"/>
      <c r="J892" s="559"/>
      <c r="K892" s="559"/>
      <c r="L892" s="559"/>
      <c r="M892" s="559"/>
      <c r="N892" s="559"/>
      <c r="O892" s="559"/>
      <c r="P892" s="559"/>
      <c r="Q892" s="559"/>
      <c r="R892" s="559"/>
      <c r="S892" s="559"/>
      <c r="T892" s="559"/>
      <c r="U892" s="559"/>
      <c r="V892" s="559"/>
      <c r="W892" s="559"/>
      <c r="X892" s="559"/>
      <c r="Y892" s="559"/>
      <c r="Z892" s="559"/>
    </row>
    <row r="893" spans="1:26" ht="18" customHeight="1" x14ac:dyDescent="0.35">
      <c r="A893" s="559"/>
      <c r="B893" s="559"/>
      <c r="C893" s="559"/>
      <c r="D893" s="559"/>
      <c r="E893" s="559"/>
      <c r="F893" s="559"/>
      <c r="G893" s="559"/>
      <c r="H893" s="559"/>
      <c r="I893" s="559"/>
      <c r="J893" s="559"/>
      <c r="K893" s="559"/>
      <c r="L893" s="559"/>
      <c r="M893" s="559"/>
      <c r="N893" s="559"/>
      <c r="O893" s="559"/>
      <c r="P893" s="559"/>
      <c r="Q893" s="559"/>
      <c r="R893" s="559"/>
      <c r="S893" s="559"/>
      <c r="T893" s="559"/>
      <c r="U893" s="559"/>
      <c r="V893" s="559"/>
      <c r="W893" s="559"/>
      <c r="X893" s="559"/>
      <c r="Y893" s="559"/>
      <c r="Z893" s="559"/>
    </row>
    <row r="894" spans="1:26" ht="18" customHeight="1" x14ac:dyDescent="0.35">
      <c r="A894" s="559"/>
      <c r="B894" s="559"/>
      <c r="C894" s="559"/>
      <c r="D894" s="559"/>
      <c r="E894" s="559"/>
      <c r="F894" s="559"/>
      <c r="G894" s="559"/>
      <c r="H894" s="559"/>
      <c r="I894" s="559"/>
      <c r="J894" s="559"/>
      <c r="K894" s="559"/>
      <c r="L894" s="559"/>
      <c r="M894" s="559"/>
      <c r="N894" s="559"/>
      <c r="O894" s="559"/>
      <c r="P894" s="559"/>
      <c r="Q894" s="559"/>
      <c r="R894" s="559"/>
      <c r="S894" s="559"/>
      <c r="T894" s="559"/>
      <c r="U894" s="559"/>
      <c r="V894" s="559"/>
      <c r="W894" s="559"/>
      <c r="X894" s="559"/>
      <c r="Y894" s="559"/>
      <c r="Z894" s="559"/>
    </row>
    <row r="895" spans="1:26" ht="18" customHeight="1" x14ac:dyDescent="0.35">
      <c r="A895" s="559"/>
      <c r="B895" s="559"/>
      <c r="C895" s="559"/>
      <c r="D895" s="559"/>
      <c r="E895" s="559"/>
      <c r="F895" s="559"/>
      <c r="G895" s="559"/>
      <c r="H895" s="559"/>
      <c r="I895" s="559"/>
      <c r="J895" s="559"/>
      <c r="K895" s="559"/>
      <c r="L895" s="559"/>
      <c r="M895" s="559"/>
      <c r="N895" s="559"/>
      <c r="O895" s="559"/>
      <c r="P895" s="559"/>
      <c r="Q895" s="559"/>
      <c r="R895" s="559"/>
      <c r="S895" s="559"/>
      <c r="T895" s="559"/>
      <c r="U895" s="559"/>
      <c r="V895" s="559"/>
      <c r="W895" s="559"/>
      <c r="X895" s="559"/>
      <c r="Y895" s="559"/>
      <c r="Z895" s="559"/>
    </row>
    <row r="896" spans="1:26" ht="18" customHeight="1" x14ac:dyDescent="0.35">
      <c r="A896" s="559"/>
      <c r="B896" s="559"/>
      <c r="C896" s="559"/>
      <c r="D896" s="559"/>
      <c r="E896" s="559"/>
      <c r="F896" s="559"/>
      <c r="G896" s="559"/>
      <c r="H896" s="559"/>
      <c r="I896" s="559"/>
      <c r="J896" s="559"/>
      <c r="K896" s="559"/>
      <c r="L896" s="559"/>
      <c r="M896" s="559"/>
      <c r="N896" s="559"/>
      <c r="O896" s="559"/>
      <c r="P896" s="559"/>
      <c r="Q896" s="559"/>
      <c r="R896" s="559"/>
      <c r="S896" s="559"/>
      <c r="T896" s="559"/>
      <c r="U896" s="559"/>
      <c r="V896" s="559"/>
      <c r="W896" s="559"/>
      <c r="X896" s="559"/>
      <c r="Y896" s="559"/>
      <c r="Z896" s="559"/>
    </row>
    <row r="897" spans="1:26" ht="18" customHeight="1" x14ac:dyDescent="0.35">
      <c r="A897" s="559"/>
      <c r="B897" s="559"/>
      <c r="C897" s="559"/>
      <c r="D897" s="559"/>
      <c r="E897" s="559"/>
      <c r="F897" s="559"/>
      <c r="G897" s="559"/>
      <c r="H897" s="559"/>
      <c r="I897" s="559"/>
      <c r="J897" s="559"/>
      <c r="K897" s="559"/>
      <c r="L897" s="559"/>
      <c r="M897" s="559"/>
      <c r="N897" s="559"/>
      <c r="O897" s="559"/>
      <c r="P897" s="559"/>
      <c r="Q897" s="559"/>
      <c r="R897" s="559"/>
      <c r="S897" s="559"/>
      <c r="T897" s="559"/>
      <c r="U897" s="559"/>
      <c r="V897" s="559"/>
      <c r="W897" s="559"/>
      <c r="X897" s="559"/>
      <c r="Y897" s="559"/>
      <c r="Z897" s="559"/>
    </row>
    <row r="898" spans="1:26" ht="18" customHeight="1" x14ac:dyDescent="0.35">
      <c r="A898" s="559"/>
      <c r="B898" s="559"/>
      <c r="C898" s="559"/>
      <c r="D898" s="559"/>
      <c r="E898" s="559"/>
      <c r="F898" s="559"/>
      <c r="G898" s="559"/>
      <c r="H898" s="559"/>
      <c r="I898" s="559"/>
      <c r="J898" s="559"/>
      <c r="K898" s="559"/>
      <c r="L898" s="559"/>
      <c r="M898" s="559"/>
      <c r="N898" s="559"/>
      <c r="O898" s="559"/>
      <c r="P898" s="559"/>
      <c r="Q898" s="559"/>
      <c r="R898" s="559"/>
      <c r="S898" s="559"/>
      <c r="T898" s="559"/>
      <c r="U898" s="559"/>
      <c r="V898" s="559"/>
      <c r="W898" s="559"/>
      <c r="X898" s="559"/>
      <c r="Y898" s="559"/>
      <c r="Z898" s="559"/>
    </row>
    <row r="899" spans="1:26" ht="18" customHeight="1" x14ac:dyDescent="0.35">
      <c r="A899" s="559"/>
      <c r="B899" s="559"/>
      <c r="C899" s="559"/>
      <c r="D899" s="559"/>
      <c r="E899" s="559"/>
      <c r="F899" s="559"/>
      <c r="G899" s="559"/>
      <c r="H899" s="559"/>
      <c r="I899" s="559"/>
      <c r="J899" s="559"/>
      <c r="K899" s="559"/>
      <c r="L899" s="559"/>
      <c r="M899" s="559"/>
      <c r="N899" s="559"/>
      <c r="O899" s="559"/>
      <c r="P899" s="559"/>
      <c r="Q899" s="559"/>
      <c r="R899" s="559"/>
      <c r="S899" s="559"/>
      <c r="T899" s="559"/>
      <c r="U899" s="559"/>
      <c r="V899" s="559"/>
      <c r="W899" s="559"/>
      <c r="X899" s="559"/>
      <c r="Y899" s="559"/>
      <c r="Z899" s="559"/>
    </row>
    <row r="900" spans="1:26" ht="18" customHeight="1" x14ac:dyDescent="0.35">
      <c r="A900" s="559"/>
      <c r="B900" s="559"/>
      <c r="C900" s="559"/>
      <c r="D900" s="559"/>
      <c r="E900" s="559"/>
      <c r="F900" s="559"/>
      <c r="G900" s="559"/>
      <c r="H900" s="559"/>
      <c r="I900" s="559"/>
      <c r="J900" s="559"/>
      <c r="K900" s="559"/>
      <c r="L900" s="559"/>
      <c r="M900" s="559"/>
      <c r="N900" s="559"/>
      <c r="O900" s="559"/>
      <c r="P900" s="559"/>
      <c r="Q900" s="559"/>
      <c r="R900" s="559"/>
      <c r="S900" s="559"/>
      <c r="T900" s="559"/>
      <c r="U900" s="559"/>
      <c r="V900" s="559"/>
      <c r="W900" s="559"/>
      <c r="X900" s="559"/>
      <c r="Y900" s="559"/>
      <c r="Z900" s="559"/>
    </row>
    <row r="901" spans="1:26" ht="18" customHeight="1" x14ac:dyDescent="0.35">
      <c r="A901" s="559"/>
      <c r="B901" s="559"/>
      <c r="C901" s="559"/>
      <c r="D901" s="559"/>
      <c r="E901" s="559"/>
      <c r="F901" s="559"/>
      <c r="G901" s="559"/>
      <c r="H901" s="559"/>
      <c r="I901" s="559"/>
      <c r="J901" s="559"/>
      <c r="K901" s="559"/>
      <c r="L901" s="559"/>
      <c r="M901" s="559"/>
      <c r="N901" s="559"/>
      <c r="O901" s="559"/>
      <c r="P901" s="559"/>
      <c r="Q901" s="559"/>
      <c r="R901" s="559"/>
      <c r="S901" s="559"/>
      <c r="T901" s="559"/>
      <c r="U901" s="559"/>
      <c r="V901" s="559"/>
      <c r="W901" s="559"/>
      <c r="X901" s="559"/>
      <c r="Y901" s="559"/>
      <c r="Z901" s="559"/>
    </row>
    <row r="902" spans="1:26" ht="18" customHeight="1" x14ac:dyDescent="0.35">
      <c r="A902" s="559"/>
      <c r="B902" s="559"/>
      <c r="C902" s="559"/>
      <c r="D902" s="559"/>
      <c r="E902" s="559"/>
      <c r="F902" s="559"/>
      <c r="G902" s="559"/>
      <c r="H902" s="559"/>
      <c r="I902" s="559"/>
      <c r="J902" s="559"/>
      <c r="K902" s="559"/>
      <c r="L902" s="559"/>
      <c r="M902" s="559"/>
      <c r="N902" s="559"/>
      <c r="O902" s="559"/>
      <c r="P902" s="559"/>
      <c r="Q902" s="559"/>
      <c r="R902" s="559"/>
      <c r="S902" s="559"/>
      <c r="T902" s="559"/>
      <c r="U902" s="559"/>
      <c r="V902" s="559"/>
      <c r="W902" s="559"/>
      <c r="X902" s="559"/>
      <c r="Y902" s="559"/>
      <c r="Z902" s="559"/>
    </row>
    <row r="903" spans="1:26" ht="18" customHeight="1" x14ac:dyDescent="0.35">
      <c r="A903" s="559"/>
      <c r="B903" s="559"/>
      <c r="C903" s="559"/>
      <c r="D903" s="559"/>
      <c r="E903" s="559"/>
      <c r="F903" s="559"/>
      <c r="G903" s="559"/>
      <c r="H903" s="559"/>
      <c r="I903" s="559"/>
      <c r="J903" s="559"/>
      <c r="K903" s="559"/>
      <c r="L903" s="559"/>
      <c r="M903" s="559"/>
      <c r="N903" s="559"/>
      <c r="O903" s="559"/>
      <c r="P903" s="559"/>
      <c r="Q903" s="559"/>
      <c r="R903" s="559"/>
      <c r="S903" s="559"/>
      <c r="T903" s="559"/>
      <c r="U903" s="559"/>
      <c r="V903" s="559"/>
      <c r="W903" s="559"/>
      <c r="X903" s="559"/>
      <c r="Y903" s="559"/>
      <c r="Z903" s="559"/>
    </row>
    <row r="904" spans="1:26" ht="18" customHeight="1" x14ac:dyDescent="0.35">
      <c r="A904" s="559"/>
      <c r="B904" s="559"/>
      <c r="C904" s="559"/>
      <c r="D904" s="559"/>
      <c r="E904" s="559"/>
      <c r="F904" s="559"/>
      <c r="G904" s="559"/>
      <c r="H904" s="559"/>
      <c r="I904" s="559"/>
      <c r="J904" s="559"/>
      <c r="K904" s="559"/>
      <c r="L904" s="559"/>
      <c r="M904" s="559"/>
      <c r="N904" s="559"/>
      <c r="O904" s="559"/>
      <c r="P904" s="559"/>
      <c r="Q904" s="559"/>
      <c r="R904" s="559"/>
      <c r="S904" s="559"/>
      <c r="T904" s="559"/>
      <c r="U904" s="559"/>
      <c r="V904" s="559"/>
      <c r="W904" s="559"/>
      <c r="X904" s="559"/>
      <c r="Y904" s="559"/>
      <c r="Z904" s="559"/>
    </row>
    <row r="905" spans="1:26" ht="18" customHeight="1" x14ac:dyDescent="0.35">
      <c r="A905" s="559"/>
      <c r="B905" s="559"/>
      <c r="C905" s="559"/>
      <c r="D905" s="559"/>
      <c r="E905" s="559"/>
      <c r="F905" s="559"/>
      <c r="G905" s="559"/>
      <c r="H905" s="559"/>
      <c r="I905" s="559"/>
      <c r="J905" s="559"/>
      <c r="K905" s="559"/>
      <c r="L905" s="559"/>
      <c r="M905" s="559"/>
      <c r="N905" s="559"/>
      <c r="O905" s="559"/>
      <c r="P905" s="559"/>
      <c r="Q905" s="559"/>
      <c r="R905" s="559"/>
      <c r="S905" s="559"/>
      <c r="T905" s="559"/>
      <c r="U905" s="559"/>
      <c r="V905" s="559"/>
      <c r="W905" s="559"/>
      <c r="X905" s="559"/>
      <c r="Y905" s="559"/>
      <c r="Z905" s="559"/>
    </row>
    <row r="906" spans="1:26" ht="18" customHeight="1" x14ac:dyDescent="0.35">
      <c r="A906" s="559"/>
      <c r="B906" s="559"/>
      <c r="C906" s="559"/>
      <c r="D906" s="559"/>
      <c r="E906" s="559"/>
      <c r="F906" s="559"/>
      <c r="G906" s="559"/>
      <c r="H906" s="559"/>
      <c r="I906" s="559"/>
      <c r="J906" s="559"/>
      <c r="K906" s="559"/>
      <c r="L906" s="559"/>
      <c r="M906" s="559"/>
      <c r="N906" s="559"/>
      <c r="O906" s="559"/>
      <c r="P906" s="559"/>
      <c r="Q906" s="559"/>
      <c r="R906" s="559"/>
      <c r="S906" s="559"/>
      <c r="T906" s="559"/>
      <c r="U906" s="559"/>
      <c r="V906" s="559"/>
      <c r="W906" s="559"/>
      <c r="X906" s="559"/>
      <c r="Y906" s="559"/>
      <c r="Z906" s="559"/>
    </row>
    <row r="907" spans="1:26" ht="18" customHeight="1" x14ac:dyDescent="0.35">
      <c r="A907" s="559"/>
      <c r="B907" s="559"/>
      <c r="C907" s="559"/>
      <c r="D907" s="559"/>
      <c r="E907" s="559"/>
      <c r="F907" s="559"/>
      <c r="G907" s="559"/>
      <c r="H907" s="559"/>
      <c r="I907" s="559"/>
      <c r="J907" s="559"/>
      <c r="K907" s="559"/>
      <c r="L907" s="559"/>
      <c r="M907" s="559"/>
      <c r="N907" s="559"/>
      <c r="O907" s="559"/>
      <c r="P907" s="559"/>
      <c r="Q907" s="559"/>
      <c r="R907" s="559"/>
      <c r="S907" s="559"/>
      <c r="T907" s="559"/>
      <c r="U907" s="559"/>
      <c r="V907" s="559"/>
      <c r="W907" s="559"/>
      <c r="X907" s="559"/>
      <c r="Y907" s="559"/>
      <c r="Z907" s="559"/>
    </row>
    <row r="908" spans="1:26" ht="18" customHeight="1" x14ac:dyDescent="0.35">
      <c r="A908" s="559"/>
      <c r="B908" s="559"/>
      <c r="C908" s="559"/>
      <c r="D908" s="559"/>
      <c r="E908" s="559"/>
      <c r="F908" s="559"/>
      <c r="G908" s="559"/>
      <c r="H908" s="559"/>
      <c r="I908" s="559"/>
      <c r="J908" s="559"/>
      <c r="K908" s="559"/>
      <c r="L908" s="559"/>
      <c r="M908" s="559"/>
      <c r="N908" s="559"/>
      <c r="O908" s="559"/>
      <c r="P908" s="559"/>
      <c r="Q908" s="559"/>
      <c r="R908" s="559"/>
      <c r="S908" s="559"/>
      <c r="T908" s="559"/>
      <c r="U908" s="559"/>
      <c r="V908" s="559"/>
      <c r="W908" s="559"/>
      <c r="X908" s="559"/>
      <c r="Y908" s="559"/>
      <c r="Z908" s="559"/>
    </row>
    <row r="909" spans="1:26" ht="18" customHeight="1" x14ac:dyDescent="0.35">
      <c r="A909" s="559"/>
      <c r="B909" s="559"/>
      <c r="C909" s="559"/>
      <c r="D909" s="559"/>
      <c r="E909" s="559"/>
      <c r="F909" s="559"/>
      <c r="G909" s="559"/>
      <c r="H909" s="559"/>
      <c r="I909" s="559"/>
      <c r="J909" s="559"/>
      <c r="K909" s="559"/>
      <c r="L909" s="559"/>
      <c r="M909" s="559"/>
      <c r="N909" s="559"/>
      <c r="O909" s="559"/>
      <c r="P909" s="559"/>
      <c r="Q909" s="559"/>
      <c r="R909" s="559"/>
      <c r="S909" s="559"/>
      <c r="T909" s="559"/>
      <c r="U909" s="559"/>
      <c r="V909" s="559"/>
      <c r="W909" s="559"/>
      <c r="X909" s="559"/>
      <c r="Y909" s="559"/>
      <c r="Z909" s="559"/>
    </row>
    <row r="910" spans="1:26" ht="18" customHeight="1" x14ac:dyDescent="0.35">
      <c r="A910" s="559"/>
      <c r="B910" s="559"/>
      <c r="C910" s="559"/>
      <c r="D910" s="559"/>
      <c r="E910" s="559"/>
      <c r="F910" s="559"/>
      <c r="G910" s="559"/>
      <c r="H910" s="559"/>
      <c r="I910" s="559"/>
      <c r="J910" s="559"/>
      <c r="K910" s="559"/>
      <c r="L910" s="559"/>
      <c r="M910" s="559"/>
      <c r="N910" s="559"/>
      <c r="O910" s="559"/>
      <c r="P910" s="559"/>
      <c r="Q910" s="559"/>
      <c r="R910" s="559"/>
      <c r="S910" s="559"/>
      <c r="T910" s="559"/>
      <c r="U910" s="559"/>
      <c r="V910" s="559"/>
      <c r="W910" s="559"/>
      <c r="X910" s="559"/>
      <c r="Y910" s="559"/>
      <c r="Z910" s="559"/>
    </row>
    <row r="911" spans="1:26" ht="18" customHeight="1" x14ac:dyDescent="0.35">
      <c r="A911" s="559"/>
      <c r="B911" s="559"/>
      <c r="C911" s="559"/>
      <c r="D911" s="559"/>
      <c r="E911" s="559"/>
      <c r="F911" s="559"/>
      <c r="G911" s="559"/>
      <c r="H911" s="559"/>
      <c r="I911" s="559"/>
      <c r="J911" s="559"/>
      <c r="K911" s="559"/>
      <c r="L911" s="559"/>
      <c r="M911" s="559"/>
      <c r="N911" s="559"/>
      <c r="O911" s="559"/>
      <c r="P911" s="559"/>
      <c r="Q911" s="559"/>
      <c r="R911" s="559"/>
      <c r="S911" s="559"/>
      <c r="T911" s="559"/>
      <c r="U911" s="559"/>
      <c r="V911" s="559"/>
      <c r="W911" s="559"/>
      <c r="X911" s="559"/>
      <c r="Y911" s="559"/>
      <c r="Z911" s="559"/>
    </row>
    <row r="912" spans="1:26" ht="18" customHeight="1" x14ac:dyDescent="0.35">
      <c r="A912" s="559"/>
      <c r="B912" s="559"/>
      <c r="C912" s="559"/>
      <c r="D912" s="559"/>
      <c r="E912" s="559"/>
      <c r="F912" s="559"/>
      <c r="G912" s="559"/>
      <c r="H912" s="559"/>
      <c r="I912" s="559"/>
      <c r="J912" s="559"/>
      <c r="K912" s="559"/>
      <c r="L912" s="559"/>
      <c r="M912" s="559"/>
      <c r="N912" s="559"/>
      <c r="O912" s="559"/>
      <c r="P912" s="559"/>
      <c r="Q912" s="559"/>
      <c r="R912" s="559"/>
      <c r="S912" s="559"/>
      <c r="T912" s="559"/>
      <c r="U912" s="559"/>
      <c r="V912" s="559"/>
      <c r="W912" s="559"/>
      <c r="X912" s="559"/>
      <c r="Y912" s="559"/>
      <c r="Z912" s="559"/>
    </row>
    <row r="913" spans="1:26" ht="18" customHeight="1" x14ac:dyDescent="0.35">
      <c r="A913" s="559"/>
      <c r="B913" s="559"/>
      <c r="C913" s="559"/>
      <c r="D913" s="559"/>
      <c r="E913" s="559"/>
      <c r="F913" s="559"/>
      <c r="G913" s="559"/>
      <c r="H913" s="559"/>
      <c r="I913" s="559"/>
      <c r="J913" s="559"/>
      <c r="K913" s="559"/>
      <c r="L913" s="559"/>
      <c r="M913" s="559"/>
      <c r="N913" s="559"/>
      <c r="O913" s="559"/>
      <c r="P913" s="559"/>
      <c r="Q913" s="559"/>
      <c r="R913" s="559"/>
      <c r="S913" s="559"/>
      <c r="T913" s="559"/>
      <c r="U913" s="559"/>
      <c r="V913" s="559"/>
      <c r="W913" s="559"/>
      <c r="X913" s="559"/>
      <c r="Y913" s="559"/>
      <c r="Z913" s="559"/>
    </row>
    <row r="914" spans="1:26" ht="18" customHeight="1" x14ac:dyDescent="0.35">
      <c r="A914" s="559"/>
      <c r="B914" s="559"/>
      <c r="C914" s="559"/>
      <c r="D914" s="559"/>
      <c r="E914" s="559"/>
      <c r="F914" s="559"/>
      <c r="G914" s="559"/>
      <c r="H914" s="559"/>
      <c r="I914" s="559"/>
      <c r="J914" s="559"/>
      <c r="K914" s="559"/>
      <c r="L914" s="559"/>
      <c r="M914" s="559"/>
      <c r="N914" s="559"/>
      <c r="O914" s="559"/>
      <c r="P914" s="559"/>
      <c r="Q914" s="559"/>
      <c r="R914" s="559"/>
      <c r="S914" s="559"/>
      <c r="T914" s="559"/>
      <c r="U914" s="559"/>
      <c r="V914" s="559"/>
      <c r="W914" s="559"/>
      <c r="X914" s="559"/>
      <c r="Y914" s="559"/>
      <c r="Z914" s="559"/>
    </row>
    <row r="915" spans="1:26" ht="18" customHeight="1" x14ac:dyDescent="0.35">
      <c r="A915" s="559"/>
      <c r="B915" s="559"/>
      <c r="C915" s="559"/>
      <c r="D915" s="559"/>
      <c r="E915" s="559"/>
      <c r="F915" s="559"/>
      <c r="G915" s="559"/>
      <c r="H915" s="559"/>
      <c r="I915" s="559"/>
      <c r="J915" s="559"/>
      <c r="K915" s="559"/>
      <c r="L915" s="559"/>
      <c r="M915" s="559"/>
      <c r="N915" s="559"/>
      <c r="O915" s="559"/>
      <c r="P915" s="559"/>
      <c r="Q915" s="559"/>
      <c r="R915" s="559"/>
      <c r="S915" s="559"/>
      <c r="T915" s="559"/>
      <c r="U915" s="559"/>
      <c r="V915" s="559"/>
      <c r="W915" s="559"/>
      <c r="X915" s="559"/>
      <c r="Y915" s="559"/>
      <c r="Z915" s="559"/>
    </row>
    <row r="916" spans="1:26" ht="18" customHeight="1" x14ac:dyDescent="0.35">
      <c r="A916" s="559"/>
      <c r="B916" s="559"/>
      <c r="C916" s="559"/>
      <c r="D916" s="559"/>
      <c r="E916" s="559"/>
      <c r="F916" s="559"/>
      <c r="G916" s="559"/>
      <c r="H916" s="559"/>
      <c r="I916" s="559"/>
      <c r="J916" s="559"/>
      <c r="K916" s="559"/>
      <c r="L916" s="559"/>
      <c r="M916" s="559"/>
      <c r="N916" s="559"/>
      <c r="O916" s="559"/>
      <c r="P916" s="559"/>
      <c r="Q916" s="559"/>
      <c r="R916" s="559"/>
      <c r="S916" s="559"/>
      <c r="T916" s="559"/>
      <c r="U916" s="559"/>
      <c r="V916" s="559"/>
      <c r="W916" s="559"/>
      <c r="X916" s="559"/>
      <c r="Y916" s="559"/>
      <c r="Z916" s="559"/>
    </row>
    <row r="917" spans="1:26" ht="18" customHeight="1" x14ac:dyDescent="0.35">
      <c r="A917" s="559"/>
      <c r="B917" s="559"/>
      <c r="C917" s="559"/>
      <c r="D917" s="559"/>
      <c r="E917" s="559"/>
      <c r="F917" s="559"/>
      <c r="G917" s="559"/>
      <c r="H917" s="559"/>
      <c r="I917" s="559"/>
      <c r="J917" s="559"/>
      <c r="K917" s="559"/>
      <c r="L917" s="559"/>
      <c r="M917" s="559"/>
      <c r="N917" s="559"/>
      <c r="O917" s="559"/>
      <c r="P917" s="559"/>
      <c r="Q917" s="559"/>
      <c r="R917" s="559"/>
      <c r="S917" s="559"/>
      <c r="T917" s="559"/>
      <c r="U917" s="559"/>
      <c r="V917" s="559"/>
      <c r="W917" s="559"/>
      <c r="X917" s="559"/>
      <c r="Y917" s="559"/>
      <c r="Z917" s="559"/>
    </row>
    <row r="918" spans="1:26" ht="18" customHeight="1" x14ac:dyDescent="0.35">
      <c r="A918" s="559"/>
      <c r="B918" s="559"/>
      <c r="C918" s="559"/>
      <c r="D918" s="559"/>
      <c r="E918" s="559"/>
      <c r="F918" s="559"/>
      <c r="G918" s="559"/>
      <c r="H918" s="559"/>
      <c r="I918" s="559"/>
      <c r="J918" s="559"/>
      <c r="K918" s="559"/>
      <c r="L918" s="559"/>
      <c r="M918" s="559"/>
      <c r="N918" s="559"/>
      <c r="O918" s="559"/>
      <c r="P918" s="559"/>
      <c r="Q918" s="559"/>
      <c r="R918" s="559"/>
      <c r="S918" s="559"/>
      <c r="T918" s="559"/>
      <c r="U918" s="559"/>
      <c r="V918" s="559"/>
      <c r="W918" s="559"/>
      <c r="X918" s="559"/>
      <c r="Y918" s="559"/>
      <c r="Z918" s="559"/>
    </row>
    <row r="919" spans="1:26" ht="18" customHeight="1" x14ac:dyDescent="0.35">
      <c r="A919" s="559"/>
      <c r="B919" s="559"/>
      <c r="C919" s="559"/>
      <c r="D919" s="559"/>
      <c r="E919" s="559"/>
      <c r="F919" s="559"/>
      <c r="G919" s="559"/>
      <c r="H919" s="559"/>
      <c r="I919" s="559"/>
      <c r="J919" s="559"/>
      <c r="K919" s="559"/>
      <c r="L919" s="559"/>
      <c r="M919" s="559"/>
      <c r="N919" s="559"/>
      <c r="O919" s="559"/>
      <c r="P919" s="559"/>
      <c r="Q919" s="559"/>
      <c r="R919" s="559"/>
      <c r="S919" s="559"/>
      <c r="T919" s="559"/>
      <c r="U919" s="559"/>
      <c r="V919" s="559"/>
      <c r="W919" s="559"/>
      <c r="X919" s="559"/>
      <c r="Y919" s="559"/>
      <c r="Z919" s="559"/>
    </row>
    <row r="920" spans="1:26" ht="18" customHeight="1" x14ac:dyDescent="0.35">
      <c r="A920" s="559"/>
      <c r="B920" s="559"/>
      <c r="C920" s="559"/>
      <c r="D920" s="559"/>
      <c r="E920" s="559"/>
      <c r="F920" s="559"/>
      <c r="G920" s="559"/>
      <c r="H920" s="559"/>
      <c r="I920" s="559"/>
      <c r="J920" s="559"/>
      <c r="K920" s="559"/>
      <c r="L920" s="559"/>
      <c r="M920" s="559"/>
      <c r="N920" s="559"/>
      <c r="O920" s="559"/>
      <c r="P920" s="559"/>
      <c r="Q920" s="559"/>
      <c r="R920" s="559"/>
      <c r="S920" s="559"/>
      <c r="T920" s="559"/>
      <c r="U920" s="559"/>
      <c r="V920" s="559"/>
      <c r="W920" s="559"/>
      <c r="X920" s="559"/>
      <c r="Y920" s="559"/>
      <c r="Z920" s="559"/>
    </row>
    <row r="921" spans="1:26" ht="18" customHeight="1" x14ac:dyDescent="0.35">
      <c r="A921" s="559"/>
      <c r="B921" s="559"/>
      <c r="C921" s="559"/>
      <c r="D921" s="559"/>
      <c r="E921" s="559"/>
      <c r="F921" s="559"/>
      <c r="G921" s="559"/>
      <c r="H921" s="559"/>
      <c r="I921" s="559"/>
      <c r="J921" s="559"/>
      <c r="K921" s="559"/>
      <c r="L921" s="559"/>
      <c r="M921" s="559"/>
      <c r="N921" s="559"/>
      <c r="O921" s="559"/>
      <c r="P921" s="559"/>
      <c r="Q921" s="559"/>
      <c r="R921" s="559"/>
      <c r="S921" s="559"/>
      <c r="T921" s="559"/>
      <c r="U921" s="559"/>
      <c r="V921" s="559"/>
      <c r="W921" s="559"/>
      <c r="X921" s="559"/>
      <c r="Y921" s="559"/>
      <c r="Z921" s="559"/>
    </row>
    <row r="922" spans="1:26" ht="18" customHeight="1" x14ac:dyDescent="0.35">
      <c r="A922" s="559"/>
      <c r="B922" s="559"/>
      <c r="C922" s="559"/>
      <c r="D922" s="559"/>
      <c r="E922" s="559"/>
      <c r="F922" s="559"/>
      <c r="G922" s="559"/>
      <c r="H922" s="559"/>
      <c r="I922" s="559"/>
      <c r="J922" s="559"/>
      <c r="K922" s="559"/>
      <c r="L922" s="559"/>
      <c r="M922" s="559"/>
      <c r="N922" s="559"/>
      <c r="O922" s="559"/>
      <c r="P922" s="559"/>
      <c r="Q922" s="559"/>
      <c r="R922" s="559"/>
      <c r="S922" s="559"/>
      <c r="T922" s="559"/>
      <c r="U922" s="559"/>
      <c r="V922" s="559"/>
      <c r="W922" s="559"/>
      <c r="X922" s="559"/>
      <c r="Y922" s="559"/>
      <c r="Z922" s="559"/>
    </row>
    <row r="923" spans="1:26" ht="18" customHeight="1" x14ac:dyDescent="0.35">
      <c r="A923" s="559"/>
      <c r="B923" s="559"/>
      <c r="C923" s="559"/>
      <c r="D923" s="559"/>
      <c r="E923" s="559"/>
      <c r="F923" s="559"/>
      <c r="G923" s="559"/>
      <c r="H923" s="559"/>
      <c r="I923" s="559"/>
      <c r="J923" s="559"/>
      <c r="K923" s="559"/>
      <c r="L923" s="559"/>
      <c r="M923" s="559"/>
      <c r="N923" s="559"/>
      <c r="O923" s="559"/>
      <c r="P923" s="559"/>
      <c r="Q923" s="559"/>
      <c r="R923" s="559"/>
      <c r="S923" s="559"/>
      <c r="T923" s="559"/>
      <c r="U923" s="559"/>
      <c r="V923" s="559"/>
      <c r="W923" s="559"/>
      <c r="X923" s="559"/>
      <c r="Y923" s="559"/>
      <c r="Z923" s="559"/>
    </row>
    <row r="924" spans="1:26" ht="18" customHeight="1" x14ac:dyDescent="0.35">
      <c r="A924" s="559"/>
      <c r="B924" s="559"/>
      <c r="C924" s="559"/>
      <c r="D924" s="559"/>
      <c r="E924" s="559"/>
      <c r="F924" s="559"/>
      <c r="G924" s="559"/>
      <c r="H924" s="559"/>
      <c r="I924" s="559"/>
      <c r="J924" s="559"/>
      <c r="K924" s="559"/>
      <c r="L924" s="559"/>
      <c r="M924" s="559"/>
      <c r="N924" s="559"/>
      <c r="O924" s="559"/>
      <c r="P924" s="559"/>
      <c r="Q924" s="559"/>
      <c r="R924" s="559"/>
      <c r="S924" s="559"/>
      <c r="T924" s="559"/>
      <c r="U924" s="559"/>
      <c r="V924" s="559"/>
      <c r="W924" s="559"/>
      <c r="X924" s="559"/>
      <c r="Y924" s="559"/>
      <c r="Z924" s="559"/>
    </row>
    <row r="925" spans="1:26" ht="18" customHeight="1" x14ac:dyDescent="0.35">
      <c r="A925" s="559"/>
      <c r="B925" s="559"/>
      <c r="C925" s="559"/>
      <c r="D925" s="559"/>
      <c r="E925" s="559"/>
      <c r="F925" s="559"/>
      <c r="G925" s="559"/>
      <c r="H925" s="559"/>
      <c r="I925" s="559"/>
      <c r="J925" s="559"/>
      <c r="K925" s="559"/>
      <c r="L925" s="559"/>
      <c r="M925" s="559"/>
      <c r="N925" s="559"/>
      <c r="O925" s="559"/>
      <c r="P925" s="559"/>
      <c r="Q925" s="559"/>
      <c r="R925" s="559"/>
      <c r="S925" s="559"/>
      <c r="T925" s="559"/>
      <c r="U925" s="559"/>
      <c r="V925" s="559"/>
      <c r="W925" s="559"/>
      <c r="X925" s="559"/>
      <c r="Y925" s="559"/>
      <c r="Z925" s="559"/>
    </row>
    <row r="926" spans="1:26" ht="18" customHeight="1" x14ac:dyDescent="0.35">
      <c r="A926" s="559"/>
      <c r="B926" s="559"/>
      <c r="C926" s="559"/>
      <c r="D926" s="559"/>
      <c r="E926" s="559"/>
      <c r="F926" s="559"/>
      <c r="G926" s="559"/>
      <c r="H926" s="559"/>
      <c r="I926" s="559"/>
      <c r="J926" s="559"/>
      <c r="K926" s="559"/>
      <c r="L926" s="559"/>
      <c r="M926" s="559"/>
      <c r="N926" s="559"/>
      <c r="O926" s="559"/>
      <c r="P926" s="559"/>
      <c r="Q926" s="559"/>
      <c r="R926" s="559"/>
      <c r="S926" s="559"/>
      <c r="T926" s="559"/>
      <c r="U926" s="559"/>
      <c r="V926" s="559"/>
      <c r="W926" s="559"/>
      <c r="X926" s="559"/>
      <c r="Y926" s="559"/>
      <c r="Z926" s="559"/>
    </row>
    <row r="927" spans="1:26" ht="18" customHeight="1" x14ac:dyDescent="0.35">
      <c r="A927" s="559"/>
      <c r="B927" s="559"/>
      <c r="C927" s="559"/>
      <c r="D927" s="559"/>
      <c r="E927" s="559"/>
      <c r="F927" s="559"/>
      <c r="G927" s="559"/>
      <c r="H927" s="559"/>
      <c r="I927" s="559"/>
      <c r="J927" s="559"/>
      <c r="K927" s="559"/>
      <c r="L927" s="559"/>
      <c r="M927" s="559"/>
      <c r="N927" s="559"/>
      <c r="O927" s="559"/>
      <c r="P927" s="559"/>
      <c r="Q927" s="559"/>
      <c r="R927" s="559"/>
      <c r="S927" s="559"/>
      <c r="T927" s="559"/>
      <c r="U927" s="559"/>
      <c r="V927" s="559"/>
      <c r="W927" s="559"/>
      <c r="X927" s="559"/>
      <c r="Y927" s="559"/>
      <c r="Z927" s="559"/>
    </row>
    <row r="928" spans="1:26" ht="18" customHeight="1" x14ac:dyDescent="0.35">
      <c r="A928" s="559"/>
      <c r="B928" s="559"/>
      <c r="C928" s="559"/>
      <c r="D928" s="559"/>
      <c r="E928" s="559"/>
      <c r="F928" s="559"/>
      <c r="G928" s="559"/>
      <c r="H928" s="559"/>
      <c r="I928" s="559"/>
      <c r="J928" s="559"/>
      <c r="K928" s="559"/>
      <c r="L928" s="559"/>
      <c r="M928" s="559"/>
      <c r="N928" s="559"/>
      <c r="O928" s="559"/>
      <c r="P928" s="559"/>
      <c r="Q928" s="559"/>
      <c r="R928" s="559"/>
      <c r="S928" s="559"/>
      <c r="T928" s="559"/>
      <c r="U928" s="559"/>
      <c r="V928" s="559"/>
      <c r="W928" s="559"/>
      <c r="X928" s="559"/>
      <c r="Y928" s="559"/>
      <c r="Z928" s="559"/>
    </row>
    <row r="929" spans="1:26" ht="18" customHeight="1" x14ac:dyDescent="0.35">
      <c r="A929" s="559"/>
      <c r="B929" s="559"/>
      <c r="C929" s="559"/>
      <c r="D929" s="559"/>
      <c r="E929" s="559"/>
      <c r="F929" s="559"/>
      <c r="G929" s="559"/>
      <c r="H929" s="559"/>
      <c r="I929" s="559"/>
      <c r="J929" s="559"/>
      <c r="K929" s="559"/>
      <c r="L929" s="559"/>
      <c r="M929" s="559"/>
      <c r="N929" s="559"/>
      <c r="O929" s="559"/>
      <c r="P929" s="559"/>
      <c r="Q929" s="559"/>
      <c r="R929" s="559"/>
      <c r="S929" s="559"/>
      <c r="T929" s="559"/>
      <c r="U929" s="559"/>
      <c r="V929" s="559"/>
      <c r="W929" s="559"/>
      <c r="X929" s="559"/>
      <c r="Y929" s="559"/>
      <c r="Z929" s="559"/>
    </row>
    <row r="930" spans="1:26" ht="18" customHeight="1" x14ac:dyDescent="0.35">
      <c r="A930" s="559"/>
      <c r="B930" s="559"/>
      <c r="C930" s="559"/>
      <c r="D930" s="559"/>
      <c r="E930" s="559"/>
      <c r="F930" s="559"/>
      <c r="G930" s="559"/>
      <c r="H930" s="559"/>
      <c r="I930" s="559"/>
      <c r="J930" s="559"/>
      <c r="K930" s="559"/>
      <c r="L930" s="559"/>
      <c r="M930" s="559"/>
      <c r="N930" s="559"/>
      <c r="O930" s="559"/>
      <c r="P930" s="559"/>
      <c r="Q930" s="559"/>
      <c r="R930" s="559"/>
      <c r="S930" s="559"/>
      <c r="T930" s="559"/>
      <c r="U930" s="559"/>
      <c r="V930" s="559"/>
      <c r="W930" s="559"/>
      <c r="X930" s="559"/>
      <c r="Y930" s="559"/>
      <c r="Z930" s="559"/>
    </row>
    <row r="931" spans="1:26" ht="18" customHeight="1" x14ac:dyDescent="0.35">
      <c r="A931" s="559"/>
      <c r="B931" s="559"/>
      <c r="C931" s="559"/>
      <c r="D931" s="559"/>
      <c r="E931" s="559"/>
      <c r="F931" s="559"/>
      <c r="G931" s="559"/>
      <c r="H931" s="559"/>
      <c r="I931" s="559"/>
      <c r="J931" s="559"/>
      <c r="K931" s="559"/>
      <c r="L931" s="559"/>
      <c r="M931" s="559"/>
      <c r="N931" s="559"/>
      <c r="O931" s="559"/>
      <c r="P931" s="559"/>
      <c r="Q931" s="559"/>
      <c r="R931" s="559"/>
      <c r="S931" s="559"/>
      <c r="T931" s="559"/>
      <c r="U931" s="559"/>
      <c r="V931" s="559"/>
      <c r="W931" s="559"/>
      <c r="X931" s="559"/>
      <c r="Y931" s="559"/>
      <c r="Z931" s="559"/>
    </row>
    <row r="932" spans="1:26" ht="18" customHeight="1" x14ac:dyDescent="0.35">
      <c r="A932" s="559"/>
      <c r="B932" s="559"/>
      <c r="C932" s="559"/>
      <c r="D932" s="559"/>
      <c r="E932" s="559"/>
      <c r="F932" s="559"/>
      <c r="G932" s="559"/>
      <c r="H932" s="559"/>
      <c r="I932" s="559"/>
      <c r="J932" s="559"/>
      <c r="K932" s="559"/>
      <c r="L932" s="559"/>
      <c r="M932" s="559"/>
      <c r="N932" s="559"/>
      <c r="O932" s="559"/>
      <c r="P932" s="559"/>
      <c r="Q932" s="559"/>
      <c r="R932" s="559"/>
      <c r="S932" s="559"/>
      <c r="T932" s="559"/>
      <c r="U932" s="559"/>
      <c r="V932" s="559"/>
      <c r="W932" s="559"/>
      <c r="X932" s="559"/>
      <c r="Y932" s="559"/>
      <c r="Z932" s="559"/>
    </row>
    <row r="933" spans="1:26" ht="18" customHeight="1" x14ac:dyDescent="0.35">
      <c r="A933" s="559"/>
      <c r="B933" s="559"/>
      <c r="C933" s="559"/>
      <c r="D933" s="559"/>
      <c r="E933" s="559"/>
      <c r="F933" s="559"/>
      <c r="G933" s="559"/>
      <c r="H933" s="559"/>
      <c r="I933" s="559"/>
      <c r="J933" s="559"/>
      <c r="K933" s="559"/>
      <c r="L933" s="559"/>
      <c r="M933" s="559"/>
      <c r="N933" s="559"/>
      <c r="O933" s="559"/>
      <c r="P933" s="559"/>
      <c r="Q933" s="559"/>
      <c r="R933" s="559"/>
      <c r="S933" s="559"/>
      <c r="T933" s="559"/>
      <c r="U933" s="559"/>
      <c r="V933" s="559"/>
      <c r="W933" s="559"/>
      <c r="X933" s="559"/>
      <c r="Y933" s="559"/>
      <c r="Z933" s="559"/>
    </row>
    <row r="934" spans="1:26" ht="18" customHeight="1" x14ac:dyDescent="0.35">
      <c r="A934" s="559"/>
      <c r="B934" s="559"/>
      <c r="C934" s="559"/>
      <c r="D934" s="559"/>
      <c r="E934" s="559"/>
      <c r="F934" s="559"/>
      <c r="G934" s="559"/>
      <c r="H934" s="559"/>
      <c r="I934" s="559"/>
      <c r="J934" s="559"/>
      <c r="K934" s="559"/>
      <c r="L934" s="559"/>
      <c r="M934" s="559"/>
      <c r="N934" s="559"/>
      <c r="O934" s="559"/>
      <c r="P934" s="559"/>
      <c r="Q934" s="559"/>
      <c r="R934" s="559"/>
      <c r="S934" s="559"/>
      <c r="T934" s="559"/>
      <c r="U934" s="559"/>
      <c r="V934" s="559"/>
      <c r="W934" s="559"/>
      <c r="X934" s="559"/>
      <c r="Y934" s="559"/>
      <c r="Z934" s="559"/>
    </row>
    <row r="935" spans="1:26" ht="18" customHeight="1" x14ac:dyDescent="0.35">
      <c r="A935" s="559"/>
      <c r="B935" s="559"/>
      <c r="C935" s="559"/>
      <c r="D935" s="559"/>
      <c r="E935" s="559"/>
      <c r="F935" s="559"/>
      <c r="G935" s="559"/>
      <c r="H935" s="559"/>
      <c r="I935" s="559"/>
      <c r="J935" s="559"/>
      <c r="K935" s="559"/>
      <c r="L935" s="559"/>
      <c r="M935" s="559"/>
      <c r="N935" s="559"/>
      <c r="O935" s="559"/>
      <c r="P935" s="559"/>
      <c r="Q935" s="559"/>
      <c r="R935" s="559"/>
      <c r="S935" s="559"/>
      <c r="T935" s="559"/>
      <c r="U935" s="559"/>
      <c r="V935" s="559"/>
      <c r="W935" s="559"/>
      <c r="X935" s="559"/>
      <c r="Y935" s="559"/>
      <c r="Z935" s="559"/>
    </row>
    <row r="936" spans="1:26" ht="18" customHeight="1" x14ac:dyDescent="0.35">
      <c r="A936" s="559"/>
      <c r="B936" s="559"/>
      <c r="C936" s="559"/>
      <c r="D936" s="559"/>
      <c r="E936" s="559"/>
      <c r="F936" s="559"/>
      <c r="G936" s="559"/>
      <c r="H936" s="559"/>
      <c r="I936" s="559"/>
      <c r="J936" s="559"/>
      <c r="K936" s="559"/>
      <c r="L936" s="559"/>
      <c r="M936" s="559"/>
      <c r="N936" s="559"/>
      <c r="O936" s="559"/>
      <c r="P936" s="559"/>
      <c r="Q936" s="559"/>
      <c r="R936" s="559"/>
      <c r="S936" s="559"/>
      <c r="T936" s="559"/>
      <c r="U936" s="559"/>
      <c r="V936" s="559"/>
      <c r="W936" s="559"/>
      <c r="X936" s="559"/>
      <c r="Y936" s="559"/>
      <c r="Z936" s="559"/>
    </row>
    <row r="937" spans="1:26" ht="18" customHeight="1" x14ac:dyDescent="0.35">
      <c r="A937" s="559"/>
      <c r="B937" s="559"/>
      <c r="C937" s="559"/>
      <c r="D937" s="559"/>
      <c r="E937" s="559"/>
      <c r="F937" s="559"/>
      <c r="G937" s="559"/>
      <c r="H937" s="559"/>
      <c r="I937" s="559"/>
      <c r="J937" s="559"/>
      <c r="K937" s="559"/>
      <c r="L937" s="559"/>
      <c r="M937" s="559"/>
      <c r="N937" s="559"/>
      <c r="O937" s="559"/>
      <c r="P937" s="559"/>
      <c r="Q937" s="559"/>
      <c r="R937" s="559"/>
      <c r="S937" s="559"/>
      <c r="T937" s="559"/>
      <c r="U937" s="559"/>
      <c r="V937" s="559"/>
      <c r="W937" s="559"/>
      <c r="X937" s="559"/>
      <c r="Y937" s="559"/>
      <c r="Z937" s="559"/>
    </row>
    <row r="938" spans="1:26" ht="18" customHeight="1" x14ac:dyDescent="0.35">
      <c r="A938" s="559"/>
      <c r="B938" s="559"/>
      <c r="C938" s="559"/>
      <c r="D938" s="559"/>
      <c r="E938" s="559"/>
      <c r="F938" s="559"/>
      <c r="G938" s="559"/>
      <c r="H938" s="559"/>
      <c r="I938" s="559"/>
      <c r="J938" s="559"/>
      <c r="K938" s="559"/>
      <c r="L938" s="559"/>
      <c r="M938" s="559"/>
      <c r="N938" s="559"/>
      <c r="O938" s="559"/>
      <c r="P938" s="559"/>
      <c r="Q938" s="559"/>
      <c r="R938" s="559"/>
      <c r="S938" s="559"/>
      <c r="T938" s="559"/>
      <c r="U938" s="559"/>
      <c r="V938" s="559"/>
      <c r="W938" s="559"/>
      <c r="X938" s="559"/>
      <c r="Y938" s="559"/>
      <c r="Z938" s="559"/>
    </row>
    <row r="939" spans="1:26" ht="18" customHeight="1" x14ac:dyDescent="0.35">
      <c r="A939" s="559"/>
      <c r="B939" s="559"/>
      <c r="C939" s="559"/>
      <c r="D939" s="559"/>
      <c r="E939" s="559"/>
      <c r="F939" s="559"/>
      <c r="G939" s="559"/>
      <c r="H939" s="559"/>
      <c r="I939" s="559"/>
      <c r="J939" s="559"/>
      <c r="K939" s="559"/>
      <c r="L939" s="559"/>
      <c r="M939" s="559"/>
      <c r="N939" s="559"/>
      <c r="O939" s="559"/>
      <c r="P939" s="559"/>
      <c r="Q939" s="559"/>
      <c r="R939" s="559"/>
      <c r="S939" s="559"/>
      <c r="T939" s="559"/>
      <c r="U939" s="559"/>
      <c r="V939" s="559"/>
      <c r="W939" s="559"/>
      <c r="X939" s="559"/>
      <c r="Y939" s="559"/>
      <c r="Z939" s="559"/>
    </row>
    <row r="940" spans="1:26" ht="18" customHeight="1" x14ac:dyDescent="0.35">
      <c r="A940" s="559"/>
      <c r="B940" s="559"/>
      <c r="C940" s="559"/>
      <c r="D940" s="559"/>
      <c r="E940" s="559"/>
      <c r="F940" s="559"/>
      <c r="G940" s="559"/>
      <c r="H940" s="559"/>
      <c r="I940" s="559"/>
      <c r="J940" s="559"/>
      <c r="K940" s="559"/>
      <c r="L940" s="559"/>
      <c r="M940" s="559"/>
      <c r="N940" s="559"/>
      <c r="O940" s="559"/>
      <c r="P940" s="559"/>
      <c r="Q940" s="559"/>
      <c r="R940" s="559"/>
      <c r="S940" s="559"/>
      <c r="T940" s="559"/>
      <c r="U940" s="559"/>
      <c r="V940" s="559"/>
      <c r="W940" s="559"/>
      <c r="X940" s="559"/>
      <c r="Y940" s="559"/>
      <c r="Z940" s="559"/>
    </row>
    <row r="941" spans="1:26" ht="18" customHeight="1" x14ac:dyDescent="0.35">
      <c r="A941" s="559"/>
      <c r="B941" s="559"/>
      <c r="C941" s="559"/>
      <c r="D941" s="559"/>
      <c r="E941" s="559"/>
      <c r="F941" s="559"/>
      <c r="G941" s="559"/>
      <c r="H941" s="559"/>
      <c r="I941" s="559"/>
      <c r="J941" s="559"/>
      <c r="K941" s="559"/>
      <c r="L941" s="559"/>
      <c r="M941" s="559"/>
      <c r="N941" s="559"/>
      <c r="O941" s="559"/>
      <c r="P941" s="559"/>
      <c r="Q941" s="559"/>
      <c r="R941" s="559"/>
      <c r="S941" s="559"/>
      <c r="T941" s="559"/>
      <c r="U941" s="559"/>
      <c r="V941" s="559"/>
      <c r="W941" s="559"/>
      <c r="X941" s="559"/>
      <c r="Y941" s="559"/>
      <c r="Z941" s="559"/>
    </row>
    <row r="942" spans="1:26" ht="18" customHeight="1" x14ac:dyDescent="0.35">
      <c r="A942" s="559"/>
      <c r="B942" s="559"/>
      <c r="C942" s="559"/>
      <c r="D942" s="559"/>
      <c r="E942" s="559"/>
      <c r="F942" s="559"/>
      <c r="G942" s="559"/>
      <c r="H942" s="559"/>
      <c r="I942" s="559"/>
      <c r="J942" s="559"/>
      <c r="K942" s="559"/>
      <c r="L942" s="559"/>
      <c r="M942" s="559"/>
      <c r="N942" s="559"/>
      <c r="O942" s="559"/>
      <c r="P942" s="559"/>
      <c r="Q942" s="559"/>
      <c r="R942" s="559"/>
      <c r="S942" s="559"/>
      <c r="T942" s="559"/>
      <c r="U942" s="559"/>
      <c r="V942" s="559"/>
      <c r="W942" s="559"/>
      <c r="X942" s="559"/>
      <c r="Y942" s="559"/>
      <c r="Z942" s="559"/>
    </row>
    <row r="943" spans="1:26" ht="18" customHeight="1" x14ac:dyDescent="0.35">
      <c r="A943" s="559"/>
      <c r="B943" s="559"/>
      <c r="C943" s="559"/>
      <c r="D943" s="559"/>
      <c r="E943" s="559"/>
      <c r="F943" s="559"/>
      <c r="G943" s="559"/>
      <c r="H943" s="559"/>
      <c r="I943" s="559"/>
      <c r="J943" s="559"/>
      <c r="K943" s="559"/>
      <c r="L943" s="559"/>
      <c r="M943" s="559"/>
      <c r="N943" s="559"/>
      <c r="O943" s="559"/>
      <c r="P943" s="559"/>
      <c r="Q943" s="559"/>
      <c r="R943" s="559"/>
      <c r="S943" s="559"/>
      <c r="T943" s="559"/>
      <c r="U943" s="559"/>
      <c r="V943" s="559"/>
      <c r="W943" s="559"/>
      <c r="X943" s="559"/>
      <c r="Y943" s="559"/>
      <c r="Z943" s="559"/>
    </row>
    <row r="944" spans="1:26" ht="18" customHeight="1" x14ac:dyDescent="0.35">
      <c r="A944" s="559"/>
      <c r="B944" s="559"/>
      <c r="C944" s="559"/>
      <c r="D944" s="559"/>
      <c r="E944" s="559"/>
      <c r="F944" s="559"/>
      <c r="G944" s="559"/>
      <c r="H944" s="559"/>
      <c r="I944" s="559"/>
      <c r="J944" s="559"/>
      <c r="K944" s="559"/>
      <c r="L944" s="559"/>
      <c r="M944" s="559"/>
      <c r="N944" s="559"/>
      <c r="O944" s="559"/>
      <c r="P944" s="559"/>
      <c r="Q944" s="559"/>
      <c r="R944" s="559"/>
      <c r="S944" s="559"/>
      <c r="T944" s="559"/>
      <c r="U944" s="559"/>
      <c r="V944" s="559"/>
      <c r="W944" s="559"/>
      <c r="X944" s="559"/>
      <c r="Y944" s="559"/>
      <c r="Z944" s="559"/>
    </row>
    <row r="945" spans="1:26" ht="18" customHeight="1" x14ac:dyDescent="0.35">
      <c r="A945" s="559"/>
      <c r="B945" s="559"/>
      <c r="C945" s="559"/>
      <c r="D945" s="559"/>
      <c r="E945" s="559"/>
      <c r="F945" s="559"/>
      <c r="G945" s="559"/>
      <c r="H945" s="559"/>
      <c r="I945" s="559"/>
      <c r="J945" s="559"/>
      <c r="K945" s="559"/>
      <c r="L945" s="559"/>
      <c r="M945" s="559"/>
      <c r="N945" s="559"/>
      <c r="O945" s="559"/>
      <c r="P945" s="559"/>
      <c r="Q945" s="559"/>
      <c r="R945" s="559"/>
      <c r="S945" s="559"/>
      <c r="T945" s="559"/>
      <c r="U945" s="559"/>
      <c r="V945" s="559"/>
      <c r="W945" s="559"/>
      <c r="X945" s="559"/>
      <c r="Y945" s="559"/>
      <c r="Z945" s="559"/>
    </row>
    <row r="946" spans="1:26" ht="18" customHeight="1" x14ac:dyDescent="0.35">
      <c r="A946" s="559"/>
      <c r="B946" s="559"/>
      <c r="C946" s="559"/>
      <c r="D946" s="559"/>
      <c r="E946" s="559"/>
      <c r="F946" s="559"/>
      <c r="G946" s="559"/>
      <c r="H946" s="559"/>
      <c r="I946" s="559"/>
      <c r="J946" s="559"/>
      <c r="K946" s="559"/>
      <c r="L946" s="559"/>
      <c r="M946" s="559"/>
      <c r="N946" s="559"/>
      <c r="O946" s="559"/>
      <c r="P946" s="559"/>
      <c r="Q946" s="559"/>
      <c r="R946" s="559"/>
      <c r="S946" s="559"/>
      <c r="T946" s="559"/>
      <c r="U946" s="559"/>
      <c r="V946" s="559"/>
      <c r="W946" s="559"/>
      <c r="X946" s="559"/>
      <c r="Y946" s="559"/>
      <c r="Z946" s="559"/>
    </row>
    <row r="947" spans="1:26" ht="18" customHeight="1" x14ac:dyDescent="0.35">
      <c r="A947" s="559"/>
      <c r="B947" s="559"/>
      <c r="C947" s="559"/>
      <c r="D947" s="559"/>
      <c r="E947" s="559"/>
      <c r="F947" s="559"/>
      <c r="G947" s="559"/>
      <c r="H947" s="559"/>
      <c r="I947" s="559"/>
      <c r="J947" s="559"/>
      <c r="K947" s="559"/>
      <c r="L947" s="559"/>
      <c r="M947" s="559"/>
      <c r="N947" s="559"/>
      <c r="O947" s="559"/>
      <c r="P947" s="559"/>
      <c r="Q947" s="559"/>
      <c r="R947" s="559"/>
      <c r="S947" s="559"/>
      <c r="T947" s="559"/>
      <c r="U947" s="559"/>
      <c r="V947" s="559"/>
      <c r="W947" s="559"/>
      <c r="X947" s="559"/>
      <c r="Y947" s="559"/>
      <c r="Z947" s="559"/>
    </row>
    <row r="948" spans="1:26" ht="18" customHeight="1" x14ac:dyDescent="0.35">
      <c r="A948" s="559"/>
      <c r="B948" s="559"/>
      <c r="C948" s="559"/>
      <c r="D948" s="559"/>
      <c r="E948" s="559"/>
      <c r="F948" s="559"/>
      <c r="G948" s="559"/>
      <c r="H948" s="559"/>
      <c r="I948" s="559"/>
      <c r="J948" s="559"/>
      <c r="K948" s="559"/>
      <c r="L948" s="559"/>
      <c r="M948" s="559"/>
      <c r="N948" s="559"/>
      <c r="O948" s="559"/>
      <c r="P948" s="559"/>
      <c r="Q948" s="559"/>
      <c r="R948" s="559"/>
      <c r="S948" s="559"/>
      <c r="T948" s="559"/>
      <c r="U948" s="559"/>
      <c r="V948" s="559"/>
      <c r="W948" s="559"/>
      <c r="X948" s="559"/>
      <c r="Y948" s="559"/>
      <c r="Z948" s="559"/>
    </row>
    <row r="949" spans="1:26" ht="18" customHeight="1" x14ac:dyDescent="0.35">
      <c r="A949" s="559"/>
      <c r="B949" s="559"/>
      <c r="C949" s="559"/>
      <c r="D949" s="559"/>
      <c r="E949" s="559"/>
      <c r="F949" s="559"/>
      <c r="G949" s="559"/>
      <c r="H949" s="559"/>
      <c r="I949" s="559"/>
      <c r="J949" s="559"/>
      <c r="K949" s="559"/>
      <c r="L949" s="559"/>
      <c r="M949" s="559"/>
      <c r="N949" s="559"/>
      <c r="O949" s="559"/>
      <c r="P949" s="559"/>
      <c r="Q949" s="559"/>
      <c r="R949" s="559"/>
      <c r="S949" s="559"/>
      <c r="T949" s="559"/>
      <c r="U949" s="559"/>
      <c r="V949" s="559"/>
      <c r="W949" s="559"/>
      <c r="X949" s="559"/>
      <c r="Y949" s="559"/>
      <c r="Z949" s="559"/>
    </row>
    <row r="950" spans="1:26" ht="18" customHeight="1" x14ac:dyDescent="0.35">
      <c r="A950" s="559"/>
      <c r="B950" s="559"/>
      <c r="C950" s="559"/>
      <c r="D950" s="559"/>
      <c r="E950" s="559"/>
      <c r="F950" s="559"/>
      <c r="G950" s="559"/>
      <c r="H950" s="559"/>
      <c r="I950" s="559"/>
      <c r="J950" s="559"/>
      <c r="K950" s="559"/>
      <c r="L950" s="559"/>
      <c r="M950" s="559"/>
      <c r="N950" s="559"/>
      <c r="O950" s="559"/>
      <c r="P950" s="559"/>
      <c r="Q950" s="559"/>
      <c r="R950" s="559"/>
      <c r="S950" s="559"/>
      <c r="T950" s="559"/>
      <c r="U950" s="559"/>
      <c r="V950" s="559"/>
      <c r="W950" s="559"/>
      <c r="X950" s="559"/>
      <c r="Y950" s="559"/>
      <c r="Z950" s="559"/>
    </row>
    <row r="951" spans="1:26" ht="18" customHeight="1" x14ac:dyDescent="0.35">
      <c r="A951" s="559"/>
      <c r="B951" s="559"/>
      <c r="C951" s="559"/>
      <c r="D951" s="559"/>
      <c r="E951" s="559"/>
      <c r="F951" s="559"/>
      <c r="G951" s="559"/>
      <c r="H951" s="559"/>
      <c r="I951" s="559"/>
      <c r="J951" s="559"/>
      <c r="K951" s="559"/>
      <c r="L951" s="559"/>
      <c r="M951" s="559"/>
      <c r="N951" s="559"/>
      <c r="O951" s="559"/>
      <c r="P951" s="559"/>
      <c r="Q951" s="559"/>
      <c r="R951" s="559"/>
      <c r="S951" s="559"/>
      <c r="T951" s="559"/>
      <c r="U951" s="559"/>
      <c r="V951" s="559"/>
      <c r="W951" s="559"/>
      <c r="X951" s="559"/>
      <c r="Y951" s="559"/>
      <c r="Z951" s="559"/>
    </row>
    <row r="952" spans="1:26" ht="18" customHeight="1" x14ac:dyDescent="0.35">
      <c r="A952" s="559"/>
      <c r="B952" s="559"/>
      <c r="C952" s="559"/>
      <c r="D952" s="559"/>
      <c r="E952" s="559"/>
      <c r="F952" s="559"/>
      <c r="G952" s="559"/>
      <c r="H952" s="559"/>
      <c r="I952" s="559"/>
      <c r="J952" s="559"/>
      <c r="K952" s="559"/>
      <c r="L952" s="559"/>
      <c r="M952" s="559"/>
      <c r="N952" s="559"/>
      <c r="O952" s="559"/>
      <c r="P952" s="559"/>
      <c r="Q952" s="559"/>
      <c r="R952" s="559"/>
      <c r="S952" s="559"/>
      <c r="T952" s="559"/>
      <c r="U952" s="559"/>
      <c r="V952" s="559"/>
      <c r="W952" s="559"/>
      <c r="X952" s="559"/>
      <c r="Y952" s="559"/>
      <c r="Z952" s="559"/>
    </row>
    <row r="953" spans="1:26" ht="18" customHeight="1" x14ac:dyDescent="0.35">
      <c r="A953" s="559"/>
      <c r="B953" s="559"/>
      <c r="C953" s="559"/>
      <c r="D953" s="559"/>
      <c r="E953" s="559"/>
      <c r="F953" s="559"/>
      <c r="G953" s="559"/>
      <c r="H953" s="559"/>
      <c r="I953" s="559"/>
      <c r="J953" s="559"/>
      <c r="K953" s="559"/>
      <c r="L953" s="559"/>
      <c r="M953" s="559"/>
      <c r="N953" s="559"/>
      <c r="O953" s="559"/>
      <c r="P953" s="559"/>
      <c r="Q953" s="559"/>
      <c r="R953" s="559"/>
      <c r="S953" s="559"/>
      <c r="T953" s="559"/>
      <c r="U953" s="559"/>
      <c r="V953" s="559"/>
      <c r="W953" s="559"/>
      <c r="X953" s="559"/>
      <c r="Y953" s="559"/>
      <c r="Z953" s="559"/>
    </row>
    <row r="954" spans="1:26" ht="18" customHeight="1" x14ac:dyDescent="0.35">
      <c r="A954" s="559"/>
      <c r="B954" s="559"/>
      <c r="C954" s="559"/>
      <c r="D954" s="559"/>
      <c r="E954" s="559"/>
      <c r="F954" s="559"/>
      <c r="G954" s="559"/>
      <c r="H954" s="559"/>
      <c r="I954" s="559"/>
      <c r="J954" s="559"/>
      <c r="K954" s="559"/>
      <c r="L954" s="559"/>
      <c r="M954" s="559"/>
      <c r="N954" s="559"/>
      <c r="O954" s="559"/>
      <c r="P954" s="559"/>
      <c r="Q954" s="559"/>
      <c r="R954" s="559"/>
      <c r="S954" s="559"/>
      <c r="T954" s="559"/>
      <c r="U954" s="559"/>
      <c r="V954" s="559"/>
      <c r="W954" s="559"/>
      <c r="X954" s="559"/>
      <c r="Y954" s="559"/>
      <c r="Z954" s="559"/>
    </row>
    <row r="955" spans="1:26" ht="18" customHeight="1" x14ac:dyDescent="0.35">
      <c r="A955" s="559"/>
      <c r="B955" s="559"/>
      <c r="C955" s="559"/>
      <c r="D955" s="559"/>
      <c r="E955" s="559"/>
      <c r="F955" s="559"/>
      <c r="G955" s="559"/>
      <c r="H955" s="559"/>
      <c r="I955" s="559"/>
      <c r="J955" s="559"/>
      <c r="K955" s="559"/>
      <c r="L955" s="559"/>
      <c r="M955" s="559"/>
      <c r="N955" s="559"/>
      <c r="O955" s="559"/>
      <c r="P955" s="559"/>
      <c r="Q955" s="559"/>
      <c r="R955" s="559"/>
      <c r="S955" s="559"/>
      <c r="T955" s="559"/>
      <c r="U955" s="559"/>
      <c r="V955" s="559"/>
      <c r="W955" s="559"/>
      <c r="X955" s="559"/>
      <c r="Y955" s="559"/>
      <c r="Z955" s="559"/>
    </row>
    <row r="956" spans="1:26" ht="18" customHeight="1" x14ac:dyDescent="0.35">
      <c r="A956" s="559"/>
      <c r="B956" s="559"/>
      <c r="C956" s="559"/>
      <c r="D956" s="559"/>
      <c r="E956" s="559"/>
      <c r="F956" s="559"/>
      <c r="G956" s="559"/>
      <c r="H956" s="559"/>
      <c r="I956" s="559"/>
      <c r="J956" s="559"/>
      <c r="K956" s="559"/>
      <c r="L956" s="559"/>
      <c r="M956" s="559"/>
      <c r="N956" s="559"/>
      <c r="O956" s="559"/>
      <c r="P956" s="559"/>
      <c r="Q956" s="559"/>
      <c r="R956" s="559"/>
      <c r="S956" s="559"/>
      <c r="T956" s="559"/>
      <c r="U956" s="559"/>
      <c r="V956" s="559"/>
      <c r="W956" s="559"/>
      <c r="X956" s="559"/>
      <c r="Y956" s="559"/>
      <c r="Z956" s="559"/>
    </row>
    <row r="957" spans="1:26" ht="18" customHeight="1" x14ac:dyDescent="0.35">
      <c r="A957" s="559"/>
      <c r="B957" s="559"/>
      <c r="C957" s="559"/>
      <c r="D957" s="559"/>
      <c r="E957" s="559"/>
      <c r="F957" s="559"/>
      <c r="G957" s="559"/>
      <c r="H957" s="559"/>
      <c r="I957" s="559"/>
      <c r="J957" s="559"/>
      <c r="K957" s="559"/>
      <c r="L957" s="559"/>
      <c r="M957" s="559"/>
      <c r="N957" s="559"/>
      <c r="O957" s="559"/>
      <c r="P957" s="559"/>
      <c r="Q957" s="559"/>
      <c r="R957" s="559"/>
      <c r="S957" s="559"/>
      <c r="T957" s="559"/>
      <c r="U957" s="559"/>
      <c r="V957" s="559"/>
      <c r="W957" s="559"/>
      <c r="X957" s="559"/>
      <c r="Y957" s="559"/>
      <c r="Z957" s="559"/>
    </row>
    <row r="958" spans="1:26" ht="18" customHeight="1" x14ac:dyDescent="0.35">
      <c r="A958" s="559"/>
      <c r="B958" s="559"/>
      <c r="C958" s="559"/>
      <c r="D958" s="559"/>
      <c r="E958" s="559"/>
      <c r="F958" s="559"/>
      <c r="G958" s="559"/>
      <c r="H958" s="559"/>
      <c r="I958" s="559"/>
      <c r="J958" s="559"/>
      <c r="K958" s="559"/>
      <c r="L958" s="559"/>
      <c r="M958" s="559"/>
      <c r="N958" s="559"/>
      <c r="O958" s="559"/>
      <c r="P958" s="559"/>
      <c r="Q958" s="559"/>
      <c r="R958" s="559"/>
      <c r="S958" s="559"/>
      <c r="T958" s="559"/>
      <c r="U958" s="559"/>
      <c r="V958" s="559"/>
      <c r="W958" s="559"/>
      <c r="X958" s="559"/>
      <c r="Y958" s="559"/>
      <c r="Z958" s="559"/>
    </row>
    <row r="959" spans="1:26" ht="18" customHeight="1" x14ac:dyDescent="0.35">
      <c r="A959" s="559"/>
      <c r="B959" s="559"/>
      <c r="C959" s="559"/>
      <c r="D959" s="559"/>
      <c r="E959" s="559"/>
      <c r="F959" s="559"/>
      <c r="G959" s="559"/>
      <c r="H959" s="559"/>
      <c r="I959" s="559"/>
      <c r="J959" s="559"/>
      <c r="K959" s="559"/>
      <c r="L959" s="559"/>
      <c r="M959" s="559"/>
      <c r="N959" s="559"/>
      <c r="O959" s="559"/>
      <c r="P959" s="559"/>
      <c r="Q959" s="559"/>
      <c r="R959" s="559"/>
      <c r="S959" s="559"/>
      <c r="T959" s="559"/>
      <c r="U959" s="559"/>
      <c r="V959" s="559"/>
      <c r="W959" s="559"/>
      <c r="X959" s="559"/>
      <c r="Y959" s="559"/>
      <c r="Z959" s="559"/>
    </row>
    <row r="960" spans="1:26" ht="18" customHeight="1" x14ac:dyDescent="0.35">
      <c r="A960" s="559"/>
      <c r="B960" s="559"/>
      <c r="C960" s="559"/>
      <c r="D960" s="559"/>
      <c r="E960" s="559"/>
      <c r="F960" s="559"/>
      <c r="G960" s="559"/>
      <c r="H960" s="559"/>
      <c r="I960" s="559"/>
      <c r="J960" s="559"/>
      <c r="K960" s="559"/>
      <c r="L960" s="559"/>
      <c r="M960" s="559"/>
      <c r="N960" s="559"/>
      <c r="O960" s="559"/>
      <c r="P960" s="559"/>
      <c r="Q960" s="559"/>
      <c r="R960" s="559"/>
      <c r="S960" s="559"/>
      <c r="T960" s="559"/>
      <c r="U960" s="559"/>
      <c r="V960" s="559"/>
      <c r="W960" s="559"/>
      <c r="X960" s="559"/>
      <c r="Y960" s="559"/>
      <c r="Z960" s="559"/>
    </row>
    <row r="961" spans="1:26" ht="18" customHeight="1" x14ac:dyDescent="0.35">
      <c r="A961" s="559"/>
      <c r="B961" s="559"/>
      <c r="C961" s="559"/>
      <c r="D961" s="559"/>
      <c r="E961" s="559"/>
      <c r="F961" s="559"/>
      <c r="G961" s="559"/>
      <c r="H961" s="559"/>
      <c r="I961" s="559"/>
      <c r="J961" s="559"/>
      <c r="K961" s="559"/>
      <c r="L961" s="559"/>
      <c r="M961" s="559"/>
      <c r="N961" s="559"/>
      <c r="O961" s="559"/>
      <c r="P961" s="559"/>
      <c r="Q961" s="559"/>
      <c r="R961" s="559"/>
      <c r="S961" s="559"/>
      <c r="T961" s="559"/>
      <c r="U961" s="559"/>
      <c r="V961" s="559"/>
      <c r="W961" s="559"/>
      <c r="X961" s="559"/>
      <c r="Y961" s="559"/>
      <c r="Z961" s="559"/>
    </row>
    <row r="962" spans="1:26" ht="18" customHeight="1" x14ac:dyDescent="0.35">
      <c r="A962" s="559"/>
      <c r="B962" s="559"/>
      <c r="C962" s="559"/>
      <c r="D962" s="559"/>
      <c r="E962" s="559"/>
      <c r="F962" s="559"/>
      <c r="G962" s="559"/>
      <c r="H962" s="559"/>
      <c r="I962" s="559"/>
      <c r="J962" s="559"/>
      <c r="K962" s="559"/>
      <c r="L962" s="559"/>
      <c r="M962" s="559"/>
      <c r="N962" s="559"/>
      <c r="O962" s="559"/>
      <c r="P962" s="559"/>
      <c r="Q962" s="559"/>
      <c r="R962" s="559"/>
      <c r="S962" s="559"/>
      <c r="T962" s="559"/>
      <c r="U962" s="559"/>
      <c r="V962" s="559"/>
      <c r="W962" s="559"/>
      <c r="X962" s="559"/>
      <c r="Y962" s="559"/>
      <c r="Z962" s="559"/>
    </row>
    <row r="963" spans="1:26" ht="18" customHeight="1" x14ac:dyDescent="0.35">
      <c r="A963" s="559"/>
      <c r="B963" s="559"/>
      <c r="C963" s="559"/>
      <c r="D963" s="559"/>
      <c r="E963" s="559"/>
      <c r="F963" s="559"/>
      <c r="G963" s="559"/>
      <c r="H963" s="559"/>
      <c r="I963" s="559"/>
      <c r="J963" s="559"/>
      <c r="K963" s="559"/>
      <c r="L963" s="559"/>
      <c r="M963" s="559"/>
      <c r="N963" s="559"/>
      <c r="O963" s="559"/>
      <c r="P963" s="559"/>
      <c r="Q963" s="559"/>
      <c r="R963" s="559"/>
      <c r="S963" s="559"/>
      <c r="T963" s="559"/>
      <c r="U963" s="559"/>
      <c r="V963" s="559"/>
      <c r="W963" s="559"/>
      <c r="X963" s="559"/>
      <c r="Y963" s="559"/>
      <c r="Z963" s="559"/>
    </row>
    <row r="964" spans="1:26" ht="18" customHeight="1" x14ac:dyDescent="0.35">
      <c r="A964" s="559"/>
      <c r="B964" s="559"/>
      <c r="C964" s="559"/>
      <c r="D964" s="559"/>
      <c r="E964" s="559"/>
      <c r="F964" s="559"/>
      <c r="G964" s="559"/>
      <c r="H964" s="559"/>
      <c r="I964" s="559"/>
      <c r="J964" s="559"/>
      <c r="K964" s="559"/>
      <c r="L964" s="559"/>
      <c r="M964" s="559"/>
      <c r="N964" s="559"/>
      <c r="O964" s="559"/>
      <c r="P964" s="559"/>
      <c r="Q964" s="559"/>
      <c r="R964" s="559"/>
      <c r="S964" s="559"/>
      <c r="T964" s="559"/>
      <c r="U964" s="559"/>
      <c r="V964" s="559"/>
      <c r="W964" s="559"/>
      <c r="X964" s="559"/>
      <c r="Y964" s="559"/>
      <c r="Z964" s="559"/>
    </row>
    <row r="965" spans="1:26" ht="18" customHeight="1" x14ac:dyDescent="0.35">
      <c r="A965" s="559"/>
      <c r="B965" s="559"/>
      <c r="C965" s="559"/>
      <c r="D965" s="559"/>
      <c r="E965" s="559"/>
      <c r="F965" s="559"/>
      <c r="G965" s="559"/>
      <c r="H965" s="559"/>
      <c r="I965" s="559"/>
      <c r="J965" s="559"/>
      <c r="K965" s="559"/>
      <c r="L965" s="559"/>
      <c r="M965" s="559"/>
      <c r="N965" s="559"/>
      <c r="O965" s="559"/>
      <c r="P965" s="559"/>
      <c r="Q965" s="559"/>
      <c r="R965" s="559"/>
      <c r="S965" s="559"/>
      <c r="T965" s="559"/>
      <c r="U965" s="559"/>
      <c r="V965" s="559"/>
      <c r="W965" s="559"/>
      <c r="X965" s="559"/>
      <c r="Y965" s="559"/>
      <c r="Z965" s="559"/>
    </row>
    <row r="966" spans="1:26" ht="18" customHeight="1" x14ac:dyDescent="0.35">
      <c r="A966" s="559"/>
      <c r="B966" s="559"/>
      <c r="C966" s="559"/>
      <c r="D966" s="559"/>
      <c r="E966" s="559"/>
      <c r="F966" s="559"/>
      <c r="G966" s="559"/>
      <c r="H966" s="559"/>
      <c r="I966" s="559"/>
      <c r="J966" s="559"/>
      <c r="K966" s="559"/>
      <c r="L966" s="559"/>
      <c r="M966" s="559"/>
      <c r="N966" s="559"/>
      <c r="O966" s="559"/>
      <c r="P966" s="559"/>
      <c r="Q966" s="559"/>
      <c r="R966" s="559"/>
      <c r="S966" s="559"/>
      <c r="T966" s="559"/>
      <c r="U966" s="559"/>
      <c r="V966" s="559"/>
      <c r="W966" s="559"/>
      <c r="X966" s="559"/>
      <c r="Y966" s="559"/>
      <c r="Z966" s="559"/>
    </row>
    <row r="967" spans="1:26" ht="18" customHeight="1" x14ac:dyDescent="0.35">
      <c r="A967" s="559"/>
      <c r="B967" s="559"/>
      <c r="C967" s="559"/>
      <c r="D967" s="559"/>
      <c r="E967" s="559"/>
      <c r="F967" s="559"/>
      <c r="G967" s="559"/>
      <c r="H967" s="559"/>
      <c r="I967" s="559"/>
      <c r="J967" s="559"/>
      <c r="K967" s="559"/>
      <c r="L967" s="559"/>
      <c r="M967" s="559"/>
      <c r="N967" s="559"/>
      <c r="O967" s="559"/>
      <c r="P967" s="559"/>
      <c r="Q967" s="559"/>
      <c r="R967" s="559"/>
      <c r="S967" s="559"/>
      <c r="T967" s="559"/>
      <c r="U967" s="559"/>
      <c r="V967" s="559"/>
      <c r="W967" s="559"/>
      <c r="X967" s="559"/>
      <c r="Y967" s="559"/>
      <c r="Z967" s="559"/>
    </row>
    <row r="968" spans="1:26" ht="18" customHeight="1" x14ac:dyDescent="0.35">
      <c r="A968" s="559"/>
      <c r="B968" s="559"/>
      <c r="C968" s="559"/>
      <c r="D968" s="559"/>
      <c r="E968" s="559"/>
      <c r="F968" s="559"/>
      <c r="G968" s="559"/>
      <c r="H968" s="559"/>
      <c r="I968" s="559"/>
      <c r="J968" s="559"/>
      <c r="K968" s="559"/>
      <c r="L968" s="559"/>
      <c r="M968" s="559"/>
      <c r="N968" s="559"/>
      <c r="O968" s="559"/>
      <c r="P968" s="559"/>
      <c r="Q968" s="559"/>
      <c r="R968" s="559"/>
      <c r="S968" s="559"/>
      <c r="T968" s="559"/>
      <c r="U968" s="559"/>
      <c r="V968" s="559"/>
      <c r="W968" s="559"/>
      <c r="X968" s="559"/>
      <c r="Y968" s="559"/>
      <c r="Z968" s="559"/>
    </row>
    <row r="969" spans="1:26" ht="18" customHeight="1" x14ac:dyDescent="0.35">
      <c r="A969" s="559"/>
      <c r="B969" s="559"/>
      <c r="C969" s="559"/>
      <c r="D969" s="559"/>
      <c r="E969" s="559"/>
      <c r="F969" s="559"/>
      <c r="G969" s="559"/>
      <c r="H969" s="559"/>
      <c r="I969" s="559"/>
      <c r="J969" s="559"/>
      <c r="K969" s="559"/>
      <c r="L969" s="559"/>
      <c r="M969" s="559"/>
      <c r="N969" s="559"/>
      <c r="O969" s="559"/>
      <c r="P969" s="559"/>
      <c r="Q969" s="559"/>
      <c r="R969" s="559"/>
      <c r="S969" s="559"/>
      <c r="T969" s="559"/>
      <c r="U969" s="559"/>
      <c r="V969" s="559"/>
      <c r="W969" s="559"/>
      <c r="X969" s="559"/>
      <c r="Y969" s="559"/>
      <c r="Z969" s="559"/>
    </row>
    <row r="970" spans="1:26" ht="18" customHeight="1" x14ac:dyDescent="0.35">
      <c r="A970" s="559"/>
      <c r="B970" s="559"/>
      <c r="C970" s="559"/>
      <c r="D970" s="559"/>
      <c r="E970" s="559"/>
      <c r="F970" s="559"/>
      <c r="G970" s="559"/>
      <c r="H970" s="559"/>
      <c r="I970" s="559"/>
      <c r="J970" s="559"/>
      <c r="K970" s="559"/>
      <c r="L970" s="559"/>
      <c r="M970" s="559"/>
      <c r="N970" s="559"/>
      <c r="O970" s="559"/>
      <c r="P970" s="559"/>
      <c r="Q970" s="559"/>
      <c r="R970" s="559"/>
      <c r="S970" s="559"/>
      <c r="T970" s="559"/>
      <c r="U970" s="559"/>
      <c r="V970" s="559"/>
      <c r="W970" s="559"/>
      <c r="X970" s="559"/>
      <c r="Y970" s="559"/>
      <c r="Z970" s="559"/>
    </row>
    <row r="971" spans="1:26" ht="18" customHeight="1" x14ac:dyDescent="0.35">
      <c r="A971" s="559"/>
      <c r="B971" s="559"/>
      <c r="C971" s="559"/>
      <c r="D971" s="559"/>
      <c r="E971" s="559"/>
      <c r="F971" s="559"/>
      <c r="G971" s="559"/>
      <c r="H971" s="559"/>
      <c r="I971" s="559"/>
      <c r="J971" s="559"/>
      <c r="K971" s="559"/>
      <c r="L971" s="559"/>
      <c r="M971" s="559"/>
      <c r="N971" s="559"/>
      <c r="O971" s="559"/>
      <c r="P971" s="559"/>
      <c r="Q971" s="559"/>
      <c r="R971" s="559"/>
      <c r="S971" s="559"/>
      <c r="T971" s="559"/>
      <c r="U971" s="559"/>
      <c r="V971" s="559"/>
      <c r="W971" s="559"/>
      <c r="X971" s="559"/>
      <c r="Y971" s="559"/>
      <c r="Z971" s="559"/>
    </row>
    <row r="972" spans="1:26" ht="18" customHeight="1" x14ac:dyDescent="0.35">
      <c r="A972" s="559"/>
      <c r="B972" s="559"/>
      <c r="C972" s="559"/>
      <c r="D972" s="559"/>
      <c r="E972" s="559"/>
      <c r="F972" s="559"/>
      <c r="G972" s="559"/>
      <c r="H972" s="559"/>
      <c r="I972" s="559"/>
      <c r="J972" s="559"/>
      <c r="K972" s="559"/>
      <c r="L972" s="559"/>
      <c r="M972" s="559"/>
      <c r="N972" s="559"/>
      <c r="O972" s="559"/>
      <c r="P972" s="559"/>
      <c r="Q972" s="559"/>
      <c r="R972" s="559"/>
      <c r="S972" s="559"/>
      <c r="T972" s="559"/>
      <c r="U972" s="559"/>
      <c r="V972" s="559"/>
      <c r="W972" s="559"/>
      <c r="X972" s="559"/>
      <c r="Y972" s="559"/>
      <c r="Z972" s="559"/>
    </row>
    <row r="973" spans="1:26" ht="18" customHeight="1" x14ac:dyDescent="0.35">
      <c r="A973" s="559"/>
      <c r="B973" s="559"/>
      <c r="C973" s="559"/>
      <c r="D973" s="559"/>
      <c r="E973" s="559"/>
      <c r="F973" s="559"/>
      <c r="G973" s="559"/>
      <c r="H973" s="559"/>
      <c r="I973" s="559"/>
      <c r="J973" s="559"/>
      <c r="K973" s="559"/>
      <c r="L973" s="559"/>
      <c r="M973" s="559"/>
      <c r="N973" s="559"/>
      <c r="O973" s="559"/>
      <c r="P973" s="559"/>
      <c r="Q973" s="559"/>
      <c r="R973" s="559"/>
      <c r="S973" s="559"/>
      <c r="T973" s="559"/>
      <c r="U973" s="559"/>
      <c r="V973" s="559"/>
      <c r="W973" s="559"/>
      <c r="X973" s="559"/>
      <c r="Y973" s="559"/>
      <c r="Z973" s="559"/>
    </row>
    <row r="974" spans="1:26" ht="18" customHeight="1" x14ac:dyDescent="0.35">
      <c r="A974" s="559"/>
      <c r="B974" s="559"/>
      <c r="C974" s="559"/>
      <c r="D974" s="559"/>
      <c r="E974" s="559"/>
      <c r="F974" s="559"/>
      <c r="G974" s="559"/>
      <c r="H974" s="559"/>
      <c r="I974" s="559"/>
      <c r="J974" s="559"/>
      <c r="K974" s="559"/>
      <c r="L974" s="559"/>
      <c r="M974" s="559"/>
      <c r="N974" s="559"/>
      <c r="O974" s="559"/>
      <c r="P974" s="559"/>
      <c r="Q974" s="559"/>
      <c r="R974" s="559"/>
      <c r="S974" s="559"/>
      <c r="T974" s="559"/>
      <c r="U974" s="559"/>
      <c r="V974" s="559"/>
      <c r="W974" s="559"/>
      <c r="X974" s="559"/>
      <c r="Y974" s="559"/>
      <c r="Z974" s="559"/>
    </row>
    <row r="975" spans="1:26" ht="18" customHeight="1" x14ac:dyDescent="0.35">
      <c r="A975" s="559"/>
      <c r="B975" s="559"/>
      <c r="C975" s="559"/>
      <c r="D975" s="559"/>
      <c r="E975" s="559"/>
      <c r="F975" s="559"/>
      <c r="G975" s="559"/>
      <c r="H975" s="559"/>
      <c r="I975" s="559"/>
      <c r="J975" s="559"/>
      <c r="K975" s="559"/>
      <c r="L975" s="559"/>
      <c r="M975" s="559"/>
      <c r="N975" s="559"/>
      <c r="O975" s="559"/>
      <c r="P975" s="559"/>
      <c r="Q975" s="559"/>
      <c r="R975" s="559"/>
      <c r="S975" s="559"/>
      <c r="T975" s="559"/>
      <c r="U975" s="559"/>
      <c r="V975" s="559"/>
      <c r="W975" s="559"/>
      <c r="X975" s="559"/>
      <c r="Y975" s="559"/>
      <c r="Z975" s="559"/>
    </row>
    <row r="976" spans="1:26" ht="18" customHeight="1" x14ac:dyDescent="0.35">
      <c r="A976" s="559"/>
      <c r="B976" s="559"/>
      <c r="C976" s="559"/>
      <c r="D976" s="559"/>
      <c r="E976" s="559"/>
      <c r="F976" s="559"/>
      <c r="G976" s="559"/>
      <c r="H976" s="559"/>
      <c r="I976" s="559"/>
      <c r="J976" s="559"/>
      <c r="K976" s="559"/>
      <c r="L976" s="559"/>
      <c r="M976" s="559"/>
      <c r="N976" s="559"/>
      <c r="O976" s="559"/>
      <c r="P976" s="559"/>
      <c r="Q976" s="559"/>
      <c r="R976" s="559"/>
      <c r="S976" s="559"/>
      <c r="T976" s="559"/>
      <c r="U976" s="559"/>
      <c r="V976" s="559"/>
      <c r="W976" s="559"/>
      <c r="X976" s="559"/>
      <c r="Y976" s="559"/>
      <c r="Z976" s="559"/>
    </row>
    <row r="977" spans="1:26" ht="18" customHeight="1" x14ac:dyDescent="0.35">
      <c r="A977" s="559"/>
      <c r="B977" s="559"/>
      <c r="C977" s="559"/>
      <c r="D977" s="559"/>
      <c r="E977" s="559"/>
      <c r="F977" s="559"/>
      <c r="G977" s="559"/>
      <c r="H977" s="559"/>
      <c r="I977" s="559"/>
      <c r="J977" s="559"/>
      <c r="K977" s="559"/>
      <c r="L977" s="559"/>
      <c r="M977" s="559"/>
      <c r="N977" s="559"/>
      <c r="O977" s="559"/>
      <c r="P977" s="559"/>
      <c r="Q977" s="559"/>
      <c r="R977" s="559"/>
      <c r="S977" s="559"/>
      <c r="T977" s="559"/>
      <c r="U977" s="559"/>
      <c r="V977" s="559"/>
      <c r="W977" s="559"/>
      <c r="X977" s="559"/>
      <c r="Y977" s="559"/>
      <c r="Z977" s="559"/>
    </row>
    <row r="978" spans="1:26" ht="18" customHeight="1" x14ac:dyDescent="0.35">
      <c r="A978" s="559"/>
      <c r="B978" s="559"/>
      <c r="C978" s="559"/>
      <c r="D978" s="559"/>
      <c r="E978" s="559"/>
      <c r="F978" s="559"/>
      <c r="G978" s="559"/>
      <c r="H978" s="559"/>
      <c r="I978" s="559"/>
      <c r="J978" s="559"/>
      <c r="K978" s="559"/>
      <c r="L978" s="559"/>
      <c r="M978" s="559"/>
      <c r="N978" s="559"/>
      <c r="O978" s="559"/>
      <c r="P978" s="559"/>
      <c r="Q978" s="559"/>
      <c r="R978" s="559"/>
      <c r="S978" s="559"/>
      <c r="T978" s="559"/>
      <c r="U978" s="559"/>
      <c r="V978" s="559"/>
      <c r="W978" s="559"/>
      <c r="X978" s="559"/>
      <c r="Y978" s="559"/>
      <c r="Z978" s="559"/>
    </row>
    <row r="979" spans="1:26" ht="18" customHeight="1" x14ac:dyDescent="0.35">
      <c r="A979" s="559"/>
      <c r="B979" s="559"/>
      <c r="C979" s="559"/>
      <c r="D979" s="559"/>
      <c r="E979" s="559"/>
      <c r="F979" s="559"/>
      <c r="G979" s="559"/>
      <c r="H979" s="559"/>
      <c r="I979" s="559"/>
      <c r="J979" s="559"/>
      <c r="K979" s="559"/>
      <c r="L979" s="559"/>
      <c r="M979" s="559"/>
      <c r="N979" s="559"/>
      <c r="O979" s="559"/>
      <c r="P979" s="559"/>
      <c r="Q979" s="559"/>
      <c r="R979" s="559"/>
      <c r="S979" s="559"/>
      <c r="T979" s="559"/>
      <c r="U979" s="559"/>
      <c r="V979" s="559"/>
      <c r="W979" s="559"/>
      <c r="X979" s="559"/>
      <c r="Y979" s="559"/>
      <c r="Z979" s="559"/>
    </row>
    <row r="980" spans="1:26" ht="18" customHeight="1" x14ac:dyDescent="0.35">
      <c r="A980" s="559"/>
      <c r="B980" s="559"/>
      <c r="C980" s="559"/>
      <c r="D980" s="559"/>
      <c r="E980" s="559"/>
      <c r="F980" s="559"/>
      <c r="G980" s="559"/>
      <c r="H980" s="559"/>
      <c r="I980" s="559"/>
      <c r="J980" s="559"/>
      <c r="K980" s="559"/>
      <c r="L980" s="559"/>
      <c r="M980" s="559"/>
      <c r="N980" s="559"/>
      <c r="O980" s="559"/>
      <c r="P980" s="559"/>
      <c r="Q980" s="559"/>
      <c r="R980" s="559"/>
      <c r="S980" s="559"/>
      <c r="T980" s="559"/>
      <c r="U980" s="559"/>
      <c r="V980" s="559"/>
      <c r="W980" s="559"/>
      <c r="X980" s="559"/>
      <c r="Y980" s="559"/>
      <c r="Z980" s="559"/>
    </row>
    <row r="981" spans="1:26" ht="18" customHeight="1" x14ac:dyDescent="0.35">
      <c r="A981" s="559"/>
      <c r="B981" s="559"/>
      <c r="C981" s="559"/>
      <c r="D981" s="559"/>
      <c r="E981" s="559"/>
      <c r="F981" s="559"/>
      <c r="G981" s="559"/>
      <c r="H981" s="559"/>
      <c r="I981" s="559"/>
      <c r="J981" s="559"/>
      <c r="K981" s="559"/>
      <c r="L981" s="559"/>
      <c r="M981" s="559"/>
      <c r="N981" s="559"/>
      <c r="O981" s="559"/>
      <c r="P981" s="559"/>
      <c r="Q981" s="559"/>
      <c r="R981" s="559"/>
      <c r="S981" s="559"/>
      <c r="T981" s="559"/>
      <c r="U981" s="559"/>
      <c r="V981" s="559"/>
      <c r="W981" s="559"/>
      <c r="X981" s="559"/>
      <c r="Y981" s="559"/>
      <c r="Z981" s="559"/>
    </row>
    <row r="982" spans="1:26" ht="18" customHeight="1" x14ac:dyDescent="0.35">
      <c r="A982" s="559"/>
      <c r="B982" s="559"/>
      <c r="C982" s="559"/>
      <c r="D982" s="559"/>
      <c r="E982" s="559"/>
      <c r="F982" s="559"/>
      <c r="G982" s="559"/>
      <c r="H982" s="559"/>
      <c r="I982" s="559"/>
      <c r="J982" s="559"/>
      <c r="K982" s="559"/>
      <c r="L982" s="559"/>
      <c r="M982" s="559"/>
      <c r="N982" s="559"/>
      <c r="O982" s="559"/>
      <c r="P982" s="559"/>
      <c r="Q982" s="559"/>
      <c r="R982" s="559"/>
      <c r="S982" s="559"/>
      <c r="T982" s="559"/>
      <c r="U982" s="559"/>
      <c r="V982" s="559"/>
      <c r="W982" s="559"/>
      <c r="X982" s="559"/>
      <c r="Y982" s="559"/>
      <c r="Z982" s="559"/>
    </row>
    <row r="983" spans="1:26" ht="18" customHeight="1" x14ac:dyDescent="0.35">
      <c r="A983" s="559"/>
      <c r="B983" s="559"/>
      <c r="C983" s="559"/>
      <c r="D983" s="559"/>
      <c r="E983" s="559"/>
      <c r="F983" s="559"/>
      <c r="G983" s="559"/>
      <c r="H983" s="559"/>
      <c r="I983" s="559"/>
      <c r="J983" s="559"/>
      <c r="K983" s="559"/>
      <c r="L983" s="559"/>
      <c r="M983" s="559"/>
      <c r="N983" s="559"/>
      <c r="O983" s="559"/>
      <c r="P983" s="559"/>
      <c r="Q983" s="559"/>
      <c r="R983" s="559"/>
      <c r="S983" s="559"/>
      <c r="T983" s="559"/>
      <c r="U983" s="559"/>
      <c r="V983" s="559"/>
      <c r="W983" s="559"/>
      <c r="X983" s="559"/>
      <c r="Y983" s="559"/>
      <c r="Z983" s="559"/>
    </row>
    <row r="984" spans="1:26" ht="18" customHeight="1" x14ac:dyDescent="0.35">
      <c r="A984" s="559"/>
      <c r="B984" s="559"/>
      <c r="C984" s="559"/>
      <c r="D984" s="559"/>
      <c r="E984" s="559"/>
      <c r="F984" s="559"/>
      <c r="G984" s="559"/>
      <c r="H984" s="559"/>
      <c r="I984" s="559"/>
      <c r="J984" s="559"/>
      <c r="K984" s="559"/>
      <c r="L984" s="559"/>
      <c r="M984" s="559"/>
      <c r="N984" s="559"/>
      <c r="O984" s="559"/>
      <c r="P984" s="559"/>
      <c r="Q984" s="559"/>
      <c r="R984" s="559"/>
      <c r="S984" s="559"/>
      <c r="T984" s="559"/>
      <c r="U984" s="559"/>
      <c r="V984" s="559"/>
      <c r="W984" s="559"/>
      <c r="X984" s="559"/>
      <c r="Y984" s="559"/>
      <c r="Z984" s="559"/>
    </row>
    <row r="985" spans="1:26" ht="18" customHeight="1" x14ac:dyDescent="0.35">
      <c r="A985" s="559"/>
      <c r="B985" s="559"/>
      <c r="C985" s="559"/>
      <c r="D985" s="559"/>
      <c r="E985" s="559"/>
      <c r="F985" s="559"/>
      <c r="G985" s="559"/>
      <c r="H985" s="559"/>
      <c r="I985" s="559"/>
      <c r="J985" s="559"/>
      <c r="K985" s="559"/>
      <c r="L985" s="559"/>
      <c r="M985" s="559"/>
      <c r="N985" s="559"/>
      <c r="O985" s="559"/>
      <c r="P985" s="559"/>
      <c r="Q985" s="559"/>
      <c r="R985" s="559"/>
      <c r="S985" s="559"/>
      <c r="T985" s="559"/>
      <c r="U985" s="559"/>
      <c r="V985" s="559"/>
      <c r="W985" s="559"/>
      <c r="X985" s="559"/>
      <c r="Y985" s="559"/>
      <c r="Z985" s="559"/>
    </row>
    <row r="986" spans="1:26" ht="18" customHeight="1" x14ac:dyDescent="0.35">
      <c r="A986" s="559"/>
      <c r="B986" s="559"/>
      <c r="C986" s="559"/>
      <c r="D986" s="559"/>
      <c r="E986" s="559"/>
      <c r="F986" s="559"/>
      <c r="G986" s="559"/>
      <c r="H986" s="559"/>
      <c r="I986" s="559"/>
      <c r="J986" s="559"/>
      <c r="K986" s="559"/>
      <c r="L986" s="559"/>
      <c r="M986" s="559"/>
      <c r="N986" s="559"/>
      <c r="O986" s="559"/>
      <c r="P986" s="559"/>
      <c r="Q986" s="559"/>
      <c r="R986" s="559"/>
      <c r="S986" s="559"/>
      <c r="T986" s="559"/>
      <c r="U986" s="559"/>
      <c r="V986" s="559"/>
      <c r="W986" s="559"/>
      <c r="X986" s="559"/>
      <c r="Y986" s="559"/>
      <c r="Z986" s="559"/>
    </row>
    <row r="987" spans="1:26" ht="18" customHeight="1" x14ac:dyDescent="0.35">
      <c r="A987" s="559"/>
      <c r="B987" s="559"/>
      <c r="C987" s="559"/>
      <c r="D987" s="559"/>
      <c r="E987" s="559"/>
      <c r="F987" s="559"/>
      <c r="G987" s="559"/>
      <c r="H987" s="559"/>
      <c r="I987" s="559"/>
      <c r="J987" s="559"/>
      <c r="K987" s="559"/>
      <c r="L987" s="559"/>
      <c r="M987" s="559"/>
      <c r="N987" s="559"/>
      <c r="O987" s="559"/>
      <c r="P987" s="559"/>
      <c r="Q987" s="559"/>
      <c r="R987" s="559"/>
      <c r="S987" s="559"/>
      <c r="T987" s="559"/>
      <c r="U987" s="559"/>
      <c r="V987" s="559"/>
      <c r="W987" s="559"/>
      <c r="X987" s="559"/>
      <c r="Y987" s="559"/>
      <c r="Z987" s="559"/>
    </row>
    <row r="988" spans="1:26" ht="18" customHeight="1" x14ac:dyDescent="0.35">
      <c r="A988" s="559"/>
      <c r="B988" s="559"/>
      <c r="C988" s="559"/>
      <c r="D988" s="559"/>
      <c r="E988" s="559"/>
      <c r="F988" s="559"/>
      <c r="G988" s="559"/>
      <c r="H988" s="559"/>
      <c r="I988" s="559"/>
      <c r="J988" s="559"/>
      <c r="K988" s="559"/>
      <c r="L988" s="559"/>
      <c r="M988" s="559"/>
      <c r="N988" s="559"/>
      <c r="O988" s="559"/>
      <c r="P988" s="559"/>
      <c r="Q988" s="559"/>
      <c r="R988" s="559"/>
      <c r="S988" s="559"/>
      <c r="T988" s="559"/>
      <c r="U988" s="559"/>
      <c r="V988" s="559"/>
      <c r="W988" s="559"/>
      <c r="X988" s="559"/>
      <c r="Y988" s="559"/>
      <c r="Z988" s="559"/>
    </row>
    <row r="989" spans="1:26" ht="18" customHeight="1" x14ac:dyDescent="0.35">
      <c r="A989" s="559"/>
      <c r="B989" s="559"/>
      <c r="C989" s="559"/>
      <c r="D989" s="559"/>
      <c r="E989" s="559"/>
      <c r="F989" s="559"/>
      <c r="G989" s="559"/>
      <c r="H989" s="559"/>
      <c r="I989" s="559"/>
      <c r="J989" s="559"/>
      <c r="K989" s="559"/>
      <c r="L989" s="559"/>
      <c r="M989" s="559"/>
      <c r="N989" s="559"/>
      <c r="O989" s="559"/>
      <c r="P989" s="559"/>
      <c r="Q989" s="559"/>
      <c r="R989" s="559"/>
      <c r="S989" s="559"/>
      <c r="T989" s="559"/>
      <c r="U989" s="559"/>
      <c r="V989" s="559"/>
      <c r="W989" s="559"/>
      <c r="X989" s="559"/>
      <c r="Y989" s="559"/>
      <c r="Z989" s="559"/>
    </row>
    <row r="990" spans="1:26" ht="18" customHeight="1" x14ac:dyDescent="0.35">
      <c r="A990" s="559"/>
      <c r="B990" s="559"/>
      <c r="C990" s="559"/>
      <c r="D990" s="559"/>
      <c r="E990" s="559"/>
      <c r="F990" s="559"/>
      <c r="G990" s="559"/>
      <c r="H990" s="559"/>
      <c r="I990" s="559"/>
      <c r="J990" s="559"/>
      <c r="K990" s="559"/>
      <c r="L990" s="559"/>
      <c r="M990" s="559"/>
      <c r="N990" s="559"/>
      <c r="O990" s="559"/>
      <c r="P990" s="559"/>
      <c r="Q990" s="559"/>
      <c r="R990" s="559"/>
      <c r="S990" s="559"/>
      <c r="T990" s="559"/>
      <c r="U990" s="559"/>
      <c r="V990" s="559"/>
      <c r="W990" s="559"/>
      <c r="X990" s="559"/>
      <c r="Y990" s="559"/>
      <c r="Z990" s="559"/>
    </row>
    <row r="991" spans="1:26" ht="18" customHeight="1" x14ac:dyDescent="0.35">
      <c r="A991" s="559"/>
      <c r="B991" s="559"/>
      <c r="C991" s="559"/>
      <c r="D991" s="559"/>
      <c r="E991" s="559"/>
      <c r="F991" s="559"/>
      <c r="G991" s="559"/>
      <c r="H991" s="559"/>
      <c r="I991" s="559"/>
      <c r="J991" s="559"/>
      <c r="K991" s="559"/>
      <c r="L991" s="559"/>
      <c r="M991" s="559"/>
      <c r="N991" s="559"/>
      <c r="O991" s="559"/>
      <c r="P991" s="559"/>
      <c r="Q991" s="559"/>
      <c r="R991" s="559"/>
      <c r="S991" s="559"/>
      <c r="T991" s="559"/>
      <c r="U991" s="559"/>
      <c r="V991" s="559"/>
      <c r="W991" s="559"/>
      <c r="X991" s="559"/>
      <c r="Y991" s="559"/>
      <c r="Z991" s="559"/>
    </row>
    <row r="992" spans="1:26" ht="18" customHeight="1" x14ac:dyDescent="0.35">
      <c r="A992" s="559"/>
      <c r="B992" s="559"/>
      <c r="C992" s="559"/>
      <c r="D992" s="559"/>
      <c r="E992" s="559"/>
      <c r="F992" s="559"/>
      <c r="G992" s="559"/>
      <c r="H992" s="559"/>
      <c r="I992" s="559"/>
      <c r="J992" s="559"/>
      <c r="K992" s="559"/>
      <c r="L992" s="559"/>
      <c r="M992" s="559"/>
      <c r="N992" s="559"/>
      <c r="O992" s="559"/>
      <c r="P992" s="559"/>
      <c r="Q992" s="559"/>
      <c r="R992" s="559"/>
      <c r="S992" s="559"/>
      <c r="T992" s="559"/>
      <c r="U992" s="559"/>
      <c r="V992" s="559"/>
      <c r="W992" s="559"/>
      <c r="X992" s="559"/>
      <c r="Y992" s="559"/>
      <c r="Z992" s="559"/>
    </row>
    <row r="993" spans="1:26" ht="18" customHeight="1" x14ac:dyDescent="0.35">
      <c r="A993" s="559"/>
      <c r="B993" s="559"/>
      <c r="C993" s="559"/>
      <c r="D993" s="559"/>
      <c r="E993" s="559"/>
      <c r="F993" s="559"/>
      <c r="G993" s="559"/>
      <c r="H993" s="559"/>
      <c r="I993" s="559"/>
      <c r="J993" s="559"/>
      <c r="K993" s="559"/>
      <c r="L993" s="559"/>
      <c r="M993" s="559"/>
      <c r="N993" s="559"/>
      <c r="O993" s="559"/>
      <c r="P993" s="559"/>
      <c r="Q993" s="559"/>
      <c r="R993" s="559"/>
      <c r="S993" s="559"/>
      <c r="T993" s="559"/>
      <c r="U993" s="559"/>
      <c r="V993" s="559"/>
      <c r="W993" s="559"/>
      <c r="X993" s="559"/>
      <c r="Y993" s="559"/>
      <c r="Z993" s="559"/>
    </row>
    <row r="994" spans="1:26" ht="18" customHeight="1" x14ac:dyDescent="0.35">
      <c r="A994" s="559"/>
      <c r="B994" s="559"/>
      <c r="C994" s="559"/>
      <c r="D994" s="559"/>
      <c r="E994" s="559"/>
      <c r="F994" s="559"/>
      <c r="G994" s="559"/>
      <c r="H994" s="559"/>
      <c r="I994" s="559"/>
      <c r="J994" s="559"/>
      <c r="K994" s="559"/>
      <c r="L994" s="559"/>
      <c r="M994" s="559"/>
      <c r="N994" s="559"/>
      <c r="O994" s="559"/>
      <c r="P994" s="559"/>
      <c r="Q994" s="559"/>
      <c r="R994" s="559"/>
      <c r="S994" s="559"/>
      <c r="T994" s="559"/>
      <c r="U994" s="559"/>
      <c r="V994" s="559"/>
      <c r="W994" s="559"/>
      <c r="X994" s="559"/>
      <c r="Y994" s="559"/>
      <c r="Z994" s="559"/>
    </row>
    <row r="995" spans="1:26" ht="18" customHeight="1" x14ac:dyDescent="0.35">
      <c r="A995" s="559"/>
      <c r="B995" s="559"/>
      <c r="C995" s="559"/>
      <c r="D995" s="559"/>
      <c r="E995" s="559"/>
      <c r="F995" s="559"/>
      <c r="G995" s="559"/>
      <c r="H995" s="559"/>
      <c r="I995" s="559"/>
      <c r="J995" s="559"/>
      <c r="K995" s="559"/>
      <c r="L995" s="559"/>
      <c r="M995" s="559"/>
      <c r="N995" s="559"/>
      <c r="O995" s="559"/>
      <c r="P995" s="559"/>
      <c r="Q995" s="559"/>
      <c r="R995" s="559"/>
      <c r="S995" s="559"/>
      <c r="T995" s="559"/>
      <c r="U995" s="559"/>
      <c r="V995" s="559"/>
      <c r="W995" s="559"/>
      <c r="X995" s="559"/>
      <c r="Y995" s="559"/>
      <c r="Z995" s="559"/>
    </row>
    <row r="996" spans="1:26" ht="18" customHeight="1" x14ac:dyDescent="0.35">
      <c r="A996" s="559"/>
      <c r="B996" s="559"/>
      <c r="C996" s="559"/>
      <c r="D996" s="559"/>
      <c r="E996" s="559"/>
      <c r="F996" s="559"/>
      <c r="G996" s="559"/>
      <c r="H996" s="559"/>
      <c r="I996" s="559"/>
      <c r="J996" s="559"/>
      <c r="K996" s="559"/>
      <c r="L996" s="559"/>
      <c r="M996" s="559"/>
      <c r="N996" s="559"/>
      <c r="O996" s="559"/>
      <c r="P996" s="559"/>
      <c r="Q996" s="559"/>
      <c r="R996" s="559"/>
      <c r="S996" s="559"/>
      <c r="T996" s="559"/>
      <c r="U996" s="559"/>
      <c r="V996" s="559"/>
      <c r="W996" s="559"/>
      <c r="X996" s="559"/>
      <c r="Y996" s="559"/>
      <c r="Z996" s="559"/>
    </row>
    <row r="997" spans="1:26" ht="18" customHeight="1" x14ac:dyDescent="0.35">
      <c r="A997" s="559"/>
      <c r="B997" s="559"/>
      <c r="C997" s="559"/>
      <c r="D997" s="559"/>
      <c r="E997" s="559"/>
      <c r="F997" s="559"/>
      <c r="G997" s="559"/>
      <c r="H997" s="559"/>
      <c r="I997" s="559"/>
      <c r="J997" s="559"/>
      <c r="K997" s="559"/>
      <c r="L997" s="559"/>
      <c r="M997" s="559"/>
      <c r="N997" s="559"/>
      <c r="O997" s="559"/>
      <c r="P997" s="559"/>
      <c r="Q997" s="559"/>
      <c r="R997" s="559"/>
      <c r="S997" s="559"/>
      <c r="T997" s="559"/>
      <c r="U997" s="559"/>
      <c r="V997" s="559"/>
      <c r="W997" s="559"/>
      <c r="X997" s="559"/>
      <c r="Y997" s="559"/>
      <c r="Z997" s="559"/>
    </row>
    <row r="998" spans="1:26" ht="18" customHeight="1" x14ac:dyDescent="0.35">
      <c r="A998" s="559"/>
      <c r="B998" s="559"/>
      <c r="C998" s="559"/>
      <c r="D998" s="559"/>
      <c r="E998" s="559"/>
      <c r="F998" s="559"/>
      <c r="G998" s="559"/>
      <c r="H998" s="559"/>
      <c r="I998" s="559"/>
      <c r="J998" s="559"/>
      <c r="K998" s="559"/>
      <c r="L998" s="559"/>
      <c r="M998" s="559"/>
      <c r="N998" s="559"/>
      <c r="O998" s="559"/>
      <c r="P998" s="559"/>
      <c r="Q998" s="559"/>
      <c r="R998" s="559"/>
      <c r="S998" s="559"/>
      <c r="T998" s="559"/>
      <c r="U998" s="559"/>
      <c r="V998" s="559"/>
      <c r="W998" s="559"/>
      <c r="X998" s="559"/>
      <c r="Y998" s="559"/>
      <c r="Z998" s="559"/>
    </row>
    <row r="999" spans="1:26" ht="18" customHeight="1" x14ac:dyDescent="0.35">
      <c r="A999" s="559"/>
      <c r="B999" s="559"/>
      <c r="C999" s="559"/>
      <c r="D999" s="559"/>
      <c r="E999" s="559"/>
      <c r="F999" s="559"/>
      <c r="G999" s="559"/>
      <c r="H999" s="559"/>
      <c r="I999" s="559"/>
      <c r="J999" s="559"/>
      <c r="K999" s="559"/>
      <c r="L999" s="559"/>
      <c r="M999" s="559"/>
      <c r="N999" s="559"/>
      <c r="O999" s="559"/>
      <c r="P999" s="559"/>
      <c r="Q999" s="559"/>
      <c r="R999" s="559"/>
      <c r="S999" s="559"/>
      <c r="T999" s="559"/>
      <c r="U999" s="559"/>
      <c r="V999" s="559"/>
      <c r="W999" s="559"/>
      <c r="X999" s="559"/>
      <c r="Y999" s="559"/>
      <c r="Z999" s="559"/>
    </row>
    <row r="1000" spans="1:26" ht="18" customHeight="1" x14ac:dyDescent="0.35">
      <c r="A1000" s="559"/>
      <c r="B1000" s="559"/>
      <c r="C1000" s="559"/>
      <c r="D1000" s="559"/>
      <c r="E1000" s="559"/>
      <c r="F1000" s="559"/>
      <c r="G1000" s="559"/>
      <c r="H1000" s="559"/>
      <c r="I1000" s="559"/>
      <c r="J1000" s="559"/>
      <c r="K1000" s="559"/>
      <c r="L1000" s="559"/>
      <c r="M1000" s="559"/>
      <c r="N1000" s="559"/>
      <c r="O1000" s="559"/>
      <c r="P1000" s="559"/>
      <c r="Q1000" s="559"/>
      <c r="R1000" s="559"/>
      <c r="S1000" s="559"/>
      <c r="T1000" s="559"/>
      <c r="U1000" s="559"/>
      <c r="V1000" s="559"/>
      <c r="W1000" s="559"/>
      <c r="X1000" s="559"/>
      <c r="Y1000" s="559"/>
      <c r="Z1000" s="559"/>
    </row>
  </sheetData>
  <mergeCells count="2">
    <mergeCell ref="A1:G2"/>
    <mergeCell ref="A3:B7"/>
  </mergeCells>
  <conditionalFormatting sqref="C3 F3">
    <cfRule type="beginsWith" dxfId="24" priority="1" operator="beginsWith" text="Boulons">
      <formula>LEFT((C3),LEN("Boulons"))=("Boulons")</formula>
    </cfRule>
  </conditionalFormatting>
  <dataValidations count="6">
    <dataValidation type="list" allowBlank="1" showErrorMessage="1" sqref="C13" xr:uid="{00000000-0002-0000-0E00-000000000000}">
      <formula1>$A$55:$A$57</formula1>
    </dataValidation>
    <dataValidation type="list" allowBlank="1" showErrorMessage="1" sqref="C21" xr:uid="{00000000-0002-0000-0E00-000001000000}">
      <formula1>$A$69:$A$77</formula1>
    </dataValidation>
    <dataValidation type="list" allowBlank="1" showErrorMessage="1" sqref="F13" xr:uid="{00000000-0002-0000-0E00-000002000000}">
      <formula1>A85:A86</formula1>
    </dataValidation>
    <dataValidation type="list" allowBlank="1" showErrorMessage="1" sqref="F21" xr:uid="{00000000-0002-0000-0E00-000003000000}">
      <formula1>#REF!</formula1>
    </dataValidation>
    <dataValidation type="list" allowBlank="1" showErrorMessage="1" sqref="C20" xr:uid="{00000000-0002-0000-0E00-000004000000}">
      <formula1>$A$60:$A$66</formula1>
    </dataValidation>
    <dataValidation type="list" allowBlank="1" showErrorMessage="1" sqref="C15" xr:uid="{00000000-0002-0000-0E00-000005000000}">
      <formula1>$A$80:$A$83</formula1>
    </dataValidation>
  </dataValidations>
  <pageMargins left="0.70866141732283472" right="0.70866141732283472" top="0.74803149606299213" bottom="0.74803149606299213" header="0" footer="0"/>
  <pageSetup paperSize="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92D050"/>
    <pageSetUpPr fitToPage="1"/>
  </sheetPr>
  <dimension ref="A1:Z1000"/>
  <sheetViews>
    <sheetView workbookViewId="0"/>
  </sheetViews>
  <sheetFormatPr baseColWidth="10" defaultColWidth="14.44140625" defaultRowHeight="15" customHeight="1" x14ac:dyDescent="0.3"/>
  <cols>
    <col min="1" max="1" width="23.44140625" customWidth="1"/>
    <col min="2" max="2" width="40" customWidth="1"/>
    <col min="3" max="3" width="30.6640625" customWidth="1"/>
    <col min="4" max="4" width="18.88671875" customWidth="1"/>
    <col min="5" max="5" width="23.6640625" customWidth="1"/>
    <col min="6" max="6" width="26.44140625" customWidth="1"/>
    <col min="7" max="7" width="17" customWidth="1"/>
    <col min="8" max="8" width="30.5546875" customWidth="1"/>
    <col min="9" max="9" width="36.109375" customWidth="1"/>
    <col min="10" max="10" width="18.33203125" customWidth="1"/>
    <col min="11" max="11" width="15" customWidth="1"/>
    <col min="12" max="12" width="13.88671875" customWidth="1"/>
    <col min="13" max="13" width="12.88671875" customWidth="1"/>
    <col min="14" max="14" width="15.44140625" customWidth="1"/>
    <col min="15" max="15" width="14.5546875" customWidth="1"/>
    <col min="16" max="26" width="11.44140625" customWidth="1"/>
  </cols>
  <sheetData>
    <row r="1" spans="1:26" ht="18.75" customHeight="1" x14ac:dyDescent="0.35">
      <c r="A1" s="733"/>
      <c r="B1" s="1187" t="s">
        <v>400</v>
      </c>
      <c r="C1" s="1100"/>
      <c r="D1" s="1100"/>
      <c r="E1" s="1100"/>
      <c r="F1" s="1100"/>
      <c r="G1" s="1100"/>
      <c r="H1" s="1100"/>
      <c r="I1" s="1100"/>
      <c r="J1" s="1100"/>
      <c r="K1" s="1100"/>
      <c r="L1" s="1101"/>
      <c r="M1" s="559"/>
      <c r="N1" s="559"/>
      <c r="O1" s="559"/>
      <c r="P1" s="559"/>
      <c r="Q1" s="559"/>
      <c r="R1" s="559"/>
      <c r="S1" s="559"/>
      <c r="T1" s="559"/>
      <c r="U1" s="559"/>
      <c r="V1" s="559"/>
      <c r="W1" s="559"/>
      <c r="X1" s="559"/>
      <c r="Y1" s="559"/>
      <c r="Z1" s="559"/>
    </row>
    <row r="2" spans="1:26" ht="19.5" customHeight="1" x14ac:dyDescent="0.35">
      <c r="A2" s="733"/>
      <c r="B2" s="733"/>
      <c r="C2" s="733"/>
      <c r="D2" s="733"/>
      <c r="E2" s="733"/>
      <c r="F2" s="733"/>
      <c r="G2" s="733"/>
      <c r="H2" s="733"/>
      <c r="I2" s="733"/>
      <c r="J2" s="733"/>
      <c r="K2" s="733"/>
      <c r="L2" s="733"/>
      <c r="M2" s="559"/>
      <c r="N2" s="559"/>
      <c r="O2" s="559"/>
      <c r="P2" s="559"/>
      <c r="Q2" s="559"/>
      <c r="R2" s="559"/>
      <c r="S2" s="559"/>
      <c r="T2" s="559"/>
      <c r="U2" s="559"/>
      <c r="V2" s="559"/>
      <c r="W2" s="559"/>
      <c r="X2" s="559"/>
      <c r="Y2" s="559"/>
      <c r="Z2" s="559"/>
    </row>
    <row r="3" spans="1:26" ht="21.75" hidden="1" customHeight="1" x14ac:dyDescent="0.35">
      <c r="A3" s="1188"/>
      <c r="B3" s="559"/>
      <c r="C3" s="560">
        <f>IF(C19="Boulons et platines","Boulons et Platines GC",0)</f>
        <v>0</v>
      </c>
      <c r="D3" s="560">
        <f>IF(C3="Boulons et Platines GC","Nbre de Trous",0)</f>
        <v>0</v>
      </c>
      <c r="E3" s="561">
        <f>IF(C3="Boulons et Platines GC","Dim du Bord",0)</f>
        <v>0</v>
      </c>
      <c r="F3" s="560">
        <f>IF(C19="Boulons et platines","Boulons et Platines CV",0)</f>
        <v>0</v>
      </c>
      <c r="G3" s="560">
        <f>IF(F3="Boulons et Platines CV","Nbre de Trous",0)</f>
        <v>0</v>
      </c>
      <c r="H3" s="561">
        <f>IF(F3="Boulons et Platines CV","Dim du Bord",0)</f>
        <v>0</v>
      </c>
      <c r="I3" s="559"/>
      <c r="J3" s="559"/>
      <c r="K3" s="559"/>
      <c r="L3" s="559"/>
      <c r="M3" s="559"/>
      <c r="N3" s="559"/>
      <c r="O3" s="559"/>
      <c r="P3" s="559"/>
      <c r="Q3" s="559"/>
      <c r="R3" s="559"/>
      <c r="S3" s="559"/>
      <c r="T3" s="559"/>
      <c r="U3" s="559"/>
      <c r="V3" s="559"/>
      <c r="W3" s="559"/>
      <c r="X3" s="559"/>
      <c r="Y3" s="559"/>
      <c r="Z3" s="559"/>
    </row>
    <row r="4" spans="1:26" ht="18" hidden="1" customHeight="1" x14ac:dyDescent="0.35">
      <c r="A4" s="1108"/>
      <c r="B4" s="559"/>
      <c r="C4" s="562">
        <f>IF(C19="Vis bois",0,"Trous dans la Longueur")</f>
        <v>0</v>
      </c>
      <c r="D4" s="563">
        <f>IF(C4=0,0,IF(C52&lt;100,2,IF(C52&lt;150,3,IF(C52&lt;200,4,IF(C52&lt;250,5,IF(C52&lt;300,6,7))))))</f>
        <v>0</v>
      </c>
      <c r="E4" s="564">
        <f>IF(D4=0,0,IF(D4=2,0,IF(D4=3,0,(($C$52-32)/(D4-1))+16)))</f>
        <v>0</v>
      </c>
      <c r="F4" s="562">
        <f>IF(C19="Vis bois",0,"Trous dans la Longueur")</f>
        <v>0</v>
      </c>
      <c r="G4" s="563">
        <f>IF(F4=0,0,IF(C53&lt;100,2,IF(C53&lt;150,3,IF(C53&lt;200,4,IF(C53&lt;250,5,IF(C53&lt;300,6,7))))))</f>
        <v>0</v>
      </c>
      <c r="H4" s="564">
        <f>IF(G4=0,0,IF(G4=2,0,IF(G4=3,0,(($C$53-32)/(G4-1))+16)))</f>
        <v>0</v>
      </c>
      <c r="I4" s="559"/>
      <c r="J4" s="559"/>
      <c r="K4" s="559"/>
      <c r="L4" s="559"/>
      <c r="M4" s="559"/>
      <c r="N4" s="559"/>
      <c r="O4" s="559"/>
      <c r="P4" s="559"/>
      <c r="Q4" s="559"/>
      <c r="R4" s="559"/>
      <c r="S4" s="559"/>
      <c r="T4" s="559"/>
      <c r="U4" s="559"/>
      <c r="V4" s="559"/>
      <c r="W4" s="559"/>
      <c r="X4" s="559"/>
      <c r="Y4" s="559"/>
      <c r="Z4" s="559"/>
    </row>
    <row r="5" spans="1:26" ht="18" hidden="1" customHeight="1" x14ac:dyDescent="0.35">
      <c r="A5" s="734"/>
      <c r="B5" s="559"/>
      <c r="C5" s="565">
        <f>IF(D4=6,"2ème Trou",IF(D4=7,"2ème Trou",0))</f>
        <v>0</v>
      </c>
      <c r="D5" s="559"/>
      <c r="E5" s="564">
        <f>IF(C5=0,0,E4+E4-16)</f>
        <v>0</v>
      </c>
      <c r="F5" s="565">
        <f>IF(G4=6,"2ème Trou",IF(G4=7,"2ème Trou",0))</f>
        <v>0</v>
      </c>
      <c r="G5" s="559"/>
      <c r="H5" s="564">
        <f>IF(F5=0,0,H4+H4-16)</f>
        <v>0</v>
      </c>
      <c r="I5" s="559"/>
      <c r="J5" s="559"/>
      <c r="K5" s="559"/>
      <c r="L5" s="559"/>
      <c r="M5" s="559"/>
      <c r="N5" s="559"/>
      <c r="O5" s="559"/>
      <c r="P5" s="559"/>
      <c r="Q5" s="559"/>
      <c r="R5" s="559"/>
      <c r="S5" s="559"/>
      <c r="T5" s="559"/>
      <c r="U5" s="559"/>
      <c r="V5" s="559"/>
      <c r="W5" s="559"/>
      <c r="X5" s="559"/>
      <c r="Y5" s="559"/>
      <c r="Z5" s="559"/>
    </row>
    <row r="6" spans="1:26" ht="18" hidden="1" customHeight="1" x14ac:dyDescent="0.35">
      <c r="A6" s="559"/>
      <c r="B6" s="559"/>
      <c r="C6" s="562">
        <f>IF(C19="Vis bois",0,"Trous dans la Hauteur")</f>
        <v>0</v>
      </c>
      <c r="D6" s="563">
        <f>IF(C6=0,0,IF(D52&lt;100,2,IF(D52&lt;150,3,IF(D52&lt;200,4,IF(D52&lt;250,5,IF(D52&lt;310,6,7))))))</f>
        <v>0</v>
      </c>
      <c r="E6" s="564">
        <f>IF(D6=0,0,IF(D6=2,0,IF(D6=3,0,(($D$52-32)/(D6-1))+16)))</f>
        <v>0</v>
      </c>
      <c r="F6" s="562">
        <f>IF(C19="Vis bois",0,"Trous dans la Largeur")</f>
        <v>0</v>
      </c>
      <c r="G6" s="563">
        <f>IF(F6=0,0,IF(D53&lt;50,1,IF(D53&lt;100,2,IF(D53&lt;150,3,IF(D53&lt;200,4,IF(D53&lt;250,5,IF(D53&lt;310,6,7)))))))</f>
        <v>0</v>
      </c>
      <c r="H6" s="564">
        <f>IF(G6=0,0,IF(G6=1,0,IF(G6=2,0,IF(G6=3,0,(($D$53-32)/(G6-1))+16))))</f>
        <v>0</v>
      </c>
      <c r="I6" s="559"/>
      <c r="J6" s="559"/>
      <c r="K6" s="559"/>
      <c r="L6" s="559"/>
      <c r="M6" s="559"/>
      <c r="N6" s="559"/>
      <c r="O6" s="559"/>
      <c r="P6" s="559"/>
      <c r="Q6" s="559"/>
      <c r="R6" s="559"/>
      <c r="S6" s="559"/>
      <c r="T6" s="559"/>
      <c r="U6" s="559"/>
      <c r="V6" s="559"/>
      <c r="W6" s="559"/>
      <c r="X6" s="559"/>
      <c r="Y6" s="559"/>
      <c r="Z6" s="559"/>
    </row>
    <row r="7" spans="1:26" ht="18" hidden="1" customHeight="1" x14ac:dyDescent="0.35">
      <c r="A7" s="559"/>
      <c r="B7" s="559"/>
      <c r="C7" s="566">
        <f>IF(D6=6,"2ème Trou",IF(D6=7,"2ème Trou",0))</f>
        <v>0</v>
      </c>
      <c r="D7" s="567"/>
      <c r="E7" s="568">
        <f>IF(C7=0,0,E6+E6-16)</f>
        <v>0</v>
      </c>
      <c r="F7" s="566">
        <f>IF(G6=6,"2ème Trou",IF(G6=7,"2ème Trou",0))</f>
        <v>0</v>
      </c>
      <c r="G7" s="567"/>
      <c r="H7" s="568">
        <f>IF(F7=0,0,H6+H6-16)</f>
        <v>0</v>
      </c>
      <c r="I7" s="559"/>
      <c r="J7" s="559"/>
      <c r="K7" s="559"/>
      <c r="L7" s="559"/>
      <c r="M7" s="559"/>
      <c r="N7" s="559"/>
      <c r="O7" s="559"/>
      <c r="P7" s="559"/>
      <c r="Q7" s="559"/>
      <c r="R7" s="559"/>
      <c r="S7" s="559"/>
      <c r="T7" s="559"/>
      <c r="U7" s="559"/>
      <c r="V7" s="559"/>
      <c r="W7" s="559"/>
      <c r="X7" s="559"/>
      <c r="Y7" s="559"/>
      <c r="Z7" s="559"/>
    </row>
    <row r="8" spans="1:26" ht="18" customHeight="1" x14ac:dyDescent="0.35">
      <c r="A8" s="559"/>
      <c r="B8" s="559"/>
      <c r="C8" s="559"/>
      <c r="D8" s="559"/>
      <c r="E8" s="559"/>
      <c r="F8" s="559"/>
      <c r="G8" s="559"/>
      <c r="H8" s="559"/>
      <c r="I8" s="559"/>
      <c r="J8" s="559"/>
      <c r="K8" s="559"/>
      <c r="L8" s="559"/>
      <c r="M8" s="559"/>
      <c r="N8" s="559"/>
      <c r="O8" s="559"/>
      <c r="P8" s="559"/>
      <c r="Q8" s="559"/>
      <c r="R8" s="559"/>
      <c r="S8" s="559"/>
      <c r="T8" s="559"/>
      <c r="U8" s="559"/>
      <c r="V8" s="559"/>
      <c r="W8" s="559"/>
      <c r="X8" s="559"/>
      <c r="Y8" s="559"/>
      <c r="Z8" s="559"/>
    </row>
    <row r="9" spans="1:26" ht="18" customHeight="1" x14ac:dyDescent="0.35">
      <c r="A9" s="559"/>
      <c r="B9" s="559" t="s">
        <v>1</v>
      </c>
      <c r="C9" s="20"/>
      <c r="D9" s="559"/>
      <c r="E9" s="563" t="s">
        <v>2</v>
      </c>
      <c r="F9" s="22"/>
      <c r="G9" s="559"/>
      <c r="H9" s="1189" t="str">
        <f>VLOOKUP($F$10,'Infos Clients'!$B$2:$G$10,2)</f>
        <v>#VALUE!</v>
      </c>
      <c r="I9" s="1085"/>
      <c r="J9" s="1086"/>
      <c r="K9" s="559"/>
      <c r="L9" s="559"/>
      <c r="M9" s="559"/>
      <c r="N9" s="559"/>
      <c r="O9" s="559"/>
      <c r="P9" s="559"/>
      <c r="Q9" s="559"/>
      <c r="R9" s="559"/>
      <c r="S9" s="559"/>
      <c r="T9" s="559"/>
      <c r="U9" s="559"/>
      <c r="V9" s="559"/>
      <c r="W9" s="559"/>
      <c r="X9" s="559"/>
      <c r="Y9" s="559"/>
      <c r="Z9" s="559"/>
    </row>
    <row r="10" spans="1:26" ht="18" customHeight="1" x14ac:dyDescent="0.35">
      <c r="A10" s="559"/>
      <c r="B10" s="559" t="s">
        <v>4</v>
      </c>
      <c r="C10" s="23"/>
      <c r="D10" s="559"/>
      <c r="E10" s="563" t="s">
        <v>5</v>
      </c>
      <c r="F10" s="569" t="s">
        <v>6</v>
      </c>
      <c r="G10" s="559"/>
      <c r="H10" s="1091"/>
      <c r="I10" s="1097"/>
      <c r="J10" s="1092"/>
      <c r="K10" s="559"/>
      <c r="L10" s="559"/>
      <c r="M10" s="559"/>
      <c r="N10" s="559"/>
      <c r="O10" s="559"/>
      <c r="P10" s="559"/>
      <c r="Q10" s="559"/>
      <c r="R10" s="559"/>
      <c r="S10" s="559"/>
      <c r="T10" s="559"/>
      <c r="U10" s="559"/>
      <c r="V10" s="559"/>
      <c r="W10" s="559"/>
      <c r="X10" s="559"/>
      <c r="Y10" s="559"/>
      <c r="Z10" s="559"/>
    </row>
    <row r="11" spans="1:26" ht="18" customHeight="1" x14ac:dyDescent="0.35">
      <c r="A11" s="559"/>
      <c r="B11" s="559" t="s">
        <v>138</v>
      </c>
      <c r="C11" s="20"/>
      <c r="D11" s="559"/>
      <c r="E11" s="571" t="s">
        <v>8</v>
      </c>
      <c r="F11" s="25"/>
      <c r="G11" s="559"/>
      <c r="H11" s="1091"/>
      <c r="I11" s="1097"/>
      <c r="J11" s="1092"/>
      <c r="K11" s="559"/>
      <c r="L11" s="559"/>
      <c r="M11" s="559"/>
      <c r="N11" s="559"/>
      <c r="O11" s="559"/>
      <c r="P11" s="559"/>
      <c r="Q11" s="559"/>
      <c r="R11" s="559"/>
      <c r="S11" s="559"/>
      <c r="T11" s="559"/>
      <c r="U11" s="559"/>
      <c r="V11" s="559"/>
      <c r="W11" s="559"/>
      <c r="X11" s="559"/>
      <c r="Y11" s="559"/>
      <c r="Z11" s="559"/>
    </row>
    <row r="12" spans="1:26" ht="18" customHeight="1" x14ac:dyDescent="0.35">
      <c r="A12" s="559"/>
      <c r="B12" s="559"/>
      <c r="C12" s="563"/>
      <c r="D12" s="559"/>
      <c r="E12" s="571"/>
      <c r="F12" s="559"/>
      <c r="G12" s="559"/>
      <c r="H12" s="1091"/>
      <c r="I12" s="1097"/>
      <c r="J12" s="1092"/>
      <c r="K12" s="559"/>
      <c r="L12" s="559"/>
      <c r="M12" s="559"/>
      <c r="N12" s="559"/>
      <c r="O12" s="559"/>
      <c r="P12" s="559"/>
      <c r="Q12" s="559"/>
      <c r="R12" s="559"/>
      <c r="S12" s="559"/>
      <c r="T12" s="559"/>
      <c r="U12" s="559"/>
      <c r="V12" s="559"/>
      <c r="W12" s="559"/>
      <c r="X12" s="559"/>
      <c r="Y12" s="559"/>
      <c r="Z12" s="559"/>
    </row>
    <row r="13" spans="1:26" ht="18" customHeight="1" x14ac:dyDescent="0.35">
      <c r="A13" s="559"/>
      <c r="B13" s="573" t="s">
        <v>9</v>
      </c>
      <c r="C13" s="23" t="s">
        <v>10</v>
      </c>
      <c r="D13" s="559"/>
      <c r="E13" s="610"/>
      <c r="F13" s="563"/>
      <c r="G13" s="559"/>
      <c r="H13" s="1087"/>
      <c r="I13" s="1088"/>
      <c r="J13" s="1089"/>
      <c r="K13" s="559"/>
      <c r="L13" s="559"/>
      <c r="M13" s="559"/>
      <c r="N13" s="559"/>
      <c r="O13" s="559"/>
      <c r="P13" s="559"/>
      <c r="Q13" s="559"/>
      <c r="R13" s="559"/>
      <c r="S13" s="559"/>
      <c r="T13" s="559"/>
      <c r="U13" s="559"/>
      <c r="V13" s="559"/>
      <c r="W13" s="559"/>
      <c r="X13" s="559"/>
      <c r="Y13" s="559"/>
      <c r="Z13" s="559"/>
    </row>
    <row r="14" spans="1:26" ht="20.25" customHeight="1" x14ac:dyDescent="0.4">
      <c r="A14" s="559"/>
      <c r="B14" s="573"/>
      <c r="C14" s="563"/>
      <c r="D14" s="559"/>
      <c r="E14" s="574"/>
      <c r="F14" s="559"/>
      <c r="G14" s="559"/>
      <c r="H14" s="1167"/>
      <c r="I14" s="1101"/>
      <c r="J14" s="735"/>
      <c r="K14" s="559"/>
      <c r="L14" s="559"/>
      <c r="M14" s="559"/>
      <c r="N14" s="559"/>
      <c r="O14" s="559"/>
      <c r="P14" s="559"/>
      <c r="Q14" s="559"/>
      <c r="R14" s="559"/>
      <c r="S14" s="559"/>
      <c r="T14" s="559"/>
      <c r="U14" s="559"/>
      <c r="V14" s="559"/>
      <c r="W14" s="559"/>
      <c r="X14" s="559"/>
      <c r="Y14" s="559"/>
      <c r="Z14" s="559"/>
    </row>
    <row r="15" spans="1:26" ht="18" customHeight="1" x14ac:dyDescent="0.35">
      <c r="A15" s="559"/>
      <c r="B15" s="573" t="s">
        <v>11</v>
      </c>
      <c r="C15" s="23" t="s">
        <v>12</v>
      </c>
      <c r="D15" s="559"/>
      <c r="E15" s="574" t="s">
        <v>13</v>
      </c>
      <c r="F15" s="23" t="s">
        <v>14</v>
      </c>
      <c r="G15" s="559"/>
      <c r="H15" s="559"/>
      <c r="I15" s="559"/>
      <c r="J15" s="559"/>
      <c r="K15" s="559"/>
      <c r="L15" s="559"/>
      <c r="M15" s="559"/>
      <c r="N15" s="559"/>
      <c r="O15" s="559"/>
      <c r="P15" s="559"/>
      <c r="Q15" s="559"/>
      <c r="R15" s="559"/>
      <c r="S15" s="559"/>
      <c r="T15" s="559"/>
      <c r="U15" s="559"/>
      <c r="V15" s="559"/>
      <c r="W15" s="559"/>
      <c r="X15" s="559"/>
      <c r="Y15" s="559"/>
      <c r="Z15" s="559"/>
    </row>
    <row r="16" spans="1:26" ht="19.5" customHeight="1" x14ac:dyDescent="0.35">
      <c r="A16" s="559"/>
      <c r="B16" s="559"/>
      <c r="C16" s="563"/>
      <c r="D16" s="559"/>
      <c r="E16" s="559"/>
      <c r="F16" s="559"/>
      <c r="G16" s="559"/>
      <c r="H16" s="1190" t="s">
        <v>401</v>
      </c>
      <c r="I16" s="1085"/>
      <c r="J16" s="1085"/>
      <c r="K16" s="1085"/>
      <c r="L16" s="1086"/>
      <c r="M16" s="559"/>
      <c r="N16" s="559"/>
      <c r="O16" s="559"/>
      <c r="P16" s="559"/>
      <c r="Q16" s="559"/>
      <c r="R16" s="559"/>
      <c r="S16" s="559"/>
      <c r="T16" s="559"/>
      <c r="U16" s="559"/>
      <c r="V16" s="559"/>
      <c r="W16" s="559"/>
      <c r="X16" s="559"/>
      <c r="Y16" s="559"/>
      <c r="Z16" s="559"/>
    </row>
    <row r="17" spans="1:26" ht="19.5" customHeight="1" x14ac:dyDescent="0.35">
      <c r="A17" s="559"/>
      <c r="B17" s="573" t="s">
        <v>15</v>
      </c>
      <c r="C17" s="23" t="s">
        <v>16</v>
      </c>
      <c r="D17" s="559"/>
      <c r="E17" s="559"/>
      <c r="F17" s="559"/>
      <c r="G17" s="559"/>
      <c r="H17" s="1091"/>
      <c r="I17" s="1097"/>
      <c r="J17" s="1097"/>
      <c r="K17" s="1097"/>
      <c r="L17" s="1092"/>
      <c r="M17" s="559"/>
      <c r="N17" s="559"/>
      <c r="O17" s="559"/>
      <c r="P17" s="559"/>
      <c r="Q17" s="559"/>
      <c r="R17" s="559"/>
      <c r="S17" s="559"/>
      <c r="T17" s="559"/>
      <c r="U17" s="559"/>
      <c r="V17" s="559"/>
      <c r="W17" s="559"/>
      <c r="X17" s="559"/>
      <c r="Y17" s="559"/>
      <c r="Z17" s="559"/>
    </row>
    <row r="18" spans="1:26" ht="19.5" customHeight="1" x14ac:dyDescent="0.35">
      <c r="A18" s="559"/>
      <c r="B18" s="559"/>
      <c r="C18" s="563"/>
      <c r="D18" s="559"/>
      <c r="E18" s="559"/>
      <c r="F18" s="559"/>
      <c r="G18" s="559"/>
      <c r="H18" s="1091"/>
      <c r="I18" s="1097"/>
      <c r="J18" s="1097"/>
      <c r="K18" s="1097"/>
      <c r="L18" s="1092"/>
      <c r="M18" s="559"/>
      <c r="N18" s="559"/>
      <c r="O18" s="559"/>
      <c r="P18" s="559"/>
      <c r="Q18" s="559"/>
      <c r="R18" s="559"/>
      <c r="S18" s="559"/>
      <c r="T18" s="559"/>
      <c r="U18" s="559"/>
      <c r="V18" s="559"/>
      <c r="W18" s="559"/>
      <c r="X18" s="559"/>
      <c r="Y18" s="559"/>
      <c r="Z18" s="559"/>
    </row>
    <row r="19" spans="1:26" ht="19.5" customHeight="1" x14ac:dyDescent="0.35">
      <c r="A19" s="559"/>
      <c r="B19" s="573" t="s">
        <v>17</v>
      </c>
      <c r="C19" s="23" t="s">
        <v>18</v>
      </c>
      <c r="D19" s="559"/>
      <c r="E19" s="574" t="s">
        <v>19</v>
      </c>
      <c r="F19" s="23" t="s">
        <v>20</v>
      </c>
      <c r="G19" s="559"/>
      <c r="H19" s="1091"/>
      <c r="I19" s="1097"/>
      <c r="J19" s="1097"/>
      <c r="K19" s="1097"/>
      <c r="L19" s="1092"/>
      <c r="M19" s="559"/>
      <c r="N19" s="559"/>
      <c r="O19" s="559"/>
      <c r="P19" s="559"/>
      <c r="Q19" s="559"/>
      <c r="R19" s="559"/>
      <c r="S19" s="559"/>
      <c r="T19" s="559"/>
      <c r="U19" s="559"/>
      <c r="V19" s="559"/>
      <c r="W19" s="559"/>
      <c r="X19" s="559"/>
      <c r="Y19" s="559"/>
      <c r="Z19" s="559"/>
    </row>
    <row r="20" spans="1:26" ht="19.5" customHeight="1" x14ac:dyDescent="0.35">
      <c r="A20" s="559"/>
      <c r="B20" s="559"/>
      <c r="C20" s="563"/>
      <c r="D20" s="559"/>
      <c r="E20" s="573">
        <f>IF(F19="Oui","Type de Peinture",0)</f>
        <v>0</v>
      </c>
      <c r="F20" s="1168">
        <f>IF(F19="Non",0,VLOOKUP(F10,'[1]Infos Clients'!B2:E10,4))</f>
        <v>0</v>
      </c>
      <c r="G20" s="1101"/>
      <c r="H20" s="1087"/>
      <c r="I20" s="1088"/>
      <c r="J20" s="1088"/>
      <c r="K20" s="1088"/>
      <c r="L20" s="1089"/>
      <c r="M20" s="559"/>
      <c r="N20" s="559"/>
      <c r="O20" s="559"/>
      <c r="P20" s="559"/>
      <c r="Q20" s="559"/>
      <c r="R20" s="559"/>
      <c r="S20" s="559"/>
      <c r="T20" s="559"/>
      <c r="U20" s="559"/>
      <c r="V20" s="559"/>
      <c r="W20" s="559"/>
      <c r="X20" s="559"/>
      <c r="Y20" s="559"/>
      <c r="Z20" s="559"/>
    </row>
    <row r="21" spans="1:26" ht="18" customHeight="1" x14ac:dyDescent="0.35">
      <c r="A21" s="559"/>
      <c r="B21" s="573" t="s">
        <v>21</v>
      </c>
      <c r="C21" s="23" t="str">
        <f>IF(F21="Skis","Bois","Non")</f>
        <v>Non</v>
      </c>
      <c r="D21" s="559"/>
      <c r="E21" s="574" t="s">
        <v>24</v>
      </c>
      <c r="F21" s="1157" t="s">
        <v>136</v>
      </c>
      <c r="G21" s="1158"/>
      <c r="H21" s="559"/>
      <c r="I21" s="559"/>
      <c r="J21" s="559"/>
      <c r="K21" s="559"/>
      <c r="L21" s="559"/>
      <c r="M21" s="559"/>
      <c r="N21" s="559"/>
      <c r="O21" s="559"/>
      <c r="P21" s="559"/>
      <c r="Q21" s="559"/>
      <c r="R21" s="559"/>
      <c r="S21" s="559"/>
      <c r="T21" s="559"/>
      <c r="U21" s="559"/>
      <c r="V21" s="559"/>
      <c r="W21" s="559"/>
      <c r="X21" s="559"/>
      <c r="Y21" s="559"/>
      <c r="Z21" s="559"/>
    </row>
    <row r="22" spans="1:26" ht="32.25" customHeight="1" x14ac:dyDescent="0.35">
      <c r="A22" s="559"/>
      <c r="B22" s="573"/>
      <c r="C22" s="563"/>
      <c r="D22" s="559"/>
      <c r="E22" s="594"/>
      <c r="F22" s="571"/>
      <c r="G22" s="571"/>
      <c r="H22" s="559"/>
      <c r="I22" s="559"/>
      <c r="J22" s="559"/>
      <c r="K22" s="559"/>
      <c r="L22" s="559"/>
      <c r="M22" s="559"/>
      <c r="N22" s="559"/>
      <c r="O22" s="559"/>
      <c r="P22" s="559"/>
      <c r="Q22" s="559"/>
      <c r="R22" s="559"/>
      <c r="S22" s="559"/>
      <c r="T22" s="559"/>
      <c r="U22" s="559"/>
      <c r="V22" s="559"/>
      <c r="W22" s="559"/>
      <c r="X22" s="559"/>
      <c r="Y22" s="559"/>
      <c r="Z22" s="559"/>
    </row>
    <row r="23" spans="1:26" ht="18" customHeight="1" x14ac:dyDescent="0.35">
      <c r="A23" s="559"/>
      <c r="B23" s="736"/>
      <c r="C23" s="681" t="s">
        <v>28</v>
      </c>
      <c r="D23" s="681" t="s">
        <v>33</v>
      </c>
      <c r="E23" s="681" t="s">
        <v>30</v>
      </c>
      <c r="F23" s="737"/>
      <c r="G23" s="563"/>
      <c r="H23" s="1186" t="s">
        <v>402</v>
      </c>
      <c r="I23" s="681" t="s">
        <v>28</v>
      </c>
      <c r="J23" s="681" t="s">
        <v>33</v>
      </c>
      <c r="K23" s="681" t="s">
        <v>30</v>
      </c>
      <c r="L23" s="737"/>
      <c r="M23" s="559"/>
      <c r="N23" s="559"/>
      <c r="O23" s="559"/>
      <c r="P23" s="559"/>
      <c r="Q23" s="559"/>
      <c r="R23" s="559"/>
      <c r="S23" s="559"/>
      <c r="T23" s="559"/>
      <c r="U23" s="559"/>
      <c r="V23" s="559"/>
      <c r="W23" s="559"/>
      <c r="X23" s="559"/>
      <c r="Y23" s="559"/>
      <c r="Z23" s="559"/>
    </row>
    <row r="24" spans="1:26" ht="18" customHeight="1" x14ac:dyDescent="0.35">
      <c r="A24" s="559"/>
      <c r="B24" s="562" t="s">
        <v>403</v>
      </c>
      <c r="C24" s="581"/>
      <c r="D24" s="581"/>
      <c r="E24" s="581"/>
      <c r="F24" s="738"/>
      <c r="G24" s="563"/>
      <c r="H24" s="1124"/>
      <c r="I24" s="739">
        <f>IF(K24=0,0,$C$24)</f>
        <v>0</v>
      </c>
      <c r="J24" s="739">
        <f>IF(K24=0,0,$D$24)</f>
        <v>0</v>
      </c>
      <c r="K24" s="581"/>
      <c r="L24" s="738"/>
      <c r="M24" s="559"/>
      <c r="N24" s="559"/>
      <c r="O24" s="559"/>
      <c r="P24" s="559"/>
      <c r="Q24" s="559"/>
      <c r="R24" s="559"/>
      <c r="S24" s="559"/>
      <c r="T24" s="559"/>
      <c r="U24" s="559"/>
      <c r="V24" s="559"/>
      <c r="W24" s="559"/>
      <c r="X24" s="559"/>
      <c r="Y24" s="559"/>
      <c r="Z24" s="559"/>
    </row>
    <row r="25" spans="1:26" ht="18" customHeight="1" x14ac:dyDescent="0.35">
      <c r="A25" s="559"/>
      <c r="B25" s="740" t="s">
        <v>404</v>
      </c>
      <c r="C25" s="563">
        <f t="shared" ref="C25:D25" si="0">IF(C24=0,0,C24+3.2)</f>
        <v>0</v>
      </c>
      <c r="D25" s="563">
        <f t="shared" si="0"/>
        <v>0</v>
      </c>
      <c r="E25" s="563">
        <f>IF(E24=0,0,E24+1.2)</f>
        <v>0</v>
      </c>
      <c r="F25" s="738"/>
      <c r="G25" s="563"/>
      <c r="H25" s="740">
        <f>IF(K24=0,0,"Dimensions exterieur Cuvette N°4")</f>
        <v>0</v>
      </c>
      <c r="I25" s="563">
        <f t="shared" ref="I25:J25" si="1">IF(I24=0,0,I24+3.2)</f>
        <v>0</v>
      </c>
      <c r="J25" s="563">
        <f t="shared" si="1"/>
        <v>0</v>
      </c>
      <c r="K25" s="563">
        <f>IF(K24=0,0,K24+1.2)</f>
        <v>0</v>
      </c>
      <c r="L25" s="738"/>
      <c r="M25" s="559"/>
      <c r="N25" s="559"/>
      <c r="O25" s="559"/>
      <c r="P25" s="559"/>
      <c r="Q25" s="559"/>
      <c r="R25" s="559"/>
      <c r="S25" s="559"/>
      <c r="T25" s="559"/>
      <c r="U25" s="559"/>
      <c r="V25" s="559"/>
      <c r="W25" s="559"/>
      <c r="X25" s="559"/>
      <c r="Y25" s="559"/>
      <c r="Z25" s="559"/>
    </row>
    <row r="26" spans="1:26" ht="18" customHeight="1" x14ac:dyDescent="0.35">
      <c r="A26" s="559"/>
      <c r="B26" s="741" t="s">
        <v>31</v>
      </c>
      <c r="C26" s="583" t="s">
        <v>16</v>
      </c>
      <c r="D26" s="1184">
        <f>VLOOKUP(C26,$A$195:$O$199,13)</f>
        <v>0</v>
      </c>
      <c r="E26" s="1172"/>
      <c r="F26" s="742" t="s">
        <v>305</v>
      </c>
      <c r="G26" s="563"/>
      <c r="H26" s="741" t="s">
        <v>31</v>
      </c>
      <c r="I26" s="583" t="s">
        <v>16</v>
      </c>
      <c r="J26" s="1184">
        <f>VLOOKUP(I26,$A$195:$O$199,13)</f>
        <v>0</v>
      </c>
      <c r="K26" s="1172"/>
      <c r="L26" s="742" t="s">
        <v>305</v>
      </c>
      <c r="M26" s="559"/>
      <c r="N26" s="559"/>
      <c r="O26" s="559"/>
      <c r="P26" s="559"/>
      <c r="Q26" s="559"/>
      <c r="R26" s="559"/>
      <c r="S26" s="559"/>
      <c r="T26" s="559"/>
      <c r="U26" s="559"/>
      <c r="V26" s="559"/>
      <c r="W26" s="559"/>
      <c r="X26" s="559"/>
      <c r="Y26" s="559"/>
      <c r="Z26" s="559"/>
    </row>
    <row r="27" spans="1:26" ht="18" customHeight="1" x14ac:dyDescent="0.35">
      <c r="A27" s="559"/>
      <c r="B27" s="743"/>
      <c r="C27" s="744"/>
      <c r="D27" s="1185"/>
      <c r="E27" s="1101"/>
      <c r="F27" s="738"/>
      <c r="G27" s="563"/>
      <c r="H27" s="743"/>
      <c r="I27" s="744"/>
      <c r="J27" s="1185"/>
      <c r="K27" s="1101"/>
      <c r="L27" s="738"/>
      <c r="M27" s="559"/>
      <c r="N27" s="559"/>
      <c r="O27" s="559"/>
      <c r="P27" s="559"/>
      <c r="Q27" s="559"/>
      <c r="R27" s="559"/>
      <c r="S27" s="559"/>
      <c r="T27" s="559"/>
      <c r="U27" s="559"/>
      <c r="V27" s="559"/>
      <c r="W27" s="559"/>
      <c r="X27" s="559"/>
      <c r="Y27" s="559"/>
      <c r="Z27" s="559"/>
    </row>
    <row r="28" spans="1:26" ht="18" customHeight="1" x14ac:dyDescent="0.35">
      <c r="A28" s="559"/>
      <c r="B28" s="745" t="s">
        <v>308</v>
      </c>
      <c r="C28" s="183" t="s">
        <v>16</v>
      </c>
      <c r="D28" s="746"/>
      <c r="E28" s="747"/>
      <c r="F28" s="748"/>
      <c r="G28" s="749"/>
      <c r="H28" s="745" t="s">
        <v>308</v>
      </c>
      <c r="I28" s="183" t="s">
        <v>16</v>
      </c>
      <c r="J28" s="746"/>
      <c r="K28" s="747"/>
      <c r="L28" s="748"/>
      <c r="M28" s="559"/>
      <c r="N28" s="559"/>
      <c r="O28" s="559"/>
      <c r="P28" s="559"/>
      <c r="Q28" s="559"/>
      <c r="R28" s="559"/>
      <c r="S28" s="559"/>
      <c r="T28" s="559"/>
      <c r="U28" s="559"/>
      <c r="V28" s="559"/>
      <c r="W28" s="559"/>
      <c r="X28" s="559"/>
      <c r="Y28" s="559"/>
      <c r="Z28" s="559"/>
    </row>
    <row r="29" spans="1:26" ht="18" customHeight="1" x14ac:dyDescent="0.35">
      <c r="A29" s="559"/>
      <c r="B29" s="610"/>
      <c r="C29" s="563"/>
      <c r="D29" s="563"/>
      <c r="E29" s="718"/>
      <c r="F29" s="595"/>
      <c r="G29" s="563"/>
      <c r="H29" s="563"/>
      <c r="I29" s="563"/>
      <c r="J29" s="563"/>
      <c r="K29" s="563"/>
      <c r="L29" s="563"/>
      <c r="M29" s="559"/>
      <c r="N29" s="559"/>
      <c r="O29" s="559"/>
      <c r="P29" s="559"/>
      <c r="Q29" s="559"/>
      <c r="R29" s="559"/>
      <c r="S29" s="559"/>
      <c r="T29" s="559"/>
      <c r="U29" s="559"/>
      <c r="V29" s="559"/>
      <c r="W29" s="559"/>
      <c r="X29" s="559"/>
      <c r="Y29" s="559"/>
      <c r="Z29" s="559"/>
    </row>
    <row r="30" spans="1:26" ht="18" customHeight="1" x14ac:dyDescent="0.35">
      <c r="A30" s="559"/>
      <c r="B30" s="736"/>
      <c r="C30" s="681" t="s">
        <v>28</v>
      </c>
      <c r="D30" s="681" t="s">
        <v>33</v>
      </c>
      <c r="E30" s="681" t="s">
        <v>30</v>
      </c>
      <c r="F30" s="737"/>
      <c r="G30" s="563"/>
      <c r="H30" s="1186" t="s">
        <v>405</v>
      </c>
      <c r="I30" s="681" t="s">
        <v>28</v>
      </c>
      <c r="J30" s="681" t="s">
        <v>33</v>
      </c>
      <c r="K30" s="681" t="s">
        <v>30</v>
      </c>
      <c r="L30" s="737"/>
      <c r="M30" s="559"/>
      <c r="N30" s="559"/>
      <c r="O30" s="559"/>
      <c r="P30" s="559"/>
      <c r="Q30" s="559"/>
      <c r="R30" s="559"/>
      <c r="S30" s="559"/>
      <c r="T30" s="559"/>
      <c r="U30" s="559"/>
      <c r="V30" s="559"/>
      <c r="W30" s="559"/>
      <c r="X30" s="559"/>
      <c r="Y30" s="559"/>
      <c r="Z30" s="559"/>
    </row>
    <row r="31" spans="1:26" ht="18" customHeight="1" x14ac:dyDescent="0.35">
      <c r="A31" s="559"/>
      <c r="B31" s="562" t="s">
        <v>406</v>
      </c>
      <c r="C31" s="739">
        <f>IF(E31=0,0,$C$24)</f>
        <v>0</v>
      </c>
      <c r="D31" s="739">
        <f>IF(E31=0,0,$D$24)</f>
        <v>0</v>
      </c>
      <c r="E31" s="581"/>
      <c r="F31" s="738"/>
      <c r="G31" s="563"/>
      <c r="H31" s="1124"/>
      <c r="I31" s="739">
        <f>IF(K31=0,0,$C$24)</f>
        <v>0</v>
      </c>
      <c r="J31" s="739">
        <f>IF(K31=0,0,$D$24)</f>
        <v>0</v>
      </c>
      <c r="K31" s="581"/>
      <c r="L31" s="738"/>
      <c r="M31" s="559"/>
      <c r="N31" s="559"/>
      <c r="O31" s="559"/>
      <c r="P31" s="559"/>
      <c r="Q31" s="559"/>
      <c r="R31" s="559"/>
      <c r="S31" s="559"/>
      <c r="T31" s="559"/>
      <c r="U31" s="559"/>
      <c r="V31" s="559"/>
      <c r="W31" s="559"/>
      <c r="X31" s="559"/>
      <c r="Y31" s="559"/>
      <c r="Z31" s="559"/>
    </row>
    <row r="32" spans="1:26" ht="18" customHeight="1" x14ac:dyDescent="0.35">
      <c r="A32" s="559"/>
      <c r="B32" s="740">
        <f>IF(E31=0,0,"Dimensions exterieur Cuvette N°2")</f>
        <v>0</v>
      </c>
      <c r="C32" s="563">
        <f t="shared" ref="C32:D32" si="2">IF(C31=0,0,C31+3.2)</f>
        <v>0</v>
      </c>
      <c r="D32" s="563">
        <f t="shared" si="2"/>
        <v>0</v>
      </c>
      <c r="E32" s="563">
        <f>IF(E31=0,0,E31+1.2)</f>
        <v>0</v>
      </c>
      <c r="F32" s="738"/>
      <c r="G32" s="563"/>
      <c r="H32" s="740">
        <f>IF(K31=0,0,"Dimensions exterieur Cuvette N°5")</f>
        <v>0</v>
      </c>
      <c r="I32" s="563">
        <f t="shared" ref="I32:J32" si="3">IF(I31=0,0,I31+3.2)</f>
        <v>0</v>
      </c>
      <c r="J32" s="563">
        <f t="shared" si="3"/>
        <v>0</v>
      </c>
      <c r="K32" s="563">
        <f>IF(K31=0,0,K31+1.2)</f>
        <v>0</v>
      </c>
      <c r="L32" s="738"/>
      <c r="M32" s="559"/>
      <c r="N32" s="559"/>
      <c r="O32" s="559"/>
      <c r="P32" s="559"/>
      <c r="Q32" s="559"/>
      <c r="R32" s="559"/>
      <c r="S32" s="559"/>
      <c r="T32" s="559"/>
      <c r="U32" s="559"/>
      <c r="V32" s="559"/>
      <c r="W32" s="559"/>
      <c r="X32" s="559"/>
      <c r="Y32" s="559"/>
      <c r="Z32" s="559"/>
    </row>
    <row r="33" spans="1:26" ht="18" customHeight="1" x14ac:dyDescent="0.35">
      <c r="A33" s="559"/>
      <c r="B33" s="741" t="s">
        <v>31</v>
      </c>
      <c r="C33" s="583" t="s">
        <v>16</v>
      </c>
      <c r="D33" s="1184">
        <f>VLOOKUP(C33,$A$195:$O$199,13)</f>
        <v>0</v>
      </c>
      <c r="E33" s="1172"/>
      <c r="F33" s="742" t="s">
        <v>305</v>
      </c>
      <c r="G33" s="563"/>
      <c r="H33" s="741" t="s">
        <v>31</v>
      </c>
      <c r="I33" s="583" t="s">
        <v>16</v>
      </c>
      <c r="J33" s="1184">
        <f>VLOOKUP(I33,$A$195:$O$199,13)</f>
        <v>0</v>
      </c>
      <c r="K33" s="1172"/>
      <c r="L33" s="742" t="s">
        <v>305</v>
      </c>
      <c r="M33" s="559"/>
      <c r="N33" s="559"/>
      <c r="O33" s="559"/>
      <c r="P33" s="559"/>
      <c r="Q33" s="559"/>
      <c r="R33" s="559"/>
      <c r="S33" s="559"/>
      <c r="T33" s="559"/>
      <c r="U33" s="559"/>
      <c r="V33" s="559"/>
      <c r="W33" s="559"/>
      <c r="X33" s="559"/>
      <c r="Y33" s="559"/>
      <c r="Z33" s="559"/>
    </row>
    <row r="34" spans="1:26" ht="18" customHeight="1" x14ac:dyDescent="0.35">
      <c r="A34" s="559"/>
      <c r="B34" s="743"/>
      <c r="C34" s="744"/>
      <c r="D34" s="1185"/>
      <c r="E34" s="1101"/>
      <c r="F34" s="738"/>
      <c r="G34" s="563"/>
      <c r="H34" s="743"/>
      <c r="I34" s="744"/>
      <c r="J34" s="1185"/>
      <c r="K34" s="1101"/>
      <c r="L34" s="738"/>
      <c r="M34" s="559"/>
      <c r="N34" s="559"/>
      <c r="O34" s="559"/>
      <c r="P34" s="559"/>
      <c r="Q34" s="559"/>
      <c r="R34" s="559"/>
      <c r="S34" s="559"/>
      <c r="T34" s="559"/>
      <c r="U34" s="559"/>
      <c r="V34" s="559"/>
      <c r="W34" s="559"/>
      <c r="X34" s="559"/>
      <c r="Y34" s="559"/>
      <c r="Z34" s="559"/>
    </row>
    <row r="35" spans="1:26" ht="18" customHeight="1" x14ac:dyDescent="0.35">
      <c r="A35" s="559"/>
      <c r="B35" s="745" t="s">
        <v>308</v>
      </c>
      <c r="C35" s="183" t="s">
        <v>16</v>
      </c>
      <c r="D35" s="746"/>
      <c r="E35" s="747"/>
      <c r="F35" s="748"/>
      <c r="G35" s="749"/>
      <c r="H35" s="745" t="s">
        <v>308</v>
      </c>
      <c r="I35" s="183" t="s">
        <v>16</v>
      </c>
      <c r="J35" s="746"/>
      <c r="K35" s="747"/>
      <c r="L35" s="748"/>
      <c r="M35" s="559"/>
      <c r="N35" s="559"/>
      <c r="O35" s="559"/>
      <c r="P35" s="559"/>
      <c r="Q35" s="559"/>
      <c r="R35" s="559"/>
      <c r="S35" s="559"/>
      <c r="T35" s="559"/>
      <c r="U35" s="559"/>
      <c r="V35" s="559"/>
      <c r="W35" s="559"/>
      <c r="X35" s="559"/>
      <c r="Y35" s="559"/>
      <c r="Z35" s="559"/>
    </row>
    <row r="36" spans="1:26" ht="18" customHeight="1" x14ac:dyDescent="0.35">
      <c r="A36" s="559"/>
      <c r="B36" s="563"/>
      <c r="C36" s="563"/>
      <c r="D36" s="563"/>
      <c r="E36" s="563"/>
      <c r="F36" s="563"/>
      <c r="G36" s="563"/>
      <c r="H36" s="563"/>
      <c r="I36" s="563"/>
      <c r="J36" s="563"/>
      <c r="K36" s="563"/>
      <c r="L36" s="563"/>
      <c r="M36" s="559"/>
      <c r="N36" s="559"/>
      <c r="O36" s="559"/>
      <c r="P36" s="559"/>
      <c r="Q36" s="559"/>
      <c r="R36" s="559"/>
      <c r="S36" s="559"/>
      <c r="T36" s="559"/>
      <c r="U36" s="559"/>
      <c r="V36" s="559"/>
      <c r="W36" s="559"/>
      <c r="X36" s="559"/>
      <c r="Y36" s="559"/>
      <c r="Z36" s="559"/>
    </row>
    <row r="37" spans="1:26" ht="18" customHeight="1" x14ac:dyDescent="0.35">
      <c r="A37" s="559"/>
      <c r="B37" s="736"/>
      <c r="C37" s="681" t="s">
        <v>28</v>
      </c>
      <c r="D37" s="681" t="s">
        <v>33</v>
      </c>
      <c r="E37" s="681" t="s">
        <v>30</v>
      </c>
      <c r="F37" s="737"/>
      <c r="G37" s="563"/>
      <c r="H37" s="1186" t="s">
        <v>407</v>
      </c>
      <c r="I37" s="681" t="s">
        <v>28</v>
      </c>
      <c r="J37" s="681" t="s">
        <v>33</v>
      </c>
      <c r="K37" s="681" t="s">
        <v>30</v>
      </c>
      <c r="L37" s="737"/>
      <c r="M37" s="559"/>
      <c r="N37" s="559"/>
      <c r="O37" s="559"/>
      <c r="P37" s="559"/>
      <c r="Q37" s="559"/>
      <c r="R37" s="559"/>
      <c r="S37" s="559"/>
      <c r="T37" s="559"/>
      <c r="U37" s="559"/>
      <c r="V37" s="559"/>
      <c r="W37" s="559"/>
      <c r="X37" s="559"/>
      <c r="Y37" s="559"/>
      <c r="Z37" s="559"/>
    </row>
    <row r="38" spans="1:26" ht="18" customHeight="1" x14ac:dyDescent="0.35">
      <c r="A38" s="559"/>
      <c r="B38" s="562" t="s">
        <v>408</v>
      </c>
      <c r="C38" s="739">
        <f>IF(E38=0,0,$C$24)</f>
        <v>0</v>
      </c>
      <c r="D38" s="739">
        <f>IF(E38=0,0,$D$24)</f>
        <v>0</v>
      </c>
      <c r="E38" s="581"/>
      <c r="F38" s="738"/>
      <c r="G38" s="563"/>
      <c r="H38" s="1124"/>
      <c r="I38" s="739">
        <f>IF(K38=0,0,$C$24)</f>
        <v>0</v>
      </c>
      <c r="J38" s="739">
        <f>IF(K38=0,0,$D$24)</f>
        <v>0</v>
      </c>
      <c r="K38" s="581"/>
      <c r="L38" s="738"/>
      <c r="M38" s="559"/>
      <c r="N38" s="559"/>
      <c r="O38" s="559"/>
      <c r="P38" s="559"/>
      <c r="Q38" s="559"/>
      <c r="R38" s="559"/>
      <c r="S38" s="559"/>
      <c r="T38" s="559"/>
      <c r="U38" s="559"/>
      <c r="V38" s="559"/>
      <c r="W38" s="559"/>
      <c r="X38" s="559"/>
      <c r="Y38" s="559"/>
      <c r="Z38" s="559"/>
    </row>
    <row r="39" spans="1:26" ht="18" customHeight="1" x14ac:dyDescent="0.35">
      <c r="A39" s="559"/>
      <c r="B39" s="740">
        <f>IF(E38=0,0,"Dimensions exterieur Cuvette N°3")</f>
        <v>0</v>
      </c>
      <c r="C39" s="563">
        <f t="shared" ref="C39:D39" si="4">IF(C38=0,0,C38+3.2)</f>
        <v>0</v>
      </c>
      <c r="D39" s="563">
        <f t="shared" si="4"/>
        <v>0</v>
      </c>
      <c r="E39" s="563">
        <f>IF(E38=0,0,E38+1.2)</f>
        <v>0</v>
      </c>
      <c r="F39" s="738"/>
      <c r="G39" s="563"/>
      <c r="H39" s="740">
        <f>IF(K38=0,0,"Dimensions exterieur Cuvette N°6")</f>
        <v>0</v>
      </c>
      <c r="I39" s="563">
        <f t="shared" ref="I39:J39" si="5">IF(I38=0,0,I38+3.2)</f>
        <v>0</v>
      </c>
      <c r="J39" s="563">
        <f t="shared" si="5"/>
        <v>0</v>
      </c>
      <c r="K39" s="563">
        <f>IF(K38=0,0,K38+1.2)</f>
        <v>0</v>
      </c>
      <c r="L39" s="738"/>
      <c r="M39" s="559"/>
      <c r="N39" s="559"/>
      <c r="O39" s="559"/>
      <c r="P39" s="559"/>
      <c r="Q39" s="559"/>
      <c r="R39" s="559"/>
      <c r="S39" s="559"/>
      <c r="T39" s="559"/>
      <c r="U39" s="559"/>
      <c r="V39" s="559"/>
      <c r="W39" s="559"/>
      <c r="X39" s="559"/>
      <c r="Y39" s="559"/>
      <c r="Z39" s="559"/>
    </row>
    <row r="40" spans="1:26" ht="18" customHeight="1" x14ac:dyDescent="0.35">
      <c r="A40" s="559"/>
      <c r="B40" s="741" t="s">
        <v>31</v>
      </c>
      <c r="C40" s="583" t="s">
        <v>16</v>
      </c>
      <c r="D40" s="1184">
        <f>VLOOKUP(C40,$A$195:$O$199,13)</f>
        <v>0</v>
      </c>
      <c r="E40" s="1172"/>
      <c r="F40" s="742" t="s">
        <v>305</v>
      </c>
      <c r="G40" s="563"/>
      <c r="H40" s="741" t="s">
        <v>31</v>
      </c>
      <c r="I40" s="583" t="s">
        <v>16</v>
      </c>
      <c r="J40" s="1184">
        <f>VLOOKUP(I40,$A$195:$O$199,13)</f>
        <v>0</v>
      </c>
      <c r="K40" s="1172"/>
      <c r="L40" s="742" t="s">
        <v>305</v>
      </c>
      <c r="M40" s="559"/>
      <c r="N40" s="559"/>
      <c r="O40" s="559"/>
      <c r="P40" s="559"/>
      <c r="Q40" s="559"/>
      <c r="R40" s="559"/>
      <c r="S40" s="559"/>
      <c r="T40" s="559"/>
      <c r="U40" s="559"/>
      <c r="V40" s="559"/>
      <c r="W40" s="559"/>
      <c r="X40" s="559"/>
      <c r="Y40" s="559"/>
      <c r="Z40" s="559"/>
    </row>
    <row r="41" spans="1:26" ht="18" customHeight="1" x14ac:dyDescent="0.35">
      <c r="A41" s="559"/>
      <c r="B41" s="743"/>
      <c r="C41" s="744"/>
      <c r="D41" s="1185"/>
      <c r="E41" s="1101"/>
      <c r="F41" s="738"/>
      <c r="G41" s="563"/>
      <c r="H41" s="743"/>
      <c r="I41" s="744"/>
      <c r="J41" s="1185"/>
      <c r="K41" s="1101"/>
      <c r="L41" s="738"/>
      <c r="M41" s="559"/>
      <c r="N41" s="559"/>
      <c r="O41" s="559"/>
      <c r="P41" s="559"/>
      <c r="Q41" s="559"/>
      <c r="R41" s="559"/>
      <c r="S41" s="559"/>
      <c r="T41" s="559"/>
      <c r="U41" s="559"/>
      <c r="V41" s="559"/>
      <c r="W41" s="559"/>
      <c r="X41" s="559"/>
      <c r="Y41" s="559"/>
      <c r="Z41" s="559"/>
    </row>
    <row r="42" spans="1:26" ht="18" customHeight="1" x14ac:dyDescent="0.35">
      <c r="A42" s="559"/>
      <c r="B42" s="745" t="s">
        <v>308</v>
      </c>
      <c r="C42" s="183" t="s">
        <v>16</v>
      </c>
      <c r="D42" s="746"/>
      <c r="E42" s="747"/>
      <c r="F42" s="748"/>
      <c r="G42" s="749"/>
      <c r="H42" s="745" t="s">
        <v>308</v>
      </c>
      <c r="I42" s="183" t="s">
        <v>16</v>
      </c>
      <c r="J42" s="746"/>
      <c r="K42" s="747"/>
      <c r="L42" s="748"/>
      <c r="M42" s="559"/>
      <c r="N42" s="559"/>
      <c r="O42" s="559"/>
      <c r="P42" s="559"/>
      <c r="Q42" s="559"/>
      <c r="R42" s="559"/>
      <c r="S42" s="559"/>
      <c r="T42" s="559"/>
      <c r="U42" s="559"/>
      <c r="V42" s="559"/>
      <c r="W42" s="559"/>
      <c r="X42" s="559"/>
      <c r="Y42" s="559"/>
      <c r="Z42" s="559"/>
    </row>
    <row r="43" spans="1:26" ht="18" customHeight="1" x14ac:dyDescent="0.35">
      <c r="A43" s="559"/>
      <c r="B43" s="559"/>
      <c r="C43" s="559"/>
      <c r="D43" s="559"/>
      <c r="E43" s="559"/>
      <c r="F43" s="559"/>
      <c r="G43" s="559"/>
      <c r="H43" s="559"/>
      <c r="I43" s="559"/>
      <c r="J43" s="559"/>
      <c r="K43" s="559"/>
      <c r="L43" s="559"/>
      <c r="M43" s="559"/>
      <c r="N43" s="559"/>
      <c r="O43" s="559"/>
      <c r="P43" s="559"/>
      <c r="Q43" s="559"/>
      <c r="R43" s="559"/>
      <c r="S43" s="559"/>
      <c r="T43" s="559"/>
      <c r="U43" s="559"/>
      <c r="V43" s="559"/>
      <c r="W43" s="559"/>
      <c r="X43" s="559"/>
      <c r="Y43" s="559"/>
      <c r="Z43" s="559"/>
    </row>
    <row r="44" spans="1:26" ht="18" customHeight="1" x14ac:dyDescent="0.35">
      <c r="A44" s="559"/>
      <c r="B44" s="606" t="s">
        <v>42</v>
      </c>
      <c r="C44" s="607">
        <f>VLOOKUP(C17,A204:S210,2)+C25+2.5</f>
        <v>2.5</v>
      </c>
      <c r="D44" s="607">
        <f>VLOOKUP(C17,A204:S210,3)+D25+2.5</f>
        <v>2.5</v>
      </c>
      <c r="E44" s="608">
        <f>VLOOKUP(C17,A204:S210,3)+E25+E32+E39+K25+K32+K39</f>
        <v>0</v>
      </c>
      <c r="F44" s="559"/>
      <c r="G44" s="559"/>
      <c r="H44" s="559"/>
      <c r="I44" s="559"/>
      <c r="J44" s="559"/>
      <c r="K44" s="559"/>
      <c r="L44" s="559"/>
      <c r="M44" s="559"/>
      <c r="N44" s="559"/>
      <c r="O44" s="559"/>
      <c r="P44" s="559"/>
      <c r="Q44" s="559"/>
      <c r="R44" s="559"/>
      <c r="S44" s="559"/>
      <c r="T44" s="559"/>
      <c r="U44" s="559"/>
      <c r="V44" s="559"/>
      <c r="W44" s="559"/>
      <c r="X44" s="559"/>
      <c r="Y44" s="559"/>
      <c r="Z44" s="559"/>
    </row>
    <row r="45" spans="1:26" ht="18" customHeight="1" x14ac:dyDescent="0.35">
      <c r="A45" s="559"/>
      <c r="B45" s="573"/>
      <c r="C45" s="573"/>
      <c r="D45" s="573"/>
      <c r="E45" s="573"/>
      <c r="F45" s="559"/>
      <c r="G45" s="609" t="s">
        <v>256</v>
      </c>
      <c r="H45" s="610"/>
      <c r="I45" s="559"/>
      <c r="J45" s="559"/>
      <c r="K45" s="559"/>
      <c r="L45" s="559"/>
      <c r="M45" s="559"/>
      <c r="N45" s="559"/>
      <c r="O45" s="559"/>
      <c r="P45" s="559"/>
      <c r="Q45" s="559"/>
      <c r="R45" s="559"/>
      <c r="S45" s="559"/>
      <c r="T45" s="559"/>
      <c r="U45" s="559"/>
      <c r="V45" s="559"/>
      <c r="W45" s="559"/>
      <c r="X45" s="559"/>
      <c r="Y45" s="559"/>
      <c r="Z45" s="559"/>
    </row>
    <row r="46" spans="1:26" ht="18" customHeight="1" x14ac:dyDescent="0.35">
      <c r="A46" s="559"/>
      <c r="B46" s="606" t="s">
        <v>44</v>
      </c>
      <c r="C46" s="611">
        <f>C44+IF($C$21="Bois",4.4,0)+VLOOKUP($C$13,$A$223:$E$224,4)*2+VLOOKUP($C$15,$A$227:$D$228,4)*2</f>
        <v>9.6999999999999993</v>
      </c>
      <c r="D46" s="611">
        <f>D44+VLOOKUP($C$13,$A$223:$E$224,4)*2+VLOOKUP($C$15,$A$227:$D$228,4)*2</f>
        <v>9.6999999999999993</v>
      </c>
      <c r="E46" s="612">
        <f>E44+VLOOKUP($C$13,$A$223:$E$224,4)+VLOOKUP($C$13,$A$223:$E$224,5)+VLOOKUP($C$15,$A$227:$D$228,4)*2+IF(F21="Skis",2.1,10)</f>
        <v>17.2</v>
      </c>
      <c r="F46" s="559"/>
      <c r="G46" s="613">
        <f>C189</f>
        <v>0</v>
      </c>
      <c r="H46" s="614"/>
      <c r="I46" s="559"/>
      <c r="J46" s="559"/>
      <c r="K46" s="559"/>
      <c r="L46" s="559"/>
      <c r="M46" s="559"/>
      <c r="N46" s="559"/>
      <c r="O46" s="559"/>
      <c r="P46" s="559"/>
      <c r="Q46" s="559"/>
      <c r="R46" s="559"/>
      <c r="S46" s="559"/>
      <c r="T46" s="559"/>
      <c r="U46" s="559"/>
      <c r="V46" s="559"/>
      <c r="W46" s="559"/>
      <c r="X46" s="559"/>
      <c r="Y46" s="559"/>
      <c r="Z46" s="559"/>
    </row>
    <row r="47" spans="1:26" ht="18" customHeight="1" x14ac:dyDescent="0.35">
      <c r="A47" s="559"/>
      <c r="B47" s="573"/>
      <c r="C47" s="573"/>
      <c r="D47" s="573"/>
      <c r="E47" s="573"/>
      <c r="F47" s="559"/>
      <c r="G47" s="559"/>
      <c r="H47" s="559"/>
      <c r="I47" s="559"/>
      <c r="J47" s="559"/>
      <c r="K47" s="559"/>
      <c r="L47" s="559"/>
      <c r="M47" s="559"/>
      <c r="N47" s="559"/>
      <c r="O47" s="559"/>
      <c r="P47" s="559"/>
      <c r="Q47" s="559"/>
      <c r="R47" s="559"/>
      <c r="S47" s="559"/>
      <c r="T47" s="559"/>
      <c r="U47" s="559"/>
      <c r="V47" s="559"/>
      <c r="W47" s="559"/>
      <c r="X47" s="559"/>
      <c r="Y47" s="559"/>
      <c r="Z47" s="559"/>
    </row>
    <row r="48" spans="1:26" ht="18" customHeight="1" x14ac:dyDescent="0.35">
      <c r="A48" s="559"/>
      <c r="B48" s="615" t="s">
        <v>45</v>
      </c>
      <c r="C48" s="616">
        <f>Q181</f>
        <v>0</v>
      </c>
      <c r="D48" s="608" t="s">
        <v>46</v>
      </c>
      <c r="E48" s="573"/>
      <c r="F48" s="559"/>
      <c r="G48" s="559"/>
      <c r="H48" s="559"/>
      <c r="I48" s="559"/>
      <c r="J48" s="559"/>
      <c r="K48" s="559"/>
      <c r="L48" s="559"/>
      <c r="M48" s="559"/>
      <c r="N48" s="559"/>
      <c r="O48" s="559"/>
      <c r="P48" s="559"/>
      <c r="Q48" s="559"/>
      <c r="R48" s="559"/>
      <c r="S48" s="559"/>
      <c r="T48" s="559"/>
      <c r="U48" s="559"/>
      <c r="V48" s="559"/>
      <c r="W48" s="559"/>
      <c r="X48" s="559"/>
      <c r="Y48" s="559"/>
      <c r="Z48" s="559"/>
    </row>
    <row r="49" spans="1:26" ht="18" hidden="1" customHeight="1" x14ac:dyDescent="0.35">
      <c r="A49" s="559"/>
      <c r="B49" s="617" t="s">
        <v>48</v>
      </c>
      <c r="C49" s="618">
        <f>D183</f>
        <v>0</v>
      </c>
      <c r="D49" s="619" t="s">
        <v>49</v>
      </c>
      <c r="E49" s="573"/>
      <c r="F49" s="559"/>
      <c r="G49" s="559"/>
      <c r="H49" s="559"/>
      <c r="I49" s="559"/>
      <c r="J49" s="559"/>
      <c r="K49" s="559"/>
      <c r="L49" s="559"/>
      <c r="M49" s="559"/>
      <c r="N49" s="559"/>
      <c r="O49" s="559"/>
      <c r="P49" s="559"/>
      <c r="Q49" s="559"/>
      <c r="R49" s="559"/>
      <c r="S49" s="559"/>
      <c r="T49" s="559"/>
      <c r="U49" s="559"/>
      <c r="V49" s="559"/>
      <c r="W49" s="559"/>
      <c r="X49" s="559"/>
      <c r="Y49" s="559"/>
      <c r="Z49" s="559"/>
    </row>
    <row r="50" spans="1:26" ht="18" hidden="1" customHeight="1" x14ac:dyDescent="0.35">
      <c r="A50" s="559"/>
      <c r="B50" s="559"/>
      <c r="C50" s="614"/>
      <c r="D50" s="559"/>
      <c r="E50" s="559"/>
      <c r="F50" s="559"/>
      <c r="G50" s="559"/>
      <c r="H50" s="559"/>
      <c r="I50" s="559"/>
      <c r="J50" s="559"/>
      <c r="K50" s="559"/>
      <c r="L50" s="559"/>
      <c r="M50" s="559"/>
      <c r="N50" s="559"/>
      <c r="O50" s="559"/>
      <c r="P50" s="559"/>
      <c r="Q50" s="559"/>
      <c r="R50" s="559"/>
      <c r="S50" s="559"/>
      <c r="T50" s="559"/>
      <c r="U50" s="559"/>
      <c r="V50" s="559"/>
      <c r="W50" s="559"/>
      <c r="X50" s="559"/>
      <c r="Y50" s="559"/>
      <c r="Z50" s="559"/>
    </row>
    <row r="51" spans="1:26" ht="18" hidden="1" customHeight="1" x14ac:dyDescent="0.35">
      <c r="A51" s="559"/>
      <c r="B51" s="559"/>
      <c r="C51" s="559"/>
      <c r="D51" s="559"/>
      <c r="E51" s="559"/>
      <c r="F51" s="559" t="s">
        <v>34</v>
      </c>
      <c r="G51" s="559"/>
      <c r="H51" s="559"/>
      <c r="I51" s="559"/>
      <c r="J51" s="559"/>
      <c r="K51" s="559"/>
      <c r="L51" s="559"/>
      <c r="M51" s="559"/>
      <c r="N51" s="559"/>
      <c r="O51" s="559"/>
      <c r="P51" s="559"/>
      <c r="Q51" s="559" t="s">
        <v>157</v>
      </c>
      <c r="R51" s="559"/>
      <c r="S51" s="559"/>
      <c r="T51" s="559"/>
      <c r="U51" s="559"/>
      <c r="V51" s="559"/>
      <c r="W51" s="559"/>
      <c r="X51" s="559"/>
      <c r="Y51" s="559"/>
      <c r="Z51" s="559"/>
    </row>
    <row r="52" spans="1:26" ht="18" hidden="1" customHeight="1" x14ac:dyDescent="0.35">
      <c r="A52" s="620" t="s">
        <v>53</v>
      </c>
      <c r="B52" s="621" t="str">
        <f t="shared" ref="B52:B53" si="6">VLOOKUP($C$13,$A$223:$C$224,2)</f>
        <v>Peuplier 15 mm</v>
      </c>
      <c r="C52" s="621">
        <f>C44+2*(VLOOKUP(B52,$A$223:$E$224,4)+VLOOKUP($C$15,$A$227:$D$228,4))</f>
        <v>9.6999999999999993</v>
      </c>
      <c r="D52" s="621">
        <f>E44+(VLOOKUP(B52,$A$223:$E$224,5)+VLOOKUP($C$15,$A$227:$D$228,4))</f>
        <v>3.6</v>
      </c>
      <c r="E52" s="622" t="str">
        <f t="shared" ref="E52:E55" si="7">B52</f>
        <v>Peuplier 15 mm</v>
      </c>
      <c r="F52" s="623">
        <v>2</v>
      </c>
      <c r="G52" s="559"/>
      <c r="H52" s="559"/>
      <c r="I52" s="559"/>
      <c r="J52" s="624">
        <f t="shared" ref="J52:J55" si="8">IF(C52=0,0,(C52/100)*(D52/100)*F52)</f>
        <v>6.9839999999999998E-3</v>
      </c>
      <c r="K52" s="624">
        <f t="shared" ref="K52:K55" si="9">J52/0.8</f>
        <v>8.7299999999999999E-3</v>
      </c>
      <c r="L52" s="625" t="s">
        <v>663</v>
      </c>
      <c r="M52" s="625" t="e">
        <f t="shared" ref="M52:M55" si="10">L52*K52-IF($F$15="Non",K52*0.75,0)</f>
        <v>#VALUE!</v>
      </c>
      <c r="N52" s="626">
        <f t="shared" ref="N52:N55" si="11">IF(J52=0,0,IF($F$15="Oui",(7.0924*J52)+15,(6.0924*J52)+10))</f>
        <v>15.0495333216</v>
      </c>
      <c r="O52" s="625">
        <f t="shared" ref="O52:O55" si="12">N52*'Caisse Cuvette'!MinuteMO</f>
        <v>12.792103323359999</v>
      </c>
      <c r="P52" s="559"/>
      <c r="Q52" s="627" t="s">
        <v>663</v>
      </c>
      <c r="R52" s="559"/>
      <c r="S52" s="559"/>
      <c r="T52" s="559"/>
      <c r="U52" s="559"/>
      <c r="V52" s="559"/>
      <c r="W52" s="559"/>
      <c r="X52" s="559"/>
      <c r="Y52" s="559"/>
      <c r="Z52" s="559"/>
    </row>
    <row r="53" spans="1:26" ht="18" hidden="1" customHeight="1" x14ac:dyDescent="0.35">
      <c r="A53" s="620" t="s">
        <v>175</v>
      </c>
      <c r="B53" s="621" t="str">
        <f t="shared" si="6"/>
        <v>Peuplier 15 mm</v>
      </c>
      <c r="C53" s="621">
        <f>C52</f>
        <v>9.6999999999999993</v>
      </c>
      <c r="D53" s="621">
        <f>D44+2*(VLOOKUP(B53,A223:E224,4)+VLOOKUP($C$15,A227:D228,4))</f>
        <v>9.6999999999999993</v>
      </c>
      <c r="E53" s="622" t="str">
        <f t="shared" si="7"/>
        <v>Peuplier 15 mm</v>
      </c>
      <c r="F53" s="623">
        <v>1</v>
      </c>
      <c r="G53" s="559"/>
      <c r="H53" s="559"/>
      <c r="I53" s="559"/>
      <c r="J53" s="624">
        <f t="shared" si="8"/>
        <v>9.4089999999999972E-3</v>
      </c>
      <c r="K53" s="624">
        <f t="shared" si="9"/>
        <v>1.1761249999999996E-2</v>
      </c>
      <c r="L53" s="625" t="s">
        <v>663</v>
      </c>
      <c r="M53" s="625" t="e">
        <f t="shared" si="10"/>
        <v>#VALUE!</v>
      </c>
      <c r="N53" s="626">
        <f t="shared" si="11"/>
        <v>15.0667323916</v>
      </c>
      <c r="O53" s="625">
        <f t="shared" si="12"/>
        <v>12.80672253286</v>
      </c>
      <c r="P53" s="559"/>
      <c r="Q53" s="627" t="s">
        <v>663</v>
      </c>
      <c r="R53" s="559"/>
      <c r="S53" s="559"/>
      <c r="T53" s="559"/>
      <c r="U53" s="559"/>
      <c r="V53" s="559"/>
      <c r="W53" s="559"/>
      <c r="X53" s="559"/>
      <c r="Y53" s="559"/>
      <c r="Z53" s="559"/>
    </row>
    <row r="54" spans="1:26" ht="18" hidden="1" customHeight="1" x14ac:dyDescent="0.35">
      <c r="A54" s="620" t="s">
        <v>176</v>
      </c>
      <c r="B54" s="621" t="str">
        <f>VLOOKUP($C$13,A$223:$C$224,3)</f>
        <v>Peuplier 15 mm</v>
      </c>
      <c r="C54" s="621">
        <f t="shared" ref="C54:D54" si="13">C44</f>
        <v>2.5</v>
      </c>
      <c r="D54" s="621">
        <f t="shared" si="13"/>
        <v>2.5</v>
      </c>
      <c r="E54" s="622" t="str">
        <f t="shared" si="7"/>
        <v>Peuplier 15 mm</v>
      </c>
      <c r="F54" s="623">
        <v>1</v>
      </c>
      <c r="G54" s="559"/>
      <c r="H54" s="559"/>
      <c r="I54" s="559"/>
      <c r="J54" s="624">
        <f t="shared" si="8"/>
        <v>6.2500000000000012E-4</v>
      </c>
      <c r="K54" s="624">
        <f t="shared" si="9"/>
        <v>7.8125000000000015E-4</v>
      </c>
      <c r="L54" s="625" t="s">
        <v>663</v>
      </c>
      <c r="M54" s="625" t="e">
        <f t="shared" si="10"/>
        <v>#VALUE!</v>
      </c>
      <c r="N54" s="626">
        <f t="shared" si="11"/>
        <v>15.004432749999999</v>
      </c>
      <c r="O54" s="625">
        <f t="shared" si="12"/>
        <v>12.7537678375</v>
      </c>
      <c r="P54" s="559"/>
      <c r="Q54" s="627" t="s">
        <v>663</v>
      </c>
      <c r="R54" s="559"/>
      <c r="S54" s="559"/>
      <c r="T54" s="559"/>
      <c r="U54" s="559"/>
      <c r="V54" s="559"/>
      <c r="W54" s="559"/>
      <c r="X54" s="559"/>
      <c r="Y54" s="559"/>
      <c r="Z54" s="559"/>
    </row>
    <row r="55" spans="1:26" ht="18" hidden="1" customHeight="1" x14ac:dyDescent="0.35">
      <c r="A55" s="620" t="s">
        <v>55</v>
      </c>
      <c r="B55" s="621" t="str">
        <f>VLOOKUP($C$13,$A$223:$C$224,2)</f>
        <v>Peuplier 15 mm</v>
      </c>
      <c r="C55" s="621">
        <f>D44</f>
        <v>2.5</v>
      </c>
      <c r="D55" s="621">
        <f>D52</f>
        <v>3.6</v>
      </c>
      <c r="E55" s="622" t="str">
        <f t="shared" si="7"/>
        <v>Peuplier 15 mm</v>
      </c>
      <c r="F55" s="623">
        <v>2</v>
      </c>
      <c r="G55" s="559"/>
      <c r="H55" s="559"/>
      <c r="I55" s="559"/>
      <c r="J55" s="624">
        <f t="shared" si="8"/>
        <v>1.8000000000000004E-3</v>
      </c>
      <c r="K55" s="624">
        <f t="shared" si="9"/>
        <v>2.2500000000000003E-3</v>
      </c>
      <c r="L55" s="625" t="s">
        <v>663</v>
      </c>
      <c r="M55" s="625" t="e">
        <f t="shared" si="10"/>
        <v>#VALUE!</v>
      </c>
      <c r="N55" s="626">
        <f t="shared" si="11"/>
        <v>15.012766320000001</v>
      </c>
      <c r="O55" s="625">
        <f t="shared" si="12"/>
        <v>12.760851372000001</v>
      </c>
      <c r="P55" s="559"/>
      <c r="Q55" s="627" t="s">
        <v>663</v>
      </c>
      <c r="R55" s="559"/>
      <c r="S55" s="559"/>
      <c r="T55" s="559"/>
      <c r="U55" s="559"/>
      <c r="V55" s="559"/>
      <c r="W55" s="559"/>
      <c r="X55" s="559"/>
      <c r="Y55" s="559"/>
      <c r="Z55" s="559"/>
    </row>
    <row r="56" spans="1:26" ht="18" hidden="1" customHeight="1" x14ac:dyDescent="0.35">
      <c r="A56" s="559"/>
      <c r="B56" s="559"/>
      <c r="C56" s="559"/>
      <c r="D56" s="559"/>
      <c r="E56" s="559"/>
      <c r="F56" s="559"/>
      <c r="G56" s="559"/>
      <c r="H56" s="559"/>
      <c r="I56" s="559"/>
      <c r="J56" s="624"/>
      <c r="K56" s="624"/>
      <c r="L56" s="625"/>
      <c r="M56" s="625"/>
      <c r="N56" s="626"/>
      <c r="O56" s="625"/>
      <c r="P56" s="559"/>
      <c r="Q56" s="627"/>
      <c r="R56" s="559"/>
      <c r="S56" s="559"/>
      <c r="T56" s="559"/>
      <c r="U56" s="559"/>
      <c r="V56" s="559"/>
      <c r="W56" s="559"/>
      <c r="X56" s="559"/>
      <c r="Y56" s="559"/>
      <c r="Z56" s="559"/>
    </row>
    <row r="57" spans="1:26" ht="18" hidden="1" customHeight="1" x14ac:dyDescent="0.35">
      <c r="A57" s="559"/>
      <c r="B57" s="559"/>
      <c r="C57" s="559"/>
      <c r="D57" s="559"/>
      <c r="E57" s="559"/>
      <c r="F57" s="559"/>
      <c r="G57" s="559"/>
      <c r="H57" s="559"/>
      <c r="I57" s="559"/>
      <c r="J57" s="624"/>
      <c r="K57" s="624"/>
      <c r="L57" s="625"/>
      <c r="M57" s="625"/>
      <c r="N57" s="626"/>
      <c r="O57" s="625"/>
      <c r="P57" s="559"/>
      <c r="Q57" s="627"/>
      <c r="R57" s="559"/>
      <c r="S57" s="559"/>
      <c r="T57" s="559"/>
      <c r="U57" s="559"/>
      <c r="V57" s="559"/>
      <c r="W57" s="559"/>
      <c r="X57" s="559"/>
      <c r="Y57" s="559"/>
      <c r="Z57" s="559"/>
    </row>
    <row r="58" spans="1:26" ht="18" hidden="1" customHeight="1" x14ac:dyDescent="0.35">
      <c r="A58" s="573" t="s">
        <v>11</v>
      </c>
      <c r="B58" s="584" t="s">
        <v>56</v>
      </c>
      <c r="C58" s="621">
        <f>C52</f>
        <v>9.6999999999999993</v>
      </c>
      <c r="D58" s="584">
        <f>IF(D52&gt;80,9.4,7)</f>
        <v>7</v>
      </c>
      <c r="E58" s="579" t="str">
        <f>IF($C$15="Pin raboté 4 faces","Barres 21 R4F","Barres 19 mm")</f>
        <v>Barres 21 R4F</v>
      </c>
      <c r="F58" s="584">
        <v>4</v>
      </c>
      <c r="G58" s="559"/>
      <c r="H58" s="559"/>
      <c r="I58" s="559"/>
      <c r="J58" s="624">
        <f t="shared" ref="J58:J67" si="14">IF(C58=0,0,(C58/100)*(D58/100)*F58)</f>
        <v>2.716E-2</v>
      </c>
      <c r="K58" s="624">
        <f t="shared" ref="K58:K67" si="15">J58/0.8</f>
        <v>3.3950000000000001E-2</v>
      </c>
      <c r="L58" s="625" t="s">
        <v>663</v>
      </c>
      <c r="M58" s="625" t="e">
        <f t="shared" ref="M58:M67" si="16">L58*K58</f>
        <v>#VALUE!</v>
      </c>
      <c r="N58" s="626">
        <f t="shared" ref="N58:N67" si="17">IF(J58=0,0,1+(11*J58))</f>
        <v>1.2987600000000001</v>
      </c>
      <c r="O58" s="625">
        <f t="shared" ref="O58:O67" si="18">N58*'Caisse Cuvette'!MinuteMO</f>
        <v>1.1039460000000001</v>
      </c>
      <c r="P58" s="559"/>
      <c r="Q58" s="627" t="s">
        <v>663</v>
      </c>
      <c r="R58" s="559"/>
      <c r="S58" s="559"/>
      <c r="T58" s="559"/>
      <c r="U58" s="559"/>
      <c r="V58" s="559"/>
      <c r="W58" s="559"/>
      <c r="X58" s="559"/>
      <c r="Y58" s="559"/>
      <c r="Z58" s="559"/>
    </row>
    <row r="59" spans="1:26" ht="18" hidden="1" customHeight="1" x14ac:dyDescent="0.35">
      <c r="A59" s="559"/>
      <c r="B59" s="584" t="s">
        <v>57</v>
      </c>
      <c r="C59" s="621">
        <f>D52-2*D58</f>
        <v>-10.4</v>
      </c>
      <c r="D59" s="584">
        <f>D58</f>
        <v>7</v>
      </c>
      <c r="E59" s="579" t="str">
        <f>IF($C$15="Pin raboté 4 faces","Barres 21 R4F",0)</f>
        <v>Barres 21 R4F</v>
      </c>
      <c r="F59" s="584">
        <f>4</f>
        <v>4</v>
      </c>
      <c r="G59" s="559"/>
      <c r="H59" s="559"/>
      <c r="I59" s="559"/>
      <c r="J59" s="624">
        <f t="shared" si="14"/>
        <v>-2.9120000000000007E-2</v>
      </c>
      <c r="K59" s="624">
        <f t="shared" si="15"/>
        <v>-3.6400000000000009E-2</v>
      </c>
      <c r="L59" s="625" t="s">
        <v>663</v>
      </c>
      <c r="M59" s="625" t="e">
        <f t="shared" si="16"/>
        <v>#VALUE!</v>
      </c>
      <c r="N59" s="626">
        <f t="shared" si="17"/>
        <v>0.67967999999999995</v>
      </c>
      <c r="O59" s="625">
        <f t="shared" si="18"/>
        <v>0.57772799999999991</v>
      </c>
      <c r="P59" s="559"/>
      <c r="Q59" s="627" t="s">
        <v>663</v>
      </c>
      <c r="R59" s="559"/>
      <c r="S59" s="559"/>
      <c r="T59" s="559"/>
      <c r="U59" s="559"/>
      <c r="V59" s="559"/>
      <c r="W59" s="559"/>
      <c r="X59" s="559"/>
      <c r="Y59" s="559"/>
      <c r="Z59" s="559"/>
    </row>
    <row r="60" spans="1:26" ht="18" hidden="1" customHeight="1" x14ac:dyDescent="0.35">
      <c r="A60" s="559"/>
      <c r="B60" s="584" t="s">
        <v>177</v>
      </c>
      <c r="C60" s="621">
        <f>C58</f>
        <v>9.6999999999999993</v>
      </c>
      <c r="D60" s="584">
        <f>IF($D$44&lt;80,7,9.4)</f>
        <v>7</v>
      </c>
      <c r="E60" s="579" t="str">
        <f t="shared" ref="E60:E63" si="19">IF($C$15="Pin raboté 4 faces","Barres 21 R4F","Barres 19 mm")</f>
        <v>Barres 21 R4F</v>
      </c>
      <c r="F60" s="584">
        <f t="shared" ref="F60:F61" si="20">IF(D60&lt;14.4,2,4)</f>
        <v>2</v>
      </c>
      <c r="G60" s="559"/>
      <c r="H60" s="559"/>
      <c r="I60" s="559"/>
      <c r="J60" s="624">
        <f t="shared" si="14"/>
        <v>1.358E-2</v>
      </c>
      <c r="K60" s="624">
        <f t="shared" si="15"/>
        <v>1.6975000000000001E-2</v>
      </c>
      <c r="L60" s="625" t="s">
        <v>663</v>
      </c>
      <c r="M60" s="625" t="e">
        <f t="shared" si="16"/>
        <v>#VALUE!</v>
      </c>
      <c r="N60" s="626">
        <f t="shared" si="17"/>
        <v>1.1493800000000001</v>
      </c>
      <c r="O60" s="625">
        <f t="shared" si="18"/>
        <v>0.97697299999999998</v>
      </c>
      <c r="P60" s="559"/>
      <c r="Q60" s="627" t="s">
        <v>663</v>
      </c>
      <c r="R60" s="559"/>
      <c r="S60" s="559"/>
      <c r="T60" s="559"/>
      <c r="U60" s="559"/>
      <c r="V60" s="559"/>
      <c r="W60" s="559"/>
      <c r="X60" s="559"/>
      <c r="Y60" s="559"/>
      <c r="Z60" s="559"/>
    </row>
    <row r="61" spans="1:26" ht="18" hidden="1" customHeight="1" x14ac:dyDescent="0.35">
      <c r="A61" s="559"/>
      <c r="B61" s="584" t="s">
        <v>178</v>
      </c>
      <c r="C61" s="621">
        <f>D53-2*D60</f>
        <v>-4.3000000000000007</v>
      </c>
      <c r="D61" s="584">
        <f>D60</f>
        <v>7</v>
      </c>
      <c r="E61" s="579" t="str">
        <f t="shared" si="19"/>
        <v>Barres 21 R4F</v>
      </c>
      <c r="F61" s="584">
        <f t="shared" si="20"/>
        <v>2</v>
      </c>
      <c r="G61" s="559"/>
      <c r="H61" s="559"/>
      <c r="I61" s="559"/>
      <c r="J61" s="624">
        <f t="shared" si="14"/>
        <v>-6.0200000000000019E-3</v>
      </c>
      <c r="K61" s="624">
        <f t="shared" si="15"/>
        <v>-7.5250000000000022E-3</v>
      </c>
      <c r="L61" s="625" t="s">
        <v>663</v>
      </c>
      <c r="M61" s="625" t="e">
        <f t="shared" si="16"/>
        <v>#VALUE!</v>
      </c>
      <c r="N61" s="626">
        <f t="shared" si="17"/>
        <v>0.93377999999999994</v>
      </c>
      <c r="O61" s="625">
        <f t="shared" si="18"/>
        <v>0.79371299999999989</v>
      </c>
      <c r="P61" s="559"/>
      <c r="Q61" s="627" t="s">
        <v>663</v>
      </c>
      <c r="R61" s="559"/>
      <c r="S61" s="559"/>
      <c r="T61" s="559"/>
      <c r="U61" s="559"/>
      <c r="V61" s="559"/>
      <c r="W61" s="559"/>
      <c r="X61" s="559"/>
      <c r="Y61" s="559"/>
      <c r="Z61" s="559"/>
    </row>
    <row r="62" spans="1:26" ht="18" hidden="1" customHeight="1" x14ac:dyDescent="0.35">
      <c r="A62" s="559"/>
      <c r="B62" s="584" t="s">
        <v>179</v>
      </c>
      <c r="C62" s="621">
        <f>C44</f>
        <v>2.5</v>
      </c>
      <c r="D62" s="584">
        <v>7</v>
      </c>
      <c r="E62" s="579" t="str">
        <f t="shared" si="19"/>
        <v>Barres 21 R4F</v>
      </c>
      <c r="F62" s="584">
        <f>IF(D44&gt;70,3,2)</f>
        <v>2</v>
      </c>
      <c r="G62" s="559"/>
      <c r="H62" s="559"/>
      <c r="I62" s="559"/>
      <c r="J62" s="624">
        <f t="shared" si="14"/>
        <v>3.5000000000000005E-3</v>
      </c>
      <c r="K62" s="624">
        <f t="shared" si="15"/>
        <v>4.3750000000000004E-3</v>
      </c>
      <c r="L62" s="625" t="s">
        <v>663</v>
      </c>
      <c r="M62" s="625" t="e">
        <f t="shared" si="16"/>
        <v>#VALUE!</v>
      </c>
      <c r="N62" s="626">
        <f t="shared" si="17"/>
        <v>1.0385</v>
      </c>
      <c r="O62" s="625">
        <f t="shared" si="18"/>
        <v>0.88272499999999998</v>
      </c>
      <c r="P62" s="559"/>
      <c r="Q62" s="627" t="s">
        <v>663</v>
      </c>
      <c r="R62" s="559"/>
      <c r="S62" s="559"/>
      <c r="T62" s="559"/>
      <c r="U62" s="559"/>
      <c r="V62" s="559"/>
      <c r="W62" s="559"/>
      <c r="X62" s="559"/>
      <c r="Y62" s="559"/>
      <c r="Z62" s="559"/>
    </row>
    <row r="63" spans="1:26" ht="18" hidden="1" customHeight="1" x14ac:dyDescent="0.35">
      <c r="A63" s="559"/>
      <c r="B63" s="584" t="s">
        <v>180</v>
      </c>
      <c r="C63" s="621">
        <f>(D44-(D62*F62))/(F62-1)</f>
        <v>-11.5</v>
      </c>
      <c r="D63" s="584">
        <v>7</v>
      </c>
      <c r="E63" s="579" t="str">
        <f t="shared" si="19"/>
        <v>Barres 21 R4F</v>
      </c>
      <c r="F63" s="584">
        <f>IF(F62=2,2,4)</f>
        <v>2</v>
      </c>
      <c r="G63" s="559"/>
      <c r="H63" s="559"/>
      <c r="I63" s="559"/>
      <c r="J63" s="624">
        <f t="shared" si="14"/>
        <v>-1.6100000000000003E-2</v>
      </c>
      <c r="K63" s="624">
        <f t="shared" si="15"/>
        <v>-2.0125000000000004E-2</v>
      </c>
      <c r="L63" s="625" t="s">
        <v>663</v>
      </c>
      <c r="M63" s="625" t="e">
        <f t="shared" si="16"/>
        <v>#VALUE!</v>
      </c>
      <c r="N63" s="626">
        <f t="shared" si="17"/>
        <v>0.82289999999999996</v>
      </c>
      <c r="O63" s="625">
        <f t="shared" si="18"/>
        <v>0.699465</v>
      </c>
      <c r="P63" s="559"/>
      <c r="Q63" s="627" t="s">
        <v>663</v>
      </c>
      <c r="R63" s="559"/>
      <c r="S63" s="559"/>
      <c r="T63" s="559"/>
      <c r="U63" s="559"/>
      <c r="V63" s="559"/>
      <c r="W63" s="559"/>
      <c r="X63" s="559"/>
      <c r="Y63" s="559"/>
      <c r="Z63" s="559"/>
    </row>
    <row r="64" spans="1:26" ht="18" hidden="1" customHeight="1" x14ac:dyDescent="0.35">
      <c r="A64" s="559"/>
      <c r="B64" s="584" t="str">
        <f>F21</f>
        <v>10 dessous en skis</v>
      </c>
      <c r="C64" s="621">
        <f>IF(B64="10 dessous en skis", (C58-70)/2,IF(B64="10 dessous en semelles",D53,C60-10))</f>
        <v>-30.15</v>
      </c>
      <c r="D64" s="584">
        <f>IF($F$10="BOVIS",9.4,7)</f>
        <v>7</v>
      </c>
      <c r="E64" s="579" t="str">
        <f>IF(B64="skis","Barres 21 R4F","Semelles R4F")</f>
        <v>Semelles R4F</v>
      </c>
      <c r="F64" s="584">
        <f>IF(B64="10 dessous en skis",6,IF(B64="10 dessous en semelles",2,2))</f>
        <v>6</v>
      </c>
      <c r="G64" s="559"/>
      <c r="H64" s="559"/>
      <c r="I64" s="559"/>
      <c r="J64" s="624">
        <f t="shared" si="14"/>
        <v>-0.12663000000000002</v>
      </c>
      <c r="K64" s="624">
        <f t="shared" si="15"/>
        <v>-0.15828750000000003</v>
      </c>
      <c r="L64" s="625" t="s">
        <v>663</v>
      </c>
      <c r="M64" s="625" t="e">
        <f t="shared" si="16"/>
        <v>#VALUE!</v>
      </c>
      <c r="N64" s="626">
        <f t="shared" si="17"/>
        <v>-0.39293000000000022</v>
      </c>
      <c r="O64" s="625">
        <f t="shared" si="18"/>
        <v>-0.33399050000000019</v>
      </c>
      <c r="P64" s="559"/>
      <c r="Q64" s="627" t="s">
        <v>663</v>
      </c>
      <c r="R64" s="559"/>
      <c r="S64" s="559"/>
      <c r="T64" s="559"/>
      <c r="U64" s="559"/>
      <c r="V64" s="559"/>
      <c r="W64" s="559"/>
      <c r="X64" s="559"/>
      <c r="Y64" s="559"/>
      <c r="Z64" s="559"/>
    </row>
    <row r="65" spans="1:26" ht="18" hidden="1" customHeight="1" x14ac:dyDescent="0.35">
      <c r="A65" s="559"/>
      <c r="B65" s="584" t="s">
        <v>59</v>
      </c>
      <c r="C65" s="621">
        <f>IF($D$55&lt;14.4,0,C55)</f>
        <v>0</v>
      </c>
      <c r="D65" s="584">
        <f>IF(D44&lt;14.4,0,D58)</f>
        <v>0</v>
      </c>
      <c r="E65" s="579" t="str">
        <f t="shared" ref="E65:E66" si="21">IF($C$15="Pin raboté 4 faces","Barres 21 R4F","Barres 19 mm")</f>
        <v>Barres 21 R4F</v>
      </c>
      <c r="F65" s="584">
        <f>IF(D44&lt;14.4,0,4)</f>
        <v>0</v>
      </c>
      <c r="G65" s="559"/>
      <c r="H65" s="559"/>
      <c r="I65" s="559"/>
      <c r="J65" s="624">
        <f t="shared" si="14"/>
        <v>0</v>
      </c>
      <c r="K65" s="624">
        <f t="shared" si="15"/>
        <v>0</v>
      </c>
      <c r="L65" s="625" t="s">
        <v>663</v>
      </c>
      <c r="M65" s="625" t="e">
        <f t="shared" si="16"/>
        <v>#VALUE!</v>
      </c>
      <c r="N65" s="626">
        <f t="shared" si="17"/>
        <v>0</v>
      </c>
      <c r="O65" s="625">
        <f t="shared" si="18"/>
        <v>0</v>
      </c>
      <c r="P65" s="559"/>
      <c r="Q65" s="627">
        <v>0</v>
      </c>
      <c r="R65" s="559"/>
      <c r="S65" s="559"/>
      <c r="T65" s="559"/>
      <c r="U65" s="559"/>
      <c r="V65" s="559"/>
      <c r="W65" s="559"/>
      <c r="X65" s="559"/>
      <c r="Y65" s="559"/>
      <c r="Z65" s="559"/>
    </row>
    <row r="66" spans="1:26" ht="18" hidden="1" customHeight="1" x14ac:dyDescent="0.35">
      <c r="A66" s="559"/>
      <c r="B66" s="584" t="s">
        <v>60</v>
      </c>
      <c r="C66" s="584">
        <f>IF(D44&lt;14.4,E45,D55-2*D65)</f>
        <v>0</v>
      </c>
      <c r="D66" s="584">
        <f>IF($D$44&lt;14.4,$D$44,IF($D$44&lt;20,5,7))</f>
        <v>2.5</v>
      </c>
      <c r="E66" s="579" t="str">
        <f t="shared" si="21"/>
        <v>Barres 21 R4F</v>
      </c>
      <c r="F66" s="584">
        <f>IF(D44&lt;14.4,2,4)</f>
        <v>2</v>
      </c>
      <c r="G66" s="559"/>
      <c r="H66" s="559"/>
      <c r="I66" s="559"/>
      <c r="J66" s="624">
        <f t="shared" si="14"/>
        <v>0</v>
      </c>
      <c r="K66" s="624">
        <f t="shared" si="15"/>
        <v>0</v>
      </c>
      <c r="L66" s="625" t="s">
        <v>663</v>
      </c>
      <c r="M66" s="625" t="e">
        <f t="shared" si="16"/>
        <v>#VALUE!</v>
      </c>
      <c r="N66" s="626">
        <f t="shared" si="17"/>
        <v>0</v>
      </c>
      <c r="O66" s="625">
        <f t="shared" si="18"/>
        <v>0</v>
      </c>
      <c r="P66" s="559"/>
      <c r="Q66" s="627">
        <v>0</v>
      </c>
      <c r="R66" s="559"/>
      <c r="S66" s="559"/>
      <c r="T66" s="559"/>
      <c r="U66" s="559"/>
      <c r="V66" s="559"/>
      <c r="W66" s="559"/>
      <c r="X66" s="559"/>
      <c r="Y66" s="559"/>
      <c r="Z66" s="559"/>
    </row>
    <row r="67" spans="1:26" ht="18" hidden="1" customHeight="1" x14ac:dyDescent="0.35">
      <c r="A67" s="559"/>
      <c r="B67" s="584">
        <f>IF(D44&lt;14.4,0,IF(C21="Bois","Poignées",IF(C21="Métal x 2 sur bouts","Supports poignées",0)))</f>
        <v>0</v>
      </c>
      <c r="C67" s="584">
        <f>IF(B67="Poignées",D44+VLOOKUP(C13,A223:D224,4)*2+4.2,IF(B67="Supports poignées",D44-2*D66,0))</f>
        <v>0</v>
      </c>
      <c r="D67" s="584">
        <f>IF(B67="Poignées",7,IF(B67="Supports poignées",9.4,0))</f>
        <v>0</v>
      </c>
      <c r="E67" s="579" t="s">
        <v>61</v>
      </c>
      <c r="F67" s="584">
        <f>IF(B67=0,0,2)</f>
        <v>0</v>
      </c>
      <c r="G67" s="559"/>
      <c r="H67" s="559"/>
      <c r="I67" s="559"/>
      <c r="J67" s="624">
        <f t="shared" si="14"/>
        <v>0</v>
      </c>
      <c r="K67" s="624">
        <f t="shared" si="15"/>
        <v>0</v>
      </c>
      <c r="L67" s="625" t="s">
        <v>663</v>
      </c>
      <c r="M67" s="625" t="e">
        <f t="shared" si="16"/>
        <v>#VALUE!</v>
      </c>
      <c r="N67" s="626">
        <f t="shared" si="17"/>
        <v>0</v>
      </c>
      <c r="O67" s="625">
        <f t="shared" si="18"/>
        <v>0</v>
      </c>
      <c r="P67" s="559"/>
      <c r="Q67" s="627">
        <v>0</v>
      </c>
      <c r="R67" s="559"/>
      <c r="S67" s="559"/>
      <c r="T67" s="559"/>
      <c r="U67" s="559"/>
      <c r="V67" s="559"/>
      <c r="W67" s="559"/>
      <c r="X67" s="559"/>
      <c r="Y67" s="559"/>
      <c r="Z67" s="559"/>
    </row>
    <row r="68" spans="1:26" ht="18" hidden="1" customHeight="1" x14ac:dyDescent="0.35">
      <c r="A68" s="559"/>
      <c r="B68" s="559"/>
      <c r="C68" s="559"/>
      <c r="D68" s="559"/>
      <c r="E68" s="559"/>
      <c r="F68" s="559"/>
      <c r="G68" s="559"/>
      <c r="H68" s="559"/>
      <c r="I68" s="559"/>
      <c r="J68" s="624"/>
      <c r="K68" s="624"/>
      <c r="L68" s="625"/>
      <c r="M68" s="625"/>
      <c r="N68" s="626"/>
      <c r="O68" s="625"/>
      <c r="P68" s="559"/>
      <c r="Q68" s="627"/>
      <c r="R68" s="559"/>
      <c r="S68" s="559"/>
      <c r="T68" s="559"/>
      <c r="U68" s="559"/>
      <c r="V68" s="559"/>
      <c r="W68" s="559"/>
      <c r="X68" s="559"/>
      <c r="Y68" s="559"/>
      <c r="Z68" s="559"/>
    </row>
    <row r="69" spans="1:26" ht="18" hidden="1" customHeight="1" x14ac:dyDescent="0.35">
      <c r="A69" s="559"/>
      <c r="B69" s="559"/>
      <c r="C69" s="559"/>
      <c r="D69" s="559"/>
      <c r="E69" s="559"/>
      <c r="F69" s="559"/>
      <c r="G69" s="559"/>
      <c r="H69" s="559"/>
      <c r="I69" s="559"/>
      <c r="J69" s="624"/>
      <c r="K69" s="624"/>
      <c r="L69" s="625"/>
      <c r="M69" s="625"/>
      <c r="N69" s="626"/>
      <c r="O69" s="625"/>
      <c r="P69" s="559"/>
      <c r="Q69" s="627"/>
      <c r="R69" s="559"/>
      <c r="S69" s="559"/>
      <c r="T69" s="559"/>
      <c r="U69" s="559"/>
      <c r="V69" s="559"/>
      <c r="W69" s="559"/>
      <c r="X69" s="559"/>
      <c r="Y69" s="559"/>
      <c r="Z69" s="559"/>
    </row>
    <row r="70" spans="1:26" ht="18" hidden="1" customHeight="1" x14ac:dyDescent="0.35">
      <c r="A70" s="573" t="s">
        <v>62</v>
      </c>
      <c r="B70" s="584" t="s">
        <v>63</v>
      </c>
      <c r="C70" s="584">
        <f>IF(F70=0,0,C74+VLOOKUP($C$17,A204:S210,5))</f>
        <v>0</v>
      </c>
      <c r="D70" s="584">
        <f>IF(F70=0,0,E44-VLOOKUP($C$17,A204:S210,5))</f>
        <v>0</v>
      </c>
      <c r="E70" s="579">
        <f>VLOOKUP($C$17,A204:S210,6)</f>
        <v>0</v>
      </c>
      <c r="F70" s="584">
        <f>VLOOKUP($C$17,A204:S210,7)</f>
        <v>0</v>
      </c>
      <c r="G70" s="559"/>
      <c r="H70" s="559"/>
      <c r="I70" s="559"/>
      <c r="J70" s="624">
        <f t="shared" ref="J70:J72" si="22">IF(C70=0,0,(C70/100)*(D70/100)*F70)</f>
        <v>0</v>
      </c>
      <c r="K70" s="624">
        <f t="shared" ref="K70:K72" si="23">J70/0.8</f>
        <v>0</v>
      </c>
      <c r="L70" s="625">
        <v>0</v>
      </c>
      <c r="M70" s="625">
        <f t="shared" ref="M70:M72" si="24">L70*K70</f>
        <v>0</v>
      </c>
      <c r="N70" s="626">
        <f t="shared" ref="N70:N72" si="25">IF(J70=0,0,(4.7283*J70)+3)</f>
        <v>0</v>
      </c>
      <c r="O70" s="625">
        <f t="shared" ref="O70:O72" si="26">N70*'Caisse Cuvette'!MinuteMO</f>
        <v>0</v>
      </c>
      <c r="P70" s="559"/>
      <c r="Q70" s="627">
        <v>0</v>
      </c>
      <c r="R70" s="559"/>
      <c r="S70" s="559"/>
      <c r="T70" s="559"/>
      <c r="U70" s="559"/>
      <c r="V70" s="559"/>
      <c r="W70" s="559"/>
      <c r="X70" s="559"/>
      <c r="Y70" s="559"/>
      <c r="Z70" s="559"/>
    </row>
    <row r="71" spans="1:26" ht="18" hidden="1" customHeight="1" x14ac:dyDescent="0.35">
      <c r="A71" s="559"/>
      <c r="B71" s="584" t="s">
        <v>54</v>
      </c>
      <c r="C71" s="584">
        <f>IF(F71=0,0,C74+VLOOKUP($C$17,A204:S210,5))</f>
        <v>0</v>
      </c>
      <c r="D71" s="584">
        <f>IF(F71=0,0,D44)</f>
        <v>0</v>
      </c>
      <c r="E71" s="579">
        <f>IF($C$17="Aucun",0,VLOOKUP($C$17,A204:S210,6))</f>
        <v>0</v>
      </c>
      <c r="F71" s="584">
        <f>VLOOKUP($C$17,A204:S210,7)</f>
        <v>0</v>
      </c>
      <c r="G71" s="559"/>
      <c r="H71" s="559"/>
      <c r="I71" s="559"/>
      <c r="J71" s="624">
        <f t="shared" si="22"/>
        <v>0</v>
      </c>
      <c r="K71" s="624">
        <f t="shared" si="23"/>
        <v>0</v>
      </c>
      <c r="L71" s="625">
        <v>0</v>
      </c>
      <c r="M71" s="625">
        <f t="shared" si="24"/>
        <v>0</v>
      </c>
      <c r="N71" s="626">
        <f t="shared" si="25"/>
        <v>0</v>
      </c>
      <c r="O71" s="625">
        <f t="shared" si="26"/>
        <v>0</v>
      </c>
      <c r="P71" s="559"/>
      <c r="Q71" s="627">
        <v>0</v>
      </c>
      <c r="R71" s="559"/>
      <c r="S71" s="559"/>
      <c r="T71" s="559"/>
      <c r="U71" s="559"/>
      <c r="V71" s="559"/>
      <c r="W71" s="559"/>
      <c r="X71" s="559"/>
      <c r="Y71" s="559"/>
      <c r="Z71" s="559"/>
    </row>
    <row r="72" spans="1:26" ht="18" hidden="1" customHeight="1" x14ac:dyDescent="0.35">
      <c r="A72" s="559"/>
      <c r="B72" s="584" t="s">
        <v>55</v>
      </c>
      <c r="C72" s="584">
        <f>IF(F72=0,0,D70)</f>
        <v>0</v>
      </c>
      <c r="D72" s="584">
        <f>IF(F72=0,0,D74)</f>
        <v>0</v>
      </c>
      <c r="E72" s="579">
        <f>IF($C$17="Aucun",0,VLOOKUP($C$17,A204:S210,6))</f>
        <v>0</v>
      </c>
      <c r="F72" s="584">
        <f>VLOOKUP($C$17,A204:S210,7)</f>
        <v>0</v>
      </c>
      <c r="G72" s="559"/>
      <c r="H72" s="559"/>
      <c r="I72" s="559"/>
      <c r="J72" s="624">
        <f t="shared" si="22"/>
        <v>0</v>
      </c>
      <c r="K72" s="624">
        <f t="shared" si="23"/>
        <v>0</v>
      </c>
      <c r="L72" s="625">
        <v>0</v>
      </c>
      <c r="M72" s="625">
        <f t="shared" si="24"/>
        <v>0</v>
      </c>
      <c r="N72" s="626">
        <f t="shared" si="25"/>
        <v>0</v>
      </c>
      <c r="O72" s="625">
        <f t="shared" si="26"/>
        <v>0</v>
      </c>
      <c r="P72" s="559"/>
      <c r="Q72" s="627">
        <v>0</v>
      </c>
      <c r="R72" s="559"/>
      <c r="S72" s="559"/>
      <c r="T72" s="559"/>
      <c r="U72" s="559"/>
      <c r="V72" s="559"/>
      <c r="W72" s="559"/>
      <c r="X72" s="559"/>
      <c r="Y72" s="559"/>
      <c r="Z72" s="559"/>
    </row>
    <row r="73" spans="1:26" ht="18" hidden="1" customHeight="1" x14ac:dyDescent="0.35">
      <c r="A73" s="559"/>
      <c r="B73" s="559"/>
      <c r="C73" s="559"/>
      <c r="D73" s="559"/>
      <c r="E73" s="559"/>
      <c r="F73" s="559"/>
      <c r="G73" s="559"/>
      <c r="H73" s="559"/>
      <c r="I73" s="559"/>
      <c r="J73" s="624"/>
      <c r="K73" s="624"/>
      <c r="L73" s="625"/>
      <c r="M73" s="625"/>
      <c r="N73" s="626"/>
      <c r="O73" s="625"/>
      <c r="P73" s="559"/>
      <c r="Q73" s="627"/>
      <c r="R73" s="559"/>
      <c r="S73" s="559"/>
      <c r="T73" s="559"/>
      <c r="U73" s="559"/>
      <c r="V73" s="559"/>
      <c r="W73" s="559"/>
      <c r="X73" s="559"/>
      <c r="Y73" s="559"/>
      <c r="Z73" s="559"/>
    </row>
    <row r="74" spans="1:26" ht="18" hidden="1" customHeight="1" x14ac:dyDescent="0.35">
      <c r="A74" s="559"/>
      <c r="B74" s="559" t="s">
        <v>64</v>
      </c>
      <c r="C74" s="559">
        <f t="shared" ref="C74:E74" si="27">C44-VLOOKUP($C$17,$A$204:$S$210,5)</f>
        <v>2.5</v>
      </c>
      <c r="D74" s="559">
        <f t="shared" si="27"/>
        <v>2.5</v>
      </c>
      <c r="E74" s="559">
        <f t="shared" si="27"/>
        <v>0</v>
      </c>
      <c r="F74" s="559"/>
      <c r="G74" s="559"/>
      <c r="H74" s="559"/>
      <c r="I74" s="559"/>
      <c r="J74" s="624"/>
      <c r="K74" s="624"/>
      <c r="L74" s="625"/>
      <c r="M74" s="625"/>
      <c r="N74" s="626"/>
      <c r="O74" s="625"/>
      <c r="P74" s="559"/>
      <c r="Q74" s="627">
        <f>IF(J74=0,0,J74*VLOOKUP(E74,'[1]Prix Matiere'!$A$4:$L$60,12))</f>
        <v>0</v>
      </c>
      <c r="R74" s="559"/>
      <c r="S74" s="559"/>
      <c r="T74" s="559"/>
      <c r="U74" s="559"/>
      <c r="V74" s="559"/>
      <c r="W74" s="559"/>
      <c r="X74" s="559"/>
      <c r="Y74" s="559"/>
      <c r="Z74" s="559"/>
    </row>
    <row r="75" spans="1:26" ht="18" hidden="1" customHeight="1" x14ac:dyDescent="0.35">
      <c r="A75" s="559"/>
      <c r="B75" s="559"/>
      <c r="C75" s="559"/>
      <c r="D75" s="559"/>
      <c r="E75" s="559"/>
      <c r="F75" s="559"/>
      <c r="G75" s="559"/>
      <c r="H75" s="559"/>
      <c r="I75" s="559"/>
      <c r="J75" s="624"/>
      <c r="K75" s="624"/>
      <c r="L75" s="625"/>
      <c r="M75" s="625"/>
      <c r="N75" s="626"/>
      <c r="O75" s="625"/>
      <c r="P75" s="559"/>
      <c r="Q75" s="627"/>
      <c r="R75" s="559"/>
      <c r="S75" s="559"/>
      <c r="T75" s="559"/>
      <c r="U75" s="559"/>
      <c r="V75" s="559"/>
      <c r="W75" s="559"/>
      <c r="X75" s="559"/>
      <c r="Y75" s="559"/>
      <c r="Z75" s="559"/>
    </row>
    <row r="76" spans="1:26" ht="18" hidden="1" customHeight="1" x14ac:dyDescent="0.35">
      <c r="A76" s="573" t="s">
        <v>65</v>
      </c>
      <c r="B76" s="584" t="s">
        <v>63</v>
      </c>
      <c r="C76" s="584">
        <f>IF(F76=0,0,C80+VLOOKUP($C$17,A204:S210,8))</f>
        <v>0</v>
      </c>
      <c r="D76" s="584">
        <f>IF(F76=0,0,E80)</f>
        <v>0</v>
      </c>
      <c r="E76" s="579">
        <f>VLOOKUP($C$17,A204:S210,9)</f>
        <v>0</v>
      </c>
      <c r="F76" s="584">
        <f>VLOOKUP($C$17,A204:S210,10)</f>
        <v>0</v>
      </c>
      <c r="G76" s="559"/>
      <c r="H76" s="559"/>
      <c r="I76" s="559"/>
      <c r="J76" s="624">
        <f t="shared" ref="J76:J78" si="28">IF(C76=0,0,(C76/100)*(D76/100)*F76)</f>
        <v>0</v>
      </c>
      <c r="K76" s="624">
        <f t="shared" ref="K76:K78" si="29">J76/0.8</f>
        <v>0</v>
      </c>
      <c r="L76" s="625">
        <v>0</v>
      </c>
      <c r="M76" s="625">
        <f t="shared" ref="M76:M78" si="30">L76*K76</f>
        <v>0</v>
      </c>
      <c r="N76" s="626">
        <f t="shared" ref="N76:N78" si="31">IF(J76=0,0,(3.94*J76)+5)</f>
        <v>0</v>
      </c>
      <c r="O76" s="625">
        <f t="shared" ref="O76:O78" si="32">N76*'Caisse Cuvette'!MinuteMO</f>
        <v>0</v>
      </c>
      <c r="P76" s="559"/>
      <c r="Q76" s="627">
        <v>0</v>
      </c>
      <c r="R76" s="559"/>
      <c r="S76" s="559"/>
      <c r="T76" s="559"/>
      <c r="U76" s="559"/>
      <c r="V76" s="559"/>
      <c r="W76" s="559"/>
      <c r="X76" s="559"/>
      <c r="Y76" s="559"/>
      <c r="Z76" s="559"/>
    </row>
    <row r="77" spans="1:26" ht="18" hidden="1" customHeight="1" x14ac:dyDescent="0.35">
      <c r="A77" s="559"/>
      <c r="B77" s="584" t="s">
        <v>54</v>
      </c>
      <c r="C77" s="584">
        <f>IF(F77=0,0,C80+VLOOKUP($C$17,A204:S210,8))</f>
        <v>0</v>
      </c>
      <c r="D77" s="584">
        <f>IF(F77=0,0,D74)</f>
        <v>0</v>
      </c>
      <c r="E77" s="579">
        <f>VLOOKUP($C$17,A204:S210,9)</f>
        <v>0</v>
      </c>
      <c r="F77" s="584">
        <f>VLOOKUP($C$17,A204:S210,10)</f>
        <v>0</v>
      </c>
      <c r="G77" s="559"/>
      <c r="H77" s="559"/>
      <c r="I77" s="559"/>
      <c r="J77" s="624">
        <f t="shared" si="28"/>
        <v>0</v>
      </c>
      <c r="K77" s="624">
        <f t="shared" si="29"/>
        <v>0</v>
      </c>
      <c r="L77" s="625">
        <v>0</v>
      </c>
      <c r="M77" s="625">
        <f t="shared" si="30"/>
        <v>0</v>
      </c>
      <c r="N77" s="626">
        <f t="shared" si="31"/>
        <v>0</v>
      </c>
      <c r="O77" s="625">
        <f t="shared" si="32"/>
        <v>0</v>
      </c>
      <c r="P77" s="559"/>
      <c r="Q77" s="627">
        <v>0</v>
      </c>
      <c r="R77" s="559"/>
      <c r="S77" s="559"/>
      <c r="T77" s="559"/>
      <c r="U77" s="559"/>
      <c r="V77" s="559"/>
      <c r="W77" s="559"/>
      <c r="X77" s="559"/>
      <c r="Y77" s="559"/>
      <c r="Z77" s="559"/>
    </row>
    <row r="78" spans="1:26" ht="18" hidden="1" customHeight="1" x14ac:dyDescent="0.35">
      <c r="A78" s="559"/>
      <c r="B78" s="584" t="s">
        <v>55</v>
      </c>
      <c r="C78" s="584">
        <f>IF(F78=0,0,E80)</f>
        <v>0</v>
      </c>
      <c r="D78" s="584">
        <f>IF(F78=0,0,D80)</f>
        <v>0</v>
      </c>
      <c r="E78" s="579">
        <f>VLOOKUP($C$17,A204:S210,9)</f>
        <v>0</v>
      </c>
      <c r="F78" s="584">
        <f>VLOOKUP($C$17,A204:S210,10)</f>
        <v>0</v>
      </c>
      <c r="G78" s="559"/>
      <c r="H78" s="559"/>
      <c r="I78" s="559"/>
      <c r="J78" s="624">
        <f t="shared" si="28"/>
        <v>0</v>
      </c>
      <c r="K78" s="624">
        <f t="shared" si="29"/>
        <v>0</v>
      </c>
      <c r="L78" s="625">
        <v>0</v>
      </c>
      <c r="M78" s="625">
        <f t="shared" si="30"/>
        <v>0</v>
      </c>
      <c r="N78" s="626">
        <f t="shared" si="31"/>
        <v>0</v>
      </c>
      <c r="O78" s="625">
        <f t="shared" si="32"/>
        <v>0</v>
      </c>
      <c r="P78" s="559"/>
      <c r="Q78" s="627">
        <v>0</v>
      </c>
      <c r="R78" s="559"/>
      <c r="S78" s="559"/>
      <c r="T78" s="559"/>
      <c r="U78" s="559"/>
      <c r="V78" s="559"/>
      <c r="W78" s="559"/>
      <c r="X78" s="559"/>
      <c r="Y78" s="559"/>
      <c r="Z78" s="559"/>
    </row>
    <row r="79" spans="1:26" ht="18" hidden="1" customHeight="1" x14ac:dyDescent="0.35">
      <c r="A79" s="559"/>
      <c r="B79" s="559"/>
      <c r="C79" s="559"/>
      <c r="D79" s="559"/>
      <c r="E79" s="559"/>
      <c r="F79" s="559"/>
      <c r="G79" s="559"/>
      <c r="H79" s="559"/>
      <c r="I79" s="559"/>
      <c r="J79" s="624"/>
      <c r="K79" s="624"/>
      <c r="L79" s="625"/>
      <c r="M79" s="625"/>
      <c r="N79" s="626"/>
      <c r="O79" s="625"/>
      <c r="P79" s="559"/>
      <c r="Q79" s="627"/>
      <c r="R79" s="559"/>
      <c r="S79" s="559"/>
      <c r="T79" s="559"/>
      <c r="U79" s="559"/>
      <c r="V79" s="559"/>
      <c r="W79" s="559"/>
      <c r="X79" s="559"/>
      <c r="Y79" s="559"/>
      <c r="Z79" s="559"/>
    </row>
    <row r="80" spans="1:26" ht="18" hidden="1" customHeight="1" x14ac:dyDescent="0.35">
      <c r="A80" s="559"/>
      <c r="B80" s="559" t="s">
        <v>66</v>
      </c>
      <c r="C80" s="559">
        <f t="shared" ref="C80:E80" si="33">C74-VLOOKUP($C$17,$A$204:$I$210,8)</f>
        <v>2.5</v>
      </c>
      <c r="D80" s="559">
        <f t="shared" si="33"/>
        <v>2.5</v>
      </c>
      <c r="E80" s="559">
        <f t="shared" si="33"/>
        <v>0</v>
      </c>
      <c r="F80" s="559"/>
      <c r="G80" s="559"/>
      <c r="H80" s="559"/>
      <c r="I80" s="559"/>
      <c r="J80" s="624"/>
      <c r="K80" s="624"/>
      <c r="L80" s="625"/>
      <c r="M80" s="625"/>
      <c r="N80" s="626"/>
      <c r="O80" s="625"/>
      <c r="P80" s="559"/>
      <c r="Q80" s="627">
        <f>IF(J80=0,0,J80*VLOOKUP(E80,'[1]Prix Matiere'!$A$4:$L$60,12))</f>
        <v>0</v>
      </c>
      <c r="R80" s="559"/>
      <c r="S80" s="559"/>
      <c r="T80" s="559"/>
      <c r="U80" s="559"/>
      <c r="V80" s="559"/>
      <c r="W80" s="559"/>
      <c r="X80" s="559"/>
      <c r="Y80" s="559"/>
      <c r="Z80" s="559"/>
    </row>
    <row r="81" spans="1:26" ht="18" hidden="1" customHeight="1" x14ac:dyDescent="0.35">
      <c r="A81" s="559"/>
      <c r="B81" s="559"/>
      <c r="C81" s="559"/>
      <c r="D81" s="559"/>
      <c r="E81" s="559"/>
      <c r="F81" s="559"/>
      <c r="G81" s="559"/>
      <c r="H81" s="559"/>
      <c r="I81" s="559"/>
      <c r="J81" s="624"/>
      <c r="K81" s="624"/>
      <c r="L81" s="625"/>
      <c r="M81" s="625"/>
      <c r="N81" s="626"/>
      <c r="O81" s="625"/>
      <c r="P81" s="559"/>
      <c r="Q81" s="627"/>
      <c r="R81" s="559"/>
      <c r="S81" s="559"/>
      <c r="T81" s="559"/>
      <c r="U81" s="559"/>
      <c r="V81" s="559"/>
      <c r="W81" s="559"/>
      <c r="X81" s="559"/>
      <c r="Y81" s="559"/>
      <c r="Z81" s="559"/>
    </row>
    <row r="82" spans="1:26" ht="18" hidden="1" customHeight="1" x14ac:dyDescent="0.35">
      <c r="A82" s="573" t="s">
        <v>67</v>
      </c>
      <c r="B82" s="584" t="s">
        <v>63</v>
      </c>
      <c r="C82" s="584">
        <f>IF(F82=0,0,E80)</f>
        <v>0</v>
      </c>
      <c r="D82" s="584">
        <f>IF(F82=0,0,10)</f>
        <v>0</v>
      </c>
      <c r="E82" s="579">
        <f>VLOOKUP($C$17,A204:S210,12)</f>
        <v>0</v>
      </c>
      <c r="F82" s="584">
        <f>VLOOKUP($C$17,$A$204:$S$210,13)*2</f>
        <v>0</v>
      </c>
      <c r="G82" s="559"/>
      <c r="H82" s="559"/>
      <c r="I82" s="559"/>
      <c r="J82" s="624">
        <f t="shared" ref="J82:J83" si="34">IF(C82=0,0,(C82/100)*(D82/100)*F82)</f>
        <v>0</v>
      </c>
      <c r="K82" s="624">
        <f t="shared" ref="K82:K83" si="35">J82/0.8</f>
        <v>0</v>
      </c>
      <c r="L82" s="625">
        <v>0</v>
      </c>
      <c r="M82" s="625">
        <f t="shared" ref="M82:M83" si="36">L82*K82</f>
        <v>0</v>
      </c>
      <c r="N82" s="626">
        <f t="shared" ref="N82:N83" si="37">IF(J82=0,0,1+(6*J82))</f>
        <v>0</v>
      </c>
      <c r="O82" s="625">
        <f t="shared" ref="O82:O83" si="38">N82*'Caisse Cuvette'!MinuteMO</f>
        <v>0</v>
      </c>
      <c r="P82" s="559"/>
      <c r="Q82" s="627">
        <v>0</v>
      </c>
      <c r="R82" s="559"/>
      <c r="S82" s="559"/>
      <c r="T82" s="559"/>
      <c r="U82" s="559"/>
      <c r="V82" s="559"/>
      <c r="W82" s="559"/>
      <c r="X82" s="559"/>
      <c r="Y82" s="559"/>
      <c r="Z82" s="559"/>
    </row>
    <row r="83" spans="1:26" ht="18" hidden="1" customHeight="1" x14ac:dyDescent="0.35">
      <c r="A83" s="559"/>
      <c r="B83" s="584" t="s">
        <v>54</v>
      </c>
      <c r="C83" s="584">
        <f>IF(F83=0,0,D80-VLOOKUP($C$17,'[1]Objet 1'!A154:S160,11))</f>
        <v>0</v>
      </c>
      <c r="D83" s="584">
        <f>IF(F82=0,0,D82)</f>
        <v>0</v>
      </c>
      <c r="E83" s="579">
        <f>VLOOKUP($C$17,A204:S210,12)</f>
        <v>0</v>
      </c>
      <c r="F83" s="584">
        <f>VLOOKUP($C$17,$A$204:$S$210,13)</f>
        <v>0</v>
      </c>
      <c r="G83" s="559"/>
      <c r="H83" s="559"/>
      <c r="I83" s="559"/>
      <c r="J83" s="624">
        <f t="shared" si="34"/>
        <v>0</v>
      </c>
      <c r="K83" s="624">
        <f t="shared" si="35"/>
        <v>0</v>
      </c>
      <c r="L83" s="625">
        <v>0</v>
      </c>
      <c r="M83" s="625">
        <f t="shared" si="36"/>
        <v>0</v>
      </c>
      <c r="N83" s="626">
        <f t="shared" si="37"/>
        <v>0</v>
      </c>
      <c r="O83" s="625">
        <f t="shared" si="38"/>
        <v>0</v>
      </c>
      <c r="P83" s="559"/>
      <c r="Q83" s="627">
        <v>0</v>
      </c>
      <c r="R83" s="559"/>
      <c r="S83" s="559"/>
      <c r="T83" s="559"/>
      <c r="U83" s="559"/>
      <c r="V83" s="559"/>
      <c r="W83" s="559"/>
      <c r="X83" s="559"/>
      <c r="Y83" s="559"/>
      <c r="Z83" s="559"/>
    </row>
    <row r="84" spans="1:26" ht="18" hidden="1" customHeight="1" x14ac:dyDescent="0.35">
      <c r="A84" s="559"/>
      <c r="B84" s="559"/>
      <c r="C84" s="559"/>
      <c r="D84" s="559"/>
      <c r="E84" s="559"/>
      <c r="F84" s="559"/>
      <c r="G84" s="559"/>
      <c r="H84" s="559"/>
      <c r="I84" s="559"/>
      <c r="J84" s="624"/>
      <c r="K84" s="624"/>
      <c r="L84" s="625"/>
      <c r="M84" s="625"/>
      <c r="N84" s="626"/>
      <c r="O84" s="625"/>
      <c r="P84" s="559"/>
      <c r="Q84" s="627"/>
      <c r="R84" s="559"/>
      <c r="S84" s="559"/>
      <c r="T84" s="559"/>
      <c r="U84" s="559"/>
      <c r="V84" s="559"/>
      <c r="W84" s="559"/>
      <c r="X84" s="559"/>
      <c r="Y84" s="559"/>
      <c r="Z84" s="559"/>
    </row>
    <row r="85" spans="1:26" ht="18" hidden="1" customHeight="1" x14ac:dyDescent="0.35">
      <c r="A85" s="559"/>
      <c r="B85" s="559" t="s">
        <v>68</v>
      </c>
      <c r="C85" s="559">
        <f>C80-VLOOKUP($C$17,A204:S210,11)</f>
        <v>2.5</v>
      </c>
      <c r="D85" s="559">
        <f>D80-VLOOKUP($C$17,A204:S210,11)</f>
        <v>2.5</v>
      </c>
      <c r="E85" s="559">
        <f>E80-VLOOKUP($C$17,A204:S210,11)</f>
        <v>0</v>
      </c>
      <c r="F85" s="559"/>
      <c r="G85" s="559"/>
      <c r="H85" s="559"/>
      <c r="I85" s="559"/>
      <c r="J85" s="624">
        <f>IF(C85=0,0,(C85/100)*(D85/100)*F85)</f>
        <v>0</v>
      </c>
      <c r="K85" s="624">
        <f>J85/0.8</f>
        <v>0</v>
      </c>
      <c r="L85" s="625"/>
      <c r="M85" s="625"/>
      <c r="N85" s="626"/>
      <c r="O85" s="625"/>
      <c r="P85" s="559"/>
      <c r="Q85" s="627">
        <f>IF(J85=0,0,J85*VLOOKUP(E85,'[1]Prix Matiere'!$A$4:$L$60,12))</f>
        <v>0</v>
      </c>
      <c r="R85" s="559"/>
      <c r="S85" s="559"/>
      <c r="T85" s="559"/>
      <c r="U85" s="559"/>
      <c r="V85" s="559"/>
      <c r="W85" s="559"/>
      <c r="X85" s="559"/>
      <c r="Y85" s="559"/>
      <c r="Z85" s="559"/>
    </row>
    <row r="86" spans="1:26" ht="18" hidden="1" customHeight="1" x14ac:dyDescent="0.35">
      <c r="A86" s="559"/>
      <c r="B86" s="559"/>
      <c r="C86" s="559"/>
      <c r="D86" s="559"/>
      <c r="E86" s="559"/>
      <c r="F86" s="559"/>
      <c r="G86" s="559"/>
      <c r="H86" s="559"/>
      <c r="I86" s="559"/>
      <c r="J86" s="624"/>
      <c r="K86" s="624"/>
      <c r="L86" s="625"/>
      <c r="M86" s="625"/>
      <c r="N86" s="626"/>
      <c r="O86" s="625"/>
      <c r="P86" s="559"/>
      <c r="Q86" s="627"/>
      <c r="R86" s="559"/>
      <c r="S86" s="559"/>
      <c r="T86" s="559"/>
      <c r="U86" s="559"/>
      <c r="V86" s="559"/>
      <c r="W86" s="559"/>
      <c r="X86" s="559"/>
      <c r="Y86" s="559"/>
      <c r="Z86" s="559"/>
    </row>
    <row r="87" spans="1:26" ht="18" hidden="1" customHeight="1" x14ac:dyDescent="0.35">
      <c r="A87" s="573" t="s">
        <v>69</v>
      </c>
      <c r="B87" s="584" t="s">
        <v>63</v>
      </c>
      <c r="C87" s="584">
        <f>IF(F87=0,0,C91+VLOOKUP($C$17,A204:S210,14))</f>
        <v>0</v>
      </c>
      <c r="D87" s="584">
        <f>IF(F87=0,0,E91)</f>
        <v>0</v>
      </c>
      <c r="E87" s="579">
        <f>VLOOKUP($C$17,A204:S210,15)</f>
        <v>0</v>
      </c>
      <c r="F87" s="584">
        <f>VLOOKUP($C$17,A204:S210,16)</f>
        <v>0</v>
      </c>
      <c r="G87" s="559"/>
      <c r="H87" s="559"/>
      <c r="I87" s="559"/>
      <c r="J87" s="624">
        <f t="shared" ref="J87:J89" si="39">IF(C87=0,0,(C87/100)*(D87/100)*F87)</f>
        <v>0</v>
      </c>
      <c r="K87" s="624">
        <f t="shared" ref="K87:K89" si="40">J87/0.8</f>
        <v>0</v>
      </c>
      <c r="L87" s="625">
        <v>0</v>
      </c>
      <c r="M87" s="625">
        <f t="shared" ref="M87:M89" si="41">L87*K87</f>
        <v>0</v>
      </c>
      <c r="N87" s="626">
        <f t="shared" ref="N87:N89" si="42">IF(J87=0,0,(3.94*J87)+5)</f>
        <v>0</v>
      </c>
      <c r="O87" s="625">
        <f t="shared" ref="O87:O89" si="43">N87*'Caisse Cuvette'!MinuteMO</f>
        <v>0</v>
      </c>
      <c r="P87" s="559"/>
      <c r="Q87" s="627">
        <v>0</v>
      </c>
      <c r="R87" s="559"/>
      <c r="S87" s="559"/>
      <c r="T87" s="559"/>
      <c r="U87" s="559"/>
      <c r="V87" s="559"/>
      <c r="W87" s="559"/>
      <c r="X87" s="559"/>
      <c r="Y87" s="559"/>
      <c r="Z87" s="559"/>
    </row>
    <row r="88" spans="1:26" ht="18" hidden="1" customHeight="1" x14ac:dyDescent="0.35">
      <c r="A88" s="559"/>
      <c r="B88" s="584" t="s">
        <v>54</v>
      </c>
      <c r="C88" s="584">
        <f>IF(F88=0,0,C91+VLOOKUP($C$17,A204:S210,14))</f>
        <v>0</v>
      </c>
      <c r="D88" s="584">
        <f>IF(F88=0,0,D85)</f>
        <v>0</v>
      </c>
      <c r="E88" s="579">
        <f>VLOOKUP($C$17,A204:S210,15)</f>
        <v>0</v>
      </c>
      <c r="F88" s="584">
        <f>VLOOKUP($C$17,A204:S210,16)</f>
        <v>0</v>
      </c>
      <c r="G88" s="559"/>
      <c r="H88" s="559"/>
      <c r="I88" s="559"/>
      <c r="J88" s="624">
        <f t="shared" si="39"/>
        <v>0</v>
      </c>
      <c r="K88" s="624">
        <f t="shared" si="40"/>
        <v>0</v>
      </c>
      <c r="L88" s="625">
        <v>0</v>
      </c>
      <c r="M88" s="625">
        <f t="shared" si="41"/>
        <v>0</v>
      </c>
      <c r="N88" s="626">
        <f t="shared" si="42"/>
        <v>0</v>
      </c>
      <c r="O88" s="625">
        <f t="shared" si="43"/>
        <v>0</v>
      </c>
      <c r="P88" s="559"/>
      <c r="Q88" s="627">
        <v>0</v>
      </c>
      <c r="R88" s="559"/>
      <c r="S88" s="559"/>
      <c r="T88" s="559"/>
      <c r="U88" s="559"/>
      <c r="V88" s="559"/>
      <c r="W88" s="559"/>
      <c r="X88" s="559"/>
      <c r="Y88" s="559"/>
      <c r="Z88" s="559"/>
    </row>
    <row r="89" spans="1:26" ht="18" hidden="1" customHeight="1" x14ac:dyDescent="0.35">
      <c r="A89" s="559"/>
      <c r="B89" s="584" t="s">
        <v>55</v>
      </c>
      <c r="C89" s="584">
        <f>IF(F89=0,0,E91)</f>
        <v>0</v>
      </c>
      <c r="D89" s="584">
        <f>IF(F89=0,0,D91)</f>
        <v>0</v>
      </c>
      <c r="E89" s="579">
        <f>VLOOKUP($C$17,A204:S210,15)</f>
        <v>0</v>
      </c>
      <c r="F89" s="584">
        <f>VLOOKUP($C$17,A204:S210,16)</f>
        <v>0</v>
      </c>
      <c r="G89" s="559"/>
      <c r="H89" s="559"/>
      <c r="I89" s="559"/>
      <c r="J89" s="624">
        <f t="shared" si="39"/>
        <v>0</v>
      </c>
      <c r="K89" s="624">
        <f t="shared" si="40"/>
        <v>0</v>
      </c>
      <c r="L89" s="625">
        <v>0</v>
      </c>
      <c r="M89" s="625">
        <f t="shared" si="41"/>
        <v>0</v>
      </c>
      <c r="N89" s="626">
        <f t="shared" si="42"/>
        <v>0</v>
      </c>
      <c r="O89" s="625">
        <f t="shared" si="43"/>
        <v>0</v>
      </c>
      <c r="P89" s="559"/>
      <c r="Q89" s="627">
        <v>0</v>
      </c>
      <c r="R89" s="559"/>
      <c r="S89" s="559"/>
      <c r="T89" s="559"/>
      <c r="U89" s="559"/>
      <c r="V89" s="559"/>
      <c r="W89" s="559"/>
      <c r="X89" s="559"/>
      <c r="Y89" s="559"/>
      <c r="Z89" s="559"/>
    </row>
    <row r="90" spans="1:26" ht="18" hidden="1" customHeight="1" x14ac:dyDescent="0.35">
      <c r="A90" s="559"/>
      <c r="B90" s="559"/>
      <c r="C90" s="559"/>
      <c r="D90" s="559"/>
      <c r="E90" s="559"/>
      <c r="F90" s="559"/>
      <c r="G90" s="559"/>
      <c r="H90" s="559"/>
      <c r="I90" s="559"/>
      <c r="J90" s="624"/>
      <c r="K90" s="624"/>
      <c r="L90" s="625"/>
      <c r="M90" s="625"/>
      <c r="N90" s="626"/>
      <c r="O90" s="625"/>
      <c r="P90" s="559"/>
      <c r="Q90" s="627"/>
      <c r="R90" s="559"/>
      <c r="S90" s="559"/>
      <c r="T90" s="559"/>
      <c r="U90" s="559"/>
      <c r="V90" s="559"/>
      <c r="W90" s="559"/>
      <c r="X90" s="559"/>
      <c r="Y90" s="559"/>
      <c r="Z90" s="559"/>
    </row>
    <row r="91" spans="1:26" ht="18" hidden="1" customHeight="1" x14ac:dyDescent="0.35">
      <c r="A91" s="559"/>
      <c r="B91" s="559" t="s">
        <v>66</v>
      </c>
      <c r="C91" s="559">
        <f>C85-VLOOKUP($C$17,A204:S210,14)</f>
        <v>2.5</v>
      </c>
      <c r="D91" s="559">
        <f>D85-VLOOKUP($C$17,A204:S210,14)</f>
        <v>2.5</v>
      </c>
      <c r="E91" s="559">
        <f>E85-VLOOKUP($C$17,A204:S210,14)</f>
        <v>0</v>
      </c>
      <c r="F91" s="559"/>
      <c r="G91" s="559"/>
      <c r="H91" s="559"/>
      <c r="I91" s="559"/>
      <c r="J91" s="624">
        <f>IF(C91=0,0,(C91/100)*(D91/100)*F91)</f>
        <v>0</v>
      </c>
      <c r="K91" s="624">
        <f>J91/0.8</f>
        <v>0</v>
      </c>
      <c r="L91" s="625"/>
      <c r="M91" s="625"/>
      <c r="N91" s="626"/>
      <c r="O91" s="625"/>
      <c r="P91" s="559"/>
      <c r="Q91" s="627">
        <f>IF(J91=0,0,J91*VLOOKUP(E91,'[1]Prix Matiere'!$A$4:$L$60,12))</f>
        <v>0</v>
      </c>
      <c r="R91" s="559"/>
      <c r="S91" s="559"/>
      <c r="T91" s="559"/>
      <c r="U91" s="559"/>
      <c r="V91" s="559"/>
      <c r="W91" s="559"/>
      <c r="X91" s="559"/>
      <c r="Y91" s="559"/>
      <c r="Z91" s="559"/>
    </row>
    <row r="92" spans="1:26" ht="18" hidden="1" customHeight="1" x14ac:dyDescent="0.35">
      <c r="A92" s="559"/>
      <c r="B92" s="559"/>
      <c r="C92" s="559"/>
      <c r="D92" s="559"/>
      <c r="E92" s="559"/>
      <c r="F92" s="559"/>
      <c r="G92" s="559"/>
      <c r="H92" s="559"/>
      <c r="I92" s="559"/>
      <c r="J92" s="624"/>
      <c r="K92" s="624"/>
      <c r="L92" s="625"/>
      <c r="M92" s="625"/>
      <c r="N92" s="626"/>
      <c r="O92" s="625"/>
      <c r="P92" s="559"/>
      <c r="Q92" s="627"/>
      <c r="R92" s="559"/>
      <c r="S92" s="559"/>
      <c r="T92" s="559"/>
      <c r="U92" s="559"/>
      <c r="V92" s="559"/>
      <c r="W92" s="559"/>
      <c r="X92" s="559"/>
      <c r="Y92" s="559"/>
      <c r="Z92" s="559"/>
    </row>
    <row r="93" spans="1:26" ht="18" hidden="1" customHeight="1" x14ac:dyDescent="0.35">
      <c r="A93" s="573" t="s">
        <v>67</v>
      </c>
      <c r="B93" s="584">
        <f>IF(C93=0,0,"Côté")</f>
        <v>0</v>
      </c>
      <c r="C93" s="584">
        <f>E91</f>
        <v>0</v>
      </c>
      <c r="D93" s="584">
        <v>10</v>
      </c>
      <c r="E93" s="584">
        <f>IF(B93="Côté","Peuplier 15 mm",0)</f>
        <v>0</v>
      </c>
      <c r="F93" s="584">
        <f>10</f>
        <v>10</v>
      </c>
      <c r="G93" s="559"/>
      <c r="H93" s="559"/>
      <c r="I93" s="559"/>
      <c r="J93" s="624">
        <f>IF(C93=0,0,(C93/100)*(D93/100)*F93)</f>
        <v>0</v>
      </c>
      <c r="K93" s="624">
        <f>J93/0.8</f>
        <v>0</v>
      </c>
      <c r="L93" s="625">
        <f>IF(E93=0,0,VLOOKUP(E93,'[1]Prix Matiere'!$A$4:$J$65,10))</f>
        <v>0</v>
      </c>
      <c r="M93" s="625">
        <f>L93*K93</f>
        <v>0</v>
      </c>
      <c r="N93" s="626">
        <f>IF(J93=0,0,(6.0924*J93)+2)</f>
        <v>0</v>
      </c>
      <c r="O93" s="625">
        <f>N93*'Caisse Cuvette'!MinuteMO</f>
        <v>0</v>
      </c>
      <c r="P93" s="559"/>
      <c r="Q93" s="627">
        <f>IF(J93=0,0,J93*VLOOKUP(E93,'[1]Prix Matiere'!$A$4:$L$60,12))</f>
        <v>0</v>
      </c>
      <c r="R93" s="559"/>
      <c r="S93" s="559"/>
      <c r="T93" s="559"/>
      <c r="U93" s="559"/>
      <c r="V93" s="559"/>
      <c r="W93" s="559"/>
      <c r="X93" s="559"/>
      <c r="Y93" s="559"/>
      <c r="Z93" s="559"/>
    </row>
    <row r="94" spans="1:26" ht="18" hidden="1" customHeight="1" x14ac:dyDescent="0.35">
      <c r="A94" s="559"/>
      <c r="B94" s="559"/>
      <c r="C94" s="559"/>
      <c r="D94" s="559"/>
      <c r="E94" s="559"/>
      <c r="F94" s="559"/>
      <c r="G94" s="559"/>
      <c r="H94" s="559"/>
      <c r="I94" s="559"/>
      <c r="J94" s="624"/>
      <c r="K94" s="624"/>
      <c r="L94" s="625"/>
      <c r="M94" s="625"/>
      <c r="N94" s="626"/>
      <c r="O94" s="625"/>
      <c r="P94" s="559"/>
      <c r="Q94" s="627"/>
      <c r="R94" s="559"/>
      <c r="S94" s="559"/>
      <c r="T94" s="559"/>
      <c r="U94" s="559"/>
      <c r="V94" s="559"/>
      <c r="W94" s="559"/>
      <c r="X94" s="559"/>
      <c r="Y94" s="559"/>
      <c r="Z94" s="559"/>
    </row>
    <row r="95" spans="1:26" ht="18" hidden="1" customHeight="1" x14ac:dyDescent="0.35">
      <c r="A95" s="559"/>
      <c r="B95" s="559" t="s">
        <v>409</v>
      </c>
      <c r="C95" s="559">
        <f>IF(VLOOKUP($C$26,A195:S199,18)+VLOOKUP($C$17,A204:S210,18)=2,C91-3,IF(VLOOKUP($C$26,A195:S199,19)+VLOOKUP($C$17,A204:S210,19)=2,C91,C91))</f>
        <v>2.5</v>
      </c>
      <c r="D95" s="559">
        <f>IF(VLOOKUP($C$26,A195:S199,18)+VLOOKUP($C$17,A204:S210,18)=2,D91,IF(VLOOKUP($C$26,A195:S199,19)+VLOOKUP($C$17,A204:S210,19)=2,D91-3,D91))</f>
        <v>2.5</v>
      </c>
      <c r="E95" s="559">
        <f>E91</f>
        <v>0</v>
      </c>
      <c r="F95" s="559"/>
      <c r="G95" s="559"/>
      <c r="H95" s="559"/>
      <c r="I95" s="559"/>
      <c r="J95" s="624"/>
      <c r="K95" s="624"/>
      <c r="L95" s="625"/>
      <c r="M95" s="625"/>
      <c r="N95" s="626"/>
      <c r="O95" s="625"/>
      <c r="P95" s="559"/>
      <c r="Q95" s="627">
        <f>IF(J95=0,0,J95*VLOOKUP(E95,'[1]Prix Matiere'!$A$4:$L$60,12))</f>
        <v>0</v>
      </c>
      <c r="R95" s="559"/>
      <c r="S95" s="559"/>
      <c r="T95" s="559"/>
      <c r="U95" s="559"/>
      <c r="V95" s="559"/>
      <c r="W95" s="559"/>
      <c r="X95" s="559"/>
      <c r="Y95" s="559"/>
      <c r="Z95" s="559"/>
    </row>
    <row r="96" spans="1:26" ht="18" hidden="1" customHeight="1" x14ac:dyDescent="0.35">
      <c r="A96" s="559"/>
      <c r="B96" s="559"/>
      <c r="C96" s="559"/>
      <c r="D96" s="559"/>
      <c r="E96" s="559"/>
      <c r="F96" s="559"/>
      <c r="G96" s="559"/>
      <c r="H96" s="559"/>
      <c r="I96" s="559"/>
      <c r="J96" s="624"/>
      <c r="K96" s="624"/>
      <c r="L96" s="625"/>
      <c r="M96" s="625"/>
      <c r="N96" s="626"/>
      <c r="O96" s="625"/>
      <c r="P96" s="559"/>
      <c r="Q96" s="627"/>
      <c r="R96" s="559"/>
      <c r="S96" s="559"/>
      <c r="T96" s="559"/>
      <c r="U96" s="559"/>
      <c r="V96" s="559"/>
      <c r="W96" s="559"/>
      <c r="X96" s="559"/>
      <c r="Y96" s="559"/>
      <c r="Z96" s="559"/>
    </row>
    <row r="97" spans="1:26" ht="18" hidden="1" customHeight="1" x14ac:dyDescent="0.35">
      <c r="A97" s="559"/>
      <c r="B97" s="559"/>
      <c r="C97" s="559"/>
      <c r="D97" s="559"/>
      <c r="E97" s="559"/>
      <c r="F97" s="559"/>
      <c r="G97" s="559"/>
      <c r="H97" s="559"/>
      <c r="I97" s="559"/>
      <c r="J97" s="624"/>
      <c r="K97" s="624"/>
      <c r="L97" s="625"/>
      <c r="M97" s="625"/>
      <c r="N97" s="626"/>
      <c r="O97" s="625"/>
      <c r="P97" s="559"/>
      <c r="Q97" s="627"/>
      <c r="R97" s="559"/>
      <c r="S97" s="559"/>
      <c r="T97" s="559"/>
      <c r="U97" s="559"/>
      <c r="V97" s="559"/>
      <c r="W97" s="559"/>
      <c r="X97" s="559"/>
      <c r="Y97" s="559"/>
      <c r="Z97" s="559"/>
    </row>
    <row r="98" spans="1:26" ht="18" hidden="1" customHeight="1" x14ac:dyDescent="0.35">
      <c r="A98" s="573" t="s">
        <v>410</v>
      </c>
      <c r="B98" s="587" t="str">
        <f>C26</f>
        <v>Aucun</v>
      </c>
      <c r="C98" s="622"/>
      <c r="D98" s="630" t="s">
        <v>28</v>
      </c>
      <c r="E98" s="630" t="s">
        <v>33</v>
      </c>
      <c r="F98" s="631" t="s">
        <v>34</v>
      </c>
      <c r="G98" s="559"/>
      <c r="H98" s="559"/>
      <c r="I98" s="559"/>
      <c r="J98" s="624">
        <f>IF(C98=0,0,(C98/100)*(D98/100)*F98)</f>
        <v>0</v>
      </c>
      <c r="K98" s="624">
        <f t="shared" ref="K98:K101" si="44">J98/0.8</f>
        <v>0</v>
      </c>
      <c r="L98" s="625"/>
      <c r="M98" s="625"/>
      <c r="N98" s="626"/>
      <c r="O98" s="625"/>
      <c r="P98" s="559"/>
      <c r="Q98" s="627">
        <f>IF(J98=0,0,J98*VLOOKUP(E98,'[1]Prix Matiere'!$A$4:$L$60,12))</f>
        <v>0</v>
      </c>
      <c r="R98" s="559"/>
      <c r="S98" s="559"/>
      <c r="T98" s="559"/>
      <c r="U98" s="559"/>
      <c r="V98" s="559"/>
      <c r="W98" s="559"/>
      <c r="X98" s="559"/>
      <c r="Y98" s="559"/>
      <c r="Z98" s="559"/>
    </row>
    <row r="99" spans="1:26" ht="18" hidden="1" customHeight="1" x14ac:dyDescent="0.35">
      <c r="A99" s="559"/>
      <c r="B99" s="579">
        <f>IF(E24=0,0,"GC 15 mm")</f>
        <v>0</v>
      </c>
      <c r="C99" s="750">
        <f t="shared" ref="C99:C100" si="45">IF(D99=0,0,"Peuplier 15 mm")</f>
        <v>0</v>
      </c>
      <c r="D99" s="750">
        <f>IF(E24=0,0,C24+3)</f>
        <v>0</v>
      </c>
      <c r="E99" s="750">
        <f>IF(E24=0,0,E24)</f>
        <v>0</v>
      </c>
      <c r="F99" s="751">
        <f t="shared" ref="F99:F100" si="46">IF(D99=0,0,2)</f>
        <v>0</v>
      </c>
      <c r="G99" s="559"/>
      <c r="H99" s="559"/>
      <c r="I99" s="559"/>
      <c r="J99" s="624">
        <f t="shared" ref="J99:J101" si="47">IF(D99=0,0,(D99/100)*(E99/100)*F99)</f>
        <v>0</v>
      </c>
      <c r="K99" s="624">
        <f t="shared" si="44"/>
        <v>0</v>
      </c>
      <c r="L99" s="625">
        <v>0</v>
      </c>
      <c r="M99" s="625">
        <f t="shared" ref="M99:M101" si="48">L99*K99</f>
        <v>0</v>
      </c>
      <c r="N99" s="626">
        <f t="shared" ref="N99:N101" si="49">IF(J99=0,0,(7.0924*J99))</f>
        <v>0</v>
      </c>
      <c r="O99" s="625">
        <f t="shared" ref="O99:O101" si="50">N99*'Caisse Cuvette'!MinuteMO</f>
        <v>0</v>
      </c>
      <c r="P99" s="559"/>
      <c r="Q99" s="627">
        <v>0</v>
      </c>
      <c r="R99" s="559"/>
      <c r="S99" s="559"/>
      <c r="T99" s="559"/>
      <c r="U99" s="559"/>
      <c r="V99" s="559"/>
      <c r="W99" s="559"/>
      <c r="X99" s="559"/>
      <c r="Y99" s="559"/>
      <c r="Z99" s="559"/>
    </row>
    <row r="100" spans="1:26" ht="18" hidden="1" customHeight="1" x14ac:dyDescent="0.35">
      <c r="A100" s="559"/>
      <c r="B100" s="579">
        <f>IF(E24=0,0,"Bouts 15 mm")</f>
        <v>0</v>
      </c>
      <c r="C100" s="750">
        <f t="shared" si="45"/>
        <v>0</v>
      </c>
      <c r="D100" s="750">
        <f>IF(E24=0,0,D24)</f>
        <v>0</v>
      </c>
      <c r="E100" s="750">
        <f>E99</f>
        <v>0</v>
      </c>
      <c r="F100" s="751">
        <f t="shared" si="46"/>
        <v>0</v>
      </c>
      <c r="G100" s="559"/>
      <c r="H100" s="559"/>
      <c r="I100" s="559"/>
      <c r="J100" s="624">
        <f t="shared" si="47"/>
        <v>0</v>
      </c>
      <c r="K100" s="624">
        <f t="shared" si="44"/>
        <v>0</v>
      </c>
      <c r="L100" s="625">
        <v>0</v>
      </c>
      <c r="M100" s="625">
        <f t="shared" si="48"/>
        <v>0</v>
      </c>
      <c r="N100" s="626">
        <f t="shared" si="49"/>
        <v>0</v>
      </c>
      <c r="O100" s="625">
        <f t="shared" si="50"/>
        <v>0</v>
      </c>
      <c r="P100" s="559"/>
      <c r="Q100" s="627">
        <v>0</v>
      </c>
      <c r="R100" s="559"/>
      <c r="S100" s="559"/>
      <c r="T100" s="559"/>
      <c r="U100" s="559"/>
      <c r="V100" s="559"/>
      <c r="W100" s="559"/>
      <c r="X100" s="559"/>
      <c r="Y100" s="559"/>
      <c r="Z100" s="559"/>
    </row>
    <row r="101" spans="1:26" ht="18" hidden="1" customHeight="1" x14ac:dyDescent="0.35">
      <c r="A101" s="559"/>
      <c r="B101" s="579">
        <f>IF(E24=0,0,"Fond 10 mm")</f>
        <v>0</v>
      </c>
      <c r="C101" s="750">
        <f>IF(D101=0,0,"Peuplier 10 mm")</f>
        <v>0</v>
      </c>
      <c r="D101" s="750">
        <f>IF(D99=0,0,D99)</f>
        <v>0</v>
      </c>
      <c r="E101" s="750">
        <f>IF(D101=0,0,D100+3)</f>
        <v>0</v>
      </c>
      <c r="F101" s="751">
        <f>IF(D101=0,0,1)</f>
        <v>0</v>
      </c>
      <c r="G101" s="559"/>
      <c r="H101" s="559"/>
      <c r="I101" s="559"/>
      <c r="J101" s="624">
        <f t="shared" si="47"/>
        <v>0</v>
      </c>
      <c r="K101" s="624">
        <f t="shared" si="44"/>
        <v>0</v>
      </c>
      <c r="L101" s="625">
        <v>0</v>
      </c>
      <c r="M101" s="625">
        <f t="shared" si="48"/>
        <v>0</v>
      </c>
      <c r="N101" s="626">
        <f t="shared" si="49"/>
        <v>0</v>
      </c>
      <c r="O101" s="625">
        <f t="shared" si="50"/>
        <v>0</v>
      </c>
      <c r="P101" s="559"/>
      <c r="Q101" s="627">
        <v>0</v>
      </c>
      <c r="R101" s="559"/>
      <c r="S101" s="559"/>
      <c r="T101" s="559"/>
      <c r="U101" s="559"/>
      <c r="V101" s="559"/>
      <c r="W101" s="559"/>
      <c r="X101" s="559"/>
      <c r="Y101" s="559"/>
      <c r="Z101" s="559"/>
    </row>
    <row r="102" spans="1:26" ht="18" hidden="1" customHeight="1" x14ac:dyDescent="0.35">
      <c r="A102" s="559"/>
      <c r="B102" s="622"/>
      <c r="C102" s="752"/>
      <c r="D102" s="753"/>
      <c r="E102" s="753"/>
      <c r="F102" s="754"/>
      <c r="G102" s="559"/>
      <c r="H102" s="559"/>
      <c r="I102" s="559"/>
      <c r="J102" s="624"/>
      <c r="K102" s="624"/>
      <c r="L102" s="625"/>
      <c r="M102" s="625"/>
      <c r="N102" s="626"/>
      <c r="O102" s="625"/>
      <c r="P102" s="559"/>
      <c r="Q102" s="627">
        <f>IF(J102=0,0,J102*VLOOKUP(E102,'[1]Prix Matiere'!$A$4:$L$60,12))</f>
        <v>0</v>
      </c>
      <c r="R102" s="559"/>
      <c r="S102" s="559"/>
      <c r="T102" s="559"/>
      <c r="U102" s="559"/>
      <c r="V102" s="559"/>
      <c r="W102" s="559"/>
      <c r="X102" s="559"/>
      <c r="Y102" s="559"/>
      <c r="Z102" s="559"/>
    </row>
    <row r="103" spans="1:26" ht="18" hidden="1" customHeight="1" x14ac:dyDescent="0.35">
      <c r="A103" s="559"/>
      <c r="B103" s="622" t="s">
        <v>80</v>
      </c>
      <c r="C103" s="752">
        <f t="shared" ref="C103:C106" si="51">IF(D103=0,0,VLOOKUP($B$98,$A$267:$U$271,2))</f>
        <v>0</v>
      </c>
      <c r="D103" s="753">
        <f>VLOOKUP($B$98,$A$267:$U$271,16)</f>
        <v>0</v>
      </c>
      <c r="E103" s="753">
        <f>VLOOKUP($B$98,$A$267:$U$271,17)</f>
        <v>0</v>
      </c>
      <c r="F103" s="754">
        <f>IF(C103=0,0,VLOOKUP($B$98,$A$267:$U$271,15))</f>
        <v>0</v>
      </c>
      <c r="G103" s="559">
        <f t="shared" ref="G103:G106" si="52">C103</f>
        <v>0</v>
      </c>
      <c r="H103" s="559"/>
      <c r="I103" s="559"/>
      <c r="J103" s="624">
        <f t="shared" ref="J103:J107" si="53">IF(D103=0,0,(D103/100)*(E103/100)*F103)</f>
        <v>0</v>
      </c>
      <c r="K103" s="624">
        <f t="shared" ref="K103:K107" si="54">J103/0.8</f>
        <v>0</v>
      </c>
      <c r="L103" s="625">
        <v>0</v>
      </c>
      <c r="M103" s="625">
        <f t="shared" ref="M103:M107" si="55">L103*K103</f>
        <v>0</v>
      </c>
      <c r="N103" s="626">
        <f t="shared" ref="N103:N107" si="56">IF(J103=0,0,4.7283*J103+2)</f>
        <v>0</v>
      </c>
      <c r="O103" s="625">
        <f t="shared" ref="O103:O107" si="57">N103*'Caisse Cuvette'!MinuteMO</f>
        <v>0</v>
      </c>
      <c r="P103" s="559"/>
      <c r="Q103" s="627">
        <v>0</v>
      </c>
      <c r="R103" s="559"/>
      <c r="S103" s="559"/>
      <c r="T103" s="559"/>
      <c r="U103" s="559"/>
      <c r="V103" s="559"/>
      <c r="W103" s="559"/>
      <c r="X103" s="559"/>
      <c r="Y103" s="559"/>
      <c r="Z103" s="559"/>
    </row>
    <row r="104" spans="1:26" ht="18" hidden="1" customHeight="1" x14ac:dyDescent="0.35">
      <c r="A104" s="559"/>
      <c r="B104" s="584"/>
      <c r="C104" s="752">
        <f t="shared" si="51"/>
        <v>0</v>
      </c>
      <c r="D104" s="753">
        <f>VLOOKUP($B$98,$A$267:$U$271,3)</f>
        <v>0</v>
      </c>
      <c r="E104" s="753">
        <f>VLOOKUP($B$98,$A$267:$U$271,4)</f>
        <v>0</v>
      </c>
      <c r="F104" s="754">
        <f>VLOOKUP($B$98,$A$267:$U$271,5)</f>
        <v>0</v>
      </c>
      <c r="G104" s="559">
        <f t="shared" si="52"/>
        <v>0</v>
      </c>
      <c r="H104" s="559"/>
      <c r="I104" s="559"/>
      <c r="J104" s="624">
        <f t="shared" si="53"/>
        <v>0</v>
      </c>
      <c r="K104" s="624">
        <f t="shared" si="54"/>
        <v>0</v>
      </c>
      <c r="L104" s="625">
        <v>0</v>
      </c>
      <c r="M104" s="625">
        <f t="shared" si="55"/>
        <v>0</v>
      </c>
      <c r="N104" s="626">
        <f t="shared" si="56"/>
        <v>0</v>
      </c>
      <c r="O104" s="625">
        <f t="shared" si="57"/>
        <v>0</v>
      </c>
      <c r="P104" s="559"/>
      <c r="Q104" s="627">
        <v>0</v>
      </c>
      <c r="R104" s="559"/>
      <c r="S104" s="559"/>
      <c r="T104" s="559"/>
      <c r="U104" s="559"/>
      <c r="V104" s="559"/>
      <c r="W104" s="559"/>
      <c r="X104" s="559"/>
      <c r="Y104" s="559"/>
      <c r="Z104" s="559"/>
    </row>
    <row r="105" spans="1:26" ht="18" hidden="1" customHeight="1" x14ac:dyDescent="0.35">
      <c r="A105" s="559"/>
      <c r="B105" s="622">
        <f>IF(B98="Mousse au carré cinquante mm","GC",0)</f>
        <v>0</v>
      </c>
      <c r="C105" s="752">
        <f t="shared" si="51"/>
        <v>0</v>
      </c>
      <c r="D105" s="753">
        <f>VLOOKUP($B$98,$A$267:$U$271,7)</f>
        <v>0</v>
      </c>
      <c r="E105" s="753">
        <f t="shared" ref="E105:E106" si="58">VLOOKUP($B$98,$A$267:$U$271,6)</f>
        <v>0</v>
      </c>
      <c r="F105" s="754">
        <f>VLOOKUP($B$98,$A$267:$U$271,19)</f>
        <v>0</v>
      </c>
      <c r="G105" s="559">
        <f t="shared" si="52"/>
        <v>0</v>
      </c>
      <c r="H105" s="559"/>
      <c r="I105" s="559"/>
      <c r="J105" s="624">
        <f t="shared" si="53"/>
        <v>0</v>
      </c>
      <c r="K105" s="624">
        <f t="shared" si="54"/>
        <v>0</v>
      </c>
      <c r="L105" s="625">
        <v>0</v>
      </c>
      <c r="M105" s="625">
        <f t="shared" si="55"/>
        <v>0</v>
      </c>
      <c r="N105" s="626">
        <f t="shared" si="56"/>
        <v>0</v>
      </c>
      <c r="O105" s="625">
        <f t="shared" si="57"/>
        <v>0</v>
      </c>
      <c r="P105" s="559"/>
      <c r="Q105" s="627">
        <v>0</v>
      </c>
      <c r="R105" s="559"/>
      <c r="S105" s="559"/>
      <c r="T105" s="559"/>
      <c r="U105" s="559"/>
      <c r="V105" s="559"/>
      <c r="W105" s="559"/>
      <c r="X105" s="559"/>
      <c r="Y105" s="559"/>
      <c r="Z105" s="559"/>
    </row>
    <row r="106" spans="1:26" ht="18" hidden="1" customHeight="1" x14ac:dyDescent="0.35">
      <c r="A106" s="559"/>
      <c r="B106" s="622">
        <f>IF(B98="Mousse au carré cinquante mm","Bouts",0)</f>
        <v>0</v>
      </c>
      <c r="C106" s="752">
        <f t="shared" si="51"/>
        <v>0</v>
      </c>
      <c r="D106" s="753">
        <f>VLOOKUP($B$98,$A$267:$U$271,8)</f>
        <v>0</v>
      </c>
      <c r="E106" s="753">
        <f t="shared" si="58"/>
        <v>0</v>
      </c>
      <c r="F106" s="754">
        <f>VLOOKUP($B$98,$A$267:$U$271,9)</f>
        <v>0</v>
      </c>
      <c r="G106" s="559">
        <f t="shared" si="52"/>
        <v>0</v>
      </c>
      <c r="H106" s="559"/>
      <c r="I106" s="559"/>
      <c r="J106" s="624">
        <f t="shared" si="53"/>
        <v>0</v>
      </c>
      <c r="K106" s="624">
        <f t="shared" si="54"/>
        <v>0</v>
      </c>
      <c r="L106" s="625">
        <v>0</v>
      </c>
      <c r="M106" s="625">
        <f t="shared" si="55"/>
        <v>0</v>
      </c>
      <c r="N106" s="626">
        <f t="shared" si="56"/>
        <v>0</v>
      </c>
      <c r="O106" s="625">
        <f t="shared" si="57"/>
        <v>0</v>
      </c>
      <c r="P106" s="559"/>
      <c r="Q106" s="627">
        <v>0</v>
      </c>
      <c r="R106" s="559"/>
      <c r="S106" s="559"/>
      <c r="T106" s="559"/>
      <c r="U106" s="559"/>
      <c r="V106" s="559"/>
      <c r="W106" s="559"/>
      <c r="X106" s="559"/>
      <c r="Y106" s="559"/>
      <c r="Z106" s="559"/>
    </row>
    <row r="107" spans="1:26" ht="18" hidden="1" customHeight="1" x14ac:dyDescent="0.35">
      <c r="A107" s="559"/>
      <c r="B107" s="579" t="str">
        <f>IF(C107=0,0,"Base")</f>
        <v>Base</v>
      </c>
      <c r="C107" s="752" t="str">
        <f>VLOOKUP($B$98,$A$267:$U$271,10)</f>
        <v>Aucun</v>
      </c>
      <c r="D107" s="753">
        <f>VLOOKUP($B$98,$A$267:$U$271,13)</f>
        <v>0</v>
      </c>
      <c r="E107" s="753">
        <f>VLOOKUP($B$98,$A$267:$U$271,14)</f>
        <v>0</v>
      </c>
      <c r="F107" s="754">
        <f>IF(C107="Aucun",0,1)</f>
        <v>0</v>
      </c>
      <c r="G107" s="559">
        <f>IF(C107="Aucun",0,C107)</f>
        <v>0</v>
      </c>
      <c r="H107" s="559"/>
      <c r="I107" s="559"/>
      <c r="J107" s="624">
        <f t="shared" si="53"/>
        <v>0</v>
      </c>
      <c r="K107" s="624">
        <f t="shared" si="54"/>
        <v>0</v>
      </c>
      <c r="L107" s="625">
        <v>0</v>
      </c>
      <c r="M107" s="625">
        <f t="shared" si="55"/>
        <v>0</v>
      </c>
      <c r="N107" s="626">
        <f t="shared" si="56"/>
        <v>0</v>
      </c>
      <c r="O107" s="625">
        <f t="shared" si="57"/>
        <v>0</v>
      </c>
      <c r="P107" s="559"/>
      <c r="Q107" s="627">
        <v>0</v>
      </c>
      <c r="R107" s="559"/>
      <c r="S107" s="559"/>
      <c r="T107" s="559"/>
      <c r="U107" s="559"/>
      <c r="V107" s="559"/>
      <c r="W107" s="559"/>
      <c r="X107" s="559"/>
      <c r="Y107" s="559"/>
      <c r="Z107" s="559"/>
    </row>
    <row r="108" spans="1:26" ht="18" hidden="1" customHeight="1" x14ac:dyDescent="0.35">
      <c r="A108" s="559"/>
      <c r="B108" s="563"/>
      <c r="C108" s="755"/>
      <c r="D108" s="756"/>
      <c r="E108" s="756"/>
      <c r="F108" s="757"/>
      <c r="G108" s="559"/>
      <c r="H108" s="559"/>
      <c r="I108" s="559"/>
      <c r="J108" s="624"/>
      <c r="K108" s="624"/>
      <c r="L108" s="625"/>
      <c r="M108" s="625"/>
      <c r="N108" s="626"/>
      <c r="O108" s="625"/>
      <c r="P108" s="559"/>
      <c r="Q108" s="627"/>
      <c r="R108" s="559"/>
      <c r="S108" s="559"/>
      <c r="T108" s="559"/>
      <c r="U108" s="559"/>
      <c r="V108" s="559"/>
      <c r="W108" s="559"/>
      <c r="X108" s="559"/>
      <c r="Y108" s="559"/>
      <c r="Z108" s="559"/>
    </row>
    <row r="109" spans="1:26" ht="18" hidden="1" customHeight="1" x14ac:dyDescent="0.35">
      <c r="A109" s="559"/>
      <c r="B109" s="559"/>
      <c r="C109" s="559"/>
      <c r="D109" s="559"/>
      <c r="E109" s="559"/>
      <c r="F109" s="559"/>
      <c r="G109" s="559"/>
      <c r="H109" s="559"/>
      <c r="I109" s="559"/>
      <c r="J109" s="624"/>
      <c r="K109" s="624"/>
      <c r="L109" s="625"/>
      <c r="M109" s="625"/>
      <c r="N109" s="626"/>
      <c r="O109" s="625"/>
      <c r="P109" s="559"/>
      <c r="Q109" s="627"/>
      <c r="R109" s="559"/>
      <c r="S109" s="559"/>
      <c r="T109" s="559"/>
      <c r="U109" s="559"/>
      <c r="V109" s="559"/>
      <c r="W109" s="559"/>
      <c r="X109" s="559"/>
      <c r="Y109" s="559"/>
      <c r="Z109" s="559"/>
    </row>
    <row r="110" spans="1:26" ht="18" hidden="1" customHeight="1" x14ac:dyDescent="0.35">
      <c r="A110" s="573" t="s">
        <v>411</v>
      </c>
      <c r="B110" s="587" t="str">
        <f>C33</f>
        <v>Aucun</v>
      </c>
      <c r="C110" s="622"/>
      <c r="D110" s="630" t="s">
        <v>28</v>
      </c>
      <c r="E110" s="630" t="s">
        <v>33</v>
      </c>
      <c r="F110" s="631" t="s">
        <v>34</v>
      </c>
      <c r="G110" s="559"/>
      <c r="H110" s="559"/>
      <c r="I110" s="559"/>
      <c r="J110" s="624">
        <f>IF(C110=0,0,(C110/100)*(D110/100)*F110)</f>
        <v>0</v>
      </c>
      <c r="K110" s="624">
        <f t="shared" ref="K110:K113" si="59">J110/0.8</f>
        <v>0</v>
      </c>
      <c r="L110" s="625"/>
      <c r="M110" s="625"/>
      <c r="N110" s="626"/>
      <c r="O110" s="625"/>
      <c r="P110" s="559"/>
      <c r="Q110" s="627">
        <f>IF(J110=0,0,J110*VLOOKUP(E110,'[1]Prix Matiere'!$A$4:$L$60,12))</f>
        <v>0</v>
      </c>
      <c r="R110" s="559"/>
      <c r="S110" s="559"/>
      <c r="T110" s="559"/>
      <c r="U110" s="559"/>
      <c r="V110" s="559"/>
      <c r="W110" s="559"/>
      <c r="X110" s="559"/>
      <c r="Y110" s="559"/>
      <c r="Z110" s="559"/>
    </row>
    <row r="111" spans="1:26" ht="18" hidden="1" customHeight="1" x14ac:dyDescent="0.35">
      <c r="A111" s="559"/>
      <c r="B111" s="579">
        <f>IF(E31=0,0,"GC 15 mm")</f>
        <v>0</v>
      </c>
      <c r="C111" s="750">
        <f t="shared" ref="C111:C112" si="60">IF(D111=0,0,"Peuplier 15 mm")</f>
        <v>0</v>
      </c>
      <c r="D111" s="750">
        <f>IF(E31=0,0,C31+3)</f>
        <v>0</v>
      </c>
      <c r="E111" s="750">
        <f>IF(E31=0,0,E31)</f>
        <v>0</v>
      </c>
      <c r="F111" s="751">
        <f t="shared" ref="F111:F112" si="61">IF(D111=0,0,2)</f>
        <v>0</v>
      </c>
      <c r="G111" s="559"/>
      <c r="H111" s="559"/>
      <c r="I111" s="559"/>
      <c r="J111" s="624">
        <f t="shared" ref="J111:J113" si="62">IF(D111=0,0,(D111/100)*(E111/100)*F111)</f>
        <v>0</v>
      </c>
      <c r="K111" s="624">
        <f t="shared" si="59"/>
        <v>0</v>
      </c>
      <c r="L111" s="625">
        <v>0</v>
      </c>
      <c r="M111" s="625">
        <f t="shared" ref="M111:M113" si="63">L111*K111</f>
        <v>0</v>
      </c>
      <c r="N111" s="626">
        <f t="shared" ref="N111:N113" si="64">IF(J111=0,0,(7.0924*J111))</f>
        <v>0</v>
      </c>
      <c r="O111" s="625">
        <f t="shared" ref="O111:O113" si="65">N111*'Caisse Cuvette'!MinuteMO</f>
        <v>0</v>
      </c>
      <c r="P111" s="559"/>
      <c r="Q111" s="627">
        <v>0</v>
      </c>
      <c r="R111" s="559"/>
      <c r="S111" s="559"/>
      <c r="T111" s="559"/>
      <c r="U111" s="559"/>
      <c r="V111" s="559"/>
      <c r="W111" s="559"/>
      <c r="X111" s="559"/>
      <c r="Y111" s="559"/>
      <c r="Z111" s="559"/>
    </row>
    <row r="112" spans="1:26" ht="18" hidden="1" customHeight="1" x14ac:dyDescent="0.35">
      <c r="A112" s="559"/>
      <c r="B112" s="579">
        <f>IF(E31=0,0,"Bouts 15 mm")</f>
        <v>0</v>
      </c>
      <c r="C112" s="750">
        <f t="shared" si="60"/>
        <v>0</v>
      </c>
      <c r="D112" s="750">
        <f>IF(E31=0,0,D31)</f>
        <v>0</v>
      </c>
      <c r="E112" s="750">
        <f>E111</f>
        <v>0</v>
      </c>
      <c r="F112" s="751">
        <f t="shared" si="61"/>
        <v>0</v>
      </c>
      <c r="G112" s="559"/>
      <c r="H112" s="559"/>
      <c r="I112" s="559"/>
      <c r="J112" s="624">
        <f t="shared" si="62"/>
        <v>0</v>
      </c>
      <c r="K112" s="624">
        <f t="shared" si="59"/>
        <v>0</v>
      </c>
      <c r="L112" s="625">
        <v>0</v>
      </c>
      <c r="M112" s="625">
        <f t="shared" si="63"/>
        <v>0</v>
      </c>
      <c r="N112" s="626">
        <f t="shared" si="64"/>
        <v>0</v>
      </c>
      <c r="O112" s="625">
        <f t="shared" si="65"/>
        <v>0</v>
      </c>
      <c r="P112" s="559"/>
      <c r="Q112" s="627">
        <v>0</v>
      </c>
      <c r="R112" s="559"/>
      <c r="S112" s="559"/>
      <c r="T112" s="559"/>
      <c r="U112" s="559"/>
      <c r="V112" s="559"/>
      <c r="W112" s="559"/>
      <c r="X112" s="559"/>
      <c r="Y112" s="559"/>
      <c r="Z112" s="559"/>
    </row>
    <row r="113" spans="1:26" ht="18" hidden="1" customHeight="1" x14ac:dyDescent="0.35">
      <c r="A113" s="559"/>
      <c r="B113" s="579">
        <f>IF(E31=0,0,"Fond 10 mm")</f>
        <v>0</v>
      </c>
      <c r="C113" s="750">
        <f>IF(D113=0,0,"Peuplier 10 mm")</f>
        <v>0</v>
      </c>
      <c r="D113" s="750">
        <f>IF(D111=0,0,D111)</f>
        <v>0</v>
      </c>
      <c r="E113" s="750">
        <f>IF(D113=0,0,D112+3)</f>
        <v>0</v>
      </c>
      <c r="F113" s="751">
        <f>IF(D113=0,0,1)</f>
        <v>0</v>
      </c>
      <c r="G113" s="559"/>
      <c r="H113" s="559"/>
      <c r="I113" s="559"/>
      <c r="J113" s="624">
        <f t="shared" si="62"/>
        <v>0</v>
      </c>
      <c r="K113" s="624">
        <f t="shared" si="59"/>
        <v>0</v>
      </c>
      <c r="L113" s="625">
        <v>0</v>
      </c>
      <c r="M113" s="625">
        <f t="shared" si="63"/>
        <v>0</v>
      </c>
      <c r="N113" s="626">
        <f t="shared" si="64"/>
        <v>0</v>
      </c>
      <c r="O113" s="625">
        <f t="shared" si="65"/>
        <v>0</v>
      </c>
      <c r="P113" s="559"/>
      <c r="Q113" s="627">
        <v>0</v>
      </c>
      <c r="R113" s="559"/>
      <c r="S113" s="559"/>
      <c r="T113" s="559"/>
      <c r="U113" s="559"/>
      <c r="V113" s="559"/>
      <c r="W113" s="559"/>
      <c r="X113" s="559"/>
      <c r="Y113" s="559"/>
      <c r="Z113" s="559"/>
    </row>
    <row r="114" spans="1:26" ht="18" hidden="1" customHeight="1" x14ac:dyDescent="0.35">
      <c r="A114" s="559"/>
      <c r="B114" s="622"/>
      <c r="C114" s="752"/>
      <c r="D114" s="753"/>
      <c r="E114" s="753"/>
      <c r="F114" s="754"/>
      <c r="G114" s="559"/>
      <c r="H114" s="559"/>
      <c r="I114" s="559"/>
      <c r="J114" s="624"/>
      <c r="K114" s="624"/>
      <c r="L114" s="625"/>
      <c r="M114" s="625"/>
      <c r="N114" s="626"/>
      <c r="O114" s="625"/>
      <c r="P114" s="559"/>
      <c r="Q114" s="627">
        <f>IF(J114=0,0,J114*VLOOKUP(E114,'[1]Prix Matiere'!$A$4:$L$60,12))</f>
        <v>0</v>
      </c>
      <c r="R114" s="559"/>
      <c r="S114" s="559"/>
      <c r="T114" s="559"/>
      <c r="U114" s="559"/>
      <c r="V114" s="559"/>
      <c r="W114" s="559"/>
      <c r="X114" s="559"/>
      <c r="Y114" s="559"/>
      <c r="Z114" s="559"/>
    </row>
    <row r="115" spans="1:26" ht="18" hidden="1" customHeight="1" x14ac:dyDescent="0.35">
      <c r="A115" s="559"/>
      <c r="B115" s="622" t="s">
        <v>80</v>
      </c>
      <c r="C115" s="752">
        <f t="shared" ref="C115:C118" si="66">IF(D115=0,0,VLOOKUP($B$110,$A$275:$U$279,2))</f>
        <v>0</v>
      </c>
      <c r="D115" s="753">
        <f>VLOOKUP($B$110,$A$275:$U$279,16)</f>
        <v>0</v>
      </c>
      <c r="E115" s="753">
        <f>VLOOKUP($B$110,$A$275:$U$279,17)</f>
        <v>0</v>
      </c>
      <c r="F115" s="754">
        <f>IF(C115=0,0,VLOOKUP($B$110,$A$275:$U$279,15))</f>
        <v>0</v>
      </c>
      <c r="G115" s="559">
        <f t="shared" ref="G115:G118" si="67">C115</f>
        <v>0</v>
      </c>
      <c r="H115" s="559"/>
      <c r="I115" s="559"/>
      <c r="J115" s="624">
        <f t="shared" ref="J115:J119" si="68">IF(D115=0,0,(D115/100)*(E115/100)*F115)</f>
        <v>0</v>
      </c>
      <c r="K115" s="624">
        <f t="shared" ref="K115:K119" si="69">J115/0.8</f>
        <v>0</v>
      </c>
      <c r="L115" s="625">
        <v>0</v>
      </c>
      <c r="M115" s="625">
        <f t="shared" ref="M115:M119" si="70">L115*K115</f>
        <v>0</v>
      </c>
      <c r="N115" s="626">
        <f t="shared" ref="N115:N119" si="71">IF(J115=0,0,4.7283*J115+2)</f>
        <v>0</v>
      </c>
      <c r="O115" s="625">
        <f t="shared" ref="O115:O119" si="72">N115*'Caisse Cuvette'!MinuteMO</f>
        <v>0</v>
      </c>
      <c r="P115" s="559"/>
      <c r="Q115" s="627">
        <v>0</v>
      </c>
      <c r="R115" s="559"/>
      <c r="S115" s="559"/>
      <c r="T115" s="559"/>
      <c r="U115" s="559"/>
      <c r="V115" s="559"/>
      <c r="W115" s="559"/>
      <c r="X115" s="559"/>
      <c r="Y115" s="559"/>
      <c r="Z115" s="559"/>
    </row>
    <row r="116" spans="1:26" ht="18" hidden="1" customHeight="1" x14ac:dyDescent="0.35">
      <c r="A116" s="559"/>
      <c r="B116" s="584"/>
      <c r="C116" s="752">
        <f t="shared" si="66"/>
        <v>0</v>
      </c>
      <c r="D116" s="753">
        <f>VLOOKUP($B$110,$A$275:$U$279,3)</f>
        <v>0</v>
      </c>
      <c r="E116" s="753">
        <f>VLOOKUP($B$110,$A$275:$U$279,4)</f>
        <v>0</v>
      </c>
      <c r="F116" s="754">
        <f>VLOOKUP($B$110,$A$275:$U$279,5)</f>
        <v>0</v>
      </c>
      <c r="G116" s="559">
        <f t="shared" si="67"/>
        <v>0</v>
      </c>
      <c r="H116" s="559"/>
      <c r="I116" s="559"/>
      <c r="J116" s="624">
        <f t="shared" si="68"/>
        <v>0</v>
      </c>
      <c r="K116" s="624">
        <f t="shared" si="69"/>
        <v>0</v>
      </c>
      <c r="L116" s="625">
        <v>0</v>
      </c>
      <c r="M116" s="625">
        <f t="shared" si="70"/>
        <v>0</v>
      </c>
      <c r="N116" s="626">
        <f t="shared" si="71"/>
        <v>0</v>
      </c>
      <c r="O116" s="625">
        <f t="shared" si="72"/>
        <v>0</v>
      </c>
      <c r="P116" s="559"/>
      <c r="Q116" s="627">
        <v>0</v>
      </c>
      <c r="R116" s="559"/>
      <c r="S116" s="559"/>
      <c r="T116" s="559"/>
      <c r="U116" s="559"/>
      <c r="V116" s="559"/>
      <c r="W116" s="559"/>
      <c r="X116" s="559"/>
      <c r="Y116" s="559"/>
      <c r="Z116" s="559"/>
    </row>
    <row r="117" spans="1:26" ht="18" hidden="1" customHeight="1" x14ac:dyDescent="0.35">
      <c r="A117" s="559"/>
      <c r="B117" s="622">
        <f>IF(B110="Mousse au carré cinquante mm","GC",0)</f>
        <v>0</v>
      </c>
      <c r="C117" s="752">
        <f t="shared" si="66"/>
        <v>0</v>
      </c>
      <c r="D117" s="753">
        <f>VLOOKUP($B$110,$A$275:$U$279,7)</f>
        <v>0</v>
      </c>
      <c r="E117" s="753">
        <f t="shared" ref="E117:E118" si="73">VLOOKUP($B$110,$A$275:$U$279,6)</f>
        <v>0</v>
      </c>
      <c r="F117" s="754">
        <f>VLOOKUP($B$110,$A$275:$U$279,19)</f>
        <v>0</v>
      </c>
      <c r="G117" s="559">
        <f t="shared" si="67"/>
        <v>0</v>
      </c>
      <c r="H117" s="559"/>
      <c r="I117" s="559"/>
      <c r="J117" s="624">
        <f t="shared" si="68"/>
        <v>0</v>
      </c>
      <c r="K117" s="624">
        <f t="shared" si="69"/>
        <v>0</v>
      </c>
      <c r="L117" s="625">
        <v>0</v>
      </c>
      <c r="M117" s="625">
        <f t="shared" si="70"/>
        <v>0</v>
      </c>
      <c r="N117" s="626">
        <f t="shared" si="71"/>
        <v>0</v>
      </c>
      <c r="O117" s="625">
        <f t="shared" si="72"/>
        <v>0</v>
      </c>
      <c r="P117" s="559"/>
      <c r="Q117" s="627">
        <v>0</v>
      </c>
      <c r="R117" s="559"/>
      <c r="S117" s="559"/>
      <c r="T117" s="559"/>
      <c r="U117" s="559"/>
      <c r="V117" s="559"/>
      <c r="W117" s="559"/>
      <c r="X117" s="559"/>
      <c r="Y117" s="559"/>
      <c r="Z117" s="559"/>
    </row>
    <row r="118" spans="1:26" ht="18" hidden="1" customHeight="1" x14ac:dyDescent="0.35">
      <c r="A118" s="559"/>
      <c r="B118" s="622">
        <f>IF(B110="Mousse au carré cinquante mm","Bouts",0)</f>
        <v>0</v>
      </c>
      <c r="C118" s="752">
        <f t="shared" si="66"/>
        <v>0</v>
      </c>
      <c r="D118" s="753">
        <f>VLOOKUP($B$110,$A$275:$U$279,8)</f>
        <v>0</v>
      </c>
      <c r="E118" s="753">
        <f t="shared" si="73"/>
        <v>0</v>
      </c>
      <c r="F118" s="754">
        <f>VLOOKUP($B$110,$A$275:$U$279,9)</f>
        <v>0</v>
      </c>
      <c r="G118" s="559">
        <f t="shared" si="67"/>
        <v>0</v>
      </c>
      <c r="H118" s="559"/>
      <c r="I118" s="559"/>
      <c r="J118" s="624">
        <f t="shared" si="68"/>
        <v>0</v>
      </c>
      <c r="K118" s="624">
        <f t="shared" si="69"/>
        <v>0</v>
      </c>
      <c r="L118" s="625">
        <v>0</v>
      </c>
      <c r="M118" s="625">
        <f t="shared" si="70"/>
        <v>0</v>
      </c>
      <c r="N118" s="626">
        <f t="shared" si="71"/>
        <v>0</v>
      </c>
      <c r="O118" s="625">
        <f t="shared" si="72"/>
        <v>0</v>
      </c>
      <c r="P118" s="559"/>
      <c r="Q118" s="627">
        <v>0</v>
      </c>
      <c r="R118" s="559"/>
      <c r="S118" s="559"/>
      <c r="T118" s="559"/>
      <c r="U118" s="559"/>
      <c r="V118" s="559"/>
      <c r="W118" s="559"/>
      <c r="X118" s="559"/>
      <c r="Y118" s="559"/>
      <c r="Z118" s="559"/>
    </row>
    <row r="119" spans="1:26" ht="18" hidden="1" customHeight="1" x14ac:dyDescent="0.35">
      <c r="A119" s="559"/>
      <c r="B119" s="579" t="str">
        <f>IF(C119=0,0,"Base")</f>
        <v>Base</v>
      </c>
      <c r="C119" s="752" t="str">
        <f>VLOOKUP($B$110,$A$275:$U$279,10)</f>
        <v>Aucun</v>
      </c>
      <c r="D119" s="753">
        <f>VLOOKUP($B$110,$A$275:$U$279,13)</f>
        <v>0</v>
      </c>
      <c r="E119" s="753">
        <f>VLOOKUP($B$110,$A$275:$U$279,14)</f>
        <v>0</v>
      </c>
      <c r="F119" s="754">
        <f>IF(C119="Aucun",0,1)</f>
        <v>0</v>
      </c>
      <c r="G119" s="559">
        <f>IF(C119="Aucun",0,C119)</f>
        <v>0</v>
      </c>
      <c r="H119" s="559"/>
      <c r="I119" s="559"/>
      <c r="J119" s="624">
        <f t="shared" si="68"/>
        <v>0</v>
      </c>
      <c r="K119" s="624">
        <f t="shared" si="69"/>
        <v>0</v>
      </c>
      <c r="L119" s="625">
        <v>0</v>
      </c>
      <c r="M119" s="625">
        <f t="shared" si="70"/>
        <v>0</v>
      </c>
      <c r="N119" s="626">
        <f t="shared" si="71"/>
        <v>0</v>
      </c>
      <c r="O119" s="625">
        <f t="shared" si="72"/>
        <v>0</v>
      </c>
      <c r="P119" s="559"/>
      <c r="Q119" s="627">
        <v>0</v>
      </c>
      <c r="R119" s="559"/>
      <c r="S119" s="559"/>
      <c r="T119" s="559"/>
      <c r="U119" s="559"/>
      <c r="V119" s="559"/>
      <c r="W119" s="559"/>
      <c r="X119" s="559"/>
      <c r="Y119" s="559"/>
      <c r="Z119" s="559"/>
    </row>
    <row r="120" spans="1:26" ht="18" hidden="1" customHeight="1" x14ac:dyDescent="0.35">
      <c r="A120" s="559"/>
      <c r="B120" s="563"/>
      <c r="C120" s="755"/>
      <c r="D120" s="756"/>
      <c r="E120" s="756"/>
      <c r="F120" s="757"/>
      <c r="G120" s="559"/>
      <c r="H120" s="559"/>
      <c r="I120" s="559"/>
      <c r="J120" s="624"/>
      <c r="K120" s="624"/>
      <c r="L120" s="625"/>
      <c r="M120" s="625"/>
      <c r="N120" s="626"/>
      <c r="O120" s="625"/>
      <c r="P120" s="559"/>
      <c r="Q120" s="627"/>
      <c r="R120" s="559"/>
      <c r="S120" s="559"/>
      <c r="T120" s="559"/>
      <c r="U120" s="559"/>
      <c r="V120" s="559"/>
      <c r="W120" s="559"/>
      <c r="X120" s="559"/>
      <c r="Y120" s="559"/>
      <c r="Z120" s="559"/>
    </row>
    <row r="121" spans="1:26" ht="18" hidden="1" customHeight="1" x14ac:dyDescent="0.35">
      <c r="A121" s="559"/>
      <c r="B121" s="559"/>
      <c r="C121" s="559"/>
      <c r="D121" s="559"/>
      <c r="E121" s="559"/>
      <c r="F121" s="559"/>
      <c r="G121" s="559"/>
      <c r="H121" s="559"/>
      <c r="I121" s="559"/>
      <c r="J121" s="624"/>
      <c r="K121" s="624"/>
      <c r="L121" s="625"/>
      <c r="M121" s="625"/>
      <c r="N121" s="626"/>
      <c r="O121" s="625"/>
      <c r="P121" s="559"/>
      <c r="Q121" s="627"/>
      <c r="R121" s="559"/>
      <c r="S121" s="559"/>
      <c r="T121" s="559"/>
      <c r="U121" s="559"/>
      <c r="V121" s="559"/>
      <c r="W121" s="559"/>
      <c r="X121" s="559"/>
      <c r="Y121" s="559"/>
      <c r="Z121" s="559"/>
    </row>
    <row r="122" spans="1:26" ht="18" hidden="1" customHeight="1" x14ac:dyDescent="0.35">
      <c r="A122" s="573" t="s">
        <v>412</v>
      </c>
      <c r="B122" s="587" t="str">
        <f>C40</f>
        <v>Aucun</v>
      </c>
      <c r="C122" s="622"/>
      <c r="D122" s="630" t="s">
        <v>28</v>
      </c>
      <c r="E122" s="630" t="s">
        <v>33</v>
      </c>
      <c r="F122" s="631" t="s">
        <v>34</v>
      </c>
      <c r="G122" s="559"/>
      <c r="H122" s="559"/>
      <c r="I122" s="559"/>
      <c r="J122" s="624">
        <f>IF(C122=0,0,(C122/100)*(D122/100)*F122)</f>
        <v>0</v>
      </c>
      <c r="K122" s="624">
        <f t="shared" ref="K122:K125" si="74">J122/0.8</f>
        <v>0</v>
      </c>
      <c r="L122" s="625"/>
      <c r="M122" s="625"/>
      <c r="N122" s="626"/>
      <c r="O122" s="625"/>
      <c r="P122" s="559"/>
      <c r="Q122" s="627">
        <f>IF(J122=0,0,J122*VLOOKUP(E122,'[1]Prix Matiere'!$A$4:$L$60,12))</f>
        <v>0</v>
      </c>
      <c r="R122" s="559"/>
      <c r="S122" s="559"/>
      <c r="T122" s="559"/>
      <c r="U122" s="559"/>
      <c r="V122" s="559"/>
      <c r="W122" s="559"/>
      <c r="X122" s="559"/>
      <c r="Y122" s="559"/>
      <c r="Z122" s="559"/>
    </row>
    <row r="123" spans="1:26" ht="18" hidden="1" customHeight="1" x14ac:dyDescent="0.35">
      <c r="A123" s="559"/>
      <c r="B123" s="579">
        <f>IF(E38=0,0,"GC 15 mm")</f>
        <v>0</v>
      </c>
      <c r="C123" s="750">
        <f t="shared" ref="C123:C124" si="75">IF(D123=0,0,"Peuplier 15 mm")</f>
        <v>0</v>
      </c>
      <c r="D123" s="750">
        <f>IF(E38=0,0,C38+3)</f>
        <v>0</v>
      </c>
      <c r="E123" s="750">
        <f>IF(E38=0,0,E38)</f>
        <v>0</v>
      </c>
      <c r="F123" s="751">
        <f t="shared" ref="F123:F124" si="76">IF(D123=0,0,2)</f>
        <v>0</v>
      </c>
      <c r="G123" s="559"/>
      <c r="H123" s="559"/>
      <c r="I123" s="559"/>
      <c r="J123" s="624">
        <f t="shared" ref="J123:J125" si="77">IF(D123=0,0,(D123/100)*(E123/100)*F123)</f>
        <v>0</v>
      </c>
      <c r="K123" s="624">
        <f t="shared" si="74"/>
        <v>0</v>
      </c>
      <c r="L123" s="625">
        <v>0</v>
      </c>
      <c r="M123" s="625">
        <f t="shared" ref="M123:M125" si="78">L123*K123</f>
        <v>0</v>
      </c>
      <c r="N123" s="626">
        <f t="shared" ref="N123:N125" si="79">IF(J123=0,0,(7.0924*J123))</f>
        <v>0</v>
      </c>
      <c r="O123" s="625">
        <f t="shared" ref="O123:O125" si="80">N123*'Caisse Cuvette'!MinuteMO</f>
        <v>0</v>
      </c>
      <c r="P123" s="559"/>
      <c r="Q123" s="627">
        <v>0</v>
      </c>
      <c r="R123" s="559"/>
      <c r="S123" s="559"/>
      <c r="T123" s="559"/>
      <c r="U123" s="559"/>
      <c r="V123" s="559"/>
      <c r="W123" s="559"/>
      <c r="X123" s="559"/>
      <c r="Y123" s="559"/>
      <c r="Z123" s="559"/>
    </row>
    <row r="124" spans="1:26" ht="18" hidden="1" customHeight="1" x14ac:dyDescent="0.35">
      <c r="A124" s="559"/>
      <c r="B124" s="579">
        <f>IF(E38=0,0,"Bouts 15 mm")</f>
        <v>0</v>
      </c>
      <c r="C124" s="750">
        <f t="shared" si="75"/>
        <v>0</v>
      </c>
      <c r="D124" s="750">
        <f>IF(E38=0,0,D38)</f>
        <v>0</v>
      </c>
      <c r="E124" s="750">
        <f>E123</f>
        <v>0</v>
      </c>
      <c r="F124" s="751">
        <f t="shared" si="76"/>
        <v>0</v>
      </c>
      <c r="G124" s="559"/>
      <c r="H124" s="559"/>
      <c r="I124" s="559"/>
      <c r="J124" s="624">
        <f t="shared" si="77"/>
        <v>0</v>
      </c>
      <c r="K124" s="624">
        <f t="shared" si="74"/>
        <v>0</v>
      </c>
      <c r="L124" s="625">
        <v>0</v>
      </c>
      <c r="M124" s="625">
        <f t="shared" si="78"/>
        <v>0</v>
      </c>
      <c r="N124" s="626">
        <f t="shared" si="79"/>
        <v>0</v>
      </c>
      <c r="O124" s="625">
        <f t="shared" si="80"/>
        <v>0</v>
      </c>
      <c r="P124" s="559"/>
      <c r="Q124" s="627">
        <v>0</v>
      </c>
      <c r="R124" s="559"/>
      <c r="S124" s="559"/>
      <c r="T124" s="559"/>
      <c r="U124" s="559"/>
      <c r="V124" s="559"/>
      <c r="W124" s="559"/>
      <c r="X124" s="559"/>
      <c r="Y124" s="559"/>
      <c r="Z124" s="559"/>
    </row>
    <row r="125" spans="1:26" ht="18" hidden="1" customHeight="1" x14ac:dyDescent="0.35">
      <c r="A125" s="559"/>
      <c r="B125" s="579">
        <f>IF(E38=0,0,"Fond 10 mm")</f>
        <v>0</v>
      </c>
      <c r="C125" s="750">
        <f>IF(D125=0,0,"Peuplier 10 mm")</f>
        <v>0</v>
      </c>
      <c r="D125" s="750">
        <f>IF(D123=0,0,D123)</f>
        <v>0</v>
      </c>
      <c r="E125" s="750">
        <f>IF(D125=0,0,D124+3)</f>
        <v>0</v>
      </c>
      <c r="F125" s="751">
        <f>IF(D125=0,0,1)</f>
        <v>0</v>
      </c>
      <c r="G125" s="559"/>
      <c r="H125" s="559"/>
      <c r="I125" s="559"/>
      <c r="J125" s="624">
        <f t="shared" si="77"/>
        <v>0</v>
      </c>
      <c r="K125" s="624">
        <f t="shared" si="74"/>
        <v>0</v>
      </c>
      <c r="L125" s="625">
        <v>0</v>
      </c>
      <c r="M125" s="625">
        <f t="shared" si="78"/>
        <v>0</v>
      </c>
      <c r="N125" s="626">
        <f t="shared" si="79"/>
        <v>0</v>
      </c>
      <c r="O125" s="625">
        <f t="shared" si="80"/>
        <v>0</v>
      </c>
      <c r="P125" s="559"/>
      <c r="Q125" s="627">
        <v>0</v>
      </c>
      <c r="R125" s="559"/>
      <c r="S125" s="559"/>
      <c r="T125" s="559"/>
      <c r="U125" s="559"/>
      <c r="V125" s="559"/>
      <c r="W125" s="559"/>
      <c r="X125" s="559"/>
      <c r="Y125" s="559"/>
      <c r="Z125" s="559"/>
    </row>
    <row r="126" spans="1:26" ht="18" hidden="1" customHeight="1" x14ac:dyDescent="0.35">
      <c r="A126" s="559"/>
      <c r="B126" s="622"/>
      <c r="C126" s="752"/>
      <c r="D126" s="753"/>
      <c r="E126" s="753"/>
      <c r="F126" s="754"/>
      <c r="G126" s="559"/>
      <c r="H126" s="559"/>
      <c r="I126" s="559"/>
      <c r="J126" s="624"/>
      <c r="K126" s="624"/>
      <c r="L126" s="625"/>
      <c r="M126" s="625"/>
      <c r="N126" s="626"/>
      <c r="O126" s="625"/>
      <c r="P126" s="559"/>
      <c r="Q126" s="627">
        <f>IF(J126=0,0,J126*VLOOKUP(E126,'[1]Prix Matiere'!$A$4:$L$60,12))</f>
        <v>0</v>
      </c>
      <c r="R126" s="559"/>
      <c r="S126" s="559"/>
      <c r="T126" s="559"/>
      <c r="U126" s="559"/>
      <c r="V126" s="559"/>
      <c r="W126" s="559"/>
      <c r="X126" s="559"/>
      <c r="Y126" s="559"/>
      <c r="Z126" s="559"/>
    </row>
    <row r="127" spans="1:26" ht="18" hidden="1" customHeight="1" x14ac:dyDescent="0.35">
      <c r="A127" s="559"/>
      <c r="B127" s="622" t="s">
        <v>80</v>
      </c>
      <c r="C127" s="752">
        <f t="shared" ref="C127:C130" si="81">IF(D127=0,0,VLOOKUP($B$122,$A$283:$U$287,2))</f>
        <v>0</v>
      </c>
      <c r="D127" s="753">
        <f>VLOOKUP($B$122,$A$283:$U$287,16)</f>
        <v>0</v>
      </c>
      <c r="E127" s="753">
        <f>VLOOKUP($B$122,$A$283:$U$287,17)</f>
        <v>0</v>
      </c>
      <c r="F127" s="754">
        <f>IF(C127=0,0,VLOOKUP($B$122,$A$283:$U$287,15))</f>
        <v>0</v>
      </c>
      <c r="G127" s="559">
        <f t="shared" ref="G127:G130" si="82">C127</f>
        <v>0</v>
      </c>
      <c r="H127" s="559"/>
      <c r="I127" s="559"/>
      <c r="J127" s="624">
        <f t="shared" ref="J127:J131" si="83">IF(D127=0,0,(D127/100)*(E127/100)*F127)</f>
        <v>0</v>
      </c>
      <c r="K127" s="624">
        <f t="shared" ref="K127:K131" si="84">J127/0.8</f>
        <v>0</v>
      </c>
      <c r="L127" s="625">
        <v>0</v>
      </c>
      <c r="M127" s="625">
        <f t="shared" ref="M127:M131" si="85">L127*K127</f>
        <v>0</v>
      </c>
      <c r="N127" s="626">
        <f t="shared" ref="N127:N131" si="86">IF(J127=0,0,4.7283*J127+2)</f>
        <v>0</v>
      </c>
      <c r="O127" s="625">
        <f t="shared" ref="O127:O131" si="87">N127*'Caisse Cuvette'!MinuteMO</f>
        <v>0</v>
      </c>
      <c r="P127" s="559"/>
      <c r="Q127" s="627">
        <v>0</v>
      </c>
      <c r="R127" s="559"/>
      <c r="S127" s="559"/>
      <c r="T127" s="559"/>
      <c r="U127" s="559"/>
      <c r="V127" s="559"/>
      <c r="W127" s="559"/>
      <c r="X127" s="559"/>
      <c r="Y127" s="559"/>
      <c r="Z127" s="559"/>
    </row>
    <row r="128" spans="1:26" ht="18" hidden="1" customHeight="1" x14ac:dyDescent="0.35">
      <c r="A128" s="559"/>
      <c r="B128" s="584"/>
      <c r="C128" s="752">
        <f t="shared" si="81"/>
        <v>0</v>
      </c>
      <c r="D128" s="753">
        <f>VLOOKUP($B$122,$A$283:$U$287,3)</f>
        <v>0</v>
      </c>
      <c r="E128" s="753">
        <f>VLOOKUP($B$122,$A$283:$U$287,4)</f>
        <v>0</v>
      </c>
      <c r="F128" s="754">
        <f>VLOOKUP($B$122,$A$283:$U$287,5)</f>
        <v>0</v>
      </c>
      <c r="G128" s="559">
        <f t="shared" si="82"/>
        <v>0</v>
      </c>
      <c r="H128" s="559"/>
      <c r="I128" s="559"/>
      <c r="J128" s="624">
        <f t="shared" si="83"/>
        <v>0</v>
      </c>
      <c r="K128" s="624">
        <f t="shared" si="84"/>
        <v>0</v>
      </c>
      <c r="L128" s="625">
        <v>0</v>
      </c>
      <c r="M128" s="625">
        <f t="shared" si="85"/>
        <v>0</v>
      </c>
      <c r="N128" s="626">
        <f t="shared" si="86"/>
        <v>0</v>
      </c>
      <c r="O128" s="625">
        <f t="shared" si="87"/>
        <v>0</v>
      </c>
      <c r="P128" s="559"/>
      <c r="Q128" s="627">
        <v>0</v>
      </c>
      <c r="R128" s="559"/>
      <c r="S128" s="559"/>
      <c r="T128" s="559"/>
      <c r="U128" s="559"/>
      <c r="V128" s="559"/>
      <c r="W128" s="559"/>
      <c r="X128" s="559"/>
      <c r="Y128" s="559"/>
      <c r="Z128" s="559"/>
    </row>
    <row r="129" spans="1:26" ht="18" hidden="1" customHeight="1" x14ac:dyDescent="0.35">
      <c r="A129" s="559"/>
      <c r="B129" s="622">
        <f>IF(B122="Mousse au carré cinquante mm","GC",0)</f>
        <v>0</v>
      </c>
      <c r="C129" s="752">
        <f t="shared" si="81"/>
        <v>0</v>
      </c>
      <c r="D129" s="753">
        <f>VLOOKUP($B$122,$A$283:$U$287,7)</f>
        <v>0</v>
      </c>
      <c r="E129" s="753">
        <f t="shared" ref="E129:E130" si="88">VLOOKUP($B$122,$A$283:$U$287,6)</f>
        <v>0</v>
      </c>
      <c r="F129" s="754">
        <f>VLOOKUP($B$122,$A$283:$U$287,19)</f>
        <v>0</v>
      </c>
      <c r="G129" s="559">
        <f t="shared" si="82"/>
        <v>0</v>
      </c>
      <c r="H129" s="559"/>
      <c r="I129" s="559"/>
      <c r="J129" s="624">
        <f t="shared" si="83"/>
        <v>0</v>
      </c>
      <c r="K129" s="624">
        <f t="shared" si="84"/>
        <v>0</v>
      </c>
      <c r="L129" s="625">
        <v>0</v>
      </c>
      <c r="M129" s="625">
        <f t="shared" si="85"/>
        <v>0</v>
      </c>
      <c r="N129" s="626">
        <f t="shared" si="86"/>
        <v>0</v>
      </c>
      <c r="O129" s="625">
        <f t="shared" si="87"/>
        <v>0</v>
      </c>
      <c r="P129" s="559"/>
      <c r="Q129" s="627">
        <v>0</v>
      </c>
      <c r="R129" s="559"/>
      <c r="S129" s="559"/>
      <c r="T129" s="559"/>
      <c r="U129" s="559"/>
      <c r="V129" s="559"/>
      <c r="W129" s="559"/>
      <c r="X129" s="559"/>
      <c r="Y129" s="559"/>
      <c r="Z129" s="559"/>
    </row>
    <row r="130" spans="1:26" ht="18" hidden="1" customHeight="1" x14ac:dyDescent="0.35">
      <c r="A130" s="559"/>
      <c r="B130" s="622">
        <f>IF(B122="Mousse au carré cinquante mm","Bouts",0)</f>
        <v>0</v>
      </c>
      <c r="C130" s="752">
        <f t="shared" si="81"/>
        <v>0</v>
      </c>
      <c r="D130" s="753">
        <f>VLOOKUP($B$122,$A$283:$U$287,8)</f>
        <v>0</v>
      </c>
      <c r="E130" s="753">
        <f t="shared" si="88"/>
        <v>0</v>
      </c>
      <c r="F130" s="754">
        <f>VLOOKUP($B$122,$A$283:$U$287,9)</f>
        <v>0</v>
      </c>
      <c r="G130" s="559">
        <f t="shared" si="82"/>
        <v>0</v>
      </c>
      <c r="H130" s="559"/>
      <c r="I130" s="559"/>
      <c r="J130" s="624">
        <f t="shared" si="83"/>
        <v>0</v>
      </c>
      <c r="K130" s="624">
        <f t="shared" si="84"/>
        <v>0</v>
      </c>
      <c r="L130" s="625">
        <v>0</v>
      </c>
      <c r="M130" s="625">
        <f t="shared" si="85"/>
        <v>0</v>
      </c>
      <c r="N130" s="626">
        <f t="shared" si="86"/>
        <v>0</v>
      </c>
      <c r="O130" s="625">
        <f t="shared" si="87"/>
        <v>0</v>
      </c>
      <c r="P130" s="559"/>
      <c r="Q130" s="627">
        <v>0</v>
      </c>
      <c r="R130" s="559"/>
      <c r="S130" s="559"/>
      <c r="T130" s="559"/>
      <c r="U130" s="559"/>
      <c r="V130" s="559"/>
      <c r="W130" s="559"/>
      <c r="X130" s="559"/>
      <c r="Y130" s="559"/>
      <c r="Z130" s="559"/>
    </row>
    <row r="131" spans="1:26" ht="18" hidden="1" customHeight="1" x14ac:dyDescent="0.35">
      <c r="A131" s="559"/>
      <c r="B131" s="579" t="str">
        <f>IF(C131=0,0,"Base")</f>
        <v>Base</v>
      </c>
      <c r="C131" s="752" t="str">
        <f>VLOOKUP($B$122,$A$283:$U$287,10)</f>
        <v>Aucun</v>
      </c>
      <c r="D131" s="753">
        <f>VLOOKUP($B$122,$A$283:$U$287,13)</f>
        <v>0</v>
      </c>
      <c r="E131" s="753">
        <f>VLOOKUP($B$122,$A$283:$U$287,14)</f>
        <v>0</v>
      </c>
      <c r="F131" s="754">
        <f>IF(C131="Aucun",0,1)</f>
        <v>0</v>
      </c>
      <c r="G131" s="559">
        <f>IF(C131="Aucun",0,C131)</f>
        <v>0</v>
      </c>
      <c r="H131" s="559"/>
      <c r="I131" s="559"/>
      <c r="J131" s="624">
        <f t="shared" si="83"/>
        <v>0</v>
      </c>
      <c r="K131" s="624">
        <f t="shared" si="84"/>
        <v>0</v>
      </c>
      <c r="L131" s="625">
        <v>0</v>
      </c>
      <c r="M131" s="625">
        <f t="shared" si="85"/>
        <v>0</v>
      </c>
      <c r="N131" s="626">
        <f t="shared" si="86"/>
        <v>0</v>
      </c>
      <c r="O131" s="625">
        <f t="shared" si="87"/>
        <v>0</v>
      </c>
      <c r="P131" s="559"/>
      <c r="Q131" s="627">
        <v>0</v>
      </c>
      <c r="R131" s="559"/>
      <c r="S131" s="559"/>
      <c r="T131" s="559"/>
      <c r="U131" s="559"/>
      <c r="V131" s="559"/>
      <c r="W131" s="559"/>
      <c r="X131" s="559"/>
      <c r="Y131" s="559"/>
      <c r="Z131" s="559"/>
    </row>
    <row r="132" spans="1:26" ht="18" hidden="1" customHeight="1" x14ac:dyDescent="0.35">
      <c r="A132" s="559"/>
      <c r="B132" s="563"/>
      <c r="C132" s="755"/>
      <c r="D132" s="756"/>
      <c r="E132" s="756"/>
      <c r="F132" s="757"/>
      <c r="G132" s="559"/>
      <c r="H132" s="559"/>
      <c r="I132" s="559"/>
      <c r="J132" s="624"/>
      <c r="K132" s="624"/>
      <c r="L132" s="625"/>
      <c r="M132" s="625"/>
      <c r="N132" s="626"/>
      <c r="O132" s="625"/>
      <c r="P132" s="559"/>
      <c r="Q132" s="627"/>
      <c r="R132" s="559"/>
      <c r="S132" s="559"/>
      <c r="T132" s="559"/>
      <c r="U132" s="559"/>
      <c r="V132" s="559"/>
      <c r="W132" s="559"/>
      <c r="X132" s="559"/>
      <c r="Y132" s="559"/>
      <c r="Z132" s="559"/>
    </row>
    <row r="133" spans="1:26" ht="18" hidden="1" customHeight="1" x14ac:dyDescent="0.35">
      <c r="A133" s="559"/>
      <c r="B133" s="559"/>
      <c r="C133" s="559"/>
      <c r="D133" s="559"/>
      <c r="E133" s="559"/>
      <c r="F133" s="559"/>
      <c r="G133" s="559"/>
      <c r="H133" s="559"/>
      <c r="I133" s="559"/>
      <c r="J133" s="624"/>
      <c r="K133" s="624"/>
      <c r="L133" s="625"/>
      <c r="M133" s="625"/>
      <c r="N133" s="626"/>
      <c r="O133" s="625"/>
      <c r="P133" s="559"/>
      <c r="Q133" s="627"/>
      <c r="R133" s="559"/>
      <c r="S133" s="559"/>
      <c r="T133" s="559"/>
      <c r="U133" s="559"/>
      <c r="V133" s="559"/>
      <c r="W133" s="559"/>
      <c r="X133" s="559"/>
      <c r="Y133" s="559"/>
      <c r="Z133" s="559"/>
    </row>
    <row r="134" spans="1:26" ht="18" hidden="1" customHeight="1" x14ac:dyDescent="0.35">
      <c r="A134" s="573" t="s">
        <v>413</v>
      </c>
      <c r="B134" s="587" t="str">
        <f>I26</f>
        <v>Aucun</v>
      </c>
      <c r="C134" s="622"/>
      <c r="D134" s="630" t="s">
        <v>28</v>
      </c>
      <c r="E134" s="630" t="s">
        <v>33</v>
      </c>
      <c r="F134" s="631" t="s">
        <v>34</v>
      </c>
      <c r="G134" s="559"/>
      <c r="H134" s="559"/>
      <c r="I134" s="559"/>
      <c r="J134" s="624">
        <f>IF(C134=0,0,(C134/100)*(D134/100)*F134)</f>
        <v>0</v>
      </c>
      <c r="K134" s="624">
        <f t="shared" ref="K134:K137" si="89">J134/0.8</f>
        <v>0</v>
      </c>
      <c r="L134" s="625"/>
      <c r="M134" s="625"/>
      <c r="N134" s="626"/>
      <c r="O134" s="625"/>
      <c r="P134" s="559"/>
      <c r="Q134" s="627">
        <f>IF(J134=0,0,J134*VLOOKUP(E134,'[1]Prix Matiere'!$A$4:$L$60,12))</f>
        <v>0</v>
      </c>
      <c r="R134" s="559"/>
      <c r="S134" s="559"/>
      <c r="T134" s="559"/>
      <c r="U134" s="559"/>
      <c r="V134" s="559"/>
      <c r="W134" s="559"/>
      <c r="X134" s="559"/>
      <c r="Y134" s="559"/>
      <c r="Z134" s="559"/>
    </row>
    <row r="135" spans="1:26" ht="18" hidden="1" customHeight="1" x14ac:dyDescent="0.35">
      <c r="A135" s="559"/>
      <c r="B135" s="579">
        <f>IF(K24=0,0,"GC 15 mm")</f>
        <v>0</v>
      </c>
      <c r="C135" s="750">
        <f t="shared" ref="C135:C136" si="90">IF(D135=0,0,"Peuplier 15 mm")</f>
        <v>0</v>
      </c>
      <c r="D135" s="750">
        <f>IF(K24=0,0,I24+3)</f>
        <v>0</v>
      </c>
      <c r="E135" s="750">
        <f>IF(K24=0,0,K24)</f>
        <v>0</v>
      </c>
      <c r="F135" s="751">
        <f t="shared" ref="F135:F136" si="91">IF(D135=0,0,2)</f>
        <v>0</v>
      </c>
      <c r="G135" s="559"/>
      <c r="H135" s="559"/>
      <c r="I135" s="559"/>
      <c r="J135" s="624">
        <f t="shared" ref="J135:J137" si="92">IF(D135=0,0,(D135/100)*(E135/100)*F135)</f>
        <v>0</v>
      </c>
      <c r="K135" s="624">
        <f t="shared" si="89"/>
        <v>0</v>
      </c>
      <c r="L135" s="625">
        <v>0</v>
      </c>
      <c r="M135" s="625">
        <f t="shared" ref="M135:M137" si="93">L135*K135</f>
        <v>0</v>
      </c>
      <c r="N135" s="626">
        <f t="shared" ref="N135:N137" si="94">IF(J135=0,0,(7.0924*J135))</f>
        <v>0</v>
      </c>
      <c r="O135" s="625">
        <f t="shared" ref="O135:O137" si="95">N135*'Caisse Cuvette'!MinuteMO</f>
        <v>0</v>
      </c>
      <c r="P135" s="559"/>
      <c r="Q135" s="627">
        <v>0</v>
      </c>
      <c r="R135" s="559"/>
      <c r="S135" s="559"/>
      <c r="T135" s="559"/>
      <c r="U135" s="559"/>
      <c r="V135" s="559"/>
      <c r="W135" s="559"/>
      <c r="X135" s="559"/>
      <c r="Y135" s="559"/>
      <c r="Z135" s="559"/>
    </row>
    <row r="136" spans="1:26" ht="18" hidden="1" customHeight="1" x14ac:dyDescent="0.35">
      <c r="A136" s="559"/>
      <c r="B136" s="579">
        <f>IF(K24=0,0,"Bouts 15 mm")</f>
        <v>0</v>
      </c>
      <c r="C136" s="750">
        <f t="shared" si="90"/>
        <v>0</v>
      </c>
      <c r="D136" s="750">
        <f>IF(K24=0,0,J24)</f>
        <v>0</v>
      </c>
      <c r="E136" s="750">
        <f>E135</f>
        <v>0</v>
      </c>
      <c r="F136" s="751">
        <f t="shared" si="91"/>
        <v>0</v>
      </c>
      <c r="G136" s="559"/>
      <c r="H136" s="559"/>
      <c r="I136" s="559"/>
      <c r="J136" s="624">
        <f t="shared" si="92"/>
        <v>0</v>
      </c>
      <c r="K136" s="624">
        <f t="shared" si="89"/>
        <v>0</v>
      </c>
      <c r="L136" s="625">
        <v>0</v>
      </c>
      <c r="M136" s="625">
        <f t="shared" si="93"/>
        <v>0</v>
      </c>
      <c r="N136" s="626">
        <f t="shared" si="94"/>
        <v>0</v>
      </c>
      <c r="O136" s="625">
        <f t="shared" si="95"/>
        <v>0</v>
      </c>
      <c r="P136" s="559"/>
      <c r="Q136" s="627">
        <v>0</v>
      </c>
      <c r="R136" s="559"/>
      <c r="S136" s="559"/>
      <c r="T136" s="559"/>
      <c r="U136" s="559"/>
      <c r="V136" s="559"/>
      <c r="W136" s="559"/>
      <c r="X136" s="559"/>
      <c r="Y136" s="559"/>
      <c r="Z136" s="559"/>
    </row>
    <row r="137" spans="1:26" ht="18" hidden="1" customHeight="1" x14ac:dyDescent="0.35">
      <c r="A137" s="559"/>
      <c r="B137" s="579">
        <f>IF(K24=0,0,"Fond 10 mm")</f>
        <v>0</v>
      </c>
      <c r="C137" s="750">
        <f>IF(D137=0,0,"Peuplier 10 mm")</f>
        <v>0</v>
      </c>
      <c r="D137" s="750">
        <f>IF(D135=0,0,D135)</f>
        <v>0</v>
      </c>
      <c r="E137" s="750">
        <f>IF(D137=0,0,D136+3)</f>
        <v>0</v>
      </c>
      <c r="F137" s="751">
        <f>IF(D137=0,0,1)</f>
        <v>0</v>
      </c>
      <c r="G137" s="559"/>
      <c r="H137" s="559"/>
      <c r="I137" s="559"/>
      <c r="J137" s="624">
        <f t="shared" si="92"/>
        <v>0</v>
      </c>
      <c r="K137" s="624">
        <f t="shared" si="89"/>
        <v>0</v>
      </c>
      <c r="L137" s="625">
        <v>0</v>
      </c>
      <c r="M137" s="625">
        <f t="shared" si="93"/>
        <v>0</v>
      </c>
      <c r="N137" s="626">
        <f t="shared" si="94"/>
        <v>0</v>
      </c>
      <c r="O137" s="625">
        <f t="shared" si="95"/>
        <v>0</v>
      </c>
      <c r="P137" s="559"/>
      <c r="Q137" s="627">
        <v>0</v>
      </c>
      <c r="R137" s="559"/>
      <c r="S137" s="559"/>
      <c r="T137" s="559"/>
      <c r="U137" s="559"/>
      <c r="V137" s="559"/>
      <c r="W137" s="559"/>
      <c r="X137" s="559"/>
      <c r="Y137" s="559"/>
      <c r="Z137" s="559"/>
    </row>
    <row r="138" spans="1:26" ht="18" hidden="1" customHeight="1" x14ac:dyDescent="0.35">
      <c r="A138" s="559"/>
      <c r="B138" s="622"/>
      <c r="C138" s="752"/>
      <c r="D138" s="753"/>
      <c r="E138" s="753"/>
      <c r="F138" s="754"/>
      <c r="G138" s="559"/>
      <c r="H138" s="559"/>
      <c r="I138" s="559"/>
      <c r="J138" s="624"/>
      <c r="K138" s="624"/>
      <c r="L138" s="625"/>
      <c r="M138" s="625"/>
      <c r="N138" s="626"/>
      <c r="O138" s="625"/>
      <c r="P138" s="559"/>
      <c r="Q138" s="627">
        <f>IF(J138=0,0,J138*VLOOKUP(E138,'[1]Prix Matiere'!$A$4:$L$60,12))</f>
        <v>0</v>
      </c>
      <c r="R138" s="559"/>
      <c r="S138" s="559"/>
      <c r="T138" s="559"/>
      <c r="U138" s="559"/>
      <c r="V138" s="559"/>
      <c r="W138" s="559"/>
      <c r="X138" s="559"/>
      <c r="Y138" s="559"/>
      <c r="Z138" s="559"/>
    </row>
    <row r="139" spans="1:26" ht="18" hidden="1" customHeight="1" x14ac:dyDescent="0.35">
      <c r="A139" s="559"/>
      <c r="B139" s="622" t="s">
        <v>80</v>
      </c>
      <c r="C139" s="752">
        <f t="shared" ref="C139:C142" si="96">IF(D139=0,0,VLOOKUP($B$134,$A$291:$U$295,2))</f>
        <v>0</v>
      </c>
      <c r="D139" s="753">
        <f>VLOOKUP($B$134,$A$291:$U$295,16)</f>
        <v>0</v>
      </c>
      <c r="E139" s="753">
        <f>VLOOKUP($B$134,$A$291:$U$295,17)</f>
        <v>0</v>
      </c>
      <c r="F139" s="754">
        <f>IF(C139=0,0,VLOOKUP($B$134,$A$291:$U$295,15))</f>
        <v>0</v>
      </c>
      <c r="G139" s="559">
        <f t="shared" ref="G139:G142" si="97">C139</f>
        <v>0</v>
      </c>
      <c r="H139" s="559"/>
      <c r="I139" s="559"/>
      <c r="J139" s="624">
        <f t="shared" ref="J139:J143" si="98">IF(D139=0,0,(D139/100)*(E139/100)*F139)</f>
        <v>0</v>
      </c>
      <c r="K139" s="624">
        <f t="shared" ref="K139:K143" si="99">J139/0.8</f>
        <v>0</v>
      </c>
      <c r="L139" s="625">
        <v>0</v>
      </c>
      <c r="M139" s="625">
        <f t="shared" ref="M139:M143" si="100">L139*K139</f>
        <v>0</v>
      </c>
      <c r="N139" s="626">
        <f t="shared" ref="N139:N143" si="101">IF(J139=0,0,4.7283*J139+2)</f>
        <v>0</v>
      </c>
      <c r="O139" s="625">
        <f t="shared" ref="O139:O143" si="102">N139*'Caisse Cuvette'!MinuteMO</f>
        <v>0</v>
      </c>
      <c r="P139" s="559"/>
      <c r="Q139" s="627">
        <v>0</v>
      </c>
      <c r="R139" s="559"/>
      <c r="S139" s="559"/>
      <c r="T139" s="559"/>
      <c r="U139" s="559"/>
      <c r="V139" s="559"/>
      <c r="W139" s="559"/>
      <c r="X139" s="559"/>
      <c r="Y139" s="559"/>
      <c r="Z139" s="559"/>
    </row>
    <row r="140" spans="1:26" ht="18" hidden="1" customHeight="1" x14ac:dyDescent="0.35">
      <c r="A140" s="559"/>
      <c r="B140" s="584"/>
      <c r="C140" s="752">
        <f t="shared" si="96"/>
        <v>0</v>
      </c>
      <c r="D140" s="753">
        <f>VLOOKUP($B$134,$A$291:$U$295,3)</f>
        <v>0</v>
      </c>
      <c r="E140" s="753">
        <f>VLOOKUP($B$134,$A$291:$U$295,4)</f>
        <v>0</v>
      </c>
      <c r="F140" s="754">
        <f>VLOOKUP($B$134,$A$291:$U$295,5)</f>
        <v>0</v>
      </c>
      <c r="G140" s="559">
        <f t="shared" si="97"/>
        <v>0</v>
      </c>
      <c r="H140" s="559"/>
      <c r="I140" s="559"/>
      <c r="J140" s="624">
        <f t="shared" si="98"/>
        <v>0</v>
      </c>
      <c r="K140" s="624">
        <f t="shared" si="99"/>
        <v>0</v>
      </c>
      <c r="L140" s="625">
        <v>0</v>
      </c>
      <c r="M140" s="625">
        <f t="shared" si="100"/>
        <v>0</v>
      </c>
      <c r="N140" s="626">
        <f t="shared" si="101"/>
        <v>0</v>
      </c>
      <c r="O140" s="625">
        <f t="shared" si="102"/>
        <v>0</v>
      </c>
      <c r="P140" s="559"/>
      <c r="Q140" s="627">
        <v>0</v>
      </c>
      <c r="R140" s="559"/>
      <c r="S140" s="559"/>
      <c r="T140" s="559"/>
      <c r="U140" s="559"/>
      <c r="V140" s="559"/>
      <c r="W140" s="559"/>
      <c r="X140" s="559"/>
      <c r="Y140" s="559"/>
      <c r="Z140" s="559"/>
    </row>
    <row r="141" spans="1:26" ht="18" hidden="1" customHeight="1" x14ac:dyDescent="0.35">
      <c r="A141" s="559"/>
      <c r="B141" s="622">
        <f>IF(B134="Mousse au carré cinquante mm","GC",0)</f>
        <v>0</v>
      </c>
      <c r="C141" s="752">
        <f t="shared" si="96"/>
        <v>0</v>
      </c>
      <c r="D141" s="753">
        <f>VLOOKUP($B$134,$A$291:$U$295,7)</f>
        <v>0</v>
      </c>
      <c r="E141" s="753">
        <f t="shared" ref="E141:E142" si="103">VLOOKUP($B$134,$A$291:$U$295,6)</f>
        <v>0</v>
      </c>
      <c r="F141" s="754">
        <f>VLOOKUP($B$134,$A$291:$U$295,19)</f>
        <v>0</v>
      </c>
      <c r="G141" s="559">
        <f t="shared" si="97"/>
        <v>0</v>
      </c>
      <c r="H141" s="559"/>
      <c r="I141" s="559"/>
      <c r="J141" s="624">
        <f t="shared" si="98"/>
        <v>0</v>
      </c>
      <c r="K141" s="624">
        <f t="shared" si="99"/>
        <v>0</v>
      </c>
      <c r="L141" s="625">
        <v>0</v>
      </c>
      <c r="M141" s="625">
        <f t="shared" si="100"/>
        <v>0</v>
      </c>
      <c r="N141" s="626">
        <f t="shared" si="101"/>
        <v>0</v>
      </c>
      <c r="O141" s="625">
        <f t="shared" si="102"/>
        <v>0</v>
      </c>
      <c r="P141" s="559"/>
      <c r="Q141" s="627">
        <v>0</v>
      </c>
      <c r="R141" s="559"/>
      <c r="S141" s="559"/>
      <c r="T141" s="559"/>
      <c r="U141" s="559"/>
      <c r="V141" s="559"/>
      <c r="W141" s="559"/>
      <c r="X141" s="559"/>
      <c r="Y141" s="559"/>
      <c r="Z141" s="559"/>
    </row>
    <row r="142" spans="1:26" ht="18" hidden="1" customHeight="1" x14ac:dyDescent="0.35">
      <c r="A142" s="559"/>
      <c r="B142" s="622">
        <f>IF(B134="Mousse au carré cinquante mm","Bouts",0)</f>
        <v>0</v>
      </c>
      <c r="C142" s="752">
        <f t="shared" si="96"/>
        <v>0</v>
      </c>
      <c r="D142" s="753">
        <f>VLOOKUP($B$134,$A$291:$U$295,8)</f>
        <v>0</v>
      </c>
      <c r="E142" s="753">
        <f t="shared" si="103"/>
        <v>0</v>
      </c>
      <c r="F142" s="754">
        <f>VLOOKUP($B$134,$A$291:$U$295,9)</f>
        <v>0</v>
      </c>
      <c r="G142" s="559">
        <f t="shared" si="97"/>
        <v>0</v>
      </c>
      <c r="H142" s="559"/>
      <c r="I142" s="559"/>
      <c r="J142" s="624">
        <f t="shared" si="98"/>
        <v>0</v>
      </c>
      <c r="K142" s="624">
        <f t="shared" si="99"/>
        <v>0</v>
      </c>
      <c r="L142" s="625">
        <v>0</v>
      </c>
      <c r="M142" s="625">
        <f t="shared" si="100"/>
        <v>0</v>
      </c>
      <c r="N142" s="626">
        <f t="shared" si="101"/>
        <v>0</v>
      </c>
      <c r="O142" s="625">
        <f t="shared" si="102"/>
        <v>0</v>
      </c>
      <c r="P142" s="559"/>
      <c r="Q142" s="627">
        <v>0</v>
      </c>
      <c r="R142" s="559"/>
      <c r="S142" s="559"/>
      <c r="T142" s="559"/>
      <c r="U142" s="559"/>
      <c r="V142" s="559"/>
      <c r="W142" s="559"/>
      <c r="X142" s="559"/>
      <c r="Y142" s="559"/>
      <c r="Z142" s="559"/>
    </row>
    <row r="143" spans="1:26" ht="18" hidden="1" customHeight="1" x14ac:dyDescent="0.35">
      <c r="A143" s="559"/>
      <c r="B143" s="579" t="str">
        <f>IF(C143=0,0,"Base")</f>
        <v>Base</v>
      </c>
      <c r="C143" s="752" t="str">
        <f>VLOOKUP($B$134,$A$291:$U$295,10)</f>
        <v>Aucun</v>
      </c>
      <c r="D143" s="753">
        <f>VLOOKUP($B$134,$A$291:$U$295,13)</f>
        <v>0</v>
      </c>
      <c r="E143" s="753">
        <f>VLOOKUP($B$134,$A$291:$U$295,14)</f>
        <v>0</v>
      </c>
      <c r="F143" s="754">
        <f>IF(C143="Aucun",0,1)</f>
        <v>0</v>
      </c>
      <c r="G143" s="559">
        <f>IF(C143="Aucun",0,C143)</f>
        <v>0</v>
      </c>
      <c r="H143" s="559"/>
      <c r="I143" s="559"/>
      <c r="J143" s="624">
        <f t="shared" si="98"/>
        <v>0</v>
      </c>
      <c r="K143" s="624">
        <f t="shared" si="99"/>
        <v>0</v>
      </c>
      <c r="L143" s="625">
        <v>0</v>
      </c>
      <c r="M143" s="625">
        <f t="shared" si="100"/>
        <v>0</v>
      </c>
      <c r="N143" s="626">
        <f t="shared" si="101"/>
        <v>0</v>
      </c>
      <c r="O143" s="625">
        <f t="shared" si="102"/>
        <v>0</v>
      </c>
      <c r="P143" s="559"/>
      <c r="Q143" s="627">
        <v>0</v>
      </c>
      <c r="R143" s="559"/>
      <c r="S143" s="559"/>
      <c r="T143" s="559"/>
      <c r="U143" s="559"/>
      <c r="V143" s="559"/>
      <c r="W143" s="559"/>
      <c r="X143" s="559"/>
      <c r="Y143" s="559"/>
      <c r="Z143" s="559"/>
    </row>
    <row r="144" spans="1:26" ht="18" hidden="1" customHeight="1" x14ac:dyDescent="0.35">
      <c r="A144" s="559"/>
      <c r="B144" s="563"/>
      <c r="C144" s="755"/>
      <c r="D144" s="756"/>
      <c r="E144" s="756"/>
      <c r="F144" s="757"/>
      <c r="G144" s="559"/>
      <c r="H144" s="559"/>
      <c r="I144" s="559"/>
      <c r="J144" s="624"/>
      <c r="K144" s="624"/>
      <c r="L144" s="625"/>
      <c r="M144" s="625"/>
      <c r="N144" s="626"/>
      <c r="O144" s="625"/>
      <c r="P144" s="559"/>
      <c r="Q144" s="627"/>
      <c r="R144" s="559"/>
      <c r="S144" s="559"/>
      <c r="T144" s="559"/>
      <c r="U144" s="559"/>
      <c r="V144" s="559"/>
      <c r="W144" s="559"/>
      <c r="X144" s="559"/>
      <c r="Y144" s="559"/>
      <c r="Z144" s="559"/>
    </row>
    <row r="145" spans="1:26" ht="18" hidden="1" customHeight="1" x14ac:dyDescent="0.35">
      <c r="A145" s="559"/>
      <c r="B145" s="559"/>
      <c r="C145" s="559"/>
      <c r="D145" s="559"/>
      <c r="E145" s="559"/>
      <c r="F145" s="559"/>
      <c r="G145" s="559"/>
      <c r="H145" s="559"/>
      <c r="I145" s="559"/>
      <c r="J145" s="624"/>
      <c r="K145" s="624"/>
      <c r="L145" s="625"/>
      <c r="M145" s="625"/>
      <c r="N145" s="626"/>
      <c r="O145" s="625"/>
      <c r="P145" s="559"/>
      <c r="Q145" s="627"/>
      <c r="R145" s="559"/>
      <c r="S145" s="559"/>
      <c r="T145" s="559"/>
      <c r="U145" s="559"/>
      <c r="V145" s="559"/>
      <c r="W145" s="559"/>
      <c r="X145" s="559"/>
      <c r="Y145" s="559"/>
      <c r="Z145" s="559"/>
    </row>
    <row r="146" spans="1:26" ht="18" hidden="1" customHeight="1" x14ac:dyDescent="0.35">
      <c r="A146" s="573" t="s">
        <v>414</v>
      </c>
      <c r="B146" s="587" t="str">
        <f>I33</f>
        <v>Aucun</v>
      </c>
      <c r="C146" s="622"/>
      <c r="D146" s="630" t="s">
        <v>28</v>
      </c>
      <c r="E146" s="630" t="s">
        <v>33</v>
      </c>
      <c r="F146" s="631" t="s">
        <v>34</v>
      </c>
      <c r="G146" s="559"/>
      <c r="H146" s="559"/>
      <c r="I146" s="559"/>
      <c r="J146" s="624">
        <f>IF(C146=0,0,(C146/100)*(D146/100)*F146)</f>
        <v>0</v>
      </c>
      <c r="K146" s="624">
        <f t="shared" ref="K146:K149" si="104">J146/0.8</f>
        <v>0</v>
      </c>
      <c r="L146" s="625"/>
      <c r="M146" s="625"/>
      <c r="N146" s="626"/>
      <c r="O146" s="625"/>
      <c r="P146" s="559"/>
      <c r="Q146" s="627">
        <f>IF(J146=0,0,J146*VLOOKUP(E146,'[1]Prix Matiere'!$A$4:$L$60,12))</f>
        <v>0</v>
      </c>
      <c r="R146" s="559"/>
      <c r="S146" s="559"/>
      <c r="T146" s="559"/>
      <c r="U146" s="559"/>
      <c r="V146" s="559"/>
      <c r="W146" s="559"/>
      <c r="X146" s="559"/>
      <c r="Y146" s="559"/>
      <c r="Z146" s="559"/>
    </row>
    <row r="147" spans="1:26" ht="18" hidden="1" customHeight="1" x14ac:dyDescent="0.35">
      <c r="A147" s="559"/>
      <c r="B147" s="579">
        <f>IF(K31=0,0,"GC 15 mm")</f>
        <v>0</v>
      </c>
      <c r="C147" s="750">
        <f t="shared" ref="C147:C148" si="105">IF(D147=0,0,"Peuplier 15 mm")</f>
        <v>0</v>
      </c>
      <c r="D147" s="750">
        <f>IF(K31=0,0,I31+3)</f>
        <v>0</v>
      </c>
      <c r="E147" s="750">
        <f>IF(K31=0,0,K31)</f>
        <v>0</v>
      </c>
      <c r="F147" s="751">
        <f t="shared" ref="F147:F148" si="106">IF(D147=0,0,2)</f>
        <v>0</v>
      </c>
      <c r="G147" s="559"/>
      <c r="H147" s="559"/>
      <c r="I147" s="559"/>
      <c r="J147" s="624">
        <f t="shared" ref="J147:J149" si="107">IF(D147=0,0,(D147/100)*(E147/100)*F147)</f>
        <v>0</v>
      </c>
      <c r="K147" s="624">
        <f t="shared" si="104"/>
        <v>0</v>
      </c>
      <c r="L147" s="625">
        <v>0</v>
      </c>
      <c r="M147" s="625">
        <f t="shared" ref="M147:M149" si="108">L147*K147</f>
        <v>0</v>
      </c>
      <c r="N147" s="626">
        <f t="shared" ref="N147:N149" si="109">IF(J147=0,0,(7.0924*J147))</f>
        <v>0</v>
      </c>
      <c r="O147" s="625">
        <f t="shared" ref="O147:O149" si="110">N147*'Caisse Cuvette'!MinuteMO</f>
        <v>0</v>
      </c>
      <c r="P147" s="559"/>
      <c r="Q147" s="627">
        <v>0</v>
      </c>
      <c r="R147" s="559"/>
      <c r="S147" s="559"/>
      <c r="T147" s="559"/>
      <c r="U147" s="559"/>
      <c r="V147" s="559"/>
      <c r="W147" s="559"/>
      <c r="X147" s="559"/>
      <c r="Y147" s="559"/>
      <c r="Z147" s="559"/>
    </row>
    <row r="148" spans="1:26" ht="18" hidden="1" customHeight="1" x14ac:dyDescent="0.35">
      <c r="A148" s="559"/>
      <c r="B148" s="579">
        <f>IF(K31=0,0,"Bouts 15 mm")</f>
        <v>0</v>
      </c>
      <c r="C148" s="750">
        <f t="shared" si="105"/>
        <v>0</v>
      </c>
      <c r="D148" s="750">
        <f>IF(K31=0,0,J31)</f>
        <v>0</v>
      </c>
      <c r="E148" s="750">
        <f>E147</f>
        <v>0</v>
      </c>
      <c r="F148" s="751">
        <f t="shared" si="106"/>
        <v>0</v>
      </c>
      <c r="G148" s="559"/>
      <c r="H148" s="559"/>
      <c r="I148" s="559"/>
      <c r="J148" s="624">
        <f t="shared" si="107"/>
        <v>0</v>
      </c>
      <c r="K148" s="624">
        <f t="shared" si="104"/>
        <v>0</v>
      </c>
      <c r="L148" s="625">
        <v>0</v>
      </c>
      <c r="M148" s="625">
        <f t="shared" si="108"/>
        <v>0</v>
      </c>
      <c r="N148" s="626">
        <f t="shared" si="109"/>
        <v>0</v>
      </c>
      <c r="O148" s="625">
        <f t="shared" si="110"/>
        <v>0</v>
      </c>
      <c r="P148" s="559"/>
      <c r="Q148" s="627">
        <v>0</v>
      </c>
      <c r="R148" s="559"/>
      <c r="S148" s="559"/>
      <c r="T148" s="559"/>
      <c r="U148" s="559"/>
      <c r="V148" s="559"/>
      <c r="W148" s="559"/>
      <c r="X148" s="559"/>
      <c r="Y148" s="559"/>
      <c r="Z148" s="559"/>
    </row>
    <row r="149" spans="1:26" ht="18" hidden="1" customHeight="1" x14ac:dyDescent="0.35">
      <c r="A149" s="559"/>
      <c r="B149" s="579">
        <f>IF(K31=0,0,"Fond 10 mm")</f>
        <v>0</v>
      </c>
      <c r="C149" s="750">
        <f>IF(D149=0,0,"Peuplier 10 mm")</f>
        <v>0</v>
      </c>
      <c r="D149" s="750">
        <f>IF(D147=0,0,D147)</f>
        <v>0</v>
      </c>
      <c r="E149" s="750">
        <f>IF(D149=0,0,D148+3)</f>
        <v>0</v>
      </c>
      <c r="F149" s="751">
        <f>IF(D149=0,0,1)</f>
        <v>0</v>
      </c>
      <c r="G149" s="559"/>
      <c r="H149" s="559"/>
      <c r="I149" s="559"/>
      <c r="J149" s="624">
        <f t="shared" si="107"/>
        <v>0</v>
      </c>
      <c r="K149" s="624">
        <f t="shared" si="104"/>
        <v>0</v>
      </c>
      <c r="L149" s="625">
        <v>0</v>
      </c>
      <c r="M149" s="625">
        <f t="shared" si="108"/>
        <v>0</v>
      </c>
      <c r="N149" s="626">
        <f t="shared" si="109"/>
        <v>0</v>
      </c>
      <c r="O149" s="625">
        <f t="shared" si="110"/>
        <v>0</v>
      </c>
      <c r="P149" s="559"/>
      <c r="Q149" s="627">
        <v>0</v>
      </c>
      <c r="R149" s="559"/>
      <c r="S149" s="559"/>
      <c r="T149" s="559"/>
      <c r="U149" s="559"/>
      <c r="V149" s="559"/>
      <c r="W149" s="559"/>
      <c r="X149" s="559"/>
      <c r="Y149" s="559"/>
      <c r="Z149" s="559"/>
    </row>
    <row r="150" spans="1:26" ht="18" hidden="1" customHeight="1" x14ac:dyDescent="0.35">
      <c r="A150" s="559"/>
      <c r="B150" s="622"/>
      <c r="C150" s="752"/>
      <c r="D150" s="753"/>
      <c r="E150" s="753"/>
      <c r="F150" s="754"/>
      <c r="G150" s="559"/>
      <c r="H150" s="559"/>
      <c r="I150" s="559"/>
      <c r="J150" s="624"/>
      <c r="K150" s="624"/>
      <c r="L150" s="625"/>
      <c r="M150" s="625"/>
      <c r="N150" s="626"/>
      <c r="O150" s="625"/>
      <c r="P150" s="559"/>
      <c r="Q150" s="627">
        <f>IF(J150=0,0,J150*VLOOKUP(E150,'[1]Prix Matiere'!$A$4:$L$60,12))</f>
        <v>0</v>
      </c>
      <c r="R150" s="559"/>
      <c r="S150" s="559"/>
      <c r="T150" s="559"/>
      <c r="U150" s="559"/>
      <c r="V150" s="559"/>
      <c r="W150" s="559"/>
      <c r="X150" s="559"/>
      <c r="Y150" s="559"/>
      <c r="Z150" s="559"/>
    </row>
    <row r="151" spans="1:26" ht="18" hidden="1" customHeight="1" x14ac:dyDescent="0.35">
      <c r="A151" s="559"/>
      <c r="B151" s="622" t="s">
        <v>80</v>
      </c>
      <c r="C151" s="752">
        <f t="shared" ref="C151:C154" si="111">IF(D151=0,0,VLOOKUP($B$146,$A$299:$U$303,2))</f>
        <v>0</v>
      </c>
      <c r="D151" s="753">
        <f>VLOOKUP($B$146,$A$299:$U$303,16)</f>
        <v>0</v>
      </c>
      <c r="E151" s="753">
        <f>VLOOKUP($B$146,$A$299:$U$303,17)</f>
        <v>0</v>
      </c>
      <c r="F151" s="754">
        <f>IF(C151=0,0,VLOOKUP($B$146,$A$299:$U$303,15))</f>
        <v>0</v>
      </c>
      <c r="G151" s="559">
        <f t="shared" ref="G151:G154" si="112">C151</f>
        <v>0</v>
      </c>
      <c r="H151" s="559"/>
      <c r="I151" s="559"/>
      <c r="J151" s="624">
        <f t="shared" ref="J151:J155" si="113">IF(D151=0,0,(D151/100)*(E151/100)*F151)</f>
        <v>0</v>
      </c>
      <c r="K151" s="624">
        <f t="shared" ref="K151:K155" si="114">J151/0.8</f>
        <v>0</v>
      </c>
      <c r="L151" s="625">
        <v>0</v>
      </c>
      <c r="M151" s="625">
        <f t="shared" ref="M151:M155" si="115">L151*K151</f>
        <v>0</v>
      </c>
      <c r="N151" s="626">
        <f t="shared" ref="N151:N155" si="116">IF(J151=0,0,4.7283*J151+2)</f>
        <v>0</v>
      </c>
      <c r="O151" s="625">
        <f t="shared" ref="O151:O155" si="117">N151*'Caisse Cuvette'!MinuteMO</f>
        <v>0</v>
      </c>
      <c r="P151" s="559"/>
      <c r="Q151" s="627">
        <v>0</v>
      </c>
      <c r="R151" s="559"/>
      <c r="S151" s="559"/>
      <c r="T151" s="559"/>
      <c r="U151" s="559"/>
      <c r="V151" s="559"/>
      <c r="W151" s="559"/>
      <c r="X151" s="559"/>
      <c r="Y151" s="559"/>
      <c r="Z151" s="559"/>
    </row>
    <row r="152" spans="1:26" ht="18" hidden="1" customHeight="1" x14ac:dyDescent="0.35">
      <c r="A152" s="559"/>
      <c r="B152" s="584"/>
      <c r="C152" s="752">
        <f t="shared" si="111"/>
        <v>0</v>
      </c>
      <c r="D152" s="753">
        <f>VLOOKUP($B$146,$A$299:$U$303,3)</f>
        <v>0</v>
      </c>
      <c r="E152" s="753">
        <f>VLOOKUP($B$146,$A$299:$U$303,4)</f>
        <v>0</v>
      </c>
      <c r="F152" s="754">
        <f>VLOOKUP($B$146,$A$299:$U$303,5)</f>
        <v>0</v>
      </c>
      <c r="G152" s="559">
        <f t="shared" si="112"/>
        <v>0</v>
      </c>
      <c r="H152" s="559"/>
      <c r="I152" s="559"/>
      <c r="J152" s="624">
        <f t="shared" si="113"/>
        <v>0</v>
      </c>
      <c r="K152" s="624">
        <f t="shared" si="114"/>
        <v>0</v>
      </c>
      <c r="L152" s="625">
        <v>0</v>
      </c>
      <c r="M152" s="625">
        <f t="shared" si="115"/>
        <v>0</v>
      </c>
      <c r="N152" s="626">
        <f t="shared" si="116"/>
        <v>0</v>
      </c>
      <c r="O152" s="625">
        <f t="shared" si="117"/>
        <v>0</v>
      </c>
      <c r="P152" s="559"/>
      <c r="Q152" s="627">
        <v>0</v>
      </c>
      <c r="R152" s="559"/>
      <c r="S152" s="559"/>
      <c r="T152" s="559"/>
      <c r="U152" s="559"/>
      <c r="V152" s="559"/>
      <c r="W152" s="559"/>
      <c r="X152" s="559"/>
      <c r="Y152" s="559"/>
      <c r="Z152" s="559"/>
    </row>
    <row r="153" spans="1:26" ht="18" hidden="1" customHeight="1" x14ac:dyDescent="0.35">
      <c r="A153" s="559"/>
      <c r="B153" s="622">
        <f>IF(B146="Mousse au carré cinquante mm","GC",0)</f>
        <v>0</v>
      </c>
      <c r="C153" s="752">
        <f t="shared" si="111"/>
        <v>0</v>
      </c>
      <c r="D153" s="753">
        <f>VLOOKUP($B$146,$A$299:$U$303,7)</f>
        <v>0</v>
      </c>
      <c r="E153" s="753">
        <f t="shared" ref="E153:E154" si="118">VLOOKUP($B$146,$A$299:$U$303,6)</f>
        <v>0</v>
      </c>
      <c r="F153" s="754">
        <f>VLOOKUP($B$146,$A$299:$U$303,19)</f>
        <v>0</v>
      </c>
      <c r="G153" s="559">
        <f t="shared" si="112"/>
        <v>0</v>
      </c>
      <c r="H153" s="559"/>
      <c r="I153" s="559"/>
      <c r="J153" s="624">
        <f t="shared" si="113"/>
        <v>0</v>
      </c>
      <c r="K153" s="624">
        <f t="shared" si="114"/>
        <v>0</v>
      </c>
      <c r="L153" s="625">
        <v>0</v>
      </c>
      <c r="M153" s="625">
        <f t="shared" si="115"/>
        <v>0</v>
      </c>
      <c r="N153" s="626">
        <f t="shared" si="116"/>
        <v>0</v>
      </c>
      <c r="O153" s="625">
        <f t="shared" si="117"/>
        <v>0</v>
      </c>
      <c r="P153" s="559"/>
      <c r="Q153" s="627">
        <v>0</v>
      </c>
      <c r="R153" s="559"/>
      <c r="S153" s="559"/>
      <c r="T153" s="559"/>
      <c r="U153" s="559"/>
      <c r="V153" s="559"/>
      <c r="W153" s="559"/>
      <c r="X153" s="559"/>
      <c r="Y153" s="559"/>
      <c r="Z153" s="559"/>
    </row>
    <row r="154" spans="1:26" ht="18" hidden="1" customHeight="1" x14ac:dyDescent="0.35">
      <c r="A154" s="559"/>
      <c r="B154" s="622">
        <f>IF(B146="Mousse au carré cinquante mm","Bouts",0)</f>
        <v>0</v>
      </c>
      <c r="C154" s="752">
        <f t="shared" si="111"/>
        <v>0</v>
      </c>
      <c r="D154" s="753">
        <f>VLOOKUP($B$146,$A$299:$U$303,8)</f>
        <v>0</v>
      </c>
      <c r="E154" s="753">
        <f t="shared" si="118"/>
        <v>0</v>
      </c>
      <c r="F154" s="754">
        <f>VLOOKUP($B$146,$A$299:$U$303,9)</f>
        <v>0</v>
      </c>
      <c r="G154" s="559">
        <f t="shared" si="112"/>
        <v>0</v>
      </c>
      <c r="H154" s="559"/>
      <c r="I154" s="559"/>
      <c r="J154" s="624">
        <f t="shared" si="113"/>
        <v>0</v>
      </c>
      <c r="K154" s="624">
        <f t="shared" si="114"/>
        <v>0</v>
      </c>
      <c r="L154" s="625">
        <v>0</v>
      </c>
      <c r="M154" s="625">
        <f t="shared" si="115"/>
        <v>0</v>
      </c>
      <c r="N154" s="626">
        <f t="shared" si="116"/>
        <v>0</v>
      </c>
      <c r="O154" s="625">
        <f t="shared" si="117"/>
        <v>0</v>
      </c>
      <c r="P154" s="559"/>
      <c r="Q154" s="627">
        <v>0</v>
      </c>
      <c r="R154" s="559"/>
      <c r="S154" s="559"/>
      <c r="T154" s="559"/>
      <c r="U154" s="559"/>
      <c r="V154" s="559"/>
      <c r="W154" s="559"/>
      <c r="X154" s="559"/>
      <c r="Y154" s="559"/>
      <c r="Z154" s="559"/>
    </row>
    <row r="155" spans="1:26" ht="18" hidden="1" customHeight="1" x14ac:dyDescent="0.35">
      <c r="A155" s="559"/>
      <c r="B155" s="579" t="str">
        <f>IF(C155=0,0,"Base")</f>
        <v>Base</v>
      </c>
      <c r="C155" s="752" t="str">
        <f>VLOOKUP($B$146,$A$299:$U$303,10)</f>
        <v>Aucun</v>
      </c>
      <c r="D155" s="753">
        <f>VLOOKUP($B$146,$A$299:$U$303,13)</f>
        <v>0</v>
      </c>
      <c r="E155" s="753">
        <f>VLOOKUP($B$146,$A$299:$U$303,14)</f>
        <v>0</v>
      </c>
      <c r="F155" s="754">
        <f>IF(C155="Aucun",0,1)</f>
        <v>0</v>
      </c>
      <c r="G155" s="559">
        <f>IF(C155="Aucun",0,C155)</f>
        <v>0</v>
      </c>
      <c r="H155" s="559"/>
      <c r="I155" s="559"/>
      <c r="J155" s="624">
        <f t="shared" si="113"/>
        <v>0</v>
      </c>
      <c r="K155" s="624">
        <f t="shared" si="114"/>
        <v>0</v>
      </c>
      <c r="L155" s="625">
        <v>0</v>
      </c>
      <c r="M155" s="625">
        <f t="shared" si="115"/>
        <v>0</v>
      </c>
      <c r="N155" s="626">
        <f t="shared" si="116"/>
        <v>0</v>
      </c>
      <c r="O155" s="625">
        <f t="shared" si="117"/>
        <v>0</v>
      </c>
      <c r="P155" s="559"/>
      <c r="Q155" s="627">
        <v>0</v>
      </c>
      <c r="R155" s="559"/>
      <c r="S155" s="559"/>
      <c r="T155" s="559"/>
      <c r="U155" s="559"/>
      <c r="V155" s="559"/>
      <c r="W155" s="559"/>
      <c r="X155" s="559"/>
      <c r="Y155" s="559"/>
      <c r="Z155" s="559"/>
    </row>
    <row r="156" spans="1:26" ht="18" hidden="1" customHeight="1" x14ac:dyDescent="0.35">
      <c r="A156" s="559"/>
      <c r="B156" s="563"/>
      <c r="C156" s="755"/>
      <c r="D156" s="756"/>
      <c r="E156" s="756"/>
      <c r="F156" s="757"/>
      <c r="G156" s="559"/>
      <c r="H156" s="559"/>
      <c r="I156" s="559"/>
      <c r="J156" s="624"/>
      <c r="K156" s="624"/>
      <c r="L156" s="625"/>
      <c r="M156" s="625"/>
      <c r="N156" s="626"/>
      <c r="O156" s="625"/>
      <c r="P156" s="559"/>
      <c r="Q156" s="627"/>
      <c r="R156" s="559"/>
      <c r="S156" s="559"/>
      <c r="T156" s="559"/>
      <c r="U156" s="559"/>
      <c r="V156" s="559"/>
      <c r="W156" s="559"/>
      <c r="X156" s="559"/>
      <c r="Y156" s="559"/>
      <c r="Z156" s="559"/>
    </row>
    <row r="157" spans="1:26" ht="18" hidden="1" customHeight="1" x14ac:dyDescent="0.35">
      <c r="A157" s="559"/>
      <c r="B157" s="559"/>
      <c r="C157" s="559"/>
      <c r="D157" s="559"/>
      <c r="E157" s="559"/>
      <c r="F157" s="559"/>
      <c r="G157" s="559"/>
      <c r="H157" s="559"/>
      <c r="I157" s="559"/>
      <c r="J157" s="624"/>
      <c r="K157" s="624"/>
      <c r="L157" s="625"/>
      <c r="M157" s="625"/>
      <c r="N157" s="626"/>
      <c r="O157" s="625"/>
      <c r="P157" s="559"/>
      <c r="Q157" s="627"/>
      <c r="R157" s="559"/>
      <c r="S157" s="559"/>
      <c r="T157" s="559"/>
      <c r="U157" s="559"/>
      <c r="V157" s="559"/>
      <c r="W157" s="559"/>
      <c r="X157" s="559"/>
      <c r="Y157" s="559"/>
      <c r="Z157" s="559"/>
    </row>
    <row r="158" spans="1:26" ht="18" hidden="1" customHeight="1" x14ac:dyDescent="0.35">
      <c r="A158" s="573" t="s">
        <v>415</v>
      </c>
      <c r="B158" s="587" t="str">
        <f>I40</f>
        <v>Aucun</v>
      </c>
      <c r="C158" s="622"/>
      <c r="D158" s="630" t="s">
        <v>28</v>
      </c>
      <c r="E158" s="630" t="s">
        <v>33</v>
      </c>
      <c r="F158" s="631" t="s">
        <v>34</v>
      </c>
      <c r="G158" s="559"/>
      <c r="H158" s="559"/>
      <c r="I158" s="559"/>
      <c r="J158" s="624">
        <f>IF(C158=0,0,(C158/100)*(D158/100)*F158)</f>
        <v>0</v>
      </c>
      <c r="K158" s="624">
        <f t="shared" ref="K158:K161" si="119">J158/0.8</f>
        <v>0</v>
      </c>
      <c r="L158" s="625"/>
      <c r="M158" s="625"/>
      <c r="N158" s="626"/>
      <c r="O158" s="625"/>
      <c r="P158" s="559"/>
      <c r="Q158" s="627">
        <f>IF(J158=0,0,J158*VLOOKUP(E158,'[1]Prix Matiere'!$A$4:$L$60,12))</f>
        <v>0</v>
      </c>
      <c r="R158" s="559"/>
      <c r="S158" s="559"/>
      <c r="T158" s="559"/>
      <c r="U158" s="559"/>
      <c r="V158" s="559"/>
      <c r="W158" s="559"/>
      <c r="X158" s="559"/>
      <c r="Y158" s="559"/>
      <c r="Z158" s="559"/>
    </row>
    <row r="159" spans="1:26" ht="18" hidden="1" customHeight="1" x14ac:dyDescent="0.35">
      <c r="A159" s="559"/>
      <c r="B159" s="579">
        <f>IF(K38=0,0,"GC 15 mm")</f>
        <v>0</v>
      </c>
      <c r="C159" s="750">
        <f t="shared" ref="C159:C160" si="120">IF(D159=0,0,"Peuplier 15 mm")</f>
        <v>0</v>
      </c>
      <c r="D159" s="750">
        <f>IF(K38=0,0,I38+3)</f>
        <v>0</v>
      </c>
      <c r="E159" s="750">
        <f>IF(K38=0,0,K38)</f>
        <v>0</v>
      </c>
      <c r="F159" s="751">
        <f t="shared" ref="F159:F160" si="121">IF(D159=0,0,2)</f>
        <v>0</v>
      </c>
      <c r="G159" s="559"/>
      <c r="H159" s="559"/>
      <c r="I159" s="559"/>
      <c r="J159" s="624">
        <f t="shared" ref="J159:J161" si="122">IF(D159=0,0,(D159/100)*(E159/100)*F159)</f>
        <v>0</v>
      </c>
      <c r="K159" s="624">
        <f t="shared" si="119"/>
        <v>0</v>
      </c>
      <c r="L159" s="625">
        <v>0</v>
      </c>
      <c r="M159" s="625">
        <f t="shared" ref="M159:M161" si="123">L159*K159</f>
        <v>0</v>
      </c>
      <c r="N159" s="626">
        <f t="shared" ref="N159:N161" si="124">IF(J159=0,0,(7.0924*J159))</f>
        <v>0</v>
      </c>
      <c r="O159" s="625">
        <f t="shared" ref="O159:O161" si="125">N159*'Caisse Cuvette'!MinuteMO</f>
        <v>0</v>
      </c>
      <c r="P159" s="559"/>
      <c r="Q159" s="627">
        <v>0</v>
      </c>
      <c r="R159" s="559"/>
      <c r="S159" s="559"/>
      <c r="T159" s="559"/>
      <c r="U159" s="559"/>
      <c r="V159" s="559"/>
      <c r="W159" s="559"/>
      <c r="X159" s="559"/>
      <c r="Y159" s="559"/>
      <c r="Z159" s="559"/>
    </row>
    <row r="160" spans="1:26" ht="18" hidden="1" customHeight="1" x14ac:dyDescent="0.35">
      <c r="A160" s="559"/>
      <c r="B160" s="579">
        <f>IF(K38=0,0,"Bouts 15 mm")</f>
        <v>0</v>
      </c>
      <c r="C160" s="750">
        <f t="shared" si="120"/>
        <v>0</v>
      </c>
      <c r="D160" s="750">
        <f>IF(K38=0,0,J38)</f>
        <v>0</v>
      </c>
      <c r="E160" s="750">
        <f>E159</f>
        <v>0</v>
      </c>
      <c r="F160" s="751">
        <f t="shared" si="121"/>
        <v>0</v>
      </c>
      <c r="G160" s="559"/>
      <c r="H160" s="559"/>
      <c r="I160" s="559"/>
      <c r="J160" s="624">
        <f t="shared" si="122"/>
        <v>0</v>
      </c>
      <c r="K160" s="624">
        <f t="shared" si="119"/>
        <v>0</v>
      </c>
      <c r="L160" s="625">
        <v>0</v>
      </c>
      <c r="M160" s="625">
        <f t="shared" si="123"/>
        <v>0</v>
      </c>
      <c r="N160" s="626">
        <f t="shared" si="124"/>
        <v>0</v>
      </c>
      <c r="O160" s="625">
        <f t="shared" si="125"/>
        <v>0</v>
      </c>
      <c r="P160" s="559"/>
      <c r="Q160" s="627">
        <v>0</v>
      </c>
      <c r="R160" s="559"/>
      <c r="S160" s="559"/>
      <c r="T160" s="559"/>
      <c r="U160" s="559"/>
      <c r="V160" s="559"/>
      <c r="W160" s="559"/>
      <c r="X160" s="559"/>
      <c r="Y160" s="559"/>
      <c r="Z160" s="559"/>
    </row>
    <row r="161" spans="1:26" ht="18" hidden="1" customHeight="1" x14ac:dyDescent="0.35">
      <c r="A161" s="559"/>
      <c r="B161" s="579">
        <f>IF(K38=0,0,"Fond 10 mm")</f>
        <v>0</v>
      </c>
      <c r="C161" s="750">
        <f>IF(D161=0,0,"Peuplier 10 mm")</f>
        <v>0</v>
      </c>
      <c r="D161" s="750">
        <f>IF(D159=0,0,D159)</f>
        <v>0</v>
      </c>
      <c r="E161" s="750">
        <f>IF(D161=0,0,D160+3)</f>
        <v>0</v>
      </c>
      <c r="F161" s="751">
        <f>IF(D161=0,0,1)</f>
        <v>0</v>
      </c>
      <c r="G161" s="559"/>
      <c r="H161" s="559"/>
      <c r="I161" s="559"/>
      <c r="J161" s="624">
        <f t="shared" si="122"/>
        <v>0</v>
      </c>
      <c r="K161" s="624">
        <f t="shared" si="119"/>
        <v>0</v>
      </c>
      <c r="L161" s="625">
        <v>0</v>
      </c>
      <c r="M161" s="625">
        <f t="shared" si="123"/>
        <v>0</v>
      </c>
      <c r="N161" s="626">
        <f t="shared" si="124"/>
        <v>0</v>
      </c>
      <c r="O161" s="625">
        <f t="shared" si="125"/>
        <v>0</v>
      </c>
      <c r="P161" s="559"/>
      <c r="Q161" s="627">
        <v>0</v>
      </c>
      <c r="R161" s="559"/>
      <c r="S161" s="559"/>
      <c r="T161" s="559"/>
      <c r="U161" s="559"/>
      <c r="V161" s="559"/>
      <c r="W161" s="559"/>
      <c r="X161" s="559"/>
      <c r="Y161" s="559"/>
      <c r="Z161" s="559"/>
    </row>
    <row r="162" spans="1:26" ht="18" hidden="1" customHeight="1" x14ac:dyDescent="0.35">
      <c r="A162" s="559"/>
      <c r="B162" s="622"/>
      <c r="C162" s="752"/>
      <c r="D162" s="753"/>
      <c r="E162" s="753"/>
      <c r="F162" s="754"/>
      <c r="G162" s="559"/>
      <c r="H162" s="559"/>
      <c r="I162" s="559"/>
      <c r="J162" s="624"/>
      <c r="K162" s="624"/>
      <c r="L162" s="625"/>
      <c r="M162" s="625"/>
      <c r="N162" s="626"/>
      <c r="O162" s="625"/>
      <c r="P162" s="559"/>
      <c r="Q162" s="627">
        <f>IF(J162=0,0,J162*VLOOKUP(E162,'[1]Prix Matiere'!$A$4:$L$60,12))</f>
        <v>0</v>
      </c>
      <c r="R162" s="559"/>
      <c r="S162" s="559"/>
      <c r="T162" s="559"/>
      <c r="U162" s="559"/>
      <c r="V162" s="559"/>
      <c r="W162" s="559"/>
      <c r="X162" s="559"/>
      <c r="Y162" s="559"/>
      <c r="Z162" s="559"/>
    </row>
    <row r="163" spans="1:26" ht="18" hidden="1" customHeight="1" x14ac:dyDescent="0.35">
      <c r="A163" s="559"/>
      <c r="B163" s="622" t="s">
        <v>80</v>
      </c>
      <c r="C163" s="752">
        <f t="shared" ref="C163:C166" si="126">IF(D163=0,0,VLOOKUP($B$158,$A$307:$U$311,2))</f>
        <v>0</v>
      </c>
      <c r="D163" s="753">
        <f>VLOOKUP($B$158,$A$307:$U$311,16)</f>
        <v>0</v>
      </c>
      <c r="E163" s="753">
        <f>VLOOKUP($B$158,$A$307:$U$311,17)</f>
        <v>0</v>
      </c>
      <c r="F163" s="754">
        <f>IF(C163=0,0,VLOOKUP($B$158,$A$307:$U$311,15))</f>
        <v>0</v>
      </c>
      <c r="G163" s="559">
        <f t="shared" ref="G163:G166" si="127">C163</f>
        <v>0</v>
      </c>
      <c r="H163" s="559"/>
      <c r="I163" s="559"/>
      <c r="J163" s="624">
        <f t="shared" ref="J163:J167" si="128">IF(D163=0,0,(D163/100)*(E163/100)*F163)</f>
        <v>0</v>
      </c>
      <c r="K163" s="624">
        <f t="shared" ref="K163:K167" si="129">J163/0.8</f>
        <v>0</v>
      </c>
      <c r="L163" s="625">
        <v>0</v>
      </c>
      <c r="M163" s="625">
        <f t="shared" ref="M163:M167" si="130">L163*K163</f>
        <v>0</v>
      </c>
      <c r="N163" s="626">
        <f t="shared" ref="N163:N167" si="131">IF(J163=0,0,4.7283*J163+2)</f>
        <v>0</v>
      </c>
      <c r="O163" s="625">
        <f t="shared" ref="O163:O167" si="132">N163*'Caisse Cuvette'!MinuteMO</f>
        <v>0</v>
      </c>
      <c r="P163" s="559"/>
      <c r="Q163" s="627">
        <v>0</v>
      </c>
      <c r="R163" s="559"/>
      <c r="S163" s="559"/>
      <c r="T163" s="559"/>
      <c r="U163" s="559"/>
      <c r="V163" s="559"/>
      <c r="W163" s="559"/>
      <c r="X163" s="559"/>
      <c r="Y163" s="559"/>
      <c r="Z163" s="559"/>
    </row>
    <row r="164" spans="1:26" ht="18" hidden="1" customHeight="1" x14ac:dyDescent="0.35">
      <c r="A164" s="559"/>
      <c r="B164" s="584"/>
      <c r="C164" s="752">
        <f t="shared" si="126"/>
        <v>0</v>
      </c>
      <c r="D164" s="753">
        <f>VLOOKUP($B$158,$A$307:$U$311,3)</f>
        <v>0</v>
      </c>
      <c r="E164" s="753">
        <f>VLOOKUP($B$158,$A$307:$U$311,4)</f>
        <v>0</v>
      </c>
      <c r="F164" s="754">
        <f>VLOOKUP($B$158,$A$307:$U$311,5)</f>
        <v>0</v>
      </c>
      <c r="G164" s="559">
        <f t="shared" si="127"/>
        <v>0</v>
      </c>
      <c r="H164" s="559"/>
      <c r="I164" s="559"/>
      <c r="J164" s="624">
        <f t="shared" si="128"/>
        <v>0</v>
      </c>
      <c r="K164" s="624">
        <f t="shared" si="129"/>
        <v>0</v>
      </c>
      <c r="L164" s="625">
        <v>0</v>
      </c>
      <c r="M164" s="625">
        <f t="shared" si="130"/>
        <v>0</v>
      </c>
      <c r="N164" s="626">
        <f t="shared" si="131"/>
        <v>0</v>
      </c>
      <c r="O164" s="625">
        <f t="shared" si="132"/>
        <v>0</v>
      </c>
      <c r="P164" s="559"/>
      <c r="Q164" s="627">
        <v>0</v>
      </c>
      <c r="R164" s="559"/>
      <c r="S164" s="559"/>
      <c r="T164" s="559"/>
      <c r="U164" s="559"/>
      <c r="V164" s="559"/>
      <c r="W164" s="559"/>
      <c r="X164" s="559"/>
      <c r="Y164" s="559"/>
      <c r="Z164" s="559"/>
    </row>
    <row r="165" spans="1:26" ht="18" hidden="1" customHeight="1" x14ac:dyDescent="0.35">
      <c r="A165" s="559"/>
      <c r="B165" s="622">
        <f>IF(B158="Mousse au carré cinquante mm","GC",0)</f>
        <v>0</v>
      </c>
      <c r="C165" s="752">
        <f t="shared" si="126"/>
        <v>0</v>
      </c>
      <c r="D165" s="753">
        <f>VLOOKUP($B$158,$A$307:$U$311,7)</f>
        <v>0</v>
      </c>
      <c r="E165" s="753">
        <f t="shared" ref="E165:E166" si="133">VLOOKUP($B$158,$A$307:$U$311,6)</f>
        <v>0</v>
      </c>
      <c r="F165" s="754">
        <f>VLOOKUP($B$158,$A$307:$U$311,19)</f>
        <v>0</v>
      </c>
      <c r="G165" s="559">
        <f t="shared" si="127"/>
        <v>0</v>
      </c>
      <c r="H165" s="559"/>
      <c r="I165" s="559"/>
      <c r="J165" s="624">
        <f t="shared" si="128"/>
        <v>0</v>
      </c>
      <c r="K165" s="624">
        <f t="shared" si="129"/>
        <v>0</v>
      </c>
      <c r="L165" s="625">
        <v>0</v>
      </c>
      <c r="M165" s="625">
        <f t="shared" si="130"/>
        <v>0</v>
      </c>
      <c r="N165" s="626">
        <f t="shared" si="131"/>
        <v>0</v>
      </c>
      <c r="O165" s="625">
        <f t="shared" si="132"/>
        <v>0</v>
      </c>
      <c r="P165" s="559"/>
      <c r="Q165" s="627">
        <v>0</v>
      </c>
      <c r="R165" s="559"/>
      <c r="S165" s="559"/>
      <c r="T165" s="559"/>
      <c r="U165" s="559"/>
      <c r="V165" s="559"/>
      <c r="W165" s="559"/>
      <c r="X165" s="559"/>
      <c r="Y165" s="559"/>
      <c r="Z165" s="559"/>
    </row>
    <row r="166" spans="1:26" ht="18" hidden="1" customHeight="1" x14ac:dyDescent="0.35">
      <c r="A166" s="559"/>
      <c r="B166" s="622">
        <f>IF(B158="Mousse au carré cinquante mm","Bouts",0)</f>
        <v>0</v>
      </c>
      <c r="C166" s="752">
        <f t="shared" si="126"/>
        <v>0</v>
      </c>
      <c r="D166" s="753">
        <f>VLOOKUP($B$158,$A$307:$U$311,8)</f>
        <v>0</v>
      </c>
      <c r="E166" s="753">
        <f t="shared" si="133"/>
        <v>0</v>
      </c>
      <c r="F166" s="754">
        <f>VLOOKUP($B$158,$A$307:$U$311,9)</f>
        <v>0</v>
      </c>
      <c r="G166" s="559">
        <f t="shared" si="127"/>
        <v>0</v>
      </c>
      <c r="H166" s="559"/>
      <c r="I166" s="559"/>
      <c r="J166" s="624">
        <f t="shared" si="128"/>
        <v>0</v>
      </c>
      <c r="K166" s="624">
        <f t="shared" si="129"/>
        <v>0</v>
      </c>
      <c r="L166" s="625">
        <v>0</v>
      </c>
      <c r="M166" s="625">
        <f t="shared" si="130"/>
        <v>0</v>
      </c>
      <c r="N166" s="626">
        <f t="shared" si="131"/>
        <v>0</v>
      </c>
      <c r="O166" s="625">
        <f t="shared" si="132"/>
        <v>0</v>
      </c>
      <c r="P166" s="559"/>
      <c r="Q166" s="627">
        <v>0</v>
      </c>
      <c r="R166" s="559"/>
      <c r="S166" s="559"/>
      <c r="T166" s="559"/>
      <c r="U166" s="559"/>
      <c r="V166" s="559"/>
      <c r="W166" s="559"/>
      <c r="X166" s="559"/>
      <c r="Y166" s="559"/>
      <c r="Z166" s="559"/>
    </row>
    <row r="167" spans="1:26" ht="18" hidden="1" customHeight="1" x14ac:dyDescent="0.35">
      <c r="A167" s="559"/>
      <c r="B167" s="579" t="str">
        <f>IF(C167=0,0,"Base")</f>
        <v>Base</v>
      </c>
      <c r="C167" s="752" t="str">
        <f>VLOOKUP($B$158,$A$307:$U$311,10)</f>
        <v>Aucun</v>
      </c>
      <c r="D167" s="753">
        <f>VLOOKUP($B$158,$A$307:$U$311,13)</f>
        <v>0</v>
      </c>
      <c r="E167" s="753">
        <f>VLOOKUP($B$158,$A$307:$U$311,14)</f>
        <v>0</v>
      </c>
      <c r="F167" s="754">
        <f>IF(C167="Aucun",0,1)</f>
        <v>0</v>
      </c>
      <c r="G167" s="559">
        <f>IF(C167="Aucun",0,C167)</f>
        <v>0</v>
      </c>
      <c r="H167" s="559"/>
      <c r="I167" s="559"/>
      <c r="J167" s="624">
        <f t="shared" si="128"/>
        <v>0</v>
      </c>
      <c r="K167" s="624">
        <f t="shared" si="129"/>
        <v>0</v>
      </c>
      <c r="L167" s="625">
        <v>0</v>
      </c>
      <c r="M167" s="625">
        <f t="shared" si="130"/>
        <v>0</v>
      </c>
      <c r="N167" s="626">
        <f t="shared" si="131"/>
        <v>0</v>
      </c>
      <c r="O167" s="625">
        <f t="shared" si="132"/>
        <v>0</v>
      </c>
      <c r="P167" s="559"/>
      <c r="Q167" s="627">
        <v>0</v>
      </c>
      <c r="R167" s="559"/>
      <c r="S167" s="559"/>
      <c r="T167" s="559"/>
      <c r="U167" s="559"/>
      <c r="V167" s="559"/>
      <c r="W167" s="559"/>
      <c r="X167" s="559"/>
      <c r="Y167" s="559"/>
      <c r="Z167" s="559"/>
    </row>
    <row r="168" spans="1:26" ht="18" hidden="1" customHeight="1" x14ac:dyDescent="0.35">
      <c r="A168" s="559"/>
      <c r="B168" s="563"/>
      <c r="C168" s="755"/>
      <c r="D168" s="756"/>
      <c r="E168" s="756"/>
      <c r="F168" s="757"/>
      <c r="G168" s="559"/>
      <c r="H168" s="559"/>
      <c r="I168" s="559"/>
      <c r="J168" s="559"/>
      <c r="K168" s="559"/>
      <c r="L168" s="625"/>
      <c r="M168" s="625"/>
      <c r="N168" s="626">
        <f>IF(B158="Découpe Mousse Usinage",90,0)</f>
        <v>0</v>
      </c>
      <c r="O168" s="625"/>
      <c r="P168" s="559"/>
      <c r="Q168" s="559"/>
      <c r="R168" s="559"/>
      <c r="S168" s="559"/>
      <c r="T168" s="559"/>
      <c r="U168" s="559"/>
      <c r="V168" s="559"/>
      <c r="W168" s="559"/>
      <c r="X168" s="559"/>
      <c r="Y168" s="559"/>
      <c r="Z168" s="559"/>
    </row>
    <row r="169" spans="1:26" ht="18" hidden="1" customHeight="1" x14ac:dyDescent="0.35">
      <c r="A169" s="559"/>
      <c r="B169" s="559"/>
      <c r="C169" s="632"/>
      <c r="D169" s="632"/>
      <c r="E169" s="632"/>
      <c r="F169" s="559"/>
      <c r="G169" s="559"/>
      <c r="H169" s="559"/>
      <c r="I169" s="559"/>
      <c r="J169" s="559"/>
      <c r="K169" s="559"/>
      <c r="L169" s="625"/>
      <c r="M169" s="625"/>
      <c r="N169" s="626"/>
      <c r="O169" s="625"/>
      <c r="P169" s="559"/>
      <c r="Q169" s="559"/>
      <c r="R169" s="559"/>
      <c r="S169" s="559"/>
      <c r="T169" s="559"/>
      <c r="U169" s="559"/>
      <c r="V169" s="559"/>
      <c r="W169" s="559"/>
      <c r="X169" s="559"/>
      <c r="Y169" s="559"/>
      <c r="Z169" s="559"/>
    </row>
    <row r="170" spans="1:26" ht="18" hidden="1" customHeight="1" x14ac:dyDescent="0.35">
      <c r="A170" s="559"/>
      <c r="B170" s="559"/>
      <c r="C170" s="632"/>
      <c r="D170" s="632"/>
      <c r="E170" s="632"/>
      <c r="F170" s="559"/>
      <c r="G170" s="559"/>
      <c r="H170" s="559"/>
      <c r="I170" s="559"/>
      <c r="J170" s="559"/>
      <c r="K170" s="559"/>
      <c r="L170" s="625"/>
      <c r="M170" s="625"/>
      <c r="N170" s="626"/>
      <c r="O170" s="625"/>
      <c r="P170" s="559"/>
      <c r="Q170" s="559"/>
      <c r="R170" s="559"/>
      <c r="S170" s="559"/>
      <c r="T170" s="559"/>
      <c r="U170" s="559"/>
      <c r="V170" s="559"/>
      <c r="W170" s="559"/>
      <c r="X170" s="559"/>
      <c r="Y170" s="559"/>
      <c r="Z170" s="559"/>
    </row>
    <row r="171" spans="1:26" ht="18" hidden="1" customHeight="1" x14ac:dyDescent="0.35">
      <c r="A171" s="559"/>
      <c r="B171" s="559"/>
      <c r="C171" s="632"/>
      <c r="D171" s="632"/>
      <c r="E171" s="632"/>
      <c r="F171" s="559"/>
      <c r="G171" s="559"/>
      <c r="H171" s="559"/>
      <c r="I171" s="559"/>
      <c r="J171" s="559"/>
      <c r="K171" s="559"/>
      <c r="L171" s="625"/>
      <c r="M171" s="625"/>
      <c r="N171" s="626"/>
      <c r="O171" s="625"/>
      <c r="P171" s="559"/>
      <c r="Q171" s="559"/>
      <c r="R171" s="559"/>
      <c r="S171" s="559"/>
      <c r="T171" s="559"/>
      <c r="U171" s="559"/>
      <c r="V171" s="559"/>
      <c r="W171" s="559"/>
      <c r="X171" s="559"/>
      <c r="Y171" s="559"/>
      <c r="Z171" s="559"/>
    </row>
    <row r="172" spans="1:26" ht="18" hidden="1" customHeight="1" x14ac:dyDescent="0.35">
      <c r="A172" s="559"/>
      <c r="B172" s="559"/>
      <c r="C172" s="632"/>
      <c r="D172" s="632"/>
      <c r="E172" s="632"/>
      <c r="F172" s="559"/>
      <c r="G172" s="559"/>
      <c r="H172" s="559"/>
      <c r="I172" s="559"/>
      <c r="J172" s="559"/>
      <c r="K172" s="559"/>
      <c r="L172" s="625"/>
      <c r="M172" s="625"/>
      <c r="N172" s="626"/>
      <c r="O172" s="625"/>
      <c r="P172" s="559"/>
      <c r="Q172" s="559"/>
      <c r="R172" s="559"/>
      <c r="S172" s="559"/>
      <c r="T172" s="559"/>
      <c r="U172" s="559"/>
      <c r="V172" s="559"/>
      <c r="W172" s="559"/>
      <c r="X172" s="559"/>
      <c r="Y172" s="559"/>
      <c r="Z172" s="559"/>
    </row>
    <row r="173" spans="1:26" ht="18" hidden="1" customHeight="1" x14ac:dyDescent="0.35">
      <c r="A173" s="559"/>
      <c r="B173" s="559"/>
      <c r="C173" s="632"/>
      <c r="D173" s="632"/>
      <c r="E173" s="632"/>
      <c r="F173" s="559"/>
      <c r="G173" s="559"/>
      <c r="H173" s="559"/>
      <c r="I173" s="559"/>
      <c r="J173" s="559"/>
      <c r="K173" s="559"/>
      <c r="L173" s="625"/>
      <c r="M173" s="625"/>
      <c r="N173" s="626"/>
      <c r="O173" s="625"/>
      <c r="P173" s="559"/>
      <c r="Q173" s="559"/>
      <c r="R173" s="559"/>
      <c r="S173" s="559"/>
      <c r="T173" s="559"/>
      <c r="U173" s="559"/>
      <c r="V173" s="559"/>
      <c r="W173" s="559"/>
      <c r="X173" s="559"/>
      <c r="Y173" s="559"/>
      <c r="Z173" s="559"/>
    </row>
    <row r="174" spans="1:26" ht="18" hidden="1" customHeight="1" x14ac:dyDescent="0.35">
      <c r="A174" s="559"/>
      <c r="B174" s="559"/>
      <c r="C174" s="632"/>
      <c r="D174" s="632"/>
      <c r="E174" s="632"/>
      <c r="F174" s="632"/>
      <c r="G174" s="559"/>
      <c r="H174" s="559"/>
      <c r="I174" s="559"/>
      <c r="J174" s="559"/>
      <c r="K174" s="559"/>
      <c r="L174" s="625"/>
      <c r="M174" s="625"/>
      <c r="N174" s="626"/>
      <c r="O174" s="625"/>
      <c r="P174" s="559"/>
      <c r="Q174" s="559"/>
      <c r="R174" s="559"/>
      <c r="S174" s="559"/>
      <c r="T174" s="559"/>
      <c r="U174" s="559"/>
      <c r="V174" s="559"/>
      <c r="W174" s="559"/>
      <c r="X174" s="559"/>
      <c r="Y174" s="559"/>
      <c r="Z174" s="559"/>
    </row>
    <row r="175" spans="1:26" ht="18" hidden="1" customHeight="1" x14ac:dyDescent="0.35">
      <c r="A175" s="559"/>
      <c r="B175" s="559"/>
      <c r="C175" s="559"/>
      <c r="D175" s="559"/>
      <c r="E175" s="559"/>
      <c r="F175" s="559"/>
      <c r="G175" s="559"/>
      <c r="H175" s="559"/>
      <c r="I175" s="559"/>
      <c r="J175" s="559"/>
      <c r="K175" s="559"/>
      <c r="L175" s="559"/>
      <c r="M175" s="559"/>
      <c r="N175" s="626"/>
      <c r="O175" s="559"/>
      <c r="P175" s="559"/>
      <c r="Q175" s="559"/>
      <c r="R175" s="559"/>
      <c r="S175" s="559"/>
      <c r="T175" s="559"/>
      <c r="U175" s="559"/>
      <c r="V175" s="559"/>
      <c r="W175" s="559"/>
      <c r="X175" s="559"/>
      <c r="Y175" s="559"/>
      <c r="Z175" s="559"/>
    </row>
    <row r="176" spans="1:26" ht="18" hidden="1" customHeight="1" x14ac:dyDescent="0.35">
      <c r="A176" s="559"/>
      <c r="B176" s="559"/>
      <c r="C176" s="559"/>
      <c r="D176" s="559"/>
      <c r="E176" s="559"/>
      <c r="F176" s="559"/>
      <c r="G176" s="559"/>
      <c r="H176" s="559"/>
      <c r="I176" s="559"/>
      <c r="J176" s="559"/>
      <c r="K176" s="559"/>
      <c r="L176" s="559"/>
      <c r="M176" s="559"/>
      <c r="N176" s="626"/>
      <c r="O176" s="559"/>
      <c r="P176" s="559"/>
      <c r="Q176" s="559"/>
      <c r="R176" s="559"/>
      <c r="S176" s="559"/>
      <c r="T176" s="559"/>
      <c r="U176" s="559"/>
      <c r="V176" s="559"/>
      <c r="W176" s="559"/>
      <c r="X176" s="559"/>
      <c r="Y176" s="559"/>
      <c r="Z176" s="559"/>
    </row>
    <row r="177" spans="1:26" ht="18" hidden="1" customHeight="1" x14ac:dyDescent="0.35">
      <c r="A177" s="559" t="s">
        <v>19</v>
      </c>
      <c r="B177" s="559">
        <f>IF(F19="Non",0,"Peinture")</f>
        <v>0</v>
      </c>
      <c r="C177" s="559"/>
      <c r="D177" s="559"/>
      <c r="E177" s="559"/>
      <c r="F177" s="559"/>
      <c r="G177" s="559"/>
      <c r="H177" s="559"/>
      <c r="I177" s="559"/>
      <c r="J177" s="559">
        <f>IF(B177=0,0,(((C46/100)*(D46/100))+((C46/100)*(E46/100))+((D46/100)*(E46/100)))*2)</f>
        <v>0</v>
      </c>
      <c r="K177" s="559">
        <f>J177*0.5</f>
        <v>0</v>
      </c>
      <c r="L177" s="625">
        <f>IF(B177=0,0,VLOOKUP(B177,'[1]Prix Matiere'!$A$4:$J$60,10))</f>
        <v>0</v>
      </c>
      <c r="M177" s="625">
        <f>K177*L177</f>
        <v>0</v>
      </c>
      <c r="N177" s="626">
        <f>IF(J177=0,0,IF(B177="Peinture",30+J177*15))</f>
        <v>0</v>
      </c>
      <c r="O177" s="625">
        <f t="shared" ref="O177:O178" si="134">N177*'Caisse Cuvette'!MinuteMO</f>
        <v>0</v>
      </c>
      <c r="P177" s="559"/>
      <c r="Q177" s="559"/>
      <c r="R177" s="559"/>
      <c r="S177" s="559"/>
      <c r="T177" s="559"/>
      <c r="U177" s="559"/>
      <c r="V177" s="559"/>
      <c r="W177" s="559"/>
      <c r="X177" s="559"/>
      <c r="Y177" s="559"/>
      <c r="Z177" s="559"/>
    </row>
    <row r="178" spans="1:26" ht="18" hidden="1" customHeight="1" x14ac:dyDescent="0.35">
      <c r="A178" s="559" t="s">
        <v>72</v>
      </c>
      <c r="B178" s="559" t="str">
        <f>C19</f>
        <v>Vis bois</v>
      </c>
      <c r="C178" s="559"/>
      <c r="D178" s="559"/>
      <c r="E178" s="559"/>
      <c r="F178" s="559"/>
      <c r="G178" s="559"/>
      <c r="H178" s="559"/>
      <c r="I178" s="559"/>
      <c r="J178" s="559"/>
      <c r="K178" s="559"/>
      <c r="L178" s="559"/>
      <c r="M178" s="625">
        <f>IF(B178="Vis bois",0,(D4*2+G4*2+D6*2+G6*2)*1.5)</f>
        <v>0</v>
      </c>
      <c r="N178" s="626">
        <f>IF(B178="Vis bois",0,45)</f>
        <v>0</v>
      </c>
      <c r="O178" s="625">
        <f t="shared" si="134"/>
        <v>0</v>
      </c>
      <c r="P178" s="559"/>
      <c r="Q178" s="559"/>
      <c r="R178" s="559"/>
      <c r="S178" s="559"/>
      <c r="T178" s="559"/>
      <c r="U178" s="559"/>
      <c r="V178" s="559"/>
      <c r="W178" s="559"/>
      <c r="X178" s="559"/>
      <c r="Y178" s="559"/>
      <c r="Z178" s="559"/>
    </row>
    <row r="179" spans="1:26" ht="18" hidden="1" customHeight="1" x14ac:dyDescent="0.35">
      <c r="A179" s="559" t="s">
        <v>21</v>
      </c>
      <c r="B179" s="559" t="str">
        <f>C21</f>
        <v>Non</v>
      </c>
      <c r="C179" s="559"/>
      <c r="D179" s="559"/>
      <c r="E179" s="559"/>
      <c r="F179" s="559"/>
      <c r="G179" s="559"/>
      <c r="H179" s="559"/>
      <c r="I179" s="559"/>
      <c r="J179" s="559"/>
      <c r="K179" s="559"/>
      <c r="L179" s="559"/>
      <c r="M179" s="625"/>
      <c r="N179" s="626"/>
      <c r="O179" s="625"/>
      <c r="P179" s="559"/>
      <c r="Q179" s="559"/>
      <c r="R179" s="559"/>
      <c r="S179" s="559"/>
      <c r="T179" s="559"/>
      <c r="U179" s="559"/>
      <c r="V179" s="559"/>
      <c r="W179" s="559"/>
      <c r="X179" s="559"/>
      <c r="Y179" s="559"/>
      <c r="Z179" s="559"/>
    </row>
    <row r="180" spans="1:26" ht="18" hidden="1" customHeight="1" x14ac:dyDescent="0.35">
      <c r="A180" s="559"/>
      <c r="B180" s="559"/>
      <c r="C180" s="559"/>
      <c r="D180" s="559"/>
      <c r="E180" s="559"/>
      <c r="F180" s="559"/>
      <c r="G180" s="559"/>
      <c r="H180" s="559"/>
      <c r="I180" s="559"/>
      <c r="J180" s="559"/>
      <c r="K180" s="559"/>
      <c r="L180" s="559"/>
      <c r="M180" s="559"/>
      <c r="N180" s="626"/>
      <c r="O180" s="559"/>
      <c r="P180" s="559"/>
      <c r="Q180" s="559"/>
      <c r="R180" s="559"/>
      <c r="S180" s="559"/>
      <c r="T180" s="559"/>
      <c r="U180" s="559"/>
      <c r="V180" s="559"/>
      <c r="W180" s="559"/>
      <c r="X180" s="559"/>
      <c r="Y180" s="559"/>
      <c r="Z180" s="559"/>
    </row>
    <row r="181" spans="1:26" ht="18" hidden="1" customHeight="1" x14ac:dyDescent="0.35">
      <c r="A181" s="559"/>
      <c r="B181" s="559"/>
      <c r="C181" s="559"/>
      <c r="D181" s="559"/>
      <c r="E181" s="559"/>
      <c r="F181" s="559"/>
      <c r="G181" s="559"/>
      <c r="H181" s="559"/>
      <c r="I181" s="559"/>
      <c r="J181" s="559"/>
      <c r="K181" s="559"/>
      <c r="L181" s="614"/>
      <c r="M181" s="614" t="e">
        <f t="shared" ref="M181:O181" si="135">SUM(M52:M180)</f>
        <v>#VALUE!</v>
      </c>
      <c r="N181" s="638">
        <f t="shared" si="135"/>
        <v>65.663534783199992</v>
      </c>
      <c r="O181" s="614">
        <f t="shared" si="135"/>
        <v>55.814004565719998</v>
      </c>
      <c r="P181" s="559"/>
      <c r="Q181" s="627">
        <f>SUM(Q52:Q180)</f>
        <v>0</v>
      </c>
      <c r="R181" s="559"/>
      <c r="S181" s="559"/>
      <c r="T181" s="559"/>
      <c r="U181" s="559"/>
      <c r="V181" s="559"/>
      <c r="W181" s="559"/>
      <c r="X181" s="559"/>
      <c r="Y181" s="559"/>
      <c r="Z181" s="559"/>
    </row>
    <row r="182" spans="1:26" ht="18" hidden="1" customHeight="1" x14ac:dyDescent="0.35">
      <c r="A182" s="559"/>
      <c r="B182" s="639" t="s">
        <v>73</v>
      </c>
      <c r="C182" s="640">
        <f>IF($F$9=0,0,M181)</f>
        <v>0</v>
      </c>
      <c r="D182" s="641"/>
      <c r="E182" s="642" t="s">
        <v>74</v>
      </c>
      <c r="F182" s="643" t="str">
        <f>CONCATENATE(ROUNDUP(SUM(K52:K55)+SUM(K82:K83)+SUM(K99:K101)+SUM(K111:K113)+SUM(K123:K125)+SUM(K135:K137)+SUM(K147:K149)+SUM(K159:K161),2)," m²")</f>
        <v>0,03 m²</v>
      </c>
      <c r="G182" s="644" t="e">
        <f>(SUM(M52:M55)+SUM(M82:M83)+SUM(M99:M101)+SUM(M111:M113)+SUM(M123:M125)+SUM(M135:M137)+SUM(M147:M149)+SUM(M159:M161))</f>
        <v>#VALUE!</v>
      </c>
      <c r="H182" s="559"/>
      <c r="I182" s="559"/>
      <c r="J182" s="559"/>
      <c r="K182" s="559"/>
      <c r="L182" s="559"/>
      <c r="M182" s="559"/>
      <c r="N182" s="559"/>
      <c r="O182" s="559"/>
      <c r="P182" s="559"/>
      <c r="Q182" s="559"/>
      <c r="R182" s="559"/>
      <c r="S182" s="559"/>
      <c r="T182" s="559"/>
      <c r="U182" s="559"/>
      <c r="V182" s="559"/>
      <c r="W182" s="559"/>
      <c r="X182" s="559"/>
      <c r="Y182" s="559"/>
      <c r="Z182" s="559"/>
    </row>
    <row r="183" spans="1:26" ht="18" hidden="1" customHeight="1" x14ac:dyDescent="0.35">
      <c r="A183" s="559"/>
      <c r="B183" s="645" t="s">
        <v>75</v>
      </c>
      <c r="C183" s="625">
        <f>IF($F$9=0,0,O181)</f>
        <v>0</v>
      </c>
      <c r="D183" s="646">
        <f>IF($F$9=0,0,N181)</f>
        <v>0</v>
      </c>
      <c r="E183" s="647" t="s">
        <v>76</v>
      </c>
      <c r="F183" s="648" t="str">
        <f>CONCATENATE(ROUNDUP(SUM(K58:K67),2)," m²")</f>
        <v>-0,17 m²</v>
      </c>
      <c r="G183" s="649" t="e">
        <f>(SUM(M58:M67))</f>
        <v>#VALUE!</v>
      </c>
      <c r="H183" s="559"/>
      <c r="I183" s="559"/>
      <c r="J183" s="559"/>
      <c r="K183" s="559"/>
      <c r="L183" s="559"/>
      <c r="M183" s="559"/>
      <c r="N183" s="559"/>
      <c r="O183" s="559"/>
      <c r="P183" s="559"/>
      <c r="Q183" s="559"/>
      <c r="R183" s="559"/>
      <c r="S183" s="559"/>
      <c r="T183" s="559"/>
      <c r="U183" s="559"/>
      <c r="V183" s="559"/>
      <c r="W183" s="559"/>
      <c r="X183" s="559"/>
      <c r="Y183" s="559"/>
      <c r="Z183" s="559"/>
    </row>
    <row r="184" spans="1:26" ht="18" hidden="1" customHeight="1" x14ac:dyDescent="0.35">
      <c r="A184" s="559"/>
      <c r="B184" s="645" t="s">
        <v>77</v>
      </c>
      <c r="C184" s="625">
        <f>IF($F$9=0,0,((C182+C183)/'Caisse Cuvette'!Frais_Généraux)-(C182+C183))</f>
        <v>0</v>
      </c>
      <c r="D184" s="650"/>
      <c r="E184" s="647" t="s">
        <v>78</v>
      </c>
      <c r="F184" s="648" t="str">
        <f>CONCATENATE(ROUNDUP(SUM(K76:K78)+SUM(K87:K89),2)," m²")</f>
        <v>0 m²</v>
      </c>
      <c r="G184" s="649">
        <f>(SUM(M76:M78)+SUM(M87:M89))</f>
        <v>0</v>
      </c>
      <c r="H184" s="559"/>
      <c r="I184" s="559"/>
      <c r="J184" s="559"/>
      <c r="K184" s="559"/>
      <c r="L184" s="559"/>
      <c r="M184" s="559"/>
      <c r="N184" s="559"/>
      <c r="O184" s="559"/>
      <c r="P184" s="559"/>
      <c r="Q184" s="559"/>
      <c r="R184" s="559"/>
      <c r="S184" s="559"/>
      <c r="T184" s="559"/>
      <c r="U184" s="559"/>
      <c r="V184" s="559"/>
      <c r="W184" s="559"/>
      <c r="X184" s="559"/>
      <c r="Y184" s="559"/>
      <c r="Z184" s="559"/>
    </row>
    <row r="185" spans="1:26" ht="18" hidden="1" customHeight="1" x14ac:dyDescent="0.35">
      <c r="A185" s="559"/>
      <c r="B185" s="645" t="s">
        <v>79</v>
      </c>
      <c r="C185" s="625">
        <f>IF($F$9=0,0,SUM(C182:C184))</f>
        <v>0</v>
      </c>
      <c r="D185" s="650"/>
      <c r="E185" s="647" t="s">
        <v>80</v>
      </c>
      <c r="F185" s="648" t="str">
        <f>CONCATENATE(ROUNDUP(SUM(K70:K72)+SUM(K104:K107)+SUM(K115:K119)+SUM(K127:K131)+SUM(K139:K143)+SUM(K151:K155)+SUM(K163:K167),2)," m²")</f>
        <v>0 m²</v>
      </c>
      <c r="G185" s="649">
        <f>(SUM(M70:M72)+SUM(M104:M107)+SUM(M115:M119)+SUM(M127:M131)+SUM(M139:M143)+SUM(M151:M155)+SUM(M163:M167))</f>
        <v>0</v>
      </c>
      <c r="H185" s="559"/>
      <c r="I185" s="559"/>
      <c r="J185" s="559"/>
      <c r="K185" s="559"/>
      <c r="L185" s="559"/>
      <c r="M185" s="559"/>
      <c r="N185" s="559"/>
      <c r="O185" s="559"/>
      <c r="P185" s="559"/>
      <c r="Q185" s="559"/>
      <c r="R185" s="559"/>
      <c r="S185" s="559"/>
      <c r="T185" s="559"/>
      <c r="U185" s="559"/>
      <c r="V185" s="559"/>
      <c r="W185" s="559"/>
      <c r="X185" s="559"/>
      <c r="Y185" s="559"/>
      <c r="Z185" s="559"/>
    </row>
    <row r="186" spans="1:26" ht="18" hidden="1" customHeight="1" x14ac:dyDescent="0.35">
      <c r="A186" s="559"/>
      <c r="B186" s="645" t="s">
        <v>81</v>
      </c>
      <c r="C186" s="625">
        <f>IF($F$9=0,0,(C185/(1-'Caisse Cuvette'!Marge)-C185))</f>
        <v>0</v>
      </c>
      <c r="D186" s="651">
        <f>C185+C186</f>
        <v>0</v>
      </c>
      <c r="E186" s="647"/>
      <c r="F186" s="648"/>
      <c r="G186" s="711"/>
      <c r="H186" s="559"/>
      <c r="I186" s="559"/>
      <c r="J186" s="559"/>
      <c r="K186" s="559"/>
      <c r="L186" s="559"/>
      <c r="M186" s="559"/>
      <c r="N186" s="559"/>
      <c r="O186" s="559"/>
      <c r="P186" s="559"/>
      <c r="Q186" s="559"/>
      <c r="R186" s="559"/>
      <c r="S186" s="559"/>
      <c r="T186" s="559"/>
      <c r="U186" s="559"/>
      <c r="V186" s="559"/>
      <c r="W186" s="559"/>
      <c r="X186" s="559"/>
      <c r="Y186" s="559"/>
      <c r="Z186" s="559"/>
    </row>
    <row r="187" spans="1:26" ht="18" hidden="1" customHeight="1" x14ac:dyDescent="0.35">
      <c r="A187" s="559"/>
      <c r="B187" s="645" t="s">
        <v>83</v>
      </c>
      <c r="C187" s="625">
        <f>IF($F$10="BOVIS",((C185+C186)*(1+C188))-(C185+C186),((C185+C186)*(1+D187))-(C185+C186))</f>
        <v>0</v>
      </c>
      <c r="D187" s="22"/>
      <c r="E187" s="647"/>
      <c r="F187" s="648"/>
      <c r="G187" s="711"/>
      <c r="H187" s="559"/>
      <c r="I187" s="559"/>
      <c r="J187" s="559"/>
      <c r="K187" s="559"/>
      <c r="L187" s="559"/>
      <c r="M187" s="559"/>
      <c r="N187" s="559"/>
      <c r="O187" s="559"/>
      <c r="P187" s="559"/>
      <c r="Q187" s="559"/>
      <c r="R187" s="559"/>
      <c r="S187" s="559"/>
      <c r="T187" s="559"/>
      <c r="U187" s="559"/>
      <c r="V187" s="559"/>
      <c r="W187" s="559"/>
      <c r="X187" s="559"/>
      <c r="Y187" s="559"/>
      <c r="Z187" s="559"/>
    </row>
    <row r="188" spans="1:26" ht="18" hidden="1" customHeight="1" x14ac:dyDescent="0.35">
      <c r="A188" s="559"/>
      <c r="B188" s="645"/>
      <c r="C188" s="653">
        <f>IF($F$10="BOVIS",0.03,0)</f>
        <v>0</v>
      </c>
      <c r="D188" s="654"/>
      <c r="E188" s="647"/>
      <c r="F188" s="648"/>
      <c r="G188" s="711"/>
      <c r="H188" s="559"/>
      <c r="I188" s="559"/>
      <c r="J188" s="559"/>
      <c r="K188" s="559"/>
      <c r="L188" s="559"/>
      <c r="M188" s="559"/>
      <c r="N188" s="559"/>
      <c r="O188" s="559"/>
      <c r="P188" s="559"/>
      <c r="Q188" s="559"/>
      <c r="R188" s="559"/>
      <c r="S188" s="559"/>
      <c r="T188" s="559"/>
      <c r="U188" s="559"/>
      <c r="V188" s="559"/>
      <c r="W188" s="559"/>
      <c r="X188" s="559"/>
      <c r="Y188" s="559"/>
      <c r="Z188" s="559"/>
    </row>
    <row r="189" spans="1:26" ht="18" hidden="1" customHeight="1" x14ac:dyDescent="0.35">
      <c r="A189" s="559"/>
      <c r="B189" s="655" t="s">
        <v>84</v>
      </c>
      <c r="C189" s="656">
        <f>SUM(C185:C188)</f>
        <v>0</v>
      </c>
      <c r="D189" s="657"/>
      <c r="E189" s="658" t="s">
        <v>85</v>
      </c>
      <c r="F189" s="567"/>
      <c r="G189" s="712" t="e">
        <f>C182-SUM(G182:G186)</f>
        <v>#VALUE!</v>
      </c>
      <c r="H189" s="559"/>
      <c r="I189" s="559"/>
      <c r="J189" s="559"/>
      <c r="K189" s="559"/>
      <c r="L189" s="559"/>
      <c r="M189" s="559"/>
      <c r="N189" s="559"/>
      <c r="O189" s="559"/>
      <c r="P189" s="559"/>
      <c r="Q189" s="559"/>
      <c r="R189" s="559"/>
      <c r="S189" s="559"/>
      <c r="T189" s="559"/>
      <c r="U189" s="559"/>
      <c r="V189" s="559"/>
      <c r="W189" s="559"/>
      <c r="X189" s="559"/>
      <c r="Y189" s="559"/>
      <c r="Z189" s="559"/>
    </row>
    <row r="190" spans="1:26" ht="18" hidden="1" customHeight="1" x14ac:dyDescent="0.35">
      <c r="A190" s="559"/>
      <c r="B190" s="559"/>
      <c r="C190" s="559"/>
      <c r="D190" s="559"/>
      <c r="E190" s="559"/>
      <c r="F190" s="559"/>
      <c r="G190" s="559"/>
      <c r="H190" s="559"/>
      <c r="I190" s="559"/>
      <c r="J190" s="559"/>
      <c r="K190" s="559"/>
      <c r="L190" s="559"/>
      <c r="M190" s="559"/>
      <c r="N190" s="559"/>
      <c r="O190" s="559"/>
      <c r="P190" s="559"/>
      <c r="Q190" s="559"/>
      <c r="R190" s="559"/>
      <c r="S190" s="559"/>
      <c r="T190" s="559"/>
      <c r="U190" s="559"/>
      <c r="V190" s="559"/>
      <c r="W190" s="559"/>
      <c r="X190" s="559"/>
      <c r="Y190" s="559"/>
      <c r="Z190" s="559"/>
    </row>
    <row r="191" spans="1:26" ht="18" hidden="1" customHeight="1" x14ac:dyDescent="0.35">
      <c r="A191" s="559"/>
      <c r="B191" s="559"/>
      <c r="C191" s="559"/>
      <c r="D191" s="559"/>
      <c r="E191" s="559"/>
      <c r="F191" s="559"/>
      <c r="G191" s="559"/>
      <c r="H191" s="559"/>
      <c r="I191" s="559"/>
      <c r="J191" s="559"/>
      <c r="K191" s="559"/>
      <c r="L191" s="559"/>
      <c r="M191" s="559"/>
      <c r="N191" s="559"/>
      <c r="O191" s="559"/>
      <c r="P191" s="559"/>
      <c r="Q191" s="559"/>
      <c r="R191" s="559"/>
      <c r="S191" s="559"/>
      <c r="T191" s="559"/>
      <c r="U191" s="559"/>
      <c r="V191" s="559"/>
      <c r="W191" s="559"/>
      <c r="X191" s="559"/>
      <c r="Y191" s="559"/>
      <c r="Z191" s="559"/>
    </row>
    <row r="192" spans="1:26" ht="18" hidden="1" customHeight="1" x14ac:dyDescent="0.35">
      <c r="A192" s="559"/>
      <c r="B192" s="559"/>
      <c r="C192" s="559"/>
      <c r="D192" s="559"/>
      <c r="E192" s="559"/>
      <c r="F192" s="559"/>
      <c r="G192" s="559"/>
      <c r="H192" s="559"/>
      <c r="I192" s="559"/>
      <c r="J192" s="559"/>
      <c r="K192" s="559"/>
      <c r="L192" s="559"/>
      <c r="M192" s="559"/>
      <c r="N192" s="559"/>
      <c r="O192" s="559"/>
      <c r="P192" s="559"/>
      <c r="Q192" s="559"/>
      <c r="R192" s="559"/>
      <c r="S192" s="559"/>
      <c r="T192" s="559"/>
      <c r="U192" s="559"/>
      <c r="V192" s="559"/>
      <c r="W192" s="559"/>
      <c r="X192" s="559"/>
      <c r="Y192" s="559"/>
      <c r="Z192" s="559"/>
    </row>
    <row r="193" spans="1:26" ht="18" hidden="1" customHeight="1" x14ac:dyDescent="0.3">
      <c r="A193" s="660"/>
      <c r="B193" s="661" t="s">
        <v>114</v>
      </c>
      <c r="C193" s="661" t="s">
        <v>115</v>
      </c>
      <c r="D193" s="661" t="s">
        <v>116</v>
      </c>
      <c r="E193" s="661" t="s">
        <v>117</v>
      </c>
      <c r="F193" s="661" t="s">
        <v>118</v>
      </c>
      <c r="G193" s="661" t="s">
        <v>119</v>
      </c>
      <c r="H193" s="661" t="s">
        <v>120</v>
      </c>
      <c r="I193" s="661" t="s">
        <v>121</v>
      </c>
      <c r="J193" s="661" t="s">
        <v>122</v>
      </c>
      <c r="K193" s="661" t="s">
        <v>123</v>
      </c>
      <c r="L193" s="661" t="s">
        <v>82</v>
      </c>
      <c r="M193" s="661"/>
      <c r="N193" s="661"/>
      <c r="O193" s="661"/>
      <c r="P193" s="661"/>
      <c r="Q193" s="661"/>
      <c r="R193" s="661" t="s">
        <v>312</v>
      </c>
      <c r="S193" s="662"/>
      <c r="T193" s="663"/>
      <c r="U193" s="663"/>
      <c r="V193" s="663"/>
      <c r="W193" s="663"/>
      <c r="X193" s="663"/>
      <c r="Y193" s="663"/>
      <c r="Z193" s="663"/>
    </row>
    <row r="194" spans="1:26" ht="18" hidden="1" customHeight="1" x14ac:dyDescent="0.3">
      <c r="A194" s="664">
        <v>1</v>
      </c>
      <c r="B194" s="663">
        <v>2</v>
      </c>
      <c r="C194" s="663">
        <v>3</v>
      </c>
      <c r="D194" s="663">
        <v>4</v>
      </c>
      <c r="E194" s="663">
        <v>5</v>
      </c>
      <c r="F194" s="663">
        <v>6</v>
      </c>
      <c r="G194" s="663">
        <v>7</v>
      </c>
      <c r="H194" s="663">
        <v>8</v>
      </c>
      <c r="I194" s="663">
        <v>9</v>
      </c>
      <c r="J194" s="663">
        <v>10</v>
      </c>
      <c r="K194" s="663">
        <v>11</v>
      </c>
      <c r="L194" s="663">
        <v>12</v>
      </c>
      <c r="M194" s="663">
        <v>13</v>
      </c>
      <c r="N194" s="663">
        <v>14</v>
      </c>
      <c r="O194" s="663">
        <v>15</v>
      </c>
      <c r="P194" s="663">
        <v>16</v>
      </c>
      <c r="Q194" s="663">
        <v>17</v>
      </c>
      <c r="R194" s="663" t="s">
        <v>28</v>
      </c>
      <c r="S194" s="665" t="s">
        <v>313</v>
      </c>
      <c r="T194" s="663"/>
      <c r="U194" s="663"/>
      <c r="V194" s="663"/>
      <c r="W194" s="663"/>
      <c r="X194" s="663"/>
      <c r="Y194" s="663"/>
      <c r="Z194" s="663"/>
    </row>
    <row r="195" spans="1:26" ht="18" hidden="1" customHeight="1" x14ac:dyDescent="0.3">
      <c r="A195" s="664" t="s">
        <v>16</v>
      </c>
      <c r="B195" s="663">
        <v>0</v>
      </c>
      <c r="C195" s="663">
        <v>0</v>
      </c>
      <c r="D195" s="663">
        <v>0</v>
      </c>
      <c r="E195" s="663">
        <v>0</v>
      </c>
      <c r="F195" s="663">
        <v>0</v>
      </c>
      <c r="G195" s="663">
        <v>0</v>
      </c>
      <c r="H195" s="663">
        <v>0</v>
      </c>
      <c r="I195" s="663">
        <v>0</v>
      </c>
      <c r="J195" s="663">
        <v>0</v>
      </c>
      <c r="K195" s="663">
        <v>0</v>
      </c>
      <c r="L195" s="663">
        <v>0</v>
      </c>
      <c r="M195" s="663">
        <v>0</v>
      </c>
      <c r="N195" s="663">
        <v>0</v>
      </c>
      <c r="O195" s="663">
        <v>0</v>
      </c>
      <c r="P195" s="663">
        <v>0</v>
      </c>
      <c r="Q195" s="663">
        <v>0</v>
      </c>
      <c r="R195" s="663">
        <v>0</v>
      </c>
      <c r="S195" s="665">
        <v>0</v>
      </c>
      <c r="T195" s="663"/>
      <c r="U195" s="663"/>
      <c r="V195" s="663"/>
      <c r="W195" s="663"/>
      <c r="X195" s="663"/>
      <c r="Y195" s="663"/>
      <c r="Z195" s="663"/>
    </row>
    <row r="196" spans="1:26" ht="18" hidden="1" customHeight="1" x14ac:dyDescent="0.3">
      <c r="A196" s="664" t="s">
        <v>323</v>
      </c>
      <c r="B196" s="663">
        <v>10.199999999999999</v>
      </c>
      <c r="C196" s="663">
        <v>10.199999999999999</v>
      </c>
      <c r="D196" s="663">
        <v>5.2</v>
      </c>
      <c r="E196" s="663">
        <v>5.7</v>
      </c>
      <c r="F196" s="663">
        <v>10.199999999999999</v>
      </c>
      <c r="G196" s="663">
        <v>2</v>
      </c>
      <c r="H196" s="663" t="s">
        <v>27</v>
      </c>
      <c r="I196" s="663" t="s">
        <v>27</v>
      </c>
      <c r="J196" s="663">
        <v>-0.5</v>
      </c>
      <c r="K196" s="663">
        <v>2</v>
      </c>
      <c r="L196" s="663">
        <v>1</v>
      </c>
      <c r="M196" s="663" t="s">
        <v>321</v>
      </c>
      <c r="N196" s="663"/>
      <c r="O196" s="663">
        <v>3</v>
      </c>
      <c r="P196" s="663"/>
      <c r="Q196" s="663"/>
      <c r="R196" s="663">
        <v>0</v>
      </c>
      <c r="S196" s="665">
        <v>0</v>
      </c>
      <c r="T196" s="663"/>
      <c r="U196" s="663"/>
      <c r="V196" s="663"/>
      <c r="W196" s="663"/>
      <c r="X196" s="663"/>
      <c r="Y196" s="663"/>
      <c r="Z196" s="663"/>
    </row>
    <row r="197" spans="1:26" ht="18" hidden="1" customHeight="1" x14ac:dyDescent="0.3">
      <c r="A197" s="664" t="s">
        <v>416</v>
      </c>
      <c r="B197" s="663">
        <v>10.199999999999999</v>
      </c>
      <c r="C197" s="663">
        <v>10.199999999999999</v>
      </c>
      <c r="D197" s="663">
        <v>5.2</v>
      </c>
      <c r="E197" s="663">
        <v>5.7</v>
      </c>
      <c r="F197" s="663">
        <v>10.199999999999999</v>
      </c>
      <c r="G197" s="663">
        <v>2</v>
      </c>
      <c r="H197" s="663" t="s">
        <v>27</v>
      </c>
      <c r="I197" s="663" t="s">
        <v>27</v>
      </c>
      <c r="J197" s="663">
        <v>-0.5</v>
      </c>
      <c r="K197" s="663">
        <v>2</v>
      </c>
      <c r="L197" s="663">
        <v>1</v>
      </c>
      <c r="M197" s="663" t="s">
        <v>321</v>
      </c>
      <c r="N197" s="663"/>
      <c r="O197" s="663">
        <v>3</v>
      </c>
      <c r="P197" s="663"/>
      <c r="Q197" s="663"/>
      <c r="R197" s="663">
        <v>0</v>
      </c>
      <c r="S197" s="665">
        <v>0</v>
      </c>
      <c r="T197" s="663"/>
      <c r="U197" s="663"/>
      <c r="V197" s="663"/>
      <c r="W197" s="663"/>
      <c r="X197" s="663"/>
      <c r="Y197" s="663"/>
      <c r="Z197" s="663"/>
    </row>
    <row r="198" spans="1:26" ht="18" hidden="1" customHeight="1" x14ac:dyDescent="0.3">
      <c r="A198" s="664" t="s">
        <v>373</v>
      </c>
      <c r="B198" s="663">
        <v>10.199999999999999</v>
      </c>
      <c r="C198" s="663">
        <v>10.199999999999999</v>
      </c>
      <c r="D198" s="663">
        <v>5.2</v>
      </c>
      <c r="E198" s="663">
        <v>10.7</v>
      </c>
      <c r="F198" s="663">
        <v>0.2</v>
      </c>
      <c r="G198" s="663">
        <v>2</v>
      </c>
      <c r="H198" s="663" t="s">
        <v>27</v>
      </c>
      <c r="I198" s="663" t="s">
        <v>27</v>
      </c>
      <c r="J198" s="663">
        <v>-0.5</v>
      </c>
      <c r="K198" s="663">
        <v>2</v>
      </c>
      <c r="L198" s="663">
        <v>1</v>
      </c>
      <c r="M198" s="663" t="s">
        <v>321</v>
      </c>
      <c r="N198" s="663"/>
      <c r="O198" s="663">
        <v>5</v>
      </c>
      <c r="P198" s="663"/>
      <c r="Q198" s="663"/>
      <c r="R198" s="663">
        <v>0</v>
      </c>
      <c r="S198" s="665">
        <v>0</v>
      </c>
      <c r="T198" s="663"/>
      <c r="U198" s="663"/>
      <c r="V198" s="663"/>
      <c r="W198" s="663"/>
      <c r="X198" s="663"/>
      <c r="Y198" s="663"/>
      <c r="Z198" s="663"/>
    </row>
    <row r="199" spans="1:26" ht="18" hidden="1" customHeight="1" x14ac:dyDescent="0.3">
      <c r="A199" s="666" t="s">
        <v>374</v>
      </c>
      <c r="B199" s="667">
        <v>6.2</v>
      </c>
      <c r="C199" s="667">
        <v>6.2</v>
      </c>
      <c r="D199" s="667">
        <v>3.2</v>
      </c>
      <c r="E199" s="667">
        <v>10.7</v>
      </c>
      <c r="F199" s="667">
        <v>0.2</v>
      </c>
      <c r="G199" s="667">
        <v>2</v>
      </c>
      <c r="H199" s="667" t="s">
        <v>105</v>
      </c>
      <c r="I199" s="667" t="s">
        <v>105</v>
      </c>
      <c r="J199" s="667">
        <v>-0.5</v>
      </c>
      <c r="K199" s="667">
        <v>2</v>
      </c>
      <c r="L199" s="667">
        <v>1</v>
      </c>
      <c r="M199" s="667" t="s">
        <v>321</v>
      </c>
      <c r="N199" s="667"/>
      <c r="O199" s="667">
        <v>5</v>
      </c>
      <c r="P199" s="667"/>
      <c r="Q199" s="667"/>
      <c r="R199" s="667">
        <v>0</v>
      </c>
      <c r="S199" s="668">
        <v>0</v>
      </c>
      <c r="T199" s="663"/>
      <c r="U199" s="663"/>
      <c r="V199" s="663"/>
      <c r="W199" s="663"/>
      <c r="X199" s="663"/>
      <c r="Y199" s="663"/>
      <c r="Z199" s="663"/>
    </row>
    <row r="200" spans="1:26" ht="18" hidden="1" customHeight="1" x14ac:dyDescent="0.3">
      <c r="A200" s="663"/>
      <c r="B200" s="663"/>
      <c r="C200" s="663"/>
      <c r="D200" s="663"/>
      <c r="E200" s="663"/>
      <c r="F200" s="663"/>
      <c r="G200" s="663"/>
      <c r="H200" s="663"/>
      <c r="I200" s="663"/>
      <c r="J200" s="663"/>
      <c r="K200" s="663"/>
      <c r="L200" s="663"/>
      <c r="M200" s="663"/>
      <c r="N200" s="663"/>
      <c r="O200" s="663"/>
      <c r="P200" s="663"/>
      <c r="Q200" s="663"/>
      <c r="R200" s="663"/>
      <c r="S200" s="663"/>
      <c r="T200" s="663"/>
      <c r="U200" s="663"/>
      <c r="V200" s="663"/>
      <c r="W200" s="663"/>
      <c r="X200" s="663"/>
      <c r="Y200" s="663"/>
      <c r="Z200" s="663"/>
    </row>
    <row r="201" spans="1:26" ht="18" hidden="1" customHeight="1" x14ac:dyDescent="0.3">
      <c r="A201" s="660">
        <v>1</v>
      </c>
      <c r="B201" s="661">
        <v>2</v>
      </c>
      <c r="C201" s="661">
        <v>3</v>
      </c>
      <c r="D201" s="661">
        <v>4</v>
      </c>
      <c r="E201" s="661">
        <v>5</v>
      </c>
      <c r="F201" s="661">
        <v>6</v>
      </c>
      <c r="G201" s="661">
        <v>7</v>
      </c>
      <c r="H201" s="661">
        <v>8</v>
      </c>
      <c r="I201" s="661">
        <v>9</v>
      </c>
      <c r="J201" s="661">
        <v>10</v>
      </c>
      <c r="K201" s="661">
        <v>11</v>
      </c>
      <c r="L201" s="661">
        <v>12</v>
      </c>
      <c r="M201" s="661">
        <v>13</v>
      </c>
      <c r="N201" s="661">
        <v>14</v>
      </c>
      <c r="O201" s="661">
        <v>15</v>
      </c>
      <c r="P201" s="661">
        <v>16</v>
      </c>
      <c r="Q201" s="661">
        <v>17</v>
      </c>
      <c r="R201" s="661"/>
      <c r="S201" s="662"/>
      <c r="T201" s="663"/>
      <c r="U201" s="663"/>
      <c r="V201" s="663"/>
      <c r="W201" s="663"/>
      <c r="X201" s="663"/>
      <c r="Y201" s="663"/>
      <c r="Z201" s="663"/>
    </row>
    <row r="202" spans="1:26" ht="18" hidden="1" customHeight="1" x14ac:dyDescent="0.3">
      <c r="A202" s="669"/>
      <c r="B202" s="670"/>
      <c r="C202" s="670"/>
      <c r="D202" s="670"/>
      <c r="E202" s="670" t="s">
        <v>80</v>
      </c>
      <c r="F202" s="670" t="s">
        <v>91</v>
      </c>
      <c r="G202" s="670" t="s">
        <v>34</v>
      </c>
      <c r="H202" s="670" t="s">
        <v>65</v>
      </c>
      <c r="I202" s="670" t="s">
        <v>92</v>
      </c>
      <c r="J202" s="670" t="s">
        <v>93</v>
      </c>
      <c r="K202" s="670" t="s">
        <v>67</v>
      </c>
      <c r="L202" s="670" t="s">
        <v>94</v>
      </c>
      <c r="M202" s="670" t="s">
        <v>95</v>
      </c>
      <c r="N202" s="670" t="s">
        <v>69</v>
      </c>
      <c r="O202" s="670" t="s">
        <v>96</v>
      </c>
      <c r="P202" s="670" t="s">
        <v>97</v>
      </c>
      <c r="Q202" s="670" t="s">
        <v>333</v>
      </c>
      <c r="R202" s="670"/>
      <c r="S202" s="671"/>
      <c r="T202" s="670"/>
      <c r="U202" s="670"/>
      <c r="V202" s="670"/>
      <c r="W202" s="670"/>
      <c r="X202" s="670"/>
      <c r="Y202" s="670"/>
      <c r="Z202" s="670"/>
    </row>
    <row r="203" spans="1:26" ht="18" hidden="1" customHeight="1" x14ac:dyDescent="0.3">
      <c r="A203" s="664"/>
      <c r="B203" s="663"/>
      <c r="C203" s="663"/>
      <c r="D203" s="663"/>
      <c r="E203" s="663"/>
      <c r="F203" s="663"/>
      <c r="G203" s="663"/>
      <c r="H203" s="663"/>
      <c r="I203" s="663"/>
      <c r="J203" s="663"/>
      <c r="K203" s="663"/>
      <c r="L203" s="663"/>
      <c r="M203" s="663"/>
      <c r="N203" s="663"/>
      <c r="O203" s="663"/>
      <c r="P203" s="663"/>
      <c r="Q203" s="663"/>
      <c r="R203" s="663"/>
      <c r="S203" s="665"/>
      <c r="T203" s="663"/>
      <c r="U203" s="663"/>
      <c r="V203" s="663"/>
      <c r="W203" s="663"/>
      <c r="X203" s="663"/>
      <c r="Y203" s="663"/>
      <c r="Z203" s="663"/>
    </row>
    <row r="204" spans="1:26" ht="18" hidden="1" customHeight="1" x14ac:dyDescent="0.3">
      <c r="A204" s="664" t="s">
        <v>16</v>
      </c>
      <c r="B204" s="663">
        <v>0</v>
      </c>
      <c r="C204" s="663">
        <v>0</v>
      </c>
      <c r="D204" s="663">
        <v>0</v>
      </c>
      <c r="E204" s="663">
        <v>0</v>
      </c>
      <c r="F204" s="663">
        <v>0</v>
      </c>
      <c r="G204" s="663">
        <v>0</v>
      </c>
      <c r="H204" s="663">
        <v>0</v>
      </c>
      <c r="I204" s="663">
        <v>0</v>
      </c>
      <c r="J204" s="663">
        <v>0</v>
      </c>
      <c r="K204" s="663">
        <v>0</v>
      </c>
      <c r="L204" s="663">
        <v>0</v>
      </c>
      <c r="M204" s="663">
        <v>0</v>
      </c>
      <c r="N204" s="663">
        <v>0</v>
      </c>
      <c r="O204" s="663">
        <v>0</v>
      </c>
      <c r="P204" s="663">
        <v>0</v>
      </c>
      <c r="Q204" s="663">
        <v>0</v>
      </c>
      <c r="R204" s="663">
        <v>0</v>
      </c>
      <c r="S204" s="665">
        <v>0</v>
      </c>
      <c r="T204" s="663"/>
      <c r="U204" s="663"/>
      <c r="V204" s="663"/>
      <c r="W204" s="663"/>
      <c r="X204" s="663"/>
      <c r="Y204" s="663"/>
      <c r="Z204" s="663"/>
    </row>
    <row r="205" spans="1:26" ht="18" hidden="1" customHeight="1" x14ac:dyDescent="0.3">
      <c r="A205" s="664" t="s">
        <v>98</v>
      </c>
      <c r="B205" s="308">
        <f t="shared" ref="B205:D205" si="136">(3+1.25+3)*2</f>
        <v>14.5</v>
      </c>
      <c r="C205" s="308">
        <f t="shared" si="136"/>
        <v>14.5</v>
      </c>
      <c r="D205" s="308">
        <f t="shared" si="136"/>
        <v>14.5</v>
      </c>
      <c r="E205" s="142">
        <v>0</v>
      </c>
      <c r="F205" s="142">
        <v>0</v>
      </c>
      <c r="G205" s="142">
        <v>0</v>
      </c>
      <c r="H205" s="143">
        <v>6</v>
      </c>
      <c r="I205" s="143" t="s">
        <v>99</v>
      </c>
      <c r="J205" s="143">
        <v>2</v>
      </c>
      <c r="K205" s="144">
        <v>2.5</v>
      </c>
      <c r="L205" s="144" t="s">
        <v>86</v>
      </c>
      <c r="M205" s="147">
        <v>4</v>
      </c>
      <c r="N205" s="143">
        <v>6</v>
      </c>
      <c r="O205" s="143" t="s">
        <v>99</v>
      </c>
      <c r="P205" s="148">
        <v>2</v>
      </c>
      <c r="Q205" s="663">
        <v>2</v>
      </c>
      <c r="R205" s="663">
        <v>1</v>
      </c>
      <c r="S205" s="665">
        <v>1</v>
      </c>
      <c r="T205" s="663"/>
      <c r="U205" s="663"/>
      <c r="V205" s="663"/>
      <c r="W205" s="663"/>
      <c r="X205" s="663"/>
      <c r="Y205" s="663"/>
      <c r="Z205" s="663"/>
    </row>
    <row r="206" spans="1:26" ht="18" hidden="1" customHeight="1" x14ac:dyDescent="0.3">
      <c r="A206" s="664" t="s">
        <v>100</v>
      </c>
      <c r="B206" s="308">
        <f t="shared" ref="B206:D206" si="137">(5.1+1.25+5.1)*2</f>
        <v>22.9</v>
      </c>
      <c r="C206" s="308">
        <f t="shared" si="137"/>
        <v>22.9</v>
      </c>
      <c r="D206" s="308">
        <f t="shared" si="137"/>
        <v>22.9</v>
      </c>
      <c r="E206" s="142">
        <v>0</v>
      </c>
      <c r="F206" s="142">
        <v>0</v>
      </c>
      <c r="G206" s="142">
        <v>0</v>
      </c>
      <c r="H206" s="143">
        <v>10.199999999999999</v>
      </c>
      <c r="I206" s="143" t="s">
        <v>101</v>
      </c>
      <c r="J206" s="143">
        <v>2</v>
      </c>
      <c r="K206" s="144">
        <v>2.5</v>
      </c>
      <c r="L206" s="144" t="s">
        <v>86</v>
      </c>
      <c r="M206" s="147">
        <v>4</v>
      </c>
      <c r="N206" s="143">
        <v>10.199999999999999</v>
      </c>
      <c r="O206" s="143" t="s">
        <v>101</v>
      </c>
      <c r="P206" s="148">
        <v>2</v>
      </c>
      <c r="Q206" s="663">
        <v>2</v>
      </c>
      <c r="R206" s="663">
        <v>1</v>
      </c>
      <c r="S206" s="665">
        <v>1</v>
      </c>
      <c r="T206" s="663"/>
      <c r="U206" s="663"/>
      <c r="V206" s="663"/>
      <c r="W206" s="663"/>
      <c r="X206" s="663"/>
      <c r="Y206" s="663"/>
      <c r="Z206" s="663"/>
    </row>
    <row r="207" spans="1:26" ht="18" hidden="1" customHeight="1" x14ac:dyDescent="0.3">
      <c r="A207" s="664" t="s">
        <v>102</v>
      </c>
      <c r="B207" s="308">
        <f t="shared" ref="B207:D207" si="138">(3)*2</f>
        <v>6</v>
      </c>
      <c r="C207" s="308">
        <f t="shared" si="138"/>
        <v>6</v>
      </c>
      <c r="D207" s="308">
        <f t="shared" si="138"/>
        <v>6</v>
      </c>
      <c r="E207" s="142">
        <v>0</v>
      </c>
      <c r="F207" s="142">
        <v>0</v>
      </c>
      <c r="G207" s="142">
        <v>0</v>
      </c>
      <c r="H207" s="143">
        <v>6</v>
      </c>
      <c r="I207" s="143" t="s">
        <v>99</v>
      </c>
      <c r="J207" s="143">
        <v>2</v>
      </c>
      <c r="K207" s="144">
        <v>0</v>
      </c>
      <c r="L207" s="144">
        <v>0</v>
      </c>
      <c r="M207" s="147">
        <v>0</v>
      </c>
      <c r="N207" s="143">
        <v>0</v>
      </c>
      <c r="O207" s="143"/>
      <c r="P207" s="148">
        <v>0</v>
      </c>
      <c r="Q207" s="663">
        <v>0</v>
      </c>
      <c r="R207" s="663">
        <v>1</v>
      </c>
      <c r="S207" s="665">
        <v>1</v>
      </c>
      <c r="T207" s="663"/>
      <c r="U207" s="663"/>
      <c r="V207" s="663"/>
      <c r="W207" s="663"/>
      <c r="X207" s="663"/>
      <c r="Y207" s="663"/>
      <c r="Z207" s="663"/>
    </row>
    <row r="208" spans="1:26" ht="18" hidden="1" customHeight="1" x14ac:dyDescent="0.3">
      <c r="A208" s="664" t="s">
        <v>103</v>
      </c>
      <c r="B208" s="308">
        <f t="shared" ref="B208:D208" si="139">(5.1)*2</f>
        <v>10.199999999999999</v>
      </c>
      <c r="C208" s="308">
        <f t="shared" si="139"/>
        <v>10.199999999999999</v>
      </c>
      <c r="D208" s="308">
        <f t="shared" si="139"/>
        <v>10.199999999999999</v>
      </c>
      <c r="E208" s="142">
        <v>0</v>
      </c>
      <c r="F208" s="142">
        <v>0</v>
      </c>
      <c r="G208" s="142">
        <v>0</v>
      </c>
      <c r="H208" s="143">
        <v>10.199999999999999</v>
      </c>
      <c r="I208" s="143" t="s">
        <v>101</v>
      </c>
      <c r="J208" s="143">
        <v>2</v>
      </c>
      <c r="K208" s="144">
        <v>0</v>
      </c>
      <c r="L208" s="144">
        <v>0</v>
      </c>
      <c r="M208" s="147">
        <v>0</v>
      </c>
      <c r="N208" s="143">
        <v>0</v>
      </c>
      <c r="O208" s="143"/>
      <c r="P208" s="148">
        <v>0</v>
      </c>
      <c r="Q208" s="663">
        <v>0</v>
      </c>
      <c r="R208" s="663">
        <v>1</v>
      </c>
      <c r="S208" s="665">
        <v>1</v>
      </c>
      <c r="T208" s="663"/>
      <c r="U208" s="663"/>
      <c r="V208" s="663"/>
      <c r="W208" s="663"/>
      <c r="X208" s="663"/>
      <c r="Y208" s="663"/>
      <c r="Z208" s="663"/>
    </row>
    <row r="209" spans="1:26" ht="18" hidden="1" customHeight="1" x14ac:dyDescent="0.3">
      <c r="A209" s="664" t="s">
        <v>104</v>
      </c>
      <c r="B209" s="308">
        <f t="shared" ref="B209:D209" si="140">(3+3+1.25+3)*2</f>
        <v>20.5</v>
      </c>
      <c r="C209" s="308">
        <f t="shared" si="140"/>
        <v>20.5</v>
      </c>
      <c r="D209" s="308">
        <f t="shared" si="140"/>
        <v>20.5</v>
      </c>
      <c r="E209" s="142">
        <v>6</v>
      </c>
      <c r="F209" s="142" t="s">
        <v>105</v>
      </c>
      <c r="G209" s="142">
        <v>2</v>
      </c>
      <c r="H209" s="143">
        <v>6</v>
      </c>
      <c r="I209" s="143" t="s">
        <v>99</v>
      </c>
      <c r="J209" s="143">
        <v>2</v>
      </c>
      <c r="K209" s="144">
        <v>2.5</v>
      </c>
      <c r="L209" s="144" t="s">
        <v>86</v>
      </c>
      <c r="M209" s="147">
        <v>4</v>
      </c>
      <c r="N209" s="143">
        <v>6</v>
      </c>
      <c r="O209" s="143" t="s">
        <v>99</v>
      </c>
      <c r="P209" s="148">
        <v>2</v>
      </c>
      <c r="Q209" s="663">
        <v>2</v>
      </c>
      <c r="R209" s="663">
        <v>1</v>
      </c>
      <c r="S209" s="665">
        <v>1</v>
      </c>
      <c r="T209" s="663"/>
      <c r="U209" s="663"/>
      <c r="V209" s="663"/>
      <c r="W209" s="663"/>
      <c r="X209" s="663"/>
      <c r="Y209" s="663"/>
      <c r="Z209" s="663"/>
    </row>
    <row r="210" spans="1:26" ht="18" hidden="1" customHeight="1" x14ac:dyDescent="0.3">
      <c r="A210" s="666" t="s">
        <v>106</v>
      </c>
      <c r="B210" s="128">
        <f t="shared" ref="B210:D210" si="141">(5+5.1+1.25+5.1)*2</f>
        <v>32.9</v>
      </c>
      <c r="C210" s="128">
        <f t="shared" si="141"/>
        <v>32.9</v>
      </c>
      <c r="D210" s="128">
        <f t="shared" si="141"/>
        <v>32.9</v>
      </c>
      <c r="E210" s="149">
        <v>10.199999999999999</v>
      </c>
      <c r="F210" s="149" t="s">
        <v>27</v>
      </c>
      <c r="G210" s="149">
        <v>2</v>
      </c>
      <c r="H210" s="150">
        <v>10.199999999999999</v>
      </c>
      <c r="I210" s="150" t="s">
        <v>101</v>
      </c>
      <c r="J210" s="150">
        <v>2</v>
      </c>
      <c r="K210" s="151">
        <v>2.5</v>
      </c>
      <c r="L210" s="151" t="s">
        <v>86</v>
      </c>
      <c r="M210" s="152">
        <v>4</v>
      </c>
      <c r="N210" s="150">
        <v>10.199999999999999</v>
      </c>
      <c r="O210" s="150" t="s">
        <v>101</v>
      </c>
      <c r="P210" s="153">
        <v>2</v>
      </c>
      <c r="Q210" s="667">
        <v>2</v>
      </c>
      <c r="R210" s="667">
        <v>1</v>
      </c>
      <c r="S210" s="668">
        <v>1</v>
      </c>
      <c r="T210" s="663"/>
      <c r="U210" s="663"/>
      <c r="V210" s="663"/>
      <c r="W210" s="663"/>
      <c r="X210" s="663"/>
      <c r="Y210" s="663"/>
      <c r="Z210" s="663"/>
    </row>
    <row r="211" spans="1:26" ht="18" hidden="1" customHeight="1" x14ac:dyDescent="0.3">
      <c r="A211" s="663"/>
      <c r="B211" s="663"/>
      <c r="C211" s="663"/>
      <c r="D211" s="663"/>
      <c r="E211" s="663"/>
      <c r="F211" s="663"/>
      <c r="G211" s="663"/>
      <c r="H211" s="663"/>
      <c r="I211" s="663"/>
      <c r="J211" s="663"/>
      <c r="K211" s="663"/>
      <c r="L211" s="663"/>
      <c r="M211" s="663"/>
      <c r="N211" s="663"/>
      <c r="O211" s="663"/>
      <c r="P211" s="663"/>
      <c r="Q211" s="663"/>
      <c r="R211" s="663"/>
      <c r="S211" s="663"/>
      <c r="T211" s="663"/>
      <c r="U211" s="663"/>
      <c r="V211" s="663"/>
      <c r="W211" s="663"/>
      <c r="X211" s="663"/>
      <c r="Y211" s="663"/>
      <c r="Z211" s="663"/>
    </row>
    <row r="212" spans="1:26" ht="18" hidden="1" customHeight="1" x14ac:dyDescent="0.3">
      <c r="A212" s="660" t="s">
        <v>107</v>
      </c>
      <c r="B212" s="662">
        <v>1</v>
      </c>
      <c r="C212" s="663"/>
      <c r="D212" s="663"/>
      <c r="E212" s="663"/>
      <c r="F212" s="663"/>
      <c r="G212" s="663"/>
      <c r="H212" s="663"/>
      <c r="I212" s="663"/>
      <c r="J212" s="663"/>
      <c r="K212" s="663"/>
      <c r="L212" s="663"/>
      <c r="M212" s="663"/>
      <c r="N212" s="663"/>
      <c r="O212" s="663"/>
      <c r="P212" s="663"/>
      <c r="Q212" s="663"/>
      <c r="R212" s="663"/>
      <c r="S212" s="663"/>
      <c r="T212" s="663"/>
      <c r="U212" s="663"/>
      <c r="V212" s="663"/>
      <c r="W212" s="663"/>
      <c r="X212" s="663"/>
      <c r="Y212" s="663"/>
      <c r="Z212" s="663"/>
    </row>
    <row r="213" spans="1:26" ht="18" hidden="1" customHeight="1" x14ac:dyDescent="0.3">
      <c r="A213" s="666" t="s">
        <v>18</v>
      </c>
      <c r="B213" s="668">
        <v>0</v>
      </c>
      <c r="C213" s="663"/>
      <c r="D213" s="663"/>
      <c r="E213" s="663"/>
      <c r="F213" s="663"/>
      <c r="G213" s="663"/>
      <c r="H213" s="663"/>
      <c r="I213" s="663"/>
      <c r="J213" s="663"/>
      <c r="K213" s="663"/>
      <c r="L213" s="663"/>
      <c r="M213" s="663"/>
      <c r="N213" s="663"/>
      <c r="O213" s="663"/>
      <c r="P213" s="663"/>
      <c r="Q213" s="663"/>
      <c r="R213" s="663"/>
      <c r="S213" s="663"/>
      <c r="T213" s="663"/>
      <c r="U213" s="663"/>
      <c r="V213" s="663"/>
      <c r="W213" s="663"/>
      <c r="X213" s="663"/>
      <c r="Y213" s="663"/>
      <c r="Z213" s="663"/>
    </row>
    <row r="214" spans="1:26" ht="18" hidden="1" customHeight="1" x14ac:dyDescent="0.3">
      <c r="A214" s="663"/>
      <c r="B214" s="663"/>
      <c r="C214" s="663"/>
      <c r="D214" s="663"/>
      <c r="E214" s="663"/>
      <c r="F214" s="663"/>
      <c r="G214" s="663"/>
      <c r="H214" s="663"/>
      <c r="I214" s="663"/>
      <c r="J214" s="663"/>
      <c r="K214" s="663"/>
      <c r="L214" s="663"/>
      <c r="M214" s="663"/>
      <c r="N214" s="663"/>
      <c r="O214" s="663"/>
      <c r="P214" s="663"/>
      <c r="Q214" s="663"/>
      <c r="R214" s="663"/>
      <c r="S214" s="663"/>
      <c r="T214" s="663"/>
      <c r="U214" s="663"/>
      <c r="V214" s="663"/>
      <c r="W214" s="663"/>
      <c r="X214" s="663"/>
      <c r="Y214" s="663"/>
      <c r="Z214" s="663"/>
    </row>
    <row r="215" spans="1:26" ht="18" hidden="1" customHeight="1" x14ac:dyDescent="0.35">
      <c r="A215" s="660" t="s">
        <v>135</v>
      </c>
      <c r="B215" s="641"/>
      <c r="C215" s="663"/>
      <c r="D215" s="663"/>
      <c r="E215" s="663"/>
      <c r="F215" s="663"/>
      <c r="G215" s="663"/>
      <c r="H215" s="663"/>
      <c r="I215" s="663"/>
      <c r="J215" s="663"/>
      <c r="K215" s="663"/>
      <c r="L215" s="663"/>
      <c r="M215" s="663"/>
      <c r="N215" s="663"/>
      <c r="O215" s="663"/>
      <c r="P215" s="663"/>
      <c r="Q215" s="663"/>
      <c r="R215" s="663"/>
      <c r="S215" s="663"/>
      <c r="T215" s="663"/>
      <c r="U215" s="663"/>
      <c r="V215" s="663"/>
      <c r="W215" s="663"/>
      <c r="X215" s="663"/>
      <c r="Y215" s="663"/>
      <c r="Z215" s="663"/>
    </row>
    <row r="216" spans="1:26" ht="18" hidden="1" customHeight="1" x14ac:dyDescent="0.35">
      <c r="A216" s="664" t="s">
        <v>136</v>
      </c>
      <c r="B216" s="650"/>
      <c r="C216" s="663"/>
      <c r="D216" s="663"/>
      <c r="E216" s="663"/>
      <c r="F216" s="663"/>
      <c r="G216" s="663"/>
      <c r="H216" s="663"/>
      <c r="I216" s="663"/>
      <c r="J216" s="663"/>
      <c r="K216" s="663"/>
      <c r="L216" s="663"/>
      <c r="M216" s="663"/>
      <c r="N216" s="663"/>
      <c r="O216" s="663"/>
      <c r="P216" s="663"/>
      <c r="Q216" s="663"/>
      <c r="R216" s="663"/>
      <c r="S216" s="663"/>
      <c r="T216" s="663"/>
      <c r="U216" s="663"/>
      <c r="V216" s="663"/>
      <c r="W216" s="663"/>
      <c r="X216" s="663"/>
      <c r="Y216" s="663"/>
      <c r="Z216" s="663"/>
    </row>
    <row r="217" spans="1:26" ht="18" hidden="1" customHeight="1" x14ac:dyDescent="0.35">
      <c r="A217" s="666" t="s">
        <v>24</v>
      </c>
      <c r="B217" s="657"/>
      <c r="C217" s="663"/>
      <c r="D217" s="663"/>
      <c r="E217" s="663"/>
      <c r="F217" s="663"/>
      <c r="G217" s="663"/>
      <c r="H217" s="663"/>
      <c r="I217" s="663"/>
      <c r="J217" s="663"/>
      <c r="K217" s="663"/>
      <c r="L217" s="663"/>
      <c r="M217" s="663"/>
      <c r="N217" s="663"/>
      <c r="O217" s="663"/>
      <c r="P217" s="663"/>
      <c r="Q217" s="663"/>
      <c r="R217" s="663"/>
      <c r="S217" s="663"/>
      <c r="T217" s="663"/>
      <c r="U217" s="663"/>
      <c r="V217" s="663"/>
      <c r="W217" s="663"/>
      <c r="X217" s="663"/>
      <c r="Y217" s="663"/>
      <c r="Z217" s="663"/>
    </row>
    <row r="218" spans="1:26" ht="18" hidden="1" customHeight="1" x14ac:dyDescent="0.3">
      <c r="A218" s="663"/>
      <c r="B218" s="663"/>
      <c r="C218" s="663"/>
      <c r="D218" s="663"/>
      <c r="E218" s="663"/>
      <c r="F218" s="663"/>
      <c r="G218" s="663"/>
      <c r="H218" s="663"/>
      <c r="I218" s="663"/>
      <c r="J218" s="663"/>
      <c r="K218" s="663"/>
      <c r="L218" s="663"/>
      <c r="M218" s="663"/>
      <c r="N218" s="663"/>
      <c r="O218" s="663"/>
      <c r="P218" s="663"/>
      <c r="Q218" s="663"/>
      <c r="R218" s="663"/>
      <c r="S218" s="663"/>
      <c r="T218" s="663"/>
      <c r="U218" s="663"/>
      <c r="V218" s="663"/>
      <c r="W218" s="663"/>
      <c r="X218" s="663"/>
      <c r="Y218" s="663"/>
      <c r="Z218" s="663"/>
    </row>
    <row r="219" spans="1:26" ht="18" hidden="1" customHeight="1" x14ac:dyDescent="0.3">
      <c r="A219" s="672" t="s">
        <v>22</v>
      </c>
      <c r="B219" s="662">
        <v>4.2</v>
      </c>
      <c r="C219" s="663"/>
      <c r="D219" s="663"/>
      <c r="E219" s="663"/>
      <c r="F219" s="663"/>
      <c r="G219" s="663"/>
      <c r="H219" s="663"/>
      <c r="I219" s="663"/>
      <c r="J219" s="663"/>
      <c r="K219" s="663"/>
      <c r="L219" s="663"/>
      <c r="M219" s="663"/>
      <c r="N219" s="663"/>
      <c r="O219" s="663"/>
      <c r="P219" s="663"/>
      <c r="Q219" s="663"/>
      <c r="R219" s="663"/>
      <c r="S219" s="663"/>
      <c r="T219" s="663"/>
      <c r="U219" s="663"/>
      <c r="V219" s="663"/>
      <c r="W219" s="663"/>
      <c r="X219" s="663"/>
      <c r="Y219" s="663"/>
      <c r="Z219" s="663"/>
    </row>
    <row r="220" spans="1:26" ht="18" hidden="1" customHeight="1" x14ac:dyDescent="0.3">
      <c r="A220" s="673" t="s">
        <v>20</v>
      </c>
      <c r="B220" s="665">
        <v>0</v>
      </c>
      <c r="C220" s="663"/>
      <c r="D220" s="663"/>
      <c r="E220" s="663"/>
      <c r="F220" s="663"/>
      <c r="G220" s="663"/>
      <c r="H220" s="663"/>
      <c r="I220" s="663"/>
      <c r="J220" s="663"/>
      <c r="K220" s="663"/>
      <c r="L220" s="663"/>
      <c r="M220" s="663"/>
      <c r="N220" s="663"/>
      <c r="O220" s="663"/>
      <c r="P220" s="663"/>
      <c r="Q220" s="663"/>
      <c r="R220" s="663"/>
      <c r="S220" s="663"/>
      <c r="T220" s="663"/>
      <c r="U220" s="663"/>
      <c r="V220" s="663"/>
      <c r="W220" s="663"/>
      <c r="X220" s="663"/>
      <c r="Y220" s="663"/>
      <c r="Z220" s="663"/>
    </row>
    <row r="221" spans="1:26" ht="18" hidden="1" customHeight="1" x14ac:dyDescent="0.3">
      <c r="A221" s="674"/>
      <c r="B221" s="668"/>
      <c r="C221" s="663"/>
      <c r="D221" s="663"/>
      <c r="E221" s="663"/>
      <c r="F221" s="663"/>
      <c r="G221" s="663"/>
      <c r="H221" s="663"/>
      <c r="I221" s="663"/>
      <c r="J221" s="663"/>
      <c r="K221" s="663"/>
      <c r="L221" s="663"/>
      <c r="M221" s="663"/>
      <c r="N221" s="663"/>
      <c r="O221" s="663"/>
      <c r="P221" s="663"/>
      <c r="Q221" s="663"/>
      <c r="R221" s="663"/>
      <c r="S221" s="663"/>
      <c r="T221" s="663"/>
      <c r="U221" s="663"/>
      <c r="V221" s="663"/>
      <c r="W221" s="663"/>
      <c r="X221" s="663"/>
      <c r="Y221" s="663"/>
      <c r="Z221" s="663"/>
    </row>
    <row r="222" spans="1:26" ht="18" hidden="1" customHeight="1" x14ac:dyDescent="0.3">
      <c r="A222" s="663"/>
      <c r="B222" s="663"/>
      <c r="C222" s="663"/>
      <c r="D222" s="663"/>
      <c r="E222" s="663"/>
      <c r="F222" s="663"/>
      <c r="G222" s="663"/>
      <c r="H222" s="663"/>
      <c r="I222" s="663"/>
      <c r="J222" s="663"/>
      <c r="K222" s="663"/>
      <c r="L222" s="663"/>
      <c r="M222" s="663"/>
      <c r="N222" s="663"/>
      <c r="O222" s="663"/>
      <c r="P222" s="663"/>
      <c r="Q222" s="663"/>
      <c r="R222" s="663"/>
      <c r="S222" s="663"/>
      <c r="T222" s="663"/>
      <c r="U222" s="663"/>
      <c r="V222" s="663"/>
      <c r="W222" s="663"/>
      <c r="X222" s="663"/>
      <c r="Y222" s="663"/>
      <c r="Z222" s="663"/>
    </row>
    <row r="223" spans="1:26" ht="18" hidden="1" customHeight="1" x14ac:dyDescent="0.3">
      <c r="A223" s="660" t="s">
        <v>86</v>
      </c>
      <c r="B223" s="661" t="s">
        <v>86</v>
      </c>
      <c r="C223" s="661" t="s">
        <v>10</v>
      </c>
      <c r="D223" s="661">
        <v>1</v>
      </c>
      <c r="E223" s="662">
        <v>1.5</v>
      </c>
      <c r="F223" s="663"/>
      <c r="G223" s="663"/>
      <c r="H223" s="663"/>
      <c r="I223" s="663"/>
      <c r="J223" s="663"/>
      <c r="K223" s="663"/>
      <c r="L223" s="663"/>
      <c r="M223" s="663"/>
      <c r="N223" s="663"/>
      <c r="O223" s="663"/>
      <c r="P223" s="663"/>
      <c r="Q223" s="663"/>
      <c r="R223" s="663"/>
      <c r="S223" s="663"/>
      <c r="T223" s="663"/>
      <c r="U223" s="663"/>
      <c r="V223" s="663"/>
      <c r="W223" s="663"/>
      <c r="X223" s="663"/>
      <c r="Y223" s="663"/>
      <c r="Z223" s="663"/>
    </row>
    <row r="224" spans="1:26" ht="18" hidden="1" customHeight="1" x14ac:dyDescent="0.3">
      <c r="A224" s="666" t="s">
        <v>10</v>
      </c>
      <c r="B224" s="667" t="s">
        <v>10</v>
      </c>
      <c r="C224" s="667" t="s">
        <v>10</v>
      </c>
      <c r="D224" s="667">
        <v>1.5</v>
      </c>
      <c r="E224" s="668">
        <v>1.5</v>
      </c>
      <c r="F224" s="663"/>
      <c r="G224" s="663"/>
      <c r="H224" s="663"/>
      <c r="I224" s="663"/>
      <c r="J224" s="663"/>
      <c r="K224" s="663"/>
      <c r="L224" s="663"/>
      <c r="M224" s="663"/>
      <c r="N224" s="663"/>
      <c r="O224" s="663"/>
      <c r="P224" s="663"/>
      <c r="Q224" s="663"/>
      <c r="R224" s="663"/>
      <c r="S224" s="663"/>
      <c r="T224" s="663"/>
      <c r="U224" s="663"/>
      <c r="V224" s="663"/>
      <c r="W224" s="663"/>
      <c r="X224" s="663"/>
      <c r="Y224" s="663"/>
      <c r="Z224" s="663"/>
    </row>
    <row r="225" spans="1:26" ht="18" hidden="1" customHeight="1" x14ac:dyDescent="0.3">
      <c r="A225" s="663"/>
      <c r="B225" s="663"/>
      <c r="C225" s="663"/>
      <c r="D225" s="663"/>
      <c r="E225" s="663"/>
      <c r="F225" s="663"/>
      <c r="G225" s="663"/>
      <c r="H225" s="663"/>
      <c r="I225" s="663"/>
      <c r="J225" s="663"/>
      <c r="K225" s="663"/>
      <c r="L225" s="663"/>
      <c r="M225" s="663"/>
      <c r="N225" s="663"/>
      <c r="O225" s="663"/>
      <c r="P225" s="663"/>
      <c r="Q225" s="663"/>
      <c r="R225" s="663"/>
      <c r="S225" s="663"/>
      <c r="T225" s="663"/>
      <c r="U225" s="663"/>
      <c r="V225" s="663"/>
      <c r="W225" s="663"/>
      <c r="X225" s="663"/>
      <c r="Y225" s="663"/>
      <c r="Z225" s="663"/>
    </row>
    <row r="226" spans="1:26" ht="18" hidden="1" customHeight="1" x14ac:dyDescent="0.3">
      <c r="A226" s="663"/>
      <c r="B226" s="663"/>
      <c r="C226" s="663"/>
      <c r="D226" s="663"/>
      <c r="E226" s="663"/>
      <c r="F226" s="663"/>
      <c r="G226" s="663"/>
      <c r="H226" s="663"/>
      <c r="I226" s="663"/>
      <c r="J226" s="663"/>
      <c r="K226" s="663"/>
      <c r="L226" s="663"/>
      <c r="M226" s="663"/>
      <c r="N226" s="663"/>
      <c r="O226" s="663"/>
      <c r="P226" s="663"/>
      <c r="Q226" s="663"/>
      <c r="R226" s="663"/>
      <c r="S226" s="663"/>
      <c r="T226" s="663"/>
      <c r="U226" s="663"/>
      <c r="V226" s="663"/>
      <c r="W226" s="663"/>
      <c r="X226" s="663"/>
      <c r="Y226" s="663"/>
      <c r="Z226" s="663"/>
    </row>
    <row r="227" spans="1:26" ht="18" hidden="1" customHeight="1" x14ac:dyDescent="0.3">
      <c r="A227" s="660" t="s">
        <v>88</v>
      </c>
      <c r="B227" s="661" t="s">
        <v>89</v>
      </c>
      <c r="C227" s="661" t="s">
        <v>89</v>
      </c>
      <c r="D227" s="662">
        <v>1.9</v>
      </c>
      <c r="E227" s="663"/>
      <c r="F227" s="663"/>
      <c r="G227" s="663"/>
      <c r="H227" s="663"/>
      <c r="I227" s="663"/>
      <c r="J227" s="663"/>
      <c r="K227" s="663"/>
      <c r="L227" s="663"/>
      <c r="M227" s="663"/>
      <c r="N227" s="663"/>
      <c r="O227" s="663"/>
      <c r="P227" s="663"/>
      <c r="Q227" s="663"/>
      <c r="R227" s="663"/>
      <c r="S227" s="663"/>
      <c r="T227" s="663"/>
      <c r="U227" s="663"/>
      <c r="V227" s="663"/>
      <c r="W227" s="663"/>
      <c r="X227" s="663"/>
      <c r="Y227" s="663"/>
      <c r="Z227" s="663"/>
    </row>
    <row r="228" spans="1:26" ht="18" hidden="1" customHeight="1" x14ac:dyDescent="0.3">
      <c r="A228" s="666" t="s">
        <v>12</v>
      </c>
      <c r="B228" s="667" t="s">
        <v>90</v>
      </c>
      <c r="C228" s="667" t="s">
        <v>90</v>
      </c>
      <c r="D228" s="668">
        <v>2.1</v>
      </c>
      <c r="E228" s="663"/>
      <c r="F228" s="663"/>
      <c r="G228" s="663"/>
      <c r="H228" s="663"/>
      <c r="I228" s="663"/>
      <c r="J228" s="663"/>
      <c r="K228" s="663"/>
      <c r="L228" s="663"/>
      <c r="M228" s="663"/>
      <c r="N228" s="663"/>
      <c r="O228" s="663"/>
      <c r="P228" s="663"/>
      <c r="Q228" s="663"/>
      <c r="R228" s="663"/>
      <c r="S228" s="663"/>
      <c r="T228" s="663"/>
      <c r="U228" s="663"/>
      <c r="V228" s="663"/>
      <c r="W228" s="663"/>
      <c r="X228" s="663"/>
      <c r="Y228" s="663"/>
      <c r="Z228" s="663"/>
    </row>
    <row r="229" spans="1:26" ht="18" hidden="1" customHeight="1" x14ac:dyDescent="0.3">
      <c r="A229" s="663"/>
      <c r="B229" s="663"/>
      <c r="C229" s="663"/>
      <c r="D229" s="663"/>
      <c r="E229" s="663"/>
      <c r="F229" s="663"/>
      <c r="G229" s="663"/>
      <c r="H229" s="663"/>
      <c r="I229" s="663"/>
      <c r="J229" s="663"/>
      <c r="K229" s="663"/>
      <c r="L229" s="663"/>
      <c r="M229" s="663"/>
      <c r="N229" s="663"/>
      <c r="O229" s="663"/>
      <c r="P229" s="663"/>
      <c r="Q229" s="663"/>
      <c r="R229" s="663"/>
      <c r="S229" s="663"/>
      <c r="T229" s="663"/>
      <c r="U229" s="663"/>
      <c r="V229" s="663"/>
      <c r="W229" s="663"/>
      <c r="X229" s="663"/>
      <c r="Y229" s="663"/>
      <c r="Z229" s="663"/>
    </row>
    <row r="230" spans="1:26" ht="18" hidden="1" customHeight="1" x14ac:dyDescent="0.3">
      <c r="A230" s="660" t="s">
        <v>16</v>
      </c>
      <c r="B230" s="661">
        <v>0</v>
      </c>
      <c r="C230" s="661">
        <v>0</v>
      </c>
      <c r="D230" s="662"/>
      <c r="E230" s="663"/>
      <c r="F230" s="663"/>
      <c r="G230" s="663"/>
      <c r="H230" s="663"/>
      <c r="I230" s="663"/>
      <c r="J230" s="663"/>
      <c r="K230" s="663"/>
      <c r="L230" s="663"/>
      <c r="M230" s="663"/>
      <c r="N230" s="663"/>
      <c r="O230" s="663"/>
      <c r="P230" s="663"/>
      <c r="Q230" s="663"/>
      <c r="R230" s="663"/>
      <c r="S230" s="663"/>
      <c r="T230" s="663"/>
      <c r="U230" s="663"/>
      <c r="V230" s="663"/>
      <c r="W230" s="663"/>
      <c r="X230" s="663"/>
      <c r="Y230" s="663"/>
      <c r="Z230" s="663"/>
    </row>
    <row r="231" spans="1:26" ht="18" hidden="1" customHeight="1" x14ac:dyDescent="0.3">
      <c r="A231" s="664" t="s">
        <v>334</v>
      </c>
      <c r="B231" s="663">
        <v>0.7</v>
      </c>
      <c r="C231" s="663">
        <v>2</v>
      </c>
      <c r="D231" s="665">
        <v>1</v>
      </c>
      <c r="E231" s="663"/>
      <c r="F231" s="663"/>
      <c r="G231" s="663"/>
      <c r="H231" s="663"/>
      <c r="I231" s="663"/>
      <c r="J231" s="663"/>
      <c r="K231" s="663"/>
      <c r="L231" s="663"/>
      <c r="M231" s="663"/>
      <c r="N231" s="663"/>
      <c r="O231" s="663"/>
      <c r="P231" s="663"/>
      <c r="Q231" s="663"/>
      <c r="R231" s="663"/>
      <c r="S231" s="663"/>
      <c r="T231" s="663"/>
      <c r="U231" s="663"/>
      <c r="V231" s="663"/>
      <c r="W231" s="663"/>
      <c r="X231" s="663"/>
      <c r="Y231" s="663"/>
      <c r="Z231" s="663"/>
    </row>
    <row r="232" spans="1:26" ht="18" hidden="1" customHeight="1" x14ac:dyDescent="0.3">
      <c r="A232" s="664" t="s">
        <v>335</v>
      </c>
      <c r="B232" s="663">
        <v>1</v>
      </c>
      <c r="C232" s="663">
        <v>8</v>
      </c>
      <c r="D232" s="665">
        <v>5.3</v>
      </c>
      <c r="E232" s="663"/>
      <c r="F232" s="663"/>
      <c r="G232" s="663"/>
      <c r="H232" s="663"/>
      <c r="I232" s="663"/>
      <c r="J232" s="663"/>
      <c r="K232" s="663"/>
      <c r="L232" s="663"/>
      <c r="M232" s="663"/>
      <c r="N232" s="663"/>
      <c r="O232" s="663"/>
      <c r="P232" s="663"/>
      <c r="Q232" s="663"/>
      <c r="R232" s="663"/>
      <c r="S232" s="663"/>
      <c r="T232" s="663"/>
      <c r="U232" s="663"/>
      <c r="V232" s="663"/>
      <c r="W232" s="663"/>
      <c r="X232" s="663"/>
      <c r="Y232" s="663"/>
      <c r="Z232" s="663"/>
    </row>
    <row r="233" spans="1:26" ht="18" hidden="1" customHeight="1" x14ac:dyDescent="0.3">
      <c r="A233" s="664" t="s">
        <v>336</v>
      </c>
      <c r="B233" s="663">
        <f>1.5+2</f>
        <v>3.5</v>
      </c>
      <c r="C233" s="663">
        <v>19</v>
      </c>
      <c r="D233" s="665">
        <v>6.3</v>
      </c>
      <c r="E233" s="663"/>
      <c r="F233" s="663"/>
      <c r="G233" s="663"/>
      <c r="H233" s="663"/>
      <c r="I233" s="663"/>
      <c r="J233" s="663"/>
      <c r="K233" s="663"/>
      <c r="L233" s="663"/>
      <c r="M233" s="663"/>
      <c r="N233" s="663"/>
      <c r="O233" s="663"/>
      <c r="P233" s="663"/>
      <c r="Q233" s="663"/>
      <c r="R233" s="663"/>
      <c r="S233" s="663"/>
      <c r="T233" s="663"/>
      <c r="U233" s="663"/>
      <c r="V233" s="663"/>
      <c r="W233" s="663"/>
      <c r="X233" s="663"/>
      <c r="Y233" s="663"/>
      <c r="Z233" s="663"/>
    </row>
    <row r="234" spans="1:26" ht="18" hidden="1" customHeight="1" x14ac:dyDescent="0.3">
      <c r="A234" s="664" t="s">
        <v>337</v>
      </c>
      <c r="B234" s="663">
        <f>1.5+2+1</f>
        <v>4.5</v>
      </c>
      <c r="C234" s="663">
        <v>22</v>
      </c>
      <c r="D234" s="665">
        <v>6.5</v>
      </c>
      <c r="E234" s="663"/>
      <c r="F234" s="663"/>
      <c r="G234" s="663"/>
      <c r="H234" s="663"/>
      <c r="I234" s="663"/>
      <c r="J234" s="663"/>
      <c r="K234" s="663"/>
      <c r="L234" s="663"/>
      <c r="M234" s="663"/>
      <c r="N234" s="663"/>
      <c r="O234" s="663"/>
      <c r="P234" s="663"/>
      <c r="Q234" s="663"/>
      <c r="R234" s="663"/>
      <c r="S234" s="663"/>
      <c r="T234" s="663"/>
      <c r="U234" s="663"/>
      <c r="V234" s="663"/>
      <c r="W234" s="663"/>
      <c r="X234" s="663"/>
      <c r="Y234" s="663"/>
      <c r="Z234" s="663"/>
    </row>
    <row r="235" spans="1:26" ht="18" hidden="1" customHeight="1" x14ac:dyDescent="0.3">
      <c r="A235" s="664" t="s">
        <v>338</v>
      </c>
      <c r="B235" s="663">
        <v>1.5</v>
      </c>
      <c r="C235" s="663">
        <v>11</v>
      </c>
      <c r="D235" s="665">
        <v>5.95</v>
      </c>
      <c r="E235" s="663"/>
      <c r="F235" s="663"/>
      <c r="G235" s="663"/>
      <c r="H235" s="663"/>
      <c r="I235" s="663"/>
      <c r="J235" s="663"/>
      <c r="K235" s="663"/>
      <c r="L235" s="663"/>
      <c r="M235" s="663"/>
      <c r="N235" s="663"/>
      <c r="O235" s="663"/>
      <c r="P235" s="663"/>
      <c r="Q235" s="663"/>
      <c r="R235" s="663"/>
      <c r="S235" s="663"/>
      <c r="T235" s="663"/>
      <c r="U235" s="663"/>
      <c r="V235" s="663"/>
      <c r="W235" s="663"/>
      <c r="X235" s="663"/>
      <c r="Y235" s="663"/>
      <c r="Z235" s="663"/>
    </row>
    <row r="236" spans="1:26" ht="18" hidden="1" customHeight="1" x14ac:dyDescent="0.3">
      <c r="A236" s="666" t="s">
        <v>339</v>
      </c>
      <c r="B236" s="667">
        <v>2.5</v>
      </c>
      <c r="C236" s="667">
        <v>13</v>
      </c>
      <c r="D236" s="668">
        <v>6.1</v>
      </c>
      <c r="E236" s="663"/>
      <c r="F236" s="663"/>
      <c r="G236" s="663"/>
      <c r="H236" s="663"/>
      <c r="I236" s="663"/>
      <c r="J236" s="663"/>
      <c r="K236" s="663"/>
      <c r="L236" s="663"/>
      <c r="M236" s="663"/>
      <c r="N236" s="663"/>
      <c r="O236" s="663"/>
      <c r="P236" s="663"/>
      <c r="Q236" s="663"/>
      <c r="R236" s="663"/>
      <c r="S236" s="663"/>
      <c r="T236" s="663"/>
      <c r="U236" s="663"/>
      <c r="V236" s="663"/>
      <c r="W236" s="663"/>
      <c r="X236" s="663"/>
      <c r="Y236" s="663"/>
      <c r="Z236" s="663"/>
    </row>
    <row r="237" spans="1:26" ht="18" hidden="1" customHeight="1" x14ac:dyDescent="0.3">
      <c r="A237" s="663"/>
      <c r="B237" s="663"/>
      <c r="C237" s="663"/>
      <c r="D237" s="663"/>
      <c r="E237" s="663"/>
      <c r="F237" s="663"/>
      <c r="G237" s="663"/>
      <c r="H237" s="663"/>
      <c r="I237" s="663"/>
      <c r="J237" s="663"/>
      <c r="K237" s="663"/>
      <c r="L237" s="663"/>
      <c r="M237" s="663"/>
      <c r="N237" s="663"/>
      <c r="O237" s="663"/>
      <c r="P237" s="663"/>
      <c r="Q237" s="663"/>
      <c r="R237" s="663"/>
      <c r="S237" s="663"/>
      <c r="T237" s="663"/>
      <c r="U237" s="663"/>
      <c r="V237" s="663"/>
      <c r="W237" s="663"/>
      <c r="X237" s="663"/>
      <c r="Y237" s="663"/>
      <c r="Z237" s="663"/>
    </row>
    <row r="238" spans="1:26" ht="18" hidden="1" customHeight="1" x14ac:dyDescent="0.3">
      <c r="A238" s="660" t="s">
        <v>375</v>
      </c>
      <c r="B238" s="661">
        <v>1</v>
      </c>
      <c r="C238" s="662">
        <v>3</v>
      </c>
      <c r="D238" s="663"/>
      <c r="E238" s="663"/>
      <c r="F238" s="663"/>
      <c r="G238" s="663"/>
      <c r="H238" s="663"/>
      <c r="I238" s="663"/>
      <c r="J238" s="663"/>
      <c r="K238" s="663"/>
      <c r="L238" s="663"/>
      <c r="M238" s="663"/>
      <c r="N238" s="663"/>
      <c r="O238" s="663"/>
      <c r="P238" s="663"/>
      <c r="Q238" s="663"/>
      <c r="R238" s="663"/>
      <c r="S238" s="663"/>
      <c r="T238" s="663"/>
      <c r="U238" s="663"/>
      <c r="V238" s="663"/>
      <c r="W238" s="663"/>
      <c r="X238" s="663"/>
      <c r="Y238" s="663"/>
      <c r="Z238" s="663"/>
    </row>
    <row r="239" spans="1:26" ht="18" hidden="1" customHeight="1" x14ac:dyDescent="0.3">
      <c r="A239" s="664" t="s">
        <v>113</v>
      </c>
      <c r="B239" s="663">
        <v>1</v>
      </c>
      <c r="C239" s="665">
        <v>5</v>
      </c>
      <c r="D239" s="663"/>
      <c r="E239" s="663"/>
      <c r="F239" s="663"/>
      <c r="G239" s="663"/>
      <c r="H239" s="663"/>
      <c r="I239" s="663"/>
      <c r="J239" s="663"/>
      <c r="K239" s="663"/>
      <c r="L239" s="663"/>
      <c r="M239" s="663"/>
      <c r="N239" s="663"/>
      <c r="O239" s="663"/>
      <c r="P239" s="663"/>
      <c r="Q239" s="663"/>
      <c r="R239" s="663"/>
      <c r="S239" s="663"/>
      <c r="T239" s="663"/>
      <c r="U239" s="663"/>
      <c r="V239" s="663"/>
      <c r="W239" s="663"/>
      <c r="X239" s="663"/>
      <c r="Y239" s="663"/>
      <c r="Z239" s="663"/>
    </row>
    <row r="240" spans="1:26" ht="18" hidden="1" customHeight="1" x14ac:dyDescent="0.3">
      <c r="A240" s="664" t="s">
        <v>16</v>
      </c>
      <c r="B240" s="663"/>
      <c r="C240" s="665"/>
      <c r="D240" s="663"/>
      <c r="E240" s="663"/>
      <c r="F240" s="663"/>
      <c r="G240" s="663"/>
      <c r="H240" s="663"/>
      <c r="I240" s="663"/>
      <c r="J240" s="663"/>
      <c r="K240" s="663"/>
      <c r="L240" s="663"/>
      <c r="M240" s="663"/>
      <c r="N240" s="663"/>
      <c r="O240" s="663"/>
      <c r="P240" s="663"/>
      <c r="Q240" s="663"/>
      <c r="R240" s="663"/>
      <c r="S240" s="663"/>
      <c r="T240" s="663"/>
      <c r="U240" s="663"/>
      <c r="V240" s="663"/>
      <c r="W240" s="663"/>
      <c r="X240" s="663"/>
      <c r="Y240" s="663"/>
      <c r="Z240" s="663"/>
    </row>
    <row r="241" spans="1:26" ht="18" hidden="1" customHeight="1" x14ac:dyDescent="0.3">
      <c r="A241" s="664" t="s">
        <v>105</v>
      </c>
      <c r="B241" s="663">
        <v>1</v>
      </c>
      <c r="C241" s="665">
        <v>3</v>
      </c>
      <c r="D241" s="663"/>
      <c r="E241" s="663"/>
      <c r="F241" s="663"/>
      <c r="G241" s="663"/>
      <c r="H241" s="663"/>
      <c r="I241" s="663"/>
      <c r="J241" s="663"/>
      <c r="K241" s="663"/>
      <c r="L241" s="663"/>
      <c r="M241" s="663"/>
      <c r="N241" s="663"/>
      <c r="O241" s="663"/>
      <c r="P241" s="663"/>
      <c r="Q241" s="663"/>
      <c r="R241" s="663"/>
      <c r="S241" s="663"/>
      <c r="T241" s="663"/>
      <c r="U241" s="663"/>
      <c r="V241" s="663"/>
      <c r="W241" s="663"/>
      <c r="X241" s="663"/>
      <c r="Y241" s="663"/>
      <c r="Z241" s="663"/>
    </row>
    <row r="242" spans="1:26" ht="18" hidden="1" customHeight="1" x14ac:dyDescent="0.3">
      <c r="A242" s="664" t="s">
        <v>27</v>
      </c>
      <c r="B242" s="663">
        <v>1</v>
      </c>
      <c r="C242" s="665">
        <v>5</v>
      </c>
      <c r="D242" s="663"/>
      <c r="E242" s="663"/>
      <c r="F242" s="663"/>
      <c r="G242" s="663"/>
      <c r="H242" s="663"/>
      <c r="I242" s="663"/>
      <c r="J242" s="663"/>
      <c r="K242" s="663"/>
      <c r="L242" s="663"/>
      <c r="M242" s="663"/>
      <c r="N242" s="663"/>
      <c r="O242" s="663"/>
      <c r="P242" s="663"/>
      <c r="Q242" s="663"/>
      <c r="R242" s="663"/>
      <c r="S242" s="663"/>
      <c r="T242" s="663"/>
      <c r="U242" s="663"/>
      <c r="V242" s="663"/>
      <c r="W242" s="663"/>
      <c r="X242" s="663"/>
      <c r="Y242" s="663"/>
      <c r="Z242" s="663"/>
    </row>
    <row r="243" spans="1:26" ht="18" hidden="1" customHeight="1" x14ac:dyDescent="0.3">
      <c r="A243" s="664" t="s">
        <v>128</v>
      </c>
      <c r="B243" s="663">
        <v>1</v>
      </c>
      <c r="C243" s="665">
        <v>3.2</v>
      </c>
      <c r="D243" s="663"/>
      <c r="E243" s="663"/>
      <c r="F243" s="663"/>
      <c r="G243" s="663"/>
      <c r="H243" s="663"/>
      <c r="I243" s="663"/>
      <c r="J243" s="663"/>
      <c r="K243" s="663"/>
      <c r="L243" s="663"/>
      <c r="M243" s="663"/>
      <c r="N243" s="663"/>
      <c r="O243" s="663"/>
      <c r="P243" s="663"/>
      <c r="Q243" s="663"/>
      <c r="R243" s="663"/>
      <c r="S243" s="663"/>
      <c r="T243" s="663"/>
      <c r="U243" s="663"/>
      <c r="V243" s="663"/>
      <c r="W243" s="663"/>
      <c r="X243" s="663"/>
      <c r="Y243" s="663"/>
      <c r="Z243" s="663"/>
    </row>
    <row r="244" spans="1:26" ht="18" hidden="1" customHeight="1" x14ac:dyDescent="0.3">
      <c r="A244" s="664" t="s">
        <v>376</v>
      </c>
      <c r="B244" s="663">
        <v>1</v>
      </c>
      <c r="C244" s="665">
        <v>3.2</v>
      </c>
      <c r="D244" s="663"/>
      <c r="E244" s="663"/>
      <c r="F244" s="663"/>
      <c r="G244" s="663"/>
      <c r="H244" s="663"/>
      <c r="I244" s="663"/>
      <c r="J244" s="663"/>
      <c r="K244" s="663"/>
      <c r="L244" s="663"/>
      <c r="M244" s="663"/>
      <c r="N244" s="663"/>
      <c r="O244" s="663"/>
      <c r="P244" s="663"/>
      <c r="Q244" s="663"/>
      <c r="R244" s="663"/>
      <c r="S244" s="663"/>
      <c r="T244" s="663"/>
      <c r="U244" s="663"/>
      <c r="V244" s="663"/>
      <c r="W244" s="663"/>
      <c r="X244" s="663"/>
      <c r="Y244" s="663"/>
      <c r="Z244" s="663"/>
    </row>
    <row r="245" spans="1:26" ht="18" hidden="1" customHeight="1" x14ac:dyDescent="0.3">
      <c r="A245" s="664" t="s">
        <v>203</v>
      </c>
      <c r="B245" s="663">
        <v>1</v>
      </c>
      <c r="C245" s="665">
        <v>5.3</v>
      </c>
      <c r="D245" s="663"/>
      <c r="E245" s="663"/>
      <c r="F245" s="663"/>
      <c r="G245" s="663"/>
      <c r="H245" s="663"/>
      <c r="I245" s="663"/>
      <c r="J245" s="663"/>
      <c r="K245" s="663"/>
      <c r="L245" s="663"/>
      <c r="M245" s="663"/>
      <c r="N245" s="663"/>
      <c r="O245" s="663"/>
      <c r="P245" s="663"/>
      <c r="Q245" s="663"/>
      <c r="R245" s="663"/>
      <c r="S245" s="663"/>
      <c r="T245" s="663"/>
      <c r="U245" s="663"/>
      <c r="V245" s="663"/>
      <c r="W245" s="663"/>
      <c r="X245" s="663"/>
      <c r="Y245" s="663"/>
      <c r="Z245" s="663"/>
    </row>
    <row r="246" spans="1:26" ht="18" hidden="1" customHeight="1" x14ac:dyDescent="0.3">
      <c r="A246" s="666" t="s">
        <v>377</v>
      </c>
      <c r="B246" s="667">
        <v>1</v>
      </c>
      <c r="C246" s="668">
        <v>5.3</v>
      </c>
      <c r="D246" s="663"/>
      <c r="E246" s="663"/>
      <c r="F246" s="663"/>
      <c r="G246" s="663"/>
      <c r="H246" s="663"/>
      <c r="I246" s="663"/>
      <c r="J246" s="663"/>
      <c r="K246" s="663"/>
      <c r="L246" s="663"/>
      <c r="M246" s="663"/>
      <c r="N246" s="663"/>
      <c r="O246" s="663"/>
      <c r="P246" s="663"/>
      <c r="Q246" s="663"/>
      <c r="R246" s="663"/>
      <c r="S246" s="663"/>
      <c r="T246" s="663"/>
      <c r="U246" s="663"/>
      <c r="V246" s="663"/>
      <c r="W246" s="663"/>
      <c r="X246" s="663"/>
      <c r="Y246" s="663"/>
      <c r="Z246" s="663"/>
    </row>
    <row r="247" spans="1:26" ht="18" hidden="1" customHeight="1" x14ac:dyDescent="0.3">
      <c r="A247" s="663"/>
      <c r="B247" s="663"/>
      <c r="C247" s="663"/>
      <c r="D247" s="663"/>
      <c r="E247" s="663"/>
      <c r="F247" s="663"/>
      <c r="G247" s="663"/>
      <c r="H247" s="663"/>
      <c r="I247" s="663"/>
      <c r="J247" s="663"/>
      <c r="K247" s="663"/>
      <c r="L247" s="663"/>
      <c r="M247" s="663"/>
      <c r="N247" s="663"/>
      <c r="O247" s="663"/>
      <c r="P247" s="663"/>
      <c r="Q247" s="663"/>
      <c r="R247" s="663"/>
      <c r="S247" s="663"/>
      <c r="T247" s="663"/>
      <c r="U247" s="663"/>
      <c r="V247" s="663"/>
      <c r="W247" s="663"/>
      <c r="X247" s="663"/>
      <c r="Y247" s="663"/>
      <c r="Z247" s="663"/>
    </row>
    <row r="248" spans="1:26" ht="18" hidden="1" customHeight="1" x14ac:dyDescent="0.3">
      <c r="A248" s="672" t="s">
        <v>290</v>
      </c>
      <c r="B248" s="663"/>
      <c r="C248" s="663"/>
      <c r="D248" s="663"/>
      <c r="E248" s="663"/>
      <c r="F248" s="663"/>
      <c r="G248" s="663"/>
      <c r="H248" s="663"/>
      <c r="I248" s="663"/>
      <c r="J248" s="663"/>
      <c r="K248" s="663"/>
      <c r="L248" s="663"/>
      <c r="M248" s="663"/>
      <c r="N248" s="663"/>
      <c r="O248" s="663"/>
      <c r="P248" s="663"/>
      <c r="Q248" s="663"/>
      <c r="R248" s="663"/>
      <c r="S248" s="663"/>
      <c r="T248" s="663"/>
      <c r="U248" s="663"/>
      <c r="V248" s="663"/>
      <c r="W248" s="663"/>
      <c r="X248" s="663"/>
      <c r="Y248" s="663"/>
      <c r="Z248" s="663"/>
    </row>
    <row r="249" spans="1:26" ht="18" hidden="1" customHeight="1" x14ac:dyDescent="0.3">
      <c r="A249" s="673" t="s">
        <v>347</v>
      </c>
      <c r="B249" s="663"/>
      <c r="C249" s="663"/>
      <c r="D249" s="663"/>
      <c r="E249" s="663"/>
      <c r="F249" s="663"/>
      <c r="G249" s="663"/>
      <c r="H249" s="663"/>
      <c r="I249" s="663"/>
      <c r="J249" s="663"/>
      <c r="K249" s="663"/>
      <c r="L249" s="663"/>
      <c r="M249" s="663"/>
      <c r="N249" s="663"/>
      <c r="O249" s="663"/>
      <c r="P249" s="663"/>
      <c r="Q249" s="663"/>
      <c r="R249" s="663"/>
      <c r="S249" s="663"/>
      <c r="T249" s="663"/>
      <c r="U249" s="663"/>
      <c r="V249" s="663"/>
      <c r="W249" s="663"/>
      <c r="X249" s="663"/>
      <c r="Y249" s="663"/>
      <c r="Z249" s="663"/>
    </row>
    <row r="250" spans="1:26" ht="18" hidden="1" customHeight="1" x14ac:dyDescent="0.3">
      <c r="A250" s="674" t="s">
        <v>305</v>
      </c>
      <c r="B250" s="663"/>
      <c r="C250" s="663"/>
      <c r="D250" s="663"/>
      <c r="E250" s="663"/>
      <c r="F250" s="663"/>
      <c r="G250" s="663"/>
      <c r="H250" s="663"/>
      <c r="I250" s="663"/>
      <c r="J250" s="663"/>
      <c r="K250" s="663"/>
      <c r="L250" s="663"/>
      <c r="M250" s="663"/>
      <c r="N250" s="663"/>
      <c r="O250" s="663"/>
      <c r="P250" s="663"/>
      <c r="Q250" s="663"/>
      <c r="R250" s="663"/>
      <c r="S250" s="663"/>
      <c r="T250" s="663"/>
      <c r="U250" s="663"/>
      <c r="V250" s="663"/>
      <c r="W250" s="663"/>
      <c r="X250" s="663"/>
      <c r="Y250" s="663"/>
      <c r="Z250" s="663"/>
    </row>
    <row r="251" spans="1:26" ht="18" hidden="1" customHeight="1" x14ac:dyDescent="0.3">
      <c r="A251" s="663"/>
      <c r="B251" s="663"/>
      <c r="C251" s="663"/>
      <c r="D251" s="663"/>
      <c r="E251" s="663"/>
      <c r="F251" s="663"/>
      <c r="G251" s="663"/>
      <c r="H251" s="663"/>
      <c r="I251" s="663"/>
      <c r="J251" s="663"/>
      <c r="K251" s="663"/>
      <c r="L251" s="663"/>
      <c r="M251" s="663"/>
      <c r="N251" s="663"/>
      <c r="O251" s="663"/>
      <c r="P251" s="663"/>
      <c r="Q251" s="663"/>
      <c r="R251" s="663"/>
      <c r="S251" s="663"/>
      <c r="T251" s="663"/>
      <c r="U251" s="663"/>
      <c r="V251" s="663"/>
      <c r="W251" s="663"/>
      <c r="X251" s="663"/>
      <c r="Y251" s="663"/>
      <c r="Z251" s="663"/>
    </row>
    <row r="252" spans="1:26" ht="18" hidden="1" customHeight="1" x14ac:dyDescent="0.3">
      <c r="A252" s="672">
        <v>1</v>
      </c>
      <c r="B252" s="663"/>
      <c r="C252" s="663"/>
      <c r="D252" s="663"/>
      <c r="E252" s="663"/>
      <c r="F252" s="663"/>
      <c r="G252" s="663"/>
      <c r="H252" s="663"/>
      <c r="I252" s="663"/>
      <c r="J252" s="663"/>
      <c r="K252" s="663"/>
      <c r="L252" s="663"/>
      <c r="M252" s="663"/>
      <c r="N252" s="663"/>
      <c r="O252" s="663"/>
      <c r="P252" s="663"/>
      <c r="Q252" s="663"/>
      <c r="R252" s="663"/>
      <c r="S252" s="663"/>
      <c r="T252" s="663"/>
      <c r="U252" s="663"/>
      <c r="V252" s="663"/>
      <c r="W252" s="663"/>
      <c r="X252" s="663"/>
      <c r="Y252" s="663"/>
      <c r="Z252" s="663"/>
    </row>
    <row r="253" spans="1:26" ht="18" hidden="1" customHeight="1" x14ac:dyDescent="0.3">
      <c r="A253" s="673">
        <v>2</v>
      </c>
      <c r="B253" s="663"/>
      <c r="C253" s="663"/>
      <c r="D253" s="663"/>
      <c r="E253" s="663"/>
      <c r="F253" s="663"/>
      <c r="G253" s="663"/>
      <c r="H253" s="663"/>
      <c r="I253" s="663"/>
      <c r="J253" s="663"/>
      <c r="K253" s="663"/>
      <c r="L253" s="663"/>
      <c r="M253" s="663"/>
      <c r="N253" s="663"/>
      <c r="O253" s="663"/>
      <c r="P253" s="663"/>
      <c r="Q253" s="663"/>
      <c r="R253" s="663"/>
      <c r="S253" s="663"/>
      <c r="T253" s="663"/>
      <c r="U253" s="663"/>
      <c r="V253" s="663"/>
      <c r="W253" s="663"/>
      <c r="X253" s="663"/>
      <c r="Y253" s="663"/>
      <c r="Z253" s="663"/>
    </row>
    <row r="254" spans="1:26" ht="18" hidden="1" customHeight="1" x14ac:dyDescent="0.3">
      <c r="A254" s="673">
        <v>3</v>
      </c>
      <c r="B254" s="663"/>
      <c r="C254" s="663"/>
      <c r="D254" s="663"/>
      <c r="E254" s="663"/>
      <c r="F254" s="663"/>
      <c r="G254" s="663"/>
      <c r="H254" s="663"/>
      <c r="I254" s="663"/>
      <c r="J254" s="663"/>
      <c r="K254" s="663"/>
      <c r="L254" s="663"/>
      <c r="M254" s="663"/>
      <c r="N254" s="663"/>
      <c r="O254" s="663"/>
      <c r="P254" s="663"/>
      <c r="Q254" s="663"/>
      <c r="R254" s="663"/>
      <c r="S254" s="663"/>
      <c r="T254" s="663"/>
      <c r="U254" s="663"/>
      <c r="V254" s="663"/>
      <c r="W254" s="663"/>
      <c r="X254" s="663"/>
      <c r="Y254" s="663"/>
      <c r="Z254" s="663"/>
    </row>
    <row r="255" spans="1:26" ht="18" hidden="1" customHeight="1" x14ac:dyDescent="0.3">
      <c r="A255" s="673">
        <v>4</v>
      </c>
      <c r="B255" s="663"/>
      <c r="C255" s="663"/>
      <c r="D255" s="663"/>
      <c r="E255" s="663"/>
      <c r="F255" s="663"/>
      <c r="G255" s="663"/>
      <c r="H255" s="663"/>
      <c r="I255" s="663"/>
      <c r="J255" s="663"/>
      <c r="K255" s="663"/>
      <c r="L255" s="663"/>
      <c r="M255" s="663"/>
      <c r="N255" s="663"/>
      <c r="O255" s="663"/>
      <c r="P255" s="663"/>
      <c r="Q255" s="663"/>
      <c r="R255" s="663"/>
      <c r="S255" s="663"/>
      <c r="T255" s="663"/>
      <c r="U255" s="663"/>
      <c r="V255" s="663"/>
      <c r="W255" s="663"/>
      <c r="X255" s="663"/>
      <c r="Y255" s="663"/>
      <c r="Z255" s="663"/>
    </row>
    <row r="256" spans="1:26" ht="18" hidden="1" customHeight="1" x14ac:dyDescent="0.3">
      <c r="A256" s="673">
        <v>5</v>
      </c>
      <c r="B256" s="663"/>
      <c r="C256" s="663"/>
      <c r="D256" s="663"/>
      <c r="E256" s="663"/>
      <c r="F256" s="663"/>
      <c r="G256" s="663"/>
      <c r="H256" s="663"/>
      <c r="I256" s="663"/>
      <c r="J256" s="663"/>
      <c r="K256" s="663"/>
      <c r="L256" s="663"/>
      <c r="M256" s="663"/>
      <c r="N256" s="663"/>
      <c r="O256" s="663"/>
      <c r="P256" s="663"/>
      <c r="Q256" s="663"/>
      <c r="R256" s="663"/>
      <c r="S256" s="663"/>
      <c r="T256" s="663"/>
      <c r="U256" s="663"/>
      <c r="V256" s="663"/>
      <c r="W256" s="663"/>
      <c r="X256" s="663"/>
      <c r="Y256" s="663"/>
      <c r="Z256" s="663"/>
    </row>
    <row r="257" spans="1:26" ht="18" hidden="1" customHeight="1" x14ac:dyDescent="0.3">
      <c r="A257" s="674">
        <v>6</v>
      </c>
      <c r="B257" s="663"/>
      <c r="C257" s="663"/>
      <c r="D257" s="663"/>
      <c r="E257" s="663"/>
      <c r="F257" s="663"/>
      <c r="G257" s="663"/>
      <c r="H257" s="663"/>
      <c r="I257" s="663"/>
      <c r="J257" s="663"/>
      <c r="K257" s="663"/>
      <c r="L257" s="663"/>
      <c r="M257" s="663"/>
      <c r="N257" s="663"/>
      <c r="O257" s="663"/>
      <c r="P257" s="663"/>
      <c r="Q257" s="663"/>
      <c r="R257" s="663"/>
      <c r="S257" s="663"/>
      <c r="T257" s="663"/>
      <c r="U257" s="663"/>
      <c r="V257" s="663"/>
      <c r="W257" s="663"/>
      <c r="X257" s="663"/>
      <c r="Y257" s="663"/>
      <c r="Z257" s="663"/>
    </row>
    <row r="258" spans="1:26" ht="18" hidden="1" customHeight="1" x14ac:dyDescent="0.3">
      <c r="A258" s="663"/>
      <c r="B258" s="663"/>
      <c r="C258" s="663"/>
      <c r="D258" s="663"/>
      <c r="E258" s="663"/>
      <c r="F258" s="663"/>
      <c r="G258" s="663"/>
      <c r="H258" s="663"/>
      <c r="I258" s="663"/>
      <c r="J258" s="663"/>
      <c r="K258" s="663"/>
      <c r="L258" s="663"/>
      <c r="M258" s="663"/>
      <c r="N258" s="663"/>
      <c r="O258" s="663"/>
      <c r="P258" s="663"/>
      <c r="Q258" s="663"/>
      <c r="R258" s="663"/>
      <c r="S258" s="663"/>
      <c r="T258" s="663"/>
      <c r="U258" s="663"/>
      <c r="V258" s="663"/>
      <c r="W258" s="663"/>
      <c r="X258" s="663"/>
      <c r="Y258" s="663"/>
      <c r="Z258" s="663"/>
    </row>
    <row r="259" spans="1:26" ht="18" hidden="1" customHeight="1" x14ac:dyDescent="0.3">
      <c r="A259" s="660" t="s">
        <v>20</v>
      </c>
      <c r="B259" s="661">
        <v>0</v>
      </c>
      <c r="C259" s="662">
        <v>0</v>
      </c>
      <c r="D259" s="663"/>
      <c r="E259" s="663"/>
      <c r="F259" s="663"/>
      <c r="G259" s="663"/>
      <c r="H259" s="663"/>
      <c r="I259" s="663"/>
      <c r="J259" s="663"/>
      <c r="K259" s="663"/>
      <c r="L259" s="663"/>
      <c r="M259" s="663"/>
      <c r="N259" s="663"/>
      <c r="O259" s="663"/>
      <c r="P259" s="663"/>
      <c r="Q259" s="663"/>
      <c r="R259" s="663"/>
      <c r="S259" s="663"/>
      <c r="T259" s="663"/>
      <c r="U259" s="663"/>
      <c r="V259" s="663"/>
      <c r="W259" s="663"/>
      <c r="X259" s="663"/>
      <c r="Y259" s="663"/>
      <c r="Z259" s="663"/>
    </row>
    <row r="260" spans="1:26" ht="18" hidden="1" customHeight="1" x14ac:dyDescent="0.3">
      <c r="A260" s="666" t="s">
        <v>14</v>
      </c>
      <c r="B260" s="667">
        <v>2.5</v>
      </c>
      <c r="C260" s="668">
        <v>1.5</v>
      </c>
      <c r="D260" s="663"/>
      <c r="E260" s="663"/>
      <c r="F260" s="663"/>
      <c r="G260" s="663"/>
      <c r="H260" s="663"/>
      <c r="I260" s="663"/>
      <c r="J260" s="663"/>
      <c r="K260" s="663"/>
      <c r="L260" s="663"/>
      <c r="M260" s="663"/>
      <c r="N260" s="663"/>
      <c r="O260" s="663"/>
      <c r="P260" s="663"/>
      <c r="Q260" s="663"/>
      <c r="R260" s="663"/>
      <c r="S260" s="663"/>
      <c r="T260" s="663"/>
      <c r="U260" s="663"/>
      <c r="V260" s="663"/>
      <c r="W260" s="663"/>
      <c r="X260" s="663"/>
      <c r="Y260" s="663"/>
      <c r="Z260" s="663"/>
    </row>
    <row r="261" spans="1:26" ht="18" hidden="1" customHeight="1" x14ac:dyDescent="0.3">
      <c r="A261" s="663"/>
      <c r="B261" s="663"/>
      <c r="C261" s="663"/>
      <c r="D261" s="663"/>
      <c r="E261" s="663"/>
      <c r="F261" s="663"/>
      <c r="G261" s="663"/>
      <c r="H261" s="663"/>
      <c r="I261" s="663"/>
      <c r="J261" s="663"/>
      <c r="K261" s="663"/>
      <c r="L261" s="663"/>
      <c r="M261" s="663"/>
      <c r="N261" s="663"/>
      <c r="O261" s="663"/>
      <c r="P261" s="663"/>
      <c r="Q261" s="663"/>
      <c r="R261" s="663"/>
      <c r="S261" s="663"/>
      <c r="T261" s="663"/>
      <c r="U261" s="663"/>
      <c r="V261" s="663"/>
      <c r="W261" s="663"/>
      <c r="X261" s="663"/>
      <c r="Y261" s="663"/>
      <c r="Z261" s="663"/>
    </row>
    <row r="262" spans="1:26" ht="18" hidden="1" customHeight="1" x14ac:dyDescent="0.3">
      <c r="A262" s="672" t="s">
        <v>133</v>
      </c>
      <c r="B262" s="663"/>
      <c r="C262" s="663"/>
      <c r="D262" s="663"/>
      <c r="E262" s="663"/>
      <c r="F262" s="663"/>
      <c r="G262" s="663"/>
      <c r="H262" s="663"/>
      <c r="I262" s="663"/>
      <c r="J262" s="663"/>
      <c r="K262" s="663"/>
      <c r="L262" s="663"/>
      <c r="M262" s="663"/>
      <c r="N262" s="663"/>
      <c r="O262" s="663"/>
      <c r="P262" s="663"/>
      <c r="Q262" s="663"/>
      <c r="R262" s="663"/>
      <c r="S262" s="663"/>
      <c r="T262" s="663"/>
      <c r="U262" s="663"/>
      <c r="V262" s="663"/>
      <c r="W262" s="663"/>
      <c r="X262" s="663"/>
      <c r="Y262" s="663"/>
      <c r="Z262" s="663"/>
    </row>
    <row r="263" spans="1:26" ht="18" hidden="1" customHeight="1" x14ac:dyDescent="0.3">
      <c r="A263" s="674" t="s">
        <v>134</v>
      </c>
      <c r="B263" s="663"/>
      <c r="C263" s="663"/>
      <c r="D263" s="663"/>
      <c r="E263" s="663"/>
      <c r="F263" s="663"/>
      <c r="G263" s="663"/>
      <c r="H263" s="663"/>
      <c r="I263" s="663"/>
      <c r="J263" s="663"/>
      <c r="K263" s="663"/>
      <c r="L263" s="663"/>
      <c r="M263" s="663"/>
      <c r="N263" s="663"/>
      <c r="O263" s="663"/>
      <c r="P263" s="663"/>
      <c r="Q263" s="663"/>
      <c r="R263" s="663"/>
      <c r="S263" s="663"/>
      <c r="T263" s="663"/>
      <c r="U263" s="663"/>
      <c r="V263" s="663"/>
      <c r="W263" s="663"/>
      <c r="X263" s="663"/>
      <c r="Y263" s="663"/>
      <c r="Z263" s="663"/>
    </row>
    <row r="264" spans="1:26" ht="18" hidden="1" customHeight="1" x14ac:dyDescent="0.3">
      <c r="A264" s="663"/>
      <c r="B264" s="663"/>
      <c r="C264" s="660" t="s">
        <v>417</v>
      </c>
      <c r="D264" s="661"/>
      <c r="E264" s="661"/>
      <c r="F264" s="660"/>
      <c r="G264" s="661" t="s">
        <v>418</v>
      </c>
      <c r="H264" s="661"/>
      <c r="I264" s="662"/>
      <c r="J264" s="661" t="s">
        <v>308</v>
      </c>
      <c r="K264" s="661"/>
      <c r="L264" s="661"/>
      <c r="M264" s="661"/>
      <c r="N264" s="662"/>
      <c r="O264" s="660"/>
      <c r="P264" s="661"/>
      <c r="Q264" s="661"/>
      <c r="R264" s="661"/>
      <c r="S264" s="662"/>
      <c r="T264" s="663"/>
      <c r="U264" s="663"/>
      <c r="V264" s="663"/>
      <c r="W264" s="663"/>
      <c r="X264" s="663"/>
      <c r="Y264" s="663"/>
      <c r="Z264" s="663"/>
    </row>
    <row r="265" spans="1:26" ht="18" hidden="1" customHeight="1" x14ac:dyDescent="0.3">
      <c r="A265" s="660" t="s">
        <v>279</v>
      </c>
      <c r="B265" s="661">
        <v>2</v>
      </c>
      <c r="C265" s="660">
        <f t="shared" ref="C265:S265" si="142">B265+1</f>
        <v>3</v>
      </c>
      <c r="D265" s="661">
        <f t="shared" si="142"/>
        <v>4</v>
      </c>
      <c r="E265" s="661">
        <f t="shared" si="142"/>
        <v>5</v>
      </c>
      <c r="F265" s="660">
        <f t="shared" si="142"/>
        <v>6</v>
      </c>
      <c r="G265" s="661">
        <f t="shared" si="142"/>
        <v>7</v>
      </c>
      <c r="H265" s="661">
        <f t="shared" si="142"/>
        <v>8</v>
      </c>
      <c r="I265" s="662">
        <f t="shared" si="142"/>
        <v>9</v>
      </c>
      <c r="J265" s="661">
        <f t="shared" si="142"/>
        <v>10</v>
      </c>
      <c r="K265" s="661">
        <f t="shared" si="142"/>
        <v>11</v>
      </c>
      <c r="L265" s="661">
        <f t="shared" si="142"/>
        <v>12</v>
      </c>
      <c r="M265" s="661">
        <f t="shared" si="142"/>
        <v>13</v>
      </c>
      <c r="N265" s="662">
        <f t="shared" si="142"/>
        <v>14</v>
      </c>
      <c r="O265" s="660">
        <f t="shared" si="142"/>
        <v>15</v>
      </c>
      <c r="P265" s="661">
        <f t="shared" si="142"/>
        <v>16</v>
      </c>
      <c r="Q265" s="661">
        <f t="shared" si="142"/>
        <v>17</v>
      </c>
      <c r="R265" s="661">
        <f t="shared" si="142"/>
        <v>18</v>
      </c>
      <c r="S265" s="662">
        <f t="shared" si="142"/>
        <v>19</v>
      </c>
      <c r="T265" s="663"/>
      <c r="U265" s="663"/>
      <c r="V265" s="663"/>
      <c r="W265" s="663"/>
      <c r="X265" s="663"/>
      <c r="Y265" s="663"/>
      <c r="Z265" s="663"/>
    </row>
    <row r="266" spans="1:26" ht="18" hidden="1" customHeight="1" x14ac:dyDescent="0.3">
      <c r="A266" s="669"/>
      <c r="B266" s="670"/>
      <c r="C266" s="669" t="s">
        <v>28</v>
      </c>
      <c r="D266" s="670" t="s">
        <v>33</v>
      </c>
      <c r="E266" s="670" t="s">
        <v>34</v>
      </c>
      <c r="F266" s="669"/>
      <c r="G266" s="670" t="s">
        <v>28</v>
      </c>
      <c r="H266" s="670" t="s">
        <v>33</v>
      </c>
      <c r="I266" s="671" t="s">
        <v>34</v>
      </c>
      <c r="J266" s="670" t="s">
        <v>308</v>
      </c>
      <c r="K266" s="670" t="s">
        <v>350</v>
      </c>
      <c r="L266" s="670"/>
      <c r="M266" s="670" t="s">
        <v>28</v>
      </c>
      <c r="N266" s="671" t="s">
        <v>33</v>
      </c>
      <c r="O266" s="669"/>
      <c r="P266" s="670" t="s">
        <v>28</v>
      </c>
      <c r="Q266" s="670" t="s">
        <v>33</v>
      </c>
      <c r="R266" s="670" t="s">
        <v>34</v>
      </c>
      <c r="S266" s="671"/>
      <c r="T266" s="670"/>
      <c r="U266" s="670"/>
      <c r="V266" s="670"/>
      <c r="W266" s="670"/>
      <c r="X266" s="670"/>
      <c r="Y266" s="670"/>
      <c r="Z266" s="670"/>
    </row>
    <row r="267" spans="1:26" ht="18" hidden="1" customHeight="1" x14ac:dyDescent="0.3">
      <c r="A267" s="669" t="s">
        <v>16</v>
      </c>
      <c r="B267" s="670">
        <v>0</v>
      </c>
      <c r="C267" s="669">
        <v>0</v>
      </c>
      <c r="D267" s="670">
        <v>0</v>
      </c>
      <c r="E267" s="670">
        <v>0</v>
      </c>
      <c r="F267" s="669">
        <v>0</v>
      </c>
      <c r="G267" s="670">
        <v>0</v>
      </c>
      <c r="H267" s="670">
        <v>0</v>
      </c>
      <c r="I267" s="671">
        <v>0</v>
      </c>
      <c r="J267" s="670" t="s">
        <v>16</v>
      </c>
      <c r="K267" s="670">
        <v>0</v>
      </c>
      <c r="L267" s="670"/>
      <c r="M267" s="670">
        <v>0</v>
      </c>
      <c r="N267" s="671">
        <v>0</v>
      </c>
      <c r="O267" s="669"/>
      <c r="P267" s="670">
        <v>0</v>
      </c>
      <c r="Q267" s="670">
        <v>0</v>
      </c>
      <c r="R267" s="670">
        <v>0</v>
      </c>
      <c r="S267" s="671">
        <v>0</v>
      </c>
      <c r="T267" s="670"/>
      <c r="U267" s="670"/>
      <c r="V267" s="670"/>
      <c r="W267" s="670"/>
      <c r="X267" s="670"/>
      <c r="Y267" s="670"/>
      <c r="Z267" s="670"/>
    </row>
    <row r="268" spans="1:26" ht="18" hidden="1" customHeight="1" x14ac:dyDescent="0.3">
      <c r="A268" s="669" t="s">
        <v>323</v>
      </c>
      <c r="B268" s="670">
        <f>IF($C$26="Aucun",0,IF('Caisse Cuvette'!CCType_de_mousse1="PU","PU 50 mm",IF('Caisse Cuvette'!CCType_de_mousse1="Ethafoam","Ethafoam 50 mm",IF('Caisse Cuvette'!CCType_de_mousse1="Stratocell","Stratocell 50 mm"))))</f>
        <v>0</v>
      </c>
      <c r="C268" s="669">
        <f>'Caisse Cuvette'!Dimensions_intérieures_Cp_15_longueur-5.7</f>
        <v>-3.2</v>
      </c>
      <c r="D268" s="670">
        <f>'Caisse Cuvette'!Dimensions_intérieures_Cp_15_largeur-5.7</f>
        <v>-3.2</v>
      </c>
      <c r="E268" s="670">
        <v>1</v>
      </c>
      <c r="F268" s="669"/>
      <c r="G268" s="670"/>
      <c r="H268" s="670"/>
      <c r="I268" s="671"/>
      <c r="J268" s="670" t="str">
        <f>'Caisse Cuvette'!CCBase1</f>
        <v>Aucun</v>
      </c>
      <c r="K268" s="670">
        <f>VLOOKUP('Caisse Cuvette'!CCBase1,$A$238:$C$246,3)</f>
        <v>0</v>
      </c>
      <c r="L268" s="670"/>
      <c r="M268" s="670">
        <f>'Caisse Cuvette'!Dimensions_intérieures_Cp_15_longueur-5.7</f>
        <v>-3.2</v>
      </c>
      <c r="N268" s="671">
        <f>'Caisse Cuvette'!Dimensions_intérieures_Cp_15_largeur-5.7</f>
        <v>-3.2</v>
      </c>
      <c r="O268" s="669">
        <f>('Caisse Cuvette'!Hauteur_cuvette1-10)/5</f>
        <v>-2</v>
      </c>
      <c r="P268" s="670">
        <f t="shared" ref="P268:Q268" si="143">C24</f>
        <v>0</v>
      </c>
      <c r="Q268" s="670">
        <f t="shared" si="143"/>
        <v>0</v>
      </c>
      <c r="R268" s="670">
        <f>('Caisse Cuvette'!Hauteur_cuvette1-K268)/5</f>
        <v>0</v>
      </c>
      <c r="S268" s="671"/>
      <c r="T268" s="670"/>
      <c r="U268" s="670"/>
      <c r="V268" s="670"/>
      <c r="W268" s="670"/>
      <c r="X268" s="670"/>
      <c r="Y268" s="670"/>
      <c r="Z268" s="670"/>
    </row>
    <row r="269" spans="1:26" ht="18" hidden="1" customHeight="1" x14ac:dyDescent="0.3">
      <c r="A269" s="669" t="s">
        <v>416</v>
      </c>
      <c r="B269" s="670">
        <f>IF($C$26="Aucun",0,IF('Caisse Cuvette'!CCType_de_mousse1="PU","PU 50 mm",IF('Caisse Cuvette'!CCType_de_mousse1="Ethafoam","Ethafoam 50 mm",IF('Caisse Cuvette'!CCType_de_mousse1="Stratocell","Stratocell 50 mm"))))</f>
        <v>0</v>
      </c>
      <c r="C269" s="669">
        <f>'Caisse Cuvette'!Dimensions_intérieures_Cp_15_longueur-5.7</f>
        <v>-3.2</v>
      </c>
      <c r="D269" s="670">
        <f>'Caisse Cuvette'!Dimensions_intérieures_Cp_15_largeur-5.7</f>
        <v>-3.2</v>
      </c>
      <c r="E269" s="670">
        <v>1</v>
      </c>
      <c r="F269" s="669"/>
      <c r="G269" s="670"/>
      <c r="H269" s="670"/>
      <c r="I269" s="671"/>
      <c r="J269" s="670" t="str">
        <f>'Caisse Cuvette'!CCBase1</f>
        <v>Aucun</v>
      </c>
      <c r="K269" s="670">
        <f>VLOOKUP('Caisse Cuvette'!CCBase1,$A$238:$C$246,3)</f>
        <v>0</v>
      </c>
      <c r="L269" s="670"/>
      <c r="M269" s="670">
        <f>'Caisse Cuvette'!Dimensions_intérieures_Cp_15_longueur-5.7</f>
        <v>-3.2</v>
      </c>
      <c r="N269" s="671">
        <f>'Caisse Cuvette'!Dimensions_intérieures_Cp_15_largeur-5.7</f>
        <v>-3.2</v>
      </c>
      <c r="O269" s="669">
        <f>('Caisse Cuvette'!Hauteur_cuvette1-10)/5</f>
        <v>-2</v>
      </c>
      <c r="P269" s="670">
        <f t="shared" ref="P269:Q269" si="144">C24</f>
        <v>0</v>
      </c>
      <c r="Q269" s="670">
        <f t="shared" si="144"/>
        <v>0</v>
      </c>
      <c r="R269" s="670">
        <f>('Caisse Cuvette'!Hauteur_cuvette1-K269)/5</f>
        <v>0</v>
      </c>
      <c r="S269" s="671"/>
      <c r="T269" s="670"/>
      <c r="U269" s="670"/>
      <c r="V269" s="670"/>
      <c r="W269" s="670"/>
      <c r="X269" s="670"/>
      <c r="Y269" s="670"/>
      <c r="Z269" s="670"/>
    </row>
    <row r="270" spans="1:26" ht="18" hidden="1" customHeight="1" x14ac:dyDescent="0.3">
      <c r="A270" s="669" t="s">
        <v>373</v>
      </c>
      <c r="B270" s="670">
        <f>IF($C$26="Aucun",0,IF('Caisse Cuvette'!CCType_de_mousse1="PU","PU 50 mm",IF('Caisse Cuvette'!CCType_de_mousse1="Ethafoam","Ethafoam 50 mm",IF('Caisse Cuvette'!CCType_de_mousse1="Stratocell","Stratocell 50 mm"))))</f>
        <v>0</v>
      </c>
      <c r="C270" s="669">
        <f>'Caisse Cuvette'!Dimensions_intérieures_Cp_15_longueur-5.7</f>
        <v>-3.2</v>
      </c>
      <c r="D270" s="670">
        <f>'Caisse Cuvette'!Dimensions_intérieures_Cp_15_largeur-5.7</f>
        <v>-3.2</v>
      </c>
      <c r="E270" s="670">
        <v>1</v>
      </c>
      <c r="F270" s="669">
        <f>'Caisse Cuvette'!Hauteur_cuvette1-5</f>
        <v>-5</v>
      </c>
      <c r="G270" s="670">
        <f>'Caisse Cuvette'!Dimensions_intérieures_Cp_15_longueur-5.7</f>
        <v>-3.2</v>
      </c>
      <c r="H270" s="670">
        <f>(('Caisse Cuvette'!Dimensions_intérieures_Cp_15_largeur-5.5-15)-VLOOKUP($C$26,$A$195:$Q$199,3))/2</f>
        <v>-9</v>
      </c>
      <c r="I270" s="671">
        <v>4</v>
      </c>
      <c r="J270" s="670" t="str">
        <f>'Caisse Cuvette'!CCBase1</f>
        <v>Aucun</v>
      </c>
      <c r="K270" s="670">
        <f>VLOOKUP('Caisse Cuvette'!CCBase1,$A$238:$C$246,3)</f>
        <v>0</v>
      </c>
      <c r="L270" s="670"/>
      <c r="M270" s="670">
        <f>'Caisse Cuvette'!Dimensions_intérieures_Cp_15_longueur-5.7-10</f>
        <v>-13.2</v>
      </c>
      <c r="N270" s="671">
        <f>'Caisse Cuvette'!Dimensions_intérieures_Cp_15_largeur-5.7-10</f>
        <v>-13.2</v>
      </c>
      <c r="O270" s="669"/>
      <c r="P270" s="670"/>
      <c r="Q270" s="670"/>
      <c r="R270" s="670"/>
      <c r="S270" s="671">
        <v>2</v>
      </c>
      <c r="T270" s="670"/>
      <c r="U270" s="670"/>
      <c r="V270" s="670"/>
      <c r="W270" s="670"/>
      <c r="X270" s="670"/>
      <c r="Y270" s="670"/>
      <c r="Z270" s="670"/>
    </row>
    <row r="271" spans="1:26" ht="18" hidden="1" customHeight="1" x14ac:dyDescent="0.3">
      <c r="A271" s="678" t="s">
        <v>374</v>
      </c>
      <c r="B271" s="670">
        <f>IF($C$26="Aucun",0,IF('Caisse Cuvette'!CCType_de_mousse1="PU","PU 30 mm",IF('Caisse Cuvette'!CCType_de_mousse1="Ethafoam","Ethafoam 30 mm",IF('Caisse Cuvette'!CCType_de_mousse1="Stratocell","Stratocell 30 mm"))))</f>
        <v>0</v>
      </c>
      <c r="C271" s="678">
        <f>'Caisse Cuvette'!Dimensions_intérieures_Cp_15_longueur-5.7</f>
        <v>-3.2</v>
      </c>
      <c r="D271" s="679">
        <f>'Caisse Cuvette'!Dimensions_intérieures_Cp_15_largeur-5.7</f>
        <v>-3.2</v>
      </c>
      <c r="E271" s="679">
        <v>1</v>
      </c>
      <c r="F271" s="678">
        <f>'Caisse Cuvette'!Hauteur_cuvette1-3</f>
        <v>-3</v>
      </c>
      <c r="G271" s="679">
        <f>'Caisse Cuvette'!Dimensions_intérieures_Cp_15_longueur-5.7</f>
        <v>-3.2</v>
      </c>
      <c r="H271" s="679">
        <f>(('Caisse Cuvette'!Dimensions_intérieures_Cp_15_largeur-5.5-15)-VLOOKUP($C$26,$A$195:$Q$199,3))/2</f>
        <v>-9</v>
      </c>
      <c r="I271" s="680">
        <v>4</v>
      </c>
      <c r="J271" s="679" t="str">
        <f>'Caisse Cuvette'!CCBase1</f>
        <v>Aucun</v>
      </c>
      <c r="K271" s="679">
        <f>VLOOKUP('Caisse Cuvette'!CCBase1,$A$238:$C$246,3)</f>
        <v>0</v>
      </c>
      <c r="L271" s="679"/>
      <c r="M271" s="679">
        <f>('Caisse Cuvette'!Dimensions_intérieures_Cp_15_longueur-5.7)-6</f>
        <v>-9.1999999999999993</v>
      </c>
      <c r="N271" s="680">
        <f>'Caisse Cuvette'!Dimensions_intérieures_Cp_15_largeur-5.7-6</f>
        <v>-9.1999999999999993</v>
      </c>
      <c r="O271" s="678"/>
      <c r="P271" s="679"/>
      <c r="Q271" s="679"/>
      <c r="R271" s="679"/>
      <c r="S271" s="680">
        <v>2</v>
      </c>
      <c r="T271" s="670"/>
      <c r="U271" s="670"/>
      <c r="V271" s="670"/>
      <c r="W271" s="670"/>
      <c r="X271" s="670"/>
      <c r="Y271" s="670"/>
      <c r="Z271" s="670"/>
    </row>
    <row r="272" spans="1:26" ht="18" hidden="1" customHeight="1" x14ac:dyDescent="0.3">
      <c r="A272" s="663"/>
      <c r="B272" s="663"/>
      <c r="C272" s="663"/>
      <c r="D272" s="663"/>
      <c r="E272" s="663"/>
      <c r="F272" s="663"/>
      <c r="G272" s="663"/>
      <c r="H272" s="663"/>
      <c r="I272" s="663"/>
      <c r="J272" s="663"/>
      <c r="K272" s="663"/>
      <c r="L272" s="663"/>
      <c r="M272" s="663"/>
      <c r="N272" s="663"/>
      <c r="O272" s="663"/>
      <c r="P272" s="663"/>
      <c r="Q272" s="663"/>
      <c r="R272" s="663"/>
      <c r="S272" s="663"/>
      <c r="T272" s="663"/>
      <c r="U272" s="663"/>
      <c r="V272" s="663"/>
      <c r="W272" s="663"/>
      <c r="X272" s="663"/>
      <c r="Y272" s="663"/>
      <c r="Z272" s="663"/>
    </row>
    <row r="273" spans="1:26" ht="18" hidden="1" customHeight="1" x14ac:dyDescent="0.3">
      <c r="A273" s="660" t="s">
        <v>280</v>
      </c>
      <c r="B273" s="661">
        <v>2</v>
      </c>
      <c r="C273" s="661">
        <f t="shared" ref="C273:S273" si="145">B273+1</f>
        <v>3</v>
      </c>
      <c r="D273" s="661">
        <f t="shared" si="145"/>
        <v>4</v>
      </c>
      <c r="E273" s="661">
        <f t="shared" si="145"/>
        <v>5</v>
      </c>
      <c r="F273" s="661">
        <f t="shared" si="145"/>
        <v>6</v>
      </c>
      <c r="G273" s="661">
        <f t="shared" si="145"/>
        <v>7</v>
      </c>
      <c r="H273" s="661">
        <f t="shared" si="145"/>
        <v>8</v>
      </c>
      <c r="I273" s="661">
        <f t="shared" si="145"/>
        <v>9</v>
      </c>
      <c r="J273" s="661">
        <f t="shared" si="145"/>
        <v>10</v>
      </c>
      <c r="K273" s="661">
        <f t="shared" si="145"/>
        <v>11</v>
      </c>
      <c r="L273" s="661">
        <f t="shared" si="145"/>
        <v>12</v>
      </c>
      <c r="M273" s="661">
        <f t="shared" si="145"/>
        <v>13</v>
      </c>
      <c r="N273" s="661">
        <f t="shared" si="145"/>
        <v>14</v>
      </c>
      <c r="O273" s="661">
        <f t="shared" si="145"/>
        <v>15</v>
      </c>
      <c r="P273" s="661">
        <f t="shared" si="145"/>
        <v>16</v>
      </c>
      <c r="Q273" s="661">
        <f t="shared" si="145"/>
        <v>17</v>
      </c>
      <c r="R273" s="661">
        <f t="shared" si="145"/>
        <v>18</v>
      </c>
      <c r="S273" s="661">
        <f t="shared" si="145"/>
        <v>19</v>
      </c>
      <c r="T273" s="663"/>
      <c r="U273" s="663"/>
      <c r="V273" s="663"/>
      <c r="W273" s="663"/>
      <c r="X273" s="663"/>
      <c r="Y273" s="663"/>
      <c r="Z273" s="663"/>
    </row>
    <row r="274" spans="1:26" ht="18" hidden="1" customHeight="1" x14ac:dyDescent="0.3">
      <c r="A274" s="669"/>
      <c r="B274" s="670"/>
      <c r="C274" s="670" t="s">
        <v>28</v>
      </c>
      <c r="D274" s="670" t="s">
        <v>33</v>
      </c>
      <c r="E274" s="670" t="s">
        <v>34</v>
      </c>
      <c r="F274" s="670"/>
      <c r="G274" s="670" t="s">
        <v>28</v>
      </c>
      <c r="H274" s="670" t="s">
        <v>33</v>
      </c>
      <c r="I274" s="670" t="s">
        <v>34</v>
      </c>
      <c r="J274" s="670" t="s">
        <v>308</v>
      </c>
      <c r="K274" s="670" t="s">
        <v>350</v>
      </c>
      <c r="L274" s="670"/>
      <c r="M274" s="670" t="s">
        <v>28</v>
      </c>
      <c r="N274" s="670" t="s">
        <v>33</v>
      </c>
      <c r="O274" s="670"/>
      <c r="P274" s="670" t="s">
        <v>28</v>
      </c>
      <c r="Q274" s="670" t="s">
        <v>33</v>
      </c>
      <c r="R274" s="670" t="s">
        <v>34</v>
      </c>
      <c r="S274" s="670"/>
      <c r="T274" s="670"/>
      <c r="U274" s="670"/>
      <c r="V274" s="670"/>
      <c r="W274" s="670"/>
      <c r="X274" s="670"/>
      <c r="Y274" s="670"/>
      <c r="Z274" s="670"/>
    </row>
    <row r="275" spans="1:26" ht="18" hidden="1" customHeight="1" x14ac:dyDescent="0.3">
      <c r="A275" s="669" t="s">
        <v>16</v>
      </c>
      <c r="B275" s="670">
        <v>0</v>
      </c>
      <c r="C275" s="669">
        <v>0</v>
      </c>
      <c r="D275" s="670">
        <v>0</v>
      </c>
      <c r="E275" s="670">
        <v>0</v>
      </c>
      <c r="F275" s="669">
        <v>0</v>
      </c>
      <c r="G275" s="670">
        <v>0</v>
      </c>
      <c r="H275" s="670">
        <v>0</v>
      </c>
      <c r="I275" s="671">
        <v>0</v>
      </c>
      <c r="J275" s="670" t="s">
        <v>16</v>
      </c>
      <c r="K275" s="670">
        <v>0</v>
      </c>
      <c r="L275" s="670"/>
      <c r="M275" s="670">
        <v>0</v>
      </c>
      <c r="N275" s="671">
        <v>0</v>
      </c>
      <c r="O275" s="669"/>
      <c r="P275" s="670">
        <v>0</v>
      </c>
      <c r="Q275" s="670">
        <v>0</v>
      </c>
      <c r="R275" s="670">
        <v>0</v>
      </c>
      <c r="S275" s="671">
        <v>0</v>
      </c>
      <c r="T275" s="670"/>
      <c r="U275" s="670"/>
      <c r="V275" s="670"/>
      <c r="W275" s="670"/>
      <c r="X275" s="670"/>
      <c r="Y275" s="670"/>
      <c r="Z275" s="670"/>
    </row>
    <row r="276" spans="1:26" ht="18" hidden="1" customHeight="1" x14ac:dyDescent="0.3">
      <c r="A276" s="669" t="s">
        <v>323</v>
      </c>
      <c r="B276" s="670">
        <f>IF($C$26="Aucun",0,IF('Caisse Cuvette'!CCType_de_mousse2="PU","PU 50 mm",IF('Caisse Cuvette'!CCType_de_mousse2="Ethafoam","Ethafoam 50 mm",IF('Caisse Cuvette'!CCType_de_mousse2="Stratocell","Stratocell 50 mm"))))</f>
        <v>0</v>
      </c>
      <c r="C276" s="669">
        <f>'Caisse Cuvette'!Dimensions_intérieures_Cp_15_longueur-5.7</f>
        <v>-3.2</v>
      </c>
      <c r="D276" s="670">
        <f>'Caisse Cuvette'!Dimensions_intérieures_Cp_15_largeur-5.7</f>
        <v>-3.2</v>
      </c>
      <c r="E276" s="670">
        <v>1</v>
      </c>
      <c r="F276" s="669"/>
      <c r="G276" s="670"/>
      <c r="H276" s="670"/>
      <c r="I276" s="671"/>
      <c r="J276" s="670" t="str">
        <f>'Caisse Cuvette'!CCBase2</f>
        <v>Aucun</v>
      </c>
      <c r="K276" s="670">
        <f>VLOOKUP('Caisse Cuvette'!CCBase2,$A$238:$C$246,3)</f>
        <v>0</v>
      </c>
      <c r="L276" s="670"/>
      <c r="M276" s="670">
        <f>'Caisse Cuvette'!Dimensions_intérieures_Cp_15_longueur-5.7</f>
        <v>-3.2</v>
      </c>
      <c r="N276" s="671">
        <f>'Caisse Cuvette'!Dimensions_intérieures_Cp_15_largeur-5.7</f>
        <v>-3.2</v>
      </c>
      <c r="O276" s="669">
        <f>('Caisse Cuvette'!Hauteur_cuvette2-10)/5</f>
        <v>-2</v>
      </c>
      <c r="P276" s="670">
        <f t="shared" ref="P276:Q276" si="146">C31</f>
        <v>0</v>
      </c>
      <c r="Q276" s="670">
        <f t="shared" si="146"/>
        <v>0</v>
      </c>
      <c r="R276" s="670">
        <f>('Caisse Cuvette'!Hauteur_cuvette2-K276)/5</f>
        <v>0</v>
      </c>
      <c r="S276" s="671"/>
      <c r="T276" s="670"/>
      <c r="U276" s="670"/>
      <c r="V276" s="670"/>
      <c r="W276" s="670"/>
      <c r="X276" s="670"/>
      <c r="Y276" s="670"/>
      <c r="Z276" s="670"/>
    </row>
    <row r="277" spans="1:26" ht="18" hidden="1" customHeight="1" x14ac:dyDescent="0.3">
      <c r="A277" s="669" t="s">
        <v>416</v>
      </c>
      <c r="B277" s="670">
        <f>IF($C$26="Aucun",0,IF('Caisse Cuvette'!CCType_de_mousse2="PU","PU 50 mm",IF('Caisse Cuvette'!CCType_de_mousse2="Ethafoam","Ethafoam 50 mm",IF('Caisse Cuvette'!CCType_de_mousse2="Stratocell","Stratocell 50 mm"))))</f>
        <v>0</v>
      </c>
      <c r="C277" s="669">
        <f>'Caisse Cuvette'!Dimensions_intérieures_Cp_15_longueur-5.7</f>
        <v>-3.2</v>
      </c>
      <c r="D277" s="670">
        <f>'Caisse Cuvette'!Dimensions_intérieures_Cp_15_largeur-5.7</f>
        <v>-3.2</v>
      </c>
      <c r="E277" s="670">
        <v>1</v>
      </c>
      <c r="F277" s="669"/>
      <c r="G277" s="670"/>
      <c r="H277" s="670"/>
      <c r="I277" s="671"/>
      <c r="J277" s="670" t="str">
        <f>'Caisse Cuvette'!CCBase2</f>
        <v>Aucun</v>
      </c>
      <c r="K277" s="670">
        <f>VLOOKUP('Caisse Cuvette'!CCBase2,$A$238:$C$246,3)</f>
        <v>0</v>
      </c>
      <c r="L277" s="670"/>
      <c r="M277" s="670">
        <f>'Caisse Cuvette'!Dimensions_intérieures_Cp_15_longueur-5.7</f>
        <v>-3.2</v>
      </c>
      <c r="N277" s="671">
        <f>'Caisse Cuvette'!Dimensions_intérieures_Cp_15_largeur-5.7</f>
        <v>-3.2</v>
      </c>
      <c r="O277" s="669">
        <f>('Caisse Cuvette'!Hauteur_cuvette2-10)/5</f>
        <v>-2</v>
      </c>
      <c r="P277" s="670">
        <f t="shared" ref="P277:Q277" si="147">C31</f>
        <v>0</v>
      </c>
      <c r="Q277" s="670">
        <f t="shared" si="147"/>
        <v>0</v>
      </c>
      <c r="R277" s="670">
        <f>('Caisse Cuvette'!Hauteur_cuvette2-K277)/5</f>
        <v>0</v>
      </c>
      <c r="S277" s="671"/>
      <c r="T277" s="670"/>
      <c r="U277" s="670"/>
      <c r="V277" s="670"/>
      <c r="W277" s="670"/>
      <c r="X277" s="670"/>
      <c r="Y277" s="670"/>
      <c r="Z277" s="670"/>
    </row>
    <row r="278" spans="1:26" ht="18" hidden="1" customHeight="1" x14ac:dyDescent="0.3">
      <c r="A278" s="669" t="s">
        <v>373</v>
      </c>
      <c r="B278" s="670">
        <f>IF($C$26="Aucun",0,IF('Caisse Cuvette'!CCType_de_mousse2="PU","PU 50 mm",IF('Caisse Cuvette'!CCType_de_mousse2="Ethafoam","Ethafoam 50 mm",IF('Caisse Cuvette'!CCType_de_mousse2="Stratocell","Stratocell 50 mm"))))</f>
        <v>0</v>
      </c>
      <c r="C278" s="669">
        <f>'Caisse Cuvette'!Dimensions_intérieures_Cp_15_longueur-5.7</f>
        <v>-3.2</v>
      </c>
      <c r="D278" s="670">
        <f>'Caisse Cuvette'!Dimensions_intérieures_Cp_15_largeur-5.7</f>
        <v>-3.2</v>
      </c>
      <c r="E278" s="670">
        <v>1</v>
      </c>
      <c r="F278" s="669">
        <f>'Caisse Cuvette'!Hauteur_cuvette2-5</f>
        <v>-5</v>
      </c>
      <c r="G278" s="670">
        <f>'Caisse Cuvette'!Dimensions_intérieures_Cp_15_longueur-5.7</f>
        <v>-3.2</v>
      </c>
      <c r="H278" s="670">
        <f>(('Caisse Cuvette'!Dimensions_intérieures_Cp_15_largeur-5.5-15)-VLOOKUP($C$33,$A$195:$Q$199,3))/2</f>
        <v>-9</v>
      </c>
      <c r="I278" s="671">
        <v>4</v>
      </c>
      <c r="J278" s="670" t="str">
        <f>'Caisse Cuvette'!CCBase2</f>
        <v>Aucun</v>
      </c>
      <c r="K278" s="670">
        <f>VLOOKUP('Caisse Cuvette'!CCBase2,$A$238:$C$246,3)</f>
        <v>0</v>
      </c>
      <c r="L278" s="670"/>
      <c r="M278" s="670">
        <f>'Caisse Cuvette'!Dimensions_intérieures_Cp_15_longueur-5.7-10</f>
        <v>-13.2</v>
      </c>
      <c r="N278" s="671">
        <f>'Caisse Cuvette'!Dimensions_intérieures_Cp_15_largeur-5.7-10</f>
        <v>-13.2</v>
      </c>
      <c r="O278" s="669"/>
      <c r="P278" s="670"/>
      <c r="Q278" s="670"/>
      <c r="R278" s="670"/>
      <c r="S278" s="671">
        <v>2</v>
      </c>
      <c r="T278" s="670"/>
      <c r="U278" s="670"/>
      <c r="V278" s="670"/>
      <c r="W278" s="670"/>
      <c r="X278" s="670"/>
      <c r="Y278" s="670"/>
      <c r="Z278" s="670"/>
    </row>
    <row r="279" spans="1:26" ht="18" hidden="1" customHeight="1" x14ac:dyDescent="0.3">
      <c r="A279" s="678" t="s">
        <v>374</v>
      </c>
      <c r="B279" s="670">
        <f>IF($C$26="Aucun",0,IF('Caisse Cuvette'!CCType_de_mousse2="PU","PU 30 mm",IF('Caisse Cuvette'!CCType_de_mousse2="Ethafoam","Ethafoam 30 mm",IF('Caisse Cuvette'!CCType_de_mousse2="Stratocell","Stratocell 30 mm"))))</f>
        <v>0</v>
      </c>
      <c r="C279" s="678">
        <f>'Caisse Cuvette'!Dimensions_intérieures_Cp_15_longueur-5.7</f>
        <v>-3.2</v>
      </c>
      <c r="D279" s="679">
        <f>'Caisse Cuvette'!Dimensions_intérieures_Cp_15_largeur-5.7</f>
        <v>-3.2</v>
      </c>
      <c r="E279" s="679">
        <v>1</v>
      </c>
      <c r="F279" s="678">
        <f>'Caisse Cuvette'!Hauteur_cuvette2-3</f>
        <v>-3</v>
      </c>
      <c r="G279" s="679">
        <f>'Caisse Cuvette'!Dimensions_intérieures_Cp_15_longueur-5.7</f>
        <v>-3.2</v>
      </c>
      <c r="H279" s="679">
        <f>(('Caisse Cuvette'!Dimensions_intérieures_Cp_15_largeur-5.5-15)-VLOOKUP($C$33,$A$195:$Q$199,3))/2</f>
        <v>-9</v>
      </c>
      <c r="I279" s="680">
        <v>4</v>
      </c>
      <c r="J279" s="670" t="str">
        <f>'Caisse Cuvette'!CCBase2</f>
        <v>Aucun</v>
      </c>
      <c r="K279" s="670">
        <f>VLOOKUP('Caisse Cuvette'!CCBase2,$A$238:$C$246,3)</f>
        <v>0</v>
      </c>
      <c r="L279" s="679"/>
      <c r="M279" s="679">
        <f>('Caisse Cuvette'!Dimensions_intérieures_Cp_15_longueur-5.7)-6</f>
        <v>-9.1999999999999993</v>
      </c>
      <c r="N279" s="680">
        <f>'Caisse Cuvette'!Dimensions_intérieures_Cp_15_largeur-5.7-6</f>
        <v>-9.1999999999999993</v>
      </c>
      <c r="O279" s="678"/>
      <c r="P279" s="679"/>
      <c r="Q279" s="679"/>
      <c r="R279" s="679"/>
      <c r="S279" s="680">
        <v>2</v>
      </c>
      <c r="T279" s="670"/>
      <c r="U279" s="670"/>
      <c r="V279" s="670"/>
      <c r="W279" s="670"/>
      <c r="X279" s="670"/>
      <c r="Y279" s="670"/>
      <c r="Z279" s="670"/>
    </row>
    <row r="280" spans="1:26" ht="18" hidden="1" customHeight="1" x14ac:dyDescent="0.3">
      <c r="A280" s="663"/>
      <c r="B280" s="663"/>
      <c r="C280" s="663"/>
      <c r="D280" s="663"/>
      <c r="E280" s="663"/>
      <c r="F280" s="663"/>
      <c r="G280" s="663"/>
      <c r="H280" s="663"/>
      <c r="I280" s="663"/>
      <c r="J280" s="663"/>
      <c r="K280" s="663"/>
      <c r="L280" s="663"/>
      <c r="M280" s="663"/>
      <c r="N280" s="663"/>
      <c r="O280" s="663"/>
      <c r="P280" s="663"/>
      <c r="Q280" s="663"/>
      <c r="R280" s="663"/>
      <c r="S280" s="663"/>
      <c r="T280" s="663"/>
      <c r="U280" s="663"/>
      <c r="V280" s="663"/>
      <c r="W280" s="663"/>
      <c r="X280" s="663"/>
      <c r="Y280" s="663"/>
      <c r="Z280" s="663"/>
    </row>
    <row r="281" spans="1:26" ht="18" hidden="1" customHeight="1" x14ac:dyDescent="0.3">
      <c r="A281" s="660" t="s">
        <v>281</v>
      </c>
      <c r="B281" s="661">
        <v>2</v>
      </c>
      <c r="C281" s="661">
        <f t="shared" ref="C281:S281" si="148">B281+1</f>
        <v>3</v>
      </c>
      <c r="D281" s="661">
        <f t="shared" si="148"/>
        <v>4</v>
      </c>
      <c r="E281" s="661">
        <f t="shared" si="148"/>
        <v>5</v>
      </c>
      <c r="F281" s="661">
        <f t="shared" si="148"/>
        <v>6</v>
      </c>
      <c r="G281" s="661">
        <f t="shared" si="148"/>
        <v>7</v>
      </c>
      <c r="H281" s="661">
        <f t="shared" si="148"/>
        <v>8</v>
      </c>
      <c r="I281" s="661">
        <f t="shared" si="148"/>
        <v>9</v>
      </c>
      <c r="J281" s="661">
        <f t="shared" si="148"/>
        <v>10</v>
      </c>
      <c r="K281" s="661">
        <f t="shared" si="148"/>
        <v>11</v>
      </c>
      <c r="L281" s="661">
        <f t="shared" si="148"/>
        <v>12</v>
      </c>
      <c r="M281" s="661">
        <f t="shared" si="148"/>
        <v>13</v>
      </c>
      <c r="N281" s="661">
        <f t="shared" si="148"/>
        <v>14</v>
      </c>
      <c r="O281" s="661">
        <f t="shared" si="148"/>
        <v>15</v>
      </c>
      <c r="P281" s="661">
        <f t="shared" si="148"/>
        <v>16</v>
      </c>
      <c r="Q281" s="661">
        <f t="shared" si="148"/>
        <v>17</v>
      </c>
      <c r="R281" s="661">
        <f t="shared" si="148"/>
        <v>18</v>
      </c>
      <c r="S281" s="661">
        <f t="shared" si="148"/>
        <v>19</v>
      </c>
      <c r="T281" s="663"/>
      <c r="U281" s="663"/>
      <c r="V281" s="663"/>
      <c r="W281" s="663"/>
      <c r="X281" s="663"/>
      <c r="Y281" s="663"/>
      <c r="Z281" s="663"/>
    </row>
    <row r="282" spans="1:26" ht="18" hidden="1" customHeight="1" x14ac:dyDescent="0.3">
      <c r="A282" s="669"/>
      <c r="B282" s="670"/>
      <c r="C282" s="670" t="s">
        <v>28</v>
      </c>
      <c r="D282" s="670" t="s">
        <v>33</v>
      </c>
      <c r="E282" s="670" t="s">
        <v>34</v>
      </c>
      <c r="F282" s="670"/>
      <c r="G282" s="670" t="s">
        <v>28</v>
      </c>
      <c r="H282" s="670" t="s">
        <v>33</v>
      </c>
      <c r="I282" s="670" t="s">
        <v>34</v>
      </c>
      <c r="J282" s="670" t="s">
        <v>308</v>
      </c>
      <c r="K282" s="670" t="s">
        <v>350</v>
      </c>
      <c r="L282" s="670"/>
      <c r="M282" s="670" t="s">
        <v>28</v>
      </c>
      <c r="N282" s="670" t="s">
        <v>33</v>
      </c>
      <c r="O282" s="670"/>
      <c r="P282" s="670" t="s">
        <v>28</v>
      </c>
      <c r="Q282" s="670" t="s">
        <v>33</v>
      </c>
      <c r="R282" s="670" t="s">
        <v>34</v>
      </c>
      <c r="S282" s="670"/>
      <c r="T282" s="670"/>
      <c r="U282" s="670"/>
      <c r="V282" s="670"/>
      <c r="W282" s="670"/>
      <c r="X282" s="670"/>
      <c r="Y282" s="670"/>
      <c r="Z282" s="670"/>
    </row>
    <row r="283" spans="1:26" ht="18" hidden="1" customHeight="1" x14ac:dyDescent="0.3">
      <c r="A283" s="669" t="s">
        <v>16</v>
      </c>
      <c r="B283" s="670">
        <v>0</v>
      </c>
      <c r="C283" s="669">
        <v>0</v>
      </c>
      <c r="D283" s="670">
        <v>0</v>
      </c>
      <c r="E283" s="670">
        <v>0</v>
      </c>
      <c r="F283" s="669">
        <v>0</v>
      </c>
      <c r="G283" s="670">
        <v>0</v>
      </c>
      <c r="H283" s="670">
        <v>0</v>
      </c>
      <c r="I283" s="671">
        <v>0</v>
      </c>
      <c r="J283" s="670" t="s">
        <v>16</v>
      </c>
      <c r="K283" s="670">
        <v>0</v>
      </c>
      <c r="L283" s="670"/>
      <c r="M283" s="670">
        <v>0</v>
      </c>
      <c r="N283" s="671">
        <v>0</v>
      </c>
      <c r="O283" s="669"/>
      <c r="P283" s="670">
        <v>0</v>
      </c>
      <c r="Q283" s="670">
        <v>0</v>
      </c>
      <c r="R283" s="670">
        <v>0</v>
      </c>
      <c r="S283" s="671">
        <v>0</v>
      </c>
      <c r="T283" s="670"/>
      <c r="U283" s="670"/>
      <c r="V283" s="670"/>
      <c r="W283" s="670"/>
      <c r="X283" s="670"/>
      <c r="Y283" s="670"/>
      <c r="Z283" s="670"/>
    </row>
    <row r="284" spans="1:26" ht="18" hidden="1" customHeight="1" x14ac:dyDescent="0.3">
      <c r="A284" s="669" t="s">
        <v>323</v>
      </c>
      <c r="B284" s="670">
        <f>IF($C$26="Aucun",0,IF('Caisse Cuvette'!CCType_de_mousse3="PU","PU 50 mm",IF('Caisse Cuvette'!CCType_de_mousse3="Ethafoam","Ethafoam 50 mm",IF('Caisse Cuvette'!CCType_de_mousse3="Stratocell","Stratocell 50 mm"))))</f>
        <v>0</v>
      </c>
      <c r="C284" s="669">
        <f>'Caisse Cuvette'!Dimensions_intérieures_Cp_15_longueur-5.7</f>
        <v>-3.2</v>
      </c>
      <c r="D284" s="670">
        <f>'Caisse Cuvette'!Dimensions_intérieures_Cp_15_largeur-5.7</f>
        <v>-3.2</v>
      </c>
      <c r="E284" s="670">
        <v>1</v>
      </c>
      <c r="F284" s="669"/>
      <c r="G284" s="670"/>
      <c r="H284" s="670"/>
      <c r="I284" s="671"/>
      <c r="J284" s="670" t="str">
        <f>'Caisse Cuvette'!CCBase3</f>
        <v>Aucun</v>
      </c>
      <c r="K284" s="670">
        <f>VLOOKUP('Caisse Cuvette'!CCBase3,$A$238:$C$246,3)</f>
        <v>0</v>
      </c>
      <c r="L284" s="670"/>
      <c r="M284" s="670">
        <f>'Caisse Cuvette'!Dimensions_intérieures_Cp_15_longueur-5.7</f>
        <v>-3.2</v>
      </c>
      <c r="N284" s="671">
        <f>'Caisse Cuvette'!Dimensions_intérieures_Cp_15_largeur-5.7</f>
        <v>-3.2</v>
      </c>
      <c r="O284" s="669">
        <f>('Caisse Cuvette'!Hauteur_cuvette3-10)/5</f>
        <v>-2</v>
      </c>
      <c r="P284" s="670">
        <f t="shared" ref="P284:Q284" si="149">C38</f>
        <v>0</v>
      </c>
      <c r="Q284" s="670">
        <f t="shared" si="149"/>
        <v>0</v>
      </c>
      <c r="R284" s="670">
        <f>('Caisse Cuvette'!Hauteur_cuvette3-K284)/5</f>
        <v>0</v>
      </c>
      <c r="S284" s="671"/>
      <c r="T284" s="670"/>
      <c r="U284" s="670"/>
      <c r="V284" s="670"/>
      <c r="W284" s="670"/>
      <c r="X284" s="670"/>
      <c r="Y284" s="670"/>
      <c r="Z284" s="670"/>
    </row>
    <row r="285" spans="1:26" ht="18" hidden="1" customHeight="1" x14ac:dyDescent="0.3">
      <c r="A285" s="669" t="s">
        <v>416</v>
      </c>
      <c r="B285" s="670">
        <f>IF($C$26="Aucun",0,IF('Caisse Cuvette'!CCType_de_mousse3="PU","PU 50 mm",IF('Caisse Cuvette'!CCType_de_mousse3="Ethafoam","Ethafoam 50 mm",IF('Caisse Cuvette'!CCType_de_mousse3="Stratocell","Stratocell 50 mm"))))</f>
        <v>0</v>
      </c>
      <c r="C285" s="669">
        <f>'Caisse Cuvette'!Dimensions_intérieures_Cp_15_longueur-5.7</f>
        <v>-3.2</v>
      </c>
      <c r="D285" s="670">
        <f>'Caisse Cuvette'!Dimensions_intérieures_Cp_15_largeur-5.7</f>
        <v>-3.2</v>
      </c>
      <c r="E285" s="670">
        <v>1</v>
      </c>
      <c r="F285" s="669"/>
      <c r="G285" s="670"/>
      <c r="H285" s="670"/>
      <c r="I285" s="671"/>
      <c r="J285" s="670" t="str">
        <f>'Caisse Cuvette'!CCBase3</f>
        <v>Aucun</v>
      </c>
      <c r="K285" s="670">
        <f>VLOOKUP('Caisse Cuvette'!CCBase3,$A$238:$C$246,3)</f>
        <v>0</v>
      </c>
      <c r="L285" s="670"/>
      <c r="M285" s="670">
        <f>'Caisse Cuvette'!Dimensions_intérieures_Cp_15_longueur-5.7</f>
        <v>-3.2</v>
      </c>
      <c r="N285" s="671">
        <f>'Caisse Cuvette'!Dimensions_intérieures_Cp_15_largeur-5.7</f>
        <v>-3.2</v>
      </c>
      <c r="O285" s="669">
        <f>('Caisse Cuvette'!Hauteur_cuvette3-10)/5</f>
        <v>-2</v>
      </c>
      <c r="P285" s="670">
        <f t="shared" ref="P285:Q285" si="150">C38</f>
        <v>0</v>
      </c>
      <c r="Q285" s="670">
        <f t="shared" si="150"/>
        <v>0</v>
      </c>
      <c r="R285" s="670">
        <f>('Caisse Cuvette'!Hauteur_cuvette3-K285)/5</f>
        <v>0</v>
      </c>
      <c r="S285" s="671"/>
      <c r="T285" s="670"/>
      <c r="U285" s="670"/>
      <c r="V285" s="670"/>
      <c r="W285" s="670"/>
      <c r="X285" s="670"/>
      <c r="Y285" s="670"/>
      <c r="Z285" s="670"/>
    </row>
    <row r="286" spans="1:26" ht="18" hidden="1" customHeight="1" x14ac:dyDescent="0.3">
      <c r="A286" s="669" t="s">
        <v>373</v>
      </c>
      <c r="B286" s="670">
        <f>IF($C$26="Aucun",0,IF('Caisse Cuvette'!CCType_de_mousse3="PU","PU 50 mm",IF('Caisse Cuvette'!CCType_de_mousse3="Ethafoam","Ethafoam 50 mm",IF('Caisse Cuvette'!CCType_de_mousse3="Stratocell","Stratocell 50 mm"))))</f>
        <v>0</v>
      </c>
      <c r="C286" s="669">
        <f>'Caisse Cuvette'!Dimensions_intérieures_Cp_15_longueur-5.7</f>
        <v>-3.2</v>
      </c>
      <c r="D286" s="670">
        <f>'Caisse Cuvette'!Dimensions_intérieures_Cp_15_largeur-5.7</f>
        <v>-3.2</v>
      </c>
      <c r="E286" s="670">
        <v>1</v>
      </c>
      <c r="F286" s="669">
        <f>'Caisse Cuvette'!Hauteur_cuvette3-5</f>
        <v>-5</v>
      </c>
      <c r="G286" s="670">
        <f>'Caisse Cuvette'!Dimensions_intérieures_Cp_15_longueur-5.7</f>
        <v>-3.2</v>
      </c>
      <c r="H286" s="670">
        <f>(('Caisse Cuvette'!Dimensions_intérieures_Cp_15_largeur-5.5-15)-VLOOKUP($C$40,$A$195:$Q$199,3))/2</f>
        <v>-9</v>
      </c>
      <c r="I286" s="671">
        <v>4</v>
      </c>
      <c r="J286" s="670" t="str">
        <f>'Caisse Cuvette'!CCBase3</f>
        <v>Aucun</v>
      </c>
      <c r="K286" s="670">
        <f>VLOOKUP('Caisse Cuvette'!CCBase3,$A$238:$C$246,3)</f>
        <v>0</v>
      </c>
      <c r="L286" s="670"/>
      <c r="M286" s="670">
        <f>'Caisse Cuvette'!Dimensions_intérieures_Cp_15_longueur-5.7-10</f>
        <v>-13.2</v>
      </c>
      <c r="N286" s="671">
        <f>'Caisse Cuvette'!Dimensions_intérieures_Cp_15_largeur-5.7-10</f>
        <v>-13.2</v>
      </c>
      <c r="O286" s="669"/>
      <c r="P286" s="670"/>
      <c r="Q286" s="670"/>
      <c r="R286" s="670"/>
      <c r="S286" s="671">
        <v>2</v>
      </c>
      <c r="T286" s="670"/>
      <c r="U286" s="670"/>
      <c r="V286" s="670"/>
      <c r="W286" s="670"/>
      <c r="X286" s="670"/>
      <c r="Y286" s="670"/>
      <c r="Z286" s="670"/>
    </row>
    <row r="287" spans="1:26" ht="18" hidden="1" customHeight="1" x14ac:dyDescent="0.3">
      <c r="A287" s="678" t="s">
        <v>374</v>
      </c>
      <c r="B287" s="670">
        <f>IF($C$26="Aucun",0,IF('Caisse Cuvette'!CCType_de_mousse3="PU","PU 30 mm",IF('Caisse Cuvette'!CCType_de_mousse3="Ethafoam","Ethafoam 30 mm",IF('Caisse Cuvette'!CCType_de_mousse3="Stratocell","Stratocell 30 mm"))))</f>
        <v>0</v>
      </c>
      <c r="C287" s="678">
        <f>'Caisse Cuvette'!Dimensions_intérieures_Cp_15_longueur-5.7</f>
        <v>-3.2</v>
      </c>
      <c r="D287" s="679">
        <f>'Caisse Cuvette'!Dimensions_intérieures_Cp_15_largeur-5.7</f>
        <v>-3.2</v>
      </c>
      <c r="E287" s="679">
        <v>1</v>
      </c>
      <c r="F287" s="678">
        <f>'Caisse Cuvette'!Hauteur_cuvette3-3</f>
        <v>-3</v>
      </c>
      <c r="G287" s="679">
        <f>'Caisse Cuvette'!Dimensions_intérieures_Cp_15_longueur-5.7</f>
        <v>-3.2</v>
      </c>
      <c r="H287" s="679">
        <f>(('Caisse Cuvette'!Dimensions_intérieures_Cp_15_largeur-5.5-15)-VLOOKUP($C$40,$A$195:$Q$199,3))/2</f>
        <v>-9</v>
      </c>
      <c r="I287" s="680">
        <v>4</v>
      </c>
      <c r="J287" s="670" t="str">
        <f>'Caisse Cuvette'!CCBase3</f>
        <v>Aucun</v>
      </c>
      <c r="K287" s="670">
        <f>VLOOKUP('Caisse Cuvette'!CCBase3,$A$238:$C$246,3)</f>
        <v>0</v>
      </c>
      <c r="L287" s="679"/>
      <c r="M287" s="679">
        <f>('Caisse Cuvette'!Dimensions_intérieures_Cp_15_longueur-5.7)-6</f>
        <v>-9.1999999999999993</v>
      </c>
      <c r="N287" s="680">
        <f>'Caisse Cuvette'!Dimensions_intérieures_Cp_15_largeur-5.7-6</f>
        <v>-9.1999999999999993</v>
      </c>
      <c r="O287" s="678"/>
      <c r="P287" s="679"/>
      <c r="Q287" s="679"/>
      <c r="R287" s="679"/>
      <c r="S287" s="680">
        <v>2</v>
      </c>
      <c r="T287" s="670"/>
      <c r="U287" s="670"/>
      <c r="V287" s="670"/>
      <c r="W287" s="670"/>
      <c r="X287" s="670"/>
      <c r="Y287" s="670"/>
      <c r="Z287" s="670"/>
    </row>
    <row r="288" spans="1:26" ht="18" hidden="1" customHeight="1" x14ac:dyDescent="0.3">
      <c r="A288" s="663"/>
      <c r="B288" s="663"/>
      <c r="C288" s="663"/>
      <c r="D288" s="663"/>
      <c r="E288" s="663"/>
      <c r="F288" s="663"/>
      <c r="G288" s="663"/>
      <c r="H288" s="663"/>
      <c r="I288" s="663"/>
      <c r="J288" s="663"/>
      <c r="K288" s="663"/>
      <c r="L288" s="663"/>
      <c r="M288" s="663"/>
      <c r="N288" s="663"/>
      <c r="O288" s="663"/>
      <c r="P288" s="663"/>
      <c r="Q288" s="663"/>
      <c r="R288" s="663"/>
      <c r="S288" s="663"/>
      <c r="T288" s="663"/>
      <c r="U288" s="663"/>
      <c r="V288" s="663"/>
      <c r="W288" s="663"/>
      <c r="X288" s="663"/>
      <c r="Y288" s="663"/>
      <c r="Z288" s="663"/>
    </row>
    <row r="289" spans="1:26" ht="18" hidden="1" customHeight="1" x14ac:dyDescent="0.3">
      <c r="A289" s="660" t="s">
        <v>282</v>
      </c>
      <c r="B289" s="661">
        <v>2</v>
      </c>
      <c r="C289" s="661">
        <f t="shared" ref="C289:S289" si="151">B289+1</f>
        <v>3</v>
      </c>
      <c r="D289" s="661">
        <f t="shared" si="151"/>
        <v>4</v>
      </c>
      <c r="E289" s="661">
        <f t="shared" si="151"/>
        <v>5</v>
      </c>
      <c r="F289" s="661">
        <f t="shared" si="151"/>
        <v>6</v>
      </c>
      <c r="G289" s="661">
        <f t="shared" si="151"/>
        <v>7</v>
      </c>
      <c r="H289" s="661">
        <f t="shared" si="151"/>
        <v>8</v>
      </c>
      <c r="I289" s="661">
        <f t="shared" si="151"/>
        <v>9</v>
      </c>
      <c r="J289" s="661">
        <f t="shared" si="151"/>
        <v>10</v>
      </c>
      <c r="K289" s="661">
        <f t="shared" si="151"/>
        <v>11</v>
      </c>
      <c r="L289" s="661">
        <f t="shared" si="151"/>
        <v>12</v>
      </c>
      <c r="M289" s="661">
        <f t="shared" si="151"/>
        <v>13</v>
      </c>
      <c r="N289" s="661">
        <f t="shared" si="151"/>
        <v>14</v>
      </c>
      <c r="O289" s="661">
        <f t="shared" si="151"/>
        <v>15</v>
      </c>
      <c r="P289" s="661">
        <f t="shared" si="151"/>
        <v>16</v>
      </c>
      <c r="Q289" s="661">
        <f t="shared" si="151"/>
        <v>17</v>
      </c>
      <c r="R289" s="661">
        <f t="shared" si="151"/>
        <v>18</v>
      </c>
      <c r="S289" s="661">
        <f t="shared" si="151"/>
        <v>19</v>
      </c>
      <c r="T289" s="663"/>
      <c r="U289" s="663"/>
      <c r="V289" s="663"/>
      <c r="W289" s="663"/>
      <c r="X289" s="663"/>
      <c r="Y289" s="663"/>
      <c r="Z289" s="663"/>
    </row>
    <row r="290" spans="1:26" ht="18" hidden="1" customHeight="1" x14ac:dyDescent="0.3">
      <c r="A290" s="669"/>
      <c r="B290" s="670"/>
      <c r="C290" s="670" t="s">
        <v>28</v>
      </c>
      <c r="D290" s="670" t="s">
        <v>33</v>
      </c>
      <c r="E290" s="670" t="s">
        <v>34</v>
      </c>
      <c r="F290" s="670"/>
      <c r="G290" s="670" t="s">
        <v>28</v>
      </c>
      <c r="H290" s="670" t="s">
        <v>33</v>
      </c>
      <c r="I290" s="670" t="s">
        <v>34</v>
      </c>
      <c r="J290" s="670" t="s">
        <v>308</v>
      </c>
      <c r="K290" s="670" t="s">
        <v>350</v>
      </c>
      <c r="L290" s="670"/>
      <c r="M290" s="670" t="s">
        <v>28</v>
      </c>
      <c r="N290" s="670" t="s">
        <v>33</v>
      </c>
      <c r="O290" s="670"/>
      <c r="P290" s="670" t="s">
        <v>28</v>
      </c>
      <c r="Q290" s="670" t="s">
        <v>33</v>
      </c>
      <c r="R290" s="670" t="s">
        <v>34</v>
      </c>
      <c r="S290" s="670"/>
      <c r="T290" s="670"/>
      <c r="U290" s="670"/>
      <c r="V290" s="670"/>
      <c r="W290" s="670"/>
      <c r="X290" s="670"/>
      <c r="Y290" s="670"/>
      <c r="Z290" s="670"/>
    </row>
    <row r="291" spans="1:26" ht="18" hidden="1" customHeight="1" x14ac:dyDescent="0.3">
      <c r="A291" s="669" t="s">
        <v>16</v>
      </c>
      <c r="B291" s="670">
        <v>0</v>
      </c>
      <c r="C291" s="669">
        <v>0</v>
      </c>
      <c r="D291" s="670">
        <v>0</v>
      </c>
      <c r="E291" s="670">
        <v>0</v>
      </c>
      <c r="F291" s="669">
        <v>0</v>
      </c>
      <c r="G291" s="670">
        <v>0</v>
      </c>
      <c r="H291" s="670">
        <v>0</v>
      </c>
      <c r="I291" s="671">
        <v>0</v>
      </c>
      <c r="J291" s="670" t="s">
        <v>16</v>
      </c>
      <c r="K291" s="670">
        <v>0</v>
      </c>
      <c r="L291" s="670"/>
      <c r="M291" s="670">
        <v>0</v>
      </c>
      <c r="N291" s="671">
        <v>0</v>
      </c>
      <c r="O291" s="669"/>
      <c r="P291" s="670">
        <v>0</v>
      </c>
      <c r="Q291" s="670">
        <v>0</v>
      </c>
      <c r="R291" s="670">
        <v>0</v>
      </c>
      <c r="S291" s="671">
        <v>0</v>
      </c>
      <c r="T291" s="670"/>
      <c r="U291" s="670"/>
      <c r="V291" s="670"/>
      <c r="W291" s="670"/>
      <c r="X291" s="670"/>
      <c r="Y291" s="670"/>
      <c r="Z291" s="670"/>
    </row>
    <row r="292" spans="1:26" ht="18" hidden="1" customHeight="1" x14ac:dyDescent="0.3">
      <c r="A292" s="669" t="s">
        <v>323</v>
      </c>
      <c r="B292" s="670">
        <f>IF($C$26="Aucun",0,IF('Caisse Cuvette'!CCType_de_mousse4="PU","PU 50 mm",IF('Caisse Cuvette'!CCType_de_mousse4="Ethafoam","Ethafoam 50 mm",IF('Caisse Cuvette'!CCType_de_mousse4="Stratocell","Stratocell 50 mm"))))</f>
        <v>0</v>
      </c>
      <c r="C292" s="669">
        <f>'Caisse Cuvette'!Dimensions_intérieures_Cp_15_longueur-5.7</f>
        <v>-3.2</v>
      </c>
      <c r="D292" s="670">
        <f>'Caisse Cuvette'!Dimensions_intérieures_Cp_15_largeur-5.7</f>
        <v>-3.2</v>
      </c>
      <c r="E292" s="670">
        <v>1</v>
      </c>
      <c r="F292" s="669"/>
      <c r="G292" s="670"/>
      <c r="H292" s="670"/>
      <c r="I292" s="671"/>
      <c r="J292" s="670" t="str">
        <f>'Caisse Cuvette'!CCBase4</f>
        <v>Aucun</v>
      </c>
      <c r="K292" s="670">
        <f>VLOOKUP('Caisse Cuvette'!CCBase4,$A$238:$C$246,3)</f>
        <v>0</v>
      </c>
      <c r="L292" s="670"/>
      <c r="M292" s="670">
        <f>'Caisse Cuvette'!Dimensions_intérieures_Cp_15_longueur-5.7</f>
        <v>-3.2</v>
      </c>
      <c r="N292" s="671">
        <f>'Caisse Cuvette'!Dimensions_intérieures_Cp_15_largeur-5.7</f>
        <v>-3.2</v>
      </c>
      <c r="O292" s="669">
        <f>('Caisse Cuvette'!Hauteur_cuvette4-10)/5</f>
        <v>-2</v>
      </c>
      <c r="P292" s="670">
        <f t="shared" ref="P292:Q292" si="152">I24</f>
        <v>0</v>
      </c>
      <c r="Q292" s="670">
        <f t="shared" si="152"/>
        <v>0</v>
      </c>
      <c r="R292" s="670">
        <f>('Caisse Cuvette'!Hauteur_cuvette4-K292)/5</f>
        <v>0</v>
      </c>
      <c r="S292" s="671"/>
      <c r="T292" s="670"/>
      <c r="U292" s="670"/>
      <c r="V292" s="670"/>
      <c r="W292" s="670"/>
      <c r="X292" s="670"/>
      <c r="Y292" s="670"/>
      <c r="Z292" s="670"/>
    </row>
    <row r="293" spans="1:26" ht="18" hidden="1" customHeight="1" x14ac:dyDescent="0.3">
      <c r="A293" s="669" t="s">
        <v>416</v>
      </c>
      <c r="B293" s="670">
        <f>IF($C$26="Aucun",0,IF('Caisse Cuvette'!CCType_de_mousse4="PU","PU 50 mm",IF('Caisse Cuvette'!CCType_de_mousse4="Ethafoam","Ethafoam 50 mm",IF('Caisse Cuvette'!CCType_de_mousse4="Stratocell","Stratocell 50 mm"))))</f>
        <v>0</v>
      </c>
      <c r="C293" s="669">
        <f>'Caisse Cuvette'!Dimensions_intérieures_Cp_15_longueur-5.7</f>
        <v>-3.2</v>
      </c>
      <c r="D293" s="670">
        <f>'Caisse Cuvette'!Dimensions_intérieures_Cp_15_largeur-5.7</f>
        <v>-3.2</v>
      </c>
      <c r="E293" s="670">
        <v>1</v>
      </c>
      <c r="F293" s="669"/>
      <c r="G293" s="670"/>
      <c r="H293" s="670"/>
      <c r="I293" s="671"/>
      <c r="J293" s="670" t="str">
        <f>'Caisse Cuvette'!CCBase4</f>
        <v>Aucun</v>
      </c>
      <c r="K293" s="670">
        <f>VLOOKUP('Caisse Cuvette'!CCBase4,$A$238:$C$246,3)</f>
        <v>0</v>
      </c>
      <c r="L293" s="670"/>
      <c r="M293" s="670">
        <f>'Caisse Cuvette'!Dimensions_intérieures_Cp_15_longueur-5.7</f>
        <v>-3.2</v>
      </c>
      <c r="N293" s="671">
        <f>'Caisse Cuvette'!Dimensions_intérieures_Cp_15_largeur-5.7</f>
        <v>-3.2</v>
      </c>
      <c r="O293" s="669">
        <f>('Caisse Cuvette'!Hauteur_cuvette4-10)/5</f>
        <v>-2</v>
      </c>
      <c r="P293" s="670">
        <f t="shared" ref="P293:Q293" si="153">I24</f>
        <v>0</v>
      </c>
      <c r="Q293" s="670">
        <f t="shared" si="153"/>
        <v>0</v>
      </c>
      <c r="R293" s="670">
        <f>('Caisse Cuvette'!Hauteur_cuvette4-K293)/5</f>
        <v>0</v>
      </c>
      <c r="S293" s="671"/>
      <c r="T293" s="670"/>
      <c r="U293" s="670"/>
      <c r="V293" s="670"/>
      <c r="W293" s="670"/>
      <c r="X293" s="670"/>
      <c r="Y293" s="670"/>
      <c r="Z293" s="670"/>
    </row>
    <row r="294" spans="1:26" ht="18" hidden="1" customHeight="1" x14ac:dyDescent="0.3">
      <c r="A294" s="669" t="s">
        <v>373</v>
      </c>
      <c r="B294" s="670">
        <f>IF($C$26="Aucun",0,IF('Caisse Cuvette'!CCType_de_mousse4="PU","PU 50 mm",IF('Caisse Cuvette'!CCType_de_mousse4="Ethafoam","Ethafoam 50 mm",IF('Caisse Cuvette'!CCType_de_mousse4="Stratocell","Stratocell 50 mm"))))</f>
        <v>0</v>
      </c>
      <c r="C294" s="669">
        <f>'Caisse Cuvette'!Dimensions_intérieures_Cp_15_longueur-5.7</f>
        <v>-3.2</v>
      </c>
      <c r="D294" s="670">
        <f>'Caisse Cuvette'!Dimensions_intérieures_Cp_15_largeur-5.7</f>
        <v>-3.2</v>
      </c>
      <c r="E294" s="670">
        <v>1</v>
      </c>
      <c r="F294" s="669">
        <f>'Caisse Cuvette'!Hauteur_cuvette4-5</f>
        <v>-5</v>
      </c>
      <c r="G294" s="670">
        <f>'Caisse Cuvette'!Dimensions_intérieures_Cp_15_longueur-5.7</f>
        <v>-3.2</v>
      </c>
      <c r="H294" s="670">
        <f>(('Caisse Cuvette'!Dimensions_intérieures_Cp_15_largeur-5.5-15)-VLOOKUP($I$26,$A$195:$Q$199,3))/2</f>
        <v>-9</v>
      </c>
      <c r="I294" s="671">
        <v>4</v>
      </c>
      <c r="J294" s="670" t="str">
        <f>'Caisse Cuvette'!CCBase4</f>
        <v>Aucun</v>
      </c>
      <c r="K294" s="670">
        <f>VLOOKUP('Caisse Cuvette'!CCBase4,$A$238:$C$246,3)</f>
        <v>0</v>
      </c>
      <c r="L294" s="670"/>
      <c r="M294" s="670">
        <f>'Caisse Cuvette'!Dimensions_intérieures_Cp_15_longueur-5.7-10</f>
        <v>-13.2</v>
      </c>
      <c r="N294" s="671">
        <f>'Caisse Cuvette'!Dimensions_intérieures_Cp_15_largeur-5.7-10</f>
        <v>-13.2</v>
      </c>
      <c r="O294" s="669"/>
      <c r="P294" s="670"/>
      <c r="Q294" s="670"/>
      <c r="R294" s="670"/>
      <c r="S294" s="671">
        <v>2</v>
      </c>
      <c r="T294" s="670"/>
      <c r="U294" s="670"/>
      <c r="V294" s="670"/>
      <c r="W294" s="670"/>
      <c r="X294" s="670"/>
      <c r="Y294" s="670"/>
      <c r="Z294" s="670"/>
    </row>
    <row r="295" spans="1:26" ht="18" hidden="1" customHeight="1" x14ac:dyDescent="0.3">
      <c r="A295" s="678" t="s">
        <v>374</v>
      </c>
      <c r="B295" s="670">
        <f>IF($C$26="Aucun",0,IF('Caisse Cuvette'!CCType_de_mousse4="PU","PU 30 mm",IF('Caisse Cuvette'!CCType_de_mousse4="Ethafoam","Ethafoam 30 mm",IF('Caisse Cuvette'!CCType_de_mousse4="Stratocell","Stratocell 30 mm"))))</f>
        <v>0</v>
      </c>
      <c r="C295" s="678">
        <f>'Caisse Cuvette'!Dimensions_intérieures_Cp_15_longueur-5.7</f>
        <v>-3.2</v>
      </c>
      <c r="D295" s="679">
        <f>'Caisse Cuvette'!Dimensions_intérieures_Cp_15_largeur-5.7</f>
        <v>-3.2</v>
      </c>
      <c r="E295" s="679">
        <v>1</v>
      </c>
      <c r="F295" s="678">
        <f>'Caisse Cuvette'!Hauteur_cuvette4-3</f>
        <v>-3</v>
      </c>
      <c r="G295" s="679">
        <f>'Caisse Cuvette'!Dimensions_intérieures_Cp_15_longueur-5.7</f>
        <v>-3.2</v>
      </c>
      <c r="H295" s="679">
        <f>(('Caisse Cuvette'!Dimensions_intérieures_Cp_15_largeur-5.5-15)-VLOOKUP($I$26,$A$195:$Q$199,3))/2</f>
        <v>-9</v>
      </c>
      <c r="I295" s="680">
        <v>4</v>
      </c>
      <c r="J295" s="670" t="str">
        <f>'Caisse Cuvette'!CCBase4</f>
        <v>Aucun</v>
      </c>
      <c r="K295" s="670">
        <f>VLOOKUP('Caisse Cuvette'!CCBase4,$A$238:$C$246,3)</f>
        <v>0</v>
      </c>
      <c r="L295" s="679"/>
      <c r="M295" s="679">
        <f>('Caisse Cuvette'!Dimensions_intérieures_Cp_15_longueur-5.7)-6</f>
        <v>-9.1999999999999993</v>
      </c>
      <c r="N295" s="680">
        <f>'Caisse Cuvette'!Dimensions_intérieures_Cp_15_largeur-5.7-6</f>
        <v>-9.1999999999999993</v>
      </c>
      <c r="O295" s="678"/>
      <c r="P295" s="679"/>
      <c r="Q295" s="679"/>
      <c r="R295" s="679"/>
      <c r="S295" s="680">
        <v>2</v>
      </c>
      <c r="T295" s="670"/>
      <c r="U295" s="670"/>
      <c r="V295" s="670"/>
      <c r="W295" s="670"/>
      <c r="X295" s="670"/>
      <c r="Y295" s="670"/>
      <c r="Z295" s="670"/>
    </row>
    <row r="296" spans="1:26" ht="18" hidden="1" customHeight="1" x14ac:dyDescent="0.3">
      <c r="A296" s="663"/>
      <c r="B296" s="663"/>
      <c r="C296" s="663"/>
      <c r="D296" s="663"/>
      <c r="E296" s="663"/>
      <c r="F296" s="663"/>
      <c r="G296" s="663"/>
      <c r="H296" s="663"/>
      <c r="I296" s="663"/>
      <c r="J296" s="663"/>
      <c r="K296" s="663"/>
      <c r="L296" s="663"/>
      <c r="M296" s="663"/>
      <c r="N296" s="663"/>
      <c r="O296" s="663"/>
      <c r="P296" s="663"/>
      <c r="Q296" s="663"/>
      <c r="R296" s="663"/>
      <c r="S296" s="663"/>
      <c r="T296" s="663"/>
      <c r="U296" s="663"/>
      <c r="V296" s="663"/>
      <c r="W296" s="663"/>
      <c r="X296" s="663"/>
      <c r="Y296" s="663"/>
      <c r="Z296" s="663"/>
    </row>
    <row r="297" spans="1:26" ht="18" hidden="1" customHeight="1" x14ac:dyDescent="0.3">
      <c r="A297" s="660" t="s">
        <v>283</v>
      </c>
      <c r="B297" s="661">
        <v>2</v>
      </c>
      <c r="C297" s="661">
        <f t="shared" ref="C297:S297" si="154">B297+1</f>
        <v>3</v>
      </c>
      <c r="D297" s="661">
        <f t="shared" si="154"/>
        <v>4</v>
      </c>
      <c r="E297" s="661">
        <f t="shared" si="154"/>
        <v>5</v>
      </c>
      <c r="F297" s="661">
        <f t="shared" si="154"/>
        <v>6</v>
      </c>
      <c r="G297" s="661">
        <f t="shared" si="154"/>
        <v>7</v>
      </c>
      <c r="H297" s="661">
        <f t="shared" si="154"/>
        <v>8</v>
      </c>
      <c r="I297" s="661">
        <f t="shared" si="154"/>
        <v>9</v>
      </c>
      <c r="J297" s="661">
        <f t="shared" si="154"/>
        <v>10</v>
      </c>
      <c r="K297" s="661">
        <f t="shared" si="154"/>
        <v>11</v>
      </c>
      <c r="L297" s="661">
        <f t="shared" si="154"/>
        <v>12</v>
      </c>
      <c r="M297" s="661">
        <f t="shared" si="154"/>
        <v>13</v>
      </c>
      <c r="N297" s="661">
        <f t="shared" si="154"/>
        <v>14</v>
      </c>
      <c r="O297" s="661">
        <f t="shared" si="154"/>
        <v>15</v>
      </c>
      <c r="P297" s="661">
        <f t="shared" si="154"/>
        <v>16</v>
      </c>
      <c r="Q297" s="661">
        <f t="shared" si="154"/>
        <v>17</v>
      </c>
      <c r="R297" s="661">
        <f t="shared" si="154"/>
        <v>18</v>
      </c>
      <c r="S297" s="661">
        <f t="shared" si="154"/>
        <v>19</v>
      </c>
      <c r="T297" s="663"/>
      <c r="U297" s="663"/>
      <c r="V297" s="663"/>
      <c r="W297" s="663"/>
      <c r="X297" s="663"/>
      <c r="Y297" s="663"/>
      <c r="Z297" s="663"/>
    </row>
    <row r="298" spans="1:26" ht="18" hidden="1" customHeight="1" x14ac:dyDescent="0.3">
      <c r="A298" s="669"/>
      <c r="B298" s="670"/>
      <c r="C298" s="670" t="s">
        <v>28</v>
      </c>
      <c r="D298" s="670" t="s">
        <v>33</v>
      </c>
      <c r="E298" s="670" t="s">
        <v>34</v>
      </c>
      <c r="F298" s="670"/>
      <c r="G298" s="670" t="s">
        <v>28</v>
      </c>
      <c r="H298" s="670" t="s">
        <v>33</v>
      </c>
      <c r="I298" s="670" t="s">
        <v>34</v>
      </c>
      <c r="J298" s="670" t="s">
        <v>308</v>
      </c>
      <c r="K298" s="670" t="s">
        <v>350</v>
      </c>
      <c r="L298" s="670"/>
      <c r="M298" s="670" t="s">
        <v>28</v>
      </c>
      <c r="N298" s="670" t="s">
        <v>33</v>
      </c>
      <c r="O298" s="670"/>
      <c r="P298" s="670" t="s">
        <v>28</v>
      </c>
      <c r="Q298" s="670" t="s">
        <v>33</v>
      </c>
      <c r="R298" s="670" t="s">
        <v>34</v>
      </c>
      <c r="S298" s="670"/>
      <c r="T298" s="670"/>
      <c r="U298" s="670"/>
      <c r="V298" s="670"/>
      <c r="W298" s="670"/>
      <c r="X298" s="670"/>
      <c r="Y298" s="670"/>
      <c r="Z298" s="670"/>
    </row>
    <row r="299" spans="1:26" ht="18" hidden="1" customHeight="1" x14ac:dyDescent="0.3">
      <c r="A299" s="669" t="s">
        <v>16</v>
      </c>
      <c r="B299" s="670">
        <v>0</v>
      </c>
      <c r="C299" s="669">
        <v>0</v>
      </c>
      <c r="D299" s="670">
        <v>0</v>
      </c>
      <c r="E299" s="670">
        <v>0</v>
      </c>
      <c r="F299" s="669">
        <v>0</v>
      </c>
      <c r="G299" s="670">
        <v>0</v>
      </c>
      <c r="H299" s="670">
        <v>0</v>
      </c>
      <c r="I299" s="671">
        <v>0</v>
      </c>
      <c r="J299" s="670" t="s">
        <v>16</v>
      </c>
      <c r="K299" s="670">
        <v>0</v>
      </c>
      <c r="L299" s="670"/>
      <c r="M299" s="670">
        <v>0</v>
      </c>
      <c r="N299" s="671">
        <v>0</v>
      </c>
      <c r="O299" s="669"/>
      <c r="P299" s="670">
        <v>0</v>
      </c>
      <c r="Q299" s="670">
        <v>0</v>
      </c>
      <c r="R299" s="670">
        <v>0</v>
      </c>
      <c r="S299" s="671">
        <v>0</v>
      </c>
      <c r="T299" s="670"/>
      <c r="U299" s="670"/>
      <c r="V299" s="670"/>
      <c r="W299" s="670"/>
      <c r="X299" s="670"/>
      <c r="Y299" s="670"/>
      <c r="Z299" s="670"/>
    </row>
    <row r="300" spans="1:26" ht="18" hidden="1" customHeight="1" x14ac:dyDescent="0.3">
      <c r="A300" s="669" t="s">
        <v>323</v>
      </c>
      <c r="B300" s="670">
        <f>IF($C$26="Aucun",0,IF('Caisse Cuvette'!CCType_de_mousse5="PU","PU 50 mm",IF('Caisse Cuvette'!CCType_de_mousse5="Ethafoam","Ethafoam 50 mm",IF('Caisse Cuvette'!CCType_de_mousse5="Stratocell","Stratocell 50 mm"))))</f>
        <v>0</v>
      </c>
      <c r="C300" s="669">
        <f>'Caisse Cuvette'!Dimensions_intérieures_Cp_15_longueur-5.7</f>
        <v>-3.2</v>
      </c>
      <c r="D300" s="670">
        <f>'Caisse Cuvette'!Dimensions_intérieures_Cp_15_largeur-5.7</f>
        <v>-3.2</v>
      </c>
      <c r="E300" s="670">
        <v>1</v>
      </c>
      <c r="F300" s="669"/>
      <c r="G300" s="670"/>
      <c r="H300" s="670"/>
      <c r="I300" s="671"/>
      <c r="J300" s="670" t="str">
        <f>'Caisse Cuvette'!CCBase5</f>
        <v>Aucun</v>
      </c>
      <c r="K300" s="670">
        <f>VLOOKUP('Caisse Cuvette'!CCBase5,$A$238:$C$246,3)</f>
        <v>0</v>
      </c>
      <c r="L300" s="670"/>
      <c r="M300" s="670">
        <f>'Caisse Cuvette'!Dimensions_intérieures_Cp_15_longueur-5.7</f>
        <v>-3.2</v>
      </c>
      <c r="N300" s="671">
        <f>'Caisse Cuvette'!Dimensions_intérieures_Cp_15_largeur-5.7</f>
        <v>-3.2</v>
      </c>
      <c r="O300" s="669">
        <f>('Caisse Cuvette'!Hauteur_cuvette5-10)/5</f>
        <v>-2</v>
      </c>
      <c r="P300" s="670">
        <f t="shared" ref="P300:Q300" si="155">I31</f>
        <v>0</v>
      </c>
      <c r="Q300" s="670">
        <f t="shared" si="155"/>
        <v>0</v>
      </c>
      <c r="R300" s="670">
        <f>('Caisse Cuvette'!Hauteur_cuvette5-K300)/5</f>
        <v>0</v>
      </c>
      <c r="S300" s="671"/>
      <c r="T300" s="670"/>
      <c r="U300" s="670"/>
      <c r="V300" s="670"/>
      <c r="W300" s="670"/>
      <c r="X300" s="670"/>
      <c r="Y300" s="670"/>
      <c r="Z300" s="670"/>
    </row>
    <row r="301" spans="1:26" ht="18" hidden="1" customHeight="1" x14ac:dyDescent="0.3">
      <c r="A301" s="669" t="s">
        <v>416</v>
      </c>
      <c r="B301" s="670">
        <f>IF($C$26="Aucun",0,IF('Caisse Cuvette'!CCType_de_mousse5="PU","PU 50 mm",IF('Caisse Cuvette'!CCType_de_mousse5="Ethafoam","Ethafoam 50 mm",IF('Caisse Cuvette'!CCType_de_mousse5="Stratocell","Stratocell 50 mm"))))</f>
        <v>0</v>
      </c>
      <c r="C301" s="669">
        <f>'Caisse Cuvette'!Dimensions_intérieures_Cp_15_longueur-5.7</f>
        <v>-3.2</v>
      </c>
      <c r="D301" s="670">
        <f>'Caisse Cuvette'!Dimensions_intérieures_Cp_15_largeur-5.7</f>
        <v>-3.2</v>
      </c>
      <c r="E301" s="670">
        <v>1</v>
      </c>
      <c r="F301" s="669"/>
      <c r="G301" s="670"/>
      <c r="H301" s="670"/>
      <c r="I301" s="671"/>
      <c r="J301" s="670" t="str">
        <f>'Caisse Cuvette'!CCBase5</f>
        <v>Aucun</v>
      </c>
      <c r="K301" s="670">
        <f>VLOOKUP('Caisse Cuvette'!CCBase5,$A$238:$C$246,3)</f>
        <v>0</v>
      </c>
      <c r="L301" s="670"/>
      <c r="M301" s="670">
        <f>'Caisse Cuvette'!Dimensions_intérieures_Cp_15_longueur-5.7</f>
        <v>-3.2</v>
      </c>
      <c r="N301" s="671">
        <f>'Caisse Cuvette'!Dimensions_intérieures_Cp_15_largeur-5.7</f>
        <v>-3.2</v>
      </c>
      <c r="O301" s="669">
        <f>('Caisse Cuvette'!Hauteur_cuvette5-10)/5</f>
        <v>-2</v>
      </c>
      <c r="P301" s="670">
        <f t="shared" ref="P301:Q301" si="156">I31</f>
        <v>0</v>
      </c>
      <c r="Q301" s="670">
        <f t="shared" si="156"/>
        <v>0</v>
      </c>
      <c r="R301" s="670">
        <f>('Caisse Cuvette'!Hauteur_cuvette5-K301)/5</f>
        <v>0</v>
      </c>
      <c r="S301" s="671"/>
      <c r="T301" s="670"/>
      <c r="U301" s="670"/>
      <c r="V301" s="670"/>
      <c r="W301" s="670"/>
      <c r="X301" s="670"/>
      <c r="Y301" s="670"/>
      <c r="Z301" s="670"/>
    </row>
    <row r="302" spans="1:26" ht="18" hidden="1" customHeight="1" x14ac:dyDescent="0.3">
      <c r="A302" s="669" t="s">
        <v>373</v>
      </c>
      <c r="B302" s="670">
        <f>IF($C$26="Aucun",0,IF('Caisse Cuvette'!CCType_de_mousse5="PU","PU 50 mm",IF('Caisse Cuvette'!CCType_de_mousse5="Ethafoam","Ethafoam 50 mm",IF('Caisse Cuvette'!CCType_de_mousse5="Stratocell","Stratocell 50 mm"))))</f>
        <v>0</v>
      </c>
      <c r="C302" s="669">
        <f>'Caisse Cuvette'!Dimensions_intérieures_Cp_15_longueur-5.7</f>
        <v>-3.2</v>
      </c>
      <c r="D302" s="670">
        <f>'Caisse Cuvette'!Dimensions_intérieures_Cp_15_largeur-5.7</f>
        <v>-3.2</v>
      </c>
      <c r="E302" s="670">
        <v>1</v>
      </c>
      <c r="F302" s="669">
        <f>'Caisse Cuvette'!Hauteur_cuvette5-5</f>
        <v>-5</v>
      </c>
      <c r="G302" s="670">
        <f>'Caisse Cuvette'!Dimensions_intérieures_Cp_15_longueur-5.7</f>
        <v>-3.2</v>
      </c>
      <c r="H302" s="670">
        <f>(('Caisse Cuvette'!Dimensions_intérieures_Cp_15_largeur-5.5-15)-VLOOKUP($I$33,$A$195:$Q$199,3))/2</f>
        <v>-9</v>
      </c>
      <c r="I302" s="671">
        <v>4</v>
      </c>
      <c r="J302" s="670" t="str">
        <f>'Caisse Cuvette'!CCBase5</f>
        <v>Aucun</v>
      </c>
      <c r="K302" s="670">
        <f>VLOOKUP('Caisse Cuvette'!CCBase5,$A$238:$C$246,3)</f>
        <v>0</v>
      </c>
      <c r="L302" s="670"/>
      <c r="M302" s="670">
        <f>'Caisse Cuvette'!Dimensions_intérieures_Cp_15_longueur-5.7-10</f>
        <v>-13.2</v>
      </c>
      <c r="N302" s="671">
        <f>'Caisse Cuvette'!Dimensions_intérieures_Cp_15_largeur-5.7-10</f>
        <v>-13.2</v>
      </c>
      <c r="O302" s="669"/>
      <c r="P302" s="670"/>
      <c r="Q302" s="670"/>
      <c r="R302" s="670"/>
      <c r="S302" s="671">
        <v>2</v>
      </c>
      <c r="T302" s="670"/>
      <c r="U302" s="670"/>
      <c r="V302" s="670"/>
      <c r="W302" s="670"/>
      <c r="X302" s="670"/>
      <c r="Y302" s="670"/>
      <c r="Z302" s="670"/>
    </row>
    <row r="303" spans="1:26" ht="18" hidden="1" customHeight="1" x14ac:dyDescent="0.3">
      <c r="A303" s="678" t="s">
        <v>374</v>
      </c>
      <c r="B303" s="670">
        <f>IF($C$26="Aucun",0,IF('Caisse Cuvette'!CCType_de_mousse5="PU","PU 30 mm",IF('Caisse Cuvette'!CCType_de_mousse5="Ethafoam","Ethafoam 30 mm",IF('Caisse Cuvette'!CCType_de_mousse5="Stratocell","Stratocell 30 mm"))))</f>
        <v>0</v>
      </c>
      <c r="C303" s="678">
        <f>'Caisse Cuvette'!Dimensions_intérieures_Cp_15_longueur-5.7</f>
        <v>-3.2</v>
      </c>
      <c r="D303" s="679">
        <f>'Caisse Cuvette'!Dimensions_intérieures_Cp_15_largeur-5.7</f>
        <v>-3.2</v>
      </c>
      <c r="E303" s="679">
        <v>1</v>
      </c>
      <c r="F303" s="678">
        <f>'Caisse Cuvette'!Hauteur_cuvette5-3</f>
        <v>-3</v>
      </c>
      <c r="G303" s="679">
        <f>'Caisse Cuvette'!Dimensions_intérieures_Cp_15_longueur-5.7</f>
        <v>-3.2</v>
      </c>
      <c r="H303" s="679">
        <f>(('Caisse Cuvette'!Dimensions_intérieures_Cp_15_largeur-5.5-15)-VLOOKUP($I$33,$A$195:$Q$199,3))/2</f>
        <v>-9</v>
      </c>
      <c r="I303" s="680">
        <v>4</v>
      </c>
      <c r="J303" s="670" t="str">
        <f>'Caisse Cuvette'!CCBase5</f>
        <v>Aucun</v>
      </c>
      <c r="K303" s="670">
        <f>VLOOKUP('Caisse Cuvette'!CCBase5,$A$238:$C$246,3)</f>
        <v>0</v>
      </c>
      <c r="L303" s="679"/>
      <c r="M303" s="679">
        <f>('Caisse Cuvette'!Dimensions_intérieures_Cp_15_longueur-5.7)-6</f>
        <v>-9.1999999999999993</v>
      </c>
      <c r="N303" s="680">
        <f>'Caisse Cuvette'!Dimensions_intérieures_Cp_15_largeur-5.7-6</f>
        <v>-9.1999999999999993</v>
      </c>
      <c r="O303" s="678"/>
      <c r="P303" s="679"/>
      <c r="Q303" s="679"/>
      <c r="R303" s="679"/>
      <c r="S303" s="680">
        <v>2</v>
      </c>
      <c r="T303" s="670"/>
      <c r="U303" s="670"/>
      <c r="V303" s="670"/>
      <c r="W303" s="670"/>
      <c r="X303" s="670"/>
      <c r="Y303" s="670"/>
      <c r="Z303" s="670"/>
    </row>
    <row r="304" spans="1:26" ht="18" hidden="1" customHeight="1" x14ac:dyDescent="0.3">
      <c r="A304" s="663"/>
      <c r="B304" s="663"/>
      <c r="C304" s="663"/>
      <c r="D304" s="663"/>
      <c r="E304" s="663"/>
      <c r="F304" s="663"/>
      <c r="G304" s="663"/>
      <c r="H304" s="663"/>
      <c r="I304" s="663"/>
      <c r="J304" s="663"/>
      <c r="K304" s="663"/>
      <c r="L304" s="663"/>
      <c r="M304" s="663"/>
      <c r="N304" s="663"/>
      <c r="O304" s="663"/>
      <c r="P304" s="663"/>
      <c r="Q304" s="663"/>
      <c r="R304" s="663"/>
      <c r="S304" s="663"/>
      <c r="T304" s="663"/>
      <c r="U304" s="663"/>
      <c r="V304" s="663"/>
      <c r="W304" s="663"/>
      <c r="X304" s="663"/>
      <c r="Y304" s="663"/>
      <c r="Z304" s="663"/>
    </row>
    <row r="305" spans="1:26" ht="18" hidden="1" customHeight="1" x14ac:dyDescent="0.3">
      <c r="A305" s="660" t="s">
        <v>284</v>
      </c>
      <c r="B305" s="661">
        <v>2</v>
      </c>
      <c r="C305" s="661">
        <f t="shared" ref="C305:S305" si="157">B305+1</f>
        <v>3</v>
      </c>
      <c r="D305" s="661">
        <f t="shared" si="157"/>
        <v>4</v>
      </c>
      <c r="E305" s="661">
        <f t="shared" si="157"/>
        <v>5</v>
      </c>
      <c r="F305" s="661">
        <f t="shared" si="157"/>
        <v>6</v>
      </c>
      <c r="G305" s="661">
        <f t="shared" si="157"/>
        <v>7</v>
      </c>
      <c r="H305" s="661">
        <f t="shared" si="157"/>
        <v>8</v>
      </c>
      <c r="I305" s="661">
        <f t="shared" si="157"/>
        <v>9</v>
      </c>
      <c r="J305" s="661">
        <f t="shared" si="157"/>
        <v>10</v>
      </c>
      <c r="K305" s="661">
        <f t="shared" si="157"/>
        <v>11</v>
      </c>
      <c r="L305" s="661">
        <f t="shared" si="157"/>
        <v>12</v>
      </c>
      <c r="M305" s="661">
        <f t="shared" si="157"/>
        <v>13</v>
      </c>
      <c r="N305" s="661">
        <f t="shared" si="157"/>
        <v>14</v>
      </c>
      <c r="O305" s="661">
        <f t="shared" si="157"/>
        <v>15</v>
      </c>
      <c r="P305" s="661">
        <f t="shared" si="157"/>
        <v>16</v>
      </c>
      <c r="Q305" s="661">
        <f t="shared" si="157"/>
        <v>17</v>
      </c>
      <c r="R305" s="661">
        <f t="shared" si="157"/>
        <v>18</v>
      </c>
      <c r="S305" s="661">
        <f t="shared" si="157"/>
        <v>19</v>
      </c>
      <c r="T305" s="663"/>
      <c r="U305" s="663"/>
      <c r="V305" s="663"/>
      <c r="W305" s="663"/>
      <c r="X305" s="663"/>
      <c r="Y305" s="663"/>
      <c r="Z305" s="663"/>
    </row>
    <row r="306" spans="1:26" ht="18" hidden="1" customHeight="1" x14ac:dyDescent="0.3">
      <c r="A306" s="669"/>
      <c r="B306" s="670"/>
      <c r="C306" s="670" t="s">
        <v>28</v>
      </c>
      <c r="D306" s="670" t="s">
        <v>33</v>
      </c>
      <c r="E306" s="670" t="s">
        <v>34</v>
      </c>
      <c r="F306" s="670"/>
      <c r="G306" s="670" t="s">
        <v>28</v>
      </c>
      <c r="H306" s="670" t="s">
        <v>33</v>
      </c>
      <c r="I306" s="670" t="s">
        <v>34</v>
      </c>
      <c r="J306" s="670" t="s">
        <v>308</v>
      </c>
      <c r="K306" s="670" t="s">
        <v>350</v>
      </c>
      <c r="L306" s="670"/>
      <c r="M306" s="670" t="s">
        <v>28</v>
      </c>
      <c r="N306" s="670" t="s">
        <v>33</v>
      </c>
      <c r="O306" s="670"/>
      <c r="P306" s="670" t="s">
        <v>28</v>
      </c>
      <c r="Q306" s="670" t="s">
        <v>33</v>
      </c>
      <c r="R306" s="670" t="s">
        <v>34</v>
      </c>
      <c r="S306" s="670"/>
      <c r="T306" s="670"/>
      <c r="U306" s="670"/>
      <c r="V306" s="670"/>
      <c r="W306" s="670"/>
      <c r="X306" s="670"/>
      <c r="Y306" s="670"/>
      <c r="Z306" s="670"/>
    </row>
    <row r="307" spans="1:26" ht="18" hidden="1" customHeight="1" x14ac:dyDescent="0.3">
      <c r="A307" s="669" t="s">
        <v>16</v>
      </c>
      <c r="B307" s="670">
        <v>0</v>
      </c>
      <c r="C307" s="669">
        <v>0</v>
      </c>
      <c r="D307" s="670">
        <v>0</v>
      </c>
      <c r="E307" s="670">
        <v>0</v>
      </c>
      <c r="F307" s="669">
        <v>0</v>
      </c>
      <c r="G307" s="670">
        <v>0</v>
      </c>
      <c r="H307" s="670">
        <v>0</v>
      </c>
      <c r="I307" s="671">
        <v>0</v>
      </c>
      <c r="J307" s="670" t="s">
        <v>16</v>
      </c>
      <c r="K307" s="670">
        <v>0</v>
      </c>
      <c r="L307" s="670"/>
      <c r="M307" s="670">
        <v>0</v>
      </c>
      <c r="N307" s="671">
        <v>0</v>
      </c>
      <c r="O307" s="669"/>
      <c r="P307" s="670">
        <v>0</v>
      </c>
      <c r="Q307" s="670">
        <v>0</v>
      </c>
      <c r="R307" s="670">
        <v>0</v>
      </c>
      <c r="S307" s="671">
        <v>0</v>
      </c>
      <c r="T307" s="670"/>
      <c r="U307" s="670"/>
      <c r="V307" s="670"/>
      <c r="W307" s="670"/>
      <c r="X307" s="670"/>
      <c r="Y307" s="670"/>
      <c r="Z307" s="670"/>
    </row>
    <row r="308" spans="1:26" ht="18" hidden="1" customHeight="1" x14ac:dyDescent="0.3">
      <c r="A308" s="669" t="s">
        <v>323</v>
      </c>
      <c r="B308" s="670">
        <f>IF($C$26="Aucun",0,IF('Caisse Cuvette'!CCType_de_mousse6="PU","PU 50 mm",IF('Caisse Cuvette'!CCType_de_mousse6="Ethafoam","Ethafoam 50 mm",IF('Caisse Cuvette'!CCType_de_mousse6="Stratocell","Stratocell 50 mm"))))</f>
        <v>0</v>
      </c>
      <c r="C308" s="669">
        <f>'Caisse Cuvette'!Dimensions_intérieures_Cp_15_longueur-5.7</f>
        <v>-3.2</v>
      </c>
      <c r="D308" s="670">
        <f>'Caisse Cuvette'!Dimensions_intérieures_Cp_15_largeur-5.7</f>
        <v>-3.2</v>
      </c>
      <c r="E308" s="670">
        <v>1</v>
      </c>
      <c r="F308" s="669"/>
      <c r="G308" s="670"/>
      <c r="H308" s="670"/>
      <c r="I308" s="671"/>
      <c r="J308" s="670" t="str">
        <f>'Caisse Cuvette'!CCBase6</f>
        <v>Aucun</v>
      </c>
      <c r="K308" s="670">
        <f>VLOOKUP('Caisse Cuvette'!CCBase6,$A$238:$C$246,3)</f>
        <v>0</v>
      </c>
      <c r="L308" s="670"/>
      <c r="M308" s="670">
        <f>'Caisse Cuvette'!Dimensions_intérieures_Cp_15_longueur-5.7</f>
        <v>-3.2</v>
      </c>
      <c r="N308" s="671">
        <f>'Caisse Cuvette'!Dimensions_intérieures_Cp_15_largeur-5.7</f>
        <v>-3.2</v>
      </c>
      <c r="O308" s="669">
        <f>('Caisse Cuvette'!Hauteur_cuvette6-10)/5</f>
        <v>-2</v>
      </c>
      <c r="P308" s="670">
        <f t="shared" ref="P308:Q308" si="158">I38</f>
        <v>0</v>
      </c>
      <c r="Q308" s="670">
        <f t="shared" si="158"/>
        <v>0</v>
      </c>
      <c r="R308" s="670">
        <f>('Caisse Cuvette'!Hauteur_cuvette6-K308)/5</f>
        <v>0</v>
      </c>
      <c r="S308" s="671"/>
      <c r="T308" s="670"/>
      <c r="U308" s="670"/>
      <c r="V308" s="670"/>
      <c r="W308" s="670"/>
      <c r="X308" s="670"/>
      <c r="Y308" s="670"/>
      <c r="Z308" s="670"/>
    </row>
    <row r="309" spans="1:26" ht="18" hidden="1" customHeight="1" x14ac:dyDescent="0.3">
      <c r="A309" s="669" t="s">
        <v>416</v>
      </c>
      <c r="B309" s="670">
        <f>IF($C$26="Aucun",0,IF('Caisse Cuvette'!CCType_de_mousse6="PU","PU 50 mm",IF('Caisse Cuvette'!CCType_de_mousse6="Ethafoam","Ethafoam 50 mm",IF('Caisse Cuvette'!CCType_de_mousse6="Stratocell","Stratocell 50 mm"))))</f>
        <v>0</v>
      </c>
      <c r="C309" s="669">
        <f>'Caisse Cuvette'!Dimensions_intérieures_Cp_15_longueur-5.7</f>
        <v>-3.2</v>
      </c>
      <c r="D309" s="670">
        <f>'Caisse Cuvette'!Dimensions_intérieures_Cp_15_largeur-5.7</f>
        <v>-3.2</v>
      </c>
      <c r="E309" s="670">
        <v>1</v>
      </c>
      <c r="F309" s="669"/>
      <c r="G309" s="670"/>
      <c r="H309" s="670"/>
      <c r="I309" s="671"/>
      <c r="J309" s="670" t="str">
        <f>'Caisse Cuvette'!CCBase6</f>
        <v>Aucun</v>
      </c>
      <c r="K309" s="670">
        <f>VLOOKUP('Caisse Cuvette'!CCBase6,$A$238:$C$246,3)</f>
        <v>0</v>
      </c>
      <c r="L309" s="670"/>
      <c r="M309" s="670">
        <f>'Caisse Cuvette'!Dimensions_intérieures_Cp_15_longueur-5.7</f>
        <v>-3.2</v>
      </c>
      <c r="N309" s="671">
        <f>'Caisse Cuvette'!Dimensions_intérieures_Cp_15_largeur-5.7</f>
        <v>-3.2</v>
      </c>
      <c r="O309" s="669">
        <f>('Caisse Cuvette'!Hauteur_cuvette6-10)/5</f>
        <v>-2</v>
      </c>
      <c r="P309" s="670">
        <f t="shared" ref="P309:Q309" si="159">I38</f>
        <v>0</v>
      </c>
      <c r="Q309" s="670">
        <f t="shared" si="159"/>
        <v>0</v>
      </c>
      <c r="R309" s="670">
        <f>('Caisse Cuvette'!Hauteur_cuvette6-K309)/5</f>
        <v>0</v>
      </c>
      <c r="S309" s="671"/>
      <c r="T309" s="670"/>
      <c r="U309" s="670"/>
      <c r="V309" s="670"/>
      <c r="W309" s="670"/>
      <c r="X309" s="670"/>
      <c r="Y309" s="670"/>
      <c r="Z309" s="670"/>
    </row>
    <row r="310" spans="1:26" ht="18" hidden="1" customHeight="1" x14ac:dyDescent="0.3">
      <c r="A310" s="669" t="s">
        <v>373</v>
      </c>
      <c r="B310" s="670">
        <f>IF($C$26="Aucun",0,IF('Caisse Cuvette'!CCType_de_mousse6="PU","PU 50 mm",IF('Caisse Cuvette'!CCType_de_mousse6="Ethafoam","Ethafoam 50 mm",IF('Caisse Cuvette'!CCType_de_mousse6="Stratocell","Stratocell 50 mm"))))</f>
        <v>0</v>
      </c>
      <c r="C310" s="669">
        <f>'Caisse Cuvette'!Dimensions_intérieures_Cp_15_longueur-5.7</f>
        <v>-3.2</v>
      </c>
      <c r="D310" s="670">
        <f>'Caisse Cuvette'!Dimensions_intérieures_Cp_15_largeur-5.7</f>
        <v>-3.2</v>
      </c>
      <c r="E310" s="670">
        <v>1</v>
      </c>
      <c r="F310" s="669">
        <f>'Caisse Cuvette'!Hauteur_cuvette6-5</f>
        <v>-5</v>
      </c>
      <c r="G310" s="670">
        <f>'Caisse Cuvette'!Dimensions_intérieures_Cp_15_longueur-5.7</f>
        <v>-3.2</v>
      </c>
      <c r="H310" s="670">
        <f>(('Caisse Cuvette'!Dimensions_intérieures_Cp_15_largeur-5.5-15)-VLOOKUP($I$40,$A$195:$Q$199,3))/2</f>
        <v>-9</v>
      </c>
      <c r="I310" s="671">
        <v>4</v>
      </c>
      <c r="J310" s="670" t="str">
        <f>'Caisse Cuvette'!CCBase6</f>
        <v>Aucun</v>
      </c>
      <c r="K310" s="670">
        <f>VLOOKUP('Caisse Cuvette'!CCBase6,$A$238:$C$246,3)</f>
        <v>0</v>
      </c>
      <c r="L310" s="670"/>
      <c r="M310" s="670">
        <f>'Caisse Cuvette'!Dimensions_intérieures_Cp_15_longueur-5.7-10</f>
        <v>-13.2</v>
      </c>
      <c r="N310" s="671">
        <f>'Caisse Cuvette'!Dimensions_intérieures_Cp_15_largeur-5.7-10</f>
        <v>-13.2</v>
      </c>
      <c r="O310" s="669"/>
      <c r="P310" s="670"/>
      <c r="Q310" s="670"/>
      <c r="R310" s="670"/>
      <c r="S310" s="671">
        <v>2</v>
      </c>
      <c r="T310" s="670"/>
      <c r="U310" s="670"/>
      <c r="V310" s="670"/>
      <c r="W310" s="670"/>
      <c r="X310" s="670"/>
      <c r="Y310" s="670"/>
      <c r="Z310" s="670"/>
    </row>
    <row r="311" spans="1:26" ht="18" hidden="1" customHeight="1" x14ac:dyDescent="0.3">
      <c r="A311" s="678" t="s">
        <v>374</v>
      </c>
      <c r="B311" s="670">
        <f>IF($C$26="Aucun",0,IF('Caisse Cuvette'!CCType_de_mousse6="PU","PU 30 mm",IF('Caisse Cuvette'!CCType_de_mousse6="Ethafoam","Ethafoam 30 mm",IF('Caisse Cuvette'!CCType_de_mousse6="Stratocell","Stratocell 30 mm"))))</f>
        <v>0</v>
      </c>
      <c r="C311" s="678">
        <f>'Caisse Cuvette'!Dimensions_intérieures_Cp_15_longueur-5.7</f>
        <v>-3.2</v>
      </c>
      <c r="D311" s="679">
        <f>'Caisse Cuvette'!Dimensions_intérieures_Cp_15_largeur-5.7</f>
        <v>-3.2</v>
      </c>
      <c r="E311" s="679">
        <v>1</v>
      </c>
      <c r="F311" s="678">
        <f>'Caisse Cuvette'!Hauteur_cuvette6-3</f>
        <v>-3</v>
      </c>
      <c r="G311" s="679">
        <f>'Caisse Cuvette'!Dimensions_intérieures_Cp_15_longueur-5.7</f>
        <v>-3.2</v>
      </c>
      <c r="H311" s="679">
        <f>(('Caisse Cuvette'!Dimensions_intérieures_Cp_15_largeur-5.5-15)-VLOOKUP($I$40,$A$195:$Q$199,3))/2</f>
        <v>-9</v>
      </c>
      <c r="I311" s="680">
        <v>4</v>
      </c>
      <c r="J311" s="670" t="str">
        <f>'Caisse Cuvette'!CCBase6</f>
        <v>Aucun</v>
      </c>
      <c r="K311" s="670">
        <f>VLOOKUP('Caisse Cuvette'!CCBase6,$A$238:$C$246,3)</f>
        <v>0</v>
      </c>
      <c r="L311" s="679"/>
      <c r="M311" s="679">
        <f>('Caisse Cuvette'!Dimensions_intérieures_Cp_15_longueur-5.7)-6</f>
        <v>-9.1999999999999993</v>
      </c>
      <c r="N311" s="680">
        <f>'Caisse Cuvette'!Dimensions_intérieures_Cp_15_largeur-5.7-6</f>
        <v>-9.1999999999999993</v>
      </c>
      <c r="O311" s="678"/>
      <c r="P311" s="679"/>
      <c r="Q311" s="679"/>
      <c r="R311" s="679"/>
      <c r="S311" s="680">
        <v>2</v>
      </c>
      <c r="T311" s="670"/>
      <c r="U311" s="670"/>
      <c r="V311" s="670"/>
      <c r="W311" s="670"/>
      <c r="X311" s="670"/>
      <c r="Y311" s="670"/>
      <c r="Z311" s="670"/>
    </row>
    <row r="312" spans="1:26" ht="18" hidden="1" customHeight="1" x14ac:dyDescent="0.35">
      <c r="A312" s="559"/>
      <c r="B312" s="559"/>
      <c r="C312" s="559"/>
      <c r="D312" s="559"/>
      <c r="E312" s="559"/>
      <c r="F312" s="559"/>
      <c r="G312" s="559"/>
      <c r="H312" s="559"/>
      <c r="I312" s="559"/>
      <c r="J312" s="559"/>
      <c r="K312" s="559"/>
      <c r="L312" s="559"/>
      <c r="M312" s="559"/>
      <c r="N312" s="559"/>
      <c r="O312" s="559"/>
      <c r="P312" s="559"/>
      <c r="Q312" s="559"/>
      <c r="R312" s="559"/>
      <c r="S312" s="559"/>
      <c r="T312" s="559"/>
      <c r="U312" s="559"/>
      <c r="V312" s="559"/>
      <c r="W312" s="559"/>
      <c r="X312" s="559"/>
      <c r="Y312" s="559"/>
      <c r="Z312" s="559"/>
    </row>
    <row r="313" spans="1:26" ht="18" customHeight="1" x14ac:dyDescent="0.35">
      <c r="A313" s="559"/>
      <c r="B313" s="559"/>
      <c r="C313" s="559"/>
      <c r="D313" s="559"/>
      <c r="E313" s="559"/>
      <c r="F313" s="559"/>
      <c r="G313" s="559"/>
      <c r="H313" s="559"/>
      <c r="I313" s="559"/>
      <c r="J313" s="559"/>
      <c r="K313" s="559"/>
      <c r="L313" s="559"/>
      <c r="M313" s="559"/>
      <c r="N313" s="559"/>
      <c r="O313" s="559"/>
      <c r="P313" s="559"/>
      <c r="Q313" s="559"/>
      <c r="R313" s="559"/>
      <c r="S313" s="559"/>
      <c r="T313" s="559"/>
      <c r="U313" s="559"/>
      <c r="V313" s="559"/>
      <c r="W313" s="559"/>
      <c r="X313" s="559"/>
      <c r="Y313" s="559"/>
      <c r="Z313" s="559"/>
    </row>
    <row r="314" spans="1:26" ht="18" customHeight="1" x14ac:dyDescent="0.35">
      <c r="A314" s="559"/>
      <c r="B314" s="559"/>
      <c r="C314" s="559"/>
      <c r="D314" s="559"/>
      <c r="E314" s="559"/>
      <c r="F314" s="559"/>
      <c r="G314" s="559"/>
      <c r="H314" s="559"/>
      <c r="I314" s="559"/>
      <c r="J314" s="559"/>
      <c r="K314" s="559"/>
      <c r="L314" s="559"/>
      <c r="M314" s="559"/>
      <c r="N314" s="559"/>
      <c r="O314" s="559"/>
      <c r="P314" s="559"/>
      <c r="Q314" s="559"/>
      <c r="R314" s="559"/>
      <c r="S314" s="559"/>
      <c r="T314" s="559"/>
      <c r="U314" s="559"/>
      <c r="V314" s="559"/>
      <c r="W314" s="559"/>
      <c r="X314" s="559"/>
      <c r="Y314" s="559"/>
      <c r="Z314" s="559"/>
    </row>
    <row r="315" spans="1:26" ht="18" customHeight="1" x14ac:dyDescent="0.35">
      <c r="A315" s="559"/>
      <c r="B315" s="559"/>
      <c r="C315" s="559"/>
      <c r="D315" s="559"/>
      <c r="E315" s="559"/>
      <c r="F315" s="559"/>
      <c r="G315" s="559"/>
      <c r="H315" s="559"/>
      <c r="I315" s="559"/>
      <c r="J315" s="559"/>
      <c r="K315" s="559"/>
      <c r="L315" s="559"/>
      <c r="M315" s="559"/>
      <c r="N315" s="559"/>
      <c r="O315" s="559"/>
      <c r="P315" s="559"/>
      <c r="Q315" s="559"/>
      <c r="R315" s="559"/>
      <c r="S315" s="559"/>
      <c r="T315" s="559"/>
      <c r="U315" s="559"/>
      <c r="V315" s="559"/>
      <c r="W315" s="559"/>
      <c r="X315" s="559"/>
      <c r="Y315" s="559"/>
      <c r="Z315" s="559"/>
    </row>
    <row r="316" spans="1:26" ht="18" customHeight="1" x14ac:dyDescent="0.35">
      <c r="A316" s="559"/>
      <c r="B316" s="559"/>
      <c r="C316" s="559"/>
      <c r="D316" s="559"/>
      <c r="E316" s="559"/>
      <c r="F316" s="559"/>
      <c r="G316" s="559"/>
      <c r="H316" s="559"/>
      <c r="I316" s="559"/>
      <c r="J316" s="559"/>
      <c r="K316" s="559"/>
      <c r="L316" s="559"/>
      <c r="M316" s="559"/>
      <c r="N316" s="559"/>
      <c r="O316" s="559"/>
      <c r="P316" s="559"/>
      <c r="Q316" s="559"/>
      <c r="R316" s="559"/>
      <c r="S316" s="559"/>
      <c r="T316" s="559"/>
      <c r="U316" s="559"/>
      <c r="V316" s="559"/>
      <c r="W316" s="559"/>
      <c r="X316" s="559"/>
      <c r="Y316" s="559"/>
      <c r="Z316" s="559"/>
    </row>
    <row r="317" spans="1:26" ht="18" customHeight="1" x14ac:dyDescent="0.35">
      <c r="A317" s="559"/>
      <c r="B317" s="559"/>
      <c r="C317" s="559"/>
      <c r="D317" s="559"/>
      <c r="E317" s="559"/>
      <c r="F317" s="559"/>
      <c r="G317" s="559"/>
      <c r="H317" s="559"/>
      <c r="I317" s="559"/>
      <c r="J317" s="559"/>
      <c r="K317" s="559"/>
      <c r="L317" s="559"/>
      <c r="M317" s="559"/>
      <c r="N317" s="559"/>
      <c r="O317" s="559"/>
      <c r="P317" s="559"/>
      <c r="Q317" s="559"/>
      <c r="R317" s="559"/>
      <c r="S317" s="559"/>
      <c r="T317" s="559"/>
      <c r="U317" s="559"/>
      <c r="V317" s="559"/>
      <c r="W317" s="559"/>
      <c r="X317" s="559"/>
      <c r="Y317" s="559"/>
      <c r="Z317" s="559"/>
    </row>
    <row r="318" spans="1:26" ht="18" customHeight="1" x14ac:dyDescent="0.35">
      <c r="A318" s="559"/>
      <c r="B318" s="559"/>
      <c r="C318" s="559"/>
      <c r="D318" s="559"/>
      <c r="E318" s="559"/>
      <c r="F318" s="559"/>
      <c r="G318" s="559"/>
      <c r="H318" s="559"/>
      <c r="I318" s="559"/>
      <c r="J318" s="559"/>
      <c r="K318" s="559"/>
      <c r="L318" s="559"/>
      <c r="M318" s="559"/>
      <c r="N318" s="559"/>
      <c r="O318" s="559"/>
      <c r="P318" s="559"/>
      <c r="Q318" s="559"/>
      <c r="R318" s="559"/>
      <c r="S318" s="559"/>
      <c r="T318" s="559"/>
      <c r="U318" s="559"/>
      <c r="V318" s="559"/>
      <c r="W318" s="559"/>
      <c r="X318" s="559"/>
      <c r="Y318" s="559"/>
      <c r="Z318" s="559"/>
    </row>
    <row r="319" spans="1:26" ht="18" customHeight="1" x14ac:dyDescent="0.35">
      <c r="A319" s="559"/>
      <c r="B319" s="559"/>
      <c r="C319" s="559"/>
      <c r="D319" s="559"/>
      <c r="E319" s="559"/>
      <c r="F319" s="559"/>
      <c r="G319" s="559"/>
      <c r="H319" s="559"/>
      <c r="I319" s="559"/>
      <c r="J319" s="559"/>
      <c r="K319" s="559"/>
      <c r="L319" s="559"/>
      <c r="M319" s="559"/>
      <c r="N319" s="559"/>
      <c r="O319" s="559"/>
      <c r="P319" s="559"/>
      <c r="Q319" s="559"/>
      <c r="R319" s="559"/>
      <c r="S319" s="559"/>
      <c r="T319" s="559"/>
      <c r="U319" s="559"/>
      <c r="V319" s="559"/>
      <c r="W319" s="559"/>
      <c r="X319" s="559"/>
      <c r="Y319" s="559"/>
      <c r="Z319" s="559"/>
    </row>
    <row r="320" spans="1:26" ht="18" customHeight="1" x14ac:dyDescent="0.35">
      <c r="A320" s="559"/>
      <c r="B320" s="559"/>
      <c r="C320" s="559"/>
      <c r="D320" s="559"/>
      <c r="E320" s="559"/>
      <c r="F320" s="559"/>
      <c r="G320" s="559"/>
      <c r="H320" s="559"/>
      <c r="I320" s="559"/>
      <c r="J320" s="559"/>
      <c r="K320" s="559"/>
      <c r="L320" s="559"/>
      <c r="M320" s="559"/>
      <c r="N320" s="559"/>
      <c r="O320" s="559"/>
      <c r="P320" s="559"/>
      <c r="Q320" s="559"/>
      <c r="R320" s="559"/>
      <c r="S320" s="559"/>
      <c r="T320" s="559"/>
      <c r="U320" s="559"/>
      <c r="V320" s="559"/>
      <c r="W320" s="559"/>
      <c r="X320" s="559"/>
      <c r="Y320" s="559"/>
      <c r="Z320" s="559"/>
    </row>
    <row r="321" spans="1:26" ht="18" customHeight="1" x14ac:dyDescent="0.35">
      <c r="A321" s="559"/>
      <c r="B321" s="559"/>
      <c r="C321" s="559"/>
      <c r="D321" s="559"/>
      <c r="E321" s="559"/>
      <c r="F321" s="559"/>
      <c r="G321" s="559"/>
      <c r="H321" s="559"/>
      <c r="I321" s="559"/>
      <c r="J321" s="559"/>
      <c r="K321" s="559"/>
      <c r="L321" s="559"/>
      <c r="M321" s="559"/>
      <c r="N321" s="559"/>
      <c r="O321" s="559"/>
      <c r="P321" s="559"/>
      <c r="Q321" s="559"/>
      <c r="R321" s="559"/>
      <c r="S321" s="559"/>
      <c r="T321" s="559"/>
      <c r="U321" s="559"/>
      <c r="V321" s="559"/>
      <c r="W321" s="559"/>
      <c r="X321" s="559"/>
      <c r="Y321" s="559"/>
      <c r="Z321" s="559"/>
    </row>
    <row r="322" spans="1:26" ht="18" customHeight="1" x14ac:dyDescent="0.35">
      <c r="A322" s="559"/>
      <c r="B322" s="559"/>
      <c r="C322" s="559"/>
      <c r="D322" s="559"/>
      <c r="E322" s="559"/>
      <c r="F322" s="559"/>
      <c r="G322" s="559"/>
      <c r="H322" s="559"/>
      <c r="I322" s="559"/>
      <c r="J322" s="559"/>
      <c r="K322" s="559"/>
      <c r="L322" s="559"/>
      <c r="M322" s="559"/>
      <c r="N322" s="559"/>
      <c r="O322" s="559"/>
      <c r="P322" s="559"/>
      <c r="Q322" s="559"/>
      <c r="R322" s="559"/>
      <c r="S322" s="559"/>
      <c r="T322" s="559"/>
      <c r="U322" s="559"/>
      <c r="V322" s="559"/>
      <c r="W322" s="559"/>
      <c r="X322" s="559"/>
      <c r="Y322" s="559"/>
      <c r="Z322" s="559"/>
    </row>
    <row r="323" spans="1:26" ht="18" customHeight="1" x14ac:dyDescent="0.35">
      <c r="A323" s="559"/>
      <c r="B323" s="559"/>
      <c r="C323" s="559"/>
      <c r="D323" s="559"/>
      <c r="E323" s="559"/>
      <c r="F323" s="559"/>
      <c r="G323" s="559"/>
      <c r="H323" s="559"/>
      <c r="I323" s="559"/>
      <c r="J323" s="559"/>
      <c r="K323" s="559"/>
      <c r="L323" s="559"/>
      <c r="M323" s="559"/>
      <c r="N323" s="559"/>
      <c r="O323" s="559"/>
      <c r="P323" s="559"/>
      <c r="Q323" s="559"/>
      <c r="R323" s="559"/>
      <c r="S323" s="559"/>
      <c r="T323" s="559"/>
      <c r="U323" s="559"/>
      <c r="V323" s="559"/>
      <c r="W323" s="559"/>
      <c r="X323" s="559"/>
      <c r="Y323" s="559"/>
      <c r="Z323" s="559"/>
    </row>
    <row r="324" spans="1:26" ht="18" customHeight="1" x14ac:dyDescent="0.35">
      <c r="A324" s="559"/>
      <c r="B324" s="559"/>
      <c r="C324" s="559"/>
      <c r="D324" s="559"/>
      <c r="E324" s="559"/>
      <c r="F324" s="559"/>
      <c r="G324" s="559"/>
      <c r="H324" s="559"/>
      <c r="I324" s="559"/>
      <c r="J324" s="559"/>
      <c r="K324" s="559"/>
      <c r="L324" s="559"/>
      <c r="M324" s="559"/>
      <c r="N324" s="559"/>
      <c r="O324" s="559"/>
      <c r="P324" s="559"/>
      <c r="Q324" s="559"/>
      <c r="R324" s="559"/>
      <c r="S324" s="559"/>
      <c r="T324" s="559"/>
      <c r="U324" s="559"/>
      <c r="V324" s="559"/>
      <c r="W324" s="559"/>
      <c r="X324" s="559"/>
      <c r="Y324" s="559"/>
      <c r="Z324" s="559"/>
    </row>
    <row r="325" spans="1:26" ht="18" customHeight="1" x14ac:dyDescent="0.35">
      <c r="A325" s="559"/>
      <c r="B325" s="559"/>
      <c r="C325" s="559"/>
      <c r="D325" s="559"/>
      <c r="E325" s="559"/>
      <c r="F325" s="559"/>
      <c r="G325" s="559"/>
      <c r="H325" s="559"/>
      <c r="I325" s="559"/>
      <c r="J325" s="559"/>
      <c r="K325" s="559"/>
      <c r="L325" s="559"/>
      <c r="M325" s="559"/>
      <c r="N325" s="559"/>
      <c r="O325" s="559"/>
      <c r="P325" s="559"/>
      <c r="Q325" s="559"/>
      <c r="R325" s="559"/>
      <c r="S325" s="559"/>
      <c r="T325" s="559"/>
      <c r="U325" s="559"/>
      <c r="V325" s="559"/>
      <c r="W325" s="559"/>
      <c r="X325" s="559"/>
      <c r="Y325" s="559"/>
      <c r="Z325" s="559"/>
    </row>
    <row r="326" spans="1:26" ht="18" customHeight="1" x14ac:dyDescent="0.35">
      <c r="A326" s="559"/>
      <c r="B326" s="559"/>
      <c r="C326" s="559"/>
      <c r="D326" s="559"/>
      <c r="E326" s="559"/>
      <c r="F326" s="559"/>
      <c r="G326" s="559"/>
      <c r="H326" s="559"/>
      <c r="I326" s="559"/>
      <c r="J326" s="559"/>
      <c r="K326" s="559"/>
      <c r="L326" s="559"/>
      <c r="M326" s="559"/>
      <c r="N326" s="559"/>
      <c r="O326" s="559"/>
      <c r="P326" s="559"/>
      <c r="Q326" s="559"/>
      <c r="R326" s="559"/>
      <c r="S326" s="559"/>
      <c r="T326" s="559"/>
      <c r="U326" s="559"/>
      <c r="V326" s="559"/>
      <c r="W326" s="559"/>
      <c r="X326" s="559"/>
      <c r="Y326" s="559"/>
      <c r="Z326" s="559"/>
    </row>
    <row r="327" spans="1:26" ht="18" customHeight="1" x14ac:dyDescent="0.35">
      <c r="A327" s="559"/>
      <c r="B327" s="559"/>
      <c r="C327" s="559"/>
      <c r="D327" s="559"/>
      <c r="E327" s="559"/>
      <c r="F327" s="559"/>
      <c r="G327" s="559"/>
      <c r="H327" s="559"/>
      <c r="I327" s="559"/>
      <c r="J327" s="559"/>
      <c r="K327" s="559"/>
      <c r="L327" s="559"/>
      <c r="M327" s="559"/>
      <c r="N327" s="559"/>
      <c r="O327" s="559"/>
      <c r="P327" s="559"/>
      <c r="Q327" s="559"/>
      <c r="R327" s="559"/>
      <c r="S327" s="559"/>
      <c r="T327" s="559"/>
      <c r="U327" s="559"/>
      <c r="V327" s="559"/>
      <c r="W327" s="559"/>
      <c r="X327" s="559"/>
      <c r="Y327" s="559"/>
      <c r="Z327" s="559"/>
    </row>
    <row r="328" spans="1:26" ht="18" customHeight="1" x14ac:dyDescent="0.35">
      <c r="A328" s="559"/>
      <c r="B328" s="559"/>
      <c r="C328" s="559"/>
      <c r="D328" s="559"/>
      <c r="E328" s="559"/>
      <c r="F328" s="559"/>
      <c r="G328" s="559"/>
      <c r="H328" s="559"/>
      <c r="I328" s="559"/>
      <c r="J328" s="559"/>
      <c r="K328" s="559"/>
      <c r="L328" s="559"/>
      <c r="M328" s="559"/>
      <c r="N328" s="559"/>
      <c r="O328" s="559"/>
      <c r="P328" s="559"/>
      <c r="Q328" s="559"/>
      <c r="R328" s="559"/>
      <c r="S328" s="559"/>
      <c r="T328" s="559"/>
      <c r="U328" s="559"/>
      <c r="V328" s="559"/>
      <c r="W328" s="559"/>
      <c r="X328" s="559"/>
      <c r="Y328" s="559"/>
      <c r="Z328" s="559"/>
    </row>
    <row r="329" spans="1:26" ht="18" customHeight="1" x14ac:dyDescent="0.35">
      <c r="A329" s="559"/>
      <c r="B329" s="559"/>
      <c r="C329" s="559"/>
      <c r="D329" s="559"/>
      <c r="E329" s="559"/>
      <c r="F329" s="559"/>
      <c r="G329" s="559"/>
      <c r="H329" s="559"/>
      <c r="I329" s="559"/>
      <c r="J329" s="559"/>
      <c r="K329" s="559"/>
      <c r="L329" s="559"/>
      <c r="M329" s="559"/>
      <c r="N329" s="559"/>
      <c r="O329" s="559"/>
      <c r="P329" s="559"/>
      <c r="Q329" s="559"/>
      <c r="R329" s="559"/>
      <c r="S329" s="559"/>
      <c r="T329" s="559"/>
      <c r="U329" s="559"/>
      <c r="V329" s="559"/>
      <c r="W329" s="559"/>
      <c r="X329" s="559"/>
      <c r="Y329" s="559"/>
      <c r="Z329" s="559"/>
    </row>
    <row r="330" spans="1:26" ht="18" customHeight="1" x14ac:dyDescent="0.35">
      <c r="A330" s="559"/>
      <c r="B330" s="559"/>
      <c r="C330" s="559"/>
      <c r="D330" s="559"/>
      <c r="E330" s="559"/>
      <c r="F330" s="559"/>
      <c r="G330" s="559"/>
      <c r="H330" s="559"/>
      <c r="I330" s="559"/>
      <c r="J330" s="559"/>
      <c r="K330" s="559"/>
      <c r="L330" s="559"/>
      <c r="M330" s="559"/>
      <c r="N330" s="559"/>
      <c r="O330" s="559"/>
      <c r="P330" s="559"/>
      <c r="Q330" s="559"/>
      <c r="R330" s="559"/>
      <c r="S330" s="559"/>
      <c r="T330" s="559"/>
      <c r="U330" s="559"/>
      <c r="V330" s="559"/>
      <c r="W330" s="559"/>
      <c r="X330" s="559"/>
      <c r="Y330" s="559"/>
      <c r="Z330" s="559"/>
    </row>
    <row r="331" spans="1:26" ht="18" customHeight="1" x14ac:dyDescent="0.35">
      <c r="A331" s="559"/>
      <c r="B331" s="559"/>
      <c r="C331" s="559"/>
      <c r="D331" s="559"/>
      <c r="E331" s="559"/>
      <c r="F331" s="559"/>
      <c r="G331" s="559"/>
      <c r="H331" s="559"/>
      <c r="I331" s="559"/>
      <c r="J331" s="559"/>
      <c r="K331" s="559"/>
      <c r="L331" s="559"/>
      <c r="M331" s="559"/>
      <c r="N331" s="559"/>
      <c r="O331" s="559"/>
      <c r="P331" s="559"/>
      <c r="Q331" s="559"/>
      <c r="R331" s="559"/>
      <c r="S331" s="559"/>
      <c r="T331" s="559"/>
      <c r="U331" s="559"/>
      <c r="V331" s="559"/>
      <c r="W331" s="559"/>
      <c r="X331" s="559"/>
      <c r="Y331" s="559"/>
      <c r="Z331" s="559"/>
    </row>
    <row r="332" spans="1:26" ht="18" customHeight="1" x14ac:dyDescent="0.35">
      <c r="A332" s="559"/>
      <c r="B332" s="559"/>
      <c r="C332" s="559"/>
      <c r="D332" s="559"/>
      <c r="E332" s="559"/>
      <c r="F332" s="559"/>
      <c r="G332" s="559"/>
      <c r="H332" s="559"/>
      <c r="I332" s="559"/>
      <c r="J332" s="559"/>
      <c r="K332" s="559"/>
      <c r="L332" s="559"/>
      <c r="M332" s="559"/>
      <c r="N332" s="559"/>
      <c r="O332" s="559"/>
      <c r="P332" s="559"/>
      <c r="Q332" s="559"/>
      <c r="R332" s="559"/>
      <c r="S332" s="559"/>
      <c r="T332" s="559"/>
      <c r="U332" s="559"/>
      <c r="V332" s="559"/>
      <c r="W332" s="559"/>
      <c r="X332" s="559"/>
      <c r="Y332" s="559"/>
      <c r="Z332" s="559"/>
    </row>
    <row r="333" spans="1:26" ht="18" customHeight="1" x14ac:dyDescent="0.35">
      <c r="A333" s="559"/>
      <c r="B333" s="559"/>
      <c r="C333" s="559"/>
      <c r="D333" s="559"/>
      <c r="E333" s="559"/>
      <c r="F333" s="559"/>
      <c r="G333" s="559"/>
      <c r="H333" s="559"/>
      <c r="I333" s="559"/>
      <c r="J333" s="559"/>
      <c r="K333" s="559"/>
      <c r="L333" s="559"/>
      <c r="M333" s="559"/>
      <c r="N333" s="559"/>
      <c r="O333" s="559"/>
      <c r="P333" s="559"/>
      <c r="Q333" s="559"/>
      <c r="R333" s="559"/>
      <c r="S333" s="559"/>
      <c r="T333" s="559"/>
      <c r="U333" s="559"/>
      <c r="V333" s="559"/>
      <c r="W333" s="559"/>
      <c r="X333" s="559"/>
      <c r="Y333" s="559"/>
      <c r="Z333" s="559"/>
    </row>
    <row r="334" spans="1:26" ht="18" customHeight="1" x14ac:dyDescent="0.35">
      <c r="A334" s="559"/>
      <c r="B334" s="559"/>
      <c r="C334" s="559"/>
      <c r="D334" s="559"/>
      <c r="E334" s="559"/>
      <c r="F334" s="559"/>
      <c r="G334" s="559"/>
      <c r="H334" s="559"/>
      <c r="I334" s="559"/>
      <c r="J334" s="559"/>
      <c r="K334" s="559"/>
      <c r="L334" s="559"/>
      <c r="M334" s="559"/>
      <c r="N334" s="559"/>
      <c r="O334" s="559"/>
      <c r="P334" s="559"/>
      <c r="Q334" s="559"/>
      <c r="R334" s="559"/>
      <c r="S334" s="559"/>
      <c r="T334" s="559"/>
      <c r="U334" s="559"/>
      <c r="V334" s="559"/>
      <c r="W334" s="559"/>
      <c r="X334" s="559"/>
      <c r="Y334" s="559"/>
      <c r="Z334" s="559"/>
    </row>
    <row r="335" spans="1:26" ht="18" customHeight="1" x14ac:dyDescent="0.35">
      <c r="A335" s="559"/>
      <c r="B335" s="559"/>
      <c r="C335" s="559"/>
      <c r="D335" s="559"/>
      <c r="E335" s="559"/>
      <c r="F335" s="559"/>
      <c r="G335" s="559"/>
      <c r="H335" s="559"/>
      <c r="I335" s="559"/>
      <c r="J335" s="559"/>
      <c r="K335" s="559"/>
      <c r="L335" s="559"/>
      <c r="M335" s="559"/>
      <c r="N335" s="559"/>
      <c r="O335" s="559"/>
      <c r="P335" s="559"/>
      <c r="Q335" s="559"/>
      <c r="R335" s="559"/>
      <c r="S335" s="559"/>
      <c r="T335" s="559"/>
      <c r="U335" s="559"/>
      <c r="V335" s="559"/>
      <c r="W335" s="559"/>
      <c r="X335" s="559"/>
      <c r="Y335" s="559"/>
      <c r="Z335" s="559"/>
    </row>
    <row r="336" spans="1:26" ht="18" customHeight="1" x14ac:dyDescent="0.35">
      <c r="A336" s="559"/>
      <c r="B336" s="559"/>
      <c r="C336" s="559"/>
      <c r="D336" s="559"/>
      <c r="E336" s="559"/>
      <c r="F336" s="559"/>
      <c r="G336" s="559"/>
      <c r="H336" s="559"/>
      <c r="I336" s="559"/>
      <c r="J336" s="559"/>
      <c r="K336" s="559"/>
      <c r="L336" s="559"/>
      <c r="M336" s="559"/>
      <c r="N336" s="559"/>
      <c r="O336" s="559"/>
      <c r="P336" s="559"/>
      <c r="Q336" s="559"/>
      <c r="R336" s="559"/>
      <c r="S336" s="559"/>
      <c r="T336" s="559"/>
      <c r="U336" s="559"/>
      <c r="V336" s="559"/>
      <c r="W336" s="559"/>
      <c r="X336" s="559"/>
      <c r="Y336" s="559"/>
      <c r="Z336" s="559"/>
    </row>
    <row r="337" spans="1:26" ht="18" customHeight="1" x14ac:dyDescent="0.35">
      <c r="A337" s="559"/>
      <c r="B337" s="559"/>
      <c r="C337" s="559"/>
      <c r="D337" s="559"/>
      <c r="E337" s="559"/>
      <c r="F337" s="559"/>
      <c r="G337" s="559"/>
      <c r="H337" s="559"/>
      <c r="I337" s="559"/>
      <c r="J337" s="559"/>
      <c r="K337" s="559"/>
      <c r="L337" s="559"/>
      <c r="M337" s="559"/>
      <c r="N337" s="559"/>
      <c r="O337" s="559"/>
      <c r="P337" s="559"/>
      <c r="Q337" s="559"/>
      <c r="R337" s="559"/>
      <c r="S337" s="559"/>
      <c r="T337" s="559"/>
      <c r="U337" s="559"/>
      <c r="V337" s="559"/>
      <c r="W337" s="559"/>
      <c r="X337" s="559"/>
      <c r="Y337" s="559"/>
      <c r="Z337" s="559"/>
    </row>
    <row r="338" spans="1:26" ht="18" customHeight="1" x14ac:dyDescent="0.35">
      <c r="A338" s="559"/>
      <c r="B338" s="559"/>
      <c r="C338" s="559"/>
      <c r="D338" s="559"/>
      <c r="E338" s="559"/>
      <c r="F338" s="559"/>
      <c r="G338" s="559"/>
      <c r="H338" s="559"/>
      <c r="I338" s="559"/>
      <c r="J338" s="559"/>
      <c r="K338" s="559"/>
      <c r="L338" s="559"/>
      <c r="M338" s="559"/>
      <c r="N338" s="559"/>
      <c r="O338" s="559"/>
      <c r="P338" s="559"/>
      <c r="Q338" s="559"/>
      <c r="R338" s="559"/>
      <c r="S338" s="559"/>
      <c r="T338" s="559"/>
      <c r="U338" s="559"/>
      <c r="V338" s="559"/>
      <c r="W338" s="559"/>
      <c r="X338" s="559"/>
      <c r="Y338" s="559"/>
      <c r="Z338" s="559"/>
    </row>
    <row r="339" spans="1:26" ht="18" customHeight="1" x14ac:dyDescent="0.35">
      <c r="A339" s="559"/>
      <c r="B339" s="559"/>
      <c r="C339" s="559"/>
      <c r="D339" s="559"/>
      <c r="E339" s="559"/>
      <c r="F339" s="559"/>
      <c r="G339" s="559"/>
      <c r="H339" s="559"/>
      <c r="I339" s="559"/>
      <c r="J339" s="559"/>
      <c r="K339" s="559"/>
      <c r="L339" s="559"/>
      <c r="M339" s="559"/>
      <c r="N339" s="559"/>
      <c r="O339" s="559"/>
      <c r="P339" s="559"/>
      <c r="Q339" s="559"/>
      <c r="R339" s="559"/>
      <c r="S339" s="559"/>
      <c r="T339" s="559"/>
      <c r="U339" s="559"/>
      <c r="V339" s="559"/>
      <c r="W339" s="559"/>
      <c r="X339" s="559"/>
      <c r="Y339" s="559"/>
      <c r="Z339" s="559"/>
    </row>
    <row r="340" spans="1:26" ht="18" customHeight="1" x14ac:dyDescent="0.35">
      <c r="A340" s="559"/>
      <c r="B340" s="559"/>
      <c r="C340" s="559"/>
      <c r="D340" s="559"/>
      <c r="E340" s="559"/>
      <c r="F340" s="559"/>
      <c r="G340" s="559"/>
      <c r="H340" s="559"/>
      <c r="I340" s="559"/>
      <c r="J340" s="559"/>
      <c r="K340" s="559"/>
      <c r="L340" s="559"/>
      <c r="M340" s="559"/>
      <c r="N340" s="559"/>
      <c r="O340" s="559"/>
      <c r="P340" s="559"/>
      <c r="Q340" s="559"/>
      <c r="R340" s="559"/>
      <c r="S340" s="559"/>
      <c r="T340" s="559"/>
      <c r="U340" s="559"/>
      <c r="V340" s="559"/>
      <c r="W340" s="559"/>
      <c r="X340" s="559"/>
      <c r="Y340" s="559"/>
      <c r="Z340" s="559"/>
    </row>
    <row r="341" spans="1:26" ht="18" customHeight="1" x14ac:dyDescent="0.35">
      <c r="A341" s="559"/>
      <c r="B341" s="559"/>
      <c r="C341" s="559"/>
      <c r="D341" s="559"/>
      <c r="E341" s="559"/>
      <c r="F341" s="559"/>
      <c r="G341" s="559"/>
      <c r="H341" s="559"/>
      <c r="I341" s="559"/>
      <c r="J341" s="559"/>
      <c r="K341" s="559"/>
      <c r="L341" s="559"/>
      <c r="M341" s="559"/>
      <c r="N341" s="559"/>
      <c r="O341" s="559"/>
      <c r="P341" s="559"/>
      <c r="Q341" s="559"/>
      <c r="R341" s="559"/>
      <c r="S341" s="559"/>
      <c r="T341" s="559"/>
      <c r="U341" s="559"/>
      <c r="V341" s="559"/>
      <c r="W341" s="559"/>
      <c r="X341" s="559"/>
      <c r="Y341" s="559"/>
      <c r="Z341" s="559"/>
    </row>
    <row r="342" spans="1:26" ht="18" customHeight="1" x14ac:dyDescent="0.35">
      <c r="A342" s="559"/>
      <c r="B342" s="559"/>
      <c r="C342" s="559"/>
      <c r="D342" s="559"/>
      <c r="E342" s="559"/>
      <c r="F342" s="559"/>
      <c r="G342" s="559"/>
      <c r="H342" s="559"/>
      <c r="I342" s="559"/>
      <c r="J342" s="559"/>
      <c r="K342" s="559"/>
      <c r="L342" s="559"/>
      <c r="M342" s="559"/>
      <c r="N342" s="559"/>
      <c r="O342" s="559"/>
      <c r="P342" s="559"/>
      <c r="Q342" s="559"/>
      <c r="R342" s="559"/>
      <c r="S342" s="559"/>
      <c r="T342" s="559"/>
      <c r="U342" s="559"/>
      <c r="V342" s="559"/>
      <c r="W342" s="559"/>
      <c r="X342" s="559"/>
      <c r="Y342" s="559"/>
      <c r="Z342" s="559"/>
    </row>
    <row r="343" spans="1:26" ht="18" customHeight="1" x14ac:dyDescent="0.35">
      <c r="A343" s="559"/>
      <c r="B343" s="559"/>
      <c r="C343" s="559"/>
      <c r="D343" s="559"/>
      <c r="E343" s="559"/>
      <c r="F343" s="559"/>
      <c r="G343" s="559"/>
      <c r="H343" s="559"/>
      <c r="I343" s="559"/>
      <c r="J343" s="559"/>
      <c r="K343" s="559"/>
      <c r="L343" s="559"/>
      <c r="M343" s="559"/>
      <c r="N343" s="559"/>
      <c r="O343" s="559"/>
      <c r="P343" s="559"/>
      <c r="Q343" s="559"/>
      <c r="R343" s="559"/>
      <c r="S343" s="559"/>
      <c r="T343" s="559"/>
      <c r="U343" s="559"/>
      <c r="V343" s="559"/>
      <c r="W343" s="559"/>
      <c r="X343" s="559"/>
      <c r="Y343" s="559"/>
      <c r="Z343" s="559"/>
    </row>
    <row r="344" spans="1:26" ht="18" customHeight="1" x14ac:dyDescent="0.35">
      <c r="A344" s="559"/>
      <c r="B344" s="559"/>
      <c r="C344" s="559"/>
      <c r="D344" s="559"/>
      <c r="E344" s="559"/>
      <c r="F344" s="559"/>
      <c r="G344" s="559"/>
      <c r="H344" s="559"/>
      <c r="I344" s="559"/>
      <c r="J344" s="559"/>
      <c r="K344" s="559"/>
      <c r="L344" s="559"/>
      <c r="M344" s="559"/>
      <c r="N344" s="559"/>
      <c r="O344" s="559"/>
      <c r="P344" s="559"/>
      <c r="Q344" s="559"/>
      <c r="R344" s="559"/>
      <c r="S344" s="559"/>
      <c r="T344" s="559"/>
      <c r="U344" s="559"/>
      <c r="V344" s="559"/>
      <c r="W344" s="559"/>
      <c r="X344" s="559"/>
      <c r="Y344" s="559"/>
      <c r="Z344" s="559"/>
    </row>
    <row r="345" spans="1:26" ht="18" customHeight="1" x14ac:dyDescent="0.35">
      <c r="A345" s="559"/>
      <c r="B345" s="559"/>
      <c r="C345" s="559"/>
      <c r="D345" s="559"/>
      <c r="E345" s="559"/>
      <c r="F345" s="559"/>
      <c r="G345" s="559"/>
      <c r="H345" s="559"/>
      <c r="I345" s="559"/>
      <c r="J345" s="559"/>
      <c r="K345" s="559"/>
      <c r="L345" s="559"/>
      <c r="M345" s="559"/>
      <c r="N345" s="559"/>
      <c r="O345" s="559"/>
      <c r="P345" s="559"/>
      <c r="Q345" s="559"/>
      <c r="R345" s="559"/>
      <c r="S345" s="559"/>
      <c r="T345" s="559"/>
      <c r="U345" s="559"/>
      <c r="V345" s="559"/>
      <c r="W345" s="559"/>
      <c r="X345" s="559"/>
      <c r="Y345" s="559"/>
      <c r="Z345" s="559"/>
    </row>
    <row r="346" spans="1:26" ht="18" customHeight="1" x14ac:dyDescent="0.35">
      <c r="A346" s="559"/>
      <c r="B346" s="559"/>
      <c r="C346" s="559"/>
      <c r="D346" s="559"/>
      <c r="E346" s="559"/>
      <c r="F346" s="559"/>
      <c r="G346" s="559"/>
      <c r="H346" s="559"/>
      <c r="I346" s="559"/>
      <c r="J346" s="559"/>
      <c r="K346" s="559"/>
      <c r="L346" s="559"/>
      <c r="M346" s="559"/>
      <c r="N346" s="559"/>
      <c r="O346" s="559"/>
      <c r="P346" s="559"/>
      <c r="Q346" s="559"/>
      <c r="R346" s="559"/>
      <c r="S346" s="559"/>
      <c r="T346" s="559"/>
      <c r="U346" s="559"/>
      <c r="V346" s="559"/>
      <c r="W346" s="559"/>
      <c r="X346" s="559"/>
      <c r="Y346" s="559"/>
      <c r="Z346" s="559"/>
    </row>
    <row r="347" spans="1:26" ht="18" customHeight="1" x14ac:dyDescent="0.35">
      <c r="A347" s="559"/>
      <c r="B347" s="559"/>
      <c r="C347" s="559"/>
      <c r="D347" s="559"/>
      <c r="E347" s="559"/>
      <c r="F347" s="559"/>
      <c r="G347" s="559"/>
      <c r="H347" s="559"/>
      <c r="I347" s="559"/>
      <c r="J347" s="559"/>
      <c r="K347" s="559"/>
      <c r="L347" s="559"/>
      <c r="M347" s="559"/>
      <c r="N347" s="559"/>
      <c r="O347" s="559"/>
      <c r="P347" s="559"/>
      <c r="Q347" s="559"/>
      <c r="R347" s="559"/>
      <c r="S347" s="559"/>
      <c r="T347" s="559"/>
      <c r="U347" s="559"/>
      <c r="V347" s="559"/>
      <c r="W347" s="559"/>
      <c r="X347" s="559"/>
      <c r="Y347" s="559"/>
      <c r="Z347" s="559"/>
    </row>
    <row r="348" spans="1:26" ht="18" customHeight="1" x14ac:dyDescent="0.35">
      <c r="A348" s="559"/>
      <c r="B348" s="559"/>
      <c r="C348" s="559"/>
      <c r="D348" s="559"/>
      <c r="E348" s="559"/>
      <c r="F348" s="559"/>
      <c r="G348" s="559"/>
      <c r="H348" s="559"/>
      <c r="I348" s="559"/>
      <c r="J348" s="559"/>
      <c r="K348" s="559"/>
      <c r="L348" s="559"/>
      <c r="M348" s="559"/>
      <c r="N348" s="559"/>
      <c r="O348" s="559"/>
      <c r="P348" s="559"/>
      <c r="Q348" s="559"/>
      <c r="R348" s="559"/>
      <c r="S348" s="559"/>
      <c r="T348" s="559"/>
      <c r="U348" s="559"/>
      <c r="V348" s="559"/>
      <c r="W348" s="559"/>
      <c r="X348" s="559"/>
      <c r="Y348" s="559"/>
      <c r="Z348" s="559"/>
    </row>
    <row r="349" spans="1:26" ht="18" customHeight="1" x14ac:dyDescent="0.35">
      <c r="A349" s="559"/>
      <c r="B349" s="559"/>
      <c r="C349" s="559"/>
      <c r="D349" s="559"/>
      <c r="E349" s="559"/>
      <c r="F349" s="559"/>
      <c r="G349" s="559"/>
      <c r="H349" s="559"/>
      <c r="I349" s="559"/>
      <c r="J349" s="559"/>
      <c r="K349" s="559"/>
      <c r="L349" s="559"/>
      <c r="M349" s="559"/>
      <c r="N349" s="559"/>
      <c r="O349" s="559"/>
      <c r="P349" s="559"/>
      <c r="Q349" s="559"/>
      <c r="R349" s="559"/>
      <c r="S349" s="559"/>
      <c r="T349" s="559"/>
      <c r="U349" s="559"/>
      <c r="V349" s="559"/>
      <c r="W349" s="559"/>
      <c r="X349" s="559"/>
      <c r="Y349" s="559"/>
      <c r="Z349" s="559"/>
    </row>
    <row r="350" spans="1:26" ht="18" customHeight="1" x14ac:dyDescent="0.35">
      <c r="A350" s="559"/>
      <c r="B350" s="559"/>
      <c r="C350" s="559"/>
      <c r="D350" s="559"/>
      <c r="E350" s="559"/>
      <c r="F350" s="559"/>
      <c r="G350" s="559"/>
      <c r="H350" s="559"/>
      <c r="I350" s="559"/>
      <c r="J350" s="559"/>
      <c r="K350" s="559"/>
      <c r="L350" s="559"/>
      <c r="M350" s="559"/>
      <c r="N350" s="559"/>
      <c r="O350" s="559"/>
      <c r="P350" s="559"/>
      <c r="Q350" s="559"/>
      <c r="R350" s="559"/>
      <c r="S350" s="559"/>
      <c r="T350" s="559"/>
      <c r="U350" s="559"/>
      <c r="V350" s="559"/>
      <c r="W350" s="559"/>
      <c r="X350" s="559"/>
      <c r="Y350" s="559"/>
      <c r="Z350" s="559"/>
    </row>
    <row r="351" spans="1:26" ht="18" customHeight="1" x14ac:dyDescent="0.35">
      <c r="A351" s="559"/>
      <c r="B351" s="559"/>
      <c r="C351" s="559"/>
      <c r="D351" s="559"/>
      <c r="E351" s="559"/>
      <c r="F351" s="559"/>
      <c r="G351" s="559"/>
      <c r="H351" s="559"/>
      <c r="I351" s="559"/>
      <c r="J351" s="559"/>
      <c r="K351" s="559"/>
      <c r="L351" s="559"/>
      <c r="M351" s="559"/>
      <c r="N351" s="559"/>
      <c r="O351" s="559"/>
      <c r="P351" s="559"/>
      <c r="Q351" s="559"/>
      <c r="R351" s="559"/>
      <c r="S351" s="559"/>
      <c r="T351" s="559"/>
      <c r="U351" s="559"/>
      <c r="V351" s="559"/>
      <c r="W351" s="559"/>
      <c r="X351" s="559"/>
      <c r="Y351" s="559"/>
      <c r="Z351" s="559"/>
    </row>
    <row r="352" spans="1:26" ht="18" customHeight="1" x14ac:dyDescent="0.35">
      <c r="A352" s="559"/>
      <c r="B352" s="559"/>
      <c r="C352" s="559"/>
      <c r="D352" s="559"/>
      <c r="E352" s="559"/>
      <c r="F352" s="559"/>
      <c r="G352" s="559"/>
      <c r="H352" s="559"/>
      <c r="I352" s="559"/>
      <c r="J352" s="559"/>
      <c r="K352" s="559"/>
      <c r="L352" s="559"/>
      <c r="M352" s="559"/>
      <c r="N352" s="559"/>
      <c r="O352" s="559"/>
      <c r="P352" s="559"/>
      <c r="Q352" s="559"/>
      <c r="R352" s="559"/>
      <c r="S352" s="559"/>
      <c r="T352" s="559"/>
      <c r="U352" s="559"/>
      <c r="V352" s="559"/>
      <c r="W352" s="559"/>
      <c r="X352" s="559"/>
      <c r="Y352" s="559"/>
      <c r="Z352" s="559"/>
    </row>
    <row r="353" spans="1:26" ht="18" customHeight="1" x14ac:dyDescent="0.35">
      <c r="A353" s="559"/>
      <c r="B353" s="559"/>
      <c r="C353" s="559"/>
      <c r="D353" s="559"/>
      <c r="E353" s="559"/>
      <c r="F353" s="559"/>
      <c r="G353" s="559"/>
      <c r="H353" s="559"/>
      <c r="I353" s="559"/>
      <c r="J353" s="559"/>
      <c r="K353" s="559"/>
      <c r="L353" s="559"/>
      <c r="M353" s="559"/>
      <c r="N353" s="559"/>
      <c r="O353" s="559"/>
      <c r="P353" s="559"/>
      <c r="Q353" s="559"/>
      <c r="R353" s="559"/>
      <c r="S353" s="559"/>
      <c r="T353" s="559"/>
      <c r="U353" s="559"/>
      <c r="V353" s="559"/>
      <c r="W353" s="559"/>
      <c r="X353" s="559"/>
      <c r="Y353" s="559"/>
      <c r="Z353" s="559"/>
    </row>
    <row r="354" spans="1:26" ht="18" customHeight="1" x14ac:dyDescent="0.35">
      <c r="A354" s="559"/>
      <c r="B354" s="559"/>
      <c r="C354" s="559"/>
      <c r="D354" s="559"/>
      <c r="E354" s="559"/>
      <c r="F354" s="559"/>
      <c r="G354" s="559"/>
      <c r="H354" s="559"/>
      <c r="I354" s="559"/>
      <c r="J354" s="559"/>
      <c r="K354" s="559"/>
      <c r="L354" s="559"/>
      <c r="M354" s="559"/>
      <c r="N354" s="559"/>
      <c r="O354" s="559"/>
      <c r="P354" s="559"/>
      <c r="Q354" s="559"/>
      <c r="R354" s="559"/>
      <c r="S354" s="559"/>
      <c r="T354" s="559"/>
      <c r="U354" s="559"/>
      <c r="V354" s="559"/>
      <c r="W354" s="559"/>
      <c r="X354" s="559"/>
      <c r="Y354" s="559"/>
      <c r="Z354" s="559"/>
    </row>
    <row r="355" spans="1:26" ht="18" customHeight="1" x14ac:dyDescent="0.35">
      <c r="A355" s="559"/>
      <c r="B355" s="559"/>
      <c r="C355" s="559"/>
      <c r="D355" s="559"/>
      <c r="E355" s="559"/>
      <c r="F355" s="559"/>
      <c r="G355" s="559"/>
      <c r="H355" s="559"/>
      <c r="I355" s="559"/>
      <c r="J355" s="559"/>
      <c r="K355" s="559"/>
      <c r="L355" s="559"/>
      <c r="M355" s="559"/>
      <c r="N355" s="559"/>
      <c r="O355" s="559"/>
      <c r="P355" s="559"/>
      <c r="Q355" s="559"/>
      <c r="R355" s="559"/>
      <c r="S355" s="559"/>
      <c r="T355" s="559"/>
      <c r="U355" s="559"/>
      <c r="V355" s="559"/>
      <c r="W355" s="559"/>
      <c r="X355" s="559"/>
      <c r="Y355" s="559"/>
      <c r="Z355" s="559"/>
    </row>
    <row r="356" spans="1:26" ht="18" customHeight="1" x14ac:dyDescent="0.35">
      <c r="A356" s="559"/>
      <c r="B356" s="559"/>
      <c r="C356" s="559"/>
      <c r="D356" s="559"/>
      <c r="E356" s="559"/>
      <c r="F356" s="559"/>
      <c r="G356" s="559"/>
      <c r="H356" s="559"/>
      <c r="I356" s="559"/>
      <c r="J356" s="559"/>
      <c r="K356" s="559"/>
      <c r="L356" s="559"/>
      <c r="M356" s="559"/>
      <c r="N356" s="559"/>
      <c r="O356" s="559"/>
      <c r="P356" s="559"/>
      <c r="Q356" s="559"/>
      <c r="R356" s="559"/>
      <c r="S356" s="559"/>
      <c r="T356" s="559"/>
      <c r="U356" s="559"/>
      <c r="V356" s="559"/>
      <c r="W356" s="559"/>
      <c r="X356" s="559"/>
      <c r="Y356" s="559"/>
      <c r="Z356" s="559"/>
    </row>
    <row r="357" spans="1:26" ht="18" customHeight="1" x14ac:dyDescent="0.35">
      <c r="A357" s="559"/>
      <c r="B357" s="559"/>
      <c r="C357" s="559"/>
      <c r="D357" s="559"/>
      <c r="E357" s="559"/>
      <c r="F357" s="559"/>
      <c r="G357" s="559"/>
      <c r="H357" s="559"/>
      <c r="I357" s="559"/>
      <c r="J357" s="559"/>
      <c r="K357" s="559"/>
      <c r="L357" s="559"/>
      <c r="M357" s="559"/>
      <c r="N357" s="559"/>
      <c r="O357" s="559"/>
      <c r="P357" s="559"/>
      <c r="Q357" s="559"/>
      <c r="R357" s="559"/>
      <c r="S357" s="559"/>
      <c r="T357" s="559"/>
      <c r="U357" s="559"/>
      <c r="V357" s="559"/>
      <c r="W357" s="559"/>
      <c r="X357" s="559"/>
      <c r="Y357" s="559"/>
      <c r="Z357" s="559"/>
    </row>
    <row r="358" spans="1:26" ht="18" customHeight="1" x14ac:dyDescent="0.35">
      <c r="A358" s="559"/>
      <c r="B358" s="559"/>
      <c r="C358" s="559"/>
      <c r="D358" s="559"/>
      <c r="E358" s="559"/>
      <c r="F358" s="559"/>
      <c r="G358" s="559"/>
      <c r="H358" s="559"/>
      <c r="I358" s="559"/>
      <c r="J358" s="559"/>
      <c r="K358" s="559"/>
      <c r="L358" s="559"/>
      <c r="M358" s="559"/>
      <c r="N358" s="559"/>
      <c r="O358" s="559"/>
      <c r="P358" s="559"/>
      <c r="Q358" s="559"/>
      <c r="R358" s="559"/>
      <c r="S358" s="559"/>
      <c r="T358" s="559"/>
      <c r="U358" s="559"/>
      <c r="V358" s="559"/>
      <c r="W358" s="559"/>
      <c r="X358" s="559"/>
      <c r="Y358" s="559"/>
      <c r="Z358" s="559"/>
    </row>
    <row r="359" spans="1:26" ht="18" customHeight="1" x14ac:dyDescent="0.35">
      <c r="A359" s="559"/>
      <c r="B359" s="559"/>
      <c r="C359" s="559"/>
      <c r="D359" s="559"/>
      <c r="E359" s="559"/>
      <c r="F359" s="559"/>
      <c r="G359" s="559"/>
      <c r="H359" s="559"/>
      <c r="I359" s="559"/>
      <c r="J359" s="559"/>
      <c r="K359" s="559"/>
      <c r="L359" s="559"/>
      <c r="M359" s="559"/>
      <c r="N359" s="559"/>
      <c r="O359" s="559"/>
      <c r="P359" s="559"/>
      <c r="Q359" s="559"/>
      <c r="R359" s="559"/>
      <c r="S359" s="559"/>
      <c r="T359" s="559"/>
      <c r="U359" s="559"/>
      <c r="V359" s="559"/>
      <c r="W359" s="559"/>
      <c r="X359" s="559"/>
      <c r="Y359" s="559"/>
      <c r="Z359" s="559"/>
    </row>
    <row r="360" spans="1:26" ht="18" customHeight="1" x14ac:dyDescent="0.35">
      <c r="A360" s="559"/>
      <c r="B360" s="559"/>
      <c r="C360" s="559"/>
      <c r="D360" s="559"/>
      <c r="E360" s="559"/>
      <c r="F360" s="559"/>
      <c r="G360" s="559"/>
      <c r="H360" s="559"/>
      <c r="I360" s="559"/>
      <c r="J360" s="559"/>
      <c r="K360" s="559"/>
      <c r="L360" s="559"/>
      <c r="M360" s="559"/>
      <c r="N360" s="559"/>
      <c r="O360" s="559"/>
      <c r="P360" s="559"/>
      <c r="Q360" s="559"/>
      <c r="R360" s="559"/>
      <c r="S360" s="559"/>
      <c r="T360" s="559"/>
      <c r="U360" s="559"/>
      <c r="V360" s="559"/>
      <c r="W360" s="559"/>
      <c r="X360" s="559"/>
      <c r="Y360" s="559"/>
      <c r="Z360" s="559"/>
    </row>
    <row r="361" spans="1:26" ht="18" customHeight="1" x14ac:dyDescent="0.35">
      <c r="A361" s="559"/>
      <c r="B361" s="559"/>
      <c r="C361" s="559"/>
      <c r="D361" s="559"/>
      <c r="E361" s="559"/>
      <c r="F361" s="559"/>
      <c r="G361" s="559"/>
      <c r="H361" s="559"/>
      <c r="I361" s="559"/>
      <c r="J361" s="559"/>
      <c r="K361" s="559"/>
      <c r="L361" s="559"/>
      <c r="M361" s="559"/>
      <c r="N361" s="559"/>
      <c r="O361" s="559"/>
      <c r="P361" s="559"/>
      <c r="Q361" s="559"/>
      <c r="R361" s="559"/>
      <c r="S361" s="559"/>
      <c r="T361" s="559"/>
      <c r="U361" s="559"/>
      <c r="V361" s="559"/>
      <c r="W361" s="559"/>
      <c r="X361" s="559"/>
      <c r="Y361" s="559"/>
      <c r="Z361" s="559"/>
    </row>
    <row r="362" spans="1:26" ht="18" customHeight="1" x14ac:dyDescent="0.35">
      <c r="A362" s="559"/>
      <c r="B362" s="559"/>
      <c r="C362" s="559"/>
      <c r="D362" s="559"/>
      <c r="E362" s="559"/>
      <c r="F362" s="559"/>
      <c r="G362" s="559"/>
      <c r="H362" s="559"/>
      <c r="I362" s="559"/>
      <c r="J362" s="559"/>
      <c r="K362" s="559"/>
      <c r="L362" s="559"/>
      <c r="M362" s="559"/>
      <c r="N362" s="559"/>
      <c r="O362" s="559"/>
      <c r="P362" s="559"/>
      <c r="Q362" s="559"/>
      <c r="R362" s="559"/>
      <c r="S362" s="559"/>
      <c r="T362" s="559"/>
      <c r="U362" s="559"/>
      <c r="V362" s="559"/>
      <c r="W362" s="559"/>
      <c r="X362" s="559"/>
      <c r="Y362" s="559"/>
      <c r="Z362" s="559"/>
    </row>
    <row r="363" spans="1:26" ht="18" customHeight="1" x14ac:dyDescent="0.35">
      <c r="A363" s="559"/>
      <c r="B363" s="559"/>
      <c r="C363" s="559"/>
      <c r="D363" s="559"/>
      <c r="E363" s="559"/>
      <c r="F363" s="559"/>
      <c r="G363" s="559"/>
      <c r="H363" s="559"/>
      <c r="I363" s="559"/>
      <c r="J363" s="559"/>
      <c r="K363" s="559"/>
      <c r="L363" s="559"/>
      <c r="M363" s="559"/>
      <c r="N363" s="559"/>
      <c r="O363" s="559"/>
      <c r="P363" s="559"/>
      <c r="Q363" s="559"/>
      <c r="R363" s="559"/>
      <c r="S363" s="559"/>
      <c r="T363" s="559"/>
      <c r="U363" s="559"/>
      <c r="V363" s="559"/>
      <c r="W363" s="559"/>
      <c r="X363" s="559"/>
      <c r="Y363" s="559"/>
      <c r="Z363" s="559"/>
    </row>
    <row r="364" spans="1:26" ht="18" customHeight="1" x14ac:dyDescent="0.35">
      <c r="A364" s="559"/>
      <c r="B364" s="559"/>
      <c r="C364" s="559"/>
      <c r="D364" s="559"/>
      <c r="E364" s="559"/>
      <c r="F364" s="559"/>
      <c r="G364" s="559"/>
      <c r="H364" s="559"/>
      <c r="I364" s="559"/>
      <c r="J364" s="559"/>
      <c r="K364" s="559"/>
      <c r="L364" s="559"/>
      <c r="M364" s="559"/>
      <c r="N364" s="559"/>
      <c r="O364" s="559"/>
      <c r="P364" s="559"/>
      <c r="Q364" s="559"/>
      <c r="R364" s="559"/>
      <c r="S364" s="559"/>
      <c r="T364" s="559"/>
      <c r="U364" s="559"/>
      <c r="V364" s="559"/>
      <c r="W364" s="559"/>
      <c r="X364" s="559"/>
      <c r="Y364" s="559"/>
      <c r="Z364" s="559"/>
    </row>
    <row r="365" spans="1:26" ht="18" customHeight="1" x14ac:dyDescent="0.35">
      <c r="A365" s="559"/>
      <c r="B365" s="559"/>
      <c r="C365" s="559"/>
      <c r="D365" s="559"/>
      <c r="E365" s="559"/>
      <c r="F365" s="559"/>
      <c r="G365" s="559"/>
      <c r="H365" s="559"/>
      <c r="I365" s="559"/>
      <c r="J365" s="559"/>
      <c r="K365" s="559"/>
      <c r="L365" s="559"/>
      <c r="M365" s="559"/>
      <c r="N365" s="559"/>
      <c r="O365" s="559"/>
      <c r="P365" s="559"/>
      <c r="Q365" s="559"/>
      <c r="R365" s="559"/>
      <c r="S365" s="559"/>
      <c r="T365" s="559"/>
      <c r="U365" s="559"/>
      <c r="V365" s="559"/>
      <c r="W365" s="559"/>
      <c r="X365" s="559"/>
      <c r="Y365" s="559"/>
      <c r="Z365" s="559"/>
    </row>
    <row r="366" spans="1:26" ht="18" customHeight="1" x14ac:dyDescent="0.35">
      <c r="A366" s="559"/>
      <c r="B366" s="559"/>
      <c r="C366" s="559"/>
      <c r="D366" s="559"/>
      <c r="E366" s="559"/>
      <c r="F366" s="559"/>
      <c r="G366" s="559"/>
      <c r="H366" s="559"/>
      <c r="I366" s="559"/>
      <c r="J366" s="559"/>
      <c r="K366" s="559"/>
      <c r="L366" s="559"/>
      <c r="M366" s="559"/>
      <c r="N366" s="559"/>
      <c r="O366" s="559"/>
      <c r="P366" s="559"/>
      <c r="Q366" s="559"/>
      <c r="R366" s="559"/>
      <c r="S366" s="559"/>
      <c r="T366" s="559"/>
      <c r="U366" s="559"/>
      <c r="V366" s="559"/>
      <c r="W366" s="559"/>
      <c r="X366" s="559"/>
      <c r="Y366" s="559"/>
      <c r="Z366" s="559"/>
    </row>
    <row r="367" spans="1:26" ht="18" customHeight="1" x14ac:dyDescent="0.35">
      <c r="A367" s="559"/>
      <c r="B367" s="559"/>
      <c r="C367" s="559"/>
      <c r="D367" s="559"/>
      <c r="E367" s="559"/>
      <c r="F367" s="559"/>
      <c r="G367" s="559"/>
      <c r="H367" s="559"/>
      <c r="I367" s="559"/>
      <c r="J367" s="559"/>
      <c r="K367" s="559"/>
      <c r="L367" s="559"/>
      <c r="M367" s="559"/>
      <c r="N367" s="559"/>
      <c r="O367" s="559"/>
      <c r="P367" s="559"/>
      <c r="Q367" s="559"/>
      <c r="R367" s="559"/>
      <c r="S367" s="559"/>
      <c r="T367" s="559"/>
      <c r="U367" s="559"/>
      <c r="V367" s="559"/>
      <c r="W367" s="559"/>
      <c r="X367" s="559"/>
      <c r="Y367" s="559"/>
      <c r="Z367" s="559"/>
    </row>
    <row r="368" spans="1:26" ht="18" customHeight="1" x14ac:dyDescent="0.35">
      <c r="A368" s="559"/>
      <c r="B368" s="559"/>
      <c r="C368" s="559"/>
      <c r="D368" s="559"/>
      <c r="E368" s="559"/>
      <c r="F368" s="559"/>
      <c r="G368" s="559"/>
      <c r="H368" s="559"/>
      <c r="I368" s="559"/>
      <c r="J368" s="559"/>
      <c r="K368" s="559"/>
      <c r="L368" s="559"/>
      <c r="M368" s="559"/>
      <c r="N368" s="559"/>
      <c r="O368" s="559"/>
      <c r="P368" s="559"/>
      <c r="Q368" s="559"/>
      <c r="R368" s="559"/>
      <c r="S368" s="559"/>
      <c r="T368" s="559"/>
      <c r="U368" s="559"/>
      <c r="V368" s="559"/>
      <c r="W368" s="559"/>
      <c r="X368" s="559"/>
      <c r="Y368" s="559"/>
      <c r="Z368" s="559"/>
    </row>
    <row r="369" spans="1:26" ht="18" customHeight="1" x14ac:dyDescent="0.35">
      <c r="A369" s="559"/>
      <c r="B369" s="559"/>
      <c r="C369" s="559"/>
      <c r="D369" s="559"/>
      <c r="E369" s="559"/>
      <c r="F369" s="559"/>
      <c r="G369" s="559"/>
      <c r="H369" s="559"/>
      <c r="I369" s="559"/>
      <c r="J369" s="559"/>
      <c r="K369" s="559"/>
      <c r="L369" s="559"/>
      <c r="M369" s="559"/>
      <c r="N369" s="559"/>
      <c r="O369" s="559"/>
      <c r="P369" s="559"/>
      <c r="Q369" s="559"/>
      <c r="R369" s="559"/>
      <c r="S369" s="559"/>
      <c r="T369" s="559"/>
      <c r="U369" s="559"/>
      <c r="V369" s="559"/>
      <c r="W369" s="559"/>
      <c r="X369" s="559"/>
      <c r="Y369" s="559"/>
      <c r="Z369" s="559"/>
    </row>
    <row r="370" spans="1:26" ht="18" customHeight="1" x14ac:dyDescent="0.35">
      <c r="A370" s="559"/>
      <c r="B370" s="559"/>
      <c r="C370" s="559"/>
      <c r="D370" s="559"/>
      <c r="E370" s="559"/>
      <c r="F370" s="559"/>
      <c r="G370" s="559"/>
      <c r="H370" s="559"/>
      <c r="I370" s="559"/>
      <c r="J370" s="559"/>
      <c r="K370" s="559"/>
      <c r="L370" s="559"/>
      <c r="M370" s="559"/>
      <c r="N370" s="559"/>
      <c r="O370" s="559"/>
      <c r="P370" s="559"/>
      <c r="Q370" s="559"/>
      <c r="R370" s="559"/>
      <c r="S370" s="559"/>
      <c r="T370" s="559"/>
      <c r="U370" s="559"/>
      <c r="V370" s="559"/>
      <c r="W370" s="559"/>
      <c r="X370" s="559"/>
      <c r="Y370" s="559"/>
      <c r="Z370" s="559"/>
    </row>
    <row r="371" spans="1:26" ht="18" customHeight="1" x14ac:dyDescent="0.35">
      <c r="A371" s="559"/>
      <c r="B371" s="559"/>
      <c r="C371" s="559"/>
      <c r="D371" s="559"/>
      <c r="E371" s="559"/>
      <c r="F371" s="559"/>
      <c r="G371" s="559"/>
      <c r="H371" s="559"/>
      <c r="I371" s="559"/>
      <c r="J371" s="559"/>
      <c r="K371" s="559"/>
      <c r="L371" s="559"/>
      <c r="M371" s="559"/>
      <c r="N371" s="559"/>
      <c r="O371" s="559"/>
      <c r="P371" s="559"/>
      <c r="Q371" s="559"/>
      <c r="R371" s="559"/>
      <c r="S371" s="559"/>
      <c r="T371" s="559"/>
      <c r="U371" s="559"/>
      <c r="V371" s="559"/>
      <c r="W371" s="559"/>
      <c r="X371" s="559"/>
      <c r="Y371" s="559"/>
      <c r="Z371" s="559"/>
    </row>
    <row r="372" spans="1:26" ht="18" customHeight="1" x14ac:dyDescent="0.35">
      <c r="A372" s="559"/>
      <c r="B372" s="559"/>
      <c r="C372" s="559"/>
      <c r="D372" s="559"/>
      <c r="E372" s="559"/>
      <c r="F372" s="559"/>
      <c r="G372" s="559"/>
      <c r="H372" s="559"/>
      <c r="I372" s="559"/>
      <c r="J372" s="559"/>
      <c r="K372" s="559"/>
      <c r="L372" s="559"/>
      <c r="M372" s="559"/>
      <c r="N372" s="559"/>
      <c r="O372" s="559"/>
      <c r="P372" s="559"/>
      <c r="Q372" s="559"/>
      <c r="R372" s="559"/>
      <c r="S372" s="559"/>
      <c r="T372" s="559"/>
      <c r="U372" s="559"/>
      <c r="V372" s="559"/>
      <c r="W372" s="559"/>
      <c r="X372" s="559"/>
      <c r="Y372" s="559"/>
      <c r="Z372" s="559"/>
    </row>
    <row r="373" spans="1:26" ht="18" customHeight="1" x14ac:dyDescent="0.35">
      <c r="A373" s="559"/>
      <c r="B373" s="559"/>
      <c r="C373" s="559"/>
      <c r="D373" s="559"/>
      <c r="E373" s="559"/>
      <c r="F373" s="559"/>
      <c r="G373" s="559"/>
      <c r="H373" s="559"/>
      <c r="I373" s="559"/>
      <c r="J373" s="559"/>
      <c r="K373" s="559"/>
      <c r="L373" s="559"/>
      <c r="M373" s="559"/>
      <c r="N373" s="559"/>
      <c r="O373" s="559"/>
      <c r="P373" s="559"/>
      <c r="Q373" s="559"/>
      <c r="R373" s="559"/>
      <c r="S373" s="559"/>
      <c r="T373" s="559"/>
      <c r="U373" s="559"/>
      <c r="V373" s="559"/>
      <c r="W373" s="559"/>
      <c r="X373" s="559"/>
      <c r="Y373" s="559"/>
      <c r="Z373" s="559"/>
    </row>
    <row r="374" spans="1:26" ht="18" customHeight="1" x14ac:dyDescent="0.35">
      <c r="A374" s="559"/>
      <c r="B374" s="559"/>
      <c r="C374" s="559"/>
      <c r="D374" s="559"/>
      <c r="E374" s="559"/>
      <c r="F374" s="559"/>
      <c r="G374" s="559"/>
      <c r="H374" s="559"/>
      <c r="I374" s="559"/>
      <c r="J374" s="559"/>
      <c r="K374" s="559"/>
      <c r="L374" s="559"/>
      <c r="M374" s="559"/>
      <c r="N374" s="559"/>
      <c r="O374" s="559"/>
      <c r="P374" s="559"/>
      <c r="Q374" s="559"/>
      <c r="R374" s="559"/>
      <c r="S374" s="559"/>
      <c r="T374" s="559"/>
      <c r="U374" s="559"/>
      <c r="V374" s="559"/>
      <c r="W374" s="559"/>
      <c r="X374" s="559"/>
      <c r="Y374" s="559"/>
      <c r="Z374" s="559"/>
    </row>
    <row r="375" spans="1:26" ht="18" customHeight="1" x14ac:dyDescent="0.35">
      <c r="A375" s="559"/>
      <c r="B375" s="559"/>
      <c r="C375" s="559"/>
      <c r="D375" s="559"/>
      <c r="E375" s="559"/>
      <c r="F375" s="559"/>
      <c r="G375" s="559"/>
      <c r="H375" s="559"/>
      <c r="I375" s="559"/>
      <c r="J375" s="559"/>
      <c r="K375" s="559"/>
      <c r="L375" s="559"/>
      <c r="M375" s="559"/>
      <c r="N375" s="559"/>
      <c r="O375" s="559"/>
      <c r="P375" s="559"/>
      <c r="Q375" s="559"/>
      <c r="R375" s="559"/>
      <c r="S375" s="559"/>
      <c r="T375" s="559"/>
      <c r="U375" s="559"/>
      <c r="V375" s="559"/>
      <c r="W375" s="559"/>
      <c r="X375" s="559"/>
      <c r="Y375" s="559"/>
      <c r="Z375" s="559"/>
    </row>
    <row r="376" spans="1:26" ht="18" customHeight="1" x14ac:dyDescent="0.35">
      <c r="A376" s="559"/>
      <c r="B376" s="559"/>
      <c r="C376" s="559"/>
      <c r="D376" s="559"/>
      <c r="E376" s="559"/>
      <c r="F376" s="559"/>
      <c r="G376" s="559"/>
      <c r="H376" s="559"/>
      <c r="I376" s="559"/>
      <c r="J376" s="559"/>
      <c r="K376" s="559"/>
      <c r="L376" s="559"/>
      <c r="M376" s="559"/>
      <c r="N376" s="559"/>
      <c r="O376" s="559"/>
      <c r="P376" s="559"/>
      <c r="Q376" s="559"/>
      <c r="R376" s="559"/>
      <c r="S376" s="559"/>
      <c r="T376" s="559"/>
      <c r="U376" s="559"/>
      <c r="V376" s="559"/>
      <c r="W376" s="559"/>
      <c r="X376" s="559"/>
      <c r="Y376" s="559"/>
      <c r="Z376" s="559"/>
    </row>
    <row r="377" spans="1:26" ht="18" customHeight="1" x14ac:dyDescent="0.35">
      <c r="A377" s="559"/>
      <c r="B377" s="559"/>
      <c r="C377" s="559"/>
      <c r="D377" s="559"/>
      <c r="E377" s="559"/>
      <c r="F377" s="559"/>
      <c r="G377" s="559"/>
      <c r="H377" s="559"/>
      <c r="I377" s="559"/>
      <c r="J377" s="559"/>
      <c r="K377" s="559"/>
      <c r="L377" s="559"/>
      <c r="M377" s="559"/>
      <c r="N377" s="559"/>
      <c r="O377" s="559"/>
      <c r="P377" s="559"/>
      <c r="Q377" s="559"/>
      <c r="R377" s="559"/>
      <c r="S377" s="559"/>
      <c r="T377" s="559"/>
      <c r="U377" s="559"/>
      <c r="V377" s="559"/>
      <c r="W377" s="559"/>
      <c r="X377" s="559"/>
      <c r="Y377" s="559"/>
      <c r="Z377" s="559"/>
    </row>
    <row r="378" spans="1:26" ht="18" customHeight="1" x14ac:dyDescent="0.35">
      <c r="A378" s="559"/>
      <c r="B378" s="559"/>
      <c r="C378" s="559"/>
      <c r="D378" s="559"/>
      <c r="E378" s="559"/>
      <c r="F378" s="559"/>
      <c r="G378" s="559"/>
      <c r="H378" s="559"/>
      <c r="I378" s="559"/>
      <c r="J378" s="559"/>
      <c r="K378" s="559"/>
      <c r="L378" s="559"/>
      <c r="M378" s="559"/>
      <c r="N378" s="559"/>
      <c r="O378" s="559"/>
      <c r="P378" s="559"/>
      <c r="Q378" s="559"/>
      <c r="R378" s="559"/>
      <c r="S378" s="559"/>
      <c r="T378" s="559"/>
      <c r="U378" s="559"/>
      <c r="V378" s="559"/>
      <c r="W378" s="559"/>
      <c r="X378" s="559"/>
      <c r="Y378" s="559"/>
      <c r="Z378" s="559"/>
    </row>
    <row r="379" spans="1:26" ht="18" customHeight="1" x14ac:dyDescent="0.35">
      <c r="A379" s="559"/>
      <c r="B379" s="559"/>
      <c r="C379" s="559"/>
      <c r="D379" s="559"/>
      <c r="E379" s="559"/>
      <c r="F379" s="559"/>
      <c r="G379" s="559"/>
      <c r="H379" s="559"/>
      <c r="I379" s="559"/>
      <c r="J379" s="559"/>
      <c r="K379" s="559"/>
      <c r="L379" s="559"/>
      <c r="M379" s="559"/>
      <c r="N379" s="559"/>
      <c r="O379" s="559"/>
      <c r="P379" s="559"/>
      <c r="Q379" s="559"/>
      <c r="R379" s="559"/>
      <c r="S379" s="559"/>
      <c r="T379" s="559"/>
      <c r="U379" s="559"/>
      <c r="V379" s="559"/>
      <c r="W379" s="559"/>
      <c r="X379" s="559"/>
      <c r="Y379" s="559"/>
      <c r="Z379" s="559"/>
    </row>
    <row r="380" spans="1:26" ht="18" customHeight="1" x14ac:dyDescent="0.35">
      <c r="A380" s="559"/>
      <c r="B380" s="559"/>
      <c r="C380" s="559"/>
      <c r="D380" s="559"/>
      <c r="E380" s="559"/>
      <c r="F380" s="559"/>
      <c r="G380" s="559"/>
      <c r="H380" s="559"/>
      <c r="I380" s="559"/>
      <c r="J380" s="559"/>
      <c r="K380" s="559"/>
      <c r="L380" s="559"/>
      <c r="M380" s="559"/>
      <c r="N380" s="559"/>
      <c r="O380" s="559"/>
      <c r="P380" s="559"/>
      <c r="Q380" s="559"/>
      <c r="R380" s="559"/>
      <c r="S380" s="559"/>
      <c r="T380" s="559"/>
      <c r="U380" s="559"/>
      <c r="V380" s="559"/>
      <c r="W380" s="559"/>
      <c r="X380" s="559"/>
      <c r="Y380" s="559"/>
      <c r="Z380" s="559"/>
    </row>
    <row r="381" spans="1:26" ht="18" customHeight="1" x14ac:dyDescent="0.35">
      <c r="A381" s="559"/>
      <c r="B381" s="559"/>
      <c r="C381" s="559"/>
      <c r="D381" s="559"/>
      <c r="E381" s="559"/>
      <c r="F381" s="559"/>
      <c r="G381" s="559"/>
      <c r="H381" s="559"/>
      <c r="I381" s="559"/>
      <c r="J381" s="559"/>
      <c r="K381" s="559"/>
      <c r="L381" s="559"/>
      <c r="M381" s="559"/>
      <c r="N381" s="559"/>
      <c r="O381" s="559"/>
      <c r="P381" s="559"/>
      <c r="Q381" s="559"/>
      <c r="R381" s="559"/>
      <c r="S381" s="559"/>
      <c r="T381" s="559"/>
      <c r="U381" s="559"/>
      <c r="V381" s="559"/>
      <c r="W381" s="559"/>
      <c r="X381" s="559"/>
      <c r="Y381" s="559"/>
      <c r="Z381" s="559"/>
    </row>
    <row r="382" spans="1:26" ht="18" customHeight="1" x14ac:dyDescent="0.35">
      <c r="A382" s="559"/>
      <c r="B382" s="559"/>
      <c r="C382" s="559"/>
      <c r="D382" s="559"/>
      <c r="E382" s="559"/>
      <c r="F382" s="559"/>
      <c r="G382" s="559"/>
      <c r="H382" s="559"/>
      <c r="I382" s="559"/>
      <c r="J382" s="559"/>
      <c r="K382" s="559"/>
      <c r="L382" s="559"/>
      <c r="M382" s="559"/>
      <c r="N382" s="559"/>
      <c r="O382" s="559"/>
      <c r="P382" s="559"/>
      <c r="Q382" s="559"/>
      <c r="R382" s="559"/>
      <c r="S382" s="559"/>
      <c r="T382" s="559"/>
      <c r="U382" s="559"/>
      <c r="V382" s="559"/>
      <c r="W382" s="559"/>
      <c r="X382" s="559"/>
      <c r="Y382" s="559"/>
      <c r="Z382" s="559"/>
    </row>
    <row r="383" spans="1:26" ht="18" customHeight="1" x14ac:dyDescent="0.35">
      <c r="A383" s="559"/>
      <c r="B383" s="559"/>
      <c r="C383" s="559"/>
      <c r="D383" s="559"/>
      <c r="E383" s="559"/>
      <c r="F383" s="559"/>
      <c r="G383" s="559"/>
      <c r="H383" s="559"/>
      <c r="I383" s="559"/>
      <c r="J383" s="559"/>
      <c r="K383" s="559"/>
      <c r="L383" s="559"/>
      <c r="M383" s="559"/>
      <c r="N383" s="559"/>
      <c r="O383" s="559"/>
      <c r="P383" s="559"/>
      <c r="Q383" s="559"/>
      <c r="R383" s="559"/>
      <c r="S383" s="559"/>
      <c r="T383" s="559"/>
      <c r="U383" s="559"/>
      <c r="V383" s="559"/>
      <c r="W383" s="559"/>
      <c r="X383" s="559"/>
      <c r="Y383" s="559"/>
      <c r="Z383" s="559"/>
    </row>
    <row r="384" spans="1:26" ht="18" customHeight="1" x14ac:dyDescent="0.35">
      <c r="A384" s="559"/>
      <c r="B384" s="559"/>
      <c r="C384" s="559"/>
      <c r="D384" s="559"/>
      <c r="E384" s="559"/>
      <c r="F384" s="559"/>
      <c r="G384" s="559"/>
      <c r="H384" s="559"/>
      <c r="I384" s="559"/>
      <c r="J384" s="559"/>
      <c r="K384" s="559"/>
      <c r="L384" s="559"/>
      <c r="M384" s="559"/>
      <c r="N384" s="559"/>
      <c r="O384" s="559"/>
      <c r="P384" s="559"/>
      <c r="Q384" s="559"/>
      <c r="R384" s="559"/>
      <c r="S384" s="559"/>
      <c r="T384" s="559"/>
      <c r="U384" s="559"/>
      <c r="V384" s="559"/>
      <c r="W384" s="559"/>
      <c r="X384" s="559"/>
      <c r="Y384" s="559"/>
      <c r="Z384" s="559"/>
    </row>
    <row r="385" spans="1:26" ht="18" customHeight="1" x14ac:dyDescent="0.35">
      <c r="A385" s="559"/>
      <c r="B385" s="559"/>
      <c r="C385" s="559"/>
      <c r="D385" s="559"/>
      <c r="E385" s="559"/>
      <c r="F385" s="559"/>
      <c r="G385" s="559"/>
      <c r="H385" s="559"/>
      <c r="I385" s="559"/>
      <c r="J385" s="559"/>
      <c r="K385" s="559"/>
      <c r="L385" s="559"/>
      <c r="M385" s="559"/>
      <c r="N385" s="559"/>
      <c r="O385" s="559"/>
      <c r="P385" s="559"/>
      <c r="Q385" s="559"/>
      <c r="R385" s="559"/>
      <c r="S385" s="559"/>
      <c r="T385" s="559"/>
      <c r="U385" s="559"/>
      <c r="V385" s="559"/>
      <c r="W385" s="559"/>
      <c r="X385" s="559"/>
      <c r="Y385" s="559"/>
      <c r="Z385" s="559"/>
    </row>
    <row r="386" spans="1:26" ht="18" customHeight="1" x14ac:dyDescent="0.35">
      <c r="A386" s="559"/>
      <c r="B386" s="559"/>
      <c r="C386" s="559"/>
      <c r="D386" s="559"/>
      <c r="E386" s="559"/>
      <c r="F386" s="559"/>
      <c r="G386" s="559"/>
      <c r="H386" s="559"/>
      <c r="I386" s="559"/>
      <c r="J386" s="559"/>
      <c r="K386" s="559"/>
      <c r="L386" s="559"/>
      <c r="M386" s="559"/>
      <c r="N386" s="559"/>
      <c r="O386" s="559"/>
      <c r="P386" s="559"/>
      <c r="Q386" s="559"/>
      <c r="R386" s="559"/>
      <c r="S386" s="559"/>
      <c r="T386" s="559"/>
      <c r="U386" s="559"/>
      <c r="V386" s="559"/>
      <c r="W386" s="559"/>
      <c r="X386" s="559"/>
      <c r="Y386" s="559"/>
      <c r="Z386" s="559"/>
    </row>
    <row r="387" spans="1:26" ht="18" customHeight="1" x14ac:dyDescent="0.35">
      <c r="A387" s="559"/>
      <c r="B387" s="559"/>
      <c r="C387" s="559"/>
      <c r="D387" s="559"/>
      <c r="E387" s="559"/>
      <c r="F387" s="559"/>
      <c r="G387" s="559"/>
      <c r="H387" s="559"/>
      <c r="I387" s="559"/>
      <c r="J387" s="559"/>
      <c r="K387" s="559"/>
      <c r="L387" s="559"/>
      <c r="M387" s="559"/>
      <c r="N387" s="559"/>
      <c r="O387" s="559"/>
      <c r="P387" s="559"/>
      <c r="Q387" s="559"/>
      <c r="R387" s="559"/>
      <c r="S387" s="559"/>
      <c r="T387" s="559"/>
      <c r="U387" s="559"/>
      <c r="V387" s="559"/>
      <c r="W387" s="559"/>
      <c r="X387" s="559"/>
      <c r="Y387" s="559"/>
      <c r="Z387" s="559"/>
    </row>
    <row r="388" spans="1:26" ht="18" customHeight="1" x14ac:dyDescent="0.35">
      <c r="A388" s="559"/>
      <c r="B388" s="559"/>
      <c r="C388" s="559"/>
      <c r="D388" s="559"/>
      <c r="E388" s="559"/>
      <c r="F388" s="559"/>
      <c r="G388" s="559"/>
      <c r="H388" s="559"/>
      <c r="I388" s="559"/>
      <c r="J388" s="559"/>
      <c r="K388" s="559"/>
      <c r="L388" s="559"/>
      <c r="M388" s="559"/>
      <c r="N388" s="559"/>
      <c r="O388" s="559"/>
      <c r="P388" s="559"/>
      <c r="Q388" s="559"/>
      <c r="R388" s="559"/>
      <c r="S388" s="559"/>
      <c r="T388" s="559"/>
      <c r="U388" s="559"/>
      <c r="V388" s="559"/>
      <c r="W388" s="559"/>
      <c r="X388" s="559"/>
      <c r="Y388" s="559"/>
      <c r="Z388" s="559"/>
    </row>
    <row r="389" spans="1:26" ht="18" customHeight="1" x14ac:dyDescent="0.35">
      <c r="A389" s="559"/>
      <c r="B389" s="559"/>
      <c r="C389" s="559"/>
      <c r="D389" s="559"/>
      <c r="E389" s="559"/>
      <c r="F389" s="559"/>
      <c r="G389" s="559"/>
      <c r="H389" s="559"/>
      <c r="I389" s="559"/>
      <c r="J389" s="559"/>
      <c r="K389" s="559"/>
      <c r="L389" s="559"/>
      <c r="M389" s="559"/>
      <c r="N389" s="559"/>
      <c r="O389" s="559"/>
      <c r="P389" s="559"/>
      <c r="Q389" s="559"/>
      <c r="R389" s="559"/>
      <c r="S389" s="559"/>
      <c r="T389" s="559"/>
      <c r="U389" s="559"/>
      <c r="V389" s="559"/>
      <c r="W389" s="559"/>
      <c r="X389" s="559"/>
      <c r="Y389" s="559"/>
      <c r="Z389" s="559"/>
    </row>
    <row r="390" spans="1:26" ht="18" customHeight="1" x14ac:dyDescent="0.35">
      <c r="A390" s="559"/>
      <c r="B390" s="559"/>
      <c r="C390" s="559"/>
      <c r="D390" s="559"/>
      <c r="E390" s="559"/>
      <c r="F390" s="559"/>
      <c r="G390" s="559"/>
      <c r="H390" s="559"/>
      <c r="I390" s="559"/>
      <c r="J390" s="559"/>
      <c r="K390" s="559"/>
      <c r="L390" s="559"/>
      <c r="M390" s="559"/>
      <c r="N390" s="559"/>
      <c r="O390" s="559"/>
      <c r="P390" s="559"/>
      <c r="Q390" s="559"/>
      <c r="R390" s="559"/>
      <c r="S390" s="559"/>
      <c r="T390" s="559"/>
      <c r="U390" s="559"/>
      <c r="V390" s="559"/>
      <c r="W390" s="559"/>
      <c r="X390" s="559"/>
      <c r="Y390" s="559"/>
      <c r="Z390" s="559"/>
    </row>
    <row r="391" spans="1:26" ht="18" customHeight="1" x14ac:dyDescent="0.35">
      <c r="A391" s="559"/>
      <c r="B391" s="559"/>
      <c r="C391" s="559"/>
      <c r="D391" s="559"/>
      <c r="E391" s="559"/>
      <c r="F391" s="559"/>
      <c r="G391" s="559"/>
      <c r="H391" s="559"/>
      <c r="I391" s="559"/>
      <c r="J391" s="559"/>
      <c r="K391" s="559"/>
      <c r="L391" s="559"/>
      <c r="M391" s="559"/>
      <c r="N391" s="559"/>
      <c r="O391" s="559"/>
      <c r="P391" s="559"/>
      <c r="Q391" s="559"/>
      <c r="R391" s="559"/>
      <c r="S391" s="559"/>
      <c r="T391" s="559"/>
      <c r="U391" s="559"/>
      <c r="V391" s="559"/>
      <c r="W391" s="559"/>
      <c r="X391" s="559"/>
      <c r="Y391" s="559"/>
      <c r="Z391" s="559"/>
    </row>
    <row r="392" spans="1:26" ht="18" customHeight="1" x14ac:dyDescent="0.35">
      <c r="A392" s="559"/>
      <c r="B392" s="559"/>
      <c r="C392" s="559"/>
      <c r="D392" s="559"/>
      <c r="E392" s="559"/>
      <c r="F392" s="559"/>
      <c r="G392" s="559"/>
      <c r="H392" s="559"/>
      <c r="I392" s="559"/>
      <c r="J392" s="559"/>
      <c r="K392" s="559"/>
      <c r="L392" s="559"/>
      <c r="M392" s="559"/>
      <c r="N392" s="559"/>
      <c r="O392" s="559"/>
      <c r="P392" s="559"/>
      <c r="Q392" s="559"/>
      <c r="R392" s="559"/>
      <c r="S392" s="559"/>
      <c r="T392" s="559"/>
      <c r="U392" s="559"/>
      <c r="V392" s="559"/>
      <c r="W392" s="559"/>
      <c r="X392" s="559"/>
      <c r="Y392" s="559"/>
      <c r="Z392" s="559"/>
    </row>
    <row r="393" spans="1:26" ht="18" customHeight="1" x14ac:dyDescent="0.35">
      <c r="A393" s="559"/>
      <c r="B393" s="559"/>
      <c r="C393" s="559"/>
      <c r="D393" s="559"/>
      <c r="E393" s="559"/>
      <c r="F393" s="559"/>
      <c r="G393" s="559"/>
      <c r="H393" s="559"/>
      <c r="I393" s="559"/>
      <c r="J393" s="559"/>
      <c r="K393" s="559"/>
      <c r="L393" s="559"/>
      <c r="M393" s="559"/>
      <c r="N393" s="559"/>
      <c r="O393" s="559"/>
      <c r="P393" s="559"/>
      <c r="Q393" s="559"/>
      <c r="R393" s="559"/>
      <c r="S393" s="559"/>
      <c r="T393" s="559"/>
      <c r="U393" s="559"/>
      <c r="V393" s="559"/>
      <c r="W393" s="559"/>
      <c r="X393" s="559"/>
      <c r="Y393" s="559"/>
      <c r="Z393" s="559"/>
    </row>
    <row r="394" spans="1:26" ht="18" customHeight="1" x14ac:dyDescent="0.35">
      <c r="A394" s="559"/>
      <c r="B394" s="559"/>
      <c r="C394" s="559"/>
      <c r="D394" s="559"/>
      <c r="E394" s="559"/>
      <c r="F394" s="559"/>
      <c r="G394" s="559"/>
      <c r="H394" s="559"/>
      <c r="I394" s="559"/>
      <c r="J394" s="559"/>
      <c r="K394" s="559"/>
      <c r="L394" s="559"/>
      <c r="M394" s="559"/>
      <c r="N394" s="559"/>
      <c r="O394" s="559"/>
      <c r="P394" s="559"/>
      <c r="Q394" s="559"/>
      <c r="R394" s="559"/>
      <c r="S394" s="559"/>
      <c r="T394" s="559"/>
      <c r="U394" s="559"/>
      <c r="V394" s="559"/>
      <c r="W394" s="559"/>
      <c r="X394" s="559"/>
      <c r="Y394" s="559"/>
      <c r="Z394" s="559"/>
    </row>
    <row r="395" spans="1:26" ht="18" customHeight="1" x14ac:dyDescent="0.35">
      <c r="A395" s="559"/>
      <c r="B395" s="559"/>
      <c r="C395" s="559"/>
      <c r="D395" s="559"/>
      <c r="E395" s="559"/>
      <c r="F395" s="559"/>
      <c r="G395" s="559"/>
      <c r="H395" s="559"/>
      <c r="I395" s="559"/>
      <c r="J395" s="559"/>
      <c r="K395" s="559"/>
      <c r="L395" s="559"/>
      <c r="M395" s="559"/>
      <c r="N395" s="559"/>
      <c r="O395" s="559"/>
      <c r="P395" s="559"/>
      <c r="Q395" s="559"/>
      <c r="R395" s="559"/>
      <c r="S395" s="559"/>
      <c r="T395" s="559"/>
      <c r="U395" s="559"/>
      <c r="V395" s="559"/>
      <c r="W395" s="559"/>
      <c r="X395" s="559"/>
      <c r="Y395" s="559"/>
      <c r="Z395" s="559"/>
    </row>
    <row r="396" spans="1:26" ht="18" customHeight="1" x14ac:dyDescent="0.35">
      <c r="A396" s="559"/>
      <c r="B396" s="559"/>
      <c r="C396" s="559"/>
      <c r="D396" s="559"/>
      <c r="E396" s="559"/>
      <c r="F396" s="559"/>
      <c r="G396" s="559"/>
      <c r="H396" s="559"/>
      <c r="I396" s="559"/>
      <c r="J396" s="559"/>
      <c r="K396" s="559"/>
      <c r="L396" s="559"/>
      <c r="M396" s="559"/>
      <c r="N396" s="559"/>
      <c r="O396" s="559"/>
      <c r="P396" s="559"/>
      <c r="Q396" s="559"/>
      <c r="R396" s="559"/>
      <c r="S396" s="559"/>
      <c r="T396" s="559"/>
      <c r="U396" s="559"/>
      <c r="V396" s="559"/>
      <c r="W396" s="559"/>
      <c r="X396" s="559"/>
      <c r="Y396" s="559"/>
      <c r="Z396" s="559"/>
    </row>
    <row r="397" spans="1:26" ht="18" customHeight="1" x14ac:dyDescent="0.35">
      <c r="A397" s="559"/>
      <c r="B397" s="559"/>
      <c r="C397" s="559"/>
      <c r="D397" s="559"/>
      <c r="E397" s="559"/>
      <c r="F397" s="559"/>
      <c r="G397" s="559"/>
      <c r="H397" s="559"/>
      <c r="I397" s="559"/>
      <c r="J397" s="559"/>
      <c r="K397" s="559"/>
      <c r="L397" s="559"/>
      <c r="M397" s="559"/>
      <c r="N397" s="559"/>
      <c r="O397" s="559"/>
      <c r="P397" s="559"/>
      <c r="Q397" s="559"/>
      <c r="R397" s="559"/>
      <c r="S397" s="559"/>
      <c r="T397" s="559"/>
      <c r="U397" s="559"/>
      <c r="V397" s="559"/>
      <c r="W397" s="559"/>
      <c r="X397" s="559"/>
      <c r="Y397" s="559"/>
      <c r="Z397" s="559"/>
    </row>
    <row r="398" spans="1:26" ht="18" customHeight="1" x14ac:dyDescent="0.35">
      <c r="A398" s="559"/>
      <c r="B398" s="559"/>
      <c r="C398" s="559"/>
      <c r="D398" s="559"/>
      <c r="E398" s="559"/>
      <c r="F398" s="559"/>
      <c r="G398" s="559"/>
      <c r="H398" s="559"/>
      <c r="I398" s="559"/>
      <c r="J398" s="559"/>
      <c r="K398" s="559"/>
      <c r="L398" s="559"/>
      <c r="M398" s="559"/>
      <c r="N398" s="559"/>
      <c r="O398" s="559"/>
      <c r="P398" s="559"/>
      <c r="Q398" s="559"/>
      <c r="R398" s="559"/>
      <c r="S398" s="559"/>
      <c r="T398" s="559"/>
      <c r="U398" s="559"/>
      <c r="V398" s="559"/>
      <c r="W398" s="559"/>
      <c r="X398" s="559"/>
      <c r="Y398" s="559"/>
      <c r="Z398" s="559"/>
    </row>
    <row r="399" spans="1:26" ht="18" customHeight="1" x14ac:dyDescent="0.35">
      <c r="A399" s="559"/>
      <c r="B399" s="559"/>
      <c r="C399" s="559"/>
      <c r="D399" s="559"/>
      <c r="E399" s="559"/>
      <c r="F399" s="559"/>
      <c r="G399" s="559"/>
      <c r="H399" s="559"/>
      <c r="I399" s="559"/>
      <c r="J399" s="559"/>
      <c r="K399" s="559"/>
      <c r="L399" s="559"/>
      <c r="M399" s="559"/>
      <c r="N399" s="559"/>
      <c r="O399" s="559"/>
      <c r="P399" s="559"/>
      <c r="Q399" s="559"/>
      <c r="R399" s="559"/>
      <c r="S399" s="559"/>
      <c r="T399" s="559"/>
      <c r="U399" s="559"/>
      <c r="V399" s="559"/>
      <c r="W399" s="559"/>
      <c r="X399" s="559"/>
      <c r="Y399" s="559"/>
      <c r="Z399" s="559"/>
    </row>
    <row r="400" spans="1:26" ht="18" customHeight="1" x14ac:dyDescent="0.35">
      <c r="A400" s="559"/>
      <c r="B400" s="559"/>
      <c r="C400" s="559"/>
      <c r="D400" s="559"/>
      <c r="E400" s="559"/>
      <c r="F400" s="559"/>
      <c r="G400" s="559"/>
      <c r="H400" s="559"/>
      <c r="I400" s="559"/>
      <c r="J400" s="559"/>
      <c r="K400" s="559"/>
      <c r="L400" s="559"/>
      <c r="M400" s="559"/>
      <c r="N400" s="559"/>
      <c r="O400" s="559"/>
      <c r="P400" s="559"/>
      <c r="Q400" s="559"/>
      <c r="R400" s="559"/>
      <c r="S400" s="559"/>
      <c r="T400" s="559"/>
      <c r="U400" s="559"/>
      <c r="V400" s="559"/>
      <c r="W400" s="559"/>
      <c r="X400" s="559"/>
      <c r="Y400" s="559"/>
      <c r="Z400" s="559"/>
    </row>
    <row r="401" spans="1:26" ht="18" customHeight="1" x14ac:dyDescent="0.35">
      <c r="A401" s="559"/>
      <c r="B401" s="559"/>
      <c r="C401" s="559"/>
      <c r="D401" s="559"/>
      <c r="E401" s="559"/>
      <c r="F401" s="559"/>
      <c r="G401" s="559"/>
      <c r="H401" s="559"/>
      <c r="I401" s="559"/>
      <c r="J401" s="559"/>
      <c r="K401" s="559"/>
      <c r="L401" s="559"/>
      <c r="M401" s="559"/>
      <c r="N401" s="559"/>
      <c r="O401" s="559"/>
      <c r="P401" s="559"/>
      <c r="Q401" s="559"/>
      <c r="R401" s="559"/>
      <c r="S401" s="559"/>
      <c r="T401" s="559"/>
      <c r="U401" s="559"/>
      <c r="V401" s="559"/>
      <c r="W401" s="559"/>
      <c r="X401" s="559"/>
      <c r="Y401" s="559"/>
      <c r="Z401" s="559"/>
    </row>
    <row r="402" spans="1:26" ht="18" customHeight="1" x14ac:dyDescent="0.35">
      <c r="A402" s="559"/>
      <c r="B402" s="559"/>
      <c r="C402" s="559"/>
      <c r="D402" s="559"/>
      <c r="E402" s="559"/>
      <c r="F402" s="559"/>
      <c r="G402" s="559"/>
      <c r="H402" s="559"/>
      <c r="I402" s="559"/>
      <c r="J402" s="559"/>
      <c r="K402" s="559"/>
      <c r="L402" s="559"/>
      <c r="M402" s="559"/>
      <c r="N402" s="559"/>
      <c r="O402" s="559"/>
      <c r="P402" s="559"/>
      <c r="Q402" s="559"/>
      <c r="R402" s="559"/>
      <c r="S402" s="559"/>
      <c r="T402" s="559"/>
      <c r="U402" s="559"/>
      <c r="V402" s="559"/>
      <c r="W402" s="559"/>
      <c r="X402" s="559"/>
      <c r="Y402" s="559"/>
      <c r="Z402" s="559"/>
    </row>
    <row r="403" spans="1:26" ht="18" customHeight="1" x14ac:dyDescent="0.35">
      <c r="A403" s="559"/>
      <c r="B403" s="559"/>
      <c r="C403" s="559"/>
      <c r="D403" s="559"/>
      <c r="E403" s="559"/>
      <c r="F403" s="559"/>
      <c r="G403" s="559"/>
      <c r="H403" s="559"/>
      <c r="I403" s="559"/>
      <c r="J403" s="559"/>
      <c r="K403" s="559"/>
      <c r="L403" s="559"/>
      <c r="M403" s="559"/>
      <c r="N403" s="559"/>
      <c r="O403" s="559"/>
      <c r="P403" s="559"/>
      <c r="Q403" s="559"/>
      <c r="R403" s="559"/>
      <c r="S403" s="559"/>
      <c r="T403" s="559"/>
      <c r="U403" s="559"/>
      <c r="V403" s="559"/>
      <c r="W403" s="559"/>
      <c r="X403" s="559"/>
      <c r="Y403" s="559"/>
      <c r="Z403" s="559"/>
    </row>
    <row r="404" spans="1:26" ht="18" customHeight="1" x14ac:dyDescent="0.35">
      <c r="A404" s="559"/>
      <c r="B404" s="559"/>
      <c r="C404" s="559"/>
      <c r="D404" s="559"/>
      <c r="E404" s="559"/>
      <c r="F404" s="559"/>
      <c r="G404" s="559"/>
      <c r="H404" s="559"/>
      <c r="I404" s="559"/>
      <c r="J404" s="559"/>
      <c r="K404" s="559"/>
      <c r="L404" s="559"/>
      <c r="M404" s="559"/>
      <c r="N404" s="559"/>
      <c r="O404" s="559"/>
      <c r="P404" s="559"/>
      <c r="Q404" s="559"/>
      <c r="R404" s="559"/>
      <c r="S404" s="559"/>
      <c r="T404" s="559"/>
      <c r="U404" s="559"/>
      <c r="V404" s="559"/>
      <c r="W404" s="559"/>
      <c r="X404" s="559"/>
      <c r="Y404" s="559"/>
      <c r="Z404" s="559"/>
    </row>
    <row r="405" spans="1:26" ht="18" customHeight="1" x14ac:dyDescent="0.35">
      <c r="A405" s="559"/>
      <c r="B405" s="559"/>
      <c r="C405" s="559"/>
      <c r="D405" s="559"/>
      <c r="E405" s="559"/>
      <c r="F405" s="559"/>
      <c r="G405" s="559"/>
      <c r="H405" s="559"/>
      <c r="I405" s="559"/>
      <c r="J405" s="559"/>
      <c r="K405" s="559"/>
      <c r="L405" s="559"/>
      <c r="M405" s="559"/>
      <c r="N405" s="559"/>
      <c r="O405" s="559"/>
      <c r="P405" s="559"/>
      <c r="Q405" s="559"/>
      <c r="R405" s="559"/>
      <c r="S405" s="559"/>
      <c r="T405" s="559"/>
      <c r="U405" s="559"/>
      <c r="V405" s="559"/>
      <c r="W405" s="559"/>
      <c r="X405" s="559"/>
      <c r="Y405" s="559"/>
      <c r="Z405" s="559"/>
    </row>
    <row r="406" spans="1:26" ht="18" customHeight="1" x14ac:dyDescent="0.35">
      <c r="A406" s="559"/>
      <c r="B406" s="559"/>
      <c r="C406" s="559"/>
      <c r="D406" s="559"/>
      <c r="E406" s="559"/>
      <c r="F406" s="559"/>
      <c r="G406" s="559"/>
      <c r="H406" s="559"/>
      <c r="I406" s="559"/>
      <c r="J406" s="559"/>
      <c r="K406" s="559"/>
      <c r="L406" s="559"/>
      <c r="M406" s="559"/>
      <c r="N406" s="559"/>
      <c r="O406" s="559"/>
      <c r="P406" s="559"/>
      <c r="Q406" s="559"/>
      <c r="R406" s="559"/>
      <c r="S406" s="559"/>
      <c r="T406" s="559"/>
      <c r="U406" s="559"/>
      <c r="V406" s="559"/>
      <c r="W406" s="559"/>
      <c r="X406" s="559"/>
      <c r="Y406" s="559"/>
      <c r="Z406" s="559"/>
    </row>
    <row r="407" spans="1:26" ht="18" customHeight="1" x14ac:dyDescent="0.35">
      <c r="A407" s="559"/>
      <c r="B407" s="559"/>
      <c r="C407" s="559"/>
      <c r="D407" s="559"/>
      <c r="E407" s="559"/>
      <c r="F407" s="559"/>
      <c r="G407" s="559"/>
      <c r="H407" s="559"/>
      <c r="I407" s="559"/>
      <c r="J407" s="559"/>
      <c r="K407" s="559"/>
      <c r="L407" s="559"/>
      <c r="M407" s="559"/>
      <c r="N407" s="559"/>
      <c r="O407" s="559"/>
      <c r="P407" s="559"/>
      <c r="Q407" s="559"/>
      <c r="R407" s="559"/>
      <c r="S407" s="559"/>
      <c r="T407" s="559"/>
      <c r="U407" s="559"/>
      <c r="V407" s="559"/>
      <c r="W407" s="559"/>
      <c r="X407" s="559"/>
      <c r="Y407" s="559"/>
      <c r="Z407" s="559"/>
    </row>
    <row r="408" spans="1:26" ht="18" customHeight="1" x14ac:dyDescent="0.35">
      <c r="A408" s="559"/>
      <c r="B408" s="559"/>
      <c r="C408" s="559"/>
      <c r="D408" s="559"/>
      <c r="E408" s="559"/>
      <c r="F408" s="559"/>
      <c r="G408" s="559"/>
      <c r="H408" s="559"/>
      <c r="I408" s="559"/>
      <c r="J408" s="559"/>
      <c r="K408" s="559"/>
      <c r="L408" s="559"/>
      <c r="M408" s="559"/>
      <c r="N408" s="559"/>
      <c r="O408" s="559"/>
      <c r="P408" s="559"/>
      <c r="Q408" s="559"/>
      <c r="R408" s="559"/>
      <c r="S408" s="559"/>
      <c r="T408" s="559"/>
      <c r="U408" s="559"/>
      <c r="V408" s="559"/>
      <c r="W408" s="559"/>
      <c r="X408" s="559"/>
      <c r="Y408" s="559"/>
      <c r="Z408" s="559"/>
    </row>
    <row r="409" spans="1:26" ht="18" customHeight="1" x14ac:dyDescent="0.35">
      <c r="A409" s="559"/>
      <c r="B409" s="559"/>
      <c r="C409" s="559"/>
      <c r="D409" s="559"/>
      <c r="E409" s="559"/>
      <c r="F409" s="559"/>
      <c r="G409" s="559"/>
      <c r="H409" s="559"/>
      <c r="I409" s="559"/>
      <c r="J409" s="559"/>
      <c r="K409" s="559"/>
      <c r="L409" s="559"/>
      <c r="M409" s="559"/>
      <c r="N409" s="559"/>
      <c r="O409" s="559"/>
      <c r="P409" s="559"/>
      <c r="Q409" s="559"/>
      <c r="R409" s="559"/>
      <c r="S409" s="559"/>
      <c r="T409" s="559"/>
      <c r="U409" s="559"/>
      <c r="V409" s="559"/>
      <c r="W409" s="559"/>
      <c r="X409" s="559"/>
      <c r="Y409" s="559"/>
      <c r="Z409" s="559"/>
    </row>
    <row r="410" spans="1:26" ht="18" customHeight="1" x14ac:dyDescent="0.35">
      <c r="A410" s="559"/>
      <c r="B410" s="559"/>
      <c r="C410" s="559"/>
      <c r="D410" s="559"/>
      <c r="E410" s="559"/>
      <c r="F410" s="559"/>
      <c r="G410" s="559"/>
      <c r="H410" s="559"/>
      <c r="I410" s="559"/>
      <c r="J410" s="559"/>
      <c r="K410" s="559"/>
      <c r="L410" s="559"/>
      <c r="M410" s="559"/>
      <c r="N410" s="559"/>
      <c r="O410" s="559"/>
      <c r="P410" s="559"/>
      <c r="Q410" s="559"/>
      <c r="R410" s="559"/>
      <c r="S410" s="559"/>
      <c r="T410" s="559"/>
      <c r="U410" s="559"/>
      <c r="V410" s="559"/>
      <c r="W410" s="559"/>
      <c r="X410" s="559"/>
      <c r="Y410" s="559"/>
      <c r="Z410" s="559"/>
    </row>
    <row r="411" spans="1:26" ht="18" customHeight="1" x14ac:dyDescent="0.35">
      <c r="A411" s="559"/>
      <c r="B411" s="559"/>
      <c r="C411" s="559"/>
      <c r="D411" s="559"/>
      <c r="E411" s="559"/>
      <c r="F411" s="559"/>
      <c r="G411" s="559"/>
      <c r="H411" s="559"/>
      <c r="I411" s="559"/>
      <c r="J411" s="559"/>
      <c r="K411" s="559"/>
      <c r="L411" s="559"/>
      <c r="M411" s="559"/>
      <c r="N411" s="559"/>
      <c r="O411" s="559"/>
      <c r="P411" s="559"/>
      <c r="Q411" s="559"/>
      <c r="R411" s="559"/>
      <c r="S411" s="559"/>
      <c r="T411" s="559"/>
      <c r="U411" s="559"/>
      <c r="V411" s="559"/>
      <c r="W411" s="559"/>
      <c r="X411" s="559"/>
      <c r="Y411" s="559"/>
      <c r="Z411" s="559"/>
    </row>
    <row r="412" spans="1:26" ht="18" customHeight="1" x14ac:dyDescent="0.35">
      <c r="A412" s="559"/>
      <c r="B412" s="559"/>
      <c r="C412" s="559"/>
      <c r="D412" s="559"/>
      <c r="E412" s="559"/>
      <c r="F412" s="559"/>
      <c r="G412" s="559"/>
      <c r="H412" s="559"/>
      <c r="I412" s="559"/>
      <c r="J412" s="559"/>
      <c r="K412" s="559"/>
      <c r="L412" s="559"/>
      <c r="M412" s="559"/>
      <c r="N412" s="559"/>
      <c r="O412" s="559"/>
      <c r="P412" s="559"/>
      <c r="Q412" s="559"/>
      <c r="R412" s="559"/>
      <c r="S412" s="559"/>
      <c r="T412" s="559"/>
      <c r="U412" s="559"/>
      <c r="V412" s="559"/>
      <c r="W412" s="559"/>
      <c r="X412" s="559"/>
      <c r="Y412" s="559"/>
      <c r="Z412" s="559"/>
    </row>
    <row r="413" spans="1:26" ht="18" customHeight="1" x14ac:dyDescent="0.35">
      <c r="A413" s="559"/>
      <c r="B413" s="559"/>
      <c r="C413" s="559"/>
      <c r="D413" s="559"/>
      <c r="E413" s="559"/>
      <c r="F413" s="559"/>
      <c r="G413" s="559"/>
      <c r="H413" s="559"/>
      <c r="I413" s="559"/>
      <c r="J413" s="559"/>
      <c r="K413" s="559"/>
      <c r="L413" s="559"/>
      <c r="M413" s="559"/>
      <c r="N413" s="559"/>
      <c r="O413" s="559"/>
      <c r="P413" s="559"/>
      <c r="Q413" s="559"/>
      <c r="R413" s="559"/>
      <c r="S413" s="559"/>
      <c r="T413" s="559"/>
      <c r="U413" s="559"/>
      <c r="V413" s="559"/>
      <c r="W413" s="559"/>
      <c r="X413" s="559"/>
      <c r="Y413" s="559"/>
      <c r="Z413" s="559"/>
    </row>
    <row r="414" spans="1:26" ht="18" customHeight="1" x14ac:dyDescent="0.35">
      <c r="A414" s="559"/>
      <c r="B414" s="559"/>
      <c r="C414" s="559"/>
      <c r="D414" s="559"/>
      <c r="E414" s="559"/>
      <c r="F414" s="559"/>
      <c r="G414" s="559"/>
      <c r="H414" s="559"/>
      <c r="I414" s="559"/>
      <c r="J414" s="559"/>
      <c r="K414" s="559"/>
      <c r="L414" s="559"/>
      <c r="M414" s="559"/>
      <c r="N414" s="559"/>
      <c r="O414" s="559"/>
      <c r="P414" s="559"/>
      <c r="Q414" s="559"/>
      <c r="R414" s="559"/>
      <c r="S414" s="559"/>
      <c r="T414" s="559"/>
      <c r="U414" s="559"/>
      <c r="V414" s="559"/>
      <c r="W414" s="559"/>
      <c r="X414" s="559"/>
      <c r="Y414" s="559"/>
      <c r="Z414" s="559"/>
    </row>
    <row r="415" spans="1:26" ht="18" customHeight="1" x14ac:dyDescent="0.35">
      <c r="A415" s="559"/>
      <c r="B415" s="559"/>
      <c r="C415" s="559"/>
      <c r="D415" s="559"/>
      <c r="E415" s="559"/>
      <c r="F415" s="559"/>
      <c r="G415" s="559"/>
      <c r="H415" s="559"/>
      <c r="I415" s="559"/>
      <c r="J415" s="559"/>
      <c r="K415" s="559"/>
      <c r="L415" s="559"/>
      <c r="M415" s="559"/>
      <c r="N415" s="559"/>
      <c r="O415" s="559"/>
      <c r="P415" s="559"/>
      <c r="Q415" s="559"/>
      <c r="R415" s="559"/>
      <c r="S415" s="559"/>
      <c r="T415" s="559"/>
      <c r="U415" s="559"/>
      <c r="V415" s="559"/>
      <c r="W415" s="559"/>
      <c r="X415" s="559"/>
      <c r="Y415" s="559"/>
      <c r="Z415" s="559"/>
    </row>
    <row r="416" spans="1:26" ht="18" customHeight="1" x14ac:dyDescent="0.35">
      <c r="A416" s="559"/>
      <c r="B416" s="559"/>
      <c r="C416" s="559"/>
      <c r="D416" s="559"/>
      <c r="E416" s="559"/>
      <c r="F416" s="559"/>
      <c r="G416" s="559"/>
      <c r="H416" s="559"/>
      <c r="I416" s="559"/>
      <c r="J416" s="559"/>
      <c r="K416" s="559"/>
      <c r="L416" s="559"/>
      <c r="M416" s="559"/>
      <c r="N416" s="559"/>
      <c r="O416" s="559"/>
      <c r="P416" s="559"/>
      <c r="Q416" s="559"/>
      <c r="R416" s="559"/>
      <c r="S416" s="559"/>
      <c r="T416" s="559"/>
      <c r="U416" s="559"/>
      <c r="V416" s="559"/>
      <c r="W416" s="559"/>
      <c r="X416" s="559"/>
      <c r="Y416" s="559"/>
      <c r="Z416" s="559"/>
    </row>
    <row r="417" spans="1:26" ht="18" customHeight="1" x14ac:dyDescent="0.35">
      <c r="A417" s="559"/>
      <c r="B417" s="559"/>
      <c r="C417" s="559"/>
      <c r="D417" s="559"/>
      <c r="E417" s="559"/>
      <c r="F417" s="559"/>
      <c r="G417" s="559"/>
      <c r="H417" s="559"/>
      <c r="I417" s="559"/>
      <c r="J417" s="559"/>
      <c r="K417" s="559"/>
      <c r="L417" s="559"/>
      <c r="M417" s="559"/>
      <c r="N417" s="559"/>
      <c r="O417" s="559"/>
      <c r="P417" s="559"/>
      <c r="Q417" s="559"/>
      <c r="R417" s="559"/>
      <c r="S417" s="559"/>
      <c r="T417" s="559"/>
      <c r="U417" s="559"/>
      <c r="V417" s="559"/>
      <c r="W417" s="559"/>
      <c r="X417" s="559"/>
      <c r="Y417" s="559"/>
      <c r="Z417" s="559"/>
    </row>
    <row r="418" spans="1:26" ht="18" customHeight="1" x14ac:dyDescent="0.35">
      <c r="A418" s="559"/>
      <c r="B418" s="559"/>
      <c r="C418" s="559"/>
      <c r="D418" s="559"/>
      <c r="E418" s="559"/>
      <c r="F418" s="559"/>
      <c r="G418" s="559"/>
      <c r="H418" s="559"/>
      <c r="I418" s="559"/>
      <c r="J418" s="559"/>
      <c r="K418" s="559"/>
      <c r="L418" s="559"/>
      <c r="M418" s="559"/>
      <c r="N418" s="559"/>
      <c r="O418" s="559"/>
      <c r="P418" s="559"/>
      <c r="Q418" s="559"/>
      <c r="R418" s="559"/>
      <c r="S418" s="559"/>
      <c r="T418" s="559"/>
      <c r="U418" s="559"/>
      <c r="V418" s="559"/>
      <c r="W418" s="559"/>
      <c r="X418" s="559"/>
      <c r="Y418" s="559"/>
      <c r="Z418" s="559"/>
    </row>
    <row r="419" spans="1:26" ht="18" customHeight="1" x14ac:dyDescent="0.35">
      <c r="A419" s="559"/>
      <c r="B419" s="559"/>
      <c r="C419" s="559"/>
      <c r="D419" s="559"/>
      <c r="E419" s="559"/>
      <c r="F419" s="559"/>
      <c r="G419" s="559"/>
      <c r="H419" s="559"/>
      <c r="I419" s="559"/>
      <c r="J419" s="559"/>
      <c r="K419" s="559"/>
      <c r="L419" s="559"/>
      <c r="M419" s="559"/>
      <c r="N419" s="559"/>
      <c r="O419" s="559"/>
      <c r="P419" s="559"/>
      <c r="Q419" s="559"/>
      <c r="R419" s="559"/>
      <c r="S419" s="559"/>
      <c r="T419" s="559"/>
      <c r="U419" s="559"/>
      <c r="V419" s="559"/>
      <c r="W419" s="559"/>
      <c r="X419" s="559"/>
      <c r="Y419" s="559"/>
      <c r="Z419" s="559"/>
    </row>
    <row r="420" spans="1:26" ht="18" customHeight="1" x14ac:dyDescent="0.35">
      <c r="A420" s="559"/>
      <c r="B420" s="559"/>
      <c r="C420" s="559"/>
      <c r="D420" s="559"/>
      <c r="E420" s="559"/>
      <c r="F420" s="559"/>
      <c r="G420" s="559"/>
      <c r="H420" s="559"/>
      <c r="I420" s="559"/>
      <c r="J420" s="559"/>
      <c r="K420" s="559"/>
      <c r="L420" s="559"/>
      <c r="M420" s="559"/>
      <c r="N420" s="559"/>
      <c r="O420" s="559"/>
      <c r="P420" s="559"/>
      <c r="Q420" s="559"/>
      <c r="R420" s="559"/>
      <c r="S420" s="559"/>
      <c r="T420" s="559"/>
      <c r="U420" s="559"/>
      <c r="V420" s="559"/>
      <c r="W420" s="559"/>
      <c r="X420" s="559"/>
      <c r="Y420" s="559"/>
      <c r="Z420" s="559"/>
    </row>
    <row r="421" spans="1:26" ht="18" customHeight="1" x14ac:dyDescent="0.35">
      <c r="A421" s="559"/>
      <c r="B421" s="559"/>
      <c r="C421" s="559"/>
      <c r="D421" s="559"/>
      <c r="E421" s="559"/>
      <c r="F421" s="559"/>
      <c r="G421" s="559"/>
      <c r="H421" s="559"/>
      <c r="I421" s="559"/>
      <c r="J421" s="559"/>
      <c r="K421" s="559"/>
      <c r="L421" s="559"/>
      <c r="M421" s="559"/>
      <c r="N421" s="559"/>
      <c r="O421" s="559"/>
      <c r="P421" s="559"/>
      <c r="Q421" s="559"/>
      <c r="R421" s="559"/>
      <c r="S421" s="559"/>
      <c r="T421" s="559"/>
      <c r="U421" s="559"/>
      <c r="V421" s="559"/>
      <c r="W421" s="559"/>
      <c r="X421" s="559"/>
      <c r="Y421" s="559"/>
      <c r="Z421" s="559"/>
    </row>
    <row r="422" spans="1:26" ht="18" customHeight="1" x14ac:dyDescent="0.35">
      <c r="A422" s="559"/>
      <c r="B422" s="559"/>
      <c r="C422" s="559"/>
      <c r="D422" s="559"/>
      <c r="E422" s="559"/>
      <c r="F422" s="559"/>
      <c r="G422" s="559"/>
      <c r="H422" s="559"/>
      <c r="I422" s="559"/>
      <c r="J422" s="559"/>
      <c r="K422" s="559"/>
      <c r="L422" s="559"/>
      <c r="M422" s="559"/>
      <c r="N422" s="559"/>
      <c r="O422" s="559"/>
      <c r="P422" s="559"/>
      <c r="Q422" s="559"/>
      <c r="R422" s="559"/>
      <c r="S422" s="559"/>
      <c r="T422" s="559"/>
      <c r="U422" s="559"/>
      <c r="V422" s="559"/>
      <c r="W422" s="559"/>
      <c r="X422" s="559"/>
      <c r="Y422" s="559"/>
      <c r="Z422" s="559"/>
    </row>
    <row r="423" spans="1:26" ht="18" customHeight="1" x14ac:dyDescent="0.35">
      <c r="A423" s="559"/>
      <c r="B423" s="559"/>
      <c r="C423" s="559"/>
      <c r="D423" s="559"/>
      <c r="E423" s="559"/>
      <c r="F423" s="559"/>
      <c r="G423" s="559"/>
      <c r="H423" s="559"/>
      <c r="I423" s="559"/>
      <c r="J423" s="559"/>
      <c r="K423" s="559"/>
      <c r="L423" s="559"/>
      <c r="M423" s="559"/>
      <c r="N423" s="559"/>
      <c r="O423" s="559"/>
      <c r="P423" s="559"/>
      <c r="Q423" s="559"/>
      <c r="R423" s="559"/>
      <c r="S423" s="559"/>
      <c r="T423" s="559"/>
      <c r="U423" s="559"/>
      <c r="V423" s="559"/>
      <c r="W423" s="559"/>
      <c r="X423" s="559"/>
      <c r="Y423" s="559"/>
      <c r="Z423" s="559"/>
    </row>
    <row r="424" spans="1:26" ht="18" customHeight="1" x14ac:dyDescent="0.35">
      <c r="A424" s="559"/>
      <c r="B424" s="559"/>
      <c r="C424" s="559"/>
      <c r="D424" s="559"/>
      <c r="E424" s="559"/>
      <c r="F424" s="559"/>
      <c r="G424" s="559"/>
      <c r="H424" s="559"/>
      <c r="I424" s="559"/>
      <c r="J424" s="559"/>
      <c r="K424" s="559"/>
      <c r="L424" s="559"/>
      <c r="M424" s="559"/>
      <c r="N424" s="559"/>
      <c r="O424" s="559"/>
      <c r="P424" s="559"/>
      <c r="Q424" s="559"/>
      <c r="R424" s="559"/>
      <c r="S424" s="559"/>
      <c r="T424" s="559"/>
      <c r="U424" s="559"/>
      <c r="V424" s="559"/>
      <c r="W424" s="559"/>
      <c r="X424" s="559"/>
      <c r="Y424" s="559"/>
      <c r="Z424" s="559"/>
    </row>
    <row r="425" spans="1:26" ht="18" customHeight="1" x14ac:dyDescent="0.35">
      <c r="A425" s="559"/>
      <c r="B425" s="559"/>
      <c r="C425" s="559"/>
      <c r="D425" s="559"/>
      <c r="E425" s="559"/>
      <c r="F425" s="559"/>
      <c r="G425" s="559"/>
      <c r="H425" s="559"/>
      <c r="I425" s="559"/>
      <c r="J425" s="559"/>
      <c r="K425" s="559"/>
      <c r="L425" s="559"/>
      <c r="M425" s="559"/>
      <c r="N425" s="559"/>
      <c r="O425" s="559"/>
      <c r="P425" s="559"/>
      <c r="Q425" s="559"/>
      <c r="R425" s="559"/>
      <c r="S425" s="559"/>
      <c r="T425" s="559"/>
      <c r="U425" s="559"/>
      <c r="V425" s="559"/>
      <c r="W425" s="559"/>
      <c r="X425" s="559"/>
      <c r="Y425" s="559"/>
      <c r="Z425" s="559"/>
    </row>
    <row r="426" spans="1:26" ht="18" customHeight="1" x14ac:dyDescent="0.35">
      <c r="A426" s="559"/>
      <c r="B426" s="559"/>
      <c r="C426" s="559"/>
      <c r="D426" s="559"/>
      <c r="E426" s="559"/>
      <c r="F426" s="559"/>
      <c r="G426" s="559"/>
      <c r="H426" s="559"/>
      <c r="I426" s="559"/>
      <c r="J426" s="559"/>
      <c r="K426" s="559"/>
      <c r="L426" s="559"/>
      <c r="M426" s="559"/>
      <c r="N426" s="559"/>
      <c r="O426" s="559"/>
      <c r="P426" s="559"/>
      <c r="Q426" s="559"/>
      <c r="R426" s="559"/>
      <c r="S426" s="559"/>
      <c r="T426" s="559"/>
      <c r="U426" s="559"/>
      <c r="V426" s="559"/>
      <c r="W426" s="559"/>
      <c r="X426" s="559"/>
      <c r="Y426" s="559"/>
      <c r="Z426" s="559"/>
    </row>
    <row r="427" spans="1:26" ht="18" customHeight="1" x14ac:dyDescent="0.35">
      <c r="A427" s="559"/>
      <c r="B427" s="559"/>
      <c r="C427" s="559"/>
      <c r="D427" s="559"/>
      <c r="E427" s="559"/>
      <c r="F427" s="559"/>
      <c r="G427" s="559"/>
      <c r="H427" s="559"/>
      <c r="I427" s="559"/>
      <c r="J427" s="559"/>
      <c r="K427" s="559"/>
      <c r="L427" s="559"/>
      <c r="M427" s="559"/>
      <c r="N427" s="559"/>
      <c r="O427" s="559"/>
      <c r="P427" s="559"/>
      <c r="Q427" s="559"/>
      <c r="R427" s="559"/>
      <c r="S427" s="559"/>
      <c r="T427" s="559"/>
      <c r="U427" s="559"/>
      <c r="V427" s="559"/>
      <c r="W427" s="559"/>
      <c r="X427" s="559"/>
      <c r="Y427" s="559"/>
      <c r="Z427" s="559"/>
    </row>
    <row r="428" spans="1:26" ht="18" customHeight="1" x14ac:dyDescent="0.35">
      <c r="A428" s="559"/>
      <c r="B428" s="559"/>
      <c r="C428" s="559"/>
      <c r="D428" s="559"/>
      <c r="E428" s="559"/>
      <c r="F428" s="559"/>
      <c r="G428" s="559"/>
      <c r="H428" s="559"/>
      <c r="I428" s="559"/>
      <c r="J428" s="559"/>
      <c r="K428" s="559"/>
      <c r="L428" s="559"/>
      <c r="M428" s="559"/>
      <c r="N428" s="559"/>
      <c r="O428" s="559"/>
      <c r="P428" s="559"/>
      <c r="Q428" s="559"/>
      <c r="R428" s="559"/>
      <c r="S428" s="559"/>
      <c r="T428" s="559"/>
      <c r="U428" s="559"/>
      <c r="V428" s="559"/>
      <c r="W428" s="559"/>
      <c r="X428" s="559"/>
      <c r="Y428" s="559"/>
      <c r="Z428" s="559"/>
    </row>
    <row r="429" spans="1:26" ht="18" customHeight="1" x14ac:dyDescent="0.35">
      <c r="A429" s="559"/>
      <c r="B429" s="559"/>
      <c r="C429" s="559"/>
      <c r="D429" s="559"/>
      <c r="E429" s="559"/>
      <c r="F429" s="559"/>
      <c r="G429" s="559"/>
      <c r="H429" s="559"/>
      <c r="I429" s="559"/>
      <c r="J429" s="559"/>
      <c r="K429" s="559"/>
      <c r="L429" s="559"/>
      <c r="M429" s="559"/>
      <c r="N429" s="559"/>
      <c r="O429" s="559"/>
      <c r="P429" s="559"/>
      <c r="Q429" s="559"/>
      <c r="R429" s="559"/>
      <c r="S429" s="559"/>
      <c r="T429" s="559"/>
      <c r="U429" s="559"/>
      <c r="V429" s="559"/>
      <c r="W429" s="559"/>
      <c r="X429" s="559"/>
      <c r="Y429" s="559"/>
      <c r="Z429" s="559"/>
    </row>
    <row r="430" spans="1:26" ht="18" customHeight="1" x14ac:dyDescent="0.35">
      <c r="A430" s="559"/>
      <c r="B430" s="559"/>
      <c r="C430" s="559"/>
      <c r="D430" s="559"/>
      <c r="E430" s="559"/>
      <c r="F430" s="559"/>
      <c r="G430" s="559"/>
      <c r="H430" s="559"/>
      <c r="I430" s="559"/>
      <c r="J430" s="559"/>
      <c r="K430" s="559"/>
      <c r="L430" s="559"/>
      <c r="M430" s="559"/>
      <c r="N430" s="559"/>
      <c r="O430" s="559"/>
      <c r="P430" s="559"/>
      <c r="Q430" s="559"/>
      <c r="R430" s="559"/>
      <c r="S430" s="559"/>
      <c r="T430" s="559"/>
      <c r="U430" s="559"/>
      <c r="V430" s="559"/>
      <c r="W430" s="559"/>
      <c r="X430" s="559"/>
      <c r="Y430" s="559"/>
      <c r="Z430" s="559"/>
    </row>
    <row r="431" spans="1:26" ht="18" customHeight="1" x14ac:dyDescent="0.35">
      <c r="A431" s="559"/>
      <c r="B431" s="559"/>
      <c r="C431" s="559"/>
      <c r="D431" s="559"/>
      <c r="E431" s="559"/>
      <c r="F431" s="559"/>
      <c r="G431" s="559"/>
      <c r="H431" s="559"/>
      <c r="I431" s="559"/>
      <c r="J431" s="559"/>
      <c r="K431" s="559"/>
      <c r="L431" s="559"/>
      <c r="M431" s="559"/>
      <c r="N431" s="559"/>
      <c r="O431" s="559"/>
      <c r="P431" s="559"/>
      <c r="Q431" s="559"/>
      <c r="R431" s="559"/>
      <c r="S431" s="559"/>
      <c r="T431" s="559"/>
      <c r="U431" s="559"/>
      <c r="V431" s="559"/>
      <c r="W431" s="559"/>
      <c r="X431" s="559"/>
      <c r="Y431" s="559"/>
      <c r="Z431" s="559"/>
    </row>
    <row r="432" spans="1:26" ht="18" customHeight="1" x14ac:dyDescent="0.35">
      <c r="A432" s="559"/>
      <c r="B432" s="559"/>
      <c r="C432" s="559"/>
      <c r="D432" s="559"/>
      <c r="E432" s="559"/>
      <c r="F432" s="559"/>
      <c r="G432" s="559"/>
      <c r="H432" s="559"/>
      <c r="I432" s="559"/>
      <c r="J432" s="559"/>
      <c r="K432" s="559"/>
      <c r="L432" s="559"/>
      <c r="M432" s="559"/>
      <c r="N432" s="559"/>
      <c r="O432" s="559"/>
      <c r="P432" s="559"/>
      <c r="Q432" s="559"/>
      <c r="R432" s="559"/>
      <c r="S432" s="559"/>
      <c r="T432" s="559"/>
      <c r="U432" s="559"/>
      <c r="V432" s="559"/>
      <c r="W432" s="559"/>
      <c r="X432" s="559"/>
      <c r="Y432" s="559"/>
      <c r="Z432" s="559"/>
    </row>
    <row r="433" spans="1:26" ht="18" customHeight="1" x14ac:dyDescent="0.35">
      <c r="A433" s="559"/>
      <c r="B433" s="559"/>
      <c r="C433" s="559"/>
      <c r="D433" s="559"/>
      <c r="E433" s="559"/>
      <c r="F433" s="559"/>
      <c r="G433" s="559"/>
      <c r="H433" s="559"/>
      <c r="I433" s="559"/>
      <c r="J433" s="559"/>
      <c r="K433" s="559"/>
      <c r="L433" s="559"/>
      <c r="M433" s="559"/>
      <c r="N433" s="559"/>
      <c r="O433" s="559"/>
      <c r="P433" s="559"/>
      <c r="Q433" s="559"/>
      <c r="R433" s="559"/>
      <c r="S433" s="559"/>
      <c r="T433" s="559"/>
      <c r="U433" s="559"/>
      <c r="V433" s="559"/>
      <c r="W433" s="559"/>
      <c r="X433" s="559"/>
      <c r="Y433" s="559"/>
      <c r="Z433" s="559"/>
    </row>
    <row r="434" spans="1:26" ht="18" customHeight="1" x14ac:dyDescent="0.35">
      <c r="A434" s="559"/>
      <c r="B434" s="559"/>
      <c r="C434" s="559"/>
      <c r="D434" s="559"/>
      <c r="E434" s="559"/>
      <c r="F434" s="559"/>
      <c r="G434" s="559"/>
      <c r="H434" s="559"/>
      <c r="I434" s="559"/>
      <c r="J434" s="559"/>
      <c r="K434" s="559"/>
      <c r="L434" s="559"/>
      <c r="M434" s="559"/>
      <c r="N434" s="559"/>
      <c r="O434" s="559"/>
      <c r="P434" s="559"/>
      <c r="Q434" s="559"/>
      <c r="R434" s="559"/>
      <c r="S434" s="559"/>
      <c r="T434" s="559"/>
      <c r="U434" s="559"/>
      <c r="V434" s="559"/>
      <c r="W434" s="559"/>
      <c r="X434" s="559"/>
      <c r="Y434" s="559"/>
      <c r="Z434" s="559"/>
    </row>
    <row r="435" spans="1:26" ht="18" customHeight="1" x14ac:dyDescent="0.35">
      <c r="A435" s="559"/>
      <c r="B435" s="559"/>
      <c r="C435" s="559"/>
      <c r="D435" s="559"/>
      <c r="E435" s="559"/>
      <c r="F435" s="559"/>
      <c r="G435" s="559"/>
      <c r="H435" s="559"/>
      <c r="I435" s="559"/>
      <c r="J435" s="559"/>
      <c r="K435" s="559"/>
      <c r="L435" s="559"/>
      <c r="M435" s="559"/>
      <c r="N435" s="559"/>
      <c r="O435" s="559"/>
      <c r="P435" s="559"/>
      <c r="Q435" s="559"/>
      <c r="R435" s="559"/>
      <c r="S435" s="559"/>
      <c r="T435" s="559"/>
      <c r="U435" s="559"/>
      <c r="V435" s="559"/>
      <c r="W435" s="559"/>
      <c r="X435" s="559"/>
      <c r="Y435" s="559"/>
      <c r="Z435" s="559"/>
    </row>
    <row r="436" spans="1:26" ht="18" customHeight="1" x14ac:dyDescent="0.35">
      <c r="A436" s="559"/>
      <c r="B436" s="559"/>
      <c r="C436" s="559"/>
      <c r="D436" s="559"/>
      <c r="E436" s="559"/>
      <c r="F436" s="559"/>
      <c r="G436" s="559"/>
      <c r="H436" s="559"/>
      <c r="I436" s="559"/>
      <c r="J436" s="559"/>
      <c r="K436" s="559"/>
      <c r="L436" s="559"/>
      <c r="M436" s="559"/>
      <c r="N436" s="559"/>
      <c r="O436" s="559"/>
      <c r="P436" s="559"/>
      <c r="Q436" s="559"/>
      <c r="R436" s="559"/>
      <c r="S436" s="559"/>
      <c r="T436" s="559"/>
      <c r="U436" s="559"/>
      <c r="V436" s="559"/>
      <c r="W436" s="559"/>
      <c r="X436" s="559"/>
      <c r="Y436" s="559"/>
      <c r="Z436" s="559"/>
    </row>
    <row r="437" spans="1:26" ht="18" customHeight="1" x14ac:dyDescent="0.35">
      <c r="A437" s="559"/>
      <c r="B437" s="559"/>
      <c r="C437" s="559"/>
      <c r="D437" s="559"/>
      <c r="E437" s="559"/>
      <c r="F437" s="559"/>
      <c r="G437" s="559"/>
      <c r="H437" s="559"/>
      <c r="I437" s="559"/>
      <c r="J437" s="559"/>
      <c r="K437" s="559"/>
      <c r="L437" s="559"/>
      <c r="M437" s="559"/>
      <c r="N437" s="559"/>
      <c r="O437" s="559"/>
      <c r="P437" s="559"/>
      <c r="Q437" s="559"/>
      <c r="R437" s="559"/>
      <c r="S437" s="559"/>
      <c r="T437" s="559"/>
      <c r="U437" s="559"/>
      <c r="V437" s="559"/>
      <c r="W437" s="559"/>
      <c r="X437" s="559"/>
      <c r="Y437" s="559"/>
      <c r="Z437" s="559"/>
    </row>
    <row r="438" spans="1:26" ht="18" customHeight="1" x14ac:dyDescent="0.35">
      <c r="A438" s="559"/>
      <c r="B438" s="559"/>
      <c r="C438" s="559"/>
      <c r="D438" s="559"/>
      <c r="E438" s="559"/>
      <c r="F438" s="559"/>
      <c r="G438" s="559"/>
      <c r="H438" s="559"/>
      <c r="I438" s="559"/>
      <c r="J438" s="559"/>
      <c r="K438" s="559"/>
      <c r="L438" s="559"/>
      <c r="M438" s="559"/>
      <c r="N438" s="559"/>
      <c r="O438" s="559"/>
      <c r="P438" s="559"/>
      <c r="Q438" s="559"/>
      <c r="R438" s="559"/>
      <c r="S438" s="559"/>
      <c r="T438" s="559"/>
      <c r="U438" s="559"/>
      <c r="V438" s="559"/>
      <c r="W438" s="559"/>
      <c r="X438" s="559"/>
      <c r="Y438" s="559"/>
      <c r="Z438" s="559"/>
    </row>
    <row r="439" spans="1:26" ht="18" customHeight="1" x14ac:dyDescent="0.35">
      <c r="A439" s="559"/>
      <c r="B439" s="559"/>
      <c r="C439" s="559"/>
      <c r="D439" s="559"/>
      <c r="E439" s="559"/>
      <c r="F439" s="559"/>
      <c r="G439" s="559"/>
      <c r="H439" s="559"/>
      <c r="I439" s="559"/>
      <c r="J439" s="559"/>
      <c r="K439" s="559"/>
      <c r="L439" s="559"/>
      <c r="M439" s="559"/>
      <c r="N439" s="559"/>
      <c r="O439" s="559"/>
      <c r="P439" s="559"/>
      <c r="Q439" s="559"/>
      <c r="R439" s="559"/>
      <c r="S439" s="559"/>
      <c r="T439" s="559"/>
      <c r="U439" s="559"/>
      <c r="V439" s="559"/>
      <c r="W439" s="559"/>
      <c r="X439" s="559"/>
      <c r="Y439" s="559"/>
      <c r="Z439" s="559"/>
    </row>
    <row r="440" spans="1:26" ht="18" customHeight="1" x14ac:dyDescent="0.35">
      <c r="A440" s="559"/>
      <c r="B440" s="559"/>
      <c r="C440" s="559"/>
      <c r="D440" s="559"/>
      <c r="E440" s="559"/>
      <c r="F440" s="559"/>
      <c r="G440" s="559"/>
      <c r="H440" s="559"/>
      <c r="I440" s="559"/>
      <c r="J440" s="559"/>
      <c r="K440" s="559"/>
      <c r="L440" s="559"/>
      <c r="M440" s="559"/>
      <c r="N440" s="559"/>
      <c r="O440" s="559"/>
      <c r="P440" s="559"/>
      <c r="Q440" s="559"/>
      <c r="R440" s="559"/>
      <c r="S440" s="559"/>
      <c r="T440" s="559"/>
      <c r="U440" s="559"/>
      <c r="V440" s="559"/>
      <c r="W440" s="559"/>
      <c r="X440" s="559"/>
      <c r="Y440" s="559"/>
      <c r="Z440" s="559"/>
    </row>
    <row r="441" spans="1:26" ht="18" customHeight="1" x14ac:dyDescent="0.35">
      <c r="A441" s="559"/>
      <c r="B441" s="559"/>
      <c r="C441" s="559"/>
      <c r="D441" s="559"/>
      <c r="E441" s="559"/>
      <c r="F441" s="559"/>
      <c r="G441" s="559"/>
      <c r="H441" s="559"/>
      <c r="I441" s="559"/>
      <c r="J441" s="559"/>
      <c r="K441" s="559"/>
      <c r="L441" s="559"/>
      <c r="M441" s="559"/>
      <c r="N441" s="559"/>
      <c r="O441" s="559"/>
      <c r="P441" s="559"/>
      <c r="Q441" s="559"/>
      <c r="R441" s="559"/>
      <c r="S441" s="559"/>
      <c r="T441" s="559"/>
      <c r="U441" s="559"/>
      <c r="V441" s="559"/>
      <c r="W441" s="559"/>
      <c r="X441" s="559"/>
      <c r="Y441" s="559"/>
      <c r="Z441" s="559"/>
    </row>
    <row r="442" spans="1:26" ht="18" customHeight="1" x14ac:dyDescent="0.35">
      <c r="A442" s="559"/>
      <c r="B442" s="559"/>
      <c r="C442" s="559"/>
      <c r="D442" s="559"/>
      <c r="E442" s="559"/>
      <c r="F442" s="559"/>
      <c r="G442" s="559"/>
      <c r="H442" s="559"/>
      <c r="I442" s="559"/>
      <c r="J442" s="559"/>
      <c r="K442" s="559"/>
      <c r="L442" s="559"/>
      <c r="M442" s="559"/>
      <c r="N442" s="559"/>
      <c r="O442" s="559"/>
      <c r="P442" s="559"/>
      <c r="Q442" s="559"/>
      <c r="R442" s="559"/>
      <c r="S442" s="559"/>
      <c r="T442" s="559"/>
      <c r="U442" s="559"/>
      <c r="V442" s="559"/>
      <c r="W442" s="559"/>
      <c r="X442" s="559"/>
      <c r="Y442" s="559"/>
      <c r="Z442" s="559"/>
    </row>
    <row r="443" spans="1:26" ht="18" customHeight="1" x14ac:dyDescent="0.35">
      <c r="A443" s="559"/>
      <c r="B443" s="559"/>
      <c r="C443" s="559"/>
      <c r="D443" s="559"/>
      <c r="E443" s="559"/>
      <c r="F443" s="559"/>
      <c r="G443" s="559"/>
      <c r="H443" s="559"/>
      <c r="I443" s="559"/>
      <c r="J443" s="559"/>
      <c r="K443" s="559"/>
      <c r="L443" s="559"/>
      <c r="M443" s="559"/>
      <c r="N443" s="559"/>
      <c r="O443" s="559"/>
      <c r="P443" s="559"/>
      <c r="Q443" s="559"/>
      <c r="R443" s="559"/>
      <c r="S443" s="559"/>
      <c r="T443" s="559"/>
      <c r="U443" s="559"/>
      <c r="V443" s="559"/>
      <c r="W443" s="559"/>
      <c r="X443" s="559"/>
      <c r="Y443" s="559"/>
      <c r="Z443" s="559"/>
    </row>
    <row r="444" spans="1:26" ht="18" customHeight="1" x14ac:dyDescent="0.35">
      <c r="A444" s="559"/>
      <c r="B444" s="559"/>
      <c r="C444" s="559"/>
      <c r="D444" s="559"/>
      <c r="E444" s="559"/>
      <c r="F444" s="559"/>
      <c r="G444" s="559"/>
      <c r="H444" s="559"/>
      <c r="I444" s="559"/>
      <c r="J444" s="559"/>
      <c r="K444" s="559"/>
      <c r="L444" s="559"/>
      <c r="M444" s="559"/>
      <c r="N444" s="559"/>
      <c r="O444" s="559"/>
      <c r="P444" s="559"/>
      <c r="Q444" s="559"/>
      <c r="R444" s="559"/>
      <c r="S444" s="559"/>
      <c r="T444" s="559"/>
      <c r="U444" s="559"/>
      <c r="V444" s="559"/>
      <c r="W444" s="559"/>
      <c r="X444" s="559"/>
      <c r="Y444" s="559"/>
      <c r="Z444" s="559"/>
    </row>
    <row r="445" spans="1:26" ht="18" customHeight="1" x14ac:dyDescent="0.35">
      <c r="A445" s="559"/>
      <c r="B445" s="559"/>
      <c r="C445" s="559"/>
      <c r="D445" s="559"/>
      <c r="E445" s="559"/>
      <c r="F445" s="559"/>
      <c r="G445" s="559"/>
      <c r="H445" s="559"/>
      <c r="I445" s="559"/>
      <c r="J445" s="559"/>
      <c r="K445" s="559"/>
      <c r="L445" s="559"/>
      <c r="M445" s="559"/>
      <c r="N445" s="559"/>
      <c r="O445" s="559"/>
      <c r="P445" s="559"/>
      <c r="Q445" s="559"/>
      <c r="R445" s="559"/>
      <c r="S445" s="559"/>
      <c r="T445" s="559"/>
      <c r="U445" s="559"/>
      <c r="V445" s="559"/>
      <c r="W445" s="559"/>
      <c r="X445" s="559"/>
      <c r="Y445" s="559"/>
      <c r="Z445" s="559"/>
    </row>
    <row r="446" spans="1:26" ht="18" customHeight="1" x14ac:dyDescent="0.35">
      <c r="A446" s="559"/>
      <c r="B446" s="559"/>
      <c r="C446" s="559"/>
      <c r="D446" s="559"/>
      <c r="E446" s="559"/>
      <c r="F446" s="559"/>
      <c r="G446" s="559"/>
      <c r="H446" s="559"/>
      <c r="I446" s="559"/>
      <c r="J446" s="559"/>
      <c r="K446" s="559"/>
      <c r="L446" s="559"/>
      <c r="M446" s="559"/>
      <c r="N446" s="559"/>
      <c r="O446" s="559"/>
      <c r="P446" s="559"/>
      <c r="Q446" s="559"/>
      <c r="R446" s="559"/>
      <c r="S446" s="559"/>
      <c r="T446" s="559"/>
      <c r="U446" s="559"/>
      <c r="V446" s="559"/>
      <c r="W446" s="559"/>
      <c r="X446" s="559"/>
      <c r="Y446" s="559"/>
      <c r="Z446" s="559"/>
    </row>
    <row r="447" spans="1:26" ht="18" customHeight="1" x14ac:dyDescent="0.35">
      <c r="A447" s="559"/>
      <c r="B447" s="559"/>
      <c r="C447" s="559"/>
      <c r="D447" s="559"/>
      <c r="E447" s="559"/>
      <c r="F447" s="559"/>
      <c r="G447" s="559"/>
      <c r="H447" s="559"/>
      <c r="I447" s="559"/>
      <c r="J447" s="559"/>
      <c r="K447" s="559"/>
      <c r="L447" s="559"/>
      <c r="M447" s="559"/>
      <c r="N447" s="559"/>
      <c r="O447" s="559"/>
      <c r="P447" s="559"/>
      <c r="Q447" s="559"/>
      <c r="R447" s="559"/>
      <c r="S447" s="559"/>
      <c r="T447" s="559"/>
      <c r="U447" s="559"/>
      <c r="V447" s="559"/>
      <c r="W447" s="559"/>
      <c r="X447" s="559"/>
      <c r="Y447" s="559"/>
      <c r="Z447" s="559"/>
    </row>
    <row r="448" spans="1:26" ht="18" customHeight="1" x14ac:dyDescent="0.35">
      <c r="A448" s="559"/>
      <c r="B448" s="559"/>
      <c r="C448" s="559"/>
      <c r="D448" s="559"/>
      <c r="E448" s="559"/>
      <c r="F448" s="559"/>
      <c r="G448" s="559"/>
      <c r="H448" s="559"/>
      <c r="I448" s="559"/>
      <c r="J448" s="559"/>
      <c r="K448" s="559"/>
      <c r="L448" s="559"/>
      <c r="M448" s="559"/>
      <c r="N448" s="559"/>
      <c r="O448" s="559"/>
      <c r="P448" s="559"/>
      <c r="Q448" s="559"/>
      <c r="R448" s="559"/>
      <c r="S448" s="559"/>
      <c r="T448" s="559"/>
      <c r="U448" s="559"/>
      <c r="V448" s="559"/>
      <c r="W448" s="559"/>
      <c r="X448" s="559"/>
      <c r="Y448" s="559"/>
      <c r="Z448" s="559"/>
    </row>
    <row r="449" spans="1:26" ht="18" customHeight="1" x14ac:dyDescent="0.35">
      <c r="A449" s="559"/>
      <c r="B449" s="559"/>
      <c r="C449" s="559"/>
      <c r="D449" s="559"/>
      <c r="E449" s="559"/>
      <c r="F449" s="559"/>
      <c r="G449" s="559"/>
      <c r="H449" s="559"/>
      <c r="I449" s="559"/>
      <c r="J449" s="559"/>
      <c r="K449" s="559"/>
      <c r="L449" s="559"/>
      <c r="M449" s="559"/>
      <c r="N449" s="559"/>
      <c r="O449" s="559"/>
      <c r="P449" s="559"/>
      <c r="Q449" s="559"/>
      <c r="R449" s="559"/>
      <c r="S449" s="559"/>
      <c r="T449" s="559"/>
      <c r="U449" s="559"/>
      <c r="V449" s="559"/>
      <c r="W449" s="559"/>
      <c r="X449" s="559"/>
      <c r="Y449" s="559"/>
      <c r="Z449" s="559"/>
    </row>
    <row r="450" spans="1:26" ht="18" customHeight="1" x14ac:dyDescent="0.35">
      <c r="A450" s="559"/>
      <c r="B450" s="559"/>
      <c r="C450" s="559"/>
      <c r="D450" s="559"/>
      <c r="E450" s="559"/>
      <c r="F450" s="559"/>
      <c r="G450" s="559"/>
      <c r="H450" s="559"/>
      <c r="I450" s="559"/>
      <c r="J450" s="559"/>
      <c r="K450" s="559"/>
      <c r="L450" s="559"/>
      <c r="M450" s="559"/>
      <c r="N450" s="559"/>
      <c r="O450" s="559"/>
      <c r="P450" s="559"/>
      <c r="Q450" s="559"/>
      <c r="R450" s="559"/>
      <c r="S450" s="559"/>
      <c r="T450" s="559"/>
      <c r="U450" s="559"/>
      <c r="V450" s="559"/>
      <c r="W450" s="559"/>
      <c r="X450" s="559"/>
      <c r="Y450" s="559"/>
      <c r="Z450" s="559"/>
    </row>
    <row r="451" spans="1:26" ht="18" customHeight="1" x14ac:dyDescent="0.35">
      <c r="A451" s="559"/>
      <c r="B451" s="559"/>
      <c r="C451" s="559"/>
      <c r="D451" s="559"/>
      <c r="E451" s="559"/>
      <c r="F451" s="559"/>
      <c r="G451" s="559"/>
      <c r="H451" s="559"/>
      <c r="I451" s="559"/>
      <c r="J451" s="559"/>
      <c r="K451" s="559"/>
      <c r="L451" s="559"/>
      <c r="M451" s="559"/>
      <c r="N451" s="559"/>
      <c r="O451" s="559"/>
      <c r="P451" s="559"/>
      <c r="Q451" s="559"/>
      <c r="R451" s="559"/>
      <c r="S451" s="559"/>
      <c r="T451" s="559"/>
      <c r="U451" s="559"/>
      <c r="V451" s="559"/>
      <c r="W451" s="559"/>
      <c r="X451" s="559"/>
      <c r="Y451" s="559"/>
      <c r="Z451" s="559"/>
    </row>
    <row r="452" spans="1:26" ht="18" customHeight="1" x14ac:dyDescent="0.35">
      <c r="A452" s="559"/>
      <c r="B452" s="559"/>
      <c r="C452" s="559"/>
      <c r="D452" s="559"/>
      <c r="E452" s="559"/>
      <c r="F452" s="559"/>
      <c r="G452" s="559"/>
      <c r="H452" s="559"/>
      <c r="I452" s="559"/>
      <c r="J452" s="559"/>
      <c r="K452" s="559"/>
      <c r="L452" s="559"/>
      <c r="M452" s="559"/>
      <c r="N452" s="559"/>
      <c r="O452" s="559"/>
      <c r="P452" s="559"/>
      <c r="Q452" s="559"/>
      <c r="R452" s="559"/>
      <c r="S452" s="559"/>
      <c r="T452" s="559"/>
      <c r="U452" s="559"/>
      <c r="V452" s="559"/>
      <c r="W452" s="559"/>
      <c r="X452" s="559"/>
      <c r="Y452" s="559"/>
      <c r="Z452" s="559"/>
    </row>
    <row r="453" spans="1:26" ht="18" customHeight="1" x14ac:dyDescent="0.35">
      <c r="A453" s="559"/>
      <c r="B453" s="559"/>
      <c r="C453" s="559"/>
      <c r="D453" s="559"/>
      <c r="E453" s="559"/>
      <c r="F453" s="559"/>
      <c r="G453" s="559"/>
      <c r="H453" s="559"/>
      <c r="I453" s="559"/>
      <c r="J453" s="559"/>
      <c r="K453" s="559"/>
      <c r="L453" s="559"/>
      <c r="M453" s="559"/>
      <c r="N453" s="559"/>
      <c r="O453" s="559"/>
      <c r="P453" s="559"/>
      <c r="Q453" s="559"/>
      <c r="R453" s="559"/>
      <c r="S453" s="559"/>
      <c r="T453" s="559"/>
      <c r="U453" s="559"/>
      <c r="V453" s="559"/>
      <c r="W453" s="559"/>
      <c r="X453" s="559"/>
      <c r="Y453" s="559"/>
      <c r="Z453" s="559"/>
    </row>
    <row r="454" spans="1:26" ht="18" customHeight="1" x14ac:dyDescent="0.35">
      <c r="A454" s="559"/>
      <c r="B454" s="559"/>
      <c r="C454" s="559"/>
      <c r="D454" s="559"/>
      <c r="E454" s="559"/>
      <c r="F454" s="559"/>
      <c r="G454" s="559"/>
      <c r="H454" s="559"/>
      <c r="I454" s="559"/>
      <c r="J454" s="559"/>
      <c r="K454" s="559"/>
      <c r="L454" s="559"/>
      <c r="M454" s="559"/>
      <c r="N454" s="559"/>
      <c r="O454" s="559"/>
      <c r="P454" s="559"/>
      <c r="Q454" s="559"/>
      <c r="R454" s="559"/>
      <c r="S454" s="559"/>
      <c r="T454" s="559"/>
      <c r="U454" s="559"/>
      <c r="V454" s="559"/>
      <c r="W454" s="559"/>
      <c r="X454" s="559"/>
      <c r="Y454" s="559"/>
      <c r="Z454" s="559"/>
    </row>
    <row r="455" spans="1:26" ht="18" customHeight="1" x14ac:dyDescent="0.35">
      <c r="A455" s="559"/>
      <c r="B455" s="559"/>
      <c r="C455" s="559"/>
      <c r="D455" s="559"/>
      <c r="E455" s="559"/>
      <c r="F455" s="559"/>
      <c r="G455" s="559"/>
      <c r="H455" s="559"/>
      <c r="I455" s="559"/>
      <c r="J455" s="559"/>
      <c r="K455" s="559"/>
      <c r="L455" s="559"/>
      <c r="M455" s="559"/>
      <c r="N455" s="559"/>
      <c r="O455" s="559"/>
      <c r="P455" s="559"/>
      <c r="Q455" s="559"/>
      <c r="R455" s="559"/>
      <c r="S455" s="559"/>
      <c r="T455" s="559"/>
      <c r="U455" s="559"/>
      <c r="V455" s="559"/>
      <c r="W455" s="559"/>
      <c r="X455" s="559"/>
      <c r="Y455" s="559"/>
      <c r="Z455" s="559"/>
    </row>
    <row r="456" spans="1:26" ht="18" customHeight="1" x14ac:dyDescent="0.35">
      <c r="A456" s="559"/>
      <c r="B456" s="559"/>
      <c r="C456" s="559"/>
      <c r="D456" s="559"/>
      <c r="E456" s="559"/>
      <c r="F456" s="559"/>
      <c r="G456" s="559"/>
      <c r="H456" s="559"/>
      <c r="I456" s="559"/>
      <c r="J456" s="559"/>
      <c r="K456" s="559"/>
      <c r="L456" s="559"/>
      <c r="M456" s="559"/>
      <c r="N456" s="559"/>
      <c r="O456" s="559"/>
      <c r="P456" s="559"/>
      <c r="Q456" s="559"/>
      <c r="R456" s="559"/>
      <c r="S456" s="559"/>
      <c r="T456" s="559"/>
      <c r="U456" s="559"/>
      <c r="V456" s="559"/>
      <c r="W456" s="559"/>
      <c r="X456" s="559"/>
      <c r="Y456" s="559"/>
      <c r="Z456" s="559"/>
    </row>
    <row r="457" spans="1:26" ht="18" customHeight="1" x14ac:dyDescent="0.35">
      <c r="A457" s="559"/>
      <c r="B457" s="559"/>
      <c r="C457" s="559"/>
      <c r="D457" s="559"/>
      <c r="E457" s="559"/>
      <c r="F457" s="559"/>
      <c r="G457" s="559"/>
      <c r="H457" s="559"/>
      <c r="I457" s="559"/>
      <c r="J457" s="559"/>
      <c r="K457" s="559"/>
      <c r="L457" s="559"/>
      <c r="M457" s="559"/>
      <c r="N457" s="559"/>
      <c r="O457" s="559"/>
      <c r="P457" s="559"/>
      <c r="Q457" s="559"/>
      <c r="R457" s="559"/>
      <c r="S457" s="559"/>
      <c r="T457" s="559"/>
      <c r="U457" s="559"/>
      <c r="V457" s="559"/>
      <c r="W457" s="559"/>
      <c r="X457" s="559"/>
      <c r="Y457" s="559"/>
      <c r="Z457" s="559"/>
    </row>
    <row r="458" spans="1:26" ht="18" customHeight="1" x14ac:dyDescent="0.35">
      <c r="A458" s="559"/>
      <c r="B458" s="559"/>
      <c r="C458" s="559"/>
      <c r="D458" s="559"/>
      <c r="E458" s="559"/>
      <c r="F458" s="559"/>
      <c r="G458" s="559"/>
      <c r="H458" s="559"/>
      <c r="I458" s="559"/>
      <c r="J458" s="559"/>
      <c r="K458" s="559"/>
      <c r="L458" s="559"/>
      <c r="M458" s="559"/>
      <c r="N458" s="559"/>
      <c r="O458" s="559"/>
      <c r="P458" s="559"/>
      <c r="Q458" s="559"/>
      <c r="R458" s="559"/>
      <c r="S458" s="559"/>
      <c r="T458" s="559"/>
      <c r="U458" s="559"/>
      <c r="V458" s="559"/>
      <c r="W458" s="559"/>
      <c r="X458" s="559"/>
      <c r="Y458" s="559"/>
      <c r="Z458" s="559"/>
    </row>
    <row r="459" spans="1:26" ht="18" customHeight="1" x14ac:dyDescent="0.35">
      <c r="A459" s="559"/>
      <c r="B459" s="559"/>
      <c r="C459" s="559"/>
      <c r="D459" s="559"/>
      <c r="E459" s="559"/>
      <c r="F459" s="559"/>
      <c r="G459" s="559"/>
      <c r="H459" s="559"/>
      <c r="I459" s="559"/>
      <c r="J459" s="559"/>
      <c r="K459" s="559"/>
      <c r="L459" s="559"/>
      <c r="M459" s="559"/>
      <c r="N459" s="559"/>
      <c r="O459" s="559"/>
      <c r="P459" s="559"/>
      <c r="Q459" s="559"/>
      <c r="R459" s="559"/>
      <c r="S459" s="559"/>
      <c r="T459" s="559"/>
      <c r="U459" s="559"/>
      <c r="V459" s="559"/>
      <c r="W459" s="559"/>
      <c r="X459" s="559"/>
      <c r="Y459" s="559"/>
      <c r="Z459" s="559"/>
    </row>
    <row r="460" spans="1:26" ht="18" customHeight="1" x14ac:dyDescent="0.35">
      <c r="A460" s="559"/>
      <c r="B460" s="559"/>
      <c r="C460" s="559"/>
      <c r="D460" s="559"/>
      <c r="E460" s="559"/>
      <c r="F460" s="559"/>
      <c r="G460" s="559"/>
      <c r="H460" s="559"/>
      <c r="I460" s="559"/>
      <c r="J460" s="559"/>
      <c r="K460" s="559"/>
      <c r="L460" s="559"/>
      <c r="M460" s="559"/>
      <c r="N460" s="559"/>
      <c r="O460" s="559"/>
      <c r="P460" s="559"/>
      <c r="Q460" s="559"/>
      <c r="R460" s="559"/>
      <c r="S460" s="559"/>
      <c r="T460" s="559"/>
      <c r="U460" s="559"/>
      <c r="V460" s="559"/>
      <c r="W460" s="559"/>
      <c r="X460" s="559"/>
      <c r="Y460" s="559"/>
      <c r="Z460" s="559"/>
    </row>
    <row r="461" spans="1:26" ht="18" customHeight="1" x14ac:dyDescent="0.35">
      <c r="A461" s="559"/>
      <c r="B461" s="559"/>
      <c r="C461" s="559"/>
      <c r="D461" s="559"/>
      <c r="E461" s="559"/>
      <c r="F461" s="559"/>
      <c r="G461" s="559"/>
      <c r="H461" s="559"/>
      <c r="I461" s="559"/>
      <c r="J461" s="559"/>
      <c r="K461" s="559"/>
      <c r="L461" s="559"/>
      <c r="M461" s="559"/>
      <c r="N461" s="559"/>
      <c r="O461" s="559"/>
      <c r="P461" s="559"/>
      <c r="Q461" s="559"/>
      <c r="R461" s="559"/>
      <c r="S461" s="559"/>
      <c r="T461" s="559"/>
      <c r="U461" s="559"/>
      <c r="V461" s="559"/>
      <c r="W461" s="559"/>
      <c r="X461" s="559"/>
      <c r="Y461" s="559"/>
      <c r="Z461" s="559"/>
    </row>
    <row r="462" spans="1:26" ht="18" customHeight="1" x14ac:dyDescent="0.35">
      <c r="A462" s="559"/>
      <c r="B462" s="559"/>
      <c r="C462" s="559"/>
      <c r="D462" s="559"/>
      <c r="E462" s="559"/>
      <c r="F462" s="559"/>
      <c r="G462" s="559"/>
      <c r="H462" s="559"/>
      <c r="I462" s="559"/>
      <c r="J462" s="559"/>
      <c r="K462" s="559"/>
      <c r="L462" s="559"/>
      <c r="M462" s="559"/>
      <c r="N462" s="559"/>
      <c r="O462" s="559"/>
      <c r="P462" s="559"/>
      <c r="Q462" s="559"/>
      <c r="R462" s="559"/>
      <c r="S462" s="559"/>
      <c r="T462" s="559"/>
      <c r="U462" s="559"/>
      <c r="V462" s="559"/>
      <c r="W462" s="559"/>
      <c r="X462" s="559"/>
      <c r="Y462" s="559"/>
      <c r="Z462" s="559"/>
    </row>
    <row r="463" spans="1:26" ht="18" customHeight="1" x14ac:dyDescent="0.35">
      <c r="A463" s="559"/>
      <c r="B463" s="559"/>
      <c r="C463" s="559"/>
      <c r="D463" s="559"/>
      <c r="E463" s="559"/>
      <c r="F463" s="559"/>
      <c r="G463" s="559"/>
      <c r="H463" s="559"/>
      <c r="I463" s="559"/>
      <c r="J463" s="559"/>
      <c r="K463" s="559"/>
      <c r="L463" s="559"/>
      <c r="M463" s="559"/>
      <c r="N463" s="559"/>
      <c r="O463" s="559"/>
      <c r="P463" s="559"/>
      <c r="Q463" s="559"/>
      <c r="R463" s="559"/>
      <c r="S463" s="559"/>
      <c r="T463" s="559"/>
      <c r="U463" s="559"/>
      <c r="V463" s="559"/>
      <c r="W463" s="559"/>
      <c r="X463" s="559"/>
      <c r="Y463" s="559"/>
      <c r="Z463" s="559"/>
    </row>
    <row r="464" spans="1:26" ht="18" customHeight="1" x14ac:dyDescent="0.35">
      <c r="A464" s="559"/>
      <c r="B464" s="559"/>
      <c r="C464" s="559"/>
      <c r="D464" s="559"/>
      <c r="E464" s="559"/>
      <c r="F464" s="559"/>
      <c r="G464" s="559"/>
      <c r="H464" s="559"/>
      <c r="I464" s="559"/>
      <c r="J464" s="559"/>
      <c r="K464" s="559"/>
      <c r="L464" s="559"/>
      <c r="M464" s="559"/>
      <c r="N464" s="559"/>
      <c r="O464" s="559"/>
      <c r="P464" s="559"/>
      <c r="Q464" s="559"/>
      <c r="R464" s="559"/>
      <c r="S464" s="559"/>
      <c r="T464" s="559"/>
      <c r="U464" s="559"/>
      <c r="V464" s="559"/>
      <c r="W464" s="559"/>
      <c r="X464" s="559"/>
      <c r="Y464" s="559"/>
      <c r="Z464" s="559"/>
    </row>
    <row r="465" spans="1:26" ht="18" customHeight="1" x14ac:dyDescent="0.35">
      <c r="A465" s="559"/>
      <c r="B465" s="559"/>
      <c r="C465" s="559"/>
      <c r="D465" s="559"/>
      <c r="E465" s="559"/>
      <c r="F465" s="559"/>
      <c r="G465" s="559"/>
      <c r="H465" s="559"/>
      <c r="I465" s="559"/>
      <c r="J465" s="559"/>
      <c r="K465" s="559"/>
      <c r="L465" s="559"/>
      <c r="M465" s="559"/>
      <c r="N465" s="559"/>
      <c r="O465" s="559"/>
      <c r="P465" s="559"/>
      <c r="Q465" s="559"/>
      <c r="R465" s="559"/>
      <c r="S465" s="559"/>
      <c r="T465" s="559"/>
      <c r="U465" s="559"/>
      <c r="V465" s="559"/>
      <c r="W465" s="559"/>
      <c r="X465" s="559"/>
      <c r="Y465" s="559"/>
      <c r="Z465" s="559"/>
    </row>
    <row r="466" spans="1:26" ht="18" customHeight="1" x14ac:dyDescent="0.35">
      <c r="A466" s="559"/>
      <c r="B466" s="559"/>
      <c r="C466" s="559"/>
      <c r="D466" s="559"/>
      <c r="E466" s="559"/>
      <c r="F466" s="559"/>
      <c r="G466" s="559"/>
      <c r="H466" s="559"/>
      <c r="I466" s="559"/>
      <c r="J466" s="559"/>
      <c r="K466" s="559"/>
      <c r="L466" s="559"/>
      <c r="M466" s="559"/>
      <c r="N466" s="559"/>
      <c r="O466" s="559"/>
      <c r="P466" s="559"/>
      <c r="Q466" s="559"/>
      <c r="R466" s="559"/>
      <c r="S466" s="559"/>
      <c r="T466" s="559"/>
      <c r="U466" s="559"/>
      <c r="V466" s="559"/>
      <c r="W466" s="559"/>
      <c r="X466" s="559"/>
      <c r="Y466" s="559"/>
      <c r="Z466" s="559"/>
    </row>
    <row r="467" spans="1:26" ht="18" customHeight="1" x14ac:dyDescent="0.35">
      <c r="A467" s="559"/>
      <c r="B467" s="559"/>
      <c r="C467" s="559"/>
      <c r="D467" s="559"/>
      <c r="E467" s="559"/>
      <c r="F467" s="559"/>
      <c r="G467" s="559"/>
      <c r="H467" s="559"/>
      <c r="I467" s="559"/>
      <c r="J467" s="559"/>
      <c r="K467" s="559"/>
      <c r="L467" s="559"/>
      <c r="M467" s="559"/>
      <c r="N467" s="559"/>
      <c r="O467" s="559"/>
      <c r="P467" s="559"/>
      <c r="Q467" s="559"/>
      <c r="R467" s="559"/>
      <c r="S467" s="559"/>
      <c r="T467" s="559"/>
      <c r="U467" s="559"/>
      <c r="V467" s="559"/>
      <c r="W467" s="559"/>
      <c r="X467" s="559"/>
      <c r="Y467" s="559"/>
      <c r="Z467" s="559"/>
    </row>
    <row r="468" spans="1:26" ht="18" customHeight="1" x14ac:dyDescent="0.35">
      <c r="A468" s="559"/>
      <c r="B468" s="559"/>
      <c r="C468" s="559"/>
      <c r="D468" s="559"/>
      <c r="E468" s="559"/>
      <c r="F468" s="559"/>
      <c r="G468" s="559"/>
      <c r="H468" s="559"/>
      <c r="I468" s="559"/>
      <c r="J468" s="559"/>
      <c r="K468" s="559"/>
      <c r="L468" s="559"/>
      <c r="M468" s="559"/>
      <c r="N468" s="559"/>
      <c r="O468" s="559"/>
      <c r="P468" s="559"/>
      <c r="Q468" s="559"/>
      <c r="R468" s="559"/>
      <c r="S468" s="559"/>
      <c r="T468" s="559"/>
      <c r="U468" s="559"/>
      <c r="V468" s="559"/>
      <c r="W468" s="559"/>
      <c r="X468" s="559"/>
      <c r="Y468" s="559"/>
      <c r="Z468" s="559"/>
    </row>
    <row r="469" spans="1:26" ht="18" customHeight="1" x14ac:dyDescent="0.35">
      <c r="A469" s="559"/>
      <c r="B469" s="559"/>
      <c r="C469" s="559"/>
      <c r="D469" s="559"/>
      <c r="E469" s="559"/>
      <c r="F469" s="559"/>
      <c r="G469" s="559"/>
      <c r="H469" s="559"/>
      <c r="I469" s="559"/>
      <c r="J469" s="559"/>
      <c r="K469" s="559"/>
      <c r="L469" s="559"/>
      <c r="M469" s="559"/>
      <c r="N469" s="559"/>
      <c r="O469" s="559"/>
      <c r="P469" s="559"/>
      <c r="Q469" s="559"/>
      <c r="R469" s="559"/>
      <c r="S469" s="559"/>
      <c r="T469" s="559"/>
      <c r="U469" s="559"/>
      <c r="V469" s="559"/>
      <c r="W469" s="559"/>
      <c r="X469" s="559"/>
      <c r="Y469" s="559"/>
      <c r="Z469" s="559"/>
    </row>
    <row r="470" spans="1:26" ht="18" customHeight="1" x14ac:dyDescent="0.35">
      <c r="A470" s="559"/>
      <c r="B470" s="559"/>
      <c r="C470" s="559"/>
      <c r="D470" s="559"/>
      <c r="E470" s="559"/>
      <c r="F470" s="559"/>
      <c r="G470" s="559"/>
      <c r="H470" s="559"/>
      <c r="I470" s="559"/>
      <c r="J470" s="559"/>
      <c r="K470" s="559"/>
      <c r="L470" s="559"/>
      <c r="M470" s="559"/>
      <c r="N470" s="559"/>
      <c r="O470" s="559"/>
      <c r="P470" s="559"/>
      <c r="Q470" s="559"/>
      <c r="R470" s="559"/>
      <c r="S470" s="559"/>
      <c r="T470" s="559"/>
      <c r="U470" s="559"/>
      <c r="V470" s="559"/>
      <c r="W470" s="559"/>
      <c r="X470" s="559"/>
      <c r="Y470" s="559"/>
      <c r="Z470" s="559"/>
    </row>
    <row r="471" spans="1:26" ht="18" customHeight="1" x14ac:dyDescent="0.35">
      <c r="A471" s="559"/>
      <c r="B471" s="559"/>
      <c r="C471" s="559"/>
      <c r="D471" s="559"/>
      <c r="E471" s="559"/>
      <c r="F471" s="559"/>
      <c r="G471" s="559"/>
      <c r="H471" s="559"/>
      <c r="I471" s="559"/>
      <c r="J471" s="559"/>
      <c r="K471" s="559"/>
      <c r="L471" s="559"/>
      <c r="M471" s="559"/>
      <c r="N471" s="559"/>
      <c r="O471" s="559"/>
      <c r="P471" s="559"/>
      <c r="Q471" s="559"/>
      <c r="R471" s="559"/>
      <c r="S471" s="559"/>
      <c r="T471" s="559"/>
      <c r="U471" s="559"/>
      <c r="V471" s="559"/>
      <c r="W471" s="559"/>
      <c r="X471" s="559"/>
      <c r="Y471" s="559"/>
      <c r="Z471" s="559"/>
    </row>
    <row r="472" spans="1:26" ht="18" customHeight="1" x14ac:dyDescent="0.35">
      <c r="A472" s="559"/>
      <c r="B472" s="559"/>
      <c r="C472" s="559"/>
      <c r="D472" s="559"/>
      <c r="E472" s="559"/>
      <c r="F472" s="559"/>
      <c r="G472" s="559"/>
      <c r="H472" s="559"/>
      <c r="I472" s="559"/>
      <c r="J472" s="559"/>
      <c r="K472" s="559"/>
      <c r="L472" s="559"/>
      <c r="M472" s="559"/>
      <c r="N472" s="559"/>
      <c r="O472" s="559"/>
      <c r="P472" s="559"/>
      <c r="Q472" s="559"/>
      <c r="R472" s="559"/>
      <c r="S472" s="559"/>
      <c r="T472" s="559"/>
      <c r="U472" s="559"/>
      <c r="V472" s="559"/>
      <c r="W472" s="559"/>
      <c r="X472" s="559"/>
      <c r="Y472" s="559"/>
      <c r="Z472" s="559"/>
    </row>
    <row r="473" spans="1:26" ht="18" customHeight="1" x14ac:dyDescent="0.35">
      <c r="A473" s="559"/>
      <c r="B473" s="559"/>
      <c r="C473" s="559"/>
      <c r="D473" s="559"/>
      <c r="E473" s="559"/>
      <c r="F473" s="559"/>
      <c r="G473" s="559"/>
      <c r="H473" s="559"/>
      <c r="I473" s="559"/>
      <c r="J473" s="559"/>
      <c r="K473" s="559"/>
      <c r="L473" s="559"/>
      <c r="M473" s="559"/>
      <c r="N473" s="559"/>
      <c r="O473" s="559"/>
      <c r="P473" s="559"/>
      <c r="Q473" s="559"/>
      <c r="R473" s="559"/>
      <c r="S473" s="559"/>
      <c r="T473" s="559"/>
      <c r="U473" s="559"/>
      <c r="V473" s="559"/>
      <c r="W473" s="559"/>
      <c r="X473" s="559"/>
      <c r="Y473" s="559"/>
      <c r="Z473" s="559"/>
    </row>
    <row r="474" spans="1:26" ht="18" customHeight="1" x14ac:dyDescent="0.35">
      <c r="A474" s="559"/>
      <c r="B474" s="559"/>
      <c r="C474" s="559"/>
      <c r="D474" s="559"/>
      <c r="E474" s="559"/>
      <c r="F474" s="559"/>
      <c r="G474" s="559"/>
      <c r="H474" s="559"/>
      <c r="I474" s="559"/>
      <c r="J474" s="559"/>
      <c r="K474" s="559"/>
      <c r="L474" s="559"/>
      <c r="M474" s="559"/>
      <c r="N474" s="559"/>
      <c r="O474" s="559"/>
      <c r="P474" s="559"/>
      <c r="Q474" s="559"/>
      <c r="R474" s="559"/>
      <c r="S474" s="559"/>
      <c r="T474" s="559"/>
      <c r="U474" s="559"/>
      <c r="V474" s="559"/>
      <c r="W474" s="559"/>
      <c r="X474" s="559"/>
      <c r="Y474" s="559"/>
      <c r="Z474" s="559"/>
    </row>
    <row r="475" spans="1:26" ht="18" customHeight="1" x14ac:dyDescent="0.35">
      <c r="A475" s="559"/>
      <c r="B475" s="559"/>
      <c r="C475" s="559"/>
      <c r="D475" s="559"/>
      <c r="E475" s="559"/>
      <c r="F475" s="559"/>
      <c r="G475" s="559"/>
      <c r="H475" s="559"/>
      <c r="I475" s="559"/>
      <c r="J475" s="559"/>
      <c r="K475" s="559"/>
      <c r="L475" s="559"/>
      <c r="M475" s="559"/>
      <c r="N475" s="559"/>
      <c r="O475" s="559"/>
      <c r="P475" s="559"/>
      <c r="Q475" s="559"/>
      <c r="R475" s="559"/>
      <c r="S475" s="559"/>
      <c r="T475" s="559"/>
      <c r="U475" s="559"/>
      <c r="V475" s="559"/>
      <c r="W475" s="559"/>
      <c r="X475" s="559"/>
      <c r="Y475" s="559"/>
      <c r="Z475" s="559"/>
    </row>
    <row r="476" spans="1:26" ht="18" customHeight="1" x14ac:dyDescent="0.35">
      <c r="A476" s="559"/>
      <c r="B476" s="559"/>
      <c r="C476" s="559"/>
      <c r="D476" s="559"/>
      <c r="E476" s="559"/>
      <c r="F476" s="559"/>
      <c r="G476" s="559"/>
      <c r="H476" s="559"/>
      <c r="I476" s="559"/>
      <c r="J476" s="559"/>
      <c r="K476" s="559"/>
      <c r="L476" s="559"/>
      <c r="M476" s="559"/>
      <c r="N476" s="559"/>
      <c r="O476" s="559"/>
      <c r="P476" s="559"/>
      <c r="Q476" s="559"/>
      <c r="R476" s="559"/>
      <c r="S476" s="559"/>
      <c r="T476" s="559"/>
      <c r="U476" s="559"/>
      <c r="V476" s="559"/>
      <c r="W476" s="559"/>
      <c r="X476" s="559"/>
      <c r="Y476" s="559"/>
      <c r="Z476" s="559"/>
    </row>
    <row r="477" spans="1:26" ht="18" customHeight="1" x14ac:dyDescent="0.35">
      <c r="A477" s="559"/>
      <c r="B477" s="559"/>
      <c r="C477" s="559"/>
      <c r="D477" s="559"/>
      <c r="E477" s="559"/>
      <c r="F477" s="559"/>
      <c r="G477" s="559"/>
      <c r="H477" s="559"/>
      <c r="I477" s="559"/>
      <c r="J477" s="559"/>
      <c r="K477" s="559"/>
      <c r="L477" s="559"/>
      <c r="M477" s="559"/>
      <c r="N477" s="559"/>
      <c r="O477" s="559"/>
      <c r="P477" s="559"/>
      <c r="Q477" s="559"/>
      <c r="R477" s="559"/>
      <c r="S477" s="559"/>
      <c r="T477" s="559"/>
      <c r="U477" s="559"/>
      <c r="V477" s="559"/>
      <c r="W477" s="559"/>
      <c r="X477" s="559"/>
      <c r="Y477" s="559"/>
      <c r="Z477" s="559"/>
    </row>
    <row r="478" spans="1:26" ht="18" customHeight="1" x14ac:dyDescent="0.35">
      <c r="A478" s="559"/>
      <c r="B478" s="559"/>
      <c r="C478" s="559"/>
      <c r="D478" s="559"/>
      <c r="E478" s="559"/>
      <c r="F478" s="559"/>
      <c r="G478" s="559"/>
      <c r="H478" s="559"/>
      <c r="I478" s="559"/>
      <c r="J478" s="559"/>
      <c r="K478" s="559"/>
      <c r="L478" s="559"/>
      <c r="M478" s="559"/>
      <c r="N478" s="559"/>
      <c r="O478" s="559"/>
      <c r="P478" s="559"/>
      <c r="Q478" s="559"/>
      <c r="R478" s="559"/>
      <c r="S478" s="559"/>
      <c r="T478" s="559"/>
      <c r="U478" s="559"/>
      <c r="V478" s="559"/>
      <c r="W478" s="559"/>
      <c r="X478" s="559"/>
      <c r="Y478" s="559"/>
      <c r="Z478" s="559"/>
    </row>
    <row r="479" spans="1:26" ht="18" customHeight="1" x14ac:dyDescent="0.35">
      <c r="A479" s="559"/>
      <c r="B479" s="559"/>
      <c r="C479" s="559"/>
      <c r="D479" s="559"/>
      <c r="E479" s="559"/>
      <c r="F479" s="559"/>
      <c r="G479" s="559"/>
      <c r="H479" s="559"/>
      <c r="I479" s="559"/>
      <c r="J479" s="559"/>
      <c r="K479" s="559"/>
      <c r="L479" s="559"/>
      <c r="M479" s="559"/>
      <c r="N479" s="559"/>
      <c r="O479" s="559"/>
      <c r="P479" s="559"/>
      <c r="Q479" s="559"/>
      <c r="R479" s="559"/>
      <c r="S479" s="559"/>
      <c r="T479" s="559"/>
      <c r="U479" s="559"/>
      <c r="V479" s="559"/>
      <c r="W479" s="559"/>
      <c r="X479" s="559"/>
      <c r="Y479" s="559"/>
      <c r="Z479" s="559"/>
    </row>
    <row r="480" spans="1:26" ht="18" customHeight="1" x14ac:dyDescent="0.35">
      <c r="A480" s="559"/>
      <c r="B480" s="559"/>
      <c r="C480" s="559"/>
      <c r="D480" s="559"/>
      <c r="E480" s="559"/>
      <c r="F480" s="559"/>
      <c r="G480" s="559"/>
      <c r="H480" s="559"/>
      <c r="I480" s="559"/>
      <c r="J480" s="559"/>
      <c r="K480" s="559"/>
      <c r="L480" s="559"/>
      <c r="M480" s="559"/>
      <c r="N480" s="559"/>
      <c r="O480" s="559"/>
      <c r="P480" s="559"/>
      <c r="Q480" s="559"/>
      <c r="R480" s="559"/>
      <c r="S480" s="559"/>
      <c r="T480" s="559"/>
      <c r="U480" s="559"/>
      <c r="V480" s="559"/>
      <c r="W480" s="559"/>
      <c r="X480" s="559"/>
      <c r="Y480" s="559"/>
      <c r="Z480" s="559"/>
    </row>
    <row r="481" spans="1:26" ht="18" customHeight="1" x14ac:dyDescent="0.35">
      <c r="A481" s="559"/>
      <c r="B481" s="559"/>
      <c r="C481" s="559"/>
      <c r="D481" s="559"/>
      <c r="E481" s="559"/>
      <c r="F481" s="559"/>
      <c r="G481" s="559"/>
      <c r="H481" s="559"/>
      <c r="I481" s="559"/>
      <c r="J481" s="559"/>
      <c r="K481" s="559"/>
      <c r="L481" s="559"/>
      <c r="M481" s="559"/>
      <c r="N481" s="559"/>
      <c r="O481" s="559"/>
      <c r="P481" s="559"/>
      <c r="Q481" s="559"/>
      <c r="R481" s="559"/>
      <c r="S481" s="559"/>
      <c r="T481" s="559"/>
      <c r="U481" s="559"/>
      <c r="V481" s="559"/>
      <c r="W481" s="559"/>
      <c r="X481" s="559"/>
      <c r="Y481" s="559"/>
      <c r="Z481" s="559"/>
    </row>
    <row r="482" spans="1:26" ht="18" customHeight="1" x14ac:dyDescent="0.35">
      <c r="A482" s="559"/>
      <c r="B482" s="559"/>
      <c r="C482" s="559"/>
      <c r="D482" s="559"/>
      <c r="E482" s="559"/>
      <c r="F482" s="559"/>
      <c r="G482" s="559"/>
      <c r="H482" s="559"/>
      <c r="I482" s="559"/>
      <c r="J482" s="559"/>
      <c r="K482" s="559"/>
      <c r="L482" s="559"/>
      <c r="M482" s="559"/>
      <c r="N482" s="559"/>
      <c r="O482" s="559"/>
      <c r="P482" s="559"/>
      <c r="Q482" s="559"/>
      <c r="R482" s="559"/>
      <c r="S482" s="559"/>
      <c r="T482" s="559"/>
      <c r="U482" s="559"/>
      <c r="V482" s="559"/>
      <c r="W482" s="559"/>
      <c r="X482" s="559"/>
      <c r="Y482" s="559"/>
      <c r="Z482" s="559"/>
    </row>
    <row r="483" spans="1:26" ht="18" customHeight="1" x14ac:dyDescent="0.35">
      <c r="A483" s="559"/>
      <c r="B483" s="559"/>
      <c r="C483" s="559"/>
      <c r="D483" s="559"/>
      <c r="E483" s="559"/>
      <c r="F483" s="559"/>
      <c r="G483" s="559"/>
      <c r="H483" s="559"/>
      <c r="I483" s="559"/>
      <c r="J483" s="559"/>
      <c r="K483" s="559"/>
      <c r="L483" s="559"/>
      <c r="M483" s="559"/>
      <c r="N483" s="559"/>
      <c r="O483" s="559"/>
      <c r="P483" s="559"/>
      <c r="Q483" s="559"/>
      <c r="R483" s="559"/>
      <c r="S483" s="559"/>
      <c r="T483" s="559"/>
      <c r="U483" s="559"/>
      <c r="V483" s="559"/>
      <c r="W483" s="559"/>
      <c r="X483" s="559"/>
      <c r="Y483" s="559"/>
      <c r="Z483" s="559"/>
    </row>
    <row r="484" spans="1:26" ht="18" customHeight="1" x14ac:dyDescent="0.35">
      <c r="A484" s="559"/>
      <c r="B484" s="559"/>
      <c r="C484" s="559"/>
      <c r="D484" s="559"/>
      <c r="E484" s="559"/>
      <c r="F484" s="559"/>
      <c r="G484" s="559"/>
      <c r="H484" s="559"/>
      <c r="I484" s="559"/>
      <c r="J484" s="559"/>
      <c r="K484" s="559"/>
      <c r="L484" s="559"/>
      <c r="M484" s="559"/>
      <c r="N484" s="559"/>
      <c r="O484" s="559"/>
      <c r="P484" s="559"/>
      <c r="Q484" s="559"/>
      <c r="R484" s="559"/>
      <c r="S484" s="559"/>
      <c r="T484" s="559"/>
      <c r="U484" s="559"/>
      <c r="V484" s="559"/>
      <c r="W484" s="559"/>
      <c r="X484" s="559"/>
      <c r="Y484" s="559"/>
      <c r="Z484" s="559"/>
    </row>
    <row r="485" spans="1:26" ht="18" customHeight="1" x14ac:dyDescent="0.35">
      <c r="A485" s="559"/>
      <c r="B485" s="559"/>
      <c r="C485" s="559"/>
      <c r="D485" s="559"/>
      <c r="E485" s="559"/>
      <c r="F485" s="559"/>
      <c r="G485" s="559"/>
      <c r="H485" s="559"/>
      <c r="I485" s="559"/>
      <c r="J485" s="559"/>
      <c r="K485" s="559"/>
      <c r="L485" s="559"/>
      <c r="M485" s="559"/>
      <c r="N485" s="559"/>
      <c r="O485" s="559"/>
      <c r="P485" s="559"/>
      <c r="Q485" s="559"/>
      <c r="R485" s="559"/>
      <c r="S485" s="559"/>
      <c r="T485" s="559"/>
      <c r="U485" s="559"/>
      <c r="V485" s="559"/>
      <c r="W485" s="559"/>
      <c r="X485" s="559"/>
      <c r="Y485" s="559"/>
      <c r="Z485" s="559"/>
    </row>
    <row r="486" spans="1:26" ht="18" customHeight="1" x14ac:dyDescent="0.35">
      <c r="A486" s="559"/>
      <c r="B486" s="559"/>
      <c r="C486" s="559"/>
      <c r="D486" s="559"/>
      <c r="E486" s="559"/>
      <c r="F486" s="559"/>
      <c r="G486" s="559"/>
      <c r="H486" s="559"/>
      <c r="I486" s="559"/>
      <c r="J486" s="559"/>
      <c r="K486" s="559"/>
      <c r="L486" s="559"/>
      <c r="M486" s="559"/>
      <c r="N486" s="559"/>
      <c r="O486" s="559"/>
      <c r="P486" s="559"/>
      <c r="Q486" s="559"/>
      <c r="R486" s="559"/>
      <c r="S486" s="559"/>
      <c r="T486" s="559"/>
      <c r="U486" s="559"/>
      <c r="V486" s="559"/>
      <c r="W486" s="559"/>
      <c r="X486" s="559"/>
      <c r="Y486" s="559"/>
      <c r="Z486" s="559"/>
    </row>
    <row r="487" spans="1:26" ht="18" customHeight="1" x14ac:dyDescent="0.35">
      <c r="A487" s="559"/>
      <c r="B487" s="559"/>
      <c r="C487" s="559"/>
      <c r="D487" s="559"/>
      <c r="E487" s="559"/>
      <c r="F487" s="559"/>
      <c r="G487" s="559"/>
      <c r="H487" s="559"/>
      <c r="I487" s="559"/>
      <c r="J487" s="559"/>
      <c r="K487" s="559"/>
      <c r="L487" s="559"/>
      <c r="M487" s="559"/>
      <c r="N487" s="559"/>
      <c r="O487" s="559"/>
      <c r="P487" s="559"/>
      <c r="Q487" s="559"/>
      <c r="R487" s="559"/>
      <c r="S487" s="559"/>
      <c r="T487" s="559"/>
      <c r="U487" s="559"/>
      <c r="V487" s="559"/>
      <c r="W487" s="559"/>
      <c r="X487" s="559"/>
      <c r="Y487" s="559"/>
      <c r="Z487" s="559"/>
    </row>
    <row r="488" spans="1:26" ht="18" customHeight="1" x14ac:dyDescent="0.35">
      <c r="A488" s="559"/>
      <c r="B488" s="559"/>
      <c r="C488" s="559"/>
      <c r="D488" s="559"/>
      <c r="E488" s="559"/>
      <c r="F488" s="559"/>
      <c r="G488" s="559"/>
      <c r="H488" s="559"/>
      <c r="I488" s="559"/>
      <c r="J488" s="559"/>
      <c r="K488" s="559"/>
      <c r="L488" s="559"/>
      <c r="M488" s="559"/>
      <c r="N488" s="559"/>
      <c r="O488" s="559"/>
      <c r="P488" s="559"/>
      <c r="Q488" s="559"/>
      <c r="R488" s="559"/>
      <c r="S488" s="559"/>
      <c r="T488" s="559"/>
      <c r="U488" s="559"/>
      <c r="V488" s="559"/>
      <c r="W488" s="559"/>
      <c r="X488" s="559"/>
      <c r="Y488" s="559"/>
      <c r="Z488" s="559"/>
    </row>
    <row r="489" spans="1:26" ht="18" customHeight="1" x14ac:dyDescent="0.35">
      <c r="A489" s="559"/>
      <c r="B489" s="559"/>
      <c r="C489" s="559"/>
      <c r="D489" s="559"/>
      <c r="E489" s="559"/>
      <c r="F489" s="559"/>
      <c r="G489" s="559"/>
      <c r="H489" s="559"/>
      <c r="I489" s="559"/>
      <c r="J489" s="559"/>
      <c r="K489" s="559"/>
      <c r="L489" s="559"/>
      <c r="M489" s="559"/>
      <c r="N489" s="559"/>
      <c r="O489" s="559"/>
      <c r="P489" s="559"/>
      <c r="Q489" s="559"/>
      <c r="R489" s="559"/>
      <c r="S489" s="559"/>
      <c r="T489" s="559"/>
      <c r="U489" s="559"/>
      <c r="V489" s="559"/>
      <c r="W489" s="559"/>
      <c r="X489" s="559"/>
      <c r="Y489" s="559"/>
      <c r="Z489" s="559"/>
    </row>
    <row r="490" spans="1:26" ht="18" customHeight="1" x14ac:dyDescent="0.35">
      <c r="A490" s="559"/>
      <c r="B490" s="559"/>
      <c r="C490" s="559"/>
      <c r="D490" s="559"/>
      <c r="E490" s="559"/>
      <c r="F490" s="559"/>
      <c r="G490" s="559"/>
      <c r="H490" s="559"/>
      <c r="I490" s="559"/>
      <c r="J490" s="559"/>
      <c r="K490" s="559"/>
      <c r="L490" s="559"/>
      <c r="M490" s="559"/>
      <c r="N490" s="559"/>
      <c r="O490" s="559"/>
      <c r="P490" s="559"/>
      <c r="Q490" s="559"/>
      <c r="R490" s="559"/>
      <c r="S490" s="559"/>
      <c r="T490" s="559"/>
      <c r="U490" s="559"/>
      <c r="V490" s="559"/>
      <c r="W490" s="559"/>
      <c r="X490" s="559"/>
      <c r="Y490" s="559"/>
      <c r="Z490" s="559"/>
    </row>
    <row r="491" spans="1:26" ht="18" customHeight="1" x14ac:dyDescent="0.35">
      <c r="A491" s="559"/>
      <c r="B491" s="559"/>
      <c r="C491" s="559"/>
      <c r="D491" s="559"/>
      <c r="E491" s="559"/>
      <c r="F491" s="559"/>
      <c r="G491" s="559"/>
      <c r="H491" s="559"/>
      <c r="I491" s="559"/>
      <c r="J491" s="559"/>
      <c r="K491" s="559"/>
      <c r="L491" s="559"/>
      <c r="M491" s="559"/>
      <c r="N491" s="559"/>
      <c r="O491" s="559"/>
      <c r="P491" s="559"/>
      <c r="Q491" s="559"/>
      <c r="R491" s="559"/>
      <c r="S491" s="559"/>
      <c r="T491" s="559"/>
      <c r="U491" s="559"/>
      <c r="V491" s="559"/>
      <c r="W491" s="559"/>
      <c r="X491" s="559"/>
      <c r="Y491" s="559"/>
      <c r="Z491" s="559"/>
    </row>
    <row r="492" spans="1:26" ht="18" customHeight="1" x14ac:dyDescent="0.35">
      <c r="A492" s="559"/>
      <c r="B492" s="559"/>
      <c r="C492" s="559"/>
      <c r="D492" s="559"/>
      <c r="E492" s="559"/>
      <c r="F492" s="559"/>
      <c r="G492" s="559"/>
      <c r="H492" s="559"/>
      <c r="I492" s="559"/>
      <c r="J492" s="559"/>
      <c r="K492" s="559"/>
      <c r="L492" s="559"/>
      <c r="M492" s="559"/>
      <c r="N492" s="559"/>
      <c r="O492" s="559"/>
      <c r="P492" s="559"/>
      <c r="Q492" s="559"/>
      <c r="R492" s="559"/>
      <c r="S492" s="559"/>
      <c r="T492" s="559"/>
      <c r="U492" s="559"/>
      <c r="V492" s="559"/>
      <c r="W492" s="559"/>
      <c r="X492" s="559"/>
      <c r="Y492" s="559"/>
      <c r="Z492" s="559"/>
    </row>
    <row r="493" spans="1:26" ht="18" customHeight="1" x14ac:dyDescent="0.35">
      <c r="A493" s="559"/>
      <c r="B493" s="559"/>
      <c r="C493" s="559"/>
      <c r="D493" s="559"/>
      <c r="E493" s="559"/>
      <c r="F493" s="559"/>
      <c r="G493" s="559"/>
      <c r="H493" s="559"/>
      <c r="I493" s="559"/>
      <c r="J493" s="559"/>
      <c r="K493" s="559"/>
      <c r="L493" s="559"/>
      <c r="M493" s="559"/>
      <c r="N493" s="559"/>
      <c r="O493" s="559"/>
      <c r="P493" s="559"/>
      <c r="Q493" s="559"/>
      <c r="R493" s="559"/>
      <c r="S493" s="559"/>
      <c r="T493" s="559"/>
      <c r="U493" s="559"/>
      <c r="V493" s="559"/>
      <c r="W493" s="559"/>
      <c r="X493" s="559"/>
      <c r="Y493" s="559"/>
      <c r="Z493" s="559"/>
    </row>
    <row r="494" spans="1:26" ht="18" customHeight="1" x14ac:dyDescent="0.35">
      <c r="A494" s="559"/>
      <c r="B494" s="559"/>
      <c r="C494" s="559"/>
      <c r="D494" s="559"/>
      <c r="E494" s="559"/>
      <c r="F494" s="559"/>
      <c r="G494" s="559"/>
      <c r="H494" s="559"/>
      <c r="I494" s="559"/>
      <c r="J494" s="559"/>
      <c r="K494" s="559"/>
      <c r="L494" s="559"/>
      <c r="M494" s="559"/>
      <c r="N494" s="559"/>
      <c r="O494" s="559"/>
      <c r="P494" s="559"/>
      <c r="Q494" s="559"/>
      <c r="R494" s="559"/>
      <c r="S494" s="559"/>
      <c r="T494" s="559"/>
      <c r="U494" s="559"/>
      <c r="V494" s="559"/>
      <c r="W494" s="559"/>
      <c r="X494" s="559"/>
      <c r="Y494" s="559"/>
      <c r="Z494" s="559"/>
    </row>
    <row r="495" spans="1:26" ht="18" customHeight="1" x14ac:dyDescent="0.35">
      <c r="A495" s="559"/>
      <c r="B495" s="559"/>
      <c r="C495" s="559"/>
      <c r="D495" s="559"/>
      <c r="E495" s="559"/>
      <c r="F495" s="559"/>
      <c r="G495" s="559"/>
      <c r="H495" s="559"/>
      <c r="I495" s="559"/>
      <c r="J495" s="559"/>
      <c r="K495" s="559"/>
      <c r="L495" s="559"/>
      <c r="M495" s="559"/>
      <c r="N495" s="559"/>
      <c r="O495" s="559"/>
      <c r="P495" s="559"/>
      <c r="Q495" s="559"/>
      <c r="R495" s="559"/>
      <c r="S495" s="559"/>
      <c r="T495" s="559"/>
      <c r="U495" s="559"/>
      <c r="V495" s="559"/>
      <c r="W495" s="559"/>
      <c r="X495" s="559"/>
      <c r="Y495" s="559"/>
      <c r="Z495" s="559"/>
    </row>
    <row r="496" spans="1:26" ht="18" customHeight="1" x14ac:dyDescent="0.35">
      <c r="A496" s="559"/>
      <c r="B496" s="559"/>
      <c r="C496" s="559"/>
      <c r="D496" s="559"/>
      <c r="E496" s="559"/>
      <c r="F496" s="559"/>
      <c r="G496" s="559"/>
      <c r="H496" s="559"/>
      <c r="I496" s="559"/>
      <c r="J496" s="559"/>
      <c r="K496" s="559"/>
      <c r="L496" s="559"/>
      <c r="M496" s="559"/>
      <c r="N496" s="559"/>
      <c r="O496" s="559"/>
      <c r="P496" s="559"/>
      <c r="Q496" s="559"/>
      <c r="R496" s="559"/>
      <c r="S496" s="559"/>
      <c r="T496" s="559"/>
      <c r="U496" s="559"/>
      <c r="V496" s="559"/>
      <c r="W496" s="559"/>
      <c r="X496" s="559"/>
      <c r="Y496" s="559"/>
      <c r="Z496" s="559"/>
    </row>
    <row r="497" spans="1:26" ht="18" customHeight="1" x14ac:dyDescent="0.35">
      <c r="A497" s="559"/>
      <c r="B497" s="559"/>
      <c r="C497" s="559"/>
      <c r="D497" s="559"/>
      <c r="E497" s="559"/>
      <c r="F497" s="559"/>
      <c r="G497" s="559"/>
      <c r="H497" s="559"/>
      <c r="I497" s="559"/>
      <c r="J497" s="559"/>
      <c r="K497" s="559"/>
      <c r="L497" s="559"/>
      <c r="M497" s="559"/>
      <c r="N497" s="559"/>
      <c r="O497" s="559"/>
      <c r="P497" s="559"/>
      <c r="Q497" s="559"/>
      <c r="R497" s="559"/>
      <c r="S497" s="559"/>
      <c r="T497" s="559"/>
      <c r="U497" s="559"/>
      <c r="V497" s="559"/>
      <c r="W497" s="559"/>
      <c r="X497" s="559"/>
      <c r="Y497" s="559"/>
      <c r="Z497" s="559"/>
    </row>
    <row r="498" spans="1:26" ht="18" customHeight="1" x14ac:dyDescent="0.35">
      <c r="A498" s="559"/>
      <c r="B498" s="559"/>
      <c r="C498" s="559"/>
      <c r="D498" s="559"/>
      <c r="E498" s="559"/>
      <c r="F498" s="559"/>
      <c r="G498" s="559"/>
      <c r="H498" s="559"/>
      <c r="I498" s="559"/>
      <c r="J498" s="559"/>
      <c r="K498" s="559"/>
      <c r="L498" s="559"/>
      <c r="M498" s="559"/>
      <c r="N498" s="559"/>
      <c r="O498" s="559"/>
      <c r="P498" s="559"/>
      <c r="Q498" s="559"/>
      <c r="R498" s="559"/>
      <c r="S498" s="559"/>
      <c r="T498" s="559"/>
      <c r="U498" s="559"/>
      <c r="V498" s="559"/>
      <c r="W498" s="559"/>
      <c r="X498" s="559"/>
      <c r="Y498" s="559"/>
      <c r="Z498" s="559"/>
    </row>
    <row r="499" spans="1:26" ht="18" customHeight="1" x14ac:dyDescent="0.35">
      <c r="A499" s="559"/>
      <c r="B499" s="559"/>
      <c r="C499" s="559"/>
      <c r="D499" s="559"/>
      <c r="E499" s="559"/>
      <c r="F499" s="559"/>
      <c r="G499" s="559"/>
      <c r="H499" s="559"/>
      <c r="I499" s="559"/>
      <c r="J499" s="559"/>
      <c r="K499" s="559"/>
      <c r="L499" s="559"/>
      <c r="M499" s="559"/>
      <c r="N499" s="559"/>
      <c r="O499" s="559"/>
      <c r="P499" s="559"/>
      <c r="Q499" s="559"/>
      <c r="R499" s="559"/>
      <c r="S499" s="559"/>
      <c r="T499" s="559"/>
      <c r="U499" s="559"/>
      <c r="V499" s="559"/>
      <c r="W499" s="559"/>
      <c r="X499" s="559"/>
      <c r="Y499" s="559"/>
      <c r="Z499" s="559"/>
    </row>
    <row r="500" spans="1:26" ht="18" customHeight="1" x14ac:dyDescent="0.35">
      <c r="A500" s="559"/>
      <c r="B500" s="559"/>
      <c r="C500" s="559"/>
      <c r="D500" s="559"/>
      <c r="E500" s="559"/>
      <c r="F500" s="559"/>
      <c r="G500" s="559"/>
      <c r="H500" s="559"/>
      <c r="I500" s="559"/>
      <c r="J500" s="559"/>
      <c r="K500" s="559"/>
      <c r="L500" s="559"/>
      <c r="M500" s="559"/>
      <c r="N500" s="559"/>
      <c r="O500" s="559"/>
      <c r="P500" s="559"/>
      <c r="Q500" s="559"/>
      <c r="R500" s="559"/>
      <c r="S500" s="559"/>
      <c r="T500" s="559"/>
      <c r="U500" s="559"/>
      <c r="V500" s="559"/>
      <c r="W500" s="559"/>
      <c r="X500" s="559"/>
      <c r="Y500" s="559"/>
      <c r="Z500" s="559"/>
    </row>
    <row r="501" spans="1:26" ht="18" customHeight="1" x14ac:dyDescent="0.35">
      <c r="A501" s="559"/>
      <c r="B501" s="559"/>
      <c r="C501" s="559"/>
      <c r="D501" s="559"/>
      <c r="E501" s="559"/>
      <c r="F501" s="559"/>
      <c r="G501" s="559"/>
      <c r="H501" s="559"/>
      <c r="I501" s="559"/>
      <c r="J501" s="559"/>
      <c r="K501" s="559"/>
      <c r="L501" s="559"/>
      <c r="M501" s="559"/>
      <c r="N501" s="559"/>
      <c r="O501" s="559"/>
      <c r="P501" s="559"/>
      <c r="Q501" s="559"/>
      <c r="R501" s="559"/>
      <c r="S501" s="559"/>
      <c r="T501" s="559"/>
      <c r="U501" s="559"/>
      <c r="V501" s="559"/>
      <c r="W501" s="559"/>
      <c r="X501" s="559"/>
      <c r="Y501" s="559"/>
      <c r="Z501" s="559"/>
    </row>
    <row r="502" spans="1:26" ht="18" customHeight="1" x14ac:dyDescent="0.35">
      <c r="A502" s="559"/>
      <c r="B502" s="559"/>
      <c r="C502" s="559"/>
      <c r="D502" s="559"/>
      <c r="E502" s="559"/>
      <c r="F502" s="559"/>
      <c r="G502" s="559"/>
      <c r="H502" s="559"/>
      <c r="I502" s="559"/>
      <c r="J502" s="559"/>
      <c r="K502" s="559"/>
      <c r="L502" s="559"/>
      <c r="M502" s="559"/>
      <c r="N502" s="559"/>
      <c r="O502" s="559"/>
      <c r="P502" s="559"/>
      <c r="Q502" s="559"/>
      <c r="R502" s="559"/>
      <c r="S502" s="559"/>
      <c r="T502" s="559"/>
      <c r="U502" s="559"/>
      <c r="V502" s="559"/>
      <c r="W502" s="559"/>
      <c r="X502" s="559"/>
      <c r="Y502" s="559"/>
      <c r="Z502" s="559"/>
    </row>
    <row r="503" spans="1:26" ht="18" customHeight="1" x14ac:dyDescent="0.35">
      <c r="A503" s="559"/>
      <c r="B503" s="559"/>
      <c r="C503" s="559"/>
      <c r="D503" s="559"/>
      <c r="E503" s="559"/>
      <c r="F503" s="559"/>
      <c r="G503" s="559"/>
      <c r="H503" s="559"/>
      <c r="I503" s="559"/>
      <c r="J503" s="559"/>
      <c r="K503" s="559"/>
      <c r="L503" s="559"/>
      <c r="M503" s="559"/>
      <c r="N503" s="559"/>
      <c r="O503" s="559"/>
      <c r="P503" s="559"/>
      <c r="Q503" s="559"/>
      <c r="R503" s="559"/>
      <c r="S503" s="559"/>
      <c r="T503" s="559"/>
      <c r="U503" s="559"/>
      <c r="V503" s="559"/>
      <c r="W503" s="559"/>
      <c r="X503" s="559"/>
      <c r="Y503" s="559"/>
      <c r="Z503" s="559"/>
    </row>
    <row r="504" spans="1:26" ht="18" customHeight="1" x14ac:dyDescent="0.35">
      <c r="A504" s="559"/>
      <c r="B504" s="559"/>
      <c r="C504" s="559"/>
      <c r="D504" s="559"/>
      <c r="E504" s="559"/>
      <c r="F504" s="559"/>
      <c r="G504" s="559"/>
      <c r="H504" s="559"/>
      <c r="I504" s="559"/>
      <c r="J504" s="559"/>
      <c r="K504" s="559"/>
      <c r="L504" s="559"/>
      <c r="M504" s="559"/>
      <c r="N504" s="559"/>
      <c r="O504" s="559"/>
      <c r="P504" s="559"/>
      <c r="Q504" s="559"/>
      <c r="R504" s="559"/>
      <c r="S504" s="559"/>
      <c r="T504" s="559"/>
      <c r="U504" s="559"/>
      <c r="V504" s="559"/>
      <c r="W504" s="559"/>
      <c r="X504" s="559"/>
      <c r="Y504" s="559"/>
      <c r="Z504" s="559"/>
    </row>
    <row r="505" spans="1:26" ht="18" customHeight="1" x14ac:dyDescent="0.35">
      <c r="A505" s="559"/>
      <c r="B505" s="559"/>
      <c r="C505" s="559"/>
      <c r="D505" s="559"/>
      <c r="E505" s="559"/>
      <c r="F505" s="559"/>
      <c r="G505" s="559"/>
      <c r="H505" s="559"/>
      <c r="I505" s="559"/>
      <c r="J505" s="559"/>
      <c r="K505" s="559"/>
      <c r="L505" s="559"/>
      <c r="M505" s="559"/>
      <c r="N505" s="559"/>
      <c r="O505" s="559"/>
      <c r="P505" s="559"/>
      <c r="Q505" s="559"/>
      <c r="R505" s="559"/>
      <c r="S505" s="559"/>
      <c r="T505" s="559"/>
      <c r="U505" s="559"/>
      <c r="V505" s="559"/>
      <c r="W505" s="559"/>
      <c r="X505" s="559"/>
      <c r="Y505" s="559"/>
      <c r="Z505" s="559"/>
    </row>
    <row r="506" spans="1:26" ht="18" customHeight="1" x14ac:dyDescent="0.35">
      <c r="A506" s="559"/>
      <c r="B506" s="559"/>
      <c r="C506" s="559"/>
      <c r="D506" s="559"/>
      <c r="E506" s="559"/>
      <c r="F506" s="559"/>
      <c r="G506" s="559"/>
      <c r="H506" s="559"/>
      <c r="I506" s="559"/>
      <c r="J506" s="559"/>
      <c r="K506" s="559"/>
      <c r="L506" s="559"/>
      <c r="M506" s="559"/>
      <c r="N506" s="559"/>
      <c r="O506" s="559"/>
      <c r="P506" s="559"/>
      <c r="Q506" s="559"/>
      <c r="R506" s="559"/>
      <c r="S506" s="559"/>
      <c r="T506" s="559"/>
      <c r="U506" s="559"/>
      <c r="V506" s="559"/>
      <c r="W506" s="559"/>
      <c r="X506" s="559"/>
      <c r="Y506" s="559"/>
      <c r="Z506" s="559"/>
    </row>
    <row r="507" spans="1:26" ht="18" customHeight="1" x14ac:dyDescent="0.35">
      <c r="A507" s="559"/>
      <c r="B507" s="559"/>
      <c r="C507" s="559"/>
      <c r="D507" s="559"/>
      <c r="E507" s="559"/>
      <c r="F507" s="559"/>
      <c r="G507" s="559"/>
      <c r="H507" s="559"/>
      <c r="I507" s="559"/>
      <c r="J507" s="559"/>
      <c r="K507" s="559"/>
      <c r="L507" s="559"/>
      <c r="M507" s="559"/>
      <c r="N507" s="559"/>
      <c r="O507" s="559"/>
      <c r="P507" s="559"/>
      <c r="Q507" s="559"/>
      <c r="R507" s="559"/>
      <c r="S507" s="559"/>
      <c r="T507" s="559"/>
      <c r="U507" s="559"/>
      <c r="V507" s="559"/>
      <c r="W507" s="559"/>
      <c r="X507" s="559"/>
      <c r="Y507" s="559"/>
      <c r="Z507" s="559"/>
    </row>
    <row r="508" spans="1:26" ht="18" customHeight="1" x14ac:dyDescent="0.35">
      <c r="A508" s="559"/>
      <c r="B508" s="559"/>
      <c r="C508" s="559"/>
      <c r="D508" s="559"/>
      <c r="E508" s="559"/>
      <c r="F508" s="559"/>
      <c r="G508" s="559"/>
      <c r="H508" s="559"/>
      <c r="I508" s="559"/>
      <c r="J508" s="559"/>
      <c r="K508" s="559"/>
      <c r="L508" s="559"/>
      <c r="M508" s="559"/>
      <c r="N508" s="559"/>
      <c r="O508" s="559"/>
      <c r="P508" s="559"/>
      <c r="Q508" s="559"/>
      <c r="R508" s="559"/>
      <c r="S508" s="559"/>
      <c r="T508" s="559"/>
      <c r="U508" s="559"/>
      <c r="V508" s="559"/>
      <c r="W508" s="559"/>
      <c r="X508" s="559"/>
      <c r="Y508" s="559"/>
      <c r="Z508" s="559"/>
    </row>
    <row r="509" spans="1:26" ht="18" customHeight="1" x14ac:dyDescent="0.35">
      <c r="A509" s="559"/>
      <c r="B509" s="559"/>
      <c r="C509" s="559"/>
      <c r="D509" s="559"/>
      <c r="E509" s="559"/>
      <c r="F509" s="559"/>
      <c r="G509" s="559"/>
      <c r="H509" s="559"/>
      <c r="I509" s="559"/>
      <c r="J509" s="559"/>
      <c r="K509" s="559"/>
      <c r="L509" s="559"/>
      <c r="M509" s="559"/>
      <c r="N509" s="559"/>
      <c r="O509" s="559"/>
      <c r="P509" s="559"/>
      <c r="Q509" s="559"/>
      <c r="R509" s="559"/>
      <c r="S509" s="559"/>
      <c r="T509" s="559"/>
      <c r="U509" s="559"/>
      <c r="V509" s="559"/>
      <c r="W509" s="559"/>
      <c r="X509" s="559"/>
      <c r="Y509" s="559"/>
      <c r="Z509" s="559"/>
    </row>
    <row r="510" spans="1:26" ht="18" customHeight="1" x14ac:dyDescent="0.35">
      <c r="A510" s="559"/>
      <c r="B510" s="559"/>
      <c r="C510" s="559"/>
      <c r="D510" s="559"/>
      <c r="E510" s="559"/>
      <c r="F510" s="559"/>
      <c r="G510" s="559"/>
      <c r="H510" s="559"/>
      <c r="I510" s="559"/>
      <c r="J510" s="559"/>
      <c r="K510" s="559"/>
      <c r="L510" s="559"/>
      <c r="M510" s="559"/>
      <c r="N510" s="559"/>
      <c r="O510" s="559"/>
      <c r="P510" s="559"/>
      <c r="Q510" s="559"/>
      <c r="R510" s="559"/>
      <c r="S510" s="559"/>
      <c r="T510" s="559"/>
      <c r="U510" s="559"/>
      <c r="V510" s="559"/>
      <c r="W510" s="559"/>
      <c r="X510" s="559"/>
      <c r="Y510" s="559"/>
      <c r="Z510" s="559"/>
    </row>
    <row r="511" spans="1:26" ht="18" customHeight="1" x14ac:dyDescent="0.35">
      <c r="A511" s="559"/>
      <c r="B511" s="559"/>
      <c r="C511" s="559"/>
      <c r="D511" s="559"/>
      <c r="E511" s="559"/>
      <c r="F511" s="559"/>
      <c r="G511" s="559"/>
      <c r="H511" s="559"/>
      <c r="I511" s="559"/>
      <c r="J511" s="559"/>
      <c r="K511" s="559"/>
      <c r="L511" s="559"/>
      <c r="M511" s="559"/>
      <c r="N511" s="559"/>
      <c r="O511" s="559"/>
      <c r="P511" s="559"/>
      <c r="Q511" s="559"/>
      <c r="R511" s="559"/>
      <c r="S511" s="559"/>
      <c r="T511" s="559"/>
      <c r="U511" s="559"/>
      <c r="V511" s="559"/>
      <c r="W511" s="559"/>
      <c r="X511" s="559"/>
      <c r="Y511" s="559"/>
      <c r="Z511" s="559"/>
    </row>
    <row r="512" spans="1:26" ht="18" customHeight="1" x14ac:dyDescent="0.35">
      <c r="A512" s="559"/>
      <c r="B512" s="559"/>
      <c r="C512" s="559"/>
      <c r="D512" s="559"/>
      <c r="E512" s="559"/>
      <c r="F512" s="559"/>
      <c r="G512" s="559"/>
      <c r="H512" s="559"/>
      <c r="I512" s="559"/>
      <c r="J512" s="559"/>
      <c r="K512" s="559"/>
      <c r="L512" s="559"/>
      <c r="M512" s="559"/>
      <c r="N512" s="559"/>
      <c r="O512" s="559"/>
      <c r="P512" s="559"/>
      <c r="Q512" s="559"/>
      <c r="R512" s="559"/>
      <c r="S512" s="559"/>
      <c r="T512" s="559"/>
      <c r="U512" s="559"/>
      <c r="V512" s="559"/>
      <c r="W512" s="559"/>
      <c r="X512" s="559"/>
      <c r="Y512" s="559"/>
      <c r="Z512" s="559"/>
    </row>
    <row r="513" spans="1:26" ht="18" customHeight="1" x14ac:dyDescent="0.35">
      <c r="A513" s="559"/>
      <c r="B513" s="559"/>
      <c r="C513" s="559"/>
      <c r="D513" s="559"/>
      <c r="E513" s="559"/>
      <c r="F513" s="559"/>
      <c r="G513" s="559"/>
      <c r="H513" s="559"/>
      <c r="I513" s="559"/>
      <c r="J513" s="559"/>
      <c r="K513" s="559"/>
      <c r="L513" s="559"/>
      <c r="M513" s="559"/>
      <c r="N513" s="559"/>
      <c r="O513" s="559"/>
      <c r="P513" s="559"/>
      <c r="Q513" s="559"/>
      <c r="R513" s="559"/>
      <c r="S513" s="559"/>
      <c r="T513" s="559"/>
      <c r="U513" s="559"/>
      <c r="V513" s="559"/>
      <c r="W513" s="559"/>
      <c r="X513" s="559"/>
      <c r="Y513" s="559"/>
      <c r="Z513" s="559"/>
    </row>
    <row r="514" spans="1:26" ht="18" customHeight="1" x14ac:dyDescent="0.35">
      <c r="A514" s="559"/>
      <c r="B514" s="559"/>
      <c r="C514" s="559"/>
      <c r="D514" s="559"/>
      <c r="E514" s="559"/>
      <c r="F514" s="559"/>
      <c r="G514" s="559"/>
      <c r="H514" s="559"/>
      <c r="I514" s="559"/>
      <c r="J514" s="559"/>
      <c r="K514" s="559"/>
      <c r="L514" s="559"/>
      <c r="M514" s="559"/>
      <c r="N514" s="559"/>
      <c r="O514" s="559"/>
      <c r="P514" s="559"/>
      <c r="Q514" s="559"/>
      <c r="R514" s="559"/>
      <c r="S514" s="559"/>
      <c r="T514" s="559"/>
      <c r="U514" s="559"/>
      <c r="V514" s="559"/>
      <c r="W514" s="559"/>
      <c r="X514" s="559"/>
      <c r="Y514" s="559"/>
      <c r="Z514" s="559"/>
    </row>
    <row r="515" spans="1:26" ht="18" customHeight="1" x14ac:dyDescent="0.35">
      <c r="A515" s="559"/>
      <c r="B515" s="559"/>
      <c r="C515" s="559"/>
      <c r="D515" s="559"/>
      <c r="E515" s="559"/>
      <c r="F515" s="559"/>
      <c r="G515" s="559"/>
      <c r="H515" s="559"/>
      <c r="I515" s="559"/>
      <c r="J515" s="559"/>
      <c r="K515" s="559"/>
      <c r="L515" s="559"/>
      <c r="M515" s="559"/>
      <c r="N515" s="559"/>
      <c r="O515" s="559"/>
      <c r="P515" s="559"/>
      <c r="Q515" s="559"/>
      <c r="R515" s="559"/>
      <c r="S515" s="559"/>
      <c r="T515" s="559"/>
      <c r="U515" s="559"/>
      <c r="V515" s="559"/>
      <c r="W515" s="559"/>
      <c r="X515" s="559"/>
      <c r="Y515" s="559"/>
      <c r="Z515" s="559"/>
    </row>
    <row r="516" spans="1:26" ht="18" customHeight="1" x14ac:dyDescent="0.35">
      <c r="A516" s="559"/>
      <c r="B516" s="559"/>
      <c r="C516" s="559"/>
      <c r="D516" s="559"/>
      <c r="E516" s="559"/>
      <c r="F516" s="559"/>
      <c r="G516" s="559"/>
      <c r="H516" s="559"/>
      <c r="I516" s="559"/>
      <c r="J516" s="559"/>
      <c r="K516" s="559"/>
      <c r="L516" s="559"/>
      <c r="M516" s="559"/>
      <c r="N516" s="559"/>
      <c r="O516" s="559"/>
      <c r="P516" s="559"/>
      <c r="Q516" s="559"/>
      <c r="R516" s="559"/>
      <c r="S516" s="559"/>
      <c r="T516" s="559"/>
      <c r="U516" s="559"/>
      <c r="V516" s="559"/>
      <c r="W516" s="559"/>
      <c r="X516" s="559"/>
      <c r="Y516" s="559"/>
      <c r="Z516" s="559"/>
    </row>
    <row r="517" spans="1:26" ht="18" customHeight="1" x14ac:dyDescent="0.35">
      <c r="A517" s="559"/>
      <c r="B517" s="559"/>
      <c r="C517" s="559"/>
      <c r="D517" s="559"/>
      <c r="E517" s="559"/>
      <c r="F517" s="559"/>
      <c r="G517" s="559"/>
      <c r="H517" s="559"/>
      <c r="I517" s="559"/>
      <c r="J517" s="559"/>
      <c r="K517" s="559"/>
      <c r="L517" s="559"/>
      <c r="M517" s="559"/>
      <c r="N517" s="559"/>
      <c r="O517" s="559"/>
      <c r="P517" s="559"/>
      <c r="Q517" s="559"/>
      <c r="R517" s="559"/>
      <c r="S517" s="559"/>
      <c r="T517" s="559"/>
      <c r="U517" s="559"/>
      <c r="V517" s="559"/>
      <c r="W517" s="559"/>
      <c r="X517" s="559"/>
      <c r="Y517" s="559"/>
      <c r="Z517" s="559"/>
    </row>
    <row r="518" spans="1:26" ht="18" customHeight="1" x14ac:dyDescent="0.35">
      <c r="A518" s="559"/>
      <c r="B518" s="559"/>
      <c r="C518" s="559"/>
      <c r="D518" s="559"/>
      <c r="E518" s="559"/>
      <c r="F518" s="559"/>
      <c r="G518" s="559"/>
      <c r="H518" s="559"/>
      <c r="I518" s="559"/>
      <c r="J518" s="559"/>
      <c r="K518" s="559"/>
      <c r="L518" s="559"/>
      <c r="M518" s="559"/>
      <c r="N518" s="559"/>
      <c r="O518" s="559"/>
      <c r="P518" s="559"/>
      <c r="Q518" s="559"/>
      <c r="R518" s="559"/>
      <c r="S518" s="559"/>
      <c r="T518" s="559"/>
      <c r="U518" s="559"/>
      <c r="V518" s="559"/>
      <c r="W518" s="559"/>
      <c r="X518" s="559"/>
      <c r="Y518" s="559"/>
      <c r="Z518" s="559"/>
    </row>
    <row r="519" spans="1:26" ht="18" customHeight="1" x14ac:dyDescent="0.35">
      <c r="A519" s="559"/>
      <c r="B519" s="559"/>
      <c r="C519" s="559"/>
      <c r="D519" s="559"/>
      <c r="E519" s="559"/>
      <c r="F519" s="559"/>
      <c r="G519" s="559"/>
      <c r="H519" s="559"/>
      <c r="I519" s="559"/>
      <c r="J519" s="559"/>
      <c r="K519" s="559"/>
      <c r="L519" s="559"/>
      <c r="M519" s="559"/>
      <c r="N519" s="559"/>
      <c r="O519" s="559"/>
      <c r="P519" s="559"/>
      <c r="Q519" s="559"/>
      <c r="R519" s="559"/>
      <c r="S519" s="559"/>
      <c r="T519" s="559"/>
      <c r="U519" s="559"/>
      <c r="V519" s="559"/>
      <c r="W519" s="559"/>
      <c r="X519" s="559"/>
      <c r="Y519" s="559"/>
      <c r="Z519" s="559"/>
    </row>
    <row r="520" spans="1:26" ht="18" customHeight="1" x14ac:dyDescent="0.35">
      <c r="A520" s="559"/>
      <c r="B520" s="559"/>
      <c r="C520" s="559"/>
      <c r="D520" s="559"/>
      <c r="E520" s="559"/>
      <c r="F520" s="559"/>
      <c r="G520" s="559"/>
      <c r="H520" s="559"/>
      <c r="I520" s="559"/>
      <c r="J520" s="559"/>
      <c r="K520" s="559"/>
      <c r="L520" s="559"/>
      <c r="M520" s="559"/>
      <c r="N520" s="559"/>
      <c r="O520" s="559"/>
      <c r="P520" s="559"/>
      <c r="Q520" s="559"/>
      <c r="R520" s="559"/>
      <c r="S520" s="559"/>
      <c r="T520" s="559"/>
      <c r="U520" s="559"/>
      <c r="V520" s="559"/>
      <c r="W520" s="559"/>
      <c r="X520" s="559"/>
      <c r="Y520" s="559"/>
      <c r="Z520" s="559"/>
    </row>
    <row r="521" spans="1:26" ht="18" customHeight="1" x14ac:dyDescent="0.35">
      <c r="A521" s="559"/>
      <c r="B521" s="559"/>
      <c r="C521" s="559"/>
      <c r="D521" s="559"/>
      <c r="E521" s="559"/>
      <c r="F521" s="559"/>
      <c r="G521" s="559"/>
      <c r="H521" s="559"/>
      <c r="I521" s="559"/>
      <c r="J521" s="559"/>
      <c r="K521" s="559"/>
      <c r="L521" s="559"/>
      <c r="M521" s="559"/>
      <c r="N521" s="559"/>
      <c r="O521" s="559"/>
      <c r="P521" s="559"/>
      <c r="Q521" s="559"/>
      <c r="R521" s="559"/>
      <c r="S521" s="559"/>
      <c r="T521" s="559"/>
      <c r="U521" s="559"/>
      <c r="V521" s="559"/>
      <c r="W521" s="559"/>
      <c r="X521" s="559"/>
      <c r="Y521" s="559"/>
      <c r="Z521" s="559"/>
    </row>
    <row r="522" spans="1:26" ht="18" customHeight="1" x14ac:dyDescent="0.35">
      <c r="A522" s="559"/>
      <c r="B522" s="559"/>
      <c r="C522" s="559"/>
      <c r="D522" s="559"/>
      <c r="E522" s="559"/>
      <c r="F522" s="559"/>
      <c r="G522" s="559"/>
      <c r="H522" s="559"/>
      <c r="I522" s="559"/>
      <c r="J522" s="559"/>
      <c r="K522" s="559"/>
      <c r="L522" s="559"/>
      <c r="M522" s="559"/>
      <c r="N522" s="559"/>
      <c r="O522" s="559"/>
      <c r="P522" s="559"/>
      <c r="Q522" s="559"/>
      <c r="R522" s="559"/>
      <c r="S522" s="559"/>
      <c r="T522" s="559"/>
      <c r="U522" s="559"/>
      <c r="V522" s="559"/>
      <c r="W522" s="559"/>
      <c r="X522" s="559"/>
      <c r="Y522" s="559"/>
      <c r="Z522" s="559"/>
    </row>
    <row r="523" spans="1:26" ht="18" customHeight="1" x14ac:dyDescent="0.35">
      <c r="A523" s="559"/>
      <c r="B523" s="559"/>
      <c r="C523" s="559"/>
      <c r="D523" s="559"/>
      <c r="E523" s="559"/>
      <c r="F523" s="559"/>
      <c r="G523" s="559"/>
      <c r="H523" s="559"/>
      <c r="I523" s="559"/>
      <c r="J523" s="559"/>
      <c r="K523" s="559"/>
      <c r="L523" s="559"/>
      <c r="M523" s="559"/>
      <c r="N523" s="559"/>
      <c r="O523" s="559"/>
      <c r="P523" s="559"/>
      <c r="Q523" s="559"/>
      <c r="R523" s="559"/>
      <c r="S523" s="559"/>
      <c r="T523" s="559"/>
      <c r="U523" s="559"/>
      <c r="V523" s="559"/>
      <c r="W523" s="559"/>
      <c r="X523" s="559"/>
      <c r="Y523" s="559"/>
      <c r="Z523" s="559"/>
    </row>
    <row r="524" spans="1:26" ht="18" customHeight="1" x14ac:dyDescent="0.35">
      <c r="A524" s="559"/>
      <c r="B524" s="559"/>
      <c r="C524" s="559"/>
      <c r="D524" s="559"/>
      <c r="E524" s="559"/>
      <c r="F524" s="559"/>
      <c r="G524" s="559"/>
      <c r="H524" s="559"/>
      <c r="I524" s="559"/>
      <c r="J524" s="559"/>
      <c r="K524" s="559"/>
      <c r="L524" s="559"/>
      <c r="M524" s="559"/>
      <c r="N524" s="559"/>
      <c r="O524" s="559"/>
      <c r="P524" s="559"/>
      <c r="Q524" s="559"/>
      <c r="R524" s="559"/>
      <c r="S524" s="559"/>
      <c r="T524" s="559"/>
      <c r="U524" s="559"/>
      <c r="V524" s="559"/>
      <c r="W524" s="559"/>
      <c r="X524" s="559"/>
      <c r="Y524" s="559"/>
      <c r="Z524" s="559"/>
    </row>
    <row r="525" spans="1:26" ht="18" customHeight="1" x14ac:dyDescent="0.35">
      <c r="A525" s="559"/>
      <c r="B525" s="559"/>
      <c r="C525" s="559"/>
      <c r="D525" s="559"/>
      <c r="E525" s="559"/>
      <c r="F525" s="559"/>
      <c r="G525" s="559"/>
      <c r="H525" s="559"/>
      <c r="I525" s="559"/>
      <c r="J525" s="559"/>
      <c r="K525" s="559"/>
      <c r="L525" s="559"/>
      <c r="M525" s="559"/>
      <c r="N525" s="559"/>
      <c r="O525" s="559"/>
      <c r="P525" s="559"/>
      <c r="Q525" s="559"/>
      <c r="R525" s="559"/>
      <c r="S525" s="559"/>
      <c r="T525" s="559"/>
      <c r="U525" s="559"/>
      <c r="V525" s="559"/>
      <c r="W525" s="559"/>
      <c r="X525" s="559"/>
      <c r="Y525" s="559"/>
      <c r="Z525" s="559"/>
    </row>
    <row r="526" spans="1:26" ht="18" customHeight="1" x14ac:dyDescent="0.35">
      <c r="A526" s="559"/>
      <c r="B526" s="559"/>
      <c r="C526" s="559"/>
      <c r="D526" s="559"/>
      <c r="E526" s="559"/>
      <c r="F526" s="559"/>
      <c r="G526" s="559"/>
      <c r="H526" s="559"/>
      <c r="I526" s="559"/>
      <c r="J526" s="559"/>
      <c r="K526" s="559"/>
      <c r="L526" s="559"/>
      <c r="M526" s="559"/>
      <c r="N526" s="559"/>
      <c r="O526" s="559"/>
      <c r="P526" s="559"/>
      <c r="Q526" s="559"/>
      <c r="R526" s="559"/>
      <c r="S526" s="559"/>
      <c r="T526" s="559"/>
      <c r="U526" s="559"/>
      <c r="V526" s="559"/>
      <c r="W526" s="559"/>
      <c r="X526" s="559"/>
      <c r="Y526" s="559"/>
      <c r="Z526" s="559"/>
    </row>
    <row r="527" spans="1:26" ht="18" customHeight="1" x14ac:dyDescent="0.35">
      <c r="A527" s="559"/>
      <c r="B527" s="559"/>
      <c r="C527" s="559"/>
      <c r="D527" s="559"/>
      <c r="E527" s="559"/>
      <c r="F527" s="559"/>
      <c r="G527" s="559"/>
      <c r="H527" s="559"/>
      <c r="I527" s="559"/>
      <c r="J527" s="559"/>
      <c r="K527" s="559"/>
      <c r="L527" s="559"/>
      <c r="M527" s="559"/>
      <c r="N527" s="559"/>
      <c r="O527" s="559"/>
      <c r="P527" s="559"/>
      <c r="Q527" s="559"/>
      <c r="R527" s="559"/>
      <c r="S527" s="559"/>
      <c r="T527" s="559"/>
      <c r="U527" s="559"/>
      <c r="V527" s="559"/>
      <c r="W527" s="559"/>
      <c r="X527" s="559"/>
      <c r="Y527" s="559"/>
      <c r="Z527" s="559"/>
    </row>
    <row r="528" spans="1:26" ht="18" customHeight="1" x14ac:dyDescent="0.35">
      <c r="A528" s="559"/>
      <c r="B528" s="559"/>
      <c r="C528" s="559"/>
      <c r="D528" s="559"/>
      <c r="E528" s="559"/>
      <c r="F528" s="559"/>
      <c r="G528" s="559"/>
      <c r="H528" s="559"/>
      <c r="I528" s="559"/>
      <c r="J528" s="559"/>
      <c r="K528" s="559"/>
      <c r="L528" s="559"/>
      <c r="M528" s="559"/>
      <c r="N528" s="559"/>
      <c r="O528" s="559"/>
      <c r="P528" s="559"/>
      <c r="Q528" s="559"/>
      <c r="R528" s="559"/>
      <c r="S528" s="559"/>
      <c r="T528" s="559"/>
      <c r="U528" s="559"/>
      <c r="V528" s="559"/>
      <c r="W528" s="559"/>
      <c r="X528" s="559"/>
      <c r="Y528" s="559"/>
      <c r="Z528" s="559"/>
    </row>
    <row r="529" spans="1:26" ht="18" customHeight="1" x14ac:dyDescent="0.35">
      <c r="A529" s="559"/>
      <c r="B529" s="559"/>
      <c r="C529" s="559"/>
      <c r="D529" s="559"/>
      <c r="E529" s="559"/>
      <c r="F529" s="559"/>
      <c r="G529" s="559"/>
      <c r="H529" s="559"/>
      <c r="I529" s="559"/>
      <c r="J529" s="559"/>
      <c r="K529" s="559"/>
      <c r="L529" s="559"/>
      <c r="M529" s="559"/>
      <c r="N529" s="559"/>
      <c r="O529" s="559"/>
      <c r="P529" s="559"/>
      <c r="Q529" s="559"/>
      <c r="R529" s="559"/>
      <c r="S529" s="559"/>
      <c r="T529" s="559"/>
      <c r="U529" s="559"/>
      <c r="V529" s="559"/>
      <c r="W529" s="559"/>
      <c r="X529" s="559"/>
      <c r="Y529" s="559"/>
      <c r="Z529" s="559"/>
    </row>
    <row r="530" spans="1:26" ht="18" customHeight="1" x14ac:dyDescent="0.35">
      <c r="A530" s="559"/>
      <c r="B530" s="559"/>
      <c r="C530" s="559"/>
      <c r="D530" s="559"/>
      <c r="E530" s="559"/>
      <c r="F530" s="559"/>
      <c r="G530" s="559"/>
      <c r="H530" s="559"/>
      <c r="I530" s="559"/>
      <c r="J530" s="559"/>
      <c r="K530" s="559"/>
      <c r="L530" s="559"/>
      <c r="M530" s="559"/>
      <c r="N530" s="559"/>
      <c r="O530" s="559"/>
      <c r="P530" s="559"/>
      <c r="Q530" s="559"/>
      <c r="R530" s="559"/>
      <c r="S530" s="559"/>
      <c r="T530" s="559"/>
      <c r="U530" s="559"/>
      <c r="V530" s="559"/>
      <c r="W530" s="559"/>
      <c r="X530" s="559"/>
      <c r="Y530" s="559"/>
      <c r="Z530" s="559"/>
    </row>
    <row r="531" spans="1:26" ht="18" customHeight="1" x14ac:dyDescent="0.35">
      <c r="A531" s="559"/>
      <c r="B531" s="559"/>
      <c r="C531" s="559"/>
      <c r="D531" s="559"/>
      <c r="E531" s="559"/>
      <c r="F531" s="559"/>
      <c r="G531" s="559"/>
      <c r="H531" s="559"/>
      <c r="I531" s="559"/>
      <c r="J531" s="559"/>
      <c r="K531" s="559"/>
      <c r="L531" s="559"/>
      <c r="M531" s="559"/>
      <c r="N531" s="559"/>
      <c r="O531" s="559"/>
      <c r="P531" s="559"/>
      <c r="Q531" s="559"/>
      <c r="R531" s="559"/>
      <c r="S531" s="559"/>
      <c r="T531" s="559"/>
      <c r="U531" s="559"/>
      <c r="V531" s="559"/>
      <c r="W531" s="559"/>
      <c r="X531" s="559"/>
      <c r="Y531" s="559"/>
      <c r="Z531" s="559"/>
    </row>
    <row r="532" spans="1:26" ht="18" customHeight="1" x14ac:dyDescent="0.35">
      <c r="A532" s="559"/>
      <c r="B532" s="559"/>
      <c r="C532" s="559"/>
      <c r="D532" s="559"/>
      <c r="E532" s="559"/>
      <c r="F532" s="559"/>
      <c r="G532" s="559"/>
      <c r="H532" s="559"/>
      <c r="I532" s="559"/>
      <c r="J532" s="559"/>
      <c r="K532" s="559"/>
      <c r="L532" s="559"/>
      <c r="M532" s="559"/>
      <c r="N532" s="559"/>
      <c r="O532" s="559"/>
      <c r="P532" s="559"/>
      <c r="Q532" s="559"/>
      <c r="R532" s="559"/>
      <c r="S532" s="559"/>
      <c r="T532" s="559"/>
      <c r="U532" s="559"/>
      <c r="V532" s="559"/>
      <c r="W532" s="559"/>
      <c r="X532" s="559"/>
      <c r="Y532" s="559"/>
      <c r="Z532" s="559"/>
    </row>
    <row r="533" spans="1:26" ht="18" customHeight="1" x14ac:dyDescent="0.35">
      <c r="A533" s="559"/>
      <c r="B533" s="559"/>
      <c r="C533" s="559"/>
      <c r="D533" s="559"/>
      <c r="E533" s="559"/>
      <c r="F533" s="559"/>
      <c r="G533" s="559"/>
      <c r="H533" s="559"/>
      <c r="I533" s="559"/>
      <c r="J533" s="559"/>
      <c r="K533" s="559"/>
      <c r="L533" s="559"/>
      <c r="M533" s="559"/>
      <c r="N533" s="559"/>
      <c r="O533" s="559"/>
      <c r="P533" s="559"/>
      <c r="Q533" s="559"/>
      <c r="R533" s="559"/>
      <c r="S533" s="559"/>
      <c r="T533" s="559"/>
      <c r="U533" s="559"/>
      <c r="V533" s="559"/>
      <c r="W533" s="559"/>
      <c r="X533" s="559"/>
      <c r="Y533" s="559"/>
      <c r="Z533" s="559"/>
    </row>
    <row r="534" spans="1:26" ht="18" customHeight="1" x14ac:dyDescent="0.35">
      <c r="A534" s="559"/>
      <c r="B534" s="559"/>
      <c r="C534" s="559"/>
      <c r="D534" s="559"/>
      <c r="E534" s="559"/>
      <c r="F534" s="559"/>
      <c r="G534" s="559"/>
      <c r="H534" s="559"/>
      <c r="I534" s="559"/>
      <c r="J534" s="559"/>
      <c r="K534" s="559"/>
      <c r="L534" s="559"/>
      <c r="M534" s="559"/>
      <c r="N534" s="559"/>
      <c r="O534" s="559"/>
      <c r="P534" s="559"/>
      <c r="Q534" s="559"/>
      <c r="R534" s="559"/>
      <c r="S534" s="559"/>
      <c r="T534" s="559"/>
      <c r="U534" s="559"/>
      <c r="V534" s="559"/>
      <c r="W534" s="559"/>
      <c r="X534" s="559"/>
      <c r="Y534" s="559"/>
      <c r="Z534" s="559"/>
    </row>
    <row r="535" spans="1:26" ht="18" customHeight="1" x14ac:dyDescent="0.35">
      <c r="A535" s="559"/>
      <c r="B535" s="559"/>
      <c r="C535" s="559"/>
      <c r="D535" s="559"/>
      <c r="E535" s="559"/>
      <c r="F535" s="559"/>
      <c r="G535" s="559"/>
      <c r="H535" s="559"/>
      <c r="I535" s="559"/>
      <c r="J535" s="559"/>
      <c r="K535" s="559"/>
      <c r="L535" s="559"/>
      <c r="M535" s="559"/>
      <c r="N535" s="559"/>
      <c r="O535" s="559"/>
      <c r="P535" s="559"/>
      <c r="Q535" s="559"/>
      <c r="R535" s="559"/>
      <c r="S535" s="559"/>
      <c r="T535" s="559"/>
      <c r="U535" s="559"/>
      <c r="V535" s="559"/>
      <c r="W535" s="559"/>
      <c r="X535" s="559"/>
      <c r="Y535" s="559"/>
      <c r="Z535" s="559"/>
    </row>
    <row r="536" spans="1:26" ht="18" customHeight="1" x14ac:dyDescent="0.35">
      <c r="A536" s="559"/>
      <c r="B536" s="559"/>
      <c r="C536" s="559"/>
      <c r="D536" s="559"/>
      <c r="E536" s="559"/>
      <c r="F536" s="559"/>
      <c r="G536" s="559"/>
      <c r="H536" s="559"/>
      <c r="I536" s="559"/>
      <c r="J536" s="559"/>
      <c r="K536" s="559"/>
      <c r="L536" s="559"/>
      <c r="M536" s="559"/>
      <c r="N536" s="559"/>
      <c r="O536" s="559"/>
      <c r="P536" s="559"/>
      <c r="Q536" s="559"/>
      <c r="R536" s="559"/>
      <c r="S536" s="559"/>
      <c r="T536" s="559"/>
      <c r="U536" s="559"/>
      <c r="V536" s="559"/>
      <c r="W536" s="559"/>
      <c r="X536" s="559"/>
      <c r="Y536" s="559"/>
      <c r="Z536" s="559"/>
    </row>
    <row r="537" spans="1:26" ht="18" customHeight="1" x14ac:dyDescent="0.35">
      <c r="A537" s="559"/>
      <c r="B537" s="559"/>
      <c r="C537" s="559"/>
      <c r="D537" s="559"/>
      <c r="E537" s="559"/>
      <c r="F537" s="559"/>
      <c r="G537" s="559"/>
      <c r="H537" s="559"/>
      <c r="I537" s="559"/>
      <c r="J537" s="559"/>
      <c r="K537" s="559"/>
      <c r="L537" s="559"/>
      <c r="M537" s="559"/>
      <c r="N537" s="559"/>
      <c r="O537" s="559"/>
      <c r="P537" s="559"/>
      <c r="Q537" s="559"/>
      <c r="R537" s="559"/>
      <c r="S537" s="559"/>
      <c r="T537" s="559"/>
      <c r="U537" s="559"/>
      <c r="V537" s="559"/>
      <c r="W537" s="559"/>
      <c r="X537" s="559"/>
      <c r="Y537" s="559"/>
      <c r="Z537" s="559"/>
    </row>
    <row r="538" spans="1:26" ht="18" customHeight="1" x14ac:dyDescent="0.35">
      <c r="A538" s="559"/>
      <c r="B538" s="559"/>
      <c r="C538" s="559"/>
      <c r="D538" s="559"/>
      <c r="E538" s="559"/>
      <c r="F538" s="559"/>
      <c r="G538" s="559"/>
      <c r="H538" s="559"/>
      <c r="I538" s="559"/>
      <c r="J538" s="559"/>
      <c r="K538" s="559"/>
      <c r="L538" s="559"/>
      <c r="M538" s="559"/>
      <c r="N538" s="559"/>
      <c r="O538" s="559"/>
      <c r="P538" s="559"/>
      <c r="Q538" s="559"/>
      <c r="R538" s="559"/>
      <c r="S538" s="559"/>
      <c r="T538" s="559"/>
      <c r="U538" s="559"/>
      <c r="V538" s="559"/>
      <c r="W538" s="559"/>
      <c r="X538" s="559"/>
      <c r="Y538" s="559"/>
      <c r="Z538" s="559"/>
    </row>
    <row r="539" spans="1:26" ht="18" customHeight="1" x14ac:dyDescent="0.35">
      <c r="A539" s="559"/>
      <c r="B539" s="559"/>
      <c r="C539" s="559"/>
      <c r="D539" s="559"/>
      <c r="E539" s="559"/>
      <c r="F539" s="559"/>
      <c r="G539" s="559"/>
      <c r="H539" s="559"/>
      <c r="I539" s="559"/>
      <c r="J539" s="559"/>
      <c r="K539" s="559"/>
      <c r="L539" s="559"/>
      <c r="M539" s="559"/>
      <c r="N539" s="559"/>
      <c r="O539" s="559"/>
      <c r="P539" s="559"/>
      <c r="Q539" s="559"/>
      <c r="R539" s="559"/>
      <c r="S539" s="559"/>
      <c r="T539" s="559"/>
      <c r="U539" s="559"/>
      <c r="V539" s="559"/>
      <c r="W539" s="559"/>
      <c r="X539" s="559"/>
      <c r="Y539" s="559"/>
      <c r="Z539" s="559"/>
    </row>
    <row r="540" spans="1:26" ht="18" customHeight="1" x14ac:dyDescent="0.35">
      <c r="A540" s="559"/>
      <c r="B540" s="559"/>
      <c r="C540" s="559"/>
      <c r="D540" s="559"/>
      <c r="E540" s="559"/>
      <c r="F540" s="559"/>
      <c r="G540" s="559"/>
      <c r="H540" s="559"/>
      <c r="I540" s="559"/>
      <c r="J540" s="559"/>
      <c r="K540" s="559"/>
      <c r="L540" s="559"/>
      <c r="M540" s="559"/>
      <c r="N540" s="559"/>
      <c r="O540" s="559"/>
      <c r="P540" s="559"/>
      <c r="Q540" s="559"/>
      <c r="R540" s="559"/>
      <c r="S540" s="559"/>
      <c r="T540" s="559"/>
      <c r="U540" s="559"/>
      <c r="V540" s="559"/>
      <c r="W540" s="559"/>
      <c r="X540" s="559"/>
      <c r="Y540" s="559"/>
      <c r="Z540" s="559"/>
    </row>
    <row r="541" spans="1:26" ht="18" customHeight="1" x14ac:dyDescent="0.35">
      <c r="A541" s="559"/>
      <c r="B541" s="559"/>
      <c r="C541" s="559"/>
      <c r="D541" s="559"/>
      <c r="E541" s="559"/>
      <c r="F541" s="559"/>
      <c r="G541" s="559"/>
      <c r="H541" s="559"/>
      <c r="I541" s="559"/>
      <c r="J541" s="559"/>
      <c r="K541" s="559"/>
      <c r="L541" s="559"/>
      <c r="M541" s="559"/>
      <c r="N541" s="559"/>
      <c r="O541" s="559"/>
      <c r="P541" s="559"/>
      <c r="Q541" s="559"/>
      <c r="R541" s="559"/>
      <c r="S541" s="559"/>
      <c r="T541" s="559"/>
      <c r="U541" s="559"/>
      <c r="V541" s="559"/>
      <c r="W541" s="559"/>
      <c r="X541" s="559"/>
      <c r="Y541" s="559"/>
      <c r="Z541" s="559"/>
    </row>
    <row r="542" spans="1:26" ht="18" customHeight="1" x14ac:dyDescent="0.35">
      <c r="A542" s="559"/>
      <c r="B542" s="559"/>
      <c r="C542" s="559"/>
      <c r="D542" s="559"/>
      <c r="E542" s="559"/>
      <c r="F542" s="559"/>
      <c r="G542" s="559"/>
      <c r="H542" s="559"/>
      <c r="I542" s="559"/>
      <c r="J542" s="559"/>
      <c r="K542" s="559"/>
      <c r="L542" s="559"/>
      <c r="M542" s="559"/>
      <c r="N542" s="559"/>
      <c r="O542" s="559"/>
      <c r="P542" s="559"/>
      <c r="Q542" s="559"/>
      <c r="R542" s="559"/>
      <c r="S542" s="559"/>
      <c r="T542" s="559"/>
      <c r="U542" s="559"/>
      <c r="V542" s="559"/>
      <c r="W542" s="559"/>
      <c r="X542" s="559"/>
      <c r="Y542" s="559"/>
      <c r="Z542" s="559"/>
    </row>
    <row r="543" spans="1:26" ht="18" customHeight="1" x14ac:dyDescent="0.35">
      <c r="A543" s="559"/>
      <c r="B543" s="559"/>
      <c r="C543" s="559"/>
      <c r="D543" s="559"/>
      <c r="E543" s="559"/>
      <c r="F543" s="559"/>
      <c r="G543" s="559"/>
      <c r="H543" s="559"/>
      <c r="I543" s="559"/>
      <c r="J543" s="559"/>
      <c r="K543" s="559"/>
      <c r="L543" s="559"/>
      <c r="M543" s="559"/>
      <c r="N543" s="559"/>
      <c r="O543" s="559"/>
      <c r="P543" s="559"/>
      <c r="Q543" s="559"/>
      <c r="R543" s="559"/>
      <c r="S543" s="559"/>
      <c r="T543" s="559"/>
      <c r="U543" s="559"/>
      <c r="V543" s="559"/>
      <c r="W543" s="559"/>
      <c r="X543" s="559"/>
      <c r="Y543" s="559"/>
      <c r="Z543" s="559"/>
    </row>
    <row r="544" spans="1:26" ht="18" customHeight="1" x14ac:dyDescent="0.35">
      <c r="A544" s="559"/>
      <c r="B544" s="559"/>
      <c r="C544" s="559"/>
      <c r="D544" s="559"/>
      <c r="E544" s="559"/>
      <c r="F544" s="559"/>
      <c r="G544" s="559"/>
      <c r="H544" s="559"/>
      <c r="I544" s="559"/>
      <c r="J544" s="559"/>
      <c r="K544" s="559"/>
      <c r="L544" s="559"/>
      <c r="M544" s="559"/>
      <c r="N544" s="559"/>
      <c r="O544" s="559"/>
      <c r="P544" s="559"/>
      <c r="Q544" s="559"/>
      <c r="R544" s="559"/>
      <c r="S544" s="559"/>
      <c r="T544" s="559"/>
      <c r="U544" s="559"/>
      <c r="V544" s="559"/>
      <c r="W544" s="559"/>
      <c r="X544" s="559"/>
      <c r="Y544" s="559"/>
      <c r="Z544" s="559"/>
    </row>
    <row r="545" spans="1:26" ht="18" customHeight="1" x14ac:dyDescent="0.35">
      <c r="A545" s="559"/>
      <c r="B545" s="559"/>
      <c r="C545" s="559"/>
      <c r="D545" s="559"/>
      <c r="E545" s="559"/>
      <c r="F545" s="559"/>
      <c r="G545" s="559"/>
      <c r="H545" s="559"/>
      <c r="I545" s="559"/>
      <c r="J545" s="559"/>
      <c r="K545" s="559"/>
      <c r="L545" s="559"/>
      <c r="M545" s="559"/>
      <c r="N545" s="559"/>
      <c r="O545" s="559"/>
      <c r="P545" s="559"/>
      <c r="Q545" s="559"/>
      <c r="R545" s="559"/>
      <c r="S545" s="559"/>
      <c r="T545" s="559"/>
      <c r="U545" s="559"/>
      <c r="V545" s="559"/>
      <c r="W545" s="559"/>
      <c r="X545" s="559"/>
      <c r="Y545" s="559"/>
      <c r="Z545" s="559"/>
    </row>
    <row r="546" spans="1:26" ht="18" customHeight="1" x14ac:dyDescent="0.35">
      <c r="A546" s="559"/>
      <c r="B546" s="559"/>
      <c r="C546" s="559"/>
      <c r="D546" s="559"/>
      <c r="E546" s="559"/>
      <c r="F546" s="559"/>
      <c r="G546" s="559"/>
      <c r="H546" s="559"/>
      <c r="I546" s="559"/>
      <c r="J546" s="559"/>
      <c r="K546" s="559"/>
      <c r="L546" s="559"/>
      <c r="M546" s="559"/>
      <c r="N546" s="559"/>
      <c r="O546" s="559"/>
      <c r="P546" s="559"/>
      <c r="Q546" s="559"/>
      <c r="R546" s="559"/>
      <c r="S546" s="559"/>
      <c r="T546" s="559"/>
      <c r="U546" s="559"/>
      <c r="V546" s="559"/>
      <c r="W546" s="559"/>
      <c r="X546" s="559"/>
      <c r="Y546" s="559"/>
      <c r="Z546" s="559"/>
    </row>
    <row r="547" spans="1:26" ht="18" customHeight="1" x14ac:dyDescent="0.35">
      <c r="A547" s="559"/>
      <c r="B547" s="559"/>
      <c r="C547" s="559"/>
      <c r="D547" s="559"/>
      <c r="E547" s="559"/>
      <c r="F547" s="559"/>
      <c r="G547" s="559"/>
      <c r="H547" s="559"/>
      <c r="I547" s="559"/>
      <c r="J547" s="559"/>
      <c r="K547" s="559"/>
      <c r="L547" s="559"/>
      <c r="M547" s="559"/>
      <c r="N547" s="559"/>
      <c r="O547" s="559"/>
      <c r="P547" s="559"/>
      <c r="Q547" s="559"/>
      <c r="R547" s="559"/>
      <c r="S547" s="559"/>
      <c r="T547" s="559"/>
      <c r="U547" s="559"/>
      <c r="V547" s="559"/>
      <c r="W547" s="559"/>
      <c r="X547" s="559"/>
      <c r="Y547" s="559"/>
      <c r="Z547" s="559"/>
    </row>
    <row r="548" spans="1:26" ht="18" customHeight="1" x14ac:dyDescent="0.35">
      <c r="A548" s="559"/>
      <c r="B548" s="559"/>
      <c r="C548" s="559"/>
      <c r="D548" s="559"/>
      <c r="E548" s="559"/>
      <c r="F548" s="559"/>
      <c r="G548" s="559"/>
      <c r="H548" s="559"/>
      <c r="I548" s="559"/>
      <c r="J548" s="559"/>
      <c r="K548" s="559"/>
      <c r="L548" s="559"/>
      <c r="M548" s="559"/>
      <c r="N548" s="559"/>
      <c r="O548" s="559"/>
      <c r="P548" s="559"/>
      <c r="Q548" s="559"/>
      <c r="R548" s="559"/>
      <c r="S548" s="559"/>
      <c r="T548" s="559"/>
      <c r="U548" s="559"/>
      <c r="V548" s="559"/>
      <c r="W548" s="559"/>
      <c r="X548" s="559"/>
      <c r="Y548" s="559"/>
      <c r="Z548" s="559"/>
    </row>
    <row r="549" spans="1:26" ht="18" customHeight="1" x14ac:dyDescent="0.35">
      <c r="A549" s="559"/>
      <c r="B549" s="559"/>
      <c r="C549" s="559"/>
      <c r="D549" s="559"/>
      <c r="E549" s="559"/>
      <c r="F549" s="559"/>
      <c r="G549" s="559"/>
      <c r="H549" s="559"/>
      <c r="I549" s="559"/>
      <c r="J549" s="559"/>
      <c r="K549" s="559"/>
      <c r="L549" s="559"/>
      <c r="M549" s="559"/>
      <c r="N549" s="559"/>
      <c r="O549" s="559"/>
      <c r="P549" s="559"/>
      <c r="Q549" s="559"/>
      <c r="R549" s="559"/>
      <c r="S549" s="559"/>
      <c r="T549" s="559"/>
      <c r="U549" s="559"/>
      <c r="V549" s="559"/>
      <c r="W549" s="559"/>
      <c r="X549" s="559"/>
      <c r="Y549" s="559"/>
      <c r="Z549" s="559"/>
    </row>
    <row r="550" spans="1:26" ht="18" customHeight="1" x14ac:dyDescent="0.35">
      <c r="A550" s="559"/>
      <c r="B550" s="559"/>
      <c r="C550" s="559"/>
      <c r="D550" s="559"/>
      <c r="E550" s="559"/>
      <c r="F550" s="559"/>
      <c r="G550" s="559"/>
      <c r="H550" s="559"/>
      <c r="I550" s="559"/>
      <c r="J550" s="559"/>
      <c r="K550" s="559"/>
      <c r="L550" s="559"/>
      <c r="M550" s="559"/>
      <c r="N550" s="559"/>
      <c r="O550" s="559"/>
      <c r="P550" s="559"/>
      <c r="Q550" s="559"/>
      <c r="R550" s="559"/>
      <c r="S550" s="559"/>
      <c r="T550" s="559"/>
      <c r="U550" s="559"/>
      <c r="V550" s="559"/>
      <c r="W550" s="559"/>
      <c r="X550" s="559"/>
      <c r="Y550" s="559"/>
      <c r="Z550" s="559"/>
    </row>
    <row r="551" spans="1:26" ht="18" customHeight="1" x14ac:dyDescent="0.35">
      <c r="A551" s="559"/>
      <c r="B551" s="559"/>
      <c r="C551" s="559"/>
      <c r="D551" s="559"/>
      <c r="E551" s="559"/>
      <c r="F551" s="559"/>
      <c r="G551" s="559"/>
      <c r="H551" s="559"/>
      <c r="I551" s="559"/>
      <c r="J551" s="559"/>
      <c r="K551" s="559"/>
      <c r="L551" s="559"/>
      <c r="M551" s="559"/>
      <c r="N551" s="559"/>
      <c r="O551" s="559"/>
      <c r="P551" s="559"/>
      <c r="Q551" s="559"/>
      <c r="R551" s="559"/>
      <c r="S551" s="559"/>
      <c r="T551" s="559"/>
      <c r="U551" s="559"/>
      <c r="V551" s="559"/>
      <c r="W551" s="559"/>
      <c r="X551" s="559"/>
      <c r="Y551" s="559"/>
      <c r="Z551" s="559"/>
    </row>
    <row r="552" spans="1:26" ht="18" customHeight="1" x14ac:dyDescent="0.35">
      <c r="A552" s="559"/>
      <c r="B552" s="559"/>
      <c r="C552" s="559"/>
      <c r="D552" s="559"/>
      <c r="E552" s="559"/>
      <c r="F552" s="559"/>
      <c r="G552" s="559"/>
      <c r="H552" s="559"/>
      <c r="I552" s="559"/>
      <c r="J552" s="559"/>
      <c r="K552" s="559"/>
      <c r="L552" s="559"/>
      <c r="M552" s="559"/>
      <c r="N552" s="559"/>
      <c r="O552" s="559"/>
      <c r="P552" s="559"/>
      <c r="Q552" s="559"/>
      <c r="R552" s="559"/>
      <c r="S552" s="559"/>
      <c r="T552" s="559"/>
      <c r="U552" s="559"/>
      <c r="V552" s="559"/>
      <c r="W552" s="559"/>
      <c r="X552" s="559"/>
      <c r="Y552" s="559"/>
      <c r="Z552" s="559"/>
    </row>
    <row r="553" spans="1:26" ht="18" customHeight="1" x14ac:dyDescent="0.35">
      <c r="A553" s="559"/>
      <c r="B553" s="559"/>
      <c r="C553" s="559"/>
      <c r="D553" s="559"/>
      <c r="E553" s="559"/>
      <c r="F553" s="559"/>
      <c r="G553" s="559"/>
      <c r="H553" s="559"/>
      <c r="I553" s="559"/>
      <c r="J553" s="559"/>
      <c r="K553" s="559"/>
      <c r="L553" s="559"/>
      <c r="M553" s="559"/>
      <c r="N553" s="559"/>
      <c r="O553" s="559"/>
      <c r="P553" s="559"/>
      <c r="Q553" s="559"/>
      <c r="R553" s="559"/>
      <c r="S553" s="559"/>
      <c r="T553" s="559"/>
      <c r="U553" s="559"/>
      <c r="V553" s="559"/>
      <c r="W553" s="559"/>
      <c r="X553" s="559"/>
      <c r="Y553" s="559"/>
      <c r="Z553" s="559"/>
    </row>
    <row r="554" spans="1:26" ht="18" customHeight="1" x14ac:dyDescent="0.35">
      <c r="A554" s="559"/>
      <c r="B554" s="559"/>
      <c r="C554" s="559"/>
      <c r="D554" s="559"/>
      <c r="E554" s="559"/>
      <c r="F554" s="559"/>
      <c r="G554" s="559"/>
      <c r="H554" s="559"/>
      <c r="I554" s="559"/>
      <c r="J554" s="559"/>
      <c r="K554" s="559"/>
      <c r="L554" s="559"/>
      <c r="M554" s="559"/>
      <c r="N554" s="559"/>
      <c r="O554" s="559"/>
      <c r="P554" s="559"/>
      <c r="Q554" s="559"/>
      <c r="R554" s="559"/>
      <c r="S554" s="559"/>
      <c r="T554" s="559"/>
      <c r="U554" s="559"/>
      <c r="V554" s="559"/>
      <c r="W554" s="559"/>
      <c r="X554" s="559"/>
      <c r="Y554" s="559"/>
      <c r="Z554" s="559"/>
    </row>
    <row r="555" spans="1:26" ht="18" customHeight="1" x14ac:dyDescent="0.35">
      <c r="A555" s="559"/>
      <c r="B555" s="559"/>
      <c r="C555" s="559"/>
      <c r="D555" s="559"/>
      <c r="E555" s="559"/>
      <c r="F555" s="559"/>
      <c r="G555" s="559"/>
      <c r="H555" s="559"/>
      <c r="I555" s="559"/>
      <c r="J555" s="559"/>
      <c r="K555" s="559"/>
      <c r="L555" s="559"/>
      <c r="M555" s="559"/>
      <c r="N555" s="559"/>
      <c r="O555" s="559"/>
      <c r="P555" s="559"/>
      <c r="Q555" s="559"/>
      <c r="R555" s="559"/>
      <c r="S555" s="559"/>
      <c r="T555" s="559"/>
      <c r="U555" s="559"/>
      <c r="V555" s="559"/>
      <c r="W555" s="559"/>
      <c r="X555" s="559"/>
      <c r="Y555" s="559"/>
      <c r="Z555" s="559"/>
    </row>
    <row r="556" spans="1:26" ht="18" customHeight="1" x14ac:dyDescent="0.35">
      <c r="A556" s="559"/>
      <c r="B556" s="559"/>
      <c r="C556" s="559"/>
      <c r="D556" s="559"/>
      <c r="E556" s="559"/>
      <c r="F556" s="559"/>
      <c r="G556" s="559"/>
      <c r="H556" s="559"/>
      <c r="I556" s="559"/>
      <c r="J556" s="559"/>
      <c r="K556" s="559"/>
      <c r="L556" s="559"/>
      <c r="M556" s="559"/>
      <c r="N556" s="559"/>
      <c r="O556" s="559"/>
      <c r="P556" s="559"/>
      <c r="Q556" s="559"/>
      <c r="R556" s="559"/>
      <c r="S556" s="559"/>
      <c r="T556" s="559"/>
      <c r="U556" s="559"/>
      <c r="V556" s="559"/>
      <c r="W556" s="559"/>
      <c r="X556" s="559"/>
      <c r="Y556" s="559"/>
      <c r="Z556" s="559"/>
    </row>
    <row r="557" spans="1:26" ht="18" customHeight="1" x14ac:dyDescent="0.35">
      <c r="A557" s="559"/>
      <c r="B557" s="559"/>
      <c r="C557" s="559"/>
      <c r="D557" s="559"/>
      <c r="E557" s="559"/>
      <c r="F557" s="559"/>
      <c r="G557" s="559"/>
      <c r="H557" s="559"/>
      <c r="I557" s="559"/>
      <c r="J557" s="559"/>
      <c r="K557" s="559"/>
      <c r="L557" s="559"/>
      <c r="M557" s="559"/>
      <c r="N557" s="559"/>
      <c r="O557" s="559"/>
      <c r="P557" s="559"/>
      <c r="Q557" s="559"/>
      <c r="R557" s="559"/>
      <c r="S557" s="559"/>
      <c r="T557" s="559"/>
      <c r="U557" s="559"/>
      <c r="V557" s="559"/>
      <c r="W557" s="559"/>
      <c r="X557" s="559"/>
      <c r="Y557" s="559"/>
      <c r="Z557" s="559"/>
    </row>
    <row r="558" spans="1:26" ht="18" customHeight="1" x14ac:dyDescent="0.35">
      <c r="A558" s="559"/>
      <c r="B558" s="559"/>
      <c r="C558" s="559"/>
      <c r="D558" s="559"/>
      <c r="E558" s="559"/>
      <c r="F558" s="559"/>
      <c r="G558" s="559"/>
      <c r="H558" s="559"/>
      <c r="I558" s="559"/>
      <c r="J558" s="559"/>
      <c r="K558" s="559"/>
      <c r="L558" s="559"/>
      <c r="M558" s="559"/>
      <c r="N558" s="559"/>
      <c r="O558" s="559"/>
      <c r="P558" s="559"/>
      <c r="Q558" s="559"/>
      <c r="R558" s="559"/>
      <c r="S558" s="559"/>
      <c r="T558" s="559"/>
      <c r="U558" s="559"/>
      <c r="V558" s="559"/>
      <c r="W558" s="559"/>
      <c r="X558" s="559"/>
      <c r="Y558" s="559"/>
      <c r="Z558" s="559"/>
    </row>
    <row r="559" spans="1:26" ht="18" customHeight="1" x14ac:dyDescent="0.35">
      <c r="A559" s="559"/>
      <c r="B559" s="559"/>
      <c r="C559" s="559"/>
      <c r="D559" s="559"/>
      <c r="E559" s="559"/>
      <c r="F559" s="559"/>
      <c r="G559" s="559"/>
      <c r="H559" s="559"/>
      <c r="I559" s="559"/>
      <c r="J559" s="559"/>
      <c r="K559" s="559"/>
      <c r="L559" s="559"/>
      <c r="M559" s="559"/>
      <c r="N559" s="559"/>
      <c r="O559" s="559"/>
      <c r="P559" s="559"/>
      <c r="Q559" s="559"/>
      <c r="R559" s="559"/>
      <c r="S559" s="559"/>
      <c r="T559" s="559"/>
      <c r="U559" s="559"/>
      <c r="V559" s="559"/>
      <c r="W559" s="559"/>
      <c r="X559" s="559"/>
      <c r="Y559" s="559"/>
      <c r="Z559" s="559"/>
    </row>
    <row r="560" spans="1:26" ht="18" customHeight="1" x14ac:dyDescent="0.35">
      <c r="A560" s="559"/>
      <c r="B560" s="559"/>
      <c r="C560" s="559"/>
      <c r="D560" s="559"/>
      <c r="E560" s="559"/>
      <c r="F560" s="559"/>
      <c r="G560" s="559"/>
      <c r="H560" s="559"/>
      <c r="I560" s="559"/>
      <c r="J560" s="559"/>
      <c r="K560" s="559"/>
      <c r="L560" s="559"/>
      <c r="M560" s="559"/>
      <c r="N560" s="559"/>
      <c r="O560" s="559"/>
      <c r="P560" s="559"/>
      <c r="Q560" s="559"/>
      <c r="R560" s="559"/>
      <c r="S560" s="559"/>
      <c r="T560" s="559"/>
      <c r="U560" s="559"/>
      <c r="V560" s="559"/>
      <c r="W560" s="559"/>
      <c r="X560" s="559"/>
      <c r="Y560" s="559"/>
      <c r="Z560" s="559"/>
    </row>
    <row r="561" spans="1:26" ht="18" customHeight="1" x14ac:dyDescent="0.35">
      <c r="A561" s="559"/>
      <c r="B561" s="559"/>
      <c r="C561" s="559"/>
      <c r="D561" s="559"/>
      <c r="E561" s="559"/>
      <c r="F561" s="559"/>
      <c r="G561" s="559"/>
      <c r="H561" s="559"/>
      <c r="I561" s="559"/>
      <c r="J561" s="559"/>
      <c r="K561" s="559"/>
      <c r="L561" s="559"/>
      <c r="M561" s="559"/>
      <c r="N561" s="559"/>
      <c r="O561" s="559"/>
      <c r="P561" s="559"/>
      <c r="Q561" s="559"/>
      <c r="R561" s="559"/>
      <c r="S561" s="559"/>
      <c r="T561" s="559"/>
      <c r="U561" s="559"/>
      <c r="V561" s="559"/>
      <c r="W561" s="559"/>
      <c r="X561" s="559"/>
      <c r="Y561" s="559"/>
      <c r="Z561" s="559"/>
    </row>
    <row r="562" spans="1:26" ht="18" customHeight="1" x14ac:dyDescent="0.35">
      <c r="A562" s="559"/>
      <c r="B562" s="559"/>
      <c r="C562" s="559"/>
      <c r="D562" s="559"/>
      <c r="E562" s="559"/>
      <c r="F562" s="559"/>
      <c r="G562" s="559"/>
      <c r="H562" s="559"/>
      <c r="I562" s="559"/>
      <c r="J562" s="559"/>
      <c r="K562" s="559"/>
      <c r="L562" s="559"/>
      <c r="M562" s="559"/>
      <c r="N562" s="559"/>
      <c r="O562" s="559"/>
      <c r="P562" s="559"/>
      <c r="Q562" s="559"/>
      <c r="R562" s="559"/>
      <c r="S562" s="559"/>
      <c r="T562" s="559"/>
      <c r="U562" s="559"/>
      <c r="V562" s="559"/>
      <c r="W562" s="559"/>
      <c r="X562" s="559"/>
      <c r="Y562" s="559"/>
      <c r="Z562" s="559"/>
    </row>
    <row r="563" spans="1:26" ht="18" customHeight="1" x14ac:dyDescent="0.35">
      <c r="A563" s="559"/>
      <c r="B563" s="559"/>
      <c r="C563" s="559"/>
      <c r="D563" s="559"/>
      <c r="E563" s="559"/>
      <c r="F563" s="559"/>
      <c r="G563" s="559"/>
      <c r="H563" s="559"/>
      <c r="I563" s="559"/>
      <c r="J563" s="559"/>
      <c r="K563" s="559"/>
      <c r="L563" s="559"/>
      <c r="M563" s="559"/>
      <c r="N563" s="559"/>
      <c r="O563" s="559"/>
      <c r="P563" s="559"/>
      <c r="Q563" s="559"/>
      <c r="R563" s="559"/>
      <c r="S563" s="559"/>
      <c r="T563" s="559"/>
      <c r="U563" s="559"/>
      <c r="V563" s="559"/>
      <c r="W563" s="559"/>
      <c r="X563" s="559"/>
      <c r="Y563" s="559"/>
      <c r="Z563" s="559"/>
    </row>
    <row r="564" spans="1:26" ht="18" customHeight="1" x14ac:dyDescent="0.35">
      <c r="A564" s="559"/>
      <c r="B564" s="559"/>
      <c r="C564" s="559"/>
      <c r="D564" s="559"/>
      <c r="E564" s="559"/>
      <c r="F564" s="559"/>
      <c r="G564" s="559"/>
      <c r="H564" s="559"/>
      <c r="I564" s="559"/>
      <c r="J564" s="559"/>
      <c r="K564" s="559"/>
      <c r="L564" s="559"/>
      <c r="M564" s="559"/>
      <c r="N564" s="559"/>
      <c r="O564" s="559"/>
      <c r="P564" s="559"/>
      <c r="Q564" s="559"/>
      <c r="R564" s="559"/>
      <c r="S564" s="559"/>
      <c r="T564" s="559"/>
      <c r="U564" s="559"/>
      <c r="V564" s="559"/>
      <c r="W564" s="559"/>
      <c r="X564" s="559"/>
      <c r="Y564" s="559"/>
      <c r="Z564" s="559"/>
    </row>
    <row r="565" spans="1:26" ht="18" customHeight="1" x14ac:dyDescent="0.35">
      <c r="A565" s="559"/>
      <c r="B565" s="559"/>
      <c r="C565" s="559"/>
      <c r="D565" s="559"/>
      <c r="E565" s="559"/>
      <c r="F565" s="559"/>
      <c r="G565" s="559"/>
      <c r="H565" s="559"/>
      <c r="I565" s="559"/>
      <c r="J565" s="559"/>
      <c r="K565" s="559"/>
      <c r="L565" s="559"/>
      <c r="M565" s="559"/>
      <c r="N565" s="559"/>
      <c r="O565" s="559"/>
      <c r="P565" s="559"/>
      <c r="Q565" s="559"/>
      <c r="R565" s="559"/>
      <c r="S565" s="559"/>
      <c r="T565" s="559"/>
      <c r="U565" s="559"/>
      <c r="V565" s="559"/>
      <c r="W565" s="559"/>
      <c r="X565" s="559"/>
      <c r="Y565" s="559"/>
      <c r="Z565" s="559"/>
    </row>
    <row r="566" spans="1:26" ht="18" customHeight="1" x14ac:dyDescent="0.35">
      <c r="A566" s="559"/>
      <c r="B566" s="559"/>
      <c r="C566" s="559"/>
      <c r="D566" s="559"/>
      <c r="E566" s="559"/>
      <c r="F566" s="559"/>
      <c r="G566" s="559"/>
      <c r="H566" s="559"/>
      <c r="I566" s="559"/>
      <c r="J566" s="559"/>
      <c r="K566" s="559"/>
      <c r="L566" s="559"/>
      <c r="M566" s="559"/>
      <c r="N566" s="559"/>
      <c r="O566" s="559"/>
      <c r="P566" s="559"/>
      <c r="Q566" s="559"/>
      <c r="R566" s="559"/>
      <c r="S566" s="559"/>
      <c r="T566" s="559"/>
      <c r="U566" s="559"/>
      <c r="V566" s="559"/>
      <c r="W566" s="559"/>
      <c r="X566" s="559"/>
      <c r="Y566" s="559"/>
      <c r="Z566" s="559"/>
    </row>
    <row r="567" spans="1:26" ht="18" customHeight="1" x14ac:dyDescent="0.35">
      <c r="A567" s="559"/>
      <c r="B567" s="559"/>
      <c r="C567" s="559"/>
      <c r="D567" s="559"/>
      <c r="E567" s="559"/>
      <c r="F567" s="559"/>
      <c r="G567" s="559"/>
      <c r="H567" s="559"/>
      <c r="I567" s="559"/>
      <c r="J567" s="559"/>
      <c r="K567" s="559"/>
      <c r="L567" s="559"/>
      <c r="M567" s="559"/>
      <c r="N567" s="559"/>
      <c r="O567" s="559"/>
      <c r="P567" s="559"/>
      <c r="Q567" s="559"/>
      <c r="R567" s="559"/>
      <c r="S567" s="559"/>
      <c r="T567" s="559"/>
      <c r="U567" s="559"/>
      <c r="V567" s="559"/>
      <c r="W567" s="559"/>
      <c r="X567" s="559"/>
      <c r="Y567" s="559"/>
      <c r="Z567" s="559"/>
    </row>
    <row r="568" spans="1:26" ht="18" customHeight="1" x14ac:dyDescent="0.35">
      <c r="A568" s="559"/>
      <c r="B568" s="559"/>
      <c r="C568" s="559"/>
      <c r="D568" s="559"/>
      <c r="E568" s="559"/>
      <c r="F568" s="559"/>
      <c r="G568" s="559"/>
      <c r="H568" s="559"/>
      <c r="I568" s="559"/>
      <c r="J568" s="559"/>
      <c r="K568" s="559"/>
      <c r="L568" s="559"/>
      <c r="M568" s="559"/>
      <c r="N568" s="559"/>
      <c r="O568" s="559"/>
      <c r="P568" s="559"/>
      <c r="Q568" s="559"/>
      <c r="R568" s="559"/>
      <c r="S568" s="559"/>
      <c r="T568" s="559"/>
      <c r="U568" s="559"/>
      <c r="V568" s="559"/>
      <c r="W568" s="559"/>
      <c r="X568" s="559"/>
      <c r="Y568" s="559"/>
      <c r="Z568" s="559"/>
    </row>
    <row r="569" spans="1:26" ht="18" customHeight="1" x14ac:dyDescent="0.35">
      <c r="A569" s="559"/>
      <c r="B569" s="559"/>
      <c r="C569" s="559"/>
      <c r="D569" s="559"/>
      <c r="E569" s="559"/>
      <c r="F569" s="559"/>
      <c r="G569" s="559"/>
      <c r="H569" s="559"/>
      <c r="I569" s="559"/>
      <c r="J569" s="559"/>
      <c r="K569" s="559"/>
      <c r="L569" s="559"/>
      <c r="M569" s="559"/>
      <c r="N569" s="559"/>
      <c r="O569" s="559"/>
      <c r="P569" s="559"/>
      <c r="Q569" s="559"/>
      <c r="R569" s="559"/>
      <c r="S569" s="559"/>
      <c r="T569" s="559"/>
      <c r="U569" s="559"/>
      <c r="V569" s="559"/>
      <c r="W569" s="559"/>
      <c r="X569" s="559"/>
      <c r="Y569" s="559"/>
      <c r="Z569" s="559"/>
    </row>
    <row r="570" spans="1:26" ht="18" customHeight="1" x14ac:dyDescent="0.35">
      <c r="A570" s="559"/>
      <c r="B570" s="559"/>
      <c r="C570" s="559"/>
      <c r="D570" s="559"/>
      <c r="E570" s="559"/>
      <c r="F570" s="559"/>
      <c r="G570" s="559"/>
      <c r="H570" s="559"/>
      <c r="I570" s="559"/>
      <c r="J570" s="559"/>
      <c r="K570" s="559"/>
      <c r="L570" s="559"/>
      <c r="M570" s="559"/>
      <c r="N570" s="559"/>
      <c r="O570" s="559"/>
      <c r="P570" s="559"/>
      <c r="Q570" s="559"/>
      <c r="R570" s="559"/>
      <c r="S570" s="559"/>
      <c r="T570" s="559"/>
      <c r="U570" s="559"/>
      <c r="V570" s="559"/>
      <c r="W570" s="559"/>
      <c r="X570" s="559"/>
      <c r="Y570" s="559"/>
      <c r="Z570" s="559"/>
    </row>
    <row r="571" spans="1:26" ht="18" customHeight="1" x14ac:dyDescent="0.35">
      <c r="A571" s="559"/>
      <c r="B571" s="559"/>
      <c r="C571" s="559"/>
      <c r="D571" s="559"/>
      <c r="E571" s="559"/>
      <c r="F571" s="559"/>
      <c r="G571" s="559"/>
      <c r="H571" s="559"/>
      <c r="I571" s="559"/>
      <c r="J571" s="559"/>
      <c r="K571" s="559"/>
      <c r="L571" s="559"/>
      <c r="M571" s="559"/>
      <c r="N571" s="559"/>
      <c r="O571" s="559"/>
      <c r="P571" s="559"/>
      <c r="Q571" s="559"/>
      <c r="R571" s="559"/>
      <c r="S571" s="559"/>
      <c r="T571" s="559"/>
      <c r="U571" s="559"/>
      <c r="V571" s="559"/>
      <c r="W571" s="559"/>
      <c r="X571" s="559"/>
      <c r="Y571" s="559"/>
      <c r="Z571" s="559"/>
    </row>
    <row r="572" spans="1:26" ht="18" customHeight="1" x14ac:dyDescent="0.35">
      <c r="A572" s="559"/>
      <c r="B572" s="559"/>
      <c r="C572" s="559"/>
      <c r="D572" s="559"/>
      <c r="E572" s="559"/>
      <c r="F572" s="559"/>
      <c r="G572" s="559"/>
      <c r="H572" s="559"/>
      <c r="I572" s="559"/>
      <c r="J572" s="559"/>
      <c r="K572" s="559"/>
      <c r="L572" s="559"/>
      <c r="M572" s="559"/>
      <c r="N572" s="559"/>
      <c r="O572" s="559"/>
      <c r="P572" s="559"/>
      <c r="Q572" s="559"/>
      <c r="R572" s="559"/>
      <c r="S572" s="559"/>
      <c r="T572" s="559"/>
      <c r="U572" s="559"/>
      <c r="V572" s="559"/>
      <c r="W572" s="559"/>
      <c r="X572" s="559"/>
      <c r="Y572" s="559"/>
      <c r="Z572" s="559"/>
    </row>
    <row r="573" spans="1:26" ht="18" customHeight="1" x14ac:dyDescent="0.35">
      <c r="A573" s="559"/>
      <c r="B573" s="559"/>
      <c r="C573" s="559"/>
      <c r="D573" s="559"/>
      <c r="E573" s="559"/>
      <c r="F573" s="559"/>
      <c r="G573" s="559"/>
      <c r="H573" s="559"/>
      <c r="I573" s="559"/>
      <c r="J573" s="559"/>
      <c r="K573" s="559"/>
      <c r="L573" s="559"/>
      <c r="M573" s="559"/>
      <c r="N573" s="559"/>
      <c r="O573" s="559"/>
      <c r="P573" s="559"/>
      <c r="Q573" s="559"/>
      <c r="R573" s="559"/>
      <c r="S573" s="559"/>
      <c r="T573" s="559"/>
      <c r="U573" s="559"/>
      <c r="V573" s="559"/>
      <c r="W573" s="559"/>
      <c r="X573" s="559"/>
      <c r="Y573" s="559"/>
      <c r="Z573" s="559"/>
    </row>
    <row r="574" spans="1:26" ht="18" customHeight="1" x14ac:dyDescent="0.35">
      <c r="A574" s="559"/>
      <c r="B574" s="559"/>
      <c r="C574" s="559"/>
      <c r="D574" s="559"/>
      <c r="E574" s="559"/>
      <c r="F574" s="559"/>
      <c r="G574" s="559"/>
      <c r="H574" s="559"/>
      <c r="I574" s="559"/>
      <c r="J574" s="559"/>
      <c r="K574" s="559"/>
      <c r="L574" s="559"/>
      <c r="M574" s="559"/>
      <c r="N574" s="559"/>
      <c r="O574" s="559"/>
      <c r="P574" s="559"/>
      <c r="Q574" s="559"/>
      <c r="R574" s="559"/>
      <c r="S574" s="559"/>
      <c r="T574" s="559"/>
      <c r="U574" s="559"/>
      <c r="V574" s="559"/>
      <c r="W574" s="559"/>
      <c r="X574" s="559"/>
      <c r="Y574" s="559"/>
      <c r="Z574" s="559"/>
    </row>
    <row r="575" spans="1:26" ht="18" customHeight="1" x14ac:dyDescent="0.35">
      <c r="A575" s="559"/>
      <c r="B575" s="559"/>
      <c r="C575" s="559"/>
      <c r="D575" s="559"/>
      <c r="E575" s="559"/>
      <c r="F575" s="559"/>
      <c r="G575" s="559"/>
      <c r="H575" s="559"/>
      <c r="I575" s="559"/>
      <c r="J575" s="559"/>
      <c r="K575" s="559"/>
      <c r="L575" s="559"/>
      <c r="M575" s="559"/>
      <c r="N575" s="559"/>
      <c r="O575" s="559"/>
      <c r="P575" s="559"/>
      <c r="Q575" s="559"/>
      <c r="R575" s="559"/>
      <c r="S575" s="559"/>
      <c r="T575" s="559"/>
      <c r="U575" s="559"/>
      <c r="V575" s="559"/>
      <c r="W575" s="559"/>
      <c r="X575" s="559"/>
      <c r="Y575" s="559"/>
      <c r="Z575" s="559"/>
    </row>
    <row r="576" spans="1:26" ht="18" customHeight="1" x14ac:dyDescent="0.35">
      <c r="A576" s="559"/>
      <c r="B576" s="559"/>
      <c r="C576" s="559"/>
      <c r="D576" s="559"/>
      <c r="E576" s="559"/>
      <c r="F576" s="559"/>
      <c r="G576" s="559"/>
      <c r="H576" s="559"/>
      <c r="I576" s="559"/>
      <c r="J576" s="559"/>
      <c r="K576" s="559"/>
      <c r="L576" s="559"/>
      <c r="M576" s="559"/>
      <c r="N576" s="559"/>
      <c r="O576" s="559"/>
      <c r="P576" s="559"/>
      <c r="Q576" s="559"/>
      <c r="R576" s="559"/>
      <c r="S576" s="559"/>
      <c r="T576" s="559"/>
      <c r="U576" s="559"/>
      <c r="V576" s="559"/>
      <c r="W576" s="559"/>
      <c r="X576" s="559"/>
      <c r="Y576" s="559"/>
      <c r="Z576" s="559"/>
    </row>
    <row r="577" spans="1:26" ht="18" customHeight="1" x14ac:dyDescent="0.35">
      <c r="A577" s="559"/>
      <c r="B577" s="559"/>
      <c r="C577" s="559"/>
      <c r="D577" s="559"/>
      <c r="E577" s="559"/>
      <c r="F577" s="559"/>
      <c r="G577" s="559"/>
      <c r="H577" s="559"/>
      <c r="I577" s="559"/>
      <c r="J577" s="559"/>
      <c r="K577" s="559"/>
      <c r="L577" s="559"/>
      <c r="M577" s="559"/>
      <c r="N577" s="559"/>
      <c r="O577" s="559"/>
      <c r="P577" s="559"/>
      <c r="Q577" s="559"/>
      <c r="R577" s="559"/>
      <c r="S577" s="559"/>
      <c r="T577" s="559"/>
      <c r="U577" s="559"/>
      <c r="V577" s="559"/>
      <c r="W577" s="559"/>
      <c r="X577" s="559"/>
      <c r="Y577" s="559"/>
      <c r="Z577" s="559"/>
    </row>
    <row r="578" spans="1:26" ht="18" customHeight="1" x14ac:dyDescent="0.35">
      <c r="A578" s="559"/>
      <c r="B578" s="559"/>
      <c r="C578" s="559"/>
      <c r="D578" s="559"/>
      <c r="E578" s="559"/>
      <c r="F578" s="559"/>
      <c r="G578" s="559"/>
      <c r="H578" s="559"/>
      <c r="I578" s="559"/>
      <c r="J578" s="559"/>
      <c r="K578" s="559"/>
      <c r="L578" s="559"/>
      <c r="M578" s="559"/>
      <c r="N578" s="559"/>
      <c r="O578" s="559"/>
      <c r="P578" s="559"/>
      <c r="Q578" s="559"/>
      <c r="R578" s="559"/>
      <c r="S578" s="559"/>
      <c r="T578" s="559"/>
      <c r="U578" s="559"/>
      <c r="V578" s="559"/>
      <c r="W578" s="559"/>
      <c r="X578" s="559"/>
      <c r="Y578" s="559"/>
      <c r="Z578" s="559"/>
    </row>
    <row r="579" spans="1:26" ht="18" customHeight="1" x14ac:dyDescent="0.35">
      <c r="A579" s="559"/>
      <c r="B579" s="559"/>
      <c r="C579" s="559"/>
      <c r="D579" s="559"/>
      <c r="E579" s="559"/>
      <c r="F579" s="559"/>
      <c r="G579" s="559"/>
      <c r="H579" s="559"/>
      <c r="I579" s="559"/>
      <c r="J579" s="559"/>
      <c r="K579" s="559"/>
      <c r="L579" s="559"/>
      <c r="M579" s="559"/>
      <c r="N579" s="559"/>
      <c r="O579" s="559"/>
      <c r="P579" s="559"/>
      <c r="Q579" s="559"/>
      <c r="R579" s="559"/>
      <c r="S579" s="559"/>
      <c r="T579" s="559"/>
      <c r="U579" s="559"/>
      <c r="V579" s="559"/>
      <c r="W579" s="559"/>
      <c r="X579" s="559"/>
      <c r="Y579" s="559"/>
      <c r="Z579" s="559"/>
    </row>
    <row r="580" spans="1:26" ht="18" customHeight="1" x14ac:dyDescent="0.35">
      <c r="A580" s="559"/>
      <c r="B580" s="559"/>
      <c r="C580" s="559"/>
      <c r="D580" s="559"/>
      <c r="E580" s="559"/>
      <c r="F580" s="559"/>
      <c r="G580" s="559"/>
      <c r="H580" s="559"/>
      <c r="I580" s="559"/>
      <c r="J580" s="559"/>
      <c r="K580" s="559"/>
      <c r="L580" s="559"/>
      <c r="M580" s="559"/>
      <c r="N580" s="559"/>
      <c r="O580" s="559"/>
      <c r="P580" s="559"/>
      <c r="Q580" s="559"/>
      <c r="R580" s="559"/>
      <c r="S580" s="559"/>
      <c r="T580" s="559"/>
      <c r="U580" s="559"/>
      <c r="V580" s="559"/>
      <c r="W580" s="559"/>
      <c r="X580" s="559"/>
      <c r="Y580" s="559"/>
      <c r="Z580" s="559"/>
    </row>
    <row r="581" spans="1:26" ht="18" customHeight="1" x14ac:dyDescent="0.35">
      <c r="A581" s="559"/>
      <c r="B581" s="559"/>
      <c r="C581" s="559"/>
      <c r="D581" s="559"/>
      <c r="E581" s="559"/>
      <c r="F581" s="559"/>
      <c r="G581" s="559"/>
      <c r="H581" s="559"/>
      <c r="I581" s="559"/>
      <c r="J581" s="559"/>
      <c r="K581" s="559"/>
      <c r="L581" s="559"/>
      <c r="M581" s="559"/>
      <c r="N581" s="559"/>
      <c r="O581" s="559"/>
      <c r="P581" s="559"/>
      <c r="Q581" s="559"/>
      <c r="R581" s="559"/>
      <c r="S581" s="559"/>
      <c r="T581" s="559"/>
      <c r="U581" s="559"/>
      <c r="V581" s="559"/>
      <c r="W581" s="559"/>
      <c r="X581" s="559"/>
      <c r="Y581" s="559"/>
      <c r="Z581" s="559"/>
    </row>
    <row r="582" spans="1:26" ht="18" customHeight="1" x14ac:dyDescent="0.35">
      <c r="A582" s="559"/>
      <c r="B582" s="559"/>
      <c r="C582" s="559"/>
      <c r="D582" s="559"/>
      <c r="E582" s="559"/>
      <c r="F582" s="559"/>
      <c r="G582" s="559"/>
      <c r="H582" s="559"/>
      <c r="I582" s="559"/>
      <c r="J582" s="559"/>
      <c r="K582" s="559"/>
      <c r="L582" s="559"/>
      <c r="M582" s="559"/>
      <c r="N582" s="559"/>
      <c r="O582" s="559"/>
      <c r="P582" s="559"/>
      <c r="Q582" s="559"/>
      <c r="R582" s="559"/>
      <c r="S582" s="559"/>
      <c r="T582" s="559"/>
      <c r="U582" s="559"/>
      <c r="V582" s="559"/>
      <c r="W582" s="559"/>
      <c r="X582" s="559"/>
      <c r="Y582" s="559"/>
      <c r="Z582" s="559"/>
    </row>
    <row r="583" spans="1:26" ht="18" customHeight="1" x14ac:dyDescent="0.35">
      <c r="A583" s="559"/>
      <c r="B583" s="559"/>
      <c r="C583" s="559"/>
      <c r="D583" s="559"/>
      <c r="E583" s="559"/>
      <c r="F583" s="559"/>
      <c r="G583" s="559"/>
      <c r="H583" s="559"/>
      <c r="I583" s="559"/>
      <c r="J583" s="559"/>
      <c r="K583" s="559"/>
      <c r="L583" s="559"/>
      <c r="M583" s="559"/>
      <c r="N583" s="559"/>
      <c r="O583" s="559"/>
      <c r="P583" s="559"/>
      <c r="Q583" s="559"/>
      <c r="R583" s="559"/>
      <c r="S583" s="559"/>
      <c r="T583" s="559"/>
      <c r="U583" s="559"/>
      <c r="V583" s="559"/>
      <c r="W583" s="559"/>
      <c r="X583" s="559"/>
      <c r="Y583" s="559"/>
      <c r="Z583" s="559"/>
    </row>
    <row r="584" spans="1:26" ht="18" customHeight="1" x14ac:dyDescent="0.35">
      <c r="A584" s="559"/>
      <c r="B584" s="559"/>
      <c r="C584" s="559"/>
      <c r="D584" s="559"/>
      <c r="E584" s="559"/>
      <c r="F584" s="559"/>
      <c r="G584" s="559"/>
      <c r="H584" s="559"/>
      <c r="I584" s="559"/>
      <c r="J584" s="559"/>
      <c r="K584" s="559"/>
      <c r="L584" s="559"/>
      <c r="M584" s="559"/>
      <c r="N584" s="559"/>
      <c r="O584" s="559"/>
      <c r="P584" s="559"/>
      <c r="Q584" s="559"/>
      <c r="R584" s="559"/>
      <c r="S584" s="559"/>
      <c r="T584" s="559"/>
      <c r="U584" s="559"/>
      <c r="V584" s="559"/>
      <c r="W584" s="559"/>
      <c r="X584" s="559"/>
      <c r="Y584" s="559"/>
      <c r="Z584" s="559"/>
    </row>
    <row r="585" spans="1:26" ht="18" customHeight="1" x14ac:dyDescent="0.35">
      <c r="A585" s="559"/>
      <c r="B585" s="559"/>
      <c r="C585" s="559"/>
      <c r="D585" s="559"/>
      <c r="E585" s="559"/>
      <c r="F585" s="559"/>
      <c r="G585" s="559"/>
      <c r="H585" s="559"/>
      <c r="I585" s="559"/>
      <c r="J585" s="559"/>
      <c r="K585" s="559"/>
      <c r="L585" s="559"/>
      <c r="M585" s="559"/>
      <c r="N585" s="559"/>
      <c r="O585" s="559"/>
      <c r="P585" s="559"/>
      <c r="Q585" s="559"/>
      <c r="R585" s="559"/>
      <c r="S585" s="559"/>
      <c r="T585" s="559"/>
      <c r="U585" s="559"/>
      <c r="V585" s="559"/>
      <c r="W585" s="559"/>
      <c r="X585" s="559"/>
      <c r="Y585" s="559"/>
      <c r="Z585" s="559"/>
    </row>
    <row r="586" spans="1:26" ht="18" customHeight="1" x14ac:dyDescent="0.35">
      <c r="A586" s="559"/>
      <c r="B586" s="559"/>
      <c r="C586" s="559"/>
      <c r="D586" s="559"/>
      <c r="E586" s="559"/>
      <c r="F586" s="559"/>
      <c r="G586" s="559"/>
      <c r="H586" s="559"/>
      <c r="I586" s="559"/>
      <c r="J586" s="559"/>
      <c r="K586" s="559"/>
      <c r="L586" s="559"/>
      <c r="M586" s="559"/>
      <c r="N586" s="559"/>
      <c r="O586" s="559"/>
      <c r="P586" s="559"/>
      <c r="Q586" s="559"/>
      <c r="R586" s="559"/>
      <c r="S586" s="559"/>
      <c r="T586" s="559"/>
      <c r="U586" s="559"/>
      <c r="V586" s="559"/>
      <c r="W586" s="559"/>
      <c r="X586" s="559"/>
      <c r="Y586" s="559"/>
      <c r="Z586" s="559"/>
    </row>
    <row r="587" spans="1:26" ht="18" customHeight="1" x14ac:dyDescent="0.35">
      <c r="A587" s="559"/>
      <c r="B587" s="559"/>
      <c r="C587" s="559"/>
      <c r="D587" s="559"/>
      <c r="E587" s="559"/>
      <c r="F587" s="559"/>
      <c r="G587" s="559"/>
      <c r="H587" s="559"/>
      <c r="I587" s="559"/>
      <c r="J587" s="559"/>
      <c r="K587" s="559"/>
      <c r="L587" s="559"/>
      <c r="M587" s="559"/>
      <c r="N587" s="559"/>
      <c r="O587" s="559"/>
      <c r="P587" s="559"/>
      <c r="Q587" s="559"/>
      <c r="R587" s="559"/>
      <c r="S587" s="559"/>
      <c r="T587" s="559"/>
      <c r="U587" s="559"/>
      <c r="V587" s="559"/>
      <c r="W587" s="559"/>
      <c r="X587" s="559"/>
      <c r="Y587" s="559"/>
      <c r="Z587" s="559"/>
    </row>
    <row r="588" spans="1:26" ht="18" customHeight="1" x14ac:dyDescent="0.35">
      <c r="A588" s="559"/>
      <c r="B588" s="559"/>
      <c r="C588" s="559"/>
      <c r="D588" s="559"/>
      <c r="E588" s="559"/>
      <c r="F588" s="559"/>
      <c r="G588" s="559"/>
      <c r="H588" s="559"/>
      <c r="I588" s="559"/>
      <c r="J588" s="559"/>
      <c r="K588" s="559"/>
      <c r="L588" s="559"/>
      <c r="M588" s="559"/>
      <c r="N588" s="559"/>
      <c r="O588" s="559"/>
      <c r="P588" s="559"/>
      <c r="Q588" s="559"/>
      <c r="R588" s="559"/>
      <c r="S588" s="559"/>
      <c r="T588" s="559"/>
      <c r="U588" s="559"/>
      <c r="V588" s="559"/>
      <c r="W588" s="559"/>
      <c r="X588" s="559"/>
      <c r="Y588" s="559"/>
      <c r="Z588" s="559"/>
    </row>
    <row r="589" spans="1:26" ht="18" customHeight="1" x14ac:dyDescent="0.35">
      <c r="A589" s="559"/>
      <c r="B589" s="559"/>
      <c r="C589" s="559"/>
      <c r="D589" s="559"/>
      <c r="E589" s="559"/>
      <c r="F589" s="559"/>
      <c r="G589" s="559"/>
      <c r="H589" s="559"/>
      <c r="I589" s="559"/>
      <c r="J589" s="559"/>
      <c r="K589" s="559"/>
      <c r="L589" s="559"/>
      <c r="M589" s="559"/>
      <c r="N589" s="559"/>
      <c r="O589" s="559"/>
      <c r="P589" s="559"/>
      <c r="Q589" s="559"/>
      <c r="R589" s="559"/>
      <c r="S589" s="559"/>
      <c r="T589" s="559"/>
      <c r="U589" s="559"/>
      <c r="V589" s="559"/>
      <c r="W589" s="559"/>
      <c r="X589" s="559"/>
      <c r="Y589" s="559"/>
      <c r="Z589" s="559"/>
    </row>
    <row r="590" spans="1:26" ht="18" customHeight="1" x14ac:dyDescent="0.35">
      <c r="A590" s="559"/>
      <c r="B590" s="559"/>
      <c r="C590" s="559"/>
      <c r="D590" s="559"/>
      <c r="E590" s="559"/>
      <c r="F590" s="559"/>
      <c r="G590" s="559"/>
      <c r="H590" s="559"/>
      <c r="I590" s="559"/>
      <c r="J590" s="559"/>
      <c r="K590" s="559"/>
      <c r="L590" s="559"/>
      <c r="M590" s="559"/>
      <c r="N590" s="559"/>
      <c r="O590" s="559"/>
      <c r="P590" s="559"/>
      <c r="Q590" s="559"/>
      <c r="R590" s="559"/>
      <c r="S590" s="559"/>
      <c r="T590" s="559"/>
      <c r="U590" s="559"/>
      <c r="V590" s="559"/>
      <c r="W590" s="559"/>
      <c r="X590" s="559"/>
      <c r="Y590" s="559"/>
      <c r="Z590" s="559"/>
    </row>
    <row r="591" spans="1:26" ht="18" customHeight="1" x14ac:dyDescent="0.35">
      <c r="A591" s="559"/>
      <c r="B591" s="559"/>
      <c r="C591" s="559"/>
      <c r="D591" s="559"/>
      <c r="E591" s="559"/>
      <c r="F591" s="559"/>
      <c r="G591" s="559"/>
      <c r="H591" s="559"/>
      <c r="I591" s="559"/>
      <c r="J591" s="559"/>
      <c r="K591" s="559"/>
      <c r="L591" s="559"/>
      <c r="M591" s="559"/>
      <c r="N591" s="559"/>
      <c r="O591" s="559"/>
      <c r="P591" s="559"/>
      <c r="Q591" s="559"/>
      <c r="R591" s="559"/>
      <c r="S591" s="559"/>
      <c r="T591" s="559"/>
      <c r="U591" s="559"/>
      <c r="V591" s="559"/>
      <c r="W591" s="559"/>
      <c r="X591" s="559"/>
      <c r="Y591" s="559"/>
      <c r="Z591" s="559"/>
    </row>
    <row r="592" spans="1:26" ht="18" customHeight="1" x14ac:dyDescent="0.35">
      <c r="A592" s="559"/>
      <c r="B592" s="559"/>
      <c r="C592" s="559"/>
      <c r="D592" s="559"/>
      <c r="E592" s="559"/>
      <c r="F592" s="559"/>
      <c r="G592" s="559"/>
      <c r="H592" s="559"/>
      <c r="I592" s="559"/>
      <c r="J592" s="559"/>
      <c r="K592" s="559"/>
      <c r="L592" s="559"/>
      <c r="M592" s="559"/>
      <c r="N592" s="559"/>
      <c r="O592" s="559"/>
      <c r="P592" s="559"/>
      <c r="Q592" s="559"/>
      <c r="R592" s="559"/>
      <c r="S592" s="559"/>
      <c r="T592" s="559"/>
      <c r="U592" s="559"/>
      <c r="V592" s="559"/>
      <c r="W592" s="559"/>
      <c r="X592" s="559"/>
      <c r="Y592" s="559"/>
      <c r="Z592" s="559"/>
    </row>
    <row r="593" spans="1:26" ht="18" customHeight="1" x14ac:dyDescent="0.35">
      <c r="A593" s="559"/>
      <c r="B593" s="559"/>
      <c r="C593" s="559"/>
      <c r="D593" s="559"/>
      <c r="E593" s="559"/>
      <c r="F593" s="559"/>
      <c r="G593" s="559"/>
      <c r="H593" s="559"/>
      <c r="I593" s="559"/>
      <c r="J593" s="559"/>
      <c r="K593" s="559"/>
      <c r="L593" s="559"/>
      <c r="M593" s="559"/>
      <c r="N593" s="559"/>
      <c r="O593" s="559"/>
      <c r="P593" s="559"/>
      <c r="Q593" s="559"/>
      <c r="R593" s="559"/>
      <c r="S593" s="559"/>
      <c r="T593" s="559"/>
      <c r="U593" s="559"/>
      <c r="V593" s="559"/>
      <c r="W593" s="559"/>
      <c r="X593" s="559"/>
      <c r="Y593" s="559"/>
      <c r="Z593" s="559"/>
    </row>
    <row r="594" spans="1:26" ht="18" customHeight="1" x14ac:dyDescent="0.35">
      <c r="A594" s="559"/>
      <c r="B594" s="559"/>
      <c r="C594" s="559"/>
      <c r="D594" s="559"/>
      <c r="E594" s="559"/>
      <c r="F594" s="559"/>
      <c r="G594" s="559"/>
      <c r="H594" s="559"/>
      <c r="I594" s="559"/>
      <c r="J594" s="559"/>
      <c r="K594" s="559"/>
      <c r="L594" s="559"/>
      <c r="M594" s="559"/>
      <c r="N594" s="559"/>
      <c r="O594" s="559"/>
      <c r="P594" s="559"/>
      <c r="Q594" s="559"/>
      <c r="R594" s="559"/>
      <c r="S594" s="559"/>
      <c r="T594" s="559"/>
      <c r="U594" s="559"/>
      <c r="V594" s="559"/>
      <c r="W594" s="559"/>
      <c r="X594" s="559"/>
      <c r="Y594" s="559"/>
      <c r="Z594" s="559"/>
    </row>
    <row r="595" spans="1:26" ht="18" customHeight="1" x14ac:dyDescent="0.35">
      <c r="A595" s="559"/>
      <c r="B595" s="559"/>
      <c r="C595" s="559"/>
      <c r="D595" s="559"/>
      <c r="E595" s="559"/>
      <c r="F595" s="559"/>
      <c r="G595" s="559"/>
      <c r="H595" s="559"/>
      <c r="I595" s="559"/>
      <c r="J595" s="559"/>
      <c r="K595" s="559"/>
      <c r="L595" s="559"/>
      <c r="M595" s="559"/>
      <c r="N595" s="559"/>
      <c r="O595" s="559"/>
      <c r="P595" s="559"/>
      <c r="Q595" s="559"/>
      <c r="R595" s="559"/>
      <c r="S595" s="559"/>
      <c r="T595" s="559"/>
      <c r="U595" s="559"/>
      <c r="V595" s="559"/>
      <c r="W595" s="559"/>
      <c r="X595" s="559"/>
      <c r="Y595" s="559"/>
      <c r="Z595" s="559"/>
    </row>
    <row r="596" spans="1:26" ht="18" customHeight="1" x14ac:dyDescent="0.35">
      <c r="A596" s="559"/>
      <c r="B596" s="559"/>
      <c r="C596" s="559"/>
      <c r="D596" s="559"/>
      <c r="E596" s="559"/>
      <c r="F596" s="559"/>
      <c r="G596" s="559"/>
      <c r="H596" s="559"/>
      <c r="I596" s="559"/>
      <c r="J596" s="559"/>
      <c r="K596" s="559"/>
      <c r="L596" s="559"/>
      <c r="M596" s="559"/>
      <c r="N596" s="559"/>
      <c r="O596" s="559"/>
      <c r="P596" s="559"/>
      <c r="Q596" s="559"/>
      <c r="R596" s="559"/>
      <c r="S596" s="559"/>
      <c r="T596" s="559"/>
      <c r="U596" s="559"/>
      <c r="V596" s="559"/>
      <c r="W596" s="559"/>
      <c r="X596" s="559"/>
      <c r="Y596" s="559"/>
      <c r="Z596" s="559"/>
    </row>
    <row r="597" spans="1:26" ht="18" customHeight="1" x14ac:dyDescent="0.35">
      <c r="A597" s="559"/>
      <c r="B597" s="559"/>
      <c r="C597" s="559"/>
      <c r="D597" s="559"/>
      <c r="E597" s="559"/>
      <c r="F597" s="559"/>
      <c r="G597" s="559"/>
      <c r="H597" s="559"/>
      <c r="I597" s="559"/>
      <c r="J597" s="559"/>
      <c r="K597" s="559"/>
      <c r="L597" s="559"/>
      <c r="M597" s="559"/>
      <c r="N597" s="559"/>
      <c r="O597" s="559"/>
      <c r="P597" s="559"/>
      <c r="Q597" s="559"/>
      <c r="R597" s="559"/>
      <c r="S597" s="559"/>
      <c r="T597" s="559"/>
      <c r="U597" s="559"/>
      <c r="V597" s="559"/>
      <c r="W597" s="559"/>
      <c r="X597" s="559"/>
      <c r="Y597" s="559"/>
      <c r="Z597" s="559"/>
    </row>
    <row r="598" spans="1:26" ht="18" customHeight="1" x14ac:dyDescent="0.35">
      <c r="A598" s="559"/>
      <c r="B598" s="559"/>
      <c r="C598" s="559"/>
      <c r="D598" s="559"/>
      <c r="E598" s="559"/>
      <c r="F598" s="559"/>
      <c r="G598" s="559"/>
      <c r="H598" s="559"/>
      <c r="I598" s="559"/>
      <c r="J598" s="559"/>
      <c r="K598" s="559"/>
      <c r="L598" s="559"/>
      <c r="M598" s="559"/>
      <c r="N598" s="559"/>
      <c r="O598" s="559"/>
      <c r="P598" s="559"/>
      <c r="Q598" s="559"/>
      <c r="R598" s="559"/>
      <c r="S598" s="559"/>
      <c r="T598" s="559"/>
      <c r="U598" s="559"/>
      <c r="V598" s="559"/>
      <c r="W598" s="559"/>
      <c r="X598" s="559"/>
      <c r="Y598" s="559"/>
      <c r="Z598" s="559"/>
    </row>
    <row r="599" spans="1:26" ht="18" customHeight="1" x14ac:dyDescent="0.35">
      <c r="A599" s="559"/>
      <c r="B599" s="559"/>
      <c r="C599" s="559"/>
      <c r="D599" s="559"/>
      <c r="E599" s="559"/>
      <c r="F599" s="559"/>
      <c r="G599" s="559"/>
      <c r="H599" s="559"/>
      <c r="I599" s="559"/>
      <c r="J599" s="559"/>
      <c r="K599" s="559"/>
      <c r="L599" s="559"/>
      <c r="M599" s="559"/>
      <c r="N599" s="559"/>
      <c r="O599" s="559"/>
      <c r="P599" s="559"/>
      <c r="Q599" s="559"/>
      <c r="R599" s="559"/>
      <c r="S599" s="559"/>
      <c r="T599" s="559"/>
      <c r="U599" s="559"/>
      <c r="V599" s="559"/>
      <c r="W599" s="559"/>
      <c r="X599" s="559"/>
      <c r="Y599" s="559"/>
      <c r="Z599" s="559"/>
    </row>
    <row r="600" spans="1:26" ht="18" customHeight="1" x14ac:dyDescent="0.35">
      <c r="A600" s="559"/>
      <c r="B600" s="559"/>
      <c r="C600" s="559"/>
      <c r="D600" s="559"/>
      <c r="E600" s="559"/>
      <c r="F600" s="559"/>
      <c r="G600" s="559"/>
      <c r="H600" s="559"/>
      <c r="I600" s="559"/>
      <c r="J600" s="559"/>
      <c r="K600" s="559"/>
      <c r="L600" s="559"/>
      <c r="M600" s="559"/>
      <c r="N600" s="559"/>
      <c r="O600" s="559"/>
      <c r="P600" s="559"/>
      <c r="Q600" s="559"/>
      <c r="R600" s="559"/>
      <c r="S600" s="559"/>
      <c r="T600" s="559"/>
      <c r="U600" s="559"/>
      <c r="V600" s="559"/>
      <c r="W600" s="559"/>
      <c r="X600" s="559"/>
      <c r="Y600" s="559"/>
      <c r="Z600" s="559"/>
    </row>
    <row r="601" spans="1:26" ht="18" customHeight="1" x14ac:dyDescent="0.35">
      <c r="A601" s="559"/>
      <c r="B601" s="559"/>
      <c r="C601" s="559"/>
      <c r="D601" s="559"/>
      <c r="E601" s="559"/>
      <c r="F601" s="559"/>
      <c r="G601" s="559"/>
      <c r="H601" s="559"/>
      <c r="I601" s="559"/>
      <c r="J601" s="559"/>
      <c r="K601" s="559"/>
      <c r="L601" s="559"/>
      <c r="M601" s="559"/>
      <c r="N601" s="559"/>
      <c r="O601" s="559"/>
      <c r="P601" s="559"/>
      <c r="Q601" s="559"/>
      <c r="R601" s="559"/>
      <c r="S601" s="559"/>
      <c r="T601" s="559"/>
      <c r="U601" s="559"/>
      <c r="V601" s="559"/>
      <c r="W601" s="559"/>
      <c r="X601" s="559"/>
      <c r="Y601" s="559"/>
      <c r="Z601" s="559"/>
    </row>
    <row r="602" spans="1:26" ht="18" customHeight="1" x14ac:dyDescent="0.35">
      <c r="A602" s="559"/>
      <c r="B602" s="559"/>
      <c r="C602" s="559"/>
      <c r="D602" s="559"/>
      <c r="E602" s="559"/>
      <c r="F602" s="559"/>
      <c r="G602" s="559"/>
      <c r="H602" s="559"/>
      <c r="I602" s="559"/>
      <c r="J602" s="559"/>
      <c r="K602" s="559"/>
      <c r="L602" s="559"/>
      <c r="M602" s="559"/>
      <c r="N602" s="559"/>
      <c r="O602" s="559"/>
      <c r="P602" s="559"/>
      <c r="Q602" s="559"/>
      <c r="R602" s="559"/>
      <c r="S602" s="559"/>
      <c r="T602" s="559"/>
      <c r="U602" s="559"/>
      <c r="V602" s="559"/>
      <c r="W602" s="559"/>
      <c r="X602" s="559"/>
      <c r="Y602" s="559"/>
      <c r="Z602" s="559"/>
    </row>
    <row r="603" spans="1:26" ht="18" customHeight="1" x14ac:dyDescent="0.35">
      <c r="A603" s="559"/>
      <c r="B603" s="559"/>
      <c r="C603" s="559"/>
      <c r="D603" s="559"/>
      <c r="E603" s="559"/>
      <c r="F603" s="559"/>
      <c r="G603" s="559"/>
      <c r="H603" s="559"/>
      <c r="I603" s="559"/>
      <c r="J603" s="559"/>
      <c r="K603" s="559"/>
      <c r="L603" s="559"/>
      <c r="M603" s="559"/>
      <c r="N603" s="559"/>
      <c r="O603" s="559"/>
      <c r="P603" s="559"/>
      <c r="Q603" s="559"/>
      <c r="R603" s="559"/>
      <c r="S603" s="559"/>
      <c r="T603" s="559"/>
      <c r="U603" s="559"/>
      <c r="V603" s="559"/>
      <c r="W603" s="559"/>
      <c r="X603" s="559"/>
      <c r="Y603" s="559"/>
      <c r="Z603" s="559"/>
    </row>
    <row r="604" spans="1:26" ht="18" customHeight="1" x14ac:dyDescent="0.35">
      <c r="A604" s="559"/>
      <c r="B604" s="559"/>
      <c r="C604" s="559"/>
      <c r="D604" s="559"/>
      <c r="E604" s="559"/>
      <c r="F604" s="559"/>
      <c r="G604" s="559"/>
      <c r="H604" s="559"/>
      <c r="I604" s="559"/>
      <c r="J604" s="559"/>
      <c r="K604" s="559"/>
      <c r="L604" s="559"/>
      <c r="M604" s="559"/>
      <c r="N604" s="559"/>
      <c r="O604" s="559"/>
      <c r="P604" s="559"/>
      <c r="Q604" s="559"/>
      <c r="R604" s="559"/>
      <c r="S604" s="559"/>
      <c r="T604" s="559"/>
      <c r="U604" s="559"/>
      <c r="V604" s="559"/>
      <c r="W604" s="559"/>
      <c r="X604" s="559"/>
      <c r="Y604" s="559"/>
      <c r="Z604" s="559"/>
    </row>
    <row r="605" spans="1:26" ht="18" customHeight="1" x14ac:dyDescent="0.35">
      <c r="A605" s="559"/>
      <c r="B605" s="559"/>
      <c r="C605" s="559"/>
      <c r="D605" s="559"/>
      <c r="E605" s="559"/>
      <c r="F605" s="559"/>
      <c r="G605" s="559"/>
      <c r="H605" s="559"/>
      <c r="I605" s="559"/>
      <c r="J605" s="559"/>
      <c r="K605" s="559"/>
      <c r="L605" s="559"/>
      <c r="M605" s="559"/>
      <c r="N605" s="559"/>
      <c r="O605" s="559"/>
      <c r="P605" s="559"/>
      <c r="Q605" s="559"/>
      <c r="R605" s="559"/>
      <c r="S605" s="559"/>
      <c r="T605" s="559"/>
      <c r="U605" s="559"/>
      <c r="V605" s="559"/>
      <c r="W605" s="559"/>
      <c r="X605" s="559"/>
      <c r="Y605" s="559"/>
      <c r="Z605" s="559"/>
    </row>
    <row r="606" spans="1:26" ht="18" customHeight="1" x14ac:dyDescent="0.35">
      <c r="A606" s="559"/>
      <c r="B606" s="559"/>
      <c r="C606" s="559"/>
      <c r="D606" s="559"/>
      <c r="E606" s="559"/>
      <c r="F606" s="559"/>
      <c r="G606" s="559"/>
      <c r="H606" s="559"/>
      <c r="I606" s="559"/>
      <c r="J606" s="559"/>
      <c r="K606" s="559"/>
      <c r="L606" s="559"/>
      <c r="M606" s="559"/>
      <c r="N606" s="559"/>
      <c r="O606" s="559"/>
      <c r="P606" s="559"/>
      <c r="Q606" s="559"/>
      <c r="R606" s="559"/>
      <c r="S606" s="559"/>
      <c r="T606" s="559"/>
      <c r="U606" s="559"/>
      <c r="V606" s="559"/>
      <c r="W606" s="559"/>
      <c r="X606" s="559"/>
      <c r="Y606" s="559"/>
      <c r="Z606" s="559"/>
    </row>
    <row r="607" spans="1:26" ht="18" customHeight="1" x14ac:dyDescent="0.35">
      <c r="A607" s="559"/>
      <c r="B607" s="559"/>
      <c r="C607" s="559"/>
      <c r="D607" s="559"/>
      <c r="E607" s="559"/>
      <c r="F607" s="559"/>
      <c r="G607" s="559"/>
      <c r="H607" s="559"/>
      <c r="I607" s="559"/>
      <c r="J607" s="559"/>
      <c r="K607" s="559"/>
      <c r="L607" s="559"/>
      <c r="M607" s="559"/>
      <c r="N607" s="559"/>
      <c r="O607" s="559"/>
      <c r="P607" s="559"/>
      <c r="Q607" s="559"/>
      <c r="R607" s="559"/>
      <c r="S607" s="559"/>
      <c r="T607" s="559"/>
      <c r="U607" s="559"/>
      <c r="V607" s="559"/>
      <c r="W607" s="559"/>
      <c r="X607" s="559"/>
      <c r="Y607" s="559"/>
      <c r="Z607" s="559"/>
    </row>
    <row r="608" spans="1:26" ht="18" customHeight="1" x14ac:dyDescent="0.35">
      <c r="A608" s="559"/>
      <c r="B608" s="559"/>
      <c r="C608" s="559"/>
      <c r="D608" s="559"/>
      <c r="E608" s="559"/>
      <c r="F608" s="559"/>
      <c r="G608" s="559"/>
      <c r="H608" s="559"/>
      <c r="I608" s="559"/>
      <c r="J608" s="559"/>
      <c r="K608" s="559"/>
      <c r="L608" s="559"/>
      <c r="M608" s="559"/>
      <c r="N608" s="559"/>
      <c r="O608" s="559"/>
      <c r="P608" s="559"/>
      <c r="Q608" s="559"/>
      <c r="R608" s="559"/>
      <c r="S608" s="559"/>
      <c r="T608" s="559"/>
      <c r="U608" s="559"/>
      <c r="V608" s="559"/>
      <c r="W608" s="559"/>
      <c r="X608" s="559"/>
      <c r="Y608" s="559"/>
      <c r="Z608" s="559"/>
    </row>
    <row r="609" spans="1:26" ht="18" customHeight="1" x14ac:dyDescent="0.35">
      <c r="A609" s="559"/>
      <c r="B609" s="559"/>
      <c r="C609" s="559"/>
      <c r="D609" s="559"/>
      <c r="E609" s="559"/>
      <c r="F609" s="559"/>
      <c r="G609" s="559"/>
      <c r="H609" s="559"/>
      <c r="I609" s="559"/>
      <c r="J609" s="559"/>
      <c r="K609" s="559"/>
      <c r="L609" s="559"/>
      <c r="M609" s="559"/>
      <c r="N609" s="559"/>
      <c r="O609" s="559"/>
      <c r="P609" s="559"/>
      <c r="Q609" s="559"/>
      <c r="R609" s="559"/>
      <c r="S609" s="559"/>
      <c r="T609" s="559"/>
      <c r="U609" s="559"/>
      <c r="V609" s="559"/>
      <c r="W609" s="559"/>
      <c r="X609" s="559"/>
      <c r="Y609" s="559"/>
      <c r="Z609" s="559"/>
    </row>
    <row r="610" spans="1:26" ht="18" customHeight="1" x14ac:dyDescent="0.35">
      <c r="A610" s="559"/>
      <c r="B610" s="559"/>
      <c r="C610" s="559"/>
      <c r="D610" s="559"/>
      <c r="E610" s="559"/>
      <c r="F610" s="559"/>
      <c r="G610" s="559"/>
      <c r="H610" s="559"/>
      <c r="I610" s="559"/>
      <c r="J610" s="559"/>
      <c r="K610" s="559"/>
      <c r="L610" s="559"/>
      <c r="M610" s="559"/>
      <c r="N610" s="559"/>
      <c r="O610" s="559"/>
      <c r="P610" s="559"/>
      <c r="Q610" s="559"/>
      <c r="R610" s="559"/>
      <c r="S610" s="559"/>
      <c r="T610" s="559"/>
      <c r="U610" s="559"/>
      <c r="V610" s="559"/>
      <c r="W610" s="559"/>
      <c r="X610" s="559"/>
      <c r="Y610" s="559"/>
      <c r="Z610" s="559"/>
    </row>
    <row r="611" spans="1:26" ht="18" customHeight="1" x14ac:dyDescent="0.35">
      <c r="A611" s="559"/>
      <c r="B611" s="559"/>
      <c r="C611" s="559"/>
      <c r="D611" s="559"/>
      <c r="E611" s="559"/>
      <c r="F611" s="559"/>
      <c r="G611" s="559"/>
      <c r="H611" s="559"/>
      <c r="I611" s="559"/>
      <c r="J611" s="559"/>
      <c r="K611" s="559"/>
      <c r="L611" s="559"/>
      <c r="M611" s="559"/>
      <c r="N611" s="559"/>
      <c r="O611" s="559"/>
      <c r="P611" s="559"/>
      <c r="Q611" s="559"/>
      <c r="R611" s="559"/>
      <c r="S611" s="559"/>
      <c r="T611" s="559"/>
      <c r="U611" s="559"/>
      <c r="V611" s="559"/>
      <c r="W611" s="559"/>
      <c r="X611" s="559"/>
      <c r="Y611" s="559"/>
      <c r="Z611" s="559"/>
    </row>
    <row r="612" spans="1:26" ht="18" customHeight="1" x14ac:dyDescent="0.35">
      <c r="A612" s="559"/>
      <c r="B612" s="559"/>
      <c r="C612" s="559"/>
      <c r="D612" s="559"/>
      <c r="E612" s="559"/>
      <c r="F612" s="559"/>
      <c r="G612" s="559"/>
      <c r="H612" s="559"/>
      <c r="I612" s="559"/>
      <c r="J612" s="559"/>
      <c r="K612" s="559"/>
      <c r="L612" s="559"/>
      <c r="M612" s="559"/>
      <c r="N612" s="559"/>
      <c r="O612" s="559"/>
      <c r="P612" s="559"/>
      <c r="Q612" s="559"/>
      <c r="R612" s="559"/>
      <c r="S612" s="559"/>
      <c r="T612" s="559"/>
      <c r="U612" s="559"/>
      <c r="V612" s="559"/>
      <c r="W612" s="559"/>
      <c r="X612" s="559"/>
      <c r="Y612" s="559"/>
      <c r="Z612" s="559"/>
    </row>
    <row r="613" spans="1:26" ht="18" customHeight="1" x14ac:dyDescent="0.35">
      <c r="A613" s="559"/>
      <c r="B613" s="559"/>
      <c r="C613" s="559"/>
      <c r="D613" s="559"/>
      <c r="E613" s="559"/>
      <c r="F613" s="559"/>
      <c r="G613" s="559"/>
      <c r="H613" s="559"/>
      <c r="I613" s="559"/>
      <c r="J613" s="559"/>
      <c r="K613" s="559"/>
      <c r="L613" s="559"/>
      <c r="M613" s="559"/>
      <c r="N613" s="559"/>
      <c r="O613" s="559"/>
      <c r="P613" s="559"/>
      <c r="Q613" s="559"/>
      <c r="R613" s="559"/>
      <c r="S613" s="559"/>
      <c r="T613" s="559"/>
      <c r="U613" s="559"/>
      <c r="V613" s="559"/>
      <c r="W613" s="559"/>
      <c r="X613" s="559"/>
      <c r="Y613" s="559"/>
      <c r="Z613" s="559"/>
    </row>
    <row r="614" spans="1:26" ht="18" customHeight="1" x14ac:dyDescent="0.35">
      <c r="A614" s="559"/>
      <c r="B614" s="559"/>
      <c r="C614" s="559"/>
      <c r="D614" s="559"/>
      <c r="E614" s="559"/>
      <c r="F614" s="559"/>
      <c r="G614" s="559"/>
      <c r="H614" s="559"/>
      <c r="I614" s="559"/>
      <c r="J614" s="559"/>
      <c r="K614" s="559"/>
      <c r="L614" s="559"/>
      <c r="M614" s="559"/>
      <c r="N614" s="559"/>
      <c r="O614" s="559"/>
      <c r="P614" s="559"/>
      <c r="Q614" s="559"/>
      <c r="R614" s="559"/>
      <c r="S614" s="559"/>
      <c r="T614" s="559"/>
      <c r="U614" s="559"/>
      <c r="V614" s="559"/>
      <c r="W614" s="559"/>
      <c r="X614" s="559"/>
      <c r="Y614" s="559"/>
      <c r="Z614" s="559"/>
    </row>
    <row r="615" spans="1:26" ht="18" customHeight="1" x14ac:dyDescent="0.35">
      <c r="A615" s="559"/>
      <c r="B615" s="559"/>
      <c r="C615" s="559"/>
      <c r="D615" s="559"/>
      <c r="E615" s="559"/>
      <c r="F615" s="559"/>
      <c r="G615" s="559"/>
      <c r="H615" s="559"/>
      <c r="I615" s="559"/>
      <c r="J615" s="559"/>
      <c r="K615" s="559"/>
      <c r="L615" s="559"/>
      <c r="M615" s="559"/>
      <c r="N615" s="559"/>
      <c r="O615" s="559"/>
      <c r="P615" s="559"/>
      <c r="Q615" s="559"/>
      <c r="R615" s="559"/>
      <c r="S615" s="559"/>
      <c r="T615" s="559"/>
      <c r="U615" s="559"/>
      <c r="V615" s="559"/>
      <c r="W615" s="559"/>
      <c r="X615" s="559"/>
      <c r="Y615" s="559"/>
      <c r="Z615" s="559"/>
    </row>
    <row r="616" spans="1:26" ht="18" customHeight="1" x14ac:dyDescent="0.35">
      <c r="A616" s="559"/>
      <c r="B616" s="559"/>
      <c r="C616" s="559"/>
      <c r="D616" s="559"/>
      <c r="E616" s="559"/>
      <c r="F616" s="559"/>
      <c r="G616" s="559"/>
      <c r="H616" s="559"/>
      <c r="I616" s="559"/>
      <c r="J616" s="559"/>
      <c r="K616" s="559"/>
      <c r="L616" s="559"/>
      <c r="M616" s="559"/>
      <c r="N616" s="559"/>
      <c r="O616" s="559"/>
      <c r="P616" s="559"/>
      <c r="Q616" s="559"/>
      <c r="R616" s="559"/>
      <c r="S616" s="559"/>
      <c r="T616" s="559"/>
      <c r="U616" s="559"/>
      <c r="V616" s="559"/>
      <c r="W616" s="559"/>
      <c r="X616" s="559"/>
      <c r="Y616" s="559"/>
      <c r="Z616" s="559"/>
    </row>
    <row r="617" spans="1:26" ht="18" customHeight="1" x14ac:dyDescent="0.35">
      <c r="A617" s="559"/>
      <c r="B617" s="559"/>
      <c r="C617" s="559"/>
      <c r="D617" s="559"/>
      <c r="E617" s="559"/>
      <c r="F617" s="559"/>
      <c r="G617" s="559"/>
      <c r="H617" s="559"/>
      <c r="I617" s="559"/>
      <c r="J617" s="559"/>
      <c r="K617" s="559"/>
      <c r="L617" s="559"/>
      <c r="M617" s="559"/>
      <c r="N617" s="559"/>
      <c r="O617" s="559"/>
      <c r="P617" s="559"/>
      <c r="Q617" s="559"/>
      <c r="R617" s="559"/>
      <c r="S617" s="559"/>
      <c r="T617" s="559"/>
      <c r="U617" s="559"/>
      <c r="V617" s="559"/>
      <c r="W617" s="559"/>
      <c r="X617" s="559"/>
      <c r="Y617" s="559"/>
      <c r="Z617" s="559"/>
    </row>
    <row r="618" spans="1:26" ht="18" customHeight="1" x14ac:dyDescent="0.35">
      <c r="A618" s="559"/>
      <c r="B618" s="559"/>
      <c r="C618" s="559"/>
      <c r="D618" s="559"/>
      <c r="E618" s="559"/>
      <c r="F618" s="559"/>
      <c r="G618" s="559"/>
      <c r="H618" s="559"/>
      <c r="I618" s="559"/>
      <c r="J618" s="559"/>
      <c r="K618" s="559"/>
      <c r="L618" s="559"/>
      <c r="M618" s="559"/>
      <c r="N618" s="559"/>
      <c r="O618" s="559"/>
      <c r="P618" s="559"/>
      <c r="Q618" s="559"/>
      <c r="R618" s="559"/>
      <c r="S618" s="559"/>
      <c r="T618" s="559"/>
      <c r="U618" s="559"/>
      <c r="V618" s="559"/>
      <c r="W618" s="559"/>
      <c r="X618" s="559"/>
      <c r="Y618" s="559"/>
      <c r="Z618" s="559"/>
    </row>
    <row r="619" spans="1:26" ht="18" customHeight="1" x14ac:dyDescent="0.35">
      <c r="A619" s="559"/>
      <c r="B619" s="559"/>
      <c r="C619" s="559"/>
      <c r="D619" s="559"/>
      <c r="E619" s="559"/>
      <c r="F619" s="559"/>
      <c r="G619" s="559"/>
      <c r="H619" s="559"/>
      <c r="I619" s="559"/>
      <c r="J619" s="559"/>
      <c r="K619" s="559"/>
      <c r="L619" s="559"/>
      <c r="M619" s="559"/>
      <c r="N619" s="559"/>
      <c r="O619" s="559"/>
      <c r="P619" s="559"/>
      <c r="Q619" s="559"/>
      <c r="R619" s="559"/>
      <c r="S619" s="559"/>
      <c r="T619" s="559"/>
      <c r="U619" s="559"/>
      <c r="V619" s="559"/>
      <c r="W619" s="559"/>
      <c r="X619" s="559"/>
      <c r="Y619" s="559"/>
      <c r="Z619" s="559"/>
    </row>
    <row r="620" spans="1:26" ht="18" customHeight="1" x14ac:dyDescent="0.35">
      <c r="A620" s="559"/>
      <c r="B620" s="559"/>
      <c r="C620" s="559"/>
      <c r="D620" s="559"/>
      <c r="E620" s="559"/>
      <c r="F620" s="559"/>
      <c r="G620" s="559"/>
      <c r="H620" s="559"/>
      <c r="I620" s="559"/>
      <c r="J620" s="559"/>
      <c r="K620" s="559"/>
      <c r="L620" s="559"/>
      <c r="M620" s="559"/>
      <c r="N620" s="559"/>
      <c r="O620" s="559"/>
      <c r="P620" s="559"/>
      <c r="Q620" s="559"/>
      <c r="R620" s="559"/>
      <c r="S620" s="559"/>
      <c r="T620" s="559"/>
      <c r="U620" s="559"/>
      <c r="V620" s="559"/>
      <c r="W620" s="559"/>
      <c r="X620" s="559"/>
      <c r="Y620" s="559"/>
      <c r="Z620" s="559"/>
    </row>
    <row r="621" spans="1:26" ht="18" customHeight="1" x14ac:dyDescent="0.35">
      <c r="A621" s="559"/>
      <c r="B621" s="559"/>
      <c r="C621" s="559"/>
      <c r="D621" s="559"/>
      <c r="E621" s="559"/>
      <c r="F621" s="559"/>
      <c r="G621" s="559"/>
      <c r="H621" s="559"/>
      <c r="I621" s="559"/>
      <c r="J621" s="559"/>
      <c r="K621" s="559"/>
      <c r="L621" s="559"/>
      <c r="M621" s="559"/>
      <c r="N621" s="559"/>
      <c r="O621" s="559"/>
      <c r="P621" s="559"/>
      <c r="Q621" s="559"/>
      <c r="R621" s="559"/>
      <c r="S621" s="559"/>
      <c r="T621" s="559"/>
      <c r="U621" s="559"/>
      <c r="V621" s="559"/>
      <c r="W621" s="559"/>
      <c r="X621" s="559"/>
      <c r="Y621" s="559"/>
      <c r="Z621" s="559"/>
    </row>
    <row r="622" spans="1:26" ht="18" customHeight="1" x14ac:dyDescent="0.35">
      <c r="A622" s="559"/>
      <c r="B622" s="559"/>
      <c r="C622" s="559"/>
      <c r="D622" s="559"/>
      <c r="E622" s="559"/>
      <c r="F622" s="559"/>
      <c r="G622" s="559"/>
      <c r="H622" s="559"/>
      <c r="I622" s="559"/>
      <c r="J622" s="559"/>
      <c r="K622" s="559"/>
      <c r="L622" s="559"/>
      <c r="M622" s="559"/>
      <c r="N622" s="559"/>
      <c r="O622" s="559"/>
      <c r="P622" s="559"/>
      <c r="Q622" s="559"/>
      <c r="R622" s="559"/>
      <c r="S622" s="559"/>
      <c r="T622" s="559"/>
      <c r="U622" s="559"/>
      <c r="V622" s="559"/>
      <c r="W622" s="559"/>
      <c r="X622" s="559"/>
      <c r="Y622" s="559"/>
      <c r="Z622" s="559"/>
    </row>
    <row r="623" spans="1:26" ht="18" customHeight="1" x14ac:dyDescent="0.35">
      <c r="A623" s="559"/>
      <c r="B623" s="559"/>
      <c r="C623" s="559"/>
      <c r="D623" s="559"/>
      <c r="E623" s="559"/>
      <c r="F623" s="559"/>
      <c r="G623" s="559"/>
      <c r="H623" s="559"/>
      <c r="I623" s="559"/>
      <c r="J623" s="559"/>
      <c r="K623" s="559"/>
      <c r="L623" s="559"/>
      <c r="M623" s="559"/>
      <c r="N623" s="559"/>
      <c r="O623" s="559"/>
      <c r="P623" s="559"/>
      <c r="Q623" s="559"/>
      <c r="R623" s="559"/>
      <c r="S623" s="559"/>
      <c r="T623" s="559"/>
      <c r="U623" s="559"/>
      <c r="V623" s="559"/>
      <c r="W623" s="559"/>
      <c r="X623" s="559"/>
      <c r="Y623" s="559"/>
      <c r="Z623" s="559"/>
    </row>
    <row r="624" spans="1:26" ht="18" customHeight="1" x14ac:dyDescent="0.35">
      <c r="A624" s="559"/>
      <c r="B624" s="559"/>
      <c r="C624" s="559"/>
      <c r="D624" s="559"/>
      <c r="E624" s="559"/>
      <c r="F624" s="559"/>
      <c r="G624" s="559"/>
      <c r="H624" s="559"/>
      <c r="I624" s="559"/>
      <c r="J624" s="559"/>
      <c r="K624" s="559"/>
      <c r="L624" s="559"/>
      <c r="M624" s="559"/>
      <c r="N624" s="559"/>
      <c r="O624" s="559"/>
      <c r="P624" s="559"/>
      <c r="Q624" s="559"/>
      <c r="R624" s="559"/>
      <c r="S624" s="559"/>
      <c r="T624" s="559"/>
      <c r="U624" s="559"/>
      <c r="V624" s="559"/>
      <c r="W624" s="559"/>
      <c r="X624" s="559"/>
      <c r="Y624" s="559"/>
      <c r="Z624" s="559"/>
    </row>
    <row r="625" spans="1:26" ht="18" customHeight="1" x14ac:dyDescent="0.35">
      <c r="A625" s="559"/>
      <c r="B625" s="559"/>
      <c r="C625" s="559"/>
      <c r="D625" s="559"/>
      <c r="E625" s="559"/>
      <c r="F625" s="559"/>
      <c r="G625" s="559"/>
      <c r="H625" s="559"/>
      <c r="I625" s="559"/>
      <c r="J625" s="559"/>
      <c r="K625" s="559"/>
      <c r="L625" s="559"/>
      <c r="M625" s="559"/>
      <c r="N625" s="559"/>
      <c r="O625" s="559"/>
      <c r="P625" s="559"/>
      <c r="Q625" s="559"/>
      <c r="R625" s="559"/>
      <c r="S625" s="559"/>
      <c r="T625" s="559"/>
      <c r="U625" s="559"/>
      <c r="V625" s="559"/>
      <c r="W625" s="559"/>
      <c r="X625" s="559"/>
      <c r="Y625" s="559"/>
      <c r="Z625" s="559"/>
    </row>
    <row r="626" spans="1:26" ht="18" customHeight="1" x14ac:dyDescent="0.35">
      <c r="A626" s="559"/>
      <c r="B626" s="559"/>
      <c r="C626" s="559"/>
      <c r="D626" s="559"/>
      <c r="E626" s="559"/>
      <c r="F626" s="559"/>
      <c r="G626" s="559"/>
      <c r="H626" s="559"/>
      <c r="I626" s="559"/>
      <c r="J626" s="559"/>
      <c r="K626" s="559"/>
      <c r="L626" s="559"/>
      <c r="M626" s="559"/>
      <c r="N626" s="559"/>
      <c r="O626" s="559"/>
      <c r="P626" s="559"/>
      <c r="Q626" s="559"/>
      <c r="R626" s="559"/>
      <c r="S626" s="559"/>
      <c r="T626" s="559"/>
      <c r="U626" s="559"/>
      <c r="V626" s="559"/>
      <c r="W626" s="559"/>
      <c r="X626" s="559"/>
      <c r="Y626" s="559"/>
      <c r="Z626" s="559"/>
    </row>
    <row r="627" spans="1:26" ht="18" customHeight="1" x14ac:dyDescent="0.35">
      <c r="A627" s="559"/>
      <c r="B627" s="559"/>
      <c r="C627" s="559"/>
      <c r="D627" s="559"/>
      <c r="E627" s="559"/>
      <c r="F627" s="559"/>
      <c r="G627" s="559"/>
      <c r="H627" s="559"/>
      <c r="I627" s="559"/>
      <c r="J627" s="559"/>
      <c r="K627" s="559"/>
      <c r="L627" s="559"/>
      <c r="M627" s="559"/>
      <c r="N627" s="559"/>
      <c r="O627" s="559"/>
      <c r="P627" s="559"/>
      <c r="Q627" s="559"/>
      <c r="R627" s="559"/>
      <c r="S627" s="559"/>
      <c r="T627" s="559"/>
      <c r="U627" s="559"/>
      <c r="V627" s="559"/>
      <c r="W627" s="559"/>
      <c r="X627" s="559"/>
      <c r="Y627" s="559"/>
      <c r="Z627" s="559"/>
    </row>
    <row r="628" spans="1:26" ht="18" customHeight="1" x14ac:dyDescent="0.35">
      <c r="A628" s="559"/>
      <c r="B628" s="559"/>
      <c r="C628" s="559"/>
      <c r="D628" s="559"/>
      <c r="E628" s="559"/>
      <c r="F628" s="559"/>
      <c r="G628" s="559"/>
      <c r="H628" s="559"/>
      <c r="I628" s="559"/>
      <c r="J628" s="559"/>
      <c r="K628" s="559"/>
      <c r="L628" s="559"/>
      <c r="M628" s="559"/>
      <c r="N628" s="559"/>
      <c r="O628" s="559"/>
      <c r="P628" s="559"/>
      <c r="Q628" s="559"/>
      <c r="R628" s="559"/>
      <c r="S628" s="559"/>
      <c r="T628" s="559"/>
      <c r="U628" s="559"/>
      <c r="V628" s="559"/>
      <c r="W628" s="559"/>
      <c r="X628" s="559"/>
      <c r="Y628" s="559"/>
      <c r="Z628" s="559"/>
    </row>
    <row r="629" spans="1:26" ht="18" customHeight="1" x14ac:dyDescent="0.35">
      <c r="A629" s="559"/>
      <c r="B629" s="559"/>
      <c r="C629" s="559"/>
      <c r="D629" s="559"/>
      <c r="E629" s="559"/>
      <c r="F629" s="559"/>
      <c r="G629" s="559"/>
      <c r="H629" s="559"/>
      <c r="I629" s="559"/>
      <c r="J629" s="559"/>
      <c r="K629" s="559"/>
      <c r="L629" s="559"/>
      <c r="M629" s="559"/>
      <c r="N629" s="559"/>
      <c r="O629" s="559"/>
      <c r="P629" s="559"/>
      <c r="Q629" s="559"/>
      <c r="R629" s="559"/>
      <c r="S629" s="559"/>
      <c r="T629" s="559"/>
      <c r="U629" s="559"/>
      <c r="V629" s="559"/>
      <c r="W629" s="559"/>
      <c r="X629" s="559"/>
      <c r="Y629" s="559"/>
      <c r="Z629" s="559"/>
    </row>
    <row r="630" spans="1:26" ht="18" customHeight="1" x14ac:dyDescent="0.35">
      <c r="A630" s="559"/>
      <c r="B630" s="559"/>
      <c r="C630" s="559"/>
      <c r="D630" s="559"/>
      <c r="E630" s="559"/>
      <c r="F630" s="559"/>
      <c r="G630" s="559"/>
      <c r="H630" s="559"/>
      <c r="I630" s="559"/>
      <c r="J630" s="559"/>
      <c r="K630" s="559"/>
      <c r="L630" s="559"/>
      <c r="M630" s="559"/>
      <c r="N630" s="559"/>
      <c r="O630" s="559"/>
      <c r="P630" s="559"/>
      <c r="Q630" s="559"/>
      <c r="R630" s="559"/>
      <c r="S630" s="559"/>
      <c r="T630" s="559"/>
      <c r="U630" s="559"/>
      <c r="V630" s="559"/>
      <c r="W630" s="559"/>
      <c r="X630" s="559"/>
      <c r="Y630" s="559"/>
      <c r="Z630" s="559"/>
    </row>
    <row r="631" spans="1:26" ht="18" customHeight="1" x14ac:dyDescent="0.35">
      <c r="A631" s="559"/>
      <c r="B631" s="559"/>
      <c r="C631" s="559"/>
      <c r="D631" s="559"/>
      <c r="E631" s="559"/>
      <c r="F631" s="559"/>
      <c r="G631" s="559"/>
      <c r="H631" s="559"/>
      <c r="I631" s="559"/>
      <c r="J631" s="559"/>
      <c r="K631" s="559"/>
      <c r="L631" s="559"/>
      <c r="M631" s="559"/>
      <c r="N631" s="559"/>
      <c r="O631" s="559"/>
      <c r="P631" s="559"/>
      <c r="Q631" s="559"/>
      <c r="R631" s="559"/>
      <c r="S631" s="559"/>
      <c r="T631" s="559"/>
      <c r="U631" s="559"/>
      <c r="V631" s="559"/>
      <c r="W631" s="559"/>
      <c r="X631" s="559"/>
      <c r="Y631" s="559"/>
      <c r="Z631" s="559"/>
    </row>
    <row r="632" spans="1:26" ht="18" customHeight="1" x14ac:dyDescent="0.35">
      <c r="A632" s="559"/>
      <c r="B632" s="559"/>
      <c r="C632" s="559"/>
      <c r="D632" s="559"/>
      <c r="E632" s="559"/>
      <c r="F632" s="559"/>
      <c r="G632" s="559"/>
      <c r="H632" s="559"/>
      <c r="I632" s="559"/>
      <c r="J632" s="559"/>
      <c r="K632" s="559"/>
      <c r="L632" s="559"/>
      <c r="M632" s="559"/>
      <c r="N632" s="559"/>
      <c r="O632" s="559"/>
      <c r="P632" s="559"/>
      <c r="Q632" s="559"/>
      <c r="R632" s="559"/>
      <c r="S632" s="559"/>
      <c r="T632" s="559"/>
      <c r="U632" s="559"/>
      <c r="V632" s="559"/>
      <c r="W632" s="559"/>
      <c r="X632" s="559"/>
      <c r="Y632" s="559"/>
      <c r="Z632" s="559"/>
    </row>
    <row r="633" spans="1:26" ht="18" customHeight="1" x14ac:dyDescent="0.35">
      <c r="A633" s="559"/>
      <c r="B633" s="559"/>
      <c r="C633" s="559"/>
      <c r="D633" s="559"/>
      <c r="E633" s="559"/>
      <c r="F633" s="559"/>
      <c r="G633" s="559"/>
      <c r="H633" s="559"/>
      <c r="I633" s="559"/>
      <c r="J633" s="559"/>
      <c r="K633" s="559"/>
      <c r="L633" s="559"/>
      <c r="M633" s="559"/>
      <c r="N633" s="559"/>
      <c r="O633" s="559"/>
      <c r="P633" s="559"/>
      <c r="Q633" s="559"/>
      <c r="R633" s="559"/>
      <c r="S633" s="559"/>
      <c r="T633" s="559"/>
      <c r="U633" s="559"/>
      <c r="V633" s="559"/>
      <c r="W633" s="559"/>
      <c r="X633" s="559"/>
      <c r="Y633" s="559"/>
      <c r="Z633" s="559"/>
    </row>
    <row r="634" spans="1:26" ht="18" customHeight="1" x14ac:dyDescent="0.35">
      <c r="A634" s="559"/>
      <c r="B634" s="559"/>
      <c r="C634" s="559"/>
      <c r="D634" s="559"/>
      <c r="E634" s="559"/>
      <c r="F634" s="559"/>
      <c r="G634" s="559"/>
      <c r="H634" s="559"/>
      <c r="I634" s="559"/>
      <c r="J634" s="559"/>
      <c r="K634" s="559"/>
      <c r="L634" s="559"/>
      <c r="M634" s="559"/>
      <c r="N634" s="559"/>
      <c r="O634" s="559"/>
      <c r="P634" s="559"/>
      <c r="Q634" s="559"/>
      <c r="R634" s="559"/>
      <c r="S634" s="559"/>
      <c r="T634" s="559"/>
      <c r="U634" s="559"/>
      <c r="V634" s="559"/>
      <c r="W634" s="559"/>
      <c r="X634" s="559"/>
      <c r="Y634" s="559"/>
      <c r="Z634" s="559"/>
    </row>
    <row r="635" spans="1:26" ht="18" customHeight="1" x14ac:dyDescent="0.35">
      <c r="A635" s="559"/>
      <c r="B635" s="559"/>
      <c r="C635" s="559"/>
      <c r="D635" s="559"/>
      <c r="E635" s="559"/>
      <c r="F635" s="559"/>
      <c r="G635" s="559"/>
      <c r="H635" s="559"/>
      <c r="I635" s="559"/>
      <c r="J635" s="559"/>
      <c r="K635" s="559"/>
      <c r="L635" s="559"/>
      <c r="M635" s="559"/>
      <c r="N635" s="559"/>
      <c r="O635" s="559"/>
      <c r="P635" s="559"/>
      <c r="Q635" s="559"/>
      <c r="R635" s="559"/>
      <c r="S635" s="559"/>
      <c r="T635" s="559"/>
      <c r="U635" s="559"/>
      <c r="V635" s="559"/>
      <c r="W635" s="559"/>
      <c r="X635" s="559"/>
      <c r="Y635" s="559"/>
      <c r="Z635" s="559"/>
    </row>
    <row r="636" spans="1:26" ht="18" customHeight="1" x14ac:dyDescent="0.35">
      <c r="A636" s="559"/>
      <c r="B636" s="559"/>
      <c r="C636" s="559"/>
      <c r="D636" s="559"/>
      <c r="E636" s="559"/>
      <c r="F636" s="559"/>
      <c r="G636" s="559"/>
      <c r="H636" s="559"/>
      <c r="I636" s="559"/>
      <c r="J636" s="559"/>
      <c r="K636" s="559"/>
      <c r="L636" s="559"/>
      <c r="M636" s="559"/>
      <c r="N636" s="559"/>
      <c r="O636" s="559"/>
      <c r="P636" s="559"/>
      <c r="Q636" s="559"/>
      <c r="R636" s="559"/>
      <c r="S636" s="559"/>
      <c r="T636" s="559"/>
      <c r="U636" s="559"/>
      <c r="V636" s="559"/>
      <c r="W636" s="559"/>
      <c r="X636" s="559"/>
      <c r="Y636" s="559"/>
      <c r="Z636" s="559"/>
    </row>
    <row r="637" spans="1:26" ht="18" customHeight="1" x14ac:dyDescent="0.35">
      <c r="A637" s="559"/>
      <c r="B637" s="559"/>
      <c r="C637" s="559"/>
      <c r="D637" s="559"/>
      <c r="E637" s="559"/>
      <c r="F637" s="559"/>
      <c r="G637" s="559"/>
      <c r="H637" s="559"/>
      <c r="I637" s="559"/>
      <c r="J637" s="559"/>
      <c r="K637" s="559"/>
      <c r="L637" s="559"/>
      <c r="M637" s="559"/>
      <c r="N637" s="559"/>
      <c r="O637" s="559"/>
      <c r="P637" s="559"/>
      <c r="Q637" s="559"/>
      <c r="R637" s="559"/>
      <c r="S637" s="559"/>
      <c r="T637" s="559"/>
      <c r="U637" s="559"/>
      <c r="V637" s="559"/>
      <c r="W637" s="559"/>
      <c r="X637" s="559"/>
      <c r="Y637" s="559"/>
      <c r="Z637" s="559"/>
    </row>
    <row r="638" spans="1:26" ht="18" customHeight="1" x14ac:dyDescent="0.35">
      <c r="A638" s="559"/>
      <c r="B638" s="559"/>
      <c r="C638" s="559"/>
      <c r="D638" s="559"/>
      <c r="E638" s="559"/>
      <c r="F638" s="559"/>
      <c r="G638" s="559"/>
      <c r="H638" s="559"/>
      <c r="I638" s="559"/>
      <c r="J638" s="559"/>
      <c r="K638" s="559"/>
      <c r="L638" s="559"/>
      <c r="M638" s="559"/>
      <c r="N638" s="559"/>
      <c r="O638" s="559"/>
      <c r="P638" s="559"/>
      <c r="Q638" s="559"/>
      <c r="R638" s="559"/>
      <c r="S638" s="559"/>
      <c r="T638" s="559"/>
      <c r="U638" s="559"/>
      <c r="V638" s="559"/>
      <c r="W638" s="559"/>
      <c r="X638" s="559"/>
      <c r="Y638" s="559"/>
      <c r="Z638" s="559"/>
    </row>
    <row r="639" spans="1:26" ht="18" customHeight="1" x14ac:dyDescent="0.35">
      <c r="A639" s="559"/>
      <c r="B639" s="559"/>
      <c r="C639" s="559"/>
      <c r="D639" s="559"/>
      <c r="E639" s="559"/>
      <c r="F639" s="559"/>
      <c r="G639" s="559"/>
      <c r="H639" s="559"/>
      <c r="I639" s="559"/>
      <c r="J639" s="559"/>
      <c r="K639" s="559"/>
      <c r="L639" s="559"/>
      <c r="M639" s="559"/>
      <c r="N639" s="559"/>
      <c r="O639" s="559"/>
      <c r="P639" s="559"/>
      <c r="Q639" s="559"/>
      <c r="R639" s="559"/>
      <c r="S639" s="559"/>
      <c r="T639" s="559"/>
      <c r="U639" s="559"/>
      <c r="V639" s="559"/>
      <c r="W639" s="559"/>
      <c r="X639" s="559"/>
      <c r="Y639" s="559"/>
      <c r="Z639" s="559"/>
    </row>
    <row r="640" spans="1:26" ht="18" customHeight="1" x14ac:dyDescent="0.35">
      <c r="A640" s="559"/>
      <c r="B640" s="559"/>
      <c r="C640" s="559"/>
      <c r="D640" s="559"/>
      <c r="E640" s="559"/>
      <c r="F640" s="559"/>
      <c r="G640" s="559"/>
      <c r="H640" s="559"/>
      <c r="I640" s="559"/>
      <c r="J640" s="559"/>
      <c r="K640" s="559"/>
      <c r="L640" s="559"/>
      <c r="M640" s="559"/>
      <c r="N640" s="559"/>
      <c r="O640" s="559"/>
      <c r="P640" s="559"/>
      <c r="Q640" s="559"/>
      <c r="R640" s="559"/>
      <c r="S640" s="559"/>
      <c r="T640" s="559"/>
      <c r="U640" s="559"/>
      <c r="V640" s="559"/>
      <c r="W640" s="559"/>
      <c r="X640" s="559"/>
      <c r="Y640" s="559"/>
      <c r="Z640" s="559"/>
    </row>
    <row r="641" spans="1:26" ht="18" customHeight="1" x14ac:dyDescent="0.35">
      <c r="A641" s="559"/>
      <c r="B641" s="559"/>
      <c r="C641" s="559"/>
      <c r="D641" s="559"/>
      <c r="E641" s="559"/>
      <c r="F641" s="559"/>
      <c r="G641" s="559"/>
      <c r="H641" s="559"/>
      <c r="I641" s="559"/>
      <c r="J641" s="559"/>
      <c r="K641" s="559"/>
      <c r="L641" s="559"/>
      <c r="M641" s="559"/>
      <c r="N641" s="559"/>
      <c r="O641" s="559"/>
      <c r="P641" s="559"/>
      <c r="Q641" s="559"/>
      <c r="R641" s="559"/>
      <c r="S641" s="559"/>
      <c r="T641" s="559"/>
      <c r="U641" s="559"/>
      <c r="V641" s="559"/>
      <c r="W641" s="559"/>
      <c r="X641" s="559"/>
      <c r="Y641" s="559"/>
      <c r="Z641" s="559"/>
    </row>
    <row r="642" spans="1:26" ht="18" customHeight="1" x14ac:dyDescent="0.35">
      <c r="A642" s="559"/>
      <c r="B642" s="559"/>
      <c r="C642" s="559"/>
      <c r="D642" s="559"/>
      <c r="E642" s="559"/>
      <c r="F642" s="559"/>
      <c r="G642" s="559"/>
      <c r="H642" s="559"/>
      <c r="I642" s="559"/>
      <c r="J642" s="559"/>
      <c r="K642" s="559"/>
      <c r="L642" s="559"/>
      <c r="M642" s="559"/>
      <c r="N642" s="559"/>
      <c r="O642" s="559"/>
      <c r="P642" s="559"/>
      <c r="Q642" s="559"/>
      <c r="R642" s="559"/>
      <c r="S642" s="559"/>
      <c r="T642" s="559"/>
      <c r="U642" s="559"/>
      <c r="V642" s="559"/>
      <c r="W642" s="559"/>
      <c r="X642" s="559"/>
      <c r="Y642" s="559"/>
      <c r="Z642" s="559"/>
    </row>
    <row r="643" spans="1:26" ht="18" customHeight="1" x14ac:dyDescent="0.35">
      <c r="A643" s="559"/>
      <c r="B643" s="559"/>
      <c r="C643" s="559"/>
      <c r="D643" s="559"/>
      <c r="E643" s="559"/>
      <c r="F643" s="559"/>
      <c r="G643" s="559"/>
      <c r="H643" s="559"/>
      <c r="I643" s="559"/>
      <c r="J643" s="559"/>
      <c r="K643" s="559"/>
      <c r="L643" s="559"/>
      <c r="M643" s="559"/>
      <c r="N643" s="559"/>
      <c r="O643" s="559"/>
      <c r="P643" s="559"/>
      <c r="Q643" s="559"/>
      <c r="R643" s="559"/>
      <c r="S643" s="559"/>
      <c r="T643" s="559"/>
      <c r="U643" s="559"/>
      <c r="V643" s="559"/>
      <c r="W643" s="559"/>
      <c r="X643" s="559"/>
      <c r="Y643" s="559"/>
      <c r="Z643" s="559"/>
    </row>
    <row r="644" spans="1:26" ht="18" customHeight="1" x14ac:dyDescent="0.35">
      <c r="A644" s="559"/>
      <c r="B644" s="559"/>
      <c r="C644" s="559"/>
      <c r="D644" s="559"/>
      <c r="E644" s="559"/>
      <c r="F644" s="559"/>
      <c r="G644" s="559"/>
      <c r="H644" s="559"/>
      <c r="I644" s="559"/>
      <c r="J644" s="559"/>
      <c r="K644" s="559"/>
      <c r="L644" s="559"/>
      <c r="M644" s="559"/>
      <c r="N644" s="559"/>
      <c r="O644" s="559"/>
      <c r="P644" s="559"/>
      <c r="Q644" s="559"/>
      <c r="R644" s="559"/>
      <c r="S644" s="559"/>
      <c r="T644" s="559"/>
      <c r="U644" s="559"/>
      <c r="V644" s="559"/>
      <c r="W644" s="559"/>
      <c r="X644" s="559"/>
      <c r="Y644" s="559"/>
      <c r="Z644" s="559"/>
    </row>
    <row r="645" spans="1:26" ht="18" customHeight="1" x14ac:dyDescent="0.35">
      <c r="A645" s="559"/>
      <c r="B645" s="559"/>
      <c r="C645" s="559"/>
      <c r="D645" s="559"/>
      <c r="E645" s="559"/>
      <c r="F645" s="559"/>
      <c r="G645" s="559"/>
      <c r="H645" s="559"/>
      <c r="I645" s="559"/>
      <c r="J645" s="559"/>
      <c r="K645" s="559"/>
      <c r="L645" s="559"/>
      <c r="M645" s="559"/>
      <c r="N645" s="559"/>
      <c r="O645" s="559"/>
      <c r="P645" s="559"/>
      <c r="Q645" s="559"/>
      <c r="R645" s="559"/>
      <c r="S645" s="559"/>
      <c r="T645" s="559"/>
      <c r="U645" s="559"/>
      <c r="V645" s="559"/>
      <c r="W645" s="559"/>
      <c r="X645" s="559"/>
      <c r="Y645" s="559"/>
      <c r="Z645" s="559"/>
    </row>
    <row r="646" spans="1:26" ht="18" customHeight="1" x14ac:dyDescent="0.35">
      <c r="A646" s="559"/>
      <c r="B646" s="559"/>
      <c r="C646" s="559"/>
      <c r="D646" s="559"/>
      <c r="E646" s="559"/>
      <c r="F646" s="559"/>
      <c r="G646" s="559"/>
      <c r="H646" s="559"/>
      <c r="I646" s="559"/>
      <c r="J646" s="559"/>
      <c r="K646" s="559"/>
      <c r="L646" s="559"/>
      <c r="M646" s="559"/>
      <c r="N646" s="559"/>
      <c r="O646" s="559"/>
      <c r="P646" s="559"/>
      <c r="Q646" s="559"/>
      <c r="R646" s="559"/>
      <c r="S646" s="559"/>
      <c r="T646" s="559"/>
      <c r="U646" s="559"/>
      <c r="V646" s="559"/>
      <c r="W646" s="559"/>
      <c r="X646" s="559"/>
      <c r="Y646" s="559"/>
      <c r="Z646" s="559"/>
    </row>
    <row r="647" spans="1:26" ht="18" customHeight="1" x14ac:dyDescent="0.35">
      <c r="A647" s="559"/>
      <c r="B647" s="559"/>
      <c r="C647" s="559"/>
      <c r="D647" s="559"/>
      <c r="E647" s="559"/>
      <c r="F647" s="559"/>
      <c r="G647" s="559"/>
      <c r="H647" s="559"/>
      <c r="I647" s="559"/>
      <c r="J647" s="559"/>
      <c r="K647" s="559"/>
      <c r="L647" s="559"/>
      <c r="M647" s="559"/>
      <c r="N647" s="559"/>
      <c r="O647" s="559"/>
      <c r="P647" s="559"/>
      <c r="Q647" s="559"/>
      <c r="R647" s="559"/>
      <c r="S647" s="559"/>
      <c r="T647" s="559"/>
      <c r="U647" s="559"/>
      <c r="V647" s="559"/>
      <c r="W647" s="559"/>
      <c r="X647" s="559"/>
      <c r="Y647" s="559"/>
      <c r="Z647" s="559"/>
    </row>
    <row r="648" spans="1:26" ht="18" customHeight="1" x14ac:dyDescent="0.35">
      <c r="A648" s="559"/>
      <c r="B648" s="559"/>
      <c r="C648" s="559"/>
      <c r="D648" s="559"/>
      <c r="E648" s="559"/>
      <c r="F648" s="559"/>
      <c r="G648" s="559"/>
      <c r="H648" s="559"/>
      <c r="I648" s="559"/>
      <c r="J648" s="559"/>
      <c r="K648" s="559"/>
      <c r="L648" s="559"/>
      <c r="M648" s="559"/>
      <c r="N648" s="559"/>
      <c r="O648" s="559"/>
      <c r="P648" s="559"/>
      <c r="Q648" s="559"/>
      <c r="R648" s="559"/>
      <c r="S648" s="559"/>
      <c r="T648" s="559"/>
      <c r="U648" s="559"/>
      <c r="V648" s="559"/>
      <c r="W648" s="559"/>
      <c r="X648" s="559"/>
      <c r="Y648" s="559"/>
      <c r="Z648" s="559"/>
    </row>
    <row r="649" spans="1:26" ht="18" customHeight="1" x14ac:dyDescent="0.35">
      <c r="A649" s="559"/>
      <c r="B649" s="559"/>
      <c r="C649" s="559"/>
      <c r="D649" s="559"/>
      <c r="E649" s="559"/>
      <c r="F649" s="559"/>
      <c r="G649" s="559"/>
      <c r="H649" s="559"/>
      <c r="I649" s="559"/>
      <c r="J649" s="559"/>
      <c r="K649" s="559"/>
      <c r="L649" s="559"/>
      <c r="M649" s="559"/>
      <c r="N649" s="559"/>
      <c r="O649" s="559"/>
      <c r="P649" s="559"/>
      <c r="Q649" s="559"/>
      <c r="R649" s="559"/>
      <c r="S649" s="559"/>
      <c r="T649" s="559"/>
      <c r="U649" s="559"/>
      <c r="V649" s="559"/>
      <c r="W649" s="559"/>
      <c r="X649" s="559"/>
      <c r="Y649" s="559"/>
      <c r="Z649" s="559"/>
    </row>
    <row r="650" spans="1:26" ht="18" customHeight="1" x14ac:dyDescent="0.35">
      <c r="A650" s="559"/>
      <c r="B650" s="559"/>
      <c r="C650" s="559"/>
      <c r="D650" s="559"/>
      <c r="E650" s="559"/>
      <c r="F650" s="559"/>
      <c r="G650" s="559"/>
      <c r="H650" s="559"/>
      <c r="I650" s="559"/>
      <c r="J650" s="559"/>
      <c r="K650" s="559"/>
      <c r="L650" s="559"/>
      <c r="M650" s="559"/>
      <c r="N650" s="559"/>
      <c r="O650" s="559"/>
      <c r="P650" s="559"/>
      <c r="Q650" s="559"/>
      <c r="R650" s="559"/>
      <c r="S650" s="559"/>
      <c r="T650" s="559"/>
      <c r="U650" s="559"/>
      <c r="V650" s="559"/>
      <c r="W650" s="559"/>
      <c r="X650" s="559"/>
      <c r="Y650" s="559"/>
      <c r="Z650" s="559"/>
    </row>
    <row r="651" spans="1:26" ht="18" customHeight="1" x14ac:dyDescent="0.35">
      <c r="A651" s="559"/>
      <c r="B651" s="559"/>
      <c r="C651" s="559"/>
      <c r="D651" s="559"/>
      <c r="E651" s="559"/>
      <c r="F651" s="559"/>
      <c r="G651" s="559"/>
      <c r="H651" s="559"/>
      <c r="I651" s="559"/>
      <c r="J651" s="559"/>
      <c r="K651" s="559"/>
      <c r="L651" s="559"/>
      <c r="M651" s="559"/>
      <c r="N651" s="559"/>
      <c r="O651" s="559"/>
      <c r="P651" s="559"/>
      <c r="Q651" s="559"/>
      <c r="R651" s="559"/>
      <c r="S651" s="559"/>
      <c r="T651" s="559"/>
      <c r="U651" s="559"/>
      <c r="V651" s="559"/>
      <c r="W651" s="559"/>
      <c r="X651" s="559"/>
      <c r="Y651" s="559"/>
      <c r="Z651" s="559"/>
    </row>
    <row r="652" spans="1:26" ht="18" customHeight="1" x14ac:dyDescent="0.35">
      <c r="A652" s="559"/>
      <c r="B652" s="559"/>
      <c r="C652" s="559"/>
      <c r="D652" s="559"/>
      <c r="E652" s="559"/>
      <c r="F652" s="559"/>
      <c r="G652" s="559"/>
      <c r="H652" s="559"/>
      <c r="I652" s="559"/>
      <c r="J652" s="559"/>
      <c r="K652" s="559"/>
      <c r="L652" s="559"/>
      <c r="M652" s="559"/>
      <c r="N652" s="559"/>
      <c r="O652" s="559"/>
      <c r="P652" s="559"/>
      <c r="Q652" s="559"/>
      <c r="R652" s="559"/>
      <c r="S652" s="559"/>
      <c r="T652" s="559"/>
      <c r="U652" s="559"/>
      <c r="V652" s="559"/>
      <c r="W652" s="559"/>
      <c r="X652" s="559"/>
      <c r="Y652" s="559"/>
      <c r="Z652" s="559"/>
    </row>
    <row r="653" spans="1:26" ht="18" customHeight="1" x14ac:dyDescent="0.35">
      <c r="A653" s="559"/>
      <c r="B653" s="559"/>
      <c r="C653" s="559"/>
      <c r="D653" s="559"/>
      <c r="E653" s="559"/>
      <c r="F653" s="559"/>
      <c r="G653" s="559"/>
      <c r="H653" s="559"/>
      <c r="I653" s="559"/>
      <c r="J653" s="559"/>
      <c r="K653" s="559"/>
      <c r="L653" s="559"/>
      <c r="M653" s="559"/>
      <c r="N653" s="559"/>
      <c r="O653" s="559"/>
      <c r="P653" s="559"/>
      <c r="Q653" s="559"/>
      <c r="R653" s="559"/>
      <c r="S653" s="559"/>
      <c r="T653" s="559"/>
      <c r="U653" s="559"/>
      <c r="V653" s="559"/>
      <c r="W653" s="559"/>
      <c r="X653" s="559"/>
      <c r="Y653" s="559"/>
      <c r="Z653" s="559"/>
    </row>
    <row r="654" spans="1:26" ht="18" customHeight="1" x14ac:dyDescent="0.35">
      <c r="A654" s="559"/>
      <c r="B654" s="559"/>
      <c r="C654" s="559"/>
      <c r="D654" s="559"/>
      <c r="E654" s="559"/>
      <c r="F654" s="559"/>
      <c r="G654" s="559"/>
      <c r="H654" s="559"/>
      <c r="I654" s="559"/>
      <c r="J654" s="559"/>
      <c r="K654" s="559"/>
      <c r="L654" s="559"/>
      <c r="M654" s="559"/>
      <c r="N654" s="559"/>
      <c r="O654" s="559"/>
      <c r="P654" s="559"/>
      <c r="Q654" s="559"/>
      <c r="R654" s="559"/>
      <c r="S654" s="559"/>
      <c r="T654" s="559"/>
      <c r="U654" s="559"/>
      <c r="V654" s="559"/>
      <c r="W654" s="559"/>
      <c r="X654" s="559"/>
      <c r="Y654" s="559"/>
      <c r="Z654" s="559"/>
    </row>
    <row r="655" spans="1:26" ht="18" customHeight="1" x14ac:dyDescent="0.35">
      <c r="A655" s="559"/>
      <c r="B655" s="559"/>
      <c r="C655" s="559"/>
      <c r="D655" s="559"/>
      <c r="E655" s="559"/>
      <c r="F655" s="559"/>
      <c r="G655" s="559"/>
      <c r="H655" s="559"/>
      <c r="I655" s="559"/>
      <c r="J655" s="559"/>
      <c r="K655" s="559"/>
      <c r="L655" s="559"/>
      <c r="M655" s="559"/>
      <c r="N655" s="559"/>
      <c r="O655" s="559"/>
      <c r="P655" s="559"/>
      <c r="Q655" s="559"/>
      <c r="R655" s="559"/>
      <c r="S655" s="559"/>
      <c r="T655" s="559"/>
      <c r="U655" s="559"/>
      <c r="V655" s="559"/>
      <c r="W655" s="559"/>
      <c r="X655" s="559"/>
      <c r="Y655" s="559"/>
      <c r="Z655" s="559"/>
    </row>
    <row r="656" spans="1:26" ht="18" customHeight="1" x14ac:dyDescent="0.35">
      <c r="A656" s="559"/>
      <c r="B656" s="559"/>
      <c r="C656" s="559"/>
      <c r="D656" s="559"/>
      <c r="E656" s="559"/>
      <c r="F656" s="559"/>
      <c r="G656" s="559"/>
      <c r="H656" s="559"/>
      <c r="I656" s="559"/>
      <c r="J656" s="559"/>
      <c r="K656" s="559"/>
      <c r="L656" s="559"/>
      <c r="M656" s="559"/>
      <c r="N656" s="559"/>
      <c r="O656" s="559"/>
      <c r="P656" s="559"/>
      <c r="Q656" s="559"/>
      <c r="R656" s="559"/>
      <c r="S656" s="559"/>
      <c r="T656" s="559"/>
      <c r="U656" s="559"/>
      <c r="V656" s="559"/>
      <c r="W656" s="559"/>
      <c r="X656" s="559"/>
      <c r="Y656" s="559"/>
      <c r="Z656" s="559"/>
    </row>
    <row r="657" spans="1:26" ht="18" customHeight="1" x14ac:dyDescent="0.35">
      <c r="A657" s="559"/>
      <c r="B657" s="559"/>
      <c r="C657" s="559"/>
      <c r="D657" s="559"/>
      <c r="E657" s="559"/>
      <c r="F657" s="559"/>
      <c r="G657" s="559"/>
      <c r="H657" s="559"/>
      <c r="I657" s="559"/>
      <c r="J657" s="559"/>
      <c r="K657" s="559"/>
      <c r="L657" s="559"/>
      <c r="M657" s="559"/>
      <c r="N657" s="559"/>
      <c r="O657" s="559"/>
      <c r="P657" s="559"/>
      <c r="Q657" s="559"/>
      <c r="R657" s="559"/>
      <c r="S657" s="559"/>
      <c r="T657" s="559"/>
      <c r="U657" s="559"/>
      <c r="V657" s="559"/>
      <c r="W657" s="559"/>
      <c r="X657" s="559"/>
      <c r="Y657" s="559"/>
      <c r="Z657" s="559"/>
    </row>
    <row r="658" spans="1:26" ht="18" customHeight="1" x14ac:dyDescent="0.35">
      <c r="A658" s="559"/>
      <c r="B658" s="559"/>
      <c r="C658" s="559"/>
      <c r="D658" s="559"/>
      <c r="E658" s="559"/>
      <c r="F658" s="559"/>
      <c r="G658" s="559"/>
      <c r="H658" s="559"/>
      <c r="I658" s="559"/>
      <c r="J658" s="559"/>
      <c r="K658" s="559"/>
      <c r="L658" s="559"/>
      <c r="M658" s="559"/>
      <c r="N658" s="559"/>
      <c r="O658" s="559"/>
      <c r="P658" s="559"/>
      <c r="Q658" s="559"/>
      <c r="R658" s="559"/>
      <c r="S658" s="559"/>
      <c r="T658" s="559"/>
      <c r="U658" s="559"/>
      <c r="V658" s="559"/>
      <c r="W658" s="559"/>
      <c r="X658" s="559"/>
      <c r="Y658" s="559"/>
      <c r="Z658" s="559"/>
    </row>
    <row r="659" spans="1:26" ht="18" customHeight="1" x14ac:dyDescent="0.35">
      <c r="A659" s="559"/>
      <c r="B659" s="559"/>
      <c r="C659" s="559"/>
      <c r="D659" s="559"/>
      <c r="E659" s="559"/>
      <c r="F659" s="559"/>
      <c r="G659" s="559"/>
      <c r="H659" s="559"/>
      <c r="I659" s="559"/>
      <c r="J659" s="559"/>
      <c r="K659" s="559"/>
      <c r="L659" s="559"/>
      <c r="M659" s="559"/>
      <c r="N659" s="559"/>
      <c r="O659" s="559"/>
      <c r="P659" s="559"/>
      <c r="Q659" s="559"/>
      <c r="R659" s="559"/>
      <c r="S659" s="559"/>
      <c r="T659" s="559"/>
      <c r="U659" s="559"/>
      <c r="V659" s="559"/>
      <c r="W659" s="559"/>
      <c r="X659" s="559"/>
      <c r="Y659" s="559"/>
      <c r="Z659" s="559"/>
    </row>
    <row r="660" spans="1:26" ht="18" customHeight="1" x14ac:dyDescent="0.35">
      <c r="A660" s="559"/>
      <c r="B660" s="559"/>
      <c r="C660" s="559"/>
      <c r="D660" s="559"/>
      <c r="E660" s="559"/>
      <c r="F660" s="559"/>
      <c r="G660" s="559"/>
      <c r="H660" s="559"/>
      <c r="I660" s="559"/>
      <c r="J660" s="559"/>
      <c r="K660" s="559"/>
      <c r="L660" s="559"/>
      <c r="M660" s="559"/>
      <c r="N660" s="559"/>
      <c r="O660" s="559"/>
      <c r="P660" s="559"/>
      <c r="Q660" s="559"/>
      <c r="R660" s="559"/>
      <c r="S660" s="559"/>
      <c r="T660" s="559"/>
      <c r="U660" s="559"/>
      <c r="V660" s="559"/>
      <c r="W660" s="559"/>
      <c r="X660" s="559"/>
      <c r="Y660" s="559"/>
      <c r="Z660" s="559"/>
    </row>
    <row r="661" spans="1:26" ht="18" customHeight="1" x14ac:dyDescent="0.35">
      <c r="A661" s="559"/>
      <c r="B661" s="559"/>
      <c r="C661" s="559"/>
      <c r="D661" s="559"/>
      <c r="E661" s="559"/>
      <c r="F661" s="559"/>
      <c r="G661" s="559"/>
      <c r="H661" s="559"/>
      <c r="I661" s="559"/>
      <c r="J661" s="559"/>
      <c r="K661" s="559"/>
      <c r="L661" s="559"/>
      <c r="M661" s="559"/>
      <c r="N661" s="559"/>
      <c r="O661" s="559"/>
      <c r="P661" s="559"/>
      <c r="Q661" s="559"/>
      <c r="R661" s="559"/>
      <c r="S661" s="559"/>
      <c r="T661" s="559"/>
      <c r="U661" s="559"/>
      <c r="V661" s="559"/>
      <c r="W661" s="559"/>
      <c r="X661" s="559"/>
      <c r="Y661" s="559"/>
      <c r="Z661" s="559"/>
    </row>
    <row r="662" spans="1:26" ht="18" customHeight="1" x14ac:dyDescent="0.35">
      <c r="A662" s="559"/>
      <c r="B662" s="559"/>
      <c r="C662" s="559"/>
      <c r="D662" s="559"/>
      <c r="E662" s="559"/>
      <c r="F662" s="559"/>
      <c r="G662" s="559"/>
      <c r="H662" s="559"/>
      <c r="I662" s="559"/>
      <c r="J662" s="559"/>
      <c r="K662" s="559"/>
      <c r="L662" s="559"/>
      <c r="M662" s="559"/>
      <c r="N662" s="559"/>
      <c r="O662" s="559"/>
      <c r="P662" s="559"/>
      <c r="Q662" s="559"/>
      <c r="R662" s="559"/>
      <c r="S662" s="559"/>
      <c r="T662" s="559"/>
      <c r="U662" s="559"/>
      <c r="V662" s="559"/>
      <c r="W662" s="559"/>
      <c r="X662" s="559"/>
      <c r="Y662" s="559"/>
      <c r="Z662" s="559"/>
    </row>
    <row r="663" spans="1:26" ht="18" customHeight="1" x14ac:dyDescent="0.35">
      <c r="A663" s="559"/>
      <c r="B663" s="559"/>
      <c r="C663" s="559"/>
      <c r="D663" s="559"/>
      <c r="E663" s="559"/>
      <c r="F663" s="559"/>
      <c r="G663" s="559"/>
      <c r="H663" s="559"/>
      <c r="I663" s="559"/>
      <c r="J663" s="559"/>
      <c r="K663" s="559"/>
      <c r="L663" s="559"/>
      <c r="M663" s="559"/>
      <c r="N663" s="559"/>
      <c r="O663" s="559"/>
      <c r="P663" s="559"/>
      <c r="Q663" s="559"/>
      <c r="R663" s="559"/>
      <c r="S663" s="559"/>
      <c r="T663" s="559"/>
      <c r="U663" s="559"/>
      <c r="V663" s="559"/>
      <c r="W663" s="559"/>
      <c r="X663" s="559"/>
      <c r="Y663" s="559"/>
      <c r="Z663" s="559"/>
    </row>
    <row r="664" spans="1:26" ht="18" customHeight="1" x14ac:dyDescent="0.35">
      <c r="A664" s="559"/>
      <c r="B664" s="559"/>
      <c r="C664" s="559"/>
      <c r="D664" s="559"/>
      <c r="E664" s="559"/>
      <c r="F664" s="559"/>
      <c r="G664" s="559"/>
      <c r="H664" s="559"/>
      <c r="I664" s="559"/>
      <c r="J664" s="559"/>
      <c r="K664" s="559"/>
      <c r="L664" s="559"/>
      <c r="M664" s="559"/>
      <c r="N664" s="559"/>
      <c r="O664" s="559"/>
      <c r="P664" s="559"/>
      <c r="Q664" s="559"/>
      <c r="R664" s="559"/>
      <c r="S664" s="559"/>
      <c r="T664" s="559"/>
      <c r="U664" s="559"/>
      <c r="V664" s="559"/>
      <c r="W664" s="559"/>
      <c r="X664" s="559"/>
      <c r="Y664" s="559"/>
      <c r="Z664" s="559"/>
    </row>
    <row r="665" spans="1:26" ht="18" customHeight="1" x14ac:dyDescent="0.35">
      <c r="A665" s="559"/>
      <c r="B665" s="559"/>
      <c r="C665" s="559"/>
      <c r="D665" s="559"/>
      <c r="E665" s="559"/>
      <c r="F665" s="559"/>
      <c r="G665" s="559"/>
      <c r="H665" s="559"/>
      <c r="I665" s="559"/>
      <c r="J665" s="559"/>
      <c r="K665" s="559"/>
      <c r="L665" s="559"/>
      <c r="M665" s="559"/>
      <c r="N665" s="559"/>
      <c r="O665" s="559"/>
      <c r="P665" s="559"/>
      <c r="Q665" s="559"/>
      <c r="R665" s="559"/>
      <c r="S665" s="559"/>
      <c r="T665" s="559"/>
      <c r="U665" s="559"/>
      <c r="V665" s="559"/>
      <c r="W665" s="559"/>
      <c r="X665" s="559"/>
      <c r="Y665" s="559"/>
      <c r="Z665" s="559"/>
    </row>
    <row r="666" spans="1:26" ht="18" customHeight="1" x14ac:dyDescent="0.35">
      <c r="A666" s="559"/>
      <c r="B666" s="559"/>
      <c r="C666" s="559"/>
      <c r="D666" s="559"/>
      <c r="E666" s="559"/>
      <c r="F666" s="559"/>
      <c r="G666" s="559"/>
      <c r="H666" s="559"/>
      <c r="I666" s="559"/>
      <c r="J666" s="559"/>
      <c r="K666" s="559"/>
      <c r="L666" s="559"/>
      <c r="M666" s="559"/>
      <c r="N666" s="559"/>
      <c r="O666" s="559"/>
      <c r="P666" s="559"/>
      <c r="Q666" s="559"/>
      <c r="R666" s="559"/>
      <c r="S666" s="559"/>
      <c r="T666" s="559"/>
      <c r="U666" s="559"/>
      <c r="V666" s="559"/>
      <c r="W666" s="559"/>
      <c r="X666" s="559"/>
      <c r="Y666" s="559"/>
      <c r="Z666" s="559"/>
    </row>
    <row r="667" spans="1:26" ht="18" customHeight="1" x14ac:dyDescent="0.35">
      <c r="A667" s="559"/>
      <c r="B667" s="559"/>
      <c r="C667" s="559"/>
      <c r="D667" s="559"/>
      <c r="E667" s="559"/>
      <c r="F667" s="559"/>
      <c r="G667" s="559"/>
      <c r="H667" s="559"/>
      <c r="I667" s="559"/>
      <c r="J667" s="559"/>
      <c r="K667" s="559"/>
      <c r="L667" s="559"/>
      <c r="M667" s="559"/>
      <c r="N667" s="559"/>
      <c r="O667" s="559"/>
      <c r="P667" s="559"/>
      <c r="Q667" s="559"/>
      <c r="R667" s="559"/>
      <c r="S667" s="559"/>
      <c r="T667" s="559"/>
      <c r="U667" s="559"/>
      <c r="V667" s="559"/>
      <c r="W667" s="559"/>
      <c r="X667" s="559"/>
      <c r="Y667" s="559"/>
      <c r="Z667" s="559"/>
    </row>
    <row r="668" spans="1:26" ht="18" customHeight="1" x14ac:dyDescent="0.35">
      <c r="A668" s="559"/>
      <c r="B668" s="559"/>
      <c r="C668" s="559"/>
      <c r="D668" s="559"/>
      <c r="E668" s="559"/>
      <c r="F668" s="559"/>
      <c r="G668" s="559"/>
      <c r="H668" s="559"/>
      <c r="I668" s="559"/>
      <c r="J668" s="559"/>
      <c r="K668" s="559"/>
      <c r="L668" s="559"/>
      <c r="M668" s="559"/>
      <c r="N668" s="559"/>
      <c r="O668" s="559"/>
      <c r="P668" s="559"/>
      <c r="Q668" s="559"/>
      <c r="R668" s="559"/>
      <c r="S668" s="559"/>
      <c r="T668" s="559"/>
      <c r="U668" s="559"/>
      <c r="V668" s="559"/>
      <c r="W668" s="559"/>
      <c r="X668" s="559"/>
      <c r="Y668" s="559"/>
      <c r="Z668" s="559"/>
    </row>
    <row r="669" spans="1:26" ht="18" customHeight="1" x14ac:dyDescent="0.35">
      <c r="A669" s="559"/>
      <c r="B669" s="559"/>
      <c r="C669" s="559"/>
      <c r="D669" s="559"/>
      <c r="E669" s="559"/>
      <c r="F669" s="559"/>
      <c r="G669" s="559"/>
      <c r="H669" s="559"/>
      <c r="I669" s="559"/>
      <c r="J669" s="559"/>
      <c r="K669" s="559"/>
      <c r="L669" s="559"/>
      <c r="M669" s="559"/>
      <c r="N669" s="559"/>
      <c r="O669" s="559"/>
      <c r="P669" s="559"/>
      <c r="Q669" s="559"/>
      <c r="R669" s="559"/>
      <c r="S669" s="559"/>
      <c r="T669" s="559"/>
      <c r="U669" s="559"/>
      <c r="V669" s="559"/>
      <c r="W669" s="559"/>
      <c r="X669" s="559"/>
      <c r="Y669" s="559"/>
      <c r="Z669" s="559"/>
    </row>
    <row r="670" spans="1:26" ht="18" customHeight="1" x14ac:dyDescent="0.35">
      <c r="A670" s="559"/>
      <c r="B670" s="559"/>
      <c r="C670" s="559"/>
      <c r="D670" s="559"/>
      <c r="E670" s="559"/>
      <c r="F670" s="559"/>
      <c r="G670" s="559"/>
      <c r="H670" s="559"/>
      <c r="I670" s="559"/>
      <c r="J670" s="559"/>
      <c r="K670" s="559"/>
      <c r="L670" s="559"/>
      <c r="M670" s="559"/>
      <c r="N670" s="559"/>
      <c r="O670" s="559"/>
      <c r="P670" s="559"/>
      <c r="Q670" s="559"/>
      <c r="R670" s="559"/>
      <c r="S670" s="559"/>
      <c r="T670" s="559"/>
      <c r="U670" s="559"/>
      <c r="V670" s="559"/>
      <c r="W670" s="559"/>
      <c r="X670" s="559"/>
      <c r="Y670" s="559"/>
      <c r="Z670" s="559"/>
    </row>
    <row r="671" spans="1:26" ht="18" customHeight="1" x14ac:dyDescent="0.35">
      <c r="A671" s="559"/>
      <c r="B671" s="559"/>
      <c r="C671" s="559"/>
      <c r="D671" s="559"/>
      <c r="E671" s="559"/>
      <c r="F671" s="559"/>
      <c r="G671" s="559"/>
      <c r="H671" s="559"/>
      <c r="I671" s="559"/>
      <c r="J671" s="559"/>
      <c r="K671" s="559"/>
      <c r="L671" s="559"/>
      <c r="M671" s="559"/>
      <c r="N671" s="559"/>
      <c r="O671" s="559"/>
      <c r="P671" s="559"/>
      <c r="Q671" s="559"/>
      <c r="R671" s="559"/>
      <c r="S671" s="559"/>
      <c r="T671" s="559"/>
      <c r="U671" s="559"/>
      <c r="V671" s="559"/>
      <c r="W671" s="559"/>
      <c r="X671" s="559"/>
      <c r="Y671" s="559"/>
      <c r="Z671" s="559"/>
    </row>
    <row r="672" spans="1:26" ht="18" customHeight="1" x14ac:dyDescent="0.35">
      <c r="A672" s="559"/>
      <c r="B672" s="559"/>
      <c r="C672" s="559"/>
      <c r="D672" s="559"/>
      <c r="E672" s="559"/>
      <c r="F672" s="559"/>
      <c r="G672" s="559"/>
      <c r="H672" s="559"/>
      <c r="I672" s="559"/>
      <c r="J672" s="559"/>
      <c r="K672" s="559"/>
      <c r="L672" s="559"/>
      <c r="M672" s="559"/>
      <c r="N672" s="559"/>
      <c r="O672" s="559"/>
      <c r="P672" s="559"/>
      <c r="Q672" s="559"/>
      <c r="R672" s="559"/>
      <c r="S672" s="559"/>
      <c r="T672" s="559"/>
      <c r="U672" s="559"/>
      <c r="V672" s="559"/>
      <c r="W672" s="559"/>
      <c r="X672" s="559"/>
      <c r="Y672" s="559"/>
      <c r="Z672" s="559"/>
    </row>
    <row r="673" spans="1:26" ht="18" customHeight="1" x14ac:dyDescent="0.35">
      <c r="A673" s="559"/>
      <c r="B673" s="559"/>
      <c r="C673" s="559"/>
      <c r="D673" s="559"/>
      <c r="E673" s="559"/>
      <c r="F673" s="559"/>
      <c r="G673" s="559"/>
      <c r="H673" s="559"/>
      <c r="I673" s="559"/>
      <c r="J673" s="559"/>
      <c r="K673" s="559"/>
      <c r="L673" s="559"/>
      <c r="M673" s="559"/>
      <c r="N673" s="559"/>
      <c r="O673" s="559"/>
      <c r="P673" s="559"/>
      <c r="Q673" s="559"/>
      <c r="R673" s="559"/>
      <c r="S673" s="559"/>
      <c r="T673" s="559"/>
      <c r="U673" s="559"/>
      <c r="V673" s="559"/>
      <c r="W673" s="559"/>
      <c r="X673" s="559"/>
      <c r="Y673" s="559"/>
      <c r="Z673" s="559"/>
    </row>
    <row r="674" spans="1:26" ht="18" customHeight="1" x14ac:dyDescent="0.35">
      <c r="A674" s="559"/>
      <c r="B674" s="559"/>
      <c r="C674" s="559"/>
      <c r="D674" s="559"/>
      <c r="E674" s="559"/>
      <c r="F674" s="559"/>
      <c r="G674" s="559"/>
      <c r="H674" s="559"/>
      <c r="I674" s="559"/>
      <c r="J674" s="559"/>
      <c r="K674" s="559"/>
      <c r="L674" s="559"/>
      <c r="M674" s="559"/>
      <c r="N674" s="559"/>
      <c r="O674" s="559"/>
      <c r="P674" s="559"/>
      <c r="Q674" s="559"/>
      <c r="R674" s="559"/>
      <c r="S674" s="559"/>
      <c r="T674" s="559"/>
      <c r="U674" s="559"/>
      <c r="V674" s="559"/>
      <c r="W674" s="559"/>
      <c r="X674" s="559"/>
      <c r="Y674" s="559"/>
      <c r="Z674" s="559"/>
    </row>
    <row r="675" spans="1:26" ht="18" customHeight="1" x14ac:dyDescent="0.35">
      <c r="A675" s="559"/>
      <c r="B675" s="559"/>
      <c r="C675" s="559"/>
      <c r="D675" s="559"/>
      <c r="E675" s="559"/>
      <c r="F675" s="559"/>
      <c r="G675" s="559"/>
      <c r="H675" s="559"/>
      <c r="I675" s="559"/>
      <c r="J675" s="559"/>
      <c r="K675" s="559"/>
      <c r="L675" s="559"/>
      <c r="M675" s="559"/>
      <c r="N675" s="559"/>
      <c r="O675" s="559"/>
      <c r="P675" s="559"/>
      <c r="Q675" s="559"/>
      <c r="R675" s="559"/>
      <c r="S675" s="559"/>
      <c r="T675" s="559"/>
      <c r="U675" s="559"/>
      <c r="V675" s="559"/>
      <c r="W675" s="559"/>
      <c r="X675" s="559"/>
      <c r="Y675" s="559"/>
      <c r="Z675" s="559"/>
    </row>
    <row r="676" spans="1:26" ht="18" customHeight="1" x14ac:dyDescent="0.35">
      <c r="A676" s="559"/>
      <c r="B676" s="559"/>
      <c r="C676" s="559"/>
      <c r="D676" s="559"/>
      <c r="E676" s="559"/>
      <c r="F676" s="559"/>
      <c r="G676" s="559"/>
      <c r="H676" s="559"/>
      <c r="I676" s="559"/>
      <c r="J676" s="559"/>
      <c r="K676" s="559"/>
      <c r="L676" s="559"/>
      <c r="M676" s="559"/>
      <c r="N676" s="559"/>
      <c r="O676" s="559"/>
      <c r="P676" s="559"/>
      <c r="Q676" s="559"/>
      <c r="R676" s="559"/>
      <c r="S676" s="559"/>
      <c r="T676" s="559"/>
      <c r="U676" s="559"/>
      <c r="V676" s="559"/>
      <c r="W676" s="559"/>
      <c r="X676" s="559"/>
      <c r="Y676" s="559"/>
      <c r="Z676" s="559"/>
    </row>
    <row r="677" spans="1:26" ht="18" customHeight="1" x14ac:dyDescent="0.35">
      <c r="A677" s="559"/>
      <c r="B677" s="559"/>
      <c r="C677" s="559"/>
      <c r="D677" s="559"/>
      <c r="E677" s="559"/>
      <c r="F677" s="559"/>
      <c r="G677" s="559"/>
      <c r="H677" s="559"/>
      <c r="I677" s="559"/>
      <c r="J677" s="559"/>
      <c r="K677" s="559"/>
      <c r="L677" s="559"/>
      <c r="M677" s="559"/>
      <c r="N677" s="559"/>
      <c r="O677" s="559"/>
      <c r="P677" s="559"/>
      <c r="Q677" s="559"/>
      <c r="R677" s="559"/>
      <c r="S677" s="559"/>
      <c r="T677" s="559"/>
      <c r="U677" s="559"/>
      <c r="V677" s="559"/>
      <c r="W677" s="559"/>
      <c r="X677" s="559"/>
      <c r="Y677" s="559"/>
      <c r="Z677" s="559"/>
    </row>
    <row r="678" spans="1:26" ht="18" customHeight="1" x14ac:dyDescent="0.35">
      <c r="A678" s="559"/>
      <c r="B678" s="559"/>
      <c r="C678" s="559"/>
      <c r="D678" s="559"/>
      <c r="E678" s="559"/>
      <c r="F678" s="559"/>
      <c r="G678" s="559"/>
      <c r="H678" s="559"/>
      <c r="I678" s="559"/>
      <c r="J678" s="559"/>
      <c r="K678" s="559"/>
      <c r="L678" s="559"/>
      <c r="M678" s="559"/>
      <c r="N678" s="559"/>
      <c r="O678" s="559"/>
      <c r="P678" s="559"/>
      <c r="Q678" s="559"/>
      <c r="R678" s="559"/>
      <c r="S678" s="559"/>
      <c r="T678" s="559"/>
      <c r="U678" s="559"/>
      <c r="V678" s="559"/>
      <c r="W678" s="559"/>
      <c r="X678" s="559"/>
      <c r="Y678" s="559"/>
      <c r="Z678" s="559"/>
    </row>
    <row r="679" spans="1:26" ht="18" customHeight="1" x14ac:dyDescent="0.35">
      <c r="A679" s="559"/>
      <c r="B679" s="559"/>
      <c r="C679" s="559"/>
      <c r="D679" s="559"/>
      <c r="E679" s="559"/>
      <c r="F679" s="559"/>
      <c r="G679" s="559"/>
      <c r="H679" s="559"/>
      <c r="I679" s="559"/>
      <c r="J679" s="559"/>
      <c r="K679" s="559"/>
      <c r="L679" s="559"/>
      <c r="M679" s="559"/>
      <c r="N679" s="559"/>
      <c r="O679" s="559"/>
      <c r="P679" s="559"/>
      <c r="Q679" s="559"/>
      <c r="R679" s="559"/>
      <c r="S679" s="559"/>
      <c r="T679" s="559"/>
      <c r="U679" s="559"/>
      <c r="V679" s="559"/>
      <c r="W679" s="559"/>
      <c r="X679" s="559"/>
      <c r="Y679" s="559"/>
      <c r="Z679" s="559"/>
    </row>
    <row r="680" spans="1:26" ht="18" customHeight="1" x14ac:dyDescent="0.35">
      <c r="A680" s="559"/>
      <c r="B680" s="559"/>
      <c r="C680" s="559"/>
      <c r="D680" s="559"/>
      <c r="E680" s="559"/>
      <c r="F680" s="559"/>
      <c r="G680" s="559"/>
      <c r="H680" s="559"/>
      <c r="I680" s="559"/>
      <c r="J680" s="559"/>
      <c r="K680" s="559"/>
      <c r="L680" s="559"/>
      <c r="M680" s="559"/>
      <c r="N680" s="559"/>
      <c r="O680" s="559"/>
      <c r="P680" s="559"/>
      <c r="Q680" s="559"/>
      <c r="R680" s="559"/>
      <c r="S680" s="559"/>
      <c r="T680" s="559"/>
      <c r="U680" s="559"/>
      <c r="V680" s="559"/>
      <c r="W680" s="559"/>
      <c r="X680" s="559"/>
      <c r="Y680" s="559"/>
      <c r="Z680" s="559"/>
    </row>
    <row r="681" spans="1:26" ht="18" customHeight="1" x14ac:dyDescent="0.35">
      <c r="A681" s="559"/>
      <c r="B681" s="559"/>
      <c r="C681" s="559"/>
      <c r="D681" s="559"/>
      <c r="E681" s="559"/>
      <c r="F681" s="559"/>
      <c r="G681" s="559"/>
      <c r="H681" s="559"/>
      <c r="I681" s="559"/>
      <c r="J681" s="559"/>
      <c r="K681" s="559"/>
      <c r="L681" s="559"/>
      <c r="M681" s="559"/>
      <c r="N681" s="559"/>
      <c r="O681" s="559"/>
      <c r="P681" s="559"/>
      <c r="Q681" s="559"/>
      <c r="R681" s="559"/>
      <c r="S681" s="559"/>
      <c r="T681" s="559"/>
      <c r="U681" s="559"/>
      <c r="V681" s="559"/>
      <c r="W681" s="559"/>
      <c r="X681" s="559"/>
      <c r="Y681" s="559"/>
      <c r="Z681" s="559"/>
    </row>
    <row r="682" spans="1:26" ht="18" customHeight="1" x14ac:dyDescent="0.35">
      <c r="A682" s="559"/>
      <c r="B682" s="559"/>
      <c r="C682" s="559"/>
      <c r="D682" s="559"/>
      <c r="E682" s="559"/>
      <c r="F682" s="559"/>
      <c r="G682" s="559"/>
      <c r="H682" s="559"/>
      <c r="I682" s="559"/>
      <c r="J682" s="559"/>
      <c r="K682" s="559"/>
      <c r="L682" s="559"/>
      <c r="M682" s="559"/>
      <c r="N682" s="559"/>
      <c r="O682" s="559"/>
      <c r="P682" s="559"/>
      <c r="Q682" s="559"/>
      <c r="R682" s="559"/>
      <c r="S682" s="559"/>
      <c r="T682" s="559"/>
      <c r="U682" s="559"/>
      <c r="V682" s="559"/>
      <c r="W682" s="559"/>
      <c r="X682" s="559"/>
      <c r="Y682" s="559"/>
      <c r="Z682" s="559"/>
    </row>
    <row r="683" spans="1:26" ht="18" customHeight="1" x14ac:dyDescent="0.35">
      <c r="A683" s="559"/>
      <c r="B683" s="559"/>
      <c r="C683" s="559"/>
      <c r="D683" s="559"/>
      <c r="E683" s="559"/>
      <c r="F683" s="559"/>
      <c r="G683" s="559"/>
      <c r="H683" s="559"/>
      <c r="I683" s="559"/>
      <c r="J683" s="559"/>
      <c r="K683" s="559"/>
      <c r="L683" s="559"/>
      <c r="M683" s="559"/>
      <c r="N683" s="559"/>
      <c r="O683" s="559"/>
      <c r="P683" s="559"/>
      <c r="Q683" s="559"/>
      <c r="R683" s="559"/>
      <c r="S683" s="559"/>
      <c r="T683" s="559"/>
      <c r="U683" s="559"/>
      <c r="V683" s="559"/>
      <c r="W683" s="559"/>
      <c r="X683" s="559"/>
      <c r="Y683" s="559"/>
      <c r="Z683" s="559"/>
    </row>
    <row r="684" spans="1:26" ht="18" customHeight="1" x14ac:dyDescent="0.35">
      <c r="A684" s="559"/>
      <c r="B684" s="559"/>
      <c r="C684" s="559"/>
      <c r="D684" s="559"/>
      <c r="E684" s="559"/>
      <c r="F684" s="559"/>
      <c r="G684" s="559"/>
      <c r="H684" s="559"/>
      <c r="I684" s="559"/>
      <c r="J684" s="559"/>
      <c r="K684" s="559"/>
      <c r="L684" s="559"/>
      <c r="M684" s="559"/>
      <c r="N684" s="559"/>
      <c r="O684" s="559"/>
      <c r="P684" s="559"/>
      <c r="Q684" s="559"/>
      <c r="R684" s="559"/>
      <c r="S684" s="559"/>
      <c r="T684" s="559"/>
      <c r="U684" s="559"/>
      <c r="V684" s="559"/>
      <c r="W684" s="559"/>
      <c r="X684" s="559"/>
      <c r="Y684" s="559"/>
      <c r="Z684" s="559"/>
    </row>
    <row r="685" spans="1:26" ht="18" customHeight="1" x14ac:dyDescent="0.35">
      <c r="A685" s="559"/>
      <c r="B685" s="559"/>
      <c r="C685" s="559"/>
      <c r="D685" s="559"/>
      <c r="E685" s="559"/>
      <c r="F685" s="559"/>
      <c r="G685" s="559"/>
      <c r="H685" s="559"/>
      <c r="I685" s="559"/>
      <c r="J685" s="559"/>
      <c r="K685" s="559"/>
      <c r="L685" s="559"/>
      <c r="M685" s="559"/>
      <c r="N685" s="559"/>
      <c r="O685" s="559"/>
      <c r="P685" s="559"/>
      <c r="Q685" s="559"/>
      <c r="R685" s="559"/>
      <c r="S685" s="559"/>
      <c r="T685" s="559"/>
      <c r="U685" s="559"/>
      <c r="V685" s="559"/>
      <c r="W685" s="559"/>
      <c r="X685" s="559"/>
      <c r="Y685" s="559"/>
      <c r="Z685" s="559"/>
    </row>
    <row r="686" spans="1:26" ht="18" customHeight="1" x14ac:dyDescent="0.35">
      <c r="A686" s="559"/>
      <c r="B686" s="559"/>
      <c r="C686" s="559"/>
      <c r="D686" s="559"/>
      <c r="E686" s="559"/>
      <c r="F686" s="559"/>
      <c r="G686" s="559"/>
      <c r="H686" s="559"/>
      <c r="I686" s="559"/>
      <c r="J686" s="559"/>
      <c r="K686" s="559"/>
      <c r="L686" s="559"/>
      <c r="M686" s="559"/>
      <c r="N686" s="559"/>
      <c r="O686" s="559"/>
      <c r="P686" s="559"/>
      <c r="Q686" s="559"/>
      <c r="R686" s="559"/>
      <c r="S686" s="559"/>
      <c r="T686" s="559"/>
      <c r="U686" s="559"/>
      <c r="V686" s="559"/>
      <c r="W686" s="559"/>
      <c r="X686" s="559"/>
      <c r="Y686" s="559"/>
      <c r="Z686" s="559"/>
    </row>
    <row r="687" spans="1:26" ht="18" customHeight="1" x14ac:dyDescent="0.35">
      <c r="A687" s="559"/>
      <c r="B687" s="559"/>
      <c r="C687" s="559"/>
      <c r="D687" s="559"/>
      <c r="E687" s="559"/>
      <c r="F687" s="559"/>
      <c r="G687" s="559"/>
      <c r="H687" s="559"/>
      <c r="I687" s="559"/>
      <c r="J687" s="559"/>
      <c r="K687" s="559"/>
      <c r="L687" s="559"/>
      <c r="M687" s="559"/>
      <c r="N687" s="559"/>
      <c r="O687" s="559"/>
      <c r="P687" s="559"/>
      <c r="Q687" s="559"/>
      <c r="R687" s="559"/>
      <c r="S687" s="559"/>
      <c r="T687" s="559"/>
      <c r="U687" s="559"/>
      <c r="V687" s="559"/>
      <c r="W687" s="559"/>
      <c r="X687" s="559"/>
      <c r="Y687" s="559"/>
      <c r="Z687" s="559"/>
    </row>
    <row r="688" spans="1:26" ht="18" customHeight="1" x14ac:dyDescent="0.35">
      <c r="A688" s="559"/>
      <c r="B688" s="559"/>
      <c r="C688" s="559"/>
      <c r="D688" s="559"/>
      <c r="E688" s="559"/>
      <c r="F688" s="559"/>
      <c r="G688" s="559"/>
      <c r="H688" s="559"/>
      <c r="I688" s="559"/>
      <c r="J688" s="559"/>
      <c r="K688" s="559"/>
      <c r="L688" s="559"/>
      <c r="M688" s="559"/>
      <c r="N688" s="559"/>
      <c r="O688" s="559"/>
      <c r="P688" s="559"/>
      <c r="Q688" s="559"/>
      <c r="R688" s="559"/>
      <c r="S688" s="559"/>
      <c r="T688" s="559"/>
      <c r="U688" s="559"/>
      <c r="V688" s="559"/>
      <c r="W688" s="559"/>
      <c r="X688" s="559"/>
      <c r="Y688" s="559"/>
      <c r="Z688" s="559"/>
    </row>
    <row r="689" spans="1:26" ht="18" customHeight="1" x14ac:dyDescent="0.35">
      <c r="A689" s="559"/>
      <c r="B689" s="559"/>
      <c r="C689" s="559"/>
      <c r="D689" s="559"/>
      <c r="E689" s="559"/>
      <c r="F689" s="559"/>
      <c r="G689" s="559"/>
      <c r="H689" s="559"/>
      <c r="I689" s="559"/>
      <c r="J689" s="559"/>
      <c r="K689" s="559"/>
      <c r="L689" s="559"/>
      <c r="M689" s="559"/>
      <c r="N689" s="559"/>
      <c r="O689" s="559"/>
      <c r="P689" s="559"/>
      <c r="Q689" s="559"/>
      <c r="R689" s="559"/>
      <c r="S689" s="559"/>
      <c r="T689" s="559"/>
      <c r="U689" s="559"/>
      <c r="V689" s="559"/>
      <c r="W689" s="559"/>
      <c r="X689" s="559"/>
      <c r="Y689" s="559"/>
      <c r="Z689" s="559"/>
    </row>
    <row r="690" spans="1:26" ht="18" customHeight="1" x14ac:dyDescent="0.35">
      <c r="A690" s="559"/>
      <c r="B690" s="559"/>
      <c r="C690" s="559"/>
      <c r="D690" s="559"/>
      <c r="E690" s="559"/>
      <c r="F690" s="559"/>
      <c r="G690" s="559"/>
      <c r="H690" s="559"/>
      <c r="I690" s="559"/>
      <c r="J690" s="559"/>
      <c r="K690" s="559"/>
      <c r="L690" s="559"/>
      <c r="M690" s="559"/>
      <c r="N690" s="559"/>
      <c r="O690" s="559"/>
      <c r="P690" s="559"/>
      <c r="Q690" s="559"/>
      <c r="R690" s="559"/>
      <c r="S690" s="559"/>
      <c r="T690" s="559"/>
      <c r="U690" s="559"/>
      <c r="V690" s="559"/>
      <c r="W690" s="559"/>
      <c r="X690" s="559"/>
      <c r="Y690" s="559"/>
      <c r="Z690" s="559"/>
    </row>
    <row r="691" spans="1:26" ht="18" customHeight="1" x14ac:dyDescent="0.35">
      <c r="A691" s="559"/>
      <c r="B691" s="559"/>
      <c r="C691" s="559"/>
      <c r="D691" s="559"/>
      <c r="E691" s="559"/>
      <c r="F691" s="559"/>
      <c r="G691" s="559"/>
      <c r="H691" s="559"/>
      <c r="I691" s="559"/>
      <c r="J691" s="559"/>
      <c r="K691" s="559"/>
      <c r="L691" s="559"/>
      <c r="M691" s="559"/>
      <c r="N691" s="559"/>
      <c r="O691" s="559"/>
      <c r="P691" s="559"/>
      <c r="Q691" s="559"/>
      <c r="R691" s="559"/>
      <c r="S691" s="559"/>
      <c r="T691" s="559"/>
      <c r="U691" s="559"/>
      <c r="V691" s="559"/>
      <c r="W691" s="559"/>
      <c r="X691" s="559"/>
      <c r="Y691" s="559"/>
      <c r="Z691" s="559"/>
    </row>
    <row r="692" spans="1:26" ht="18" customHeight="1" x14ac:dyDescent="0.35">
      <c r="A692" s="559"/>
      <c r="B692" s="559"/>
      <c r="C692" s="559"/>
      <c r="D692" s="559"/>
      <c r="E692" s="559"/>
      <c r="F692" s="559"/>
      <c r="G692" s="559"/>
      <c r="H692" s="559"/>
      <c r="I692" s="559"/>
      <c r="J692" s="559"/>
      <c r="K692" s="559"/>
      <c r="L692" s="559"/>
      <c r="M692" s="559"/>
      <c r="N692" s="559"/>
      <c r="O692" s="559"/>
      <c r="P692" s="559"/>
      <c r="Q692" s="559"/>
      <c r="R692" s="559"/>
      <c r="S692" s="559"/>
      <c r="T692" s="559"/>
      <c r="U692" s="559"/>
      <c r="V692" s="559"/>
      <c r="W692" s="559"/>
      <c r="X692" s="559"/>
      <c r="Y692" s="559"/>
      <c r="Z692" s="559"/>
    </row>
    <row r="693" spans="1:26" ht="18" customHeight="1" x14ac:dyDescent="0.35">
      <c r="A693" s="559"/>
      <c r="B693" s="559"/>
      <c r="C693" s="559"/>
      <c r="D693" s="559"/>
      <c r="E693" s="559"/>
      <c r="F693" s="559"/>
      <c r="G693" s="559"/>
      <c r="H693" s="559"/>
      <c r="I693" s="559"/>
      <c r="J693" s="559"/>
      <c r="K693" s="559"/>
      <c r="L693" s="559"/>
      <c r="M693" s="559"/>
      <c r="N693" s="559"/>
      <c r="O693" s="559"/>
      <c r="P693" s="559"/>
      <c r="Q693" s="559"/>
      <c r="R693" s="559"/>
      <c r="S693" s="559"/>
      <c r="T693" s="559"/>
      <c r="U693" s="559"/>
      <c r="V693" s="559"/>
      <c r="W693" s="559"/>
      <c r="X693" s="559"/>
      <c r="Y693" s="559"/>
      <c r="Z693" s="559"/>
    </row>
    <row r="694" spans="1:26" ht="18" customHeight="1" x14ac:dyDescent="0.35">
      <c r="A694" s="559"/>
      <c r="B694" s="559"/>
      <c r="C694" s="559"/>
      <c r="D694" s="559"/>
      <c r="E694" s="559"/>
      <c r="F694" s="559"/>
      <c r="G694" s="559"/>
      <c r="H694" s="559"/>
      <c r="I694" s="559"/>
      <c r="J694" s="559"/>
      <c r="K694" s="559"/>
      <c r="L694" s="559"/>
      <c r="M694" s="559"/>
      <c r="N694" s="559"/>
      <c r="O694" s="559"/>
      <c r="P694" s="559"/>
      <c r="Q694" s="559"/>
      <c r="R694" s="559"/>
      <c r="S694" s="559"/>
      <c r="T694" s="559"/>
      <c r="U694" s="559"/>
      <c r="V694" s="559"/>
      <c r="W694" s="559"/>
      <c r="X694" s="559"/>
      <c r="Y694" s="559"/>
      <c r="Z694" s="559"/>
    </row>
    <row r="695" spans="1:26" ht="18" customHeight="1" x14ac:dyDescent="0.35">
      <c r="A695" s="559"/>
      <c r="B695" s="559"/>
      <c r="C695" s="559"/>
      <c r="D695" s="559"/>
      <c r="E695" s="559"/>
      <c r="F695" s="559"/>
      <c r="G695" s="559"/>
      <c r="H695" s="559"/>
      <c r="I695" s="559"/>
      <c r="J695" s="559"/>
      <c r="K695" s="559"/>
      <c r="L695" s="559"/>
      <c r="M695" s="559"/>
      <c r="N695" s="559"/>
      <c r="O695" s="559"/>
      <c r="P695" s="559"/>
      <c r="Q695" s="559"/>
      <c r="R695" s="559"/>
      <c r="S695" s="559"/>
      <c r="T695" s="559"/>
      <c r="U695" s="559"/>
      <c r="V695" s="559"/>
      <c r="W695" s="559"/>
      <c r="X695" s="559"/>
      <c r="Y695" s="559"/>
      <c r="Z695" s="559"/>
    </row>
    <row r="696" spans="1:26" ht="18" customHeight="1" x14ac:dyDescent="0.35">
      <c r="A696" s="559"/>
      <c r="B696" s="559"/>
      <c r="C696" s="559"/>
      <c r="D696" s="559"/>
      <c r="E696" s="559"/>
      <c r="F696" s="559"/>
      <c r="G696" s="559"/>
      <c r="H696" s="559"/>
      <c r="I696" s="559"/>
      <c r="J696" s="559"/>
      <c r="K696" s="559"/>
      <c r="L696" s="559"/>
      <c r="M696" s="559"/>
      <c r="N696" s="559"/>
      <c r="O696" s="559"/>
      <c r="P696" s="559"/>
      <c r="Q696" s="559"/>
      <c r="R696" s="559"/>
      <c r="S696" s="559"/>
      <c r="T696" s="559"/>
      <c r="U696" s="559"/>
      <c r="V696" s="559"/>
      <c r="W696" s="559"/>
      <c r="X696" s="559"/>
      <c r="Y696" s="559"/>
      <c r="Z696" s="559"/>
    </row>
    <row r="697" spans="1:26" ht="18" customHeight="1" x14ac:dyDescent="0.35">
      <c r="A697" s="559"/>
      <c r="B697" s="559"/>
      <c r="C697" s="559"/>
      <c r="D697" s="559"/>
      <c r="E697" s="559"/>
      <c r="F697" s="559"/>
      <c r="G697" s="559"/>
      <c r="H697" s="559"/>
      <c r="I697" s="559"/>
      <c r="J697" s="559"/>
      <c r="K697" s="559"/>
      <c r="L697" s="559"/>
      <c r="M697" s="559"/>
      <c r="N697" s="559"/>
      <c r="O697" s="559"/>
      <c r="P697" s="559"/>
      <c r="Q697" s="559"/>
      <c r="R697" s="559"/>
      <c r="S697" s="559"/>
      <c r="T697" s="559"/>
      <c r="U697" s="559"/>
      <c r="V697" s="559"/>
      <c r="W697" s="559"/>
      <c r="X697" s="559"/>
      <c r="Y697" s="559"/>
      <c r="Z697" s="559"/>
    </row>
    <row r="698" spans="1:26" ht="18" customHeight="1" x14ac:dyDescent="0.35">
      <c r="A698" s="559"/>
      <c r="B698" s="559"/>
      <c r="C698" s="559"/>
      <c r="D698" s="559"/>
      <c r="E698" s="559"/>
      <c r="F698" s="559"/>
      <c r="G698" s="559"/>
      <c r="H698" s="559"/>
      <c r="I698" s="559"/>
      <c r="J698" s="559"/>
      <c r="K698" s="559"/>
      <c r="L698" s="559"/>
      <c r="M698" s="559"/>
      <c r="N698" s="559"/>
      <c r="O698" s="559"/>
      <c r="P698" s="559"/>
      <c r="Q698" s="559"/>
      <c r="R698" s="559"/>
      <c r="S698" s="559"/>
      <c r="T698" s="559"/>
      <c r="U698" s="559"/>
      <c r="V698" s="559"/>
      <c r="W698" s="559"/>
      <c r="X698" s="559"/>
      <c r="Y698" s="559"/>
      <c r="Z698" s="559"/>
    </row>
    <row r="699" spans="1:26" ht="18" customHeight="1" x14ac:dyDescent="0.35">
      <c r="A699" s="559"/>
      <c r="B699" s="559"/>
      <c r="C699" s="559"/>
      <c r="D699" s="559"/>
      <c r="E699" s="559"/>
      <c r="F699" s="559"/>
      <c r="G699" s="559"/>
      <c r="H699" s="559"/>
      <c r="I699" s="559"/>
      <c r="J699" s="559"/>
      <c r="K699" s="559"/>
      <c r="L699" s="559"/>
      <c r="M699" s="559"/>
      <c r="N699" s="559"/>
      <c r="O699" s="559"/>
      <c r="P699" s="559"/>
      <c r="Q699" s="559"/>
      <c r="R699" s="559"/>
      <c r="S699" s="559"/>
      <c r="T699" s="559"/>
      <c r="U699" s="559"/>
      <c r="V699" s="559"/>
      <c r="W699" s="559"/>
      <c r="X699" s="559"/>
      <c r="Y699" s="559"/>
      <c r="Z699" s="559"/>
    </row>
    <row r="700" spans="1:26" ht="18" customHeight="1" x14ac:dyDescent="0.35">
      <c r="A700" s="559"/>
      <c r="B700" s="559"/>
      <c r="C700" s="559"/>
      <c r="D700" s="559"/>
      <c r="E700" s="559"/>
      <c r="F700" s="559"/>
      <c r="G700" s="559"/>
      <c r="H700" s="559"/>
      <c r="I700" s="559"/>
      <c r="J700" s="559"/>
      <c r="K700" s="559"/>
      <c r="L700" s="559"/>
      <c r="M700" s="559"/>
      <c r="N700" s="559"/>
      <c r="O700" s="559"/>
      <c r="P700" s="559"/>
      <c r="Q700" s="559"/>
      <c r="R700" s="559"/>
      <c r="S700" s="559"/>
      <c r="T700" s="559"/>
      <c r="U700" s="559"/>
      <c r="V700" s="559"/>
      <c r="W700" s="559"/>
      <c r="X700" s="559"/>
      <c r="Y700" s="559"/>
      <c r="Z700" s="559"/>
    </row>
    <row r="701" spans="1:26" ht="18" customHeight="1" x14ac:dyDescent="0.35">
      <c r="A701" s="559"/>
      <c r="B701" s="559"/>
      <c r="C701" s="559"/>
      <c r="D701" s="559"/>
      <c r="E701" s="559"/>
      <c r="F701" s="559"/>
      <c r="G701" s="559"/>
      <c r="H701" s="559"/>
      <c r="I701" s="559"/>
      <c r="J701" s="559"/>
      <c r="K701" s="559"/>
      <c r="L701" s="559"/>
      <c r="M701" s="559"/>
      <c r="N701" s="559"/>
      <c r="O701" s="559"/>
      <c r="P701" s="559"/>
      <c r="Q701" s="559"/>
      <c r="R701" s="559"/>
      <c r="S701" s="559"/>
      <c r="T701" s="559"/>
      <c r="U701" s="559"/>
      <c r="V701" s="559"/>
      <c r="W701" s="559"/>
      <c r="X701" s="559"/>
      <c r="Y701" s="559"/>
      <c r="Z701" s="559"/>
    </row>
    <row r="702" spans="1:26" ht="18" customHeight="1" x14ac:dyDescent="0.35">
      <c r="A702" s="559"/>
      <c r="B702" s="559"/>
      <c r="C702" s="559"/>
      <c r="D702" s="559"/>
      <c r="E702" s="559"/>
      <c r="F702" s="559"/>
      <c r="G702" s="559"/>
      <c r="H702" s="559"/>
      <c r="I702" s="559"/>
      <c r="J702" s="559"/>
      <c r="K702" s="559"/>
      <c r="L702" s="559"/>
      <c r="M702" s="559"/>
      <c r="N702" s="559"/>
      <c r="O702" s="559"/>
      <c r="P702" s="559"/>
      <c r="Q702" s="559"/>
      <c r="R702" s="559"/>
      <c r="S702" s="559"/>
      <c r="T702" s="559"/>
      <c r="U702" s="559"/>
      <c r="V702" s="559"/>
      <c r="W702" s="559"/>
      <c r="X702" s="559"/>
      <c r="Y702" s="559"/>
      <c r="Z702" s="559"/>
    </row>
    <row r="703" spans="1:26" ht="18" customHeight="1" x14ac:dyDescent="0.35">
      <c r="A703" s="559"/>
      <c r="B703" s="559"/>
      <c r="C703" s="559"/>
      <c r="D703" s="559"/>
      <c r="E703" s="559"/>
      <c r="F703" s="559"/>
      <c r="G703" s="559"/>
      <c r="H703" s="559"/>
      <c r="I703" s="559"/>
      <c r="J703" s="559"/>
      <c r="K703" s="559"/>
      <c r="L703" s="559"/>
      <c r="M703" s="559"/>
      <c r="N703" s="559"/>
      <c r="O703" s="559"/>
      <c r="P703" s="559"/>
      <c r="Q703" s="559"/>
      <c r="R703" s="559"/>
      <c r="S703" s="559"/>
      <c r="T703" s="559"/>
      <c r="U703" s="559"/>
      <c r="V703" s="559"/>
      <c r="W703" s="559"/>
      <c r="X703" s="559"/>
      <c r="Y703" s="559"/>
      <c r="Z703" s="559"/>
    </row>
    <row r="704" spans="1:26" ht="18" customHeight="1" x14ac:dyDescent="0.35">
      <c r="A704" s="559"/>
      <c r="B704" s="559"/>
      <c r="C704" s="559"/>
      <c r="D704" s="559"/>
      <c r="E704" s="559"/>
      <c r="F704" s="559"/>
      <c r="G704" s="559"/>
      <c r="H704" s="559"/>
      <c r="I704" s="559"/>
      <c r="J704" s="559"/>
      <c r="K704" s="559"/>
      <c r="L704" s="559"/>
      <c r="M704" s="559"/>
      <c r="N704" s="559"/>
      <c r="O704" s="559"/>
      <c r="P704" s="559"/>
      <c r="Q704" s="559"/>
      <c r="R704" s="559"/>
      <c r="S704" s="559"/>
      <c r="T704" s="559"/>
      <c r="U704" s="559"/>
      <c r="V704" s="559"/>
      <c r="W704" s="559"/>
      <c r="X704" s="559"/>
      <c r="Y704" s="559"/>
      <c r="Z704" s="559"/>
    </row>
    <row r="705" spans="1:26" ht="18" customHeight="1" x14ac:dyDescent="0.35">
      <c r="A705" s="559"/>
      <c r="B705" s="559"/>
      <c r="C705" s="559"/>
      <c r="D705" s="559"/>
      <c r="E705" s="559"/>
      <c r="F705" s="559"/>
      <c r="G705" s="559"/>
      <c r="H705" s="559"/>
      <c r="I705" s="559"/>
      <c r="J705" s="559"/>
      <c r="K705" s="559"/>
      <c r="L705" s="559"/>
      <c r="M705" s="559"/>
      <c r="N705" s="559"/>
      <c r="O705" s="559"/>
      <c r="P705" s="559"/>
      <c r="Q705" s="559"/>
      <c r="R705" s="559"/>
      <c r="S705" s="559"/>
      <c r="T705" s="559"/>
      <c r="U705" s="559"/>
      <c r="V705" s="559"/>
      <c r="W705" s="559"/>
      <c r="X705" s="559"/>
      <c r="Y705" s="559"/>
      <c r="Z705" s="559"/>
    </row>
    <row r="706" spans="1:26" ht="18" customHeight="1" x14ac:dyDescent="0.35">
      <c r="A706" s="559"/>
      <c r="B706" s="559"/>
      <c r="C706" s="559"/>
      <c r="D706" s="559"/>
      <c r="E706" s="559"/>
      <c r="F706" s="559"/>
      <c r="G706" s="559"/>
      <c r="H706" s="559"/>
      <c r="I706" s="559"/>
      <c r="J706" s="559"/>
      <c r="K706" s="559"/>
      <c r="L706" s="559"/>
      <c r="M706" s="559"/>
      <c r="N706" s="559"/>
      <c r="O706" s="559"/>
      <c r="P706" s="559"/>
      <c r="Q706" s="559"/>
      <c r="R706" s="559"/>
      <c r="S706" s="559"/>
      <c r="T706" s="559"/>
      <c r="U706" s="559"/>
      <c r="V706" s="559"/>
      <c r="W706" s="559"/>
      <c r="X706" s="559"/>
      <c r="Y706" s="559"/>
      <c r="Z706" s="559"/>
    </row>
    <row r="707" spans="1:26" ht="18" customHeight="1" x14ac:dyDescent="0.35">
      <c r="A707" s="559"/>
      <c r="B707" s="559"/>
      <c r="C707" s="559"/>
      <c r="D707" s="559"/>
      <c r="E707" s="559"/>
      <c r="F707" s="559"/>
      <c r="G707" s="559"/>
      <c r="H707" s="559"/>
      <c r="I707" s="559"/>
      <c r="J707" s="559"/>
      <c r="K707" s="559"/>
      <c r="L707" s="559"/>
      <c r="M707" s="559"/>
      <c r="N707" s="559"/>
      <c r="O707" s="559"/>
      <c r="P707" s="559"/>
      <c r="Q707" s="559"/>
      <c r="R707" s="559"/>
      <c r="S707" s="559"/>
      <c r="T707" s="559"/>
      <c r="U707" s="559"/>
      <c r="V707" s="559"/>
      <c r="W707" s="559"/>
      <c r="X707" s="559"/>
      <c r="Y707" s="559"/>
      <c r="Z707" s="559"/>
    </row>
    <row r="708" spans="1:26" ht="18" customHeight="1" x14ac:dyDescent="0.35">
      <c r="A708" s="559"/>
      <c r="B708" s="559"/>
      <c r="C708" s="559"/>
      <c r="D708" s="559"/>
      <c r="E708" s="559"/>
      <c r="F708" s="559"/>
      <c r="G708" s="559"/>
      <c r="H708" s="559"/>
      <c r="I708" s="559"/>
      <c r="J708" s="559"/>
      <c r="K708" s="559"/>
      <c r="L708" s="559"/>
      <c r="M708" s="559"/>
      <c r="N708" s="559"/>
      <c r="O708" s="559"/>
      <c r="P708" s="559"/>
      <c r="Q708" s="559"/>
      <c r="R708" s="559"/>
      <c r="S708" s="559"/>
      <c r="T708" s="559"/>
      <c r="U708" s="559"/>
      <c r="V708" s="559"/>
      <c r="W708" s="559"/>
      <c r="X708" s="559"/>
      <c r="Y708" s="559"/>
      <c r="Z708" s="559"/>
    </row>
    <row r="709" spans="1:26" ht="18" customHeight="1" x14ac:dyDescent="0.35">
      <c r="A709" s="559"/>
      <c r="B709" s="559"/>
      <c r="C709" s="559"/>
      <c r="D709" s="559"/>
      <c r="E709" s="559"/>
      <c r="F709" s="559"/>
      <c r="G709" s="559"/>
      <c r="H709" s="559"/>
      <c r="I709" s="559"/>
      <c r="J709" s="559"/>
      <c r="K709" s="559"/>
      <c r="L709" s="559"/>
      <c r="M709" s="559"/>
      <c r="N709" s="559"/>
      <c r="O709" s="559"/>
      <c r="P709" s="559"/>
      <c r="Q709" s="559"/>
      <c r="R709" s="559"/>
      <c r="S709" s="559"/>
      <c r="T709" s="559"/>
      <c r="U709" s="559"/>
      <c r="V709" s="559"/>
      <c r="W709" s="559"/>
      <c r="X709" s="559"/>
      <c r="Y709" s="559"/>
      <c r="Z709" s="559"/>
    </row>
    <row r="710" spans="1:26" ht="18" customHeight="1" x14ac:dyDescent="0.35">
      <c r="A710" s="559"/>
      <c r="B710" s="559"/>
      <c r="C710" s="559"/>
      <c r="D710" s="559"/>
      <c r="E710" s="559"/>
      <c r="F710" s="559"/>
      <c r="G710" s="559"/>
      <c r="H710" s="559"/>
      <c r="I710" s="559"/>
      <c r="J710" s="559"/>
      <c r="K710" s="559"/>
      <c r="L710" s="559"/>
      <c r="M710" s="559"/>
      <c r="N710" s="559"/>
      <c r="O710" s="559"/>
      <c r="P710" s="559"/>
      <c r="Q710" s="559"/>
      <c r="R710" s="559"/>
      <c r="S710" s="559"/>
      <c r="T710" s="559"/>
      <c r="U710" s="559"/>
      <c r="V710" s="559"/>
      <c r="W710" s="559"/>
      <c r="X710" s="559"/>
      <c r="Y710" s="559"/>
      <c r="Z710" s="559"/>
    </row>
    <row r="711" spans="1:26" ht="18" customHeight="1" x14ac:dyDescent="0.35">
      <c r="A711" s="559"/>
      <c r="B711" s="559"/>
      <c r="C711" s="559"/>
      <c r="D711" s="559"/>
      <c r="E711" s="559"/>
      <c r="F711" s="559"/>
      <c r="G711" s="559"/>
      <c r="H711" s="559"/>
      <c r="I711" s="559"/>
      <c r="J711" s="559"/>
      <c r="K711" s="559"/>
      <c r="L711" s="559"/>
      <c r="M711" s="559"/>
      <c r="N711" s="559"/>
      <c r="O711" s="559"/>
      <c r="P711" s="559"/>
      <c r="Q711" s="559"/>
      <c r="R711" s="559"/>
      <c r="S711" s="559"/>
      <c r="T711" s="559"/>
      <c r="U711" s="559"/>
      <c r="V711" s="559"/>
      <c r="W711" s="559"/>
      <c r="X711" s="559"/>
      <c r="Y711" s="559"/>
      <c r="Z711" s="559"/>
    </row>
    <row r="712" spans="1:26" ht="18" customHeight="1" x14ac:dyDescent="0.35">
      <c r="A712" s="559"/>
      <c r="B712" s="559"/>
      <c r="C712" s="559"/>
      <c r="D712" s="559"/>
      <c r="E712" s="559"/>
      <c r="F712" s="559"/>
      <c r="G712" s="559"/>
      <c r="H712" s="559"/>
      <c r="I712" s="559"/>
      <c r="J712" s="559"/>
      <c r="K712" s="559"/>
      <c r="L712" s="559"/>
      <c r="M712" s="559"/>
      <c r="N712" s="559"/>
      <c r="O712" s="559"/>
      <c r="P712" s="559"/>
      <c r="Q712" s="559"/>
      <c r="R712" s="559"/>
      <c r="S712" s="559"/>
      <c r="T712" s="559"/>
      <c r="U712" s="559"/>
      <c r="V712" s="559"/>
      <c r="W712" s="559"/>
      <c r="X712" s="559"/>
      <c r="Y712" s="559"/>
      <c r="Z712" s="559"/>
    </row>
    <row r="713" spans="1:26" ht="18" customHeight="1" x14ac:dyDescent="0.35">
      <c r="A713" s="559"/>
      <c r="B713" s="559"/>
      <c r="C713" s="559"/>
      <c r="D713" s="559"/>
      <c r="E713" s="559"/>
      <c r="F713" s="559"/>
      <c r="G713" s="559"/>
      <c r="H713" s="559"/>
      <c r="I713" s="559"/>
      <c r="J713" s="559"/>
      <c r="K713" s="559"/>
      <c r="L713" s="559"/>
      <c r="M713" s="559"/>
      <c r="N713" s="559"/>
      <c r="O713" s="559"/>
      <c r="P713" s="559"/>
      <c r="Q713" s="559"/>
      <c r="R713" s="559"/>
      <c r="S713" s="559"/>
      <c r="T713" s="559"/>
      <c r="U713" s="559"/>
      <c r="V713" s="559"/>
      <c r="W713" s="559"/>
      <c r="X713" s="559"/>
      <c r="Y713" s="559"/>
      <c r="Z713" s="559"/>
    </row>
    <row r="714" spans="1:26" ht="18" customHeight="1" x14ac:dyDescent="0.35">
      <c r="A714" s="559"/>
      <c r="B714" s="559"/>
      <c r="C714" s="559"/>
      <c r="D714" s="559"/>
      <c r="E714" s="559"/>
      <c r="F714" s="559"/>
      <c r="G714" s="559"/>
      <c r="H714" s="559"/>
      <c r="I714" s="559"/>
      <c r="J714" s="559"/>
      <c r="K714" s="559"/>
      <c r="L714" s="559"/>
      <c r="M714" s="559"/>
      <c r="N714" s="559"/>
      <c r="O714" s="559"/>
      <c r="P714" s="559"/>
      <c r="Q714" s="559"/>
      <c r="R714" s="559"/>
      <c r="S714" s="559"/>
      <c r="T714" s="559"/>
      <c r="U714" s="559"/>
      <c r="V714" s="559"/>
      <c r="W714" s="559"/>
      <c r="X714" s="559"/>
      <c r="Y714" s="559"/>
      <c r="Z714" s="559"/>
    </row>
    <row r="715" spans="1:26" ht="18" customHeight="1" x14ac:dyDescent="0.35">
      <c r="A715" s="559"/>
      <c r="B715" s="559"/>
      <c r="C715" s="559"/>
      <c r="D715" s="559"/>
      <c r="E715" s="559"/>
      <c r="F715" s="559"/>
      <c r="G715" s="559"/>
      <c r="H715" s="559"/>
      <c r="I715" s="559"/>
      <c r="J715" s="559"/>
      <c r="K715" s="559"/>
      <c r="L715" s="559"/>
      <c r="M715" s="559"/>
      <c r="N715" s="559"/>
      <c r="O715" s="559"/>
      <c r="P715" s="559"/>
      <c r="Q715" s="559"/>
      <c r="R715" s="559"/>
      <c r="S715" s="559"/>
      <c r="T715" s="559"/>
      <c r="U715" s="559"/>
      <c r="V715" s="559"/>
      <c r="W715" s="559"/>
      <c r="X715" s="559"/>
      <c r="Y715" s="559"/>
      <c r="Z715" s="559"/>
    </row>
    <row r="716" spans="1:26" ht="18" customHeight="1" x14ac:dyDescent="0.35">
      <c r="A716" s="559"/>
      <c r="B716" s="559"/>
      <c r="C716" s="559"/>
      <c r="D716" s="559"/>
      <c r="E716" s="559"/>
      <c r="F716" s="559"/>
      <c r="G716" s="559"/>
      <c r="H716" s="559"/>
      <c r="I716" s="559"/>
      <c r="J716" s="559"/>
      <c r="K716" s="559"/>
      <c r="L716" s="559"/>
      <c r="M716" s="559"/>
      <c r="N716" s="559"/>
      <c r="O716" s="559"/>
      <c r="P716" s="559"/>
      <c r="Q716" s="559"/>
      <c r="R716" s="559"/>
      <c r="S716" s="559"/>
      <c r="T716" s="559"/>
      <c r="U716" s="559"/>
      <c r="V716" s="559"/>
      <c r="W716" s="559"/>
      <c r="X716" s="559"/>
      <c r="Y716" s="559"/>
      <c r="Z716" s="559"/>
    </row>
    <row r="717" spans="1:26" ht="18" customHeight="1" x14ac:dyDescent="0.35">
      <c r="A717" s="559"/>
      <c r="B717" s="559"/>
      <c r="C717" s="559"/>
      <c r="D717" s="559"/>
      <c r="E717" s="559"/>
      <c r="F717" s="559"/>
      <c r="G717" s="559"/>
      <c r="H717" s="559"/>
      <c r="I717" s="559"/>
      <c r="J717" s="559"/>
      <c r="K717" s="559"/>
      <c r="L717" s="559"/>
      <c r="M717" s="559"/>
      <c r="N717" s="559"/>
      <c r="O717" s="559"/>
      <c r="P717" s="559"/>
      <c r="Q717" s="559"/>
      <c r="R717" s="559"/>
      <c r="S717" s="559"/>
      <c r="T717" s="559"/>
      <c r="U717" s="559"/>
      <c r="V717" s="559"/>
      <c r="W717" s="559"/>
      <c r="X717" s="559"/>
      <c r="Y717" s="559"/>
      <c r="Z717" s="559"/>
    </row>
    <row r="718" spans="1:26" ht="18" customHeight="1" x14ac:dyDescent="0.35">
      <c r="A718" s="559"/>
      <c r="B718" s="559"/>
      <c r="C718" s="559"/>
      <c r="D718" s="559"/>
      <c r="E718" s="559"/>
      <c r="F718" s="559"/>
      <c r="G718" s="559"/>
      <c r="H718" s="559"/>
      <c r="I718" s="559"/>
      <c r="J718" s="559"/>
      <c r="K718" s="559"/>
      <c r="L718" s="559"/>
      <c r="M718" s="559"/>
      <c r="N718" s="559"/>
      <c r="O718" s="559"/>
      <c r="P718" s="559"/>
      <c r="Q718" s="559"/>
      <c r="R718" s="559"/>
      <c r="S718" s="559"/>
      <c r="T718" s="559"/>
      <c r="U718" s="559"/>
      <c r="V718" s="559"/>
      <c r="W718" s="559"/>
      <c r="X718" s="559"/>
      <c r="Y718" s="559"/>
      <c r="Z718" s="559"/>
    </row>
    <row r="719" spans="1:26" ht="18" customHeight="1" x14ac:dyDescent="0.35">
      <c r="A719" s="559"/>
      <c r="B719" s="559"/>
      <c r="C719" s="559"/>
      <c r="D719" s="559"/>
      <c r="E719" s="559"/>
      <c r="F719" s="559"/>
      <c r="G719" s="559"/>
      <c r="H719" s="559"/>
      <c r="I719" s="559"/>
      <c r="J719" s="559"/>
      <c r="K719" s="559"/>
      <c r="L719" s="559"/>
      <c r="M719" s="559"/>
      <c r="N719" s="559"/>
      <c r="O719" s="559"/>
      <c r="P719" s="559"/>
      <c r="Q719" s="559"/>
      <c r="R719" s="559"/>
      <c r="S719" s="559"/>
      <c r="T719" s="559"/>
      <c r="U719" s="559"/>
      <c r="V719" s="559"/>
      <c r="W719" s="559"/>
      <c r="X719" s="559"/>
      <c r="Y719" s="559"/>
      <c r="Z719" s="559"/>
    </row>
    <row r="720" spans="1:26" ht="18" customHeight="1" x14ac:dyDescent="0.35">
      <c r="A720" s="559"/>
      <c r="B720" s="559"/>
      <c r="C720" s="559"/>
      <c r="D720" s="559"/>
      <c r="E720" s="559"/>
      <c r="F720" s="559"/>
      <c r="G720" s="559"/>
      <c r="H720" s="559"/>
      <c r="I720" s="559"/>
      <c r="J720" s="559"/>
      <c r="K720" s="559"/>
      <c r="L720" s="559"/>
      <c r="M720" s="559"/>
      <c r="N720" s="559"/>
      <c r="O720" s="559"/>
      <c r="P720" s="559"/>
      <c r="Q720" s="559"/>
      <c r="R720" s="559"/>
      <c r="S720" s="559"/>
      <c r="T720" s="559"/>
      <c r="U720" s="559"/>
      <c r="V720" s="559"/>
      <c r="W720" s="559"/>
      <c r="X720" s="559"/>
      <c r="Y720" s="559"/>
      <c r="Z720" s="559"/>
    </row>
    <row r="721" spans="1:26" ht="18" customHeight="1" x14ac:dyDescent="0.35">
      <c r="A721" s="559"/>
      <c r="B721" s="559"/>
      <c r="C721" s="559"/>
      <c r="D721" s="559"/>
      <c r="E721" s="559"/>
      <c r="F721" s="559"/>
      <c r="G721" s="559"/>
      <c r="H721" s="559"/>
      <c r="I721" s="559"/>
      <c r="J721" s="559"/>
      <c r="K721" s="559"/>
      <c r="L721" s="559"/>
      <c r="M721" s="559"/>
      <c r="N721" s="559"/>
      <c r="O721" s="559"/>
      <c r="P721" s="559"/>
      <c r="Q721" s="559"/>
      <c r="R721" s="559"/>
      <c r="S721" s="559"/>
      <c r="T721" s="559"/>
      <c r="U721" s="559"/>
      <c r="V721" s="559"/>
      <c r="W721" s="559"/>
      <c r="X721" s="559"/>
      <c r="Y721" s="559"/>
      <c r="Z721" s="559"/>
    </row>
    <row r="722" spans="1:26" ht="18" customHeight="1" x14ac:dyDescent="0.35">
      <c r="A722" s="559"/>
      <c r="B722" s="559"/>
      <c r="C722" s="559"/>
      <c r="D722" s="559"/>
      <c r="E722" s="559"/>
      <c r="F722" s="559"/>
      <c r="G722" s="559"/>
      <c r="H722" s="559"/>
      <c r="I722" s="559"/>
      <c r="J722" s="559"/>
      <c r="K722" s="559"/>
      <c r="L722" s="559"/>
      <c r="M722" s="559"/>
      <c r="N722" s="559"/>
      <c r="O722" s="559"/>
      <c r="P722" s="559"/>
      <c r="Q722" s="559"/>
      <c r="R722" s="559"/>
      <c r="S722" s="559"/>
      <c r="T722" s="559"/>
      <c r="U722" s="559"/>
      <c r="V722" s="559"/>
      <c r="W722" s="559"/>
      <c r="X722" s="559"/>
      <c r="Y722" s="559"/>
      <c r="Z722" s="559"/>
    </row>
    <row r="723" spans="1:26" ht="18" customHeight="1" x14ac:dyDescent="0.35">
      <c r="A723" s="559"/>
      <c r="B723" s="559"/>
      <c r="C723" s="559"/>
      <c r="D723" s="559"/>
      <c r="E723" s="559"/>
      <c r="F723" s="559"/>
      <c r="G723" s="559"/>
      <c r="H723" s="559"/>
      <c r="I723" s="559"/>
      <c r="J723" s="559"/>
      <c r="K723" s="559"/>
      <c r="L723" s="559"/>
      <c r="M723" s="559"/>
      <c r="N723" s="559"/>
      <c r="O723" s="559"/>
      <c r="P723" s="559"/>
      <c r="Q723" s="559"/>
      <c r="R723" s="559"/>
      <c r="S723" s="559"/>
      <c r="T723" s="559"/>
      <c r="U723" s="559"/>
      <c r="V723" s="559"/>
      <c r="W723" s="559"/>
      <c r="X723" s="559"/>
      <c r="Y723" s="559"/>
      <c r="Z723" s="559"/>
    </row>
    <row r="724" spans="1:26" ht="18" customHeight="1" x14ac:dyDescent="0.35">
      <c r="A724" s="559"/>
      <c r="B724" s="559"/>
      <c r="C724" s="559"/>
      <c r="D724" s="559"/>
      <c r="E724" s="559"/>
      <c r="F724" s="559"/>
      <c r="G724" s="559"/>
      <c r="H724" s="559"/>
      <c r="I724" s="559"/>
      <c r="J724" s="559"/>
      <c r="K724" s="559"/>
      <c r="L724" s="559"/>
      <c r="M724" s="559"/>
      <c r="N724" s="559"/>
      <c r="O724" s="559"/>
      <c r="P724" s="559"/>
      <c r="Q724" s="559"/>
      <c r="R724" s="559"/>
      <c r="S724" s="559"/>
      <c r="T724" s="559"/>
      <c r="U724" s="559"/>
      <c r="V724" s="559"/>
      <c r="W724" s="559"/>
      <c r="X724" s="559"/>
      <c r="Y724" s="559"/>
      <c r="Z724" s="559"/>
    </row>
    <row r="725" spans="1:26" ht="18" customHeight="1" x14ac:dyDescent="0.35">
      <c r="A725" s="559"/>
      <c r="B725" s="559"/>
      <c r="C725" s="559"/>
      <c r="D725" s="559"/>
      <c r="E725" s="559"/>
      <c r="F725" s="559"/>
      <c r="G725" s="559"/>
      <c r="H725" s="559"/>
      <c r="I725" s="559"/>
      <c r="J725" s="559"/>
      <c r="K725" s="559"/>
      <c r="L725" s="559"/>
      <c r="M725" s="559"/>
      <c r="N725" s="559"/>
      <c r="O725" s="559"/>
      <c r="P725" s="559"/>
      <c r="Q725" s="559"/>
      <c r="R725" s="559"/>
      <c r="S725" s="559"/>
      <c r="T725" s="559"/>
      <c r="U725" s="559"/>
      <c r="V725" s="559"/>
      <c r="W725" s="559"/>
      <c r="X725" s="559"/>
      <c r="Y725" s="559"/>
      <c r="Z725" s="559"/>
    </row>
    <row r="726" spans="1:26" ht="18" customHeight="1" x14ac:dyDescent="0.35">
      <c r="A726" s="559"/>
      <c r="B726" s="559"/>
      <c r="C726" s="559"/>
      <c r="D726" s="559"/>
      <c r="E726" s="559"/>
      <c r="F726" s="559"/>
      <c r="G726" s="559"/>
      <c r="H726" s="559"/>
      <c r="I726" s="559"/>
      <c r="J726" s="559"/>
      <c r="K726" s="559"/>
      <c r="L726" s="559"/>
      <c r="M726" s="559"/>
      <c r="N726" s="559"/>
      <c r="O726" s="559"/>
      <c r="P726" s="559"/>
      <c r="Q726" s="559"/>
      <c r="R726" s="559"/>
      <c r="S726" s="559"/>
      <c r="T726" s="559"/>
      <c r="U726" s="559"/>
      <c r="V726" s="559"/>
      <c r="W726" s="559"/>
      <c r="X726" s="559"/>
      <c r="Y726" s="559"/>
      <c r="Z726" s="559"/>
    </row>
    <row r="727" spans="1:26" ht="18" customHeight="1" x14ac:dyDescent="0.35">
      <c r="A727" s="559"/>
      <c r="B727" s="559"/>
      <c r="C727" s="559"/>
      <c r="D727" s="559"/>
      <c r="E727" s="559"/>
      <c r="F727" s="559"/>
      <c r="G727" s="559"/>
      <c r="H727" s="559"/>
      <c r="I727" s="559"/>
      <c r="J727" s="559"/>
      <c r="K727" s="559"/>
      <c r="L727" s="559"/>
      <c r="M727" s="559"/>
      <c r="N727" s="559"/>
      <c r="O727" s="559"/>
      <c r="P727" s="559"/>
      <c r="Q727" s="559"/>
      <c r="R727" s="559"/>
      <c r="S727" s="559"/>
      <c r="T727" s="559"/>
      <c r="U727" s="559"/>
      <c r="V727" s="559"/>
      <c r="W727" s="559"/>
      <c r="X727" s="559"/>
      <c r="Y727" s="559"/>
      <c r="Z727" s="559"/>
    </row>
    <row r="728" spans="1:26" ht="18" customHeight="1" x14ac:dyDescent="0.35">
      <c r="A728" s="559"/>
      <c r="B728" s="559"/>
      <c r="C728" s="559"/>
      <c r="D728" s="559"/>
      <c r="E728" s="559"/>
      <c r="F728" s="559"/>
      <c r="G728" s="559"/>
      <c r="H728" s="559"/>
      <c r="I728" s="559"/>
      <c r="J728" s="559"/>
      <c r="K728" s="559"/>
      <c r="L728" s="559"/>
      <c r="M728" s="559"/>
      <c r="N728" s="559"/>
      <c r="O728" s="559"/>
      <c r="P728" s="559"/>
      <c r="Q728" s="559"/>
      <c r="R728" s="559"/>
      <c r="S728" s="559"/>
      <c r="T728" s="559"/>
      <c r="U728" s="559"/>
      <c r="V728" s="559"/>
      <c r="W728" s="559"/>
      <c r="X728" s="559"/>
      <c r="Y728" s="559"/>
      <c r="Z728" s="559"/>
    </row>
    <row r="729" spans="1:26" ht="18" customHeight="1" x14ac:dyDescent="0.35">
      <c r="A729" s="559"/>
      <c r="B729" s="559"/>
      <c r="C729" s="559"/>
      <c r="D729" s="559"/>
      <c r="E729" s="559"/>
      <c r="F729" s="559"/>
      <c r="G729" s="559"/>
      <c r="H729" s="559"/>
      <c r="I729" s="559"/>
      <c r="J729" s="559"/>
      <c r="K729" s="559"/>
      <c r="L729" s="559"/>
      <c r="M729" s="559"/>
      <c r="N729" s="559"/>
      <c r="O729" s="559"/>
      <c r="P729" s="559"/>
      <c r="Q729" s="559"/>
      <c r="R729" s="559"/>
      <c r="S729" s="559"/>
      <c r="T729" s="559"/>
      <c r="U729" s="559"/>
      <c r="V729" s="559"/>
      <c r="W729" s="559"/>
      <c r="X729" s="559"/>
      <c r="Y729" s="559"/>
      <c r="Z729" s="559"/>
    </row>
    <row r="730" spans="1:26" ht="18" customHeight="1" x14ac:dyDescent="0.35">
      <c r="A730" s="559"/>
      <c r="B730" s="559"/>
      <c r="C730" s="559"/>
      <c r="D730" s="559"/>
      <c r="E730" s="559"/>
      <c r="F730" s="559"/>
      <c r="G730" s="559"/>
      <c r="H730" s="559"/>
      <c r="I730" s="559"/>
      <c r="J730" s="559"/>
      <c r="K730" s="559"/>
      <c r="L730" s="559"/>
      <c r="M730" s="559"/>
      <c r="N730" s="559"/>
      <c r="O730" s="559"/>
      <c r="P730" s="559"/>
      <c r="Q730" s="559"/>
      <c r="R730" s="559"/>
      <c r="S730" s="559"/>
      <c r="T730" s="559"/>
      <c r="U730" s="559"/>
      <c r="V730" s="559"/>
      <c r="W730" s="559"/>
      <c r="X730" s="559"/>
      <c r="Y730" s="559"/>
      <c r="Z730" s="559"/>
    </row>
    <row r="731" spans="1:26" ht="18" customHeight="1" x14ac:dyDescent="0.35">
      <c r="A731" s="559"/>
      <c r="B731" s="559"/>
      <c r="C731" s="559"/>
      <c r="D731" s="559"/>
      <c r="E731" s="559"/>
      <c r="F731" s="559"/>
      <c r="G731" s="559"/>
      <c r="H731" s="559"/>
      <c r="I731" s="559"/>
      <c r="J731" s="559"/>
      <c r="K731" s="559"/>
      <c r="L731" s="559"/>
      <c r="M731" s="559"/>
      <c r="N731" s="559"/>
      <c r="O731" s="559"/>
      <c r="P731" s="559"/>
      <c r="Q731" s="559"/>
      <c r="R731" s="559"/>
      <c r="S731" s="559"/>
      <c r="T731" s="559"/>
      <c r="U731" s="559"/>
      <c r="V731" s="559"/>
      <c r="W731" s="559"/>
      <c r="X731" s="559"/>
      <c r="Y731" s="559"/>
      <c r="Z731" s="559"/>
    </row>
    <row r="732" spans="1:26" ht="18" customHeight="1" x14ac:dyDescent="0.35">
      <c r="A732" s="559"/>
      <c r="B732" s="559"/>
      <c r="C732" s="559"/>
      <c r="D732" s="559"/>
      <c r="E732" s="559"/>
      <c r="F732" s="559"/>
      <c r="G732" s="559"/>
      <c r="H732" s="559"/>
      <c r="I732" s="559"/>
      <c r="J732" s="559"/>
      <c r="K732" s="559"/>
      <c r="L732" s="559"/>
      <c r="M732" s="559"/>
      <c r="N732" s="559"/>
      <c r="O732" s="559"/>
      <c r="P732" s="559"/>
      <c r="Q732" s="559"/>
      <c r="R732" s="559"/>
      <c r="S732" s="559"/>
      <c r="T732" s="559"/>
      <c r="U732" s="559"/>
      <c r="V732" s="559"/>
      <c r="W732" s="559"/>
      <c r="X732" s="559"/>
      <c r="Y732" s="559"/>
      <c r="Z732" s="559"/>
    </row>
    <row r="733" spans="1:26" ht="18" customHeight="1" x14ac:dyDescent="0.35">
      <c r="A733" s="559"/>
      <c r="B733" s="559"/>
      <c r="C733" s="559"/>
      <c r="D733" s="559"/>
      <c r="E733" s="559"/>
      <c r="F733" s="559"/>
      <c r="G733" s="559"/>
      <c r="H733" s="559"/>
      <c r="I733" s="559"/>
      <c r="J733" s="559"/>
      <c r="K733" s="559"/>
      <c r="L733" s="559"/>
      <c r="M733" s="559"/>
      <c r="N733" s="559"/>
      <c r="O733" s="559"/>
      <c r="P733" s="559"/>
      <c r="Q733" s="559"/>
      <c r="R733" s="559"/>
      <c r="S733" s="559"/>
      <c r="T733" s="559"/>
      <c r="U733" s="559"/>
      <c r="V733" s="559"/>
      <c r="W733" s="559"/>
      <c r="X733" s="559"/>
      <c r="Y733" s="559"/>
      <c r="Z733" s="559"/>
    </row>
    <row r="734" spans="1:26" ht="18" customHeight="1" x14ac:dyDescent="0.35">
      <c r="A734" s="559"/>
      <c r="B734" s="559"/>
      <c r="C734" s="559"/>
      <c r="D734" s="559"/>
      <c r="E734" s="559"/>
      <c r="F734" s="559"/>
      <c r="G734" s="559"/>
      <c r="H734" s="559"/>
      <c r="I734" s="559"/>
      <c r="J734" s="559"/>
      <c r="K734" s="559"/>
      <c r="L734" s="559"/>
      <c r="M734" s="559"/>
      <c r="N734" s="559"/>
      <c r="O734" s="559"/>
      <c r="P734" s="559"/>
      <c r="Q734" s="559"/>
      <c r="R734" s="559"/>
      <c r="S734" s="559"/>
      <c r="T734" s="559"/>
      <c r="U734" s="559"/>
      <c r="V734" s="559"/>
      <c r="W734" s="559"/>
      <c r="X734" s="559"/>
      <c r="Y734" s="559"/>
      <c r="Z734" s="559"/>
    </row>
    <row r="735" spans="1:26" ht="18" customHeight="1" x14ac:dyDescent="0.35">
      <c r="A735" s="559"/>
      <c r="B735" s="559"/>
      <c r="C735" s="559"/>
      <c r="D735" s="559"/>
      <c r="E735" s="559"/>
      <c r="F735" s="559"/>
      <c r="G735" s="559"/>
      <c r="H735" s="559"/>
      <c r="I735" s="559"/>
      <c r="J735" s="559"/>
      <c r="K735" s="559"/>
      <c r="L735" s="559"/>
      <c r="M735" s="559"/>
      <c r="N735" s="559"/>
      <c r="O735" s="559"/>
      <c r="P735" s="559"/>
      <c r="Q735" s="559"/>
      <c r="R735" s="559"/>
      <c r="S735" s="559"/>
      <c r="T735" s="559"/>
      <c r="U735" s="559"/>
      <c r="V735" s="559"/>
      <c r="W735" s="559"/>
      <c r="X735" s="559"/>
      <c r="Y735" s="559"/>
      <c r="Z735" s="559"/>
    </row>
    <row r="736" spans="1:26" ht="18" customHeight="1" x14ac:dyDescent="0.35">
      <c r="A736" s="559"/>
      <c r="B736" s="559"/>
      <c r="C736" s="559"/>
      <c r="D736" s="559"/>
      <c r="E736" s="559"/>
      <c r="F736" s="559"/>
      <c r="G736" s="559"/>
      <c r="H736" s="559"/>
      <c r="I736" s="559"/>
      <c r="J736" s="559"/>
      <c r="K736" s="559"/>
      <c r="L736" s="559"/>
      <c r="M736" s="559"/>
      <c r="N736" s="559"/>
      <c r="O736" s="559"/>
      <c r="P736" s="559"/>
      <c r="Q736" s="559"/>
      <c r="R736" s="559"/>
      <c r="S736" s="559"/>
      <c r="T736" s="559"/>
      <c r="U736" s="559"/>
      <c r="V736" s="559"/>
      <c r="W736" s="559"/>
      <c r="X736" s="559"/>
      <c r="Y736" s="559"/>
      <c r="Z736" s="559"/>
    </row>
    <row r="737" spans="1:26" ht="18" customHeight="1" x14ac:dyDescent="0.35">
      <c r="A737" s="559"/>
      <c r="B737" s="559"/>
      <c r="C737" s="559"/>
      <c r="D737" s="559"/>
      <c r="E737" s="559"/>
      <c r="F737" s="559"/>
      <c r="G737" s="559"/>
      <c r="H737" s="559"/>
      <c r="I737" s="559"/>
      <c r="J737" s="559"/>
      <c r="K737" s="559"/>
      <c r="L737" s="559"/>
      <c r="M737" s="559"/>
      <c r="N737" s="559"/>
      <c r="O737" s="559"/>
      <c r="P737" s="559"/>
      <c r="Q737" s="559"/>
      <c r="R737" s="559"/>
      <c r="S737" s="559"/>
      <c r="T737" s="559"/>
      <c r="U737" s="559"/>
      <c r="V737" s="559"/>
      <c r="W737" s="559"/>
      <c r="X737" s="559"/>
      <c r="Y737" s="559"/>
      <c r="Z737" s="559"/>
    </row>
    <row r="738" spans="1:26" ht="18" customHeight="1" x14ac:dyDescent="0.35">
      <c r="A738" s="559"/>
      <c r="B738" s="559"/>
      <c r="C738" s="559"/>
      <c r="D738" s="559"/>
      <c r="E738" s="559"/>
      <c r="F738" s="559"/>
      <c r="G738" s="559"/>
      <c r="H738" s="559"/>
      <c r="I738" s="559"/>
      <c r="J738" s="559"/>
      <c r="K738" s="559"/>
      <c r="L738" s="559"/>
      <c r="M738" s="559"/>
      <c r="N738" s="559"/>
      <c r="O738" s="559"/>
      <c r="P738" s="559"/>
      <c r="Q738" s="559"/>
      <c r="R738" s="559"/>
      <c r="S738" s="559"/>
      <c r="T738" s="559"/>
      <c r="U738" s="559"/>
      <c r="V738" s="559"/>
      <c r="W738" s="559"/>
      <c r="X738" s="559"/>
      <c r="Y738" s="559"/>
      <c r="Z738" s="559"/>
    </row>
    <row r="739" spans="1:26" ht="18" customHeight="1" x14ac:dyDescent="0.35">
      <c r="A739" s="559"/>
      <c r="B739" s="559"/>
      <c r="C739" s="559"/>
      <c r="D739" s="559"/>
      <c r="E739" s="559"/>
      <c r="F739" s="559"/>
      <c r="G739" s="559"/>
      <c r="H739" s="559"/>
      <c r="I739" s="559"/>
      <c r="J739" s="559"/>
      <c r="K739" s="559"/>
      <c r="L739" s="559"/>
      <c r="M739" s="559"/>
      <c r="N739" s="559"/>
      <c r="O739" s="559"/>
      <c r="P739" s="559"/>
      <c r="Q739" s="559"/>
      <c r="R739" s="559"/>
      <c r="S739" s="559"/>
      <c r="T739" s="559"/>
      <c r="U739" s="559"/>
      <c r="V739" s="559"/>
      <c r="W739" s="559"/>
      <c r="X739" s="559"/>
      <c r="Y739" s="559"/>
      <c r="Z739" s="559"/>
    </row>
    <row r="740" spans="1:26" ht="18" customHeight="1" x14ac:dyDescent="0.35">
      <c r="A740" s="559"/>
      <c r="B740" s="559"/>
      <c r="C740" s="559"/>
      <c r="D740" s="559"/>
      <c r="E740" s="559"/>
      <c r="F740" s="559"/>
      <c r="G740" s="559"/>
      <c r="H740" s="559"/>
      <c r="I740" s="559"/>
      <c r="J740" s="559"/>
      <c r="K740" s="559"/>
      <c r="L740" s="559"/>
      <c r="M740" s="559"/>
      <c r="N740" s="559"/>
      <c r="O740" s="559"/>
      <c r="P740" s="559"/>
      <c r="Q740" s="559"/>
      <c r="R740" s="559"/>
      <c r="S740" s="559"/>
      <c r="T740" s="559"/>
      <c r="U740" s="559"/>
      <c r="V740" s="559"/>
      <c r="W740" s="559"/>
      <c r="X740" s="559"/>
      <c r="Y740" s="559"/>
      <c r="Z740" s="559"/>
    </row>
    <row r="741" spans="1:26" ht="18" customHeight="1" x14ac:dyDescent="0.35">
      <c r="A741" s="559"/>
      <c r="B741" s="559"/>
      <c r="C741" s="559"/>
      <c r="D741" s="559"/>
      <c r="E741" s="559"/>
      <c r="F741" s="559"/>
      <c r="G741" s="559"/>
      <c r="H741" s="559"/>
      <c r="I741" s="559"/>
      <c r="J741" s="559"/>
      <c r="K741" s="559"/>
      <c r="L741" s="559"/>
      <c r="M741" s="559"/>
      <c r="N741" s="559"/>
      <c r="O741" s="559"/>
      <c r="P741" s="559"/>
      <c r="Q741" s="559"/>
      <c r="R741" s="559"/>
      <c r="S741" s="559"/>
      <c r="T741" s="559"/>
      <c r="U741" s="559"/>
      <c r="V741" s="559"/>
      <c r="W741" s="559"/>
      <c r="X741" s="559"/>
      <c r="Y741" s="559"/>
      <c r="Z741" s="559"/>
    </row>
    <row r="742" spans="1:26" ht="18" customHeight="1" x14ac:dyDescent="0.35">
      <c r="A742" s="559"/>
      <c r="B742" s="559"/>
      <c r="C742" s="559"/>
      <c r="D742" s="559"/>
      <c r="E742" s="559"/>
      <c r="F742" s="559"/>
      <c r="G742" s="559"/>
      <c r="H742" s="559"/>
      <c r="I742" s="559"/>
      <c r="J742" s="559"/>
      <c r="K742" s="559"/>
      <c r="L742" s="559"/>
      <c r="M742" s="559"/>
      <c r="N742" s="559"/>
      <c r="O742" s="559"/>
      <c r="P742" s="559"/>
      <c r="Q742" s="559"/>
      <c r="R742" s="559"/>
      <c r="S742" s="559"/>
      <c r="T742" s="559"/>
      <c r="U742" s="559"/>
      <c r="V742" s="559"/>
      <c r="W742" s="559"/>
      <c r="X742" s="559"/>
      <c r="Y742" s="559"/>
      <c r="Z742" s="559"/>
    </row>
    <row r="743" spans="1:26" ht="18" customHeight="1" x14ac:dyDescent="0.35">
      <c r="A743" s="559"/>
      <c r="B743" s="559"/>
      <c r="C743" s="559"/>
      <c r="D743" s="559"/>
      <c r="E743" s="559"/>
      <c r="F743" s="559"/>
      <c r="G743" s="559"/>
      <c r="H743" s="559"/>
      <c r="I743" s="559"/>
      <c r="J743" s="559"/>
      <c r="K743" s="559"/>
      <c r="L743" s="559"/>
      <c r="M743" s="559"/>
      <c r="N743" s="559"/>
      <c r="O743" s="559"/>
      <c r="P743" s="559"/>
      <c r="Q743" s="559"/>
      <c r="R743" s="559"/>
      <c r="S743" s="559"/>
      <c r="T743" s="559"/>
      <c r="U743" s="559"/>
      <c r="V743" s="559"/>
      <c r="W743" s="559"/>
      <c r="X743" s="559"/>
      <c r="Y743" s="559"/>
      <c r="Z743" s="559"/>
    </row>
    <row r="744" spans="1:26" ht="18" customHeight="1" x14ac:dyDescent="0.35">
      <c r="A744" s="559"/>
      <c r="B744" s="559"/>
      <c r="C744" s="559"/>
      <c r="D744" s="559"/>
      <c r="E744" s="559"/>
      <c r="F744" s="559"/>
      <c r="G744" s="559"/>
      <c r="H744" s="559"/>
      <c r="I744" s="559"/>
      <c r="J744" s="559"/>
      <c r="K744" s="559"/>
      <c r="L744" s="559"/>
      <c r="M744" s="559"/>
      <c r="N744" s="559"/>
      <c r="O744" s="559"/>
      <c r="P744" s="559"/>
      <c r="Q744" s="559"/>
      <c r="R744" s="559"/>
      <c r="S744" s="559"/>
      <c r="T744" s="559"/>
      <c r="U744" s="559"/>
      <c r="V744" s="559"/>
      <c r="W744" s="559"/>
      <c r="X744" s="559"/>
      <c r="Y744" s="559"/>
      <c r="Z744" s="559"/>
    </row>
    <row r="745" spans="1:26" ht="18" customHeight="1" x14ac:dyDescent="0.35">
      <c r="A745" s="559"/>
      <c r="B745" s="559"/>
      <c r="C745" s="559"/>
      <c r="D745" s="559"/>
      <c r="E745" s="559"/>
      <c r="F745" s="559"/>
      <c r="G745" s="559"/>
      <c r="H745" s="559"/>
      <c r="I745" s="559"/>
      <c r="J745" s="559"/>
      <c r="K745" s="559"/>
      <c r="L745" s="559"/>
      <c r="M745" s="559"/>
      <c r="N745" s="559"/>
      <c r="O745" s="559"/>
      <c r="P745" s="559"/>
      <c r="Q745" s="559"/>
      <c r="R745" s="559"/>
      <c r="S745" s="559"/>
      <c r="T745" s="559"/>
      <c r="U745" s="559"/>
      <c r="V745" s="559"/>
      <c r="W745" s="559"/>
      <c r="X745" s="559"/>
      <c r="Y745" s="559"/>
      <c r="Z745" s="559"/>
    </row>
    <row r="746" spans="1:26" ht="18" customHeight="1" x14ac:dyDescent="0.35">
      <c r="A746" s="559"/>
      <c r="B746" s="559"/>
      <c r="C746" s="559"/>
      <c r="D746" s="559"/>
      <c r="E746" s="559"/>
      <c r="F746" s="559"/>
      <c r="G746" s="559"/>
      <c r="H746" s="559"/>
      <c r="I746" s="559"/>
      <c r="J746" s="559"/>
      <c r="K746" s="559"/>
      <c r="L746" s="559"/>
      <c r="M746" s="559"/>
      <c r="N746" s="559"/>
      <c r="O746" s="559"/>
      <c r="P746" s="559"/>
      <c r="Q746" s="559"/>
      <c r="R746" s="559"/>
      <c r="S746" s="559"/>
      <c r="T746" s="559"/>
      <c r="U746" s="559"/>
      <c r="V746" s="559"/>
      <c r="W746" s="559"/>
      <c r="X746" s="559"/>
      <c r="Y746" s="559"/>
      <c r="Z746" s="559"/>
    </row>
    <row r="747" spans="1:26" ht="18" customHeight="1" x14ac:dyDescent="0.35">
      <c r="A747" s="559"/>
      <c r="B747" s="559"/>
      <c r="C747" s="559"/>
      <c r="D747" s="559"/>
      <c r="E747" s="559"/>
      <c r="F747" s="559"/>
      <c r="G747" s="559"/>
      <c r="H747" s="559"/>
      <c r="I747" s="559"/>
      <c r="J747" s="559"/>
      <c r="K747" s="559"/>
      <c r="L747" s="559"/>
      <c r="M747" s="559"/>
      <c r="N747" s="559"/>
      <c r="O747" s="559"/>
      <c r="P747" s="559"/>
      <c r="Q747" s="559"/>
      <c r="R747" s="559"/>
      <c r="S747" s="559"/>
      <c r="T747" s="559"/>
      <c r="U747" s="559"/>
      <c r="V747" s="559"/>
      <c r="W747" s="559"/>
      <c r="X747" s="559"/>
      <c r="Y747" s="559"/>
      <c r="Z747" s="559"/>
    </row>
    <row r="748" spans="1:26" ht="18" customHeight="1" x14ac:dyDescent="0.35">
      <c r="A748" s="559"/>
      <c r="B748" s="559"/>
      <c r="C748" s="559"/>
      <c r="D748" s="559"/>
      <c r="E748" s="559"/>
      <c r="F748" s="559"/>
      <c r="G748" s="559"/>
      <c r="H748" s="559"/>
      <c r="I748" s="559"/>
      <c r="J748" s="559"/>
      <c r="K748" s="559"/>
      <c r="L748" s="559"/>
      <c r="M748" s="559"/>
      <c r="N748" s="559"/>
      <c r="O748" s="559"/>
      <c r="P748" s="559"/>
      <c r="Q748" s="559"/>
      <c r="R748" s="559"/>
      <c r="S748" s="559"/>
      <c r="T748" s="559"/>
      <c r="U748" s="559"/>
      <c r="V748" s="559"/>
      <c r="W748" s="559"/>
      <c r="X748" s="559"/>
      <c r="Y748" s="559"/>
      <c r="Z748" s="559"/>
    </row>
    <row r="749" spans="1:26" ht="18" customHeight="1" x14ac:dyDescent="0.35">
      <c r="A749" s="559"/>
      <c r="B749" s="559"/>
      <c r="C749" s="559"/>
      <c r="D749" s="559"/>
      <c r="E749" s="559"/>
      <c r="F749" s="559"/>
      <c r="G749" s="559"/>
      <c r="H749" s="559"/>
      <c r="I749" s="559"/>
      <c r="J749" s="559"/>
      <c r="K749" s="559"/>
      <c r="L749" s="559"/>
      <c r="M749" s="559"/>
      <c r="N749" s="559"/>
      <c r="O749" s="559"/>
      <c r="P749" s="559"/>
      <c r="Q749" s="559"/>
      <c r="R749" s="559"/>
      <c r="S749" s="559"/>
      <c r="T749" s="559"/>
      <c r="U749" s="559"/>
      <c r="V749" s="559"/>
      <c r="W749" s="559"/>
      <c r="X749" s="559"/>
      <c r="Y749" s="559"/>
      <c r="Z749" s="559"/>
    </row>
    <row r="750" spans="1:26" ht="18" customHeight="1" x14ac:dyDescent="0.35">
      <c r="A750" s="559"/>
      <c r="B750" s="559"/>
      <c r="C750" s="559"/>
      <c r="D750" s="559"/>
      <c r="E750" s="559"/>
      <c r="F750" s="559"/>
      <c r="G750" s="559"/>
      <c r="H750" s="559"/>
      <c r="I750" s="559"/>
      <c r="J750" s="559"/>
      <c r="K750" s="559"/>
      <c r="L750" s="559"/>
      <c r="M750" s="559"/>
      <c r="N750" s="559"/>
      <c r="O750" s="559"/>
      <c r="P750" s="559"/>
      <c r="Q750" s="559"/>
      <c r="R750" s="559"/>
      <c r="S750" s="559"/>
      <c r="T750" s="559"/>
      <c r="U750" s="559"/>
      <c r="V750" s="559"/>
      <c r="W750" s="559"/>
      <c r="X750" s="559"/>
      <c r="Y750" s="559"/>
      <c r="Z750" s="559"/>
    </row>
    <row r="751" spans="1:26" ht="18" customHeight="1" x14ac:dyDescent="0.35">
      <c r="A751" s="559"/>
      <c r="B751" s="559"/>
      <c r="C751" s="559"/>
      <c r="D751" s="559"/>
      <c r="E751" s="559"/>
      <c r="F751" s="559"/>
      <c r="G751" s="559"/>
      <c r="H751" s="559"/>
      <c r="I751" s="559"/>
      <c r="J751" s="559"/>
      <c r="K751" s="559"/>
      <c r="L751" s="559"/>
      <c r="M751" s="559"/>
      <c r="N751" s="559"/>
      <c r="O751" s="559"/>
      <c r="P751" s="559"/>
      <c r="Q751" s="559"/>
      <c r="R751" s="559"/>
      <c r="S751" s="559"/>
      <c r="T751" s="559"/>
      <c r="U751" s="559"/>
      <c r="V751" s="559"/>
      <c r="W751" s="559"/>
      <c r="X751" s="559"/>
      <c r="Y751" s="559"/>
      <c r="Z751" s="559"/>
    </row>
    <row r="752" spans="1:26" ht="18" customHeight="1" x14ac:dyDescent="0.35">
      <c r="A752" s="559"/>
      <c r="B752" s="559"/>
      <c r="C752" s="559"/>
      <c r="D752" s="559"/>
      <c r="E752" s="559"/>
      <c r="F752" s="559"/>
      <c r="G752" s="559"/>
      <c r="H752" s="559"/>
      <c r="I752" s="559"/>
      <c r="J752" s="559"/>
      <c r="K752" s="559"/>
      <c r="L752" s="559"/>
      <c r="M752" s="559"/>
      <c r="N752" s="559"/>
      <c r="O752" s="559"/>
      <c r="P752" s="559"/>
      <c r="Q752" s="559"/>
      <c r="R752" s="559"/>
      <c r="S752" s="559"/>
      <c r="T752" s="559"/>
      <c r="U752" s="559"/>
      <c r="V752" s="559"/>
      <c r="W752" s="559"/>
      <c r="X752" s="559"/>
      <c r="Y752" s="559"/>
      <c r="Z752" s="559"/>
    </row>
    <row r="753" spans="1:26" ht="18" customHeight="1" x14ac:dyDescent="0.35">
      <c r="A753" s="559"/>
      <c r="B753" s="559"/>
      <c r="C753" s="559"/>
      <c r="D753" s="559"/>
      <c r="E753" s="559"/>
      <c r="F753" s="559"/>
      <c r="G753" s="559"/>
      <c r="H753" s="559"/>
      <c r="I753" s="559"/>
      <c r="J753" s="559"/>
      <c r="K753" s="559"/>
      <c r="L753" s="559"/>
      <c r="M753" s="559"/>
      <c r="N753" s="559"/>
      <c r="O753" s="559"/>
      <c r="P753" s="559"/>
      <c r="Q753" s="559"/>
      <c r="R753" s="559"/>
      <c r="S753" s="559"/>
      <c r="T753" s="559"/>
      <c r="U753" s="559"/>
      <c r="V753" s="559"/>
      <c r="W753" s="559"/>
      <c r="X753" s="559"/>
      <c r="Y753" s="559"/>
      <c r="Z753" s="559"/>
    </row>
    <row r="754" spans="1:26" ht="18" customHeight="1" x14ac:dyDescent="0.35">
      <c r="A754" s="559"/>
      <c r="B754" s="559"/>
      <c r="C754" s="559"/>
      <c r="D754" s="559"/>
      <c r="E754" s="559"/>
      <c r="F754" s="559"/>
      <c r="G754" s="559"/>
      <c r="H754" s="559"/>
      <c r="I754" s="559"/>
      <c r="J754" s="559"/>
      <c r="K754" s="559"/>
      <c r="L754" s="559"/>
      <c r="M754" s="559"/>
      <c r="N754" s="559"/>
      <c r="O754" s="559"/>
      <c r="P754" s="559"/>
      <c r="Q754" s="559"/>
      <c r="R754" s="559"/>
      <c r="S754" s="559"/>
      <c r="T754" s="559"/>
      <c r="U754" s="559"/>
      <c r="V754" s="559"/>
      <c r="W754" s="559"/>
      <c r="X754" s="559"/>
      <c r="Y754" s="559"/>
      <c r="Z754" s="559"/>
    </row>
    <row r="755" spans="1:26" ht="18" customHeight="1" x14ac:dyDescent="0.35">
      <c r="A755" s="559"/>
      <c r="B755" s="559"/>
      <c r="C755" s="559"/>
      <c r="D755" s="559"/>
      <c r="E755" s="559"/>
      <c r="F755" s="559"/>
      <c r="G755" s="559"/>
      <c r="H755" s="559"/>
      <c r="I755" s="559"/>
      <c r="J755" s="559"/>
      <c r="K755" s="559"/>
      <c r="L755" s="559"/>
      <c r="M755" s="559"/>
      <c r="N755" s="559"/>
      <c r="O755" s="559"/>
      <c r="P755" s="559"/>
      <c r="Q755" s="559"/>
      <c r="R755" s="559"/>
      <c r="S755" s="559"/>
      <c r="T755" s="559"/>
      <c r="U755" s="559"/>
      <c r="V755" s="559"/>
      <c r="W755" s="559"/>
      <c r="X755" s="559"/>
      <c r="Y755" s="559"/>
      <c r="Z755" s="559"/>
    </row>
    <row r="756" spans="1:26" ht="18" customHeight="1" x14ac:dyDescent="0.35">
      <c r="A756" s="559"/>
      <c r="B756" s="559"/>
      <c r="C756" s="559"/>
      <c r="D756" s="559"/>
      <c r="E756" s="559"/>
      <c r="F756" s="559"/>
      <c r="G756" s="559"/>
      <c r="H756" s="559"/>
      <c r="I756" s="559"/>
      <c r="J756" s="559"/>
      <c r="K756" s="559"/>
      <c r="L756" s="559"/>
      <c r="M756" s="559"/>
      <c r="N756" s="559"/>
      <c r="O756" s="559"/>
      <c r="P756" s="559"/>
      <c r="Q756" s="559"/>
      <c r="R756" s="559"/>
      <c r="S756" s="559"/>
      <c r="T756" s="559"/>
      <c r="U756" s="559"/>
      <c r="V756" s="559"/>
      <c r="W756" s="559"/>
      <c r="X756" s="559"/>
      <c r="Y756" s="559"/>
      <c r="Z756" s="559"/>
    </row>
    <row r="757" spans="1:26" ht="18" customHeight="1" x14ac:dyDescent="0.35">
      <c r="A757" s="559"/>
      <c r="B757" s="559"/>
      <c r="C757" s="559"/>
      <c r="D757" s="559"/>
      <c r="E757" s="559"/>
      <c r="F757" s="559"/>
      <c r="G757" s="559"/>
      <c r="H757" s="559"/>
      <c r="I757" s="559"/>
      <c r="J757" s="559"/>
      <c r="K757" s="559"/>
      <c r="L757" s="559"/>
      <c r="M757" s="559"/>
      <c r="N757" s="559"/>
      <c r="O757" s="559"/>
      <c r="P757" s="559"/>
      <c r="Q757" s="559"/>
      <c r="R757" s="559"/>
      <c r="S757" s="559"/>
      <c r="T757" s="559"/>
      <c r="U757" s="559"/>
      <c r="V757" s="559"/>
      <c r="W757" s="559"/>
      <c r="X757" s="559"/>
      <c r="Y757" s="559"/>
      <c r="Z757" s="559"/>
    </row>
    <row r="758" spans="1:26" ht="18" customHeight="1" x14ac:dyDescent="0.35">
      <c r="A758" s="559"/>
      <c r="B758" s="559"/>
      <c r="C758" s="559"/>
      <c r="D758" s="559"/>
      <c r="E758" s="559"/>
      <c r="F758" s="559"/>
      <c r="G758" s="559"/>
      <c r="H758" s="559"/>
      <c r="I758" s="559"/>
      <c r="J758" s="559"/>
      <c r="K758" s="559"/>
      <c r="L758" s="559"/>
      <c r="M758" s="559"/>
      <c r="N758" s="559"/>
      <c r="O758" s="559"/>
      <c r="P758" s="559"/>
      <c r="Q758" s="559"/>
      <c r="R758" s="559"/>
      <c r="S758" s="559"/>
      <c r="T758" s="559"/>
      <c r="U758" s="559"/>
      <c r="V758" s="559"/>
      <c r="W758" s="559"/>
      <c r="X758" s="559"/>
      <c r="Y758" s="559"/>
      <c r="Z758" s="559"/>
    </row>
    <row r="759" spans="1:26" ht="18" customHeight="1" x14ac:dyDescent="0.35">
      <c r="A759" s="559"/>
      <c r="B759" s="559"/>
      <c r="C759" s="559"/>
      <c r="D759" s="559"/>
      <c r="E759" s="559"/>
      <c r="F759" s="559"/>
      <c r="G759" s="559"/>
      <c r="H759" s="559"/>
      <c r="I759" s="559"/>
      <c r="J759" s="559"/>
      <c r="K759" s="559"/>
      <c r="L759" s="559"/>
      <c r="M759" s="559"/>
      <c r="N759" s="559"/>
      <c r="O759" s="559"/>
      <c r="P759" s="559"/>
      <c r="Q759" s="559"/>
      <c r="R759" s="559"/>
      <c r="S759" s="559"/>
      <c r="T759" s="559"/>
      <c r="U759" s="559"/>
      <c r="V759" s="559"/>
      <c r="W759" s="559"/>
      <c r="X759" s="559"/>
      <c r="Y759" s="559"/>
      <c r="Z759" s="559"/>
    </row>
    <row r="760" spans="1:26" ht="18" customHeight="1" x14ac:dyDescent="0.35">
      <c r="A760" s="559"/>
      <c r="B760" s="559"/>
      <c r="C760" s="559"/>
      <c r="D760" s="559"/>
      <c r="E760" s="559"/>
      <c r="F760" s="559"/>
      <c r="G760" s="559"/>
      <c r="H760" s="559"/>
      <c r="I760" s="559"/>
      <c r="J760" s="559"/>
      <c r="K760" s="559"/>
      <c r="L760" s="559"/>
      <c r="M760" s="559"/>
      <c r="N760" s="559"/>
      <c r="O760" s="559"/>
      <c r="P760" s="559"/>
      <c r="Q760" s="559"/>
      <c r="R760" s="559"/>
      <c r="S760" s="559"/>
      <c r="T760" s="559"/>
      <c r="U760" s="559"/>
      <c r="V760" s="559"/>
      <c r="W760" s="559"/>
      <c r="X760" s="559"/>
      <c r="Y760" s="559"/>
      <c r="Z760" s="559"/>
    </row>
    <row r="761" spans="1:26" ht="18" customHeight="1" x14ac:dyDescent="0.35">
      <c r="A761" s="559"/>
      <c r="B761" s="559"/>
      <c r="C761" s="559"/>
      <c r="D761" s="559"/>
      <c r="E761" s="559"/>
      <c r="F761" s="559"/>
      <c r="G761" s="559"/>
      <c r="H761" s="559"/>
      <c r="I761" s="559"/>
      <c r="J761" s="559"/>
      <c r="K761" s="559"/>
      <c r="L761" s="559"/>
      <c r="M761" s="559"/>
      <c r="N761" s="559"/>
      <c r="O761" s="559"/>
      <c r="P761" s="559"/>
      <c r="Q761" s="559"/>
      <c r="R761" s="559"/>
      <c r="S761" s="559"/>
      <c r="T761" s="559"/>
      <c r="U761" s="559"/>
      <c r="V761" s="559"/>
      <c r="W761" s="559"/>
      <c r="X761" s="559"/>
      <c r="Y761" s="559"/>
      <c r="Z761" s="559"/>
    </row>
    <row r="762" spans="1:26" ht="18" customHeight="1" x14ac:dyDescent="0.35">
      <c r="A762" s="559"/>
      <c r="B762" s="559"/>
      <c r="C762" s="559"/>
      <c r="D762" s="559"/>
      <c r="E762" s="559"/>
      <c r="F762" s="559"/>
      <c r="G762" s="559"/>
      <c r="H762" s="559"/>
      <c r="I762" s="559"/>
      <c r="J762" s="559"/>
      <c r="K762" s="559"/>
      <c r="L762" s="559"/>
      <c r="M762" s="559"/>
      <c r="N762" s="559"/>
      <c r="O762" s="559"/>
      <c r="P762" s="559"/>
      <c r="Q762" s="559"/>
      <c r="R762" s="559"/>
      <c r="S762" s="559"/>
      <c r="T762" s="559"/>
      <c r="U762" s="559"/>
      <c r="V762" s="559"/>
      <c r="W762" s="559"/>
      <c r="X762" s="559"/>
      <c r="Y762" s="559"/>
      <c r="Z762" s="559"/>
    </row>
    <row r="763" spans="1:26" ht="18" customHeight="1" x14ac:dyDescent="0.35">
      <c r="A763" s="559"/>
      <c r="B763" s="559"/>
      <c r="C763" s="559"/>
      <c r="D763" s="559"/>
      <c r="E763" s="559"/>
      <c r="F763" s="559"/>
      <c r="G763" s="559"/>
      <c r="H763" s="559"/>
      <c r="I763" s="559"/>
      <c r="J763" s="559"/>
      <c r="K763" s="559"/>
      <c r="L763" s="559"/>
      <c r="M763" s="559"/>
      <c r="N763" s="559"/>
      <c r="O763" s="559"/>
      <c r="P763" s="559"/>
      <c r="Q763" s="559"/>
      <c r="R763" s="559"/>
      <c r="S763" s="559"/>
      <c r="T763" s="559"/>
      <c r="U763" s="559"/>
      <c r="V763" s="559"/>
      <c r="W763" s="559"/>
      <c r="X763" s="559"/>
      <c r="Y763" s="559"/>
      <c r="Z763" s="559"/>
    </row>
    <row r="764" spans="1:26" ht="18" customHeight="1" x14ac:dyDescent="0.35">
      <c r="A764" s="559"/>
      <c r="B764" s="559"/>
      <c r="C764" s="559"/>
      <c r="D764" s="559"/>
      <c r="E764" s="559"/>
      <c r="F764" s="559"/>
      <c r="G764" s="559"/>
      <c r="H764" s="559"/>
      <c r="I764" s="559"/>
      <c r="J764" s="559"/>
      <c r="K764" s="559"/>
      <c r="L764" s="559"/>
      <c r="M764" s="559"/>
      <c r="N764" s="559"/>
      <c r="O764" s="559"/>
      <c r="P764" s="559"/>
      <c r="Q764" s="559"/>
      <c r="R764" s="559"/>
      <c r="S764" s="559"/>
      <c r="T764" s="559"/>
      <c r="U764" s="559"/>
      <c r="V764" s="559"/>
      <c r="W764" s="559"/>
      <c r="X764" s="559"/>
      <c r="Y764" s="559"/>
      <c r="Z764" s="559"/>
    </row>
    <row r="765" spans="1:26" ht="18" customHeight="1" x14ac:dyDescent="0.35">
      <c r="A765" s="559"/>
      <c r="B765" s="559"/>
      <c r="C765" s="559"/>
      <c r="D765" s="559"/>
      <c r="E765" s="559"/>
      <c r="F765" s="559"/>
      <c r="G765" s="559"/>
      <c r="H765" s="559"/>
      <c r="I765" s="559"/>
      <c r="J765" s="559"/>
      <c r="K765" s="559"/>
      <c r="L765" s="559"/>
      <c r="M765" s="559"/>
      <c r="N765" s="559"/>
      <c r="O765" s="559"/>
      <c r="P765" s="559"/>
      <c r="Q765" s="559"/>
      <c r="R765" s="559"/>
      <c r="S765" s="559"/>
      <c r="T765" s="559"/>
      <c r="U765" s="559"/>
      <c r="V765" s="559"/>
      <c r="W765" s="559"/>
      <c r="X765" s="559"/>
      <c r="Y765" s="559"/>
      <c r="Z765" s="559"/>
    </row>
    <row r="766" spans="1:26" ht="18" customHeight="1" x14ac:dyDescent="0.35">
      <c r="A766" s="559"/>
      <c r="B766" s="559"/>
      <c r="C766" s="559"/>
      <c r="D766" s="559"/>
      <c r="E766" s="559"/>
      <c r="F766" s="559"/>
      <c r="G766" s="559"/>
      <c r="H766" s="559"/>
      <c r="I766" s="559"/>
      <c r="J766" s="559"/>
      <c r="K766" s="559"/>
      <c r="L766" s="559"/>
      <c r="M766" s="559"/>
      <c r="N766" s="559"/>
      <c r="O766" s="559"/>
      <c r="P766" s="559"/>
      <c r="Q766" s="559"/>
      <c r="R766" s="559"/>
      <c r="S766" s="559"/>
      <c r="T766" s="559"/>
      <c r="U766" s="559"/>
      <c r="V766" s="559"/>
      <c r="W766" s="559"/>
      <c r="X766" s="559"/>
      <c r="Y766" s="559"/>
      <c r="Z766" s="559"/>
    </row>
    <row r="767" spans="1:26" ht="18" customHeight="1" x14ac:dyDescent="0.35">
      <c r="A767" s="559"/>
      <c r="B767" s="559"/>
      <c r="C767" s="559"/>
      <c r="D767" s="559"/>
      <c r="E767" s="559"/>
      <c r="F767" s="559"/>
      <c r="G767" s="559"/>
      <c r="H767" s="559"/>
      <c r="I767" s="559"/>
      <c r="J767" s="559"/>
      <c r="K767" s="559"/>
      <c r="L767" s="559"/>
      <c r="M767" s="559"/>
      <c r="N767" s="559"/>
      <c r="O767" s="559"/>
      <c r="P767" s="559"/>
      <c r="Q767" s="559"/>
      <c r="R767" s="559"/>
      <c r="S767" s="559"/>
      <c r="T767" s="559"/>
      <c r="U767" s="559"/>
      <c r="V767" s="559"/>
      <c r="W767" s="559"/>
      <c r="X767" s="559"/>
      <c r="Y767" s="559"/>
      <c r="Z767" s="559"/>
    </row>
    <row r="768" spans="1:26" ht="18" customHeight="1" x14ac:dyDescent="0.35">
      <c r="A768" s="559"/>
      <c r="B768" s="559"/>
      <c r="C768" s="559"/>
      <c r="D768" s="559"/>
      <c r="E768" s="559"/>
      <c r="F768" s="559"/>
      <c r="G768" s="559"/>
      <c r="H768" s="559"/>
      <c r="I768" s="559"/>
      <c r="J768" s="559"/>
      <c r="K768" s="559"/>
      <c r="L768" s="559"/>
      <c r="M768" s="559"/>
      <c r="N768" s="559"/>
      <c r="O768" s="559"/>
      <c r="P768" s="559"/>
      <c r="Q768" s="559"/>
      <c r="R768" s="559"/>
      <c r="S768" s="559"/>
      <c r="T768" s="559"/>
      <c r="U768" s="559"/>
      <c r="V768" s="559"/>
      <c r="W768" s="559"/>
      <c r="X768" s="559"/>
      <c r="Y768" s="559"/>
      <c r="Z768" s="559"/>
    </row>
    <row r="769" spans="1:26" ht="18" customHeight="1" x14ac:dyDescent="0.35">
      <c r="A769" s="559"/>
      <c r="B769" s="559"/>
      <c r="C769" s="559"/>
      <c r="D769" s="559"/>
      <c r="E769" s="559"/>
      <c r="F769" s="559"/>
      <c r="G769" s="559"/>
      <c r="H769" s="559"/>
      <c r="I769" s="559"/>
      <c r="J769" s="559"/>
      <c r="K769" s="559"/>
      <c r="L769" s="559"/>
      <c r="M769" s="559"/>
      <c r="N769" s="559"/>
      <c r="O769" s="559"/>
      <c r="P769" s="559"/>
      <c r="Q769" s="559"/>
      <c r="R769" s="559"/>
      <c r="S769" s="559"/>
      <c r="T769" s="559"/>
      <c r="U769" s="559"/>
      <c r="V769" s="559"/>
      <c r="W769" s="559"/>
      <c r="X769" s="559"/>
      <c r="Y769" s="559"/>
      <c r="Z769" s="559"/>
    </row>
    <row r="770" spans="1:26" ht="18" customHeight="1" x14ac:dyDescent="0.35">
      <c r="A770" s="559"/>
      <c r="B770" s="559"/>
      <c r="C770" s="559"/>
      <c r="D770" s="559"/>
      <c r="E770" s="559"/>
      <c r="F770" s="559"/>
      <c r="G770" s="559"/>
      <c r="H770" s="559"/>
      <c r="I770" s="559"/>
      <c r="J770" s="559"/>
      <c r="K770" s="559"/>
      <c r="L770" s="559"/>
      <c r="M770" s="559"/>
      <c r="N770" s="559"/>
      <c r="O770" s="559"/>
      <c r="P770" s="559"/>
      <c r="Q770" s="559"/>
      <c r="R770" s="559"/>
      <c r="S770" s="559"/>
      <c r="T770" s="559"/>
      <c r="U770" s="559"/>
      <c r="V770" s="559"/>
      <c r="W770" s="559"/>
      <c r="X770" s="559"/>
      <c r="Y770" s="559"/>
      <c r="Z770" s="559"/>
    </row>
    <row r="771" spans="1:26" ht="18" customHeight="1" x14ac:dyDescent="0.35">
      <c r="A771" s="559"/>
      <c r="B771" s="559"/>
      <c r="C771" s="559"/>
      <c r="D771" s="559"/>
      <c r="E771" s="559"/>
      <c r="F771" s="559"/>
      <c r="G771" s="559"/>
      <c r="H771" s="559"/>
      <c r="I771" s="559"/>
      <c r="J771" s="559"/>
      <c r="K771" s="559"/>
      <c r="L771" s="559"/>
      <c r="M771" s="559"/>
      <c r="N771" s="559"/>
      <c r="O771" s="559"/>
      <c r="P771" s="559"/>
      <c r="Q771" s="559"/>
      <c r="R771" s="559"/>
      <c r="S771" s="559"/>
      <c r="T771" s="559"/>
      <c r="U771" s="559"/>
      <c r="V771" s="559"/>
      <c r="W771" s="559"/>
      <c r="X771" s="559"/>
      <c r="Y771" s="559"/>
      <c r="Z771" s="559"/>
    </row>
    <row r="772" spans="1:26" ht="18" customHeight="1" x14ac:dyDescent="0.35">
      <c r="A772" s="559"/>
      <c r="B772" s="559"/>
      <c r="C772" s="559"/>
      <c r="D772" s="559"/>
      <c r="E772" s="559"/>
      <c r="F772" s="559"/>
      <c r="G772" s="559"/>
      <c r="H772" s="559"/>
      <c r="I772" s="559"/>
      <c r="J772" s="559"/>
      <c r="K772" s="559"/>
      <c r="L772" s="559"/>
      <c r="M772" s="559"/>
      <c r="N772" s="559"/>
      <c r="O772" s="559"/>
      <c r="P772" s="559"/>
      <c r="Q772" s="559"/>
      <c r="R772" s="559"/>
      <c r="S772" s="559"/>
      <c r="T772" s="559"/>
      <c r="U772" s="559"/>
      <c r="V772" s="559"/>
      <c r="W772" s="559"/>
      <c r="X772" s="559"/>
      <c r="Y772" s="559"/>
      <c r="Z772" s="559"/>
    </row>
    <row r="773" spans="1:26" ht="18" customHeight="1" x14ac:dyDescent="0.35">
      <c r="A773" s="559"/>
      <c r="B773" s="559"/>
      <c r="C773" s="559"/>
      <c r="D773" s="559"/>
      <c r="E773" s="559"/>
      <c r="F773" s="559"/>
      <c r="G773" s="559"/>
      <c r="H773" s="559"/>
      <c r="I773" s="559"/>
      <c r="J773" s="559"/>
      <c r="K773" s="559"/>
      <c r="L773" s="559"/>
      <c r="M773" s="559"/>
      <c r="N773" s="559"/>
      <c r="O773" s="559"/>
      <c r="P773" s="559"/>
      <c r="Q773" s="559"/>
      <c r="R773" s="559"/>
      <c r="S773" s="559"/>
      <c r="T773" s="559"/>
      <c r="U773" s="559"/>
      <c r="V773" s="559"/>
      <c r="W773" s="559"/>
      <c r="X773" s="559"/>
      <c r="Y773" s="559"/>
      <c r="Z773" s="559"/>
    </row>
    <row r="774" spans="1:26" ht="18" customHeight="1" x14ac:dyDescent="0.35">
      <c r="A774" s="559"/>
      <c r="B774" s="559"/>
      <c r="C774" s="559"/>
      <c r="D774" s="559"/>
      <c r="E774" s="559"/>
      <c r="F774" s="559"/>
      <c r="G774" s="559"/>
      <c r="H774" s="559"/>
      <c r="I774" s="559"/>
      <c r="J774" s="559"/>
      <c r="K774" s="559"/>
      <c r="L774" s="559"/>
      <c r="M774" s="559"/>
      <c r="N774" s="559"/>
      <c r="O774" s="559"/>
      <c r="P774" s="559"/>
      <c r="Q774" s="559"/>
      <c r="R774" s="559"/>
      <c r="S774" s="559"/>
      <c r="T774" s="559"/>
      <c r="U774" s="559"/>
      <c r="V774" s="559"/>
      <c r="W774" s="559"/>
      <c r="X774" s="559"/>
      <c r="Y774" s="559"/>
      <c r="Z774" s="559"/>
    </row>
    <row r="775" spans="1:26" ht="18" customHeight="1" x14ac:dyDescent="0.35">
      <c r="A775" s="559"/>
      <c r="B775" s="559"/>
      <c r="C775" s="559"/>
      <c r="D775" s="559"/>
      <c r="E775" s="559"/>
      <c r="F775" s="559"/>
      <c r="G775" s="559"/>
      <c r="H775" s="559"/>
      <c r="I775" s="559"/>
      <c r="J775" s="559"/>
      <c r="K775" s="559"/>
      <c r="L775" s="559"/>
      <c r="M775" s="559"/>
      <c r="N775" s="559"/>
      <c r="O775" s="559"/>
      <c r="P775" s="559"/>
      <c r="Q775" s="559"/>
      <c r="R775" s="559"/>
      <c r="S775" s="559"/>
      <c r="T775" s="559"/>
      <c r="U775" s="559"/>
      <c r="V775" s="559"/>
      <c r="W775" s="559"/>
      <c r="X775" s="559"/>
      <c r="Y775" s="559"/>
      <c r="Z775" s="559"/>
    </row>
    <row r="776" spans="1:26" ht="18" customHeight="1" x14ac:dyDescent="0.35">
      <c r="A776" s="559"/>
      <c r="B776" s="559"/>
      <c r="C776" s="559"/>
      <c r="D776" s="559"/>
      <c r="E776" s="559"/>
      <c r="F776" s="559"/>
      <c r="G776" s="559"/>
      <c r="H776" s="559"/>
      <c r="I776" s="559"/>
      <c r="J776" s="559"/>
      <c r="K776" s="559"/>
      <c r="L776" s="559"/>
      <c r="M776" s="559"/>
      <c r="N776" s="559"/>
      <c r="O776" s="559"/>
      <c r="P776" s="559"/>
      <c r="Q776" s="559"/>
      <c r="R776" s="559"/>
      <c r="S776" s="559"/>
      <c r="T776" s="559"/>
      <c r="U776" s="559"/>
      <c r="V776" s="559"/>
      <c r="W776" s="559"/>
      <c r="X776" s="559"/>
      <c r="Y776" s="559"/>
      <c r="Z776" s="559"/>
    </row>
    <row r="777" spans="1:26" ht="18" customHeight="1" x14ac:dyDescent="0.35">
      <c r="A777" s="559"/>
      <c r="B777" s="559"/>
      <c r="C777" s="559"/>
      <c r="D777" s="559"/>
      <c r="E777" s="559"/>
      <c r="F777" s="559"/>
      <c r="G777" s="559"/>
      <c r="H777" s="559"/>
      <c r="I777" s="559"/>
      <c r="J777" s="559"/>
      <c r="K777" s="559"/>
      <c r="L777" s="559"/>
      <c r="M777" s="559"/>
      <c r="N777" s="559"/>
      <c r="O777" s="559"/>
      <c r="P777" s="559"/>
      <c r="Q777" s="559"/>
      <c r="R777" s="559"/>
      <c r="S777" s="559"/>
      <c r="T777" s="559"/>
      <c r="U777" s="559"/>
      <c r="V777" s="559"/>
      <c r="W777" s="559"/>
      <c r="X777" s="559"/>
      <c r="Y777" s="559"/>
      <c r="Z777" s="559"/>
    </row>
    <row r="778" spans="1:26" ht="18" customHeight="1" x14ac:dyDescent="0.35">
      <c r="A778" s="559"/>
      <c r="B778" s="559"/>
      <c r="C778" s="559"/>
      <c r="D778" s="559"/>
      <c r="E778" s="559"/>
      <c r="F778" s="559"/>
      <c r="G778" s="559"/>
      <c r="H778" s="559"/>
      <c r="I778" s="559"/>
      <c r="J778" s="559"/>
      <c r="K778" s="559"/>
      <c r="L778" s="559"/>
      <c r="M778" s="559"/>
      <c r="N778" s="559"/>
      <c r="O778" s="559"/>
      <c r="P778" s="559"/>
      <c r="Q778" s="559"/>
      <c r="R778" s="559"/>
      <c r="S778" s="559"/>
      <c r="T778" s="559"/>
      <c r="U778" s="559"/>
      <c r="V778" s="559"/>
      <c r="W778" s="559"/>
      <c r="X778" s="559"/>
      <c r="Y778" s="559"/>
      <c r="Z778" s="559"/>
    </row>
    <row r="779" spans="1:26" ht="18" customHeight="1" x14ac:dyDescent="0.35">
      <c r="A779" s="559"/>
      <c r="B779" s="559"/>
      <c r="C779" s="559"/>
      <c r="D779" s="559"/>
      <c r="E779" s="559"/>
      <c r="F779" s="559"/>
      <c r="G779" s="559"/>
      <c r="H779" s="559"/>
      <c r="I779" s="559"/>
      <c r="J779" s="559"/>
      <c r="K779" s="559"/>
      <c r="L779" s="559"/>
      <c r="M779" s="559"/>
      <c r="N779" s="559"/>
      <c r="O779" s="559"/>
      <c r="P779" s="559"/>
      <c r="Q779" s="559"/>
      <c r="R779" s="559"/>
      <c r="S779" s="559"/>
      <c r="T779" s="559"/>
      <c r="U779" s="559"/>
      <c r="V779" s="559"/>
      <c r="W779" s="559"/>
      <c r="X779" s="559"/>
      <c r="Y779" s="559"/>
      <c r="Z779" s="559"/>
    </row>
    <row r="780" spans="1:26" ht="18" customHeight="1" x14ac:dyDescent="0.35">
      <c r="A780" s="559"/>
      <c r="B780" s="559"/>
      <c r="C780" s="559"/>
      <c r="D780" s="559"/>
      <c r="E780" s="559"/>
      <c r="F780" s="559"/>
      <c r="G780" s="559"/>
      <c r="H780" s="559"/>
      <c r="I780" s="559"/>
      <c r="J780" s="559"/>
      <c r="K780" s="559"/>
      <c r="L780" s="559"/>
      <c r="M780" s="559"/>
      <c r="N780" s="559"/>
      <c r="O780" s="559"/>
      <c r="P780" s="559"/>
      <c r="Q780" s="559"/>
      <c r="R780" s="559"/>
      <c r="S780" s="559"/>
      <c r="T780" s="559"/>
      <c r="U780" s="559"/>
      <c r="V780" s="559"/>
      <c r="W780" s="559"/>
      <c r="X780" s="559"/>
      <c r="Y780" s="559"/>
      <c r="Z780" s="559"/>
    </row>
    <row r="781" spans="1:26" ht="18" customHeight="1" x14ac:dyDescent="0.35">
      <c r="A781" s="559"/>
      <c r="B781" s="559"/>
      <c r="C781" s="559"/>
      <c r="D781" s="559"/>
      <c r="E781" s="559"/>
      <c r="F781" s="559"/>
      <c r="G781" s="559"/>
      <c r="H781" s="559"/>
      <c r="I781" s="559"/>
      <c r="J781" s="559"/>
      <c r="K781" s="559"/>
      <c r="L781" s="559"/>
      <c r="M781" s="559"/>
      <c r="N781" s="559"/>
      <c r="O781" s="559"/>
      <c r="P781" s="559"/>
      <c r="Q781" s="559"/>
      <c r="R781" s="559"/>
      <c r="S781" s="559"/>
      <c r="T781" s="559"/>
      <c r="U781" s="559"/>
      <c r="V781" s="559"/>
      <c r="W781" s="559"/>
      <c r="X781" s="559"/>
      <c r="Y781" s="559"/>
      <c r="Z781" s="559"/>
    </row>
    <row r="782" spans="1:26" ht="18" customHeight="1" x14ac:dyDescent="0.35">
      <c r="A782" s="559"/>
      <c r="B782" s="559"/>
      <c r="C782" s="559"/>
      <c r="D782" s="559"/>
      <c r="E782" s="559"/>
      <c r="F782" s="559"/>
      <c r="G782" s="559"/>
      <c r="H782" s="559"/>
      <c r="I782" s="559"/>
      <c r="J782" s="559"/>
      <c r="K782" s="559"/>
      <c r="L782" s="559"/>
      <c r="M782" s="559"/>
      <c r="N782" s="559"/>
      <c r="O782" s="559"/>
      <c r="P782" s="559"/>
      <c r="Q782" s="559"/>
      <c r="R782" s="559"/>
      <c r="S782" s="559"/>
      <c r="T782" s="559"/>
      <c r="U782" s="559"/>
      <c r="V782" s="559"/>
      <c r="W782" s="559"/>
      <c r="X782" s="559"/>
      <c r="Y782" s="559"/>
      <c r="Z782" s="559"/>
    </row>
    <row r="783" spans="1:26" ht="18" customHeight="1" x14ac:dyDescent="0.35">
      <c r="A783" s="559"/>
      <c r="B783" s="559"/>
      <c r="C783" s="559"/>
      <c r="D783" s="559"/>
      <c r="E783" s="559"/>
      <c r="F783" s="559"/>
      <c r="G783" s="559"/>
      <c r="H783" s="559"/>
      <c r="I783" s="559"/>
      <c r="J783" s="559"/>
      <c r="K783" s="559"/>
      <c r="L783" s="559"/>
      <c r="M783" s="559"/>
      <c r="N783" s="559"/>
      <c r="O783" s="559"/>
      <c r="P783" s="559"/>
      <c r="Q783" s="559"/>
      <c r="R783" s="559"/>
      <c r="S783" s="559"/>
      <c r="T783" s="559"/>
      <c r="U783" s="559"/>
      <c r="V783" s="559"/>
      <c r="W783" s="559"/>
      <c r="X783" s="559"/>
      <c r="Y783" s="559"/>
      <c r="Z783" s="559"/>
    </row>
    <row r="784" spans="1:26" ht="18" customHeight="1" x14ac:dyDescent="0.35">
      <c r="A784" s="559"/>
      <c r="B784" s="559"/>
      <c r="C784" s="559"/>
      <c r="D784" s="559"/>
      <c r="E784" s="559"/>
      <c r="F784" s="559"/>
      <c r="G784" s="559"/>
      <c r="H784" s="559"/>
      <c r="I784" s="559"/>
      <c r="J784" s="559"/>
      <c r="K784" s="559"/>
      <c r="L784" s="559"/>
      <c r="M784" s="559"/>
      <c r="N784" s="559"/>
      <c r="O784" s="559"/>
      <c r="P784" s="559"/>
      <c r="Q784" s="559"/>
      <c r="R784" s="559"/>
      <c r="S784" s="559"/>
      <c r="T784" s="559"/>
      <c r="U784" s="559"/>
      <c r="V784" s="559"/>
      <c r="W784" s="559"/>
      <c r="X784" s="559"/>
      <c r="Y784" s="559"/>
      <c r="Z784" s="559"/>
    </row>
    <row r="785" spans="1:26" ht="18" customHeight="1" x14ac:dyDescent="0.35">
      <c r="A785" s="559"/>
      <c r="B785" s="559"/>
      <c r="C785" s="559"/>
      <c r="D785" s="559"/>
      <c r="E785" s="559"/>
      <c r="F785" s="559"/>
      <c r="G785" s="559"/>
      <c r="H785" s="559"/>
      <c r="I785" s="559"/>
      <c r="J785" s="559"/>
      <c r="K785" s="559"/>
      <c r="L785" s="559"/>
      <c r="M785" s="559"/>
      <c r="N785" s="559"/>
      <c r="O785" s="559"/>
      <c r="P785" s="559"/>
      <c r="Q785" s="559"/>
      <c r="R785" s="559"/>
      <c r="S785" s="559"/>
      <c r="T785" s="559"/>
      <c r="U785" s="559"/>
      <c r="V785" s="559"/>
      <c r="W785" s="559"/>
      <c r="X785" s="559"/>
      <c r="Y785" s="559"/>
      <c r="Z785" s="559"/>
    </row>
    <row r="786" spans="1:26" ht="18" customHeight="1" x14ac:dyDescent="0.35">
      <c r="A786" s="559"/>
      <c r="B786" s="559"/>
      <c r="C786" s="559"/>
      <c r="D786" s="559"/>
      <c r="E786" s="559"/>
      <c r="F786" s="559"/>
      <c r="G786" s="559"/>
      <c r="H786" s="559"/>
      <c r="I786" s="559"/>
      <c r="J786" s="559"/>
      <c r="K786" s="559"/>
      <c r="L786" s="559"/>
      <c r="M786" s="559"/>
      <c r="N786" s="559"/>
      <c r="O786" s="559"/>
      <c r="P786" s="559"/>
      <c r="Q786" s="559"/>
      <c r="R786" s="559"/>
      <c r="S786" s="559"/>
      <c r="T786" s="559"/>
      <c r="U786" s="559"/>
      <c r="V786" s="559"/>
      <c r="W786" s="559"/>
      <c r="X786" s="559"/>
      <c r="Y786" s="559"/>
      <c r="Z786" s="559"/>
    </row>
    <row r="787" spans="1:26" ht="18" customHeight="1" x14ac:dyDescent="0.35">
      <c r="A787" s="559"/>
      <c r="B787" s="559"/>
      <c r="C787" s="559"/>
      <c r="D787" s="559"/>
      <c r="E787" s="559"/>
      <c r="F787" s="559"/>
      <c r="G787" s="559"/>
      <c r="H787" s="559"/>
      <c r="I787" s="559"/>
      <c r="J787" s="559"/>
      <c r="K787" s="559"/>
      <c r="L787" s="559"/>
      <c r="M787" s="559"/>
      <c r="N787" s="559"/>
      <c r="O787" s="559"/>
      <c r="P787" s="559"/>
      <c r="Q787" s="559"/>
      <c r="R787" s="559"/>
      <c r="S787" s="559"/>
      <c r="T787" s="559"/>
      <c r="U787" s="559"/>
      <c r="V787" s="559"/>
      <c r="W787" s="559"/>
      <c r="X787" s="559"/>
      <c r="Y787" s="559"/>
      <c r="Z787" s="559"/>
    </row>
    <row r="788" spans="1:26" ht="18" customHeight="1" x14ac:dyDescent="0.35">
      <c r="A788" s="559"/>
      <c r="B788" s="559"/>
      <c r="C788" s="559"/>
      <c r="D788" s="559"/>
      <c r="E788" s="559"/>
      <c r="F788" s="559"/>
      <c r="G788" s="559"/>
      <c r="H788" s="559"/>
      <c r="I788" s="559"/>
      <c r="J788" s="559"/>
      <c r="K788" s="559"/>
      <c r="L788" s="559"/>
      <c r="M788" s="559"/>
      <c r="N788" s="559"/>
      <c r="O788" s="559"/>
      <c r="P788" s="559"/>
      <c r="Q788" s="559"/>
      <c r="R788" s="559"/>
      <c r="S788" s="559"/>
      <c r="T788" s="559"/>
      <c r="U788" s="559"/>
      <c r="V788" s="559"/>
      <c r="W788" s="559"/>
      <c r="X788" s="559"/>
      <c r="Y788" s="559"/>
      <c r="Z788" s="559"/>
    </row>
    <row r="789" spans="1:26" ht="18" customHeight="1" x14ac:dyDescent="0.35">
      <c r="A789" s="559"/>
      <c r="B789" s="559"/>
      <c r="C789" s="559"/>
      <c r="D789" s="559"/>
      <c r="E789" s="559"/>
      <c r="F789" s="559"/>
      <c r="G789" s="559"/>
      <c r="H789" s="559"/>
      <c r="I789" s="559"/>
      <c r="J789" s="559"/>
      <c r="K789" s="559"/>
      <c r="L789" s="559"/>
      <c r="M789" s="559"/>
      <c r="N789" s="559"/>
      <c r="O789" s="559"/>
      <c r="P789" s="559"/>
      <c r="Q789" s="559"/>
      <c r="R789" s="559"/>
      <c r="S789" s="559"/>
      <c r="T789" s="559"/>
      <c r="U789" s="559"/>
      <c r="V789" s="559"/>
      <c r="W789" s="559"/>
      <c r="X789" s="559"/>
      <c r="Y789" s="559"/>
      <c r="Z789" s="559"/>
    </row>
    <row r="790" spans="1:26" ht="18" customHeight="1" x14ac:dyDescent="0.35">
      <c r="A790" s="559"/>
      <c r="B790" s="559"/>
      <c r="C790" s="559"/>
      <c r="D790" s="559"/>
      <c r="E790" s="559"/>
      <c r="F790" s="559"/>
      <c r="G790" s="559"/>
      <c r="H790" s="559"/>
      <c r="I790" s="559"/>
      <c r="J790" s="559"/>
      <c r="K790" s="559"/>
      <c r="L790" s="559"/>
      <c r="M790" s="559"/>
      <c r="N790" s="559"/>
      <c r="O790" s="559"/>
      <c r="P790" s="559"/>
      <c r="Q790" s="559"/>
      <c r="R790" s="559"/>
      <c r="S790" s="559"/>
      <c r="T790" s="559"/>
      <c r="U790" s="559"/>
      <c r="V790" s="559"/>
      <c r="W790" s="559"/>
      <c r="X790" s="559"/>
      <c r="Y790" s="559"/>
      <c r="Z790" s="559"/>
    </row>
    <row r="791" spans="1:26" ht="18" customHeight="1" x14ac:dyDescent="0.35">
      <c r="A791" s="559"/>
      <c r="B791" s="559"/>
      <c r="C791" s="559"/>
      <c r="D791" s="559"/>
      <c r="E791" s="559"/>
      <c r="F791" s="559"/>
      <c r="G791" s="559"/>
      <c r="H791" s="559"/>
      <c r="I791" s="559"/>
      <c r="J791" s="559"/>
      <c r="K791" s="559"/>
      <c r="L791" s="559"/>
      <c r="M791" s="559"/>
      <c r="N791" s="559"/>
      <c r="O791" s="559"/>
      <c r="P791" s="559"/>
      <c r="Q791" s="559"/>
      <c r="R791" s="559"/>
      <c r="S791" s="559"/>
      <c r="T791" s="559"/>
      <c r="U791" s="559"/>
      <c r="V791" s="559"/>
      <c r="W791" s="559"/>
      <c r="X791" s="559"/>
      <c r="Y791" s="559"/>
      <c r="Z791" s="559"/>
    </row>
    <row r="792" spans="1:26" ht="18" customHeight="1" x14ac:dyDescent="0.35">
      <c r="A792" s="559"/>
      <c r="B792" s="559"/>
      <c r="C792" s="559"/>
      <c r="D792" s="559"/>
      <c r="E792" s="559"/>
      <c r="F792" s="559"/>
      <c r="G792" s="559"/>
      <c r="H792" s="559"/>
      <c r="I792" s="559"/>
      <c r="J792" s="559"/>
      <c r="K792" s="559"/>
      <c r="L792" s="559"/>
      <c r="M792" s="559"/>
      <c r="N792" s="559"/>
      <c r="O792" s="559"/>
      <c r="P792" s="559"/>
      <c r="Q792" s="559"/>
      <c r="R792" s="559"/>
      <c r="S792" s="559"/>
      <c r="T792" s="559"/>
      <c r="U792" s="559"/>
      <c r="V792" s="559"/>
      <c r="W792" s="559"/>
      <c r="X792" s="559"/>
      <c r="Y792" s="559"/>
      <c r="Z792" s="559"/>
    </row>
    <row r="793" spans="1:26" ht="18" customHeight="1" x14ac:dyDescent="0.35">
      <c r="A793" s="559"/>
      <c r="B793" s="559"/>
      <c r="C793" s="559"/>
      <c r="D793" s="559"/>
      <c r="E793" s="559"/>
      <c r="F793" s="559"/>
      <c r="G793" s="559"/>
      <c r="H793" s="559"/>
      <c r="I793" s="559"/>
      <c r="J793" s="559"/>
      <c r="K793" s="559"/>
      <c r="L793" s="559"/>
      <c r="M793" s="559"/>
      <c r="N793" s="559"/>
      <c r="O793" s="559"/>
      <c r="P793" s="559"/>
      <c r="Q793" s="559"/>
      <c r="R793" s="559"/>
      <c r="S793" s="559"/>
      <c r="T793" s="559"/>
      <c r="U793" s="559"/>
      <c r="V793" s="559"/>
      <c r="W793" s="559"/>
      <c r="X793" s="559"/>
      <c r="Y793" s="559"/>
      <c r="Z793" s="559"/>
    </row>
    <row r="794" spans="1:26" ht="18" customHeight="1" x14ac:dyDescent="0.35">
      <c r="A794" s="559"/>
      <c r="B794" s="559"/>
      <c r="C794" s="559"/>
      <c r="D794" s="559"/>
      <c r="E794" s="559"/>
      <c r="F794" s="559"/>
      <c r="G794" s="559"/>
      <c r="H794" s="559"/>
      <c r="I794" s="559"/>
      <c r="J794" s="559"/>
      <c r="K794" s="559"/>
      <c r="L794" s="559"/>
      <c r="M794" s="559"/>
      <c r="N794" s="559"/>
      <c r="O794" s="559"/>
      <c r="P794" s="559"/>
      <c r="Q794" s="559"/>
      <c r="R794" s="559"/>
      <c r="S794" s="559"/>
      <c r="T794" s="559"/>
      <c r="U794" s="559"/>
      <c r="V794" s="559"/>
      <c r="W794" s="559"/>
      <c r="X794" s="559"/>
      <c r="Y794" s="559"/>
      <c r="Z794" s="559"/>
    </row>
    <row r="795" spans="1:26" ht="18" customHeight="1" x14ac:dyDescent="0.35">
      <c r="A795" s="559"/>
      <c r="B795" s="559"/>
      <c r="C795" s="559"/>
      <c r="D795" s="559"/>
      <c r="E795" s="559"/>
      <c r="F795" s="559"/>
      <c r="G795" s="559"/>
      <c r="H795" s="559"/>
      <c r="I795" s="559"/>
      <c r="J795" s="559"/>
      <c r="K795" s="559"/>
      <c r="L795" s="559"/>
      <c r="M795" s="559"/>
      <c r="N795" s="559"/>
      <c r="O795" s="559"/>
      <c r="P795" s="559"/>
      <c r="Q795" s="559"/>
      <c r="R795" s="559"/>
      <c r="S795" s="559"/>
      <c r="T795" s="559"/>
      <c r="U795" s="559"/>
      <c r="V795" s="559"/>
      <c r="W795" s="559"/>
      <c r="X795" s="559"/>
      <c r="Y795" s="559"/>
      <c r="Z795" s="559"/>
    </row>
    <row r="796" spans="1:26" ht="18" customHeight="1" x14ac:dyDescent="0.35">
      <c r="A796" s="559"/>
      <c r="B796" s="559"/>
      <c r="C796" s="559"/>
      <c r="D796" s="559"/>
      <c r="E796" s="559"/>
      <c r="F796" s="559"/>
      <c r="G796" s="559"/>
      <c r="H796" s="559"/>
      <c r="I796" s="559"/>
      <c r="J796" s="559"/>
      <c r="K796" s="559"/>
      <c r="L796" s="559"/>
      <c r="M796" s="559"/>
      <c r="N796" s="559"/>
      <c r="O796" s="559"/>
      <c r="P796" s="559"/>
      <c r="Q796" s="559"/>
      <c r="R796" s="559"/>
      <c r="S796" s="559"/>
      <c r="T796" s="559"/>
      <c r="U796" s="559"/>
      <c r="V796" s="559"/>
      <c r="W796" s="559"/>
      <c r="X796" s="559"/>
      <c r="Y796" s="559"/>
      <c r="Z796" s="559"/>
    </row>
    <row r="797" spans="1:26" ht="18" customHeight="1" x14ac:dyDescent="0.35">
      <c r="A797" s="559"/>
      <c r="B797" s="559"/>
      <c r="C797" s="559"/>
      <c r="D797" s="559"/>
      <c r="E797" s="559"/>
      <c r="F797" s="559"/>
      <c r="G797" s="559"/>
      <c r="H797" s="559"/>
      <c r="I797" s="559"/>
      <c r="J797" s="559"/>
      <c r="K797" s="559"/>
      <c r="L797" s="559"/>
      <c r="M797" s="559"/>
      <c r="N797" s="559"/>
      <c r="O797" s="559"/>
      <c r="P797" s="559"/>
      <c r="Q797" s="559"/>
      <c r="R797" s="559"/>
      <c r="S797" s="559"/>
      <c r="T797" s="559"/>
      <c r="U797" s="559"/>
      <c r="V797" s="559"/>
      <c r="W797" s="559"/>
      <c r="X797" s="559"/>
      <c r="Y797" s="559"/>
      <c r="Z797" s="559"/>
    </row>
    <row r="798" spans="1:26" ht="18" customHeight="1" x14ac:dyDescent="0.35">
      <c r="A798" s="559"/>
      <c r="B798" s="559"/>
      <c r="C798" s="559"/>
      <c r="D798" s="559"/>
      <c r="E798" s="559"/>
      <c r="F798" s="559"/>
      <c r="G798" s="559"/>
      <c r="H798" s="559"/>
      <c r="I798" s="559"/>
      <c r="J798" s="559"/>
      <c r="K798" s="559"/>
      <c r="L798" s="559"/>
      <c r="M798" s="559"/>
      <c r="N798" s="559"/>
      <c r="O798" s="559"/>
      <c r="P798" s="559"/>
      <c r="Q798" s="559"/>
      <c r="R798" s="559"/>
      <c r="S798" s="559"/>
      <c r="T798" s="559"/>
      <c r="U798" s="559"/>
      <c r="V798" s="559"/>
      <c r="W798" s="559"/>
      <c r="X798" s="559"/>
      <c r="Y798" s="559"/>
      <c r="Z798" s="559"/>
    </row>
    <row r="799" spans="1:26" ht="18" customHeight="1" x14ac:dyDescent="0.35">
      <c r="A799" s="559"/>
      <c r="B799" s="559"/>
      <c r="C799" s="559"/>
      <c r="D799" s="559"/>
      <c r="E799" s="559"/>
      <c r="F799" s="559"/>
      <c r="G799" s="559"/>
      <c r="H799" s="559"/>
      <c r="I799" s="559"/>
      <c r="J799" s="559"/>
      <c r="K799" s="559"/>
      <c r="L799" s="559"/>
      <c r="M799" s="559"/>
      <c r="N799" s="559"/>
      <c r="O799" s="559"/>
      <c r="P799" s="559"/>
      <c r="Q799" s="559"/>
      <c r="R799" s="559"/>
      <c r="S799" s="559"/>
      <c r="T799" s="559"/>
      <c r="U799" s="559"/>
      <c r="V799" s="559"/>
      <c r="W799" s="559"/>
      <c r="X799" s="559"/>
      <c r="Y799" s="559"/>
      <c r="Z799" s="559"/>
    </row>
    <row r="800" spans="1:26" ht="18" customHeight="1" x14ac:dyDescent="0.35">
      <c r="A800" s="559"/>
      <c r="B800" s="559"/>
      <c r="C800" s="559"/>
      <c r="D800" s="559"/>
      <c r="E800" s="559"/>
      <c r="F800" s="559"/>
      <c r="G800" s="559"/>
      <c r="H800" s="559"/>
      <c r="I800" s="559"/>
      <c r="J800" s="559"/>
      <c r="K800" s="559"/>
      <c r="L800" s="559"/>
      <c r="M800" s="559"/>
      <c r="N800" s="559"/>
      <c r="O800" s="559"/>
      <c r="P800" s="559"/>
      <c r="Q800" s="559"/>
      <c r="R800" s="559"/>
      <c r="S800" s="559"/>
      <c r="T800" s="559"/>
      <c r="U800" s="559"/>
      <c r="V800" s="559"/>
      <c r="W800" s="559"/>
      <c r="X800" s="559"/>
      <c r="Y800" s="559"/>
      <c r="Z800" s="559"/>
    </row>
    <row r="801" spans="1:26" ht="18" customHeight="1" x14ac:dyDescent="0.35">
      <c r="A801" s="559"/>
      <c r="B801" s="559"/>
      <c r="C801" s="559"/>
      <c r="D801" s="559"/>
      <c r="E801" s="559"/>
      <c r="F801" s="559"/>
      <c r="G801" s="559"/>
      <c r="H801" s="559"/>
      <c r="I801" s="559"/>
      <c r="J801" s="559"/>
      <c r="K801" s="559"/>
      <c r="L801" s="559"/>
      <c r="M801" s="559"/>
      <c r="N801" s="559"/>
      <c r="O801" s="559"/>
      <c r="P801" s="559"/>
      <c r="Q801" s="559"/>
      <c r="R801" s="559"/>
      <c r="S801" s="559"/>
      <c r="T801" s="559"/>
      <c r="U801" s="559"/>
      <c r="V801" s="559"/>
      <c r="W801" s="559"/>
      <c r="X801" s="559"/>
      <c r="Y801" s="559"/>
      <c r="Z801" s="559"/>
    </row>
    <row r="802" spans="1:26" ht="18" customHeight="1" x14ac:dyDescent="0.35">
      <c r="A802" s="559"/>
      <c r="B802" s="559"/>
      <c r="C802" s="559"/>
      <c r="D802" s="559"/>
      <c r="E802" s="559"/>
      <c r="F802" s="559"/>
      <c r="G802" s="559"/>
      <c r="H802" s="559"/>
      <c r="I802" s="559"/>
      <c r="J802" s="559"/>
      <c r="K802" s="559"/>
      <c r="L802" s="559"/>
      <c r="M802" s="559"/>
      <c r="N802" s="559"/>
      <c r="O802" s="559"/>
      <c r="P802" s="559"/>
      <c r="Q802" s="559"/>
      <c r="R802" s="559"/>
      <c r="S802" s="559"/>
      <c r="T802" s="559"/>
      <c r="U802" s="559"/>
      <c r="V802" s="559"/>
      <c r="W802" s="559"/>
      <c r="X802" s="559"/>
      <c r="Y802" s="559"/>
      <c r="Z802" s="559"/>
    </row>
    <row r="803" spans="1:26" ht="18" customHeight="1" x14ac:dyDescent="0.35">
      <c r="A803" s="559"/>
      <c r="B803" s="559"/>
      <c r="C803" s="559"/>
      <c r="D803" s="559"/>
      <c r="E803" s="559"/>
      <c r="F803" s="559"/>
      <c r="G803" s="559"/>
      <c r="H803" s="559"/>
      <c r="I803" s="559"/>
      <c r="J803" s="559"/>
      <c r="K803" s="559"/>
      <c r="L803" s="559"/>
      <c r="M803" s="559"/>
      <c r="N803" s="559"/>
      <c r="O803" s="559"/>
      <c r="P803" s="559"/>
      <c r="Q803" s="559"/>
      <c r="R803" s="559"/>
      <c r="S803" s="559"/>
      <c r="T803" s="559"/>
      <c r="U803" s="559"/>
      <c r="V803" s="559"/>
      <c r="W803" s="559"/>
      <c r="X803" s="559"/>
      <c r="Y803" s="559"/>
      <c r="Z803" s="559"/>
    </row>
    <row r="804" spans="1:26" ht="18" customHeight="1" x14ac:dyDescent="0.35">
      <c r="A804" s="559"/>
      <c r="B804" s="559"/>
      <c r="C804" s="559"/>
      <c r="D804" s="559"/>
      <c r="E804" s="559"/>
      <c r="F804" s="559"/>
      <c r="G804" s="559"/>
      <c r="H804" s="559"/>
      <c r="I804" s="559"/>
      <c r="J804" s="559"/>
      <c r="K804" s="559"/>
      <c r="L804" s="559"/>
      <c r="M804" s="559"/>
      <c r="N804" s="559"/>
      <c r="O804" s="559"/>
      <c r="P804" s="559"/>
      <c r="Q804" s="559"/>
      <c r="R804" s="559"/>
      <c r="S804" s="559"/>
      <c r="T804" s="559"/>
      <c r="U804" s="559"/>
      <c r="V804" s="559"/>
      <c r="W804" s="559"/>
      <c r="X804" s="559"/>
      <c r="Y804" s="559"/>
      <c r="Z804" s="559"/>
    </row>
    <row r="805" spans="1:26" ht="18" customHeight="1" x14ac:dyDescent="0.35">
      <c r="A805" s="559"/>
      <c r="B805" s="559"/>
      <c r="C805" s="559"/>
      <c r="D805" s="559"/>
      <c r="E805" s="559"/>
      <c r="F805" s="559"/>
      <c r="G805" s="559"/>
      <c r="H805" s="559"/>
      <c r="I805" s="559"/>
      <c r="J805" s="559"/>
      <c r="K805" s="559"/>
      <c r="L805" s="559"/>
      <c r="M805" s="559"/>
      <c r="N805" s="559"/>
      <c r="O805" s="559"/>
      <c r="P805" s="559"/>
      <c r="Q805" s="559"/>
      <c r="R805" s="559"/>
      <c r="S805" s="559"/>
      <c r="T805" s="559"/>
      <c r="U805" s="559"/>
      <c r="V805" s="559"/>
      <c r="W805" s="559"/>
      <c r="X805" s="559"/>
      <c r="Y805" s="559"/>
      <c r="Z805" s="559"/>
    </row>
    <row r="806" spans="1:26" ht="18" customHeight="1" x14ac:dyDescent="0.35">
      <c r="A806" s="559"/>
      <c r="B806" s="559"/>
      <c r="C806" s="559"/>
      <c r="D806" s="559"/>
      <c r="E806" s="559"/>
      <c r="F806" s="559"/>
      <c r="G806" s="559"/>
      <c r="H806" s="559"/>
      <c r="I806" s="559"/>
      <c r="J806" s="559"/>
      <c r="K806" s="559"/>
      <c r="L806" s="559"/>
      <c r="M806" s="559"/>
      <c r="N806" s="559"/>
      <c r="O806" s="559"/>
      <c r="P806" s="559"/>
      <c r="Q806" s="559"/>
      <c r="R806" s="559"/>
      <c r="S806" s="559"/>
      <c r="T806" s="559"/>
      <c r="U806" s="559"/>
      <c r="V806" s="559"/>
      <c r="W806" s="559"/>
      <c r="X806" s="559"/>
      <c r="Y806" s="559"/>
      <c r="Z806" s="559"/>
    </row>
    <row r="807" spans="1:26" ht="18" customHeight="1" x14ac:dyDescent="0.35">
      <c r="A807" s="559"/>
      <c r="B807" s="559"/>
      <c r="C807" s="559"/>
      <c r="D807" s="559"/>
      <c r="E807" s="559"/>
      <c r="F807" s="559"/>
      <c r="G807" s="559"/>
      <c r="H807" s="559"/>
      <c r="I807" s="559"/>
      <c r="J807" s="559"/>
      <c r="K807" s="559"/>
      <c r="L807" s="559"/>
      <c r="M807" s="559"/>
      <c r="N807" s="559"/>
      <c r="O807" s="559"/>
      <c r="P807" s="559"/>
      <c r="Q807" s="559"/>
      <c r="R807" s="559"/>
      <c r="S807" s="559"/>
      <c r="T807" s="559"/>
      <c r="U807" s="559"/>
      <c r="V807" s="559"/>
      <c r="W807" s="559"/>
      <c r="X807" s="559"/>
      <c r="Y807" s="559"/>
      <c r="Z807" s="559"/>
    </row>
    <row r="808" spans="1:26" ht="18" customHeight="1" x14ac:dyDescent="0.35">
      <c r="A808" s="559"/>
      <c r="B808" s="559"/>
      <c r="C808" s="559"/>
      <c r="D808" s="559"/>
      <c r="E808" s="559"/>
      <c r="F808" s="559"/>
      <c r="G808" s="559"/>
      <c r="H808" s="559"/>
      <c r="I808" s="559"/>
      <c r="J808" s="559"/>
      <c r="K808" s="559"/>
      <c r="L808" s="559"/>
      <c r="M808" s="559"/>
      <c r="N808" s="559"/>
      <c r="O808" s="559"/>
      <c r="P808" s="559"/>
      <c r="Q808" s="559"/>
      <c r="R808" s="559"/>
      <c r="S808" s="559"/>
      <c r="T808" s="559"/>
      <c r="U808" s="559"/>
      <c r="V808" s="559"/>
      <c r="W808" s="559"/>
      <c r="X808" s="559"/>
      <c r="Y808" s="559"/>
      <c r="Z808" s="559"/>
    </row>
    <row r="809" spans="1:26" ht="18" customHeight="1" x14ac:dyDescent="0.35">
      <c r="A809" s="559"/>
      <c r="B809" s="559"/>
      <c r="C809" s="559"/>
      <c r="D809" s="559"/>
      <c r="E809" s="559"/>
      <c r="F809" s="559"/>
      <c r="G809" s="559"/>
      <c r="H809" s="559"/>
      <c r="I809" s="559"/>
      <c r="J809" s="559"/>
      <c r="K809" s="559"/>
      <c r="L809" s="559"/>
      <c r="M809" s="559"/>
      <c r="N809" s="559"/>
      <c r="O809" s="559"/>
      <c r="P809" s="559"/>
      <c r="Q809" s="559"/>
      <c r="R809" s="559"/>
      <c r="S809" s="559"/>
      <c r="T809" s="559"/>
      <c r="U809" s="559"/>
      <c r="V809" s="559"/>
      <c r="W809" s="559"/>
      <c r="X809" s="559"/>
      <c r="Y809" s="559"/>
      <c r="Z809" s="559"/>
    </row>
    <row r="810" spans="1:26" ht="18" customHeight="1" x14ac:dyDescent="0.35">
      <c r="A810" s="559"/>
      <c r="B810" s="559"/>
      <c r="C810" s="559"/>
      <c r="D810" s="559"/>
      <c r="E810" s="559"/>
      <c r="F810" s="559"/>
      <c r="G810" s="559"/>
      <c r="H810" s="559"/>
      <c r="I810" s="559"/>
      <c r="J810" s="559"/>
      <c r="K810" s="559"/>
      <c r="L810" s="559"/>
      <c r="M810" s="559"/>
      <c r="N810" s="559"/>
      <c r="O810" s="559"/>
      <c r="P810" s="559"/>
      <c r="Q810" s="559"/>
      <c r="R810" s="559"/>
      <c r="S810" s="559"/>
      <c r="T810" s="559"/>
      <c r="U810" s="559"/>
      <c r="V810" s="559"/>
      <c r="W810" s="559"/>
      <c r="X810" s="559"/>
      <c r="Y810" s="559"/>
      <c r="Z810" s="559"/>
    </row>
    <row r="811" spans="1:26" ht="18" customHeight="1" x14ac:dyDescent="0.35">
      <c r="A811" s="559"/>
      <c r="B811" s="559"/>
      <c r="C811" s="559"/>
      <c r="D811" s="559"/>
      <c r="E811" s="559"/>
      <c r="F811" s="559"/>
      <c r="G811" s="559"/>
      <c r="H811" s="559"/>
      <c r="I811" s="559"/>
      <c r="J811" s="559"/>
      <c r="K811" s="559"/>
      <c r="L811" s="559"/>
      <c r="M811" s="559"/>
      <c r="N811" s="559"/>
      <c r="O811" s="559"/>
      <c r="P811" s="559"/>
      <c r="Q811" s="559"/>
      <c r="R811" s="559"/>
      <c r="S811" s="559"/>
      <c r="T811" s="559"/>
      <c r="U811" s="559"/>
      <c r="V811" s="559"/>
      <c r="W811" s="559"/>
      <c r="X811" s="559"/>
      <c r="Y811" s="559"/>
      <c r="Z811" s="559"/>
    </row>
    <row r="812" spans="1:26" ht="18" customHeight="1" x14ac:dyDescent="0.35">
      <c r="A812" s="559"/>
      <c r="B812" s="559"/>
      <c r="C812" s="559"/>
      <c r="D812" s="559"/>
      <c r="E812" s="559"/>
      <c r="F812" s="559"/>
      <c r="G812" s="559"/>
      <c r="H812" s="559"/>
      <c r="I812" s="559"/>
      <c r="J812" s="559"/>
      <c r="K812" s="559"/>
      <c r="L812" s="559"/>
      <c r="M812" s="559"/>
      <c r="N812" s="559"/>
      <c r="O812" s="559"/>
      <c r="P812" s="559"/>
      <c r="Q812" s="559"/>
      <c r="R812" s="559"/>
      <c r="S812" s="559"/>
      <c r="T812" s="559"/>
      <c r="U812" s="559"/>
      <c r="V812" s="559"/>
      <c r="W812" s="559"/>
      <c r="X812" s="559"/>
      <c r="Y812" s="559"/>
      <c r="Z812" s="559"/>
    </row>
    <row r="813" spans="1:26" ht="18" customHeight="1" x14ac:dyDescent="0.35">
      <c r="A813" s="559"/>
      <c r="B813" s="559"/>
      <c r="C813" s="559"/>
      <c r="D813" s="559"/>
      <c r="E813" s="559"/>
      <c r="F813" s="559"/>
      <c r="G813" s="559"/>
      <c r="H813" s="559"/>
      <c r="I813" s="559"/>
      <c r="J813" s="559"/>
      <c r="K813" s="559"/>
      <c r="L813" s="559"/>
      <c r="M813" s="559"/>
      <c r="N813" s="559"/>
      <c r="O813" s="559"/>
      <c r="P813" s="559"/>
      <c r="Q813" s="559"/>
      <c r="R813" s="559"/>
      <c r="S813" s="559"/>
      <c r="T813" s="559"/>
      <c r="U813" s="559"/>
      <c r="V813" s="559"/>
      <c r="W813" s="559"/>
      <c r="X813" s="559"/>
      <c r="Y813" s="559"/>
      <c r="Z813" s="559"/>
    </row>
    <row r="814" spans="1:26" ht="18" customHeight="1" x14ac:dyDescent="0.35">
      <c r="A814" s="559"/>
      <c r="B814" s="559"/>
      <c r="C814" s="559"/>
      <c r="D814" s="559"/>
      <c r="E814" s="559"/>
      <c r="F814" s="559"/>
      <c r="G814" s="559"/>
      <c r="H814" s="559"/>
      <c r="I814" s="559"/>
      <c r="J814" s="559"/>
      <c r="K814" s="559"/>
      <c r="L814" s="559"/>
      <c r="M814" s="559"/>
      <c r="N814" s="559"/>
      <c r="O814" s="559"/>
      <c r="P814" s="559"/>
      <c r="Q814" s="559"/>
      <c r="R814" s="559"/>
      <c r="S814" s="559"/>
      <c r="T814" s="559"/>
      <c r="U814" s="559"/>
      <c r="V814" s="559"/>
      <c r="W814" s="559"/>
      <c r="X814" s="559"/>
      <c r="Y814" s="559"/>
      <c r="Z814" s="559"/>
    </row>
    <row r="815" spans="1:26" ht="18" customHeight="1" x14ac:dyDescent="0.35">
      <c r="A815" s="559"/>
      <c r="B815" s="559"/>
      <c r="C815" s="559"/>
      <c r="D815" s="559"/>
      <c r="E815" s="559"/>
      <c r="F815" s="559"/>
      <c r="G815" s="559"/>
      <c r="H815" s="559"/>
      <c r="I815" s="559"/>
      <c r="J815" s="559"/>
      <c r="K815" s="559"/>
      <c r="L815" s="559"/>
      <c r="M815" s="559"/>
      <c r="N815" s="559"/>
      <c r="O815" s="559"/>
      <c r="P815" s="559"/>
      <c r="Q815" s="559"/>
      <c r="R815" s="559"/>
      <c r="S815" s="559"/>
      <c r="T815" s="559"/>
      <c r="U815" s="559"/>
      <c r="V815" s="559"/>
      <c r="W815" s="559"/>
      <c r="X815" s="559"/>
      <c r="Y815" s="559"/>
      <c r="Z815" s="559"/>
    </row>
    <row r="816" spans="1:26" ht="18" customHeight="1" x14ac:dyDescent="0.35">
      <c r="A816" s="559"/>
      <c r="B816" s="559"/>
      <c r="C816" s="559"/>
      <c r="D816" s="559"/>
      <c r="E816" s="559"/>
      <c r="F816" s="559"/>
      <c r="G816" s="559"/>
      <c r="H816" s="559"/>
      <c r="I816" s="559"/>
      <c r="J816" s="559"/>
      <c r="K816" s="559"/>
      <c r="L816" s="559"/>
      <c r="M816" s="559"/>
      <c r="N816" s="559"/>
      <c r="O816" s="559"/>
      <c r="P816" s="559"/>
      <c r="Q816" s="559"/>
      <c r="R816" s="559"/>
      <c r="S816" s="559"/>
      <c r="T816" s="559"/>
      <c r="U816" s="559"/>
      <c r="V816" s="559"/>
      <c r="W816" s="559"/>
      <c r="X816" s="559"/>
      <c r="Y816" s="559"/>
      <c r="Z816" s="559"/>
    </row>
    <row r="817" spans="1:26" ht="18" customHeight="1" x14ac:dyDescent="0.35">
      <c r="A817" s="559"/>
      <c r="B817" s="559"/>
      <c r="C817" s="559"/>
      <c r="D817" s="559"/>
      <c r="E817" s="559"/>
      <c r="F817" s="559"/>
      <c r="G817" s="559"/>
      <c r="H817" s="559"/>
      <c r="I817" s="559"/>
      <c r="J817" s="559"/>
      <c r="K817" s="559"/>
      <c r="L817" s="559"/>
      <c r="M817" s="559"/>
      <c r="N817" s="559"/>
      <c r="O817" s="559"/>
      <c r="P817" s="559"/>
      <c r="Q817" s="559"/>
      <c r="R817" s="559"/>
      <c r="S817" s="559"/>
      <c r="T817" s="559"/>
      <c r="U817" s="559"/>
      <c r="V817" s="559"/>
      <c r="W817" s="559"/>
      <c r="X817" s="559"/>
      <c r="Y817" s="559"/>
      <c r="Z817" s="559"/>
    </row>
    <row r="818" spans="1:26" ht="18" customHeight="1" x14ac:dyDescent="0.35">
      <c r="A818" s="559"/>
      <c r="B818" s="559"/>
      <c r="C818" s="559"/>
      <c r="D818" s="559"/>
      <c r="E818" s="559"/>
      <c r="F818" s="559"/>
      <c r="G818" s="559"/>
      <c r="H818" s="559"/>
      <c r="I818" s="559"/>
      <c r="J818" s="559"/>
      <c r="K818" s="559"/>
      <c r="L818" s="559"/>
      <c r="M818" s="559"/>
      <c r="N818" s="559"/>
      <c r="O818" s="559"/>
      <c r="P818" s="559"/>
      <c r="Q818" s="559"/>
      <c r="R818" s="559"/>
      <c r="S818" s="559"/>
      <c r="T818" s="559"/>
      <c r="U818" s="559"/>
      <c r="V818" s="559"/>
      <c r="W818" s="559"/>
      <c r="X818" s="559"/>
      <c r="Y818" s="559"/>
      <c r="Z818" s="559"/>
    </row>
    <row r="819" spans="1:26" ht="18" customHeight="1" x14ac:dyDescent="0.35">
      <c r="A819" s="559"/>
      <c r="B819" s="559"/>
      <c r="C819" s="559"/>
      <c r="D819" s="559"/>
      <c r="E819" s="559"/>
      <c r="F819" s="559"/>
      <c r="G819" s="559"/>
      <c r="H819" s="559"/>
      <c r="I819" s="559"/>
      <c r="J819" s="559"/>
      <c r="K819" s="559"/>
      <c r="L819" s="559"/>
      <c r="M819" s="559"/>
      <c r="N819" s="559"/>
      <c r="O819" s="559"/>
      <c r="P819" s="559"/>
      <c r="Q819" s="559"/>
      <c r="R819" s="559"/>
      <c r="S819" s="559"/>
      <c r="T819" s="559"/>
      <c r="U819" s="559"/>
      <c r="V819" s="559"/>
      <c r="W819" s="559"/>
      <c r="X819" s="559"/>
      <c r="Y819" s="559"/>
      <c r="Z819" s="559"/>
    </row>
    <row r="820" spans="1:26" ht="18" customHeight="1" x14ac:dyDescent="0.35">
      <c r="A820" s="559"/>
      <c r="B820" s="559"/>
      <c r="C820" s="559"/>
      <c r="D820" s="559"/>
      <c r="E820" s="559"/>
      <c r="F820" s="559"/>
      <c r="G820" s="559"/>
      <c r="H820" s="559"/>
      <c r="I820" s="559"/>
      <c r="J820" s="559"/>
      <c r="K820" s="559"/>
      <c r="L820" s="559"/>
      <c r="M820" s="559"/>
      <c r="N820" s="559"/>
      <c r="O820" s="559"/>
      <c r="P820" s="559"/>
      <c r="Q820" s="559"/>
      <c r="R820" s="559"/>
      <c r="S820" s="559"/>
      <c r="T820" s="559"/>
      <c r="U820" s="559"/>
      <c r="V820" s="559"/>
      <c r="W820" s="559"/>
      <c r="X820" s="559"/>
      <c r="Y820" s="559"/>
      <c r="Z820" s="559"/>
    </row>
    <row r="821" spans="1:26" ht="18" customHeight="1" x14ac:dyDescent="0.35">
      <c r="A821" s="559"/>
      <c r="B821" s="559"/>
      <c r="C821" s="559"/>
      <c r="D821" s="559"/>
      <c r="E821" s="559"/>
      <c r="F821" s="559"/>
      <c r="G821" s="559"/>
      <c r="H821" s="559"/>
      <c r="I821" s="559"/>
      <c r="J821" s="559"/>
      <c r="K821" s="559"/>
      <c r="L821" s="559"/>
      <c r="M821" s="559"/>
      <c r="N821" s="559"/>
      <c r="O821" s="559"/>
      <c r="P821" s="559"/>
      <c r="Q821" s="559"/>
      <c r="R821" s="559"/>
      <c r="S821" s="559"/>
      <c r="T821" s="559"/>
      <c r="U821" s="559"/>
      <c r="V821" s="559"/>
      <c r="W821" s="559"/>
      <c r="X821" s="559"/>
      <c r="Y821" s="559"/>
      <c r="Z821" s="559"/>
    </row>
    <row r="822" spans="1:26" ht="18" customHeight="1" x14ac:dyDescent="0.35">
      <c r="A822" s="559"/>
      <c r="B822" s="559"/>
      <c r="C822" s="559"/>
      <c r="D822" s="559"/>
      <c r="E822" s="559"/>
      <c r="F822" s="559"/>
      <c r="G822" s="559"/>
      <c r="H822" s="559"/>
      <c r="I822" s="559"/>
      <c r="J822" s="559"/>
      <c r="K822" s="559"/>
      <c r="L822" s="559"/>
      <c r="M822" s="559"/>
      <c r="N822" s="559"/>
      <c r="O822" s="559"/>
      <c r="P822" s="559"/>
      <c r="Q822" s="559"/>
      <c r="R822" s="559"/>
      <c r="S822" s="559"/>
      <c r="T822" s="559"/>
      <c r="U822" s="559"/>
      <c r="V822" s="559"/>
      <c r="W822" s="559"/>
      <c r="X822" s="559"/>
      <c r="Y822" s="559"/>
      <c r="Z822" s="559"/>
    </row>
    <row r="823" spans="1:26" ht="18" customHeight="1" x14ac:dyDescent="0.35">
      <c r="A823" s="559"/>
      <c r="B823" s="559"/>
      <c r="C823" s="559"/>
      <c r="D823" s="559"/>
      <c r="E823" s="559"/>
      <c r="F823" s="559"/>
      <c r="G823" s="559"/>
      <c r="H823" s="559"/>
      <c r="I823" s="559"/>
      <c r="J823" s="559"/>
      <c r="K823" s="559"/>
      <c r="L823" s="559"/>
      <c r="M823" s="559"/>
      <c r="N823" s="559"/>
      <c r="O823" s="559"/>
      <c r="P823" s="559"/>
      <c r="Q823" s="559"/>
      <c r="R823" s="559"/>
      <c r="S823" s="559"/>
      <c r="T823" s="559"/>
      <c r="U823" s="559"/>
      <c r="V823" s="559"/>
      <c r="W823" s="559"/>
      <c r="X823" s="559"/>
      <c r="Y823" s="559"/>
      <c r="Z823" s="559"/>
    </row>
    <row r="824" spans="1:26" ht="18" customHeight="1" x14ac:dyDescent="0.35">
      <c r="A824" s="559"/>
      <c r="B824" s="559"/>
      <c r="C824" s="559"/>
      <c r="D824" s="559"/>
      <c r="E824" s="559"/>
      <c r="F824" s="559"/>
      <c r="G824" s="559"/>
      <c r="H824" s="559"/>
      <c r="I824" s="559"/>
      <c r="J824" s="559"/>
      <c r="K824" s="559"/>
      <c r="L824" s="559"/>
      <c r="M824" s="559"/>
      <c r="N824" s="559"/>
      <c r="O824" s="559"/>
      <c r="P824" s="559"/>
      <c r="Q824" s="559"/>
      <c r="R824" s="559"/>
      <c r="S824" s="559"/>
      <c r="T824" s="559"/>
      <c r="U824" s="559"/>
      <c r="V824" s="559"/>
      <c r="W824" s="559"/>
      <c r="X824" s="559"/>
      <c r="Y824" s="559"/>
      <c r="Z824" s="559"/>
    </row>
    <row r="825" spans="1:26" ht="18" customHeight="1" x14ac:dyDescent="0.35">
      <c r="A825" s="559"/>
      <c r="B825" s="559"/>
      <c r="C825" s="559"/>
      <c r="D825" s="559"/>
      <c r="E825" s="559"/>
      <c r="F825" s="559"/>
      <c r="G825" s="559"/>
      <c r="H825" s="559"/>
      <c r="I825" s="559"/>
      <c r="J825" s="559"/>
      <c r="K825" s="559"/>
      <c r="L825" s="559"/>
      <c r="M825" s="559"/>
      <c r="N825" s="559"/>
      <c r="O825" s="559"/>
      <c r="P825" s="559"/>
      <c r="Q825" s="559"/>
      <c r="R825" s="559"/>
      <c r="S825" s="559"/>
      <c r="T825" s="559"/>
      <c r="U825" s="559"/>
      <c r="V825" s="559"/>
      <c r="W825" s="559"/>
      <c r="X825" s="559"/>
      <c r="Y825" s="559"/>
      <c r="Z825" s="559"/>
    </row>
    <row r="826" spans="1:26" ht="18" customHeight="1" x14ac:dyDescent="0.35">
      <c r="A826" s="559"/>
      <c r="B826" s="559"/>
      <c r="C826" s="559"/>
      <c r="D826" s="559"/>
      <c r="E826" s="559"/>
      <c r="F826" s="559"/>
      <c r="G826" s="559"/>
      <c r="H826" s="559"/>
      <c r="I826" s="559"/>
      <c r="J826" s="559"/>
      <c r="K826" s="559"/>
      <c r="L826" s="559"/>
      <c r="M826" s="559"/>
      <c r="N826" s="559"/>
      <c r="O826" s="559"/>
      <c r="P826" s="559"/>
      <c r="Q826" s="559"/>
      <c r="R826" s="559"/>
      <c r="S826" s="559"/>
      <c r="T826" s="559"/>
      <c r="U826" s="559"/>
      <c r="V826" s="559"/>
      <c r="W826" s="559"/>
      <c r="X826" s="559"/>
      <c r="Y826" s="559"/>
      <c r="Z826" s="559"/>
    </row>
    <row r="827" spans="1:26" ht="18" customHeight="1" x14ac:dyDescent="0.35">
      <c r="A827" s="559"/>
      <c r="B827" s="559"/>
      <c r="C827" s="559"/>
      <c r="D827" s="559"/>
      <c r="E827" s="559"/>
      <c r="F827" s="559"/>
      <c r="G827" s="559"/>
      <c r="H827" s="559"/>
      <c r="I827" s="559"/>
      <c r="J827" s="559"/>
      <c r="K827" s="559"/>
      <c r="L827" s="559"/>
      <c r="M827" s="559"/>
      <c r="N827" s="559"/>
      <c r="O827" s="559"/>
      <c r="P827" s="559"/>
      <c r="Q827" s="559"/>
      <c r="R827" s="559"/>
      <c r="S827" s="559"/>
      <c r="T827" s="559"/>
      <c r="U827" s="559"/>
      <c r="V827" s="559"/>
      <c r="W827" s="559"/>
      <c r="X827" s="559"/>
      <c r="Y827" s="559"/>
      <c r="Z827" s="559"/>
    </row>
    <row r="828" spans="1:26" ht="18" customHeight="1" x14ac:dyDescent="0.35">
      <c r="A828" s="559"/>
      <c r="B828" s="559"/>
      <c r="C828" s="559"/>
      <c r="D828" s="559"/>
      <c r="E828" s="559"/>
      <c r="F828" s="559"/>
      <c r="G828" s="559"/>
      <c r="H828" s="559"/>
      <c r="I828" s="559"/>
      <c r="J828" s="559"/>
      <c r="K828" s="559"/>
      <c r="L828" s="559"/>
      <c r="M828" s="559"/>
      <c r="N828" s="559"/>
      <c r="O828" s="559"/>
      <c r="P828" s="559"/>
      <c r="Q828" s="559"/>
      <c r="R828" s="559"/>
      <c r="S828" s="559"/>
      <c r="T828" s="559"/>
      <c r="U828" s="559"/>
      <c r="V828" s="559"/>
      <c r="W828" s="559"/>
      <c r="X828" s="559"/>
      <c r="Y828" s="559"/>
      <c r="Z828" s="559"/>
    </row>
    <row r="829" spans="1:26" ht="18" customHeight="1" x14ac:dyDescent="0.35">
      <c r="A829" s="559"/>
      <c r="B829" s="559"/>
      <c r="C829" s="559"/>
      <c r="D829" s="559"/>
      <c r="E829" s="559"/>
      <c r="F829" s="559"/>
      <c r="G829" s="559"/>
      <c r="H829" s="559"/>
      <c r="I829" s="559"/>
      <c r="J829" s="559"/>
      <c r="K829" s="559"/>
      <c r="L829" s="559"/>
      <c r="M829" s="559"/>
      <c r="N829" s="559"/>
      <c r="O829" s="559"/>
      <c r="P829" s="559"/>
      <c r="Q829" s="559"/>
      <c r="R829" s="559"/>
      <c r="S829" s="559"/>
      <c r="T829" s="559"/>
      <c r="U829" s="559"/>
      <c r="V829" s="559"/>
      <c r="W829" s="559"/>
      <c r="X829" s="559"/>
      <c r="Y829" s="559"/>
      <c r="Z829" s="559"/>
    </row>
    <row r="830" spans="1:26" ht="18" customHeight="1" x14ac:dyDescent="0.35">
      <c r="A830" s="559"/>
      <c r="B830" s="559"/>
      <c r="C830" s="559"/>
      <c r="D830" s="559"/>
      <c r="E830" s="559"/>
      <c r="F830" s="559"/>
      <c r="G830" s="559"/>
      <c r="H830" s="559"/>
      <c r="I830" s="559"/>
      <c r="J830" s="559"/>
      <c r="K830" s="559"/>
      <c r="L830" s="559"/>
      <c r="M830" s="559"/>
      <c r="N830" s="559"/>
      <c r="O830" s="559"/>
      <c r="P830" s="559"/>
      <c r="Q830" s="559"/>
      <c r="R830" s="559"/>
      <c r="S830" s="559"/>
      <c r="T830" s="559"/>
      <c r="U830" s="559"/>
      <c r="V830" s="559"/>
      <c r="W830" s="559"/>
      <c r="X830" s="559"/>
      <c r="Y830" s="559"/>
      <c r="Z830" s="559"/>
    </row>
    <row r="831" spans="1:26" ht="18" customHeight="1" x14ac:dyDescent="0.35">
      <c r="A831" s="559"/>
      <c r="B831" s="559"/>
      <c r="C831" s="559"/>
      <c r="D831" s="559"/>
      <c r="E831" s="559"/>
      <c r="F831" s="559"/>
      <c r="G831" s="559"/>
      <c r="H831" s="559"/>
      <c r="I831" s="559"/>
      <c r="J831" s="559"/>
      <c r="K831" s="559"/>
      <c r="L831" s="559"/>
      <c r="M831" s="559"/>
      <c r="N831" s="559"/>
      <c r="O831" s="559"/>
      <c r="P831" s="559"/>
      <c r="Q831" s="559"/>
      <c r="R831" s="559"/>
      <c r="S831" s="559"/>
      <c r="T831" s="559"/>
      <c r="U831" s="559"/>
      <c r="V831" s="559"/>
      <c r="W831" s="559"/>
      <c r="X831" s="559"/>
      <c r="Y831" s="559"/>
      <c r="Z831" s="559"/>
    </row>
    <row r="832" spans="1:26" ht="18" customHeight="1" x14ac:dyDescent="0.35">
      <c r="A832" s="559"/>
      <c r="B832" s="559"/>
      <c r="C832" s="559"/>
      <c r="D832" s="559"/>
      <c r="E832" s="559"/>
      <c r="F832" s="559"/>
      <c r="G832" s="559"/>
      <c r="H832" s="559"/>
      <c r="I832" s="559"/>
      <c r="J832" s="559"/>
      <c r="K832" s="559"/>
      <c r="L832" s="559"/>
      <c r="M832" s="559"/>
      <c r="N832" s="559"/>
      <c r="O832" s="559"/>
      <c r="P832" s="559"/>
      <c r="Q832" s="559"/>
      <c r="R832" s="559"/>
      <c r="S832" s="559"/>
      <c r="T832" s="559"/>
      <c r="U832" s="559"/>
      <c r="V832" s="559"/>
      <c r="W832" s="559"/>
      <c r="X832" s="559"/>
      <c r="Y832" s="559"/>
      <c r="Z832" s="559"/>
    </row>
    <row r="833" spans="1:26" ht="18" customHeight="1" x14ac:dyDescent="0.35">
      <c r="A833" s="559"/>
      <c r="B833" s="559"/>
      <c r="C833" s="559"/>
      <c r="D833" s="559"/>
      <c r="E833" s="559"/>
      <c r="F833" s="559"/>
      <c r="G833" s="559"/>
      <c r="H833" s="559"/>
      <c r="I833" s="559"/>
      <c r="J833" s="559"/>
      <c r="K833" s="559"/>
      <c r="L833" s="559"/>
      <c r="M833" s="559"/>
      <c r="N833" s="559"/>
      <c r="O833" s="559"/>
      <c r="P833" s="559"/>
      <c r="Q833" s="559"/>
      <c r="R833" s="559"/>
      <c r="S833" s="559"/>
      <c r="T833" s="559"/>
      <c r="U833" s="559"/>
      <c r="V833" s="559"/>
      <c r="W833" s="559"/>
      <c r="X833" s="559"/>
      <c r="Y833" s="559"/>
      <c r="Z833" s="559"/>
    </row>
    <row r="834" spans="1:26" ht="18" customHeight="1" x14ac:dyDescent="0.35">
      <c r="A834" s="559"/>
      <c r="B834" s="559"/>
      <c r="C834" s="559"/>
      <c r="D834" s="559"/>
      <c r="E834" s="559"/>
      <c r="F834" s="559"/>
      <c r="G834" s="559"/>
      <c r="H834" s="559"/>
      <c r="I834" s="559"/>
      <c r="J834" s="559"/>
      <c r="K834" s="559"/>
      <c r="L834" s="559"/>
      <c r="M834" s="559"/>
      <c r="N834" s="559"/>
      <c r="O834" s="559"/>
      <c r="P834" s="559"/>
      <c r="Q834" s="559"/>
      <c r="R834" s="559"/>
      <c r="S834" s="559"/>
      <c r="T834" s="559"/>
      <c r="U834" s="559"/>
      <c r="V834" s="559"/>
      <c r="W834" s="559"/>
      <c r="X834" s="559"/>
      <c r="Y834" s="559"/>
      <c r="Z834" s="559"/>
    </row>
    <row r="835" spans="1:26" ht="18" customHeight="1" x14ac:dyDescent="0.35">
      <c r="A835" s="559"/>
      <c r="B835" s="559"/>
      <c r="C835" s="559"/>
      <c r="D835" s="559"/>
      <c r="E835" s="559"/>
      <c r="F835" s="559"/>
      <c r="G835" s="559"/>
      <c r="H835" s="559"/>
      <c r="I835" s="559"/>
      <c r="J835" s="559"/>
      <c r="K835" s="559"/>
      <c r="L835" s="559"/>
      <c r="M835" s="559"/>
      <c r="N835" s="559"/>
      <c r="O835" s="559"/>
      <c r="P835" s="559"/>
      <c r="Q835" s="559"/>
      <c r="R835" s="559"/>
      <c r="S835" s="559"/>
      <c r="T835" s="559"/>
      <c r="U835" s="559"/>
      <c r="V835" s="559"/>
      <c r="W835" s="559"/>
      <c r="X835" s="559"/>
      <c r="Y835" s="559"/>
      <c r="Z835" s="559"/>
    </row>
    <row r="836" spans="1:26" ht="18" customHeight="1" x14ac:dyDescent="0.35">
      <c r="A836" s="559"/>
      <c r="B836" s="559"/>
      <c r="C836" s="559"/>
      <c r="D836" s="559"/>
      <c r="E836" s="559"/>
      <c r="F836" s="559"/>
      <c r="G836" s="559"/>
      <c r="H836" s="559"/>
      <c r="I836" s="559"/>
      <c r="J836" s="559"/>
      <c r="K836" s="559"/>
      <c r="L836" s="559"/>
      <c r="M836" s="559"/>
      <c r="N836" s="559"/>
      <c r="O836" s="559"/>
      <c r="P836" s="559"/>
      <c r="Q836" s="559"/>
      <c r="R836" s="559"/>
      <c r="S836" s="559"/>
      <c r="T836" s="559"/>
      <c r="U836" s="559"/>
      <c r="V836" s="559"/>
      <c r="W836" s="559"/>
      <c r="X836" s="559"/>
      <c r="Y836" s="559"/>
      <c r="Z836" s="559"/>
    </row>
    <row r="837" spans="1:26" ht="18" customHeight="1" x14ac:dyDescent="0.35">
      <c r="A837" s="559"/>
      <c r="B837" s="559"/>
      <c r="C837" s="559"/>
      <c r="D837" s="559"/>
      <c r="E837" s="559"/>
      <c r="F837" s="559"/>
      <c r="G837" s="559"/>
      <c r="H837" s="559"/>
      <c r="I837" s="559"/>
      <c r="J837" s="559"/>
      <c r="K837" s="559"/>
      <c r="L837" s="559"/>
      <c r="M837" s="559"/>
      <c r="N837" s="559"/>
      <c r="O837" s="559"/>
      <c r="P837" s="559"/>
      <c r="Q837" s="559"/>
      <c r="R837" s="559"/>
      <c r="S837" s="559"/>
      <c r="T837" s="559"/>
      <c r="U837" s="559"/>
      <c r="V837" s="559"/>
      <c r="W837" s="559"/>
      <c r="X837" s="559"/>
      <c r="Y837" s="559"/>
      <c r="Z837" s="559"/>
    </row>
    <row r="838" spans="1:26" ht="18" customHeight="1" x14ac:dyDescent="0.35">
      <c r="A838" s="559"/>
      <c r="B838" s="559"/>
      <c r="C838" s="559"/>
      <c r="D838" s="559"/>
      <c r="E838" s="559"/>
      <c r="F838" s="559"/>
      <c r="G838" s="559"/>
      <c r="H838" s="559"/>
      <c r="I838" s="559"/>
      <c r="J838" s="559"/>
      <c r="K838" s="559"/>
      <c r="L838" s="559"/>
      <c r="M838" s="559"/>
      <c r="N838" s="559"/>
      <c r="O838" s="559"/>
      <c r="P838" s="559"/>
      <c r="Q838" s="559"/>
      <c r="R838" s="559"/>
      <c r="S838" s="559"/>
      <c r="T838" s="559"/>
      <c r="U838" s="559"/>
      <c r="V838" s="559"/>
      <c r="W838" s="559"/>
      <c r="X838" s="559"/>
      <c r="Y838" s="559"/>
      <c r="Z838" s="559"/>
    </row>
    <row r="839" spans="1:26" ht="18" customHeight="1" x14ac:dyDescent="0.35">
      <c r="A839" s="559"/>
      <c r="B839" s="559"/>
      <c r="C839" s="559"/>
      <c r="D839" s="559"/>
      <c r="E839" s="559"/>
      <c r="F839" s="559"/>
      <c r="G839" s="559"/>
      <c r="H839" s="559"/>
      <c r="I839" s="559"/>
      <c r="J839" s="559"/>
      <c r="K839" s="559"/>
      <c r="L839" s="559"/>
      <c r="M839" s="559"/>
      <c r="N839" s="559"/>
      <c r="O839" s="559"/>
      <c r="P839" s="559"/>
      <c r="Q839" s="559"/>
      <c r="R839" s="559"/>
      <c r="S839" s="559"/>
      <c r="T839" s="559"/>
      <c r="U839" s="559"/>
      <c r="V839" s="559"/>
      <c r="W839" s="559"/>
      <c r="X839" s="559"/>
      <c r="Y839" s="559"/>
      <c r="Z839" s="559"/>
    </row>
    <row r="840" spans="1:26" ht="18" customHeight="1" x14ac:dyDescent="0.35">
      <c r="A840" s="559"/>
      <c r="B840" s="559"/>
      <c r="C840" s="559"/>
      <c r="D840" s="559"/>
      <c r="E840" s="559"/>
      <c r="F840" s="559"/>
      <c r="G840" s="559"/>
      <c r="H840" s="559"/>
      <c r="I840" s="559"/>
      <c r="J840" s="559"/>
      <c r="K840" s="559"/>
      <c r="L840" s="559"/>
      <c r="M840" s="559"/>
      <c r="N840" s="559"/>
      <c r="O840" s="559"/>
      <c r="P840" s="559"/>
      <c r="Q840" s="559"/>
      <c r="R840" s="559"/>
      <c r="S840" s="559"/>
      <c r="T840" s="559"/>
      <c r="U840" s="559"/>
      <c r="V840" s="559"/>
      <c r="W840" s="559"/>
      <c r="X840" s="559"/>
      <c r="Y840" s="559"/>
      <c r="Z840" s="559"/>
    </row>
    <row r="841" spans="1:26" ht="18" customHeight="1" x14ac:dyDescent="0.35">
      <c r="A841" s="559"/>
      <c r="B841" s="559"/>
      <c r="C841" s="559"/>
      <c r="D841" s="559"/>
      <c r="E841" s="559"/>
      <c r="F841" s="559"/>
      <c r="G841" s="559"/>
      <c r="H841" s="559"/>
      <c r="I841" s="559"/>
      <c r="J841" s="559"/>
      <c r="K841" s="559"/>
      <c r="L841" s="559"/>
      <c r="M841" s="559"/>
      <c r="N841" s="559"/>
      <c r="O841" s="559"/>
      <c r="P841" s="559"/>
      <c r="Q841" s="559"/>
      <c r="R841" s="559"/>
      <c r="S841" s="559"/>
      <c r="T841" s="559"/>
      <c r="U841" s="559"/>
      <c r="V841" s="559"/>
      <c r="W841" s="559"/>
      <c r="X841" s="559"/>
      <c r="Y841" s="559"/>
      <c r="Z841" s="559"/>
    </row>
    <row r="842" spans="1:26" ht="18" customHeight="1" x14ac:dyDescent="0.35">
      <c r="A842" s="559"/>
      <c r="B842" s="559"/>
      <c r="C842" s="559"/>
      <c r="D842" s="559"/>
      <c r="E842" s="559"/>
      <c r="F842" s="559"/>
      <c r="G842" s="559"/>
      <c r="H842" s="559"/>
      <c r="I842" s="559"/>
      <c r="J842" s="559"/>
      <c r="K842" s="559"/>
      <c r="L842" s="559"/>
      <c r="M842" s="559"/>
      <c r="N842" s="559"/>
      <c r="O842" s="559"/>
      <c r="P842" s="559"/>
      <c r="Q842" s="559"/>
      <c r="R842" s="559"/>
      <c r="S842" s="559"/>
      <c r="T842" s="559"/>
      <c r="U842" s="559"/>
      <c r="V842" s="559"/>
      <c r="W842" s="559"/>
      <c r="X842" s="559"/>
      <c r="Y842" s="559"/>
      <c r="Z842" s="559"/>
    </row>
    <row r="843" spans="1:26" ht="18" customHeight="1" x14ac:dyDescent="0.35">
      <c r="A843" s="559"/>
      <c r="B843" s="559"/>
      <c r="C843" s="559"/>
      <c r="D843" s="559"/>
      <c r="E843" s="559"/>
      <c r="F843" s="559"/>
      <c r="G843" s="559"/>
      <c r="H843" s="559"/>
      <c r="I843" s="559"/>
      <c r="J843" s="559"/>
      <c r="K843" s="559"/>
      <c r="L843" s="559"/>
      <c r="M843" s="559"/>
      <c r="N843" s="559"/>
      <c r="O843" s="559"/>
      <c r="P843" s="559"/>
      <c r="Q843" s="559"/>
      <c r="R843" s="559"/>
      <c r="S843" s="559"/>
      <c r="T843" s="559"/>
      <c r="U843" s="559"/>
      <c r="V843" s="559"/>
      <c r="W843" s="559"/>
      <c r="X843" s="559"/>
      <c r="Y843" s="559"/>
      <c r="Z843" s="559"/>
    </row>
    <row r="844" spans="1:26" ht="18" customHeight="1" x14ac:dyDescent="0.35">
      <c r="A844" s="559"/>
      <c r="B844" s="559"/>
      <c r="C844" s="559"/>
      <c r="D844" s="559"/>
      <c r="E844" s="559"/>
      <c r="F844" s="559"/>
      <c r="G844" s="559"/>
      <c r="H844" s="559"/>
      <c r="I844" s="559"/>
      <c r="J844" s="559"/>
      <c r="K844" s="559"/>
      <c r="L844" s="559"/>
      <c r="M844" s="559"/>
      <c r="N844" s="559"/>
      <c r="O844" s="559"/>
      <c r="P844" s="559"/>
      <c r="Q844" s="559"/>
      <c r="R844" s="559"/>
      <c r="S844" s="559"/>
      <c r="T844" s="559"/>
      <c r="U844" s="559"/>
      <c r="V844" s="559"/>
      <c r="W844" s="559"/>
      <c r="X844" s="559"/>
      <c r="Y844" s="559"/>
      <c r="Z844" s="559"/>
    </row>
    <row r="845" spans="1:26" ht="18" customHeight="1" x14ac:dyDescent="0.35">
      <c r="A845" s="559"/>
      <c r="B845" s="559"/>
      <c r="C845" s="559"/>
      <c r="D845" s="559"/>
      <c r="E845" s="559"/>
      <c r="F845" s="559"/>
      <c r="G845" s="559"/>
      <c r="H845" s="559"/>
      <c r="I845" s="559"/>
      <c r="J845" s="559"/>
      <c r="K845" s="559"/>
      <c r="L845" s="559"/>
      <c r="M845" s="559"/>
      <c r="N845" s="559"/>
      <c r="O845" s="559"/>
      <c r="P845" s="559"/>
      <c r="Q845" s="559"/>
      <c r="R845" s="559"/>
      <c r="S845" s="559"/>
      <c r="T845" s="559"/>
      <c r="U845" s="559"/>
      <c r="V845" s="559"/>
      <c r="W845" s="559"/>
      <c r="X845" s="559"/>
      <c r="Y845" s="559"/>
      <c r="Z845" s="559"/>
    </row>
    <row r="846" spans="1:26" ht="18" customHeight="1" x14ac:dyDescent="0.35">
      <c r="A846" s="559"/>
      <c r="B846" s="559"/>
      <c r="C846" s="559"/>
      <c r="D846" s="559"/>
      <c r="E846" s="559"/>
      <c r="F846" s="559"/>
      <c r="G846" s="559"/>
      <c r="H846" s="559"/>
      <c r="I846" s="559"/>
      <c r="J846" s="559"/>
      <c r="K846" s="559"/>
      <c r="L846" s="559"/>
      <c r="M846" s="559"/>
      <c r="N846" s="559"/>
      <c r="O846" s="559"/>
      <c r="P846" s="559"/>
      <c r="Q846" s="559"/>
      <c r="R846" s="559"/>
      <c r="S846" s="559"/>
      <c r="T846" s="559"/>
      <c r="U846" s="559"/>
      <c r="V846" s="559"/>
      <c r="W846" s="559"/>
      <c r="X846" s="559"/>
      <c r="Y846" s="559"/>
      <c r="Z846" s="559"/>
    </row>
    <row r="847" spans="1:26" ht="18" customHeight="1" x14ac:dyDescent="0.35">
      <c r="A847" s="559"/>
      <c r="B847" s="559"/>
      <c r="C847" s="559"/>
      <c r="D847" s="559"/>
      <c r="E847" s="559"/>
      <c r="F847" s="559"/>
      <c r="G847" s="559"/>
      <c r="H847" s="559"/>
      <c r="I847" s="559"/>
      <c r="J847" s="559"/>
      <c r="K847" s="559"/>
      <c r="L847" s="559"/>
      <c r="M847" s="559"/>
      <c r="N847" s="559"/>
      <c r="O847" s="559"/>
      <c r="P847" s="559"/>
      <c r="Q847" s="559"/>
      <c r="R847" s="559"/>
      <c r="S847" s="559"/>
      <c r="T847" s="559"/>
      <c r="U847" s="559"/>
      <c r="V847" s="559"/>
      <c r="W847" s="559"/>
      <c r="X847" s="559"/>
      <c r="Y847" s="559"/>
      <c r="Z847" s="559"/>
    </row>
    <row r="848" spans="1:26" ht="18" customHeight="1" x14ac:dyDescent="0.35">
      <c r="A848" s="559"/>
      <c r="B848" s="559"/>
      <c r="C848" s="559"/>
      <c r="D848" s="559"/>
      <c r="E848" s="559"/>
      <c r="F848" s="559"/>
      <c r="G848" s="559"/>
      <c r="H848" s="559"/>
      <c r="I848" s="559"/>
      <c r="J848" s="559"/>
      <c r="K848" s="559"/>
      <c r="L848" s="559"/>
      <c r="M848" s="559"/>
      <c r="N848" s="559"/>
      <c r="O848" s="559"/>
      <c r="P848" s="559"/>
      <c r="Q848" s="559"/>
      <c r="R848" s="559"/>
      <c r="S848" s="559"/>
      <c r="T848" s="559"/>
      <c r="U848" s="559"/>
      <c r="V848" s="559"/>
      <c r="W848" s="559"/>
      <c r="X848" s="559"/>
      <c r="Y848" s="559"/>
      <c r="Z848" s="559"/>
    </row>
    <row r="849" spans="1:26" ht="18" customHeight="1" x14ac:dyDescent="0.35">
      <c r="A849" s="559"/>
      <c r="B849" s="559"/>
      <c r="C849" s="559"/>
      <c r="D849" s="559"/>
      <c r="E849" s="559"/>
      <c r="F849" s="559"/>
      <c r="G849" s="559"/>
      <c r="H849" s="559"/>
      <c r="I849" s="559"/>
      <c r="J849" s="559"/>
      <c r="K849" s="559"/>
      <c r="L849" s="559"/>
      <c r="M849" s="559"/>
      <c r="N849" s="559"/>
      <c r="O849" s="559"/>
      <c r="P849" s="559"/>
      <c r="Q849" s="559"/>
      <c r="R849" s="559"/>
      <c r="S849" s="559"/>
      <c r="T849" s="559"/>
      <c r="U849" s="559"/>
      <c r="V849" s="559"/>
      <c r="W849" s="559"/>
      <c r="X849" s="559"/>
      <c r="Y849" s="559"/>
      <c r="Z849" s="559"/>
    </row>
    <row r="850" spans="1:26" ht="18" customHeight="1" x14ac:dyDescent="0.35">
      <c r="A850" s="559"/>
      <c r="B850" s="559"/>
      <c r="C850" s="559"/>
      <c r="D850" s="559"/>
      <c r="E850" s="559"/>
      <c r="F850" s="559"/>
      <c r="G850" s="559"/>
      <c r="H850" s="559"/>
      <c r="I850" s="559"/>
      <c r="J850" s="559"/>
      <c r="K850" s="559"/>
      <c r="L850" s="559"/>
      <c r="M850" s="559"/>
      <c r="N850" s="559"/>
      <c r="O850" s="559"/>
      <c r="P850" s="559"/>
      <c r="Q850" s="559"/>
      <c r="R850" s="559"/>
      <c r="S850" s="559"/>
      <c r="T850" s="559"/>
      <c r="U850" s="559"/>
      <c r="V850" s="559"/>
      <c r="W850" s="559"/>
      <c r="X850" s="559"/>
      <c r="Y850" s="559"/>
      <c r="Z850" s="559"/>
    </row>
    <row r="851" spans="1:26" ht="18" customHeight="1" x14ac:dyDescent="0.35">
      <c r="A851" s="559"/>
      <c r="B851" s="559"/>
      <c r="C851" s="559"/>
      <c r="D851" s="559"/>
      <c r="E851" s="559"/>
      <c r="F851" s="559"/>
      <c r="G851" s="559"/>
      <c r="H851" s="559"/>
      <c r="I851" s="559"/>
      <c r="J851" s="559"/>
      <c r="K851" s="559"/>
      <c r="L851" s="559"/>
      <c r="M851" s="559"/>
      <c r="N851" s="559"/>
      <c r="O851" s="559"/>
      <c r="P851" s="559"/>
      <c r="Q851" s="559"/>
      <c r="R851" s="559"/>
      <c r="S851" s="559"/>
      <c r="T851" s="559"/>
      <c r="U851" s="559"/>
      <c r="V851" s="559"/>
      <c r="W851" s="559"/>
      <c r="X851" s="559"/>
      <c r="Y851" s="559"/>
      <c r="Z851" s="559"/>
    </row>
    <row r="852" spans="1:26" ht="18" customHeight="1" x14ac:dyDescent="0.35">
      <c r="A852" s="559"/>
      <c r="B852" s="559"/>
      <c r="C852" s="559"/>
      <c r="D852" s="559"/>
      <c r="E852" s="559"/>
      <c r="F852" s="559"/>
      <c r="G852" s="559"/>
      <c r="H852" s="559"/>
      <c r="I852" s="559"/>
      <c r="J852" s="559"/>
      <c r="K852" s="559"/>
      <c r="L852" s="559"/>
      <c r="M852" s="559"/>
      <c r="N852" s="559"/>
      <c r="O852" s="559"/>
      <c r="P852" s="559"/>
      <c r="Q852" s="559"/>
      <c r="R852" s="559"/>
      <c r="S852" s="559"/>
      <c r="T852" s="559"/>
      <c r="U852" s="559"/>
      <c r="V852" s="559"/>
      <c r="W852" s="559"/>
      <c r="X852" s="559"/>
      <c r="Y852" s="559"/>
      <c r="Z852" s="559"/>
    </row>
    <row r="853" spans="1:26" ht="18" customHeight="1" x14ac:dyDescent="0.35">
      <c r="A853" s="559"/>
      <c r="B853" s="559"/>
      <c r="C853" s="559"/>
      <c r="D853" s="559"/>
      <c r="E853" s="559"/>
      <c r="F853" s="559"/>
      <c r="G853" s="559"/>
      <c r="H853" s="559"/>
      <c r="I853" s="559"/>
      <c r="J853" s="559"/>
      <c r="K853" s="559"/>
      <c r="L853" s="559"/>
      <c r="M853" s="559"/>
      <c r="N853" s="559"/>
      <c r="O853" s="559"/>
      <c r="P853" s="559"/>
      <c r="Q853" s="559"/>
      <c r="R853" s="559"/>
      <c r="S853" s="559"/>
      <c r="T853" s="559"/>
      <c r="U853" s="559"/>
      <c r="V853" s="559"/>
      <c r="W853" s="559"/>
      <c r="X853" s="559"/>
      <c r="Y853" s="559"/>
      <c r="Z853" s="559"/>
    </row>
    <row r="854" spans="1:26" ht="18" customHeight="1" x14ac:dyDescent="0.35">
      <c r="A854" s="559"/>
      <c r="B854" s="559"/>
      <c r="C854" s="559"/>
      <c r="D854" s="559"/>
      <c r="E854" s="559"/>
      <c r="F854" s="559"/>
      <c r="G854" s="559"/>
      <c r="H854" s="559"/>
      <c r="I854" s="559"/>
      <c r="J854" s="559"/>
      <c r="K854" s="559"/>
      <c r="L854" s="559"/>
      <c r="M854" s="559"/>
      <c r="N854" s="559"/>
      <c r="O854" s="559"/>
      <c r="P854" s="559"/>
      <c r="Q854" s="559"/>
      <c r="R854" s="559"/>
      <c r="S854" s="559"/>
      <c r="T854" s="559"/>
      <c r="U854" s="559"/>
      <c r="V854" s="559"/>
      <c r="W854" s="559"/>
      <c r="X854" s="559"/>
      <c r="Y854" s="559"/>
      <c r="Z854" s="559"/>
    </row>
    <row r="855" spans="1:26" ht="18" customHeight="1" x14ac:dyDescent="0.35">
      <c r="A855" s="559"/>
      <c r="B855" s="559"/>
      <c r="C855" s="559"/>
      <c r="D855" s="559"/>
      <c r="E855" s="559"/>
      <c r="F855" s="559"/>
      <c r="G855" s="559"/>
      <c r="H855" s="559"/>
      <c r="I855" s="559"/>
      <c r="J855" s="559"/>
      <c r="K855" s="559"/>
      <c r="L855" s="559"/>
      <c r="M855" s="559"/>
      <c r="N855" s="559"/>
      <c r="O855" s="559"/>
      <c r="P855" s="559"/>
      <c r="Q855" s="559"/>
      <c r="R855" s="559"/>
      <c r="S855" s="559"/>
      <c r="T855" s="559"/>
      <c r="U855" s="559"/>
      <c r="V855" s="559"/>
      <c r="W855" s="559"/>
      <c r="X855" s="559"/>
      <c r="Y855" s="559"/>
      <c r="Z855" s="559"/>
    </row>
    <row r="856" spans="1:26" ht="18" customHeight="1" x14ac:dyDescent="0.35">
      <c r="A856" s="559"/>
      <c r="B856" s="559"/>
      <c r="C856" s="559"/>
      <c r="D856" s="559"/>
      <c r="E856" s="559"/>
      <c r="F856" s="559"/>
      <c r="G856" s="559"/>
      <c r="H856" s="559"/>
      <c r="I856" s="559"/>
      <c r="J856" s="559"/>
      <c r="K856" s="559"/>
      <c r="L856" s="559"/>
      <c r="M856" s="559"/>
      <c r="N856" s="559"/>
      <c r="O856" s="559"/>
      <c r="P856" s="559"/>
      <c r="Q856" s="559"/>
      <c r="R856" s="559"/>
      <c r="S856" s="559"/>
      <c r="T856" s="559"/>
      <c r="U856" s="559"/>
      <c r="V856" s="559"/>
      <c r="W856" s="559"/>
      <c r="X856" s="559"/>
      <c r="Y856" s="559"/>
      <c r="Z856" s="559"/>
    </row>
    <row r="857" spans="1:26" ht="18" customHeight="1" x14ac:dyDescent="0.35">
      <c r="A857" s="559"/>
      <c r="B857" s="559"/>
      <c r="C857" s="559"/>
      <c r="D857" s="559"/>
      <c r="E857" s="559"/>
      <c r="F857" s="559"/>
      <c r="G857" s="559"/>
      <c r="H857" s="559"/>
      <c r="I857" s="559"/>
      <c r="J857" s="559"/>
      <c r="K857" s="559"/>
      <c r="L857" s="559"/>
      <c r="M857" s="559"/>
      <c r="N857" s="559"/>
      <c r="O857" s="559"/>
      <c r="P857" s="559"/>
      <c r="Q857" s="559"/>
      <c r="R857" s="559"/>
      <c r="S857" s="559"/>
      <c r="T857" s="559"/>
      <c r="U857" s="559"/>
      <c r="V857" s="559"/>
      <c r="W857" s="559"/>
      <c r="X857" s="559"/>
      <c r="Y857" s="559"/>
      <c r="Z857" s="559"/>
    </row>
    <row r="858" spans="1:26" ht="18" customHeight="1" x14ac:dyDescent="0.35">
      <c r="A858" s="559"/>
      <c r="B858" s="559"/>
      <c r="C858" s="559"/>
      <c r="D858" s="559"/>
      <c r="E858" s="559"/>
      <c r="F858" s="559"/>
      <c r="G858" s="559"/>
      <c r="H858" s="559"/>
      <c r="I858" s="559"/>
      <c r="J858" s="559"/>
      <c r="K858" s="559"/>
      <c r="L858" s="559"/>
      <c r="M858" s="559"/>
      <c r="N858" s="559"/>
      <c r="O858" s="559"/>
      <c r="P858" s="559"/>
      <c r="Q858" s="559"/>
      <c r="R858" s="559"/>
      <c r="S858" s="559"/>
      <c r="T858" s="559"/>
      <c r="U858" s="559"/>
      <c r="V858" s="559"/>
      <c r="W858" s="559"/>
      <c r="X858" s="559"/>
      <c r="Y858" s="559"/>
      <c r="Z858" s="559"/>
    </row>
    <row r="859" spans="1:26" ht="18" customHeight="1" x14ac:dyDescent="0.35">
      <c r="A859" s="559"/>
      <c r="B859" s="559"/>
      <c r="C859" s="559"/>
      <c r="D859" s="559"/>
      <c r="E859" s="559"/>
      <c r="F859" s="559"/>
      <c r="G859" s="559"/>
      <c r="H859" s="559"/>
      <c r="I859" s="559"/>
      <c r="J859" s="559"/>
      <c r="K859" s="559"/>
      <c r="L859" s="559"/>
      <c r="M859" s="559"/>
      <c r="N859" s="559"/>
      <c r="O859" s="559"/>
      <c r="P859" s="559"/>
      <c r="Q859" s="559"/>
      <c r="R859" s="559"/>
      <c r="S859" s="559"/>
      <c r="T859" s="559"/>
      <c r="U859" s="559"/>
      <c r="V859" s="559"/>
      <c r="W859" s="559"/>
      <c r="X859" s="559"/>
      <c r="Y859" s="559"/>
      <c r="Z859" s="559"/>
    </row>
    <row r="860" spans="1:26" ht="18" customHeight="1" x14ac:dyDescent="0.35">
      <c r="A860" s="559"/>
      <c r="B860" s="559"/>
      <c r="C860" s="559"/>
      <c r="D860" s="559"/>
      <c r="E860" s="559"/>
      <c r="F860" s="559"/>
      <c r="G860" s="559"/>
      <c r="H860" s="559"/>
      <c r="I860" s="559"/>
      <c r="J860" s="559"/>
      <c r="K860" s="559"/>
      <c r="L860" s="559"/>
      <c r="M860" s="559"/>
      <c r="N860" s="559"/>
      <c r="O860" s="559"/>
      <c r="P860" s="559"/>
      <c r="Q860" s="559"/>
      <c r="R860" s="559"/>
      <c r="S860" s="559"/>
      <c r="T860" s="559"/>
      <c r="U860" s="559"/>
      <c r="V860" s="559"/>
      <c r="W860" s="559"/>
      <c r="X860" s="559"/>
      <c r="Y860" s="559"/>
      <c r="Z860" s="559"/>
    </row>
    <row r="861" spans="1:26" ht="18" customHeight="1" x14ac:dyDescent="0.35">
      <c r="A861" s="559"/>
      <c r="B861" s="559"/>
      <c r="C861" s="559"/>
      <c r="D861" s="559"/>
      <c r="E861" s="559"/>
      <c r="F861" s="559"/>
      <c r="G861" s="559"/>
      <c r="H861" s="559"/>
      <c r="I861" s="559"/>
      <c r="J861" s="559"/>
      <c r="K861" s="559"/>
      <c r="L861" s="559"/>
      <c r="M861" s="559"/>
      <c r="N861" s="559"/>
      <c r="O861" s="559"/>
      <c r="P861" s="559"/>
      <c r="Q861" s="559"/>
      <c r="R861" s="559"/>
      <c r="S861" s="559"/>
      <c r="T861" s="559"/>
      <c r="U861" s="559"/>
      <c r="V861" s="559"/>
      <c r="W861" s="559"/>
      <c r="X861" s="559"/>
      <c r="Y861" s="559"/>
      <c r="Z861" s="559"/>
    </row>
    <row r="862" spans="1:26" ht="18" customHeight="1" x14ac:dyDescent="0.35">
      <c r="A862" s="559"/>
      <c r="B862" s="559"/>
      <c r="C862" s="559"/>
      <c r="D862" s="559"/>
      <c r="E862" s="559"/>
      <c r="F862" s="559"/>
      <c r="G862" s="559"/>
      <c r="H862" s="559"/>
      <c r="I862" s="559"/>
      <c r="J862" s="559"/>
      <c r="K862" s="559"/>
      <c r="L862" s="559"/>
      <c r="M862" s="559"/>
      <c r="N862" s="559"/>
      <c r="O862" s="559"/>
      <c r="P862" s="559"/>
      <c r="Q862" s="559"/>
      <c r="R862" s="559"/>
      <c r="S862" s="559"/>
      <c r="T862" s="559"/>
      <c r="U862" s="559"/>
      <c r="V862" s="559"/>
      <c r="W862" s="559"/>
      <c r="X862" s="559"/>
      <c r="Y862" s="559"/>
      <c r="Z862" s="559"/>
    </row>
    <row r="863" spans="1:26" ht="18" customHeight="1" x14ac:dyDescent="0.35">
      <c r="A863" s="559"/>
      <c r="B863" s="559"/>
      <c r="C863" s="559"/>
      <c r="D863" s="559"/>
      <c r="E863" s="559"/>
      <c r="F863" s="559"/>
      <c r="G863" s="559"/>
      <c r="H863" s="559"/>
      <c r="I863" s="559"/>
      <c r="J863" s="559"/>
      <c r="K863" s="559"/>
      <c r="L863" s="559"/>
      <c r="M863" s="559"/>
      <c r="N863" s="559"/>
      <c r="O863" s="559"/>
      <c r="P863" s="559"/>
      <c r="Q863" s="559"/>
      <c r="R863" s="559"/>
      <c r="S863" s="559"/>
      <c r="T863" s="559"/>
      <c r="U863" s="559"/>
      <c r="V863" s="559"/>
      <c r="W863" s="559"/>
      <c r="X863" s="559"/>
      <c r="Y863" s="559"/>
      <c r="Z863" s="559"/>
    </row>
    <row r="864" spans="1:26" ht="18" customHeight="1" x14ac:dyDescent="0.35">
      <c r="A864" s="559"/>
      <c r="B864" s="559"/>
      <c r="C864" s="559"/>
      <c r="D864" s="559"/>
      <c r="E864" s="559"/>
      <c r="F864" s="559"/>
      <c r="G864" s="559"/>
      <c r="H864" s="559"/>
      <c r="I864" s="559"/>
      <c r="J864" s="559"/>
      <c r="K864" s="559"/>
      <c r="L864" s="559"/>
      <c r="M864" s="559"/>
      <c r="N864" s="559"/>
      <c r="O864" s="559"/>
      <c r="P864" s="559"/>
      <c r="Q864" s="559"/>
      <c r="R864" s="559"/>
      <c r="S864" s="559"/>
      <c r="T864" s="559"/>
      <c r="U864" s="559"/>
      <c r="V864" s="559"/>
      <c r="W864" s="559"/>
      <c r="X864" s="559"/>
      <c r="Y864" s="559"/>
      <c r="Z864" s="559"/>
    </row>
    <row r="865" spans="1:26" ht="18" customHeight="1" x14ac:dyDescent="0.35">
      <c r="A865" s="559"/>
      <c r="B865" s="559"/>
      <c r="C865" s="559"/>
      <c r="D865" s="559"/>
      <c r="E865" s="559"/>
      <c r="F865" s="559"/>
      <c r="G865" s="559"/>
      <c r="H865" s="559"/>
      <c r="I865" s="559"/>
      <c r="J865" s="559"/>
      <c r="K865" s="559"/>
      <c r="L865" s="559"/>
      <c r="M865" s="559"/>
      <c r="N865" s="559"/>
      <c r="O865" s="559"/>
      <c r="P865" s="559"/>
      <c r="Q865" s="559"/>
      <c r="R865" s="559"/>
      <c r="S865" s="559"/>
      <c r="T865" s="559"/>
      <c r="U865" s="559"/>
      <c r="V865" s="559"/>
      <c r="W865" s="559"/>
      <c r="X865" s="559"/>
      <c r="Y865" s="559"/>
      <c r="Z865" s="559"/>
    </row>
    <row r="866" spans="1:26" ht="18" customHeight="1" x14ac:dyDescent="0.35">
      <c r="A866" s="559"/>
      <c r="B866" s="559"/>
      <c r="C866" s="559"/>
      <c r="D866" s="559"/>
      <c r="E866" s="559"/>
      <c r="F866" s="559"/>
      <c r="G866" s="559"/>
      <c r="H866" s="559"/>
      <c r="I866" s="559"/>
      <c r="J866" s="559"/>
      <c r="K866" s="559"/>
      <c r="L866" s="559"/>
      <c r="M866" s="559"/>
      <c r="N866" s="559"/>
      <c r="O866" s="559"/>
      <c r="P866" s="559"/>
      <c r="Q866" s="559"/>
      <c r="R866" s="559"/>
      <c r="S866" s="559"/>
      <c r="T866" s="559"/>
      <c r="U866" s="559"/>
      <c r="V866" s="559"/>
      <c r="W866" s="559"/>
      <c r="X866" s="559"/>
      <c r="Y866" s="559"/>
      <c r="Z866" s="559"/>
    </row>
    <row r="867" spans="1:26" ht="18" customHeight="1" x14ac:dyDescent="0.35">
      <c r="A867" s="559"/>
      <c r="B867" s="559"/>
      <c r="C867" s="559"/>
      <c r="D867" s="559"/>
      <c r="E867" s="559"/>
      <c r="F867" s="559"/>
      <c r="G867" s="559"/>
      <c r="H867" s="559"/>
      <c r="I867" s="559"/>
      <c r="J867" s="559"/>
      <c r="K867" s="559"/>
      <c r="L867" s="559"/>
      <c r="M867" s="559"/>
      <c r="N867" s="559"/>
      <c r="O867" s="559"/>
      <c r="P867" s="559"/>
      <c r="Q867" s="559"/>
      <c r="R867" s="559"/>
      <c r="S867" s="559"/>
      <c r="T867" s="559"/>
      <c r="U867" s="559"/>
      <c r="V867" s="559"/>
      <c r="W867" s="559"/>
      <c r="X867" s="559"/>
      <c r="Y867" s="559"/>
      <c r="Z867" s="559"/>
    </row>
    <row r="868" spans="1:26" ht="18" customHeight="1" x14ac:dyDescent="0.35">
      <c r="A868" s="559"/>
      <c r="B868" s="559"/>
      <c r="C868" s="559"/>
      <c r="D868" s="559"/>
      <c r="E868" s="559"/>
      <c r="F868" s="559"/>
      <c r="G868" s="559"/>
      <c r="H868" s="559"/>
      <c r="I868" s="559"/>
      <c r="J868" s="559"/>
      <c r="K868" s="559"/>
      <c r="L868" s="559"/>
      <c r="M868" s="559"/>
      <c r="N868" s="559"/>
      <c r="O868" s="559"/>
      <c r="P868" s="559"/>
      <c r="Q868" s="559"/>
      <c r="R868" s="559"/>
      <c r="S868" s="559"/>
      <c r="T868" s="559"/>
      <c r="U868" s="559"/>
      <c r="V868" s="559"/>
      <c r="W868" s="559"/>
      <c r="X868" s="559"/>
      <c r="Y868" s="559"/>
      <c r="Z868" s="559"/>
    </row>
    <row r="869" spans="1:26" ht="18" customHeight="1" x14ac:dyDescent="0.35">
      <c r="A869" s="559"/>
      <c r="B869" s="559"/>
      <c r="C869" s="559"/>
      <c r="D869" s="559"/>
      <c r="E869" s="559"/>
      <c r="F869" s="559"/>
      <c r="G869" s="559"/>
      <c r="H869" s="559"/>
      <c r="I869" s="559"/>
      <c r="J869" s="559"/>
      <c r="K869" s="559"/>
      <c r="L869" s="559"/>
      <c r="M869" s="559"/>
      <c r="N869" s="559"/>
      <c r="O869" s="559"/>
      <c r="P869" s="559"/>
      <c r="Q869" s="559"/>
      <c r="R869" s="559"/>
      <c r="S869" s="559"/>
      <c r="T869" s="559"/>
      <c r="U869" s="559"/>
      <c r="V869" s="559"/>
      <c r="W869" s="559"/>
      <c r="X869" s="559"/>
      <c r="Y869" s="559"/>
      <c r="Z869" s="559"/>
    </row>
    <row r="870" spans="1:26" ht="18" customHeight="1" x14ac:dyDescent="0.35">
      <c r="A870" s="559"/>
      <c r="B870" s="559"/>
      <c r="C870" s="559"/>
      <c r="D870" s="559"/>
      <c r="E870" s="559"/>
      <c r="F870" s="559"/>
      <c r="G870" s="559"/>
      <c r="H870" s="559"/>
      <c r="I870" s="559"/>
      <c r="J870" s="559"/>
      <c r="K870" s="559"/>
      <c r="L870" s="559"/>
      <c r="M870" s="559"/>
      <c r="N870" s="559"/>
      <c r="O870" s="559"/>
      <c r="P870" s="559"/>
      <c r="Q870" s="559"/>
      <c r="R870" s="559"/>
      <c r="S870" s="559"/>
      <c r="T870" s="559"/>
      <c r="U870" s="559"/>
      <c r="V870" s="559"/>
      <c r="W870" s="559"/>
      <c r="X870" s="559"/>
      <c r="Y870" s="559"/>
      <c r="Z870" s="559"/>
    </row>
    <row r="871" spans="1:26" ht="18" customHeight="1" x14ac:dyDescent="0.35">
      <c r="A871" s="559"/>
      <c r="B871" s="559"/>
      <c r="C871" s="559"/>
      <c r="D871" s="559"/>
      <c r="E871" s="559"/>
      <c r="F871" s="559"/>
      <c r="G871" s="559"/>
      <c r="H871" s="559"/>
      <c r="I871" s="559"/>
      <c r="J871" s="559"/>
      <c r="K871" s="559"/>
      <c r="L871" s="559"/>
      <c r="M871" s="559"/>
      <c r="N871" s="559"/>
      <c r="O871" s="559"/>
      <c r="P871" s="559"/>
      <c r="Q871" s="559"/>
      <c r="R871" s="559"/>
      <c r="S871" s="559"/>
      <c r="T871" s="559"/>
      <c r="U871" s="559"/>
      <c r="V871" s="559"/>
      <c r="W871" s="559"/>
      <c r="X871" s="559"/>
      <c r="Y871" s="559"/>
      <c r="Z871" s="559"/>
    </row>
    <row r="872" spans="1:26" ht="18" customHeight="1" x14ac:dyDescent="0.35">
      <c r="A872" s="559"/>
      <c r="B872" s="559"/>
      <c r="C872" s="559"/>
      <c r="D872" s="559"/>
      <c r="E872" s="559"/>
      <c r="F872" s="559"/>
      <c r="G872" s="559"/>
      <c r="H872" s="559"/>
      <c r="I872" s="559"/>
      <c r="J872" s="559"/>
      <c r="K872" s="559"/>
      <c r="L872" s="559"/>
      <c r="M872" s="559"/>
      <c r="N872" s="559"/>
      <c r="O872" s="559"/>
      <c r="P872" s="559"/>
      <c r="Q872" s="559"/>
      <c r="R872" s="559"/>
      <c r="S872" s="559"/>
      <c r="T872" s="559"/>
      <c r="U872" s="559"/>
      <c r="V872" s="559"/>
      <c r="W872" s="559"/>
      <c r="X872" s="559"/>
      <c r="Y872" s="559"/>
      <c r="Z872" s="559"/>
    </row>
    <row r="873" spans="1:26" ht="18" customHeight="1" x14ac:dyDescent="0.35">
      <c r="A873" s="559"/>
      <c r="B873" s="559"/>
      <c r="C873" s="559"/>
      <c r="D873" s="559"/>
      <c r="E873" s="559"/>
      <c r="F873" s="559"/>
      <c r="G873" s="559"/>
      <c r="H873" s="559"/>
      <c r="I873" s="559"/>
      <c r="J873" s="559"/>
      <c r="K873" s="559"/>
      <c r="L873" s="559"/>
      <c r="M873" s="559"/>
      <c r="N873" s="559"/>
      <c r="O873" s="559"/>
      <c r="P873" s="559"/>
      <c r="Q873" s="559"/>
      <c r="R873" s="559"/>
      <c r="S873" s="559"/>
      <c r="T873" s="559"/>
      <c r="U873" s="559"/>
      <c r="V873" s="559"/>
      <c r="W873" s="559"/>
      <c r="X873" s="559"/>
      <c r="Y873" s="559"/>
      <c r="Z873" s="559"/>
    </row>
    <row r="874" spans="1:26" ht="18" customHeight="1" x14ac:dyDescent="0.35">
      <c r="A874" s="559"/>
      <c r="B874" s="559"/>
      <c r="C874" s="559"/>
      <c r="D874" s="559"/>
      <c r="E874" s="559"/>
      <c r="F874" s="559"/>
      <c r="G874" s="559"/>
      <c r="H874" s="559"/>
      <c r="I874" s="559"/>
      <c r="J874" s="559"/>
      <c r="K874" s="559"/>
      <c r="L874" s="559"/>
      <c r="M874" s="559"/>
      <c r="N874" s="559"/>
      <c r="O874" s="559"/>
      <c r="P874" s="559"/>
      <c r="Q874" s="559"/>
      <c r="R874" s="559"/>
      <c r="S874" s="559"/>
      <c r="T874" s="559"/>
      <c r="U874" s="559"/>
      <c r="V874" s="559"/>
      <c r="W874" s="559"/>
      <c r="X874" s="559"/>
      <c r="Y874" s="559"/>
      <c r="Z874" s="559"/>
    </row>
    <row r="875" spans="1:26" ht="18" customHeight="1" x14ac:dyDescent="0.35">
      <c r="A875" s="559"/>
      <c r="B875" s="559"/>
      <c r="C875" s="559"/>
      <c r="D875" s="559"/>
      <c r="E875" s="559"/>
      <c r="F875" s="559"/>
      <c r="G875" s="559"/>
      <c r="H875" s="559"/>
      <c r="I875" s="559"/>
      <c r="J875" s="559"/>
      <c r="K875" s="559"/>
      <c r="L875" s="559"/>
      <c r="M875" s="559"/>
      <c r="N875" s="559"/>
      <c r="O875" s="559"/>
      <c r="P875" s="559"/>
      <c r="Q875" s="559"/>
      <c r="R875" s="559"/>
      <c r="S875" s="559"/>
      <c r="T875" s="559"/>
      <c r="U875" s="559"/>
      <c r="V875" s="559"/>
      <c r="W875" s="559"/>
      <c r="X875" s="559"/>
      <c r="Y875" s="559"/>
      <c r="Z875" s="559"/>
    </row>
    <row r="876" spans="1:26" ht="18" customHeight="1" x14ac:dyDescent="0.35">
      <c r="A876" s="559"/>
      <c r="B876" s="559"/>
      <c r="C876" s="559"/>
      <c r="D876" s="559"/>
      <c r="E876" s="559"/>
      <c r="F876" s="559"/>
      <c r="G876" s="559"/>
      <c r="H876" s="559"/>
      <c r="I876" s="559"/>
      <c r="J876" s="559"/>
      <c r="K876" s="559"/>
      <c r="L876" s="559"/>
      <c r="M876" s="559"/>
      <c r="N876" s="559"/>
      <c r="O876" s="559"/>
      <c r="P876" s="559"/>
      <c r="Q876" s="559"/>
      <c r="R876" s="559"/>
      <c r="S876" s="559"/>
      <c r="T876" s="559"/>
      <c r="U876" s="559"/>
      <c r="V876" s="559"/>
      <c r="W876" s="559"/>
      <c r="X876" s="559"/>
      <c r="Y876" s="559"/>
      <c r="Z876" s="559"/>
    </row>
    <row r="877" spans="1:26" ht="18" customHeight="1" x14ac:dyDescent="0.35">
      <c r="A877" s="559"/>
      <c r="B877" s="559"/>
      <c r="C877" s="559"/>
      <c r="D877" s="559"/>
      <c r="E877" s="559"/>
      <c r="F877" s="559"/>
      <c r="G877" s="559"/>
      <c r="H877" s="559"/>
      <c r="I877" s="559"/>
      <c r="J877" s="559"/>
      <c r="K877" s="559"/>
      <c r="L877" s="559"/>
      <c r="M877" s="559"/>
      <c r="N877" s="559"/>
      <c r="O877" s="559"/>
      <c r="P877" s="559"/>
      <c r="Q877" s="559"/>
      <c r="R877" s="559"/>
      <c r="S877" s="559"/>
      <c r="T877" s="559"/>
      <c r="U877" s="559"/>
      <c r="V877" s="559"/>
      <c r="W877" s="559"/>
      <c r="X877" s="559"/>
      <c r="Y877" s="559"/>
      <c r="Z877" s="559"/>
    </row>
    <row r="878" spans="1:26" ht="18" customHeight="1" x14ac:dyDescent="0.35">
      <c r="A878" s="559"/>
      <c r="B878" s="559"/>
      <c r="C878" s="559"/>
      <c r="D878" s="559"/>
      <c r="E878" s="559"/>
      <c r="F878" s="559"/>
      <c r="G878" s="559"/>
      <c r="H878" s="559"/>
      <c r="I878" s="559"/>
      <c r="J878" s="559"/>
      <c r="K878" s="559"/>
      <c r="L878" s="559"/>
      <c r="M878" s="559"/>
      <c r="N878" s="559"/>
      <c r="O878" s="559"/>
      <c r="P878" s="559"/>
      <c r="Q878" s="559"/>
      <c r="R878" s="559"/>
      <c r="S878" s="559"/>
      <c r="T878" s="559"/>
      <c r="U878" s="559"/>
      <c r="V878" s="559"/>
      <c r="W878" s="559"/>
      <c r="X878" s="559"/>
      <c r="Y878" s="559"/>
      <c r="Z878" s="559"/>
    </row>
    <row r="879" spans="1:26" ht="18" customHeight="1" x14ac:dyDescent="0.35">
      <c r="A879" s="559"/>
      <c r="B879" s="559"/>
      <c r="C879" s="559"/>
      <c r="D879" s="559"/>
      <c r="E879" s="559"/>
      <c r="F879" s="559"/>
      <c r="G879" s="559"/>
      <c r="H879" s="559"/>
      <c r="I879" s="559"/>
      <c r="J879" s="559"/>
      <c r="K879" s="559"/>
      <c r="L879" s="559"/>
      <c r="M879" s="559"/>
      <c r="N879" s="559"/>
      <c r="O879" s="559"/>
      <c r="P879" s="559"/>
      <c r="Q879" s="559"/>
      <c r="R879" s="559"/>
      <c r="S879" s="559"/>
      <c r="T879" s="559"/>
      <c r="U879" s="559"/>
      <c r="V879" s="559"/>
      <c r="W879" s="559"/>
      <c r="X879" s="559"/>
      <c r="Y879" s="559"/>
      <c r="Z879" s="559"/>
    </row>
    <row r="880" spans="1:26" ht="18" customHeight="1" x14ac:dyDescent="0.35">
      <c r="A880" s="559"/>
      <c r="B880" s="559"/>
      <c r="C880" s="559"/>
      <c r="D880" s="559"/>
      <c r="E880" s="559"/>
      <c r="F880" s="559"/>
      <c r="G880" s="559"/>
      <c r="H880" s="559"/>
      <c r="I880" s="559"/>
      <c r="J880" s="559"/>
      <c r="K880" s="559"/>
      <c r="L880" s="559"/>
      <c r="M880" s="559"/>
      <c r="N880" s="559"/>
      <c r="O880" s="559"/>
      <c r="P880" s="559"/>
      <c r="Q880" s="559"/>
      <c r="R880" s="559"/>
      <c r="S880" s="559"/>
      <c r="T880" s="559"/>
      <c r="U880" s="559"/>
      <c r="V880" s="559"/>
      <c r="W880" s="559"/>
      <c r="X880" s="559"/>
      <c r="Y880" s="559"/>
      <c r="Z880" s="559"/>
    </row>
    <row r="881" spans="1:26" ht="18" customHeight="1" x14ac:dyDescent="0.35">
      <c r="A881" s="559"/>
      <c r="B881" s="559"/>
      <c r="C881" s="559"/>
      <c r="D881" s="559"/>
      <c r="E881" s="559"/>
      <c r="F881" s="559"/>
      <c r="G881" s="559"/>
      <c r="H881" s="559"/>
      <c r="I881" s="559"/>
      <c r="J881" s="559"/>
      <c r="K881" s="559"/>
      <c r="L881" s="559"/>
      <c r="M881" s="559"/>
      <c r="N881" s="559"/>
      <c r="O881" s="559"/>
      <c r="P881" s="559"/>
      <c r="Q881" s="559"/>
      <c r="R881" s="559"/>
      <c r="S881" s="559"/>
      <c r="T881" s="559"/>
      <c r="U881" s="559"/>
      <c r="V881" s="559"/>
      <c r="W881" s="559"/>
      <c r="X881" s="559"/>
      <c r="Y881" s="559"/>
      <c r="Z881" s="559"/>
    </row>
    <row r="882" spans="1:26" ht="18" customHeight="1" x14ac:dyDescent="0.35">
      <c r="A882" s="559"/>
      <c r="B882" s="559"/>
      <c r="C882" s="559"/>
      <c r="D882" s="559"/>
      <c r="E882" s="559"/>
      <c r="F882" s="559"/>
      <c r="G882" s="559"/>
      <c r="H882" s="559"/>
      <c r="I882" s="559"/>
      <c r="J882" s="559"/>
      <c r="K882" s="559"/>
      <c r="L882" s="559"/>
      <c r="M882" s="559"/>
      <c r="N882" s="559"/>
      <c r="O882" s="559"/>
      <c r="P882" s="559"/>
      <c r="Q882" s="559"/>
      <c r="R882" s="559"/>
      <c r="S882" s="559"/>
      <c r="T882" s="559"/>
      <c r="U882" s="559"/>
      <c r="V882" s="559"/>
      <c r="W882" s="559"/>
      <c r="X882" s="559"/>
      <c r="Y882" s="559"/>
      <c r="Z882" s="559"/>
    </row>
    <row r="883" spans="1:26" ht="18" customHeight="1" x14ac:dyDescent="0.35">
      <c r="A883" s="559"/>
      <c r="B883" s="559"/>
      <c r="C883" s="559"/>
      <c r="D883" s="559"/>
      <c r="E883" s="559"/>
      <c r="F883" s="559"/>
      <c r="G883" s="559"/>
      <c r="H883" s="559"/>
      <c r="I883" s="559"/>
      <c r="J883" s="559"/>
      <c r="K883" s="559"/>
      <c r="L883" s="559"/>
      <c r="M883" s="559"/>
      <c r="N883" s="559"/>
      <c r="O883" s="559"/>
      <c r="P883" s="559"/>
      <c r="Q883" s="559"/>
      <c r="R883" s="559"/>
      <c r="S883" s="559"/>
      <c r="T883" s="559"/>
      <c r="U883" s="559"/>
      <c r="V883" s="559"/>
      <c r="W883" s="559"/>
      <c r="X883" s="559"/>
      <c r="Y883" s="559"/>
      <c r="Z883" s="559"/>
    </row>
    <row r="884" spans="1:26" ht="18" customHeight="1" x14ac:dyDescent="0.35">
      <c r="A884" s="559"/>
      <c r="B884" s="559"/>
      <c r="C884" s="559"/>
      <c r="D884" s="559"/>
      <c r="E884" s="559"/>
      <c r="F884" s="559"/>
      <c r="G884" s="559"/>
      <c r="H884" s="559"/>
      <c r="I884" s="559"/>
      <c r="J884" s="559"/>
      <c r="K884" s="559"/>
      <c r="L884" s="559"/>
      <c r="M884" s="559"/>
      <c r="N884" s="559"/>
      <c r="O884" s="559"/>
      <c r="P884" s="559"/>
      <c r="Q884" s="559"/>
      <c r="R884" s="559"/>
      <c r="S884" s="559"/>
      <c r="T884" s="559"/>
      <c r="U884" s="559"/>
      <c r="V884" s="559"/>
      <c r="W884" s="559"/>
      <c r="X884" s="559"/>
      <c r="Y884" s="559"/>
      <c r="Z884" s="559"/>
    </row>
    <row r="885" spans="1:26" ht="18" customHeight="1" x14ac:dyDescent="0.35">
      <c r="A885" s="559"/>
      <c r="B885" s="559"/>
      <c r="C885" s="559"/>
      <c r="D885" s="559"/>
      <c r="E885" s="559"/>
      <c r="F885" s="559"/>
      <c r="G885" s="559"/>
      <c r="H885" s="559"/>
      <c r="I885" s="559"/>
      <c r="J885" s="559"/>
      <c r="K885" s="559"/>
      <c r="L885" s="559"/>
      <c r="M885" s="559"/>
      <c r="N885" s="559"/>
      <c r="O885" s="559"/>
      <c r="P885" s="559"/>
      <c r="Q885" s="559"/>
      <c r="R885" s="559"/>
      <c r="S885" s="559"/>
      <c r="T885" s="559"/>
      <c r="U885" s="559"/>
      <c r="V885" s="559"/>
      <c r="W885" s="559"/>
      <c r="X885" s="559"/>
      <c r="Y885" s="559"/>
      <c r="Z885" s="559"/>
    </row>
    <row r="886" spans="1:26" ht="18" customHeight="1" x14ac:dyDescent="0.35">
      <c r="A886" s="559"/>
      <c r="B886" s="559"/>
      <c r="C886" s="559"/>
      <c r="D886" s="559"/>
      <c r="E886" s="559"/>
      <c r="F886" s="559"/>
      <c r="G886" s="559"/>
      <c r="H886" s="559"/>
      <c r="I886" s="559"/>
      <c r="J886" s="559"/>
      <c r="K886" s="559"/>
      <c r="L886" s="559"/>
      <c r="M886" s="559"/>
      <c r="N886" s="559"/>
      <c r="O886" s="559"/>
      <c r="P886" s="559"/>
      <c r="Q886" s="559"/>
      <c r="R886" s="559"/>
      <c r="S886" s="559"/>
      <c r="T886" s="559"/>
      <c r="U886" s="559"/>
      <c r="V886" s="559"/>
      <c r="W886" s="559"/>
      <c r="X886" s="559"/>
      <c r="Y886" s="559"/>
      <c r="Z886" s="559"/>
    </row>
    <row r="887" spans="1:26" ht="18" customHeight="1" x14ac:dyDescent="0.35">
      <c r="A887" s="559"/>
      <c r="B887" s="559"/>
      <c r="C887" s="559"/>
      <c r="D887" s="559"/>
      <c r="E887" s="559"/>
      <c r="F887" s="559"/>
      <c r="G887" s="559"/>
      <c r="H887" s="559"/>
      <c r="I887" s="559"/>
      <c r="J887" s="559"/>
      <c r="K887" s="559"/>
      <c r="L887" s="559"/>
      <c r="M887" s="559"/>
      <c r="N887" s="559"/>
      <c r="O887" s="559"/>
      <c r="P887" s="559"/>
      <c r="Q887" s="559"/>
      <c r="R887" s="559"/>
      <c r="S887" s="559"/>
      <c r="T887" s="559"/>
      <c r="U887" s="559"/>
      <c r="V887" s="559"/>
      <c r="W887" s="559"/>
      <c r="X887" s="559"/>
      <c r="Y887" s="559"/>
      <c r="Z887" s="559"/>
    </row>
    <row r="888" spans="1:26" ht="18" customHeight="1" x14ac:dyDescent="0.35">
      <c r="A888" s="559"/>
      <c r="B888" s="559"/>
      <c r="C888" s="559"/>
      <c r="D888" s="559"/>
      <c r="E888" s="559"/>
      <c r="F888" s="559"/>
      <c r="G888" s="559"/>
      <c r="H888" s="559"/>
      <c r="I888" s="559"/>
      <c r="J888" s="559"/>
      <c r="K888" s="559"/>
      <c r="L888" s="559"/>
      <c r="M888" s="559"/>
      <c r="N888" s="559"/>
      <c r="O888" s="559"/>
      <c r="P888" s="559"/>
      <c r="Q888" s="559"/>
      <c r="R888" s="559"/>
      <c r="S888" s="559"/>
      <c r="T888" s="559"/>
      <c r="U888" s="559"/>
      <c r="V888" s="559"/>
      <c r="W888" s="559"/>
      <c r="X888" s="559"/>
      <c r="Y888" s="559"/>
      <c r="Z888" s="559"/>
    </row>
    <row r="889" spans="1:26" ht="18" customHeight="1" x14ac:dyDescent="0.35">
      <c r="A889" s="559"/>
      <c r="B889" s="559"/>
      <c r="C889" s="559"/>
      <c r="D889" s="559"/>
      <c r="E889" s="559"/>
      <c r="F889" s="559"/>
      <c r="G889" s="559"/>
      <c r="H889" s="559"/>
      <c r="I889" s="559"/>
      <c r="J889" s="559"/>
      <c r="K889" s="559"/>
      <c r="L889" s="559"/>
      <c r="M889" s="559"/>
      <c r="N889" s="559"/>
      <c r="O889" s="559"/>
      <c r="P889" s="559"/>
      <c r="Q889" s="559"/>
      <c r="R889" s="559"/>
      <c r="S889" s="559"/>
      <c r="T889" s="559"/>
      <c r="U889" s="559"/>
      <c r="V889" s="559"/>
      <c r="W889" s="559"/>
      <c r="X889" s="559"/>
      <c r="Y889" s="559"/>
      <c r="Z889" s="559"/>
    </row>
    <row r="890" spans="1:26" ht="18" customHeight="1" x14ac:dyDescent="0.35">
      <c r="A890" s="559"/>
      <c r="B890" s="559"/>
      <c r="C890" s="559"/>
      <c r="D890" s="559"/>
      <c r="E890" s="559"/>
      <c r="F890" s="559"/>
      <c r="G890" s="559"/>
      <c r="H890" s="559"/>
      <c r="I890" s="559"/>
      <c r="J890" s="559"/>
      <c r="K890" s="559"/>
      <c r="L890" s="559"/>
      <c r="M890" s="559"/>
      <c r="N890" s="559"/>
      <c r="O890" s="559"/>
      <c r="P890" s="559"/>
      <c r="Q890" s="559"/>
      <c r="R890" s="559"/>
      <c r="S890" s="559"/>
      <c r="T890" s="559"/>
      <c r="U890" s="559"/>
      <c r="V890" s="559"/>
      <c r="W890" s="559"/>
      <c r="X890" s="559"/>
      <c r="Y890" s="559"/>
      <c r="Z890" s="559"/>
    </row>
    <row r="891" spans="1:26" ht="18" customHeight="1" x14ac:dyDescent="0.35">
      <c r="A891" s="559"/>
      <c r="B891" s="559"/>
      <c r="C891" s="559"/>
      <c r="D891" s="559"/>
      <c r="E891" s="559"/>
      <c r="F891" s="559"/>
      <c r="G891" s="559"/>
      <c r="H891" s="559"/>
      <c r="I891" s="559"/>
      <c r="J891" s="559"/>
      <c r="K891" s="559"/>
      <c r="L891" s="559"/>
      <c r="M891" s="559"/>
      <c r="N891" s="559"/>
      <c r="O891" s="559"/>
      <c r="P891" s="559"/>
      <c r="Q891" s="559"/>
      <c r="R891" s="559"/>
      <c r="S891" s="559"/>
      <c r="T891" s="559"/>
      <c r="U891" s="559"/>
      <c r="V891" s="559"/>
      <c r="W891" s="559"/>
      <c r="X891" s="559"/>
      <c r="Y891" s="559"/>
      <c r="Z891" s="559"/>
    </row>
    <row r="892" spans="1:26" ht="18" customHeight="1" x14ac:dyDescent="0.35">
      <c r="A892" s="559"/>
      <c r="B892" s="559"/>
      <c r="C892" s="559"/>
      <c r="D892" s="559"/>
      <c r="E892" s="559"/>
      <c r="F892" s="559"/>
      <c r="G892" s="559"/>
      <c r="H892" s="559"/>
      <c r="I892" s="559"/>
      <c r="J892" s="559"/>
      <c r="K892" s="559"/>
      <c r="L892" s="559"/>
      <c r="M892" s="559"/>
      <c r="N892" s="559"/>
      <c r="O892" s="559"/>
      <c r="P892" s="559"/>
      <c r="Q892" s="559"/>
      <c r="R892" s="559"/>
      <c r="S892" s="559"/>
      <c r="T892" s="559"/>
      <c r="U892" s="559"/>
      <c r="V892" s="559"/>
      <c r="W892" s="559"/>
      <c r="X892" s="559"/>
      <c r="Y892" s="559"/>
      <c r="Z892" s="559"/>
    </row>
    <row r="893" spans="1:26" ht="18" customHeight="1" x14ac:dyDescent="0.35">
      <c r="A893" s="559"/>
      <c r="B893" s="559"/>
      <c r="C893" s="559"/>
      <c r="D893" s="559"/>
      <c r="E893" s="559"/>
      <c r="F893" s="559"/>
      <c r="G893" s="559"/>
      <c r="H893" s="559"/>
      <c r="I893" s="559"/>
      <c r="J893" s="559"/>
      <c r="K893" s="559"/>
      <c r="L893" s="559"/>
      <c r="M893" s="559"/>
      <c r="N893" s="559"/>
      <c r="O893" s="559"/>
      <c r="P893" s="559"/>
      <c r="Q893" s="559"/>
      <c r="R893" s="559"/>
      <c r="S893" s="559"/>
      <c r="T893" s="559"/>
      <c r="U893" s="559"/>
      <c r="V893" s="559"/>
      <c r="W893" s="559"/>
      <c r="X893" s="559"/>
      <c r="Y893" s="559"/>
      <c r="Z893" s="559"/>
    </row>
    <row r="894" spans="1:26" ht="18" customHeight="1" x14ac:dyDescent="0.35">
      <c r="A894" s="559"/>
      <c r="B894" s="559"/>
      <c r="C894" s="559"/>
      <c r="D894" s="559"/>
      <c r="E894" s="559"/>
      <c r="F894" s="559"/>
      <c r="G894" s="559"/>
      <c r="H894" s="559"/>
      <c r="I894" s="559"/>
      <c r="J894" s="559"/>
      <c r="K894" s="559"/>
      <c r="L894" s="559"/>
      <c r="M894" s="559"/>
      <c r="N894" s="559"/>
      <c r="O894" s="559"/>
      <c r="P894" s="559"/>
      <c r="Q894" s="559"/>
      <c r="R894" s="559"/>
      <c r="S894" s="559"/>
      <c r="T894" s="559"/>
      <c r="U894" s="559"/>
      <c r="V894" s="559"/>
      <c r="W894" s="559"/>
      <c r="X894" s="559"/>
      <c r="Y894" s="559"/>
      <c r="Z894" s="559"/>
    </row>
    <row r="895" spans="1:26" ht="18" customHeight="1" x14ac:dyDescent="0.35">
      <c r="A895" s="559"/>
      <c r="B895" s="559"/>
      <c r="C895" s="559"/>
      <c r="D895" s="559"/>
      <c r="E895" s="559"/>
      <c r="F895" s="559"/>
      <c r="G895" s="559"/>
      <c r="H895" s="559"/>
      <c r="I895" s="559"/>
      <c r="J895" s="559"/>
      <c r="K895" s="559"/>
      <c r="L895" s="559"/>
      <c r="M895" s="559"/>
      <c r="N895" s="559"/>
      <c r="O895" s="559"/>
      <c r="P895" s="559"/>
      <c r="Q895" s="559"/>
      <c r="R895" s="559"/>
      <c r="S895" s="559"/>
      <c r="T895" s="559"/>
      <c r="U895" s="559"/>
      <c r="V895" s="559"/>
      <c r="W895" s="559"/>
      <c r="X895" s="559"/>
      <c r="Y895" s="559"/>
      <c r="Z895" s="559"/>
    </row>
    <row r="896" spans="1:26" ht="18" customHeight="1" x14ac:dyDescent="0.35">
      <c r="A896" s="559"/>
      <c r="B896" s="559"/>
      <c r="C896" s="559"/>
      <c r="D896" s="559"/>
      <c r="E896" s="559"/>
      <c r="F896" s="559"/>
      <c r="G896" s="559"/>
      <c r="H896" s="559"/>
      <c r="I896" s="559"/>
      <c r="J896" s="559"/>
      <c r="K896" s="559"/>
      <c r="L896" s="559"/>
      <c r="M896" s="559"/>
      <c r="N896" s="559"/>
      <c r="O896" s="559"/>
      <c r="P896" s="559"/>
      <c r="Q896" s="559"/>
      <c r="R896" s="559"/>
      <c r="S896" s="559"/>
      <c r="T896" s="559"/>
      <c r="U896" s="559"/>
      <c r="V896" s="559"/>
      <c r="W896" s="559"/>
      <c r="X896" s="559"/>
      <c r="Y896" s="559"/>
      <c r="Z896" s="559"/>
    </row>
    <row r="897" spans="1:26" ht="18" customHeight="1" x14ac:dyDescent="0.35">
      <c r="A897" s="559"/>
      <c r="B897" s="559"/>
      <c r="C897" s="559"/>
      <c r="D897" s="559"/>
      <c r="E897" s="559"/>
      <c r="F897" s="559"/>
      <c r="G897" s="559"/>
      <c r="H897" s="559"/>
      <c r="I897" s="559"/>
      <c r="J897" s="559"/>
      <c r="K897" s="559"/>
      <c r="L897" s="559"/>
      <c r="M897" s="559"/>
      <c r="N897" s="559"/>
      <c r="O897" s="559"/>
      <c r="P897" s="559"/>
      <c r="Q897" s="559"/>
      <c r="R897" s="559"/>
      <c r="S897" s="559"/>
      <c r="T897" s="559"/>
      <c r="U897" s="559"/>
      <c r="V897" s="559"/>
      <c r="W897" s="559"/>
      <c r="X897" s="559"/>
      <c r="Y897" s="559"/>
      <c r="Z897" s="559"/>
    </row>
    <row r="898" spans="1:26" ht="18" customHeight="1" x14ac:dyDescent="0.35">
      <c r="A898" s="559"/>
      <c r="B898" s="559"/>
      <c r="C898" s="559"/>
      <c r="D898" s="559"/>
      <c r="E898" s="559"/>
      <c r="F898" s="559"/>
      <c r="G898" s="559"/>
      <c r="H898" s="559"/>
      <c r="I898" s="559"/>
      <c r="J898" s="559"/>
      <c r="K898" s="559"/>
      <c r="L898" s="559"/>
      <c r="M898" s="559"/>
      <c r="N898" s="559"/>
      <c r="O898" s="559"/>
      <c r="P898" s="559"/>
      <c r="Q898" s="559"/>
      <c r="R898" s="559"/>
      <c r="S898" s="559"/>
      <c r="T898" s="559"/>
      <c r="U898" s="559"/>
      <c r="V898" s="559"/>
      <c r="W898" s="559"/>
      <c r="X898" s="559"/>
      <c r="Y898" s="559"/>
      <c r="Z898" s="559"/>
    </row>
    <row r="899" spans="1:26" ht="18" customHeight="1" x14ac:dyDescent="0.35">
      <c r="A899" s="559"/>
      <c r="B899" s="559"/>
      <c r="C899" s="559"/>
      <c r="D899" s="559"/>
      <c r="E899" s="559"/>
      <c r="F899" s="559"/>
      <c r="G899" s="559"/>
      <c r="H899" s="559"/>
      <c r="I899" s="559"/>
      <c r="J899" s="559"/>
      <c r="K899" s="559"/>
      <c r="L899" s="559"/>
      <c r="M899" s="559"/>
      <c r="N899" s="559"/>
      <c r="O899" s="559"/>
      <c r="P899" s="559"/>
      <c r="Q899" s="559"/>
      <c r="R899" s="559"/>
      <c r="S899" s="559"/>
      <c r="T899" s="559"/>
      <c r="U899" s="559"/>
      <c r="V899" s="559"/>
      <c r="W899" s="559"/>
      <c r="X899" s="559"/>
      <c r="Y899" s="559"/>
      <c r="Z899" s="559"/>
    </row>
    <row r="900" spans="1:26" ht="18" customHeight="1" x14ac:dyDescent="0.35">
      <c r="A900" s="559"/>
      <c r="B900" s="559"/>
      <c r="C900" s="559"/>
      <c r="D900" s="559"/>
      <c r="E900" s="559"/>
      <c r="F900" s="559"/>
      <c r="G900" s="559"/>
      <c r="H900" s="559"/>
      <c r="I900" s="559"/>
      <c r="J900" s="559"/>
      <c r="K900" s="559"/>
      <c r="L900" s="559"/>
      <c r="M900" s="559"/>
      <c r="N900" s="559"/>
      <c r="O900" s="559"/>
      <c r="P900" s="559"/>
      <c r="Q900" s="559"/>
      <c r="R900" s="559"/>
      <c r="S900" s="559"/>
      <c r="T900" s="559"/>
      <c r="U900" s="559"/>
      <c r="V900" s="559"/>
      <c r="W900" s="559"/>
      <c r="X900" s="559"/>
      <c r="Y900" s="559"/>
      <c r="Z900" s="559"/>
    </row>
    <row r="901" spans="1:26" ht="18" customHeight="1" x14ac:dyDescent="0.35">
      <c r="A901" s="559"/>
      <c r="B901" s="559"/>
      <c r="C901" s="559"/>
      <c r="D901" s="559"/>
      <c r="E901" s="559"/>
      <c r="F901" s="559"/>
      <c r="G901" s="559"/>
      <c r="H901" s="559"/>
      <c r="I901" s="559"/>
      <c r="J901" s="559"/>
      <c r="K901" s="559"/>
      <c r="L901" s="559"/>
      <c r="M901" s="559"/>
      <c r="N901" s="559"/>
      <c r="O901" s="559"/>
      <c r="P901" s="559"/>
      <c r="Q901" s="559"/>
      <c r="R901" s="559"/>
      <c r="S901" s="559"/>
      <c r="T901" s="559"/>
      <c r="U901" s="559"/>
      <c r="V901" s="559"/>
      <c r="W901" s="559"/>
      <c r="X901" s="559"/>
      <c r="Y901" s="559"/>
      <c r="Z901" s="559"/>
    </row>
    <row r="902" spans="1:26" ht="18" customHeight="1" x14ac:dyDescent="0.35">
      <c r="A902" s="559"/>
      <c r="B902" s="559"/>
      <c r="C902" s="559"/>
      <c r="D902" s="559"/>
      <c r="E902" s="559"/>
      <c r="F902" s="559"/>
      <c r="G902" s="559"/>
      <c r="H902" s="559"/>
      <c r="I902" s="559"/>
      <c r="J902" s="559"/>
      <c r="K902" s="559"/>
      <c r="L902" s="559"/>
      <c r="M902" s="559"/>
      <c r="N902" s="559"/>
      <c r="O902" s="559"/>
      <c r="P902" s="559"/>
      <c r="Q902" s="559"/>
      <c r="R902" s="559"/>
      <c r="S902" s="559"/>
      <c r="T902" s="559"/>
      <c r="U902" s="559"/>
      <c r="V902" s="559"/>
      <c r="W902" s="559"/>
      <c r="X902" s="559"/>
      <c r="Y902" s="559"/>
      <c r="Z902" s="559"/>
    </row>
    <row r="903" spans="1:26" ht="18" customHeight="1" x14ac:dyDescent="0.35">
      <c r="A903" s="559"/>
      <c r="B903" s="559"/>
      <c r="C903" s="559"/>
      <c r="D903" s="559"/>
      <c r="E903" s="559"/>
      <c r="F903" s="559"/>
      <c r="G903" s="559"/>
      <c r="H903" s="559"/>
      <c r="I903" s="559"/>
      <c r="J903" s="559"/>
      <c r="K903" s="559"/>
      <c r="L903" s="559"/>
      <c r="M903" s="559"/>
      <c r="N903" s="559"/>
      <c r="O903" s="559"/>
      <c r="P903" s="559"/>
      <c r="Q903" s="559"/>
      <c r="R903" s="559"/>
      <c r="S903" s="559"/>
      <c r="T903" s="559"/>
      <c r="U903" s="559"/>
      <c r="V903" s="559"/>
      <c r="W903" s="559"/>
      <c r="X903" s="559"/>
      <c r="Y903" s="559"/>
      <c r="Z903" s="559"/>
    </row>
    <row r="904" spans="1:26" ht="18" customHeight="1" x14ac:dyDescent="0.35">
      <c r="A904" s="559"/>
      <c r="B904" s="559"/>
      <c r="C904" s="559"/>
      <c r="D904" s="559"/>
      <c r="E904" s="559"/>
      <c r="F904" s="559"/>
      <c r="G904" s="559"/>
      <c r="H904" s="559"/>
      <c r="I904" s="559"/>
      <c r="J904" s="559"/>
      <c r="K904" s="559"/>
      <c r="L904" s="559"/>
      <c r="M904" s="559"/>
      <c r="N904" s="559"/>
      <c r="O904" s="559"/>
      <c r="P904" s="559"/>
      <c r="Q904" s="559"/>
      <c r="R904" s="559"/>
      <c r="S904" s="559"/>
      <c r="T904" s="559"/>
      <c r="U904" s="559"/>
      <c r="V904" s="559"/>
      <c r="W904" s="559"/>
      <c r="X904" s="559"/>
      <c r="Y904" s="559"/>
      <c r="Z904" s="559"/>
    </row>
    <row r="905" spans="1:26" ht="18" customHeight="1" x14ac:dyDescent="0.35">
      <c r="A905" s="559"/>
      <c r="B905" s="559"/>
      <c r="C905" s="559"/>
      <c r="D905" s="559"/>
      <c r="E905" s="559"/>
      <c r="F905" s="559"/>
      <c r="G905" s="559"/>
      <c r="H905" s="559"/>
      <c r="I905" s="559"/>
      <c r="J905" s="559"/>
      <c r="K905" s="559"/>
      <c r="L905" s="559"/>
      <c r="M905" s="559"/>
      <c r="N905" s="559"/>
      <c r="O905" s="559"/>
      <c r="P905" s="559"/>
      <c r="Q905" s="559"/>
      <c r="R905" s="559"/>
      <c r="S905" s="559"/>
      <c r="T905" s="559"/>
      <c r="U905" s="559"/>
      <c r="V905" s="559"/>
      <c r="W905" s="559"/>
      <c r="X905" s="559"/>
      <c r="Y905" s="559"/>
      <c r="Z905" s="559"/>
    </row>
    <row r="906" spans="1:26" ht="18" customHeight="1" x14ac:dyDescent="0.35">
      <c r="A906" s="559"/>
      <c r="B906" s="559"/>
      <c r="C906" s="559"/>
      <c r="D906" s="559"/>
      <c r="E906" s="559"/>
      <c r="F906" s="559"/>
      <c r="G906" s="559"/>
      <c r="H906" s="559"/>
      <c r="I906" s="559"/>
      <c r="J906" s="559"/>
      <c r="K906" s="559"/>
      <c r="L906" s="559"/>
      <c r="M906" s="559"/>
      <c r="N906" s="559"/>
      <c r="O906" s="559"/>
      <c r="P906" s="559"/>
      <c r="Q906" s="559"/>
      <c r="R906" s="559"/>
      <c r="S906" s="559"/>
      <c r="T906" s="559"/>
      <c r="U906" s="559"/>
      <c r="V906" s="559"/>
      <c r="W906" s="559"/>
      <c r="X906" s="559"/>
      <c r="Y906" s="559"/>
      <c r="Z906" s="559"/>
    </row>
    <row r="907" spans="1:26" ht="18" customHeight="1" x14ac:dyDescent="0.35">
      <c r="A907" s="559"/>
      <c r="B907" s="559"/>
      <c r="C907" s="559"/>
      <c r="D907" s="559"/>
      <c r="E907" s="559"/>
      <c r="F907" s="559"/>
      <c r="G907" s="559"/>
      <c r="H907" s="559"/>
      <c r="I907" s="559"/>
      <c r="J907" s="559"/>
      <c r="K907" s="559"/>
      <c r="L907" s="559"/>
      <c r="M907" s="559"/>
      <c r="N907" s="559"/>
      <c r="O907" s="559"/>
      <c r="P907" s="559"/>
      <c r="Q907" s="559"/>
      <c r="R907" s="559"/>
      <c r="S907" s="559"/>
      <c r="T907" s="559"/>
      <c r="U907" s="559"/>
      <c r="V907" s="559"/>
      <c r="W907" s="559"/>
      <c r="X907" s="559"/>
      <c r="Y907" s="559"/>
      <c r="Z907" s="559"/>
    </row>
    <row r="908" spans="1:26" ht="18" customHeight="1" x14ac:dyDescent="0.35">
      <c r="A908" s="559"/>
      <c r="B908" s="559"/>
      <c r="C908" s="559"/>
      <c r="D908" s="559"/>
      <c r="E908" s="559"/>
      <c r="F908" s="559"/>
      <c r="G908" s="559"/>
      <c r="H908" s="559"/>
      <c r="I908" s="559"/>
      <c r="J908" s="559"/>
      <c r="K908" s="559"/>
      <c r="L908" s="559"/>
      <c r="M908" s="559"/>
      <c r="N908" s="559"/>
      <c r="O908" s="559"/>
      <c r="P908" s="559"/>
      <c r="Q908" s="559"/>
      <c r="R908" s="559"/>
      <c r="S908" s="559"/>
      <c r="T908" s="559"/>
      <c r="U908" s="559"/>
      <c r="V908" s="559"/>
      <c r="W908" s="559"/>
      <c r="X908" s="559"/>
      <c r="Y908" s="559"/>
      <c r="Z908" s="559"/>
    </row>
    <row r="909" spans="1:26" ht="18" customHeight="1" x14ac:dyDescent="0.35">
      <c r="A909" s="559"/>
      <c r="B909" s="559"/>
      <c r="C909" s="559"/>
      <c r="D909" s="559"/>
      <c r="E909" s="559"/>
      <c r="F909" s="559"/>
      <c r="G909" s="559"/>
      <c r="H909" s="559"/>
      <c r="I909" s="559"/>
      <c r="J909" s="559"/>
      <c r="K909" s="559"/>
      <c r="L909" s="559"/>
      <c r="M909" s="559"/>
      <c r="N909" s="559"/>
      <c r="O909" s="559"/>
      <c r="P909" s="559"/>
      <c r="Q909" s="559"/>
      <c r="R909" s="559"/>
      <c r="S909" s="559"/>
      <c r="T909" s="559"/>
      <c r="U909" s="559"/>
      <c r="V909" s="559"/>
      <c r="W909" s="559"/>
      <c r="X909" s="559"/>
      <c r="Y909" s="559"/>
      <c r="Z909" s="559"/>
    </row>
    <row r="910" spans="1:26" ht="18" customHeight="1" x14ac:dyDescent="0.35">
      <c r="A910" s="559"/>
      <c r="B910" s="559"/>
      <c r="C910" s="559"/>
      <c r="D910" s="559"/>
      <c r="E910" s="559"/>
      <c r="F910" s="559"/>
      <c r="G910" s="559"/>
      <c r="H910" s="559"/>
      <c r="I910" s="559"/>
      <c r="J910" s="559"/>
      <c r="K910" s="559"/>
      <c r="L910" s="559"/>
      <c r="M910" s="559"/>
      <c r="N910" s="559"/>
      <c r="O910" s="559"/>
      <c r="P910" s="559"/>
      <c r="Q910" s="559"/>
      <c r="R910" s="559"/>
      <c r="S910" s="559"/>
      <c r="T910" s="559"/>
      <c r="U910" s="559"/>
      <c r="V910" s="559"/>
      <c r="W910" s="559"/>
      <c r="X910" s="559"/>
      <c r="Y910" s="559"/>
      <c r="Z910" s="559"/>
    </row>
    <row r="911" spans="1:26" ht="18" customHeight="1" x14ac:dyDescent="0.35">
      <c r="A911" s="559"/>
      <c r="B911" s="559"/>
      <c r="C911" s="559"/>
      <c r="D911" s="559"/>
      <c r="E911" s="559"/>
      <c r="F911" s="559"/>
      <c r="G911" s="559"/>
      <c r="H911" s="559"/>
      <c r="I911" s="559"/>
      <c r="J911" s="559"/>
      <c r="K911" s="559"/>
      <c r="L911" s="559"/>
      <c r="M911" s="559"/>
      <c r="N911" s="559"/>
      <c r="O911" s="559"/>
      <c r="P911" s="559"/>
      <c r="Q911" s="559"/>
      <c r="R911" s="559"/>
      <c r="S911" s="559"/>
      <c r="T911" s="559"/>
      <c r="U911" s="559"/>
      <c r="V911" s="559"/>
      <c r="W911" s="559"/>
      <c r="X911" s="559"/>
      <c r="Y911" s="559"/>
      <c r="Z911" s="559"/>
    </row>
    <row r="912" spans="1:26" ht="18" customHeight="1" x14ac:dyDescent="0.35">
      <c r="A912" s="559"/>
      <c r="B912" s="559"/>
      <c r="C912" s="559"/>
      <c r="D912" s="559"/>
      <c r="E912" s="559"/>
      <c r="F912" s="559"/>
      <c r="G912" s="559"/>
      <c r="H912" s="559"/>
      <c r="I912" s="559"/>
      <c r="J912" s="559"/>
      <c r="K912" s="559"/>
      <c r="L912" s="559"/>
      <c r="M912" s="559"/>
      <c r="N912" s="559"/>
      <c r="O912" s="559"/>
      <c r="P912" s="559"/>
      <c r="Q912" s="559"/>
      <c r="R912" s="559"/>
      <c r="S912" s="559"/>
      <c r="T912" s="559"/>
      <c r="U912" s="559"/>
      <c r="V912" s="559"/>
      <c r="W912" s="559"/>
      <c r="X912" s="559"/>
      <c r="Y912" s="559"/>
      <c r="Z912" s="559"/>
    </row>
    <row r="913" spans="1:26" ht="18" customHeight="1" x14ac:dyDescent="0.35">
      <c r="A913" s="559"/>
      <c r="B913" s="559"/>
      <c r="C913" s="559"/>
      <c r="D913" s="559"/>
      <c r="E913" s="559"/>
      <c r="F913" s="559"/>
      <c r="G913" s="559"/>
      <c r="H913" s="559"/>
      <c r="I913" s="559"/>
      <c r="J913" s="559"/>
      <c r="K913" s="559"/>
      <c r="L913" s="559"/>
      <c r="M913" s="559"/>
      <c r="N913" s="559"/>
      <c r="O913" s="559"/>
      <c r="P913" s="559"/>
      <c r="Q913" s="559"/>
      <c r="R913" s="559"/>
      <c r="S913" s="559"/>
      <c r="T913" s="559"/>
      <c r="U913" s="559"/>
      <c r="V913" s="559"/>
      <c r="W913" s="559"/>
      <c r="X913" s="559"/>
      <c r="Y913" s="559"/>
      <c r="Z913" s="559"/>
    </row>
    <row r="914" spans="1:26" ht="18" customHeight="1" x14ac:dyDescent="0.35">
      <c r="A914" s="559"/>
      <c r="B914" s="559"/>
      <c r="C914" s="559"/>
      <c r="D914" s="559"/>
      <c r="E914" s="559"/>
      <c r="F914" s="559"/>
      <c r="G914" s="559"/>
      <c r="H914" s="559"/>
      <c r="I914" s="559"/>
      <c r="J914" s="559"/>
      <c r="K914" s="559"/>
      <c r="L914" s="559"/>
      <c r="M914" s="559"/>
      <c r="N914" s="559"/>
      <c r="O914" s="559"/>
      <c r="P914" s="559"/>
      <c r="Q914" s="559"/>
      <c r="R914" s="559"/>
      <c r="S914" s="559"/>
      <c r="T914" s="559"/>
      <c r="U914" s="559"/>
      <c r="V914" s="559"/>
      <c r="W914" s="559"/>
      <c r="X914" s="559"/>
      <c r="Y914" s="559"/>
      <c r="Z914" s="559"/>
    </row>
    <row r="915" spans="1:26" ht="18" customHeight="1" x14ac:dyDescent="0.35">
      <c r="A915" s="559"/>
      <c r="B915" s="559"/>
      <c r="C915" s="559"/>
      <c r="D915" s="559"/>
      <c r="E915" s="559"/>
      <c r="F915" s="559"/>
      <c r="G915" s="559"/>
      <c r="H915" s="559"/>
      <c r="I915" s="559"/>
      <c r="J915" s="559"/>
      <c r="K915" s="559"/>
      <c r="L915" s="559"/>
      <c r="M915" s="559"/>
      <c r="N915" s="559"/>
      <c r="O915" s="559"/>
      <c r="P915" s="559"/>
      <c r="Q915" s="559"/>
      <c r="R915" s="559"/>
      <c r="S915" s="559"/>
      <c r="T915" s="559"/>
      <c r="U915" s="559"/>
      <c r="V915" s="559"/>
      <c r="W915" s="559"/>
      <c r="X915" s="559"/>
      <c r="Y915" s="559"/>
      <c r="Z915" s="559"/>
    </row>
    <row r="916" spans="1:26" ht="18" customHeight="1" x14ac:dyDescent="0.35">
      <c r="A916" s="559"/>
      <c r="B916" s="559"/>
      <c r="C916" s="559"/>
      <c r="D916" s="559"/>
      <c r="E916" s="559"/>
      <c r="F916" s="559"/>
      <c r="G916" s="559"/>
      <c r="H916" s="559"/>
      <c r="I916" s="559"/>
      <c r="J916" s="559"/>
      <c r="K916" s="559"/>
      <c r="L916" s="559"/>
      <c r="M916" s="559"/>
      <c r="N916" s="559"/>
      <c r="O916" s="559"/>
      <c r="P916" s="559"/>
      <c r="Q916" s="559"/>
      <c r="R916" s="559"/>
      <c r="S916" s="559"/>
      <c r="T916" s="559"/>
      <c r="U916" s="559"/>
      <c r="V916" s="559"/>
      <c r="W916" s="559"/>
      <c r="X916" s="559"/>
      <c r="Y916" s="559"/>
      <c r="Z916" s="559"/>
    </row>
    <row r="917" spans="1:26" ht="18" customHeight="1" x14ac:dyDescent="0.35">
      <c r="A917" s="559"/>
      <c r="B917" s="559"/>
      <c r="C917" s="559"/>
      <c r="D917" s="559"/>
      <c r="E917" s="559"/>
      <c r="F917" s="559"/>
      <c r="G917" s="559"/>
      <c r="H917" s="559"/>
      <c r="I917" s="559"/>
      <c r="J917" s="559"/>
      <c r="K917" s="559"/>
      <c r="L917" s="559"/>
      <c r="M917" s="559"/>
      <c r="N917" s="559"/>
      <c r="O917" s="559"/>
      <c r="P917" s="559"/>
      <c r="Q917" s="559"/>
      <c r="R917" s="559"/>
      <c r="S917" s="559"/>
      <c r="T917" s="559"/>
      <c r="U917" s="559"/>
      <c r="V917" s="559"/>
      <c r="W917" s="559"/>
      <c r="X917" s="559"/>
      <c r="Y917" s="559"/>
      <c r="Z917" s="559"/>
    </row>
    <row r="918" spans="1:26" ht="18" customHeight="1" x14ac:dyDescent="0.35">
      <c r="A918" s="559"/>
      <c r="B918" s="559"/>
      <c r="C918" s="559"/>
      <c r="D918" s="559"/>
      <c r="E918" s="559"/>
      <c r="F918" s="559"/>
      <c r="G918" s="559"/>
      <c r="H918" s="559"/>
      <c r="I918" s="559"/>
      <c r="J918" s="559"/>
      <c r="K918" s="559"/>
      <c r="L918" s="559"/>
      <c r="M918" s="559"/>
      <c r="N918" s="559"/>
      <c r="O918" s="559"/>
      <c r="P918" s="559"/>
      <c r="Q918" s="559"/>
      <c r="R918" s="559"/>
      <c r="S918" s="559"/>
      <c r="T918" s="559"/>
      <c r="U918" s="559"/>
      <c r="V918" s="559"/>
      <c r="W918" s="559"/>
      <c r="X918" s="559"/>
      <c r="Y918" s="559"/>
      <c r="Z918" s="559"/>
    </row>
    <row r="919" spans="1:26" ht="18" customHeight="1" x14ac:dyDescent="0.35">
      <c r="A919" s="559"/>
      <c r="B919" s="559"/>
      <c r="C919" s="559"/>
      <c r="D919" s="559"/>
      <c r="E919" s="559"/>
      <c r="F919" s="559"/>
      <c r="G919" s="559"/>
      <c r="H919" s="559"/>
      <c r="I919" s="559"/>
      <c r="J919" s="559"/>
      <c r="K919" s="559"/>
      <c r="L919" s="559"/>
      <c r="M919" s="559"/>
      <c r="N919" s="559"/>
      <c r="O919" s="559"/>
      <c r="P919" s="559"/>
      <c r="Q919" s="559"/>
      <c r="R919" s="559"/>
      <c r="S919" s="559"/>
      <c r="T919" s="559"/>
      <c r="U919" s="559"/>
      <c r="V919" s="559"/>
      <c r="W919" s="559"/>
      <c r="X919" s="559"/>
      <c r="Y919" s="559"/>
      <c r="Z919" s="559"/>
    </row>
    <row r="920" spans="1:26" ht="18" customHeight="1" x14ac:dyDescent="0.35">
      <c r="A920" s="559"/>
      <c r="B920" s="559"/>
      <c r="C920" s="559"/>
      <c r="D920" s="559"/>
      <c r="E920" s="559"/>
      <c r="F920" s="559"/>
      <c r="G920" s="559"/>
      <c r="H920" s="559"/>
      <c r="I920" s="559"/>
      <c r="J920" s="559"/>
      <c r="K920" s="559"/>
      <c r="L920" s="559"/>
      <c r="M920" s="559"/>
      <c r="N920" s="559"/>
      <c r="O920" s="559"/>
      <c r="P920" s="559"/>
      <c r="Q920" s="559"/>
      <c r="R920" s="559"/>
      <c r="S920" s="559"/>
      <c r="T920" s="559"/>
      <c r="U920" s="559"/>
      <c r="V920" s="559"/>
      <c r="W920" s="559"/>
      <c r="X920" s="559"/>
      <c r="Y920" s="559"/>
      <c r="Z920" s="559"/>
    </row>
    <row r="921" spans="1:26" ht="18" customHeight="1" x14ac:dyDescent="0.35">
      <c r="A921" s="559"/>
      <c r="B921" s="559"/>
      <c r="C921" s="559"/>
      <c r="D921" s="559"/>
      <c r="E921" s="559"/>
      <c r="F921" s="559"/>
      <c r="G921" s="559"/>
      <c r="H921" s="559"/>
      <c r="I921" s="559"/>
      <c r="J921" s="559"/>
      <c r="K921" s="559"/>
      <c r="L921" s="559"/>
      <c r="M921" s="559"/>
      <c r="N921" s="559"/>
      <c r="O921" s="559"/>
      <c r="P921" s="559"/>
      <c r="Q921" s="559"/>
      <c r="R921" s="559"/>
      <c r="S921" s="559"/>
      <c r="T921" s="559"/>
      <c r="U921" s="559"/>
      <c r="V921" s="559"/>
      <c r="W921" s="559"/>
      <c r="X921" s="559"/>
      <c r="Y921" s="559"/>
      <c r="Z921" s="559"/>
    </row>
    <row r="922" spans="1:26" ht="18" customHeight="1" x14ac:dyDescent="0.35">
      <c r="A922" s="559"/>
      <c r="B922" s="559"/>
      <c r="C922" s="559"/>
      <c r="D922" s="559"/>
      <c r="E922" s="559"/>
      <c r="F922" s="559"/>
      <c r="G922" s="559"/>
      <c r="H922" s="559"/>
      <c r="I922" s="559"/>
      <c r="J922" s="559"/>
      <c r="K922" s="559"/>
      <c r="L922" s="559"/>
      <c r="M922" s="559"/>
      <c r="N922" s="559"/>
      <c r="O922" s="559"/>
      <c r="P922" s="559"/>
      <c r="Q922" s="559"/>
      <c r="R922" s="559"/>
      <c r="S922" s="559"/>
      <c r="T922" s="559"/>
      <c r="U922" s="559"/>
      <c r="V922" s="559"/>
      <c r="W922" s="559"/>
      <c r="X922" s="559"/>
      <c r="Y922" s="559"/>
      <c r="Z922" s="559"/>
    </row>
    <row r="923" spans="1:26" ht="18" customHeight="1" x14ac:dyDescent="0.35">
      <c r="A923" s="559"/>
      <c r="B923" s="559"/>
      <c r="C923" s="559"/>
      <c r="D923" s="559"/>
      <c r="E923" s="559"/>
      <c r="F923" s="559"/>
      <c r="G923" s="559"/>
      <c r="H923" s="559"/>
      <c r="I923" s="559"/>
      <c r="J923" s="559"/>
      <c r="K923" s="559"/>
      <c r="L923" s="559"/>
      <c r="M923" s="559"/>
      <c r="N923" s="559"/>
      <c r="O923" s="559"/>
      <c r="P923" s="559"/>
      <c r="Q923" s="559"/>
      <c r="R923" s="559"/>
      <c r="S923" s="559"/>
      <c r="T923" s="559"/>
      <c r="U923" s="559"/>
      <c r="V923" s="559"/>
      <c r="W923" s="559"/>
      <c r="X923" s="559"/>
      <c r="Y923" s="559"/>
      <c r="Z923" s="559"/>
    </row>
    <row r="924" spans="1:26" ht="18" customHeight="1" x14ac:dyDescent="0.35">
      <c r="A924" s="559"/>
      <c r="B924" s="559"/>
      <c r="C924" s="559"/>
      <c r="D924" s="559"/>
      <c r="E924" s="559"/>
      <c r="F924" s="559"/>
      <c r="G924" s="559"/>
      <c r="H924" s="559"/>
      <c r="I924" s="559"/>
      <c r="J924" s="559"/>
      <c r="K924" s="559"/>
      <c r="L924" s="559"/>
      <c r="M924" s="559"/>
      <c r="N924" s="559"/>
      <c r="O924" s="559"/>
      <c r="P924" s="559"/>
      <c r="Q924" s="559"/>
      <c r="R924" s="559"/>
      <c r="S924" s="559"/>
      <c r="T924" s="559"/>
      <c r="U924" s="559"/>
      <c r="V924" s="559"/>
      <c r="W924" s="559"/>
      <c r="X924" s="559"/>
      <c r="Y924" s="559"/>
      <c r="Z924" s="559"/>
    </row>
    <row r="925" spans="1:26" ht="18" customHeight="1" x14ac:dyDescent="0.35">
      <c r="A925" s="559"/>
      <c r="B925" s="559"/>
      <c r="C925" s="559"/>
      <c r="D925" s="559"/>
      <c r="E925" s="559"/>
      <c r="F925" s="559"/>
      <c r="G925" s="559"/>
      <c r="H925" s="559"/>
      <c r="I925" s="559"/>
      <c r="J925" s="559"/>
      <c r="K925" s="559"/>
      <c r="L925" s="559"/>
      <c r="M925" s="559"/>
      <c r="N925" s="559"/>
      <c r="O925" s="559"/>
      <c r="P925" s="559"/>
      <c r="Q925" s="559"/>
      <c r="R925" s="559"/>
      <c r="S925" s="559"/>
      <c r="T925" s="559"/>
      <c r="U925" s="559"/>
      <c r="V925" s="559"/>
      <c r="W925" s="559"/>
      <c r="X925" s="559"/>
      <c r="Y925" s="559"/>
      <c r="Z925" s="559"/>
    </row>
    <row r="926" spans="1:26" ht="18" customHeight="1" x14ac:dyDescent="0.35">
      <c r="A926" s="559"/>
      <c r="B926" s="559"/>
      <c r="C926" s="559"/>
      <c r="D926" s="559"/>
      <c r="E926" s="559"/>
      <c r="F926" s="559"/>
      <c r="G926" s="559"/>
      <c r="H926" s="559"/>
      <c r="I926" s="559"/>
      <c r="J926" s="559"/>
      <c r="K926" s="559"/>
      <c r="L926" s="559"/>
      <c r="M926" s="559"/>
      <c r="N926" s="559"/>
      <c r="O926" s="559"/>
      <c r="P926" s="559"/>
      <c r="Q926" s="559"/>
      <c r="R926" s="559"/>
      <c r="S926" s="559"/>
      <c r="T926" s="559"/>
      <c r="U926" s="559"/>
      <c r="V926" s="559"/>
      <c r="W926" s="559"/>
      <c r="X926" s="559"/>
      <c r="Y926" s="559"/>
      <c r="Z926" s="559"/>
    </row>
    <row r="927" spans="1:26" ht="18" customHeight="1" x14ac:dyDescent="0.35">
      <c r="A927" s="559"/>
      <c r="B927" s="559"/>
      <c r="C927" s="559"/>
      <c r="D927" s="559"/>
      <c r="E927" s="559"/>
      <c r="F927" s="559"/>
      <c r="G927" s="559"/>
      <c r="H927" s="559"/>
      <c r="I927" s="559"/>
      <c r="J927" s="559"/>
      <c r="K927" s="559"/>
      <c r="L927" s="559"/>
      <c r="M927" s="559"/>
      <c r="N927" s="559"/>
      <c r="O927" s="559"/>
      <c r="P927" s="559"/>
      <c r="Q927" s="559"/>
      <c r="R927" s="559"/>
      <c r="S927" s="559"/>
      <c r="T927" s="559"/>
      <c r="U927" s="559"/>
      <c r="V927" s="559"/>
      <c r="W927" s="559"/>
      <c r="X927" s="559"/>
      <c r="Y927" s="559"/>
      <c r="Z927" s="559"/>
    </row>
    <row r="928" spans="1:26" ht="18" customHeight="1" x14ac:dyDescent="0.35">
      <c r="A928" s="559"/>
      <c r="B928" s="559"/>
      <c r="C928" s="559"/>
      <c r="D928" s="559"/>
      <c r="E928" s="559"/>
      <c r="F928" s="559"/>
      <c r="G928" s="559"/>
      <c r="H928" s="559"/>
      <c r="I928" s="559"/>
      <c r="J928" s="559"/>
      <c r="K928" s="559"/>
      <c r="L928" s="559"/>
      <c r="M928" s="559"/>
      <c r="N928" s="559"/>
      <c r="O928" s="559"/>
      <c r="P928" s="559"/>
      <c r="Q928" s="559"/>
      <c r="R928" s="559"/>
      <c r="S928" s="559"/>
      <c r="T928" s="559"/>
      <c r="U928" s="559"/>
      <c r="V928" s="559"/>
      <c r="W928" s="559"/>
      <c r="X928" s="559"/>
      <c r="Y928" s="559"/>
      <c r="Z928" s="559"/>
    </row>
    <row r="929" spans="1:26" ht="18" customHeight="1" x14ac:dyDescent="0.35">
      <c r="A929" s="559"/>
      <c r="B929" s="559"/>
      <c r="C929" s="559"/>
      <c r="D929" s="559"/>
      <c r="E929" s="559"/>
      <c r="F929" s="559"/>
      <c r="G929" s="559"/>
      <c r="H929" s="559"/>
      <c r="I929" s="559"/>
      <c r="J929" s="559"/>
      <c r="K929" s="559"/>
      <c r="L929" s="559"/>
      <c r="M929" s="559"/>
      <c r="N929" s="559"/>
      <c r="O929" s="559"/>
      <c r="P929" s="559"/>
      <c r="Q929" s="559"/>
      <c r="R929" s="559"/>
      <c r="S929" s="559"/>
      <c r="T929" s="559"/>
      <c r="U929" s="559"/>
      <c r="V929" s="559"/>
      <c r="W929" s="559"/>
      <c r="X929" s="559"/>
      <c r="Y929" s="559"/>
      <c r="Z929" s="559"/>
    </row>
    <row r="930" spans="1:26" ht="18" customHeight="1" x14ac:dyDescent="0.35">
      <c r="A930" s="559"/>
      <c r="B930" s="559"/>
      <c r="C930" s="559"/>
      <c r="D930" s="559"/>
      <c r="E930" s="559"/>
      <c r="F930" s="559"/>
      <c r="G930" s="559"/>
      <c r="H930" s="559"/>
      <c r="I930" s="559"/>
      <c r="J930" s="559"/>
      <c r="K930" s="559"/>
      <c r="L930" s="559"/>
      <c r="M930" s="559"/>
      <c r="N930" s="559"/>
      <c r="O930" s="559"/>
      <c r="P930" s="559"/>
      <c r="Q930" s="559"/>
      <c r="R930" s="559"/>
      <c r="S930" s="559"/>
      <c r="T930" s="559"/>
      <c r="U930" s="559"/>
      <c r="V930" s="559"/>
      <c r="W930" s="559"/>
      <c r="X930" s="559"/>
      <c r="Y930" s="559"/>
      <c r="Z930" s="559"/>
    </row>
    <row r="931" spans="1:26" ht="18" customHeight="1" x14ac:dyDescent="0.35">
      <c r="A931" s="559"/>
      <c r="B931" s="559"/>
      <c r="C931" s="559"/>
      <c r="D931" s="559"/>
      <c r="E931" s="559"/>
      <c r="F931" s="559"/>
      <c r="G931" s="559"/>
      <c r="H931" s="559"/>
      <c r="I931" s="559"/>
      <c r="J931" s="559"/>
      <c r="K931" s="559"/>
      <c r="L931" s="559"/>
      <c r="M931" s="559"/>
      <c r="N931" s="559"/>
      <c r="O931" s="559"/>
      <c r="P931" s="559"/>
      <c r="Q931" s="559"/>
      <c r="R931" s="559"/>
      <c r="S931" s="559"/>
      <c r="T931" s="559"/>
      <c r="U931" s="559"/>
      <c r="V931" s="559"/>
      <c r="W931" s="559"/>
      <c r="X931" s="559"/>
      <c r="Y931" s="559"/>
      <c r="Z931" s="559"/>
    </row>
    <row r="932" spans="1:26" ht="18" customHeight="1" x14ac:dyDescent="0.35">
      <c r="A932" s="559"/>
      <c r="B932" s="559"/>
      <c r="C932" s="559"/>
      <c r="D932" s="559"/>
      <c r="E932" s="559"/>
      <c r="F932" s="559"/>
      <c r="G932" s="559"/>
      <c r="H932" s="559"/>
      <c r="I932" s="559"/>
      <c r="J932" s="559"/>
      <c r="K932" s="559"/>
      <c r="L932" s="559"/>
      <c r="M932" s="559"/>
      <c r="N932" s="559"/>
      <c r="O932" s="559"/>
      <c r="P932" s="559"/>
      <c r="Q932" s="559"/>
      <c r="R932" s="559"/>
      <c r="S932" s="559"/>
      <c r="T932" s="559"/>
      <c r="U932" s="559"/>
      <c r="V932" s="559"/>
      <c r="W932" s="559"/>
      <c r="X932" s="559"/>
      <c r="Y932" s="559"/>
      <c r="Z932" s="559"/>
    </row>
    <row r="933" spans="1:26" ht="18" customHeight="1" x14ac:dyDescent="0.35">
      <c r="A933" s="559"/>
      <c r="B933" s="559"/>
      <c r="C933" s="559"/>
      <c r="D933" s="559"/>
      <c r="E933" s="559"/>
      <c r="F933" s="559"/>
      <c r="G933" s="559"/>
      <c r="H933" s="559"/>
      <c r="I933" s="559"/>
      <c r="J933" s="559"/>
      <c r="K933" s="559"/>
      <c r="L933" s="559"/>
      <c r="M933" s="559"/>
      <c r="N933" s="559"/>
      <c r="O933" s="559"/>
      <c r="P933" s="559"/>
      <c r="Q933" s="559"/>
      <c r="R933" s="559"/>
      <c r="S933" s="559"/>
      <c r="T933" s="559"/>
      <c r="U933" s="559"/>
      <c r="V933" s="559"/>
      <c r="W933" s="559"/>
      <c r="X933" s="559"/>
      <c r="Y933" s="559"/>
      <c r="Z933" s="559"/>
    </row>
    <row r="934" spans="1:26" ht="18" customHeight="1" x14ac:dyDescent="0.35">
      <c r="A934" s="559"/>
      <c r="B934" s="559"/>
      <c r="C934" s="559"/>
      <c r="D934" s="559"/>
      <c r="E934" s="559"/>
      <c r="F934" s="559"/>
      <c r="G934" s="559"/>
      <c r="H934" s="559"/>
      <c r="I934" s="559"/>
      <c r="J934" s="559"/>
      <c r="K934" s="559"/>
      <c r="L934" s="559"/>
      <c r="M934" s="559"/>
      <c r="N934" s="559"/>
      <c r="O934" s="559"/>
      <c r="P934" s="559"/>
      <c r="Q934" s="559"/>
      <c r="R934" s="559"/>
      <c r="S934" s="559"/>
      <c r="T934" s="559"/>
      <c r="U934" s="559"/>
      <c r="V934" s="559"/>
      <c r="W934" s="559"/>
      <c r="X934" s="559"/>
      <c r="Y934" s="559"/>
      <c r="Z934" s="559"/>
    </row>
    <row r="935" spans="1:26" ht="18" customHeight="1" x14ac:dyDescent="0.35">
      <c r="A935" s="559"/>
      <c r="B935" s="559"/>
      <c r="C935" s="559"/>
      <c r="D935" s="559"/>
      <c r="E935" s="559"/>
      <c r="F935" s="559"/>
      <c r="G935" s="559"/>
      <c r="H935" s="559"/>
      <c r="I935" s="559"/>
      <c r="J935" s="559"/>
      <c r="K935" s="559"/>
      <c r="L935" s="559"/>
      <c r="M935" s="559"/>
      <c r="N935" s="559"/>
      <c r="O935" s="559"/>
      <c r="P935" s="559"/>
      <c r="Q935" s="559"/>
      <c r="R935" s="559"/>
      <c r="S935" s="559"/>
      <c r="T935" s="559"/>
      <c r="U935" s="559"/>
      <c r="V935" s="559"/>
      <c r="W935" s="559"/>
      <c r="X935" s="559"/>
      <c r="Y935" s="559"/>
      <c r="Z935" s="559"/>
    </row>
    <row r="936" spans="1:26" ht="18" customHeight="1" x14ac:dyDescent="0.35">
      <c r="A936" s="559"/>
      <c r="B936" s="559"/>
      <c r="C936" s="559"/>
      <c r="D936" s="559"/>
      <c r="E936" s="559"/>
      <c r="F936" s="559"/>
      <c r="G936" s="559"/>
      <c r="H936" s="559"/>
      <c r="I936" s="559"/>
      <c r="J936" s="559"/>
      <c r="K936" s="559"/>
      <c r="L936" s="559"/>
      <c r="M936" s="559"/>
      <c r="N936" s="559"/>
      <c r="O936" s="559"/>
      <c r="P936" s="559"/>
      <c r="Q936" s="559"/>
      <c r="R936" s="559"/>
      <c r="S936" s="559"/>
      <c r="T936" s="559"/>
      <c r="U936" s="559"/>
      <c r="V936" s="559"/>
      <c r="W936" s="559"/>
      <c r="X936" s="559"/>
      <c r="Y936" s="559"/>
      <c r="Z936" s="559"/>
    </row>
    <row r="937" spans="1:26" ht="18" customHeight="1" x14ac:dyDescent="0.35">
      <c r="A937" s="559"/>
      <c r="B937" s="559"/>
      <c r="C937" s="559"/>
      <c r="D937" s="559"/>
      <c r="E937" s="559"/>
      <c r="F937" s="559"/>
      <c r="G937" s="559"/>
      <c r="H937" s="559"/>
      <c r="I937" s="559"/>
      <c r="J937" s="559"/>
      <c r="K937" s="559"/>
      <c r="L937" s="559"/>
      <c r="M937" s="559"/>
      <c r="N937" s="559"/>
      <c r="O937" s="559"/>
      <c r="P937" s="559"/>
      <c r="Q937" s="559"/>
      <c r="R937" s="559"/>
      <c r="S937" s="559"/>
      <c r="T937" s="559"/>
      <c r="U937" s="559"/>
      <c r="V937" s="559"/>
      <c r="W937" s="559"/>
      <c r="X937" s="559"/>
      <c r="Y937" s="559"/>
      <c r="Z937" s="559"/>
    </row>
    <row r="938" spans="1:26" ht="18" customHeight="1" x14ac:dyDescent="0.35">
      <c r="A938" s="559"/>
      <c r="B938" s="559"/>
      <c r="C938" s="559"/>
      <c r="D938" s="559"/>
      <c r="E938" s="559"/>
      <c r="F938" s="559"/>
      <c r="G938" s="559"/>
      <c r="H938" s="559"/>
      <c r="I938" s="559"/>
      <c r="J938" s="559"/>
      <c r="K938" s="559"/>
      <c r="L938" s="559"/>
      <c r="M938" s="559"/>
      <c r="N938" s="559"/>
      <c r="O938" s="559"/>
      <c r="P938" s="559"/>
      <c r="Q938" s="559"/>
      <c r="R938" s="559"/>
      <c r="S938" s="559"/>
      <c r="T938" s="559"/>
      <c r="U938" s="559"/>
      <c r="V938" s="559"/>
      <c r="W938" s="559"/>
      <c r="X938" s="559"/>
      <c r="Y938" s="559"/>
      <c r="Z938" s="559"/>
    </row>
    <row r="939" spans="1:26" ht="18" customHeight="1" x14ac:dyDescent="0.35">
      <c r="A939" s="559"/>
      <c r="B939" s="559"/>
      <c r="C939" s="559"/>
      <c r="D939" s="559"/>
      <c r="E939" s="559"/>
      <c r="F939" s="559"/>
      <c r="G939" s="559"/>
      <c r="H939" s="559"/>
      <c r="I939" s="559"/>
      <c r="J939" s="559"/>
      <c r="K939" s="559"/>
      <c r="L939" s="559"/>
      <c r="M939" s="559"/>
      <c r="N939" s="559"/>
      <c r="O939" s="559"/>
      <c r="P939" s="559"/>
      <c r="Q939" s="559"/>
      <c r="R939" s="559"/>
      <c r="S939" s="559"/>
      <c r="T939" s="559"/>
      <c r="U939" s="559"/>
      <c r="V939" s="559"/>
      <c r="W939" s="559"/>
      <c r="X939" s="559"/>
      <c r="Y939" s="559"/>
      <c r="Z939" s="559"/>
    </row>
    <row r="940" spans="1:26" ht="18" customHeight="1" x14ac:dyDescent="0.35">
      <c r="A940" s="559"/>
      <c r="B940" s="559"/>
      <c r="C940" s="559"/>
      <c r="D940" s="559"/>
      <c r="E940" s="559"/>
      <c r="F940" s="559"/>
      <c r="G940" s="559"/>
      <c r="H940" s="559"/>
      <c r="I940" s="559"/>
      <c r="J940" s="559"/>
      <c r="K940" s="559"/>
      <c r="L940" s="559"/>
      <c r="M940" s="559"/>
      <c r="N940" s="559"/>
      <c r="O940" s="559"/>
      <c r="P940" s="559"/>
      <c r="Q940" s="559"/>
      <c r="R940" s="559"/>
      <c r="S940" s="559"/>
      <c r="T940" s="559"/>
      <c r="U940" s="559"/>
      <c r="V940" s="559"/>
      <c r="W940" s="559"/>
      <c r="X940" s="559"/>
      <c r="Y940" s="559"/>
      <c r="Z940" s="559"/>
    </row>
    <row r="941" spans="1:26" ht="18" customHeight="1" x14ac:dyDescent="0.35">
      <c r="A941" s="559"/>
      <c r="B941" s="559"/>
      <c r="C941" s="559"/>
      <c r="D941" s="559"/>
      <c r="E941" s="559"/>
      <c r="F941" s="559"/>
      <c r="G941" s="559"/>
      <c r="H941" s="559"/>
      <c r="I941" s="559"/>
      <c r="J941" s="559"/>
      <c r="K941" s="559"/>
      <c r="L941" s="559"/>
      <c r="M941" s="559"/>
      <c r="N941" s="559"/>
      <c r="O941" s="559"/>
      <c r="P941" s="559"/>
      <c r="Q941" s="559"/>
      <c r="R941" s="559"/>
      <c r="S941" s="559"/>
      <c r="T941" s="559"/>
      <c r="U941" s="559"/>
      <c r="V941" s="559"/>
      <c r="W941" s="559"/>
      <c r="X941" s="559"/>
      <c r="Y941" s="559"/>
      <c r="Z941" s="559"/>
    </row>
    <row r="942" spans="1:26" ht="18" customHeight="1" x14ac:dyDescent="0.35">
      <c r="A942" s="559"/>
      <c r="B942" s="559"/>
      <c r="C942" s="559"/>
      <c r="D942" s="559"/>
      <c r="E942" s="559"/>
      <c r="F942" s="559"/>
      <c r="G942" s="559"/>
      <c r="H942" s="559"/>
      <c r="I942" s="559"/>
      <c r="J942" s="559"/>
      <c r="K942" s="559"/>
      <c r="L942" s="559"/>
      <c r="M942" s="559"/>
      <c r="N942" s="559"/>
      <c r="O942" s="559"/>
      <c r="P942" s="559"/>
      <c r="Q942" s="559"/>
      <c r="R942" s="559"/>
      <c r="S942" s="559"/>
      <c r="T942" s="559"/>
      <c r="U942" s="559"/>
      <c r="V942" s="559"/>
      <c r="W942" s="559"/>
      <c r="X942" s="559"/>
      <c r="Y942" s="559"/>
      <c r="Z942" s="559"/>
    </row>
    <row r="943" spans="1:26" ht="18" customHeight="1" x14ac:dyDescent="0.35">
      <c r="A943" s="559"/>
      <c r="B943" s="559"/>
      <c r="C943" s="559"/>
      <c r="D943" s="559"/>
      <c r="E943" s="559"/>
      <c r="F943" s="559"/>
      <c r="G943" s="559"/>
      <c r="H943" s="559"/>
      <c r="I943" s="559"/>
      <c r="J943" s="559"/>
      <c r="K943" s="559"/>
      <c r="L943" s="559"/>
      <c r="M943" s="559"/>
      <c r="N943" s="559"/>
      <c r="O943" s="559"/>
      <c r="P943" s="559"/>
      <c r="Q943" s="559"/>
      <c r="R943" s="559"/>
      <c r="S943" s="559"/>
      <c r="T943" s="559"/>
      <c r="U943" s="559"/>
      <c r="V943" s="559"/>
      <c r="W943" s="559"/>
      <c r="X943" s="559"/>
      <c r="Y943" s="559"/>
      <c r="Z943" s="559"/>
    </row>
    <row r="944" spans="1:26" ht="18" customHeight="1" x14ac:dyDescent="0.35">
      <c r="A944" s="559"/>
      <c r="B944" s="559"/>
      <c r="C944" s="559"/>
      <c r="D944" s="559"/>
      <c r="E944" s="559"/>
      <c r="F944" s="559"/>
      <c r="G944" s="559"/>
      <c r="H944" s="559"/>
      <c r="I944" s="559"/>
      <c r="J944" s="559"/>
      <c r="K944" s="559"/>
      <c r="L944" s="559"/>
      <c r="M944" s="559"/>
      <c r="N944" s="559"/>
      <c r="O944" s="559"/>
      <c r="P944" s="559"/>
      <c r="Q944" s="559"/>
      <c r="R944" s="559"/>
      <c r="S944" s="559"/>
      <c r="T944" s="559"/>
      <c r="U944" s="559"/>
      <c r="V944" s="559"/>
      <c r="W944" s="559"/>
      <c r="X944" s="559"/>
      <c r="Y944" s="559"/>
      <c r="Z944" s="559"/>
    </row>
    <row r="945" spans="1:26" ht="18" customHeight="1" x14ac:dyDescent="0.35">
      <c r="A945" s="559"/>
      <c r="B945" s="559"/>
      <c r="C945" s="559"/>
      <c r="D945" s="559"/>
      <c r="E945" s="559"/>
      <c r="F945" s="559"/>
      <c r="G945" s="559"/>
      <c r="H945" s="559"/>
      <c r="I945" s="559"/>
      <c r="J945" s="559"/>
      <c r="K945" s="559"/>
      <c r="L945" s="559"/>
      <c r="M945" s="559"/>
      <c r="N945" s="559"/>
      <c r="O945" s="559"/>
      <c r="P945" s="559"/>
      <c r="Q945" s="559"/>
      <c r="R945" s="559"/>
      <c r="S945" s="559"/>
      <c r="T945" s="559"/>
      <c r="U945" s="559"/>
      <c r="V945" s="559"/>
      <c r="W945" s="559"/>
      <c r="X945" s="559"/>
      <c r="Y945" s="559"/>
      <c r="Z945" s="559"/>
    </row>
    <row r="946" spans="1:26" ht="18" customHeight="1" x14ac:dyDescent="0.35">
      <c r="A946" s="559"/>
      <c r="B946" s="559"/>
      <c r="C946" s="559"/>
      <c r="D946" s="559"/>
      <c r="E946" s="559"/>
      <c r="F946" s="559"/>
      <c r="G946" s="559"/>
      <c r="H946" s="559"/>
      <c r="I946" s="559"/>
      <c r="J946" s="559"/>
      <c r="K946" s="559"/>
      <c r="L946" s="559"/>
      <c r="M946" s="559"/>
      <c r="N946" s="559"/>
      <c r="O946" s="559"/>
      <c r="P946" s="559"/>
      <c r="Q946" s="559"/>
      <c r="R946" s="559"/>
      <c r="S946" s="559"/>
      <c r="T946" s="559"/>
      <c r="U946" s="559"/>
      <c r="V946" s="559"/>
      <c r="W946" s="559"/>
      <c r="X946" s="559"/>
      <c r="Y946" s="559"/>
      <c r="Z946" s="559"/>
    </row>
    <row r="947" spans="1:26" ht="18" customHeight="1" x14ac:dyDescent="0.35">
      <c r="A947" s="559"/>
      <c r="B947" s="559"/>
      <c r="C947" s="559"/>
      <c r="D947" s="559"/>
      <c r="E947" s="559"/>
      <c r="F947" s="559"/>
      <c r="G947" s="559"/>
      <c r="H947" s="559"/>
      <c r="I947" s="559"/>
      <c r="J947" s="559"/>
      <c r="K947" s="559"/>
      <c r="L947" s="559"/>
      <c r="M947" s="559"/>
      <c r="N947" s="559"/>
      <c r="O947" s="559"/>
      <c r="P947" s="559"/>
      <c r="Q947" s="559"/>
      <c r="R947" s="559"/>
      <c r="S947" s="559"/>
      <c r="T947" s="559"/>
      <c r="U947" s="559"/>
      <c r="V947" s="559"/>
      <c r="W947" s="559"/>
      <c r="X947" s="559"/>
      <c r="Y947" s="559"/>
      <c r="Z947" s="559"/>
    </row>
    <row r="948" spans="1:26" ht="18" customHeight="1" x14ac:dyDescent="0.35">
      <c r="A948" s="559"/>
      <c r="B948" s="559"/>
      <c r="C948" s="559"/>
      <c r="D948" s="559"/>
      <c r="E948" s="559"/>
      <c r="F948" s="559"/>
      <c r="G948" s="559"/>
      <c r="H948" s="559"/>
      <c r="I948" s="559"/>
      <c r="J948" s="559"/>
      <c r="K948" s="559"/>
      <c r="L948" s="559"/>
      <c r="M948" s="559"/>
      <c r="N948" s="559"/>
      <c r="O948" s="559"/>
      <c r="P948" s="559"/>
      <c r="Q948" s="559"/>
      <c r="R948" s="559"/>
      <c r="S948" s="559"/>
      <c r="T948" s="559"/>
      <c r="U948" s="559"/>
      <c r="V948" s="559"/>
      <c r="W948" s="559"/>
      <c r="X948" s="559"/>
      <c r="Y948" s="559"/>
      <c r="Z948" s="559"/>
    </row>
    <row r="949" spans="1:26" ht="18" customHeight="1" x14ac:dyDescent="0.35">
      <c r="A949" s="559"/>
      <c r="B949" s="559"/>
      <c r="C949" s="559"/>
      <c r="D949" s="559"/>
      <c r="E949" s="559"/>
      <c r="F949" s="559"/>
      <c r="G949" s="559"/>
      <c r="H949" s="559"/>
      <c r="I949" s="559"/>
      <c r="J949" s="559"/>
      <c r="K949" s="559"/>
      <c r="L949" s="559"/>
      <c r="M949" s="559"/>
      <c r="N949" s="559"/>
      <c r="O949" s="559"/>
      <c r="P949" s="559"/>
      <c r="Q949" s="559"/>
      <c r="R949" s="559"/>
      <c r="S949" s="559"/>
      <c r="T949" s="559"/>
      <c r="U949" s="559"/>
      <c r="V949" s="559"/>
      <c r="W949" s="559"/>
      <c r="X949" s="559"/>
      <c r="Y949" s="559"/>
      <c r="Z949" s="559"/>
    </row>
    <row r="950" spans="1:26" ht="18" customHeight="1" x14ac:dyDescent="0.35">
      <c r="A950" s="559"/>
      <c r="B950" s="559"/>
      <c r="C950" s="559"/>
      <c r="D950" s="559"/>
      <c r="E950" s="559"/>
      <c r="F950" s="559"/>
      <c r="G950" s="559"/>
      <c r="H950" s="559"/>
      <c r="I950" s="559"/>
      <c r="J950" s="559"/>
      <c r="K950" s="559"/>
      <c r="L950" s="559"/>
      <c r="M950" s="559"/>
      <c r="N950" s="559"/>
      <c r="O950" s="559"/>
      <c r="P950" s="559"/>
      <c r="Q950" s="559"/>
      <c r="R950" s="559"/>
      <c r="S950" s="559"/>
      <c r="T950" s="559"/>
      <c r="U950" s="559"/>
      <c r="V950" s="559"/>
      <c r="W950" s="559"/>
      <c r="X950" s="559"/>
      <c r="Y950" s="559"/>
      <c r="Z950" s="559"/>
    </row>
    <row r="951" spans="1:26" ht="18" customHeight="1" x14ac:dyDescent="0.35">
      <c r="A951" s="559"/>
      <c r="B951" s="559"/>
      <c r="C951" s="559"/>
      <c r="D951" s="559"/>
      <c r="E951" s="559"/>
      <c r="F951" s="559"/>
      <c r="G951" s="559"/>
      <c r="H951" s="559"/>
      <c r="I951" s="559"/>
      <c r="J951" s="559"/>
      <c r="K951" s="559"/>
      <c r="L951" s="559"/>
      <c r="M951" s="559"/>
      <c r="N951" s="559"/>
      <c r="O951" s="559"/>
      <c r="P951" s="559"/>
      <c r="Q951" s="559"/>
      <c r="R951" s="559"/>
      <c r="S951" s="559"/>
      <c r="T951" s="559"/>
      <c r="U951" s="559"/>
      <c r="V951" s="559"/>
      <c r="W951" s="559"/>
      <c r="X951" s="559"/>
      <c r="Y951" s="559"/>
      <c r="Z951" s="559"/>
    </row>
    <row r="952" spans="1:26" ht="18" customHeight="1" x14ac:dyDescent="0.35">
      <c r="A952" s="559"/>
      <c r="B952" s="559"/>
      <c r="C952" s="559"/>
      <c r="D952" s="559"/>
      <c r="E952" s="559"/>
      <c r="F952" s="559"/>
      <c r="G952" s="559"/>
      <c r="H952" s="559"/>
      <c r="I952" s="559"/>
      <c r="J952" s="559"/>
      <c r="K952" s="559"/>
      <c r="L952" s="559"/>
      <c r="M952" s="559"/>
      <c r="N952" s="559"/>
      <c r="O952" s="559"/>
      <c r="P952" s="559"/>
      <c r="Q952" s="559"/>
      <c r="R952" s="559"/>
      <c r="S952" s="559"/>
      <c r="T952" s="559"/>
      <c r="U952" s="559"/>
      <c r="V952" s="559"/>
      <c r="W952" s="559"/>
      <c r="X952" s="559"/>
      <c r="Y952" s="559"/>
      <c r="Z952" s="559"/>
    </row>
    <row r="953" spans="1:26" ht="18" customHeight="1" x14ac:dyDescent="0.35">
      <c r="A953" s="559"/>
      <c r="B953" s="559"/>
      <c r="C953" s="559"/>
      <c r="D953" s="559"/>
      <c r="E953" s="559"/>
      <c r="F953" s="559"/>
      <c r="G953" s="559"/>
      <c r="H953" s="559"/>
      <c r="I953" s="559"/>
      <c r="J953" s="559"/>
      <c r="K953" s="559"/>
      <c r="L953" s="559"/>
      <c r="M953" s="559"/>
      <c r="N953" s="559"/>
      <c r="O953" s="559"/>
      <c r="P953" s="559"/>
      <c r="Q953" s="559"/>
      <c r="R953" s="559"/>
      <c r="S953" s="559"/>
      <c r="T953" s="559"/>
      <c r="U953" s="559"/>
      <c r="V953" s="559"/>
      <c r="W953" s="559"/>
      <c r="X953" s="559"/>
      <c r="Y953" s="559"/>
      <c r="Z953" s="559"/>
    </row>
    <row r="954" spans="1:26" ht="18" customHeight="1" x14ac:dyDescent="0.35">
      <c r="A954" s="559"/>
      <c r="B954" s="559"/>
      <c r="C954" s="559"/>
      <c r="D954" s="559"/>
      <c r="E954" s="559"/>
      <c r="F954" s="559"/>
      <c r="G954" s="559"/>
      <c r="H954" s="559"/>
      <c r="I954" s="559"/>
      <c r="J954" s="559"/>
      <c r="K954" s="559"/>
      <c r="L954" s="559"/>
      <c r="M954" s="559"/>
      <c r="N954" s="559"/>
      <c r="O954" s="559"/>
      <c r="P954" s="559"/>
      <c r="Q954" s="559"/>
      <c r="R954" s="559"/>
      <c r="S954" s="559"/>
      <c r="T954" s="559"/>
      <c r="U954" s="559"/>
      <c r="V954" s="559"/>
      <c r="W954" s="559"/>
      <c r="X954" s="559"/>
      <c r="Y954" s="559"/>
      <c r="Z954" s="559"/>
    </row>
    <row r="955" spans="1:26" ht="18" customHeight="1" x14ac:dyDescent="0.35">
      <c r="A955" s="559"/>
      <c r="B955" s="559"/>
      <c r="C955" s="559"/>
      <c r="D955" s="559"/>
      <c r="E955" s="559"/>
      <c r="F955" s="559"/>
      <c r="G955" s="559"/>
      <c r="H955" s="559"/>
      <c r="I955" s="559"/>
      <c r="J955" s="559"/>
      <c r="K955" s="559"/>
      <c r="L955" s="559"/>
      <c r="M955" s="559"/>
      <c r="N955" s="559"/>
      <c r="O955" s="559"/>
      <c r="P955" s="559"/>
      <c r="Q955" s="559"/>
      <c r="R955" s="559"/>
      <c r="S955" s="559"/>
      <c r="T955" s="559"/>
      <c r="U955" s="559"/>
      <c r="V955" s="559"/>
      <c r="W955" s="559"/>
      <c r="X955" s="559"/>
      <c r="Y955" s="559"/>
      <c r="Z955" s="559"/>
    </row>
    <row r="956" spans="1:26" ht="18" customHeight="1" x14ac:dyDescent="0.35">
      <c r="A956" s="559"/>
      <c r="B956" s="559"/>
      <c r="C956" s="559"/>
      <c r="D956" s="559"/>
      <c r="E956" s="559"/>
      <c r="F956" s="559"/>
      <c r="G956" s="559"/>
      <c r="H956" s="559"/>
      <c r="I956" s="559"/>
      <c r="J956" s="559"/>
      <c r="K956" s="559"/>
      <c r="L956" s="559"/>
      <c r="M956" s="559"/>
      <c r="N956" s="559"/>
      <c r="O956" s="559"/>
      <c r="P956" s="559"/>
      <c r="Q956" s="559"/>
      <c r="R956" s="559"/>
      <c r="S956" s="559"/>
      <c r="T956" s="559"/>
      <c r="U956" s="559"/>
      <c r="V956" s="559"/>
      <c r="W956" s="559"/>
      <c r="X956" s="559"/>
      <c r="Y956" s="559"/>
      <c r="Z956" s="559"/>
    </row>
    <row r="957" spans="1:26" ht="18" customHeight="1" x14ac:dyDescent="0.35">
      <c r="A957" s="559"/>
      <c r="B957" s="559"/>
      <c r="C957" s="559"/>
      <c r="D957" s="559"/>
      <c r="E957" s="559"/>
      <c r="F957" s="559"/>
      <c r="G957" s="559"/>
      <c r="H957" s="559"/>
      <c r="I957" s="559"/>
      <c r="J957" s="559"/>
      <c r="K957" s="559"/>
      <c r="L957" s="559"/>
      <c r="M957" s="559"/>
      <c r="N957" s="559"/>
      <c r="O957" s="559"/>
      <c r="P957" s="559"/>
      <c r="Q957" s="559"/>
      <c r="R957" s="559"/>
      <c r="S957" s="559"/>
      <c r="T957" s="559"/>
      <c r="U957" s="559"/>
      <c r="V957" s="559"/>
      <c r="W957" s="559"/>
      <c r="X957" s="559"/>
      <c r="Y957" s="559"/>
      <c r="Z957" s="559"/>
    </row>
    <row r="958" spans="1:26" ht="18" customHeight="1" x14ac:dyDescent="0.35">
      <c r="A958" s="559"/>
      <c r="B958" s="559"/>
      <c r="C958" s="559"/>
      <c r="D958" s="559"/>
      <c r="E958" s="559"/>
      <c r="F958" s="559"/>
      <c r="G958" s="559"/>
      <c r="H958" s="559"/>
      <c r="I958" s="559"/>
      <c r="J958" s="559"/>
      <c r="K958" s="559"/>
      <c r="L958" s="559"/>
      <c r="M958" s="559"/>
      <c r="N958" s="559"/>
      <c r="O958" s="559"/>
      <c r="P958" s="559"/>
      <c r="Q958" s="559"/>
      <c r="R958" s="559"/>
      <c r="S958" s="559"/>
      <c r="T958" s="559"/>
      <c r="U958" s="559"/>
      <c r="V958" s="559"/>
      <c r="W958" s="559"/>
      <c r="X958" s="559"/>
      <c r="Y958" s="559"/>
      <c r="Z958" s="559"/>
    </row>
    <row r="959" spans="1:26" ht="18" customHeight="1" x14ac:dyDescent="0.35">
      <c r="A959" s="559"/>
      <c r="B959" s="559"/>
      <c r="C959" s="559"/>
      <c r="D959" s="559"/>
      <c r="E959" s="559"/>
      <c r="F959" s="559"/>
      <c r="G959" s="559"/>
      <c r="H959" s="559"/>
      <c r="I959" s="559"/>
      <c r="J959" s="559"/>
      <c r="K959" s="559"/>
      <c r="L959" s="559"/>
      <c r="M959" s="559"/>
      <c r="N959" s="559"/>
      <c r="O959" s="559"/>
      <c r="P959" s="559"/>
      <c r="Q959" s="559"/>
      <c r="R959" s="559"/>
      <c r="S959" s="559"/>
      <c r="T959" s="559"/>
      <c r="U959" s="559"/>
      <c r="V959" s="559"/>
      <c r="W959" s="559"/>
      <c r="X959" s="559"/>
      <c r="Y959" s="559"/>
      <c r="Z959" s="559"/>
    </row>
    <row r="960" spans="1:26" ht="18" customHeight="1" x14ac:dyDescent="0.35">
      <c r="A960" s="559"/>
      <c r="B960" s="559"/>
      <c r="C960" s="559"/>
      <c r="D960" s="559"/>
      <c r="E960" s="559"/>
      <c r="F960" s="559"/>
      <c r="G960" s="559"/>
      <c r="H960" s="559"/>
      <c r="I960" s="559"/>
      <c r="J960" s="559"/>
      <c r="K960" s="559"/>
      <c r="L960" s="559"/>
      <c r="M960" s="559"/>
      <c r="N960" s="559"/>
      <c r="O960" s="559"/>
      <c r="P960" s="559"/>
      <c r="Q960" s="559"/>
      <c r="R960" s="559"/>
      <c r="S960" s="559"/>
      <c r="T960" s="559"/>
      <c r="U960" s="559"/>
      <c r="V960" s="559"/>
      <c r="W960" s="559"/>
      <c r="X960" s="559"/>
      <c r="Y960" s="559"/>
      <c r="Z960" s="559"/>
    </row>
    <row r="961" spans="1:26" ht="18" customHeight="1" x14ac:dyDescent="0.35">
      <c r="A961" s="559"/>
      <c r="B961" s="559"/>
      <c r="C961" s="559"/>
      <c r="D961" s="559"/>
      <c r="E961" s="559"/>
      <c r="F961" s="559"/>
      <c r="G961" s="559"/>
      <c r="H961" s="559"/>
      <c r="I961" s="559"/>
      <c r="J961" s="559"/>
      <c r="K961" s="559"/>
      <c r="L961" s="559"/>
      <c r="M961" s="559"/>
      <c r="N961" s="559"/>
      <c r="O961" s="559"/>
      <c r="P961" s="559"/>
      <c r="Q961" s="559"/>
      <c r="R961" s="559"/>
      <c r="S961" s="559"/>
      <c r="T961" s="559"/>
      <c r="U961" s="559"/>
      <c r="V961" s="559"/>
      <c r="W961" s="559"/>
      <c r="X961" s="559"/>
      <c r="Y961" s="559"/>
      <c r="Z961" s="559"/>
    </row>
    <row r="962" spans="1:26" ht="18" customHeight="1" x14ac:dyDescent="0.35">
      <c r="A962" s="559"/>
      <c r="B962" s="559"/>
      <c r="C962" s="559"/>
      <c r="D962" s="559"/>
      <c r="E962" s="559"/>
      <c r="F962" s="559"/>
      <c r="G962" s="559"/>
      <c r="H962" s="559"/>
      <c r="I962" s="559"/>
      <c r="J962" s="559"/>
      <c r="K962" s="559"/>
      <c r="L962" s="559"/>
      <c r="M962" s="559"/>
      <c r="N962" s="559"/>
      <c r="O962" s="559"/>
      <c r="P962" s="559"/>
      <c r="Q962" s="559"/>
      <c r="R962" s="559"/>
      <c r="S962" s="559"/>
      <c r="T962" s="559"/>
      <c r="U962" s="559"/>
      <c r="V962" s="559"/>
      <c r="W962" s="559"/>
      <c r="X962" s="559"/>
      <c r="Y962" s="559"/>
      <c r="Z962" s="559"/>
    </row>
    <row r="963" spans="1:26" ht="18" customHeight="1" x14ac:dyDescent="0.35">
      <c r="A963" s="559"/>
      <c r="B963" s="559"/>
      <c r="C963" s="559"/>
      <c r="D963" s="559"/>
      <c r="E963" s="559"/>
      <c r="F963" s="559"/>
      <c r="G963" s="559"/>
      <c r="H963" s="559"/>
      <c r="I963" s="559"/>
      <c r="J963" s="559"/>
      <c r="K963" s="559"/>
      <c r="L963" s="559"/>
      <c r="M963" s="559"/>
      <c r="N963" s="559"/>
      <c r="O963" s="559"/>
      <c r="P963" s="559"/>
      <c r="Q963" s="559"/>
      <c r="R963" s="559"/>
      <c r="S963" s="559"/>
      <c r="T963" s="559"/>
      <c r="U963" s="559"/>
      <c r="V963" s="559"/>
      <c r="W963" s="559"/>
      <c r="X963" s="559"/>
      <c r="Y963" s="559"/>
      <c r="Z963" s="559"/>
    </row>
    <row r="964" spans="1:26" ht="18" customHeight="1" x14ac:dyDescent="0.35">
      <c r="A964" s="559"/>
      <c r="B964" s="559"/>
      <c r="C964" s="559"/>
      <c r="D964" s="559"/>
      <c r="E964" s="559"/>
      <c r="F964" s="559"/>
      <c r="G964" s="559"/>
      <c r="H964" s="559"/>
      <c r="I964" s="559"/>
      <c r="J964" s="559"/>
      <c r="K964" s="559"/>
      <c r="L964" s="559"/>
      <c r="M964" s="559"/>
      <c r="N964" s="559"/>
      <c r="O964" s="559"/>
      <c r="P964" s="559"/>
      <c r="Q964" s="559"/>
      <c r="R964" s="559"/>
      <c r="S964" s="559"/>
      <c r="T964" s="559"/>
      <c r="U964" s="559"/>
      <c r="V964" s="559"/>
      <c r="W964" s="559"/>
      <c r="X964" s="559"/>
      <c r="Y964" s="559"/>
      <c r="Z964" s="559"/>
    </row>
    <row r="965" spans="1:26" ht="18" customHeight="1" x14ac:dyDescent="0.35">
      <c r="A965" s="559"/>
      <c r="B965" s="559"/>
      <c r="C965" s="559"/>
      <c r="D965" s="559"/>
      <c r="E965" s="559"/>
      <c r="F965" s="559"/>
      <c r="G965" s="559"/>
      <c r="H965" s="559"/>
      <c r="I965" s="559"/>
      <c r="J965" s="559"/>
      <c r="K965" s="559"/>
      <c r="L965" s="559"/>
      <c r="M965" s="559"/>
      <c r="N965" s="559"/>
      <c r="O965" s="559"/>
      <c r="P965" s="559"/>
      <c r="Q965" s="559"/>
      <c r="R965" s="559"/>
      <c r="S965" s="559"/>
      <c r="T965" s="559"/>
      <c r="U965" s="559"/>
      <c r="V965" s="559"/>
      <c r="W965" s="559"/>
      <c r="X965" s="559"/>
      <c r="Y965" s="559"/>
      <c r="Z965" s="559"/>
    </row>
    <row r="966" spans="1:26" ht="18" customHeight="1" x14ac:dyDescent="0.35">
      <c r="A966" s="559"/>
      <c r="B966" s="559"/>
      <c r="C966" s="559"/>
      <c r="D966" s="559"/>
      <c r="E966" s="559"/>
      <c r="F966" s="559"/>
      <c r="G966" s="559"/>
      <c r="H966" s="559"/>
      <c r="I966" s="559"/>
      <c r="J966" s="559"/>
      <c r="K966" s="559"/>
      <c r="L966" s="559"/>
      <c r="M966" s="559"/>
      <c r="N966" s="559"/>
      <c r="O966" s="559"/>
      <c r="P966" s="559"/>
      <c r="Q966" s="559"/>
      <c r="R966" s="559"/>
      <c r="S966" s="559"/>
      <c r="T966" s="559"/>
      <c r="U966" s="559"/>
      <c r="V966" s="559"/>
      <c r="W966" s="559"/>
      <c r="X966" s="559"/>
      <c r="Y966" s="559"/>
      <c r="Z966" s="559"/>
    </row>
    <row r="967" spans="1:26" ht="18" customHeight="1" x14ac:dyDescent="0.35">
      <c r="A967" s="559"/>
      <c r="B967" s="559"/>
      <c r="C967" s="559"/>
      <c r="D967" s="559"/>
      <c r="E967" s="559"/>
      <c r="F967" s="559"/>
      <c r="G967" s="559"/>
      <c r="H967" s="559"/>
      <c r="I967" s="559"/>
      <c r="J967" s="559"/>
      <c r="K967" s="559"/>
      <c r="L967" s="559"/>
      <c r="M967" s="559"/>
      <c r="N967" s="559"/>
      <c r="O967" s="559"/>
      <c r="P967" s="559"/>
      <c r="Q967" s="559"/>
      <c r="R967" s="559"/>
      <c r="S967" s="559"/>
      <c r="T967" s="559"/>
      <c r="U967" s="559"/>
      <c r="V967" s="559"/>
      <c r="W967" s="559"/>
      <c r="X967" s="559"/>
      <c r="Y967" s="559"/>
      <c r="Z967" s="559"/>
    </row>
    <row r="968" spans="1:26" ht="18" customHeight="1" x14ac:dyDescent="0.35">
      <c r="A968" s="559"/>
      <c r="B968" s="559"/>
      <c r="C968" s="559"/>
      <c r="D968" s="559"/>
      <c r="E968" s="559"/>
      <c r="F968" s="559"/>
      <c r="G968" s="559"/>
      <c r="H968" s="559"/>
      <c r="I968" s="559"/>
      <c r="J968" s="559"/>
      <c r="K968" s="559"/>
      <c r="L968" s="559"/>
      <c r="M968" s="559"/>
      <c r="N968" s="559"/>
      <c r="O968" s="559"/>
      <c r="P968" s="559"/>
      <c r="Q968" s="559"/>
      <c r="R968" s="559"/>
      <c r="S968" s="559"/>
      <c r="T968" s="559"/>
      <c r="U968" s="559"/>
      <c r="V968" s="559"/>
      <c r="W968" s="559"/>
      <c r="X968" s="559"/>
      <c r="Y968" s="559"/>
      <c r="Z968" s="559"/>
    </row>
    <row r="969" spans="1:26" ht="18" customHeight="1" x14ac:dyDescent="0.35">
      <c r="A969" s="559"/>
      <c r="B969" s="559"/>
      <c r="C969" s="559"/>
      <c r="D969" s="559"/>
      <c r="E969" s="559"/>
      <c r="F969" s="559"/>
      <c r="G969" s="559"/>
      <c r="H969" s="559"/>
      <c r="I969" s="559"/>
      <c r="J969" s="559"/>
      <c r="K969" s="559"/>
      <c r="L969" s="559"/>
      <c r="M969" s="559"/>
      <c r="N969" s="559"/>
      <c r="O969" s="559"/>
      <c r="P969" s="559"/>
      <c r="Q969" s="559"/>
      <c r="R969" s="559"/>
      <c r="S969" s="559"/>
      <c r="T969" s="559"/>
      <c r="U969" s="559"/>
      <c r="V969" s="559"/>
      <c r="W969" s="559"/>
      <c r="X969" s="559"/>
      <c r="Y969" s="559"/>
      <c r="Z969" s="559"/>
    </row>
    <row r="970" spans="1:26" ht="18" customHeight="1" x14ac:dyDescent="0.35">
      <c r="A970" s="559"/>
      <c r="B970" s="559"/>
      <c r="C970" s="559"/>
      <c r="D970" s="559"/>
      <c r="E970" s="559"/>
      <c r="F970" s="559"/>
      <c r="G970" s="559"/>
      <c r="H970" s="559"/>
      <c r="I970" s="559"/>
      <c r="J970" s="559"/>
      <c r="K970" s="559"/>
      <c r="L970" s="559"/>
      <c r="M970" s="559"/>
      <c r="N970" s="559"/>
      <c r="O970" s="559"/>
      <c r="P970" s="559"/>
      <c r="Q970" s="559"/>
      <c r="R970" s="559"/>
      <c r="S970" s="559"/>
      <c r="T970" s="559"/>
      <c r="U970" s="559"/>
      <c r="V970" s="559"/>
      <c r="W970" s="559"/>
      <c r="X970" s="559"/>
      <c r="Y970" s="559"/>
      <c r="Z970" s="559"/>
    </row>
    <row r="971" spans="1:26" ht="18" customHeight="1" x14ac:dyDescent="0.35">
      <c r="A971" s="559"/>
      <c r="B971" s="559"/>
      <c r="C971" s="559"/>
      <c r="D971" s="559"/>
      <c r="E971" s="559"/>
      <c r="F971" s="559"/>
      <c r="G971" s="559"/>
      <c r="H971" s="559"/>
      <c r="I971" s="559"/>
      <c r="J971" s="559"/>
      <c r="K971" s="559"/>
      <c r="L971" s="559"/>
      <c r="M971" s="559"/>
      <c r="N971" s="559"/>
      <c r="O971" s="559"/>
      <c r="P971" s="559"/>
      <c r="Q971" s="559"/>
      <c r="R971" s="559"/>
      <c r="S971" s="559"/>
      <c r="T971" s="559"/>
      <c r="U971" s="559"/>
      <c r="V971" s="559"/>
      <c r="W971" s="559"/>
      <c r="X971" s="559"/>
      <c r="Y971" s="559"/>
      <c r="Z971" s="559"/>
    </row>
    <row r="972" spans="1:26" ht="18" customHeight="1" x14ac:dyDescent="0.35">
      <c r="A972" s="559"/>
      <c r="B972" s="559"/>
      <c r="C972" s="559"/>
      <c r="D972" s="559"/>
      <c r="E972" s="559"/>
      <c r="F972" s="559"/>
      <c r="G972" s="559"/>
      <c r="H972" s="559"/>
      <c r="I972" s="559"/>
      <c r="J972" s="559"/>
      <c r="K972" s="559"/>
      <c r="L972" s="559"/>
      <c r="M972" s="559"/>
      <c r="N972" s="559"/>
      <c r="O972" s="559"/>
      <c r="P972" s="559"/>
      <c r="Q972" s="559"/>
      <c r="R972" s="559"/>
      <c r="S972" s="559"/>
      <c r="T972" s="559"/>
      <c r="U972" s="559"/>
      <c r="V972" s="559"/>
      <c r="W972" s="559"/>
      <c r="X972" s="559"/>
      <c r="Y972" s="559"/>
      <c r="Z972" s="559"/>
    </row>
    <row r="973" spans="1:26" ht="18" customHeight="1" x14ac:dyDescent="0.35">
      <c r="A973" s="559"/>
      <c r="B973" s="559"/>
      <c r="C973" s="559"/>
      <c r="D973" s="559"/>
      <c r="E973" s="559"/>
      <c r="F973" s="559"/>
      <c r="G973" s="559"/>
      <c r="H973" s="559"/>
      <c r="I973" s="559"/>
      <c r="J973" s="559"/>
      <c r="K973" s="559"/>
      <c r="L973" s="559"/>
      <c r="M973" s="559"/>
      <c r="N973" s="559"/>
      <c r="O973" s="559"/>
      <c r="P973" s="559"/>
      <c r="Q973" s="559"/>
      <c r="R973" s="559"/>
      <c r="S973" s="559"/>
      <c r="T973" s="559"/>
      <c r="U973" s="559"/>
      <c r="V973" s="559"/>
      <c r="W973" s="559"/>
      <c r="X973" s="559"/>
      <c r="Y973" s="559"/>
      <c r="Z973" s="559"/>
    </row>
    <row r="974" spans="1:26" ht="18" customHeight="1" x14ac:dyDescent="0.35">
      <c r="A974" s="559"/>
      <c r="B974" s="559"/>
      <c r="C974" s="559"/>
      <c r="D974" s="559"/>
      <c r="E974" s="559"/>
      <c r="F974" s="559"/>
      <c r="G974" s="559"/>
      <c r="H974" s="559"/>
      <c r="I974" s="559"/>
      <c r="J974" s="559"/>
      <c r="K974" s="559"/>
      <c r="L974" s="559"/>
      <c r="M974" s="559"/>
      <c r="N974" s="559"/>
      <c r="O974" s="559"/>
      <c r="P974" s="559"/>
      <c r="Q974" s="559"/>
      <c r="R974" s="559"/>
      <c r="S974" s="559"/>
      <c r="T974" s="559"/>
      <c r="U974" s="559"/>
      <c r="V974" s="559"/>
      <c r="W974" s="559"/>
      <c r="X974" s="559"/>
      <c r="Y974" s="559"/>
      <c r="Z974" s="559"/>
    </row>
    <row r="975" spans="1:26" ht="18" customHeight="1" x14ac:dyDescent="0.35">
      <c r="A975" s="559"/>
      <c r="B975" s="559"/>
      <c r="C975" s="559"/>
      <c r="D975" s="559"/>
      <c r="E975" s="559"/>
      <c r="F975" s="559"/>
      <c r="G975" s="559"/>
      <c r="H975" s="559"/>
      <c r="I975" s="559"/>
      <c r="J975" s="559"/>
      <c r="K975" s="559"/>
      <c r="L975" s="559"/>
      <c r="M975" s="559"/>
      <c r="N975" s="559"/>
      <c r="O975" s="559"/>
      <c r="P975" s="559"/>
      <c r="Q975" s="559"/>
      <c r="R975" s="559"/>
      <c r="S975" s="559"/>
      <c r="T975" s="559"/>
      <c r="U975" s="559"/>
      <c r="V975" s="559"/>
      <c r="W975" s="559"/>
      <c r="X975" s="559"/>
      <c r="Y975" s="559"/>
      <c r="Z975" s="559"/>
    </row>
    <row r="976" spans="1:26" ht="18" customHeight="1" x14ac:dyDescent="0.35">
      <c r="A976" s="559"/>
      <c r="B976" s="559"/>
      <c r="C976" s="559"/>
      <c r="D976" s="559"/>
      <c r="E976" s="559"/>
      <c r="F976" s="559"/>
      <c r="G976" s="559"/>
      <c r="H976" s="559"/>
      <c r="I976" s="559"/>
      <c r="J976" s="559"/>
      <c r="K976" s="559"/>
      <c r="L976" s="559"/>
      <c r="M976" s="559"/>
      <c r="N976" s="559"/>
      <c r="O976" s="559"/>
      <c r="P976" s="559"/>
      <c r="Q976" s="559"/>
      <c r="R976" s="559"/>
      <c r="S976" s="559"/>
      <c r="T976" s="559"/>
      <c r="U976" s="559"/>
      <c r="V976" s="559"/>
      <c r="W976" s="559"/>
      <c r="X976" s="559"/>
      <c r="Y976" s="559"/>
      <c r="Z976" s="559"/>
    </row>
    <row r="977" spans="1:26" ht="18" customHeight="1" x14ac:dyDescent="0.35">
      <c r="A977" s="559"/>
      <c r="B977" s="559"/>
      <c r="C977" s="559"/>
      <c r="D977" s="559"/>
      <c r="E977" s="559"/>
      <c r="F977" s="559"/>
      <c r="G977" s="559"/>
      <c r="H977" s="559"/>
      <c r="I977" s="559"/>
      <c r="J977" s="559"/>
      <c r="K977" s="559"/>
      <c r="L977" s="559"/>
      <c r="M977" s="559"/>
      <c r="N977" s="559"/>
      <c r="O977" s="559"/>
      <c r="P977" s="559"/>
      <c r="Q977" s="559"/>
      <c r="R977" s="559"/>
      <c r="S977" s="559"/>
      <c r="T977" s="559"/>
      <c r="U977" s="559"/>
      <c r="V977" s="559"/>
      <c r="W977" s="559"/>
      <c r="X977" s="559"/>
      <c r="Y977" s="559"/>
      <c r="Z977" s="559"/>
    </row>
    <row r="978" spans="1:26" ht="18" customHeight="1" x14ac:dyDescent="0.35">
      <c r="A978" s="559"/>
      <c r="B978" s="559"/>
      <c r="C978" s="559"/>
      <c r="D978" s="559"/>
      <c r="E978" s="559"/>
      <c r="F978" s="559"/>
      <c r="G978" s="559"/>
      <c r="H978" s="559"/>
      <c r="I978" s="559"/>
      <c r="J978" s="559"/>
      <c r="K978" s="559"/>
      <c r="L978" s="559"/>
      <c r="M978" s="559"/>
      <c r="N978" s="559"/>
      <c r="O978" s="559"/>
      <c r="P978" s="559"/>
      <c r="Q978" s="559"/>
      <c r="R978" s="559"/>
      <c r="S978" s="559"/>
      <c r="T978" s="559"/>
      <c r="U978" s="559"/>
      <c r="V978" s="559"/>
      <c r="W978" s="559"/>
      <c r="X978" s="559"/>
      <c r="Y978" s="559"/>
      <c r="Z978" s="559"/>
    </row>
    <row r="979" spans="1:26" ht="18" customHeight="1" x14ac:dyDescent="0.35">
      <c r="A979" s="559"/>
      <c r="B979" s="559"/>
      <c r="C979" s="559"/>
      <c r="D979" s="559"/>
      <c r="E979" s="559"/>
      <c r="F979" s="559"/>
      <c r="G979" s="559"/>
      <c r="H979" s="559"/>
      <c r="I979" s="559"/>
      <c r="J979" s="559"/>
      <c r="K979" s="559"/>
      <c r="L979" s="559"/>
      <c r="M979" s="559"/>
      <c r="N979" s="559"/>
      <c r="O979" s="559"/>
      <c r="P979" s="559"/>
      <c r="Q979" s="559"/>
      <c r="R979" s="559"/>
      <c r="S979" s="559"/>
      <c r="T979" s="559"/>
      <c r="U979" s="559"/>
      <c r="V979" s="559"/>
      <c r="W979" s="559"/>
      <c r="X979" s="559"/>
      <c r="Y979" s="559"/>
      <c r="Z979" s="559"/>
    </row>
    <row r="980" spans="1:26" ht="18" customHeight="1" x14ac:dyDescent="0.35">
      <c r="A980" s="559"/>
      <c r="B980" s="559"/>
      <c r="C980" s="559"/>
      <c r="D980" s="559"/>
      <c r="E980" s="559"/>
      <c r="F980" s="559"/>
      <c r="G980" s="559"/>
      <c r="H980" s="559"/>
      <c r="I980" s="559"/>
      <c r="J980" s="559"/>
      <c r="K980" s="559"/>
      <c r="L980" s="559"/>
      <c r="M980" s="559"/>
      <c r="N980" s="559"/>
      <c r="O980" s="559"/>
      <c r="P980" s="559"/>
      <c r="Q980" s="559"/>
      <c r="R980" s="559"/>
      <c r="S980" s="559"/>
      <c r="T980" s="559"/>
      <c r="U980" s="559"/>
      <c r="V980" s="559"/>
      <c r="W980" s="559"/>
      <c r="X980" s="559"/>
      <c r="Y980" s="559"/>
      <c r="Z980" s="559"/>
    </row>
    <row r="981" spans="1:26" ht="18" customHeight="1" x14ac:dyDescent="0.35">
      <c r="A981" s="559"/>
      <c r="B981" s="559"/>
      <c r="C981" s="559"/>
      <c r="D981" s="559"/>
      <c r="E981" s="559"/>
      <c r="F981" s="559"/>
      <c r="G981" s="559"/>
      <c r="H981" s="559"/>
      <c r="I981" s="559"/>
      <c r="J981" s="559"/>
      <c r="K981" s="559"/>
      <c r="L981" s="559"/>
      <c r="M981" s="559"/>
      <c r="N981" s="559"/>
      <c r="O981" s="559"/>
      <c r="P981" s="559"/>
      <c r="Q981" s="559"/>
      <c r="R981" s="559"/>
      <c r="S981" s="559"/>
      <c r="T981" s="559"/>
      <c r="U981" s="559"/>
      <c r="V981" s="559"/>
      <c r="W981" s="559"/>
      <c r="X981" s="559"/>
      <c r="Y981" s="559"/>
      <c r="Z981" s="559"/>
    </row>
    <row r="982" spans="1:26" ht="18" customHeight="1" x14ac:dyDescent="0.35">
      <c r="A982" s="559"/>
      <c r="B982" s="559"/>
      <c r="C982" s="559"/>
      <c r="D982" s="559"/>
      <c r="E982" s="559"/>
      <c r="F982" s="559"/>
      <c r="G982" s="559"/>
      <c r="H982" s="559"/>
      <c r="I982" s="559"/>
      <c r="J982" s="559"/>
      <c r="K982" s="559"/>
      <c r="L982" s="559"/>
      <c r="M982" s="559"/>
      <c r="N982" s="559"/>
      <c r="O982" s="559"/>
      <c r="P982" s="559"/>
      <c r="Q982" s="559"/>
      <c r="R982" s="559"/>
      <c r="S982" s="559"/>
      <c r="T982" s="559"/>
      <c r="U982" s="559"/>
      <c r="V982" s="559"/>
      <c r="W982" s="559"/>
      <c r="X982" s="559"/>
      <c r="Y982" s="559"/>
      <c r="Z982" s="559"/>
    </row>
    <row r="983" spans="1:26" ht="18" customHeight="1" x14ac:dyDescent="0.35">
      <c r="A983" s="559"/>
      <c r="B983" s="559"/>
      <c r="C983" s="559"/>
      <c r="D983" s="559"/>
      <c r="E983" s="559"/>
      <c r="F983" s="559"/>
      <c r="G983" s="559"/>
      <c r="H983" s="559"/>
      <c r="I983" s="559"/>
      <c r="J983" s="559"/>
      <c r="K983" s="559"/>
      <c r="L983" s="559"/>
      <c r="M983" s="559"/>
      <c r="N983" s="559"/>
      <c r="O983" s="559"/>
      <c r="P983" s="559"/>
      <c r="Q983" s="559"/>
      <c r="R983" s="559"/>
      <c r="S983" s="559"/>
      <c r="T983" s="559"/>
      <c r="U983" s="559"/>
      <c r="V983" s="559"/>
      <c r="W983" s="559"/>
      <c r="X983" s="559"/>
      <c r="Y983" s="559"/>
      <c r="Z983" s="559"/>
    </row>
    <row r="984" spans="1:26" ht="18" customHeight="1" x14ac:dyDescent="0.35">
      <c r="A984" s="559"/>
      <c r="B984" s="559"/>
      <c r="C984" s="559"/>
      <c r="D984" s="559"/>
      <c r="E984" s="559"/>
      <c r="F984" s="559"/>
      <c r="G984" s="559"/>
      <c r="H984" s="559"/>
      <c r="I984" s="559"/>
      <c r="J984" s="559"/>
      <c r="K984" s="559"/>
      <c r="L984" s="559"/>
      <c r="M984" s="559"/>
      <c r="N984" s="559"/>
      <c r="O984" s="559"/>
      <c r="P984" s="559"/>
      <c r="Q984" s="559"/>
      <c r="R984" s="559"/>
      <c r="S984" s="559"/>
      <c r="T984" s="559"/>
      <c r="U984" s="559"/>
      <c r="V984" s="559"/>
      <c r="W984" s="559"/>
      <c r="X984" s="559"/>
      <c r="Y984" s="559"/>
      <c r="Z984" s="559"/>
    </row>
    <row r="985" spans="1:26" ht="18" customHeight="1" x14ac:dyDescent="0.35">
      <c r="A985" s="559"/>
      <c r="B985" s="559"/>
      <c r="C985" s="559"/>
      <c r="D985" s="559"/>
      <c r="E985" s="559"/>
      <c r="F985" s="559"/>
      <c r="G985" s="559"/>
      <c r="H985" s="559"/>
      <c r="I985" s="559"/>
      <c r="J985" s="559"/>
      <c r="K985" s="559"/>
      <c r="L985" s="559"/>
      <c r="M985" s="559"/>
      <c r="N985" s="559"/>
      <c r="O985" s="559"/>
      <c r="P985" s="559"/>
      <c r="Q985" s="559"/>
      <c r="R985" s="559"/>
      <c r="S985" s="559"/>
      <c r="T985" s="559"/>
      <c r="U985" s="559"/>
      <c r="V985" s="559"/>
      <c r="W985" s="559"/>
      <c r="X985" s="559"/>
      <c r="Y985" s="559"/>
      <c r="Z985" s="559"/>
    </row>
    <row r="986" spans="1:26" ht="18" customHeight="1" x14ac:dyDescent="0.35">
      <c r="A986" s="559"/>
      <c r="B986" s="559"/>
      <c r="C986" s="559"/>
      <c r="D986" s="559"/>
      <c r="E986" s="559"/>
      <c r="F986" s="559"/>
      <c r="G986" s="559"/>
      <c r="H986" s="559"/>
      <c r="I986" s="559"/>
      <c r="J986" s="559"/>
      <c r="K986" s="559"/>
      <c r="L986" s="559"/>
      <c r="M986" s="559"/>
      <c r="N986" s="559"/>
      <c r="O986" s="559"/>
      <c r="P986" s="559"/>
      <c r="Q986" s="559"/>
      <c r="R986" s="559"/>
      <c r="S986" s="559"/>
      <c r="T986" s="559"/>
      <c r="U986" s="559"/>
      <c r="V986" s="559"/>
      <c r="W986" s="559"/>
      <c r="X986" s="559"/>
      <c r="Y986" s="559"/>
      <c r="Z986" s="559"/>
    </row>
    <row r="987" spans="1:26" ht="18" customHeight="1" x14ac:dyDescent="0.35">
      <c r="A987" s="559"/>
      <c r="B987" s="559"/>
      <c r="C987" s="559"/>
      <c r="D987" s="559"/>
      <c r="E987" s="559"/>
      <c r="F987" s="559"/>
      <c r="G987" s="559"/>
      <c r="H987" s="559"/>
      <c r="I987" s="559"/>
      <c r="J987" s="559"/>
      <c r="K987" s="559"/>
      <c r="L987" s="559"/>
      <c r="M987" s="559"/>
      <c r="N987" s="559"/>
      <c r="O987" s="559"/>
      <c r="P987" s="559"/>
      <c r="Q987" s="559"/>
      <c r="R987" s="559"/>
      <c r="S987" s="559"/>
      <c r="T987" s="559"/>
      <c r="U987" s="559"/>
      <c r="V987" s="559"/>
      <c r="W987" s="559"/>
      <c r="X987" s="559"/>
      <c r="Y987" s="559"/>
      <c r="Z987" s="559"/>
    </row>
    <row r="988" spans="1:26" ht="18" customHeight="1" x14ac:dyDescent="0.35">
      <c r="A988" s="559"/>
      <c r="B988" s="559"/>
      <c r="C988" s="559"/>
      <c r="D988" s="559"/>
      <c r="E988" s="559"/>
      <c r="F988" s="559"/>
      <c r="G988" s="559"/>
      <c r="H988" s="559"/>
      <c r="I988" s="559"/>
      <c r="J988" s="559"/>
      <c r="K988" s="559"/>
      <c r="L988" s="559"/>
      <c r="M988" s="559"/>
      <c r="N988" s="559"/>
      <c r="O988" s="559"/>
      <c r="P988" s="559"/>
      <c r="Q988" s="559"/>
      <c r="R988" s="559"/>
      <c r="S988" s="559"/>
      <c r="T988" s="559"/>
      <c r="U988" s="559"/>
      <c r="V988" s="559"/>
      <c r="W988" s="559"/>
      <c r="X988" s="559"/>
      <c r="Y988" s="559"/>
      <c r="Z988" s="559"/>
    </row>
    <row r="989" spans="1:26" ht="18" customHeight="1" x14ac:dyDescent="0.35">
      <c r="A989" s="559"/>
      <c r="B989" s="559"/>
      <c r="C989" s="559"/>
      <c r="D989" s="559"/>
      <c r="E989" s="559"/>
      <c r="F989" s="559"/>
      <c r="G989" s="559"/>
      <c r="H989" s="559"/>
      <c r="I989" s="559"/>
      <c r="J989" s="559"/>
      <c r="K989" s="559"/>
      <c r="L989" s="559"/>
      <c r="M989" s="559"/>
      <c r="N989" s="559"/>
      <c r="O989" s="559"/>
      <c r="P989" s="559"/>
      <c r="Q989" s="559"/>
      <c r="R989" s="559"/>
      <c r="S989" s="559"/>
      <c r="T989" s="559"/>
      <c r="U989" s="559"/>
      <c r="V989" s="559"/>
      <c r="W989" s="559"/>
      <c r="X989" s="559"/>
      <c r="Y989" s="559"/>
      <c r="Z989" s="559"/>
    </row>
    <row r="990" spans="1:26" ht="18" customHeight="1" x14ac:dyDescent="0.35">
      <c r="A990" s="559"/>
      <c r="B990" s="559"/>
      <c r="C990" s="559"/>
      <c r="D990" s="559"/>
      <c r="E990" s="559"/>
      <c r="F990" s="559"/>
      <c r="G990" s="559"/>
      <c r="H990" s="559"/>
      <c r="I990" s="559"/>
      <c r="J990" s="559"/>
      <c r="K990" s="559"/>
      <c r="L990" s="559"/>
      <c r="M990" s="559"/>
      <c r="N990" s="559"/>
      <c r="O990" s="559"/>
      <c r="P990" s="559"/>
      <c r="Q990" s="559"/>
      <c r="R990" s="559"/>
      <c r="S990" s="559"/>
      <c r="T990" s="559"/>
      <c r="U990" s="559"/>
      <c r="V990" s="559"/>
      <c r="W990" s="559"/>
      <c r="X990" s="559"/>
      <c r="Y990" s="559"/>
      <c r="Z990" s="559"/>
    </row>
    <row r="991" spans="1:26" ht="18" customHeight="1" x14ac:dyDescent="0.35">
      <c r="A991" s="559"/>
      <c r="B991" s="559"/>
      <c r="C991" s="559"/>
      <c r="D991" s="559"/>
      <c r="E991" s="559"/>
      <c r="F991" s="559"/>
      <c r="G991" s="559"/>
      <c r="H991" s="559"/>
      <c r="I991" s="559"/>
      <c r="J991" s="559"/>
      <c r="K991" s="559"/>
      <c r="L991" s="559"/>
      <c r="M991" s="559"/>
      <c r="N991" s="559"/>
      <c r="O991" s="559"/>
      <c r="P991" s="559"/>
      <c r="Q991" s="559"/>
      <c r="R991" s="559"/>
      <c r="S991" s="559"/>
      <c r="T991" s="559"/>
      <c r="U991" s="559"/>
      <c r="V991" s="559"/>
      <c r="W991" s="559"/>
      <c r="X991" s="559"/>
      <c r="Y991" s="559"/>
      <c r="Z991" s="559"/>
    </row>
    <row r="992" spans="1:26" ht="18" customHeight="1" x14ac:dyDescent="0.35">
      <c r="A992" s="559"/>
      <c r="B992" s="559"/>
      <c r="C992" s="559"/>
      <c r="D992" s="559"/>
      <c r="E992" s="559"/>
      <c r="F992" s="559"/>
      <c r="G992" s="559"/>
      <c r="H992" s="559"/>
      <c r="I992" s="559"/>
      <c r="J992" s="559"/>
      <c r="K992" s="559"/>
      <c r="L992" s="559"/>
      <c r="M992" s="559"/>
      <c r="N992" s="559"/>
      <c r="O992" s="559"/>
      <c r="P992" s="559"/>
      <c r="Q992" s="559"/>
      <c r="R992" s="559"/>
      <c r="S992" s="559"/>
      <c r="T992" s="559"/>
      <c r="U992" s="559"/>
      <c r="V992" s="559"/>
      <c r="W992" s="559"/>
      <c r="X992" s="559"/>
      <c r="Y992" s="559"/>
      <c r="Z992" s="559"/>
    </row>
    <row r="993" spans="1:26" ht="18" customHeight="1" x14ac:dyDescent="0.35">
      <c r="A993" s="559"/>
      <c r="B993" s="559"/>
      <c r="C993" s="559"/>
      <c r="D993" s="559"/>
      <c r="E993" s="559"/>
      <c r="F993" s="559"/>
      <c r="G993" s="559"/>
      <c r="H993" s="559"/>
      <c r="I993" s="559"/>
      <c r="J993" s="559"/>
      <c r="K993" s="559"/>
      <c r="L993" s="559"/>
      <c r="M993" s="559"/>
      <c r="N993" s="559"/>
      <c r="O993" s="559"/>
      <c r="P993" s="559"/>
      <c r="Q993" s="559"/>
      <c r="R993" s="559"/>
      <c r="S993" s="559"/>
      <c r="T993" s="559"/>
      <c r="U993" s="559"/>
      <c r="V993" s="559"/>
      <c r="W993" s="559"/>
      <c r="X993" s="559"/>
      <c r="Y993" s="559"/>
      <c r="Z993" s="559"/>
    </row>
    <row r="994" spans="1:26" ht="18" customHeight="1" x14ac:dyDescent="0.35">
      <c r="A994" s="559"/>
      <c r="B994" s="559"/>
      <c r="C994" s="559"/>
      <c r="D994" s="559"/>
      <c r="E994" s="559"/>
      <c r="F994" s="559"/>
      <c r="G994" s="559"/>
      <c r="H994" s="559"/>
      <c r="I994" s="559"/>
      <c r="J994" s="559"/>
      <c r="K994" s="559"/>
      <c r="L994" s="559"/>
      <c r="M994" s="559"/>
      <c r="N994" s="559"/>
      <c r="O994" s="559"/>
      <c r="P994" s="559"/>
      <c r="Q994" s="559"/>
      <c r="R994" s="559"/>
      <c r="S994" s="559"/>
      <c r="T994" s="559"/>
      <c r="U994" s="559"/>
      <c r="V994" s="559"/>
      <c r="W994" s="559"/>
      <c r="X994" s="559"/>
      <c r="Y994" s="559"/>
      <c r="Z994" s="559"/>
    </row>
    <row r="995" spans="1:26" ht="18" customHeight="1" x14ac:dyDescent="0.35">
      <c r="A995" s="559"/>
      <c r="B995" s="559"/>
      <c r="C995" s="559"/>
      <c r="D995" s="559"/>
      <c r="E995" s="559"/>
      <c r="F995" s="559"/>
      <c r="G995" s="559"/>
      <c r="H995" s="559"/>
      <c r="I995" s="559"/>
      <c r="J995" s="559"/>
      <c r="K995" s="559"/>
      <c r="L995" s="559"/>
      <c r="M995" s="559"/>
      <c r="N995" s="559"/>
      <c r="O995" s="559"/>
      <c r="P995" s="559"/>
      <c r="Q995" s="559"/>
      <c r="R995" s="559"/>
      <c r="S995" s="559"/>
      <c r="T995" s="559"/>
      <c r="U995" s="559"/>
      <c r="V995" s="559"/>
      <c r="W995" s="559"/>
      <c r="X995" s="559"/>
      <c r="Y995" s="559"/>
      <c r="Z995" s="559"/>
    </row>
    <row r="996" spans="1:26" ht="18" customHeight="1" x14ac:dyDescent="0.35">
      <c r="A996" s="559"/>
      <c r="B996" s="559"/>
      <c r="C996" s="559"/>
      <c r="D996" s="559"/>
      <c r="E996" s="559"/>
      <c r="F996" s="559"/>
      <c r="G996" s="559"/>
      <c r="H996" s="559"/>
      <c r="I996" s="559"/>
      <c r="J996" s="559"/>
      <c r="K996" s="559"/>
      <c r="L996" s="559"/>
      <c r="M996" s="559"/>
      <c r="N996" s="559"/>
      <c r="O996" s="559"/>
      <c r="P996" s="559"/>
      <c r="Q996" s="559"/>
      <c r="R996" s="559"/>
      <c r="S996" s="559"/>
      <c r="T996" s="559"/>
      <c r="U996" s="559"/>
      <c r="V996" s="559"/>
      <c r="W996" s="559"/>
      <c r="X996" s="559"/>
      <c r="Y996" s="559"/>
      <c r="Z996" s="559"/>
    </row>
    <row r="997" spans="1:26" ht="18" customHeight="1" x14ac:dyDescent="0.35">
      <c r="A997" s="559"/>
      <c r="B997" s="559"/>
      <c r="C997" s="559"/>
      <c r="D997" s="559"/>
      <c r="E997" s="559"/>
      <c r="F997" s="559"/>
      <c r="G997" s="559"/>
      <c r="H997" s="559"/>
      <c r="I997" s="559"/>
      <c r="J997" s="559"/>
      <c r="K997" s="559"/>
      <c r="L997" s="559"/>
      <c r="M997" s="559"/>
      <c r="N997" s="559"/>
      <c r="O997" s="559"/>
      <c r="P997" s="559"/>
      <c r="Q997" s="559"/>
      <c r="R997" s="559"/>
      <c r="S997" s="559"/>
      <c r="T997" s="559"/>
      <c r="U997" s="559"/>
      <c r="V997" s="559"/>
      <c r="W997" s="559"/>
      <c r="X997" s="559"/>
      <c r="Y997" s="559"/>
      <c r="Z997" s="559"/>
    </row>
    <row r="998" spans="1:26" ht="18" customHeight="1" x14ac:dyDescent="0.35">
      <c r="A998" s="559"/>
      <c r="B998" s="559"/>
      <c r="C998" s="559"/>
      <c r="D998" s="559"/>
      <c r="E998" s="559"/>
      <c r="F998" s="559"/>
      <c r="G998" s="559"/>
      <c r="H998" s="559"/>
      <c r="I998" s="559"/>
      <c r="J998" s="559"/>
      <c r="K998" s="559"/>
      <c r="L998" s="559"/>
      <c r="M998" s="559"/>
      <c r="N998" s="559"/>
      <c r="O998" s="559"/>
      <c r="P998" s="559"/>
      <c r="Q998" s="559"/>
      <c r="R998" s="559"/>
      <c r="S998" s="559"/>
      <c r="T998" s="559"/>
      <c r="U998" s="559"/>
      <c r="V998" s="559"/>
      <c r="W998" s="559"/>
      <c r="X998" s="559"/>
      <c r="Y998" s="559"/>
      <c r="Z998" s="559"/>
    </row>
    <row r="999" spans="1:26" ht="18" customHeight="1" x14ac:dyDescent="0.35">
      <c r="A999" s="559"/>
      <c r="B999" s="559"/>
      <c r="C999" s="559"/>
      <c r="D999" s="559"/>
      <c r="E999" s="559"/>
      <c r="F999" s="559"/>
      <c r="G999" s="559"/>
      <c r="H999" s="559"/>
      <c r="I999" s="559"/>
      <c r="J999" s="559"/>
      <c r="K999" s="559"/>
      <c r="L999" s="559"/>
      <c r="M999" s="559"/>
      <c r="N999" s="559"/>
      <c r="O999" s="559"/>
      <c r="P999" s="559"/>
      <c r="Q999" s="559"/>
      <c r="R999" s="559"/>
      <c r="S999" s="559"/>
      <c r="T999" s="559"/>
      <c r="U999" s="559"/>
      <c r="V999" s="559"/>
      <c r="W999" s="559"/>
      <c r="X999" s="559"/>
      <c r="Y999" s="559"/>
      <c r="Z999" s="559"/>
    </row>
    <row r="1000" spans="1:26" ht="18" customHeight="1" x14ac:dyDescent="0.35">
      <c r="A1000" s="559"/>
      <c r="B1000" s="559"/>
      <c r="C1000" s="559"/>
      <c r="D1000" s="559"/>
      <c r="E1000" s="559"/>
      <c r="F1000" s="559"/>
      <c r="G1000" s="559"/>
      <c r="H1000" s="559"/>
      <c r="I1000" s="559"/>
      <c r="J1000" s="559"/>
      <c r="K1000" s="559"/>
      <c r="L1000" s="559"/>
      <c r="M1000" s="559"/>
      <c r="N1000" s="559"/>
      <c r="O1000" s="559"/>
      <c r="P1000" s="559"/>
      <c r="Q1000" s="559"/>
      <c r="R1000" s="559"/>
      <c r="S1000" s="559"/>
      <c r="T1000" s="559"/>
      <c r="U1000" s="559"/>
      <c r="V1000" s="559"/>
      <c r="W1000" s="559"/>
      <c r="X1000" s="559"/>
      <c r="Y1000" s="559"/>
      <c r="Z1000" s="559"/>
    </row>
  </sheetData>
  <mergeCells count="22">
    <mergeCell ref="B1:L1"/>
    <mergeCell ref="A3:A4"/>
    <mergeCell ref="H9:J13"/>
    <mergeCell ref="H14:I14"/>
    <mergeCell ref="H16:L20"/>
    <mergeCell ref="F20:G20"/>
    <mergeCell ref="F21:G21"/>
    <mergeCell ref="D33:E33"/>
    <mergeCell ref="D34:E34"/>
    <mergeCell ref="H37:H38"/>
    <mergeCell ref="D40:E40"/>
    <mergeCell ref="J40:K40"/>
    <mergeCell ref="D41:E41"/>
    <mergeCell ref="J41:K41"/>
    <mergeCell ref="H23:H24"/>
    <mergeCell ref="D26:E26"/>
    <mergeCell ref="J26:K26"/>
    <mergeCell ref="D27:E27"/>
    <mergeCell ref="J27:K27"/>
    <mergeCell ref="H30:H31"/>
    <mergeCell ref="J33:K33"/>
    <mergeCell ref="J34:K34"/>
  </mergeCells>
  <conditionalFormatting sqref="C3 F3 C19">
    <cfRule type="endsWith" dxfId="23" priority="1" operator="endsWith" text="Boulons">
      <formula>RIGHT((C3),LEN("Boulons"))=("Boulons")</formula>
    </cfRule>
  </conditionalFormatting>
  <conditionalFormatting sqref="C3 F3">
    <cfRule type="beginsWith" dxfId="22" priority="2" operator="beginsWith" text="Boulons">
      <formula>LEFT((C3),LEN("Boulons"))=("Boulons")</formula>
    </cfRule>
  </conditionalFormatting>
  <conditionalFormatting sqref="C19">
    <cfRule type="beginsWith" dxfId="21" priority="3" operator="beginsWith" text="Boulons">
      <formula>LEFT((C19),LEN("Boulons"))=("Boulons")</formula>
    </cfRule>
  </conditionalFormatting>
  <conditionalFormatting sqref="F19">
    <cfRule type="containsText" dxfId="20" priority="4" operator="containsText" text="Oui">
      <formula>NOT(ISERROR(SEARCH(("Oui"),(F19))))</formula>
    </cfRule>
  </conditionalFormatting>
  <dataValidations count="9">
    <dataValidation type="list" allowBlank="1" showErrorMessage="1" sqref="F15 F19 F29" xr:uid="{00000000-0002-0000-0F00-000000000000}">
      <formula1>$A$259:$A$260</formula1>
    </dataValidation>
    <dataValidation type="list" allowBlank="1" showErrorMessage="1" sqref="C15" xr:uid="{00000000-0002-0000-0F00-000001000000}">
      <formula1>$A$227:$A$228</formula1>
    </dataValidation>
    <dataValidation type="list" allowBlank="1" showErrorMessage="1" sqref="C17" xr:uid="{00000000-0002-0000-0F00-000002000000}">
      <formula1>$A$204:$A$210</formula1>
    </dataValidation>
    <dataValidation type="list" allowBlank="1" showErrorMessage="1" sqref="C26 I26 C33 I33 C40 I40" xr:uid="{00000000-0002-0000-0F00-000003000000}">
      <formula1>$A$267:$A$271</formula1>
    </dataValidation>
    <dataValidation type="list" allowBlank="1" showErrorMessage="1" sqref="C19" xr:uid="{00000000-0002-0000-0F00-000004000000}">
      <formula1>$A$212:$A$213</formula1>
    </dataValidation>
    <dataValidation type="list" allowBlank="1" showErrorMessage="1" sqref="C13" xr:uid="{00000000-0002-0000-0F00-000005000000}">
      <formula1>$A$223:$A$224</formula1>
    </dataValidation>
    <dataValidation type="list" allowBlank="1" showErrorMessage="1" sqref="C28 I28 C35 I35 C42 I42" xr:uid="{00000000-0002-0000-0F00-000006000000}">
      <formula1>$A$238:$A$246</formula1>
    </dataValidation>
    <dataValidation type="list" allowBlank="1" showErrorMessage="1" sqref="F26 L26 F33 L33 F40 L40" xr:uid="{00000000-0002-0000-0F00-000007000000}">
      <formula1>$A$248:$A$250</formula1>
    </dataValidation>
    <dataValidation type="list" allowBlank="1" showErrorMessage="1" sqref="F21" xr:uid="{00000000-0002-0000-0F00-000008000000}">
      <formula1>$A$215:$A$217</formula1>
    </dataValidation>
  </dataValidations>
  <pageMargins left="0.51181102362204722" right="0.31496062992125984" top="0.55118110236220474" bottom="0.55118110236220474" header="0" footer="0"/>
  <pageSetup paperSize="9" orientation="landscape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92D050"/>
    <pageSetUpPr fitToPage="1"/>
  </sheetPr>
  <dimension ref="A1:AG1000"/>
  <sheetViews>
    <sheetView workbookViewId="0"/>
  </sheetViews>
  <sheetFormatPr baseColWidth="10" defaultColWidth="14.44140625" defaultRowHeight="15" customHeight="1" x14ac:dyDescent="0.3"/>
  <cols>
    <col min="1" max="1" width="15.44140625" customWidth="1"/>
    <col min="2" max="2" width="39" customWidth="1"/>
    <col min="3" max="3" width="31.33203125" customWidth="1"/>
    <col min="4" max="4" width="22.6640625" customWidth="1"/>
    <col min="5" max="5" width="25.44140625" customWidth="1"/>
    <col min="6" max="6" width="26.88671875" customWidth="1"/>
    <col min="7" max="7" width="18" customWidth="1"/>
    <col min="8" max="8" width="16.33203125" customWidth="1"/>
    <col min="9" max="12" width="18.88671875" customWidth="1"/>
    <col min="13" max="13" width="14.44140625" customWidth="1"/>
    <col min="14" max="14" width="18.33203125" customWidth="1"/>
    <col min="15" max="15" width="14.5546875" customWidth="1"/>
    <col min="16" max="33" width="11.44140625" customWidth="1"/>
  </cols>
  <sheetData>
    <row r="1" spans="1:33" ht="18" customHeight="1" x14ac:dyDescent="0.35">
      <c r="A1" s="1084" t="s">
        <v>419</v>
      </c>
      <c r="B1" s="1085"/>
      <c r="C1" s="1085"/>
      <c r="D1" s="1085"/>
      <c r="E1" s="1085"/>
      <c r="F1" s="1085"/>
      <c r="G1" s="1086"/>
      <c r="H1" s="559"/>
      <c r="I1" s="559"/>
      <c r="J1" s="559"/>
      <c r="K1" s="559"/>
      <c r="L1" s="559"/>
      <c r="M1" s="559"/>
      <c r="N1" s="559"/>
      <c r="O1" s="559"/>
      <c r="P1" s="559"/>
      <c r="Q1" s="559"/>
      <c r="R1" s="559"/>
      <c r="S1" s="559"/>
      <c r="T1" s="559"/>
      <c r="U1" s="559"/>
      <c r="V1" s="559"/>
      <c r="W1" s="559"/>
      <c r="X1" s="559"/>
      <c r="Y1" s="559"/>
      <c r="Z1" s="559"/>
      <c r="AA1" s="559"/>
      <c r="AB1" s="559"/>
      <c r="AC1" s="559"/>
      <c r="AD1" s="559"/>
      <c r="AE1" s="559"/>
      <c r="AF1" s="559"/>
      <c r="AG1" s="559"/>
    </row>
    <row r="2" spans="1:33" ht="18" customHeight="1" x14ac:dyDescent="0.35">
      <c r="A2" s="1087"/>
      <c r="B2" s="1088"/>
      <c r="C2" s="1088"/>
      <c r="D2" s="1088"/>
      <c r="E2" s="1088"/>
      <c r="F2" s="1088"/>
      <c r="G2" s="1089"/>
      <c r="H2" s="559"/>
      <c r="I2" s="559"/>
      <c r="J2" s="559"/>
      <c r="K2" s="559"/>
      <c r="L2" s="559"/>
      <c r="M2" s="559"/>
      <c r="N2" s="559"/>
      <c r="O2" s="559"/>
      <c r="P2" s="559"/>
      <c r="Q2" s="559"/>
      <c r="R2" s="559"/>
      <c r="S2" s="559"/>
      <c r="T2" s="559"/>
      <c r="U2" s="559"/>
      <c r="V2" s="559"/>
      <c r="W2" s="559"/>
      <c r="X2" s="559"/>
      <c r="Y2" s="559"/>
      <c r="Z2" s="559"/>
      <c r="AA2" s="559"/>
      <c r="AB2" s="559"/>
      <c r="AC2" s="559"/>
      <c r="AD2" s="559"/>
      <c r="AE2" s="559"/>
      <c r="AF2" s="559"/>
      <c r="AG2" s="559"/>
    </row>
    <row r="3" spans="1:33" ht="42.75" hidden="1" customHeight="1" x14ac:dyDescent="0.35">
      <c r="A3" s="559"/>
      <c r="B3" s="559"/>
      <c r="C3" s="560">
        <f>IF(C19="Boulons et platines","Boulons et Platines GC",0)</f>
        <v>0</v>
      </c>
      <c r="D3" s="560">
        <f>IF(C3="Boulons et Platines GC","Nbre de Trous",0)</f>
        <v>0</v>
      </c>
      <c r="E3" s="561">
        <f>IF(C3="Boulons et Platines GC","Dim du Bord",0)</f>
        <v>0</v>
      </c>
      <c r="F3" s="560">
        <f>IF(C19="Boulons et platines","Boulons et Platines CV",0)</f>
        <v>0</v>
      </c>
      <c r="G3" s="560">
        <f>IF(F3="Boulons et Platines CV","Nbre de Trous",0)</f>
        <v>0</v>
      </c>
      <c r="H3" s="561">
        <f>IF(F3="Boulons et Platines CV","Dim du Bord",0)</f>
        <v>0</v>
      </c>
      <c r="I3" s="559"/>
      <c r="J3" s="559"/>
      <c r="K3" s="559"/>
      <c r="L3" s="559"/>
      <c r="M3" s="559"/>
      <c r="N3" s="559"/>
      <c r="O3" s="559"/>
      <c r="P3" s="559"/>
      <c r="Q3" s="559"/>
      <c r="R3" s="559"/>
      <c r="S3" s="559"/>
      <c r="T3" s="559"/>
      <c r="U3" s="559"/>
      <c r="V3" s="559"/>
      <c r="W3" s="559"/>
      <c r="X3" s="559"/>
      <c r="Y3" s="559"/>
      <c r="Z3" s="559"/>
      <c r="AA3" s="559"/>
      <c r="AB3" s="559"/>
      <c r="AC3" s="559"/>
      <c r="AD3" s="559"/>
      <c r="AE3" s="559"/>
      <c r="AF3" s="559"/>
      <c r="AG3" s="559"/>
    </row>
    <row r="4" spans="1:33" ht="18.75" hidden="1" customHeight="1" x14ac:dyDescent="0.35">
      <c r="A4" s="559"/>
      <c r="B4" s="559"/>
      <c r="C4" s="562">
        <f>IF(C19="Vis bois",0,"Trous dans la Longueur")</f>
        <v>0</v>
      </c>
      <c r="D4" s="563">
        <f>IF(C4=0,0,IF(C47&lt;100,2,IF(C47&lt;150,3,IF(C47&lt;200,4,IF(C47&lt;250,5,IF(C47&lt;300,6,7))))))</f>
        <v>0</v>
      </c>
      <c r="E4" s="564">
        <f>IF(D4=0,0,IF(D4=2,0,IF(D4=3,0,(($C$47-32)/(D4-1))+16)))</f>
        <v>0</v>
      </c>
      <c r="F4" s="562">
        <f>IF(C19="Vis bois",0,"Trous dans la Longueur")</f>
        <v>0</v>
      </c>
      <c r="G4" s="563">
        <f>IF(F4=0,0,IF(C48&lt;100,2,IF(C48&lt;150,3,IF(C48&lt;200,4,IF(C48&lt;250,5,IF(C48&lt;300,6,7))))))</f>
        <v>0</v>
      </c>
      <c r="H4" s="564">
        <f>IF(G4=0,0,IF(G4=2,0,IF(G4=3,0,(($C$48-32)/(G4-1))+16)))</f>
        <v>0</v>
      </c>
      <c r="I4" s="559"/>
      <c r="J4" s="559"/>
      <c r="K4" s="559"/>
      <c r="L4" s="559"/>
      <c r="M4" s="559"/>
      <c r="N4" s="559"/>
      <c r="O4" s="559"/>
      <c r="P4" s="559"/>
      <c r="Q4" s="559"/>
      <c r="R4" s="559"/>
      <c r="S4" s="559"/>
      <c r="T4" s="559"/>
      <c r="U4" s="559"/>
      <c r="V4" s="559"/>
      <c r="W4" s="559"/>
      <c r="X4" s="559"/>
      <c r="Y4" s="559"/>
      <c r="Z4" s="559"/>
      <c r="AA4" s="559"/>
      <c r="AB4" s="559"/>
      <c r="AC4" s="559"/>
      <c r="AD4" s="559"/>
      <c r="AE4" s="559"/>
      <c r="AF4" s="559"/>
      <c r="AG4" s="559"/>
    </row>
    <row r="5" spans="1:33" ht="18" hidden="1" customHeight="1" x14ac:dyDescent="0.35">
      <c r="A5" s="559"/>
      <c r="B5" s="559"/>
      <c r="C5" s="565">
        <f>IF(D4=6,"2ème Trou",IF(D4=7,"2ème Trou",0))</f>
        <v>0</v>
      </c>
      <c r="D5" s="559"/>
      <c r="E5" s="564">
        <f>IF(C5=0,0,E4+E4-16)</f>
        <v>0</v>
      </c>
      <c r="F5" s="565">
        <f>IF(G4=6,"2ème Trou",IF(G4=7,"2ème Trou",0))</f>
        <v>0</v>
      </c>
      <c r="G5" s="559"/>
      <c r="H5" s="564">
        <f>IF(F5=0,0,H4+H4-16)</f>
        <v>0</v>
      </c>
      <c r="I5" s="559"/>
      <c r="J5" s="559"/>
      <c r="K5" s="559"/>
      <c r="L5" s="559"/>
      <c r="M5" s="559"/>
      <c r="N5" s="559"/>
      <c r="O5" s="559"/>
      <c r="P5" s="559"/>
      <c r="Q5" s="559"/>
      <c r="R5" s="559"/>
      <c r="S5" s="559"/>
      <c r="T5" s="559"/>
      <c r="U5" s="559"/>
      <c r="V5" s="559"/>
      <c r="W5" s="559"/>
      <c r="X5" s="559"/>
      <c r="Y5" s="559"/>
      <c r="Z5" s="559"/>
      <c r="AA5" s="559"/>
      <c r="AB5" s="559"/>
      <c r="AC5" s="559"/>
      <c r="AD5" s="559"/>
      <c r="AE5" s="559"/>
      <c r="AF5" s="559"/>
      <c r="AG5" s="559"/>
    </row>
    <row r="6" spans="1:33" ht="18" hidden="1" customHeight="1" x14ac:dyDescent="0.35">
      <c r="A6" s="559"/>
      <c r="B6" s="559"/>
      <c r="C6" s="562">
        <f>IF(C19="Vis bois",0,"Trous dans la Hauteur")</f>
        <v>0</v>
      </c>
      <c r="D6" s="563">
        <f>IF(C6=0,0,IF(D47&lt;100,2,IF(D47&lt;150,3,IF(D47&lt;200,4,IF(D47&lt;250,5,IF(D47&lt;310,6,7))))))</f>
        <v>0</v>
      </c>
      <c r="E6" s="564">
        <f>IF(D6=0,0,IF(D6=2,0,IF(D6=3,0,(($D$47-32)/(D6-1))+16)))</f>
        <v>0</v>
      </c>
      <c r="F6" s="562">
        <f>IF(C19="Vis bois",0,"Trous dans la Largeur")</f>
        <v>0</v>
      </c>
      <c r="G6" s="563">
        <f>IF(F6=0,0,IF(D48&lt;50,1,IF(D48&lt;100,2,IF(D48&lt;150,3,IF(D48&lt;200,4,IF(D48&lt;250,5,IF(D48&lt;310,6,7)))))))</f>
        <v>0</v>
      </c>
      <c r="H6" s="564">
        <f>IF(G6=0,0,IF(G6=1,0,IF(G6=2,0,IF(G6=3,0,(($D$48-32)/(G6-1))+16))))</f>
        <v>0</v>
      </c>
      <c r="I6" s="559"/>
      <c r="J6" s="559"/>
      <c r="K6" s="559"/>
      <c r="L6" s="559"/>
      <c r="M6" s="559"/>
      <c r="N6" s="559"/>
      <c r="O6" s="559"/>
      <c r="P6" s="559"/>
      <c r="Q6" s="559"/>
      <c r="R6" s="559"/>
      <c r="S6" s="559"/>
      <c r="T6" s="559"/>
      <c r="U6" s="559"/>
      <c r="V6" s="559"/>
      <c r="W6" s="559"/>
      <c r="X6" s="559"/>
      <c r="Y6" s="559"/>
      <c r="Z6" s="559"/>
      <c r="AA6" s="559"/>
      <c r="AB6" s="559"/>
      <c r="AC6" s="559"/>
      <c r="AD6" s="559"/>
      <c r="AE6" s="559"/>
      <c r="AF6" s="559"/>
      <c r="AG6" s="559"/>
    </row>
    <row r="7" spans="1:33" ht="18" hidden="1" customHeight="1" x14ac:dyDescent="0.35">
      <c r="A7" s="559"/>
      <c r="B7" s="559"/>
      <c r="C7" s="566">
        <f>IF(D6=6,"2ème Trou",IF(D6=7,"2ème Trou",0))</f>
        <v>0</v>
      </c>
      <c r="D7" s="567"/>
      <c r="E7" s="568">
        <f>IF(C7=0,0,E6+E6-16)</f>
        <v>0</v>
      </c>
      <c r="F7" s="566">
        <f>IF(G6=6,"2ème Trou",IF(G6=7,"2ème Trou",0))</f>
        <v>0</v>
      </c>
      <c r="G7" s="567"/>
      <c r="H7" s="568">
        <f>IF(F7=0,0,H6+H6-16)</f>
        <v>0</v>
      </c>
      <c r="I7" s="559"/>
      <c r="J7" s="559"/>
      <c r="K7" s="559"/>
      <c r="L7" s="559"/>
      <c r="M7" s="559"/>
      <c r="N7" s="559"/>
      <c r="O7" s="559"/>
      <c r="P7" s="559"/>
      <c r="Q7" s="559"/>
      <c r="R7" s="559"/>
      <c r="S7" s="559"/>
      <c r="T7" s="559"/>
      <c r="U7" s="559"/>
      <c r="V7" s="559"/>
      <c r="W7" s="559"/>
      <c r="X7" s="559"/>
      <c r="Y7" s="559"/>
      <c r="Z7" s="559"/>
      <c r="AA7" s="559"/>
      <c r="AB7" s="559"/>
      <c r="AC7" s="559"/>
      <c r="AD7" s="559"/>
      <c r="AE7" s="559"/>
      <c r="AF7" s="559"/>
      <c r="AG7" s="559"/>
    </row>
    <row r="8" spans="1:33" ht="18" customHeight="1" x14ac:dyDescent="0.35">
      <c r="A8" s="559"/>
      <c r="B8" s="559"/>
      <c r="C8" s="559"/>
      <c r="D8" s="559"/>
      <c r="E8" s="559"/>
      <c r="F8" s="559"/>
      <c r="G8" s="559"/>
      <c r="H8" s="559"/>
      <c r="I8" s="559"/>
      <c r="J8" s="559"/>
      <c r="K8" s="559"/>
      <c r="L8" s="559"/>
      <c r="M8" s="559"/>
      <c r="N8" s="559"/>
      <c r="O8" s="559"/>
      <c r="P8" s="559"/>
      <c r="Q8" s="559"/>
      <c r="R8" s="559"/>
      <c r="S8" s="559"/>
      <c r="T8" s="559"/>
      <c r="U8" s="559"/>
      <c r="V8" s="559"/>
      <c r="W8" s="559"/>
      <c r="X8" s="559"/>
      <c r="Y8" s="559"/>
      <c r="Z8" s="559"/>
      <c r="AA8" s="559"/>
      <c r="AB8" s="559"/>
      <c r="AC8" s="559"/>
      <c r="AD8" s="559"/>
      <c r="AE8" s="559"/>
      <c r="AF8" s="559"/>
      <c r="AG8" s="559"/>
    </row>
    <row r="9" spans="1:33" ht="18" customHeight="1" x14ac:dyDescent="0.35">
      <c r="A9" s="559"/>
      <c r="B9" s="559" t="s">
        <v>1</v>
      </c>
      <c r="C9" s="20"/>
      <c r="D9" s="559"/>
      <c r="E9" s="563" t="s">
        <v>2</v>
      </c>
      <c r="F9" s="22"/>
      <c r="G9" s="559"/>
      <c r="H9" s="559"/>
      <c r="I9" s="1169" t="str">
        <f>VLOOKUP($F$10,'Infos Clients'!$B$2:$G$10,2)</f>
        <v>#VALUE!</v>
      </c>
      <c r="J9" s="1085"/>
      <c r="K9" s="1086"/>
      <c r="L9" s="559"/>
      <c r="M9" s="559"/>
      <c r="N9" s="559"/>
      <c r="O9" s="559"/>
      <c r="P9" s="559"/>
      <c r="Q9" s="559"/>
      <c r="R9" s="559"/>
      <c r="S9" s="559"/>
      <c r="T9" s="559"/>
      <c r="U9" s="559"/>
      <c r="V9" s="559"/>
      <c r="W9" s="559"/>
      <c r="X9" s="559"/>
      <c r="Y9" s="559"/>
      <c r="Z9" s="559"/>
      <c r="AA9" s="559"/>
      <c r="AB9" s="559"/>
      <c r="AC9" s="559"/>
      <c r="AD9" s="559"/>
      <c r="AE9" s="559"/>
      <c r="AF9" s="559"/>
      <c r="AG9" s="559"/>
    </row>
    <row r="10" spans="1:33" ht="18" customHeight="1" x14ac:dyDescent="0.35">
      <c r="A10" s="559"/>
      <c r="B10" s="559" t="s">
        <v>4</v>
      </c>
      <c r="C10" s="23"/>
      <c r="D10" s="559"/>
      <c r="E10" s="563" t="s">
        <v>5</v>
      </c>
      <c r="F10" s="569" t="s">
        <v>6</v>
      </c>
      <c r="G10" s="559"/>
      <c r="H10" s="559"/>
      <c r="I10" s="1091"/>
      <c r="J10" s="1097"/>
      <c r="K10" s="1092"/>
      <c r="L10" s="559"/>
      <c r="M10" s="559"/>
      <c r="N10" s="559"/>
      <c r="O10" s="559"/>
      <c r="P10" s="559"/>
      <c r="Q10" s="559"/>
      <c r="R10" s="559"/>
      <c r="S10" s="559"/>
      <c r="T10" s="559"/>
      <c r="U10" s="559"/>
      <c r="V10" s="559"/>
      <c r="W10" s="559"/>
      <c r="X10" s="559"/>
      <c r="Y10" s="559"/>
      <c r="Z10" s="559"/>
      <c r="AA10" s="559"/>
      <c r="AB10" s="559"/>
      <c r="AC10" s="559"/>
      <c r="AD10" s="559"/>
      <c r="AE10" s="559"/>
      <c r="AF10" s="559"/>
      <c r="AG10" s="559"/>
    </row>
    <row r="11" spans="1:33" ht="19.5" customHeight="1" x14ac:dyDescent="0.35">
      <c r="A11" s="559"/>
      <c r="B11" s="559" t="s">
        <v>138</v>
      </c>
      <c r="C11" s="23"/>
      <c r="D11" s="559"/>
      <c r="E11" s="563" t="s">
        <v>8</v>
      </c>
      <c r="F11" s="25"/>
      <c r="G11" s="559"/>
      <c r="H11" s="559"/>
      <c r="I11" s="1091"/>
      <c r="J11" s="1097"/>
      <c r="K11" s="1092"/>
      <c r="L11" s="559"/>
      <c r="M11" s="559"/>
      <c r="N11" s="559"/>
      <c r="O11" s="559"/>
      <c r="P11" s="559"/>
      <c r="Q11" s="559"/>
      <c r="R11" s="559"/>
      <c r="S11" s="559"/>
      <c r="T11" s="559"/>
      <c r="U11" s="559"/>
      <c r="V11" s="559"/>
      <c r="W11" s="559"/>
      <c r="X11" s="559"/>
      <c r="Y11" s="559"/>
      <c r="Z11" s="559"/>
      <c r="AA11" s="559"/>
      <c r="AB11" s="559"/>
      <c r="AC11" s="559"/>
      <c r="AD11" s="559"/>
      <c r="AE11" s="559"/>
      <c r="AF11" s="559"/>
      <c r="AG11" s="559"/>
    </row>
    <row r="12" spans="1:33" ht="19.5" customHeight="1" x14ac:dyDescent="0.35">
      <c r="A12" s="559"/>
      <c r="B12" s="559"/>
      <c r="C12" s="563"/>
      <c r="D12" s="559"/>
      <c r="E12" s="559"/>
      <c r="F12" s="559"/>
      <c r="G12" s="559"/>
      <c r="H12" s="559"/>
      <c r="I12" s="1091"/>
      <c r="J12" s="1097"/>
      <c r="K12" s="1092"/>
      <c r="L12" s="559"/>
      <c r="M12" s="559"/>
      <c r="N12" s="559"/>
      <c r="O12" s="559"/>
      <c r="P12" s="559"/>
      <c r="Q12" s="559"/>
      <c r="R12" s="559"/>
      <c r="S12" s="559"/>
      <c r="T12" s="559"/>
      <c r="U12" s="559"/>
      <c r="V12" s="559"/>
      <c r="W12" s="559"/>
      <c r="X12" s="559"/>
      <c r="Y12" s="559"/>
      <c r="Z12" s="559"/>
      <c r="AA12" s="559"/>
      <c r="AB12" s="559"/>
      <c r="AC12" s="559"/>
      <c r="AD12" s="559"/>
      <c r="AE12" s="559"/>
      <c r="AF12" s="559"/>
      <c r="AG12" s="559"/>
    </row>
    <row r="13" spans="1:33" ht="18" customHeight="1" x14ac:dyDescent="0.4">
      <c r="A13" s="559"/>
      <c r="B13" s="573" t="s">
        <v>9</v>
      </c>
      <c r="C13" s="569" t="s">
        <v>10</v>
      </c>
      <c r="D13" s="559"/>
      <c r="E13" s="1167" t="str">
        <f>IF($C$13="Peuplier 15 mm","Clouage des Barres au 32 mm de l'intérieur","Clouage des Barres au 45 mm de l'extérieur")</f>
        <v>Clouage des Barres au 32 mm de l'intérieur</v>
      </c>
      <c r="F13" s="1100"/>
      <c r="G13" s="1101"/>
      <c r="H13" s="559"/>
      <c r="I13" s="1091"/>
      <c r="J13" s="1097"/>
      <c r="K13" s="1092"/>
      <c r="L13" s="559"/>
      <c r="M13" s="559"/>
      <c r="N13" s="559"/>
      <c r="O13" s="559"/>
      <c r="P13" s="559"/>
      <c r="Q13" s="559"/>
      <c r="R13" s="559"/>
      <c r="S13" s="559"/>
      <c r="T13" s="559"/>
      <c r="U13" s="559"/>
      <c r="V13" s="559"/>
      <c r="W13" s="559"/>
      <c r="X13" s="559"/>
      <c r="Y13" s="559"/>
      <c r="Z13" s="559"/>
      <c r="AA13" s="559"/>
      <c r="AB13" s="559"/>
      <c r="AC13" s="559"/>
      <c r="AD13" s="559"/>
      <c r="AE13" s="559"/>
      <c r="AF13" s="559"/>
      <c r="AG13" s="559"/>
    </row>
    <row r="14" spans="1:33" ht="18" customHeight="1" x14ac:dyDescent="0.4">
      <c r="A14" s="559"/>
      <c r="B14" s="573"/>
      <c r="C14" s="563"/>
      <c r="D14" s="559"/>
      <c r="E14" s="1167" t="str">
        <f>IF($C$19="Boulons et Platines",VLOOKUP($F$10,'[1]Infos Clients'!$B$2:$G$11,5),VLOOKUP($F$10,'[1]Infos Clients'!$B$2:$G$11,6))</f>
        <v>Fermeture par Vis Bois 4 x 70 + Cuvette Laiton</v>
      </c>
      <c r="F14" s="1100"/>
      <c r="G14" s="1101"/>
      <c r="H14" s="559"/>
      <c r="I14" s="1091"/>
      <c r="J14" s="1097"/>
      <c r="K14" s="1092"/>
      <c r="L14" s="559"/>
      <c r="M14" s="559"/>
      <c r="N14" s="559"/>
      <c r="O14" s="559"/>
      <c r="P14" s="559"/>
      <c r="Q14" s="559"/>
      <c r="R14" s="559"/>
      <c r="S14" s="559"/>
      <c r="T14" s="559"/>
      <c r="U14" s="559"/>
      <c r="V14" s="559"/>
      <c r="W14" s="559"/>
      <c r="X14" s="559"/>
      <c r="Y14" s="559"/>
      <c r="Z14" s="559"/>
      <c r="AA14" s="559"/>
      <c r="AB14" s="559"/>
      <c r="AC14" s="559"/>
      <c r="AD14" s="559"/>
      <c r="AE14" s="559"/>
      <c r="AF14" s="559"/>
      <c r="AG14" s="559"/>
    </row>
    <row r="15" spans="1:33" ht="19.5" customHeight="1" x14ac:dyDescent="0.35">
      <c r="A15" s="559"/>
      <c r="B15" s="573" t="s">
        <v>11</v>
      </c>
      <c r="C15" s="569" t="s">
        <v>12</v>
      </c>
      <c r="D15" s="559"/>
      <c r="E15" s="573" t="s">
        <v>210</v>
      </c>
      <c r="F15" s="569" t="s">
        <v>211</v>
      </c>
      <c r="G15" s="559"/>
      <c r="H15" s="559"/>
      <c r="I15" s="1087"/>
      <c r="J15" s="1088"/>
      <c r="K15" s="1089"/>
      <c r="L15" s="559"/>
      <c r="M15" s="559"/>
      <c r="N15" s="559"/>
      <c r="O15" s="559"/>
      <c r="P15" s="559"/>
      <c r="Q15" s="559"/>
      <c r="R15" s="559"/>
      <c r="S15" s="559"/>
      <c r="T15" s="559"/>
      <c r="U15" s="559"/>
      <c r="V15" s="559"/>
      <c r="W15" s="559"/>
      <c r="X15" s="559"/>
      <c r="Y15" s="559"/>
      <c r="Z15" s="559"/>
      <c r="AA15" s="559"/>
      <c r="AB15" s="559"/>
      <c r="AC15" s="559"/>
      <c r="AD15" s="559"/>
      <c r="AE15" s="559"/>
      <c r="AF15" s="559"/>
      <c r="AG15" s="559"/>
    </row>
    <row r="16" spans="1:33" ht="19.5" customHeight="1" x14ac:dyDescent="0.35">
      <c r="A16" s="559"/>
      <c r="B16" s="559"/>
      <c r="C16" s="563"/>
      <c r="D16" s="559"/>
      <c r="E16" s="1090" t="str">
        <f>VLOOKUP(F10,'[1]Infos Clients'!B2:D10,3)</f>
        <v>Valsem Scotch Marron, Styrofoam Armé,                         Carton Scotch Marron, Joint 19 mm</v>
      </c>
      <c r="F16" s="1085"/>
      <c r="G16" s="1086"/>
      <c r="H16" s="559"/>
      <c r="I16" s="559"/>
      <c r="J16" s="559"/>
      <c r="K16" s="559"/>
      <c r="L16" s="559"/>
      <c r="M16" s="559"/>
      <c r="N16" s="559"/>
      <c r="O16" s="559"/>
      <c r="P16" s="559"/>
      <c r="Q16" s="559"/>
      <c r="R16" s="559"/>
      <c r="S16" s="559"/>
      <c r="T16" s="559"/>
      <c r="U16" s="559"/>
      <c r="V16" s="559"/>
      <c r="W16" s="559"/>
      <c r="X16" s="559"/>
      <c r="Y16" s="559"/>
      <c r="Z16" s="559"/>
      <c r="AA16" s="559"/>
      <c r="AB16" s="559"/>
      <c r="AC16" s="559"/>
      <c r="AD16" s="559"/>
      <c r="AE16" s="559"/>
      <c r="AF16" s="559"/>
      <c r="AG16" s="559"/>
    </row>
    <row r="17" spans="1:33" ht="18" customHeight="1" x14ac:dyDescent="0.35">
      <c r="A17" s="559"/>
      <c r="B17" s="573" t="s">
        <v>15</v>
      </c>
      <c r="C17" s="581" t="s">
        <v>16</v>
      </c>
      <c r="D17" s="559"/>
      <c r="E17" s="1091"/>
      <c r="F17" s="1097"/>
      <c r="G17" s="1092"/>
      <c r="H17" s="559"/>
      <c r="I17" s="559"/>
      <c r="J17" s="559"/>
      <c r="K17" s="559"/>
      <c r="L17" s="559"/>
      <c r="M17" s="559"/>
      <c r="N17" s="559"/>
      <c r="O17" s="559"/>
      <c r="P17" s="559"/>
      <c r="Q17" s="559"/>
      <c r="R17" s="559"/>
      <c r="S17" s="559"/>
      <c r="T17" s="559"/>
      <c r="U17" s="559"/>
      <c r="V17" s="559"/>
      <c r="W17" s="559"/>
      <c r="X17" s="559"/>
      <c r="Y17" s="559"/>
      <c r="Z17" s="559"/>
      <c r="AA17" s="559"/>
      <c r="AB17" s="559"/>
      <c r="AC17" s="559"/>
      <c r="AD17" s="559"/>
      <c r="AE17" s="559"/>
      <c r="AF17" s="559"/>
      <c r="AG17" s="559"/>
    </row>
    <row r="18" spans="1:33" ht="18" customHeight="1" x14ac:dyDescent="0.35">
      <c r="A18" s="559"/>
      <c r="B18" s="559"/>
      <c r="C18" s="563"/>
      <c r="D18" s="559"/>
      <c r="E18" s="1087"/>
      <c r="F18" s="1088"/>
      <c r="G18" s="1089"/>
      <c r="H18" s="559"/>
      <c r="I18" s="559"/>
      <c r="J18" s="559"/>
      <c r="K18" s="559"/>
      <c r="L18" s="559"/>
      <c r="M18" s="559"/>
      <c r="N18" s="559"/>
      <c r="O18" s="559"/>
      <c r="P18" s="559"/>
      <c r="Q18" s="559"/>
      <c r="R18" s="559"/>
      <c r="S18" s="559"/>
      <c r="T18" s="559"/>
      <c r="U18" s="559"/>
      <c r="V18" s="559"/>
      <c r="W18" s="559"/>
      <c r="X18" s="559"/>
      <c r="Y18" s="559"/>
      <c r="Z18" s="559"/>
      <c r="AA18" s="559"/>
      <c r="AB18" s="559"/>
      <c r="AC18" s="559"/>
      <c r="AD18" s="559"/>
      <c r="AE18" s="559"/>
      <c r="AF18" s="559"/>
      <c r="AG18" s="559"/>
    </row>
    <row r="19" spans="1:33" ht="18" customHeight="1" x14ac:dyDescent="0.35">
      <c r="A19" s="559"/>
      <c r="B19" s="573" t="s">
        <v>17</v>
      </c>
      <c r="C19" s="581" t="s">
        <v>18</v>
      </c>
      <c r="D19" s="559"/>
      <c r="E19" s="573" t="s">
        <v>19</v>
      </c>
      <c r="F19" s="581" t="s">
        <v>20</v>
      </c>
      <c r="G19" s="559"/>
      <c r="H19" s="559"/>
      <c r="I19" s="559"/>
      <c r="J19" s="559"/>
      <c r="K19" s="559"/>
      <c r="L19" s="559"/>
      <c r="M19" s="559"/>
      <c r="N19" s="559"/>
      <c r="O19" s="559"/>
      <c r="P19" s="559"/>
      <c r="Q19" s="559"/>
      <c r="R19" s="559"/>
      <c r="S19" s="559"/>
      <c r="T19" s="559"/>
      <c r="U19" s="559"/>
      <c r="V19" s="559"/>
      <c r="W19" s="559"/>
      <c r="X19" s="559"/>
      <c r="Y19" s="559"/>
      <c r="Z19" s="559"/>
      <c r="AA19" s="559"/>
      <c r="AB19" s="559"/>
      <c r="AC19" s="559"/>
      <c r="AD19" s="559"/>
      <c r="AE19" s="559"/>
      <c r="AF19" s="559"/>
      <c r="AG19" s="559"/>
    </row>
    <row r="20" spans="1:33" ht="18" customHeight="1" x14ac:dyDescent="0.35">
      <c r="A20" s="559"/>
      <c r="B20" s="559"/>
      <c r="C20" s="563"/>
      <c r="D20" s="559"/>
      <c r="E20" s="573">
        <f>IF(F19="Oui","Type de Peinture",0)</f>
        <v>0</v>
      </c>
      <c r="F20" s="1168">
        <f>IF(F19="Non",0,VLOOKUP(F10,'[1]Infos Clients'!B2:E10,4))</f>
        <v>0</v>
      </c>
      <c r="G20" s="1101"/>
      <c r="H20" s="559"/>
      <c r="I20" s="559"/>
      <c r="J20" s="559"/>
      <c r="K20" s="559"/>
      <c r="L20" s="559"/>
      <c r="M20" s="559"/>
      <c r="N20" s="559"/>
      <c r="O20" s="559"/>
      <c r="P20" s="559"/>
      <c r="Q20" s="559"/>
      <c r="R20" s="559"/>
      <c r="S20" s="559"/>
      <c r="T20" s="559"/>
      <c r="U20" s="559"/>
      <c r="V20" s="559"/>
      <c r="W20" s="559"/>
      <c r="X20" s="559"/>
      <c r="Y20" s="559"/>
      <c r="Z20" s="559"/>
      <c r="AA20" s="559"/>
      <c r="AB20" s="559"/>
      <c r="AC20" s="559"/>
      <c r="AD20" s="559"/>
      <c r="AE20" s="559"/>
      <c r="AF20" s="559"/>
      <c r="AG20" s="559"/>
    </row>
    <row r="21" spans="1:33" ht="18" customHeight="1" x14ac:dyDescent="0.35">
      <c r="A21" s="559"/>
      <c r="B21" s="573" t="s">
        <v>21</v>
      </c>
      <c r="C21" s="581" t="str">
        <f>IF(F22="Skis","Bois","Non")</f>
        <v>Bois</v>
      </c>
      <c r="D21" s="559"/>
      <c r="E21" s="559"/>
      <c r="F21" s="559"/>
      <c r="G21" s="559"/>
      <c r="H21" s="559"/>
      <c r="I21" s="559"/>
      <c r="J21" s="559"/>
      <c r="K21" s="559"/>
      <c r="L21" s="559"/>
      <c r="M21" s="559"/>
      <c r="N21" s="559"/>
      <c r="O21" s="559"/>
      <c r="P21" s="559"/>
      <c r="Q21" s="559"/>
      <c r="R21" s="559"/>
      <c r="S21" s="559"/>
      <c r="T21" s="559"/>
      <c r="U21" s="559"/>
      <c r="V21" s="559"/>
      <c r="W21" s="559"/>
      <c r="X21" s="559"/>
      <c r="Y21" s="559"/>
      <c r="Z21" s="559"/>
      <c r="AA21" s="559"/>
      <c r="AB21" s="559"/>
      <c r="AC21" s="559"/>
      <c r="AD21" s="559"/>
      <c r="AE21" s="559"/>
      <c r="AF21" s="559"/>
      <c r="AG21" s="559"/>
    </row>
    <row r="22" spans="1:33" ht="18" customHeight="1" x14ac:dyDescent="0.35">
      <c r="A22" s="559"/>
      <c r="B22" s="573"/>
      <c r="C22" s="563"/>
      <c r="D22" s="559"/>
      <c r="E22" s="731" t="s">
        <v>24</v>
      </c>
      <c r="F22" s="1191" t="s">
        <v>24</v>
      </c>
      <c r="G22" s="1158"/>
      <c r="H22" s="559"/>
      <c r="I22" s="559"/>
      <c r="J22" s="559"/>
      <c r="K22" s="559"/>
      <c r="L22" s="559"/>
      <c r="M22" s="559"/>
      <c r="N22" s="559"/>
      <c r="O22" s="559"/>
      <c r="P22" s="559"/>
      <c r="Q22" s="559"/>
      <c r="R22" s="559"/>
      <c r="S22" s="559"/>
      <c r="T22" s="559"/>
      <c r="U22" s="559"/>
      <c r="V22" s="559"/>
      <c r="W22" s="559"/>
      <c r="X22" s="559"/>
      <c r="Y22" s="559"/>
      <c r="Z22" s="559"/>
      <c r="AA22" s="559"/>
      <c r="AB22" s="559"/>
      <c r="AC22" s="559"/>
      <c r="AD22" s="559"/>
      <c r="AE22" s="559"/>
      <c r="AF22" s="559"/>
      <c r="AG22" s="559"/>
    </row>
    <row r="23" spans="1:33" ht="18" customHeight="1" x14ac:dyDescent="0.35">
      <c r="A23" s="559"/>
      <c r="B23" s="573" t="s">
        <v>420</v>
      </c>
      <c r="C23" s="569" t="str">
        <f>IF(F24=4,VLOOKUP(C25,A184:B193,2),IF(F24=6,VLOOKUP(C25,A196:B205,2),IF(F24=8,VLOOKUP(C25,A208:B217,2))))</f>
        <v>MP14-200</v>
      </c>
      <c r="D23" s="559"/>
      <c r="E23" s="758"/>
      <c r="F23" s="759"/>
      <c r="G23" s="571"/>
      <c r="H23" s="559"/>
      <c r="I23" s="559"/>
      <c r="J23" s="559"/>
      <c r="K23" s="559"/>
      <c r="L23" s="559"/>
      <c r="M23" s="559"/>
      <c r="N23" s="559"/>
      <c r="O23" s="559"/>
      <c r="P23" s="559"/>
      <c r="Q23" s="559"/>
      <c r="R23" s="559"/>
      <c r="S23" s="559"/>
      <c r="T23" s="559"/>
      <c r="U23" s="559"/>
      <c r="V23" s="559"/>
      <c r="W23" s="559"/>
      <c r="X23" s="559"/>
      <c r="Y23" s="559"/>
      <c r="Z23" s="559"/>
      <c r="AA23" s="559"/>
      <c r="AB23" s="559"/>
      <c r="AC23" s="559"/>
      <c r="AD23" s="559"/>
      <c r="AE23" s="559"/>
      <c r="AF23" s="559"/>
      <c r="AG23" s="559"/>
    </row>
    <row r="24" spans="1:33" ht="18" customHeight="1" x14ac:dyDescent="0.35">
      <c r="A24" s="559"/>
      <c r="B24" s="573" t="s">
        <v>421</v>
      </c>
      <c r="C24" s="569" t="str">
        <f>IF(F25="Aucun","Aucun",C23)</f>
        <v>Aucun</v>
      </c>
      <c r="D24" s="559"/>
      <c r="E24" s="610" t="s">
        <v>422</v>
      </c>
      <c r="F24" s="581">
        <v>4</v>
      </c>
      <c r="G24" s="571"/>
      <c r="H24" s="559"/>
      <c r="I24" s="559"/>
      <c r="J24" s="559"/>
      <c r="K24" s="559"/>
      <c r="L24" s="559"/>
      <c r="M24" s="559"/>
      <c r="N24" s="559"/>
      <c r="O24" s="559"/>
      <c r="P24" s="559"/>
      <c r="Q24" s="559"/>
      <c r="R24" s="559"/>
      <c r="S24" s="559"/>
      <c r="T24" s="559"/>
      <c r="U24" s="559"/>
      <c r="V24" s="559"/>
      <c r="W24" s="559"/>
      <c r="X24" s="559"/>
      <c r="Y24" s="559"/>
      <c r="Z24" s="559"/>
      <c r="AA24" s="559"/>
      <c r="AB24" s="559"/>
      <c r="AC24" s="559"/>
      <c r="AD24" s="559"/>
      <c r="AE24" s="559"/>
      <c r="AF24" s="559"/>
      <c r="AG24" s="559"/>
    </row>
    <row r="25" spans="1:33" ht="25.5" customHeight="1" x14ac:dyDescent="0.35">
      <c r="A25" s="559"/>
      <c r="B25" s="573" t="s">
        <v>423</v>
      </c>
      <c r="C25" s="581">
        <v>200</v>
      </c>
      <c r="D25" s="559"/>
      <c r="E25" s="610" t="s">
        <v>424</v>
      </c>
      <c r="F25" s="581" t="s">
        <v>16</v>
      </c>
      <c r="G25" s="571"/>
      <c r="H25" s="559"/>
      <c r="I25" s="559"/>
      <c r="J25" s="559"/>
      <c r="K25" s="559"/>
      <c r="L25" s="559"/>
      <c r="M25" s="559"/>
      <c r="N25" s="559"/>
      <c r="O25" s="559"/>
      <c r="P25" s="559"/>
      <c r="Q25" s="559"/>
      <c r="R25" s="559"/>
      <c r="S25" s="559"/>
      <c r="T25" s="559"/>
      <c r="U25" s="559"/>
      <c r="V25" s="559"/>
      <c r="W25" s="559"/>
      <c r="X25" s="559"/>
      <c r="Y25" s="559"/>
      <c r="Z25" s="559"/>
      <c r="AA25" s="559"/>
      <c r="AB25" s="559"/>
      <c r="AC25" s="559"/>
      <c r="AD25" s="559"/>
      <c r="AE25" s="559"/>
      <c r="AF25" s="559"/>
      <c r="AG25" s="559"/>
    </row>
    <row r="26" spans="1:33" ht="18" customHeight="1" x14ac:dyDescent="0.85">
      <c r="A26" s="559"/>
      <c r="B26" s="573"/>
      <c r="C26" s="760"/>
      <c r="D26" s="559"/>
      <c r="E26" s="571"/>
      <c r="F26" s="571"/>
      <c r="G26" s="571"/>
      <c r="H26" s="559"/>
      <c r="I26" s="559"/>
      <c r="J26" s="559"/>
      <c r="K26" s="559"/>
      <c r="L26" s="559"/>
      <c r="M26" s="559"/>
      <c r="N26" s="559"/>
      <c r="O26" s="559"/>
      <c r="P26" s="559"/>
      <c r="Q26" s="559"/>
      <c r="R26" s="559"/>
      <c r="S26" s="559"/>
      <c r="T26" s="559"/>
      <c r="U26" s="559"/>
      <c r="V26" s="559"/>
      <c r="W26" s="559"/>
      <c r="X26" s="559"/>
      <c r="Y26" s="559"/>
      <c r="Z26" s="559"/>
      <c r="AA26" s="559"/>
      <c r="AB26" s="559"/>
      <c r="AC26" s="559"/>
      <c r="AD26" s="559"/>
      <c r="AE26" s="559"/>
      <c r="AF26" s="559"/>
      <c r="AG26" s="559"/>
    </row>
    <row r="27" spans="1:33" ht="18" customHeight="1" x14ac:dyDescent="0.35">
      <c r="A27" s="559"/>
      <c r="B27" s="559"/>
      <c r="C27" s="579" t="s">
        <v>28</v>
      </c>
      <c r="D27" s="579" t="s">
        <v>29</v>
      </c>
      <c r="E27" s="579" t="s">
        <v>30</v>
      </c>
      <c r="F27" s="559"/>
      <c r="G27" s="559"/>
      <c r="H27" s="559"/>
      <c r="I27" s="559"/>
      <c r="J27" s="559"/>
      <c r="K27" s="559"/>
      <c r="L27" s="559"/>
      <c r="M27" s="559"/>
      <c r="N27" s="559"/>
      <c r="O27" s="559"/>
      <c r="P27" s="559"/>
      <c r="Q27" s="559"/>
      <c r="R27" s="559"/>
      <c r="S27" s="559"/>
      <c r="T27" s="559"/>
      <c r="U27" s="559"/>
      <c r="V27" s="559"/>
      <c r="W27" s="559"/>
      <c r="X27" s="559"/>
      <c r="Y27" s="559"/>
      <c r="Z27" s="559"/>
      <c r="AA27" s="559"/>
      <c r="AB27" s="559"/>
      <c r="AC27" s="559"/>
      <c r="AD27" s="559"/>
      <c r="AE27" s="559"/>
      <c r="AF27" s="559"/>
      <c r="AG27" s="559"/>
    </row>
    <row r="28" spans="1:33" ht="18" customHeight="1" x14ac:dyDescent="0.35">
      <c r="A28" s="559"/>
      <c r="B28" s="573" t="s">
        <v>303</v>
      </c>
      <c r="C28" s="581"/>
      <c r="D28" s="581"/>
      <c r="E28" s="581"/>
      <c r="F28" s="559"/>
      <c r="G28" s="559"/>
      <c r="H28" s="559"/>
      <c r="I28" s="559"/>
      <c r="J28" s="559"/>
      <c r="K28" s="559"/>
      <c r="L28" s="559"/>
      <c r="M28" s="559"/>
      <c r="N28" s="559"/>
      <c r="O28" s="559"/>
      <c r="P28" s="559"/>
      <c r="Q28" s="559"/>
      <c r="R28" s="559"/>
      <c r="S28" s="559"/>
      <c r="T28" s="559"/>
      <c r="U28" s="559"/>
      <c r="V28" s="559"/>
      <c r="W28" s="559"/>
      <c r="X28" s="559"/>
      <c r="Y28" s="559"/>
      <c r="Z28" s="559"/>
      <c r="AA28" s="559"/>
      <c r="AB28" s="559"/>
      <c r="AC28" s="559"/>
      <c r="AD28" s="559"/>
      <c r="AE28" s="559"/>
      <c r="AF28" s="559"/>
      <c r="AG28" s="559"/>
    </row>
    <row r="29" spans="1:33" ht="18" customHeight="1" x14ac:dyDescent="0.35">
      <c r="A29" s="559"/>
      <c r="B29" s="559"/>
      <c r="C29" s="559"/>
      <c r="D29" s="559"/>
      <c r="E29" s="559"/>
      <c r="F29" s="559"/>
      <c r="G29" s="559"/>
      <c r="H29" s="559"/>
      <c r="I29" s="559"/>
      <c r="J29" s="559"/>
      <c r="K29" s="559"/>
      <c r="L29" s="559"/>
      <c r="M29" s="559"/>
      <c r="N29" s="559"/>
      <c r="O29" s="559"/>
      <c r="P29" s="559"/>
      <c r="Q29" s="559"/>
      <c r="R29" s="559"/>
      <c r="S29" s="559"/>
      <c r="T29" s="559"/>
      <c r="U29" s="559"/>
      <c r="V29" s="559"/>
      <c r="W29" s="559"/>
      <c r="X29" s="559"/>
      <c r="Y29" s="559"/>
      <c r="Z29" s="559"/>
      <c r="AA29" s="559"/>
      <c r="AB29" s="559"/>
      <c r="AC29" s="559"/>
      <c r="AD29" s="559"/>
      <c r="AE29" s="559"/>
      <c r="AF29" s="559"/>
      <c r="AG29" s="559"/>
    </row>
    <row r="30" spans="1:33" ht="18" customHeight="1" x14ac:dyDescent="0.35">
      <c r="A30" s="559"/>
      <c r="B30" s="582" t="s">
        <v>31</v>
      </c>
      <c r="C30" s="761" t="s">
        <v>16</v>
      </c>
      <c r="D30" s="1171">
        <f>VLOOKUP($C$30,A221:S231,13)</f>
        <v>0</v>
      </c>
      <c r="E30" s="1172"/>
      <c r="F30" s="35">
        <v>2</v>
      </c>
      <c r="G30" s="584"/>
      <c r="H30" s="559"/>
      <c r="I30" s="559"/>
      <c r="J30" s="559"/>
      <c r="K30" s="559"/>
      <c r="L30" s="559"/>
      <c r="M30" s="559"/>
      <c r="N30" s="559"/>
      <c r="O30" s="559"/>
      <c r="P30" s="559"/>
      <c r="Q30" s="559"/>
      <c r="R30" s="559"/>
      <c r="S30" s="559"/>
      <c r="T30" s="559"/>
      <c r="U30" s="559"/>
      <c r="V30" s="559"/>
      <c r="W30" s="559"/>
      <c r="X30" s="559"/>
      <c r="Y30" s="559"/>
      <c r="Z30" s="559"/>
      <c r="AA30" s="559"/>
      <c r="AB30" s="559"/>
      <c r="AC30" s="559"/>
      <c r="AD30" s="559"/>
      <c r="AE30" s="559"/>
      <c r="AF30" s="559"/>
      <c r="AG30" s="559"/>
    </row>
    <row r="31" spans="1:33" ht="18" customHeight="1" x14ac:dyDescent="0.35">
      <c r="A31" s="559"/>
      <c r="B31" s="585"/>
      <c r="C31" s="586"/>
      <c r="D31" s="559"/>
      <c r="E31" s="559"/>
      <c r="F31" s="559"/>
      <c r="G31" s="559"/>
      <c r="H31" s="559"/>
      <c r="I31" s="559"/>
      <c r="J31" s="559"/>
      <c r="K31" s="559"/>
      <c r="L31" s="559"/>
      <c r="M31" s="559"/>
      <c r="N31" s="559"/>
      <c r="O31" s="559"/>
      <c r="P31" s="559"/>
      <c r="Q31" s="559"/>
      <c r="R31" s="559"/>
      <c r="S31" s="559"/>
      <c r="T31" s="559"/>
      <c r="U31" s="559"/>
      <c r="V31" s="559"/>
      <c r="W31" s="559"/>
      <c r="X31" s="559"/>
      <c r="Y31" s="559"/>
      <c r="Z31" s="559"/>
      <c r="AA31" s="559"/>
      <c r="AB31" s="559"/>
      <c r="AC31" s="559"/>
      <c r="AD31" s="559"/>
      <c r="AE31" s="559"/>
      <c r="AF31" s="559"/>
      <c r="AG31" s="559"/>
    </row>
    <row r="32" spans="1:33" ht="18" customHeight="1" x14ac:dyDescent="0.35">
      <c r="A32" s="559"/>
      <c r="B32" s="587" t="s">
        <v>306</v>
      </c>
      <c r="C32" s="35" t="s">
        <v>16</v>
      </c>
      <c r="D32" s="571"/>
      <c r="E32" s="559"/>
      <c r="F32" s="559"/>
      <c r="G32" s="559"/>
      <c r="H32" s="559"/>
      <c r="I32" s="559"/>
      <c r="J32" s="559"/>
      <c r="K32" s="559"/>
      <c r="L32" s="559"/>
      <c r="M32" s="559"/>
      <c r="N32" s="559"/>
      <c r="O32" s="559"/>
      <c r="P32" s="559"/>
      <c r="Q32" s="559"/>
      <c r="R32" s="559"/>
      <c r="S32" s="559"/>
      <c r="T32" s="559"/>
      <c r="U32" s="559"/>
      <c r="V32" s="559"/>
      <c r="W32" s="559"/>
      <c r="X32" s="559"/>
      <c r="Y32" s="559"/>
      <c r="Z32" s="559"/>
      <c r="AA32" s="559"/>
      <c r="AB32" s="559"/>
      <c r="AC32" s="559"/>
      <c r="AD32" s="559"/>
      <c r="AE32" s="559"/>
      <c r="AF32" s="559"/>
      <c r="AG32" s="559"/>
    </row>
    <row r="33" spans="1:33" ht="18" customHeight="1" x14ac:dyDescent="0.35">
      <c r="A33" s="559"/>
      <c r="B33" s="587" t="s">
        <v>308</v>
      </c>
      <c r="C33" s="35" t="s">
        <v>16</v>
      </c>
      <c r="D33" s="571"/>
      <c r="E33" s="594"/>
      <c r="F33" s="595"/>
      <c r="G33" s="559"/>
      <c r="H33" s="559"/>
      <c r="I33" s="559"/>
      <c r="J33" s="559"/>
      <c r="K33" s="559"/>
      <c r="L33" s="559"/>
      <c r="M33" s="559"/>
      <c r="N33" s="559"/>
      <c r="O33" s="559"/>
      <c r="P33" s="559"/>
      <c r="Q33" s="559"/>
      <c r="R33" s="559"/>
      <c r="S33" s="559"/>
      <c r="T33" s="559"/>
      <c r="U33" s="559"/>
      <c r="V33" s="559"/>
      <c r="W33" s="559"/>
      <c r="X33" s="559"/>
      <c r="Y33" s="559"/>
      <c r="Z33" s="559"/>
      <c r="AA33" s="559"/>
      <c r="AB33" s="559"/>
      <c r="AC33" s="559"/>
      <c r="AD33" s="559"/>
      <c r="AE33" s="559"/>
      <c r="AF33" s="559"/>
      <c r="AG33" s="559"/>
    </row>
    <row r="34" spans="1:33" ht="18" hidden="1" customHeight="1" x14ac:dyDescent="0.35">
      <c r="A34" s="559"/>
      <c r="B34" s="573"/>
      <c r="C34" s="559"/>
      <c r="D34" s="559"/>
      <c r="E34" s="571"/>
      <c r="F34" s="571"/>
      <c r="G34" s="571"/>
      <c r="H34" s="559"/>
      <c r="I34" s="559"/>
      <c r="J34" s="559"/>
      <c r="K34" s="559"/>
      <c r="L34" s="559"/>
      <c r="M34" s="559"/>
      <c r="N34" s="559"/>
      <c r="O34" s="559"/>
      <c r="P34" s="559"/>
      <c r="Q34" s="559"/>
      <c r="R34" s="559"/>
      <c r="S34" s="559"/>
      <c r="T34" s="559"/>
      <c r="U34" s="559"/>
      <c r="V34" s="559"/>
      <c r="W34" s="559"/>
      <c r="X34" s="559"/>
      <c r="Y34" s="559"/>
      <c r="Z34" s="559"/>
      <c r="AA34" s="559"/>
      <c r="AB34" s="559"/>
      <c r="AC34" s="559"/>
      <c r="AD34" s="559"/>
      <c r="AE34" s="559"/>
      <c r="AF34" s="559"/>
      <c r="AG34" s="559"/>
    </row>
    <row r="35" spans="1:33" ht="18" hidden="1" customHeight="1" x14ac:dyDescent="0.35">
      <c r="A35" s="559"/>
      <c r="B35" s="762" t="s">
        <v>142</v>
      </c>
      <c r="C35" s="728">
        <f>IF(C28=0,0,C28+VLOOKUP(C30,A221:S231,2))</f>
        <v>0</v>
      </c>
      <c r="D35" s="728">
        <f>IF(D28=0,0,D28+VLOOKUP(C30,A221:S231,3))</f>
        <v>0</v>
      </c>
      <c r="E35" s="728">
        <f>IF(E28=0,0,E28+VLOOKUP(C30,A221:S231,4)+VLOOKUP(C32,A233:C239,2)+VLOOKUP(C33,A241:C249,3))</f>
        <v>0</v>
      </c>
      <c r="F35" s="641"/>
      <c r="G35" s="571"/>
      <c r="H35" s="559"/>
      <c r="I35" s="559"/>
      <c r="J35" s="559"/>
      <c r="K35" s="559"/>
      <c r="L35" s="559"/>
      <c r="M35" s="559"/>
      <c r="N35" s="559"/>
      <c r="O35" s="559"/>
      <c r="P35" s="559"/>
      <c r="Q35" s="559"/>
      <c r="R35" s="559"/>
      <c r="S35" s="559"/>
      <c r="T35" s="559"/>
      <c r="U35" s="559"/>
      <c r="V35" s="559"/>
      <c r="W35" s="559"/>
      <c r="X35" s="559"/>
      <c r="Y35" s="559"/>
      <c r="Z35" s="559"/>
      <c r="AA35" s="559"/>
      <c r="AB35" s="559"/>
      <c r="AC35" s="559"/>
      <c r="AD35" s="559"/>
      <c r="AE35" s="559"/>
      <c r="AF35" s="559"/>
      <c r="AG35" s="559"/>
    </row>
    <row r="36" spans="1:33" ht="18" hidden="1" customHeight="1" x14ac:dyDescent="0.35">
      <c r="A36" s="559"/>
      <c r="B36" s="763"/>
      <c r="C36" s="559"/>
      <c r="D36" s="559"/>
      <c r="E36" s="571"/>
      <c r="F36" s="764"/>
      <c r="G36" s="571"/>
      <c r="H36" s="559"/>
      <c r="I36" s="559"/>
      <c r="J36" s="559"/>
      <c r="K36" s="559"/>
      <c r="L36" s="559"/>
      <c r="M36" s="559"/>
      <c r="N36" s="559"/>
      <c r="O36" s="559"/>
      <c r="P36" s="559"/>
      <c r="Q36" s="559"/>
      <c r="R36" s="559"/>
      <c r="S36" s="559"/>
      <c r="T36" s="559"/>
      <c r="U36" s="559"/>
      <c r="V36" s="559"/>
      <c r="W36" s="559"/>
      <c r="X36" s="559"/>
      <c r="Y36" s="559"/>
      <c r="Z36" s="559"/>
      <c r="AA36" s="559"/>
      <c r="AB36" s="559"/>
      <c r="AC36" s="559"/>
      <c r="AD36" s="559"/>
      <c r="AE36" s="559"/>
      <c r="AF36" s="559"/>
      <c r="AG36" s="559"/>
    </row>
    <row r="37" spans="1:33" ht="18" hidden="1" customHeight="1" x14ac:dyDescent="0.35">
      <c r="A37" s="559"/>
      <c r="B37" s="765" t="s">
        <v>425</v>
      </c>
      <c r="C37" s="766">
        <f>IF(C35=0,0,C35+3)</f>
        <v>0</v>
      </c>
      <c r="D37" s="766">
        <f t="shared" ref="D37:E37" si="0">IF(D35=0,0,D35+3.5)</f>
        <v>0</v>
      </c>
      <c r="E37" s="766">
        <f t="shared" si="0"/>
        <v>0</v>
      </c>
      <c r="F37" s="767"/>
      <c r="G37" s="571"/>
      <c r="H37" s="559"/>
      <c r="I37" s="559"/>
      <c r="J37" s="559"/>
      <c r="K37" s="559"/>
      <c r="L37" s="559"/>
      <c r="M37" s="559"/>
      <c r="N37" s="559"/>
      <c r="O37" s="559"/>
      <c r="P37" s="559"/>
      <c r="Q37" s="559"/>
      <c r="R37" s="559"/>
      <c r="S37" s="559"/>
      <c r="T37" s="559"/>
      <c r="U37" s="559"/>
      <c r="V37" s="559"/>
      <c r="W37" s="559"/>
      <c r="X37" s="559"/>
      <c r="Y37" s="559"/>
      <c r="Z37" s="559"/>
      <c r="AA37" s="559"/>
      <c r="AB37" s="559"/>
      <c r="AC37" s="559"/>
      <c r="AD37" s="559"/>
      <c r="AE37" s="559"/>
      <c r="AF37" s="559"/>
      <c r="AG37" s="559"/>
    </row>
    <row r="38" spans="1:33" ht="18" customHeight="1" x14ac:dyDescent="0.35">
      <c r="A38" s="559"/>
      <c r="B38" s="559"/>
      <c r="C38" s="559"/>
      <c r="D38" s="559"/>
      <c r="E38" s="559"/>
      <c r="F38" s="559"/>
      <c r="G38" s="559"/>
      <c r="H38" s="559"/>
      <c r="I38" s="559"/>
      <c r="J38" s="559"/>
      <c r="K38" s="559"/>
      <c r="L38" s="559"/>
      <c r="M38" s="559"/>
      <c r="N38" s="559"/>
      <c r="O38" s="559"/>
      <c r="P38" s="559"/>
      <c r="Q38" s="559"/>
      <c r="R38" s="559"/>
      <c r="S38" s="559"/>
      <c r="T38" s="559"/>
      <c r="U38" s="559"/>
      <c r="V38" s="559"/>
      <c r="W38" s="559"/>
      <c r="X38" s="559"/>
      <c r="Y38" s="559"/>
      <c r="Z38" s="559"/>
      <c r="AA38" s="559"/>
      <c r="AB38" s="559"/>
      <c r="AC38" s="559"/>
      <c r="AD38" s="559"/>
      <c r="AE38" s="559"/>
      <c r="AF38" s="559"/>
      <c r="AG38" s="559"/>
    </row>
    <row r="39" spans="1:33" ht="18" customHeight="1" x14ac:dyDescent="0.35">
      <c r="A39" s="559"/>
      <c r="B39" s="606" t="s">
        <v>42</v>
      </c>
      <c r="C39" s="607">
        <f>C37+VLOOKUP(C24,A166:H175,2)+VLOOKUP(C17,A143:P149,2)</f>
        <v>14</v>
      </c>
      <c r="D39" s="607">
        <f>D37+VLOOKUP(C17,$A$143:$P$149,3)+VLOOKUP($C$23,$A$166:$H$175,3)</f>
        <v>17</v>
      </c>
      <c r="E39" s="607">
        <f>E37+VLOOKUP(C17,$A$143:$P$149,4)+VLOOKUP($C$23,$A$166:$H$175,4)</f>
        <v>15.5</v>
      </c>
      <c r="F39" s="725" t="s">
        <v>43</v>
      </c>
      <c r="G39" s="610"/>
      <c r="H39" s="559"/>
      <c r="I39" s="559"/>
      <c r="J39" s="559"/>
      <c r="K39" s="559"/>
      <c r="L39" s="559"/>
      <c r="M39" s="559"/>
      <c r="N39" s="559"/>
      <c r="O39" s="559"/>
      <c r="P39" s="559"/>
      <c r="Q39" s="559"/>
      <c r="R39" s="559"/>
      <c r="S39" s="559"/>
      <c r="T39" s="559"/>
      <c r="U39" s="559"/>
      <c r="V39" s="559"/>
      <c r="W39" s="559"/>
      <c r="X39" s="559"/>
      <c r="Y39" s="559"/>
      <c r="Z39" s="559"/>
      <c r="AA39" s="559"/>
      <c r="AB39" s="559"/>
      <c r="AC39" s="559"/>
      <c r="AD39" s="559"/>
      <c r="AE39" s="559"/>
      <c r="AF39" s="559"/>
      <c r="AG39" s="559"/>
    </row>
    <row r="40" spans="1:33" ht="18" customHeight="1" x14ac:dyDescent="0.35">
      <c r="A40" s="559"/>
      <c r="B40" s="573"/>
      <c r="C40" s="573"/>
      <c r="D40" s="573"/>
      <c r="E40" s="573"/>
      <c r="F40" s="768"/>
      <c r="G40" s="559"/>
      <c r="H40" s="559"/>
      <c r="I40" s="559"/>
      <c r="J40" s="559"/>
      <c r="K40" s="559"/>
      <c r="L40" s="559"/>
      <c r="M40" s="559"/>
      <c r="N40" s="559"/>
      <c r="O40" s="559"/>
      <c r="P40" s="559"/>
      <c r="Q40" s="559"/>
      <c r="R40" s="559"/>
      <c r="S40" s="559"/>
      <c r="T40" s="559"/>
      <c r="U40" s="559"/>
      <c r="V40" s="559"/>
      <c r="W40" s="559"/>
      <c r="X40" s="559"/>
      <c r="Y40" s="559"/>
      <c r="Z40" s="559"/>
      <c r="AA40" s="559"/>
      <c r="AB40" s="559"/>
      <c r="AC40" s="559"/>
      <c r="AD40" s="559"/>
      <c r="AE40" s="559"/>
      <c r="AF40" s="559"/>
      <c r="AG40" s="559"/>
    </row>
    <row r="41" spans="1:33" ht="18" customHeight="1" x14ac:dyDescent="0.35">
      <c r="A41" s="559"/>
      <c r="B41" s="606" t="s">
        <v>44</v>
      </c>
      <c r="C41" s="611">
        <f>C39+VLOOKUP(C21,A157:B159,2)+VLOOKUP(C13,A136:D136,4)*2+VLOOKUP(C15,A138:D138,4)*2</f>
        <v>25.4</v>
      </c>
      <c r="D41" s="607">
        <f>D39+VLOOKUP(C13,A136:D136,4)*2+VLOOKUP(C15,A138:D138,4)*2</f>
        <v>24.2</v>
      </c>
      <c r="E41" s="608">
        <f>E39+VLOOKUP(C13,A136:D136,4)*2+VLOOKUP(C15,A138:D138,4)*2+IF(F22="Skis",2.1,10)</f>
        <v>24.8</v>
      </c>
      <c r="F41" s="726">
        <f>ROUNDUP(C133,0)</f>
        <v>0</v>
      </c>
      <c r="G41" s="614"/>
      <c r="H41" s="625"/>
      <c r="I41" s="559"/>
      <c r="J41" s="559"/>
      <c r="K41" s="559"/>
      <c r="L41" s="559"/>
      <c r="M41" s="559"/>
      <c r="N41" s="559"/>
      <c r="O41" s="559"/>
      <c r="P41" s="559"/>
      <c r="Q41" s="559"/>
      <c r="R41" s="559"/>
      <c r="S41" s="559"/>
      <c r="T41" s="559"/>
      <c r="U41" s="559"/>
      <c r="V41" s="559"/>
      <c r="W41" s="559"/>
      <c r="X41" s="559"/>
      <c r="Y41" s="559"/>
      <c r="Z41" s="559"/>
      <c r="AA41" s="559"/>
      <c r="AB41" s="559"/>
      <c r="AC41" s="559"/>
      <c r="AD41" s="559"/>
      <c r="AE41" s="559"/>
      <c r="AF41" s="559"/>
      <c r="AG41" s="559"/>
    </row>
    <row r="42" spans="1:33" ht="18" customHeight="1" x14ac:dyDescent="0.35">
      <c r="A42" s="559"/>
      <c r="B42" s="769"/>
      <c r="C42" s="620"/>
      <c r="D42" s="573"/>
      <c r="E42" s="573"/>
      <c r="F42" s="770"/>
      <c r="G42" s="559"/>
      <c r="H42" s="625"/>
      <c r="I42" s="559"/>
      <c r="J42" s="559"/>
      <c r="K42" s="559"/>
      <c r="L42" s="559"/>
      <c r="M42" s="559"/>
      <c r="N42" s="559"/>
      <c r="O42" s="559"/>
      <c r="P42" s="559"/>
      <c r="Q42" s="559"/>
      <c r="R42" s="559"/>
      <c r="S42" s="559"/>
      <c r="T42" s="559"/>
      <c r="U42" s="559"/>
      <c r="V42" s="559"/>
      <c r="W42" s="559"/>
      <c r="X42" s="559"/>
      <c r="Y42" s="559"/>
      <c r="Z42" s="559"/>
      <c r="AA42" s="559"/>
      <c r="AB42" s="559"/>
      <c r="AC42" s="559"/>
      <c r="AD42" s="559"/>
      <c r="AE42" s="559"/>
      <c r="AF42" s="559"/>
      <c r="AG42" s="559"/>
    </row>
    <row r="43" spans="1:33" ht="18" customHeight="1" x14ac:dyDescent="0.35">
      <c r="A43" s="559"/>
      <c r="B43" s="615" t="s">
        <v>45</v>
      </c>
      <c r="C43" s="616">
        <f>Q125</f>
        <v>0</v>
      </c>
      <c r="D43" s="608" t="s">
        <v>46</v>
      </c>
      <c r="E43" s="573"/>
      <c r="F43" s="770"/>
      <c r="G43" s="559"/>
      <c r="H43" s="625"/>
      <c r="I43" s="559"/>
      <c r="J43" s="559"/>
      <c r="K43" s="559"/>
      <c r="L43" s="559"/>
      <c r="M43" s="559"/>
      <c r="N43" s="559"/>
      <c r="O43" s="559"/>
      <c r="P43" s="559"/>
      <c r="Q43" s="559"/>
      <c r="R43" s="559"/>
      <c r="S43" s="559"/>
      <c r="T43" s="559"/>
      <c r="U43" s="559"/>
      <c r="V43" s="559"/>
      <c r="W43" s="559"/>
      <c r="X43" s="559"/>
      <c r="Y43" s="559"/>
      <c r="Z43" s="559"/>
      <c r="AA43" s="559"/>
      <c r="AB43" s="559"/>
      <c r="AC43" s="559"/>
      <c r="AD43" s="559"/>
      <c r="AE43" s="559"/>
      <c r="AF43" s="559"/>
      <c r="AG43" s="559"/>
    </row>
    <row r="44" spans="1:33" ht="18" hidden="1" customHeight="1" x14ac:dyDescent="0.35">
      <c r="A44" s="559"/>
      <c r="B44" s="617" t="s">
        <v>48</v>
      </c>
      <c r="C44" s="618">
        <f>D127</f>
        <v>0</v>
      </c>
      <c r="D44" s="619" t="s">
        <v>49</v>
      </c>
      <c r="E44" s="573"/>
      <c r="F44" s="770"/>
      <c r="G44" s="559"/>
      <c r="H44" s="625"/>
      <c r="I44" s="559"/>
      <c r="J44" s="559"/>
      <c r="K44" s="559"/>
      <c r="L44" s="559"/>
      <c r="M44" s="559"/>
      <c r="N44" s="559"/>
      <c r="O44" s="559"/>
      <c r="P44" s="559"/>
      <c r="Q44" s="559"/>
      <c r="R44" s="559"/>
      <c r="S44" s="559"/>
      <c r="T44" s="559"/>
      <c r="U44" s="559"/>
      <c r="V44" s="559"/>
      <c r="W44" s="559"/>
      <c r="X44" s="559"/>
      <c r="Y44" s="559"/>
      <c r="Z44" s="559"/>
      <c r="AA44" s="559"/>
      <c r="AB44" s="559"/>
      <c r="AC44" s="559"/>
      <c r="AD44" s="559"/>
      <c r="AE44" s="559"/>
      <c r="AF44" s="559"/>
      <c r="AG44" s="559"/>
    </row>
    <row r="45" spans="1:33" ht="18" hidden="1" customHeight="1" x14ac:dyDescent="0.35">
      <c r="A45" s="559"/>
      <c r="B45" s="573"/>
      <c r="C45" s="573"/>
      <c r="D45" s="573"/>
      <c r="E45" s="573"/>
      <c r="F45" s="559"/>
      <c r="G45" s="559"/>
      <c r="H45" s="559"/>
      <c r="I45" s="559"/>
      <c r="J45" s="559"/>
      <c r="K45" s="559"/>
      <c r="L45" s="559"/>
      <c r="M45" s="559"/>
      <c r="N45" s="559"/>
      <c r="O45" s="559"/>
      <c r="P45" s="559"/>
      <c r="Q45" s="559"/>
      <c r="R45" s="559"/>
      <c r="S45" s="559"/>
      <c r="T45" s="559"/>
      <c r="U45" s="559"/>
      <c r="V45" s="559"/>
      <c r="W45" s="559"/>
      <c r="X45" s="559"/>
      <c r="Y45" s="559"/>
      <c r="Z45" s="559"/>
      <c r="AA45" s="559"/>
      <c r="AB45" s="559"/>
      <c r="AC45" s="559"/>
      <c r="AD45" s="559"/>
      <c r="AE45" s="559"/>
      <c r="AF45" s="559"/>
      <c r="AG45" s="559"/>
    </row>
    <row r="46" spans="1:33" ht="18" hidden="1" customHeight="1" x14ac:dyDescent="0.35">
      <c r="A46" s="559"/>
      <c r="B46" s="559"/>
      <c r="C46" s="559"/>
      <c r="D46" s="559"/>
      <c r="E46" s="559"/>
      <c r="F46" s="563" t="s">
        <v>34</v>
      </c>
      <c r="G46" s="559"/>
      <c r="H46" s="559"/>
      <c r="I46" s="559"/>
      <c r="J46" s="559"/>
      <c r="K46" s="559"/>
      <c r="L46" s="559"/>
      <c r="M46" s="559"/>
      <c r="N46" s="559"/>
      <c r="O46" s="559"/>
      <c r="P46" s="559"/>
      <c r="Q46" s="559"/>
      <c r="R46" s="559"/>
      <c r="S46" s="559"/>
      <c r="T46" s="559"/>
      <c r="U46" s="559"/>
      <c r="V46" s="559"/>
      <c r="W46" s="559"/>
      <c r="X46" s="559"/>
      <c r="Y46" s="559"/>
      <c r="Z46" s="559"/>
      <c r="AA46" s="559"/>
      <c r="AB46" s="559"/>
      <c r="AC46" s="559"/>
      <c r="AD46" s="559"/>
      <c r="AE46" s="559"/>
      <c r="AF46" s="559"/>
      <c r="AG46" s="559"/>
    </row>
    <row r="47" spans="1:33" ht="18" hidden="1" customHeight="1" x14ac:dyDescent="0.35">
      <c r="A47" s="620" t="s">
        <v>53</v>
      </c>
      <c r="B47" s="621" t="s">
        <v>663</v>
      </c>
      <c r="C47" s="621">
        <f>C39+2*(VLOOKUP($C$13,$A$136:$D$136,4)+VLOOKUP($C$15,$A$138:$D$138,4))</f>
        <v>21.2</v>
      </c>
      <c r="D47" s="621">
        <f>E39+(VLOOKUP($C$13,$A$136:$D$136,4)+VLOOKUP($C$15,$A$138:$D$138,4))</f>
        <v>19.100000000000001</v>
      </c>
      <c r="E47" s="622" t="str">
        <f t="shared" ref="E47:E50" si="1">B47</f>
        <v>#REF!</v>
      </c>
      <c r="F47" s="623">
        <v>2</v>
      </c>
      <c r="G47" s="559"/>
      <c r="H47" s="559"/>
      <c r="I47" s="559"/>
      <c r="J47" s="559">
        <f t="shared" ref="J47:J62" si="2">IF(C47=0,0,(C47/100)*(D47/100)*F47)</f>
        <v>8.0984E-2</v>
      </c>
      <c r="K47" s="559">
        <f t="shared" ref="K47:K62" si="3">J47/0.8</f>
        <v>0.10123</v>
      </c>
      <c r="L47" s="625" t="s">
        <v>663</v>
      </c>
      <c r="M47" s="625" t="e">
        <f t="shared" ref="M47:M50" si="4">L47*K47</f>
        <v>#VALUE!</v>
      </c>
      <c r="N47" s="626">
        <f t="shared" ref="N47:N50" si="5">IF(J47=0,0,(7.0924*J47)+15)</f>
        <v>15.5743709216</v>
      </c>
      <c r="O47" s="625">
        <f t="shared" ref="O47:O50" si="6">N47*' Objet Anti Vibratoire'!MinuteMO</f>
        <v>13.238215283359999</v>
      </c>
      <c r="P47" s="559"/>
      <c r="Q47" s="559" t="s">
        <v>663</v>
      </c>
      <c r="R47" s="559"/>
      <c r="S47" s="559"/>
      <c r="T47" s="559"/>
      <c r="U47" s="559"/>
      <c r="V47" s="559"/>
      <c r="W47" s="559"/>
      <c r="X47" s="559"/>
      <c r="Y47" s="559"/>
      <c r="Z47" s="559"/>
      <c r="AA47" s="559"/>
      <c r="AB47" s="559"/>
      <c r="AC47" s="559"/>
      <c r="AD47" s="559"/>
      <c r="AE47" s="559"/>
      <c r="AF47" s="559"/>
      <c r="AG47" s="559"/>
    </row>
    <row r="48" spans="1:33" ht="18" hidden="1" customHeight="1" x14ac:dyDescent="0.35">
      <c r="A48" s="620" t="s">
        <v>175</v>
      </c>
      <c r="B48" s="621" t="s">
        <v>663</v>
      </c>
      <c r="C48" s="621">
        <f>C47</f>
        <v>21.2</v>
      </c>
      <c r="D48" s="621">
        <f>D39+2*(VLOOKUP($C$13,A136:D136,4)+VLOOKUP($C$15,A138:D138,4))</f>
        <v>24.2</v>
      </c>
      <c r="E48" s="622" t="str">
        <f t="shared" si="1"/>
        <v>#REF!</v>
      </c>
      <c r="F48" s="623">
        <v>1</v>
      </c>
      <c r="G48" s="559"/>
      <c r="H48" s="559"/>
      <c r="I48" s="559"/>
      <c r="J48" s="559">
        <f t="shared" si="2"/>
        <v>5.1303999999999995E-2</v>
      </c>
      <c r="K48" s="559">
        <f t="shared" si="3"/>
        <v>6.4129999999999993E-2</v>
      </c>
      <c r="L48" s="625" t="s">
        <v>663</v>
      </c>
      <c r="M48" s="625" t="e">
        <f t="shared" si="4"/>
        <v>#VALUE!</v>
      </c>
      <c r="N48" s="626">
        <f t="shared" si="5"/>
        <v>15.3638684896</v>
      </c>
      <c r="O48" s="625">
        <f t="shared" si="6"/>
        <v>13.059288216159999</v>
      </c>
      <c r="P48" s="559"/>
      <c r="Q48" s="559" t="s">
        <v>663</v>
      </c>
      <c r="R48" s="559"/>
      <c r="S48" s="559"/>
      <c r="T48" s="559"/>
      <c r="U48" s="559"/>
      <c r="V48" s="559"/>
      <c r="W48" s="559"/>
      <c r="X48" s="559"/>
      <c r="Y48" s="559"/>
      <c r="Z48" s="559"/>
      <c r="AA48" s="559"/>
      <c r="AB48" s="559"/>
      <c r="AC48" s="559"/>
      <c r="AD48" s="559"/>
      <c r="AE48" s="559"/>
      <c r="AF48" s="559"/>
      <c r="AG48" s="559"/>
    </row>
    <row r="49" spans="1:33" ht="18" hidden="1" customHeight="1" x14ac:dyDescent="0.35">
      <c r="A49" s="620" t="s">
        <v>176</v>
      </c>
      <c r="B49" s="621" t="str">
        <f>VLOOKUP($C$13,'[1]Objet 1'!$A$173:$C$175,3)</f>
        <v>Peuplier 15 mm</v>
      </c>
      <c r="C49" s="621">
        <f t="shared" ref="C49:D49" si="7">C39</f>
        <v>14</v>
      </c>
      <c r="D49" s="621">
        <f t="shared" si="7"/>
        <v>17</v>
      </c>
      <c r="E49" s="622" t="str">
        <f t="shared" si="1"/>
        <v>Peuplier 15 mm</v>
      </c>
      <c r="F49" s="623">
        <v>1</v>
      </c>
      <c r="G49" s="559"/>
      <c r="H49" s="559"/>
      <c r="I49" s="559"/>
      <c r="J49" s="559">
        <f t="shared" si="2"/>
        <v>2.3800000000000005E-2</v>
      </c>
      <c r="K49" s="559">
        <f t="shared" si="3"/>
        <v>2.9750000000000006E-2</v>
      </c>
      <c r="L49" s="625" t="s">
        <v>663</v>
      </c>
      <c r="M49" s="625" t="e">
        <f t="shared" si="4"/>
        <v>#VALUE!</v>
      </c>
      <c r="N49" s="626">
        <f t="shared" si="5"/>
        <v>15.168799119999999</v>
      </c>
      <c r="O49" s="625">
        <f t="shared" si="6"/>
        <v>12.893479251999999</v>
      </c>
      <c r="P49" s="559"/>
      <c r="Q49" s="559" t="s">
        <v>663</v>
      </c>
      <c r="R49" s="559"/>
      <c r="S49" s="559"/>
      <c r="T49" s="559"/>
      <c r="U49" s="559"/>
      <c r="V49" s="559"/>
      <c r="W49" s="559"/>
      <c r="X49" s="559"/>
      <c r="Y49" s="559"/>
      <c r="Z49" s="559"/>
      <c r="AA49" s="559"/>
      <c r="AB49" s="559"/>
      <c r="AC49" s="559"/>
      <c r="AD49" s="559"/>
      <c r="AE49" s="559"/>
      <c r="AF49" s="559"/>
      <c r="AG49" s="559"/>
    </row>
    <row r="50" spans="1:33" ht="18" hidden="1" customHeight="1" x14ac:dyDescent="0.35">
      <c r="A50" s="620" t="s">
        <v>55</v>
      </c>
      <c r="B50" s="621" t="str">
        <f>VLOOKUP($C$13,'[1]Objet 1'!$A$173:$C$175,2)</f>
        <v>Peuplier 15 mm</v>
      </c>
      <c r="C50" s="621">
        <f>D39</f>
        <v>17</v>
      </c>
      <c r="D50" s="621">
        <f>D47</f>
        <v>19.100000000000001</v>
      </c>
      <c r="E50" s="622" t="str">
        <f t="shared" si="1"/>
        <v>Peuplier 15 mm</v>
      </c>
      <c r="F50" s="623">
        <v>2</v>
      </c>
      <c r="G50" s="559"/>
      <c r="H50" s="559"/>
      <c r="I50" s="559"/>
      <c r="J50" s="559">
        <f t="shared" si="2"/>
        <v>6.4940000000000012E-2</v>
      </c>
      <c r="K50" s="559">
        <f t="shared" si="3"/>
        <v>8.1175000000000011E-2</v>
      </c>
      <c r="L50" s="625" t="s">
        <v>663</v>
      </c>
      <c r="M50" s="625" t="e">
        <f t="shared" si="4"/>
        <v>#VALUE!</v>
      </c>
      <c r="N50" s="626">
        <f t="shared" si="5"/>
        <v>15.460580456000001</v>
      </c>
      <c r="O50" s="625">
        <f t="shared" si="6"/>
        <v>13.141493387600001</v>
      </c>
      <c r="P50" s="559"/>
      <c r="Q50" s="559" t="s">
        <v>663</v>
      </c>
      <c r="R50" s="559"/>
      <c r="S50" s="559"/>
      <c r="T50" s="559"/>
      <c r="U50" s="559"/>
      <c r="V50" s="559"/>
      <c r="W50" s="559"/>
      <c r="X50" s="559"/>
      <c r="Y50" s="559"/>
      <c r="Z50" s="559"/>
      <c r="AA50" s="559"/>
      <c r="AB50" s="559"/>
      <c r="AC50" s="559"/>
      <c r="AD50" s="559"/>
      <c r="AE50" s="559"/>
      <c r="AF50" s="559"/>
      <c r="AG50" s="559"/>
    </row>
    <row r="51" spans="1:33" ht="18" hidden="1" customHeight="1" x14ac:dyDescent="0.35">
      <c r="A51" s="559"/>
      <c r="B51" s="559"/>
      <c r="C51" s="559"/>
      <c r="D51" s="559"/>
      <c r="E51" s="559"/>
      <c r="F51" s="559"/>
      <c r="G51" s="559"/>
      <c r="H51" s="559"/>
      <c r="I51" s="559"/>
      <c r="J51" s="624">
        <f t="shared" si="2"/>
        <v>0</v>
      </c>
      <c r="K51" s="624">
        <f t="shared" si="3"/>
        <v>0</v>
      </c>
      <c r="L51" s="625"/>
      <c r="M51" s="625"/>
      <c r="N51" s="626"/>
      <c r="O51" s="625"/>
      <c r="P51" s="559"/>
      <c r="Q51" s="559">
        <v>0</v>
      </c>
      <c r="R51" s="559"/>
      <c r="S51" s="559"/>
      <c r="T51" s="559"/>
      <c r="U51" s="559"/>
      <c r="V51" s="559"/>
      <c r="W51" s="559"/>
      <c r="X51" s="559"/>
      <c r="Y51" s="559"/>
      <c r="Z51" s="559"/>
      <c r="AA51" s="559"/>
      <c r="AB51" s="559"/>
      <c r="AC51" s="559"/>
      <c r="AD51" s="559"/>
      <c r="AE51" s="559"/>
      <c r="AF51" s="559"/>
      <c r="AG51" s="559"/>
    </row>
    <row r="52" spans="1:33" ht="18" hidden="1" customHeight="1" x14ac:dyDescent="0.35">
      <c r="A52" s="559"/>
      <c r="B52" s="559"/>
      <c r="C52" s="559"/>
      <c r="D52" s="559"/>
      <c r="E52" s="559"/>
      <c r="F52" s="559"/>
      <c r="G52" s="559"/>
      <c r="H52" s="559"/>
      <c r="I52" s="559"/>
      <c r="J52" s="624">
        <f t="shared" si="2"/>
        <v>0</v>
      </c>
      <c r="K52" s="624">
        <f t="shared" si="3"/>
        <v>0</v>
      </c>
      <c r="L52" s="625"/>
      <c r="M52" s="625"/>
      <c r="N52" s="626"/>
      <c r="O52" s="625"/>
      <c r="P52" s="559"/>
      <c r="Q52" s="559">
        <v>0</v>
      </c>
      <c r="R52" s="559"/>
      <c r="S52" s="559"/>
      <c r="T52" s="559"/>
      <c r="U52" s="559"/>
      <c r="V52" s="559"/>
      <c r="W52" s="559"/>
      <c r="X52" s="559"/>
      <c r="Y52" s="559"/>
      <c r="Z52" s="559"/>
      <c r="AA52" s="559"/>
      <c r="AB52" s="559"/>
      <c r="AC52" s="559"/>
      <c r="AD52" s="559"/>
      <c r="AE52" s="559"/>
      <c r="AF52" s="559"/>
      <c r="AG52" s="559"/>
    </row>
    <row r="53" spans="1:33" ht="18" hidden="1" customHeight="1" x14ac:dyDescent="0.35">
      <c r="A53" s="573" t="s">
        <v>11</v>
      </c>
      <c r="B53" s="584" t="s">
        <v>56</v>
      </c>
      <c r="C53" s="621">
        <f>C47</f>
        <v>21.2</v>
      </c>
      <c r="D53" s="584">
        <f>9.4</f>
        <v>9.4</v>
      </c>
      <c r="E53" s="579" t="str">
        <f t="shared" ref="E53:E58" si="8">IF($C$15="Pin raboté 4 faces","Barres 21 R4F","Barres 19 mm")</f>
        <v>Barres 21 R4F</v>
      </c>
      <c r="F53" s="584">
        <v>4</v>
      </c>
      <c r="G53" s="559"/>
      <c r="H53" s="559"/>
      <c r="I53" s="559"/>
      <c r="J53" s="559">
        <f t="shared" si="2"/>
        <v>7.9711999999999991E-2</v>
      </c>
      <c r="K53" s="559">
        <f t="shared" si="3"/>
        <v>9.9639999999999979E-2</v>
      </c>
      <c r="L53" s="625" t="s">
        <v>663</v>
      </c>
      <c r="M53" s="625" t="e">
        <f t="shared" ref="M53:M62" si="9">L53*K53</f>
        <v>#VALUE!</v>
      </c>
      <c r="N53" s="626">
        <f t="shared" ref="N53:N62" si="10">IF(J53=0,0,1+(11*J53))</f>
        <v>1.8768319999999998</v>
      </c>
      <c r="O53" s="625">
        <f t="shared" ref="O53:O62" si="11">N53*' Objet Anti Vibratoire'!MinuteMO</f>
        <v>1.5953071999999999</v>
      </c>
      <c r="P53" s="559"/>
      <c r="Q53" s="559" t="s">
        <v>663</v>
      </c>
      <c r="R53" s="559"/>
      <c r="S53" s="559"/>
      <c r="T53" s="559"/>
      <c r="U53" s="559"/>
      <c r="V53" s="559"/>
      <c r="W53" s="559"/>
      <c r="X53" s="559"/>
      <c r="Y53" s="559"/>
      <c r="Z53" s="559"/>
      <c r="AA53" s="559"/>
      <c r="AB53" s="559"/>
      <c r="AC53" s="559"/>
      <c r="AD53" s="559"/>
      <c r="AE53" s="559"/>
      <c r="AF53" s="559"/>
      <c r="AG53" s="559"/>
    </row>
    <row r="54" spans="1:33" ht="18" hidden="1" customHeight="1" x14ac:dyDescent="0.35">
      <c r="A54" s="559"/>
      <c r="B54" s="584" t="s">
        <v>57</v>
      </c>
      <c r="C54" s="621">
        <f>D47-2*D53</f>
        <v>0.30000000000000071</v>
      </c>
      <c r="D54" s="584">
        <f t="shared" ref="D54:D56" si="12">D53</f>
        <v>9.4</v>
      </c>
      <c r="E54" s="579" t="str">
        <f t="shared" si="8"/>
        <v>Barres 21 R4F</v>
      </c>
      <c r="F54" s="584">
        <v>4</v>
      </c>
      <c r="G54" s="559"/>
      <c r="H54" s="559"/>
      <c r="I54" s="559"/>
      <c r="J54" s="559">
        <f t="shared" si="2"/>
        <v>1.1280000000000027E-3</v>
      </c>
      <c r="K54" s="559">
        <f t="shared" si="3"/>
        <v>1.4100000000000033E-3</v>
      </c>
      <c r="L54" s="625" t="s">
        <v>663</v>
      </c>
      <c r="M54" s="625" t="e">
        <f t="shared" si="9"/>
        <v>#VALUE!</v>
      </c>
      <c r="N54" s="626">
        <f t="shared" si="10"/>
        <v>1.012408</v>
      </c>
      <c r="O54" s="625">
        <f t="shared" si="11"/>
        <v>0.86054679999999995</v>
      </c>
      <c r="P54" s="559"/>
      <c r="Q54" s="559" t="s">
        <v>663</v>
      </c>
      <c r="R54" s="559"/>
      <c r="S54" s="559"/>
      <c r="T54" s="559"/>
      <c r="U54" s="559"/>
      <c r="V54" s="559"/>
      <c r="W54" s="559"/>
      <c r="X54" s="559"/>
      <c r="Y54" s="559"/>
      <c r="Z54" s="559"/>
      <c r="AA54" s="559"/>
      <c r="AB54" s="559"/>
      <c r="AC54" s="559"/>
      <c r="AD54" s="559"/>
      <c r="AE54" s="559"/>
      <c r="AF54" s="559"/>
      <c r="AG54" s="559"/>
    </row>
    <row r="55" spans="1:33" ht="18" hidden="1" customHeight="1" x14ac:dyDescent="0.35">
      <c r="A55" s="559"/>
      <c r="B55" s="584" t="s">
        <v>177</v>
      </c>
      <c r="C55" s="621">
        <f>C53</f>
        <v>21.2</v>
      </c>
      <c r="D55" s="584">
        <f t="shared" si="12"/>
        <v>9.4</v>
      </c>
      <c r="E55" s="579" t="str">
        <f t="shared" si="8"/>
        <v>Barres 21 R4F</v>
      </c>
      <c r="F55" s="584">
        <f t="shared" ref="F55:F56" si="13">IF(D55&lt;14.4,2,4)</f>
        <v>2</v>
      </c>
      <c r="G55" s="559"/>
      <c r="H55" s="559"/>
      <c r="I55" s="559"/>
      <c r="J55" s="559">
        <f t="shared" si="2"/>
        <v>3.9855999999999996E-2</v>
      </c>
      <c r="K55" s="559">
        <f t="shared" si="3"/>
        <v>4.9819999999999989E-2</v>
      </c>
      <c r="L55" s="625" t="s">
        <v>663</v>
      </c>
      <c r="M55" s="625" t="e">
        <f t="shared" si="9"/>
        <v>#VALUE!</v>
      </c>
      <c r="N55" s="626">
        <f t="shared" si="10"/>
        <v>1.4384159999999999</v>
      </c>
      <c r="O55" s="625">
        <f t="shared" si="11"/>
        <v>1.2226535999999999</v>
      </c>
      <c r="P55" s="559"/>
      <c r="Q55" s="559" t="s">
        <v>663</v>
      </c>
      <c r="R55" s="559"/>
      <c r="S55" s="559"/>
      <c r="T55" s="559"/>
      <c r="U55" s="559"/>
      <c r="V55" s="559"/>
      <c r="W55" s="559"/>
      <c r="X55" s="559"/>
      <c r="Y55" s="559"/>
      <c r="Z55" s="559"/>
      <c r="AA55" s="559"/>
      <c r="AB55" s="559"/>
      <c r="AC55" s="559"/>
      <c r="AD55" s="559"/>
      <c r="AE55" s="559"/>
      <c r="AF55" s="559"/>
      <c r="AG55" s="559"/>
    </row>
    <row r="56" spans="1:33" ht="18" hidden="1" customHeight="1" x14ac:dyDescent="0.35">
      <c r="A56" s="559"/>
      <c r="B56" s="584" t="s">
        <v>178</v>
      </c>
      <c r="C56" s="621">
        <f>D48-2*D55</f>
        <v>5.3999999999999986</v>
      </c>
      <c r="D56" s="584">
        <f t="shared" si="12"/>
        <v>9.4</v>
      </c>
      <c r="E56" s="579" t="str">
        <f t="shared" si="8"/>
        <v>Barres 21 R4F</v>
      </c>
      <c r="F56" s="584">
        <f t="shared" si="13"/>
        <v>2</v>
      </c>
      <c r="G56" s="559"/>
      <c r="H56" s="559"/>
      <c r="I56" s="559"/>
      <c r="J56" s="559">
        <f t="shared" si="2"/>
        <v>1.0151999999999998E-2</v>
      </c>
      <c r="K56" s="559">
        <f t="shared" si="3"/>
        <v>1.2689999999999996E-2</v>
      </c>
      <c r="L56" s="625" t="s">
        <v>663</v>
      </c>
      <c r="M56" s="625" t="e">
        <f t="shared" si="9"/>
        <v>#VALUE!</v>
      </c>
      <c r="N56" s="626">
        <f t="shared" si="10"/>
        <v>1.111672</v>
      </c>
      <c r="O56" s="625">
        <f t="shared" si="11"/>
        <v>0.94492120000000002</v>
      </c>
      <c r="P56" s="559"/>
      <c r="Q56" s="559" t="s">
        <v>663</v>
      </c>
      <c r="R56" s="559"/>
      <c r="S56" s="559"/>
      <c r="T56" s="559"/>
      <c r="U56" s="559"/>
      <c r="V56" s="559"/>
      <c r="W56" s="559"/>
      <c r="X56" s="559"/>
      <c r="Y56" s="559"/>
      <c r="Z56" s="559"/>
      <c r="AA56" s="559"/>
      <c r="AB56" s="559"/>
      <c r="AC56" s="559"/>
      <c r="AD56" s="559"/>
      <c r="AE56" s="559"/>
      <c r="AF56" s="559"/>
      <c r="AG56" s="559"/>
    </row>
    <row r="57" spans="1:33" ht="18" hidden="1" customHeight="1" x14ac:dyDescent="0.35">
      <c r="A57" s="559"/>
      <c r="B57" s="584" t="s">
        <v>179</v>
      </c>
      <c r="C57" s="621">
        <f>C39</f>
        <v>14</v>
      </c>
      <c r="D57" s="584">
        <v>7</v>
      </c>
      <c r="E57" s="579" t="str">
        <f t="shared" si="8"/>
        <v>Barres 21 R4F</v>
      </c>
      <c r="F57" s="584">
        <f>IF(D39&gt;70,3,2)</f>
        <v>2</v>
      </c>
      <c r="G57" s="559"/>
      <c r="H57" s="559"/>
      <c r="I57" s="559"/>
      <c r="J57" s="559">
        <f t="shared" si="2"/>
        <v>1.9600000000000003E-2</v>
      </c>
      <c r="K57" s="559">
        <f t="shared" si="3"/>
        <v>2.4500000000000001E-2</v>
      </c>
      <c r="L57" s="625" t="s">
        <v>663</v>
      </c>
      <c r="M57" s="625" t="e">
        <f t="shared" si="9"/>
        <v>#VALUE!</v>
      </c>
      <c r="N57" s="626">
        <f t="shared" si="10"/>
        <v>1.2156</v>
      </c>
      <c r="O57" s="625">
        <f t="shared" si="11"/>
        <v>1.0332600000000001</v>
      </c>
      <c r="P57" s="559"/>
      <c r="Q57" s="559" t="s">
        <v>663</v>
      </c>
      <c r="R57" s="559"/>
      <c r="S57" s="559"/>
      <c r="T57" s="559"/>
      <c r="U57" s="559"/>
      <c r="V57" s="559"/>
      <c r="W57" s="559"/>
      <c r="X57" s="559"/>
      <c r="Y57" s="559"/>
      <c r="Z57" s="559"/>
      <c r="AA57" s="559"/>
      <c r="AB57" s="559"/>
      <c r="AC57" s="559"/>
      <c r="AD57" s="559"/>
      <c r="AE57" s="559"/>
      <c r="AF57" s="559"/>
      <c r="AG57" s="559"/>
    </row>
    <row r="58" spans="1:33" ht="18" hidden="1" customHeight="1" x14ac:dyDescent="0.35">
      <c r="A58" s="559"/>
      <c r="B58" s="584" t="s">
        <v>180</v>
      </c>
      <c r="C58" s="621">
        <f>(D39-(D57*F57))/(F57-1)</f>
        <v>3</v>
      </c>
      <c r="D58" s="584">
        <v>7</v>
      </c>
      <c r="E58" s="579" t="str">
        <f t="shared" si="8"/>
        <v>Barres 21 R4F</v>
      </c>
      <c r="F58" s="584">
        <f>IF(F57=2,2,4)</f>
        <v>2</v>
      </c>
      <c r="G58" s="559"/>
      <c r="H58" s="559"/>
      <c r="I58" s="559"/>
      <c r="J58" s="559">
        <f t="shared" si="2"/>
        <v>4.2000000000000006E-3</v>
      </c>
      <c r="K58" s="559">
        <f t="shared" si="3"/>
        <v>5.2500000000000003E-3</v>
      </c>
      <c r="L58" s="625" t="s">
        <v>663</v>
      </c>
      <c r="M58" s="625" t="e">
        <f t="shared" si="9"/>
        <v>#VALUE!</v>
      </c>
      <c r="N58" s="626">
        <f t="shared" si="10"/>
        <v>1.0462</v>
      </c>
      <c r="O58" s="625">
        <f t="shared" si="11"/>
        <v>0.88927</v>
      </c>
      <c r="P58" s="559"/>
      <c r="Q58" s="559" t="s">
        <v>663</v>
      </c>
      <c r="R58" s="559"/>
      <c r="S58" s="559"/>
      <c r="T58" s="559"/>
      <c r="U58" s="559"/>
      <c r="V58" s="559"/>
      <c r="W58" s="559"/>
      <c r="X58" s="559"/>
      <c r="Y58" s="559"/>
      <c r="Z58" s="559"/>
      <c r="AA58" s="559"/>
      <c r="AB58" s="559"/>
      <c r="AC58" s="559"/>
      <c r="AD58" s="559"/>
      <c r="AE58" s="559"/>
      <c r="AF58" s="559"/>
      <c r="AG58" s="559"/>
    </row>
    <row r="59" spans="1:33" ht="18" hidden="1" customHeight="1" x14ac:dyDescent="0.35">
      <c r="A59" s="559"/>
      <c r="B59" s="584" t="str">
        <f>F22</f>
        <v>Skis</v>
      </c>
      <c r="C59" s="621">
        <f>IF(B59="10 dessous en skis", (C53-70)/2,IF(B59="10 dessous en semelles",D48,C55-10))</f>
        <v>11.2</v>
      </c>
      <c r="D59" s="584">
        <f>IF($F$10="BOVIS",9.4,7)</f>
        <v>7</v>
      </c>
      <c r="E59" s="579" t="str">
        <f>IF(B59="skis","Barres 21 R4F","Semelles R4F")</f>
        <v>Barres 21 R4F</v>
      </c>
      <c r="F59" s="584">
        <f>IF(B59="10 dessous en skis",6,IF(B59="10 dessous en semelles",2,2))</f>
        <v>2</v>
      </c>
      <c r="G59" s="559"/>
      <c r="H59" s="559"/>
      <c r="I59" s="559"/>
      <c r="J59" s="559">
        <f t="shared" si="2"/>
        <v>1.5679999999999999E-2</v>
      </c>
      <c r="K59" s="559">
        <f t="shared" si="3"/>
        <v>1.9599999999999999E-2</v>
      </c>
      <c r="L59" s="625" t="s">
        <v>663</v>
      </c>
      <c r="M59" s="625" t="e">
        <f t="shared" si="9"/>
        <v>#VALUE!</v>
      </c>
      <c r="N59" s="626">
        <f t="shared" si="10"/>
        <v>1.17248</v>
      </c>
      <c r="O59" s="625">
        <f t="shared" si="11"/>
        <v>0.99660799999999994</v>
      </c>
      <c r="P59" s="559"/>
      <c r="Q59" s="559" t="s">
        <v>663</v>
      </c>
      <c r="R59" s="559"/>
      <c r="S59" s="559"/>
      <c r="T59" s="559"/>
      <c r="U59" s="559"/>
      <c r="V59" s="559"/>
      <c r="W59" s="559"/>
      <c r="X59" s="559"/>
      <c r="Y59" s="559"/>
      <c r="Z59" s="559"/>
      <c r="AA59" s="559"/>
      <c r="AB59" s="559"/>
      <c r="AC59" s="559"/>
      <c r="AD59" s="559"/>
      <c r="AE59" s="559"/>
      <c r="AF59" s="559"/>
      <c r="AG59" s="559"/>
    </row>
    <row r="60" spans="1:33" ht="18" hidden="1" customHeight="1" x14ac:dyDescent="0.35">
      <c r="A60" s="559"/>
      <c r="B60" s="584" t="s">
        <v>59</v>
      </c>
      <c r="C60" s="621">
        <f>D39</f>
        <v>17</v>
      </c>
      <c r="D60" s="584">
        <f>IF(D39&lt;14.4,0,D53)</f>
        <v>9.4</v>
      </c>
      <c r="E60" s="579" t="str">
        <f t="shared" ref="E60:E61" si="14">IF($C$15="Pin raboté 4 faces","Barres 21 R4F","Barres 19 mm")</f>
        <v>Barres 21 R4F</v>
      </c>
      <c r="F60" s="584">
        <f>IF(D39&lt;14.4,0,4)</f>
        <v>4</v>
      </c>
      <c r="G60" s="559"/>
      <c r="H60" s="559"/>
      <c r="I60" s="559"/>
      <c r="J60" s="559">
        <f t="shared" si="2"/>
        <v>6.3920000000000005E-2</v>
      </c>
      <c r="K60" s="559">
        <f t="shared" si="3"/>
        <v>7.9899999999999999E-2</v>
      </c>
      <c r="L60" s="625" t="s">
        <v>663</v>
      </c>
      <c r="M60" s="625" t="e">
        <f t="shared" si="9"/>
        <v>#VALUE!</v>
      </c>
      <c r="N60" s="626">
        <f t="shared" si="10"/>
        <v>1.7031200000000002</v>
      </c>
      <c r="O60" s="625">
        <f t="shared" si="11"/>
        <v>1.4476520000000002</v>
      </c>
      <c r="P60" s="559"/>
      <c r="Q60" s="559" t="s">
        <v>663</v>
      </c>
      <c r="R60" s="559"/>
      <c r="S60" s="559"/>
      <c r="T60" s="559"/>
      <c r="U60" s="559"/>
      <c r="V60" s="559"/>
      <c r="W60" s="559"/>
      <c r="X60" s="559"/>
      <c r="Y60" s="559"/>
      <c r="Z60" s="559"/>
      <c r="AA60" s="559"/>
      <c r="AB60" s="559"/>
      <c r="AC60" s="559"/>
      <c r="AD60" s="559"/>
      <c r="AE60" s="559"/>
      <c r="AF60" s="559"/>
      <c r="AG60" s="559"/>
    </row>
    <row r="61" spans="1:33" ht="18" hidden="1" customHeight="1" x14ac:dyDescent="0.35">
      <c r="A61" s="559"/>
      <c r="B61" s="584" t="s">
        <v>60</v>
      </c>
      <c r="C61" s="621">
        <f>D50-2*D60</f>
        <v>0.30000000000000071</v>
      </c>
      <c r="D61" s="584">
        <f>IF(C50&lt;80,7,9.4)</f>
        <v>7</v>
      </c>
      <c r="E61" s="579" t="str">
        <f t="shared" si="14"/>
        <v>Barres 21 R4F</v>
      </c>
      <c r="F61" s="584">
        <f>4</f>
        <v>4</v>
      </c>
      <c r="G61" s="559"/>
      <c r="H61" s="559"/>
      <c r="I61" s="559"/>
      <c r="J61" s="559">
        <f t="shared" si="2"/>
        <v>8.4000000000000199E-4</v>
      </c>
      <c r="K61" s="559">
        <f t="shared" si="3"/>
        <v>1.0500000000000023E-3</v>
      </c>
      <c r="L61" s="625" t="s">
        <v>663</v>
      </c>
      <c r="M61" s="625" t="e">
        <f t="shared" si="9"/>
        <v>#VALUE!</v>
      </c>
      <c r="N61" s="626">
        <f t="shared" si="10"/>
        <v>1.0092399999999999</v>
      </c>
      <c r="O61" s="625">
        <f t="shared" si="11"/>
        <v>0.85785399999999989</v>
      </c>
      <c r="P61" s="559"/>
      <c r="Q61" s="559" t="s">
        <v>663</v>
      </c>
      <c r="R61" s="559"/>
      <c r="S61" s="559"/>
      <c r="T61" s="559"/>
      <c r="U61" s="559"/>
      <c r="V61" s="559"/>
      <c r="W61" s="559"/>
      <c r="X61" s="559"/>
      <c r="Y61" s="559"/>
      <c r="Z61" s="559"/>
      <c r="AA61" s="559"/>
      <c r="AB61" s="559"/>
      <c r="AC61" s="559"/>
      <c r="AD61" s="559"/>
      <c r="AE61" s="559"/>
      <c r="AF61" s="559"/>
      <c r="AG61" s="559"/>
    </row>
    <row r="62" spans="1:33" ht="18" hidden="1" customHeight="1" x14ac:dyDescent="0.35">
      <c r="A62" s="559"/>
      <c r="B62" s="584" t="str">
        <f>IF(D39&lt;14.4,0,IF(C21="Bois","Poignées",IF(#REF!="Métal x 2 sur bouts","Supports poignées",0)))</f>
        <v>Poignées</v>
      </c>
      <c r="C62" s="584">
        <f>IF(B62="Poignées",D39+VLOOKUP($C$13,$A$136:$D$136,4)*2+4.2,IF(B62="Supports poignées",D39-2*D61,0))</f>
        <v>24.2</v>
      </c>
      <c r="D62" s="584">
        <f>IF(B62="Poignées",7,IF(B62="Supports poignées",9.4,0))</f>
        <v>7</v>
      </c>
      <c r="E62" s="579" t="s">
        <v>61</v>
      </c>
      <c r="F62" s="584">
        <f>IF(B62=0,0,2)</f>
        <v>2</v>
      </c>
      <c r="G62" s="559"/>
      <c r="H62" s="559"/>
      <c r="I62" s="559"/>
      <c r="J62" s="559">
        <f t="shared" si="2"/>
        <v>3.388E-2</v>
      </c>
      <c r="K62" s="559">
        <f t="shared" si="3"/>
        <v>4.2349999999999999E-2</v>
      </c>
      <c r="L62" s="625" t="s">
        <v>663</v>
      </c>
      <c r="M62" s="625" t="e">
        <f t="shared" si="9"/>
        <v>#VALUE!</v>
      </c>
      <c r="N62" s="626">
        <f t="shared" si="10"/>
        <v>1.3726799999999999</v>
      </c>
      <c r="O62" s="625">
        <f t="shared" si="11"/>
        <v>1.1667779999999999</v>
      </c>
      <c r="P62" s="559"/>
      <c r="Q62" s="559" t="s">
        <v>663</v>
      </c>
      <c r="R62" s="559"/>
      <c r="S62" s="559"/>
      <c r="T62" s="559"/>
      <c r="U62" s="559"/>
      <c r="V62" s="559"/>
      <c r="W62" s="559"/>
      <c r="X62" s="559"/>
      <c r="Y62" s="559"/>
      <c r="Z62" s="559"/>
      <c r="AA62" s="559"/>
      <c r="AB62" s="559"/>
      <c r="AC62" s="559"/>
      <c r="AD62" s="559"/>
      <c r="AE62" s="559"/>
      <c r="AF62" s="559"/>
      <c r="AG62" s="559"/>
    </row>
    <row r="63" spans="1:33" ht="18" hidden="1" customHeight="1" x14ac:dyDescent="0.35">
      <c r="A63" s="559"/>
      <c r="B63" s="559"/>
      <c r="C63" s="559"/>
      <c r="D63" s="559"/>
      <c r="E63" s="559"/>
      <c r="F63" s="559"/>
      <c r="G63" s="559"/>
      <c r="H63" s="559"/>
      <c r="I63" s="559"/>
      <c r="J63" s="559"/>
      <c r="K63" s="559"/>
      <c r="L63" s="625"/>
      <c r="M63" s="625"/>
      <c r="N63" s="626"/>
      <c r="O63" s="625"/>
      <c r="P63" s="559"/>
      <c r="Q63" s="559"/>
      <c r="R63" s="559"/>
      <c r="S63" s="559"/>
      <c r="T63" s="559"/>
      <c r="U63" s="559"/>
      <c r="V63" s="559"/>
      <c r="W63" s="559"/>
      <c r="X63" s="559"/>
      <c r="Y63" s="559"/>
      <c r="Z63" s="559"/>
      <c r="AA63" s="559"/>
      <c r="AB63" s="559"/>
      <c r="AC63" s="559"/>
      <c r="AD63" s="559"/>
      <c r="AE63" s="559"/>
      <c r="AF63" s="559"/>
      <c r="AG63" s="559"/>
    </row>
    <row r="64" spans="1:33" ht="18" hidden="1" customHeight="1" x14ac:dyDescent="0.35">
      <c r="A64" s="559"/>
      <c r="B64" s="559"/>
      <c r="C64" s="559"/>
      <c r="D64" s="559"/>
      <c r="E64" s="559"/>
      <c r="F64" s="559"/>
      <c r="G64" s="559"/>
      <c r="H64" s="559"/>
      <c r="I64" s="559"/>
      <c r="J64" s="559"/>
      <c r="K64" s="559"/>
      <c r="L64" s="625"/>
      <c r="M64" s="625"/>
      <c r="N64" s="626"/>
      <c r="O64" s="625"/>
      <c r="P64" s="559"/>
      <c r="Q64" s="559"/>
      <c r="R64" s="559"/>
      <c r="S64" s="559"/>
      <c r="T64" s="559"/>
      <c r="U64" s="559"/>
      <c r="V64" s="559"/>
      <c r="W64" s="559"/>
      <c r="X64" s="559"/>
      <c r="Y64" s="559"/>
      <c r="Z64" s="559"/>
      <c r="AA64" s="559"/>
      <c r="AB64" s="559"/>
      <c r="AC64" s="559"/>
      <c r="AD64" s="559"/>
      <c r="AE64" s="559"/>
      <c r="AF64" s="559"/>
      <c r="AG64" s="559"/>
    </row>
    <row r="65" spans="1:33" ht="18" hidden="1" customHeight="1" x14ac:dyDescent="0.35">
      <c r="A65" s="573" t="s">
        <v>62</v>
      </c>
      <c r="B65" s="584" t="s">
        <v>63</v>
      </c>
      <c r="C65" s="584">
        <f>IF(F65=0,0,C39)</f>
        <v>0</v>
      </c>
      <c r="D65" s="584">
        <f>IF(F65=0,0,E69+VLOOKUP($C$17,A143:P149,5))</f>
        <v>0</v>
      </c>
      <c r="E65" s="579">
        <f>VLOOKUP($C$17,A143:P149,6)</f>
        <v>0</v>
      </c>
      <c r="F65" s="584">
        <f>VLOOKUP($C$17,A143:P149,7)</f>
        <v>0</v>
      </c>
      <c r="G65" s="559"/>
      <c r="H65" s="559"/>
      <c r="I65" s="559"/>
      <c r="J65" s="559">
        <f t="shared" ref="J65:J67" si="15">IF(C65=0,0,(C65/100)*(D65/100)*F65)</f>
        <v>0</v>
      </c>
      <c r="K65" s="559">
        <f t="shared" ref="K65:K67" si="16">J65/0.8</f>
        <v>0</v>
      </c>
      <c r="L65" s="625">
        <v>0</v>
      </c>
      <c r="M65" s="625">
        <f t="shared" ref="M65:M67" si="17">L65*K65</f>
        <v>0</v>
      </c>
      <c r="N65" s="626">
        <f t="shared" ref="N65:N67" si="18">IF(J65=0,0,(4.7283*J65)+3)</f>
        <v>0</v>
      </c>
      <c r="O65" s="625">
        <f t="shared" ref="O65:O67" si="19">N65*' Objet Anti Vibratoire'!MinuteMO</f>
        <v>0</v>
      </c>
      <c r="P65" s="559"/>
      <c r="Q65" s="559">
        <v>0</v>
      </c>
      <c r="R65" s="559"/>
      <c r="S65" s="559"/>
      <c r="T65" s="559"/>
      <c r="U65" s="559"/>
      <c r="V65" s="559"/>
      <c r="W65" s="559"/>
      <c r="X65" s="559"/>
      <c r="Y65" s="559"/>
      <c r="Z65" s="559"/>
      <c r="AA65" s="559"/>
      <c r="AB65" s="559"/>
      <c r="AC65" s="559"/>
      <c r="AD65" s="559"/>
      <c r="AE65" s="559"/>
      <c r="AF65" s="559"/>
      <c r="AG65" s="559"/>
    </row>
    <row r="66" spans="1:33" ht="18" hidden="1" customHeight="1" x14ac:dyDescent="0.35">
      <c r="A66" s="559"/>
      <c r="B66" s="584" t="s">
        <v>54</v>
      </c>
      <c r="C66" s="584">
        <f>IF(F66=0,0,C39)</f>
        <v>0</v>
      </c>
      <c r="D66" s="584">
        <f>IF(F66=0,0,D69)</f>
        <v>0</v>
      </c>
      <c r="E66" s="579">
        <f>IF($C$17="Aucun",0,VLOOKUP($C$17,A143:P149,6))</f>
        <v>0</v>
      </c>
      <c r="F66" s="584">
        <f>VLOOKUP($C$17,A143:P149,7)</f>
        <v>0</v>
      </c>
      <c r="G66" s="559"/>
      <c r="H66" s="559"/>
      <c r="I66" s="559"/>
      <c r="J66" s="559">
        <f t="shared" si="15"/>
        <v>0</v>
      </c>
      <c r="K66" s="559">
        <f t="shared" si="16"/>
        <v>0</v>
      </c>
      <c r="L66" s="625">
        <v>0</v>
      </c>
      <c r="M66" s="625">
        <f t="shared" si="17"/>
        <v>0</v>
      </c>
      <c r="N66" s="626">
        <f t="shared" si="18"/>
        <v>0</v>
      </c>
      <c r="O66" s="625">
        <f t="shared" si="19"/>
        <v>0</v>
      </c>
      <c r="P66" s="559"/>
      <c r="Q66" s="559">
        <v>0</v>
      </c>
      <c r="R66" s="559"/>
      <c r="S66" s="559"/>
      <c r="T66" s="559"/>
      <c r="U66" s="559"/>
      <c r="V66" s="559"/>
      <c r="W66" s="559"/>
      <c r="X66" s="559"/>
      <c r="Y66" s="559"/>
      <c r="Z66" s="559"/>
      <c r="AA66" s="559"/>
      <c r="AB66" s="559"/>
      <c r="AC66" s="559"/>
      <c r="AD66" s="559"/>
      <c r="AE66" s="559"/>
      <c r="AF66" s="559"/>
      <c r="AG66" s="559"/>
    </row>
    <row r="67" spans="1:33" ht="18" hidden="1" customHeight="1" x14ac:dyDescent="0.35">
      <c r="A67" s="559"/>
      <c r="B67" s="584" t="s">
        <v>55</v>
      </c>
      <c r="C67" s="584">
        <f>IF(F67=0,0,E69)</f>
        <v>0</v>
      </c>
      <c r="D67" s="584">
        <f>IF(F67=0,0,D69)</f>
        <v>0</v>
      </c>
      <c r="E67" s="579">
        <f>IF($C$17="Aucun",0,VLOOKUP($C$17,A143:P149,6))</f>
        <v>0</v>
      </c>
      <c r="F67" s="584">
        <f>VLOOKUP($C$17,A143:P149,7)</f>
        <v>0</v>
      </c>
      <c r="G67" s="559"/>
      <c r="H67" s="559"/>
      <c r="I67" s="559"/>
      <c r="J67" s="559">
        <f t="shared" si="15"/>
        <v>0</v>
      </c>
      <c r="K67" s="559">
        <f t="shared" si="16"/>
        <v>0</v>
      </c>
      <c r="L67" s="625">
        <v>0</v>
      </c>
      <c r="M67" s="625">
        <f t="shared" si="17"/>
        <v>0</v>
      </c>
      <c r="N67" s="626">
        <f t="shared" si="18"/>
        <v>0</v>
      </c>
      <c r="O67" s="625">
        <f t="shared" si="19"/>
        <v>0</v>
      </c>
      <c r="P67" s="559"/>
      <c r="Q67" s="559">
        <v>0</v>
      </c>
      <c r="R67" s="559"/>
      <c r="S67" s="559"/>
      <c r="T67" s="559"/>
      <c r="U67" s="559"/>
      <c r="V67" s="559"/>
      <c r="W67" s="559"/>
      <c r="X67" s="559"/>
      <c r="Y67" s="559"/>
      <c r="Z67" s="559"/>
      <c r="AA67" s="559"/>
      <c r="AB67" s="559"/>
      <c r="AC67" s="559"/>
      <c r="AD67" s="559"/>
      <c r="AE67" s="559"/>
      <c r="AF67" s="559"/>
      <c r="AG67" s="559"/>
    </row>
    <row r="68" spans="1:33" ht="18" hidden="1" customHeight="1" x14ac:dyDescent="0.35">
      <c r="A68" s="559"/>
      <c r="B68" s="559"/>
      <c r="C68" s="559"/>
      <c r="D68" s="559"/>
      <c r="E68" s="559"/>
      <c r="F68" s="559"/>
      <c r="G68" s="559"/>
      <c r="H68" s="559"/>
      <c r="I68" s="559"/>
      <c r="J68" s="559"/>
      <c r="K68" s="559"/>
      <c r="L68" s="625"/>
      <c r="M68" s="625"/>
      <c r="N68" s="626"/>
      <c r="O68" s="625"/>
      <c r="P68" s="559"/>
      <c r="Q68" s="559"/>
      <c r="R68" s="559"/>
      <c r="S68" s="559"/>
      <c r="T68" s="559"/>
      <c r="U68" s="559"/>
      <c r="V68" s="559"/>
      <c r="W68" s="559"/>
      <c r="X68" s="559"/>
      <c r="Y68" s="559"/>
      <c r="Z68" s="559"/>
      <c r="AA68" s="559"/>
      <c r="AB68" s="559"/>
      <c r="AC68" s="559"/>
      <c r="AD68" s="559"/>
      <c r="AE68" s="559"/>
      <c r="AF68" s="559"/>
      <c r="AG68" s="559"/>
    </row>
    <row r="69" spans="1:33" ht="18" hidden="1" customHeight="1" x14ac:dyDescent="0.35">
      <c r="A69" s="559"/>
      <c r="B69" s="559" t="s">
        <v>64</v>
      </c>
      <c r="C69" s="559">
        <f>C39-VLOOKUP(C17,A143:P149,5)</f>
        <v>14</v>
      </c>
      <c r="D69" s="559">
        <f>D39-VLOOKUP(C17,A143:P149,5)</f>
        <v>17</v>
      </c>
      <c r="E69" s="559">
        <f>E39-VLOOKUP(C17,A143:P149,5)</f>
        <v>15.5</v>
      </c>
      <c r="F69" s="559"/>
      <c r="G69" s="559"/>
      <c r="H69" s="559"/>
      <c r="I69" s="559"/>
      <c r="J69" s="559"/>
      <c r="K69" s="559"/>
      <c r="L69" s="625"/>
      <c r="M69" s="625"/>
      <c r="N69" s="626"/>
      <c r="O69" s="625"/>
      <c r="P69" s="559"/>
      <c r="Q69" s="559"/>
      <c r="R69" s="559"/>
      <c r="S69" s="559"/>
      <c r="T69" s="559"/>
      <c r="U69" s="559"/>
      <c r="V69" s="559"/>
      <c r="W69" s="559"/>
      <c r="X69" s="559"/>
      <c r="Y69" s="559"/>
      <c r="Z69" s="559"/>
      <c r="AA69" s="559"/>
      <c r="AB69" s="559"/>
      <c r="AC69" s="559"/>
      <c r="AD69" s="559"/>
      <c r="AE69" s="559"/>
      <c r="AF69" s="559"/>
      <c r="AG69" s="559"/>
    </row>
    <row r="70" spans="1:33" ht="18" hidden="1" customHeight="1" x14ac:dyDescent="0.35">
      <c r="A70" s="559"/>
      <c r="B70" s="559"/>
      <c r="C70" s="559"/>
      <c r="D70" s="559"/>
      <c r="E70" s="559"/>
      <c r="F70" s="559"/>
      <c r="G70" s="559"/>
      <c r="H70" s="559"/>
      <c r="I70" s="559"/>
      <c r="J70" s="559"/>
      <c r="K70" s="559"/>
      <c r="L70" s="625"/>
      <c r="M70" s="625"/>
      <c r="N70" s="626"/>
      <c r="O70" s="625"/>
      <c r="P70" s="559"/>
      <c r="Q70" s="559"/>
      <c r="R70" s="559"/>
      <c r="S70" s="559"/>
      <c r="T70" s="559"/>
      <c r="U70" s="559"/>
      <c r="V70" s="559"/>
      <c r="W70" s="559"/>
      <c r="X70" s="559"/>
      <c r="Y70" s="559"/>
      <c r="Z70" s="559"/>
      <c r="AA70" s="559"/>
      <c r="AB70" s="559"/>
      <c r="AC70" s="559"/>
      <c r="AD70" s="559"/>
      <c r="AE70" s="559"/>
      <c r="AF70" s="559"/>
      <c r="AG70" s="559"/>
    </row>
    <row r="71" spans="1:33" ht="18" hidden="1" customHeight="1" x14ac:dyDescent="0.35">
      <c r="A71" s="573" t="s">
        <v>65</v>
      </c>
      <c r="B71" s="584" t="s">
        <v>63</v>
      </c>
      <c r="C71" s="584">
        <f>IF(F71=0,0,C75+VLOOKUP(C17,A143:P149,8))-0.5</f>
        <v>-0.5</v>
      </c>
      <c r="D71" s="584">
        <f>IF(F71=0,0,E75+VLOOKUP(C17,A143:P149,8))-0.5</f>
        <v>-0.5</v>
      </c>
      <c r="E71" s="579">
        <f>VLOOKUP(C17,A143:P149,9)</f>
        <v>0</v>
      </c>
      <c r="F71" s="584">
        <f>VLOOKUP($C$17,A143:P149,10)</f>
        <v>0</v>
      </c>
      <c r="G71" s="559"/>
      <c r="H71" s="559"/>
      <c r="I71" s="559"/>
      <c r="J71" s="559">
        <f t="shared" ref="J71:J73" si="20">IF(C71=0,0,(C71/100)*(D71/100)*F71)</f>
        <v>0</v>
      </c>
      <c r="K71" s="559">
        <f t="shared" ref="K71:K73" si="21">J71/0.8</f>
        <v>0</v>
      </c>
      <c r="L71" s="625">
        <v>0</v>
      </c>
      <c r="M71" s="625">
        <f t="shared" ref="M71:M73" si="22">L71*K71</f>
        <v>0</v>
      </c>
      <c r="N71" s="626">
        <f t="shared" ref="N71:N73" si="23">IF(J71=0,0,(3.94*J71)+5)</f>
        <v>0</v>
      </c>
      <c r="O71" s="625">
        <f t="shared" ref="O71:O73" si="24">N71*' Objet Anti Vibratoire'!MinuteMO</f>
        <v>0</v>
      </c>
      <c r="P71" s="559"/>
      <c r="Q71" s="559">
        <v>0</v>
      </c>
      <c r="R71" s="559"/>
      <c r="S71" s="559"/>
      <c r="T71" s="559"/>
      <c r="U71" s="559"/>
      <c r="V71" s="559"/>
      <c r="W71" s="559"/>
      <c r="X71" s="559"/>
      <c r="Y71" s="559"/>
      <c r="Z71" s="559"/>
      <c r="AA71" s="559"/>
      <c r="AB71" s="559"/>
      <c r="AC71" s="559"/>
      <c r="AD71" s="559"/>
      <c r="AE71" s="559"/>
      <c r="AF71" s="559"/>
      <c r="AG71" s="559"/>
    </row>
    <row r="72" spans="1:33" ht="18" hidden="1" customHeight="1" x14ac:dyDescent="0.35">
      <c r="A72" s="559"/>
      <c r="B72" s="584" t="s">
        <v>54</v>
      </c>
      <c r="C72" s="584">
        <f>IF(F72=0,0,C75+VLOOKUP(C17,A143:P149,8))</f>
        <v>0</v>
      </c>
      <c r="D72" s="584">
        <f>IF(F72=0,0,D75)</f>
        <v>0</v>
      </c>
      <c r="E72" s="579">
        <f>VLOOKUP(C17,A143:P149,9)</f>
        <v>0</v>
      </c>
      <c r="F72" s="584">
        <f>VLOOKUP($C$17,A143:P149,10)</f>
        <v>0</v>
      </c>
      <c r="G72" s="559"/>
      <c r="H72" s="559"/>
      <c r="I72" s="559"/>
      <c r="J72" s="559">
        <f t="shared" si="20"/>
        <v>0</v>
      </c>
      <c r="K72" s="559">
        <f t="shared" si="21"/>
        <v>0</v>
      </c>
      <c r="L72" s="625">
        <v>0</v>
      </c>
      <c r="M72" s="625">
        <f t="shared" si="22"/>
        <v>0</v>
      </c>
      <c r="N72" s="626">
        <f t="shared" si="23"/>
        <v>0</v>
      </c>
      <c r="O72" s="625">
        <f t="shared" si="24"/>
        <v>0</v>
      </c>
      <c r="P72" s="559"/>
      <c r="Q72" s="559">
        <v>0</v>
      </c>
      <c r="R72" s="559"/>
      <c r="S72" s="559"/>
      <c r="T72" s="559"/>
      <c r="U72" s="559"/>
      <c r="V72" s="559"/>
      <c r="W72" s="559"/>
      <c r="X72" s="559"/>
      <c r="Y72" s="559"/>
      <c r="Z72" s="559"/>
      <c r="AA72" s="559"/>
      <c r="AB72" s="559"/>
      <c r="AC72" s="559"/>
      <c r="AD72" s="559"/>
      <c r="AE72" s="559"/>
      <c r="AF72" s="559"/>
      <c r="AG72" s="559"/>
    </row>
    <row r="73" spans="1:33" ht="18" hidden="1" customHeight="1" x14ac:dyDescent="0.35">
      <c r="A73" s="559"/>
      <c r="B73" s="584" t="s">
        <v>55</v>
      </c>
      <c r="C73" s="584">
        <f>IF(F73=0,0,E75)</f>
        <v>0</v>
      </c>
      <c r="D73" s="584">
        <f>IF(F73=0,0,D75)</f>
        <v>0</v>
      </c>
      <c r="E73" s="579">
        <f>VLOOKUP(C17,A143:P149,9)</f>
        <v>0</v>
      </c>
      <c r="F73" s="584">
        <f>VLOOKUP($C$17,A143:P149,10)</f>
        <v>0</v>
      </c>
      <c r="G73" s="559"/>
      <c r="H73" s="559"/>
      <c r="I73" s="559"/>
      <c r="J73" s="559">
        <f t="shared" si="20"/>
        <v>0</v>
      </c>
      <c r="K73" s="559">
        <f t="shared" si="21"/>
        <v>0</v>
      </c>
      <c r="L73" s="625">
        <v>0</v>
      </c>
      <c r="M73" s="625">
        <f t="shared" si="22"/>
        <v>0</v>
      </c>
      <c r="N73" s="626">
        <f t="shared" si="23"/>
        <v>0</v>
      </c>
      <c r="O73" s="625">
        <f t="shared" si="24"/>
        <v>0</v>
      </c>
      <c r="P73" s="559"/>
      <c r="Q73" s="559">
        <v>0</v>
      </c>
      <c r="R73" s="559"/>
      <c r="S73" s="559"/>
      <c r="T73" s="559"/>
      <c r="U73" s="559"/>
      <c r="V73" s="559"/>
      <c r="W73" s="559"/>
      <c r="X73" s="559"/>
      <c r="Y73" s="559"/>
      <c r="Z73" s="559"/>
      <c r="AA73" s="559"/>
      <c r="AB73" s="559"/>
      <c r="AC73" s="559"/>
      <c r="AD73" s="559"/>
      <c r="AE73" s="559"/>
      <c r="AF73" s="559"/>
      <c r="AG73" s="559"/>
    </row>
    <row r="74" spans="1:33" ht="18" hidden="1" customHeight="1" x14ac:dyDescent="0.35">
      <c r="A74" s="559"/>
      <c r="B74" s="559"/>
      <c r="C74" s="559"/>
      <c r="D74" s="559"/>
      <c r="E74" s="559"/>
      <c r="F74" s="559"/>
      <c r="G74" s="559"/>
      <c r="H74" s="559"/>
      <c r="I74" s="559"/>
      <c r="J74" s="559"/>
      <c r="K74" s="559"/>
      <c r="L74" s="625"/>
      <c r="M74" s="625"/>
      <c r="N74" s="626"/>
      <c r="O74" s="625"/>
      <c r="P74" s="559"/>
      <c r="Q74" s="559"/>
      <c r="R74" s="559"/>
      <c r="S74" s="559"/>
      <c r="T74" s="559"/>
      <c r="U74" s="559"/>
      <c r="V74" s="559"/>
      <c r="W74" s="559"/>
      <c r="X74" s="559"/>
      <c r="Y74" s="559"/>
      <c r="Z74" s="559"/>
      <c r="AA74" s="559"/>
      <c r="AB74" s="559"/>
      <c r="AC74" s="559"/>
      <c r="AD74" s="559"/>
      <c r="AE74" s="559"/>
      <c r="AF74" s="559"/>
      <c r="AG74" s="559"/>
    </row>
    <row r="75" spans="1:33" ht="18" hidden="1" customHeight="1" x14ac:dyDescent="0.35">
      <c r="A75" s="559"/>
      <c r="B75" s="559" t="s">
        <v>66</v>
      </c>
      <c r="C75" s="559">
        <f>C69-VLOOKUP(C17,A143:P149,8)</f>
        <v>14</v>
      </c>
      <c r="D75" s="559">
        <f>D69-VLOOKUP(C17,A143:P149,8)</f>
        <v>17</v>
      </c>
      <c r="E75" s="559">
        <f>E69-VLOOKUP(C17,A143:P149,8)</f>
        <v>15.5</v>
      </c>
      <c r="F75" s="559"/>
      <c r="G75" s="559"/>
      <c r="H75" s="559"/>
      <c r="I75" s="559"/>
      <c r="J75" s="559"/>
      <c r="K75" s="559"/>
      <c r="L75" s="625"/>
      <c r="M75" s="625"/>
      <c r="N75" s="626"/>
      <c r="O75" s="625"/>
      <c r="P75" s="559"/>
      <c r="Q75" s="559"/>
      <c r="R75" s="559"/>
      <c r="S75" s="559"/>
      <c r="T75" s="559"/>
      <c r="U75" s="559"/>
      <c r="V75" s="559"/>
      <c r="W75" s="559"/>
      <c r="X75" s="559"/>
      <c r="Y75" s="559"/>
      <c r="Z75" s="559"/>
      <c r="AA75" s="559"/>
      <c r="AB75" s="559"/>
      <c r="AC75" s="559"/>
      <c r="AD75" s="559"/>
      <c r="AE75" s="559"/>
      <c r="AF75" s="559"/>
      <c r="AG75" s="559"/>
    </row>
    <row r="76" spans="1:33" ht="18" hidden="1" customHeight="1" x14ac:dyDescent="0.35">
      <c r="A76" s="559"/>
      <c r="B76" s="559"/>
      <c r="C76" s="559"/>
      <c r="D76" s="559"/>
      <c r="E76" s="559"/>
      <c r="F76" s="559"/>
      <c r="G76" s="559"/>
      <c r="H76" s="559"/>
      <c r="I76" s="559"/>
      <c r="J76" s="559"/>
      <c r="K76" s="559"/>
      <c r="L76" s="625"/>
      <c r="M76" s="625"/>
      <c r="N76" s="626"/>
      <c r="O76" s="625"/>
      <c r="P76" s="559"/>
      <c r="Q76" s="559"/>
      <c r="R76" s="559"/>
      <c r="S76" s="559"/>
      <c r="T76" s="559"/>
      <c r="U76" s="559"/>
      <c r="V76" s="559"/>
      <c r="W76" s="559"/>
      <c r="X76" s="559"/>
      <c r="Y76" s="559"/>
      <c r="Z76" s="559"/>
      <c r="AA76" s="559"/>
      <c r="AB76" s="559"/>
      <c r="AC76" s="559"/>
      <c r="AD76" s="559"/>
      <c r="AE76" s="559"/>
      <c r="AF76" s="559"/>
      <c r="AG76" s="559"/>
    </row>
    <row r="77" spans="1:33" ht="18" hidden="1" customHeight="1" x14ac:dyDescent="0.35">
      <c r="A77" s="573" t="s">
        <v>67</v>
      </c>
      <c r="B77" s="584" t="s">
        <v>63</v>
      </c>
      <c r="C77" s="584">
        <f>IF(F77=0,0,C80)</f>
        <v>0</v>
      </c>
      <c r="D77" s="584">
        <f>IF(F77=0,0,10)</f>
        <v>0</v>
      </c>
      <c r="E77" s="579">
        <f>VLOOKUP(C17,A143:P149,12)</f>
        <v>0</v>
      </c>
      <c r="F77" s="584">
        <f>VLOOKUP(C17,A143:P149,13)</f>
        <v>0</v>
      </c>
      <c r="G77" s="559"/>
      <c r="H77" s="559"/>
      <c r="I77" s="559"/>
      <c r="J77" s="559">
        <f t="shared" ref="J77:J78" si="25">IF(C77=0,0,(C77/100)*(D77/100)*F77)</f>
        <v>0</v>
      </c>
      <c r="K77" s="559">
        <f t="shared" ref="K77:K78" si="26">J77/0.8</f>
        <v>0</v>
      </c>
      <c r="L77" s="625">
        <v>0</v>
      </c>
      <c r="M77" s="625">
        <f t="shared" ref="M77:M78" si="27">L77*K77</f>
        <v>0</v>
      </c>
      <c r="N77" s="626">
        <f t="shared" ref="N77:N78" si="28">IF(J77=0,0,1+(6*J77))</f>
        <v>0</v>
      </c>
      <c r="O77" s="625">
        <f t="shared" ref="O77:O78" si="29">N77*' Objet Anti Vibratoire'!MinuteMO</f>
        <v>0</v>
      </c>
      <c r="P77" s="559"/>
      <c r="Q77" s="559">
        <v>0</v>
      </c>
      <c r="R77" s="559"/>
      <c r="S77" s="559"/>
      <c r="T77" s="559"/>
      <c r="U77" s="559"/>
      <c r="V77" s="559"/>
      <c r="W77" s="559"/>
      <c r="X77" s="559"/>
      <c r="Y77" s="559"/>
      <c r="Z77" s="559"/>
      <c r="AA77" s="559"/>
      <c r="AB77" s="559"/>
      <c r="AC77" s="559"/>
      <c r="AD77" s="559"/>
      <c r="AE77" s="559"/>
      <c r="AF77" s="559"/>
      <c r="AG77" s="559"/>
    </row>
    <row r="78" spans="1:33" ht="18" hidden="1" customHeight="1" x14ac:dyDescent="0.35">
      <c r="A78" s="559"/>
      <c r="B78" s="584" t="s">
        <v>54</v>
      </c>
      <c r="C78" s="584">
        <f>IF(F78=0,0,D75)</f>
        <v>0</v>
      </c>
      <c r="D78" s="584">
        <f>IF(F77=0,0,D77)</f>
        <v>0</v>
      </c>
      <c r="E78" s="579">
        <f>VLOOKUP(C17,A143:P149,12)</f>
        <v>0</v>
      </c>
      <c r="F78" s="584">
        <f>VLOOKUP(C17,A143:P149,13)*2</f>
        <v>0</v>
      </c>
      <c r="G78" s="559"/>
      <c r="H78" s="559"/>
      <c r="I78" s="559"/>
      <c r="J78" s="559">
        <f t="shared" si="25"/>
        <v>0</v>
      </c>
      <c r="K78" s="559">
        <f t="shared" si="26"/>
        <v>0</v>
      </c>
      <c r="L78" s="625">
        <v>0</v>
      </c>
      <c r="M78" s="625">
        <f t="shared" si="27"/>
        <v>0</v>
      </c>
      <c r="N78" s="626">
        <f t="shared" si="28"/>
        <v>0</v>
      </c>
      <c r="O78" s="625">
        <f t="shared" si="29"/>
        <v>0</v>
      </c>
      <c r="P78" s="559"/>
      <c r="Q78" s="559">
        <v>0</v>
      </c>
      <c r="R78" s="559"/>
      <c r="S78" s="559"/>
      <c r="T78" s="559"/>
      <c r="U78" s="559"/>
      <c r="V78" s="559"/>
      <c r="W78" s="559"/>
      <c r="X78" s="559"/>
      <c r="Y78" s="559"/>
      <c r="Z78" s="559"/>
      <c r="AA78" s="559"/>
      <c r="AB78" s="559"/>
      <c r="AC78" s="559"/>
      <c r="AD78" s="559"/>
      <c r="AE78" s="559"/>
      <c r="AF78" s="559"/>
      <c r="AG78" s="559"/>
    </row>
    <row r="79" spans="1:33" ht="18" hidden="1" customHeight="1" x14ac:dyDescent="0.35">
      <c r="A79" s="559"/>
      <c r="B79" s="559"/>
      <c r="C79" s="559"/>
      <c r="D79" s="559"/>
      <c r="E79" s="559"/>
      <c r="F79" s="559"/>
      <c r="G79" s="559"/>
      <c r="H79" s="559"/>
      <c r="I79" s="559"/>
      <c r="J79" s="559"/>
      <c r="K79" s="559"/>
      <c r="L79" s="625"/>
      <c r="M79" s="625"/>
      <c r="N79" s="626"/>
      <c r="O79" s="625"/>
      <c r="P79" s="559"/>
      <c r="Q79" s="559"/>
      <c r="R79" s="559"/>
      <c r="S79" s="559"/>
      <c r="T79" s="559"/>
      <c r="U79" s="559"/>
      <c r="V79" s="559"/>
      <c r="W79" s="559"/>
      <c r="X79" s="559"/>
      <c r="Y79" s="559"/>
      <c r="Z79" s="559"/>
      <c r="AA79" s="559"/>
      <c r="AB79" s="559"/>
      <c r="AC79" s="559"/>
      <c r="AD79" s="559"/>
      <c r="AE79" s="559"/>
      <c r="AF79" s="559"/>
      <c r="AG79" s="559"/>
    </row>
    <row r="80" spans="1:33" ht="18" hidden="1" customHeight="1" x14ac:dyDescent="0.35">
      <c r="A80" s="559"/>
      <c r="B80" s="559" t="s">
        <v>68</v>
      </c>
      <c r="C80" s="559">
        <f>C75-VLOOKUP($C$17,A143:P149,11)</f>
        <v>14</v>
      </c>
      <c r="D80" s="559">
        <f>D75-VLOOKUP($C$17,A143:P149,11)</f>
        <v>17</v>
      </c>
      <c r="E80" s="559">
        <f>E75-VLOOKUP($C$17,A143:P149,11)</f>
        <v>15.5</v>
      </c>
      <c r="F80" s="559"/>
      <c r="G80" s="559"/>
      <c r="H80" s="559"/>
      <c r="I80" s="559"/>
      <c r="J80" s="559"/>
      <c r="K80" s="559"/>
      <c r="L80" s="625"/>
      <c r="M80" s="625"/>
      <c r="N80" s="626"/>
      <c r="O80" s="625"/>
      <c r="P80" s="559"/>
      <c r="Q80" s="559"/>
      <c r="R80" s="559"/>
      <c r="S80" s="559"/>
      <c r="T80" s="559"/>
      <c r="U80" s="559"/>
      <c r="V80" s="559"/>
      <c r="W80" s="559"/>
      <c r="X80" s="559"/>
      <c r="Y80" s="559"/>
      <c r="Z80" s="559"/>
      <c r="AA80" s="559"/>
      <c r="AB80" s="559"/>
      <c r="AC80" s="559"/>
      <c r="AD80" s="559"/>
      <c r="AE80" s="559"/>
      <c r="AF80" s="559"/>
      <c r="AG80" s="559"/>
    </row>
    <row r="81" spans="1:33" ht="18" hidden="1" customHeight="1" x14ac:dyDescent="0.35">
      <c r="A81" s="559"/>
      <c r="B81" s="559"/>
      <c r="C81" s="559"/>
      <c r="D81" s="559"/>
      <c r="E81" s="559"/>
      <c r="F81" s="559"/>
      <c r="G81" s="559"/>
      <c r="H81" s="559"/>
      <c r="I81" s="559"/>
      <c r="J81" s="559"/>
      <c r="K81" s="559"/>
      <c r="L81" s="625"/>
      <c r="M81" s="625"/>
      <c r="N81" s="626"/>
      <c r="O81" s="625"/>
      <c r="P81" s="559"/>
      <c r="Q81" s="559"/>
      <c r="R81" s="559"/>
      <c r="S81" s="559"/>
      <c r="T81" s="559"/>
      <c r="U81" s="559"/>
      <c r="V81" s="559"/>
      <c r="W81" s="559"/>
      <c r="X81" s="559"/>
      <c r="Y81" s="559"/>
      <c r="Z81" s="559"/>
      <c r="AA81" s="559"/>
      <c r="AB81" s="559"/>
      <c r="AC81" s="559"/>
      <c r="AD81" s="559"/>
      <c r="AE81" s="559"/>
      <c r="AF81" s="559"/>
      <c r="AG81" s="559"/>
    </row>
    <row r="82" spans="1:33" ht="18" hidden="1" customHeight="1" x14ac:dyDescent="0.35">
      <c r="A82" s="573" t="s">
        <v>69</v>
      </c>
      <c r="B82" s="584" t="s">
        <v>63</v>
      </c>
      <c r="C82" s="584">
        <f>IF(F82=0,0,C86+VLOOKUP($C$17,A143:P149,14))</f>
        <v>0</v>
      </c>
      <c r="D82" s="584">
        <f>IF(F82=0,0,E86+VLOOKUP($C$17,A143:P149,14))</f>
        <v>0</v>
      </c>
      <c r="E82" s="579">
        <f>VLOOKUP($C$17,A143:P149,15)</f>
        <v>0</v>
      </c>
      <c r="F82" s="584">
        <f>VLOOKUP($C$17,A143:P149,16)</f>
        <v>0</v>
      </c>
      <c r="G82" s="559"/>
      <c r="H82" s="559"/>
      <c r="I82" s="559"/>
      <c r="J82" s="559">
        <f t="shared" ref="J82:J84" si="30">IF(C82=0,0,(C82/100)*(D82/100)*F82)</f>
        <v>0</v>
      </c>
      <c r="K82" s="559">
        <f t="shared" ref="K82:K84" si="31">J82/0.8</f>
        <v>0</v>
      </c>
      <c r="L82" s="625">
        <v>0</v>
      </c>
      <c r="M82" s="625">
        <f t="shared" ref="M82:M84" si="32">L82*K82</f>
        <v>0</v>
      </c>
      <c r="N82" s="626">
        <f t="shared" ref="N82:N84" si="33">IF(J82=0,0,(3.94*J82)+5)</f>
        <v>0</v>
      </c>
      <c r="O82" s="625">
        <f t="shared" ref="O82:O84" si="34">N82*' Objet Anti Vibratoire'!MinuteMO</f>
        <v>0</v>
      </c>
      <c r="P82" s="559"/>
      <c r="Q82" s="559">
        <v>0</v>
      </c>
      <c r="R82" s="559"/>
      <c r="S82" s="559"/>
      <c r="T82" s="559"/>
      <c r="U82" s="559"/>
      <c r="V82" s="559"/>
      <c r="W82" s="559"/>
      <c r="X82" s="559"/>
      <c r="Y82" s="559"/>
      <c r="Z82" s="559"/>
      <c r="AA82" s="559"/>
      <c r="AB82" s="559"/>
      <c r="AC82" s="559"/>
      <c r="AD82" s="559"/>
      <c r="AE82" s="559"/>
      <c r="AF82" s="559"/>
      <c r="AG82" s="559"/>
    </row>
    <row r="83" spans="1:33" ht="18" hidden="1" customHeight="1" x14ac:dyDescent="0.35">
      <c r="A83" s="559"/>
      <c r="B83" s="584" t="s">
        <v>54</v>
      </c>
      <c r="C83" s="584">
        <f>IF(F83=0,0,C86+VLOOKUP($C$17,A143:P149,14))</f>
        <v>0</v>
      </c>
      <c r="D83" s="584">
        <f>IF(F83=0,0,D86)</f>
        <v>0</v>
      </c>
      <c r="E83" s="579">
        <f>VLOOKUP($C$17,A143:P149,15)</f>
        <v>0</v>
      </c>
      <c r="F83" s="584">
        <f>VLOOKUP($C$17,A143:P149,16)</f>
        <v>0</v>
      </c>
      <c r="G83" s="559"/>
      <c r="H83" s="559"/>
      <c r="I83" s="559"/>
      <c r="J83" s="559">
        <f t="shared" si="30"/>
        <v>0</v>
      </c>
      <c r="K83" s="559">
        <f t="shared" si="31"/>
        <v>0</v>
      </c>
      <c r="L83" s="625">
        <v>0</v>
      </c>
      <c r="M83" s="625">
        <f t="shared" si="32"/>
        <v>0</v>
      </c>
      <c r="N83" s="626">
        <f t="shared" si="33"/>
        <v>0</v>
      </c>
      <c r="O83" s="625">
        <f t="shared" si="34"/>
        <v>0</v>
      </c>
      <c r="P83" s="559"/>
      <c r="Q83" s="559">
        <v>0</v>
      </c>
      <c r="R83" s="559"/>
      <c r="S83" s="559"/>
      <c r="T83" s="559"/>
      <c r="U83" s="559"/>
      <c r="V83" s="559"/>
      <c r="W83" s="559"/>
      <c r="X83" s="559"/>
      <c r="Y83" s="559"/>
      <c r="Z83" s="559"/>
      <c r="AA83" s="559"/>
      <c r="AB83" s="559"/>
      <c r="AC83" s="559"/>
      <c r="AD83" s="559"/>
      <c r="AE83" s="559"/>
      <c r="AF83" s="559"/>
      <c r="AG83" s="559"/>
    </row>
    <row r="84" spans="1:33" ht="18" hidden="1" customHeight="1" x14ac:dyDescent="0.35">
      <c r="A84" s="559"/>
      <c r="B84" s="584" t="s">
        <v>55</v>
      </c>
      <c r="C84" s="584">
        <f>IF(F84=0,0,E86)</f>
        <v>0</v>
      </c>
      <c r="D84" s="584">
        <f>IF(F84=0,0,D86)</f>
        <v>0</v>
      </c>
      <c r="E84" s="579">
        <f>VLOOKUP($C$17,A143:P149,15)</f>
        <v>0</v>
      </c>
      <c r="F84" s="584">
        <f>VLOOKUP($C$17,A143:P149,16)</f>
        <v>0</v>
      </c>
      <c r="G84" s="559"/>
      <c r="H84" s="559"/>
      <c r="I84" s="559"/>
      <c r="J84" s="559">
        <f t="shared" si="30"/>
        <v>0</v>
      </c>
      <c r="K84" s="559">
        <f t="shared" si="31"/>
        <v>0</v>
      </c>
      <c r="L84" s="625">
        <v>0</v>
      </c>
      <c r="M84" s="625">
        <f t="shared" si="32"/>
        <v>0</v>
      </c>
      <c r="N84" s="626">
        <f t="shared" si="33"/>
        <v>0</v>
      </c>
      <c r="O84" s="625">
        <f t="shared" si="34"/>
        <v>0</v>
      </c>
      <c r="P84" s="559"/>
      <c r="Q84" s="559">
        <v>0</v>
      </c>
      <c r="R84" s="559"/>
      <c r="S84" s="559"/>
      <c r="T84" s="559"/>
      <c r="U84" s="559"/>
      <c r="V84" s="559"/>
      <c r="W84" s="559"/>
      <c r="X84" s="559"/>
      <c r="Y84" s="559"/>
      <c r="Z84" s="559"/>
      <c r="AA84" s="559"/>
      <c r="AB84" s="559"/>
      <c r="AC84" s="559"/>
      <c r="AD84" s="559"/>
      <c r="AE84" s="559"/>
      <c r="AF84" s="559"/>
      <c r="AG84" s="559"/>
    </row>
    <row r="85" spans="1:33" ht="18" hidden="1" customHeight="1" x14ac:dyDescent="0.35">
      <c r="A85" s="559"/>
      <c r="B85" s="559"/>
      <c r="C85" s="559"/>
      <c r="D85" s="559"/>
      <c r="E85" s="559"/>
      <c r="F85" s="559"/>
      <c r="G85" s="559"/>
      <c r="H85" s="559"/>
      <c r="I85" s="559"/>
      <c r="J85" s="559"/>
      <c r="K85" s="559"/>
      <c r="L85" s="625"/>
      <c r="M85" s="625"/>
      <c r="N85" s="626"/>
      <c r="O85" s="625"/>
      <c r="P85" s="559"/>
      <c r="Q85" s="559"/>
      <c r="R85" s="559"/>
      <c r="S85" s="559"/>
      <c r="T85" s="559"/>
      <c r="U85" s="559"/>
      <c r="V85" s="559"/>
      <c r="W85" s="559"/>
      <c r="X85" s="559"/>
      <c r="Y85" s="559"/>
      <c r="Z85" s="559"/>
      <c r="AA85" s="559"/>
      <c r="AB85" s="559"/>
      <c r="AC85" s="559"/>
      <c r="AD85" s="559"/>
      <c r="AE85" s="559"/>
      <c r="AF85" s="559"/>
      <c r="AG85" s="559"/>
    </row>
    <row r="86" spans="1:33" ht="18" hidden="1" customHeight="1" x14ac:dyDescent="0.35">
      <c r="A86" s="559"/>
      <c r="B86" s="559" t="s">
        <v>66</v>
      </c>
      <c r="C86" s="559">
        <f>C80-VLOOKUP($C$17,A143:P149,14)</f>
        <v>14</v>
      </c>
      <c r="D86" s="559">
        <f>D80-VLOOKUP($C$17,A143:P149,14)</f>
        <v>17</v>
      </c>
      <c r="E86" s="559">
        <f>E80-VLOOKUP($C$17,A143:P149,14)</f>
        <v>15.5</v>
      </c>
      <c r="F86" s="559"/>
      <c r="G86" s="559"/>
      <c r="H86" s="559"/>
      <c r="I86" s="559"/>
      <c r="J86" s="559"/>
      <c r="K86" s="559"/>
      <c r="L86" s="625"/>
      <c r="M86" s="625"/>
      <c r="N86" s="626"/>
      <c r="O86" s="625"/>
      <c r="P86" s="559"/>
      <c r="Q86" s="559"/>
      <c r="R86" s="559"/>
      <c r="S86" s="559"/>
      <c r="T86" s="559"/>
      <c r="U86" s="559"/>
      <c r="V86" s="559"/>
      <c r="W86" s="559"/>
      <c r="X86" s="559"/>
      <c r="Y86" s="559"/>
      <c r="Z86" s="559"/>
      <c r="AA86" s="559"/>
      <c r="AB86" s="559"/>
      <c r="AC86" s="559"/>
      <c r="AD86" s="559"/>
      <c r="AE86" s="559"/>
      <c r="AF86" s="559"/>
      <c r="AG86" s="559"/>
    </row>
    <row r="87" spans="1:33" ht="18" hidden="1" customHeight="1" x14ac:dyDescent="0.35">
      <c r="A87" s="559"/>
      <c r="B87" s="559"/>
      <c r="C87" s="559"/>
      <c r="D87" s="559"/>
      <c r="E87" s="559"/>
      <c r="F87" s="559"/>
      <c r="G87" s="559"/>
      <c r="H87" s="559"/>
      <c r="I87" s="559"/>
      <c r="J87" s="559"/>
      <c r="K87" s="559"/>
      <c r="L87" s="625"/>
      <c r="M87" s="625"/>
      <c r="N87" s="626"/>
      <c r="O87" s="625"/>
      <c r="P87" s="559"/>
      <c r="Q87" s="559"/>
      <c r="R87" s="559"/>
      <c r="S87" s="559"/>
      <c r="T87" s="559"/>
      <c r="U87" s="559"/>
      <c r="V87" s="559"/>
      <c r="W87" s="559"/>
      <c r="X87" s="559"/>
      <c r="Y87" s="559"/>
      <c r="Z87" s="559"/>
      <c r="AA87" s="559"/>
      <c r="AB87" s="559"/>
      <c r="AC87" s="559"/>
      <c r="AD87" s="559"/>
      <c r="AE87" s="559"/>
      <c r="AF87" s="559"/>
      <c r="AG87" s="559"/>
    </row>
    <row r="88" spans="1:33" ht="18" hidden="1" customHeight="1" x14ac:dyDescent="0.35">
      <c r="A88" s="573" t="s">
        <v>221</v>
      </c>
      <c r="B88" s="584" t="s">
        <v>55</v>
      </c>
      <c r="C88" s="584">
        <f>IF($C$17="Aucun",0,E86)</f>
        <v>0</v>
      </c>
      <c r="D88" s="584">
        <f>IF($C$17="Aucun",0,D86)</f>
        <v>0</v>
      </c>
      <c r="E88" s="622">
        <f t="shared" ref="E88:E89" si="35">IF(C88=0,0,"Peuplier 15 mm")</f>
        <v>0</v>
      </c>
      <c r="F88" s="584">
        <f>IF($C$17="Aucun",0,2)</f>
        <v>0</v>
      </c>
      <c r="G88" s="559"/>
      <c r="H88" s="559"/>
      <c r="I88" s="559"/>
      <c r="J88" s="624">
        <f t="shared" ref="J88:J89" si="36">IF(C88=0,0,(C88/100)*(D88/100)*F88)</f>
        <v>0</v>
      </c>
      <c r="K88" s="624">
        <f t="shared" ref="K88:K89" si="37">J88/0.8</f>
        <v>0</v>
      </c>
      <c r="L88" s="625">
        <v>0</v>
      </c>
      <c r="M88" s="625">
        <f t="shared" ref="M88:M89" si="38">L88*K88</f>
        <v>0</v>
      </c>
      <c r="N88" s="626">
        <f t="shared" ref="N88:N89" si="39">IF(J88=0,0,5+(6*J88))</f>
        <v>0</v>
      </c>
      <c r="O88" s="625">
        <f t="shared" ref="O88:O89" si="40">N88*' Objet Anti Vibratoire'!MinuteMO</f>
        <v>0</v>
      </c>
      <c r="P88" s="559"/>
      <c r="Q88" s="559">
        <v>0</v>
      </c>
      <c r="R88" s="559"/>
      <c r="S88" s="559"/>
      <c r="T88" s="559"/>
      <c r="U88" s="559"/>
      <c r="V88" s="559"/>
      <c r="W88" s="559"/>
      <c r="X88" s="559"/>
      <c r="Y88" s="559"/>
      <c r="Z88" s="559"/>
      <c r="AA88" s="559"/>
      <c r="AB88" s="559"/>
      <c r="AC88" s="559"/>
      <c r="AD88" s="559"/>
      <c r="AE88" s="559"/>
      <c r="AF88" s="559"/>
      <c r="AG88" s="559"/>
    </row>
    <row r="89" spans="1:33" ht="18" hidden="1" customHeight="1" x14ac:dyDescent="0.35">
      <c r="A89" s="559"/>
      <c r="B89" s="584" t="s">
        <v>308</v>
      </c>
      <c r="C89" s="584">
        <f>IF($C$17="Aucun",0,C86-3)</f>
        <v>0</v>
      </c>
      <c r="D89" s="584">
        <f>IF($C$17="Aucun",0,D88)</f>
        <v>0</v>
      </c>
      <c r="E89" s="622">
        <f t="shared" si="35"/>
        <v>0</v>
      </c>
      <c r="F89" s="584">
        <f>IF($C$17="Aucun",0,1)</f>
        <v>0</v>
      </c>
      <c r="G89" s="559"/>
      <c r="H89" s="559"/>
      <c r="I89" s="559"/>
      <c r="J89" s="624">
        <f t="shared" si="36"/>
        <v>0</v>
      </c>
      <c r="K89" s="624">
        <f t="shared" si="37"/>
        <v>0</v>
      </c>
      <c r="L89" s="625">
        <v>0</v>
      </c>
      <c r="M89" s="625">
        <f t="shared" si="38"/>
        <v>0</v>
      </c>
      <c r="N89" s="626">
        <f t="shared" si="39"/>
        <v>0</v>
      </c>
      <c r="O89" s="625">
        <f t="shared" si="40"/>
        <v>0</v>
      </c>
      <c r="P89" s="559"/>
      <c r="Q89" s="559">
        <v>0</v>
      </c>
      <c r="R89" s="559"/>
      <c r="S89" s="559"/>
      <c r="T89" s="559"/>
      <c r="U89" s="559"/>
      <c r="V89" s="559"/>
      <c r="W89" s="559"/>
      <c r="X89" s="559"/>
      <c r="Y89" s="559"/>
      <c r="Z89" s="559"/>
      <c r="AA89" s="559"/>
      <c r="AB89" s="559"/>
      <c r="AC89" s="559"/>
      <c r="AD89" s="559"/>
      <c r="AE89" s="559"/>
      <c r="AF89" s="559"/>
      <c r="AG89" s="559"/>
    </row>
    <row r="90" spans="1:33" ht="18" hidden="1" customHeight="1" x14ac:dyDescent="0.35">
      <c r="A90" s="559"/>
      <c r="B90" s="559"/>
      <c r="C90" s="559"/>
      <c r="D90" s="559"/>
      <c r="E90" s="632"/>
      <c r="F90" s="559"/>
      <c r="G90" s="559"/>
      <c r="H90" s="771"/>
      <c r="I90" s="559"/>
      <c r="J90" s="624"/>
      <c r="K90" s="624"/>
      <c r="L90" s="625"/>
      <c r="M90" s="625"/>
      <c r="N90" s="626"/>
      <c r="O90" s="625"/>
      <c r="P90" s="559"/>
      <c r="Q90" s="559"/>
      <c r="R90" s="559"/>
      <c r="S90" s="559"/>
      <c r="T90" s="559"/>
      <c r="U90" s="559"/>
      <c r="V90" s="559"/>
      <c r="W90" s="559"/>
      <c r="X90" s="559"/>
      <c r="Y90" s="559"/>
      <c r="Z90" s="559"/>
      <c r="AA90" s="559"/>
      <c r="AB90" s="559"/>
      <c r="AC90" s="559"/>
      <c r="AD90" s="559"/>
      <c r="AE90" s="559"/>
      <c r="AF90" s="559"/>
      <c r="AG90" s="559"/>
    </row>
    <row r="91" spans="1:33" ht="18" hidden="1" customHeight="1" x14ac:dyDescent="0.35">
      <c r="A91" s="559"/>
      <c r="B91" s="559" t="s">
        <v>426</v>
      </c>
      <c r="C91" s="559">
        <f>C86-VLOOKUP($C$17,A143:S149,14)</f>
        <v>14</v>
      </c>
      <c r="D91" s="559">
        <f>D86</f>
        <v>17</v>
      </c>
      <c r="E91" s="559">
        <f>E86-VLOOKUP($C$17,A143:S149,14)</f>
        <v>15.5</v>
      </c>
      <c r="F91" s="559"/>
      <c r="G91" s="559"/>
      <c r="H91" s="559"/>
      <c r="I91" s="559"/>
      <c r="J91" s="559"/>
      <c r="K91" s="559"/>
      <c r="L91" s="625"/>
      <c r="M91" s="625"/>
      <c r="N91" s="626"/>
      <c r="O91" s="625"/>
      <c r="P91" s="559"/>
      <c r="Q91" s="559"/>
      <c r="R91" s="559"/>
      <c r="S91" s="559"/>
      <c r="T91" s="559"/>
      <c r="U91" s="559"/>
      <c r="V91" s="559"/>
      <c r="W91" s="559"/>
      <c r="X91" s="559"/>
      <c r="Y91" s="559"/>
      <c r="Z91" s="559"/>
      <c r="AA91" s="559"/>
      <c r="AB91" s="559"/>
      <c r="AC91" s="559"/>
      <c r="AD91" s="559"/>
      <c r="AE91" s="559"/>
      <c r="AF91" s="559"/>
      <c r="AG91" s="559"/>
    </row>
    <row r="92" spans="1:33" ht="18" hidden="1" customHeight="1" x14ac:dyDescent="0.35">
      <c r="A92" s="559"/>
      <c r="B92" s="559"/>
      <c r="C92" s="632"/>
      <c r="D92" s="632"/>
      <c r="E92" s="632"/>
      <c r="F92" s="559"/>
      <c r="G92" s="559"/>
      <c r="H92" s="559"/>
      <c r="I92" s="559"/>
      <c r="J92" s="559"/>
      <c r="K92" s="559"/>
      <c r="L92" s="625"/>
      <c r="M92" s="625"/>
      <c r="N92" s="626"/>
      <c r="O92" s="625"/>
      <c r="P92" s="559"/>
      <c r="Q92" s="559"/>
      <c r="R92" s="559"/>
      <c r="S92" s="559"/>
      <c r="T92" s="559"/>
      <c r="U92" s="559"/>
      <c r="V92" s="559"/>
      <c r="W92" s="559"/>
      <c r="X92" s="559"/>
      <c r="Y92" s="559"/>
      <c r="Z92" s="559"/>
      <c r="AA92" s="559"/>
      <c r="AB92" s="559"/>
      <c r="AC92" s="559"/>
      <c r="AD92" s="559"/>
      <c r="AE92" s="559"/>
      <c r="AF92" s="559"/>
      <c r="AG92" s="559"/>
    </row>
    <row r="93" spans="1:33" ht="18" hidden="1" customHeight="1" x14ac:dyDescent="0.35">
      <c r="A93" s="573" t="s">
        <v>427</v>
      </c>
      <c r="B93" s="579" t="s">
        <v>63</v>
      </c>
      <c r="C93" s="630">
        <f>IF(C98=0,0,C98+3)</f>
        <v>0</v>
      </c>
      <c r="D93" s="630">
        <f>IF(E98=0,0,E98+1.5)</f>
        <v>0</v>
      </c>
      <c r="E93" s="622" t="s">
        <v>10</v>
      </c>
      <c r="F93" s="631">
        <f>IF(C93=0,0,2)</f>
        <v>0</v>
      </c>
      <c r="G93" s="559"/>
      <c r="H93" s="559"/>
      <c r="I93" s="559"/>
      <c r="J93" s="559">
        <f t="shared" ref="J93:J96" si="41">IF(D93=0,0,(D93/100)*(C93/100)*F93)</f>
        <v>0</v>
      </c>
      <c r="K93" s="559">
        <f t="shared" ref="K93:K96" si="42">J93/0.8</f>
        <v>0</v>
      </c>
      <c r="L93" s="625" t="s">
        <v>663</v>
      </c>
      <c r="M93" s="625" t="e">
        <f t="shared" ref="M93:M96" si="43">L93*K93</f>
        <v>#VALUE!</v>
      </c>
      <c r="N93" s="626">
        <f t="shared" ref="N93:N96" si="44">IF(J93=0,0,(6.0924*J93)+10)</f>
        <v>0</v>
      </c>
      <c r="O93" s="625">
        <f t="shared" ref="O93:O96" si="45">N93*' Objet Anti Vibratoire'!MinuteMO</f>
        <v>0</v>
      </c>
      <c r="P93" s="559"/>
      <c r="Q93" s="559" t="s">
        <v>663</v>
      </c>
      <c r="R93" s="559"/>
      <c r="S93" s="559"/>
      <c r="T93" s="559"/>
      <c r="U93" s="559"/>
      <c r="V93" s="559"/>
      <c r="W93" s="559"/>
      <c r="X93" s="559"/>
      <c r="Y93" s="559"/>
      <c r="Z93" s="559"/>
      <c r="AA93" s="559"/>
      <c r="AB93" s="559"/>
      <c r="AC93" s="559"/>
      <c r="AD93" s="559"/>
      <c r="AE93" s="559"/>
      <c r="AF93" s="559"/>
      <c r="AG93" s="559"/>
    </row>
    <row r="94" spans="1:33" ht="18" hidden="1" customHeight="1" x14ac:dyDescent="0.35">
      <c r="A94" s="559"/>
      <c r="B94" s="579" t="s">
        <v>175</v>
      </c>
      <c r="C94" s="630">
        <f>C93</f>
        <v>0</v>
      </c>
      <c r="D94" s="630">
        <f>IF(D98=0,0,D98+3.5)</f>
        <v>0</v>
      </c>
      <c r="E94" s="622" t="s">
        <v>10</v>
      </c>
      <c r="F94" s="631">
        <f t="shared" ref="F94:F95" si="46">IF(C94=0,0,1)</f>
        <v>0</v>
      </c>
      <c r="G94" s="559"/>
      <c r="H94" s="559"/>
      <c r="I94" s="559"/>
      <c r="J94" s="559">
        <f t="shared" si="41"/>
        <v>0</v>
      </c>
      <c r="K94" s="559">
        <f t="shared" si="42"/>
        <v>0</v>
      </c>
      <c r="L94" s="625" t="s">
        <v>663</v>
      </c>
      <c r="M94" s="625" t="e">
        <f t="shared" si="43"/>
        <v>#VALUE!</v>
      </c>
      <c r="N94" s="626">
        <f t="shared" si="44"/>
        <v>0</v>
      </c>
      <c r="O94" s="625">
        <f t="shared" si="45"/>
        <v>0</v>
      </c>
      <c r="P94" s="559"/>
      <c r="Q94" s="559" t="s">
        <v>663</v>
      </c>
      <c r="R94" s="559"/>
      <c r="S94" s="559"/>
      <c r="T94" s="559"/>
      <c r="U94" s="559"/>
      <c r="V94" s="559"/>
      <c r="W94" s="559"/>
      <c r="X94" s="559"/>
      <c r="Y94" s="559"/>
      <c r="Z94" s="559"/>
      <c r="AA94" s="559"/>
      <c r="AB94" s="559"/>
      <c r="AC94" s="559"/>
      <c r="AD94" s="559"/>
      <c r="AE94" s="559"/>
      <c r="AF94" s="559"/>
      <c r="AG94" s="559"/>
    </row>
    <row r="95" spans="1:33" ht="18" hidden="1" customHeight="1" x14ac:dyDescent="0.35">
      <c r="A95" s="559"/>
      <c r="B95" s="579" t="s">
        <v>176</v>
      </c>
      <c r="C95" s="630">
        <f t="shared" ref="C95:D95" si="47">C98</f>
        <v>0</v>
      </c>
      <c r="D95" s="630">
        <f t="shared" si="47"/>
        <v>0</v>
      </c>
      <c r="E95" s="622" t="s">
        <v>10</v>
      </c>
      <c r="F95" s="631">
        <f t="shared" si="46"/>
        <v>0</v>
      </c>
      <c r="G95" s="559"/>
      <c r="H95" s="559"/>
      <c r="I95" s="559"/>
      <c r="J95" s="559">
        <f t="shared" si="41"/>
        <v>0</v>
      </c>
      <c r="K95" s="559">
        <f t="shared" si="42"/>
        <v>0</v>
      </c>
      <c r="L95" s="625" t="s">
        <v>663</v>
      </c>
      <c r="M95" s="625" t="e">
        <f t="shared" si="43"/>
        <v>#VALUE!</v>
      </c>
      <c r="N95" s="626">
        <f t="shared" si="44"/>
        <v>0</v>
      </c>
      <c r="O95" s="625">
        <f t="shared" si="45"/>
        <v>0</v>
      </c>
      <c r="P95" s="559"/>
      <c r="Q95" s="559" t="s">
        <v>663</v>
      </c>
      <c r="R95" s="559"/>
      <c r="S95" s="559"/>
      <c r="T95" s="559"/>
      <c r="U95" s="559"/>
      <c r="V95" s="559"/>
      <c r="W95" s="559"/>
      <c r="X95" s="559"/>
      <c r="Y95" s="559"/>
      <c r="Z95" s="559"/>
      <c r="AA95" s="559"/>
      <c r="AB95" s="559"/>
      <c r="AC95" s="559"/>
      <c r="AD95" s="559"/>
      <c r="AE95" s="559"/>
      <c r="AF95" s="559"/>
      <c r="AG95" s="559"/>
    </row>
    <row r="96" spans="1:33" ht="18" hidden="1" customHeight="1" x14ac:dyDescent="0.35">
      <c r="A96" s="559"/>
      <c r="B96" s="579" t="s">
        <v>55</v>
      </c>
      <c r="C96" s="630">
        <f>D98</f>
        <v>0</v>
      </c>
      <c r="D96" s="630">
        <f>D93</f>
        <v>0</v>
      </c>
      <c r="E96" s="622" t="s">
        <v>10</v>
      </c>
      <c r="F96" s="631">
        <f>IF(C96=0,0,2)</f>
        <v>0</v>
      </c>
      <c r="G96" s="559"/>
      <c r="H96" s="559"/>
      <c r="I96" s="559"/>
      <c r="J96" s="559">
        <f t="shared" si="41"/>
        <v>0</v>
      </c>
      <c r="K96" s="559">
        <f t="shared" si="42"/>
        <v>0</v>
      </c>
      <c r="L96" s="625" t="s">
        <v>663</v>
      </c>
      <c r="M96" s="625" t="e">
        <f t="shared" si="43"/>
        <v>#VALUE!</v>
      </c>
      <c r="N96" s="626">
        <f t="shared" si="44"/>
        <v>0</v>
      </c>
      <c r="O96" s="625">
        <f t="shared" si="45"/>
        <v>0</v>
      </c>
      <c r="P96" s="559"/>
      <c r="Q96" s="559" t="s">
        <v>663</v>
      </c>
      <c r="R96" s="559"/>
      <c r="S96" s="559"/>
      <c r="T96" s="559"/>
      <c r="U96" s="559"/>
      <c r="V96" s="559"/>
      <c r="W96" s="559"/>
      <c r="X96" s="559"/>
      <c r="Y96" s="559"/>
      <c r="Z96" s="559"/>
      <c r="AA96" s="559"/>
      <c r="AB96" s="559"/>
      <c r="AC96" s="559"/>
      <c r="AD96" s="559"/>
      <c r="AE96" s="559"/>
      <c r="AF96" s="559"/>
      <c r="AG96" s="559"/>
    </row>
    <row r="97" spans="1:33" ht="18" hidden="1" customHeight="1" x14ac:dyDescent="0.35">
      <c r="A97" s="559"/>
      <c r="B97" s="559"/>
      <c r="C97" s="559"/>
      <c r="D97" s="559"/>
      <c r="E97" s="559"/>
      <c r="F97" s="559"/>
      <c r="G97" s="559"/>
      <c r="H97" s="559"/>
      <c r="I97" s="559"/>
      <c r="J97" s="559"/>
      <c r="K97" s="559"/>
      <c r="L97" s="625"/>
      <c r="M97" s="559"/>
      <c r="N97" s="626"/>
      <c r="O97" s="625"/>
      <c r="P97" s="559"/>
      <c r="Q97" s="559"/>
      <c r="R97" s="559"/>
      <c r="S97" s="559"/>
      <c r="T97" s="559"/>
      <c r="U97" s="559"/>
      <c r="V97" s="559"/>
      <c r="W97" s="559"/>
      <c r="X97" s="559"/>
      <c r="Y97" s="559"/>
      <c r="Z97" s="559"/>
      <c r="AA97" s="559"/>
      <c r="AB97" s="559"/>
      <c r="AC97" s="559"/>
      <c r="AD97" s="559"/>
      <c r="AE97" s="559"/>
      <c r="AF97" s="559"/>
      <c r="AG97" s="559"/>
    </row>
    <row r="98" spans="1:33" ht="18" hidden="1" customHeight="1" x14ac:dyDescent="0.35">
      <c r="A98" s="559"/>
      <c r="B98" s="559" t="s">
        <v>428</v>
      </c>
      <c r="C98" s="772">
        <f t="shared" ref="C98:E98" si="48">C35</f>
        <v>0</v>
      </c>
      <c r="D98" s="772">
        <f t="shared" si="48"/>
        <v>0</v>
      </c>
      <c r="E98" s="772">
        <f t="shared" si="48"/>
        <v>0</v>
      </c>
      <c r="F98" s="559"/>
      <c r="G98" s="559"/>
      <c r="H98" s="559"/>
      <c r="I98" s="559"/>
      <c r="J98" s="559"/>
      <c r="K98" s="559"/>
      <c r="L98" s="625"/>
      <c r="M98" s="625"/>
      <c r="N98" s="626"/>
      <c r="O98" s="625"/>
      <c r="P98" s="559"/>
      <c r="Q98" s="559"/>
      <c r="R98" s="559"/>
      <c r="S98" s="559"/>
      <c r="T98" s="559"/>
      <c r="U98" s="559"/>
      <c r="V98" s="559"/>
      <c r="W98" s="559"/>
      <c r="X98" s="559"/>
      <c r="Y98" s="559"/>
      <c r="Z98" s="559"/>
      <c r="AA98" s="559"/>
      <c r="AB98" s="559"/>
      <c r="AC98" s="559"/>
      <c r="AD98" s="559"/>
      <c r="AE98" s="559"/>
      <c r="AF98" s="559"/>
      <c r="AG98" s="559"/>
    </row>
    <row r="99" spans="1:33" ht="18" hidden="1" customHeight="1" x14ac:dyDescent="0.35">
      <c r="A99" s="559"/>
      <c r="B99" s="559"/>
      <c r="C99" s="559"/>
      <c r="D99" s="559"/>
      <c r="E99" s="559"/>
      <c r="F99" s="559"/>
      <c r="G99" s="559"/>
      <c r="H99" s="559"/>
      <c r="I99" s="559"/>
      <c r="J99" s="559"/>
      <c r="K99" s="559"/>
      <c r="L99" s="625"/>
      <c r="M99" s="625"/>
      <c r="N99" s="626"/>
      <c r="O99" s="625"/>
      <c r="P99" s="559"/>
      <c r="Q99" s="559"/>
      <c r="R99" s="559"/>
      <c r="S99" s="559"/>
      <c r="T99" s="559"/>
      <c r="U99" s="559"/>
      <c r="V99" s="559"/>
      <c r="W99" s="559"/>
      <c r="X99" s="559"/>
      <c r="Y99" s="559"/>
      <c r="Z99" s="559"/>
      <c r="AA99" s="559"/>
      <c r="AB99" s="559"/>
      <c r="AC99" s="559"/>
      <c r="AD99" s="559"/>
      <c r="AE99" s="559"/>
      <c r="AF99" s="559"/>
      <c r="AG99" s="559"/>
    </row>
    <row r="100" spans="1:33" ht="18" hidden="1" customHeight="1" x14ac:dyDescent="0.35">
      <c r="A100" s="573" t="s">
        <v>70</v>
      </c>
      <c r="B100" s="559"/>
      <c r="C100" s="559"/>
      <c r="D100" s="559"/>
      <c r="E100" s="559"/>
      <c r="F100" s="559"/>
      <c r="G100" s="559"/>
      <c r="H100" s="559"/>
      <c r="I100" s="559"/>
      <c r="J100" s="559">
        <f t="shared" ref="J100:J102" si="49">IF(C100=0,0,(C100/100)*(D100/100)*F100)</f>
        <v>0</v>
      </c>
      <c r="K100" s="559">
        <f t="shared" ref="K100:K115" si="50">J100/0.8</f>
        <v>0</v>
      </c>
      <c r="L100" s="625"/>
      <c r="M100" s="625"/>
      <c r="N100" s="626"/>
      <c r="O100" s="625"/>
      <c r="P100" s="559"/>
      <c r="Q100" s="559">
        <v>0</v>
      </c>
      <c r="R100" s="559"/>
      <c r="S100" s="559"/>
      <c r="T100" s="559"/>
      <c r="U100" s="559"/>
      <c r="V100" s="559"/>
      <c r="W100" s="559"/>
      <c r="X100" s="559"/>
      <c r="Y100" s="559"/>
      <c r="Z100" s="559"/>
      <c r="AA100" s="559"/>
      <c r="AB100" s="559"/>
      <c r="AC100" s="559"/>
      <c r="AD100" s="559"/>
      <c r="AE100" s="559"/>
      <c r="AF100" s="559"/>
      <c r="AG100" s="559"/>
    </row>
    <row r="101" spans="1:33" ht="18" hidden="1" customHeight="1" x14ac:dyDescent="0.35">
      <c r="A101" s="559"/>
      <c r="B101" s="559"/>
      <c r="C101" s="559"/>
      <c r="D101" s="559"/>
      <c r="E101" s="559"/>
      <c r="F101" s="559"/>
      <c r="G101" s="559"/>
      <c r="H101" s="559"/>
      <c r="I101" s="559"/>
      <c r="J101" s="559">
        <f t="shared" si="49"/>
        <v>0</v>
      </c>
      <c r="K101" s="559">
        <f t="shared" si="50"/>
        <v>0</v>
      </c>
      <c r="L101" s="625"/>
      <c r="M101" s="625"/>
      <c r="N101" s="626"/>
      <c r="O101" s="625"/>
      <c r="P101" s="559"/>
      <c r="Q101" s="559">
        <v>0</v>
      </c>
      <c r="R101" s="559"/>
      <c r="S101" s="559"/>
      <c r="T101" s="559"/>
      <c r="U101" s="559"/>
      <c r="V101" s="559"/>
      <c r="W101" s="559"/>
      <c r="X101" s="559"/>
      <c r="Y101" s="559"/>
      <c r="Z101" s="559"/>
      <c r="AA101" s="559"/>
      <c r="AB101" s="559"/>
      <c r="AC101" s="559"/>
      <c r="AD101" s="559"/>
      <c r="AE101" s="559"/>
      <c r="AF101" s="559"/>
      <c r="AG101" s="559"/>
    </row>
    <row r="102" spans="1:33" ht="18" hidden="1" customHeight="1" x14ac:dyDescent="0.35">
      <c r="A102" s="559"/>
      <c r="B102" s="587" t="str">
        <f>C30</f>
        <v>Aucun</v>
      </c>
      <c r="C102" s="622"/>
      <c r="D102" s="630" t="s">
        <v>28</v>
      </c>
      <c r="E102" s="630" t="s">
        <v>33</v>
      </c>
      <c r="F102" s="631" t="s">
        <v>34</v>
      </c>
      <c r="G102" s="559"/>
      <c r="H102" s="559"/>
      <c r="I102" s="559"/>
      <c r="J102" s="559">
        <f t="shared" si="49"/>
        <v>0</v>
      </c>
      <c r="K102" s="559">
        <f t="shared" si="50"/>
        <v>0</v>
      </c>
      <c r="L102" s="625"/>
      <c r="M102" s="625"/>
      <c r="N102" s="626"/>
      <c r="O102" s="625"/>
      <c r="P102" s="559"/>
      <c r="Q102" s="559" t="s">
        <v>663</v>
      </c>
      <c r="R102" s="559"/>
      <c r="S102" s="559"/>
      <c r="T102" s="559"/>
      <c r="U102" s="559"/>
      <c r="V102" s="559"/>
      <c r="W102" s="559"/>
      <c r="X102" s="559"/>
      <c r="Y102" s="559"/>
      <c r="Z102" s="559"/>
      <c r="AA102" s="559"/>
      <c r="AB102" s="559"/>
      <c r="AC102" s="559"/>
      <c r="AD102" s="559"/>
      <c r="AE102" s="559"/>
      <c r="AF102" s="559"/>
      <c r="AG102" s="559"/>
    </row>
    <row r="103" spans="1:33" ht="18" hidden="1" customHeight="1" x14ac:dyDescent="0.35">
      <c r="A103" s="559"/>
      <c r="B103" s="622" t="s">
        <v>22</v>
      </c>
      <c r="C103" s="584">
        <f>VLOOKUP($B$102,$A$266:$AG$276,2)</f>
        <v>0</v>
      </c>
      <c r="D103" s="631">
        <f>VLOOKUP($B$102,$A$266:$AG$276,3)</f>
        <v>0</v>
      </c>
      <c r="E103" s="631">
        <f>VLOOKUP($B$102,$A$266:$AG$276,4)</f>
        <v>0</v>
      </c>
      <c r="F103" s="631">
        <f>VLOOKUP($B$102,$A$266:$AG$276,5)</f>
        <v>0</v>
      </c>
      <c r="G103" s="559">
        <f t="shared" ref="G103:G105" si="51">IF(C103=0,0,"Barres 21 R4F")</f>
        <v>0</v>
      </c>
      <c r="H103" s="559"/>
      <c r="I103" s="559"/>
      <c r="J103" s="559">
        <f t="shared" ref="J103:J114" si="52">IF(D103=0,0,(D103/100)*(E103/100)*F103)</f>
        <v>0</v>
      </c>
      <c r="K103" s="559">
        <f t="shared" si="50"/>
        <v>0</v>
      </c>
      <c r="L103" s="625">
        <v>0</v>
      </c>
      <c r="M103" s="625">
        <f t="shared" ref="M103:M114" si="53">L103*K103</f>
        <v>0</v>
      </c>
      <c r="N103" s="626">
        <f t="shared" ref="N103:N105" si="54">IF(J103=0,0,2+(6*J103))</f>
        <v>0</v>
      </c>
      <c r="O103" s="625">
        <f t="shared" ref="O103:O114" si="55">N103*' Objet Anti Vibratoire'!MinuteMO</f>
        <v>0</v>
      </c>
      <c r="P103" s="559"/>
      <c r="Q103" s="559">
        <v>0</v>
      </c>
      <c r="R103" s="559"/>
      <c r="S103" s="559"/>
      <c r="T103" s="559"/>
      <c r="U103" s="559"/>
      <c r="V103" s="559"/>
      <c r="W103" s="559"/>
      <c r="X103" s="559"/>
      <c r="Y103" s="559"/>
      <c r="Z103" s="559"/>
      <c r="AA103" s="559"/>
      <c r="AB103" s="559"/>
      <c r="AC103" s="559"/>
      <c r="AD103" s="559"/>
      <c r="AE103" s="559"/>
      <c r="AF103" s="559"/>
      <c r="AG103" s="559"/>
    </row>
    <row r="104" spans="1:33" ht="18" hidden="1" customHeight="1" x14ac:dyDescent="0.35">
      <c r="A104" s="559"/>
      <c r="B104" s="622"/>
      <c r="C104" s="584">
        <f>VLOOKUP($B$102,$A$266:$AG$276,6)</f>
        <v>0</v>
      </c>
      <c r="D104" s="631">
        <f>VLOOKUP($B$102,$A$266:$AG$276,7)</f>
        <v>0</v>
      </c>
      <c r="E104" s="631">
        <f>VLOOKUP($B$102,$A$266:$AG$276,8)</f>
        <v>0</v>
      </c>
      <c r="F104" s="631">
        <f>VLOOKUP($B$102,$A$266:$AG$276,9)</f>
        <v>0</v>
      </c>
      <c r="G104" s="559">
        <f t="shared" si="51"/>
        <v>0</v>
      </c>
      <c r="H104" s="559"/>
      <c r="I104" s="559"/>
      <c r="J104" s="559">
        <f t="shared" si="52"/>
        <v>0</v>
      </c>
      <c r="K104" s="559">
        <f t="shared" si="50"/>
        <v>0</v>
      </c>
      <c r="L104" s="625">
        <v>0</v>
      </c>
      <c r="M104" s="625">
        <f t="shared" si="53"/>
        <v>0</v>
      </c>
      <c r="N104" s="626">
        <f t="shared" si="54"/>
        <v>0</v>
      </c>
      <c r="O104" s="625">
        <f t="shared" si="55"/>
        <v>0</v>
      </c>
      <c r="P104" s="559"/>
      <c r="Q104" s="559">
        <v>0</v>
      </c>
      <c r="R104" s="559"/>
      <c r="S104" s="559"/>
      <c r="T104" s="559"/>
      <c r="U104" s="559"/>
      <c r="V104" s="559"/>
      <c r="W104" s="559"/>
      <c r="X104" s="559"/>
      <c r="Y104" s="559"/>
      <c r="Z104" s="559"/>
      <c r="AA104" s="559"/>
      <c r="AB104" s="559"/>
      <c r="AC104" s="559"/>
      <c r="AD104" s="559"/>
      <c r="AE104" s="559"/>
      <c r="AF104" s="559"/>
      <c r="AG104" s="559"/>
    </row>
    <row r="105" spans="1:33" ht="18" hidden="1" customHeight="1" x14ac:dyDescent="0.35">
      <c r="A105" s="559"/>
      <c r="B105" s="622"/>
      <c r="C105" s="584">
        <f>VLOOKUP($B$102,$A$266:$AG$276,10)</f>
        <v>0</v>
      </c>
      <c r="D105" s="631">
        <f>VLOOKUP($B$102,$A$266:$AG$276,11)</f>
        <v>0</v>
      </c>
      <c r="E105" s="631">
        <f>VLOOKUP($B$102,$A$266:$AG$276,12)</f>
        <v>0</v>
      </c>
      <c r="F105" s="631">
        <f>VLOOKUP($B$102,$A$266:$AG$276,13)</f>
        <v>0</v>
      </c>
      <c r="G105" s="559">
        <f t="shared" si="51"/>
        <v>0</v>
      </c>
      <c r="H105" s="559"/>
      <c r="I105" s="559"/>
      <c r="J105" s="559">
        <f t="shared" si="52"/>
        <v>0</v>
      </c>
      <c r="K105" s="559">
        <f t="shared" si="50"/>
        <v>0</v>
      </c>
      <c r="L105" s="625">
        <v>0</v>
      </c>
      <c r="M105" s="625">
        <f t="shared" si="53"/>
        <v>0</v>
      </c>
      <c r="N105" s="626">
        <f t="shared" si="54"/>
        <v>0</v>
      </c>
      <c r="O105" s="625">
        <f t="shared" si="55"/>
        <v>0</v>
      </c>
      <c r="P105" s="559"/>
      <c r="Q105" s="559">
        <v>0</v>
      </c>
      <c r="R105" s="559"/>
      <c r="S105" s="559"/>
      <c r="T105" s="559"/>
      <c r="U105" s="559"/>
      <c r="V105" s="559"/>
      <c r="W105" s="559"/>
      <c r="X105" s="559"/>
      <c r="Y105" s="559"/>
      <c r="Z105" s="559"/>
      <c r="AA105" s="559"/>
      <c r="AB105" s="559"/>
      <c r="AC105" s="559"/>
      <c r="AD105" s="559"/>
      <c r="AE105" s="559"/>
      <c r="AF105" s="559"/>
      <c r="AG105" s="559"/>
    </row>
    <row r="106" spans="1:33" ht="18" hidden="1" customHeight="1" x14ac:dyDescent="0.35">
      <c r="A106" s="559"/>
      <c r="B106" s="622" t="s">
        <v>80</v>
      </c>
      <c r="C106" s="584">
        <f>VLOOKUP($B$102,$A$266:$AG$276,14)</f>
        <v>0</v>
      </c>
      <c r="D106" s="631">
        <f>VLOOKUP($B$102,$A$266:$AG$276,15)</f>
        <v>0</v>
      </c>
      <c r="E106" s="631">
        <f>VLOOKUP($B$102,$A$266:$AG$276,16)</f>
        <v>0</v>
      </c>
      <c r="F106" s="631">
        <f>VLOOKUP($B$102,$A$266:$AG$276,17)</f>
        <v>0</v>
      </c>
      <c r="G106" s="559">
        <f t="shared" ref="G106:G109" si="56">C106</f>
        <v>0</v>
      </c>
      <c r="H106" s="559"/>
      <c r="I106" s="559"/>
      <c r="J106" s="559">
        <f t="shared" si="52"/>
        <v>0</v>
      </c>
      <c r="K106" s="559">
        <f t="shared" si="50"/>
        <v>0</v>
      </c>
      <c r="L106" s="625">
        <v>0</v>
      </c>
      <c r="M106" s="625">
        <f t="shared" si="53"/>
        <v>0</v>
      </c>
      <c r="N106" s="626">
        <f t="shared" ref="N106:N114" si="57">IF(J106=0,0,4.7283*J106+2)</f>
        <v>0</v>
      </c>
      <c r="O106" s="625">
        <f t="shared" si="55"/>
        <v>0</v>
      </c>
      <c r="P106" s="559"/>
      <c r="Q106" s="559">
        <v>0</v>
      </c>
      <c r="R106" s="559"/>
      <c r="S106" s="559"/>
      <c r="T106" s="559"/>
      <c r="U106" s="559"/>
      <c r="V106" s="559"/>
      <c r="W106" s="559"/>
      <c r="X106" s="559"/>
      <c r="Y106" s="559"/>
      <c r="Z106" s="559"/>
      <c r="AA106" s="559"/>
      <c r="AB106" s="559"/>
      <c r="AC106" s="559"/>
      <c r="AD106" s="559"/>
      <c r="AE106" s="559"/>
      <c r="AF106" s="559"/>
      <c r="AG106" s="559"/>
    </row>
    <row r="107" spans="1:33" ht="18" hidden="1" customHeight="1" x14ac:dyDescent="0.35">
      <c r="A107" s="559"/>
      <c r="B107" s="622"/>
      <c r="C107" s="584">
        <f>VLOOKUP($B$102,$A$266:$AG$276,18)</f>
        <v>0</v>
      </c>
      <c r="D107" s="631">
        <f>VLOOKUP($B$102,$A$266:$AG$276,19)</f>
        <v>0</v>
      </c>
      <c r="E107" s="631">
        <f>VLOOKUP($B$102,$A$266:$AG$276,20)</f>
        <v>0</v>
      </c>
      <c r="F107" s="631">
        <f>VLOOKUP($B$102,$A$266:$AG$276,21)</f>
        <v>0</v>
      </c>
      <c r="G107" s="559">
        <f t="shared" si="56"/>
        <v>0</v>
      </c>
      <c r="H107" s="559"/>
      <c r="I107" s="559"/>
      <c r="J107" s="559">
        <f t="shared" si="52"/>
        <v>0</v>
      </c>
      <c r="K107" s="559">
        <f t="shared" si="50"/>
        <v>0</v>
      </c>
      <c r="L107" s="625">
        <v>0</v>
      </c>
      <c r="M107" s="625">
        <f t="shared" si="53"/>
        <v>0</v>
      </c>
      <c r="N107" s="626">
        <f t="shared" si="57"/>
        <v>0</v>
      </c>
      <c r="O107" s="625">
        <f t="shared" si="55"/>
        <v>0</v>
      </c>
      <c r="P107" s="559"/>
      <c r="Q107" s="559">
        <v>0</v>
      </c>
      <c r="R107" s="559"/>
      <c r="S107" s="559"/>
      <c r="T107" s="559"/>
      <c r="U107" s="559"/>
      <c r="V107" s="559"/>
      <c r="W107" s="559"/>
      <c r="X107" s="559"/>
      <c r="Y107" s="559"/>
      <c r="Z107" s="559"/>
      <c r="AA107" s="559"/>
      <c r="AB107" s="559"/>
      <c r="AC107" s="559"/>
      <c r="AD107" s="559"/>
      <c r="AE107" s="559"/>
      <c r="AF107" s="559"/>
      <c r="AG107" s="559"/>
    </row>
    <row r="108" spans="1:33" ht="18" hidden="1" customHeight="1" x14ac:dyDescent="0.35">
      <c r="A108" s="559"/>
      <c r="B108" s="622"/>
      <c r="C108" s="584">
        <f>VLOOKUP($B$102,$A$266:$AG$276,28)</f>
        <v>0</v>
      </c>
      <c r="D108" s="631">
        <f>VLOOKUP($B$102,$A$266:$AG$276,29)</f>
        <v>0</v>
      </c>
      <c r="E108" s="631">
        <f>VLOOKUP($B$102,$A$266:$AG$276,30)</f>
        <v>0</v>
      </c>
      <c r="F108" s="631">
        <f>VLOOKUP($B$102,$A$266:$AG$276,31)</f>
        <v>0</v>
      </c>
      <c r="G108" s="559">
        <f t="shared" si="56"/>
        <v>0</v>
      </c>
      <c r="H108" s="559"/>
      <c r="I108" s="559"/>
      <c r="J108" s="559">
        <f t="shared" si="52"/>
        <v>0</v>
      </c>
      <c r="K108" s="559">
        <f t="shared" si="50"/>
        <v>0</v>
      </c>
      <c r="L108" s="625">
        <v>0</v>
      </c>
      <c r="M108" s="625">
        <f t="shared" si="53"/>
        <v>0</v>
      </c>
      <c r="N108" s="626">
        <f t="shared" si="57"/>
        <v>0</v>
      </c>
      <c r="O108" s="625">
        <f t="shared" si="55"/>
        <v>0</v>
      </c>
      <c r="P108" s="559"/>
      <c r="Q108" s="559">
        <v>0</v>
      </c>
      <c r="R108" s="559"/>
      <c r="S108" s="559"/>
      <c r="T108" s="559"/>
      <c r="U108" s="559"/>
      <c r="V108" s="559"/>
      <c r="W108" s="559"/>
      <c r="X108" s="559"/>
      <c r="Y108" s="559"/>
      <c r="Z108" s="559"/>
      <c r="AA108" s="559"/>
      <c r="AB108" s="559"/>
      <c r="AC108" s="559"/>
      <c r="AD108" s="559"/>
      <c r="AE108" s="559"/>
      <c r="AF108" s="559"/>
      <c r="AG108" s="559"/>
    </row>
    <row r="109" spans="1:33" ht="18" hidden="1" customHeight="1" x14ac:dyDescent="0.35">
      <c r="A109" s="559"/>
      <c r="B109" s="584"/>
      <c r="C109" s="584">
        <f>VLOOKUP($B$102,$A$266:$AG$276,22)</f>
        <v>0</v>
      </c>
      <c r="D109" s="631">
        <f>VLOOKUP($B$102,$A$266:$AG$276,25)</f>
        <v>0</v>
      </c>
      <c r="E109" s="631">
        <f>VLOOKUP($B$102,$A$266:$AG$276,26)</f>
        <v>0</v>
      </c>
      <c r="F109" s="631">
        <f>IF(C109=0,0,1)</f>
        <v>0</v>
      </c>
      <c r="G109" s="559">
        <f t="shared" si="56"/>
        <v>0</v>
      </c>
      <c r="H109" s="559"/>
      <c r="I109" s="559"/>
      <c r="J109" s="559">
        <f t="shared" si="52"/>
        <v>0</v>
      </c>
      <c r="K109" s="559">
        <f t="shared" si="50"/>
        <v>0</v>
      </c>
      <c r="L109" s="625">
        <v>0</v>
      </c>
      <c r="M109" s="625">
        <f t="shared" si="53"/>
        <v>0</v>
      </c>
      <c r="N109" s="626">
        <f t="shared" si="57"/>
        <v>0</v>
      </c>
      <c r="O109" s="625">
        <f t="shared" si="55"/>
        <v>0</v>
      </c>
      <c r="P109" s="559"/>
      <c r="Q109" s="559">
        <v>0</v>
      </c>
      <c r="R109" s="559"/>
      <c r="S109" s="559"/>
      <c r="T109" s="559"/>
      <c r="U109" s="559"/>
      <c r="V109" s="559"/>
      <c r="W109" s="559"/>
      <c r="X109" s="559"/>
      <c r="Y109" s="559"/>
      <c r="Z109" s="559"/>
      <c r="AA109" s="559"/>
      <c r="AB109" s="559"/>
      <c r="AC109" s="559"/>
      <c r="AD109" s="559"/>
      <c r="AE109" s="559"/>
      <c r="AF109" s="559"/>
      <c r="AG109" s="559"/>
    </row>
    <row r="110" spans="1:33" ht="18" hidden="1" customHeight="1" x14ac:dyDescent="0.35">
      <c r="A110" s="559"/>
      <c r="B110" s="584"/>
      <c r="C110" s="584"/>
      <c r="D110" s="631"/>
      <c r="E110" s="631"/>
      <c r="F110" s="631"/>
      <c r="G110" s="559"/>
      <c r="H110" s="559"/>
      <c r="I110" s="559"/>
      <c r="J110" s="559">
        <f t="shared" si="52"/>
        <v>0</v>
      </c>
      <c r="K110" s="559">
        <f t="shared" si="50"/>
        <v>0</v>
      </c>
      <c r="L110" s="625">
        <v>0</v>
      </c>
      <c r="M110" s="625">
        <f t="shared" si="53"/>
        <v>0</v>
      </c>
      <c r="N110" s="626">
        <f t="shared" si="57"/>
        <v>0</v>
      </c>
      <c r="O110" s="625">
        <f t="shared" si="55"/>
        <v>0</v>
      </c>
      <c r="P110" s="559"/>
      <c r="Q110" s="559">
        <v>0</v>
      </c>
      <c r="R110" s="559"/>
      <c r="S110" s="559"/>
      <c r="T110" s="559"/>
      <c r="U110" s="559"/>
      <c r="V110" s="559"/>
      <c r="W110" s="559"/>
      <c r="X110" s="559"/>
      <c r="Y110" s="559"/>
      <c r="Z110" s="559"/>
      <c r="AA110" s="559"/>
      <c r="AB110" s="559"/>
      <c r="AC110" s="559"/>
      <c r="AD110" s="559"/>
      <c r="AE110" s="559"/>
      <c r="AF110" s="559"/>
      <c r="AG110" s="559"/>
    </row>
    <row r="111" spans="1:33" ht="18" hidden="1" customHeight="1" x14ac:dyDescent="0.35">
      <c r="A111" s="559"/>
      <c r="B111" s="584"/>
      <c r="C111" s="584"/>
      <c r="D111" s="630"/>
      <c r="E111" s="630"/>
      <c r="F111" s="631"/>
      <c r="G111" s="559"/>
      <c r="H111" s="559"/>
      <c r="I111" s="559"/>
      <c r="J111" s="559">
        <f t="shared" si="52"/>
        <v>0</v>
      </c>
      <c r="K111" s="559">
        <f t="shared" si="50"/>
        <v>0</v>
      </c>
      <c r="L111" s="625">
        <v>0</v>
      </c>
      <c r="M111" s="625">
        <f t="shared" si="53"/>
        <v>0</v>
      </c>
      <c r="N111" s="626">
        <f t="shared" si="57"/>
        <v>0</v>
      </c>
      <c r="O111" s="625">
        <f t="shared" si="55"/>
        <v>0</v>
      </c>
      <c r="P111" s="559"/>
      <c r="Q111" s="559">
        <v>0</v>
      </c>
      <c r="R111" s="559"/>
      <c r="S111" s="559"/>
      <c r="T111" s="559"/>
      <c r="U111" s="559"/>
      <c r="V111" s="559"/>
      <c r="W111" s="559"/>
      <c r="X111" s="559"/>
      <c r="Y111" s="559"/>
      <c r="Z111" s="559"/>
      <c r="AA111" s="559"/>
      <c r="AB111" s="559"/>
      <c r="AC111" s="559"/>
      <c r="AD111" s="559"/>
      <c r="AE111" s="559"/>
      <c r="AF111" s="559"/>
      <c r="AG111" s="559"/>
    </row>
    <row r="112" spans="1:33" ht="18" hidden="1" customHeight="1" x14ac:dyDescent="0.35">
      <c r="A112" s="559"/>
      <c r="B112" s="584"/>
      <c r="C112" s="584"/>
      <c r="D112" s="630"/>
      <c r="E112" s="630"/>
      <c r="F112" s="631"/>
      <c r="G112" s="559"/>
      <c r="H112" s="559"/>
      <c r="I112" s="559"/>
      <c r="J112" s="559">
        <f t="shared" si="52"/>
        <v>0</v>
      </c>
      <c r="K112" s="559">
        <f t="shared" si="50"/>
        <v>0</v>
      </c>
      <c r="L112" s="625">
        <v>0</v>
      </c>
      <c r="M112" s="625">
        <f t="shared" si="53"/>
        <v>0</v>
      </c>
      <c r="N112" s="626">
        <f t="shared" si="57"/>
        <v>0</v>
      </c>
      <c r="O112" s="625">
        <f t="shared" si="55"/>
        <v>0</v>
      </c>
      <c r="P112" s="559"/>
      <c r="Q112" s="559">
        <v>0</v>
      </c>
      <c r="R112" s="559"/>
      <c r="S112" s="559"/>
      <c r="T112" s="559"/>
      <c r="U112" s="559"/>
      <c r="V112" s="559"/>
      <c r="W112" s="559"/>
      <c r="X112" s="559"/>
      <c r="Y112" s="559"/>
      <c r="Z112" s="559"/>
      <c r="AA112" s="559"/>
      <c r="AB112" s="559"/>
      <c r="AC112" s="559"/>
      <c r="AD112" s="559"/>
      <c r="AE112" s="559"/>
      <c r="AF112" s="559"/>
      <c r="AG112" s="559"/>
    </row>
    <row r="113" spans="1:33" ht="18" hidden="1" customHeight="1" x14ac:dyDescent="0.35">
      <c r="A113" s="559"/>
      <c r="B113" s="584"/>
      <c r="C113" s="584"/>
      <c r="D113" s="630"/>
      <c r="E113" s="630"/>
      <c r="F113" s="631"/>
      <c r="G113" s="559"/>
      <c r="H113" s="559"/>
      <c r="I113" s="559"/>
      <c r="J113" s="559">
        <f t="shared" si="52"/>
        <v>0</v>
      </c>
      <c r="K113" s="559">
        <f t="shared" si="50"/>
        <v>0</v>
      </c>
      <c r="L113" s="625">
        <v>0</v>
      </c>
      <c r="M113" s="625">
        <f t="shared" si="53"/>
        <v>0</v>
      </c>
      <c r="N113" s="626">
        <f t="shared" si="57"/>
        <v>0</v>
      </c>
      <c r="O113" s="625">
        <f t="shared" si="55"/>
        <v>0</v>
      </c>
      <c r="P113" s="559"/>
      <c r="Q113" s="559">
        <v>0</v>
      </c>
      <c r="R113" s="559"/>
      <c r="S113" s="559"/>
      <c r="T113" s="559"/>
      <c r="U113" s="559"/>
      <c r="V113" s="559"/>
      <c r="W113" s="559"/>
      <c r="X113" s="559"/>
      <c r="Y113" s="559"/>
      <c r="Z113" s="559"/>
      <c r="AA113" s="559"/>
      <c r="AB113" s="559"/>
      <c r="AC113" s="559"/>
      <c r="AD113" s="559"/>
      <c r="AE113" s="559"/>
      <c r="AF113" s="559"/>
      <c r="AG113" s="559"/>
    </row>
    <row r="114" spans="1:33" ht="18" hidden="1" customHeight="1" x14ac:dyDescent="0.35">
      <c r="A114" s="559"/>
      <c r="B114" s="579" t="s">
        <v>176</v>
      </c>
      <c r="C114" s="584" t="str">
        <f>Plateau_OAV</f>
        <v>Aucun</v>
      </c>
      <c r="D114" s="630">
        <f>IF($C$109=0,0,Dimensions_intérieures_Cp_15_longueur_OAV-0.3)</f>
        <v>0</v>
      </c>
      <c r="E114" s="630">
        <f>IF($C$109=0,0,Dimensions_intérieures_Cp_15_largeur_OAV-0.3)</f>
        <v>0</v>
      </c>
      <c r="F114" s="631">
        <f>IF(C114="Aucun",0,1)</f>
        <v>0</v>
      </c>
      <c r="G114" s="559" t="str">
        <f>C114</f>
        <v>Aucun</v>
      </c>
      <c r="H114" s="559"/>
      <c r="I114" s="559"/>
      <c r="J114" s="559">
        <f t="shared" si="52"/>
        <v>0</v>
      </c>
      <c r="K114" s="559">
        <f t="shared" si="50"/>
        <v>0</v>
      </c>
      <c r="L114" s="625">
        <f>IF(D114=0,0,VLOOKUP(G114,A233:C239,3))</f>
        <v>0</v>
      </c>
      <c r="M114" s="625">
        <f t="shared" si="53"/>
        <v>0</v>
      </c>
      <c r="N114" s="626">
        <f t="shared" si="57"/>
        <v>0</v>
      </c>
      <c r="O114" s="625">
        <f t="shared" si="55"/>
        <v>0</v>
      </c>
      <c r="P114" s="559"/>
      <c r="Q114" s="559">
        <f>IF(G114=0,0,VLOOKUP(G114,A233:D239,4))*J114</f>
        <v>0</v>
      </c>
      <c r="R114" s="559"/>
      <c r="S114" s="559"/>
      <c r="T114" s="559"/>
      <c r="U114" s="559"/>
      <c r="V114" s="559"/>
      <c r="W114" s="559"/>
      <c r="X114" s="559"/>
      <c r="Y114" s="559"/>
      <c r="Z114" s="559"/>
      <c r="AA114" s="559"/>
      <c r="AB114" s="559"/>
      <c r="AC114" s="559"/>
      <c r="AD114" s="559"/>
      <c r="AE114" s="559"/>
      <c r="AF114" s="559"/>
      <c r="AG114" s="559"/>
    </row>
    <row r="115" spans="1:33" ht="18" hidden="1" customHeight="1" x14ac:dyDescent="0.35">
      <c r="A115" s="559"/>
      <c r="B115" s="584"/>
      <c r="C115" s="584"/>
      <c r="D115" s="630"/>
      <c r="E115" s="630"/>
      <c r="F115" s="631"/>
      <c r="G115" s="559"/>
      <c r="H115" s="559"/>
      <c r="I115" s="559"/>
      <c r="J115" s="559">
        <f>IF(B115=0,0,(C115/100)*(D115/100)*F115)</f>
        <v>0</v>
      </c>
      <c r="K115" s="559">
        <f t="shared" si="50"/>
        <v>0</v>
      </c>
      <c r="L115" s="625"/>
      <c r="M115" s="625"/>
      <c r="N115" s="626"/>
      <c r="O115" s="625"/>
      <c r="P115" s="559"/>
      <c r="Q115" s="559"/>
      <c r="R115" s="559"/>
      <c r="S115" s="559"/>
      <c r="T115" s="559"/>
      <c r="U115" s="559"/>
      <c r="V115" s="559"/>
      <c r="W115" s="559"/>
      <c r="X115" s="559"/>
      <c r="Y115" s="559"/>
      <c r="Z115" s="559"/>
      <c r="AA115" s="559"/>
      <c r="AB115" s="559"/>
      <c r="AC115" s="559"/>
      <c r="AD115" s="559"/>
      <c r="AE115" s="559"/>
      <c r="AF115" s="559"/>
      <c r="AG115" s="559"/>
    </row>
    <row r="116" spans="1:33" ht="18" hidden="1" customHeight="1" x14ac:dyDescent="0.35">
      <c r="A116" s="559"/>
      <c r="B116" s="559"/>
      <c r="C116" s="632"/>
      <c r="D116" s="632"/>
      <c r="E116" s="632"/>
      <c r="F116" s="559"/>
      <c r="G116" s="559"/>
      <c r="H116" s="559"/>
      <c r="I116" s="559"/>
      <c r="J116" s="559"/>
      <c r="K116" s="559"/>
      <c r="L116" s="625"/>
      <c r="M116" s="625"/>
      <c r="N116" s="626"/>
      <c r="O116" s="625"/>
      <c r="P116" s="559"/>
      <c r="Q116" s="559"/>
      <c r="R116" s="559"/>
      <c r="S116" s="559"/>
      <c r="T116" s="559"/>
      <c r="U116" s="559"/>
      <c r="V116" s="559"/>
      <c r="W116" s="559"/>
      <c r="X116" s="559"/>
      <c r="Y116" s="559"/>
      <c r="Z116" s="559"/>
      <c r="AA116" s="559"/>
      <c r="AB116" s="559"/>
      <c r="AC116" s="559"/>
      <c r="AD116" s="559"/>
      <c r="AE116" s="559"/>
      <c r="AF116" s="559"/>
      <c r="AG116" s="559"/>
    </row>
    <row r="117" spans="1:33" ht="18" hidden="1" customHeight="1" x14ac:dyDescent="0.35">
      <c r="A117" s="559"/>
      <c r="B117" s="559"/>
      <c r="C117" s="632"/>
      <c r="D117" s="632"/>
      <c r="E117" s="632"/>
      <c r="F117" s="559"/>
      <c r="G117" s="559"/>
      <c r="H117" s="559"/>
      <c r="I117" s="559"/>
      <c r="J117" s="559"/>
      <c r="K117" s="559"/>
      <c r="L117" s="625"/>
      <c r="M117" s="625"/>
      <c r="N117" s="626"/>
      <c r="O117" s="625"/>
      <c r="P117" s="559"/>
      <c r="Q117" s="559"/>
      <c r="R117" s="559"/>
      <c r="S117" s="559"/>
      <c r="T117" s="559"/>
      <c r="U117" s="559"/>
      <c r="V117" s="559"/>
      <c r="W117" s="559"/>
      <c r="X117" s="559"/>
      <c r="Y117" s="559"/>
      <c r="Z117" s="559"/>
      <c r="AA117" s="559"/>
      <c r="AB117" s="559"/>
      <c r="AC117" s="559"/>
      <c r="AD117" s="559"/>
      <c r="AE117" s="559"/>
      <c r="AF117" s="559"/>
      <c r="AG117" s="559"/>
    </row>
    <row r="118" spans="1:33" ht="18" hidden="1" customHeight="1" x14ac:dyDescent="0.35">
      <c r="A118" s="559"/>
      <c r="B118" s="559" t="str">
        <f t="shared" ref="B118:B119" si="58">CONCATENATE("Amortisseurs"," ",C23)</f>
        <v>Amortisseurs MP14-200</v>
      </c>
      <c r="C118" s="632"/>
      <c r="D118" s="632"/>
      <c r="E118" s="632"/>
      <c r="F118" s="563">
        <f t="shared" ref="F118:F119" si="59">F24</f>
        <v>4</v>
      </c>
      <c r="G118" s="559"/>
      <c r="H118" s="559"/>
      <c r="I118" s="559"/>
      <c r="J118" s="559"/>
      <c r="K118" s="559">
        <f>F118</f>
        <v>4</v>
      </c>
      <c r="L118" s="625">
        <f>VLOOKUP(C23,A167:F175,6)</f>
        <v>98.5</v>
      </c>
      <c r="M118" s="625">
        <f t="shared" ref="M118:M119" si="60">L118*K118</f>
        <v>394</v>
      </c>
      <c r="N118" s="626">
        <f t="shared" ref="N118:N119" si="61">K118*30</f>
        <v>120</v>
      </c>
      <c r="O118" s="625">
        <f t="shared" ref="O118:O119" si="62">N118*' Objet Anti Vibratoire'!MinuteMO</f>
        <v>102</v>
      </c>
      <c r="P118" s="559"/>
      <c r="Q118" s="559"/>
      <c r="R118" s="559"/>
      <c r="S118" s="559"/>
      <c r="T118" s="559"/>
      <c r="U118" s="559"/>
      <c r="V118" s="559"/>
      <c r="W118" s="559"/>
      <c r="X118" s="559"/>
      <c r="Y118" s="559"/>
      <c r="Z118" s="559"/>
      <c r="AA118" s="559"/>
      <c r="AB118" s="559"/>
      <c r="AC118" s="559"/>
      <c r="AD118" s="559"/>
      <c r="AE118" s="559"/>
      <c r="AF118" s="559"/>
      <c r="AG118" s="559"/>
    </row>
    <row r="119" spans="1:33" ht="18" hidden="1" customHeight="1" x14ac:dyDescent="0.35">
      <c r="A119" s="559"/>
      <c r="B119" s="559" t="str">
        <f t="shared" si="58"/>
        <v>Amortisseurs Aucun</v>
      </c>
      <c r="C119" s="632"/>
      <c r="D119" s="632"/>
      <c r="E119" s="632"/>
      <c r="F119" s="563" t="str">
        <f t="shared" si="59"/>
        <v>Aucun</v>
      </c>
      <c r="G119" s="559"/>
      <c r="H119" s="559"/>
      <c r="I119" s="559"/>
      <c r="J119" s="559"/>
      <c r="K119" s="559">
        <f>IF(F119="Aucun",0,F119)</f>
        <v>0</v>
      </c>
      <c r="L119" s="625">
        <f>VLOOKUP(C24,A166:F176,6)</f>
        <v>0</v>
      </c>
      <c r="M119" s="625">
        <f t="shared" si="60"/>
        <v>0</v>
      </c>
      <c r="N119" s="626">
        <f t="shared" si="61"/>
        <v>0</v>
      </c>
      <c r="O119" s="625">
        <f t="shared" si="62"/>
        <v>0</v>
      </c>
      <c r="P119" s="559"/>
      <c r="Q119" s="559"/>
      <c r="R119" s="559"/>
      <c r="S119" s="559"/>
      <c r="T119" s="559"/>
      <c r="U119" s="559"/>
      <c r="V119" s="559"/>
      <c r="W119" s="559"/>
      <c r="X119" s="559"/>
      <c r="Y119" s="559"/>
      <c r="Z119" s="559"/>
      <c r="AA119" s="559"/>
      <c r="AB119" s="559"/>
      <c r="AC119" s="559"/>
      <c r="AD119" s="559"/>
      <c r="AE119" s="559"/>
      <c r="AF119" s="559"/>
      <c r="AG119" s="559"/>
    </row>
    <row r="120" spans="1:33" ht="18" hidden="1" customHeight="1" x14ac:dyDescent="0.35">
      <c r="A120" s="559"/>
      <c r="B120" s="559"/>
      <c r="C120" s="632"/>
      <c r="D120" s="632"/>
      <c r="E120" s="632"/>
      <c r="F120" s="559"/>
      <c r="G120" s="559"/>
      <c r="H120" s="559"/>
      <c r="I120" s="559"/>
      <c r="J120" s="559"/>
      <c r="K120" s="559"/>
      <c r="L120" s="625"/>
      <c r="M120" s="625"/>
      <c r="N120" s="626"/>
      <c r="O120" s="625"/>
      <c r="P120" s="559"/>
      <c r="Q120" s="559"/>
      <c r="R120" s="559"/>
      <c r="S120" s="559"/>
      <c r="T120" s="559"/>
      <c r="U120" s="559"/>
      <c r="V120" s="559"/>
      <c r="W120" s="559"/>
      <c r="X120" s="559"/>
      <c r="Y120" s="559"/>
      <c r="Z120" s="559"/>
      <c r="AA120" s="559"/>
      <c r="AB120" s="559"/>
      <c r="AC120" s="559"/>
      <c r="AD120" s="559"/>
      <c r="AE120" s="559"/>
      <c r="AF120" s="559"/>
      <c r="AG120" s="559"/>
    </row>
    <row r="121" spans="1:33" ht="18" hidden="1" customHeight="1" x14ac:dyDescent="0.35">
      <c r="A121" s="559" t="s">
        <v>19</v>
      </c>
      <c r="B121" s="559">
        <f>IF(F19="Non",0,"Peinture")</f>
        <v>0</v>
      </c>
      <c r="C121" s="559"/>
      <c r="D121" s="559"/>
      <c r="E121" s="559"/>
      <c r="F121" s="559"/>
      <c r="G121" s="559"/>
      <c r="H121" s="559"/>
      <c r="I121" s="559"/>
      <c r="J121" s="559">
        <f>IF(B121=0,0,(((C41/100)*(D41/100))+((C41/100)*(E41/100))+((D41/100)*(E41/100)))*2)</f>
        <v>0</v>
      </c>
      <c r="K121" s="559">
        <f>J121*0.5</f>
        <v>0</v>
      </c>
      <c r="L121" s="625">
        <f>IF(B121=0,0,VLOOKUP(B121,'[1]Prix Matiere'!$A$4:$J$60,10))</f>
        <v>0</v>
      </c>
      <c r="M121" s="625">
        <f>K121*L121</f>
        <v>0</v>
      </c>
      <c r="N121" s="626">
        <f>IF(J121=0,0,IF(B121="Peinture",30+J121*15))</f>
        <v>0</v>
      </c>
      <c r="O121" s="625">
        <f t="shared" ref="O121:O123" si="63">N121*' Objet Anti Vibratoire'!MinuteMO</f>
        <v>0</v>
      </c>
      <c r="P121" s="559"/>
      <c r="Q121" s="559"/>
      <c r="R121" s="559"/>
      <c r="S121" s="559"/>
      <c r="T121" s="559"/>
      <c r="U121" s="559"/>
      <c r="V121" s="559"/>
      <c r="W121" s="559"/>
      <c r="X121" s="559"/>
      <c r="Y121" s="559"/>
      <c r="Z121" s="559"/>
      <c r="AA121" s="559"/>
      <c r="AB121" s="559"/>
      <c r="AC121" s="559"/>
      <c r="AD121" s="559"/>
      <c r="AE121" s="559"/>
      <c r="AF121" s="559"/>
      <c r="AG121" s="559"/>
    </row>
    <row r="122" spans="1:33" ht="18" hidden="1" customHeight="1" x14ac:dyDescent="0.35">
      <c r="A122" s="559" t="s">
        <v>72</v>
      </c>
      <c r="B122" s="559" t="str">
        <f>C19</f>
        <v>Vis bois</v>
      </c>
      <c r="C122" s="559"/>
      <c r="D122" s="559"/>
      <c r="E122" s="559"/>
      <c r="F122" s="559"/>
      <c r="G122" s="559"/>
      <c r="H122" s="559"/>
      <c r="I122" s="559"/>
      <c r="J122" s="559"/>
      <c r="K122" s="559"/>
      <c r="L122" s="625"/>
      <c r="M122" s="625">
        <f>IF(B122="Vis bois",0,(D4*2+G4*2+D6*2+G6*2)*1.5)</f>
        <v>0</v>
      </c>
      <c r="N122" s="626">
        <f>IF(B122="Vis bois",0,60)</f>
        <v>0</v>
      </c>
      <c r="O122" s="625">
        <f t="shared" si="63"/>
        <v>0</v>
      </c>
      <c r="P122" s="559"/>
      <c r="Q122" s="559"/>
      <c r="R122" s="559"/>
      <c r="S122" s="559"/>
      <c r="T122" s="559"/>
      <c r="U122" s="559"/>
      <c r="V122" s="559"/>
      <c r="W122" s="559"/>
      <c r="X122" s="559"/>
      <c r="Y122" s="559"/>
      <c r="Z122" s="559"/>
      <c r="AA122" s="559"/>
      <c r="AB122" s="559"/>
      <c r="AC122" s="559"/>
      <c r="AD122" s="559"/>
      <c r="AE122" s="559"/>
      <c r="AF122" s="559"/>
      <c r="AG122" s="559"/>
    </row>
    <row r="123" spans="1:33" ht="18" hidden="1" customHeight="1" x14ac:dyDescent="0.35">
      <c r="A123" s="559" t="s">
        <v>21</v>
      </c>
      <c r="B123" s="559" t="str">
        <f>C21</f>
        <v>Bois</v>
      </c>
      <c r="C123" s="559"/>
      <c r="D123" s="559"/>
      <c r="E123" s="559"/>
      <c r="F123" s="559"/>
      <c r="G123" s="559"/>
      <c r="H123" s="559"/>
      <c r="I123" s="559"/>
      <c r="J123" s="559"/>
      <c r="K123" s="559"/>
      <c r="L123" s="625"/>
      <c r="M123" s="625">
        <f>IF(B123="Métal x 4 sur GC",4*2,IF(B123="Métal x 2 sur bouts",2*2,0))</f>
        <v>0</v>
      </c>
      <c r="N123" s="626">
        <f>IF(B123="Métal x 4 sur GC",4*3,IF(B123="Métal x 2 sur bouts",2*3,0))</f>
        <v>0</v>
      </c>
      <c r="O123" s="625">
        <f t="shared" si="63"/>
        <v>0</v>
      </c>
      <c r="P123" s="559"/>
      <c r="Q123" s="559"/>
      <c r="R123" s="559"/>
      <c r="S123" s="559"/>
      <c r="T123" s="559"/>
      <c r="U123" s="559"/>
      <c r="V123" s="559"/>
      <c r="W123" s="559"/>
      <c r="X123" s="559"/>
      <c r="Y123" s="559"/>
      <c r="Z123" s="559"/>
      <c r="AA123" s="559"/>
      <c r="AB123" s="559"/>
      <c r="AC123" s="559"/>
      <c r="AD123" s="559"/>
      <c r="AE123" s="559"/>
      <c r="AF123" s="559"/>
      <c r="AG123" s="559"/>
    </row>
    <row r="124" spans="1:33" ht="18" hidden="1" customHeight="1" x14ac:dyDescent="0.35">
      <c r="A124" s="559"/>
      <c r="B124" s="559"/>
      <c r="C124" s="559"/>
      <c r="D124" s="559"/>
      <c r="E124" s="559"/>
      <c r="F124" s="559"/>
      <c r="G124" s="559"/>
      <c r="H124" s="559"/>
      <c r="I124" s="559"/>
      <c r="J124" s="559"/>
      <c r="K124" s="559"/>
      <c r="L124" s="625"/>
      <c r="M124" s="559"/>
      <c r="N124" s="626"/>
      <c r="O124" s="625"/>
      <c r="P124" s="559"/>
      <c r="Q124" s="559"/>
      <c r="R124" s="559"/>
      <c r="S124" s="559"/>
      <c r="T124" s="559"/>
      <c r="U124" s="559"/>
      <c r="V124" s="559"/>
      <c r="W124" s="559"/>
      <c r="X124" s="559"/>
      <c r="Y124" s="559"/>
      <c r="Z124" s="559"/>
      <c r="AA124" s="559"/>
      <c r="AB124" s="559"/>
      <c r="AC124" s="559"/>
      <c r="AD124" s="559"/>
      <c r="AE124" s="559"/>
      <c r="AF124" s="559"/>
      <c r="AG124" s="559"/>
    </row>
    <row r="125" spans="1:33" ht="18" hidden="1" customHeight="1" x14ac:dyDescent="0.35">
      <c r="A125" s="559"/>
      <c r="B125" s="559"/>
      <c r="C125" s="559"/>
      <c r="D125" s="559"/>
      <c r="E125" s="559"/>
      <c r="F125" s="559"/>
      <c r="G125" s="559"/>
      <c r="H125" s="559"/>
      <c r="I125" s="559"/>
      <c r="J125" s="559"/>
      <c r="K125" s="559"/>
      <c r="L125" s="625">
        <f>IF(E125=0,0,VLOOKUP(E125,'[1]Prix Matiere'!$A$4:$J$65,10))</f>
        <v>0</v>
      </c>
      <c r="M125" s="614" t="e">
        <f t="shared" ref="M125:N125" si="64">SUM(M47:M124)</f>
        <v>#VALUE!</v>
      </c>
      <c r="N125" s="638">
        <f t="shared" si="64"/>
        <v>194.52626698720002</v>
      </c>
      <c r="O125" s="625">
        <f>N125*' Objet Anti Vibratoire'!MinuteMO</f>
        <v>165.34732693912002</v>
      </c>
      <c r="P125" s="559"/>
      <c r="Q125" s="559">
        <f>SUM(Q47:Q124)</f>
        <v>0</v>
      </c>
      <c r="R125" s="559"/>
      <c r="S125" s="559"/>
      <c r="T125" s="559"/>
      <c r="U125" s="559"/>
      <c r="V125" s="559"/>
      <c r="W125" s="559"/>
      <c r="X125" s="559"/>
      <c r="Y125" s="559"/>
      <c r="Z125" s="559"/>
      <c r="AA125" s="559"/>
      <c r="AB125" s="559"/>
      <c r="AC125" s="559"/>
      <c r="AD125" s="559"/>
      <c r="AE125" s="559"/>
      <c r="AF125" s="559"/>
      <c r="AG125" s="559"/>
    </row>
    <row r="126" spans="1:33" ht="18" hidden="1" customHeight="1" x14ac:dyDescent="0.35">
      <c r="A126" s="559"/>
      <c r="B126" s="639" t="s">
        <v>73</v>
      </c>
      <c r="C126" s="640">
        <f>IF($F$9=0,0,M125)</f>
        <v>0</v>
      </c>
      <c r="D126" s="641"/>
      <c r="E126" s="642" t="s">
        <v>74</v>
      </c>
      <c r="F126" s="643" t="str">
        <f>CONCATENATE(ROUNDUP(SUM(K47:K50)+SUM(K88:K89)+SUM(K93:K96)+K114,2)," m²")</f>
        <v>0,28 m²</v>
      </c>
      <c r="G126" s="644" t="e">
        <f>(SUM(M47:M50)+SUM(M88:M89)+SUM(M93:M96)+M114)</f>
        <v>#VALUE!</v>
      </c>
      <c r="H126" s="559"/>
      <c r="I126" s="559"/>
      <c r="J126" s="559"/>
      <c r="K126" s="559"/>
      <c r="L126" s="559"/>
      <c r="M126" s="559"/>
      <c r="N126" s="559"/>
      <c r="O126" s="559"/>
      <c r="P126" s="559"/>
      <c r="Q126" s="559"/>
      <c r="R126" s="559"/>
      <c r="S126" s="559"/>
      <c r="T126" s="559"/>
      <c r="U126" s="559"/>
      <c r="V126" s="559"/>
      <c r="W126" s="559"/>
      <c r="X126" s="559"/>
      <c r="Y126" s="559"/>
      <c r="Z126" s="559"/>
      <c r="AA126" s="559"/>
      <c r="AB126" s="559"/>
      <c r="AC126" s="559"/>
      <c r="AD126" s="559"/>
      <c r="AE126" s="559"/>
      <c r="AF126" s="559"/>
      <c r="AG126" s="559"/>
    </row>
    <row r="127" spans="1:33" ht="18" hidden="1" customHeight="1" x14ac:dyDescent="0.35">
      <c r="A127" s="559"/>
      <c r="B127" s="645" t="s">
        <v>75</v>
      </c>
      <c r="C127" s="625">
        <f>IF($F$9=0,0,O125)</f>
        <v>0</v>
      </c>
      <c r="D127" s="646">
        <f>IF($F$9=0,0,N125)</f>
        <v>0</v>
      </c>
      <c r="E127" s="647" t="s">
        <v>76</v>
      </c>
      <c r="F127" s="648" t="str">
        <f>CONCATENATE(ROUNDUP(SUM(K53:K62)+SUM(K103:K105),2)," m²")</f>
        <v>0,34 m²</v>
      </c>
      <c r="G127" s="649" t="e">
        <f>(SUM(M53:M62)+SUM(M103:M105))</f>
        <v>#VALUE!</v>
      </c>
      <c r="H127" s="559"/>
      <c r="I127" s="559"/>
      <c r="J127" s="559"/>
      <c r="K127" s="559"/>
      <c r="L127" s="559"/>
      <c r="M127" s="559"/>
      <c r="N127" s="559"/>
      <c r="O127" s="559"/>
      <c r="P127" s="559"/>
      <c r="Q127" s="559"/>
      <c r="R127" s="559"/>
      <c r="S127" s="559"/>
      <c r="T127" s="559"/>
      <c r="U127" s="559"/>
      <c r="V127" s="559"/>
      <c r="W127" s="559"/>
      <c r="X127" s="559"/>
      <c r="Y127" s="559"/>
      <c r="Z127" s="559"/>
      <c r="AA127" s="559"/>
      <c r="AB127" s="559"/>
      <c r="AC127" s="559"/>
      <c r="AD127" s="559"/>
      <c r="AE127" s="559"/>
      <c r="AF127" s="559"/>
      <c r="AG127" s="559"/>
    </row>
    <row r="128" spans="1:33" ht="18" hidden="1" customHeight="1" x14ac:dyDescent="0.35">
      <c r="A128" s="559"/>
      <c r="B128" s="645" t="s">
        <v>77</v>
      </c>
      <c r="C128" s="625">
        <f>IF($F$9=0,0,((C126+C127)/' Objet Anti Vibratoire'!Frais_Généraux)-(C126+C127))</f>
        <v>0</v>
      </c>
      <c r="D128" s="650"/>
      <c r="E128" s="647" t="s">
        <v>78</v>
      </c>
      <c r="F128" s="648" t="str">
        <f>CONCATENATE(ROUNDUP(SUM(K71:K73)+SUM(K82:K84),2)," m²")</f>
        <v>0 m²</v>
      </c>
      <c r="G128" s="649">
        <f>(SUM(M71:M73)+SUM(M82:M84))</f>
        <v>0</v>
      </c>
      <c r="H128" s="559"/>
      <c r="I128" s="559"/>
      <c r="J128" s="559"/>
      <c r="K128" s="559"/>
      <c r="L128" s="559"/>
      <c r="M128" s="559"/>
      <c r="N128" s="559"/>
      <c r="O128" s="559"/>
      <c r="P128" s="559"/>
      <c r="Q128" s="559"/>
      <c r="R128" s="559"/>
      <c r="S128" s="559"/>
      <c r="T128" s="559"/>
      <c r="U128" s="559"/>
      <c r="V128" s="559"/>
      <c r="W128" s="559"/>
      <c r="X128" s="559"/>
      <c r="Y128" s="559"/>
      <c r="Z128" s="559"/>
      <c r="AA128" s="559"/>
      <c r="AB128" s="559"/>
      <c r="AC128" s="559"/>
      <c r="AD128" s="559"/>
      <c r="AE128" s="559"/>
      <c r="AF128" s="559"/>
      <c r="AG128" s="559"/>
    </row>
    <row r="129" spans="1:33" ht="18" hidden="1" customHeight="1" x14ac:dyDescent="0.35">
      <c r="A129" s="559"/>
      <c r="B129" s="645" t="s">
        <v>79</v>
      </c>
      <c r="C129" s="625">
        <f>IF($F$9=0,0,SUM(C126:C128))</f>
        <v>0</v>
      </c>
      <c r="D129" s="650"/>
      <c r="E129" s="647" t="s">
        <v>80</v>
      </c>
      <c r="F129" s="648" t="str">
        <f>CONCATENATE(ROUNDUP(SUM(K65:K67)+SUM(K106:K113),2)," m²")</f>
        <v>0 m²</v>
      </c>
      <c r="G129" s="649">
        <f>(SUM(M65:M67)+SUM(M106:M113))</f>
        <v>0</v>
      </c>
      <c r="H129" s="559"/>
      <c r="I129" s="559"/>
      <c r="J129" s="559"/>
      <c r="K129" s="559"/>
      <c r="L129" s="559"/>
      <c r="M129" s="559"/>
      <c r="N129" s="559"/>
      <c r="O129" s="559"/>
      <c r="P129" s="559"/>
      <c r="Q129" s="559"/>
      <c r="R129" s="559"/>
      <c r="S129" s="559"/>
      <c r="T129" s="559"/>
      <c r="U129" s="559"/>
      <c r="V129" s="559"/>
      <c r="W129" s="559"/>
      <c r="X129" s="559"/>
      <c r="Y129" s="559"/>
      <c r="Z129" s="559"/>
      <c r="AA129" s="559"/>
      <c r="AB129" s="559"/>
      <c r="AC129" s="559"/>
      <c r="AD129" s="559"/>
      <c r="AE129" s="559"/>
      <c r="AF129" s="559"/>
      <c r="AG129" s="559"/>
    </row>
    <row r="130" spans="1:33" ht="18" hidden="1" customHeight="1" x14ac:dyDescent="0.35">
      <c r="A130" s="559"/>
      <c r="B130" s="645" t="s">
        <v>81</v>
      </c>
      <c r="C130" s="625">
        <f>IF($F$9=0,0,(C129/(1-' Objet Anti Vibratoire'!Marge)-C129))</f>
        <v>0</v>
      </c>
      <c r="D130" s="651">
        <f>C129+C130</f>
        <v>0</v>
      </c>
      <c r="E130" s="647" t="s">
        <v>82</v>
      </c>
      <c r="F130" s="648"/>
      <c r="G130" s="711"/>
      <c r="H130" s="559"/>
      <c r="I130" s="559"/>
      <c r="J130" s="559"/>
      <c r="K130" s="559"/>
      <c r="L130" s="559"/>
      <c r="M130" s="559"/>
      <c r="N130" s="559"/>
      <c r="O130" s="559"/>
      <c r="P130" s="559"/>
      <c r="Q130" s="559"/>
      <c r="R130" s="559"/>
      <c r="S130" s="559"/>
      <c r="T130" s="559"/>
      <c r="U130" s="559"/>
      <c r="V130" s="559"/>
      <c r="W130" s="559"/>
      <c r="X130" s="559"/>
      <c r="Y130" s="559"/>
      <c r="Z130" s="559"/>
      <c r="AA130" s="559"/>
      <c r="AB130" s="559"/>
      <c r="AC130" s="559"/>
      <c r="AD130" s="559"/>
      <c r="AE130" s="559"/>
      <c r="AF130" s="559"/>
      <c r="AG130" s="559"/>
    </row>
    <row r="131" spans="1:33" ht="18" hidden="1" customHeight="1" x14ac:dyDescent="0.35">
      <c r="A131" s="559"/>
      <c r="B131" s="645" t="s">
        <v>83</v>
      </c>
      <c r="C131" s="625">
        <f>IF($F$10="BOVIS",((C129+C130)*(1+C132))-(C129+C130),((C129+C130)*(1+D131))-(C129+C130))</f>
        <v>0</v>
      </c>
      <c r="D131" s="22"/>
      <c r="E131" s="647"/>
      <c r="F131" s="648"/>
      <c r="G131" s="711"/>
      <c r="H131" s="559"/>
      <c r="I131" s="559"/>
      <c r="J131" s="559"/>
      <c r="K131" s="559"/>
      <c r="L131" s="559"/>
      <c r="M131" s="559"/>
      <c r="N131" s="559"/>
      <c r="O131" s="559"/>
      <c r="P131" s="559"/>
      <c r="Q131" s="559"/>
      <c r="R131" s="559"/>
      <c r="S131" s="559"/>
      <c r="T131" s="559"/>
      <c r="U131" s="559"/>
      <c r="V131" s="559"/>
      <c r="W131" s="559"/>
      <c r="X131" s="559"/>
      <c r="Y131" s="559"/>
      <c r="Z131" s="559"/>
      <c r="AA131" s="559"/>
      <c r="AB131" s="559"/>
      <c r="AC131" s="559"/>
      <c r="AD131" s="559"/>
      <c r="AE131" s="559"/>
      <c r="AF131" s="559"/>
      <c r="AG131" s="559"/>
    </row>
    <row r="132" spans="1:33" ht="18" hidden="1" customHeight="1" x14ac:dyDescent="0.35">
      <c r="A132" s="559"/>
      <c r="B132" s="645"/>
      <c r="C132" s="653">
        <f>IF($F$10="BOVIS",0.03,0)</f>
        <v>0</v>
      </c>
      <c r="D132" s="654"/>
      <c r="E132" s="647"/>
      <c r="F132" s="648"/>
      <c r="G132" s="711"/>
      <c r="H132" s="559"/>
      <c r="I132" s="559"/>
      <c r="J132" s="559"/>
      <c r="K132" s="559"/>
      <c r="L132" s="559"/>
      <c r="M132" s="559"/>
      <c r="N132" s="559"/>
      <c r="O132" s="559"/>
      <c r="P132" s="559"/>
      <c r="Q132" s="559"/>
      <c r="R132" s="559"/>
      <c r="S132" s="559"/>
      <c r="T132" s="559"/>
      <c r="U132" s="559"/>
      <c r="V132" s="559"/>
      <c r="W132" s="559"/>
      <c r="X132" s="559"/>
      <c r="Y132" s="559"/>
      <c r="Z132" s="559"/>
      <c r="AA132" s="559"/>
      <c r="AB132" s="559"/>
      <c r="AC132" s="559"/>
      <c r="AD132" s="559"/>
      <c r="AE132" s="559"/>
      <c r="AF132" s="559"/>
      <c r="AG132" s="559"/>
    </row>
    <row r="133" spans="1:33" ht="18" hidden="1" customHeight="1" x14ac:dyDescent="0.35">
      <c r="A133" s="559"/>
      <c r="B133" s="655" t="s">
        <v>84</v>
      </c>
      <c r="C133" s="656">
        <f>SUM(C129:C132)</f>
        <v>0</v>
      </c>
      <c r="D133" s="773"/>
      <c r="E133" s="658" t="s">
        <v>85</v>
      </c>
      <c r="F133" s="567"/>
      <c r="G133" s="712" t="e">
        <f>C126-SUM(G126:G130)</f>
        <v>#VALUE!</v>
      </c>
      <c r="H133" s="559"/>
      <c r="I133" s="559"/>
      <c r="J133" s="559"/>
      <c r="K133" s="559"/>
      <c r="L133" s="559"/>
      <c r="M133" s="559"/>
      <c r="N133" s="559"/>
      <c r="O133" s="559"/>
      <c r="P133" s="559"/>
      <c r="Q133" s="559"/>
      <c r="R133" s="559"/>
      <c r="S133" s="559"/>
      <c r="T133" s="559"/>
      <c r="U133" s="559"/>
      <c r="V133" s="559"/>
      <c r="W133" s="559"/>
      <c r="X133" s="559"/>
      <c r="Y133" s="559"/>
      <c r="Z133" s="559"/>
      <c r="AA133" s="559"/>
      <c r="AB133" s="559"/>
      <c r="AC133" s="559"/>
      <c r="AD133" s="559"/>
      <c r="AE133" s="559"/>
      <c r="AF133" s="559"/>
      <c r="AG133" s="559"/>
    </row>
    <row r="134" spans="1:33" ht="18" hidden="1" customHeight="1" x14ac:dyDescent="0.35">
      <c r="A134" s="663"/>
      <c r="B134" s="663"/>
      <c r="C134" s="663"/>
      <c r="D134" s="663"/>
      <c r="E134" s="663"/>
      <c r="F134" s="563"/>
      <c r="G134" s="663"/>
      <c r="H134" s="663"/>
      <c r="I134" s="663"/>
      <c r="J134" s="663"/>
      <c r="K134" s="663"/>
      <c r="L134" s="663"/>
      <c r="M134" s="663"/>
      <c r="N134" s="663"/>
      <c r="O134" s="663"/>
      <c r="P134" s="559"/>
      <c r="Q134" s="559"/>
      <c r="R134" s="559"/>
      <c r="S134" s="559"/>
      <c r="T134" s="559"/>
      <c r="U134" s="559"/>
      <c r="V134" s="559"/>
      <c r="W134" s="559"/>
      <c r="X134" s="559"/>
      <c r="Y134" s="559"/>
      <c r="Z134" s="559"/>
      <c r="AA134" s="559"/>
      <c r="AB134" s="559"/>
      <c r="AC134" s="559"/>
      <c r="AD134" s="559"/>
      <c r="AE134" s="559"/>
      <c r="AF134" s="559"/>
      <c r="AG134" s="559"/>
    </row>
    <row r="135" spans="1:33" ht="18" customHeight="1" x14ac:dyDescent="0.35">
      <c r="A135" s="559"/>
      <c r="B135" s="559"/>
      <c r="C135" s="559"/>
      <c r="D135" s="559"/>
      <c r="E135" s="559"/>
      <c r="F135" s="559"/>
      <c r="G135" s="559"/>
      <c r="H135" s="559"/>
      <c r="I135" s="559"/>
      <c r="J135" s="559"/>
      <c r="K135" s="559"/>
      <c r="L135" s="559"/>
      <c r="M135" s="559"/>
      <c r="N135" s="559"/>
      <c r="O135" s="559"/>
      <c r="P135" s="559"/>
      <c r="Q135" s="559"/>
      <c r="R135" s="559"/>
      <c r="S135" s="559"/>
      <c r="T135" s="559"/>
      <c r="U135" s="559"/>
      <c r="V135" s="559"/>
      <c r="W135" s="559"/>
      <c r="X135" s="559"/>
      <c r="Y135" s="559"/>
      <c r="Z135" s="559"/>
      <c r="AA135" s="559"/>
      <c r="AB135" s="559"/>
      <c r="AC135" s="559"/>
      <c r="AD135" s="559"/>
      <c r="AE135" s="559"/>
      <c r="AF135" s="559"/>
      <c r="AG135" s="559"/>
    </row>
    <row r="136" spans="1:33" ht="18" hidden="1" customHeight="1" x14ac:dyDescent="0.35">
      <c r="A136" s="774" t="s">
        <v>10</v>
      </c>
      <c r="B136" s="775" t="s">
        <v>10</v>
      </c>
      <c r="C136" s="775" t="s">
        <v>10</v>
      </c>
      <c r="D136" s="776">
        <v>1.5</v>
      </c>
      <c r="E136" s="663"/>
      <c r="F136" s="663"/>
      <c r="G136" s="663"/>
      <c r="H136" s="663"/>
      <c r="I136" s="663"/>
      <c r="J136" s="663"/>
      <c r="K136" s="663"/>
      <c r="L136" s="663"/>
      <c r="M136" s="663"/>
      <c r="N136" s="663"/>
      <c r="O136" s="663"/>
      <c r="P136" s="663"/>
      <c r="Q136" s="559"/>
      <c r="R136" s="559"/>
      <c r="S136" s="559"/>
      <c r="T136" s="559"/>
      <c r="U136" s="559"/>
      <c r="V136" s="559"/>
      <c r="W136" s="559"/>
      <c r="X136" s="559"/>
      <c r="Y136" s="559"/>
      <c r="Z136" s="559"/>
      <c r="AA136" s="559"/>
      <c r="AB136" s="559"/>
      <c r="AC136" s="559"/>
      <c r="AD136" s="559"/>
      <c r="AE136" s="559"/>
      <c r="AF136" s="559"/>
      <c r="AG136" s="559"/>
    </row>
    <row r="137" spans="1:33" ht="18" hidden="1" customHeight="1" x14ac:dyDescent="0.35">
      <c r="A137" s="559"/>
      <c r="B137" s="559"/>
      <c r="C137" s="559"/>
      <c r="D137" s="559"/>
      <c r="E137" s="559"/>
      <c r="F137" s="559"/>
      <c r="G137" s="559"/>
      <c r="H137" s="559"/>
      <c r="I137" s="559"/>
      <c r="J137" s="559"/>
      <c r="K137" s="559"/>
      <c r="L137" s="559"/>
      <c r="M137" s="559"/>
      <c r="N137" s="559"/>
      <c r="O137" s="559"/>
      <c r="P137" s="559"/>
      <c r="Q137" s="559"/>
      <c r="R137" s="559"/>
      <c r="S137" s="559"/>
      <c r="T137" s="559"/>
      <c r="U137" s="559"/>
      <c r="V137" s="559"/>
      <c r="W137" s="559"/>
      <c r="X137" s="559"/>
      <c r="Y137" s="559"/>
      <c r="Z137" s="559"/>
      <c r="AA137" s="559"/>
      <c r="AB137" s="559"/>
      <c r="AC137" s="559"/>
      <c r="AD137" s="559"/>
      <c r="AE137" s="559"/>
      <c r="AF137" s="559"/>
      <c r="AG137" s="559"/>
    </row>
    <row r="138" spans="1:33" ht="18" hidden="1" customHeight="1" x14ac:dyDescent="0.35">
      <c r="A138" s="774" t="s">
        <v>12</v>
      </c>
      <c r="B138" s="775" t="s">
        <v>90</v>
      </c>
      <c r="C138" s="775" t="s">
        <v>90</v>
      </c>
      <c r="D138" s="776">
        <v>2.1</v>
      </c>
      <c r="E138" s="663"/>
      <c r="F138" s="663"/>
      <c r="G138" s="663"/>
      <c r="H138" s="663"/>
      <c r="I138" s="663"/>
      <c r="J138" s="663"/>
      <c r="K138" s="663"/>
      <c r="L138" s="663"/>
      <c r="M138" s="663"/>
      <c r="N138" s="663"/>
      <c r="O138" s="663"/>
      <c r="P138" s="663"/>
      <c r="Q138" s="559"/>
      <c r="R138" s="559"/>
      <c r="S138" s="559"/>
      <c r="T138" s="559"/>
      <c r="U138" s="559"/>
      <c r="V138" s="559"/>
      <c r="W138" s="559"/>
      <c r="X138" s="559"/>
      <c r="Y138" s="559"/>
      <c r="Z138" s="559"/>
      <c r="AA138" s="559"/>
      <c r="AB138" s="559"/>
      <c r="AC138" s="559"/>
      <c r="AD138" s="559"/>
      <c r="AE138" s="559"/>
      <c r="AF138" s="559"/>
      <c r="AG138" s="559"/>
    </row>
    <row r="139" spans="1:33" ht="18" hidden="1" customHeight="1" x14ac:dyDescent="0.35">
      <c r="A139" s="559"/>
      <c r="B139" s="559"/>
      <c r="C139" s="559"/>
      <c r="D139" s="559"/>
      <c r="E139" s="559"/>
      <c r="F139" s="559"/>
      <c r="G139" s="559"/>
      <c r="H139" s="559"/>
      <c r="I139" s="559"/>
      <c r="J139" s="559"/>
      <c r="K139" s="559"/>
      <c r="L139" s="559"/>
      <c r="M139" s="559"/>
      <c r="N139" s="559"/>
      <c r="O139" s="559"/>
      <c r="P139" s="559"/>
      <c r="Q139" s="559"/>
      <c r="R139" s="559"/>
      <c r="S139" s="559"/>
      <c r="T139" s="559"/>
      <c r="U139" s="559"/>
      <c r="V139" s="559"/>
      <c r="W139" s="559"/>
      <c r="X139" s="559"/>
      <c r="Y139" s="559"/>
      <c r="Z139" s="559"/>
      <c r="AA139" s="559"/>
      <c r="AB139" s="559"/>
      <c r="AC139" s="559"/>
      <c r="AD139" s="559"/>
      <c r="AE139" s="559"/>
      <c r="AF139" s="559"/>
      <c r="AG139" s="559"/>
    </row>
    <row r="140" spans="1:33" ht="18" hidden="1" customHeight="1" x14ac:dyDescent="0.35">
      <c r="A140" s="660">
        <v>1</v>
      </c>
      <c r="B140" s="661">
        <v>2</v>
      </c>
      <c r="C140" s="661">
        <v>3</v>
      </c>
      <c r="D140" s="661">
        <v>4</v>
      </c>
      <c r="E140" s="661">
        <v>5</v>
      </c>
      <c r="F140" s="661">
        <v>6</v>
      </c>
      <c r="G140" s="661">
        <v>7</v>
      </c>
      <c r="H140" s="661">
        <v>8</v>
      </c>
      <c r="I140" s="661">
        <v>9</v>
      </c>
      <c r="J140" s="661">
        <v>10</v>
      </c>
      <c r="K140" s="661">
        <v>11</v>
      </c>
      <c r="L140" s="661">
        <v>12</v>
      </c>
      <c r="M140" s="661">
        <v>13</v>
      </c>
      <c r="N140" s="661">
        <v>14</v>
      </c>
      <c r="O140" s="661">
        <v>15</v>
      </c>
      <c r="P140" s="662">
        <v>16</v>
      </c>
      <c r="Q140" s="663">
        <v>17</v>
      </c>
      <c r="R140" s="663"/>
      <c r="S140" s="663"/>
      <c r="T140" s="559"/>
      <c r="U140" s="559"/>
      <c r="V140" s="559"/>
      <c r="W140" s="559"/>
      <c r="X140" s="559"/>
      <c r="Y140" s="559"/>
      <c r="Z140" s="559"/>
      <c r="AA140" s="559"/>
      <c r="AB140" s="559"/>
      <c r="AC140" s="559"/>
      <c r="AD140" s="559"/>
      <c r="AE140" s="559"/>
      <c r="AF140" s="559"/>
      <c r="AG140" s="559"/>
    </row>
    <row r="141" spans="1:33" ht="18" hidden="1" customHeight="1" x14ac:dyDescent="0.35">
      <c r="A141" s="669"/>
      <c r="B141" s="670"/>
      <c r="C141" s="670"/>
      <c r="D141" s="670"/>
      <c r="E141" s="670" t="s">
        <v>80</v>
      </c>
      <c r="F141" s="670" t="s">
        <v>91</v>
      </c>
      <c r="G141" s="670" t="s">
        <v>34</v>
      </c>
      <c r="H141" s="670" t="s">
        <v>65</v>
      </c>
      <c r="I141" s="670" t="s">
        <v>92</v>
      </c>
      <c r="J141" s="670" t="s">
        <v>93</v>
      </c>
      <c r="K141" s="670" t="s">
        <v>67</v>
      </c>
      <c r="L141" s="670" t="s">
        <v>94</v>
      </c>
      <c r="M141" s="670" t="s">
        <v>95</v>
      </c>
      <c r="N141" s="670" t="s">
        <v>69</v>
      </c>
      <c r="O141" s="670" t="s">
        <v>96</v>
      </c>
      <c r="P141" s="671" t="s">
        <v>97</v>
      </c>
      <c r="Q141" s="670" t="s">
        <v>333</v>
      </c>
      <c r="R141" s="670"/>
      <c r="S141" s="670"/>
      <c r="T141" s="559"/>
      <c r="U141" s="559"/>
      <c r="V141" s="559"/>
      <c r="W141" s="559"/>
      <c r="X141" s="559"/>
      <c r="Y141" s="559"/>
      <c r="Z141" s="559"/>
      <c r="AA141" s="559"/>
      <c r="AB141" s="559"/>
      <c r="AC141" s="559"/>
      <c r="AD141" s="559"/>
      <c r="AE141" s="559"/>
      <c r="AF141" s="559"/>
      <c r="AG141" s="559"/>
    </row>
    <row r="142" spans="1:33" ht="18" hidden="1" customHeight="1" x14ac:dyDescent="0.35">
      <c r="A142" s="664"/>
      <c r="B142" s="663"/>
      <c r="C142" s="663"/>
      <c r="D142" s="663"/>
      <c r="E142" s="663"/>
      <c r="F142" s="663"/>
      <c r="G142" s="663"/>
      <c r="H142" s="663"/>
      <c r="I142" s="663"/>
      <c r="J142" s="663"/>
      <c r="K142" s="663"/>
      <c r="L142" s="663"/>
      <c r="M142" s="663">
        <v>0</v>
      </c>
      <c r="N142" s="663"/>
      <c r="O142" s="663"/>
      <c r="P142" s="665"/>
      <c r="Q142" s="663"/>
      <c r="R142" s="663"/>
      <c r="S142" s="663"/>
      <c r="T142" s="559"/>
      <c r="U142" s="559"/>
      <c r="V142" s="559"/>
      <c r="W142" s="559"/>
      <c r="X142" s="559"/>
      <c r="Y142" s="559"/>
      <c r="Z142" s="559"/>
      <c r="AA142" s="559"/>
      <c r="AB142" s="559"/>
      <c r="AC142" s="559"/>
      <c r="AD142" s="559"/>
      <c r="AE142" s="559"/>
      <c r="AF142" s="559"/>
      <c r="AG142" s="559"/>
    </row>
    <row r="143" spans="1:33" ht="18" hidden="1" customHeight="1" x14ac:dyDescent="0.35">
      <c r="A143" s="664" t="s">
        <v>16</v>
      </c>
      <c r="B143" s="663">
        <v>0</v>
      </c>
      <c r="C143" s="663">
        <v>0</v>
      </c>
      <c r="D143" s="663">
        <v>0</v>
      </c>
      <c r="E143" s="663">
        <v>0</v>
      </c>
      <c r="F143" s="663">
        <v>0</v>
      </c>
      <c r="G143" s="663">
        <v>0</v>
      </c>
      <c r="H143" s="663">
        <v>0</v>
      </c>
      <c r="I143" s="663">
        <v>0</v>
      </c>
      <c r="J143" s="663">
        <v>0</v>
      </c>
      <c r="K143" s="663">
        <v>0</v>
      </c>
      <c r="L143" s="663">
        <v>0</v>
      </c>
      <c r="M143" s="663">
        <v>0</v>
      </c>
      <c r="N143" s="663">
        <v>0</v>
      </c>
      <c r="O143" s="663">
        <v>0</v>
      </c>
      <c r="P143" s="665">
        <v>0</v>
      </c>
      <c r="Q143" s="663">
        <v>0</v>
      </c>
      <c r="R143" s="663">
        <v>0</v>
      </c>
      <c r="S143" s="663">
        <v>0</v>
      </c>
      <c r="T143" s="559"/>
      <c r="U143" s="559"/>
      <c r="V143" s="559"/>
      <c r="W143" s="559"/>
      <c r="X143" s="559"/>
      <c r="Y143" s="559"/>
      <c r="Z143" s="559"/>
      <c r="AA143" s="559"/>
      <c r="AB143" s="559"/>
      <c r="AC143" s="559"/>
      <c r="AD143" s="559"/>
      <c r="AE143" s="559"/>
      <c r="AF143" s="559"/>
      <c r="AG143" s="559"/>
    </row>
    <row r="144" spans="1:33" ht="18" hidden="1" customHeight="1" x14ac:dyDescent="0.35">
      <c r="A144" s="664" t="s">
        <v>98</v>
      </c>
      <c r="B144" s="663">
        <f>14.4+3.5</f>
        <v>17.899999999999999</v>
      </c>
      <c r="C144" s="663">
        <f>14.4+0.5</f>
        <v>14.9</v>
      </c>
      <c r="D144" s="663">
        <f>14.4+2</f>
        <v>16.399999999999999</v>
      </c>
      <c r="E144" s="663">
        <v>0</v>
      </c>
      <c r="F144" s="663">
        <v>0</v>
      </c>
      <c r="G144" s="663">
        <v>0</v>
      </c>
      <c r="H144" s="663">
        <v>6</v>
      </c>
      <c r="I144" s="663" t="s">
        <v>99</v>
      </c>
      <c r="J144" s="663">
        <v>2</v>
      </c>
      <c r="K144" s="663">
        <v>2.5</v>
      </c>
      <c r="L144" s="663" t="s">
        <v>86</v>
      </c>
      <c r="M144" s="663">
        <v>4</v>
      </c>
      <c r="N144" s="663">
        <v>6</v>
      </c>
      <c r="O144" s="663" t="s">
        <v>99</v>
      </c>
      <c r="P144" s="665">
        <v>2</v>
      </c>
      <c r="Q144" s="663">
        <v>2</v>
      </c>
      <c r="R144" s="663">
        <v>1</v>
      </c>
      <c r="S144" s="663">
        <v>1</v>
      </c>
      <c r="T144" s="559"/>
      <c r="U144" s="559"/>
      <c r="V144" s="559"/>
      <c r="W144" s="559"/>
      <c r="X144" s="559"/>
      <c r="Y144" s="559"/>
      <c r="Z144" s="559"/>
      <c r="AA144" s="559"/>
      <c r="AB144" s="559"/>
      <c r="AC144" s="559"/>
      <c r="AD144" s="559"/>
      <c r="AE144" s="559"/>
      <c r="AF144" s="559"/>
      <c r="AG144" s="559"/>
    </row>
    <row r="145" spans="1:33" ht="18" hidden="1" customHeight="1" x14ac:dyDescent="0.35">
      <c r="A145" s="664" t="s">
        <v>100</v>
      </c>
      <c r="B145" s="663">
        <f>(5.1+1.25+5.1)*2+3.5</f>
        <v>26.4</v>
      </c>
      <c r="C145" s="663">
        <f>(5.1+1.25+5.1)*2+0.5</f>
        <v>23.4</v>
      </c>
      <c r="D145" s="663">
        <f>(5.1+1.25+5.1)*2+2</f>
        <v>24.9</v>
      </c>
      <c r="E145" s="663">
        <v>0</v>
      </c>
      <c r="F145" s="663">
        <v>0</v>
      </c>
      <c r="G145" s="663">
        <v>0</v>
      </c>
      <c r="H145" s="663">
        <v>10.199999999999999</v>
      </c>
      <c r="I145" s="663" t="s">
        <v>101</v>
      </c>
      <c r="J145" s="663">
        <v>2</v>
      </c>
      <c r="K145" s="663">
        <v>2.5</v>
      </c>
      <c r="L145" s="663" t="s">
        <v>86</v>
      </c>
      <c r="M145" s="663">
        <v>4</v>
      </c>
      <c r="N145" s="663">
        <v>10.199999999999999</v>
      </c>
      <c r="O145" s="663" t="s">
        <v>101</v>
      </c>
      <c r="P145" s="665">
        <v>2</v>
      </c>
      <c r="Q145" s="663">
        <v>2</v>
      </c>
      <c r="R145" s="663">
        <v>1</v>
      </c>
      <c r="S145" s="663">
        <v>1</v>
      </c>
      <c r="T145" s="559"/>
      <c r="U145" s="559"/>
      <c r="V145" s="559"/>
      <c r="W145" s="559"/>
      <c r="X145" s="559"/>
      <c r="Y145" s="559"/>
      <c r="Z145" s="559"/>
      <c r="AA145" s="559"/>
      <c r="AB145" s="559"/>
      <c r="AC145" s="559"/>
      <c r="AD145" s="559"/>
      <c r="AE145" s="559"/>
      <c r="AF145" s="559"/>
      <c r="AG145" s="559"/>
    </row>
    <row r="146" spans="1:33" ht="18" hidden="1" customHeight="1" x14ac:dyDescent="0.35">
      <c r="A146" s="664" t="s">
        <v>102</v>
      </c>
      <c r="B146" s="663">
        <f>6+3.5</f>
        <v>9.5</v>
      </c>
      <c r="C146" s="663">
        <f>6+0.5</f>
        <v>6.5</v>
      </c>
      <c r="D146" s="663">
        <f>6+2</f>
        <v>8</v>
      </c>
      <c r="E146" s="663">
        <v>0</v>
      </c>
      <c r="F146" s="663">
        <v>0</v>
      </c>
      <c r="G146" s="663">
        <v>0</v>
      </c>
      <c r="H146" s="663">
        <v>6</v>
      </c>
      <c r="I146" s="663" t="s">
        <v>99</v>
      </c>
      <c r="J146" s="663">
        <v>2</v>
      </c>
      <c r="K146" s="663">
        <v>0</v>
      </c>
      <c r="L146" s="663">
        <v>0</v>
      </c>
      <c r="M146" s="663">
        <v>0</v>
      </c>
      <c r="N146" s="663">
        <v>0</v>
      </c>
      <c r="O146" s="663"/>
      <c r="P146" s="665">
        <v>0</v>
      </c>
      <c r="Q146" s="663">
        <v>0</v>
      </c>
      <c r="R146" s="663">
        <v>1</v>
      </c>
      <c r="S146" s="663">
        <v>1</v>
      </c>
      <c r="T146" s="559"/>
      <c r="U146" s="559"/>
      <c r="V146" s="559"/>
      <c r="W146" s="559"/>
      <c r="X146" s="559"/>
      <c r="Y146" s="559"/>
      <c r="Z146" s="559"/>
      <c r="AA146" s="559"/>
      <c r="AB146" s="559"/>
      <c r="AC146" s="559"/>
      <c r="AD146" s="559"/>
      <c r="AE146" s="559"/>
      <c r="AF146" s="559"/>
      <c r="AG146" s="559"/>
    </row>
    <row r="147" spans="1:33" ht="18" hidden="1" customHeight="1" x14ac:dyDescent="0.35">
      <c r="A147" s="664" t="s">
        <v>103</v>
      </c>
      <c r="B147" s="663">
        <f>10.2+3.5</f>
        <v>13.7</v>
      </c>
      <c r="C147" s="663">
        <f>10.2+0.5</f>
        <v>10.7</v>
      </c>
      <c r="D147" s="663">
        <f>10.2+2</f>
        <v>12.2</v>
      </c>
      <c r="E147" s="663">
        <v>0</v>
      </c>
      <c r="F147" s="663">
        <v>0</v>
      </c>
      <c r="G147" s="663">
        <v>0</v>
      </c>
      <c r="H147" s="663">
        <v>10.199999999999999</v>
      </c>
      <c r="I147" s="663" t="s">
        <v>101</v>
      </c>
      <c r="J147" s="663">
        <v>2</v>
      </c>
      <c r="K147" s="663">
        <v>0</v>
      </c>
      <c r="L147" s="663">
        <v>0</v>
      </c>
      <c r="M147" s="663">
        <v>0</v>
      </c>
      <c r="N147" s="663">
        <v>0</v>
      </c>
      <c r="O147" s="663"/>
      <c r="P147" s="665">
        <v>0</v>
      </c>
      <c r="Q147" s="663">
        <v>0</v>
      </c>
      <c r="R147" s="663">
        <v>1</v>
      </c>
      <c r="S147" s="663">
        <v>1</v>
      </c>
      <c r="T147" s="559"/>
      <c r="U147" s="559"/>
      <c r="V147" s="559"/>
      <c r="W147" s="559"/>
      <c r="X147" s="559"/>
      <c r="Y147" s="559"/>
      <c r="Z147" s="559"/>
      <c r="AA147" s="559"/>
      <c r="AB147" s="559"/>
      <c r="AC147" s="559"/>
      <c r="AD147" s="559"/>
      <c r="AE147" s="559"/>
      <c r="AF147" s="559"/>
      <c r="AG147" s="559"/>
    </row>
    <row r="148" spans="1:33" ht="18" hidden="1" customHeight="1" x14ac:dyDescent="0.35">
      <c r="A148" s="664" t="s">
        <v>104</v>
      </c>
      <c r="B148" s="663">
        <f>20.5+3.5</f>
        <v>24</v>
      </c>
      <c r="C148" s="663">
        <f>(3+3+1.25+3)*2+0.5</f>
        <v>21</v>
      </c>
      <c r="D148" s="663">
        <f>(3+3+1.25+3)*2+2</f>
        <v>22.5</v>
      </c>
      <c r="E148" s="663">
        <v>6</v>
      </c>
      <c r="F148" s="663" t="s">
        <v>105</v>
      </c>
      <c r="G148" s="663">
        <v>2</v>
      </c>
      <c r="H148" s="663">
        <v>6</v>
      </c>
      <c r="I148" s="663" t="s">
        <v>99</v>
      </c>
      <c r="J148" s="663">
        <v>2</v>
      </c>
      <c r="K148" s="663">
        <v>2.5</v>
      </c>
      <c r="L148" s="663" t="s">
        <v>86</v>
      </c>
      <c r="M148" s="663">
        <v>4</v>
      </c>
      <c r="N148" s="663">
        <v>6</v>
      </c>
      <c r="O148" s="663" t="s">
        <v>99</v>
      </c>
      <c r="P148" s="665">
        <v>2</v>
      </c>
      <c r="Q148" s="663">
        <v>2</v>
      </c>
      <c r="R148" s="663">
        <v>1</v>
      </c>
      <c r="S148" s="663">
        <v>1</v>
      </c>
      <c r="T148" s="559"/>
      <c r="U148" s="559"/>
      <c r="V148" s="559"/>
      <c r="W148" s="559"/>
      <c r="X148" s="559"/>
      <c r="Y148" s="559"/>
      <c r="Z148" s="559"/>
      <c r="AA148" s="559"/>
      <c r="AB148" s="559"/>
      <c r="AC148" s="559"/>
      <c r="AD148" s="559"/>
      <c r="AE148" s="559"/>
      <c r="AF148" s="559"/>
      <c r="AG148" s="559"/>
    </row>
    <row r="149" spans="1:33" ht="18" hidden="1" customHeight="1" x14ac:dyDescent="0.35">
      <c r="A149" s="666" t="s">
        <v>106</v>
      </c>
      <c r="B149" s="667">
        <f>(5+5.1+1.25+5.1)*2+3.5</f>
        <v>36.4</v>
      </c>
      <c r="C149" s="667">
        <f>(5+5.1+1.25+5.1)*2+0.5</f>
        <v>33.4</v>
      </c>
      <c r="D149" s="667">
        <f>(5+5.1+1.25+5.1)*2+2</f>
        <v>34.9</v>
      </c>
      <c r="E149" s="667">
        <v>10</v>
      </c>
      <c r="F149" s="667" t="s">
        <v>27</v>
      </c>
      <c r="G149" s="667">
        <v>2</v>
      </c>
      <c r="H149" s="667">
        <v>10.199999999999999</v>
      </c>
      <c r="I149" s="667" t="s">
        <v>101</v>
      </c>
      <c r="J149" s="663">
        <v>2</v>
      </c>
      <c r="K149" s="667">
        <v>2.5</v>
      </c>
      <c r="L149" s="667" t="s">
        <v>86</v>
      </c>
      <c r="M149" s="667">
        <v>4</v>
      </c>
      <c r="N149" s="667">
        <v>10.199999999999999</v>
      </c>
      <c r="O149" s="667" t="s">
        <v>101</v>
      </c>
      <c r="P149" s="668">
        <v>2</v>
      </c>
      <c r="Q149" s="663">
        <v>2</v>
      </c>
      <c r="R149" s="663">
        <v>1</v>
      </c>
      <c r="S149" s="663">
        <v>1</v>
      </c>
      <c r="T149" s="559"/>
      <c r="U149" s="559"/>
      <c r="V149" s="559"/>
      <c r="W149" s="559"/>
      <c r="X149" s="559"/>
      <c r="Y149" s="559"/>
      <c r="Z149" s="559"/>
      <c r="AA149" s="559"/>
      <c r="AB149" s="559"/>
      <c r="AC149" s="559"/>
      <c r="AD149" s="559"/>
      <c r="AE149" s="559"/>
      <c r="AF149" s="559"/>
      <c r="AG149" s="559"/>
    </row>
    <row r="150" spans="1:33" ht="18" hidden="1" customHeight="1" x14ac:dyDescent="0.35">
      <c r="A150" s="559"/>
      <c r="B150" s="559"/>
      <c r="C150" s="559"/>
      <c r="D150" s="559"/>
      <c r="E150" s="559"/>
      <c r="F150" s="559"/>
      <c r="G150" s="559"/>
      <c r="H150" s="559"/>
      <c r="I150" s="559"/>
      <c r="J150" s="559"/>
      <c r="K150" s="559"/>
      <c r="L150" s="559"/>
      <c r="M150" s="559"/>
      <c r="N150" s="559"/>
      <c r="O150" s="559"/>
      <c r="P150" s="559"/>
      <c r="Q150" s="559"/>
      <c r="R150" s="559"/>
      <c r="S150" s="559"/>
      <c r="T150" s="559"/>
      <c r="U150" s="559"/>
      <c r="V150" s="559"/>
      <c r="W150" s="559"/>
      <c r="X150" s="559"/>
      <c r="Y150" s="559"/>
      <c r="Z150" s="559"/>
      <c r="AA150" s="559"/>
      <c r="AB150" s="559"/>
      <c r="AC150" s="559"/>
      <c r="AD150" s="559"/>
      <c r="AE150" s="559"/>
      <c r="AF150" s="559"/>
      <c r="AG150" s="559"/>
    </row>
    <row r="151" spans="1:33" ht="18" hidden="1" customHeight="1" x14ac:dyDescent="0.35">
      <c r="A151" s="660" t="s">
        <v>107</v>
      </c>
      <c r="B151" s="662">
        <v>1</v>
      </c>
      <c r="C151" s="663"/>
      <c r="D151" s="663"/>
      <c r="E151" s="663"/>
      <c r="F151" s="663"/>
      <c r="G151" s="663"/>
      <c r="H151" s="663"/>
      <c r="I151" s="663"/>
      <c r="J151" s="663"/>
      <c r="K151" s="663"/>
      <c r="L151" s="663"/>
      <c r="M151" s="663"/>
      <c r="N151" s="663"/>
      <c r="O151" s="663"/>
      <c r="P151" s="663"/>
      <c r="Q151" s="559"/>
      <c r="R151" s="559"/>
      <c r="S151" s="559"/>
      <c r="T151" s="559"/>
      <c r="U151" s="559"/>
      <c r="V151" s="559"/>
      <c r="W151" s="559"/>
      <c r="X151" s="559"/>
      <c r="Y151" s="559"/>
      <c r="Z151" s="559"/>
      <c r="AA151" s="559"/>
      <c r="AB151" s="559"/>
      <c r="AC151" s="559"/>
      <c r="AD151" s="559"/>
      <c r="AE151" s="559"/>
      <c r="AF151" s="559"/>
      <c r="AG151" s="559"/>
    </row>
    <row r="152" spans="1:33" ht="18" hidden="1" customHeight="1" x14ac:dyDescent="0.35">
      <c r="A152" s="666" t="s">
        <v>18</v>
      </c>
      <c r="B152" s="668">
        <v>0</v>
      </c>
      <c r="C152" s="663"/>
      <c r="D152" s="663"/>
      <c r="E152" s="663"/>
      <c r="F152" s="663"/>
      <c r="G152" s="663"/>
      <c r="H152" s="663"/>
      <c r="I152" s="663"/>
      <c r="J152" s="663"/>
      <c r="K152" s="663"/>
      <c r="L152" s="663"/>
      <c r="M152" s="663"/>
      <c r="N152" s="663"/>
      <c r="O152" s="663"/>
      <c r="P152" s="663"/>
      <c r="Q152" s="559"/>
      <c r="R152" s="559"/>
      <c r="S152" s="559"/>
      <c r="T152" s="559"/>
      <c r="U152" s="559"/>
      <c r="V152" s="559"/>
      <c r="W152" s="559"/>
      <c r="X152" s="559"/>
      <c r="Y152" s="559"/>
      <c r="Z152" s="559"/>
      <c r="AA152" s="559"/>
      <c r="AB152" s="559"/>
      <c r="AC152" s="559"/>
      <c r="AD152" s="559"/>
      <c r="AE152" s="559"/>
      <c r="AF152" s="559"/>
      <c r="AG152" s="559"/>
    </row>
    <row r="153" spans="1:33" ht="18" hidden="1" customHeight="1" x14ac:dyDescent="0.35">
      <c r="A153" s="663"/>
      <c r="B153" s="663"/>
      <c r="C153" s="663"/>
      <c r="D153" s="663"/>
      <c r="E153" s="663"/>
      <c r="F153" s="663"/>
      <c r="G153" s="663"/>
      <c r="H153" s="663"/>
      <c r="I153" s="663"/>
      <c r="J153" s="663"/>
      <c r="K153" s="663"/>
      <c r="L153" s="663"/>
      <c r="M153" s="663"/>
      <c r="N153" s="663"/>
      <c r="O153" s="663"/>
      <c r="P153" s="663"/>
      <c r="Q153" s="559"/>
      <c r="R153" s="559"/>
      <c r="S153" s="559"/>
      <c r="T153" s="559"/>
      <c r="U153" s="559"/>
      <c r="V153" s="559"/>
      <c r="W153" s="559"/>
      <c r="X153" s="559"/>
      <c r="Y153" s="559"/>
      <c r="Z153" s="559"/>
      <c r="AA153" s="559"/>
      <c r="AB153" s="559"/>
      <c r="AC153" s="559"/>
      <c r="AD153" s="559"/>
      <c r="AE153" s="559"/>
      <c r="AF153" s="559"/>
      <c r="AG153" s="559"/>
    </row>
    <row r="154" spans="1:33" ht="18" hidden="1" customHeight="1" x14ac:dyDescent="0.35">
      <c r="A154" s="672" t="s">
        <v>20</v>
      </c>
      <c r="B154" s="663"/>
      <c r="C154" s="663"/>
      <c r="D154" s="663"/>
      <c r="E154" s="663"/>
      <c r="F154" s="663"/>
      <c r="G154" s="663"/>
      <c r="H154" s="663"/>
      <c r="I154" s="663"/>
      <c r="J154" s="663"/>
      <c r="K154" s="663"/>
      <c r="L154" s="663"/>
      <c r="M154" s="663"/>
      <c r="N154" s="663"/>
      <c r="O154" s="663"/>
      <c r="P154" s="663"/>
      <c r="Q154" s="559"/>
      <c r="R154" s="559"/>
      <c r="S154" s="559"/>
      <c r="T154" s="559"/>
      <c r="U154" s="559"/>
      <c r="V154" s="559"/>
      <c r="W154" s="559"/>
      <c r="X154" s="559"/>
      <c r="Y154" s="559"/>
      <c r="Z154" s="559"/>
      <c r="AA154" s="559"/>
      <c r="AB154" s="559"/>
      <c r="AC154" s="559"/>
      <c r="AD154" s="559"/>
      <c r="AE154" s="559"/>
      <c r="AF154" s="559"/>
      <c r="AG154" s="559"/>
    </row>
    <row r="155" spans="1:33" ht="18" hidden="1" customHeight="1" x14ac:dyDescent="0.35">
      <c r="A155" s="674" t="s">
        <v>14</v>
      </c>
      <c r="B155" s="663"/>
      <c r="C155" s="663"/>
      <c r="D155" s="663"/>
      <c r="E155" s="663"/>
      <c r="F155" s="663"/>
      <c r="G155" s="663"/>
      <c r="H155" s="663"/>
      <c r="I155" s="663"/>
      <c r="J155" s="663"/>
      <c r="K155" s="663"/>
      <c r="L155" s="663"/>
      <c r="M155" s="663"/>
      <c r="N155" s="663"/>
      <c r="O155" s="663"/>
      <c r="P155" s="663"/>
      <c r="Q155" s="559"/>
      <c r="R155" s="559"/>
      <c r="S155" s="559"/>
      <c r="T155" s="559"/>
      <c r="U155" s="559"/>
      <c r="V155" s="559"/>
      <c r="W155" s="559"/>
      <c r="X155" s="559"/>
      <c r="Y155" s="559"/>
      <c r="Z155" s="559"/>
      <c r="AA155" s="559"/>
      <c r="AB155" s="559"/>
      <c r="AC155" s="559"/>
      <c r="AD155" s="559"/>
      <c r="AE155" s="559"/>
      <c r="AF155" s="559"/>
      <c r="AG155" s="559"/>
    </row>
    <row r="156" spans="1:33" ht="18" hidden="1" customHeight="1" x14ac:dyDescent="0.35">
      <c r="A156" s="663"/>
      <c r="B156" s="663"/>
      <c r="C156" s="663"/>
      <c r="D156" s="663"/>
      <c r="E156" s="663"/>
      <c r="F156" s="663"/>
      <c r="G156" s="663"/>
      <c r="H156" s="663"/>
      <c r="I156" s="663"/>
      <c r="J156" s="663"/>
      <c r="K156" s="663"/>
      <c r="L156" s="663"/>
      <c r="M156" s="663"/>
      <c r="N156" s="663"/>
      <c r="O156" s="663"/>
      <c r="P156" s="663"/>
      <c r="Q156" s="559"/>
      <c r="R156" s="559"/>
      <c r="S156" s="559"/>
      <c r="T156" s="559"/>
      <c r="U156" s="559"/>
      <c r="V156" s="559"/>
      <c r="W156" s="559"/>
      <c r="X156" s="559"/>
      <c r="Y156" s="559"/>
      <c r="Z156" s="559"/>
      <c r="AA156" s="559"/>
      <c r="AB156" s="559"/>
      <c r="AC156" s="559"/>
      <c r="AD156" s="559"/>
      <c r="AE156" s="559"/>
      <c r="AF156" s="559"/>
      <c r="AG156" s="559"/>
    </row>
    <row r="157" spans="1:33" ht="18" hidden="1" customHeight="1" x14ac:dyDescent="0.35">
      <c r="A157" s="672" t="s">
        <v>22</v>
      </c>
      <c r="B157" s="662">
        <v>4.2</v>
      </c>
      <c r="C157" s="663"/>
      <c r="D157" s="663"/>
      <c r="E157" s="663"/>
      <c r="F157" s="663"/>
      <c r="G157" s="663"/>
      <c r="H157" s="663"/>
      <c r="I157" s="663"/>
      <c r="J157" s="663"/>
      <c r="K157" s="663"/>
      <c r="L157" s="663"/>
      <c r="M157" s="663"/>
      <c r="N157" s="663"/>
      <c r="O157" s="663"/>
      <c r="P157" s="663"/>
      <c r="Q157" s="559"/>
      <c r="R157" s="559"/>
      <c r="S157" s="559"/>
      <c r="T157" s="559"/>
      <c r="U157" s="559"/>
      <c r="V157" s="559"/>
      <c r="W157" s="559"/>
      <c r="X157" s="559"/>
      <c r="Y157" s="559"/>
      <c r="Z157" s="559"/>
      <c r="AA157" s="559"/>
      <c r="AB157" s="559"/>
      <c r="AC157" s="559"/>
      <c r="AD157" s="559"/>
      <c r="AE157" s="559"/>
      <c r="AF157" s="559"/>
      <c r="AG157" s="559"/>
    </row>
    <row r="158" spans="1:33" ht="18" hidden="1" customHeight="1" x14ac:dyDescent="0.35">
      <c r="A158" s="673" t="s">
        <v>108</v>
      </c>
      <c r="B158" s="665">
        <v>2</v>
      </c>
      <c r="C158" s="663"/>
      <c r="D158" s="663"/>
      <c r="E158" s="663"/>
      <c r="F158" s="663"/>
      <c r="G158" s="663"/>
      <c r="H158" s="663"/>
      <c r="I158" s="663"/>
      <c r="J158" s="663"/>
      <c r="K158" s="663"/>
      <c r="L158" s="663"/>
      <c r="M158" s="663"/>
      <c r="N158" s="663"/>
      <c r="O158" s="663"/>
      <c r="P158" s="663"/>
      <c r="Q158" s="559"/>
      <c r="R158" s="559"/>
      <c r="S158" s="559"/>
      <c r="T158" s="559"/>
      <c r="U158" s="559"/>
      <c r="V158" s="559"/>
      <c r="W158" s="559"/>
      <c r="X158" s="559"/>
      <c r="Y158" s="559"/>
      <c r="Z158" s="559"/>
      <c r="AA158" s="559"/>
      <c r="AB158" s="559"/>
      <c r="AC158" s="559"/>
      <c r="AD158" s="559"/>
      <c r="AE158" s="559"/>
      <c r="AF158" s="559"/>
      <c r="AG158" s="559"/>
    </row>
    <row r="159" spans="1:33" ht="18" hidden="1" customHeight="1" x14ac:dyDescent="0.35">
      <c r="A159" s="674" t="s">
        <v>109</v>
      </c>
      <c r="B159" s="668">
        <v>0</v>
      </c>
      <c r="C159" s="663"/>
      <c r="D159" s="663"/>
      <c r="E159" s="663"/>
      <c r="F159" s="663"/>
      <c r="G159" s="663"/>
      <c r="H159" s="663"/>
      <c r="I159" s="663"/>
      <c r="J159" s="663"/>
      <c r="K159" s="663"/>
      <c r="L159" s="663"/>
      <c r="M159" s="663"/>
      <c r="N159" s="663"/>
      <c r="O159" s="663"/>
      <c r="P159" s="663"/>
      <c r="Q159" s="559"/>
      <c r="R159" s="559"/>
      <c r="S159" s="559"/>
      <c r="T159" s="559"/>
      <c r="U159" s="559"/>
      <c r="V159" s="559"/>
      <c r="W159" s="559"/>
      <c r="X159" s="559"/>
      <c r="Y159" s="559"/>
      <c r="Z159" s="559"/>
      <c r="AA159" s="559"/>
      <c r="AB159" s="559"/>
      <c r="AC159" s="559"/>
      <c r="AD159" s="559"/>
      <c r="AE159" s="559"/>
      <c r="AF159" s="559"/>
      <c r="AG159" s="559"/>
    </row>
    <row r="160" spans="1:33" ht="18" hidden="1" customHeight="1" x14ac:dyDescent="0.35">
      <c r="A160" s="663"/>
      <c r="B160" s="663"/>
      <c r="C160" s="663"/>
      <c r="D160" s="663"/>
      <c r="E160" s="663"/>
      <c r="F160" s="663"/>
      <c r="G160" s="663"/>
      <c r="H160" s="663"/>
      <c r="I160" s="663"/>
      <c r="J160" s="663"/>
      <c r="K160" s="663"/>
      <c r="L160" s="663"/>
      <c r="M160" s="663"/>
      <c r="N160" s="663"/>
      <c r="O160" s="663"/>
      <c r="P160" s="663"/>
      <c r="Q160" s="559"/>
      <c r="R160" s="559"/>
      <c r="S160" s="559"/>
      <c r="T160" s="559"/>
      <c r="U160" s="559"/>
      <c r="V160" s="559"/>
      <c r="W160" s="559"/>
      <c r="X160" s="559"/>
      <c r="Y160" s="559"/>
      <c r="Z160" s="559"/>
      <c r="AA160" s="559"/>
      <c r="AB160" s="559"/>
      <c r="AC160" s="559"/>
      <c r="AD160" s="559"/>
      <c r="AE160" s="559"/>
      <c r="AF160" s="559"/>
      <c r="AG160" s="559"/>
    </row>
    <row r="161" spans="1:33" ht="18" hidden="1" customHeight="1" x14ac:dyDescent="0.35">
      <c r="A161" s="660" t="s">
        <v>135</v>
      </c>
      <c r="B161" s="662"/>
      <c r="C161" s="663"/>
      <c r="D161" s="663"/>
      <c r="E161" s="663"/>
      <c r="F161" s="663"/>
      <c r="G161" s="663"/>
      <c r="H161" s="663"/>
      <c r="I161" s="663"/>
      <c r="J161" s="663"/>
      <c r="K161" s="663"/>
      <c r="L161" s="663"/>
      <c r="M161" s="663"/>
      <c r="N161" s="663"/>
      <c r="O161" s="663"/>
      <c r="P161" s="663"/>
      <c r="Q161" s="559"/>
      <c r="R161" s="559"/>
      <c r="S161" s="559"/>
      <c r="T161" s="559"/>
      <c r="U161" s="559"/>
      <c r="V161" s="559"/>
      <c r="W161" s="559"/>
      <c r="X161" s="559"/>
      <c r="Y161" s="559"/>
      <c r="Z161" s="559"/>
      <c r="AA161" s="559"/>
      <c r="AB161" s="559"/>
      <c r="AC161" s="559"/>
      <c r="AD161" s="559"/>
      <c r="AE161" s="559"/>
      <c r="AF161" s="559"/>
      <c r="AG161" s="559"/>
    </row>
    <row r="162" spans="1:33" ht="18" hidden="1" customHeight="1" x14ac:dyDescent="0.35">
      <c r="A162" s="664" t="s">
        <v>136</v>
      </c>
      <c r="B162" s="665"/>
      <c r="C162" s="663"/>
      <c r="D162" s="663"/>
      <c r="E162" s="663"/>
      <c r="F162" s="663"/>
      <c r="G162" s="663"/>
      <c r="H162" s="663"/>
      <c r="I162" s="663"/>
      <c r="J162" s="663"/>
      <c r="K162" s="663"/>
      <c r="L162" s="663"/>
      <c r="M162" s="663"/>
      <c r="N162" s="663"/>
      <c r="O162" s="663"/>
      <c r="P162" s="663"/>
      <c r="Q162" s="559"/>
      <c r="R162" s="559"/>
      <c r="S162" s="559"/>
      <c r="T162" s="559"/>
      <c r="U162" s="559"/>
      <c r="V162" s="559"/>
      <c r="W162" s="559"/>
      <c r="X162" s="559"/>
      <c r="Y162" s="559"/>
      <c r="Z162" s="559"/>
      <c r="AA162" s="559"/>
      <c r="AB162" s="559"/>
      <c r="AC162" s="559"/>
      <c r="AD162" s="559"/>
      <c r="AE162" s="559"/>
      <c r="AF162" s="559"/>
      <c r="AG162" s="559"/>
    </row>
    <row r="163" spans="1:33" ht="18" hidden="1" customHeight="1" x14ac:dyDescent="0.35">
      <c r="A163" s="666" t="s">
        <v>24</v>
      </c>
      <c r="B163" s="668"/>
      <c r="C163" s="663"/>
      <c r="D163" s="663"/>
      <c r="E163" s="663"/>
      <c r="F163" s="663"/>
      <c r="G163" s="663"/>
      <c r="H163" s="663"/>
      <c r="I163" s="663"/>
      <c r="J163" s="663"/>
      <c r="K163" s="663"/>
      <c r="L163" s="663"/>
      <c r="M163" s="663"/>
      <c r="N163" s="663"/>
      <c r="O163" s="663"/>
      <c r="P163" s="663"/>
      <c r="Q163" s="559"/>
      <c r="R163" s="559"/>
      <c r="S163" s="559"/>
      <c r="T163" s="559"/>
      <c r="U163" s="559"/>
      <c r="V163" s="559"/>
      <c r="W163" s="559"/>
      <c r="X163" s="559"/>
      <c r="Y163" s="559"/>
      <c r="Z163" s="559"/>
      <c r="AA163" s="559"/>
      <c r="AB163" s="559"/>
      <c r="AC163" s="559"/>
      <c r="AD163" s="559"/>
      <c r="AE163" s="559"/>
      <c r="AF163" s="559"/>
      <c r="AG163" s="559"/>
    </row>
    <row r="164" spans="1:33" ht="18" hidden="1" customHeight="1" x14ac:dyDescent="0.35">
      <c r="A164" s="559"/>
      <c r="B164" s="559"/>
      <c r="C164" s="559"/>
      <c r="D164" s="559"/>
      <c r="E164" s="559"/>
      <c r="F164" s="559"/>
      <c r="G164" s="559"/>
      <c r="H164" s="559"/>
      <c r="I164" s="559"/>
      <c r="J164" s="559"/>
      <c r="K164" s="559"/>
      <c r="L164" s="559"/>
      <c r="M164" s="559"/>
      <c r="N164" s="559"/>
      <c r="O164" s="559"/>
      <c r="P164" s="559"/>
      <c r="Q164" s="559"/>
      <c r="R164" s="559"/>
      <c r="S164" s="559"/>
      <c r="T164" s="559"/>
      <c r="U164" s="559"/>
      <c r="V164" s="559"/>
      <c r="W164" s="559"/>
      <c r="X164" s="559"/>
      <c r="Y164" s="559"/>
      <c r="Z164" s="559"/>
      <c r="AA164" s="559"/>
      <c r="AB164" s="559"/>
      <c r="AC164" s="559"/>
      <c r="AD164" s="559"/>
      <c r="AE164" s="559"/>
      <c r="AF164" s="559"/>
      <c r="AG164" s="559"/>
    </row>
    <row r="165" spans="1:33" ht="18" hidden="1" customHeight="1" x14ac:dyDescent="0.35">
      <c r="A165" s="777" t="s">
        <v>223</v>
      </c>
      <c r="B165" s="778" t="s">
        <v>224</v>
      </c>
      <c r="C165" s="778" t="s">
        <v>225</v>
      </c>
      <c r="D165" s="778" t="s">
        <v>226</v>
      </c>
      <c r="E165" s="778" t="s">
        <v>227</v>
      </c>
      <c r="F165" s="778" t="s">
        <v>228</v>
      </c>
      <c r="G165" s="661"/>
      <c r="H165" s="662"/>
      <c r="I165" s="663"/>
      <c r="J165" s="663"/>
      <c r="K165" s="663"/>
      <c r="L165" s="663"/>
      <c r="M165" s="663"/>
      <c r="N165" s="663"/>
      <c r="O165" s="663"/>
      <c r="P165" s="663"/>
      <c r="Q165" s="559"/>
      <c r="R165" s="559"/>
      <c r="S165" s="559"/>
      <c r="T165" s="559"/>
      <c r="U165" s="559"/>
      <c r="V165" s="559"/>
      <c r="W165" s="559"/>
      <c r="X165" s="559"/>
      <c r="Y165" s="559"/>
      <c r="Z165" s="559"/>
      <c r="AA165" s="559"/>
      <c r="AB165" s="559"/>
      <c r="AC165" s="559"/>
      <c r="AD165" s="559"/>
      <c r="AE165" s="559"/>
      <c r="AF165" s="559"/>
      <c r="AG165" s="559"/>
    </row>
    <row r="166" spans="1:33" ht="18" hidden="1" customHeight="1" x14ac:dyDescent="0.35">
      <c r="A166" s="779" t="s">
        <v>16</v>
      </c>
      <c r="B166" s="584">
        <v>14</v>
      </c>
      <c r="C166" s="584">
        <v>0</v>
      </c>
      <c r="D166" s="584">
        <v>0</v>
      </c>
      <c r="E166" s="584">
        <v>0</v>
      </c>
      <c r="F166" s="584">
        <v>0</v>
      </c>
      <c r="G166" s="780">
        <v>0</v>
      </c>
      <c r="H166" s="781">
        <v>0</v>
      </c>
      <c r="I166" s="663"/>
      <c r="J166" s="663"/>
      <c r="K166" s="663"/>
      <c r="L166" s="663"/>
      <c r="M166" s="663"/>
      <c r="N166" s="663"/>
      <c r="O166" s="663"/>
      <c r="P166" s="663"/>
      <c r="Q166" s="559"/>
      <c r="R166" s="559"/>
      <c r="S166" s="559"/>
      <c r="T166" s="559"/>
      <c r="U166" s="559"/>
      <c r="V166" s="559"/>
      <c r="W166" s="559"/>
      <c r="X166" s="559"/>
      <c r="Y166" s="559"/>
      <c r="Z166" s="559"/>
      <c r="AA166" s="559"/>
      <c r="AB166" s="559"/>
      <c r="AC166" s="559"/>
      <c r="AD166" s="559"/>
      <c r="AE166" s="559"/>
      <c r="AF166" s="559"/>
      <c r="AG166" s="559"/>
    </row>
    <row r="167" spans="1:33" ht="18" hidden="1" customHeight="1" x14ac:dyDescent="0.35">
      <c r="A167" s="779" t="s">
        <v>232</v>
      </c>
      <c r="B167" s="584">
        <f t="shared" ref="B167:B175" si="65">E167*2</f>
        <v>14.8</v>
      </c>
      <c r="C167" s="584">
        <f t="shared" ref="C167:C175" si="66">E167*2</f>
        <v>14.8</v>
      </c>
      <c r="D167" s="584">
        <f t="shared" ref="D167:D175" si="67">E167+7</f>
        <v>14.4</v>
      </c>
      <c r="E167" s="584">
        <v>7.4</v>
      </c>
      <c r="F167" s="782">
        <f t="shared" ref="F167:F175" si="68">H167+G167</f>
        <v>67.5</v>
      </c>
      <c r="G167" s="559">
        <f t="shared" ref="G167:G175" si="69">3*1.5</f>
        <v>4.5</v>
      </c>
      <c r="H167" s="783">
        <v>63</v>
      </c>
      <c r="I167" s="559"/>
      <c r="J167" s="559"/>
      <c r="K167" s="559"/>
      <c r="L167" s="559"/>
      <c r="M167" s="559"/>
      <c r="N167" s="559"/>
      <c r="O167" s="559"/>
      <c r="P167" s="559"/>
      <c r="Q167" s="559"/>
      <c r="R167" s="559"/>
      <c r="S167" s="559"/>
      <c r="T167" s="559"/>
      <c r="U167" s="559"/>
      <c r="V167" s="559"/>
      <c r="W167" s="559"/>
      <c r="X167" s="559"/>
      <c r="Y167" s="559"/>
      <c r="Z167" s="559"/>
      <c r="AA167" s="559"/>
      <c r="AB167" s="559"/>
      <c r="AC167" s="559"/>
      <c r="AD167" s="559"/>
      <c r="AE167" s="559"/>
      <c r="AF167" s="559"/>
      <c r="AG167" s="559"/>
    </row>
    <row r="168" spans="1:33" ht="18" hidden="1" customHeight="1" x14ac:dyDescent="0.35">
      <c r="A168" s="779" t="s">
        <v>233</v>
      </c>
      <c r="B168" s="584">
        <f t="shared" si="65"/>
        <v>16.8</v>
      </c>
      <c r="C168" s="584">
        <f t="shared" si="66"/>
        <v>16.8</v>
      </c>
      <c r="D168" s="584">
        <f t="shared" si="67"/>
        <v>15.4</v>
      </c>
      <c r="E168" s="584">
        <v>8.4</v>
      </c>
      <c r="F168" s="782">
        <f t="shared" si="68"/>
        <v>87.5</v>
      </c>
      <c r="G168" s="559">
        <f t="shared" si="69"/>
        <v>4.5</v>
      </c>
      <c r="H168" s="783">
        <v>83</v>
      </c>
      <c r="I168" s="559"/>
      <c r="J168" s="559"/>
      <c r="K168" s="559"/>
      <c r="L168" s="559"/>
      <c r="M168" s="559"/>
      <c r="N168" s="559"/>
      <c r="O168" s="559"/>
      <c r="P168" s="559"/>
      <c r="Q168" s="559"/>
      <c r="R168" s="559"/>
      <c r="S168" s="559"/>
      <c r="T168" s="559"/>
      <c r="U168" s="559"/>
      <c r="V168" s="559"/>
      <c r="W168" s="559"/>
      <c r="X168" s="559"/>
      <c r="Y168" s="559"/>
      <c r="Z168" s="559"/>
      <c r="AA168" s="559"/>
      <c r="AB168" s="559"/>
      <c r="AC168" s="559"/>
      <c r="AD168" s="559"/>
      <c r="AE168" s="559"/>
      <c r="AF168" s="559"/>
      <c r="AG168" s="559"/>
    </row>
    <row r="169" spans="1:33" ht="18" hidden="1" customHeight="1" x14ac:dyDescent="0.35">
      <c r="A169" s="779" t="s">
        <v>234</v>
      </c>
      <c r="B169" s="584">
        <f t="shared" si="65"/>
        <v>15.4</v>
      </c>
      <c r="C169" s="584">
        <f t="shared" si="66"/>
        <v>15.4</v>
      </c>
      <c r="D169" s="584">
        <f t="shared" si="67"/>
        <v>14.7</v>
      </c>
      <c r="E169" s="584">
        <v>7.7</v>
      </c>
      <c r="F169" s="782">
        <f t="shared" si="68"/>
        <v>81.5</v>
      </c>
      <c r="G169" s="559">
        <f t="shared" si="69"/>
        <v>4.5</v>
      </c>
      <c r="H169" s="783">
        <v>77</v>
      </c>
      <c r="I169" s="559"/>
      <c r="J169" s="559"/>
      <c r="K169" s="559"/>
      <c r="L169" s="559"/>
      <c r="M169" s="559"/>
      <c r="N169" s="559"/>
      <c r="O169" s="559"/>
      <c r="P169" s="559"/>
      <c r="Q169" s="559"/>
      <c r="R169" s="559"/>
      <c r="S169" s="559"/>
      <c r="T169" s="559"/>
      <c r="U169" s="559"/>
      <c r="V169" s="559"/>
      <c r="W169" s="559"/>
      <c r="X169" s="559"/>
      <c r="Y169" s="559"/>
      <c r="Z169" s="559"/>
      <c r="AA169" s="559"/>
      <c r="AB169" s="559"/>
      <c r="AC169" s="559"/>
      <c r="AD169" s="559"/>
      <c r="AE169" s="559"/>
      <c r="AF169" s="559"/>
      <c r="AG169" s="559"/>
    </row>
    <row r="170" spans="1:33" ht="18" hidden="1" customHeight="1" x14ac:dyDescent="0.35">
      <c r="A170" s="779" t="s">
        <v>235</v>
      </c>
      <c r="B170" s="584">
        <f t="shared" si="65"/>
        <v>17</v>
      </c>
      <c r="C170" s="584">
        <f t="shared" si="66"/>
        <v>17</v>
      </c>
      <c r="D170" s="584">
        <f t="shared" si="67"/>
        <v>15.5</v>
      </c>
      <c r="E170" s="584">
        <v>8.5</v>
      </c>
      <c r="F170" s="782">
        <f t="shared" si="68"/>
        <v>98.5</v>
      </c>
      <c r="G170" s="559">
        <f t="shared" si="69"/>
        <v>4.5</v>
      </c>
      <c r="H170" s="783">
        <v>94</v>
      </c>
      <c r="I170" s="559"/>
      <c r="J170" s="559"/>
      <c r="K170" s="559"/>
      <c r="L170" s="559"/>
      <c r="M170" s="559"/>
      <c r="N170" s="559"/>
      <c r="O170" s="559"/>
      <c r="P170" s="559"/>
      <c r="Q170" s="559"/>
      <c r="R170" s="559"/>
      <c r="S170" s="559"/>
      <c r="T170" s="559"/>
      <c r="U170" s="559"/>
      <c r="V170" s="559"/>
      <c r="W170" s="559"/>
      <c r="X170" s="559"/>
      <c r="Y170" s="559"/>
      <c r="Z170" s="559"/>
      <c r="AA170" s="559"/>
      <c r="AB170" s="559"/>
      <c r="AC170" s="559"/>
      <c r="AD170" s="559"/>
      <c r="AE170" s="559"/>
      <c r="AF170" s="559"/>
      <c r="AG170" s="559"/>
    </row>
    <row r="171" spans="1:33" ht="18" hidden="1" customHeight="1" x14ac:dyDescent="0.35">
      <c r="A171" s="779" t="s">
        <v>236</v>
      </c>
      <c r="B171" s="584">
        <f t="shared" si="65"/>
        <v>11.2</v>
      </c>
      <c r="C171" s="584">
        <f t="shared" si="66"/>
        <v>11.2</v>
      </c>
      <c r="D171" s="584">
        <f t="shared" si="67"/>
        <v>12.6</v>
      </c>
      <c r="E171" s="584">
        <v>5.6</v>
      </c>
      <c r="F171" s="782">
        <f t="shared" si="68"/>
        <v>46.5</v>
      </c>
      <c r="G171" s="559">
        <f t="shared" si="69"/>
        <v>4.5</v>
      </c>
      <c r="H171" s="783">
        <v>42</v>
      </c>
      <c r="I171" s="559"/>
      <c r="J171" s="559"/>
      <c r="K171" s="559"/>
      <c r="L171" s="559"/>
      <c r="M171" s="559"/>
      <c r="N171" s="559"/>
      <c r="O171" s="559"/>
      <c r="P171" s="559"/>
      <c r="Q171" s="559"/>
      <c r="R171" s="559"/>
      <c r="S171" s="559"/>
      <c r="T171" s="559"/>
      <c r="U171" s="559"/>
      <c r="V171" s="559"/>
      <c r="W171" s="559"/>
      <c r="X171" s="559"/>
      <c r="Y171" s="559"/>
      <c r="Z171" s="559"/>
      <c r="AA171" s="559"/>
      <c r="AB171" s="559"/>
      <c r="AC171" s="559"/>
      <c r="AD171" s="559"/>
      <c r="AE171" s="559"/>
      <c r="AF171" s="559"/>
      <c r="AG171" s="559"/>
    </row>
    <row r="172" spans="1:33" ht="18" hidden="1" customHeight="1" x14ac:dyDescent="0.35">
      <c r="A172" s="779" t="s">
        <v>237</v>
      </c>
      <c r="B172" s="584">
        <f t="shared" si="65"/>
        <v>11.4</v>
      </c>
      <c r="C172" s="584">
        <f t="shared" si="66"/>
        <v>11.4</v>
      </c>
      <c r="D172" s="584">
        <f t="shared" si="67"/>
        <v>12.7</v>
      </c>
      <c r="E172" s="584">
        <v>5.7</v>
      </c>
      <c r="F172" s="782">
        <f t="shared" si="68"/>
        <v>49.5</v>
      </c>
      <c r="G172" s="559">
        <f t="shared" si="69"/>
        <v>4.5</v>
      </c>
      <c r="H172" s="783">
        <v>45</v>
      </c>
      <c r="I172" s="559"/>
      <c r="J172" s="559"/>
      <c r="K172" s="559"/>
      <c r="L172" s="559"/>
      <c r="M172" s="559"/>
      <c r="N172" s="559"/>
      <c r="O172" s="559"/>
      <c r="P172" s="559"/>
      <c r="Q172" s="559"/>
      <c r="R172" s="559"/>
      <c r="S172" s="559"/>
      <c r="T172" s="559"/>
      <c r="U172" s="559"/>
      <c r="V172" s="559"/>
      <c r="W172" s="559"/>
      <c r="X172" s="559"/>
      <c r="Y172" s="559"/>
      <c r="Z172" s="559"/>
      <c r="AA172" s="559"/>
      <c r="AB172" s="559"/>
      <c r="AC172" s="559"/>
      <c r="AD172" s="559"/>
      <c r="AE172" s="559"/>
      <c r="AF172" s="559"/>
      <c r="AG172" s="559"/>
    </row>
    <row r="173" spans="1:33" ht="18" hidden="1" customHeight="1" x14ac:dyDescent="0.35">
      <c r="A173" s="779" t="s">
        <v>238</v>
      </c>
      <c r="B173" s="584">
        <f t="shared" si="65"/>
        <v>11.6</v>
      </c>
      <c r="C173" s="584">
        <f t="shared" si="66"/>
        <v>11.6</v>
      </c>
      <c r="D173" s="584">
        <f t="shared" si="67"/>
        <v>12.8</v>
      </c>
      <c r="E173" s="584">
        <v>5.8</v>
      </c>
      <c r="F173" s="782">
        <f t="shared" si="68"/>
        <v>52.5</v>
      </c>
      <c r="G173" s="559">
        <f t="shared" si="69"/>
        <v>4.5</v>
      </c>
      <c r="H173" s="783">
        <v>48</v>
      </c>
      <c r="I173" s="559"/>
      <c r="J173" s="559"/>
      <c r="K173" s="559"/>
      <c r="L173" s="559"/>
      <c r="M173" s="559"/>
      <c r="N173" s="559"/>
      <c r="O173" s="559"/>
      <c r="P173" s="559"/>
      <c r="Q173" s="559"/>
      <c r="R173" s="559"/>
      <c r="S173" s="559"/>
      <c r="T173" s="559"/>
      <c r="U173" s="559"/>
      <c r="V173" s="559"/>
      <c r="W173" s="559"/>
      <c r="X173" s="559"/>
      <c r="Y173" s="559"/>
      <c r="Z173" s="559"/>
      <c r="AA173" s="559"/>
      <c r="AB173" s="559"/>
      <c r="AC173" s="559"/>
      <c r="AD173" s="559"/>
      <c r="AE173" s="559"/>
      <c r="AF173" s="559"/>
      <c r="AG173" s="559"/>
    </row>
    <row r="174" spans="1:33" ht="18" hidden="1" customHeight="1" x14ac:dyDescent="0.35">
      <c r="A174" s="779" t="s">
        <v>239</v>
      </c>
      <c r="B174" s="584">
        <f t="shared" si="65"/>
        <v>14.4</v>
      </c>
      <c r="C174" s="584">
        <f t="shared" si="66"/>
        <v>14.4</v>
      </c>
      <c r="D174" s="584">
        <f t="shared" si="67"/>
        <v>14.2</v>
      </c>
      <c r="E174" s="584">
        <v>7.2</v>
      </c>
      <c r="F174" s="782">
        <f t="shared" si="68"/>
        <v>61.5</v>
      </c>
      <c r="G174" s="559">
        <f t="shared" si="69"/>
        <v>4.5</v>
      </c>
      <c r="H174" s="783">
        <v>57</v>
      </c>
      <c r="I174" s="559"/>
      <c r="J174" s="559"/>
      <c r="K174" s="559"/>
      <c r="L174" s="559"/>
      <c r="M174" s="559"/>
      <c r="N174" s="559"/>
      <c r="O174" s="559"/>
      <c r="P174" s="559"/>
      <c r="Q174" s="559"/>
      <c r="R174" s="559"/>
      <c r="S174" s="559"/>
      <c r="T174" s="559"/>
      <c r="U174" s="559"/>
      <c r="V174" s="559"/>
      <c r="W174" s="559"/>
      <c r="X174" s="559"/>
      <c r="Y174" s="559"/>
      <c r="Z174" s="559"/>
      <c r="AA174" s="559"/>
      <c r="AB174" s="559"/>
      <c r="AC174" s="559"/>
      <c r="AD174" s="559"/>
      <c r="AE174" s="559"/>
      <c r="AF174" s="559"/>
      <c r="AG174" s="559"/>
    </row>
    <row r="175" spans="1:33" ht="18" hidden="1" customHeight="1" x14ac:dyDescent="0.35">
      <c r="A175" s="784" t="s">
        <v>240</v>
      </c>
      <c r="B175" s="785">
        <f t="shared" si="65"/>
        <v>14.6</v>
      </c>
      <c r="C175" s="785">
        <f t="shared" si="66"/>
        <v>14.6</v>
      </c>
      <c r="D175" s="785">
        <f t="shared" si="67"/>
        <v>14.3</v>
      </c>
      <c r="E175" s="785">
        <v>7.3</v>
      </c>
      <c r="F175" s="786">
        <f t="shared" si="68"/>
        <v>64.5</v>
      </c>
      <c r="G175" s="567">
        <f t="shared" si="69"/>
        <v>4.5</v>
      </c>
      <c r="H175" s="787">
        <v>60</v>
      </c>
      <c r="I175" s="559"/>
      <c r="J175" s="559"/>
      <c r="K175" s="559"/>
      <c r="L175" s="559"/>
      <c r="M175" s="559"/>
      <c r="N175" s="559"/>
      <c r="O175" s="559"/>
      <c r="P175" s="559"/>
      <c r="Q175" s="559"/>
      <c r="R175" s="559"/>
      <c r="S175" s="559"/>
      <c r="T175" s="559"/>
      <c r="U175" s="559"/>
      <c r="V175" s="559"/>
      <c r="W175" s="559"/>
      <c r="X175" s="559"/>
      <c r="Y175" s="559"/>
      <c r="Z175" s="559"/>
      <c r="AA175" s="559"/>
      <c r="AB175" s="559"/>
      <c r="AC175" s="559"/>
      <c r="AD175" s="559"/>
      <c r="AE175" s="559"/>
      <c r="AF175" s="559"/>
      <c r="AG175" s="559"/>
    </row>
    <row r="176" spans="1:33" ht="18" hidden="1" customHeight="1" x14ac:dyDescent="0.35">
      <c r="A176" s="559"/>
      <c r="B176" s="559"/>
      <c r="C176" s="559"/>
      <c r="D176" s="559"/>
      <c r="E176" s="559"/>
      <c r="F176" s="559"/>
      <c r="G176" s="559"/>
      <c r="H176" s="559"/>
      <c r="I176" s="559"/>
      <c r="J176" s="559"/>
      <c r="K176" s="559"/>
      <c r="L176" s="559"/>
      <c r="M176" s="559"/>
      <c r="N176" s="559"/>
      <c r="O176" s="559"/>
      <c r="P176" s="559"/>
      <c r="Q176" s="559"/>
      <c r="R176" s="559"/>
      <c r="S176" s="559"/>
      <c r="T176" s="559"/>
      <c r="U176" s="559"/>
      <c r="V176" s="559"/>
      <c r="W176" s="559"/>
      <c r="X176" s="559"/>
      <c r="Y176" s="559"/>
      <c r="Z176" s="559"/>
      <c r="AA176" s="559"/>
      <c r="AB176" s="559"/>
      <c r="AC176" s="559"/>
      <c r="AD176" s="559"/>
      <c r="AE176" s="559"/>
      <c r="AF176" s="559"/>
      <c r="AG176" s="559"/>
    </row>
    <row r="177" spans="1:33" ht="18" hidden="1" customHeight="1" x14ac:dyDescent="0.35">
      <c r="A177" s="788" t="s">
        <v>16</v>
      </c>
      <c r="B177" s="559"/>
      <c r="C177" s="559"/>
      <c r="D177" s="559"/>
      <c r="E177" s="559"/>
      <c r="F177" s="559"/>
      <c r="G177" s="559"/>
      <c r="H177" s="559"/>
      <c r="I177" s="559"/>
      <c r="J177" s="559"/>
      <c r="K177" s="559"/>
      <c r="L177" s="559"/>
      <c r="M177" s="559"/>
      <c r="N177" s="559"/>
      <c r="O177" s="559"/>
      <c r="P177" s="559"/>
      <c r="Q177" s="559"/>
      <c r="R177" s="559"/>
      <c r="S177" s="559"/>
      <c r="T177" s="559"/>
      <c r="U177" s="559"/>
      <c r="V177" s="559"/>
      <c r="W177" s="559"/>
      <c r="X177" s="559"/>
      <c r="Y177" s="559"/>
      <c r="Z177" s="559"/>
      <c r="AA177" s="559"/>
      <c r="AB177" s="559"/>
      <c r="AC177" s="559"/>
      <c r="AD177" s="559"/>
      <c r="AE177" s="559"/>
      <c r="AF177" s="559"/>
      <c r="AG177" s="559"/>
    </row>
    <row r="178" spans="1:33" ht="18" hidden="1" customHeight="1" x14ac:dyDescent="0.35">
      <c r="A178" s="789">
        <v>2</v>
      </c>
      <c r="B178" s="559"/>
      <c r="C178" s="559"/>
      <c r="D178" s="559"/>
      <c r="E178" s="559"/>
      <c r="F178" s="559"/>
      <c r="G178" s="559"/>
      <c r="H178" s="559"/>
      <c r="I178" s="559"/>
      <c r="J178" s="559"/>
      <c r="K178" s="559"/>
      <c r="L178" s="559"/>
      <c r="M178" s="559"/>
      <c r="N178" s="559"/>
      <c r="O178" s="559"/>
      <c r="P178" s="559"/>
      <c r="Q178" s="559"/>
      <c r="R178" s="559"/>
      <c r="S178" s="559"/>
      <c r="T178" s="559"/>
      <c r="U178" s="559"/>
      <c r="V178" s="559"/>
      <c r="W178" s="559"/>
      <c r="X178" s="559"/>
      <c r="Y178" s="559"/>
      <c r="Z178" s="559"/>
      <c r="AA178" s="559"/>
      <c r="AB178" s="559"/>
      <c r="AC178" s="559"/>
      <c r="AD178" s="559"/>
      <c r="AE178" s="559"/>
      <c r="AF178" s="559"/>
      <c r="AG178" s="559"/>
    </row>
    <row r="179" spans="1:33" ht="18" hidden="1" customHeight="1" x14ac:dyDescent="0.35">
      <c r="A179" s="789">
        <v>4</v>
      </c>
      <c r="B179" s="559"/>
      <c r="C179" s="559"/>
      <c r="D179" s="559"/>
      <c r="E179" s="559"/>
      <c r="F179" s="559"/>
      <c r="G179" s="559"/>
      <c r="H179" s="559"/>
      <c r="I179" s="559"/>
      <c r="J179" s="559"/>
      <c r="K179" s="559"/>
      <c r="L179" s="559"/>
      <c r="M179" s="559"/>
      <c r="N179" s="559"/>
      <c r="O179" s="559"/>
      <c r="P179" s="559"/>
      <c r="Q179" s="559"/>
      <c r="R179" s="559"/>
      <c r="S179" s="559"/>
      <c r="T179" s="559"/>
      <c r="U179" s="559"/>
      <c r="V179" s="559"/>
      <c r="W179" s="559"/>
      <c r="X179" s="559"/>
      <c r="Y179" s="559"/>
      <c r="Z179" s="559"/>
      <c r="AA179" s="559"/>
      <c r="AB179" s="559"/>
      <c r="AC179" s="559"/>
      <c r="AD179" s="559"/>
      <c r="AE179" s="559"/>
      <c r="AF179" s="559"/>
      <c r="AG179" s="559"/>
    </row>
    <row r="180" spans="1:33" ht="18" hidden="1" customHeight="1" x14ac:dyDescent="0.35">
      <c r="A180" s="789">
        <v>6</v>
      </c>
      <c r="B180" s="559"/>
      <c r="C180" s="559"/>
      <c r="D180" s="559"/>
      <c r="E180" s="559"/>
      <c r="F180" s="559"/>
      <c r="G180" s="559"/>
      <c r="H180" s="559"/>
      <c r="I180" s="559"/>
      <c r="J180" s="559"/>
      <c r="K180" s="559"/>
      <c r="L180" s="559"/>
      <c r="M180" s="559"/>
      <c r="N180" s="559"/>
      <c r="O180" s="559"/>
      <c r="P180" s="559"/>
      <c r="Q180" s="559"/>
      <c r="R180" s="559"/>
      <c r="S180" s="559"/>
      <c r="T180" s="559"/>
      <c r="U180" s="559"/>
      <c r="V180" s="559"/>
      <c r="W180" s="559"/>
      <c r="X180" s="559"/>
      <c r="Y180" s="559"/>
      <c r="Z180" s="559"/>
      <c r="AA180" s="559"/>
      <c r="AB180" s="559"/>
      <c r="AC180" s="559"/>
      <c r="AD180" s="559"/>
      <c r="AE180" s="559"/>
      <c r="AF180" s="559"/>
      <c r="AG180" s="559"/>
    </row>
    <row r="181" spans="1:33" ht="18" hidden="1" customHeight="1" x14ac:dyDescent="0.35">
      <c r="A181" s="790">
        <v>8</v>
      </c>
      <c r="B181" s="559"/>
      <c r="C181" s="559"/>
      <c r="D181" s="559"/>
      <c r="E181" s="559"/>
      <c r="F181" s="559"/>
      <c r="G181" s="559"/>
      <c r="H181" s="559"/>
      <c r="I181" s="559"/>
      <c r="J181" s="559"/>
      <c r="K181" s="559"/>
      <c r="L181" s="559"/>
      <c r="M181" s="559"/>
      <c r="N181" s="559"/>
      <c r="O181" s="559"/>
      <c r="P181" s="559"/>
      <c r="Q181" s="559"/>
      <c r="R181" s="559"/>
      <c r="S181" s="559"/>
      <c r="T181" s="559"/>
      <c r="U181" s="559"/>
      <c r="V181" s="559"/>
      <c r="W181" s="559"/>
      <c r="X181" s="559"/>
      <c r="Y181" s="559"/>
      <c r="Z181" s="559"/>
      <c r="AA181" s="559"/>
      <c r="AB181" s="559"/>
      <c r="AC181" s="559"/>
      <c r="AD181" s="559"/>
      <c r="AE181" s="559"/>
      <c r="AF181" s="559"/>
      <c r="AG181" s="559"/>
    </row>
    <row r="182" spans="1:33" ht="18" hidden="1" customHeight="1" x14ac:dyDescent="0.35">
      <c r="A182" s="791"/>
      <c r="B182" s="559"/>
      <c r="C182" s="559"/>
      <c r="D182" s="559"/>
      <c r="E182" s="559"/>
      <c r="F182" s="559"/>
      <c r="G182" s="559"/>
      <c r="H182" s="559"/>
      <c r="I182" s="559"/>
      <c r="J182" s="559"/>
      <c r="K182" s="559"/>
      <c r="L182" s="559"/>
      <c r="M182" s="559"/>
      <c r="N182" s="559"/>
      <c r="O182" s="559"/>
      <c r="P182" s="559"/>
      <c r="Q182" s="559"/>
      <c r="R182" s="559"/>
      <c r="S182" s="559"/>
      <c r="T182" s="559"/>
      <c r="U182" s="559"/>
      <c r="V182" s="559"/>
      <c r="W182" s="559"/>
      <c r="X182" s="559"/>
      <c r="Y182" s="559"/>
      <c r="Z182" s="559"/>
      <c r="AA182" s="559"/>
      <c r="AB182" s="559"/>
      <c r="AC182" s="559"/>
      <c r="AD182" s="559"/>
      <c r="AE182" s="559"/>
      <c r="AF182" s="559"/>
      <c r="AG182" s="559"/>
    </row>
    <row r="183" spans="1:33" ht="18" hidden="1" customHeight="1" x14ac:dyDescent="0.35">
      <c r="A183" s="792" t="s">
        <v>229</v>
      </c>
      <c r="B183" s="793" t="s">
        <v>223</v>
      </c>
      <c r="C183" s="559"/>
      <c r="D183" s="559"/>
      <c r="E183" s="559"/>
      <c r="F183" s="559"/>
      <c r="G183" s="559"/>
      <c r="H183" s="559"/>
      <c r="I183" s="559"/>
      <c r="J183" s="559"/>
      <c r="K183" s="559"/>
      <c r="L183" s="559"/>
      <c r="M183" s="559"/>
      <c r="N183" s="559"/>
      <c r="O183" s="559"/>
      <c r="P183" s="559"/>
      <c r="Q183" s="559"/>
      <c r="R183" s="559"/>
      <c r="S183" s="559"/>
      <c r="T183" s="559"/>
      <c r="U183" s="559"/>
      <c r="V183" s="559"/>
      <c r="W183" s="559"/>
      <c r="X183" s="559"/>
      <c r="Y183" s="559"/>
      <c r="Z183" s="559"/>
      <c r="AA183" s="559"/>
      <c r="AB183" s="559"/>
      <c r="AC183" s="559"/>
      <c r="AD183" s="559"/>
      <c r="AE183" s="559"/>
      <c r="AF183" s="559"/>
      <c r="AG183" s="559"/>
    </row>
    <row r="184" spans="1:33" ht="18" hidden="1" customHeight="1" x14ac:dyDescent="0.35">
      <c r="A184" s="794">
        <v>1</v>
      </c>
      <c r="B184" s="795" t="s">
        <v>236</v>
      </c>
      <c r="C184" s="559"/>
      <c r="D184" s="559"/>
      <c r="E184" s="559"/>
      <c r="F184" s="559"/>
      <c r="G184" s="559"/>
      <c r="H184" s="559"/>
      <c r="I184" s="559"/>
      <c r="J184" s="559"/>
      <c r="K184" s="559"/>
      <c r="L184" s="559"/>
      <c r="M184" s="559"/>
      <c r="N184" s="559"/>
      <c r="O184" s="559"/>
      <c r="P184" s="559"/>
      <c r="Q184" s="559"/>
      <c r="R184" s="559"/>
      <c r="S184" s="559"/>
      <c r="T184" s="559"/>
      <c r="U184" s="559"/>
      <c r="V184" s="559"/>
      <c r="W184" s="559"/>
      <c r="X184" s="559"/>
      <c r="Y184" s="559"/>
      <c r="Z184" s="559"/>
      <c r="AA184" s="559"/>
      <c r="AB184" s="559"/>
      <c r="AC184" s="559"/>
      <c r="AD184" s="559"/>
      <c r="AE184" s="559"/>
      <c r="AF184" s="559"/>
      <c r="AG184" s="559"/>
    </row>
    <row r="185" spans="1:33" ht="18" hidden="1" customHeight="1" x14ac:dyDescent="0.35">
      <c r="A185" s="645">
        <v>3</v>
      </c>
      <c r="B185" s="795" t="s">
        <v>237</v>
      </c>
      <c r="C185" s="559"/>
      <c r="D185" s="584"/>
      <c r="E185" s="584"/>
      <c r="F185" s="584"/>
      <c r="G185" s="584"/>
      <c r="H185" s="584"/>
      <c r="I185" s="584"/>
      <c r="J185" s="584"/>
      <c r="K185" s="584"/>
      <c r="L185" s="584"/>
      <c r="M185" s="559"/>
      <c r="N185" s="559"/>
      <c r="O185" s="559"/>
      <c r="P185" s="559"/>
      <c r="Q185" s="559"/>
      <c r="R185" s="559"/>
      <c r="S185" s="559"/>
      <c r="T185" s="559"/>
      <c r="U185" s="559"/>
      <c r="V185" s="559"/>
      <c r="W185" s="559"/>
      <c r="X185" s="559"/>
      <c r="Y185" s="559"/>
      <c r="Z185" s="559"/>
      <c r="AA185" s="559"/>
      <c r="AB185" s="559"/>
      <c r="AC185" s="559"/>
      <c r="AD185" s="559"/>
      <c r="AE185" s="559"/>
      <c r="AF185" s="559"/>
      <c r="AG185" s="559"/>
    </row>
    <row r="186" spans="1:33" ht="18" hidden="1" customHeight="1" x14ac:dyDescent="0.35">
      <c r="A186" s="645">
        <v>5</v>
      </c>
      <c r="B186" s="795" t="s">
        <v>238</v>
      </c>
      <c r="C186" s="559"/>
      <c r="D186" s="559"/>
      <c r="E186" s="559"/>
      <c r="F186" s="559"/>
      <c r="G186" s="559"/>
      <c r="H186" s="559"/>
      <c r="I186" s="559"/>
      <c r="J186" s="559"/>
      <c r="K186" s="559"/>
      <c r="L186" s="559"/>
      <c r="M186" s="559"/>
      <c r="N186" s="559"/>
      <c r="O186" s="559"/>
      <c r="P186" s="559"/>
      <c r="Q186" s="559"/>
      <c r="R186" s="559"/>
      <c r="S186" s="559"/>
      <c r="T186" s="559"/>
      <c r="U186" s="559"/>
      <c r="V186" s="559"/>
      <c r="W186" s="559"/>
      <c r="X186" s="559"/>
      <c r="Y186" s="559"/>
      <c r="Z186" s="559"/>
      <c r="AA186" s="559"/>
      <c r="AB186" s="559"/>
      <c r="AC186" s="559"/>
      <c r="AD186" s="559"/>
      <c r="AE186" s="559"/>
      <c r="AF186" s="559"/>
      <c r="AG186" s="559"/>
    </row>
    <row r="187" spans="1:33" ht="18" hidden="1" customHeight="1" x14ac:dyDescent="0.35">
      <c r="A187" s="645">
        <v>12</v>
      </c>
      <c r="B187" s="795" t="s">
        <v>239</v>
      </c>
      <c r="C187" s="559"/>
      <c r="D187" s="559"/>
      <c r="E187" s="559"/>
      <c r="F187" s="559"/>
      <c r="G187" s="559"/>
      <c r="H187" s="559"/>
      <c r="I187" s="559"/>
      <c r="J187" s="559"/>
      <c r="K187" s="559"/>
      <c r="L187" s="559"/>
      <c r="M187" s="559"/>
      <c r="N187" s="559"/>
      <c r="O187" s="559"/>
      <c r="P187" s="559"/>
      <c r="Q187" s="559"/>
      <c r="R187" s="559"/>
      <c r="S187" s="559"/>
      <c r="T187" s="559"/>
      <c r="U187" s="559"/>
      <c r="V187" s="559"/>
      <c r="W187" s="559"/>
      <c r="X187" s="559"/>
      <c r="Y187" s="559"/>
      <c r="Z187" s="559"/>
      <c r="AA187" s="559"/>
      <c r="AB187" s="559"/>
      <c r="AC187" s="559"/>
      <c r="AD187" s="559"/>
      <c r="AE187" s="559"/>
      <c r="AF187" s="559"/>
      <c r="AG187" s="559"/>
    </row>
    <row r="188" spans="1:33" ht="18" hidden="1" customHeight="1" x14ac:dyDescent="0.35">
      <c r="A188" s="645">
        <v>15</v>
      </c>
      <c r="B188" s="795" t="s">
        <v>240</v>
      </c>
      <c r="C188" s="559"/>
      <c r="D188" s="559"/>
      <c r="E188" s="559"/>
      <c r="F188" s="559"/>
      <c r="G188" s="559"/>
      <c r="H188" s="559"/>
      <c r="I188" s="559"/>
      <c r="J188" s="559"/>
      <c r="K188" s="559"/>
      <c r="L188" s="559"/>
      <c r="M188" s="559"/>
      <c r="N188" s="559"/>
      <c r="O188" s="559"/>
      <c r="P188" s="559"/>
      <c r="Q188" s="559"/>
      <c r="R188" s="559"/>
      <c r="S188" s="559"/>
      <c r="T188" s="559"/>
      <c r="U188" s="559"/>
      <c r="V188" s="559"/>
      <c r="W188" s="559"/>
      <c r="X188" s="559"/>
      <c r="Y188" s="559"/>
      <c r="Z188" s="559"/>
      <c r="AA188" s="559"/>
      <c r="AB188" s="559"/>
      <c r="AC188" s="559"/>
      <c r="AD188" s="559"/>
      <c r="AE188" s="559"/>
      <c r="AF188" s="559"/>
      <c r="AG188" s="559"/>
    </row>
    <row r="189" spans="1:33" ht="18" hidden="1" customHeight="1" x14ac:dyDescent="0.35">
      <c r="A189" s="645">
        <v>22</v>
      </c>
      <c r="B189" s="795" t="s">
        <v>232</v>
      </c>
      <c r="C189" s="559"/>
      <c r="D189" s="559"/>
      <c r="E189" s="559"/>
      <c r="F189" s="559"/>
      <c r="G189" s="559"/>
      <c r="H189" s="559"/>
      <c r="I189" s="559"/>
      <c r="J189" s="559"/>
      <c r="K189" s="559"/>
      <c r="L189" s="559"/>
      <c r="M189" s="559"/>
      <c r="N189" s="559"/>
      <c r="O189" s="559"/>
      <c r="P189" s="559"/>
      <c r="Q189" s="559"/>
      <c r="R189" s="559"/>
      <c r="S189" s="559"/>
      <c r="T189" s="559"/>
      <c r="U189" s="559"/>
      <c r="V189" s="559"/>
      <c r="W189" s="559"/>
      <c r="X189" s="559"/>
      <c r="Y189" s="559"/>
      <c r="Z189" s="559"/>
      <c r="AA189" s="559"/>
      <c r="AB189" s="559"/>
      <c r="AC189" s="559"/>
      <c r="AD189" s="559"/>
      <c r="AE189" s="559"/>
      <c r="AF189" s="559"/>
      <c r="AG189" s="559"/>
    </row>
    <row r="190" spans="1:33" ht="18" hidden="1" customHeight="1" x14ac:dyDescent="0.35">
      <c r="A190" s="645">
        <v>40</v>
      </c>
      <c r="B190" s="795" t="s">
        <v>234</v>
      </c>
      <c r="C190" s="559"/>
      <c r="D190" s="559"/>
      <c r="E190" s="559"/>
      <c r="F190" s="559"/>
      <c r="G190" s="559"/>
      <c r="H190" s="559"/>
      <c r="I190" s="559"/>
      <c r="J190" s="559"/>
      <c r="K190" s="559"/>
      <c r="L190" s="559"/>
      <c r="M190" s="559"/>
      <c r="N190" s="559"/>
      <c r="O190" s="559"/>
      <c r="P190" s="559"/>
      <c r="Q190" s="559"/>
      <c r="R190" s="559"/>
      <c r="S190" s="559"/>
      <c r="T190" s="559"/>
      <c r="U190" s="559"/>
      <c r="V190" s="559"/>
      <c r="W190" s="559"/>
      <c r="X190" s="559"/>
      <c r="Y190" s="559"/>
      <c r="Z190" s="559"/>
      <c r="AA190" s="559"/>
      <c r="AB190" s="559"/>
      <c r="AC190" s="559"/>
      <c r="AD190" s="559"/>
      <c r="AE190" s="559"/>
      <c r="AF190" s="559"/>
      <c r="AG190" s="559"/>
    </row>
    <row r="191" spans="1:33" ht="18" hidden="1" customHeight="1" x14ac:dyDescent="0.35">
      <c r="A191" s="645">
        <v>80</v>
      </c>
      <c r="B191" s="795" t="s">
        <v>233</v>
      </c>
      <c r="C191" s="559"/>
      <c r="D191" s="559"/>
      <c r="E191" s="559"/>
      <c r="F191" s="559"/>
      <c r="G191" s="559"/>
      <c r="H191" s="559"/>
      <c r="I191" s="559"/>
      <c r="J191" s="559"/>
      <c r="K191" s="559"/>
      <c r="L191" s="559"/>
      <c r="M191" s="559"/>
      <c r="N191" s="559"/>
      <c r="O191" s="559"/>
      <c r="P191" s="559"/>
      <c r="Q191" s="559"/>
      <c r="R191" s="559"/>
      <c r="S191" s="559"/>
      <c r="T191" s="559"/>
      <c r="U191" s="559"/>
      <c r="V191" s="559"/>
      <c r="W191" s="559"/>
      <c r="X191" s="559"/>
      <c r="Y191" s="559"/>
      <c r="Z191" s="559"/>
      <c r="AA191" s="559"/>
      <c r="AB191" s="559"/>
      <c r="AC191" s="559"/>
      <c r="AD191" s="559"/>
      <c r="AE191" s="559"/>
      <c r="AF191" s="559"/>
      <c r="AG191" s="559"/>
    </row>
    <row r="192" spans="1:33" ht="18" hidden="1" customHeight="1" x14ac:dyDescent="0.35">
      <c r="A192" s="645">
        <v>120</v>
      </c>
      <c r="B192" s="795" t="s">
        <v>235</v>
      </c>
      <c r="C192" s="559"/>
      <c r="D192" s="559"/>
      <c r="E192" s="559"/>
      <c r="F192" s="559"/>
      <c r="G192" s="559"/>
      <c r="H192" s="559"/>
      <c r="I192" s="559"/>
      <c r="J192" s="559"/>
      <c r="K192" s="559"/>
      <c r="L192" s="559"/>
      <c r="M192" s="559"/>
      <c r="N192" s="559"/>
      <c r="O192" s="559"/>
      <c r="P192" s="559"/>
      <c r="Q192" s="559"/>
      <c r="R192" s="559"/>
      <c r="S192" s="559"/>
      <c r="T192" s="559"/>
      <c r="U192" s="559"/>
      <c r="V192" s="559"/>
      <c r="W192" s="559"/>
      <c r="X192" s="559"/>
      <c r="Y192" s="559"/>
      <c r="Z192" s="559"/>
      <c r="AA192" s="559"/>
      <c r="AB192" s="559"/>
      <c r="AC192" s="559"/>
      <c r="AD192" s="559"/>
      <c r="AE192" s="559"/>
      <c r="AF192" s="559"/>
      <c r="AG192" s="559"/>
    </row>
    <row r="193" spans="1:33" ht="18" hidden="1" customHeight="1" x14ac:dyDescent="0.35">
      <c r="A193" s="655">
        <v>200</v>
      </c>
      <c r="B193" s="796" t="s">
        <v>235</v>
      </c>
      <c r="C193" s="559"/>
      <c r="D193" s="559"/>
      <c r="E193" s="559"/>
      <c r="F193" s="559"/>
      <c r="G193" s="559"/>
      <c r="H193" s="559"/>
      <c r="I193" s="559"/>
      <c r="J193" s="559"/>
      <c r="K193" s="559"/>
      <c r="L193" s="559"/>
      <c r="M193" s="559"/>
      <c r="N193" s="559"/>
      <c r="O193" s="559"/>
      <c r="P193" s="559"/>
      <c r="Q193" s="559"/>
      <c r="R193" s="559"/>
      <c r="S193" s="559"/>
      <c r="T193" s="559"/>
      <c r="U193" s="559"/>
      <c r="V193" s="559"/>
      <c r="W193" s="559"/>
      <c r="X193" s="559"/>
      <c r="Y193" s="559"/>
      <c r="Z193" s="559"/>
      <c r="AA193" s="559"/>
      <c r="AB193" s="559"/>
      <c r="AC193" s="559"/>
      <c r="AD193" s="559"/>
      <c r="AE193" s="559"/>
      <c r="AF193" s="559"/>
      <c r="AG193" s="559"/>
    </row>
    <row r="194" spans="1:33" ht="18" hidden="1" customHeight="1" x14ac:dyDescent="0.35">
      <c r="A194" s="663"/>
      <c r="B194" s="663"/>
      <c r="C194" s="559"/>
      <c r="D194" s="559"/>
      <c r="E194" s="559"/>
      <c r="F194" s="559"/>
      <c r="G194" s="559"/>
      <c r="H194" s="559"/>
      <c r="I194" s="559"/>
      <c r="J194" s="559"/>
      <c r="K194" s="559"/>
      <c r="L194" s="559"/>
      <c r="M194" s="559"/>
      <c r="N194" s="559"/>
      <c r="O194" s="559"/>
      <c r="P194" s="559"/>
      <c r="Q194" s="559"/>
      <c r="R194" s="559"/>
      <c r="S194" s="559"/>
      <c r="T194" s="559"/>
      <c r="U194" s="559"/>
      <c r="V194" s="559"/>
      <c r="W194" s="559"/>
      <c r="X194" s="559"/>
      <c r="Y194" s="559"/>
      <c r="Z194" s="559"/>
      <c r="AA194" s="559"/>
      <c r="AB194" s="559"/>
      <c r="AC194" s="559"/>
      <c r="AD194" s="559"/>
      <c r="AE194" s="559"/>
      <c r="AF194" s="559"/>
      <c r="AG194" s="559"/>
    </row>
    <row r="195" spans="1:33" ht="18" hidden="1" customHeight="1" x14ac:dyDescent="0.35">
      <c r="A195" s="792" t="s">
        <v>230</v>
      </c>
      <c r="B195" s="793" t="s">
        <v>223</v>
      </c>
      <c r="C195" s="559"/>
      <c r="D195" s="559"/>
      <c r="E195" s="559"/>
      <c r="F195" s="559"/>
      <c r="G195" s="559"/>
      <c r="H195" s="559"/>
      <c r="I195" s="559"/>
      <c r="J195" s="559"/>
      <c r="K195" s="559"/>
      <c r="L195" s="559"/>
      <c r="M195" s="559"/>
      <c r="N195" s="559"/>
      <c r="O195" s="559"/>
      <c r="P195" s="559"/>
      <c r="Q195" s="559"/>
      <c r="R195" s="559"/>
      <c r="S195" s="559"/>
      <c r="T195" s="559"/>
      <c r="U195" s="559"/>
      <c r="V195" s="559"/>
      <c r="W195" s="559"/>
      <c r="X195" s="559"/>
      <c r="Y195" s="559"/>
      <c r="Z195" s="559"/>
      <c r="AA195" s="559"/>
      <c r="AB195" s="559"/>
      <c r="AC195" s="559"/>
      <c r="AD195" s="559"/>
      <c r="AE195" s="559"/>
      <c r="AF195" s="559"/>
      <c r="AG195" s="559"/>
    </row>
    <row r="196" spans="1:33" ht="18" hidden="1" customHeight="1" x14ac:dyDescent="0.35">
      <c r="A196" s="794">
        <v>1</v>
      </c>
      <c r="B196" s="795" t="s">
        <v>236</v>
      </c>
      <c r="C196" s="559"/>
      <c r="D196" s="559"/>
      <c r="E196" s="559"/>
      <c r="F196" s="559"/>
      <c r="G196" s="559"/>
      <c r="H196" s="559"/>
      <c r="I196" s="559"/>
      <c r="J196" s="559"/>
      <c r="K196" s="559"/>
      <c r="L196" s="559"/>
      <c r="M196" s="559"/>
      <c r="N196" s="559"/>
      <c r="O196" s="559"/>
      <c r="P196" s="559"/>
      <c r="Q196" s="559"/>
      <c r="R196" s="559"/>
      <c r="S196" s="559"/>
      <c r="T196" s="559"/>
      <c r="U196" s="559"/>
      <c r="V196" s="559"/>
      <c r="W196" s="559"/>
      <c r="X196" s="559"/>
      <c r="Y196" s="559"/>
      <c r="Z196" s="559"/>
      <c r="AA196" s="559"/>
      <c r="AB196" s="559"/>
      <c r="AC196" s="559"/>
      <c r="AD196" s="559"/>
      <c r="AE196" s="559"/>
      <c r="AF196" s="559"/>
      <c r="AG196" s="559"/>
    </row>
    <row r="197" spans="1:33" ht="18" hidden="1" customHeight="1" x14ac:dyDescent="0.35">
      <c r="A197" s="645">
        <v>4.5</v>
      </c>
      <c r="B197" s="795" t="s">
        <v>237</v>
      </c>
      <c r="C197" s="559"/>
      <c r="D197" s="559"/>
      <c r="E197" s="559"/>
      <c r="F197" s="559"/>
      <c r="G197" s="559"/>
      <c r="H197" s="559"/>
      <c r="I197" s="559"/>
      <c r="J197" s="559"/>
      <c r="K197" s="559"/>
      <c r="L197" s="559"/>
      <c r="M197" s="559"/>
      <c r="N197" s="559"/>
      <c r="O197" s="559"/>
      <c r="P197" s="559"/>
      <c r="Q197" s="559"/>
      <c r="R197" s="559"/>
      <c r="S197" s="559"/>
      <c r="T197" s="559"/>
      <c r="U197" s="559"/>
      <c r="V197" s="559"/>
      <c r="W197" s="559"/>
      <c r="X197" s="559"/>
      <c r="Y197" s="559"/>
      <c r="Z197" s="559"/>
      <c r="AA197" s="559"/>
      <c r="AB197" s="559"/>
      <c r="AC197" s="559"/>
      <c r="AD197" s="559"/>
      <c r="AE197" s="559"/>
      <c r="AF197" s="559"/>
      <c r="AG197" s="559"/>
    </row>
    <row r="198" spans="1:33" ht="18" hidden="1" customHeight="1" x14ac:dyDescent="0.35">
      <c r="A198" s="645">
        <v>7.5</v>
      </c>
      <c r="B198" s="795" t="s">
        <v>238</v>
      </c>
      <c r="C198" s="559"/>
      <c r="D198" s="559"/>
      <c r="E198" s="559"/>
      <c r="F198" s="559"/>
      <c r="G198" s="559"/>
      <c r="H198" s="559"/>
      <c r="I198" s="559"/>
      <c r="J198" s="559"/>
      <c r="K198" s="559"/>
      <c r="L198" s="559"/>
      <c r="M198" s="559"/>
      <c r="N198" s="559"/>
      <c r="O198" s="559"/>
      <c r="P198" s="559"/>
      <c r="Q198" s="559"/>
      <c r="R198" s="559"/>
      <c r="S198" s="559"/>
      <c r="T198" s="559"/>
      <c r="U198" s="559"/>
      <c r="V198" s="559"/>
      <c r="W198" s="559"/>
      <c r="X198" s="559"/>
      <c r="Y198" s="559"/>
      <c r="Z198" s="559"/>
      <c r="AA198" s="559"/>
      <c r="AB198" s="559"/>
      <c r="AC198" s="559"/>
      <c r="AD198" s="559"/>
      <c r="AE198" s="559"/>
      <c r="AF198" s="559"/>
      <c r="AG198" s="559"/>
    </row>
    <row r="199" spans="1:33" ht="18" hidden="1" customHeight="1" x14ac:dyDescent="0.35">
      <c r="A199" s="645">
        <v>18</v>
      </c>
      <c r="B199" s="795" t="s">
        <v>239</v>
      </c>
      <c r="C199" s="559"/>
      <c r="D199" s="559"/>
      <c r="E199" s="559"/>
      <c r="F199" s="559"/>
      <c r="G199" s="559"/>
      <c r="H199" s="559"/>
      <c r="I199" s="559"/>
      <c r="J199" s="559"/>
      <c r="K199" s="559"/>
      <c r="L199" s="559"/>
      <c r="M199" s="559"/>
      <c r="N199" s="559"/>
      <c r="O199" s="559"/>
      <c r="P199" s="559"/>
      <c r="Q199" s="559"/>
      <c r="R199" s="559"/>
      <c r="S199" s="559"/>
      <c r="T199" s="559"/>
      <c r="U199" s="559"/>
      <c r="V199" s="559"/>
      <c r="W199" s="559"/>
      <c r="X199" s="559"/>
      <c r="Y199" s="559"/>
      <c r="Z199" s="559"/>
      <c r="AA199" s="559"/>
      <c r="AB199" s="559"/>
      <c r="AC199" s="559"/>
      <c r="AD199" s="559"/>
      <c r="AE199" s="559"/>
      <c r="AF199" s="559"/>
      <c r="AG199" s="559"/>
    </row>
    <row r="200" spans="1:33" ht="18" hidden="1" customHeight="1" x14ac:dyDescent="0.35">
      <c r="A200" s="645">
        <v>22.5</v>
      </c>
      <c r="B200" s="795" t="s">
        <v>240</v>
      </c>
      <c r="C200" s="559"/>
      <c r="D200" s="559"/>
      <c r="E200" s="559"/>
      <c r="F200" s="559"/>
      <c r="G200" s="559"/>
      <c r="H200" s="559"/>
      <c r="I200" s="559"/>
      <c r="J200" s="559"/>
      <c r="K200" s="559"/>
      <c r="L200" s="559"/>
      <c r="M200" s="559"/>
      <c r="N200" s="559"/>
      <c r="O200" s="559"/>
      <c r="P200" s="559"/>
      <c r="Q200" s="559"/>
      <c r="R200" s="559"/>
      <c r="S200" s="559"/>
      <c r="T200" s="559"/>
      <c r="U200" s="559"/>
      <c r="V200" s="559"/>
      <c r="W200" s="559"/>
      <c r="X200" s="559"/>
      <c r="Y200" s="559"/>
      <c r="Z200" s="559"/>
      <c r="AA200" s="559"/>
      <c r="AB200" s="559"/>
      <c r="AC200" s="559"/>
      <c r="AD200" s="559"/>
      <c r="AE200" s="559"/>
      <c r="AF200" s="559"/>
      <c r="AG200" s="559"/>
    </row>
    <row r="201" spans="1:33" ht="18" hidden="1" customHeight="1" x14ac:dyDescent="0.35">
      <c r="A201" s="645">
        <v>33</v>
      </c>
      <c r="B201" s="795" t="s">
        <v>232</v>
      </c>
      <c r="C201" s="559"/>
      <c r="D201" s="559"/>
      <c r="E201" s="559"/>
      <c r="F201" s="559"/>
      <c r="G201" s="559"/>
      <c r="H201" s="559"/>
      <c r="I201" s="559"/>
      <c r="J201" s="559"/>
      <c r="K201" s="559"/>
      <c r="L201" s="559"/>
      <c r="M201" s="559"/>
      <c r="N201" s="559"/>
      <c r="O201" s="559"/>
      <c r="P201" s="559"/>
      <c r="Q201" s="559"/>
      <c r="R201" s="559"/>
      <c r="S201" s="559"/>
      <c r="T201" s="559"/>
      <c r="U201" s="559"/>
      <c r="V201" s="559"/>
      <c r="W201" s="559"/>
      <c r="X201" s="559"/>
      <c r="Y201" s="559"/>
      <c r="Z201" s="559"/>
      <c r="AA201" s="559"/>
      <c r="AB201" s="559"/>
      <c r="AC201" s="559"/>
      <c r="AD201" s="559"/>
      <c r="AE201" s="559"/>
      <c r="AF201" s="559"/>
      <c r="AG201" s="559"/>
    </row>
    <row r="202" spans="1:33" ht="18" hidden="1" customHeight="1" x14ac:dyDescent="0.35">
      <c r="A202" s="645">
        <v>60</v>
      </c>
      <c r="B202" s="795" t="s">
        <v>234</v>
      </c>
      <c r="C202" s="559"/>
      <c r="D202" s="559"/>
      <c r="E202" s="559"/>
      <c r="F202" s="559"/>
      <c r="G202" s="559"/>
      <c r="H202" s="559"/>
      <c r="I202" s="559"/>
      <c r="J202" s="559"/>
      <c r="K202" s="559"/>
      <c r="L202" s="559"/>
      <c r="M202" s="559"/>
      <c r="N202" s="559"/>
      <c r="O202" s="559"/>
      <c r="P202" s="559"/>
      <c r="Q202" s="559"/>
      <c r="R202" s="559"/>
      <c r="S202" s="559"/>
      <c r="T202" s="559"/>
      <c r="U202" s="559"/>
      <c r="V202" s="559"/>
      <c r="W202" s="559"/>
      <c r="X202" s="559"/>
      <c r="Y202" s="559"/>
      <c r="Z202" s="559"/>
      <c r="AA202" s="559"/>
      <c r="AB202" s="559"/>
      <c r="AC202" s="559"/>
      <c r="AD202" s="559"/>
      <c r="AE202" s="559"/>
      <c r="AF202" s="559"/>
      <c r="AG202" s="559"/>
    </row>
    <row r="203" spans="1:33" ht="18" hidden="1" customHeight="1" x14ac:dyDescent="0.35">
      <c r="A203" s="645">
        <v>120</v>
      </c>
      <c r="B203" s="795" t="s">
        <v>233</v>
      </c>
      <c r="C203" s="559"/>
      <c r="D203" s="559"/>
      <c r="E203" s="559"/>
      <c r="F203" s="559"/>
      <c r="G203" s="559"/>
      <c r="H203" s="559"/>
      <c r="I203" s="559"/>
      <c r="J203" s="559"/>
      <c r="K203" s="559"/>
      <c r="L203" s="559"/>
      <c r="M203" s="559"/>
      <c r="N203" s="559"/>
      <c r="O203" s="559"/>
      <c r="P203" s="559"/>
      <c r="Q203" s="559"/>
      <c r="R203" s="559"/>
      <c r="S203" s="559"/>
      <c r="T203" s="559"/>
      <c r="U203" s="559"/>
      <c r="V203" s="559"/>
      <c r="W203" s="559"/>
      <c r="X203" s="559"/>
      <c r="Y203" s="559"/>
      <c r="Z203" s="559"/>
      <c r="AA203" s="559"/>
      <c r="AB203" s="559"/>
      <c r="AC203" s="559"/>
      <c r="AD203" s="559"/>
      <c r="AE203" s="559"/>
      <c r="AF203" s="559"/>
      <c r="AG203" s="559"/>
    </row>
    <row r="204" spans="1:33" ht="18" hidden="1" customHeight="1" x14ac:dyDescent="0.35">
      <c r="A204" s="645">
        <v>180</v>
      </c>
      <c r="B204" s="795" t="s">
        <v>235</v>
      </c>
      <c r="C204" s="559"/>
      <c r="D204" s="559"/>
      <c r="E204" s="559"/>
      <c r="F204" s="559"/>
      <c r="G204" s="559"/>
      <c r="H204" s="559"/>
      <c r="I204" s="559"/>
      <c r="J204" s="559"/>
      <c r="K204" s="559"/>
      <c r="L204" s="559"/>
      <c r="M204" s="559"/>
      <c r="N204" s="559"/>
      <c r="O204" s="559"/>
      <c r="P204" s="559"/>
      <c r="Q204" s="559"/>
      <c r="R204" s="559"/>
      <c r="S204" s="559"/>
      <c r="T204" s="559"/>
      <c r="U204" s="559"/>
      <c r="V204" s="559"/>
      <c r="W204" s="559"/>
      <c r="X204" s="559"/>
      <c r="Y204" s="559"/>
      <c r="Z204" s="559"/>
      <c r="AA204" s="559"/>
      <c r="AB204" s="559"/>
      <c r="AC204" s="559"/>
      <c r="AD204" s="559"/>
      <c r="AE204" s="559"/>
      <c r="AF204" s="559"/>
      <c r="AG204" s="559"/>
    </row>
    <row r="205" spans="1:33" ht="18" hidden="1" customHeight="1" x14ac:dyDescent="0.35">
      <c r="A205" s="655">
        <v>300</v>
      </c>
      <c r="B205" s="796" t="s">
        <v>235</v>
      </c>
      <c r="C205" s="559"/>
      <c r="D205" s="559"/>
      <c r="E205" s="559"/>
      <c r="F205" s="559"/>
      <c r="G205" s="559"/>
      <c r="H205" s="559"/>
      <c r="I205" s="559"/>
      <c r="J205" s="559"/>
      <c r="K205" s="559"/>
      <c r="L205" s="559"/>
      <c r="M205" s="559"/>
      <c r="N205" s="559"/>
      <c r="O205" s="559"/>
      <c r="P205" s="559"/>
      <c r="Q205" s="559"/>
      <c r="R205" s="559"/>
      <c r="S205" s="559"/>
      <c r="T205" s="559"/>
      <c r="U205" s="559"/>
      <c r="V205" s="559"/>
      <c r="W205" s="559"/>
      <c r="X205" s="559"/>
      <c r="Y205" s="559"/>
      <c r="Z205" s="559"/>
      <c r="AA205" s="559"/>
      <c r="AB205" s="559"/>
      <c r="AC205" s="559"/>
      <c r="AD205" s="559"/>
      <c r="AE205" s="559"/>
      <c r="AF205" s="559"/>
      <c r="AG205" s="559"/>
    </row>
    <row r="206" spans="1:33" ht="18" hidden="1" customHeight="1" x14ac:dyDescent="0.35">
      <c r="A206" s="663"/>
      <c r="B206" s="663"/>
      <c r="C206" s="559"/>
      <c r="D206" s="559"/>
      <c r="E206" s="559"/>
      <c r="F206" s="559"/>
      <c r="G206" s="559"/>
      <c r="H206" s="559"/>
      <c r="I206" s="559"/>
      <c r="J206" s="559"/>
      <c r="K206" s="559"/>
      <c r="L206" s="559"/>
      <c r="M206" s="559"/>
      <c r="N206" s="559"/>
      <c r="O206" s="559"/>
      <c r="P206" s="559"/>
      <c r="Q206" s="559"/>
      <c r="R206" s="559"/>
      <c r="S206" s="559"/>
      <c r="T206" s="559"/>
      <c r="U206" s="559"/>
      <c r="V206" s="559"/>
      <c r="W206" s="559"/>
      <c r="X206" s="559"/>
      <c r="Y206" s="559"/>
      <c r="Z206" s="559"/>
      <c r="AA206" s="559"/>
      <c r="AB206" s="559"/>
      <c r="AC206" s="559"/>
      <c r="AD206" s="559"/>
      <c r="AE206" s="559"/>
      <c r="AF206" s="559"/>
      <c r="AG206" s="559"/>
    </row>
    <row r="207" spans="1:33" ht="18" hidden="1" customHeight="1" x14ac:dyDescent="0.35">
      <c r="A207" s="792" t="s">
        <v>231</v>
      </c>
      <c r="B207" s="793" t="s">
        <v>223</v>
      </c>
      <c r="C207" s="559"/>
      <c r="D207" s="559"/>
      <c r="E207" s="559"/>
      <c r="F207" s="559"/>
      <c r="G207" s="559"/>
      <c r="H207" s="559"/>
      <c r="I207" s="559"/>
      <c r="J207" s="559"/>
      <c r="K207" s="559"/>
      <c r="L207" s="559"/>
      <c r="M207" s="559"/>
      <c r="N207" s="559"/>
      <c r="O207" s="559"/>
      <c r="P207" s="559"/>
      <c r="Q207" s="559"/>
      <c r="R207" s="559"/>
      <c r="S207" s="559"/>
      <c r="T207" s="559"/>
      <c r="U207" s="559"/>
      <c r="V207" s="559"/>
      <c r="W207" s="559"/>
      <c r="X207" s="559"/>
      <c r="Y207" s="559"/>
      <c r="Z207" s="559"/>
      <c r="AA207" s="559"/>
      <c r="AB207" s="559"/>
      <c r="AC207" s="559"/>
      <c r="AD207" s="559"/>
      <c r="AE207" s="559"/>
      <c r="AF207" s="559"/>
      <c r="AG207" s="559"/>
    </row>
    <row r="208" spans="1:33" ht="18" hidden="1" customHeight="1" x14ac:dyDescent="0.35">
      <c r="A208" s="794">
        <v>1</v>
      </c>
      <c r="B208" s="795" t="s">
        <v>236</v>
      </c>
      <c r="C208" s="559"/>
      <c r="D208" s="559"/>
      <c r="E208" s="559"/>
      <c r="F208" s="559"/>
      <c r="G208" s="559"/>
      <c r="H208" s="559"/>
      <c r="I208" s="559"/>
      <c r="J208" s="559"/>
      <c r="K208" s="559"/>
      <c r="L208" s="559"/>
      <c r="M208" s="559"/>
      <c r="N208" s="559"/>
      <c r="O208" s="559"/>
      <c r="P208" s="559"/>
      <c r="Q208" s="559"/>
      <c r="R208" s="559"/>
      <c r="S208" s="559"/>
      <c r="T208" s="559"/>
      <c r="U208" s="559"/>
      <c r="V208" s="559"/>
      <c r="W208" s="559"/>
      <c r="X208" s="559"/>
      <c r="Y208" s="559"/>
      <c r="Z208" s="559"/>
      <c r="AA208" s="559"/>
      <c r="AB208" s="559"/>
      <c r="AC208" s="559"/>
      <c r="AD208" s="559"/>
      <c r="AE208" s="559"/>
      <c r="AF208" s="559"/>
      <c r="AG208" s="559"/>
    </row>
    <row r="209" spans="1:33" ht="18" hidden="1" customHeight="1" x14ac:dyDescent="0.35">
      <c r="A209" s="645">
        <v>6</v>
      </c>
      <c r="B209" s="795" t="s">
        <v>237</v>
      </c>
      <c r="C209" s="559"/>
      <c r="D209" s="559"/>
      <c r="E209" s="559"/>
      <c r="F209" s="559"/>
      <c r="G209" s="559"/>
      <c r="H209" s="559"/>
      <c r="I209" s="559"/>
      <c r="J209" s="559"/>
      <c r="K209" s="559"/>
      <c r="L209" s="559"/>
      <c r="M209" s="559"/>
      <c r="N209" s="559"/>
      <c r="O209" s="559"/>
      <c r="P209" s="559"/>
      <c r="Q209" s="559"/>
      <c r="R209" s="559"/>
      <c r="S209" s="559"/>
      <c r="T209" s="559"/>
      <c r="U209" s="559"/>
      <c r="V209" s="559"/>
      <c r="W209" s="559"/>
      <c r="X209" s="559"/>
      <c r="Y209" s="559"/>
      <c r="Z209" s="559"/>
      <c r="AA209" s="559"/>
      <c r="AB209" s="559"/>
      <c r="AC209" s="559"/>
      <c r="AD209" s="559"/>
      <c r="AE209" s="559"/>
      <c r="AF209" s="559"/>
      <c r="AG209" s="559"/>
    </row>
    <row r="210" spans="1:33" ht="18" hidden="1" customHeight="1" x14ac:dyDescent="0.35">
      <c r="A210" s="645">
        <v>10</v>
      </c>
      <c r="B210" s="795" t="s">
        <v>238</v>
      </c>
      <c r="C210" s="559"/>
      <c r="D210" s="559"/>
      <c r="E210" s="559"/>
      <c r="F210" s="559"/>
      <c r="G210" s="559"/>
      <c r="H210" s="559"/>
      <c r="I210" s="559"/>
      <c r="J210" s="559"/>
      <c r="K210" s="559"/>
      <c r="L210" s="559"/>
      <c r="M210" s="559"/>
      <c r="N210" s="559"/>
      <c r="O210" s="559"/>
      <c r="P210" s="559"/>
      <c r="Q210" s="559"/>
      <c r="R210" s="559"/>
      <c r="S210" s="559"/>
      <c r="T210" s="559"/>
      <c r="U210" s="559"/>
      <c r="V210" s="559"/>
      <c r="W210" s="559"/>
      <c r="X210" s="559"/>
      <c r="Y210" s="559"/>
      <c r="Z210" s="559"/>
      <c r="AA210" s="559"/>
      <c r="AB210" s="559"/>
      <c r="AC210" s="559"/>
      <c r="AD210" s="559"/>
      <c r="AE210" s="559"/>
      <c r="AF210" s="559"/>
      <c r="AG210" s="559"/>
    </row>
    <row r="211" spans="1:33" ht="18" hidden="1" customHeight="1" x14ac:dyDescent="0.35">
      <c r="A211" s="645">
        <v>24</v>
      </c>
      <c r="B211" s="795" t="s">
        <v>239</v>
      </c>
      <c r="C211" s="559"/>
      <c r="D211" s="559"/>
      <c r="E211" s="559"/>
      <c r="F211" s="559"/>
      <c r="G211" s="559"/>
      <c r="H211" s="559"/>
      <c r="I211" s="559"/>
      <c r="J211" s="559"/>
      <c r="K211" s="559"/>
      <c r="L211" s="559"/>
      <c r="M211" s="559"/>
      <c r="N211" s="559"/>
      <c r="O211" s="559"/>
      <c r="P211" s="559"/>
      <c r="Q211" s="559"/>
      <c r="R211" s="559"/>
      <c r="S211" s="559"/>
      <c r="T211" s="559"/>
      <c r="U211" s="559"/>
      <c r="V211" s="559"/>
      <c r="W211" s="559"/>
      <c r="X211" s="559"/>
      <c r="Y211" s="559"/>
      <c r="Z211" s="559"/>
      <c r="AA211" s="559"/>
      <c r="AB211" s="559"/>
      <c r="AC211" s="559"/>
      <c r="AD211" s="559"/>
      <c r="AE211" s="559"/>
      <c r="AF211" s="559"/>
      <c r="AG211" s="559"/>
    </row>
    <row r="212" spans="1:33" ht="18" hidden="1" customHeight="1" x14ac:dyDescent="0.35">
      <c r="A212" s="645">
        <v>30</v>
      </c>
      <c r="B212" s="795" t="s">
        <v>240</v>
      </c>
      <c r="C212" s="559"/>
      <c r="D212" s="559"/>
      <c r="E212" s="559"/>
      <c r="F212" s="559"/>
      <c r="G212" s="559"/>
      <c r="H212" s="559"/>
      <c r="I212" s="559"/>
      <c r="J212" s="559"/>
      <c r="K212" s="559"/>
      <c r="L212" s="559"/>
      <c r="M212" s="559"/>
      <c r="N212" s="559"/>
      <c r="O212" s="559"/>
      <c r="P212" s="559"/>
      <c r="Q212" s="559"/>
      <c r="R212" s="559"/>
      <c r="S212" s="559"/>
      <c r="T212" s="559"/>
      <c r="U212" s="559"/>
      <c r="V212" s="559"/>
      <c r="W212" s="559"/>
      <c r="X212" s="559"/>
      <c r="Y212" s="559"/>
      <c r="Z212" s="559"/>
      <c r="AA212" s="559"/>
      <c r="AB212" s="559"/>
      <c r="AC212" s="559"/>
      <c r="AD212" s="559"/>
      <c r="AE212" s="559"/>
      <c r="AF212" s="559"/>
      <c r="AG212" s="559"/>
    </row>
    <row r="213" spans="1:33" ht="18" hidden="1" customHeight="1" x14ac:dyDescent="0.35">
      <c r="A213" s="645">
        <v>44</v>
      </c>
      <c r="B213" s="795" t="s">
        <v>232</v>
      </c>
      <c r="C213" s="559"/>
      <c r="D213" s="559"/>
      <c r="E213" s="559"/>
      <c r="F213" s="559"/>
      <c r="G213" s="559"/>
      <c r="H213" s="559"/>
      <c r="I213" s="559"/>
      <c r="J213" s="559"/>
      <c r="K213" s="559"/>
      <c r="L213" s="559"/>
      <c r="M213" s="559"/>
      <c r="N213" s="559"/>
      <c r="O213" s="559"/>
      <c r="P213" s="559"/>
      <c r="Q213" s="559"/>
      <c r="R213" s="559"/>
      <c r="S213" s="559"/>
      <c r="T213" s="559"/>
      <c r="U213" s="559"/>
      <c r="V213" s="559"/>
      <c r="W213" s="559"/>
      <c r="X213" s="559"/>
      <c r="Y213" s="559"/>
      <c r="Z213" s="559"/>
      <c r="AA213" s="559"/>
      <c r="AB213" s="559"/>
      <c r="AC213" s="559"/>
      <c r="AD213" s="559"/>
      <c r="AE213" s="559"/>
      <c r="AF213" s="559"/>
      <c r="AG213" s="559"/>
    </row>
    <row r="214" spans="1:33" ht="18" hidden="1" customHeight="1" x14ac:dyDescent="0.35">
      <c r="A214" s="645">
        <v>80</v>
      </c>
      <c r="B214" s="795" t="s">
        <v>234</v>
      </c>
      <c r="C214" s="559"/>
      <c r="D214" s="559"/>
      <c r="E214" s="559"/>
      <c r="F214" s="559"/>
      <c r="G214" s="559"/>
      <c r="H214" s="559"/>
      <c r="I214" s="559"/>
      <c r="J214" s="559"/>
      <c r="K214" s="559"/>
      <c r="L214" s="559"/>
      <c r="M214" s="559"/>
      <c r="N214" s="559"/>
      <c r="O214" s="559"/>
      <c r="P214" s="559"/>
      <c r="Q214" s="559"/>
      <c r="R214" s="559"/>
      <c r="S214" s="559"/>
      <c r="T214" s="559"/>
      <c r="U214" s="559"/>
      <c r="V214" s="559"/>
      <c r="W214" s="559"/>
      <c r="X214" s="559"/>
      <c r="Y214" s="559"/>
      <c r="Z214" s="559"/>
      <c r="AA214" s="559"/>
      <c r="AB214" s="559"/>
      <c r="AC214" s="559"/>
      <c r="AD214" s="559"/>
      <c r="AE214" s="559"/>
      <c r="AF214" s="559"/>
      <c r="AG214" s="559"/>
    </row>
    <row r="215" spans="1:33" ht="18" hidden="1" customHeight="1" x14ac:dyDescent="0.35">
      <c r="A215" s="645">
        <v>160</v>
      </c>
      <c r="B215" s="795" t="s">
        <v>233</v>
      </c>
      <c r="C215" s="559"/>
      <c r="D215" s="559"/>
      <c r="E215" s="559"/>
      <c r="F215" s="559"/>
      <c r="G215" s="559"/>
      <c r="H215" s="559"/>
      <c r="I215" s="559"/>
      <c r="J215" s="559"/>
      <c r="K215" s="559"/>
      <c r="L215" s="559"/>
      <c r="M215" s="559"/>
      <c r="N215" s="559"/>
      <c r="O215" s="559"/>
      <c r="P215" s="559"/>
      <c r="Q215" s="559"/>
      <c r="R215" s="559"/>
      <c r="S215" s="559"/>
      <c r="T215" s="559"/>
      <c r="U215" s="559"/>
      <c r="V215" s="559"/>
      <c r="W215" s="559"/>
      <c r="X215" s="559"/>
      <c r="Y215" s="559"/>
      <c r="Z215" s="559"/>
      <c r="AA215" s="559"/>
      <c r="AB215" s="559"/>
      <c r="AC215" s="559"/>
      <c r="AD215" s="559"/>
      <c r="AE215" s="559"/>
      <c r="AF215" s="559"/>
      <c r="AG215" s="559"/>
    </row>
    <row r="216" spans="1:33" ht="18" hidden="1" customHeight="1" x14ac:dyDescent="0.35">
      <c r="A216" s="645">
        <v>240</v>
      </c>
      <c r="B216" s="795" t="s">
        <v>235</v>
      </c>
      <c r="C216" s="559"/>
      <c r="D216" s="559"/>
      <c r="E216" s="559"/>
      <c r="F216" s="559"/>
      <c r="G216" s="559"/>
      <c r="H216" s="559"/>
      <c r="I216" s="559"/>
      <c r="J216" s="559"/>
      <c r="K216" s="559"/>
      <c r="L216" s="559"/>
      <c r="M216" s="559"/>
      <c r="N216" s="559"/>
      <c r="O216" s="559"/>
      <c r="P216" s="559"/>
      <c r="Q216" s="559"/>
      <c r="R216" s="559"/>
      <c r="S216" s="559"/>
      <c r="T216" s="559"/>
      <c r="U216" s="559"/>
      <c r="V216" s="559"/>
      <c r="W216" s="559"/>
      <c r="X216" s="559"/>
      <c r="Y216" s="559"/>
      <c r="Z216" s="559"/>
      <c r="AA216" s="559"/>
      <c r="AB216" s="559"/>
      <c r="AC216" s="559"/>
      <c r="AD216" s="559"/>
      <c r="AE216" s="559"/>
      <c r="AF216" s="559"/>
      <c r="AG216" s="559"/>
    </row>
    <row r="217" spans="1:33" ht="18" hidden="1" customHeight="1" x14ac:dyDescent="0.35">
      <c r="A217" s="655">
        <v>400</v>
      </c>
      <c r="B217" s="796" t="s">
        <v>235</v>
      </c>
      <c r="C217" s="559"/>
      <c r="D217" s="559"/>
      <c r="E217" s="559"/>
      <c r="F217" s="559"/>
      <c r="G217" s="559"/>
      <c r="H217" s="559"/>
      <c r="I217" s="559"/>
      <c r="J217" s="559"/>
      <c r="K217" s="559"/>
      <c r="L217" s="559"/>
      <c r="M217" s="559"/>
      <c r="N217" s="559"/>
      <c r="O217" s="559"/>
      <c r="P217" s="559"/>
      <c r="Q217" s="559"/>
      <c r="R217" s="559"/>
      <c r="S217" s="559"/>
      <c r="T217" s="559"/>
      <c r="U217" s="559"/>
      <c r="V217" s="559"/>
      <c r="W217" s="559"/>
      <c r="X217" s="559"/>
      <c r="Y217" s="559"/>
      <c r="Z217" s="559"/>
      <c r="AA217" s="559"/>
      <c r="AB217" s="559"/>
      <c r="AC217" s="559"/>
      <c r="AD217" s="559"/>
      <c r="AE217" s="559"/>
      <c r="AF217" s="559"/>
      <c r="AG217" s="559"/>
    </row>
    <row r="218" spans="1:33" ht="18" hidden="1" customHeight="1" x14ac:dyDescent="0.35">
      <c r="A218" s="559"/>
      <c r="B218" s="559"/>
      <c r="C218" s="559"/>
      <c r="D218" s="559"/>
      <c r="E218" s="559"/>
      <c r="F218" s="559"/>
      <c r="G218" s="559"/>
      <c r="H218" s="559"/>
      <c r="I218" s="559"/>
      <c r="J218" s="559"/>
      <c r="K218" s="559"/>
      <c r="L218" s="559"/>
      <c r="M218" s="559"/>
      <c r="N218" s="559"/>
      <c r="O218" s="559"/>
      <c r="P218" s="559"/>
      <c r="Q218" s="559"/>
      <c r="R218" s="559"/>
      <c r="S218" s="559"/>
      <c r="T218" s="559"/>
      <c r="U218" s="559"/>
      <c r="V218" s="559"/>
      <c r="W218" s="559"/>
      <c r="X218" s="559"/>
      <c r="Y218" s="559"/>
      <c r="Z218" s="559"/>
      <c r="AA218" s="559"/>
      <c r="AB218" s="559"/>
      <c r="AC218" s="559"/>
      <c r="AD218" s="559"/>
      <c r="AE218" s="559"/>
      <c r="AF218" s="559"/>
      <c r="AG218" s="559"/>
    </row>
    <row r="219" spans="1:33" ht="18" hidden="1" customHeight="1" x14ac:dyDescent="0.3">
      <c r="A219" s="660"/>
      <c r="B219" s="661" t="s">
        <v>114</v>
      </c>
      <c r="C219" s="661" t="s">
        <v>115</v>
      </c>
      <c r="D219" s="661" t="s">
        <v>116</v>
      </c>
      <c r="E219" s="661" t="s">
        <v>117</v>
      </c>
      <c r="F219" s="661" t="s">
        <v>118</v>
      </c>
      <c r="G219" s="661" t="s">
        <v>119</v>
      </c>
      <c r="H219" s="661" t="s">
        <v>120</v>
      </c>
      <c r="I219" s="661" t="s">
        <v>121</v>
      </c>
      <c r="J219" s="661" t="s">
        <v>122</v>
      </c>
      <c r="K219" s="661" t="s">
        <v>123</v>
      </c>
      <c r="L219" s="661" t="s">
        <v>82</v>
      </c>
      <c r="M219" s="661"/>
      <c r="N219" s="661"/>
      <c r="O219" s="661"/>
      <c r="P219" s="661"/>
      <c r="Q219" s="661"/>
      <c r="R219" s="661" t="s">
        <v>312</v>
      </c>
      <c r="S219" s="662"/>
      <c r="T219" s="663"/>
      <c r="U219" s="663"/>
      <c r="V219" s="663"/>
      <c r="W219" s="663"/>
      <c r="X219" s="663"/>
      <c r="Y219" s="663"/>
      <c r="Z219" s="663"/>
      <c r="AA219" s="663"/>
      <c r="AB219" s="663"/>
      <c r="AC219" s="663"/>
      <c r="AD219" s="663"/>
      <c r="AE219" s="663"/>
      <c r="AF219" s="663"/>
      <c r="AG219" s="663"/>
    </row>
    <row r="220" spans="1:33" ht="18" hidden="1" customHeight="1" x14ac:dyDescent="0.3">
      <c r="A220" s="664">
        <v>1</v>
      </c>
      <c r="B220" s="663">
        <v>2</v>
      </c>
      <c r="C220" s="663">
        <v>3</v>
      </c>
      <c r="D220" s="663">
        <v>4</v>
      </c>
      <c r="E220" s="663">
        <v>5</v>
      </c>
      <c r="F220" s="663">
        <v>6</v>
      </c>
      <c r="G220" s="663">
        <v>7</v>
      </c>
      <c r="H220" s="663">
        <v>8</v>
      </c>
      <c r="I220" s="663">
        <v>9</v>
      </c>
      <c r="J220" s="663">
        <v>10</v>
      </c>
      <c r="K220" s="663">
        <v>11</v>
      </c>
      <c r="L220" s="663">
        <v>12</v>
      </c>
      <c r="M220" s="663">
        <v>13</v>
      </c>
      <c r="N220" s="663">
        <v>14</v>
      </c>
      <c r="O220" s="663">
        <v>15</v>
      </c>
      <c r="P220" s="663">
        <v>16</v>
      </c>
      <c r="Q220" s="663">
        <v>17</v>
      </c>
      <c r="R220" s="663" t="s">
        <v>28</v>
      </c>
      <c r="S220" s="665" t="s">
        <v>313</v>
      </c>
      <c r="T220" s="663"/>
      <c r="U220" s="663"/>
      <c r="V220" s="663"/>
      <c r="W220" s="663"/>
      <c r="X220" s="663"/>
      <c r="Y220" s="663"/>
      <c r="Z220" s="663"/>
      <c r="AA220" s="663"/>
      <c r="AB220" s="663"/>
      <c r="AC220" s="663"/>
      <c r="AD220" s="663"/>
      <c r="AE220" s="663"/>
      <c r="AF220" s="663"/>
      <c r="AG220" s="663"/>
    </row>
    <row r="221" spans="1:33" ht="18" hidden="1" customHeight="1" x14ac:dyDescent="0.3">
      <c r="A221" s="664" t="s">
        <v>16</v>
      </c>
      <c r="B221" s="663">
        <v>0</v>
      </c>
      <c r="C221" s="663">
        <v>0</v>
      </c>
      <c r="D221" s="663">
        <v>0</v>
      </c>
      <c r="E221" s="663">
        <v>0</v>
      </c>
      <c r="F221" s="663">
        <v>0</v>
      </c>
      <c r="G221" s="663">
        <v>0</v>
      </c>
      <c r="H221" s="663">
        <v>0</v>
      </c>
      <c r="I221" s="663">
        <v>0</v>
      </c>
      <c r="J221" s="663">
        <v>0</v>
      </c>
      <c r="K221" s="663">
        <v>0</v>
      </c>
      <c r="L221" s="663">
        <v>0</v>
      </c>
      <c r="M221" s="663">
        <v>0</v>
      </c>
      <c r="N221" s="663">
        <v>0</v>
      </c>
      <c r="O221" s="663">
        <v>0</v>
      </c>
      <c r="P221" s="663">
        <v>0</v>
      </c>
      <c r="Q221" s="663">
        <v>0</v>
      </c>
      <c r="R221" s="663">
        <v>0</v>
      </c>
      <c r="S221" s="665">
        <v>0</v>
      </c>
      <c r="T221" s="663"/>
      <c r="U221" s="663"/>
      <c r="V221" s="663"/>
      <c r="W221" s="663"/>
      <c r="X221" s="663"/>
      <c r="Y221" s="663"/>
      <c r="Z221" s="663"/>
      <c r="AA221" s="663"/>
      <c r="AB221" s="663"/>
      <c r="AC221" s="663"/>
      <c r="AD221" s="663"/>
      <c r="AE221" s="663"/>
      <c r="AF221" s="663"/>
      <c r="AG221" s="663"/>
    </row>
    <row r="222" spans="1:33" ht="18" hidden="1" customHeight="1" x14ac:dyDescent="0.3">
      <c r="A222" s="664" t="s">
        <v>316</v>
      </c>
      <c r="B222" s="663">
        <v>20</v>
      </c>
      <c r="C222" s="663">
        <v>20</v>
      </c>
      <c r="D222" s="663">
        <v>14</v>
      </c>
      <c r="E222" s="663">
        <v>10</v>
      </c>
      <c r="F222" s="663">
        <v>0.2</v>
      </c>
      <c r="G222" s="663">
        <v>1</v>
      </c>
      <c r="H222" s="663" t="s">
        <v>37</v>
      </c>
      <c r="I222" s="663" t="s">
        <v>27</v>
      </c>
      <c r="J222" s="663">
        <v>-0.5</v>
      </c>
      <c r="K222" s="663">
        <v>1</v>
      </c>
      <c r="L222" s="663">
        <v>0</v>
      </c>
      <c r="M222" s="663" t="s">
        <v>317</v>
      </c>
      <c r="N222" s="663"/>
      <c r="O222" s="663">
        <v>1</v>
      </c>
      <c r="P222" s="663"/>
      <c r="Q222" s="663"/>
      <c r="R222" s="663">
        <v>1</v>
      </c>
      <c r="S222" s="665">
        <v>0</v>
      </c>
      <c r="T222" s="663"/>
      <c r="U222" s="663"/>
      <c r="V222" s="663"/>
      <c r="W222" s="663"/>
      <c r="X222" s="663"/>
      <c r="Y222" s="663"/>
      <c r="Z222" s="663"/>
      <c r="AA222" s="663"/>
      <c r="AB222" s="663"/>
      <c r="AC222" s="663"/>
      <c r="AD222" s="663"/>
      <c r="AE222" s="663"/>
      <c r="AF222" s="663"/>
      <c r="AG222" s="663"/>
    </row>
    <row r="223" spans="1:33" ht="18" hidden="1" customHeight="1" x14ac:dyDescent="0.3">
      <c r="A223" s="664" t="s">
        <v>319</v>
      </c>
      <c r="B223" s="663">
        <v>14</v>
      </c>
      <c r="C223" s="663">
        <v>14</v>
      </c>
      <c r="D223" s="663">
        <v>7</v>
      </c>
      <c r="E223" s="663">
        <v>10</v>
      </c>
      <c r="F223" s="663">
        <v>0.2</v>
      </c>
      <c r="G223" s="663">
        <v>1</v>
      </c>
      <c r="H223" s="663" t="s">
        <v>37</v>
      </c>
      <c r="I223" s="663" t="s">
        <v>27</v>
      </c>
      <c r="J223" s="663">
        <v>-0.5</v>
      </c>
      <c r="K223" s="663">
        <v>1</v>
      </c>
      <c r="L223" s="663">
        <v>0</v>
      </c>
      <c r="M223" s="663" t="s">
        <v>317</v>
      </c>
      <c r="N223" s="663"/>
      <c r="O223" s="663">
        <v>1</v>
      </c>
      <c r="P223" s="663"/>
      <c r="Q223" s="663"/>
      <c r="R223" s="663">
        <v>1</v>
      </c>
      <c r="S223" s="665">
        <v>1</v>
      </c>
      <c r="T223" s="663"/>
      <c r="U223" s="663"/>
      <c r="V223" s="663"/>
      <c r="W223" s="663"/>
      <c r="X223" s="663"/>
      <c r="Y223" s="663"/>
      <c r="Z223" s="663"/>
      <c r="AA223" s="663"/>
      <c r="AB223" s="663"/>
      <c r="AC223" s="663"/>
      <c r="AD223" s="663"/>
      <c r="AE223" s="663"/>
      <c r="AF223" s="663"/>
      <c r="AG223" s="663"/>
    </row>
    <row r="224" spans="1:33" ht="18" hidden="1" customHeight="1" x14ac:dyDescent="0.3">
      <c r="A224" s="664" t="s">
        <v>429</v>
      </c>
      <c r="B224" s="663">
        <v>10.199999999999999</v>
      </c>
      <c r="C224" s="663">
        <v>10.199999999999999</v>
      </c>
      <c r="D224" s="663">
        <v>5.2</v>
      </c>
      <c r="E224" s="663">
        <v>10.7</v>
      </c>
      <c r="F224" s="663">
        <v>0.2</v>
      </c>
      <c r="G224" s="663">
        <v>2</v>
      </c>
      <c r="H224" s="663" t="s">
        <v>37</v>
      </c>
      <c r="I224" s="663" t="s">
        <v>37</v>
      </c>
      <c r="J224" s="663">
        <v>-0.5</v>
      </c>
      <c r="K224" s="663">
        <v>2</v>
      </c>
      <c r="L224" s="663">
        <v>1</v>
      </c>
      <c r="M224" s="663"/>
      <c r="N224" s="663"/>
      <c r="O224" s="663">
        <v>2</v>
      </c>
      <c r="P224" s="663"/>
      <c r="Q224" s="663"/>
      <c r="R224" s="663">
        <v>0</v>
      </c>
      <c r="S224" s="665">
        <v>0</v>
      </c>
      <c r="T224" s="663"/>
      <c r="U224" s="663"/>
      <c r="V224" s="663"/>
      <c r="W224" s="663"/>
      <c r="X224" s="663"/>
      <c r="Y224" s="663"/>
      <c r="Z224" s="663"/>
      <c r="AA224" s="663"/>
      <c r="AB224" s="663"/>
      <c r="AC224" s="663"/>
      <c r="AD224" s="663"/>
      <c r="AE224" s="663"/>
      <c r="AF224" s="663"/>
      <c r="AG224" s="663"/>
    </row>
    <row r="225" spans="1:33" ht="18" hidden="1" customHeight="1" x14ac:dyDescent="0.3">
      <c r="A225" s="664" t="s">
        <v>430</v>
      </c>
      <c r="B225" s="663">
        <v>6.2</v>
      </c>
      <c r="C225" s="663">
        <v>6.2</v>
      </c>
      <c r="D225" s="663">
        <v>3.2</v>
      </c>
      <c r="E225" s="663">
        <v>10.7</v>
      </c>
      <c r="F225" s="663">
        <v>0.2</v>
      </c>
      <c r="G225" s="663">
        <v>2</v>
      </c>
      <c r="H225" s="663" t="s">
        <v>262</v>
      </c>
      <c r="I225" s="663" t="s">
        <v>262</v>
      </c>
      <c r="J225" s="663">
        <v>-0.5</v>
      </c>
      <c r="K225" s="663">
        <v>2</v>
      </c>
      <c r="L225" s="663">
        <v>1</v>
      </c>
      <c r="M225" s="663"/>
      <c r="N225" s="663"/>
      <c r="O225" s="663">
        <v>2</v>
      </c>
      <c r="P225" s="663"/>
      <c r="Q225" s="663"/>
      <c r="R225" s="663">
        <v>0</v>
      </c>
      <c r="S225" s="665">
        <v>0</v>
      </c>
      <c r="T225" s="663"/>
      <c r="U225" s="663"/>
      <c r="V225" s="663"/>
      <c r="W225" s="663"/>
      <c r="X225" s="663"/>
      <c r="Y225" s="663"/>
      <c r="Z225" s="663"/>
      <c r="AA225" s="663"/>
      <c r="AB225" s="663"/>
      <c r="AC225" s="663"/>
      <c r="AD225" s="663"/>
      <c r="AE225" s="663"/>
      <c r="AF225" s="663"/>
      <c r="AG225" s="663"/>
    </row>
    <row r="226" spans="1:33" ht="18" hidden="1" customHeight="1" x14ac:dyDescent="0.3">
      <c r="A226" s="664" t="s">
        <v>324</v>
      </c>
      <c r="B226" s="663">
        <v>10.199999999999999</v>
      </c>
      <c r="C226" s="663">
        <v>10.199999999999999</v>
      </c>
      <c r="D226" s="663">
        <v>5.2</v>
      </c>
      <c r="E226" s="663">
        <v>5.7</v>
      </c>
      <c r="F226" s="663">
        <v>10.199999999999999</v>
      </c>
      <c r="G226" s="663">
        <v>2</v>
      </c>
      <c r="H226" s="663" t="s">
        <v>27</v>
      </c>
      <c r="I226" s="663" t="s">
        <v>27</v>
      </c>
      <c r="J226" s="663">
        <v>-0.5</v>
      </c>
      <c r="K226" s="663">
        <v>2</v>
      </c>
      <c r="L226" s="663">
        <v>1</v>
      </c>
      <c r="M226" s="663"/>
      <c r="N226" s="663"/>
      <c r="O226" s="663">
        <v>3</v>
      </c>
      <c r="P226" s="663"/>
      <c r="Q226" s="663"/>
      <c r="R226" s="663">
        <v>0</v>
      </c>
      <c r="S226" s="665">
        <v>0</v>
      </c>
      <c r="T226" s="663"/>
      <c r="U226" s="663"/>
      <c r="V226" s="663"/>
      <c r="W226" s="663"/>
      <c r="X226" s="663"/>
      <c r="Y226" s="663"/>
      <c r="Z226" s="663"/>
      <c r="AA226" s="663"/>
      <c r="AB226" s="663"/>
      <c r="AC226" s="663"/>
      <c r="AD226" s="663"/>
      <c r="AE226" s="663"/>
      <c r="AF226" s="663"/>
      <c r="AG226" s="663"/>
    </row>
    <row r="227" spans="1:33" ht="18" hidden="1" customHeight="1" x14ac:dyDescent="0.3">
      <c r="A227" s="664" t="s">
        <v>325</v>
      </c>
      <c r="B227" s="663">
        <v>10.199999999999999</v>
      </c>
      <c r="C227" s="663">
        <v>10.199999999999999</v>
      </c>
      <c r="D227" s="663">
        <v>5.2</v>
      </c>
      <c r="E227" s="663">
        <v>5</v>
      </c>
      <c r="F227" s="663">
        <v>0.2</v>
      </c>
      <c r="G227" s="663">
        <v>2</v>
      </c>
      <c r="H227" s="663" t="s">
        <v>27</v>
      </c>
      <c r="I227" s="663" t="s">
        <v>27</v>
      </c>
      <c r="J227" s="663">
        <v>9.4</v>
      </c>
      <c r="K227" s="663">
        <v>2</v>
      </c>
      <c r="L227" s="663">
        <v>1</v>
      </c>
      <c r="M227" s="663"/>
      <c r="N227" s="663"/>
      <c r="O227" s="663">
        <v>3</v>
      </c>
      <c r="P227" s="663"/>
      <c r="Q227" s="663"/>
      <c r="R227" s="663">
        <v>0</v>
      </c>
      <c r="S227" s="665">
        <v>0</v>
      </c>
      <c r="T227" s="663"/>
      <c r="U227" s="663"/>
      <c r="V227" s="663"/>
      <c r="W227" s="663"/>
      <c r="X227" s="663"/>
      <c r="Y227" s="663"/>
      <c r="Z227" s="663"/>
      <c r="AA227" s="663"/>
      <c r="AB227" s="663"/>
      <c r="AC227" s="663"/>
      <c r="AD227" s="663"/>
      <c r="AE227" s="663"/>
      <c r="AF227" s="663"/>
      <c r="AG227" s="663"/>
    </row>
    <row r="228" spans="1:33" ht="18" hidden="1" customHeight="1" x14ac:dyDescent="0.3">
      <c r="A228" s="664" t="s">
        <v>326</v>
      </c>
      <c r="B228" s="663">
        <v>14</v>
      </c>
      <c r="C228" s="663">
        <v>14</v>
      </c>
      <c r="D228" s="663">
        <v>7</v>
      </c>
      <c r="E228" s="663">
        <v>10.199999999999999</v>
      </c>
      <c r="F228" s="663">
        <v>0.2</v>
      </c>
      <c r="G228" s="663">
        <v>2</v>
      </c>
      <c r="H228" s="663" t="s">
        <v>37</v>
      </c>
      <c r="I228" s="663" t="s">
        <v>327</v>
      </c>
      <c r="J228" s="663">
        <v>-0.5</v>
      </c>
      <c r="K228" s="663">
        <v>1</v>
      </c>
      <c r="L228" s="663">
        <v>0</v>
      </c>
      <c r="M228" s="663" t="s">
        <v>317</v>
      </c>
      <c r="N228" s="663"/>
      <c r="O228" s="663">
        <v>4</v>
      </c>
      <c r="P228" s="663"/>
      <c r="Q228" s="663"/>
      <c r="R228" s="663">
        <v>1</v>
      </c>
      <c r="S228" s="665">
        <v>0</v>
      </c>
      <c r="T228" s="663"/>
      <c r="U228" s="663"/>
      <c r="V228" s="663"/>
      <c r="W228" s="663"/>
      <c r="X228" s="663"/>
      <c r="Y228" s="663"/>
      <c r="Z228" s="663"/>
      <c r="AA228" s="663"/>
      <c r="AB228" s="663"/>
      <c r="AC228" s="663"/>
      <c r="AD228" s="663"/>
      <c r="AE228" s="663"/>
      <c r="AF228" s="663"/>
      <c r="AG228" s="663"/>
    </row>
    <row r="229" spans="1:33" ht="18" hidden="1" customHeight="1" x14ac:dyDescent="0.3">
      <c r="A229" s="664" t="s">
        <v>328</v>
      </c>
      <c r="B229" s="663">
        <v>14</v>
      </c>
      <c r="C229" s="663">
        <v>14</v>
      </c>
      <c r="D229" s="663">
        <v>7</v>
      </c>
      <c r="E229" s="663">
        <v>10.199999999999999</v>
      </c>
      <c r="F229" s="663">
        <v>0.2</v>
      </c>
      <c r="G229" s="663">
        <v>2</v>
      </c>
      <c r="H229" s="663" t="s">
        <v>37</v>
      </c>
      <c r="I229" s="663" t="s">
        <v>327</v>
      </c>
      <c r="J229" s="663">
        <v>-0.5</v>
      </c>
      <c r="K229" s="663">
        <v>1</v>
      </c>
      <c r="L229" s="663">
        <v>0</v>
      </c>
      <c r="M229" s="663" t="s">
        <v>317</v>
      </c>
      <c r="N229" s="663"/>
      <c r="O229" s="663">
        <v>4</v>
      </c>
      <c r="P229" s="663"/>
      <c r="Q229" s="663"/>
      <c r="R229" s="663">
        <v>0</v>
      </c>
      <c r="S229" s="665">
        <v>1</v>
      </c>
      <c r="T229" s="663"/>
      <c r="U229" s="663"/>
      <c r="V229" s="663"/>
      <c r="W229" s="663"/>
      <c r="X229" s="663"/>
      <c r="Y229" s="663"/>
      <c r="Z229" s="663"/>
      <c r="AA229" s="663"/>
      <c r="AB229" s="663"/>
      <c r="AC229" s="663"/>
      <c r="AD229" s="663"/>
      <c r="AE229" s="663"/>
      <c r="AF229" s="663"/>
      <c r="AG229" s="663"/>
    </row>
    <row r="230" spans="1:33" ht="18" hidden="1" customHeight="1" x14ac:dyDescent="0.3">
      <c r="A230" s="664" t="s">
        <v>373</v>
      </c>
      <c r="B230" s="663">
        <v>10.199999999999999</v>
      </c>
      <c r="C230" s="663">
        <v>10.199999999999999</v>
      </c>
      <c r="D230" s="663">
        <v>5.2</v>
      </c>
      <c r="E230" s="663">
        <v>10.7</v>
      </c>
      <c r="F230" s="663">
        <v>0.2</v>
      </c>
      <c r="G230" s="663">
        <v>2</v>
      </c>
      <c r="H230" s="663" t="s">
        <v>27</v>
      </c>
      <c r="I230" s="663" t="s">
        <v>27</v>
      </c>
      <c r="J230" s="663">
        <v>-0.5</v>
      </c>
      <c r="K230" s="663">
        <v>2</v>
      </c>
      <c r="L230" s="663">
        <v>1</v>
      </c>
      <c r="M230" s="663" t="s">
        <v>321</v>
      </c>
      <c r="N230" s="663"/>
      <c r="O230" s="663">
        <v>5</v>
      </c>
      <c r="P230" s="663"/>
      <c r="Q230" s="663"/>
      <c r="R230" s="663">
        <v>0</v>
      </c>
      <c r="S230" s="665">
        <v>0</v>
      </c>
      <c r="T230" s="663"/>
      <c r="U230" s="663"/>
      <c r="V230" s="663"/>
      <c r="W230" s="663"/>
      <c r="X230" s="663"/>
      <c r="Y230" s="663"/>
      <c r="Z230" s="663"/>
      <c r="AA230" s="663"/>
      <c r="AB230" s="663"/>
      <c r="AC230" s="663"/>
      <c r="AD230" s="663"/>
      <c r="AE230" s="663"/>
      <c r="AF230" s="663"/>
      <c r="AG230" s="663"/>
    </row>
    <row r="231" spans="1:33" ht="18" hidden="1" customHeight="1" x14ac:dyDescent="0.3">
      <c r="A231" s="666" t="s">
        <v>374</v>
      </c>
      <c r="B231" s="667">
        <v>6.2</v>
      </c>
      <c r="C231" s="667">
        <v>6.2</v>
      </c>
      <c r="D231" s="667">
        <v>3.2</v>
      </c>
      <c r="E231" s="667">
        <v>10.7</v>
      </c>
      <c r="F231" s="667">
        <v>0.2</v>
      </c>
      <c r="G231" s="667">
        <v>2</v>
      </c>
      <c r="H231" s="667" t="s">
        <v>105</v>
      </c>
      <c r="I231" s="667" t="s">
        <v>105</v>
      </c>
      <c r="J231" s="667">
        <v>-0.5</v>
      </c>
      <c r="K231" s="667">
        <v>2</v>
      </c>
      <c r="L231" s="667">
        <v>1</v>
      </c>
      <c r="M231" s="667" t="s">
        <v>321</v>
      </c>
      <c r="N231" s="667"/>
      <c r="O231" s="667">
        <v>5</v>
      </c>
      <c r="P231" s="667"/>
      <c r="Q231" s="667"/>
      <c r="R231" s="667">
        <v>0</v>
      </c>
      <c r="S231" s="668">
        <v>0</v>
      </c>
      <c r="T231" s="663"/>
      <c r="U231" s="663"/>
      <c r="V231" s="663"/>
      <c r="W231" s="663"/>
      <c r="X231" s="663"/>
      <c r="Y231" s="663"/>
      <c r="Z231" s="663"/>
      <c r="AA231" s="663"/>
      <c r="AB231" s="663"/>
      <c r="AC231" s="663"/>
      <c r="AD231" s="663"/>
      <c r="AE231" s="663"/>
      <c r="AF231" s="663"/>
      <c r="AG231" s="663"/>
    </row>
    <row r="232" spans="1:33" ht="18" hidden="1" customHeight="1" x14ac:dyDescent="0.35">
      <c r="A232" s="559"/>
      <c r="B232" s="559"/>
      <c r="C232" s="559"/>
      <c r="D232" s="559"/>
      <c r="E232" s="559"/>
      <c r="F232" s="559"/>
      <c r="G232" s="559"/>
      <c r="H232" s="559"/>
      <c r="I232" s="559"/>
      <c r="J232" s="559"/>
      <c r="K232" s="559"/>
      <c r="L232" s="559"/>
      <c r="M232" s="559"/>
      <c r="N232" s="559"/>
      <c r="O232" s="559"/>
      <c r="P232" s="559"/>
      <c r="Q232" s="559"/>
      <c r="R232" s="559"/>
      <c r="S232" s="559"/>
      <c r="T232" s="559"/>
      <c r="U232" s="559"/>
      <c r="V232" s="559"/>
      <c r="W232" s="559"/>
      <c r="X232" s="559"/>
      <c r="Y232" s="559"/>
      <c r="Z232" s="559"/>
      <c r="AA232" s="559"/>
      <c r="AB232" s="559"/>
      <c r="AC232" s="559"/>
      <c r="AD232" s="559"/>
      <c r="AE232" s="559"/>
      <c r="AF232" s="559"/>
      <c r="AG232" s="559"/>
    </row>
    <row r="233" spans="1:33" ht="18" hidden="1" customHeight="1" x14ac:dyDescent="0.3">
      <c r="A233" s="660" t="s">
        <v>16</v>
      </c>
      <c r="B233" s="661">
        <v>0</v>
      </c>
      <c r="C233" s="662">
        <v>0</v>
      </c>
      <c r="D233" s="662"/>
      <c r="E233" s="663"/>
      <c r="F233" s="663"/>
      <c r="G233" s="663"/>
      <c r="H233" s="663"/>
      <c r="I233" s="663"/>
      <c r="J233" s="663"/>
      <c r="K233" s="663"/>
      <c r="L233" s="663"/>
      <c r="M233" s="663"/>
      <c r="N233" s="663"/>
      <c r="O233" s="663"/>
      <c r="P233" s="663"/>
      <c r="Q233" s="663"/>
      <c r="R233" s="663"/>
      <c r="S233" s="663"/>
      <c r="T233" s="663"/>
      <c r="U233" s="663"/>
      <c r="V233" s="663"/>
      <c r="W233" s="663"/>
      <c r="X233" s="663"/>
      <c r="Y233" s="663"/>
      <c r="Z233" s="663"/>
      <c r="AA233" s="663"/>
      <c r="AB233" s="663"/>
      <c r="AC233" s="663"/>
      <c r="AD233" s="663"/>
      <c r="AE233" s="663"/>
      <c r="AF233" s="663"/>
      <c r="AG233" s="663"/>
    </row>
    <row r="234" spans="1:33" ht="18" hidden="1" customHeight="1" x14ac:dyDescent="0.3">
      <c r="A234" s="664" t="s">
        <v>334</v>
      </c>
      <c r="B234" s="663">
        <v>0.7</v>
      </c>
      <c r="C234" s="665">
        <v>2</v>
      </c>
      <c r="D234" s="665">
        <v>1</v>
      </c>
      <c r="E234" s="663"/>
      <c r="F234" s="663"/>
      <c r="G234" s="663"/>
      <c r="H234" s="663"/>
      <c r="I234" s="663"/>
      <c r="J234" s="663"/>
      <c r="K234" s="663"/>
      <c r="L234" s="663"/>
      <c r="M234" s="663"/>
      <c r="N234" s="663"/>
      <c r="O234" s="663"/>
      <c r="P234" s="663"/>
      <c r="Q234" s="663"/>
      <c r="R234" s="663"/>
      <c r="S234" s="663"/>
      <c r="T234" s="663"/>
      <c r="U234" s="663"/>
      <c r="V234" s="663"/>
      <c r="W234" s="663"/>
      <c r="X234" s="663"/>
      <c r="Y234" s="663"/>
      <c r="Z234" s="663"/>
      <c r="AA234" s="663"/>
      <c r="AB234" s="663"/>
      <c r="AC234" s="663"/>
      <c r="AD234" s="663"/>
      <c r="AE234" s="663"/>
      <c r="AF234" s="663"/>
      <c r="AG234" s="663"/>
    </row>
    <row r="235" spans="1:33" ht="18" hidden="1" customHeight="1" x14ac:dyDescent="0.3">
      <c r="A235" s="664" t="s">
        <v>335</v>
      </c>
      <c r="B235" s="663">
        <v>1</v>
      </c>
      <c r="C235" s="665">
        <v>8</v>
      </c>
      <c r="D235" s="665">
        <v>5.3</v>
      </c>
      <c r="E235" s="663"/>
      <c r="F235" s="663"/>
      <c r="G235" s="663"/>
      <c r="H235" s="663"/>
      <c r="I235" s="663"/>
      <c r="J235" s="663"/>
      <c r="K235" s="663"/>
      <c r="L235" s="663"/>
      <c r="M235" s="663"/>
      <c r="N235" s="663"/>
      <c r="O235" s="663"/>
      <c r="P235" s="663"/>
      <c r="Q235" s="663"/>
      <c r="R235" s="663"/>
      <c r="S235" s="663"/>
      <c r="T235" s="663"/>
      <c r="U235" s="663"/>
      <c r="V235" s="663"/>
      <c r="W235" s="663"/>
      <c r="X235" s="663"/>
      <c r="Y235" s="663"/>
      <c r="Z235" s="663"/>
      <c r="AA235" s="663"/>
      <c r="AB235" s="663"/>
      <c r="AC235" s="663"/>
      <c r="AD235" s="663"/>
      <c r="AE235" s="663"/>
      <c r="AF235" s="663"/>
      <c r="AG235" s="663"/>
    </row>
    <row r="236" spans="1:33" ht="18" hidden="1" customHeight="1" x14ac:dyDescent="0.3">
      <c r="A236" s="664" t="s">
        <v>336</v>
      </c>
      <c r="B236" s="663">
        <f>1.5+2</f>
        <v>3.5</v>
      </c>
      <c r="C236" s="665">
        <v>19</v>
      </c>
      <c r="D236" s="665">
        <v>6.3</v>
      </c>
      <c r="E236" s="663"/>
      <c r="F236" s="663"/>
      <c r="G236" s="663"/>
      <c r="H236" s="663"/>
      <c r="I236" s="663"/>
      <c r="J236" s="663"/>
      <c r="K236" s="663"/>
      <c r="L236" s="663"/>
      <c r="M236" s="663"/>
      <c r="N236" s="663"/>
      <c r="O236" s="663"/>
      <c r="P236" s="663"/>
      <c r="Q236" s="663"/>
      <c r="R236" s="663"/>
      <c r="S236" s="663"/>
      <c r="T236" s="663"/>
      <c r="U236" s="663"/>
      <c r="V236" s="663"/>
      <c r="W236" s="663"/>
      <c r="X236" s="663"/>
      <c r="Y236" s="663"/>
      <c r="Z236" s="663"/>
      <c r="AA236" s="663"/>
      <c r="AB236" s="663"/>
      <c r="AC236" s="663"/>
      <c r="AD236" s="663"/>
      <c r="AE236" s="663"/>
      <c r="AF236" s="663"/>
      <c r="AG236" s="663"/>
    </row>
    <row r="237" spans="1:33" ht="18" hidden="1" customHeight="1" x14ac:dyDescent="0.3">
      <c r="A237" s="664" t="s">
        <v>337</v>
      </c>
      <c r="B237" s="663">
        <f>1.5+2+1</f>
        <v>4.5</v>
      </c>
      <c r="C237" s="665">
        <v>22</v>
      </c>
      <c r="D237" s="665">
        <v>6.5</v>
      </c>
      <c r="E237" s="663"/>
      <c r="F237" s="663"/>
      <c r="G237" s="663"/>
      <c r="H237" s="663"/>
      <c r="I237" s="663"/>
      <c r="J237" s="663"/>
      <c r="K237" s="663"/>
      <c r="L237" s="663"/>
      <c r="M237" s="663"/>
      <c r="N237" s="663"/>
      <c r="O237" s="663"/>
      <c r="P237" s="663"/>
      <c r="Q237" s="663"/>
      <c r="R237" s="663"/>
      <c r="S237" s="663"/>
      <c r="T237" s="663"/>
      <c r="U237" s="663"/>
      <c r="V237" s="663"/>
      <c r="W237" s="663"/>
      <c r="X237" s="663"/>
      <c r="Y237" s="663"/>
      <c r="Z237" s="663"/>
      <c r="AA237" s="663"/>
      <c r="AB237" s="663"/>
      <c r="AC237" s="663"/>
      <c r="AD237" s="663"/>
      <c r="AE237" s="663"/>
      <c r="AF237" s="663"/>
      <c r="AG237" s="663"/>
    </row>
    <row r="238" spans="1:33" ht="18" hidden="1" customHeight="1" x14ac:dyDescent="0.3">
      <c r="A238" s="664" t="s">
        <v>338</v>
      </c>
      <c r="B238" s="663">
        <v>1.5</v>
      </c>
      <c r="C238" s="665">
        <v>11</v>
      </c>
      <c r="D238" s="665">
        <v>5.95</v>
      </c>
      <c r="E238" s="663"/>
      <c r="F238" s="663"/>
      <c r="G238" s="663"/>
      <c r="H238" s="663"/>
      <c r="I238" s="663"/>
      <c r="J238" s="663"/>
      <c r="K238" s="663"/>
      <c r="L238" s="663"/>
      <c r="M238" s="663"/>
      <c r="N238" s="663"/>
      <c r="O238" s="663"/>
      <c r="P238" s="663"/>
      <c r="Q238" s="663"/>
      <c r="R238" s="663"/>
      <c r="S238" s="663"/>
      <c r="T238" s="663"/>
      <c r="U238" s="663"/>
      <c r="V238" s="663"/>
      <c r="W238" s="663"/>
      <c r="X238" s="663"/>
      <c r="Y238" s="663"/>
      <c r="Z238" s="663"/>
      <c r="AA238" s="663"/>
      <c r="AB238" s="663"/>
      <c r="AC238" s="663"/>
      <c r="AD238" s="663"/>
      <c r="AE238" s="663"/>
      <c r="AF238" s="663"/>
      <c r="AG238" s="663"/>
    </row>
    <row r="239" spans="1:33" ht="18" hidden="1" customHeight="1" x14ac:dyDescent="0.3">
      <c r="A239" s="666" t="s">
        <v>339</v>
      </c>
      <c r="B239" s="667">
        <v>2.5</v>
      </c>
      <c r="C239" s="668">
        <v>13</v>
      </c>
      <c r="D239" s="668">
        <v>6.1</v>
      </c>
      <c r="E239" s="663"/>
      <c r="F239" s="663"/>
      <c r="G239" s="663"/>
      <c r="H239" s="663"/>
      <c r="I239" s="663"/>
      <c r="J239" s="663"/>
      <c r="K239" s="663"/>
      <c r="L239" s="663"/>
      <c r="M239" s="663"/>
      <c r="N239" s="663"/>
      <c r="O239" s="663"/>
      <c r="P239" s="663"/>
      <c r="Q239" s="663"/>
      <c r="R239" s="663"/>
      <c r="S239" s="663"/>
      <c r="T239" s="663"/>
      <c r="U239" s="663"/>
      <c r="V239" s="663"/>
      <c r="W239" s="663"/>
      <c r="X239" s="663"/>
      <c r="Y239" s="663"/>
      <c r="Z239" s="663"/>
      <c r="AA239" s="663"/>
      <c r="AB239" s="663"/>
      <c r="AC239" s="663"/>
      <c r="AD239" s="663"/>
      <c r="AE239" s="663"/>
      <c r="AF239" s="663"/>
      <c r="AG239" s="663"/>
    </row>
    <row r="240" spans="1:33" ht="18" hidden="1" customHeight="1" x14ac:dyDescent="0.3">
      <c r="A240" s="663"/>
      <c r="B240" s="663"/>
      <c r="C240" s="663"/>
      <c r="D240" s="663"/>
      <c r="E240" s="663"/>
      <c r="F240" s="663"/>
      <c r="G240" s="663"/>
      <c r="H240" s="663"/>
      <c r="I240" s="663"/>
      <c r="J240" s="663"/>
      <c r="K240" s="663"/>
      <c r="L240" s="663"/>
      <c r="M240" s="663"/>
      <c r="N240" s="663"/>
      <c r="O240" s="663"/>
      <c r="P240" s="663"/>
      <c r="Q240" s="663"/>
      <c r="R240" s="663"/>
      <c r="S240" s="663"/>
      <c r="T240" s="663"/>
      <c r="U240" s="663"/>
      <c r="V240" s="663"/>
      <c r="W240" s="663"/>
      <c r="X240" s="663"/>
      <c r="Y240" s="663"/>
      <c r="Z240" s="663"/>
      <c r="AA240" s="663"/>
      <c r="AB240" s="663"/>
      <c r="AC240" s="663"/>
      <c r="AD240" s="663"/>
      <c r="AE240" s="663"/>
      <c r="AF240" s="663"/>
      <c r="AG240" s="663"/>
    </row>
    <row r="241" spans="1:33" ht="18" hidden="1" customHeight="1" x14ac:dyDescent="0.3">
      <c r="A241" s="660" t="s">
        <v>375</v>
      </c>
      <c r="B241" s="661">
        <v>1</v>
      </c>
      <c r="C241" s="662">
        <v>3</v>
      </c>
      <c r="D241" s="663"/>
      <c r="E241" s="663"/>
      <c r="F241" s="663"/>
      <c r="G241" s="663"/>
      <c r="H241" s="663"/>
      <c r="I241" s="663"/>
      <c r="J241" s="663"/>
      <c r="K241" s="663"/>
      <c r="L241" s="663"/>
      <c r="M241" s="663"/>
      <c r="N241" s="663"/>
      <c r="O241" s="663"/>
      <c r="P241" s="663"/>
      <c r="Q241" s="663"/>
      <c r="R241" s="663"/>
      <c r="S241" s="663"/>
      <c r="T241" s="663"/>
      <c r="U241" s="663"/>
      <c r="V241" s="663"/>
      <c r="W241" s="663"/>
      <c r="X241" s="663"/>
      <c r="Y241" s="663"/>
      <c r="Z241" s="663"/>
      <c r="AA241" s="663"/>
      <c r="AB241" s="663"/>
      <c r="AC241" s="663"/>
      <c r="AD241" s="663"/>
      <c r="AE241" s="663"/>
      <c r="AF241" s="663"/>
      <c r="AG241" s="663"/>
    </row>
    <row r="242" spans="1:33" ht="18" hidden="1" customHeight="1" x14ac:dyDescent="0.3">
      <c r="A242" s="664" t="s">
        <v>113</v>
      </c>
      <c r="B242" s="663">
        <v>1</v>
      </c>
      <c r="C242" s="665">
        <v>5</v>
      </c>
      <c r="D242" s="663"/>
      <c r="E242" s="663"/>
      <c r="F242" s="663"/>
      <c r="G242" s="663"/>
      <c r="H242" s="663"/>
      <c r="I242" s="663"/>
      <c r="J242" s="663"/>
      <c r="K242" s="663"/>
      <c r="L242" s="663"/>
      <c r="M242" s="663"/>
      <c r="N242" s="663"/>
      <c r="O242" s="663"/>
      <c r="P242" s="663"/>
      <c r="Q242" s="663"/>
      <c r="R242" s="663"/>
      <c r="S242" s="663"/>
      <c r="T242" s="663"/>
      <c r="U242" s="663"/>
      <c r="V242" s="663"/>
      <c r="W242" s="663"/>
      <c r="X242" s="663"/>
      <c r="Y242" s="663"/>
      <c r="Z242" s="663"/>
      <c r="AA242" s="663"/>
      <c r="AB242" s="663"/>
      <c r="AC242" s="663"/>
      <c r="AD242" s="663"/>
      <c r="AE242" s="663"/>
      <c r="AF242" s="663"/>
      <c r="AG242" s="663"/>
    </row>
    <row r="243" spans="1:33" ht="18" hidden="1" customHeight="1" x14ac:dyDescent="0.3">
      <c r="A243" s="664" t="s">
        <v>16</v>
      </c>
      <c r="B243" s="663"/>
      <c r="C243" s="665"/>
      <c r="D243" s="663"/>
      <c r="E243" s="663"/>
      <c r="F243" s="663"/>
      <c r="G243" s="663"/>
      <c r="H243" s="663"/>
      <c r="I243" s="663"/>
      <c r="J243" s="663"/>
      <c r="K243" s="663"/>
      <c r="L243" s="663"/>
      <c r="M243" s="663"/>
      <c r="N243" s="663"/>
      <c r="O243" s="663"/>
      <c r="P243" s="663"/>
      <c r="Q243" s="663"/>
      <c r="R243" s="663"/>
      <c r="S243" s="663"/>
      <c r="T243" s="663"/>
      <c r="U243" s="663"/>
      <c r="V243" s="663"/>
      <c r="W243" s="663"/>
      <c r="X243" s="663"/>
      <c r="Y243" s="663"/>
      <c r="Z243" s="663"/>
      <c r="AA243" s="663"/>
      <c r="AB243" s="663"/>
      <c r="AC243" s="663"/>
      <c r="AD243" s="663"/>
      <c r="AE243" s="663"/>
      <c r="AF243" s="663"/>
      <c r="AG243" s="663"/>
    </row>
    <row r="244" spans="1:33" ht="18" hidden="1" customHeight="1" x14ac:dyDescent="0.3">
      <c r="A244" s="664" t="s">
        <v>105</v>
      </c>
      <c r="B244" s="663">
        <v>1</v>
      </c>
      <c r="C244" s="665">
        <v>3</v>
      </c>
      <c r="D244" s="663"/>
      <c r="E244" s="663"/>
      <c r="F244" s="663"/>
      <c r="G244" s="663"/>
      <c r="H244" s="663"/>
      <c r="I244" s="663"/>
      <c r="J244" s="663"/>
      <c r="K244" s="663"/>
      <c r="L244" s="663"/>
      <c r="M244" s="663"/>
      <c r="N244" s="663"/>
      <c r="O244" s="663"/>
      <c r="P244" s="663"/>
      <c r="Q244" s="663"/>
      <c r="R244" s="663"/>
      <c r="S244" s="663"/>
      <c r="T244" s="663"/>
      <c r="U244" s="663"/>
      <c r="V244" s="663"/>
      <c r="W244" s="663"/>
      <c r="X244" s="663"/>
      <c r="Y244" s="663"/>
      <c r="Z244" s="663"/>
      <c r="AA244" s="663"/>
      <c r="AB244" s="663"/>
      <c r="AC244" s="663"/>
      <c r="AD244" s="663"/>
      <c r="AE244" s="663"/>
      <c r="AF244" s="663"/>
      <c r="AG244" s="663"/>
    </row>
    <row r="245" spans="1:33" ht="18" hidden="1" customHeight="1" x14ac:dyDescent="0.3">
      <c r="A245" s="664" t="s">
        <v>27</v>
      </c>
      <c r="B245" s="663">
        <v>1</v>
      </c>
      <c r="C245" s="665">
        <v>5</v>
      </c>
      <c r="D245" s="663"/>
      <c r="E245" s="663"/>
      <c r="F245" s="663"/>
      <c r="G245" s="663"/>
      <c r="H245" s="663"/>
      <c r="I245" s="663"/>
      <c r="J245" s="663"/>
      <c r="K245" s="663"/>
      <c r="L245" s="663"/>
      <c r="M245" s="663"/>
      <c r="N245" s="663"/>
      <c r="O245" s="663"/>
      <c r="P245" s="663"/>
      <c r="Q245" s="663"/>
      <c r="R245" s="663"/>
      <c r="S245" s="663"/>
      <c r="T245" s="663"/>
      <c r="U245" s="663"/>
      <c r="V245" s="663"/>
      <c r="W245" s="663"/>
      <c r="X245" s="663"/>
      <c r="Y245" s="663"/>
      <c r="Z245" s="663"/>
      <c r="AA245" s="663"/>
      <c r="AB245" s="663"/>
      <c r="AC245" s="663"/>
      <c r="AD245" s="663"/>
      <c r="AE245" s="663"/>
      <c r="AF245" s="663"/>
      <c r="AG245" s="663"/>
    </row>
    <row r="246" spans="1:33" ht="18" hidden="1" customHeight="1" x14ac:dyDescent="0.3">
      <c r="A246" s="664" t="s">
        <v>128</v>
      </c>
      <c r="B246" s="663">
        <v>1</v>
      </c>
      <c r="C246" s="665">
        <v>3.2</v>
      </c>
      <c r="D246" s="663"/>
      <c r="E246" s="663"/>
      <c r="F246" s="663"/>
      <c r="G246" s="663"/>
      <c r="H246" s="663"/>
      <c r="I246" s="663"/>
      <c r="J246" s="663"/>
      <c r="K246" s="663"/>
      <c r="L246" s="663"/>
      <c r="M246" s="663"/>
      <c r="N246" s="663"/>
      <c r="O246" s="663"/>
      <c r="P246" s="663"/>
      <c r="Q246" s="663"/>
      <c r="R246" s="663"/>
      <c r="S246" s="663"/>
      <c r="T246" s="663"/>
      <c r="U246" s="663"/>
      <c r="V246" s="663"/>
      <c r="W246" s="663"/>
      <c r="X246" s="663"/>
      <c r="Y246" s="663"/>
      <c r="Z246" s="663"/>
      <c r="AA246" s="663"/>
      <c r="AB246" s="663"/>
      <c r="AC246" s="663"/>
      <c r="AD246" s="663"/>
      <c r="AE246" s="663"/>
      <c r="AF246" s="663"/>
      <c r="AG246" s="663"/>
    </row>
    <row r="247" spans="1:33" ht="18" hidden="1" customHeight="1" x14ac:dyDescent="0.3">
      <c r="A247" s="664" t="s">
        <v>376</v>
      </c>
      <c r="B247" s="663">
        <v>1</v>
      </c>
      <c r="C247" s="665">
        <v>3.2</v>
      </c>
      <c r="D247" s="663"/>
      <c r="E247" s="663"/>
      <c r="F247" s="663"/>
      <c r="G247" s="663"/>
      <c r="H247" s="663"/>
      <c r="I247" s="663"/>
      <c r="J247" s="663"/>
      <c r="K247" s="663"/>
      <c r="L247" s="663"/>
      <c r="M247" s="663"/>
      <c r="N247" s="663"/>
      <c r="O247" s="663"/>
      <c r="P247" s="663"/>
      <c r="Q247" s="663"/>
      <c r="R247" s="663"/>
      <c r="S247" s="663"/>
      <c r="T247" s="663"/>
      <c r="U247" s="663"/>
      <c r="V247" s="663"/>
      <c r="W247" s="663"/>
      <c r="X247" s="663"/>
      <c r="Y247" s="663"/>
      <c r="Z247" s="663"/>
      <c r="AA247" s="663"/>
      <c r="AB247" s="663"/>
      <c r="AC247" s="663"/>
      <c r="AD247" s="663"/>
      <c r="AE247" s="663"/>
      <c r="AF247" s="663"/>
      <c r="AG247" s="663"/>
    </row>
    <row r="248" spans="1:33" ht="18" hidden="1" customHeight="1" x14ac:dyDescent="0.3">
      <c r="A248" s="664" t="s">
        <v>203</v>
      </c>
      <c r="B248" s="663">
        <v>1</v>
      </c>
      <c r="C248" s="665">
        <v>5.3</v>
      </c>
      <c r="D248" s="663"/>
      <c r="E248" s="663"/>
      <c r="F248" s="663"/>
      <c r="G248" s="663"/>
      <c r="H248" s="663"/>
      <c r="I248" s="663"/>
      <c r="J248" s="663"/>
      <c r="K248" s="663"/>
      <c r="L248" s="663"/>
      <c r="M248" s="663"/>
      <c r="N248" s="663"/>
      <c r="O248" s="663"/>
      <c r="P248" s="663"/>
      <c r="Q248" s="663"/>
      <c r="R248" s="663"/>
      <c r="S248" s="663"/>
      <c r="T248" s="663"/>
      <c r="U248" s="663"/>
      <c r="V248" s="663"/>
      <c r="W248" s="663"/>
      <c r="X248" s="663"/>
      <c r="Y248" s="663"/>
      <c r="Z248" s="663"/>
      <c r="AA248" s="663"/>
      <c r="AB248" s="663"/>
      <c r="AC248" s="663"/>
      <c r="AD248" s="663"/>
      <c r="AE248" s="663"/>
      <c r="AF248" s="663"/>
      <c r="AG248" s="663"/>
    </row>
    <row r="249" spans="1:33" ht="18" hidden="1" customHeight="1" x14ac:dyDescent="0.3">
      <c r="A249" s="666" t="s">
        <v>377</v>
      </c>
      <c r="B249" s="667">
        <v>1</v>
      </c>
      <c r="C249" s="668">
        <v>5.3</v>
      </c>
      <c r="D249" s="663"/>
      <c r="E249" s="663"/>
      <c r="F249" s="663"/>
      <c r="G249" s="663"/>
      <c r="H249" s="663"/>
      <c r="I249" s="663"/>
      <c r="J249" s="663"/>
      <c r="K249" s="663"/>
      <c r="L249" s="663"/>
      <c r="M249" s="663"/>
      <c r="N249" s="663"/>
      <c r="O249" s="663"/>
      <c r="P249" s="663"/>
      <c r="Q249" s="663"/>
      <c r="R249" s="663"/>
      <c r="S249" s="663"/>
      <c r="T249" s="663"/>
      <c r="U249" s="663"/>
      <c r="V249" s="663"/>
      <c r="W249" s="663"/>
      <c r="X249" s="663"/>
      <c r="Y249" s="663"/>
      <c r="Z249" s="663"/>
      <c r="AA249" s="663"/>
      <c r="AB249" s="663"/>
      <c r="AC249" s="663"/>
      <c r="AD249" s="663"/>
      <c r="AE249" s="663"/>
      <c r="AF249" s="663"/>
      <c r="AG249" s="663"/>
    </row>
    <row r="250" spans="1:33" ht="18" hidden="1" customHeight="1" x14ac:dyDescent="0.3">
      <c r="A250" s="663"/>
      <c r="B250" s="663"/>
      <c r="C250" s="663"/>
      <c r="D250" s="663"/>
      <c r="E250" s="663"/>
      <c r="F250" s="663"/>
      <c r="G250" s="663"/>
      <c r="H250" s="663"/>
      <c r="I250" s="663"/>
      <c r="J250" s="663"/>
      <c r="K250" s="663"/>
      <c r="L250" s="663"/>
      <c r="M250" s="663"/>
      <c r="N250" s="663"/>
      <c r="O250" s="663"/>
      <c r="P250" s="663"/>
      <c r="Q250" s="663"/>
      <c r="R250" s="663"/>
      <c r="S250" s="663"/>
      <c r="T250" s="663"/>
      <c r="U250" s="663"/>
      <c r="V250" s="663"/>
      <c r="W250" s="663"/>
      <c r="X250" s="663"/>
      <c r="Y250" s="663"/>
      <c r="Z250" s="663"/>
      <c r="AA250" s="663"/>
      <c r="AB250" s="663"/>
      <c r="AC250" s="663"/>
      <c r="AD250" s="663"/>
      <c r="AE250" s="663"/>
      <c r="AF250" s="663"/>
      <c r="AG250" s="663"/>
    </row>
    <row r="251" spans="1:33" ht="18" hidden="1" customHeight="1" x14ac:dyDescent="0.3">
      <c r="A251" s="672" t="s">
        <v>290</v>
      </c>
      <c r="B251" s="663"/>
      <c r="C251" s="663"/>
      <c r="D251" s="663"/>
      <c r="E251" s="663"/>
      <c r="F251" s="663"/>
      <c r="G251" s="663"/>
      <c r="H251" s="663"/>
      <c r="I251" s="663"/>
      <c r="J251" s="663"/>
      <c r="K251" s="663"/>
      <c r="L251" s="663"/>
      <c r="M251" s="663"/>
      <c r="N251" s="663"/>
      <c r="O251" s="663"/>
      <c r="P251" s="663"/>
      <c r="Q251" s="663"/>
      <c r="R251" s="663"/>
      <c r="S251" s="663"/>
      <c r="T251" s="663"/>
      <c r="U251" s="663"/>
      <c r="V251" s="663"/>
      <c r="W251" s="663"/>
      <c r="X251" s="663"/>
      <c r="Y251" s="663"/>
      <c r="Z251" s="663"/>
      <c r="AA251" s="663"/>
      <c r="AB251" s="663"/>
      <c r="AC251" s="663"/>
      <c r="AD251" s="663"/>
      <c r="AE251" s="663"/>
      <c r="AF251" s="663"/>
      <c r="AG251" s="663"/>
    </row>
    <row r="252" spans="1:33" ht="18" hidden="1" customHeight="1" x14ac:dyDescent="0.3">
      <c r="A252" s="674" t="s">
        <v>305</v>
      </c>
      <c r="B252" s="663"/>
      <c r="C252" s="663"/>
      <c r="D252" s="663"/>
      <c r="E252" s="663"/>
      <c r="F252" s="663"/>
      <c r="G252" s="663"/>
      <c r="H252" s="663"/>
      <c r="I252" s="663"/>
      <c r="J252" s="663"/>
      <c r="K252" s="663"/>
      <c r="L252" s="663"/>
      <c r="M252" s="663"/>
      <c r="N252" s="663"/>
      <c r="O252" s="663"/>
      <c r="P252" s="663"/>
      <c r="Q252" s="663"/>
      <c r="R252" s="663"/>
      <c r="S252" s="663"/>
      <c r="T252" s="663"/>
      <c r="U252" s="663"/>
      <c r="V252" s="663"/>
      <c r="W252" s="663"/>
      <c r="X252" s="663"/>
      <c r="Y252" s="663"/>
      <c r="Z252" s="663"/>
      <c r="AA252" s="663"/>
      <c r="AB252" s="663"/>
      <c r="AC252" s="663"/>
      <c r="AD252" s="663"/>
      <c r="AE252" s="663"/>
      <c r="AF252" s="663"/>
      <c r="AG252" s="663"/>
    </row>
    <row r="253" spans="1:33" ht="18" hidden="1" customHeight="1" x14ac:dyDescent="0.3">
      <c r="A253" s="663"/>
      <c r="B253" s="663"/>
      <c r="C253" s="663"/>
      <c r="D253" s="663"/>
      <c r="E253" s="663"/>
      <c r="F253" s="663"/>
      <c r="G253" s="663"/>
      <c r="H253" s="663"/>
      <c r="I253" s="663"/>
      <c r="J253" s="663"/>
      <c r="K253" s="663"/>
      <c r="L253" s="663"/>
      <c r="M253" s="663"/>
      <c r="N253" s="663"/>
      <c r="O253" s="663"/>
      <c r="P253" s="663"/>
      <c r="Q253" s="663"/>
      <c r="R253" s="663"/>
      <c r="S253" s="663"/>
      <c r="T253" s="663"/>
      <c r="U253" s="663"/>
      <c r="V253" s="663"/>
      <c r="W253" s="663"/>
      <c r="X253" s="663"/>
      <c r="Y253" s="663"/>
      <c r="Z253" s="663"/>
      <c r="AA253" s="663"/>
      <c r="AB253" s="663"/>
      <c r="AC253" s="663"/>
      <c r="AD253" s="663"/>
      <c r="AE253" s="663"/>
      <c r="AF253" s="663"/>
      <c r="AG253" s="663"/>
    </row>
    <row r="254" spans="1:33" ht="18" hidden="1" customHeight="1" x14ac:dyDescent="0.3">
      <c r="A254" s="672">
        <v>1</v>
      </c>
      <c r="B254" s="663"/>
      <c r="C254" s="663"/>
      <c r="D254" s="663"/>
      <c r="E254" s="663"/>
      <c r="F254" s="663"/>
      <c r="G254" s="663"/>
      <c r="H254" s="663"/>
      <c r="I254" s="663"/>
      <c r="J254" s="663"/>
      <c r="K254" s="663"/>
      <c r="L254" s="663"/>
      <c r="M254" s="663"/>
      <c r="N254" s="663"/>
      <c r="O254" s="663"/>
      <c r="P254" s="663"/>
      <c r="Q254" s="663"/>
      <c r="R254" s="663"/>
      <c r="S254" s="663"/>
      <c r="T254" s="663"/>
      <c r="U254" s="663"/>
      <c r="V254" s="663"/>
      <c r="W254" s="663"/>
      <c r="X254" s="663"/>
      <c r="Y254" s="663"/>
      <c r="Z254" s="663"/>
      <c r="AA254" s="663"/>
      <c r="AB254" s="663"/>
      <c r="AC254" s="663"/>
      <c r="AD254" s="663"/>
      <c r="AE254" s="663"/>
      <c r="AF254" s="663"/>
      <c r="AG254" s="663"/>
    </row>
    <row r="255" spans="1:33" ht="18" hidden="1" customHeight="1" x14ac:dyDescent="0.3">
      <c r="A255" s="673">
        <v>2</v>
      </c>
      <c r="B255" s="663"/>
      <c r="C255" s="663"/>
      <c r="D255" s="663"/>
      <c r="E255" s="663"/>
      <c r="F255" s="663"/>
      <c r="G255" s="663"/>
      <c r="H255" s="663"/>
      <c r="I255" s="663"/>
      <c r="J255" s="663"/>
      <c r="K255" s="663"/>
      <c r="L255" s="663"/>
      <c r="M255" s="663"/>
      <c r="N255" s="663"/>
      <c r="O255" s="663"/>
      <c r="P255" s="663"/>
      <c r="Q255" s="663"/>
      <c r="R255" s="663"/>
      <c r="S255" s="663"/>
      <c r="T255" s="663"/>
      <c r="U255" s="663"/>
      <c r="V255" s="663"/>
      <c r="W255" s="663"/>
      <c r="X255" s="663"/>
      <c r="Y255" s="663"/>
      <c r="Z255" s="663"/>
      <c r="AA255" s="663"/>
      <c r="AB255" s="663"/>
      <c r="AC255" s="663"/>
      <c r="AD255" s="663"/>
      <c r="AE255" s="663"/>
      <c r="AF255" s="663"/>
      <c r="AG255" s="663"/>
    </row>
    <row r="256" spans="1:33" ht="18" hidden="1" customHeight="1" x14ac:dyDescent="0.3">
      <c r="A256" s="673">
        <v>3</v>
      </c>
      <c r="B256" s="663"/>
      <c r="C256" s="663"/>
      <c r="D256" s="663"/>
      <c r="E256" s="663"/>
      <c r="F256" s="663"/>
      <c r="G256" s="663"/>
      <c r="H256" s="663"/>
      <c r="I256" s="663"/>
      <c r="J256" s="663"/>
      <c r="K256" s="663"/>
      <c r="L256" s="663"/>
      <c r="M256" s="663"/>
      <c r="N256" s="663"/>
      <c r="O256" s="663"/>
      <c r="P256" s="663"/>
      <c r="Q256" s="663"/>
      <c r="R256" s="663"/>
      <c r="S256" s="663"/>
      <c r="T256" s="663"/>
      <c r="U256" s="663"/>
      <c r="V256" s="663"/>
      <c r="W256" s="663"/>
      <c r="X256" s="663"/>
      <c r="Y256" s="663"/>
      <c r="Z256" s="663"/>
      <c r="AA256" s="663"/>
      <c r="AB256" s="663"/>
      <c r="AC256" s="663"/>
      <c r="AD256" s="663"/>
      <c r="AE256" s="663"/>
      <c r="AF256" s="663"/>
      <c r="AG256" s="663"/>
    </row>
    <row r="257" spans="1:33" ht="18" hidden="1" customHeight="1" x14ac:dyDescent="0.3">
      <c r="A257" s="673">
        <v>4</v>
      </c>
      <c r="B257" s="663"/>
      <c r="C257" s="663"/>
      <c r="D257" s="663"/>
      <c r="E257" s="663"/>
      <c r="F257" s="663"/>
      <c r="G257" s="663"/>
      <c r="H257" s="663"/>
      <c r="I257" s="663"/>
      <c r="J257" s="663"/>
      <c r="K257" s="663"/>
      <c r="L257" s="663"/>
      <c r="M257" s="663"/>
      <c r="N257" s="663"/>
      <c r="O257" s="663"/>
      <c r="P257" s="663"/>
      <c r="Q257" s="663"/>
      <c r="R257" s="663"/>
      <c r="S257" s="663"/>
      <c r="T257" s="663"/>
      <c r="U257" s="663"/>
      <c r="V257" s="663"/>
      <c r="W257" s="663"/>
      <c r="X257" s="663"/>
      <c r="Y257" s="663"/>
      <c r="Z257" s="663"/>
      <c r="AA257" s="663"/>
      <c r="AB257" s="663"/>
      <c r="AC257" s="663"/>
      <c r="AD257" s="663"/>
      <c r="AE257" s="663"/>
      <c r="AF257" s="663"/>
      <c r="AG257" s="663"/>
    </row>
    <row r="258" spans="1:33" ht="18" hidden="1" customHeight="1" x14ac:dyDescent="0.3">
      <c r="A258" s="673">
        <v>5</v>
      </c>
      <c r="B258" s="663"/>
      <c r="C258" s="663"/>
      <c r="D258" s="663"/>
      <c r="E258" s="663"/>
      <c r="F258" s="663"/>
      <c r="G258" s="663"/>
      <c r="H258" s="663"/>
      <c r="I258" s="663"/>
      <c r="J258" s="663"/>
      <c r="K258" s="663"/>
      <c r="L258" s="663"/>
      <c r="M258" s="663"/>
      <c r="N258" s="663"/>
      <c r="O258" s="663"/>
      <c r="P258" s="663"/>
      <c r="Q258" s="663"/>
      <c r="R258" s="663"/>
      <c r="S258" s="663"/>
      <c r="T258" s="663"/>
      <c r="U258" s="663"/>
      <c r="V258" s="663"/>
      <c r="W258" s="663"/>
      <c r="X258" s="663"/>
      <c r="Y258" s="663"/>
      <c r="Z258" s="663"/>
      <c r="AA258" s="663"/>
      <c r="AB258" s="663"/>
      <c r="AC258" s="663"/>
      <c r="AD258" s="663"/>
      <c r="AE258" s="663"/>
      <c r="AF258" s="663"/>
      <c r="AG258" s="663"/>
    </row>
    <row r="259" spans="1:33" ht="18" hidden="1" customHeight="1" x14ac:dyDescent="0.3">
      <c r="A259" s="674">
        <v>6</v>
      </c>
      <c r="B259" s="663"/>
      <c r="C259" s="663"/>
      <c r="D259" s="663"/>
      <c r="E259" s="663"/>
      <c r="F259" s="663"/>
      <c r="G259" s="663"/>
      <c r="H259" s="663"/>
      <c r="I259" s="663"/>
      <c r="J259" s="663"/>
      <c r="K259" s="663"/>
      <c r="L259" s="663"/>
      <c r="M259" s="663"/>
      <c r="N259" s="663"/>
      <c r="O259" s="663"/>
      <c r="P259" s="663"/>
      <c r="Q259" s="663"/>
      <c r="R259" s="663"/>
      <c r="S259" s="663"/>
      <c r="T259" s="663"/>
      <c r="U259" s="663"/>
      <c r="V259" s="663"/>
      <c r="W259" s="663"/>
      <c r="X259" s="663"/>
      <c r="Y259" s="663"/>
      <c r="Z259" s="663"/>
      <c r="AA259" s="663"/>
      <c r="AB259" s="663"/>
      <c r="AC259" s="663"/>
      <c r="AD259" s="663"/>
      <c r="AE259" s="663"/>
      <c r="AF259" s="663"/>
      <c r="AG259" s="663"/>
    </row>
    <row r="260" spans="1:33" ht="18" hidden="1" customHeight="1" x14ac:dyDescent="0.3">
      <c r="A260" s="663"/>
      <c r="B260" s="663"/>
      <c r="C260" s="663"/>
      <c r="D260" s="663"/>
      <c r="E260" s="663"/>
      <c r="F260" s="663"/>
      <c r="G260" s="663"/>
      <c r="H260" s="663"/>
      <c r="I260" s="663"/>
      <c r="J260" s="663"/>
      <c r="K260" s="663"/>
      <c r="L260" s="663"/>
      <c r="M260" s="663"/>
      <c r="N260" s="663"/>
      <c r="O260" s="663"/>
      <c r="P260" s="663"/>
      <c r="Q260" s="663"/>
      <c r="R260" s="663"/>
      <c r="S260" s="663"/>
      <c r="T260" s="663"/>
      <c r="U260" s="663"/>
      <c r="V260" s="663"/>
      <c r="W260" s="663"/>
      <c r="X260" s="663"/>
      <c r="Y260" s="663"/>
      <c r="Z260" s="663"/>
      <c r="AA260" s="663"/>
      <c r="AB260" s="663"/>
      <c r="AC260" s="663"/>
      <c r="AD260" s="663"/>
      <c r="AE260" s="663"/>
      <c r="AF260" s="663"/>
      <c r="AG260" s="663"/>
    </row>
    <row r="261" spans="1:33" ht="18" hidden="1" customHeight="1" x14ac:dyDescent="0.3">
      <c r="A261" s="660" t="s">
        <v>20</v>
      </c>
      <c r="B261" s="661">
        <v>0</v>
      </c>
      <c r="C261" s="662">
        <v>0</v>
      </c>
      <c r="D261" s="663"/>
      <c r="E261" s="663"/>
      <c r="F261" s="663"/>
      <c r="G261" s="663"/>
      <c r="H261" s="663"/>
      <c r="I261" s="663"/>
      <c r="J261" s="663"/>
      <c r="K261" s="663"/>
      <c r="L261" s="663"/>
      <c r="M261" s="663"/>
      <c r="N261" s="663"/>
      <c r="O261" s="663"/>
      <c r="P261" s="663"/>
      <c r="Q261" s="663"/>
      <c r="R261" s="663"/>
      <c r="S261" s="663"/>
      <c r="T261" s="663"/>
      <c r="U261" s="663"/>
      <c r="V261" s="663"/>
      <c r="W261" s="663"/>
      <c r="X261" s="663"/>
      <c r="Y261" s="663"/>
      <c r="Z261" s="663"/>
      <c r="AA261" s="663"/>
      <c r="AB261" s="663"/>
      <c r="AC261" s="663"/>
      <c r="AD261" s="663"/>
      <c r="AE261" s="663"/>
      <c r="AF261" s="663"/>
      <c r="AG261" s="663"/>
    </row>
    <row r="262" spans="1:33" ht="18" hidden="1" customHeight="1" x14ac:dyDescent="0.3">
      <c r="A262" s="666" t="s">
        <v>14</v>
      </c>
      <c r="B262" s="667">
        <v>2.5</v>
      </c>
      <c r="C262" s="668">
        <v>1.5</v>
      </c>
      <c r="D262" s="663"/>
      <c r="E262" s="663"/>
      <c r="F262" s="663"/>
      <c r="G262" s="663"/>
      <c r="H262" s="663"/>
      <c r="I262" s="663"/>
      <c r="J262" s="663"/>
      <c r="K262" s="663"/>
      <c r="L262" s="663"/>
      <c r="M262" s="663"/>
      <c r="N262" s="663"/>
      <c r="O262" s="663"/>
      <c r="P262" s="663"/>
      <c r="Q262" s="663"/>
      <c r="R262" s="663"/>
      <c r="S262" s="663"/>
      <c r="T262" s="663"/>
      <c r="U262" s="663"/>
      <c r="V262" s="663"/>
      <c r="W262" s="663"/>
      <c r="X262" s="663"/>
      <c r="Y262" s="663"/>
      <c r="Z262" s="663"/>
      <c r="AA262" s="663"/>
      <c r="AB262" s="663"/>
      <c r="AC262" s="663"/>
      <c r="AD262" s="663"/>
      <c r="AE262" s="663"/>
      <c r="AF262" s="663"/>
      <c r="AG262" s="663"/>
    </row>
    <row r="263" spans="1:33" ht="18" hidden="1" customHeight="1" x14ac:dyDescent="0.3">
      <c r="A263" s="663"/>
      <c r="B263" s="663"/>
      <c r="C263" s="663"/>
      <c r="D263" s="663"/>
      <c r="E263" s="663"/>
      <c r="F263" s="663"/>
      <c r="G263" s="663"/>
      <c r="H263" s="663"/>
      <c r="I263" s="663"/>
      <c r="J263" s="663"/>
      <c r="K263" s="663"/>
      <c r="L263" s="663"/>
      <c r="M263" s="663"/>
      <c r="N263" s="663"/>
      <c r="O263" s="663"/>
      <c r="P263" s="663"/>
      <c r="Q263" s="663"/>
      <c r="R263" s="663"/>
      <c r="S263" s="663"/>
      <c r="T263" s="663"/>
      <c r="U263" s="663"/>
      <c r="V263" s="663"/>
      <c r="W263" s="663"/>
      <c r="X263" s="663"/>
      <c r="Y263" s="663"/>
      <c r="Z263" s="663"/>
      <c r="AA263" s="663"/>
      <c r="AB263" s="663"/>
      <c r="AC263" s="663"/>
      <c r="AD263" s="663"/>
      <c r="AE263" s="663"/>
      <c r="AF263" s="663"/>
      <c r="AG263" s="663"/>
    </row>
    <row r="264" spans="1:33" ht="18" hidden="1" customHeight="1" x14ac:dyDescent="0.3">
      <c r="A264" s="660">
        <v>1</v>
      </c>
      <c r="B264" s="661">
        <f t="shared" ref="B264:V264" si="70">A264+1</f>
        <v>2</v>
      </c>
      <c r="C264" s="661">
        <f t="shared" si="70"/>
        <v>3</v>
      </c>
      <c r="D264" s="661">
        <f t="shared" si="70"/>
        <v>4</v>
      </c>
      <c r="E264" s="661">
        <f t="shared" si="70"/>
        <v>5</v>
      </c>
      <c r="F264" s="661">
        <f t="shared" si="70"/>
        <v>6</v>
      </c>
      <c r="G264" s="661">
        <f t="shared" si="70"/>
        <v>7</v>
      </c>
      <c r="H264" s="661">
        <f t="shared" si="70"/>
        <v>8</v>
      </c>
      <c r="I264" s="661">
        <f t="shared" si="70"/>
        <v>9</v>
      </c>
      <c r="J264" s="661">
        <f t="shared" si="70"/>
        <v>10</v>
      </c>
      <c r="K264" s="661">
        <f t="shared" si="70"/>
        <v>11</v>
      </c>
      <c r="L264" s="661">
        <f t="shared" si="70"/>
        <v>12</v>
      </c>
      <c r="M264" s="661">
        <f t="shared" si="70"/>
        <v>13</v>
      </c>
      <c r="N264" s="661">
        <f t="shared" si="70"/>
        <v>14</v>
      </c>
      <c r="O264" s="661">
        <f t="shared" si="70"/>
        <v>15</v>
      </c>
      <c r="P264" s="661">
        <f t="shared" si="70"/>
        <v>16</v>
      </c>
      <c r="Q264" s="661">
        <f t="shared" si="70"/>
        <v>17</v>
      </c>
      <c r="R264" s="661">
        <f t="shared" si="70"/>
        <v>18</v>
      </c>
      <c r="S264" s="661">
        <f t="shared" si="70"/>
        <v>19</v>
      </c>
      <c r="T264" s="661">
        <f t="shared" si="70"/>
        <v>20</v>
      </c>
      <c r="U264" s="661">
        <f t="shared" si="70"/>
        <v>21</v>
      </c>
      <c r="V264" s="661">
        <f t="shared" si="70"/>
        <v>22</v>
      </c>
      <c r="W264" s="661">
        <v>23</v>
      </c>
      <c r="X264" s="661">
        <v>24</v>
      </c>
      <c r="Y264" s="661">
        <v>25</v>
      </c>
      <c r="Z264" s="661">
        <f t="shared" ref="Z264:AG264" si="71">Y264+1</f>
        <v>26</v>
      </c>
      <c r="AA264" s="661">
        <f t="shared" si="71"/>
        <v>27</v>
      </c>
      <c r="AB264" s="661">
        <f t="shared" si="71"/>
        <v>28</v>
      </c>
      <c r="AC264" s="661">
        <f t="shared" si="71"/>
        <v>29</v>
      </c>
      <c r="AD264" s="661">
        <f t="shared" si="71"/>
        <v>30</v>
      </c>
      <c r="AE264" s="661">
        <f t="shared" si="71"/>
        <v>31</v>
      </c>
      <c r="AF264" s="661">
        <f t="shared" si="71"/>
        <v>32</v>
      </c>
      <c r="AG264" s="662">
        <f t="shared" si="71"/>
        <v>33</v>
      </c>
    </row>
    <row r="265" spans="1:33" ht="18" hidden="1" customHeight="1" x14ac:dyDescent="0.3">
      <c r="A265" s="669"/>
      <c r="B265" s="670" t="s">
        <v>348</v>
      </c>
      <c r="C265" s="670" t="s">
        <v>28</v>
      </c>
      <c r="D265" s="670" t="s">
        <v>33</v>
      </c>
      <c r="E265" s="670" t="s">
        <v>34</v>
      </c>
      <c r="F265" s="670" t="s">
        <v>348</v>
      </c>
      <c r="G265" s="670" t="s">
        <v>28</v>
      </c>
      <c r="H265" s="670" t="s">
        <v>33</v>
      </c>
      <c r="I265" s="670" t="s">
        <v>34</v>
      </c>
      <c r="J265" s="670" t="s">
        <v>349</v>
      </c>
      <c r="K265" s="670" t="s">
        <v>28</v>
      </c>
      <c r="L265" s="670" t="s">
        <v>33</v>
      </c>
      <c r="M265" s="670" t="s">
        <v>34</v>
      </c>
      <c r="N265" s="670"/>
      <c r="O265" s="670" t="s">
        <v>28</v>
      </c>
      <c r="P265" s="670" t="s">
        <v>33</v>
      </c>
      <c r="Q265" s="670" t="s">
        <v>34</v>
      </c>
      <c r="R265" s="670"/>
      <c r="S265" s="670" t="s">
        <v>28</v>
      </c>
      <c r="T265" s="670" t="s">
        <v>33</v>
      </c>
      <c r="U265" s="670" t="s">
        <v>34</v>
      </c>
      <c r="V265" s="670" t="s">
        <v>308</v>
      </c>
      <c r="W265" s="670" t="s">
        <v>350</v>
      </c>
      <c r="X265" s="670" t="s">
        <v>351</v>
      </c>
      <c r="Y265" s="670" t="s">
        <v>28</v>
      </c>
      <c r="Z265" s="670" t="s">
        <v>33</v>
      </c>
      <c r="AA265" s="670" t="s">
        <v>269</v>
      </c>
      <c r="AB265" s="670"/>
      <c r="AC265" s="670" t="s">
        <v>28</v>
      </c>
      <c r="AD265" s="670" t="s">
        <v>33</v>
      </c>
      <c r="AE265" s="670" t="s">
        <v>34</v>
      </c>
      <c r="AF265" s="670"/>
      <c r="AG265" s="671"/>
    </row>
    <row r="266" spans="1:33" ht="18" hidden="1" customHeight="1" x14ac:dyDescent="0.3">
      <c r="A266" s="669" t="s">
        <v>16</v>
      </c>
      <c r="B266" s="670">
        <v>0</v>
      </c>
      <c r="C266" s="670">
        <v>0</v>
      </c>
      <c r="D266" s="670">
        <v>0</v>
      </c>
      <c r="E266" s="670">
        <v>0</v>
      </c>
      <c r="F266" s="670">
        <v>0</v>
      </c>
      <c r="G266" s="670">
        <v>0</v>
      </c>
      <c r="H266" s="670">
        <v>0</v>
      </c>
      <c r="I266" s="670">
        <v>0</v>
      </c>
      <c r="J266" s="670">
        <v>0</v>
      </c>
      <c r="K266" s="670">
        <v>0</v>
      </c>
      <c r="L266" s="670">
        <v>0</v>
      </c>
      <c r="M266" s="670">
        <v>0</v>
      </c>
      <c r="N266" s="670">
        <v>0</v>
      </c>
      <c r="O266" s="670">
        <v>0</v>
      </c>
      <c r="P266" s="670">
        <v>0</v>
      </c>
      <c r="Q266" s="670">
        <v>0</v>
      </c>
      <c r="R266" s="670">
        <v>0</v>
      </c>
      <c r="S266" s="670">
        <v>0</v>
      </c>
      <c r="T266" s="670">
        <v>0</v>
      </c>
      <c r="U266" s="670">
        <v>0</v>
      </c>
      <c r="V266" s="670">
        <v>0</v>
      </c>
      <c r="W266" s="670">
        <v>0</v>
      </c>
      <c r="X266" s="670">
        <v>0</v>
      </c>
      <c r="Y266" s="670">
        <v>0</v>
      </c>
      <c r="Z266" s="670">
        <v>0</v>
      </c>
      <c r="AA266" s="670">
        <v>0</v>
      </c>
      <c r="AB266" s="670">
        <v>0</v>
      </c>
      <c r="AC266" s="670">
        <v>0</v>
      </c>
      <c r="AD266" s="670">
        <v>0</v>
      </c>
      <c r="AE266" s="670">
        <v>0</v>
      </c>
      <c r="AF266" s="670">
        <v>0</v>
      </c>
      <c r="AG266" s="671">
        <v>0</v>
      </c>
    </row>
    <row r="267" spans="1:33" ht="18" hidden="1" customHeight="1" x14ac:dyDescent="0.3">
      <c r="A267" s="669" t="s">
        <v>316</v>
      </c>
      <c r="B267" s="670" t="s">
        <v>352</v>
      </c>
      <c r="C267" s="670">
        <f t="shared" ref="C267:C268" si="72">Dimensions_intérieures_Cp_15_longueur_OAV</f>
        <v>0</v>
      </c>
      <c r="D267" s="670">
        <f>IF(' Objet Anti Vibratoire'!Dimensions_intérieures_CP_15_hauteur_OAV&lt;120,9.4,14.4)</f>
        <v>9.4</v>
      </c>
      <c r="E267" s="670">
        <f>' Objet Anti Vibratoire'!nombre_de_calages_OAV*4+1</f>
        <v>9</v>
      </c>
      <c r="F267" s="670" t="s">
        <v>353</v>
      </c>
      <c r="G267" s="670">
        <f t="shared" ref="G267:G268" si="73">Dimensions_intérieures_Cp_15_largeur_OAV</f>
        <v>0</v>
      </c>
      <c r="H267" s="670">
        <f>IF(' Objet Anti Vibratoire'!Dimensions_intérieures_CP_15_hauteur_OAV&lt;120,9.4,14.4)</f>
        <v>9.4</v>
      </c>
      <c r="I267" s="670">
        <f>' Objet Anti Vibratoire'!nombre_de_calages_OAV*2</f>
        <v>4</v>
      </c>
      <c r="J267" s="670" t="s">
        <v>349</v>
      </c>
      <c r="K267" s="670">
        <f>Dimensions_intérieures_Cp_15_largeur_OAV</f>
        <v>0</v>
      </c>
      <c r="L267" s="670">
        <v>7</v>
      </c>
      <c r="M267" s="670">
        <f>' Objet Anti Vibratoire'!nombre_de_calages_OAV*4</f>
        <v>8</v>
      </c>
      <c r="N267" s="670" t="s">
        <v>37</v>
      </c>
      <c r="O267" s="670">
        <f t="shared" ref="O267:O270" si="74">Dimensions_intérieures_Cp_15_longueur_OAV</f>
        <v>0</v>
      </c>
      <c r="P267" s="670">
        <f>IF(' Objet Anti Vibratoire'!Dimensions_intérieures_CP_15_hauteur_OAV&lt;120,9.4,14.4)</f>
        <v>9.4</v>
      </c>
      <c r="Q267" s="670">
        <f>' Objet Anti Vibratoire'!nombre_de_calages_OAV*2+1</f>
        <v>5</v>
      </c>
      <c r="R267" s="670"/>
      <c r="S267" s="670"/>
      <c r="T267" s="670"/>
      <c r="U267" s="670"/>
      <c r="V267" s="670" t="str">
        <f>' Objet Anti Vibratoire'!Base_OAV</f>
        <v>Aucun</v>
      </c>
      <c r="W267" s="670">
        <v>5</v>
      </c>
      <c r="X267" s="670">
        <f t="shared" ref="X267:X276" si="75">VLOOKUP(Plateau_OAV,$A$233:$B$239,2)</f>
        <v>0</v>
      </c>
      <c r="Y267" s="670">
        <f t="shared" ref="Y267:Y276" si="76">Dimensions_intérieures_Cp_15_longueur_OAV</f>
        <v>0</v>
      </c>
      <c r="Z267" s="670">
        <f t="shared" ref="Z267:Z276" si="77">Dimensions_intérieures_Cp_15_largeur_OAV</f>
        <v>0</v>
      </c>
      <c r="AA267" s="670">
        <f t="shared" ref="AA267:AA276" si="78">W267+X267</f>
        <v>5</v>
      </c>
      <c r="AB267" s="670"/>
      <c r="AC267" s="670"/>
      <c r="AD267" s="670"/>
      <c r="AE267" s="670"/>
      <c r="AF267" s="670"/>
      <c r="AG267" s="671"/>
    </row>
    <row r="268" spans="1:33" ht="18" hidden="1" customHeight="1" x14ac:dyDescent="0.3">
      <c r="A268" s="669" t="s">
        <v>319</v>
      </c>
      <c r="B268" s="670" t="s">
        <v>352</v>
      </c>
      <c r="C268" s="670">
        <f t="shared" si="72"/>
        <v>0</v>
      </c>
      <c r="D268" s="670">
        <f>IF(' Objet Anti Vibratoire'!Dimensions_intérieures_CP_15_hauteur_OAV&lt;120,9.4,14.4)</f>
        <v>9.4</v>
      </c>
      <c r="E268" s="670">
        <f>' Objet Anti Vibratoire'!nombre_de_calages_OAV*2+1</f>
        <v>5</v>
      </c>
      <c r="F268" s="670" t="s">
        <v>353</v>
      </c>
      <c r="G268" s="670">
        <f t="shared" si="73"/>
        <v>0</v>
      </c>
      <c r="H268" s="670">
        <f>IF(' Objet Anti Vibratoire'!Dimensions_intérieures_CP_15_hauteur_OAV&lt;120,9.4,14.4)</f>
        <v>9.4</v>
      </c>
      <c r="I268" s="670">
        <f>' Objet Anti Vibratoire'!nombre_de_calages_OAV*2</f>
        <v>4</v>
      </c>
      <c r="J268" s="670"/>
      <c r="K268" s="670"/>
      <c r="L268" s="670"/>
      <c r="M268" s="670"/>
      <c r="N268" s="670" t="s">
        <v>37</v>
      </c>
      <c r="O268" s="670">
        <f t="shared" si="74"/>
        <v>0</v>
      </c>
      <c r="P268" s="670">
        <f>IF(' Objet Anti Vibratoire'!Dimensions_intérieures_CP_15_hauteur_OAV&lt;120,9.4,14.4)</f>
        <v>9.4</v>
      </c>
      <c r="Q268" s="670">
        <f>' Objet Anti Vibratoire'!nombre_de_calages_OAV*2+1</f>
        <v>5</v>
      </c>
      <c r="R268" s="670" t="s">
        <v>37</v>
      </c>
      <c r="S268" s="670">
        <f>Dimensions_intérieures_Cp_15_largeur_OAV</f>
        <v>0</v>
      </c>
      <c r="T268" s="670">
        <f>IF(' Objet Anti Vibratoire'!Dimensions_intérieures_CP_15_hauteur_OAV&lt;120,9.4,14.4)</f>
        <v>9.4</v>
      </c>
      <c r="U268" s="670">
        <f>' Objet Anti Vibratoire'!nombre_de_calages_OAV*2</f>
        <v>4</v>
      </c>
      <c r="V268" s="670" t="str">
        <f>' Objet Anti Vibratoire'!Base_OAV</f>
        <v>Aucun</v>
      </c>
      <c r="W268" s="670">
        <v>5</v>
      </c>
      <c r="X268" s="670">
        <f t="shared" si="75"/>
        <v>0</v>
      </c>
      <c r="Y268" s="670">
        <f t="shared" si="76"/>
        <v>0</v>
      </c>
      <c r="Z268" s="670">
        <f t="shared" si="77"/>
        <v>0</v>
      </c>
      <c r="AA268" s="670">
        <f t="shared" si="78"/>
        <v>5</v>
      </c>
      <c r="AB268" s="670"/>
      <c r="AC268" s="670"/>
      <c r="AD268" s="670"/>
      <c r="AE268" s="670"/>
      <c r="AF268" s="670"/>
      <c r="AG268" s="671"/>
    </row>
    <row r="269" spans="1:33" ht="18" hidden="1" customHeight="1" x14ac:dyDescent="0.3">
      <c r="A269" s="669" t="s">
        <v>429</v>
      </c>
      <c r="B269" s="670"/>
      <c r="C269" s="670"/>
      <c r="D269" s="670"/>
      <c r="E269" s="670"/>
      <c r="F269" s="670"/>
      <c r="G269" s="670"/>
      <c r="H269" s="670"/>
      <c r="I269" s="670"/>
      <c r="J269" s="670"/>
      <c r="K269" s="670"/>
      <c r="L269" s="670"/>
      <c r="M269" s="670"/>
      <c r="N269" s="670" t="s">
        <v>37</v>
      </c>
      <c r="O269" s="670">
        <f t="shared" si="74"/>
        <v>0</v>
      </c>
      <c r="P269" s="670">
        <v>12</v>
      </c>
      <c r="Q269" s="670">
        <f>IF(' Objet Anti Vibratoire'!Dimensions_intérieures_CP_15_hauteur_OAV&lt;80,4,6)</f>
        <v>4</v>
      </c>
      <c r="R269" s="670" t="s">
        <v>37</v>
      </c>
      <c r="S269" s="670">
        <f>Dimensions_intérieures_Cp_15_largeur_OAV-10</f>
        <v>-10</v>
      </c>
      <c r="T269" s="670">
        <v>12</v>
      </c>
      <c r="U269" s="670">
        <f t="shared" ref="U269:U270" si="79">Q269</f>
        <v>4</v>
      </c>
      <c r="V269" s="670" t="str">
        <f>' Objet Anti Vibratoire'!Base_OAV</f>
        <v>Aucun</v>
      </c>
      <c r="W269" s="670">
        <v>5</v>
      </c>
      <c r="X269" s="670">
        <f t="shared" si="75"/>
        <v>0</v>
      </c>
      <c r="Y269" s="670">
        <f t="shared" si="76"/>
        <v>0</v>
      </c>
      <c r="Z269" s="670">
        <f t="shared" si="77"/>
        <v>0</v>
      </c>
      <c r="AA269" s="670">
        <f t="shared" si="78"/>
        <v>5</v>
      </c>
      <c r="AB269" s="670" t="s">
        <v>37</v>
      </c>
      <c r="AC269" s="670">
        <f t="shared" ref="AC269:AC270" si="80">Dimensions_intérieures_Cp_15_largeur_OAV</f>
        <v>0</v>
      </c>
      <c r="AD269" s="670">
        <v>12</v>
      </c>
      <c r="AE269" s="670">
        <f t="shared" ref="AE269:AE270" si="81">IF(Dimensions_intérieures_Cp_15_longueur_OAV&lt;100,3,4)</f>
        <v>3</v>
      </c>
      <c r="AF269" s="670"/>
      <c r="AG269" s="671"/>
    </row>
    <row r="270" spans="1:33" ht="18" hidden="1" customHeight="1" x14ac:dyDescent="0.3">
      <c r="A270" s="669" t="s">
        <v>430</v>
      </c>
      <c r="B270" s="670"/>
      <c r="C270" s="670"/>
      <c r="D270" s="670"/>
      <c r="E270" s="670"/>
      <c r="F270" s="670"/>
      <c r="G270" s="670"/>
      <c r="H270" s="670"/>
      <c r="I270" s="670"/>
      <c r="J270" s="670"/>
      <c r="K270" s="670"/>
      <c r="L270" s="670"/>
      <c r="M270" s="670"/>
      <c r="N270" s="670" t="s">
        <v>262</v>
      </c>
      <c r="O270" s="670">
        <f t="shared" si="74"/>
        <v>0</v>
      </c>
      <c r="P270" s="670">
        <v>12</v>
      </c>
      <c r="Q270" s="670">
        <f>IF(' Objet Anti Vibratoire'!Dimensions_intérieures_CP_15_hauteur_OAV&lt;80,4,6)</f>
        <v>4</v>
      </c>
      <c r="R270" s="670" t="s">
        <v>262</v>
      </c>
      <c r="S270" s="670">
        <f>Dimensions_intérieures_Cp_15_largeur_OAV-6</f>
        <v>-6</v>
      </c>
      <c r="T270" s="670">
        <v>12</v>
      </c>
      <c r="U270" s="670">
        <f t="shared" si="79"/>
        <v>4</v>
      </c>
      <c r="V270" s="670" t="str">
        <f>' Objet Anti Vibratoire'!Base_OAV</f>
        <v>Aucun</v>
      </c>
      <c r="W270" s="670">
        <v>5</v>
      </c>
      <c r="X270" s="670">
        <f t="shared" si="75"/>
        <v>0</v>
      </c>
      <c r="Y270" s="670">
        <f t="shared" si="76"/>
        <v>0</v>
      </c>
      <c r="Z270" s="670">
        <f t="shared" si="77"/>
        <v>0</v>
      </c>
      <c r="AA270" s="670">
        <f t="shared" si="78"/>
        <v>5</v>
      </c>
      <c r="AB270" s="670" t="s">
        <v>262</v>
      </c>
      <c r="AC270" s="670">
        <f t="shared" si="80"/>
        <v>0</v>
      </c>
      <c r="AD270" s="670">
        <v>12</v>
      </c>
      <c r="AE270" s="670">
        <f t="shared" si="81"/>
        <v>3</v>
      </c>
      <c r="AF270" s="670"/>
      <c r="AG270" s="671"/>
    </row>
    <row r="271" spans="1:33" ht="18" hidden="1" customHeight="1" x14ac:dyDescent="0.3">
      <c r="A271" s="669" t="s">
        <v>324</v>
      </c>
      <c r="B271" s="670"/>
      <c r="C271" s="670"/>
      <c r="D271" s="670"/>
      <c r="E271" s="670"/>
      <c r="F271" s="670"/>
      <c r="G271" s="670"/>
      <c r="H271" s="670"/>
      <c r="I271" s="670"/>
      <c r="J271" s="670"/>
      <c r="K271" s="670"/>
      <c r="L271" s="670"/>
      <c r="M271" s="670"/>
      <c r="N271" s="670" t="s">
        <v>27</v>
      </c>
      <c r="O271" s="670">
        <f t="shared" ref="O271:O272" si="82">Dimensions_intérieures_Cp_15_longueur_OAV-0.3</f>
        <v>-0.3</v>
      </c>
      <c r="P271" s="670">
        <f>Dimensions_intérieures_Cp_15_largeur_OAV-0.3</f>
        <v>-0.3</v>
      </c>
      <c r="Q271" s="670">
        <f>(' Objet Anti Vibratoire'!Dimensions_intérieures_CP_15_hauteur_OAV-AA271)/5</f>
        <v>-1</v>
      </c>
      <c r="R271" s="670"/>
      <c r="S271" s="670"/>
      <c r="T271" s="670"/>
      <c r="U271" s="670"/>
      <c r="V271" s="670" t="str">
        <f>' Objet Anti Vibratoire'!Base_OAV</f>
        <v>Aucun</v>
      </c>
      <c r="W271" s="670">
        <v>5</v>
      </c>
      <c r="X271" s="670">
        <f t="shared" si="75"/>
        <v>0</v>
      </c>
      <c r="Y271" s="670">
        <f t="shared" si="76"/>
        <v>0</v>
      </c>
      <c r="Z271" s="670">
        <f t="shared" si="77"/>
        <v>0</v>
      </c>
      <c r="AA271" s="670">
        <f t="shared" si="78"/>
        <v>5</v>
      </c>
      <c r="AB271" s="670"/>
      <c r="AC271" s="670"/>
      <c r="AD271" s="670"/>
      <c r="AE271" s="670"/>
      <c r="AF271" s="670"/>
      <c r="AG271" s="671"/>
    </row>
    <row r="272" spans="1:33" ht="18" hidden="1" customHeight="1" x14ac:dyDescent="0.3">
      <c r="A272" s="669" t="s">
        <v>325</v>
      </c>
      <c r="B272" s="670"/>
      <c r="C272" s="670"/>
      <c r="D272" s="670"/>
      <c r="E272" s="670"/>
      <c r="F272" s="670"/>
      <c r="G272" s="670"/>
      <c r="H272" s="670"/>
      <c r="I272" s="670"/>
      <c r="J272" s="670"/>
      <c r="K272" s="670"/>
      <c r="L272" s="670"/>
      <c r="M272" s="670"/>
      <c r="N272" s="670" t="s">
        <v>27</v>
      </c>
      <c r="O272" s="670">
        <f t="shared" si="82"/>
        <v>-0.3</v>
      </c>
      <c r="P272" s="670">
        <f>' Objet Anti Vibratoire'!Dimensions_intérieures_CP_15_hauteur_OAV-AA272</f>
        <v>-5</v>
      </c>
      <c r="Q272" s="670">
        <f>Dimensions_intérieures_Cp_15_largeur_OAV/5</f>
        <v>0</v>
      </c>
      <c r="R272" s="670"/>
      <c r="S272" s="670"/>
      <c r="T272" s="670"/>
      <c r="U272" s="670"/>
      <c r="V272" s="670" t="str">
        <f>' Objet Anti Vibratoire'!Base_OAV</f>
        <v>Aucun</v>
      </c>
      <c r="W272" s="670">
        <v>5</v>
      </c>
      <c r="X272" s="670">
        <f t="shared" si="75"/>
        <v>0</v>
      </c>
      <c r="Y272" s="670">
        <f t="shared" si="76"/>
        <v>0</v>
      </c>
      <c r="Z272" s="670">
        <f t="shared" si="77"/>
        <v>0</v>
      </c>
      <c r="AA272" s="670">
        <f t="shared" si="78"/>
        <v>5</v>
      </c>
      <c r="AB272" s="670"/>
      <c r="AC272" s="670"/>
      <c r="AD272" s="670"/>
      <c r="AE272" s="670"/>
      <c r="AF272" s="670"/>
      <c r="AG272" s="671"/>
    </row>
    <row r="273" spans="1:33" ht="18" hidden="1" customHeight="1" x14ac:dyDescent="0.3">
      <c r="A273" s="669" t="s">
        <v>326</v>
      </c>
      <c r="B273" s="670" t="s">
        <v>354</v>
      </c>
      <c r="C273" s="670">
        <f>Dimensions_intérieures_Cp_15_longueur_OAV</f>
        <v>0</v>
      </c>
      <c r="D273" s="670">
        <f>IF(' Objet Anti Vibratoire'!Dimensions_intérieures_CP_15_hauteur_OAV&lt;120,9.4,14.4)</f>
        <v>9.4</v>
      </c>
      <c r="E273" s="670">
        <f>1</f>
        <v>1</v>
      </c>
      <c r="F273" s="670" t="s">
        <v>355</v>
      </c>
      <c r="G273" s="670">
        <f>Dimensions_intérieures_Cp_15_longueur_OAV</f>
        <v>0</v>
      </c>
      <c r="H273" s="670">
        <v>8</v>
      </c>
      <c r="I273" s="670">
        <f>' Objet Anti Vibratoire'!nombre_de_calages_OAV*2</f>
        <v>4</v>
      </c>
      <c r="J273" s="670" t="s">
        <v>349</v>
      </c>
      <c r="K273" s="670">
        <f>Dimensions_intérieures_Cp_15_largeur_OAV</f>
        <v>0</v>
      </c>
      <c r="L273" s="670">
        <v>7</v>
      </c>
      <c r="M273" s="670">
        <f>' Objet Anti Vibratoire'!nombre_de_calages_OAV*4</f>
        <v>8</v>
      </c>
      <c r="N273" s="670" t="s">
        <v>342</v>
      </c>
      <c r="O273" s="670">
        <f>Dimensions_intérieures_Cp_15_longueur_OAV</f>
        <v>0</v>
      </c>
      <c r="P273" s="670">
        <f>Dimensions_intérieures_Cp_15_largeur_OAV-4.2</f>
        <v>-4.2</v>
      </c>
      <c r="Q273" s="670">
        <f>' Objet Anti Vibratoire'!nombre_de_calages_OAV</f>
        <v>2</v>
      </c>
      <c r="R273" s="670" t="s">
        <v>37</v>
      </c>
      <c r="S273" s="670">
        <f>Dimensions_intérieures_Cp_15_largeur_OAV</f>
        <v>0</v>
      </c>
      <c r="T273" s="670">
        <f>IF(' Objet Anti Vibratoire'!Dimensions_intérieures_CP_15_hauteur_OAV&lt;120,9.4,14.4)</f>
        <v>9.4</v>
      </c>
      <c r="U273" s="670">
        <f>1</f>
        <v>1</v>
      </c>
      <c r="V273" s="670" t="str">
        <f>' Objet Anti Vibratoire'!Base_OAV</f>
        <v>Aucun</v>
      </c>
      <c r="W273" s="670">
        <v>5</v>
      </c>
      <c r="X273" s="670">
        <f t="shared" si="75"/>
        <v>0</v>
      </c>
      <c r="Y273" s="670">
        <f t="shared" si="76"/>
        <v>0</v>
      </c>
      <c r="Z273" s="670">
        <f t="shared" si="77"/>
        <v>0</v>
      </c>
      <c r="AA273" s="670">
        <f t="shared" si="78"/>
        <v>5</v>
      </c>
      <c r="AB273" s="670"/>
      <c r="AC273" s="670"/>
      <c r="AD273" s="670"/>
      <c r="AE273" s="670"/>
      <c r="AF273" s="670"/>
      <c r="AG273" s="671"/>
    </row>
    <row r="274" spans="1:33" ht="18" hidden="1" customHeight="1" x14ac:dyDescent="0.3">
      <c r="A274" s="669" t="s">
        <v>328</v>
      </c>
      <c r="B274" s="670"/>
      <c r="C274" s="670"/>
      <c r="D274" s="670"/>
      <c r="E274" s="670"/>
      <c r="F274" s="670" t="s">
        <v>355</v>
      </c>
      <c r="G274" s="670">
        <f>Dimensions_intérieures_Cp_15_largeur_OAV</f>
        <v>0</v>
      </c>
      <c r="H274" s="670">
        <v>8</v>
      </c>
      <c r="I274" s="670">
        <f>' Objet Anti Vibratoire'!nombre_de_calages_OAV</f>
        <v>2</v>
      </c>
      <c r="J274" s="670" t="s">
        <v>349</v>
      </c>
      <c r="K274" s="670">
        <f>' Objet Anti Vibratoire'!Dimensions_intérieures_CP_15_hauteur_OAV-AA274</f>
        <v>-5</v>
      </c>
      <c r="L274" s="670">
        <v>7</v>
      </c>
      <c r="M274" s="670">
        <f>' Objet Anti Vibratoire'!nombre_de_calages_OAV*4</f>
        <v>8</v>
      </c>
      <c r="N274" s="670" t="s">
        <v>342</v>
      </c>
      <c r="O274" s="670">
        <f>Dimensions_intérieures_Cp_15_largeur_OAV</f>
        <v>0</v>
      </c>
      <c r="P274" s="670">
        <f>' Objet Anti Vibratoire'!Dimensions_intérieures_CP_15_hauteur_OAV-2.1-AA274</f>
        <v>-7.1</v>
      </c>
      <c r="Q274" s="670">
        <f>' Objet Anti Vibratoire'!nombre_de_calages_OAV</f>
        <v>2</v>
      </c>
      <c r="R274" s="670"/>
      <c r="S274" s="670"/>
      <c r="T274" s="670"/>
      <c r="U274" s="670"/>
      <c r="V274" s="670" t="str">
        <f>' Objet Anti Vibratoire'!Base_OAV</f>
        <v>Aucun</v>
      </c>
      <c r="W274" s="670">
        <v>5</v>
      </c>
      <c r="X274" s="670">
        <f t="shared" si="75"/>
        <v>0</v>
      </c>
      <c r="Y274" s="670">
        <f t="shared" si="76"/>
        <v>0</v>
      </c>
      <c r="Z274" s="670">
        <f t="shared" si="77"/>
        <v>0</v>
      </c>
      <c r="AA274" s="670">
        <f t="shared" si="78"/>
        <v>5</v>
      </c>
      <c r="AB274" s="670"/>
      <c r="AC274" s="670"/>
      <c r="AD274" s="670"/>
      <c r="AE274" s="670"/>
      <c r="AF274" s="670"/>
      <c r="AG274" s="671"/>
    </row>
    <row r="275" spans="1:33" ht="18" hidden="1" customHeight="1" x14ac:dyDescent="0.3">
      <c r="A275" s="669" t="s">
        <v>373</v>
      </c>
      <c r="B275" s="670"/>
      <c r="C275" s="670"/>
      <c r="D275" s="670"/>
      <c r="E275" s="670"/>
      <c r="F275" s="670"/>
      <c r="G275" s="670"/>
      <c r="H275" s="670"/>
      <c r="I275" s="670"/>
      <c r="J275" s="670"/>
      <c r="K275" s="670"/>
      <c r="L275" s="670"/>
      <c r="M275" s="670"/>
      <c r="N275" s="670">
        <f>IF(' Objet Anti Vibratoire'!nombre_de_calages_OAV="PU","PU 50 mm",IF(' Objet Anti Vibratoire'!nombre_de_calages_OAV="Ethafoam","Ethafoam 50 mm ",0))</f>
        <v>0</v>
      </c>
      <c r="O275" s="670">
        <f t="shared" ref="O275:O276" si="83">Dimensions_intérieures_Cp_15_longueur_OAV</f>
        <v>0</v>
      </c>
      <c r="P275" s="670">
        <f t="shared" ref="P275:P276" si="84">Dimensions_intérieures_Cp_15_largeur_OAV</f>
        <v>0</v>
      </c>
      <c r="Q275" s="670">
        <v>1</v>
      </c>
      <c r="R275" s="670">
        <f>IF(' Objet Anti Vibratoire'!nombre_de_calages_OAV="PU","PU 50 mm",IF(' Objet Anti Vibratoire'!nombre_de_calages_OAV="Ethafoam","Ethafoam 50 mm ",0))</f>
        <v>0</v>
      </c>
      <c r="S275" s="670">
        <f t="shared" ref="S275:S276" si="85">Dimensions_intérieures_Cp_15_longueur_OAV</f>
        <v>0</v>
      </c>
      <c r="T275" s="670">
        <f>' Objet Anti Vibratoire'!Dimensions_intérieures_CP_15_hauteur_OAV-5-AA275</f>
        <v>-10</v>
      </c>
      <c r="U275" s="670">
        <v>2</v>
      </c>
      <c r="V275" s="670" t="str">
        <f>' Objet Anti Vibratoire'!Base_OAV</f>
        <v>Aucun</v>
      </c>
      <c r="W275" s="670">
        <v>5</v>
      </c>
      <c r="X275" s="670">
        <f t="shared" si="75"/>
        <v>0</v>
      </c>
      <c r="Y275" s="670">
        <f t="shared" si="76"/>
        <v>0</v>
      </c>
      <c r="Z275" s="670">
        <f t="shared" si="77"/>
        <v>0</v>
      </c>
      <c r="AA275" s="670">
        <f t="shared" si="78"/>
        <v>5</v>
      </c>
      <c r="AB275" s="670">
        <f>IF(' Objet Anti Vibratoire'!nombre_de_calages_OAV="PU","PU 50 mm",IF(' Objet Anti Vibratoire'!nombre_de_calages_OAV="Ethafoam","Ethafoam 50 mm ",0))</f>
        <v>0</v>
      </c>
      <c r="AC275" s="670">
        <f>Dimensions_intérieures_Cp_15_largeur_OAV-10</f>
        <v>-10</v>
      </c>
      <c r="AD275" s="670">
        <f>' Objet Anti Vibratoire'!Dimensions_intérieures_CP_15_hauteur_OAV-5-AA275</f>
        <v>-10</v>
      </c>
      <c r="AE275" s="670">
        <v>2</v>
      </c>
      <c r="AF275" s="670"/>
      <c r="AG275" s="671"/>
    </row>
    <row r="276" spans="1:33" ht="18" hidden="1" customHeight="1" x14ac:dyDescent="0.3">
      <c r="A276" s="678" t="s">
        <v>374</v>
      </c>
      <c r="B276" s="679"/>
      <c r="C276" s="679"/>
      <c r="D276" s="679"/>
      <c r="E276" s="679"/>
      <c r="F276" s="679"/>
      <c r="G276" s="679"/>
      <c r="H276" s="679"/>
      <c r="I276" s="679"/>
      <c r="J276" s="679"/>
      <c r="K276" s="679"/>
      <c r="L276" s="679"/>
      <c r="M276" s="679"/>
      <c r="N276" s="679">
        <f>IF(' Objet Anti Vibratoire'!nombre_de_calages_OAV="PU","PU 30 mm",IF(' Objet Anti Vibratoire'!nombre_de_calages_OAV="Ethafoam","Ethafoam 30 mm ",0))</f>
        <v>0</v>
      </c>
      <c r="O276" s="679">
        <f t="shared" si="83"/>
        <v>0</v>
      </c>
      <c r="P276" s="679">
        <f t="shared" si="84"/>
        <v>0</v>
      </c>
      <c r="Q276" s="679">
        <v>1</v>
      </c>
      <c r="R276" s="679">
        <f>IF(' Objet Anti Vibratoire'!nombre_de_calages_OAV="PU","PU 30 mm",IF(' Objet Anti Vibratoire'!nombre_de_calages_OAV="Ethafoam","Ethafoam 30 mm ",0))</f>
        <v>0</v>
      </c>
      <c r="S276" s="679">
        <f t="shared" si="85"/>
        <v>0</v>
      </c>
      <c r="T276" s="679">
        <f>' Objet Anti Vibratoire'!Dimensions_intérieures_CP_15_hauteur_OAV-3-AA276</f>
        <v>-8</v>
      </c>
      <c r="U276" s="679">
        <v>2</v>
      </c>
      <c r="V276" s="679" t="str">
        <f>' Objet Anti Vibratoire'!Base_OAV</f>
        <v>Aucun</v>
      </c>
      <c r="W276" s="679">
        <v>5</v>
      </c>
      <c r="X276" s="670">
        <f t="shared" si="75"/>
        <v>0</v>
      </c>
      <c r="Y276" s="679">
        <f t="shared" si="76"/>
        <v>0</v>
      </c>
      <c r="Z276" s="670">
        <f t="shared" si="77"/>
        <v>0</v>
      </c>
      <c r="AA276" s="679">
        <f t="shared" si="78"/>
        <v>5</v>
      </c>
      <c r="AB276" s="679">
        <f>IF(' Objet Anti Vibratoire'!nombre_de_calages_OAV="PU","PU 30 mm",IF(' Objet Anti Vibratoire'!nombre_de_calages_OAV="Ethafoam","Ethafoam 30 mm",0))</f>
        <v>0</v>
      </c>
      <c r="AC276" s="679">
        <f>Dimensions_intérieures_Cp_15_largeur_OAV-6</f>
        <v>-6</v>
      </c>
      <c r="AD276" s="679">
        <f>' Objet Anti Vibratoire'!Dimensions_intérieures_CP_15_hauteur_OAV-3-AA276</f>
        <v>-8</v>
      </c>
      <c r="AE276" s="679">
        <v>2</v>
      </c>
      <c r="AF276" s="679"/>
      <c r="AG276" s="680"/>
    </row>
    <row r="277" spans="1:33" ht="18" customHeight="1" x14ac:dyDescent="0.35">
      <c r="A277" s="559"/>
      <c r="B277" s="559"/>
      <c r="C277" s="559"/>
      <c r="D277" s="559"/>
      <c r="E277" s="559"/>
      <c r="F277" s="559"/>
      <c r="G277" s="559"/>
      <c r="H277" s="559"/>
      <c r="I277" s="559"/>
      <c r="J277" s="559"/>
      <c r="K277" s="559"/>
      <c r="L277" s="559"/>
      <c r="M277" s="559"/>
      <c r="N277" s="559"/>
      <c r="O277" s="559"/>
      <c r="P277" s="559"/>
      <c r="Q277" s="559"/>
      <c r="R277" s="559"/>
      <c r="S277" s="559"/>
      <c r="T277" s="559"/>
      <c r="U277" s="559"/>
      <c r="V277" s="559"/>
      <c r="W277" s="559"/>
      <c r="X277" s="559"/>
      <c r="Y277" s="559"/>
      <c r="Z277" s="559"/>
      <c r="AA277" s="559"/>
      <c r="AB277" s="559"/>
      <c r="AC277" s="559"/>
      <c r="AD277" s="559"/>
      <c r="AE277" s="559"/>
      <c r="AF277" s="559"/>
      <c r="AG277" s="559"/>
    </row>
    <row r="278" spans="1:33" ht="18" customHeight="1" x14ac:dyDescent="0.35">
      <c r="A278" s="559"/>
      <c r="B278" s="559"/>
      <c r="C278" s="559"/>
      <c r="D278" s="559"/>
      <c r="E278" s="559"/>
      <c r="F278" s="559"/>
      <c r="G278" s="559"/>
      <c r="H278" s="559"/>
      <c r="I278" s="559"/>
      <c r="J278" s="559"/>
      <c r="K278" s="559"/>
      <c r="L278" s="559"/>
      <c r="M278" s="559"/>
      <c r="N278" s="559"/>
      <c r="O278" s="559"/>
      <c r="P278" s="559"/>
      <c r="Q278" s="559"/>
      <c r="R278" s="559"/>
      <c r="S278" s="559"/>
      <c r="T278" s="559"/>
      <c r="U278" s="559"/>
      <c r="V278" s="559"/>
      <c r="W278" s="559"/>
      <c r="X278" s="559"/>
      <c r="Y278" s="559"/>
      <c r="Z278" s="559"/>
      <c r="AA278" s="559"/>
      <c r="AB278" s="559"/>
      <c r="AC278" s="559"/>
      <c r="AD278" s="559"/>
      <c r="AE278" s="559"/>
      <c r="AF278" s="559"/>
      <c r="AG278" s="559"/>
    </row>
    <row r="279" spans="1:33" ht="18" customHeight="1" x14ac:dyDescent="0.35">
      <c r="A279" s="559"/>
      <c r="B279" s="559"/>
      <c r="C279" s="559"/>
      <c r="D279" s="559"/>
      <c r="E279" s="559"/>
      <c r="F279" s="559"/>
      <c r="G279" s="559"/>
      <c r="H279" s="559"/>
      <c r="I279" s="559"/>
      <c r="J279" s="559"/>
      <c r="K279" s="559"/>
      <c r="L279" s="559"/>
      <c r="M279" s="559"/>
      <c r="N279" s="559"/>
      <c r="O279" s="559"/>
      <c r="P279" s="559"/>
      <c r="Q279" s="559"/>
      <c r="R279" s="559"/>
      <c r="S279" s="559"/>
      <c r="T279" s="559"/>
      <c r="U279" s="559"/>
      <c r="V279" s="559"/>
      <c r="W279" s="559"/>
      <c r="X279" s="559"/>
      <c r="Y279" s="559"/>
      <c r="Z279" s="559"/>
      <c r="AA279" s="559"/>
      <c r="AB279" s="559"/>
      <c r="AC279" s="559"/>
      <c r="AD279" s="559"/>
      <c r="AE279" s="559"/>
      <c r="AF279" s="559"/>
      <c r="AG279" s="559"/>
    </row>
    <row r="280" spans="1:33" ht="18" customHeight="1" x14ac:dyDescent="0.35">
      <c r="A280" s="559"/>
      <c r="B280" s="559"/>
      <c r="C280" s="559"/>
      <c r="D280" s="559"/>
      <c r="E280" s="559"/>
      <c r="F280" s="559"/>
      <c r="G280" s="559"/>
      <c r="H280" s="559"/>
      <c r="I280" s="559"/>
      <c r="J280" s="559"/>
      <c r="K280" s="559"/>
      <c r="L280" s="559"/>
      <c r="M280" s="559"/>
      <c r="N280" s="559"/>
      <c r="O280" s="559"/>
      <c r="P280" s="559"/>
      <c r="Q280" s="559"/>
      <c r="R280" s="559"/>
      <c r="S280" s="559"/>
      <c r="T280" s="559"/>
      <c r="U280" s="559"/>
      <c r="V280" s="559"/>
      <c r="W280" s="559"/>
      <c r="X280" s="559"/>
      <c r="Y280" s="559"/>
      <c r="Z280" s="559"/>
      <c r="AA280" s="559"/>
      <c r="AB280" s="559"/>
      <c r="AC280" s="559"/>
      <c r="AD280" s="559"/>
      <c r="AE280" s="559"/>
      <c r="AF280" s="559"/>
      <c r="AG280" s="559"/>
    </row>
    <row r="281" spans="1:33" ht="18" customHeight="1" x14ac:dyDescent="0.35">
      <c r="A281" s="559"/>
      <c r="B281" s="559"/>
      <c r="C281" s="559"/>
      <c r="D281" s="559"/>
      <c r="E281" s="559"/>
      <c r="F281" s="559"/>
      <c r="G281" s="559"/>
      <c r="H281" s="559"/>
      <c r="I281" s="559"/>
      <c r="J281" s="559"/>
      <c r="K281" s="559"/>
      <c r="L281" s="559"/>
      <c r="M281" s="559"/>
      <c r="N281" s="559"/>
      <c r="O281" s="559"/>
      <c r="P281" s="559"/>
      <c r="Q281" s="559"/>
      <c r="R281" s="559"/>
      <c r="S281" s="559"/>
      <c r="T281" s="559"/>
      <c r="U281" s="559"/>
      <c r="V281" s="559"/>
      <c r="W281" s="559"/>
      <c r="X281" s="559"/>
      <c r="Y281" s="559"/>
      <c r="Z281" s="559"/>
      <c r="AA281" s="559"/>
      <c r="AB281" s="559"/>
      <c r="AC281" s="559"/>
      <c r="AD281" s="559"/>
      <c r="AE281" s="559"/>
      <c r="AF281" s="559"/>
      <c r="AG281" s="559"/>
    </row>
    <row r="282" spans="1:33" ht="18" customHeight="1" x14ac:dyDescent="0.35">
      <c r="A282" s="559"/>
      <c r="B282" s="559"/>
      <c r="C282" s="559"/>
      <c r="D282" s="559"/>
      <c r="E282" s="559"/>
      <c r="F282" s="559"/>
      <c r="G282" s="559"/>
      <c r="H282" s="559"/>
      <c r="I282" s="559"/>
      <c r="J282" s="559"/>
      <c r="K282" s="559"/>
      <c r="L282" s="559"/>
      <c r="M282" s="559"/>
      <c r="N282" s="559"/>
      <c r="O282" s="559"/>
      <c r="P282" s="559"/>
      <c r="Q282" s="559"/>
      <c r="R282" s="559"/>
      <c r="S282" s="559"/>
      <c r="T282" s="559"/>
      <c r="U282" s="559"/>
      <c r="V282" s="559"/>
      <c r="W282" s="559"/>
      <c r="X282" s="559"/>
      <c r="Y282" s="559"/>
      <c r="Z282" s="559"/>
      <c r="AA282" s="559"/>
      <c r="AB282" s="559"/>
      <c r="AC282" s="559"/>
      <c r="AD282" s="559"/>
      <c r="AE282" s="559"/>
      <c r="AF282" s="559"/>
      <c r="AG282" s="559"/>
    </row>
    <row r="283" spans="1:33" ht="18" customHeight="1" x14ac:dyDescent="0.35">
      <c r="A283" s="559"/>
      <c r="B283" s="559"/>
      <c r="C283" s="559"/>
      <c r="D283" s="559"/>
      <c r="E283" s="559"/>
      <c r="F283" s="559"/>
      <c r="G283" s="559"/>
      <c r="H283" s="559"/>
      <c r="I283" s="559"/>
      <c r="J283" s="559"/>
      <c r="K283" s="559"/>
      <c r="L283" s="559"/>
      <c r="M283" s="559"/>
      <c r="N283" s="559"/>
      <c r="O283" s="559"/>
      <c r="P283" s="559"/>
      <c r="Q283" s="559"/>
      <c r="R283" s="559"/>
      <c r="S283" s="559"/>
      <c r="T283" s="559"/>
      <c r="U283" s="559"/>
      <c r="V283" s="559"/>
      <c r="W283" s="559"/>
      <c r="X283" s="559"/>
      <c r="Y283" s="559"/>
      <c r="Z283" s="559"/>
      <c r="AA283" s="559"/>
      <c r="AB283" s="559"/>
      <c r="AC283" s="559"/>
      <c r="AD283" s="559"/>
      <c r="AE283" s="559"/>
      <c r="AF283" s="559"/>
      <c r="AG283" s="559"/>
    </row>
    <row r="284" spans="1:33" ht="18" customHeight="1" x14ac:dyDescent="0.35">
      <c r="A284" s="559"/>
      <c r="B284" s="559"/>
      <c r="C284" s="559"/>
      <c r="D284" s="559"/>
      <c r="E284" s="559"/>
      <c r="F284" s="559"/>
      <c r="G284" s="559"/>
      <c r="H284" s="559"/>
      <c r="I284" s="559"/>
      <c r="J284" s="559"/>
      <c r="K284" s="559"/>
      <c r="L284" s="559"/>
      <c r="M284" s="559"/>
      <c r="N284" s="559"/>
      <c r="O284" s="559"/>
      <c r="P284" s="559"/>
      <c r="Q284" s="559"/>
      <c r="R284" s="559"/>
      <c r="S284" s="559"/>
      <c r="T284" s="559"/>
      <c r="U284" s="559"/>
      <c r="V284" s="559"/>
      <c r="W284" s="559"/>
      <c r="X284" s="559"/>
      <c r="Y284" s="559"/>
      <c r="Z284" s="559"/>
      <c r="AA284" s="559"/>
      <c r="AB284" s="559"/>
      <c r="AC284" s="559"/>
      <c r="AD284" s="559"/>
      <c r="AE284" s="559"/>
      <c r="AF284" s="559"/>
      <c r="AG284" s="559"/>
    </row>
    <row r="285" spans="1:33" ht="18" customHeight="1" x14ac:dyDescent="0.35">
      <c r="A285" s="559"/>
      <c r="B285" s="559"/>
      <c r="C285" s="559"/>
      <c r="D285" s="559"/>
      <c r="E285" s="559"/>
      <c r="F285" s="559"/>
      <c r="G285" s="559"/>
      <c r="H285" s="559"/>
      <c r="I285" s="559"/>
      <c r="J285" s="559"/>
      <c r="K285" s="559"/>
      <c r="L285" s="559"/>
      <c r="M285" s="559"/>
      <c r="N285" s="559"/>
      <c r="O285" s="559"/>
      <c r="P285" s="559"/>
      <c r="Q285" s="559"/>
      <c r="R285" s="559"/>
      <c r="S285" s="559"/>
      <c r="T285" s="559"/>
      <c r="U285" s="559"/>
      <c r="V285" s="559"/>
      <c r="W285" s="559"/>
      <c r="X285" s="559"/>
      <c r="Y285" s="559"/>
      <c r="Z285" s="559"/>
      <c r="AA285" s="559"/>
      <c r="AB285" s="559"/>
      <c r="AC285" s="559"/>
      <c r="AD285" s="559"/>
      <c r="AE285" s="559"/>
      <c r="AF285" s="559"/>
      <c r="AG285" s="559"/>
    </row>
    <row r="286" spans="1:33" ht="18" customHeight="1" x14ac:dyDescent="0.35">
      <c r="A286" s="559"/>
      <c r="B286" s="559"/>
      <c r="C286" s="559"/>
      <c r="D286" s="559"/>
      <c r="E286" s="559"/>
      <c r="F286" s="559"/>
      <c r="G286" s="559"/>
      <c r="H286" s="559"/>
      <c r="I286" s="559"/>
      <c r="J286" s="559"/>
      <c r="K286" s="559"/>
      <c r="L286" s="559"/>
      <c r="M286" s="559"/>
      <c r="N286" s="559"/>
      <c r="O286" s="559"/>
      <c r="P286" s="559"/>
      <c r="Q286" s="559"/>
      <c r="R286" s="559"/>
      <c r="S286" s="559"/>
      <c r="T286" s="559"/>
      <c r="U286" s="559"/>
      <c r="V286" s="559"/>
      <c r="W286" s="559"/>
      <c r="X286" s="559"/>
      <c r="Y286" s="559"/>
      <c r="Z286" s="559"/>
      <c r="AA286" s="559"/>
      <c r="AB286" s="559"/>
      <c r="AC286" s="559"/>
      <c r="AD286" s="559"/>
      <c r="AE286" s="559"/>
      <c r="AF286" s="559"/>
      <c r="AG286" s="559"/>
    </row>
    <row r="287" spans="1:33" ht="18" customHeight="1" x14ac:dyDescent="0.35">
      <c r="A287" s="559"/>
      <c r="B287" s="559"/>
      <c r="C287" s="559"/>
      <c r="D287" s="559"/>
      <c r="E287" s="559"/>
      <c r="F287" s="559"/>
      <c r="G287" s="559"/>
      <c r="H287" s="559"/>
      <c r="I287" s="559"/>
      <c r="J287" s="559"/>
      <c r="K287" s="559"/>
      <c r="L287" s="559"/>
      <c r="M287" s="559"/>
      <c r="N287" s="559"/>
      <c r="O287" s="559"/>
      <c r="P287" s="559"/>
      <c r="Q287" s="559"/>
      <c r="R287" s="559"/>
      <c r="S287" s="559"/>
      <c r="T287" s="559"/>
      <c r="U287" s="559"/>
      <c r="V287" s="559"/>
      <c r="W287" s="559"/>
      <c r="X287" s="559"/>
      <c r="Y287" s="559"/>
      <c r="Z287" s="559"/>
      <c r="AA287" s="559"/>
      <c r="AB287" s="559"/>
      <c r="AC287" s="559"/>
      <c r="AD287" s="559"/>
      <c r="AE287" s="559"/>
      <c r="AF287" s="559"/>
      <c r="AG287" s="559"/>
    </row>
    <row r="288" spans="1:33" ht="18" customHeight="1" x14ac:dyDescent="0.35">
      <c r="A288" s="559"/>
      <c r="B288" s="559"/>
      <c r="C288" s="559"/>
      <c r="D288" s="559"/>
      <c r="E288" s="559"/>
      <c r="F288" s="559"/>
      <c r="G288" s="559"/>
      <c r="H288" s="559"/>
      <c r="I288" s="559"/>
      <c r="J288" s="559"/>
      <c r="K288" s="559"/>
      <c r="L288" s="559"/>
      <c r="M288" s="559"/>
      <c r="N288" s="559"/>
      <c r="O288" s="559"/>
      <c r="P288" s="559"/>
      <c r="Q288" s="559"/>
      <c r="R288" s="559"/>
      <c r="S288" s="559"/>
      <c r="T288" s="559"/>
      <c r="U288" s="559"/>
      <c r="V288" s="559"/>
      <c r="W288" s="559"/>
      <c r="X288" s="559"/>
      <c r="Y288" s="559"/>
      <c r="Z288" s="559"/>
      <c r="AA288" s="559"/>
      <c r="AB288" s="559"/>
      <c r="AC288" s="559"/>
      <c r="AD288" s="559"/>
      <c r="AE288" s="559"/>
      <c r="AF288" s="559"/>
      <c r="AG288" s="559"/>
    </row>
    <row r="289" spans="1:33" ht="18" customHeight="1" x14ac:dyDescent="0.35">
      <c r="A289" s="559"/>
      <c r="B289" s="559"/>
      <c r="C289" s="559"/>
      <c r="D289" s="559"/>
      <c r="E289" s="559"/>
      <c r="F289" s="559"/>
      <c r="G289" s="559"/>
      <c r="H289" s="559"/>
      <c r="I289" s="559"/>
      <c r="J289" s="559"/>
      <c r="K289" s="559"/>
      <c r="L289" s="559"/>
      <c r="M289" s="559"/>
      <c r="N289" s="559"/>
      <c r="O289" s="559"/>
      <c r="P289" s="559"/>
      <c r="Q289" s="559"/>
      <c r="R289" s="559"/>
      <c r="S289" s="559"/>
      <c r="T289" s="559"/>
      <c r="U289" s="559"/>
      <c r="V289" s="559"/>
      <c r="W289" s="559"/>
      <c r="X289" s="559"/>
      <c r="Y289" s="559"/>
      <c r="Z289" s="559"/>
      <c r="AA289" s="559"/>
      <c r="AB289" s="559"/>
      <c r="AC289" s="559"/>
      <c r="AD289" s="559"/>
      <c r="AE289" s="559"/>
      <c r="AF289" s="559"/>
      <c r="AG289" s="559"/>
    </row>
    <row r="290" spans="1:33" ht="18" customHeight="1" x14ac:dyDescent="0.35">
      <c r="A290" s="559"/>
      <c r="B290" s="559"/>
      <c r="C290" s="559"/>
      <c r="D290" s="559"/>
      <c r="E290" s="559"/>
      <c r="F290" s="559"/>
      <c r="G290" s="559"/>
      <c r="H290" s="559"/>
      <c r="I290" s="559"/>
      <c r="J290" s="559"/>
      <c r="K290" s="559"/>
      <c r="L290" s="559"/>
      <c r="M290" s="559"/>
      <c r="N290" s="559"/>
      <c r="O290" s="559"/>
      <c r="P290" s="559"/>
      <c r="Q290" s="559"/>
      <c r="R290" s="559"/>
      <c r="S290" s="559"/>
      <c r="T290" s="559"/>
      <c r="U290" s="559"/>
      <c r="V290" s="559"/>
      <c r="W290" s="559"/>
      <c r="X290" s="559"/>
      <c r="Y290" s="559"/>
      <c r="Z290" s="559"/>
      <c r="AA290" s="559"/>
      <c r="AB290" s="559"/>
      <c r="AC290" s="559"/>
      <c r="AD290" s="559"/>
      <c r="AE290" s="559"/>
      <c r="AF290" s="559"/>
      <c r="AG290" s="559"/>
    </row>
    <row r="291" spans="1:33" ht="18" customHeight="1" x14ac:dyDescent="0.35">
      <c r="A291" s="559"/>
      <c r="B291" s="559"/>
      <c r="C291" s="559"/>
      <c r="D291" s="559"/>
      <c r="E291" s="559"/>
      <c r="F291" s="559"/>
      <c r="G291" s="559"/>
      <c r="H291" s="559"/>
      <c r="I291" s="559"/>
      <c r="J291" s="559"/>
      <c r="K291" s="559"/>
      <c r="L291" s="559"/>
      <c r="M291" s="559"/>
      <c r="N291" s="559"/>
      <c r="O291" s="559"/>
      <c r="P291" s="559"/>
      <c r="Q291" s="559"/>
      <c r="R291" s="559"/>
      <c r="S291" s="559"/>
      <c r="T291" s="559"/>
      <c r="U291" s="559"/>
      <c r="V291" s="559"/>
      <c r="W291" s="559"/>
      <c r="X291" s="559"/>
      <c r="Y291" s="559"/>
      <c r="Z291" s="559"/>
      <c r="AA291" s="559"/>
      <c r="AB291" s="559"/>
      <c r="AC291" s="559"/>
      <c r="AD291" s="559"/>
      <c r="AE291" s="559"/>
      <c r="AF291" s="559"/>
      <c r="AG291" s="559"/>
    </row>
    <row r="292" spans="1:33" ht="18" customHeight="1" x14ac:dyDescent="0.35">
      <c r="A292" s="559"/>
      <c r="B292" s="559"/>
      <c r="C292" s="559"/>
      <c r="D292" s="559"/>
      <c r="E292" s="559"/>
      <c r="F292" s="559"/>
      <c r="G292" s="559"/>
      <c r="H292" s="559"/>
      <c r="I292" s="559"/>
      <c r="J292" s="559"/>
      <c r="K292" s="559"/>
      <c r="L292" s="559"/>
      <c r="M292" s="559"/>
      <c r="N292" s="559"/>
      <c r="O292" s="559"/>
      <c r="P292" s="559"/>
      <c r="Q292" s="559"/>
      <c r="R292" s="559"/>
      <c r="S292" s="559"/>
      <c r="T292" s="559"/>
      <c r="U292" s="559"/>
      <c r="V292" s="559"/>
      <c r="W292" s="559"/>
      <c r="X292" s="559"/>
      <c r="Y292" s="559"/>
      <c r="Z292" s="559"/>
      <c r="AA292" s="559"/>
      <c r="AB292" s="559"/>
      <c r="AC292" s="559"/>
      <c r="AD292" s="559"/>
      <c r="AE292" s="559"/>
      <c r="AF292" s="559"/>
      <c r="AG292" s="559"/>
    </row>
    <row r="293" spans="1:33" ht="18" customHeight="1" x14ac:dyDescent="0.35">
      <c r="A293" s="559"/>
      <c r="B293" s="559"/>
      <c r="C293" s="559"/>
      <c r="D293" s="559"/>
      <c r="E293" s="559"/>
      <c r="F293" s="559"/>
      <c r="G293" s="559"/>
      <c r="H293" s="559"/>
      <c r="I293" s="559"/>
      <c r="J293" s="559"/>
      <c r="K293" s="559"/>
      <c r="L293" s="559"/>
      <c r="M293" s="559"/>
      <c r="N293" s="559"/>
      <c r="O293" s="559"/>
      <c r="P293" s="559"/>
      <c r="Q293" s="559"/>
      <c r="R293" s="559"/>
      <c r="S293" s="559"/>
      <c r="T293" s="559"/>
      <c r="U293" s="559"/>
      <c r="V293" s="559"/>
      <c r="W293" s="559"/>
      <c r="X293" s="559"/>
      <c r="Y293" s="559"/>
      <c r="Z293" s="559"/>
      <c r="AA293" s="559"/>
      <c r="AB293" s="559"/>
      <c r="AC293" s="559"/>
      <c r="AD293" s="559"/>
      <c r="AE293" s="559"/>
      <c r="AF293" s="559"/>
      <c r="AG293" s="559"/>
    </row>
    <row r="294" spans="1:33" ht="18" customHeight="1" x14ac:dyDescent="0.35">
      <c r="A294" s="559"/>
      <c r="B294" s="559"/>
      <c r="C294" s="559"/>
      <c r="D294" s="559"/>
      <c r="E294" s="559"/>
      <c r="F294" s="559"/>
      <c r="G294" s="559"/>
      <c r="H294" s="559"/>
      <c r="I294" s="559"/>
      <c r="J294" s="559"/>
      <c r="K294" s="559"/>
      <c r="L294" s="559"/>
      <c r="M294" s="559"/>
      <c r="N294" s="559"/>
      <c r="O294" s="559"/>
      <c r="P294" s="559"/>
      <c r="Q294" s="559"/>
      <c r="R294" s="559"/>
      <c r="S294" s="559"/>
      <c r="T294" s="559"/>
      <c r="U294" s="559"/>
      <c r="V294" s="559"/>
      <c r="W294" s="559"/>
      <c r="X294" s="559"/>
      <c r="Y294" s="559"/>
      <c r="Z294" s="559"/>
      <c r="AA294" s="559"/>
      <c r="AB294" s="559"/>
      <c r="AC294" s="559"/>
      <c r="AD294" s="559"/>
      <c r="AE294" s="559"/>
      <c r="AF294" s="559"/>
      <c r="AG294" s="559"/>
    </row>
    <row r="295" spans="1:33" ht="18" customHeight="1" x14ac:dyDescent="0.35">
      <c r="A295" s="559"/>
      <c r="B295" s="559"/>
      <c r="C295" s="559"/>
      <c r="D295" s="559"/>
      <c r="E295" s="559"/>
      <c r="F295" s="559"/>
      <c r="G295" s="559"/>
      <c r="H295" s="559"/>
      <c r="I295" s="559"/>
      <c r="J295" s="559"/>
      <c r="K295" s="559"/>
      <c r="L295" s="559"/>
      <c r="M295" s="559"/>
      <c r="N295" s="559"/>
      <c r="O295" s="559"/>
      <c r="P295" s="559"/>
      <c r="Q295" s="559"/>
      <c r="R295" s="559"/>
      <c r="S295" s="559"/>
      <c r="T295" s="559"/>
      <c r="U295" s="559"/>
      <c r="V295" s="559"/>
      <c r="W295" s="559"/>
      <c r="X295" s="559"/>
      <c r="Y295" s="559"/>
      <c r="Z295" s="559"/>
      <c r="AA295" s="559"/>
      <c r="AB295" s="559"/>
      <c r="AC295" s="559"/>
      <c r="AD295" s="559"/>
      <c r="AE295" s="559"/>
      <c r="AF295" s="559"/>
      <c r="AG295" s="559"/>
    </row>
    <row r="296" spans="1:33" ht="18" customHeight="1" x14ac:dyDescent="0.35">
      <c r="A296" s="559"/>
      <c r="B296" s="559"/>
      <c r="C296" s="559"/>
      <c r="D296" s="559"/>
      <c r="E296" s="559"/>
      <c r="F296" s="559"/>
      <c r="G296" s="559"/>
      <c r="H296" s="559"/>
      <c r="I296" s="559"/>
      <c r="J296" s="559"/>
      <c r="K296" s="559"/>
      <c r="L296" s="559"/>
      <c r="M296" s="559"/>
      <c r="N296" s="559"/>
      <c r="O296" s="559"/>
      <c r="P296" s="559"/>
      <c r="Q296" s="559"/>
      <c r="R296" s="559"/>
      <c r="S296" s="559"/>
      <c r="T296" s="559"/>
      <c r="U296" s="559"/>
      <c r="V296" s="559"/>
      <c r="W296" s="559"/>
      <c r="X296" s="559"/>
      <c r="Y296" s="559"/>
      <c r="Z296" s="559"/>
      <c r="AA296" s="559"/>
      <c r="AB296" s="559"/>
      <c r="AC296" s="559"/>
      <c r="AD296" s="559"/>
      <c r="AE296" s="559"/>
      <c r="AF296" s="559"/>
      <c r="AG296" s="559"/>
    </row>
    <row r="297" spans="1:33" ht="18" customHeight="1" x14ac:dyDescent="0.35">
      <c r="A297" s="559"/>
      <c r="B297" s="559"/>
      <c r="C297" s="559"/>
      <c r="D297" s="559"/>
      <c r="E297" s="559"/>
      <c r="F297" s="559"/>
      <c r="G297" s="559"/>
      <c r="H297" s="559"/>
      <c r="I297" s="559"/>
      <c r="J297" s="559"/>
      <c r="K297" s="559"/>
      <c r="L297" s="559"/>
      <c r="M297" s="559"/>
      <c r="N297" s="559"/>
      <c r="O297" s="559"/>
      <c r="P297" s="559"/>
      <c r="Q297" s="559"/>
      <c r="R297" s="559"/>
      <c r="S297" s="559"/>
      <c r="T297" s="559"/>
      <c r="U297" s="559"/>
      <c r="V297" s="559"/>
      <c r="W297" s="559"/>
      <c r="X297" s="559"/>
      <c r="Y297" s="559"/>
      <c r="Z297" s="559"/>
      <c r="AA297" s="559"/>
      <c r="AB297" s="559"/>
      <c r="AC297" s="559"/>
      <c r="AD297" s="559"/>
      <c r="AE297" s="559"/>
      <c r="AF297" s="559"/>
      <c r="AG297" s="559"/>
    </row>
    <row r="298" spans="1:33" ht="18" customHeight="1" x14ac:dyDescent="0.35">
      <c r="A298" s="559"/>
      <c r="B298" s="559"/>
      <c r="C298" s="559"/>
      <c r="D298" s="559"/>
      <c r="E298" s="559"/>
      <c r="F298" s="559"/>
      <c r="G298" s="559"/>
      <c r="H298" s="559"/>
      <c r="I298" s="559"/>
      <c r="J298" s="559"/>
      <c r="K298" s="559"/>
      <c r="L298" s="559"/>
      <c r="M298" s="559"/>
      <c r="N298" s="559"/>
      <c r="O298" s="559"/>
      <c r="P298" s="559"/>
      <c r="Q298" s="559"/>
      <c r="R298" s="559"/>
      <c r="S298" s="559"/>
      <c r="T298" s="559"/>
      <c r="U298" s="559"/>
      <c r="V298" s="559"/>
      <c r="W298" s="559"/>
      <c r="X298" s="559"/>
      <c r="Y298" s="559"/>
      <c r="Z298" s="559"/>
      <c r="AA298" s="559"/>
      <c r="AB298" s="559"/>
      <c r="AC298" s="559"/>
      <c r="AD298" s="559"/>
      <c r="AE298" s="559"/>
      <c r="AF298" s="559"/>
      <c r="AG298" s="559"/>
    </row>
    <row r="299" spans="1:33" ht="18" customHeight="1" x14ac:dyDescent="0.35">
      <c r="A299" s="559"/>
      <c r="B299" s="559"/>
      <c r="C299" s="559"/>
      <c r="D299" s="559"/>
      <c r="E299" s="559"/>
      <c r="F299" s="559"/>
      <c r="G299" s="559"/>
      <c r="H299" s="559"/>
      <c r="I299" s="559"/>
      <c r="J299" s="559"/>
      <c r="K299" s="559"/>
      <c r="L299" s="559"/>
      <c r="M299" s="559"/>
      <c r="N299" s="559"/>
      <c r="O299" s="559"/>
      <c r="P299" s="559"/>
      <c r="Q299" s="559"/>
      <c r="R299" s="559"/>
      <c r="S299" s="559"/>
      <c r="T299" s="559"/>
      <c r="U299" s="559"/>
      <c r="V299" s="559"/>
      <c r="W299" s="559"/>
      <c r="X299" s="559"/>
      <c r="Y299" s="559"/>
      <c r="Z299" s="559"/>
      <c r="AA299" s="559"/>
      <c r="AB299" s="559"/>
      <c r="AC299" s="559"/>
      <c r="AD299" s="559"/>
      <c r="AE299" s="559"/>
      <c r="AF299" s="559"/>
      <c r="AG299" s="559"/>
    </row>
    <row r="300" spans="1:33" ht="18" customHeight="1" x14ac:dyDescent="0.35">
      <c r="A300" s="559"/>
      <c r="B300" s="559"/>
      <c r="C300" s="559"/>
      <c r="D300" s="559"/>
      <c r="E300" s="559"/>
      <c r="F300" s="559"/>
      <c r="G300" s="559"/>
      <c r="H300" s="559"/>
      <c r="I300" s="559"/>
      <c r="J300" s="559"/>
      <c r="K300" s="559"/>
      <c r="L300" s="559"/>
      <c r="M300" s="559"/>
      <c r="N300" s="559"/>
      <c r="O300" s="559"/>
      <c r="P300" s="559"/>
      <c r="Q300" s="559"/>
      <c r="R300" s="559"/>
      <c r="S300" s="559"/>
      <c r="T300" s="559"/>
      <c r="U300" s="559"/>
      <c r="V300" s="559"/>
      <c r="W300" s="559"/>
      <c r="X300" s="559"/>
      <c r="Y300" s="559"/>
      <c r="Z300" s="559"/>
      <c r="AA300" s="559"/>
      <c r="AB300" s="559"/>
      <c r="AC300" s="559"/>
      <c r="AD300" s="559"/>
      <c r="AE300" s="559"/>
      <c r="AF300" s="559"/>
      <c r="AG300" s="559"/>
    </row>
    <row r="301" spans="1:33" ht="18" customHeight="1" x14ac:dyDescent="0.35">
      <c r="A301" s="559"/>
      <c r="B301" s="559"/>
      <c r="C301" s="559"/>
      <c r="D301" s="559"/>
      <c r="E301" s="559"/>
      <c r="F301" s="559"/>
      <c r="G301" s="559"/>
      <c r="H301" s="559"/>
      <c r="I301" s="559"/>
      <c r="J301" s="559"/>
      <c r="K301" s="559"/>
      <c r="L301" s="559"/>
      <c r="M301" s="559"/>
      <c r="N301" s="559"/>
      <c r="O301" s="559"/>
      <c r="P301" s="559"/>
      <c r="Q301" s="559"/>
      <c r="R301" s="559"/>
      <c r="S301" s="559"/>
      <c r="T301" s="559"/>
      <c r="U301" s="559"/>
      <c r="V301" s="559"/>
      <c r="W301" s="559"/>
      <c r="X301" s="559"/>
      <c r="Y301" s="559"/>
      <c r="Z301" s="559"/>
      <c r="AA301" s="559"/>
      <c r="AB301" s="559"/>
      <c r="AC301" s="559"/>
      <c r="AD301" s="559"/>
      <c r="AE301" s="559"/>
      <c r="AF301" s="559"/>
      <c r="AG301" s="559"/>
    </row>
    <row r="302" spans="1:33" ht="18" customHeight="1" x14ac:dyDescent="0.35">
      <c r="A302" s="559"/>
      <c r="B302" s="559"/>
      <c r="C302" s="559"/>
      <c r="D302" s="559"/>
      <c r="E302" s="559"/>
      <c r="F302" s="559"/>
      <c r="G302" s="559"/>
      <c r="H302" s="559"/>
      <c r="I302" s="559"/>
      <c r="J302" s="559"/>
      <c r="K302" s="559"/>
      <c r="L302" s="559"/>
      <c r="M302" s="559"/>
      <c r="N302" s="559"/>
      <c r="O302" s="559"/>
      <c r="P302" s="559"/>
      <c r="Q302" s="559"/>
      <c r="R302" s="559"/>
      <c r="S302" s="559"/>
      <c r="T302" s="559"/>
      <c r="U302" s="559"/>
      <c r="V302" s="559"/>
      <c r="W302" s="559"/>
      <c r="X302" s="559"/>
      <c r="Y302" s="559"/>
      <c r="Z302" s="559"/>
      <c r="AA302" s="559"/>
      <c r="AB302" s="559"/>
      <c r="AC302" s="559"/>
      <c r="AD302" s="559"/>
      <c r="AE302" s="559"/>
      <c r="AF302" s="559"/>
      <c r="AG302" s="559"/>
    </row>
    <row r="303" spans="1:33" ht="18" customHeight="1" x14ac:dyDescent="0.35">
      <c r="A303" s="559"/>
      <c r="B303" s="559"/>
      <c r="C303" s="559"/>
      <c r="D303" s="559"/>
      <c r="E303" s="559"/>
      <c r="F303" s="559"/>
      <c r="G303" s="559"/>
      <c r="H303" s="559"/>
      <c r="I303" s="559"/>
      <c r="J303" s="559"/>
      <c r="K303" s="559"/>
      <c r="L303" s="559"/>
      <c r="M303" s="559"/>
      <c r="N303" s="559"/>
      <c r="O303" s="559"/>
      <c r="P303" s="559"/>
      <c r="Q303" s="559"/>
      <c r="R303" s="559"/>
      <c r="S303" s="559"/>
      <c r="T303" s="559"/>
      <c r="U303" s="559"/>
      <c r="V303" s="559"/>
      <c r="W303" s="559"/>
      <c r="X303" s="559"/>
      <c r="Y303" s="559"/>
      <c r="Z303" s="559"/>
      <c r="AA303" s="559"/>
      <c r="AB303" s="559"/>
      <c r="AC303" s="559"/>
      <c r="AD303" s="559"/>
      <c r="AE303" s="559"/>
      <c r="AF303" s="559"/>
      <c r="AG303" s="559"/>
    </row>
    <row r="304" spans="1:33" ht="18" customHeight="1" x14ac:dyDescent="0.35">
      <c r="A304" s="559"/>
      <c r="B304" s="559"/>
      <c r="C304" s="559"/>
      <c r="D304" s="559"/>
      <c r="E304" s="559"/>
      <c r="F304" s="559"/>
      <c r="G304" s="559"/>
      <c r="H304" s="559"/>
      <c r="I304" s="559"/>
      <c r="J304" s="559"/>
      <c r="K304" s="559"/>
      <c r="L304" s="559"/>
      <c r="M304" s="559"/>
      <c r="N304" s="559"/>
      <c r="O304" s="559"/>
      <c r="P304" s="559"/>
      <c r="Q304" s="559"/>
      <c r="R304" s="559"/>
      <c r="S304" s="559"/>
      <c r="T304" s="559"/>
      <c r="U304" s="559"/>
      <c r="V304" s="559"/>
      <c r="W304" s="559"/>
      <c r="X304" s="559"/>
      <c r="Y304" s="559"/>
      <c r="Z304" s="559"/>
      <c r="AA304" s="559"/>
      <c r="AB304" s="559"/>
      <c r="AC304" s="559"/>
      <c r="AD304" s="559"/>
      <c r="AE304" s="559"/>
      <c r="AF304" s="559"/>
      <c r="AG304" s="559"/>
    </row>
    <row r="305" spans="1:33" ht="18" customHeight="1" x14ac:dyDescent="0.35">
      <c r="A305" s="559"/>
      <c r="B305" s="559"/>
      <c r="C305" s="559"/>
      <c r="D305" s="559"/>
      <c r="E305" s="559"/>
      <c r="F305" s="559"/>
      <c r="G305" s="559"/>
      <c r="H305" s="559"/>
      <c r="I305" s="559"/>
      <c r="J305" s="559"/>
      <c r="K305" s="559"/>
      <c r="L305" s="559"/>
      <c r="M305" s="559"/>
      <c r="N305" s="559"/>
      <c r="O305" s="559"/>
      <c r="P305" s="559"/>
      <c r="Q305" s="559"/>
      <c r="R305" s="559"/>
      <c r="S305" s="559"/>
      <c r="T305" s="559"/>
      <c r="U305" s="559"/>
      <c r="V305" s="559"/>
      <c r="W305" s="559"/>
      <c r="X305" s="559"/>
      <c r="Y305" s="559"/>
      <c r="Z305" s="559"/>
      <c r="AA305" s="559"/>
      <c r="AB305" s="559"/>
      <c r="AC305" s="559"/>
      <c r="AD305" s="559"/>
      <c r="AE305" s="559"/>
      <c r="AF305" s="559"/>
      <c r="AG305" s="559"/>
    </row>
    <row r="306" spans="1:33" ht="18" customHeight="1" x14ac:dyDescent="0.35">
      <c r="A306" s="559"/>
      <c r="B306" s="559"/>
      <c r="C306" s="559"/>
      <c r="D306" s="559"/>
      <c r="E306" s="559"/>
      <c r="F306" s="559"/>
      <c r="G306" s="559"/>
      <c r="H306" s="559"/>
      <c r="I306" s="559"/>
      <c r="J306" s="559"/>
      <c r="K306" s="559"/>
      <c r="L306" s="559"/>
      <c r="M306" s="559"/>
      <c r="N306" s="559"/>
      <c r="O306" s="559"/>
      <c r="P306" s="559"/>
      <c r="Q306" s="559"/>
      <c r="R306" s="559"/>
      <c r="S306" s="559"/>
      <c r="T306" s="559"/>
      <c r="U306" s="559"/>
      <c r="V306" s="559"/>
      <c r="W306" s="559"/>
      <c r="X306" s="559"/>
      <c r="Y306" s="559"/>
      <c r="Z306" s="559"/>
      <c r="AA306" s="559"/>
      <c r="AB306" s="559"/>
      <c r="AC306" s="559"/>
      <c r="AD306" s="559"/>
      <c r="AE306" s="559"/>
      <c r="AF306" s="559"/>
      <c r="AG306" s="559"/>
    </row>
    <row r="307" spans="1:33" ht="18" customHeight="1" x14ac:dyDescent="0.35">
      <c r="A307" s="559"/>
      <c r="B307" s="559"/>
      <c r="C307" s="559"/>
      <c r="D307" s="559"/>
      <c r="E307" s="559"/>
      <c r="F307" s="559"/>
      <c r="G307" s="559"/>
      <c r="H307" s="559"/>
      <c r="I307" s="559"/>
      <c r="J307" s="559"/>
      <c r="K307" s="559"/>
      <c r="L307" s="559"/>
      <c r="M307" s="559"/>
      <c r="N307" s="559"/>
      <c r="O307" s="559"/>
      <c r="P307" s="559"/>
      <c r="Q307" s="559"/>
      <c r="R307" s="559"/>
      <c r="S307" s="559"/>
      <c r="T307" s="559"/>
      <c r="U307" s="559"/>
      <c r="V307" s="559"/>
      <c r="W307" s="559"/>
      <c r="X307" s="559"/>
      <c r="Y307" s="559"/>
      <c r="Z307" s="559"/>
      <c r="AA307" s="559"/>
      <c r="AB307" s="559"/>
      <c r="AC307" s="559"/>
      <c r="AD307" s="559"/>
      <c r="AE307" s="559"/>
      <c r="AF307" s="559"/>
      <c r="AG307" s="559"/>
    </row>
    <row r="308" spans="1:33" ht="18" customHeight="1" x14ac:dyDescent="0.35">
      <c r="A308" s="559"/>
      <c r="B308" s="559"/>
      <c r="C308" s="559"/>
      <c r="D308" s="559"/>
      <c r="E308" s="559"/>
      <c r="F308" s="559"/>
      <c r="G308" s="559"/>
      <c r="H308" s="559"/>
      <c r="I308" s="559"/>
      <c r="J308" s="559"/>
      <c r="K308" s="559"/>
      <c r="L308" s="559"/>
      <c r="M308" s="559"/>
      <c r="N308" s="559"/>
      <c r="O308" s="559"/>
      <c r="P308" s="559"/>
      <c r="Q308" s="559"/>
      <c r="R308" s="559"/>
      <c r="S308" s="559"/>
      <c r="T308" s="559"/>
      <c r="U308" s="559"/>
      <c r="V308" s="559"/>
      <c r="W308" s="559"/>
      <c r="X308" s="559"/>
      <c r="Y308" s="559"/>
      <c r="Z308" s="559"/>
      <c r="AA308" s="559"/>
      <c r="AB308" s="559"/>
      <c r="AC308" s="559"/>
      <c r="AD308" s="559"/>
      <c r="AE308" s="559"/>
      <c r="AF308" s="559"/>
      <c r="AG308" s="559"/>
    </row>
    <row r="309" spans="1:33" ht="18" customHeight="1" x14ac:dyDescent="0.35">
      <c r="A309" s="559"/>
      <c r="B309" s="559"/>
      <c r="C309" s="559"/>
      <c r="D309" s="559"/>
      <c r="E309" s="559"/>
      <c r="F309" s="559"/>
      <c r="G309" s="559"/>
      <c r="H309" s="559"/>
      <c r="I309" s="559"/>
      <c r="J309" s="559"/>
      <c r="K309" s="559"/>
      <c r="L309" s="559"/>
      <c r="M309" s="559"/>
      <c r="N309" s="559"/>
      <c r="O309" s="559"/>
      <c r="P309" s="559"/>
      <c r="Q309" s="559"/>
      <c r="R309" s="559"/>
      <c r="S309" s="559"/>
      <c r="T309" s="559"/>
      <c r="U309" s="559"/>
      <c r="V309" s="559"/>
      <c r="W309" s="559"/>
      <c r="X309" s="559"/>
      <c r="Y309" s="559"/>
      <c r="Z309" s="559"/>
      <c r="AA309" s="559"/>
      <c r="AB309" s="559"/>
      <c r="AC309" s="559"/>
      <c r="AD309" s="559"/>
      <c r="AE309" s="559"/>
      <c r="AF309" s="559"/>
      <c r="AG309" s="559"/>
    </row>
    <row r="310" spans="1:33" ht="18" customHeight="1" x14ac:dyDescent="0.35">
      <c r="A310" s="559"/>
      <c r="B310" s="559"/>
      <c r="C310" s="559"/>
      <c r="D310" s="559"/>
      <c r="E310" s="559"/>
      <c r="F310" s="559"/>
      <c r="G310" s="559"/>
      <c r="H310" s="559"/>
      <c r="I310" s="559"/>
      <c r="J310" s="559"/>
      <c r="K310" s="559"/>
      <c r="L310" s="559"/>
      <c r="M310" s="559"/>
      <c r="N310" s="559"/>
      <c r="O310" s="559"/>
      <c r="P310" s="559"/>
      <c r="Q310" s="559"/>
      <c r="R310" s="559"/>
      <c r="S310" s="559"/>
      <c r="T310" s="559"/>
      <c r="U310" s="559"/>
      <c r="V310" s="559"/>
      <c r="W310" s="559"/>
      <c r="X310" s="559"/>
      <c r="Y310" s="559"/>
      <c r="Z310" s="559"/>
      <c r="AA310" s="559"/>
      <c r="AB310" s="559"/>
      <c r="AC310" s="559"/>
      <c r="AD310" s="559"/>
      <c r="AE310" s="559"/>
      <c r="AF310" s="559"/>
      <c r="AG310" s="559"/>
    </row>
    <row r="311" spans="1:33" ht="18" customHeight="1" x14ac:dyDescent="0.35">
      <c r="A311" s="559"/>
      <c r="B311" s="559"/>
      <c r="C311" s="559"/>
      <c r="D311" s="559"/>
      <c r="E311" s="559"/>
      <c r="F311" s="559"/>
      <c r="G311" s="559"/>
      <c r="H311" s="559"/>
      <c r="I311" s="559"/>
      <c r="J311" s="559"/>
      <c r="K311" s="559"/>
      <c r="L311" s="559"/>
      <c r="M311" s="559"/>
      <c r="N311" s="559"/>
      <c r="O311" s="559"/>
      <c r="P311" s="559"/>
      <c r="Q311" s="559"/>
      <c r="R311" s="559"/>
      <c r="S311" s="559"/>
      <c r="T311" s="559"/>
      <c r="U311" s="559"/>
      <c r="V311" s="559"/>
      <c r="W311" s="559"/>
      <c r="X311" s="559"/>
      <c r="Y311" s="559"/>
      <c r="Z311" s="559"/>
      <c r="AA311" s="559"/>
      <c r="AB311" s="559"/>
      <c r="AC311" s="559"/>
      <c r="AD311" s="559"/>
      <c r="AE311" s="559"/>
      <c r="AF311" s="559"/>
      <c r="AG311" s="559"/>
    </row>
    <row r="312" spans="1:33" ht="18" customHeight="1" x14ac:dyDescent="0.35">
      <c r="A312" s="559"/>
      <c r="B312" s="559"/>
      <c r="C312" s="559"/>
      <c r="D312" s="559"/>
      <c r="E312" s="559"/>
      <c r="F312" s="559"/>
      <c r="G312" s="559"/>
      <c r="H312" s="559"/>
      <c r="I312" s="559"/>
      <c r="J312" s="559"/>
      <c r="K312" s="559"/>
      <c r="L312" s="559"/>
      <c r="M312" s="559"/>
      <c r="N312" s="559"/>
      <c r="O312" s="559"/>
      <c r="P312" s="559"/>
      <c r="Q312" s="559"/>
      <c r="R312" s="559"/>
      <c r="S312" s="559"/>
      <c r="T312" s="559"/>
      <c r="U312" s="559"/>
      <c r="V312" s="559"/>
      <c r="W312" s="559"/>
      <c r="X312" s="559"/>
      <c r="Y312" s="559"/>
      <c r="Z312" s="559"/>
      <c r="AA312" s="559"/>
      <c r="AB312" s="559"/>
      <c r="AC312" s="559"/>
      <c r="AD312" s="559"/>
      <c r="AE312" s="559"/>
      <c r="AF312" s="559"/>
      <c r="AG312" s="559"/>
    </row>
    <row r="313" spans="1:33" ht="18" customHeight="1" x14ac:dyDescent="0.35">
      <c r="A313" s="559"/>
      <c r="B313" s="559"/>
      <c r="C313" s="559"/>
      <c r="D313" s="559"/>
      <c r="E313" s="559"/>
      <c r="F313" s="559"/>
      <c r="G313" s="559"/>
      <c r="H313" s="559"/>
      <c r="I313" s="559"/>
      <c r="J313" s="559"/>
      <c r="K313" s="559"/>
      <c r="L313" s="559"/>
      <c r="M313" s="559"/>
      <c r="N313" s="559"/>
      <c r="O313" s="559"/>
      <c r="P313" s="559"/>
      <c r="Q313" s="559"/>
      <c r="R313" s="559"/>
      <c r="S313" s="559"/>
      <c r="T313" s="559"/>
      <c r="U313" s="559"/>
      <c r="V313" s="559"/>
      <c r="W313" s="559"/>
      <c r="X313" s="559"/>
      <c r="Y313" s="559"/>
      <c r="Z313" s="559"/>
      <c r="AA313" s="559"/>
      <c r="AB313" s="559"/>
      <c r="AC313" s="559"/>
      <c r="AD313" s="559"/>
      <c r="AE313" s="559"/>
      <c r="AF313" s="559"/>
      <c r="AG313" s="559"/>
    </row>
    <row r="314" spans="1:33" ht="18" customHeight="1" x14ac:dyDescent="0.35">
      <c r="A314" s="559"/>
      <c r="B314" s="559"/>
      <c r="C314" s="559"/>
      <c r="D314" s="559"/>
      <c r="E314" s="559"/>
      <c r="F314" s="559"/>
      <c r="G314" s="559"/>
      <c r="H314" s="559"/>
      <c r="I314" s="559"/>
      <c r="J314" s="559"/>
      <c r="K314" s="559"/>
      <c r="L314" s="559"/>
      <c r="M314" s="559"/>
      <c r="N314" s="559"/>
      <c r="O314" s="559"/>
      <c r="P314" s="559"/>
      <c r="Q314" s="559"/>
      <c r="R314" s="559"/>
      <c r="S314" s="559"/>
      <c r="T314" s="559"/>
      <c r="U314" s="559"/>
      <c r="V314" s="559"/>
      <c r="W314" s="559"/>
      <c r="X314" s="559"/>
      <c r="Y314" s="559"/>
      <c r="Z314" s="559"/>
      <c r="AA314" s="559"/>
      <c r="AB314" s="559"/>
      <c r="AC314" s="559"/>
      <c r="AD314" s="559"/>
      <c r="AE314" s="559"/>
      <c r="AF314" s="559"/>
      <c r="AG314" s="559"/>
    </row>
    <row r="315" spans="1:33" ht="18" customHeight="1" x14ac:dyDescent="0.35">
      <c r="A315" s="559"/>
      <c r="B315" s="559"/>
      <c r="C315" s="559"/>
      <c r="D315" s="559"/>
      <c r="E315" s="559"/>
      <c r="F315" s="559"/>
      <c r="G315" s="559"/>
      <c r="H315" s="559"/>
      <c r="I315" s="559"/>
      <c r="J315" s="559"/>
      <c r="K315" s="559"/>
      <c r="L315" s="559"/>
      <c r="M315" s="559"/>
      <c r="N315" s="559"/>
      <c r="O315" s="559"/>
      <c r="P315" s="559"/>
      <c r="Q315" s="559"/>
      <c r="R315" s="559"/>
      <c r="S315" s="559"/>
      <c r="T315" s="559"/>
      <c r="U315" s="559"/>
      <c r="V315" s="559"/>
      <c r="W315" s="559"/>
      <c r="X315" s="559"/>
      <c r="Y315" s="559"/>
      <c r="Z315" s="559"/>
      <c r="AA315" s="559"/>
      <c r="AB315" s="559"/>
      <c r="AC315" s="559"/>
      <c r="AD315" s="559"/>
      <c r="AE315" s="559"/>
      <c r="AF315" s="559"/>
      <c r="AG315" s="559"/>
    </row>
    <row r="316" spans="1:33" ht="18" customHeight="1" x14ac:dyDescent="0.35">
      <c r="A316" s="559"/>
      <c r="B316" s="559"/>
      <c r="C316" s="559"/>
      <c r="D316" s="559"/>
      <c r="E316" s="559"/>
      <c r="F316" s="559"/>
      <c r="G316" s="559"/>
      <c r="H316" s="559"/>
      <c r="I316" s="559"/>
      <c r="J316" s="559"/>
      <c r="K316" s="559"/>
      <c r="L316" s="559"/>
      <c r="M316" s="559"/>
      <c r="N316" s="559"/>
      <c r="O316" s="559"/>
      <c r="P316" s="559"/>
      <c r="Q316" s="559"/>
      <c r="R316" s="559"/>
      <c r="S316" s="559"/>
      <c r="T316" s="559"/>
      <c r="U316" s="559"/>
      <c r="V316" s="559"/>
      <c r="W316" s="559"/>
      <c r="X316" s="559"/>
      <c r="Y316" s="559"/>
      <c r="Z316" s="559"/>
      <c r="AA316" s="559"/>
      <c r="AB316" s="559"/>
      <c r="AC316" s="559"/>
      <c r="AD316" s="559"/>
      <c r="AE316" s="559"/>
      <c r="AF316" s="559"/>
      <c r="AG316" s="559"/>
    </row>
    <row r="317" spans="1:33" ht="18" customHeight="1" x14ac:dyDescent="0.35">
      <c r="A317" s="559"/>
      <c r="B317" s="559"/>
      <c r="C317" s="559"/>
      <c r="D317" s="559"/>
      <c r="E317" s="559"/>
      <c r="F317" s="559"/>
      <c r="G317" s="559"/>
      <c r="H317" s="559"/>
      <c r="I317" s="559"/>
      <c r="J317" s="559"/>
      <c r="K317" s="559"/>
      <c r="L317" s="559"/>
      <c r="M317" s="559"/>
      <c r="N317" s="559"/>
      <c r="O317" s="559"/>
      <c r="P317" s="559"/>
      <c r="Q317" s="559"/>
      <c r="R317" s="559"/>
      <c r="S317" s="559"/>
      <c r="T317" s="559"/>
      <c r="U317" s="559"/>
      <c r="V317" s="559"/>
      <c r="W317" s="559"/>
      <c r="X317" s="559"/>
      <c r="Y317" s="559"/>
      <c r="Z317" s="559"/>
      <c r="AA317" s="559"/>
      <c r="AB317" s="559"/>
      <c r="AC317" s="559"/>
      <c r="AD317" s="559"/>
      <c r="AE317" s="559"/>
      <c r="AF317" s="559"/>
      <c r="AG317" s="559"/>
    </row>
    <row r="318" spans="1:33" ht="18" customHeight="1" x14ac:dyDescent="0.35">
      <c r="A318" s="559"/>
      <c r="B318" s="559"/>
      <c r="C318" s="559"/>
      <c r="D318" s="559"/>
      <c r="E318" s="559"/>
      <c r="F318" s="559"/>
      <c r="G318" s="559"/>
      <c r="H318" s="559"/>
      <c r="I318" s="559"/>
      <c r="J318" s="559"/>
      <c r="K318" s="559"/>
      <c r="L318" s="559"/>
      <c r="M318" s="559"/>
      <c r="N318" s="559"/>
      <c r="O318" s="559"/>
      <c r="P318" s="559"/>
      <c r="Q318" s="559"/>
      <c r="R318" s="559"/>
      <c r="S318" s="559"/>
      <c r="T318" s="559"/>
      <c r="U318" s="559"/>
      <c r="V318" s="559"/>
      <c r="W318" s="559"/>
      <c r="X318" s="559"/>
      <c r="Y318" s="559"/>
      <c r="Z318" s="559"/>
      <c r="AA318" s="559"/>
      <c r="AB318" s="559"/>
      <c r="AC318" s="559"/>
      <c r="AD318" s="559"/>
      <c r="AE318" s="559"/>
      <c r="AF318" s="559"/>
      <c r="AG318" s="559"/>
    </row>
    <row r="319" spans="1:33" ht="18" customHeight="1" x14ac:dyDescent="0.35">
      <c r="A319" s="559"/>
      <c r="B319" s="559"/>
      <c r="C319" s="559"/>
      <c r="D319" s="559"/>
      <c r="E319" s="559"/>
      <c r="F319" s="559"/>
      <c r="G319" s="559"/>
      <c r="H319" s="559"/>
      <c r="I319" s="559"/>
      <c r="J319" s="559"/>
      <c r="K319" s="559"/>
      <c r="L319" s="559"/>
      <c r="M319" s="559"/>
      <c r="N319" s="559"/>
      <c r="O319" s="559"/>
      <c r="P319" s="559"/>
      <c r="Q319" s="559"/>
      <c r="R319" s="559"/>
      <c r="S319" s="559"/>
      <c r="T319" s="559"/>
      <c r="U319" s="559"/>
      <c r="V319" s="559"/>
      <c r="W319" s="559"/>
      <c r="X319" s="559"/>
      <c r="Y319" s="559"/>
      <c r="Z319" s="559"/>
      <c r="AA319" s="559"/>
      <c r="AB319" s="559"/>
      <c r="AC319" s="559"/>
      <c r="AD319" s="559"/>
      <c r="AE319" s="559"/>
      <c r="AF319" s="559"/>
      <c r="AG319" s="559"/>
    </row>
    <row r="320" spans="1:33" ht="18" customHeight="1" x14ac:dyDescent="0.35">
      <c r="A320" s="559"/>
      <c r="B320" s="559"/>
      <c r="C320" s="559"/>
      <c r="D320" s="559"/>
      <c r="E320" s="559"/>
      <c r="F320" s="559"/>
      <c r="G320" s="559"/>
      <c r="H320" s="559"/>
      <c r="I320" s="559"/>
      <c r="J320" s="559"/>
      <c r="K320" s="559"/>
      <c r="L320" s="559"/>
      <c r="M320" s="559"/>
      <c r="N320" s="559"/>
      <c r="O320" s="559"/>
      <c r="P320" s="559"/>
      <c r="Q320" s="559"/>
      <c r="R320" s="559"/>
      <c r="S320" s="559"/>
      <c r="T320" s="559"/>
      <c r="U320" s="559"/>
      <c r="V320" s="559"/>
      <c r="W320" s="559"/>
      <c r="X320" s="559"/>
      <c r="Y320" s="559"/>
      <c r="Z320" s="559"/>
      <c r="AA320" s="559"/>
      <c r="AB320" s="559"/>
      <c r="AC320" s="559"/>
      <c r="AD320" s="559"/>
      <c r="AE320" s="559"/>
      <c r="AF320" s="559"/>
      <c r="AG320" s="559"/>
    </row>
    <row r="321" spans="1:33" ht="18" customHeight="1" x14ac:dyDescent="0.35">
      <c r="A321" s="559"/>
      <c r="B321" s="559"/>
      <c r="C321" s="559"/>
      <c r="D321" s="559"/>
      <c r="E321" s="559"/>
      <c r="F321" s="559"/>
      <c r="G321" s="559"/>
      <c r="H321" s="559"/>
      <c r="I321" s="559"/>
      <c r="J321" s="559"/>
      <c r="K321" s="559"/>
      <c r="L321" s="559"/>
      <c r="M321" s="559"/>
      <c r="N321" s="559"/>
      <c r="O321" s="559"/>
      <c r="P321" s="559"/>
      <c r="Q321" s="559"/>
      <c r="R321" s="559"/>
      <c r="S321" s="559"/>
      <c r="T321" s="559"/>
      <c r="U321" s="559"/>
      <c r="V321" s="559"/>
      <c r="W321" s="559"/>
      <c r="X321" s="559"/>
      <c r="Y321" s="559"/>
      <c r="Z321" s="559"/>
      <c r="AA321" s="559"/>
      <c r="AB321" s="559"/>
      <c r="AC321" s="559"/>
      <c r="AD321" s="559"/>
      <c r="AE321" s="559"/>
      <c r="AF321" s="559"/>
      <c r="AG321" s="559"/>
    </row>
    <row r="322" spans="1:33" ht="18" customHeight="1" x14ac:dyDescent="0.35">
      <c r="A322" s="559"/>
      <c r="B322" s="559"/>
      <c r="C322" s="559"/>
      <c r="D322" s="559"/>
      <c r="E322" s="559"/>
      <c r="F322" s="559"/>
      <c r="G322" s="559"/>
      <c r="H322" s="559"/>
      <c r="I322" s="559"/>
      <c r="J322" s="559"/>
      <c r="K322" s="559"/>
      <c r="L322" s="559"/>
      <c r="M322" s="559"/>
      <c r="N322" s="559"/>
      <c r="O322" s="559"/>
      <c r="P322" s="559"/>
      <c r="Q322" s="559"/>
      <c r="R322" s="559"/>
      <c r="S322" s="559"/>
      <c r="T322" s="559"/>
      <c r="U322" s="559"/>
      <c r="V322" s="559"/>
      <c r="W322" s="559"/>
      <c r="X322" s="559"/>
      <c r="Y322" s="559"/>
      <c r="Z322" s="559"/>
      <c r="AA322" s="559"/>
      <c r="AB322" s="559"/>
      <c r="AC322" s="559"/>
      <c r="AD322" s="559"/>
      <c r="AE322" s="559"/>
      <c r="AF322" s="559"/>
      <c r="AG322" s="559"/>
    </row>
    <row r="323" spans="1:33" ht="18" customHeight="1" x14ac:dyDescent="0.35">
      <c r="A323" s="559"/>
      <c r="B323" s="559"/>
      <c r="C323" s="559"/>
      <c r="D323" s="559"/>
      <c r="E323" s="559"/>
      <c r="F323" s="559"/>
      <c r="G323" s="559"/>
      <c r="H323" s="559"/>
      <c r="I323" s="559"/>
      <c r="J323" s="559"/>
      <c r="K323" s="559"/>
      <c r="L323" s="559"/>
      <c r="M323" s="559"/>
      <c r="N323" s="559"/>
      <c r="O323" s="559"/>
      <c r="P323" s="559"/>
      <c r="Q323" s="559"/>
      <c r="R323" s="559"/>
      <c r="S323" s="559"/>
      <c r="T323" s="559"/>
      <c r="U323" s="559"/>
      <c r="V323" s="559"/>
      <c r="W323" s="559"/>
      <c r="X323" s="559"/>
      <c r="Y323" s="559"/>
      <c r="Z323" s="559"/>
      <c r="AA323" s="559"/>
      <c r="AB323" s="559"/>
      <c r="AC323" s="559"/>
      <c r="AD323" s="559"/>
      <c r="AE323" s="559"/>
      <c r="AF323" s="559"/>
      <c r="AG323" s="559"/>
    </row>
    <row r="324" spans="1:33" ht="18" customHeight="1" x14ac:dyDescent="0.35">
      <c r="A324" s="559"/>
      <c r="B324" s="559"/>
      <c r="C324" s="559"/>
      <c r="D324" s="559"/>
      <c r="E324" s="559"/>
      <c r="F324" s="559"/>
      <c r="G324" s="559"/>
      <c r="H324" s="559"/>
      <c r="I324" s="559"/>
      <c r="J324" s="559"/>
      <c r="K324" s="559"/>
      <c r="L324" s="559"/>
      <c r="M324" s="559"/>
      <c r="N324" s="559"/>
      <c r="O324" s="559"/>
      <c r="P324" s="559"/>
      <c r="Q324" s="559"/>
      <c r="R324" s="559"/>
      <c r="S324" s="559"/>
      <c r="T324" s="559"/>
      <c r="U324" s="559"/>
      <c r="V324" s="559"/>
      <c r="W324" s="559"/>
      <c r="X324" s="559"/>
      <c r="Y324" s="559"/>
      <c r="Z324" s="559"/>
      <c r="AA324" s="559"/>
      <c r="AB324" s="559"/>
      <c r="AC324" s="559"/>
      <c r="AD324" s="559"/>
      <c r="AE324" s="559"/>
      <c r="AF324" s="559"/>
      <c r="AG324" s="559"/>
    </row>
    <row r="325" spans="1:33" ht="18" customHeight="1" x14ac:dyDescent="0.35">
      <c r="A325" s="559"/>
      <c r="B325" s="559"/>
      <c r="C325" s="559"/>
      <c r="D325" s="559"/>
      <c r="E325" s="559"/>
      <c r="F325" s="559"/>
      <c r="G325" s="559"/>
      <c r="H325" s="559"/>
      <c r="I325" s="559"/>
      <c r="J325" s="559"/>
      <c r="K325" s="559"/>
      <c r="L325" s="559"/>
      <c r="M325" s="559"/>
      <c r="N325" s="559"/>
      <c r="O325" s="559"/>
      <c r="P325" s="559"/>
      <c r="Q325" s="559"/>
      <c r="R325" s="559"/>
      <c r="S325" s="559"/>
      <c r="T325" s="559"/>
      <c r="U325" s="559"/>
      <c r="V325" s="559"/>
      <c r="W325" s="559"/>
      <c r="X325" s="559"/>
      <c r="Y325" s="559"/>
      <c r="Z325" s="559"/>
      <c r="AA325" s="559"/>
      <c r="AB325" s="559"/>
      <c r="AC325" s="559"/>
      <c r="AD325" s="559"/>
      <c r="AE325" s="559"/>
      <c r="AF325" s="559"/>
      <c r="AG325" s="559"/>
    </row>
    <row r="326" spans="1:33" ht="18" customHeight="1" x14ac:dyDescent="0.35">
      <c r="A326" s="559"/>
      <c r="B326" s="559"/>
      <c r="C326" s="559"/>
      <c r="D326" s="559"/>
      <c r="E326" s="559"/>
      <c r="F326" s="559"/>
      <c r="G326" s="559"/>
      <c r="H326" s="559"/>
      <c r="I326" s="559"/>
      <c r="J326" s="559"/>
      <c r="K326" s="559"/>
      <c r="L326" s="559"/>
      <c r="M326" s="559"/>
      <c r="N326" s="559"/>
      <c r="O326" s="559"/>
      <c r="P326" s="559"/>
      <c r="Q326" s="559"/>
      <c r="R326" s="559"/>
      <c r="S326" s="559"/>
      <c r="T326" s="559"/>
      <c r="U326" s="559"/>
      <c r="V326" s="559"/>
      <c r="W326" s="559"/>
      <c r="X326" s="559"/>
      <c r="Y326" s="559"/>
      <c r="Z326" s="559"/>
      <c r="AA326" s="559"/>
      <c r="AB326" s="559"/>
      <c r="AC326" s="559"/>
      <c r="AD326" s="559"/>
      <c r="AE326" s="559"/>
      <c r="AF326" s="559"/>
      <c r="AG326" s="559"/>
    </row>
    <row r="327" spans="1:33" ht="18" customHeight="1" x14ac:dyDescent="0.35">
      <c r="A327" s="559"/>
      <c r="B327" s="559"/>
      <c r="C327" s="559"/>
      <c r="D327" s="559"/>
      <c r="E327" s="559"/>
      <c r="F327" s="559"/>
      <c r="G327" s="559"/>
      <c r="H327" s="559"/>
      <c r="I327" s="559"/>
      <c r="J327" s="559"/>
      <c r="K327" s="559"/>
      <c r="L327" s="559"/>
      <c r="M327" s="559"/>
      <c r="N327" s="559"/>
      <c r="O327" s="559"/>
      <c r="P327" s="559"/>
      <c r="Q327" s="559"/>
      <c r="R327" s="559"/>
      <c r="S327" s="559"/>
      <c r="T327" s="559"/>
      <c r="U327" s="559"/>
      <c r="V327" s="559"/>
      <c r="W327" s="559"/>
      <c r="X327" s="559"/>
      <c r="Y327" s="559"/>
      <c r="Z327" s="559"/>
      <c r="AA327" s="559"/>
      <c r="AB327" s="559"/>
      <c r="AC327" s="559"/>
      <c r="AD327" s="559"/>
      <c r="AE327" s="559"/>
      <c r="AF327" s="559"/>
      <c r="AG327" s="559"/>
    </row>
    <row r="328" spans="1:33" ht="18" customHeight="1" x14ac:dyDescent="0.35">
      <c r="A328" s="559"/>
      <c r="B328" s="559"/>
      <c r="C328" s="559"/>
      <c r="D328" s="559"/>
      <c r="E328" s="559"/>
      <c r="F328" s="559"/>
      <c r="G328" s="559"/>
      <c r="H328" s="559"/>
      <c r="I328" s="559"/>
      <c r="J328" s="559"/>
      <c r="K328" s="559"/>
      <c r="L328" s="559"/>
      <c r="M328" s="559"/>
      <c r="N328" s="559"/>
      <c r="O328" s="559"/>
      <c r="P328" s="559"/>
      <c r="Q328" s="559"/>
      <c r="R328" s="559"/>
      <c r="S328" s="559"/>
      <c r="T328" s="559"/>
      <c r="U328" s="559"/>
      <c r="V328" s="559"/>
      <c r="W328" s="559"/>
      <c r="X328" s="559"/>
      <c r="Y328" s="559"/>
      <c r="Z328" s="559"/>
      <c r="AA328" s="559"/>
      <c r="AB328" s="559"/>
      <c r="AC328" s="559"/>
      <c r="AD328" s="559"/>
      <c r="AE328" s="559"/>
      <c r="AF328" s="559"/>
      <c r="AG328" s="559"/>
    </row>
    <row r="329" spans="1:33" ht="18" customHeight="1" x14ac:dyDescent="0.35">
      <c r="A329" s="559"/>
      <c r="B329" s="559"/>
      <c r="C329" s="559"/>
      <c r="D329" s="559"/>
      <c r="E329" s="559"/>
      <c r="F329" s="559"/>
      <c r="G329" s="559"/>
      <c r="H329" s="559"/>
      <c r="I329" s="559"/>
      <c r="J329" s="559"/>
      <c r="K329" s="559"/>
      <c r="L329" s="559"/>
      <c r="M329" s="559"/>
      <c r="N329" s="559"/>
      <c r="O329" s="559"/>
      <c r="P329" s="559"/>
      <c r="Q329" s="559"/>
      <c r="R329" s="559"/>
      <c r="S329" s="559"/>
      <c r="T329" s="559"/>
      <c r="U329" s="559"/>
      <c r="V329" s="559"/>
      <c r="W329" s="559"/>
      <c r="X329" s="559"/>
      <c r="Y329" s="559"/>
      <c r="Z329" s="559"/>
      <c r="AA329" s="559"/>
      <c r="AB329" s="559"/>
      <c r="AC329" s="559"/>
      <c r="AD329" s="559"/>
      <c r="AE329" s="559"/>
      <c r="AF329" s="559"/>
      <c r="AG329" s="559"/>
    </row>
    <row r="330" spans="1:33" ht="18" customHeight="1" x14ac:dyDescent="0.35">
      <c r="A330" s="559"/>
      <c r="B330" s="559"/>
      <c r="C330" s="559"/>
      <c r="D330" s="559"/>
      <c r="E330" s="559"/>
      <c r="F330" s="559"/>
      <c r="G330" s="559"/>
      <c r="H330" s="559"/>
      <c r="I330" s="559"/>
      <c r="J330" s="559"/>
      <c r="K330" s="559"/>
      <c r="L330" s="559"/>
      <c r="M330" s="559"/>
      <c r="N330" s="559"/>
      <c r="O330" s="559"/>
      <c r="P330" s="559"/>
      <c r="Q330" s="559"/>
      <c r="R330" s="559"/>
      <c r="S330" s="559"/>
      <c r="T330" s="559"/>
      <c r="U330" s="559"/>
      <c r="V330" s="559"/>
      <c r="W330" s="559"/>
      <c r="X330" s="559"/>
      <c r="Y330" s="559"/>
      <c r="Z330" s="559"/>
      <c r="AA330" s="559"/>
      <c r="AB330" s="559"/>
      <c r="AC330" s="559"/>
      <c r="AD330" s="559"/>
      <c r="AE330" s="559"/>
      <c r="AF330" s="559"/>
      <c r="AG330" s="559"/>
    </row>
    <row r="331" spans="1:33" ht="18" customHeight="1" x14ac:dyDescent="0.35">
      <c r="A331" s="559"/>
      <c r="B331" s="559"/>
      <c r="C331" s="559"/>
      <c r="D331" s="559"/>
      <c r="E331" s="559"/>
      <c r="F331" s="559"/>
      <c r="G331" s="559"/>
      <c r="H331" s="559"/>
      <c r="I331" s="559"/>
      <c r="J331" s="559"/>
      <c r="K331" s="559"/>
      <c r="L331" s="559"/>
      <c r="M331" s="559"/>
      <c r="N331" s="559"/>
      <c r="O331" s="559"/>
      <c r="P331" s="559"/>
      <c r="Q331" s="559"/>
      <c r="R331" s="559"/>
      <c r="S331" s="559"/>
      <c r="T331" s="559"/>
      <c r="U331" s="559"/>
      <c r="V331" s="559"/>
      <c r="W331" s="559"/>
      <c r="X331" s="559"/>
      <c r="Y331" s="559"/>
      <c r="Z331" s="559"/>
      <c r="AA331" s="559"/>
      <c r="AB331" s="559"/>
      <c r="AC331" s="559"/>
      <c r="AD331" s="559"/>
      <c r="AE331" s="559"/>
      <c r="AF331" s="559"/>
      <c r="AG331" s="559"/>
    </row>
    <row r="332" spans="1:33" ht="18" customHeight="1" x14ac:dyDescent="0.35">
      <c r="A332" s="559"/>
      <c r="B332" s="559"/>
      <c r="C332" s="559"/>
      <c r="D332" s="559"/>
      <c r="E332" s="559"/>
      <c r="F332" s="559"/>
      <c r="G332" s="559"/>
      <c r="H332" s="559"/>
      <c r="I332" s="559"/>
      <c r="J332" s="559"/>
      <c r="K332" s="559"/>
      <c r="L332" s="559"/>
      <c r="M332" s="559"/>
      <c r="N332" s="559"/>
      <c r="O332" s="559"/>
      <c r="P332" s="559"/>
      <c r="Q332" s="559"/>
      <c r="R332" s="559"/>
      <c r="S332" s="559"/>
      <c r="T332" s="559"/>
      <c r="U332" s="559"/>
      <c r="V332" s="559"/>
      <c r="W332" s="559"/>
      <c r="X332" s="559"/>
      <c r="Y332" s="559"/>
      <c r="Z332" s="559"/>
      <c r="AA332" s="559"/>
      <c r="AB332" s="559"/>
      <c r="AC332" s="559"/>
      <c r="AD332" s="559"/>
      <c r="AE332" s="559"/>
      <c r="AF332" s="559"/>
      <c r="AG332" s="559"/>
    </row>
    <row r="333" spans="1:33" ht="18" customHeight="1" x14ac:dyDescent="0.35">
      <c r="A333" s="559"/>
      <c r="B333" s="559"/>
      <c r="C333" s="559"/>
      <c r="D333" s="559"/>
      <c r="E333" s="559"/>
      <c r="F333" s="559"/>
      <c r="G333" s="559"/>
      <c r="H333" s="559"/>
      <c r="I333" s="559"/>
      <c r="J333" s="559"/>
      <c r="K333" s="559"/>
      <c r="L333" s="559"/>
      <c r="M333" s="559"/>
      <c r="N333" s="559"/>
      <c r="O333" s="559"/>
      <c r="P333" s="559"/>
      <c r="Q333" s="559"/>
      <c r="R333" s="559"/>
      <c r="S333" s="559"/>
      <c r="T333" s="559"/>
      <c r="U333" s="559"/>
      <c r="V333" s="559"/>
      <c r="W333" s="559"/>
      <c r="X333" s="559"/>
      <c r="Y333" s="559"/>
      <c r="Z333" s="559"/>
      <c r="AA333" s="559"/>
      <c r="AB333" s="559"/>
      <c r="AC333" s="559"/>
      <c r="AD333" s="559"/>
      <c r="AE333" s="559"/>
      <c r="AF333" s="559"/>
      <c r="AG333" s="559"/>
    </row>
    <row r="334" spans="1:33" ht="18" customHeight="1" x14ac:dyDescent="0.35">
      <c r="A334" s="559"/>
      <c r="B334" s="559"/>
      <c r="C334" s="559"/>
      <c r="D334" s="559"/>
      <c r="E334" s="559"/>
      <c r="F334" s="559"/>
      <c r="G334" s="559"/>
      <c r="H334" s="559"/>
      <c r="I334" s="559"/>
      <c r="J334" s="559"/>
      <c r="K334" s="559"/>
      <c r="L334" s="559"/>
      <c r="M334" s="559"/>
      <c r="N334" s="559"/>
      <c r="O334" s="559"/>
      <c r="P334" s="559"/>
      <c r="Q334" s="559"/>
      <c r="R334" s="559"/>
      <c r="S334" s="559"/>
      <c r="T334" s="559"/>
      <c r="U334" s="559"/>
      <c r="V334" s="559"/>
      <c r="W334" s="559"/>
      <c r="X334" s="559"/>
      <c r="Y334" s="559"/>
      <c r="Z334" s="559"/>
      <c r="AA334" s="559"/>
      <c r="AB334" s="559"/>
      <c r="AC334" s="559"/>
      <c r="AD334" s="559"/>
      <c r="AE334" s="559"/>
      <c r="AF334" s="559"/>
      <c r="AG334" s="559"/>
    </row>
    <row r="335" spans="1:33" ht="18" customHeight="1" x14ac:dyDescent="0.35">
      <c r="A335" s="559"/>
      <c r="B335" s="559"/>
      <c r="C335" s="559"/>
      <c r="D335" s="559"/>
      <c r="E335" s="559"/>
      <c r="F335" s="559"/>
      <c r="G335" s="559"/>
      <c r="H335" s="559"/>
      <c r="I335" s="559"/>
      <c r="J335" s="559"/>
      <c r="K335" s="559"/>
      <c r="L335" s="559"/>
      <c r="M335" s="559"/>
      <c r="N335" s="559"/>
      <c r="O335" s="559"/>
      <c r="P335" s="559"/>
      <c r="Q335" s="559"/>
      <c r="R335" s="559"/>
      <c r="S335" s="559"/>
      <c r="T335" s="559"/>
      <c r="U335" s="559"/>
      <c r="V335" s="559"/>
      <c r="W335" s="559"/>
      <c r="X335" s="559"/>
      <c r="Y335" s="559"/>
      <c r="Z335" s="559"/>
      <c r="AA335" s="559"/>
      <c r="AB335" s="559"/>
      <c r="AC335" s="559"/>
      <c r="AD335" s="559"/>
      <c r="AE335" s="559"/>
      <c r="AF335" s="559"/>
      <c r="AG335" s="559"/>
    </row>
    <row r="336" spans="1:33" ht="18" customHeight="1" x14ac:dyDescent="0.35">
      <c r="A336" s="559"/>
      <c r="B336" s="559"/>
      <c r="C336" s="559"/>
      <c r="D336" s="559"/>
      <c r="E336" s="559"/>
      <c r="F336" s="559"/>
      <c r="G336" s="559"/>
      <c r="H336" s="559"/>
      <c r="I336" s="559"/>
      <c r="J336" s="559"/>
      <c r="K336" s="559"/>
      <c r="L336" s="559"/>
      <c r="M336" s="559"/>
      <c r="N336" s="559"/>
      <c r="O336" s="559"/>
      <c r="P336" s="559"/>
      <c r="Q336" s="559"/>
      <c r="R336" s="559"/>
      <c r="S336" s="559"/>
      <c r="T336" s="559"/>
      <c r="U336" s="559"/>
      <c r="V336" s="559"/>
      <c r="W336" s="559"/>
      <c r="X336" s="559"/>
      <c r="Y336" s="559"/>
      <c r="Z336" s="559"/>
      <c r="AA336" s="559"/>
      <c r="AB336" s="559"/>
      <c r="AC336" s="559"/>
      <c r="AD336" s="559"/>
      <c r="AE336" s="559"/>
      <c r="AF336" s="559"/>
      <c r="AG336" s="559"/>
    </row>
    <row r="337" spans="1:33" ht="18" customHeight="1" x14ac:dyDescent="0.35">
      <c r="A337" s="559"/>
      <c r="B337" s="559"/>
      <c r="C337" s="559"/>
      <c r="D337" s="559"/>
      <c r="E337" s="559"/>
      <c r="F337" s="559"/>
      <c r="G337" s="559"/>
      <c r="H337" s="559"/>
      <c r="I337" s="559"/>
      <c r="J337" s="559"/>
      <c r="K337" s="559"/>
      <c r="L337" s="559"/>
      <c r="M337" s="559"/>
      <c r="N337" s="559"/>
      <c r="O337" s="559"/>
      <c r="P337" s="559"/>
      <c r="Q337" s="559"/>
      <c r="R337" s="559"/>
      <c r="S337" s="559"/>
      <c r="T337" s="559"/>
      <c r="U337" s="559"/>
      <c r="V337" s="559"/>
      <c r="W337" s="559"/>
      <c r="X337" s="559"/>
      <c r="Y337" s="559"/>
      <c r="Z337" s="559"/>
      <c r="AA337" s="559"/>
      <c r="AB337" s="559"/>
      <c r="AC337" s="559"/>
      <c r="AD337" s="559"/>
      <c r="AE337" s="559"/>
      <c r="AF337" s="559"/>
      <c r="AG337" s="559"/>
    </row>
    <row r="338" spans="1:33" ht="18" customHeight="1" x14ac:dyDescent="0.35">
      <c r="A338" s="559"/>
      <c r="B338" s="559"/>
      <c r="C338" s="559"/>
      <c r="D338" s="559"/>
      <c r="E338" s="559"/>
      <c r="F338" s="559"/>
      <c r="G338" s="559"/>
      <c r="H338" s="559"/>
      <c r="I338" s="559"/>
      <c r="J338" s="559"/>
      <c r="K338" s="559"/>
      <c r="L338" s="559"/>
      <c r="M338" s="559"/>
      <c r="N338" s="559"/>
      <c r="O338" s="559"/>
      <c r="P338" s="559"/>
      <c r="Q338" s="559"/>
      <c r="R338" s="559"/>
      <c r="S338" s="559"/>
      <c r="T338" s="559"/>
      <c r="U338" s="559"/>
      <c r="V338" s="559"/>
      <c r="W338" s="559"/>
      <c r="X338" s="559"/>
      <c r="Y338" s="559"/>
      <c r="Z338" s="559"/>
      <c r="AA338" s="559"/>
      <c r="AB338" s="559"/>
      <c r="AC338" s="559"/>
      <c r="AD338" s="559"/>
      <c r="AE338" s="559"/>
      <c r="AF338" s="559"/>
      <c r="AG338" s="559"/>
    </row>
    <row r="339" spans="1:33" ht="18" customHeight="1" x14ac:dyDescent="0.35">
      <c r="A339" s="559"/>
      <c r="B339" s="559"/>
      <c r="C339" s="559"/>
      <c r="D339" s="559"/>
      <c r="E339" s="559"/>
      <c r="F339" s="559"/>
      <c r="G339" s="559"/>
      <c r="H339" s="559"/>
      <c r="I339" s="559"/>
      <c r="J339" s="559"/>
      <c r="K339" s="559"/>
      <c r="L339" s="559"/>
      <c r="M339" s="559"/>
      <c r="N339" s="559"/>
      <c r="O339" s="559"/>
      <c r="P339" s="559"/>
      <c r="Q339" s="559"/>
      <c r="R339" s="559"/>
      <c r="S339" s="559"/>
      <c r="T339" s="559"/>
      <c r="U339" s="559"/>
      <c r="V339" s="559"/>
      <c r="W339" s="559"/>
      <c r="X339" s="559"/>
      <c r="Y339" s="559"/>
      <c r="Z339" s="559"/>
      <c r="AA339" s="559"/>
      <c r="AB339" s="559"/>
      <c r="AC339" s="559"/>
      <c r="AD339" s="559"/>
      <c r="AE339" s="559"/>
      <c r="AF339" s="559"/>
      <c r="AG339" s="559"/>
    </row>
    <row r="340" spans="1:33" ht="18" customHeight="1" x14ac:dyDescent="0.35">
      <c r="A340" s="559"/>
      <c r="B340" s="559"/>
      <c r="C340" s="559"/>
      <c r="D340" s="559"/>
      <c r="E340" s="559"/>
      <c r="F340" s="559"/>
      <c r="G340" s="559"/>
      <c r="H340" s="559"/>
      <c r="I340" s="559"/>
      <c r="J340" s="559"/>
      <c r="K340" s="559"/>
      <c r="L340" s="559"/>
      <c r="M340" s="559"/>
      <c r="N340" s="559"/>
      <c r="O340" s="559"/>
      <c r="P340" s="559"/>
      <c r="Q340" s="559"/>
      <c r="R340" s="559"/>
      <c r="S340" s="559"/>
      <c r="T340" s="559"/>
      <c r="U340" s="559"/>
      <c r="V340" s="559"/>
      <c r="W340" s="559"/>
      <c r="X340" s="559"/>
      <c r="Y340" s="559"/>
      <c r="Z340" s="559"/>
      <c r="AA340" s="559"/>
      <c r="AB340" s="559"/>
      <c r="AC340" s="559"/>
      <c r="AD340" s="559"/>
      <c r="AE340" s="559"/>
      <c r="AF340" s="559"/>
      <c r="AG340" s="559"/>
    </row>
    <row r="341" spans="1:33" ht="18" customHeight="1" x14ac:dyDescent="0.35">
      <c r="A341" s="559"/>
      <c r="B341" s="559"/>
      <c r="C341" s="559"/>
      <c r="D341" s="559"/>
      <c r="E341" s="559"/>
      <c r="F341" s="559"/>
      <c r="G341" s="559"/>
      <c r="H341" s="559"/>
      <c r="I341" s="559"/>
      <c r="J341" s="559"/>
      <c r="K341" s="559"/>
      <c r="L341" s="559"/>
      <c r="M341" s="559"/>
      <c r="N341" s="559"/>
      <c r="O341" s="559"/>
      <c r="P341" s="559"/>
      <c r="Q341" s="559"/>
      <c r="R341" s="559"/>
      <c r="S341" s="559"/>
      <c r="T341" s="559"/>
      <c r="U341" s="559"/>
      <c r="V341" s="559"/>
      <c r="W341" s="559"/>
      <c r="X341" s="559"/>
      <c r="Y341" s="559"/>
      <c r="Z341" s="559"/>
      <c r="AA341" s="559"/>
      <c r="AB341" s="559"/>
      <c r="AC341" s="559"/>
      <c r="AD341" s="559"/>
      <c r="AE341" s="559"/>
      <c r="AF341" s="559"/>
      <c r="AG341" s="559"/>
    </row>
    <row r="342" spans="1:33" ht="18" customHeight="1" x14ac:dyDescent="0.35">
      <c r="A342" s="559"/>
      <c r="B342" s="559"/>
      <c r="C342" s="559"/>
      <c r="D342" s="559"/>
      <c r="E342" s="559"/>
      <c r="F342" s="559"/>
      <c r="G342" s="559"/>
      <c r="H342" s="559"/>
      <c r="I342" s="559"/>
      <c r="J342" s="559"/>
      <c r="K342" s="559"/>
      <c r="L342" s="559"/>
      <c r="M342" s="559"/>
      <c r="N342" s="559"/>
      <c r="O342" s="559"/>
      <c r="P342" s="559"/>
      <c r="Q342" s="559"/>
      <c r="R342" s="559"/>
      <c r="S342" s="559"/>
      <c r="T342" s="559"/>
      <c r="U342" s="559"/>
      <c r="V342" s="559"/>
      <c r="W342" s="559"/>
      <c r="X342" s="559"/>
      <c r="Y342" s="559"/>
      <c r="Z342" s="559"/>
      <c r="AA342" s="559"/>
      <c r="AB342" s="559"/>
      <c r="AC342" s="559"/>
      <c r="AD342" s="559"/>
      <c r="AE342" s="559"/>
      <c r="AF342" s="559"/>
      <c r="AG342" s="559"/>
    </row>
    <row r="343" spans="1:33" ht="18" customHeight="1" x14ac:dyDescent="0.35">
      <c r="A343" s="559"/>
      <c r="B343" s="559"/>
      <c r="C343" s="559"/>
      <c r="D343" s="559"/>
      <c r="E343" s="559"/>
      <c r="F343" s="559"/>
      <c r="G343" s="559"/>
      <c r="H343" s="559"/>
      <c r="I343" s="559"/>
      <c r="J343" s="559"/>
      <c r="K343" s="559"/>
      <c r="L343" s="559"/>
      <c r="M343" s="559"/>
      <c r="N343" s="559"/>
      <c r="O343" s="559"/>
      <c r="P343" s="559"/>
      <c r="Q343" s="559"/>
      <c r="R343" s="559"/>
      <c r="S343" s="559"/>
      <c r="T343" s="559"/>
      <c r="U343" s="559"/>
      <c r="V343" s="559"/>
      <c r="W343" s="559"/>
      <c r="X343" s="559"/>
      <c r="Y343" s="559"/>
      <c r="Z343" s="559"/>
      <c r="AA343" s="559"/>
      <c r="AB343" s="559"/>
      <c r="AC343" s="559"/>
      <c r="AD343" s="559"/>
      <c r="AE343" s="559"/>
      <c r="AF343" s="559"/>
      <c r="AG343" s="559"/>
    </row>
    <row r="344" spans="1:33" ht="18" customHeight="1" x14ac:dyDescent="0.35">
      <c r="A344" s="559"/>
      <c r="B344" s="559"/>
      <c r="C344" s="559"/>
      <c r="D344" s="559"/>
      <c r="E344" s="559"/>
      <c r="F344" s="559"/>
      <c r="G344" s="559"/>
      <c r="H344" s="559"/>
      <c r="I344" s="559"/>
      <c r="J344" s="559"/>
      <c r="K344" s="559"/>
      <c r="L344" s="559"/>
      <c r="M344" s="559"/>
      <c r="N344" s="559"/>
      <c r="O344" s="559"/>
      <c r="P344" s="559"/>
      <c r="Q344" s="559"/>
      <c r="R344" s="559"/>
      <c r="S344" s="559"/>
      <c r="T344" s="559"/>
      <c r="U344" s="559"/>
      <c r="V344" s="559"/>
      <c r="W344" s="559"/>
      <c r="X344" s="559"/>
      <c r="Y344" s="559"/>
      <c r="Z344" s="559"/>
      <c r="AA344" s="559"/>
      <c r="AB344" s="559"/>
      <c r="AC344" s="559"/>
      <c r="AD344" s="559"/>
      <c r="AE344" s="559"/>
      <c r="AF344" s="559"/>
      <c r="AG344" s="559"/>
    </row>
    <row r="345" spans="1:33" ht="18" customHeight="1" x14ac:dyDescent="0.35">
      <c r="A345" s="559"/>
      <c r="B345" s="559"/>
      <c r="C345" s="559"/>
      <c r="D345" s="559"/>
      <c r="E345" s="559"/>
      <c r="F345" s="559"/>
      <c r="G345" s="559"/>
      <c r="H345" s="559"/>
      <c r="I345" s="559"/>
      <c r="J345" s="559"/>
      <c r="K345" s="559"/>
      <c r="L345" s="559"/>
      <c r="M345" s="559"/>
      <c r="N345" s="559"/>
      <c r="O345" s="559"/>
      <c r="P345" s="559"/>
      <c r="Q345" s="559"/>
      <c r="R345" s="559"/>
      <c r="S345" s="559"/>
      <c r="T345" s="559"/>
      <c r="U345" s="559"/>
      <c r="V345" s="559"/>
      <c r="W345" s="559"/>
      <c r="X345" s="559"/>
      <c r="Y345" s="559"/>
      <c r="Z345" s="559"/>
      <c r="AA345" s="559"/>
      <c r="AB345" s="559"/>
      <c r="AC345" s="559"/>
      <c r="AD345" s="559"/>
      <c r="AE345" s="559"/>
      <c r="AF345" s="559"/>
      <c r="AG345" s="559"/>
    </row>
    <row r="346" spans="1:33" ht="18" customHeight="1" x14ac:dyDescent="0.35">
      <c r="A346" s="559"/>
      <c r="B346" s="559"/>
      <c r="C346" s="559"/>
      <c r="D346" s="559"/>
      <c r="E346" s="559"/>
      <c r="F346" s="559"/>
      <c r="G346" s="559"/>
      <c r="H346" s="559"/>
      <c r="I346" s="559"/>
      <c r="J346" s="559"/>
      <c r="K346" s="559"/>
      <c r="L346" s="559"/>
      <c r="M346" s="559"/>
      <c r="N346" s="559"/>
      <c r="O346" s="559"/>
      <c r="P346" s="559"/>
      <c r="Q346" s="559"/>
      <c r="R346" s="559"/>
      <c r="S346" s="559"/>
      <c r="T346" s="559"/>
      <c r="U346" s="559"/>
      <c r="V346" s="559"/>
      <c r="W346" s="559"/>
      <c r="X346" s="559"/>
      <c r="Y346" s="559"/>
      <c r="Z346" s="559"/>
      <c r="AA346" s="559"/>
      <c r="AB346" s="559"/>
      <c r="AC346" s="559"/>
      <c r="AD346" s="559"/>
      <c r="AE346" s="559"/>
      <c r="AF346" s="559"/>
      <c r="AG346" s="559"/>
    </row>
    <row r="347" spans="1:33" ht="18" customHeight="1" x14ac:dyDescent="0.35">
      <c r="A347" s="559"/>
      <c r="B347" s="559"/>
      <c r="C347" s="559"/>
      <c r="D347" s="559"/>
      <c r="E347" s="559"/>
      <c r="F347" s="559"/>
      <c r="G347" s="559"/>
      <c r="H347" s="559"/>
      <c r="I347" s="559"/>
      <c r="J347" s="559"/>
      <c r="K347" s="559"/>
      <c r="L347" s="559"/>
      <c r="M347" s="559"/>
      <c r="N347" s="559"/>
      <c r="O347" s="559"/>
      <c r="P347" s="559"/>
      <c r="Q347" s="559"/>
      <c r="R347" s="559"/>
      <c r="S347" s="559"/>
      <c r="T347" s="559"/>
      <c r="U347" s="559"/>
      <c r="V347" s="559"/>
      <c r="W347" s="559"/>
      <c r="X347" s="559"/>
      <c r="Y347" s="559"/>
      <c r="Z347" s="559"/>
      <c r="AA347" s="559"/>
      <c r="AB347" s="559"/>
      <c r="AC347" s="559"/>
      <c r="AD347" s="559"/>
      <c r="AE347" s="559"/>
      <c r="AF347" s="559"/>
      <c r="AG347" s="559"/>
    </row>
    <row r="348" spans="1:33" ht="18" customHeight="1" x14ac:dyDescent="0.35">
      <c r="A348" s="559"/>
      <c r="B348" s="559"/>
      <c r="C348" s="559"/>
      <c r="D348" s="559"/>
      <c r="E348" s="559"/>
      <c r="F348" s="559"/>
      <c r="G348" s="559"/>
      <c r="H348" s="559"/>
      <c r="I348" s="559"/>
      <c r="J348" s="559"/>
      <c r="K348" s="559"/>
      <c r="L348" s="559"/>
      <c r="M348" s="559"/>
      <c r="N348" s="559"/>
      <c r="O348" s="559"/>
      <c r="P348" s="559"/>
      <c r="Q348" s="559"/>
      <c r="R348" s="559"/>
      <c r="S348" s="559"/>
      <c r="T348" s="559"/>
      <c r="U348" s="559"/>
      <c r="V348" s="559"/>
      <c r="W348" s="559"/>
      <c r="X348" s="559"/>
      <c r="Y348" s="559"/>
      <c r="Z348" s="559"/>
      <c r="AA348" s="559"/>
      <c r="AB348" s="559"/>
      <c r="AC348" s="559"/>
      <c r="AD348" s="559"/>
      <c r="AE348" s="559"/>
      <c r="AF348" s="559"/>
      <c r="AG348" s="559"/>
    </row>
    <row r="349" spans="1:33" ht="18" customHeight="1" x14ac:dyDescent="0.35">
      <c r="A349" s="559"/>
      <c r="B349" s="559"/>
      <c r="C349" s="559"/>
      <c r="D349" s="559"/>
      <c r="E349" s="559"/>
      <c r="F349" s="559"/>
      <c r="G349" s="559"/>
      <c r="H349" s="559"/>
      <c r="I349" s="559"/>
      <c r="J349" s="559"/>
      <c r="K349" s="559"/>
      <c r="L349" s="559"/>
      <c r="M349" s="559"/>
      <c r="N349" s="559"/>
      <c r="O349" s="559"/>
      <c r="P349" s="559"/>
      <c r="Q349" s="559"/>
      <c r="R349" s="559"/>
      <c r="S349" s="559"/>
      <c r="T349" s="559"/>
      <c r="U349" s="559"/>
      <c r="V349" s="559"/>
      <c r="W349" s="559"/>
      <c r="X349" s="559"/>
      <c r="Y349" s="559"/>
      <c r="Z349" s="559"/>
      <c r="AA349" s="559"/>
      <c r="AB349" s="559"/>
      <c r="AC349" s="559"/>
      <c r="AD349" s="559"/>
      <c r="AE349" s="559"/>
      <c r="AF349" s="559"/>
      <c r="AG349" s="559"/>
    </row>
    <row r="350" spans="1:33" ht="18" customHeight="1" x14ac:dyDescent="0.35">
      <c r="A350" s="559"/>
      <c r="B350" s="559"/>
      <c r="C350" s="559"/>
      <c r="D350" s="559"/>
      <c r="E350" s="559"/>
      <c r="F350" s="559"/>
      <c r="G350" s="559"/>
      <c r="H350" s="559"/>
      <c r="I350" s="559"/>
      <c r="J350" s="559"/>
      <c r="K350" s="559"/>
      <c r="L350" s="559"/>
      <c r="M350" s="559"/>
      <c r="N350" s="559"/>
      <c r="O350" s="559"/>
      <c r="P350" s="559"/>
      <c r="Q350" s="559"/>
      <c r="R350" s="559"/>
      <c r="S350" s="559"/>
      <c r="T350" s="559"/>
      <c r="U350" s="559"/>
      <c r="V350" s="559"/>
      <c r="W350" s="559"/>
      <c r="X350" s="559"/>
      <c r="Y350" s="559"/>
      <c r="Z350" s="559"/>
      <c r="AA350" s="559"/>
      <c r="AB350" s="559"/>
      <c r="AC350" s="559"/>
      <c r="AD350" s="559"/>
      <c r="AE350" s="559"/>
      <c r="AF350" s="559"/>
      <c r="AG350" s="559"/>
    </row>
    <row r="351" spans="1:33" ht="18" customHeight="1" x14ac:dyDescent="0.35">
      <c r="A351" s="559"/>
      <c r="B351" s="559"/>
      <c r="C351" s="559"/>
      <c r="D351" s="559"/>
      <c r="E351" s="559"/>
      <c r="F351" s="559"/>
      <c r="G351" s="559"/>
      <c r="H351" s="559"/>
      <c r="I351" s="559"/>
      <c r="J351" s="559"/>
      <c r="K351" s="559"/>
      <c r="L351" s="559"/>
      <c r="M351" s="559"/>
      <c r="N351" s="559"/>
      <c r="O351" s="559"/>
      <c r="P351" s="559"/>
      <c r="Q351" s="559"/>
      <c r="R351" s="559"/>
      <c r="S351" s="559"/>
      <c r="T351" s="559"/>
      <c r="U351" s="559"/>
      <c r="V351" s="559"/>
      <c r="W351" s="559"/>
      <c r="X351" s="559"/>
      <c r="Y351" s="559"/>
      <c r="Z351" s="559"/>
      <c r="AA351" s="559"/>
      <c r="AB351" s="559"/>
      <c r="AC351" s="559"/>
      <c r="AD351" s="559"/>
      <c r="AE351" s="559"/>
      <c r="AF351" s="559"/>
      <c r="AG351" s="559"/>
    </row>
    <row r="352" spans="1:33" ht="18" customHeight="1" x14ac:dyDescent="0.35">
      <c r="A352" s="559"/>
      <c r="B352" s="559"/>
      <c r="C352" s="559"/>
      <c r="D352" s="559"/>
      <c r="E352" s="559"/>
      <c r="F352" s="559"/>
      <c r="G352" s="559"/>
      <c r="H352" s="559"/>
      <c r="I352" s="559"/>
      <c r="J352" s="559"/>
      <c r="K352" s="559"/>
      <c r="L352" s="559"/>
      <c r="M352" s="559"/>
      <c r="N352" s="559"/>
      <c r="O352" s="559"/>
      <c r="P352" s="559"/>
      <c r="Q352" s="559"/>
      <c r="R352" s="559"/>
      <c r="S352" s="559"/>
      <c r="T352" s="559"/>
      <c r="U352" s="559"/>
      <c r="V352" s="559"/>
      <c r="W352" s="559"/>
      <c r="X352" s="559"/>
      <c r="Y352" s="559"/>
      <c r="Z352" s="559"/>
      <c r="AA352" s="559"/>
      <c r="AB352" s="559"/>
      <c r="AC352" s="559"/>
      <c r="AD352" s="559"/>
      <c r="AE352" s="559"/>
      <c r="AF352" s="559"/>
      <c r="AG352" s="559"/>
    </row>
    <row r="353" spans="1:33" ht="18" customHeight="1" x14ac:dyDescent="0.35">
      <c r="A353" s="559"/>
      <c r="B353" s="559"/>
      <c r="C353" s="559"/>
      <c r="D353" s="559"/>
      <c r="E353" s="559"/>
      <c r="F353" s="559"/>
      <c r="G353" s="559"/>
      <c r="H353" s="559"/>
      <c r="I353" s="559"/>
      <c r="J353" s="559"/>
      <c r="K353" s="559"/>
      <c r="L353" s="559"/>
      <c r="M353" s="559"/>
      <c r="N353" s="559"/>
      <c r="O353" s="559"/>
      <c r="P353" s="559"/>
      <c r="Q353" s="559"/>
      <c r="R353" s="559"/>
      <c r="S353" s="559"/>
      <c r="T353" s="559"/>
      <c r="U353" s="559"/>
      <c r="V353" s="559"/>
      <c r="W353" s="559"/>
      <c r="X353" s="559"/>
      <c r="Y353" s="559"/>
      <c r="Z353" s="559"/>
      <c r="AA353" s="559"/>
      <c r="AB353" s="559"/>
      <c r="AC353" s="559"/>
      <c r="AD353" s="559"/>
      <c r="AE353" s="559"/>
      <c r="AF353" s="559"/>
      <c r="AG353" s="559"/>
    </row>
    <row r="354" spans="1:33" ht="18" customHeight="1" x14ac:dyDescent="0.35">
      <c r="A354" s="559"/>
      <c r="B354" s="559"/>
      <c r="C354" s="559"/>
      <c r="D354" s="559"/>
      <c r="E354" s="559"/>
      <c r="F354" s="559"/>
      <c r="G354" s="559"/>
      <c r="H354" s="559"/>
      <c r="I354" s="559"/>
      <c r="J354" s="559"/>
      <c r="K354" s="559"/>
      <c r="L354" s="559"/>
      <c r="M354" s="559"/>
      <c r="N354" s="559"/>
      <c r="O354" s="559"/>
      <c r="P354" s="559"/>
      <c r="Q354" s="559"/>
      <c r="R354" s="559"/>
      <c r="S354" s="559"/>
      <c r="T354" s="559"/>
      <c r="U354" s="559"/>
      <c r="V354" s="559"/>
      <c r="W354" s="559"/>
      <c r="X354" s="559"/>
      <c r="Y354" s="559"/>
      <c r="Z354" s="559"/>
      <c r="AA354" s="559"/>
      <c r="AB354" s="559"/>
      <c r="AC354" s="559"/>
      <c r="AD354" s="559"/>
      <c r="AE354" s="559"/>
      <c r="AF354" s="559"/>
      <c r="AG354" s="559"/>
    </row>
    <row r="355" spans="1:33" ht="18" customHeight="1" x14ac:dyDescent="0.35">
      <c r="A355" s="559"/>
      <c r="B355" s="559"/>
      <c r="C355" s="559"/>
      <c r="D355" s="559"/>
      <c r="E355" s="559"/>
      <c r="F355" s="559"/>
      <c r="G355" s="559"/>
      <c r="H355" s="559"/>
      <c r="I355" s="559"/>
      <c r="J355" s="559"/>
      <c r="K355" s="559"/>
      <c r="L355" s="559"/>
      <c r="M355" s="559"/>
      <c r="N355" s="559"/>
      <c r="O355" s="559"/>
      <c r="P355" s="559"/>
      <c r="Q355" s="559"/>
      <c r="R355" s="559"/>
      <c r="S355" s="559"/>
      <c r="T355" s="559"/>
      <c r="U355" s="559"/>
      <c r="V355" s="559"/>
      <c r="W355" s="559"/>
      <c r="X355" s="559"/>
      <c r="Y355" s="559"/>
      <c r="Z355" s="559"/>
      <c r="AA355" s="559"/>
      <c r="AB355" s="559"/>
      <c r="AC355" s="559"/>
      <c r="AD355" s="559"/>
      <c r="AE355" s="559"/>
      <c r="AF355" s="559"/>
      <c r="AG355" s="559"/>
    </row>
    <row r="356" spans="1:33" ht="18" customHeight="1" x14ac:dyDescent="0.35">
      <c r="A356" s="559"/>
      <c r="B356" s="559"/>
      <c r="C356" s="559"/>
      <c r="D356" s="559"/>
      <c r="E356" s="559"/>
      <c r="F356" s="559"/>
      <c r="G356" s="559"/>
      <c r="H356" s="559"/>
      <c r="I356" s="559"/>
      <c r="J356" s="559"/>
      <c r="K356" s="559"/>
      <c r="L356" s="559"/>
      <c r="M356" s="559"/>
      <c r="N356" s="559"/>
      <c r="O356" s="559"/>
      <c r="P356" s="559"/>
      <c r="Q356" s="559"/>
      <c r="R356" s="559"/>
      <c r="S356" s="559"/>
      <c r="T356" s="559"/>
      <c r="U356" s="559"/>
      <c r="V356" s="559"/>
      <c r="W356" s="559"/>
      <c r="X356" s="559"/>
      <c r="Y356" s="559"/>
      <c r="Z356" s="559"/>
      <c r="AA356" s="559"/>
      <c r="AB356" s="559"/>
      <c r="AC356" s="559"/>
      <c r="AD356" s="559"/>
      <c r="AE356" s="559"/>
      <c r="AF356" s="559"/>
      <c r="AG356" s="559"/>
    </row>
    <row r="357" spans="1:33" ht="18" customHeight="1" x14ac:dyDescent="0.35">
      <c r="A357" s="559"/>
      <c r="B357" s="559"/>
      <c r="C357" s="559"/>
      <c r="D357" s="559"/>
      <c r="E357" s="559"/>
      <c r="F357" s="559"/>
      <c r="G357" s="559"/>
      <c r="H357" s="559"/>
      <c r="I357" s="559"/>
      <c r="J357" s="559"/>
      <c r="K357" s="559"/>
      <c r="L357" s="559"/>
      <c r="M357" s="559"/>
      <c r="N357" s="559"/>
      <c r="O357" s="559"/>
      <c r="P357" s="559"/>
      <c r="Q357" s="559"/>
      <c r="R357" s="559"/>
      <c r="S357" s="559"/>
      <c r="T357" s="559"/>
      <c r="U357" s="559"/>
      <c r="V357" s="559"/>
      <c r="W357" s="559"/>
      <c r="X357" s="559"/>
      <c r="Y357" s="559"/>
      <c r="Z357" s="559"/>
      <c r="AA357" s="559"/>
      <c r="AB357" s="559"/>
      <c r="AC357" s="559"/>
      <c r="AD357" s="559"/>
      <c r="AE357" s="559"/>
      <c r="AF357" s="559"/>
      <c r="AG357" s="559"/>
    </row>
    <row r="358" spans="1:33" ht="18" customHeight="1" x14ac:dyDescent="0.35">
      <c r="A358" s="559"/>
      <c r="B358" s="559"/>
      <c r="C358" s="559"/>
      <c r="D358" s="559"/>
      <c r="E358" s="559"/>
      <c r="F358" s="559"/>
      <c r="G358" s="559"/>
      <c r="H358" s="559"/>
      <c r="I358" s="559"/>
      <c r="J358" s="559"/>
      <c r="K358" s="559"/>
      <c r="L358" s="559"/>
      <c r="M358" s="559"/>
      <c r="N358" s="559"/>
      <c r="O358" s="559"/>
      <c r="P358" s="559"/>
      <c r="Q358" s="559"/>
      <c r="R358" s="559"/>
      <c r="S358" s="559"/>
      <c r="T358" s="559"/>
      <c r="U358" s="559"/>
      <c r="V358" s="559"/>
      <c r="W358" s="559"/>
      <c r="X358" s="559"/>
      <c r="Y358" s="559"/>
      <c r="Z358" s="559"/>
      <c r="AA358" s="559"/>
      <c r="AB358" s="559"/>
      <c r="AC358" s="559"/>
      <c r="AD358" s="559"/>
      <c r="AE358" s="559"/>
      <c r="AF358" s="559"/>
      <c r="AG358" s="559"/>
    </row>
    <row r="359" spans="1:33" ht="18" customHeight="1" x14ac:dyDescent="0.35">
      <c r="A359" s="559"/>
      <c r="B359" s="559"/>
      <c r="C359" s="559"/>
      <c r="D359" s="559"/>
      <c r="E359" s="559"/>
      <c r="F359" s="559"/>
      <c r="G359" s="559"/>
      <c r="H359" s="559"/>
      <c r="I359" s="559"/>
      <c r="J359" s="559"/>
      <c r="K359" s="559"/>
      <c r="L359" s="559"/>
      <c r="M359" s="559"/>
      <c r="N359" s="559"/>
      <c r="O359" s="559"/>
      <c r="P359" s="559"/>
      <c r="Q359" s="559"/>
      <c r="R359" s="559"/>
      <c r="S359" s="559"/>
      <c r="T359" s="559"/>
      <c r="U359" s="559"/>
      <c r="V359" s="559"/>
      <c r="W359" s="559"/>
      <c r="X359" s="559"/>
      <c r="Y359" s="559"/>
      <c r="Z359" s="559"/>
      <c r="AA359" s="559"/>
      <c r="AB359" s="559"/>
      <c r="AC359" s="559"/>
      <c r="AD359" s="559"/>
      <c r="AE359" s="559"/>
      <c r="AF359" s="559"/>
      <c r="AG359" s="559"/>
    </row>
    <row r="360" spans="1:33" ht="18" customHeight="1" x14ac:dyDescent="0.35">
      <c r="A360" s="559"/>
      <c r="B360" s="559"/>
      <c r="C360" s="559"/>
      <c r="D360" s="559"/>
      <c r="E360" s="559"/>
      <c r="F360" s="559"/>
      <c r="G360" s="559"/>
      <c r="H360" s="559"/>
      <c r="I360" s="559"/>
      <c r="J360" s="559"/>
      <c r="K360" s="559"/>
      <c r="L360" s="559"/>
      <c r="M360" s="559"/>
      <c r="N360" s="559"/>
      <c r="O360" s="559"/>
      <c r="P360" s="559"/>
      <c r="Q360" s="559"/>
      <c r="R360" s="559"/>
      <c r="S360" s="559"/>
      <c r="T360" s="559"/>
      <c r="U360" s="559"/>
      <c r="V360" s="559"/>
      <c r="W360" s="559"/>
      <c r="X360" s="559"/>
      <c r="Y360" s="559"/>
      <c r="Z360" s="559"/>
      <c r="AA360" s="559"/>
      <c r="AB360" s="559"/>
      <c r="AC360" s="559"/>
      <c r="AD360" s="559"/>
      <c r="AE360" s="559"/>
      <c r="AF360" s="559"/>
      <c r="AG360" s="559"/>
    </row>
    <row r="361" spans="1:33" ht="18" customHeight="1" x14ac:dyDescent="0.35">
      <c r="A361" s="559"/>
      <c r="B361" s="559"/>
      <c r="C361" s="559"/>
      <c r="D361" s="559"/>
      <c r="E361" s="559"/>
      <c r="F361" s="559"/>
      <c r="G361" s="559"/>
      <c r="H361" s="559"/>
      <c r="I361" s="559"/>
      <c r="J361" s="559"/>
      <c r="K361" s="559"/>
      <c r="L361" s="559"/>
      <c r="M361" s="559"/>
      <c r="N361" s="559"/>
      <c r="O361" s="559"/>
      <c r="P361" s="559"/>
      <c r="Q361" s="559"/>
      <c r="R361" s="559"/>
      <c r="S361" s="559"/>
      <c r="T361" s="559"/>
      <c r="U361" s="559"/>
      <c r="V361" s="559"/>
      <c r="W361" s="559"/>
      <c r="X361" s="559"/>
      <c r="Y361" s="559"/>
      <c r="Z361" s="559"/>
      <c r="AA361" s="559"/>
      <c r="AB361" s="559"/>
      <c r="AC361" s="559"/>
      <c r="AD361" s="559"/>
      <c r="AE361" s="559"/>
      <c r="AF361" s="559"/>
      <c r="AG361" s="559"/>
    </row>
    <row r="362" spans="1:33" ht="18" customHeight="1" x14ac:dyDescent="0.35">
      <c r="A362" s="559"/>
      <c r="B362" s="559"/>
      <c r="C362" s="559"/>
      <c r="D362" s="559"/>
      <c r="E362" s="559"/>
      <c r="F362" s="559"/>
      <c r="G362" s="559"/>
      <c r="H362" s="559"/>
      <c r="I362" s="559"/>
      <c r="J362" s="559"/>
      <c r="K362" s="559"/>
      <c r="L362" s="559"/>
      <c r="M362" s="559"/>
      <c r="N362" s="559"/>
      <c r="O362" s="559"/>
      <c r="P362" s="559"/>
      <c r="Q362" s="559"/>
      <c r="R362" s="559"/>
      <c r="S362" s="559"/>
      <c r="T362" s="559"/>
      <c r="U362" s="559"/>
      <c r="V362" s="559"/>
      <c r="W362" s="559"/>
      <c r="X362" s="559"/>
      <c r="Y362" s="559"/>
      <c r="Z362" s="559"/>
      <c r="AA362" s="559"/>
      <c r="AB362" s="559"/>
      <c r="AC362" s="559"/>
      <c r="AD362" s="559"/>
      <c r="AE362" s="559"/>
      <c r="AF362" s="559"/>
      <c r="AG362" s="559"/>
    </row>
    <row r="363" spans="1:33" ht="18" customHeight="1" x14ac:dyDescent="0.35">
      <c r="A363" s="559"/>
      <c r="B363" s="559"/>
      <c r="C363" s="559"/>
      <c r="D363" s="559"/>
      <c r="E363" s="559"/>
      <c r="F363" s="559"/>
      <c r="G363" s="559"/>
      <c r="H363" s="559"/>
      <c r="I363" s="559"/>
      <c r="J363" s="559"/>
      <c r="K363" s="559"/>
      <c r="L363" s="559"/>
      <c r="M363" s="559"/>
      <c r="N363" s="559"/>
      <c r="O363" s="559"/>
      <c r="P363" s="559"/>
      <c r="Q363" s="559"/>
      <c r="R363" s="559"/>
      <c r="S363" s="559"/>
      <c r="T363" s="559"/>
      <c r="U363" s="559"/>
      <c r="V363" s="559"/>
      <c r="W363" s="559"/>
      <c r="X363" s="559"/>
      <c r="Y363" s="559"/>
      <c r="Z363" s="559"/>
      <c r="AA363" s="559"/>
      <c r="AB363" s="559"/>
      <c r="AC363" s="559"/>
      <c r="AD363" s="559"/>
      <c r="AE363" s="559"/>
      <c r="AF363" s="559"/>
      <c r="AG363" s="559"/>
    </row>
    <row r="364" spans="1:33" ht="18" customHeight="1" x14ac:dyDescent="0.35">
      <c r="A364" s="559"/>
      <c r="B364" s="559"/>
      <c r="C364" s="559"/>
      <c r="D364" s="559"/>
      <c r="E364" s="559"/>
      <c r="F364" s="559"/>
      <c r="G364" s="559"/>
      <c r="H364" s="559"/>
      <c r="I364" s="559"/>
      <c r="J364" s="559"/>
      <c r="K364" s="559"/>
      <c r="L364" s="559"/>
      <c r="M364" s="559"/>
      <c r="N364" s="559"/>
      <c r="O364" s="559"/>
      <c r="P364" s="559"/>
      <c r="Q364" s="559"/>
      <c r="R364" s="559"/>
      <c r="S364" s="559"/>
      <c r="T364" s="559"/>
      <c r="U364" s="559"/>
      <c r="V364" s="559"/>
      <c r="W364" s="559"/>
      <c r="X364" s="559"/>
      <c r="Y364" s="559"/>
      <c r="Z364" s="559"/>
      <c r="AA364" s="559"/>
      <c r="AB364" s="559"/>
      <c r="AC364" s="559"/>
      <c r="AD364" s="559"/>
      <c r="AE364" s="559"/>
      <c r="AF364" s="559"/>
      <c r="AG364" s="559"/>
    </row>
    <row r="365" spans="1:33" ht="18" customHeight="1" x14ac:dyDescent="0.35">
      <c r="A365" s="559"/>
      <c r="B365" s="559"/>
      <c r="C365" s="559"/>
      <c r="D365" s="559"/>
      <c r="E365" s="559"/>
      <c r="F365" s="559"/>
      <c r="G365" s="559"/>
      <c r="H365" s="559"/>
      <c r="I365" s="559"/>
      <c r="J365" s="559"/>
      <c r="K365" s="559"/>
      <c r="L365" s="559"/>
      <c r="M365" s="559"/>
      <c r="N365" s="559"/>
      <c r="O365" s="559"/>
      <c r="P365" s="559"/>
      <c r="Q365" s="559"/>
      <c r="R365" s="559"/>
      <c r="S365" s="559"/>
      <c r="T365" s="559"/>
      <c r="U365" s="559"/>
      <c r="V365" s="559"/>
      <c r="W365" s="559"/>
      <c r="X365" s="559"/>
      <c r="Y365" s="559"/>
      <c r="Z365" s="559"/>
      <c r="AA365" s="559"/>
      <c r="AB365" s="559"/>
      <c r="AC365" s="559"/>
      <c r="AD365" s="559"/>
      <c r="AE365" s="559"/>
      <c r="AF365" s="559"/>
      <c r="AG365" s="559"/>
    </row>
    <row r="366" spans="1:33" ht="18" customHeight="1" x14ac:dyDescent="0.35">
      <c r="A366" s="559"/>
      <c r="B366" s="559"/>
      <c r="C366" s="559"/>
      <c r="D366" s="559"/>
      <c r="E366" s="559"/>
      <c r="F366" s="559"/>
      <c r="G366" s="559"/>
      <c r="H366" s="559"/>
      <c r="I366" s="559"/>
      <c r="J366" s="559"/>
      <c r="K366" s="559"/>
      <c r="L366" s="559"/>
      <c r="M366" s="559"/>
      <c r="N366" s="559"/>
      <c r="O366" s="559"/>
      <c r="P366" s="559"/>
      <c r="Q366" s="559"/>
      <c r="R366" s="559"/>
      <c r="S366" s="559"/>
      <c r="T366" s="559"/>
      <c r="U366" s="559"/>
      <c r="V366" s="559"/>
      <c r="W366" s="559"/>
      <c r="X366" s="559"/>
      <c r="Y366" s="559"/>
      <c r="Z366" s="559"/>
      <c r="AA366" s="559"/>
      <c r="AB366" s="559"/>
      <c r="AC366" s="559"/>
      <c r="AD366" s="559"/>
      <c r="AE366" s="559"/>
      <c r="AF366" s="559"/>
      <c r="AG366" s="559"/>
    </row>
    <row r="367" spans="1:33" ht="18" customHeight="1" x14ac:dyDescent="0.35">
      <c r="A367" s="559"/>
      <c r="B367" s="559"/>
      <c r="C367" s="559"/>
      <c r="D367" s="559"/>
      <c r="E367" s="559"/>
      <c r="F367" s="559"/>
      <c r="G367" s="559"/>
      <c r="H367" s="559"/>
      <c r="I367" s="559"/>
      <c r="J367" s="559"/>
      <c r="K367" s="559"/>
      <c r="L367" s="559"/>
      <c r="M367" s="559"/>
      <c r="N367" s="559"/>
      <c r="O367" s="559"/>
      <c r="P367" s="559"/>
      <c r="Q367" s="559"/>
      <c r="R367" s="559"/>
      <c r="S367" s="559"/>
      <c r="T367" s="559"/>
      <c r="U367" s="559"/>
      <c r="V367" s="559"/>
      <c r="W367" s="559"/>
      <c r="X367" s="559"/>
      <c r="Y367" s="559"/>
      <c r="Z367" s="559"/>
      <c r="AA367" s="559"/>
      <c r="AB367" s="559"/>
      <c r="AC367" s="559"/>
      <c r="AD367" s="559"/>
      <c r="AE367" s="559"/>
      <c r="AF367" s="559"/>
      <c r="AG367" s="559"/>
    </row>
    <row r="368" spans="1:33" ht="18" customHeight="1" x14ac:dyDescent="0.35">
      <c r="A368" s="559"/>
      <c r="B368" s="559"/>
      <c r="C368" s="559"/>
      <c r="D368" s="559"/>
      <c r="E368" s="559"/>
      <c r="F368" s="559"/>
      <c r="G368" s="559"/>
      <c r="H368" s="559"/>
      <c r="I368" s="559"/>
      <c r="J368" s="559"/>
      <c r="K368" s="559"/>
      <c r="L368" s="559"/>
      <c r="M368" s="559"/>
      <c r="N368" s="559"/>
      <c r="O368" s="559"/>
      <c r="P368" s="559"/>
      <c r="Q368" s="559"/>
      <c r="R368" s="559"/>
      <c r="S368" s="559"/>
      <c r="T368" s="559"/>
      <c r="U368" s="559"/>
      <c r="V368" s="559"/>
      <c r="W368" s="559"/>
      <c r="X368" s="559"/>
      <c r="Y368" s="559"/>
      <c r="Z368" s="559"/>
      <c r="AA368" s="559"/>
      <c r="AB368" s="559"/>
      <c r="AC368" s="559"/>
      <c r="AD368" s="559"/>
      <c r="AE368" s="559"/>
      <c r="AF368" s="559"/>
      <c r="AG368" s="559"/>
    </row>
    <row r="369" spans="1:33" ht="18" customHeight="1" x14ac:dyDescent="0.35">
      <c r="A369" s="559"/>
      <c r="B369" s="559"/>
      <c r="C369" s="559"/>
      <c r="D369" s="559"/>
      <c r="E369" s="559"/>
      <c r="F369" s="559"/>
      <c r="G369" s="559"/>
      <c r="H369" s="559"/>
      <c r="I369" s="559"/>
      <c r="J369" s="559"/>
      <c r="K369" s="559"/>
      <c r="L369" s="559"/>
      <c r="M369" s="559"/>
      <c r="N369" s="559"/>
      <c r="O369" s="559"/>
      <c r="P369" s="559"/>
      <c r="Q369" s="559"/>
      <c r="R369" s="559"/>
      <c r="S369" s="559"/>
      <c r="T369" s="559"/>
      <c r="U369" s="559"/>
      <c r="V369" s="559"/>
      <c r="W369" s="559"/>
      <c r="X369" s="559"/>
      <c r="Y369" s="559"/>
      <c r="Z369" s="559"/>
      <c r="AA369" s="559"/>
      <c r="AB369" s="559"/>
      <c r="AC369" s="559"/>
      <c r="AD369" s="559"/>
      <c r="AE369" s="559"/>
      <c r="AF369" s="559"/>
      <c r="AG369" s="559"/>
    </row>
    <row r="370" spans="1:33" ht="18" customHeight="1" x14ac:dyDescent="0.35">
      <c r="A370" s="559"/>
      <c r="B370" s="559"/>
      <c r="C370" s="559"/>
      <c r="D370" s="559"/>
      <c r="E370" s="559"/>
      <c r="F370" s="559"/>
      <c r="G370" s="559"/>
      <c r="H370" s="559"/>
      <c r="I370" s="559"/>
      <c r="J370" s="559"/>
      <c r="K370" s="559"/>
      <c r="L370" s="559"/>
      <c r="M370" s="559"/>
      <c r="N370" s="559"/>
      <c r="O370" s="559"/>
      <c r="P370" s="559"/>
      <c r="Q370" s="559"/>
      <c r="R370" s="559"/>
      <c r="S370" s="559"/>
      <c r="T370" s="559"/>
      <c r="U370" s="559"/>
      <c r="V370" s="559"/>
      <c r="W370" s="559"/>
      <c r="X370" s="559"/>
      <c r="Y370" s="559"/>
      <c r="Z370" s="559"/>
      <c r="AA370" s="559"/>
      <c r="AB370" s="559"/>
      <c r="AC370" s="559"/>
      <c r="AD370" s="559"/>
      <c r="AE370" s="559"/>
      <c r="AF370" s="559"/>
      <c r="AG370" s="559"/>
    </row>
    <row r="371" spans="1:33" ht="18" customHeight="1" x14ac:dyDescent="0.35">
      <c r="A371" s="559"/>
      <c r="B371" s="559"/>
      <c r="C371" s="559"/>
      <c r="D371" s="559"/>
      <c r="E371" s="559"/>
      <c r="F371" s="559"/>
      <c r="G371" s="559"/>
      <c r="H371" s="559"/>
      <c r="I371" s="559"/>
      <c r="J371" s="559"/>
      <c r="K371" s="559"/>
      <c r="L371" s="559"/>
      <c r="M371" s="559"/>
      <c r="N371" s="559"/>
      <c r="O371" s="559"/>
      <c r="P371" s="559"/>
      <c r="Q371" s="559"/>
      <c r="R371" s="559"/>
      <c r="S371" s="559"/>
      <c r="T371" s="559"/>
      <c r="U371" s="559"/>
      <c r="V371" s="559"/>
      <c r="W371" s="559"/>
      <c r="X371" s="559"/>
      <c r="Y371" s="559"/>
      <c r="Z371" s="559"/>
      <c r="AA371" s="559"/>
      <c r="AB371" s="559"/>
      <c r="AC371" s="559"/>
      <c r="AD371" s="559"/>
      <c r="AE371" s="559"/>
      <c r="AF371" s="559"/>
      <c r="AG371" s="559"/>
    </row>
    <row r="372" spans="1:33" ht="18" customHeight="1" x14ac:dyDescent="0.35">
      <c r="A372" s="559"/>
      <c r="B372" s="559"/>
      <c r="C372" s="559"/>
      <c r="D372" s="559"/>
      <c r="E372" s="559"/>
      <c r="F372" s="559"/>
      <c r="G372" s="559"/>
      <c r="H372" s="559"/>
      <c r="I372" s="559"/>
      <c r="J372" s="559"/>
      <c r="K372" s="559"/>
      <c r="L372" s="559"/>
      <c r="M372" s="559"/>
      <c r="N372" s="559"/>
      <c r="O372" s="559"/>
      <c r="P372" s="559"/>
      <c r="Q372" s="559"/>
      <c r="R372" s="559"/>
      <c r="S372" s="559"/>
      <c r="T372" s="559"/>
      <c r="U372" s="559"/>
      <c r="V372" s="559"/>
      <c r="W372" s="559"/>
      <c r="X372" s="559"/>
      <c r="Y372" s="559"/>
      <c r="Z372" s="559"/>
      <c r="AA372" s="559"/>
      <c r="AB372" s="559"/>
      <c r="AC372" s="559"/>
      <c r="AD372" s="559"/>
      <c r="AE372" s="559"/>
      <c r="AF372" s="559"/>
      <c r="AG372" s="559"/>
    </row>
    <row r="373" spans="1:33" ht="18" customHeight="1" x14ac:dyDescent="0.35">
      <c r="A373" s="559"/>
      <c r="B373" s="559"/>
      <c r="C373" s="559"/>
      <c r="D373" s="559"/>
      <c r="E373" s="559"/>
      <c r="F373" s="559"/>
      <c r="G373" s="559"/>
      <c r="H373" s="559"/>
      <c r="I373" s="559"/>
      <c r="J373" s="559"/>
      <c r="K373" s="559"/>
      <c r="L373" s="559"/>
      <c r="M373" s="559"/>
      <c r="N373" s="559"/>
      <c r="O373" s="559"/>
      <c r="P373" s="559"/>
      <c r="Q373" s="559"/>
      <c r="R373" s="559"/>
      <c r="S373" s="559"/>
      <c r="T373" s="559"/>
      <c r="U373" s="559"/>
      <c r="V373" s="559"/>
      <c r="W373" s="559"/>
      <c r="X373" s="559"/>
      <c r="Y373" s="559"/>
      <c r="Z373" s="559"/>
      <c r="AA373" s="559"/>
      <c r="AB373" s="559"/>
      <c r="AC373" s="559"/>
      <c r="AD373" s="559"/>
      <c r="AE373" s="559"/>
      <c r="AF373" s="559"/>
      <c r="AG373" s="559"/>
    </row>
    <row r="374" spans="1:33" ht="18" customHeight="1" x14ac:dyDescent="0.35">
      <c r="A374" s="559"/>
      <c r="B374" s="559"/>
      <c r="C374" s="559"/>
      <c r="D374" s="559"/>
      <c r="E374" s="559"/>
      <c r="F374" s="559"/>
      <c r="G374" s="559"/>
      <c r="H374" s="559"/>
      <c r="I374" s="559"/>
      <c r="J374" s="559"/>
      <c r="K374" s="559"/>
      <c r="L374" s="559"/>
      <c r="M374" s="559"/>
      <c r="N374" s="559"/>
      <c r="O374" s="559"/>
      <c r="P374" s="559"/>
      <c r="Q374" s="559"/>
      <c r="R374" s="559"/>
      <c r="S374" s="559"/>
      <c r="T374" s="559"/>
      <c r="U374" s="559"/>
      <c r="V374" s="559"/>
      <c r="W374" s="559"/>
      <c r="X374" s="559"/>
      <c r="Y374" s="559"/>
      <c r="Z374" s="559"/>
      <c r="AA374" s="559"/>
      <c r="AB374" s="559"/>
      <c r="AC374" s="559"/>
      <c r="AD374" s="559"/>
      <c r="AE374" s="559"/>
      <c r="AF374" s="559"/>
      <c r="AG374" s="559"/>
    </row>
    <row r="375" spans="1:33" ht="18" customHeight="1" x14ac:dyDescent="0.35">
      <c r="A375" s="559"/>
      <c r="B375" s="559"/>
      <c r="C375" s="559"/>
      <c r="D375" s="559"/>
      <c r="E375" s="559"/>
      <c r="F375" s="559"/>
      <c r="G375" s="559"/>
      <c r="H375" s="559"/>
      <c r="I375" s="559"/>
      <c r="J375" s="559"/>
      <c r="K375" s="559"/>
      <c r="L375" s="559"/>
      <c r="M375" s="559"/>
      <c r="N375" s="559"/>
      <c r="O375" s="559"/>
      <c r="P375" s="559"/>
      <c r="Q375" s="559"/>
      <c r="R375" s="559"/>
      <c r="S375" s="559"/>
      <c r="T375" s="559"/>
      <c r="U375" s="559"/>
      <c r="V375" s="559"/>
      <c r="W375" s="559"/>
      <c r="X375" s="559"/>
      <c r="Y375" s="559"/>
      <c r="Z375" s="559"/>
      <c r="AA375" s="559"/>
      <c r="AB375" s="559"/>
      <c r="AC375" s="559"/>
      <c r="AD375" s="559"/>
      <c r="AE375" s="559"/>
      <c r="AF375" s="559"/>
      <c r="AG375" s="559"/>
    </row>
    <row r="376" spans="1:33" ht="18" customHeight="1" x14ac:dyDescent="0.35">
      <c r="A376" s="559"/>
      <c r="B376" s="559"/>
      <c r="C376" s="559"/>
      <c r="D376" s="559"/>
      <c r="E376" s="559"/>
      <c r="F376" s="559"/>
      <c r="G376" s="559"/>
      <c r="H376" s="559"/>
      <c r="I376" s="559"/>
      <c r="J376" s="559"/>
      <c r="K376" s="559"/>
      <c r="L376" s="559"/>
      <c r="M376" s="559"/>
      <c r="N376" s="559"/>
      <c r="O376" s="559"/>
      <c r="P376" s="559"/>
      <c r="Q376" s="559"/>
      <c r="R376" s="559"/>
      <c r="S376" s="559"/>
      <c r="T376" s="559"/>
      <c r="U376" s="559"/>
      <c r="V376" s="559"/>
      <c r="W376" s="559"/>
      <c r="X376" s="559"/>
      <c r="Y376" s="559"/>
      <c r="Z376" s="559"/>
      <c r="AA376" s="559"/>
      <c r="AB376" s="559"/>
      <c r="AC376" s="559"/>
      <c r="AD376" s="559"/>
      <c r="AE376" s="559"/>
      <c r="AF376" s="559"/>
      <c r="AG376" s="559"/>
    </row>
    <row r="377" spans="1:33" ht="18" customHeight="1" x14ac:dyDescent="0.35">
      <c r="A377" s="559"/>
      <c r="B377" s="559"/>
      <c r="C377" s="559"/>
      <c r="D377" s="559"/>
      <c r="E377" s="559"/>
      <c r="F377" s="559"/>
      <c r="G377" s="559"/>
      <c r="H377" s="559"/>
      <c r="I377" s="559"/>
      <c r="J377" s="559"/>
      <c r="K377" s="559"/>
      <c r="L377" s="559"/>
      <c r="M377" s="559"/>
      <c r="N377" s="559"/>
      <c r="O377" s="559"/>
      <c r="P377" s="559"/>
      <c r="Q377" s="559"/>
      <c r="R377" s="559"/>
      <c r="S377" s="559"/>
      <c r="T377" s="559"/>
      <c r="U377" s="559"/>
      <c r="V377" s="559"/>
      <c r="W377" s="559"/>
      <c r="X377" s="559"/>
      <c r="Y377" s="559"/>
      <c r="Z377" s="559"/>
      <c r="AA377" s="559"/>
      <c r="AB377" s="559"/>
      <c r="AC377" s="559"/>
      <c r="AD377" s="559"/>
      <c r="AE377" s="559"/>
      <c r="AF377" s="559"/>
      <c r="AG377" s="559"/>
    </row>
    <row r="378" spans="1:33" ht="18" customHeight="1" x14ac:dyDescent="0.35">
      <c r="A378" s="559"/>
      <c r="B378" s="559"/>
      <c r="C378" s="559"/>
      <c r="D378" s="559"/>
      <c r="E378" s="559"/>
      <c r="F378" s="559"/>
      <c r="G378" s="559"/>
      <c r="H378" s="559"/>
      <c r="I378" s="559"/>
      <c r="J378" s="559"/>
      <c r="K378" s="559"/>
      <c r="L378" s="559"/>
      <c r="M378" s="559"/>
      <c r="N378" s="559"/>
      <c r="O378" s="559"/>
      <c r="P378" s="559"/>
      <c r="Q378" s="559"/>
      <c r="R378" s="559"/>
      <c r="S378" s="559"/>
      <c r="T378" s="559"/>
      <c r="U378" s="559"/>
      <c r="V378" s="559"/>
      <c r="W378" s="559"/>
      <c r="X378" s="559"/>
      <c r="Y378" s="559"/>
      <c r="Z378" s="559"/>
      <c r="AA378" s="559"/>
      <c r="AB378" s="559"/>
      <c r="AC378" s="559"/>
      <c r="AD378" s="559"/>
      <c r="AE378" s="559"/>
      <c r="AF378" s="559"/>
      <c r="AG378" s="559"/>
    </row>
    <row r="379" spans="1:33" ht="18" customHeight="1" x14ac:dyDescent="0.35">
      <c r="A379" s="559"/>
      <c r="B379" s="559"/>
      <c r="C379" s="559"/>
      <c r="D379" s="559"/>
      <c r="E379" s="559"/>
      <c r="F379" s="559"/>
      <c r="G379" s="559"/>
      <c r="H379" s="559"/>
      <c r="I379" s="559"/>
      <c r="J379" s="559"/>
      <c r="K379" s="559"/>
      <c r="L379" s="559"/>
      <c r="M379" s="559"/>
      <c r="N379" s="559"/>
      <c r="O379" s="559"/>
      <c r="P379" s="559"/>
      <c r="Q379" s="559"/>
      <c r="R379" s="559"/>
      <c r="S379" s="559"/>
      <c r="T379" s="559"/>
      <c r="U379" s="559"/>
      <c r="V379" s="559"/>
      <c r="W379" s="559"/>
      <c r="X379" s="559"/>
      <c r="Y379" s="559"/>
      <c r="Z379" s="559"/>
      <c r="AA379" s="559"/>
      <c r="AB379" s="559"/>
      <c r="AC379" s="559"/>
      <c r="AD379" s="559"/>
      <c r="AE379" s="559"/>
      <c r="AF379" s="559"/>
      <c r="AG379" s="559"/>
    </row>
    <row r="380" spans="1:33" ht="18" customHeight="1" x14ac:dyDescent="0.35">
      <c r="A380" s="559"/>
      <c r="B380" s="559"/>
      <c r="C380" s="559"/>
      <c r="D380" s="559"/>
      <c r="E380" s="559"/>
      <c r="F380" s="559"/>
      <c r="G380" s="559"/>
      <c r="H380" s="559"/>
      <c r="I380" s="559"/>
      <c r="J380" s="559"/>
      <c r="K380" s="559"/>
      <c r="L380" s="559"/>
      <c r="M380" s="559"/>
      <c r="N380" s="559"/>
      <c r="O380" s="559"/>
      <c r="P380" s="559"/>
      <c r="Q380" s="559"/>
      <c r="R380" s="559"/>
      <c r="S380" s="559"/>
      <c r="T380" s="559"/>
      <c r="U380" s="559"/>
      <c r="V380" s="559"/>
      <c r="W380" s="559"/>
      <c r="X380" s="559"/>
      <c r="Y380" s="559"/>
      <c r="Z380" s="559"/>
      <c r="AA380" s="559"/>
      <c r="AB380" s="559"/>
      <c r="AC380" s="559"/>
      <c r="AD380" s="559"/>
      <c r="AE380" s="559"/>
      <c r="AF380" s="559"/>
      <c r="AG380" s="559"/>
    </row>
    <row r="381" spans="1:33" ht="18" customHeight="1" x14ac:dyDescent="0.35">
      <c r="A381" s="559"/>
      <c r="B381" s="559"/>
      <c r="C381" s="559"/>
      <c r="D381" s="559"/>
      <c r="E381" s="559"/>
      <c r="F381" s="559"/>
      <c r="G381" s="559"/>
      <c r="H381" s="559"/>
      <c r="I381" s="559"/>
      <c r="J381" s="559"/>
      <c r="K381" s="559"/>
      <c r="L381" s="559"/>
      <c r="M381" s="559"/>
      <c r="N381" s="559"/>
      <c r="O381" s="559"/>
      <c r="P381" s="559"/>
      <c r="Q381" s="559"/>
      <c r="R381" s="559"/>
      <c r="S381" s="559"/>
      <c r="T381" s="559"/>
      <c r="U381" s="559"/>
      <c r="V381" s="559"/>
      <c r="W381" s="559"/>
      <c r="X381" s="559"/>
      <c r="Y381" s="559"/>
      <c r="Z381" s="559"/>
      <c r="AA381" s="559"/>
      <c r="AB381" s="559"/>
      <c r="AC381" s="559"/>
      <c r="AD381" s="559"/>
      <c r="AE381" s="559"/>
      <c r="AF381" s="559"/>
      <c r="AG381" s="559"/>
    </row>
    <row r="382" spans="1:33" ht="18" customHeight="1" x14ac:dyDescent="0.35">
      <c r="A382" s="559"/>
      <c r="B382" s="559"/>
      <c r="C382" s="559"/>
      <c r="D382" s="559"/>
      <c r="E382" s="559"/>
      <c r="F382" s="559"/>
      <c r="G382" s="559"/>
      <c r="H382" s="559"/>
      <c r="I382" s="559"/>
      <c r="J382" s="559"/>
      <c r="K382" s="559"/>
      <c r="L382" s="559"/>
      <c r="M382" s="559"/>
      <c r="N382" s="559"/>
      <c r="O382" s="559"/>
      <c r="P382" s="559"/>
      <c r="Q382" s="559"/>
      <c r="R382" s="559"/>
      <c r="S382" s="559"/>
      <c r="T382" s="559"/>
      <c r="U382" s="559"/>
      <c r="V382" s="559"/>
      <c r="W382" s="559"/>
      <c r="X382" s="559"/>
      <c r="Y382" s="559"/>
      <c r="Z382" s="559"/>
      <c r="AA382" s="559"/>
      <c r="AB382" s="559"/>
      <c r="AC382" s="559"/>
      <c r="AD382" s="559"/>
      <c r="AE382" s="559"/>
      <c r="AF382" s="559"/>
      <c r="AG382" s="559"/>
    </row>
    <row r="383" spans="1:33" ht="18" customHeight="1" x14ac:dyDescent="0.35">
      <c r="A383" s="559"/>
      <c r="B383" s="559"/>
      <c r="C383" s="559"/>
      <c r="D383" s="559"/>
      <c r="E383" s="559"/>
      <c r="F383" s="559"/>
      <c r="G383" s="559"/>
      <c r="H383" s="559"/>
      <c r="I383" s="559"/>
      <c r="J383" s="559"/>
      <c r="K383" s="559"/>
      <c r="L383" s="559"/>
      <c r="M383" s="559"/>
      <c r="N383" s="559"/>
      <c r="O383" s="559"/>
      <c r="P383" s="559"/>
      <c r="Q383" s="559"/>
      <c r="R383" s="559"/>
      <c r="S383" s="559"/>
      <c r="T383" s="559"/>
      <c r="U383" s="559"/>
      <c r="V383" s="559"/>
      <c r="W383" s="559"/>
      <c r="X383" s="559"/>
      <c r="Y383" s="559"/>
      <c r="Z383" s="559"/>
      <c r="AA383" s="559"/>
      <c r="AB383" s="559"/>
      <c r="AC383" s="559"/>
      <c r="AD383" s="559"/>
      <c r="AE383" s="559"/>
      <c r="AF383" s="559"/>
      <c r="AG383" s="559"/>
    </row>
    <row r="384" spans="1:33" ht="18" customHeight="1" x14ac:dyDescent="0.35">
      <c r="A384" s="559"/>
      <c r="B384" s="559"/>
      <c r="C384" s="559"/>
      <c r="D384" s="559"/>
      <c r="E384" s="559"/>
      <c r="F384" s="559"/>
      <c r="G384" s="559"/>
      <c r="H384" s="559"/>
      <c r="I384" s="559"/>
      <c r="J384" s="559"/>
      <c r="K384" s="559"/>
      <c r="L384" s="559"/>
      <c r="M384" s="559"/>
      <c r="N384" s="559"/>
      <c r="O384" s="559"/>
      <c r="P384" s="559"/>
      <c r="Q384" s="559"/>
      <c r="R384" s="559"/>
      <c r="S384" s="559"/>
      <c r="T384" s="559"/>
      <c r="U384" s="559"/>
      <c r="V384" s="559"/>
      <c r="W384" s="559"/>
      <c r="X384" s="559"/>
      <c r="Y384" s="559"/>
      <c r="Z384" s="559"/>
      <c r="AA384" s="559"/>
      <c r="AB384" s="559"/>
      <c r="AC384" s="559"/>
      <c r="AD384" s="559"/>
      <c r="AE384" s="559"/>
      <c r="AF384" s="559"/>
      <c r="AG384" s="559"/>
    </row>
    <row r="385" spans="1:33" ht="18" customHeight="1" x14ac:dyDescent="0.35">
      <c r="A385" s="559"/>
      <c r="B385" s="559"/>
      <c r="C385" s="559"/>
      <c r="D385" s="559"/>
      <c r="E385" s="559"/>
      <c r="F385" s="559"/>
      <c r="G385" s="559"/>
      <c r="H385" s="559"/>
      <c r="I385" s="559"/>
      <c r="J385" s="559"/>
      <c r="K385" s="559"/>
      <c r="L385" s="559"/>
      <c r="M385" s="559"/>
      <c r="N385" s="559"/>
      <c r="O385" s="559"/>
      <c r="P385" s="559"/>
      <c r="Q385" s="559"/>
      <c r="R385" s="559"/>
      <c r="S385" s="559"/>
      <c r="T385" s="559"/>
      <c r="U385" s="559"/>
      <c r="V385" s="559"/>
      <c r="W385" s="559"/>
      <c r="X385" s="559"/>
      <c r="Y385" s="559"/>
      <c r="Z385" s="559"/>
      <c r="AA385" s="559"/>
      <c r="AB385" s="559"/>
      <c r="AC385" s="559"/>
      <c r="AD385" s="559"/>
      <c r="AE385" s="559"/>
      <c r="AF385" s="559"/>
      <c r="AG385" s="559"/>
    </row>
    <row r="386" spans="1:33" ht="18" customHeight="1" x14ac:dyDescent="0.35">
      <c r="A386" s="559"/>
      <c r="B386" s="559"/>
      <c r="C386" s="559"/>
      <c r="D386" s="559"/>
      <c r="E386" s="559"/>
      <c r="F386" s="559"/>
      <c r="G386" s="559"/>
      <c r="H386" s="559"/>
      <c r="I386" s="559"/>
      <c r="J386" s="559"/>
      <c r="K386" s="559"/>
      <c r="L386" s="559"/>
      <c r="M386" s="559"/>
      <c r="N386" s="559"/>
      <c r="O386" s="559"/>
      <c r="P386" s="559"/>
      <c r="Q386" s="559"/>
      <c r="R386" s="559"/>
      <c r="S386" s="559"/>
      <c r="T386" s="559"/>
      <c r="U386" s="559"/>
      <c r="V386" s="559"/>
      <c r="W386" s="559"/>
      <c r="X386" s="559"/>
      <c r="Y386" s="559"/>
      <c r="Z386" s="559"/>
      <c r="AA386" s="559"/>
      <c r="AB386" s="559"/>
      <c r="AC386" s="559"/>
      <c r="AD386" s="559"/>
      <c r="AE386" s="559"/>
      <c r="AF386" s="559"/>
      <c r="AG386" s="559"/>
    </row>
    <row r="387" spans="1:33" ht="18" customHeight="1" x14ac:dyDescent="0.35">
      <c r="A387" s="559"/>
      <c r="B387" s="559"/>
      <c r="C387" s="559"/>
      <c r="D387" s="559"/>
      <c r="E387" s="559"/>
      <c r="F387" s="559"/>
      <c r="G387" s="559"/>
      <c r="H387" s="559"/>
      <c r="I387" s="559"/>
      <c r="J387" s="559"/>
      <c r="K387" s="559"/>
      <c r="L387" s="559"/>
      <c r="M387" s="559"/>
      <c r="N387" s="559"/>
      <c r="O387" s="559"/>
      <c r="P387" s="559"/>
      <c r="Q387" s="559"/>
      <c r="R387" s="559"/>
      <c r="S387" s="559"/>
      <c r="T387" s="559"/>
      <c r="U387" s="559"/>
      <c r="V387" s="559"/>
      <c r="W387" s="559"/>
      <c r="X387" s="559"/>
      <c r="Y387" s="559"/>
      <c r="Z387" s="559"/>
      <c r="AA387" s="559"/>
      <c r="AB387" s="559"/>
      <c r="AC387" s="559"/>
      <c r="AD387" s="559"/>
      <c r="AE387" s="559"/>
      <c r="AF387" s="559"/>
      <c r="AG387" s="559"/>
    </row>
    <row r="388" spans="1:33" ht="18" customHeight="1" x14ac:dyDescent="0.35">
      <c r="A388" s="559"/>
      <c r="B388" s="559"/>
      <c r="C388" s="559"/>
      <c r="D388" s="559"/>
      <c r="E388" s="559"/>
      <c r="F388" s="559"/>
      <c r="G388" s="559"/>
      <c r="H388" s="559"/>
      <c r="I388" s="559"/>
      <c r="J388" s="559"/>
      <c r="K388" s="559"/>
      <c r="L388" s="559"/>
      <c r="M388" s="559"/>
      <c r="N388" s="559"/>
      <c r="O388" s="559"/>
      <c r="P388" s="559"/>
      <c r="Q388" s="559"/>
      <c r="R388" s="559"/>
      <c r="S388" s="559"/>
      <c r="T388" s="559"/>
      <c r="U388" s="559"/>
      <c r="V388" s="559"/>
      <c r="W388" s="559"/>
      <c r="X388" s="559"/>
      <c r="Y388" s="559"/>
      <c r="Z388" s="559"/>
      <c r="AA388" s="559"/>
      <c r="AB388" s="559"/>
      <c r="AC388" s="559"/>
      <c r="AD388" s="559"/>
      <c r="AE388" s="559"/>
      <c r="AF388" s="559"/>
      <c r="AG388" s="559"/>
    </row>
    <row r="389" spans="1:33" ht="18" customHeight="1" x14ac:dyDescent="0.35">
      <c r="A389" s="559"/>
      <c r="B389" s="559"/>
      <c r="C389" s="559"/>
      <c r="D389" s="559"/>
      <c r="E389" s="559"/>
      <c r="F389" s="559"/>
      <c r="G389" s="559"/>
      <c r="H389" s="559"/>
      <c r="I389" s="559"/>
      <c r="J389" s="559"/>
      <c r="K389" s="559"/>
      <c r="L389" s="559"/>
      <c r="M389" s="559"/>
      <c r="N389" s="559"/>
      <c r="O389" s="559"/>
      <c r="P389" s="559"/>
      <c r="Q389" s="559"/>
      <c r="R389" s="559"/>
      <c r="S389" s="559"/>
      <c r="T389" s="559"/>
      <c r="U389" s="559"/>
      <c r="V389" s="559"/>
      <c r="W389" s="559"/>
      <c r="X389" s="559"/>
      <c r="Y389" s="559"/>
      <c r="Z389" s="559"/>
      <c r="AA389" s="559"/>
      <c r="AB389" s="559"/>
      <c r="AC389" s="559"/>
      <c r="AD389" s="559"/>
      <c r="AE389" s="559"/>
      <c r="AF389" s="559"/>
      <c r="AG389" s="559"/>
    </row>
    <row r="390" spans="1:33" ht="18" customHeight="1" x14ac:dyDescent="0.35">
      <c r="A390" s="559"/>
      <c r="B390" s="559"/>
      <c r="C390" s="559"/>
      <c r="D390" s="559"/>
      <c r="E390" s="559"/>
      <c r="F390" s="559"/>
      <c r="G390" s="559"/>
      <c r="H390" s="559"/>
      <c r="I390" s="559"/>
      <c r="J390" s="559"/>
      <c r="K390" s="559"/>
      <c r="L390" s="559"/>
      <c r="M390" s="559"/>
      <c r="N390" s="559"/>
      <c r="O390" s="559"/>
      <c r="P390" s="559"/>
      <c r="Q390" s="559"/>
      <c r="R390" s="559"/>
      <c r="S390" s="559"/>
      <c r="T390" s="559"/>
      <c r="U390" s="559"/>
      <c r="V390" s="559"/>
      <c r="W390" s="559"/>
      <c r="X390" s="559"/>
      <c r="Y390" s="559"/>
      <c r="Z390" s="559"/>
      <c r="AA390" s="559"/>
      <c r="AB390" s="559"/>
      <c r="AC390" s="559"/>
      <c r="AD390" s="559"/>
      <c r="AE390" s="559"/>
      <c r="AF390" s="559"/>
      <c r="AG390" s="559"/>
    </row>
    <row r="391" spans="1:33" ht="18" customHeight="1" x14ac:dyDescent="0.35">
      <c r="A391" s="559"/>
      <c r="B391" s="559"/>
      <c r="C391" s="559"/>
      <c r="D391" s="559"/>
      <c r="E391" s="559"/>
      <c r="F391" s="559"/>
      <c r="G391" s="559"/>
      <c r="H391" s="559"/>
      <c r="I391" s="559"/>
      <c r="J391" s="559"/>
      <c r="K391" s="559"/>
      <c r="L391" s="559"/>
      <c r="M391" s="559"/>
      <c r="N391" s="559"/>
      <c r="O391" s="559"/>
      <c r="P391" s="559"/>
      <c r="Q391" s="559"/>
      <c r="R391" s="559"/>
      <c r="S391" s="559"/>
      <c r="T391" s="559"/>
      <c r="U391" s="559"/>
      <c r="V391" s="559"/>
      <c r="W391" s="559"/>
      <c r="X391" s="559"/>
      <c r="Y391" s="559"/>
      <c r="Z391" s="559"/>
      <c r="AA391" s="559"/>
      <c r="AB391" s="559"/>
      <c r="AC391" s="559"/>
      <c r="AD391" s="559"/>
      <c r="AE391" s="559"/>
      <c r="AF391" s="559"/>
      <c r="AG391" s="559"/>
    </row>
    <row r="392" spans="1:33" ht="18" customHeight="1" x14ac:dyDescent="0.35">
      <c r="A392" s="559"/>
      <c r="B392" s="559"/>
      <c r="C392" s="559"/>
      <c r="D392" s="559"/>
      <c r="E392" s="559"/>
      <c r="F392" s="559"/>
      <c r="G392" s="559"/>
      <c r="H392" s="559"/>
      <c r="I392" s="559"/>
      <c r="J392" s="559"/>
      <c r="K392" s="559"/>
      <c r="L392" s="559"/>
      <c r="M392" s="559"/>
      <c r="N392" s="559"/>
      <c r="O392" s="559"/>
      <c r="P392" s="559"/>
      <c r="Q392" s="559"/>
      <c r="R392" s="559"/>
      <c r="S392" s="559"/>
      <c r="T392" s="559"/>
      <c r="U392" s="559"/>
      <c r="V392" s="559"/>
      <c r="W392" s="559"/>
      <c r="X392" s="559"/>
      <c r="Y392" s="559"/>
      <c r="Z392" s="559"/>
      <c r="AA392" s="559"/>
      <c r="AB392" s="559"/>
      <c r="AC392" s="559"/>
      <c r="AD392" s="559"/>
      <c r="AE392" s="559"/>
      <c r="AF392" s="559"/>
      <c r="AG392" s="559"/>
    </row>
    <row r="393" spans="1:33" ht="18" customHeight="1" x14ac:dyDescent="0.35">
      <c r="A393" s="559"/>
      <c r="B393" s="559"/>
      <c r="C393" s="559"/>
      <c r="D393" s="559"/>
      <c r="E393" s="559"/>
      <c r="F393" s="559"/>
      <c r="G393" s="559"/>
      <c r="H393" s="559"/>
      <c r="I393" s="559"/>
      <c r="J393" s="559"/>
      <c r="K393" s="559"/>
      <c r="L393" s="559"/>
      <c r="M393" s="559"/>
      <c r="N393" s="559"/>
      <c r="O393" s="559"/>
      <c r="P393" s="559"/>
      <c r="Q393" s="559"/>
      <c r="R393" s="559"/>
      <c r="S393" s="559"/>
      <c r="T393" s="559"/>
      <c r="U393" s="559"/>
      <c r="V393" s="559"/>
      <c r="W393" s="559"/>
      <c r="X393" s="559"/>
      <c r="Y393" s="559"/>
      <c r="Z393" s="559"/>
      <c r="AA393" s="559"/>
      <c r="AB393" s="559"/>
      <c r="AC393" s="559"/>
      <c r="AD393" s="559"/>
      <c r="AE393" s="559"/>
      <c r="AF393" s="559"/>
      <c r="AG393" s="559"/>
    </row>
    <row r="394" spans="1:33" ht="18" customHeight="1" x14ac:dyDescent="0.35">
      <c r="A394" s="559"/>
      <c r="B394" s="559"/>
      <c r="C394" s="559"/>
      <c r="D394" s="559"/>
      <c r="E394" s="559"/>
      <c r="F394" s="559"/>
      <c r="G394" s="559"/>
      <c r="H394" s="559"/>
      <c r="I394" s="559"/>
      <c r="J394" s="559"/>
      <c r="K394" s="559"/>
      <c r="L394" s="559"/>
      <c r="M394" s="559"/>
      <c r="N394" s="559"/>
      <c r="O394" s="559"/>
      <c r="P394" s="559"/>
      <c r="Q394" s="559"/>
      <c r="R394" s="559"/>
      <c r="S394" s="559"/>
      <c r="T394" s="559"/>
      <c r="U394" s="559"/>
      <c r="V394" s="559"/>
      <c r="W394" s="559"/>
      <c r="X394" s="559"/>
      <c r="Y394" s="559"/>
      <c r="Z394" s="559"/>
      <c r="AA394" s="559"/>
      <c r="AB394" s="559"/>
      <c r="AC394" s="559"/>
      <c r="AD394" s="559"/>
      <c r="AE394" s="559"/>
      <c r="AF394" s="559"/>
      <c r="AG394" s="559"/>
    </row>
    <row r="395" spans="1:33" ht="18" customHeight="1" x14ac:dyDescent="0.35">
      <c r="A395" s="559"/>
      <c r="B395" s="559"/>
      <c r="C395" s="559"/>
      <c r="D395" s="559"/>
      <c r="E395" s="559"/>
      <c r="F395" s="559"/>
      <c r="G395" s="559"/>
      <c r="H395" s="559"/>
      <c r="I395" s="559"/>
      <c r="J395" s="559"/>
      <c r="K395" s="559"/>
      <c r="L395" s="559"/>
      <c r="M395" s="559"/>
      <c r="N395" s="559"/>
      <c r="O395" s="559"/>
      <c r="P395" s="559"/>
      <c r="Q395" s="559"/>
      <c r="R395" s="559"/>
      <c r="S395" s="559"/>
      <c r="T395" s="559"/>
      <c r="U395" s="559"/>
      <c r="V395" s="559"/>
      <c r="W395" s="559"/>
      <c r="X395" s="559"/>
      <c r="Y395" s="559"/>
      <c r="Z395" s="559"/>
      <c r="AA395" s="559"/>
      <c r="AB395" s="559"/>
      <c r="AC395" s="559"/>
      <c r="AD395" s="559"/>
      <c r="AE395" s="559"/>
      <c r="AF395" s="559"/>
      <c r="AG395" s="559"/>
    </row>
    <row r="396" spans="1:33" ht="18" customHeight="1" x14ac:dyDescent="0.35">
      <c r="A396" s="559"/>
      <c r="B396" s="559"/>
      <c r="C396" s="559"/>
      <c r="D396" s="559"/>
      <c r="E396" s="559"/>
      <c r="F396" s="559"/>
      <c r="G396" s="559"/>
      <c r="H396" s="559"/>
      <c r="I396" s="559"/>
      <c r="J396" s="559"/>
      <c r="K396" s="559"/>
      <c r="L396" s="559"/>
      <c r="M396" s="559"/>
      <c r="N396" s="559"/>
      <c r="O396" s="559"/>
      <c r="P396" s="559"/>
      <c r="Q396" s="559"/>
      <c r="R396" s="559"/>
      <c r="S396" s="559"/>
      <c r="T396" s="559"/>
      <c r="U396" s="559"/>
      <c r="V396" s="559"/>
      <c r="W396" s="559"/>
      <c r="X396" s="559"/>
      <c r="Y396" s="559"/>
      <c r="Z396" s="559"/>
      <c r="AA396" s="559"/>
      <c r="AB396" s="559"/>
      <c r="AC396" s="559"/>
      <c r="AD396" s="559"/>
      <c r="AE396" s="559"/>
      <c r="AF396" s="559"/>
      <c r="AG396" s="559"/>
    </row>
    <row r="397" spans="1:33" ht="18" customHeight="1" x14ac:dyDescent="0.35">
      <c r="A397" s="559"/>
      <c r="B397" s="559"/>
      <c r="C397" s="559"/>
      <c r="D397" s="559"/>
      <c r="E397" s="559"/>
      <c r="F397" s="559"/>
      <c r="G397" s="559"/>
      <c r="H397" s="559"/>
      <c r="I397" s="559"/>
      <c r="J397" s="559"/>
      <c r="K397" s="559"/>
      <c r="L397" s="559"/>
      <c r="M397" s="559"/>
      <c r="N397" s="559"/>
      <c r="O397" s="559"/>
      <c r="P397" s="559"/>
      <c r="Q397" s="559"/>
      <c r="R397" s="559"/>
      <c r="S397" s="559"/>
      <c r="T397" s="559"/>
      <c r="U397" s="559"/>
      <c r="V397" s="559"/>
      <c r="W397" s="559"/>
      <c r="X397" s="559"/>
      <c r="Y397" s="559"/>
      <c r="Z397" s="559"/>
      <c r="AA397" s="559"/>
      <c r="AB397" s="559"/>
      <c r="AC397" s="559"/>
      <c r="AD397" s="559"/>
      <c r="AE397" s="559"/>
      <c r="AF397" s="559"/>
      <c r="AG397" s="559"/>
    </row>
    <row r="398" spans="1:33" ht="18" customHeight="1" x14ac:dyDescent="0.35">
      <c r="A398" s="559"/>
      <c r="B398" s="559"/>
      <c r="C398" s="559"/>
      <c r="D398" s="559"/>
      <c r="E398" s="559"/>
      <c r="F398" s="559"/>
      <c r="G398" s="559"/>
      <c r="H398" s="559"/>
      <c r="I398" s="559"/>
      <c r="J398" s="559"/>
      <c r="K398" s="559"/>
      <c r="L398" s="559"/>
      <c r="M398" s="559"/>
      <c r="N398" s="559"/>
      <c r="O398" s="559"/>
      <c r="P398" s="559"/>
      <c r="Q398" s="559"/>
      <c r="R398" s="559"/>
      <c r="S398" s="559"/>
      <c r="T398" s="559"/>
      <c r="U398" s="559"/>
      <c r="V398" s="559"/>
      <c r="W398" s="559"/>
      <c r="X398" s="559"/>
      <c r="Y398" s="559"/>
      <c r="Z398" s="559"/>
      <c r="AA398" s="559"/>
      <c r="AB398" s="559"/>
      <c r="AC398" s="559"/>
      <c r="AD398" s="559"/>
      <c r="AE398" s="559"/>
      <c r="AF398" s="559"/>
      <c r="AG398" s="559"/>
    </row>
    <row r="399" spans="1:33" ht="18" customHeight="1" x14ac:dyDescent="0.35">
      <c r="A399" s="559"/>
      <c r="B399" s="559"/>
      <c r="C399" s="559"/>
      <c r="D399" s="559"/>
      <c r="E399" s="559"/>
      <c r="F399" s="559"/>
      <c r="G399" s="559"/>
      <c r="H399" s="559"/>
      <c r="I399" s="559"/>
      <c r="J399" s="559"/>
      <c r="K399" s="559"/>
      <c r="L399" s="559"/>
      <c r="M399" s="559"/>
      <c r="N399" s="559"/>
      <c r="O399" s="559"/>
      <c r="P399" s="559"/>
      <c r="Q399" s="559"/>
      <c r="R399" s="559"/>
      <c r="S399" s="559"/>
      <c r="T399" s="559"/>
      <c r="U399" s="559"/>
      <c r="V399" s="559"/>
      <c r="W399" s="559"/>
      <c r="X399" s="559"/>
      <c r="Y399" s="559"/>
      <c r="Z399" s="559"/>
      <c r="AA399" s="559"/>
      <c r="AB399" s="559"/>
      <c r="AC399" s="559"/>
      <c r="AD399" s="559"/>
      <c r="AE399" s="559"/>
      <c r="AF399" s="559"/>
      <c r="AG399" s="559"/>
    </row>
    <row r="400" spans="1:33" ht="18" customHeight="1" x14ac:dyDescent="0.35">
      <c r="A400" s="559"/>
      <c r="B400" s="559"/>
      <c r="C400" s="559"/>
      <c r="D400" s="559"/>
      <c r="E400" s="559"/>
      <c r="F400" s="559"/>
      <c r="G400" s="559"/>
      <c r="H400" s="559"/>
      <c r="I400" s="559"/>
      <c r="J400" s="559"/>
      <c r="K400" s="559"/>
      <c r="L400" s="559"/>
      <c r="M400" s="559"/>
      <c r="N400" s="559"/>
      <c r="O400" s="559"/>
      <c r="P400" s="559"/>
      <c r="Q400" s="559"/>
      <c r="R400" s="559"/>
      <c r="S400" s="559"/>
      <c r="T400" s="559"/>
      <c r="U400" s="559"/>
      <c r="V400" s="559"/>
      <c r="W400" s="559"/>
      <c r="X400" s="559"/>
      <c r="Y400" s="559"/>
      <c r="Z400" s="559"/>
      <c r="AA400" s="559"/>
      <c r="AB400" s="559"/>
      <c r="AC400" s="559"/>
      <c r="AD400" s="559"/>
      <c r="AE400" s="559"/>
      <c r="AF400" s="559"/>
      <c r="AG400" s="559"/>
    </row>
    <row r="401" spans="1:33" ht="18" customHeight="1" x14ac:dyDescent="0.35">
      <c r="A401" s="559"/>
      <c r="B401" s="559"/>
      <c r="C401" s="559"/>
      <c r="D401" s="559"/>
      <c r="E401" s="559"/>
      <c r="F401" s="559"/>
      <c r="G401" s="559"/>
      <c r="H401" s="559"/>
      <c r="I401" s="559"/>
      <c r="J401" s="559"/>
      <c r="K401" s="559"/>
      <c r="L401" s="559"/>
      <c r="M401" s="559"/>
      <c r="N401" s="559"/>
      <c r="O401" s="559"/>
      <c r="P401" s="559"/>
      <c r="Q401" s="559"/>
      <c r="R401" s="559"/>
      <c r="S401" s="559"/>
      <c r="T401" s="559"/>
      <c r="U401" s="559"/>
      <c r="V401" s="559"/>
      <c r="W401" s="559"/>
      <c r="X401" s="559"/>
      <c r="Y401" s="559"/>
      <c r="Z401" s="559"/>
      <c r="AA401" s="559"/>
      <c r="AB401" s="559"/>
      <c r="AC401" s="559"/>
      <c r="AD401" s="559"/>
      <c r="AE401" s="559"/>
      <c r="AF401" s="559"/>
      <c r="AG401" s="559"/>
    </row>
    <row r="402" spans="1:33" ht="18" customHeight="1" x14ac:dyDescent="0.35">
      <c r="A402" s="559"/>
      <c r="B402" s="559"/>
      <c r="C402" s="559"/>
      <c r="D402" s="559"/>
      <c r="E402" s="559"/>
      <c r="F402" s="559"/>
      <c r="G402" s="559"/>
      <c r="H402" s="559"/>
      <c r="I402" s="559"/>
      <c r="J402" s="559"/>
      <c r="K402" s="559"/>
      <c r="L402" s="559"/>
      <c r="M402" s="559"/>
      <c r="N402" s="559"/>
      <c r="O402" s="559"/>
      <c r="P402" s="559"/>
      <c r="Q402" s="559"/>
      <c r="R402" s="559"/>
      <c r="S402" s="559"/>
      <c r="T402" s="559"/>
      <c r="U402" s="559"/>
      <c r="V402" s="559"/>
      <c r="W402" s="559"/>
      <c r="X402" s="559"/>
      <c r="Y402" s="559"/>
      <c r="Z402" s="559"/>
      <c r="AA402" s="559"/>
      <c r="AB402" s="559"/>
      <c r="AC402" s="559"/>
      <c r="AD402" s="559"/>
      <c r="AE402" s="559"/>
      <c r="AF402" s="559"/>
      <c r="AG402" s="559"/>
    </row>
    <row r="403" spans="1:33" ht="18" customHeight="1" x14ac:dyDescent="0.35">
      <c r="A403" s="559"/>
      <c r="B403" s="559"/>
      <c r="C403" s="559"/>
      <c r="D403" s="559"/>
      <c r="E403" s="559"/>
      <c r="F403" s="559"/>
      <c r="G403" s="559"/>
      <c r="H403" s="559"/>
      <c r="I403" s="559"/>
      <c r="J403" s="559"/>
      <c r="K403" s="559"/>
      <c r="L403" s="559"/>
      <c r="M403" s="559"/>
      <c r="N403" s="559"/>
      <c r="O403" s="559"/>
      <c r="P403" s="559"/>
      <c r="Q403" s="559"/>
      <c r="R403" s="559"/>
      <c r="S403" s="559"/>
      <c r="T403" s="559"/>
      <c r="U403" s="559"/>
      <c r="V403" s="559"/>
      <c r="W403" s="559"/>
      <c r="X403" s="559"/>
      <c r="Y403" s="559"/>
      <c r="Z403" s="559"/>
      <c r="AA403" s="559"/>
      <c r="AB403" s="559"/>
      <c r="AC403" s="559"/>
      <c r="AD403" s="559"/>
      <c r="AE403" s="559"/>
      <c r="AF403" s="559"/>
      <c r="AG403" s="559"/>
    </row>
    <row r="404" spans="1:33" ht="18" customHeight="1" x14ac:dyDescent="0.35">
      <c r="A404" s="559"/>
      <c r="B404" s="559"/>
      <c r="C404" s="559"/>
      <c r="D404" s="559"/>
      <c r="E404" s="559"/>
      <c r="F404" s="559"/>
      <c r="G404" s="559"/>
      <c r="H404" s="559"/>
      <c r="I404" s="559"/>
      <c r="J404" s="559"/>
      <c r="K404" s="559"/>
      <c r="L404" s="559"/>
      <c r="M404" s="559"/>
      <c r="N404" s="559"/>
      <c r="O404" s="559"/>
      <c r="P404" s="559"/>
      <c r="Q404" s="559"/>
      <c r="R404" s="559"/>
      <c r="S404" s="559"/>
      <c r="T404" s="559"/>
      <c r="U404" s="559"/>
      <c r="V404" s="559"/>
      <c r="W404" s="559"/>
      <c r="X404" s="559"/>
      <c r="Y404" s="559"/>
      <c r="Z404" s="559"/>
      <c r="AA404" s="559"/>
      <c r="AB404" s="559"/>
      <c r="AC404" s="559"/>
      <c r="AD404" s="559"/>
      <c r="AE404" s="559"/>
      <c r="AF404" s="559"/>
      <c r="AG404" s="559"/>
    </row>
    <row r="405" spans="1:33" ht="18" customHeight="1" x14ac:dyDescent="0.35">
      <c r="A405" s="559"/>
      <c r="B405" s="559"/>
      <c r="C405" s="559"/>
      <c r="D405" s="559"/>
      <c r="E405" s="559"/>
      <c r="F405" s="559"/>
      <c r="G405" s="559"/>
      <c r="H405" s="559"/>
      <c r="I405" s="559"/>
      <c r="J405" s="559"/>
      <c r="K405" s="559"/>
      <c r="L405" s="559"/>
      <c r="M405" s="559"/>
      <c r="N405" s="559"/>
      <c r="O405" s="559"/>
      <c r="P405" s="559"/>
      <c r="Q405" s="559"/>
      <c r="R405" s="559"/>
      <c r="S405" s="559"/>
      <c r="T405" s="559"/>
      <c r="U405" s="559"/>
      <c r="V405" s="559"/>
      <c r="W405" s="559"/>
      <c r="X405" s="559"/>
      <c r="Y405" s="559"/>
      <c r="Z405" s="559"/>
      <c r="AA405" s="559"/>
      <c r="AB405" s="559"/>
      <c r="AC405" s="559"/>
      <c r="AD405" s="559"/>
      <c r="AE405" s="559"/>
      <c r="AF405" s="559"/>
      <c r="AG405" s="559"/>
    </row>
    <row r="406" spans="1:33" ht="18" customHeight="1" x14ac:dyDescent="0.35">
      <c r="A406" s="559"/>
      <c r="B406" s="559"/>
      <c r="C406" s="559"/>
      <c r="D406" s="559"/>
      <c r="E406" s="559"/>
      <c r="F406" s="559"/>
      <c r="G406" s="559"/>
      <c r="H406" s="559"/>
      <c r="I406" s="559"/>
      <c r="J406" s="559"/>
      <c r="K406" s="559"/>
      <c r="L406" s="559"/>
      <c r="M406" s="559"/>
      <c r="N406" s="559"/>
      <c r="O406" s="559"/>
      <c r="P406" s="559"/>
      <c r="Q406" s="559"/>
      <c r="R406" s="559"/>
      <c r="S406" s="559"/>
      <c r="T406" s="559"/>
      <c r="U406" s="559"/>
      <c r="V406" s="559"/>
      <c r="W406" s="559"/>
      <c r="X406" s="559"/>
      <c r="Y406" s="559"/>
      <c r="Z406" s="559"/>
      <c r="AA406" s="559"/>
      <c r="AB406" s="559"/>
      <c r="AC406" s="559"/>
      <c r="AD406" s="559"/>
      <c r="AE406" s="559"/>
      <c r="AF406" s="559"/>
      <c r="AG406" s="559"/>
    </row>
    <row r="407" spans="1:33" ht="18" customHeight="1" x14ac:dyDescent="0.35">
      <c r="A407" s="559"/>
      <c r="B407" s="559"/>
      <c r="C407" s="559"/>
      <c r="D407" s="559"/>
      <c r="E407" s="559"/>
      <c r="F407" s="559"/>
      <c r="G407" s="559"/>
      <c r="H407" s="559"/>
      <c r="I407" s="559"/>
      <c r="J407" s="559"/>
      <c r="K407" s="559"/>
      <c r="L407" s="559"/>
      <c r="M407" s="559"/>
      <c r="N407" s="559"/>
      <c r="O407" s="559"/>
      <c r="P407" s="559"/>
      <c r="Q407" s="559"/>
      <c r="R407" s="559"/>
      <c r="S407" s="559"/>
      <c r="T407" s="559"/>
      <c r="U407" s="559"/>
      <c r="V407" s="559"/>
      <c r="W407" s="559"/>
      <c r="X407" s="559"/>
      <c r="Y407" s="559"/>
      <c r="Z407" s="559"/>
      <c r="AA407" s="559"/>
      <c r="AB407" s="559"/>
      <c r="AC407" s="559"/>
      <c r="AD407" s="559"/>
      <c r="AE407" s="559"/>
      <c r="AF407" s="559"/>
      <c r="AG407" s="559"/>
    </row>
    <row r="408" spans="1:33" ht="18" customHeight="1" x14ac:dyDescent="0.35">
      <c r="A408" s="559"/>
      <c r="B408" s="559"/>
      <c r="C408" s="559"/>
      <c r="D408" s="559"/>
      <c r="E408" s="559"/>
      <c r="F408" s="559"/>
      <c r="G408" s="559"/>
      <c r="H408" s="559"/>
      <c r="I408" s="559"/>
      <c r="J408" s="559"/>
      <c r="K408" s="559"/>
      <c r="L408" s="559"/>
      <c r="M408" s="559"/>
      <c r="N408" s="559"/>
      <c r="O408" s="559"/>
      <c r="P408" s="559"/>
      <c r="Q408" s="559"/>
      <c r="R408" s="559"/>
      <c r="S408" s="559"/>
      <c r="T408" s="559"/>
      <c r="U408" s="559"/>
      <c r="V408" s="559"/>
      <c r="W408" s="559"/>
      <c r="X408" s="559"/>
      <c r="Y408" s="559"/>
      <c r="Z408" s="559"/>
      <c r="AA408" s="559"/>
      <c r="AB408" s="559"/>
      <c r="AC408" s="559"/>
      <c r="AD408" s="559"/>
      <c r="AE408" s="559"/>
      <c r="AF408" s="559"/>
      <c r="AG408" s="559"/>
    </row>
    <row r="409" spans="1:33" ht="18" customHeight="1" x14ac:dyDescent="0.35">
      <c r="A409" s="559"/>
      <c r="B409" s="559"/>
      <c r="C409" s="559"/>
      <c r="D409" s="559"/>
      <c r="E409" s="559"/>
      <c r="F409" s="559"/>
      <c r="G409" s="559"/>
      <c r="H409" s="559"/>
      <c r="I409" s="559"/>
      <c r="J409" s="559"/>
      <c r="K409" s="559"/>
      <c r="L409" s="559"/>
      <c r="M409" s="559"/>
      <c r="N409" s="559"/>
      <c r="O409" s="559"/>
      <c r="P409" s="559"/>
      <c r="Q409" s="559"/>
      <c r="R409" s="559"/>
      <c r="S409" s="559"/>
      <c r="T409" s="559"/>
      <c r="U409" s="559"/>
      <c r="V409" s="559"/>
      <c r="W409" s="559"/>
      <c r="X409" s="559"/>
      <c r="Y409" s="559"/>
      <c r="Z409" s="559"/>
      <c r="AA409" s="559"/>
      <c r="AB409" s="559"/>
      <c r="AC409" s="559"/>
      <c r="AD409" s="559"/>
      <c r="AE409" s="559"/>
      <c r="AF409" s="559"/>
      <c r="AG409" s="559"/>
    </row>
    <row r="410" spans="1:33" ht="18" customHeight="1" x14ac:dyDescent="0.35">
      <c r="A410" s="559"/>
      <c r="B410" s="559"/>
      <c r="C410" s="559"/>
      <c r="D410" s="559"/>
      <c r="E410" s="559"/>
      <c r="F410" s="559"/>
      <c r="G410" s="559"/>
      <c r="H410" s="559"/>
      <c r="I410" s="559"/>
      <c r="J410" s="559"/>
      <c r="K410" s="559"/>
      <c r="L410" s="559"/>
      <c r="M410" s="559"/>
      <c r="N410" s="559"/>
      <c r="O410" s="559"/>
      <c r="P410" s="559"/>
      <c r="Q410" s="559"/>
      <c r="R410" s="559"/>
      <c r="S410" s="559"/>
      <c r="T410" s="559"/>
      <c r="U410" s="559"/>
      <c r="V410" s="559"/>
      <c r="W410" s="559"/>
      <c r="X410" s="559"/>
      <c r="Y410" s="559"/>
      <c r="Z410" s="559"/>
      <c r="AA410" s="559"/>
      <c r="AB410" s="559"/>
      <c r="AC410" s="559"/>
      <c r="AD410" s="559"/>
      <c r="AE410" s="559"/>
      <c r="AF410" s="559"/>
      <c r="AG410" s="559"/>
    </row>
    <row r="411" spans="1:33" ht="18" customHeight="1" x14ac:dyDescent="0.35">
      <c r="A411" s="559"/>
      <c r="B411" s="559"/>
      <c r="C411" s="559"/>
      <c r="D411" s="559"/>
      <c r="E411" s="559"/>
      <c r="F411" s="559"/>
      <c r="G411" s="559"/>
      <c r="H411" s="559"/>
      <c r="I411" s="559"/>
      <c r="J411" s="559"/>
      <c r="K411" s="559"/>
      <c r="L411" s="559"/>
      <c r="M411" s="559"/>
      <c r="N411" s="559"/>
      <c r="O411" s="559"/>
      <c r="P411" s="559"/>
      <c r="Q411" s="559"/>
      <c r="R411" s="559"/>
      <c r="S411" s="559"/>
      <c r="T411" s="559"/>
      <c r="U411" s="559"/>
      <c r="V411" s="559"/>
      <c r="W411" s="559"/>
      <c r="X411" s="559"/>
      <c r="Y411" s="559"/>
      <c r="Z411" s="559"/>
      <c r="AA411" s="559"/>
      <c r="AB411" s="559"/>
      <c r="AC411" s="559"/>
      <c r="AD411" s="559"/>
      <c r="AE411" s="559"/>
      <c r="AF411" s="559"/>
      <c r="AG411" s="559"/>
    </row>
    <row r="412" spans="1:33" ht="18" customHeight="1" x14ac:dyDescent="0.35">
      <c r="A412" s="559"/>
      <c r="B412" s="559"/>
      <c r="C412" s="559"/>
      <c r="D412" s="559"/>
      <c r="E412" s="559"/>
      <c r="F412" s="559"/>
      <c r="G412" s="559"/>
      <c r="H412" s="559"/>
      <c r="I412" s="559"/>
      <c r="J412" s="559"/>
      <c r="K412" s="559"/>
      <c r="L412" s="559"/>
      <c r="M412" s="559"/>
      <c r="N412" s="559"/>
      <c r="O412" s="559"/>
      <c r="P412" s="559"/>
      <c r="Q412" s="559"/>
      <c r="R412" s="559"/>
      <c r="S412" s="559"/>
      <c r="T412" s="559"/>
      <c r="U412" s="559"/>
      <c r="V412" s="559"/>
      <c r="W412" s="559"/>
      <c r="X412" s="559"/>
      <c r="Y412" s="559"/>
      <c r="Z412" s="559"/>
      <c r="AA412" s="559"/>
      <c r="AB412" s="559"/>
      <c r="AC412" s="559"/>
      <c r="AD412" s="559"/>
      <c r="AE412" s="559"/>
      <c r="AF412" s="559"/>
      <c r="AG412" s="559"/>
    </row>
    <row r="413" spans="1:33" ht="18" customHeight="1" x14ac:dyDescent="0.35">
      <c r="A413" s="559"/>
      <c r="B413" s="559"/>
      <c r="C413" s="559"/>
      <c r="D413" s="559"/>
      <c r="E413" s="559"/>
      <c r="F413" s="559"/>
      <c r="G413" s="559"/>
      <c r="H413" s="559"/>
      <c r="I413" s="559"/>
      <c r="J413" s="559"/>
      <c r="K413" s="559"/>
      <c r="L413" s="559"/>
      <c r="M413" s="559"/>
      <c r="N413" s="559"/>
      <c r="O413" s="559"/>
      <c r="P413" s="559"/>
      <c r="Q413" s="559"/>
      <c r="R413" s="559"/>
      <c r="S413" s="559"/>
      <c r="T413" s="559"/>
      <c r="U413" s="559"/>
      <c r="V413" s="559"/>
      <c r="W413" s="559"/>
      <c r="X413" s="559"/>
      <c r="Y413" s="559"/>
      <c r="Z413" s="559"/>
      <c r="AA413" s="559"/>
      <c r="AB413" s="559"/>
      <c r="AC413" s="559"/>
      <c r="AD413" s="559"/>
      <c r="AE413" s="559"/>
      <c r="AF413" s="559"/>
      <c r="AG413" s="559"/>
    </row>
    <row r="414" spans="1:33" ht="18" customHeight="1" x14ac:dyDescent="0.35">
      <c r="A414" s="559"/>
      <c r="B414" s="559"/>
      <c r="C414" s="559"/>
      <c r="D414" s="559"/>
      <c r="E414" s="559"/>
      <c r="F414" s="559"/>
      <c r="G414" s="559"/>
      <c r="H414" s="559"/>
      <c r="I414" s="559"/>
      <c r="J414" s="559"/>
      <c r="K414" s="559"/>
      <c r="L414" s="559"/>
      <c r="M414" s="559"/>
      <c r="N414" s="559"/>
      <c r="O414" s="559"/>
      <c r="P414" s="559"/>
      <c r="Q414" s="559"/>
      <c r="R414" s="559"/>
      <c r="S414" s="559"/>
      <c r="T414" s="559"/>
      <c r="U414" s="559"/>
      <c r="V414" s="559"/>
      <c r="W414" s="559"/>
      <c r="X414" s="559"/>
      <c r="Y414" s="559"/>
      <c r="Z414" s="559"/>
      <c r="AA414" s="559"/>
      <c r="AB414" s="559"/>
      <c r="AC414" s="559"/>
      <c r="AD414" s="559"/>
      <c r="AE414" s="559"/>
      <c r="AF414" s="559"/>
      <c r="AG414" s="559"/>
    </row>
    <row r="415" spans="1:33" ht="18" customHeight="1" x14ac:dyDescent="0.35">
      <c r="A415" s="559"/>
      <c r="B415" s="559"/>
      <c r="C415" s="559"/>
      <c r="D415" s="559"/>
      <c r="E415" s="559"/>
      <c r="F415" s="559"/>
      <c r="G415" s="559"/>
      <c r="H415" s="559"/>
      <c r="I415" s="559"/>
      <c r="J415" s="559"/>
      <c r="K415" s="559"/>
      <c r="L415" s="559"/>
      <c r="M415" s="559"/>
      <c r="N415" s="559"/>
      <c r="O415" s="559"/>
      <c r="P415" s="559"/>
      <c r="Q415" s="559"/>
      <c r="R415" s="559"/>
      <c r="S415" s="559"/>
      <c r="T415" s="559"/>
      <c r="U415" s="559"/>
      <c r="V415" s="559"/>
      <c r="W415" s="559"/>
      <c r="X415" s="559"/>
      <c r="Y415" s="559"/>
      <c r="Z415" s="559"/>
      <c r="AA415" s="559"/>
      <c r="AB415" s="559"/>
      <c r="AC415" s="559"/>
      <c r="AD415" s="559"/>
      <c r="AE415" s="559"/>
      <c r="AF415" s="559"/>
      <c r="AG415" s="559"/>
    </row>
    <row r="416" spans="1:33" ht="18" customHeight="1" x14ac:dyDescent="0.35">
      <c r="A416" s="559"/>
      <c r="B416" s="559"/>
      <c r="C416" s="559"/>
      <c r="D416" s="559"/>
      <c r="E416" s="559"/>
      <c r="F416" s="559"/>
      <c r="G416" s="559"/>
      <c r="H416" s="559"/>
      <c r="I416" s="559"/>
      <c r="J416" s="559"/>
      <c r="K416" s="559"/>
      <c r="L416" s="559"/>
      <c r="M416" s="559"/>
      <c r="N416" s="559"/>
      <c r="O416" s="559"/>
      <c r="P416" s="559"/>
      <c r="Q416" s="559"/>
      <c r="R416" s="559"/>
      <c r="S416" s="559"/>
      <c r="T416" s="559"/>
      <c r="U416" s="559"/>
      <c r="V416" s="559"/>
      <c r="W416" s="559"/>
      <c r="X416" s="559"/>
      <c r="Y416" s="559"/>
      <c r="Z416" s="559"/>
      <c r="AA416" s="559"/>
      <c r="AB416" s="559"/>
      <c r="AC416" s="559"/>
      <c r="AD416" s="559"/>
      <c r="AE416" s="559"/>
      <c r="AF416" s="559"/>
      <c r="AG416" s="559"/>
    </row>
    <row r="417" spans="1:33" ht="18" customHeight="1" x14ac:dyDescent="0.35">
      <c r="A417" s="559"/>
      <c r="B417" s="559"/>
      <c r="C417" s="559"/>
      <c r="D417" s="559"/>
      <c r="E417" s="559"/>
      <c r="F417" s="559"/>
      <c r="G417" s="559"/>
      <c r="H417" s="559"/>
      <c r="I417" s="559"/>
      <c r="J417" s="559"/>
      <c r="K417" s="559"/>
      <c r="L417" s="559"/>
      <c r="M417" s="559"/>
      <c r="N417" s="559"/>
      <c r="O417" s="559"/>
      <c r="P417" s="559"/>
      <c r="Q417" s="559"/>
      <c r="R417" s="559"/>
      <c r="S417" s="559"/>
      <c r="T417" s="559"/>
      <c r="U417" s="559"/>
      <c r="V417" s="559"/>
      <c r="W417" s="559"/>
      <c r="X417" s="559"/>
      <c r="Y417" s="559"/>
      <c r="Z417" s="559"/>
      <c r="AA417" s="559"/>
      <c r="AB417" s="559"/>
      <c r="AC417" s="559"/>
      <c r="AD417" s="559"/>
      <c r="AE417" s="559"/>
      <c r="AF417" s="559"/>
      <c r="AG417" s="559"/>
    </row>
    <row r="418" spans="1:33" ht="18" customHeight="1" x14ac:dyDescent="0.35">
      <c r="A418" s="559"/>
      <c r="B418" s="559"/>
      <c r="C418" s="559"/>
      <c r="D418" s="559"/>
      <c r="E418" s="559"/>
      <c r="F418" s="559"/>
      <c r="G418" s="559"/>
      <c r="H418" s="559"/>
      <c r="I418" s="559"/>
      <c r="J418" s="559"/>
      <c r="K418" s="559"/>
      <c r="L418" s="559"/>
      <c r="M418" s="559"/>
      <c r="N418" s="559"/>
      <c r="O418" s="559"/>
      <c r="P418" s="559"/>
      <c r="Q418" s="559"/>
      <c r="R418" s="559"/>
      <c r="S418" s="559"/>
      <c r="T418" s="559"/>
      <c r="U418" s="559"/>
      <c r="V418" s="559"/>
      <c r="W418" s="559"/>
      <c r="X418" s="559"/>
      <c r="Y418" s="559"/>
      <c r="Z418" s="559"/>
      <c r="AA418" s="559"/>
      <c r="AB418" s="559"/>
      <c r="AC418" s="559"/>
      <c r="AD418" s="559"/>
      <c r="AE418" s="559"/>
      <c r="AF418" s="559"/>
      <c r="AG418" s="559"/>
    </row>
    <row r="419" spans="1:33" ht="18" customHeight="1" x14ac:dyDescent="0.35">
      <c r="A419" s="559"/>
      <c r="B419" s="559"/>
      <c r="C419" s="559"/>
      <c r="D419" s="559"/>
      <c r="E419" s="559"/>
      <c r="F419" s="559"/>
      <c r="G419" s="559"/>
      <c r="H419" s="559"/>
      <c r="I419" s="559"/>
      <c r="J419" s="559"/>
      <c r="K419" s="559"/>
      <c r="L419" s="559"/>
      <c r="M419" s="559"/>
      <c r="N419" s="559"/>
      <c r="O419" s="559"/>
      <c r="P419" s="559"/>
      <c r="Q419" s="559"/>
      <c r="R419" s="559"/>
      <c r="S419" s="559"/>
      <c r="T419" s="559"/>
      <c r="U419" s="559"/>
      <c r="V419" s="559"/>
      <c r="W419" s="559"/>
      <c r="X419" s="559"/>
      <c r="Y419" s="559"/>
      <c r="Z419" s="559"/>
      <c r="AA419" s="559"/>
      <c r="AB419" s="559"/>
      <c r="AC419" s="559"/>
      <c r="AD419" s="559"/>
      <c r="AE419" s="559"/>
      <c r="AF419" s="559"/>
      <c r="AG419" s="559"/>
    </row>
    <row r="420" spans="1:33" ht="18" customHeight="1" x14ac:dyDescent="0.35">
      <c r="A420" s="559"/>
      <c r="B420" s="559"/>
      <c r="C420" s="559"/>
      <c r="D420" s="559"/>
      <c r="E420" s="559"/>
      <c r="F420" s="559"/>
      <c r="G420" s="559"/>
      <c r="H420" s="559"/>
      <c r="I420" s="559"/>
      <c r="J420" s="559"/>
      <c r="K420" s="559"/>
      <c r="L420" s="559"/>
      <c r="M420" s="559"/>
      <c r="N420" s="559"/>
      <c r="O420" s="559"/>
      <c r="P420" s="559"/>
      <c r="Q420" s="559"/>
      <c r="R420" s="559"/>
      <c r="S420" s="559"/>
      <c r="T420" s="559"/>
      <c r="U420" s="559"/>
      <c r="V420" s="559"/>
      <c r="W420" s="559"/>
      <c r="X420" s="559"/>
      <c r="Y420" s="559"/>
      <c r="Z420" s="559"/>
      <c r="AA420" s="559"/>
      <c r="AB420" s="559"/>
      <c r="AC420" s="559"/>
      <c r="AD420" s="559"/>
      <c r="AE420" s="559"/>
      <c r="AF420" s="559"/>
      <c r="AG420" s="559"/>
    </row>
    <row r="421" spans="1:33" ht="18" customHeight="1" x14ac:dyDescent="0.35">
      <c r="A421" s="559"/>
      <c r="B421" s="559"/>
      <c r="C421" s="559"/>
      <c r="D421" s="559"/>
      <c r="E421" s="559"/>
      <c r="F421" s="559"/>
      <c r="G421" s="559"/>
      <c r="H421" s="559"/>
      <c r="I421" s="559"/>
      <c r="J421" s="559"/>
      <c r="K421" s="559"/>
      <c r="L421" s="559"/>
      <c r="M421" s="559"/>
      <c r="N421" s="559"/>
      <c r="O421" s="559"/>
      <c r="P421" s="559"/>
      <c r="Q421" s="559"/>
      <c r="R421" s="559"/>
      <c r="S421" s="559"/>
      <c r="T421" s="559"/>
      <c r="U421" s="559"/>
      <c r="V421" s="559"/>
      <c r="W421" s="559"/>
      <c r="X421" s="559"/>
      <c r="Y421" s="559"/>
      <c r="Z421" s="559"/>
      <c r="AA421" s="559"/>
      <c r="AB421" s="559"/>
      <c r="AC421" s="559"/>
      <c r="AD421" s="559"/>
      <c r="AE421" s="559"/>
      <c r="AF421" s="559"/>
      <c r="AG421" s="559"/>
    </row>
    <row r="422" spans="1:33" ht="18" customHeight="1" x14ac:dyDescent="0.35">
      <c r="A422" s="559"/>
      <c r="B422" s="559"/>
      <c r="C422" s="559"/>
      <c r="D422" s="559"/>
      <c r="E422" s="559"/>
      <c r="F422" s="559"/>
      <c r="G422" s="559"/>
      <c r="H422" s="559"/>
      <c r="I422" s="559"/>
      <c r="J422" s="559"/>
      <c r="K422" s="559"/>
      <c r="L422" s="559"/>
      <c r="M422" s="559"/>
      <c r="N422" s="559"/>
      <c r="O422" s="559"/>
      <c r="P422" s="559"/>
      <c r="Q422" s="559"/>
      <c r="R422" s="559"/>
      <c r="S422" s="559"/>
      <c r="T422" s="559"/>
      <c r="U422" s="559"/>
      <c r="V422" s="559"/>
      <c r="W422" s="559"/>
      <c r="X422" s="559"/>
      <c r="Y422" s="559"/>
      <c r="Z422" s="559"/>
      <c r="AA422" s="559"/>
      <c r="AB422" s="559"/>
      <c r="AC422" s="559"/>
      <c r="AD422" s="559"/>
      <c r="AE422" s="559"/>
      <c r="AF422" s="559"/>
      <c r="AG422" s="559"/>
    </row>
    <row r="423" spans="1:33" ht="18" customHeight="1" x14ac:dyDescent="0.35">
      <c r="A423" s="559"/>
      <c r="B423" s="559"/>
      <c r="C423" s="559"/>
      <c r="D423" s="559"/>
      <c r="E423" s="559"/>
      <c r="F423" s="559"/>
      <c r="G423" s="559"/>
      <c r="H423" s="559"/>
      <c r="I423" s="559"/>
      <c r="J423" s="559"/>
      <c r="K423" s="559"/>
      <c r="L423" s="559"/>
      <c r="M423" s="559"/>
      <c r="N423" s="559"/>
      <c r="O423" s="559"/>
      <c r="P423" s="559"/>
      <c r="Q423" s="559"/>
      <c r="R423" s="559"/>
      <c r="S423" s="559"/>
      <c r="T423" s="559"/>
      <c r="U423" s="559"/>
      <c r="V423" s="559"/>
      <c r="W423" s="559"/>
      <c r="X423" s="559"/>
      <c r="Y423" s="559"/>
      <c r="Z423" s="559"/>
      <c r="AA423" s="559"/>
      <c r="AB423" s="559"/>
      <c r="AC423" s="559"/>
      <c r="AD423" s="559"/>
      <c r="AE423" s="559"/>
      <c r="AF423" s="559"/>
      <c r="AG423" s="559"/>
    </row>
    <row r="424" spans="1:33" ht="18" customHeight="1" x14ac:dyDescent="0.35">
      <c r="A424" s="559"/>
      <c r="B424" s="559"/>
      <c r="C424" s="559"/>
      <c r="D424" s="559"/>
      <c r="E424" s="559"/>
      <c r="F424" s="559"/>
      <c r="G424" s="559"/>
      <c r="H424" s="559"/>
      <c r="I424" s="559"/>
      <c r="J424" s="559"/>
      <c r="K424" s="559"/>
      <c r="L424" s="559"/>
      <c r="M424" s="559"/>
      <c r="N424" s="559"/>
      <c r="O424" s="559"/>
      <c r="P424" s="559"/>
      <c r="Q424" s="559"/>
      <c r="R424" s="559"/>
      <c r="S424" s="559"/>
      <c r="T424" s="559"/>
      <c r="U424" s="559"/>
      <c r="V424" s="559"/>
      <c r="W424" s="559"/>
      <c r="X424" s="559"/>
      <c r="Y424" s="559"/>
      <c r="Z424" s="559"/>
      <c r="AA424" s="559"/>
      <c r="AB424" s="559"/>
      <c r="AC424" s="559"/>
      <c r="AD424" s="559"/>
      <c r="AE424" s="559"/>
      <c r="AF424" s="559"/>
      <c r="AG424" s="559"/>
    </row>
    <row r="425" spans="1:33" ht="18" customHeight="1" x14ac:dyDescent="0.35">
      <c r="A425" s="559"/>
      <c r="B425" s="559"/>
      <c r="C425" s="559"/>
      <c r="D425" s="559"/>
      <c r="E425" s="559"/>
      <c r="F425" s="559"/>
      <c r="G425" s="559"/>
      <c r="H425" s="559"/>
      <c r="I425" s="559"/>
      <c r="J425" s="559"/>
      <c r="K425" s="559"/>
      <c r="L425" s="559"/>
      <c r="M425" s="559"/>
      <c r="N425" s="559"/>
      <c r="O425" s="559"/>
      <c r="P425" s="559"/>
      <c r="Q425" s="559"/>
      <c r="R425" s="559"/>
      <c r="S425" s="559"/>
      <c r="T425" s="559"/>
      <c r="U425" s="559"/>
      <c r="V425" s="559"/>
      <c r="W425" s="559"/>
      <c r="X425" s="559"/>
      <c r="Y425" s="559"/>
      <c r="Z425" s="559"/>
      <c r="AA425" s="559"/>
      <c r="AB425" s="559"/>
      <c r="AC425" s="559"/>
      <c r="AD425" s="559"/>
      <c r="AE425" s="559"/>
      <c r="AF425" s="559"/>
      <c r="AG425" s="559"/>
    </row>
    <row r="426" spans="1:33" ht="18" customHeight="1" x14ac:dyDescent="0.35">
      <c r="A426" s="559"/>
      <c r="B426" s="559"/>
      <c r="C426" s="559"/>
      <c r="D426" s="559"/>
      <c r="E426" s="559"/>
      <c r="F426" s="559"/>
      <c r="G426" s="559"/>
      <c r="H426" s="559"/>
      <c r="I426" s="559"/>
      <c r="J426" s="559"/>
      <c r="K426" s="559"/>
      <c r="L426" s="559"/>
      <c r="M426" s="559"/>
      <c r="N426" s="559"/>
      <c r="O426" s="559"/>
      <c r="P426" s="559"/>
      <c r="Q426" s="559"/>
      <c r="R426" s="559"/>
      <c r="S426" s="559"/>
      <c r="T426" s="559"/>
      <c r="U426" s="559"/>
      <c r="V426" s="559"/>
      <c r="W426" s="559"/>
      <c r="X426" s="559"/>
      <c r="Y426" s="559"/>
      <c r="Z426" s="559"/>
      <c r="AA426" s="559"/>
      <c r="AB426" s="559"/>
      <c r="AC426" s="559"/>
      <c r="AD426" s="559"/>
      <c r="AE426" s="559"/>
      <c r="AF426" s="559"/>
      <c r="AG426" s="559"/>
    </row>
    <row r="427" spans="1:33" ht="18" customHeight="1" x14ac:dyDescent="0.35">
      <c r="A427" s="559"/>
      <c r="B427" s="559"/>
      <c r="C427" s="559"/>
      <c r="D427" s="559"/>
      <c r="E427" s="559"/>
      <c r="F427" s="559"/>
      <c r="G427" s="559"/>
      <c r="H427" s="559"/>
      <c r="I427" s="559"/>
      <c r="J427" s="559"/>
      <c r="K427" s="559"/>
      <c r="L427" s="559"/>
      <c r="M427" s="559"/>
      <c r="N427" s="559"/>
      <c r="O427" s="559"/>
      <c r="P427" s="559"/>
      <c r="Q427" s="559"/>
      <c r="R427" s="559"/>
      <c r="S427" s="559"/>
      <c r="T427" s="559"/>
      <c r="U427" s="559"/>
      <c r="V427" s="559"/>
      <c r="W427" s="559"/>
      <c r="X427" s="559"/>
      <c r="Y427" s="559"/>
      <c r="Z427" s="559"/>
      <c r="AA427" s="559"/>
      <c r="AB427" s="559"/>
      <c r="AC427" s="559"/>
      <c r="AD427" s="559"/>
      <c r="AE427" s="559"/>
      <c r="AF427" s="559"/>
      <c r="AG427" s="559"/>
    </row>
    <row r="428" spans="1:33" ht="18" customHeight="1" x14ac:dyDescent="0.35">
      <c r="A428" s="559"/>
      <c r="B428" s="559"/>
      <c r="C428" s="559"/>
      <c r="D428" s="559"/>
      <c r="E428" s="559"/>
      <c r="F428" s="559"/>
      <c r="G428" s="559"/>
      <c r="H428" s="559"/>
      <c r="I428" s="559"/>
      <c r="J428" s="559"/>
      <c r="K428" s="559"/>
      <c r="L428" s="559"/>
      <c r="M428" s="559"/>
      <c r="N428" s="559"/>
      <c r="O428" s="559"/>
      <c r="P428" s="559"/>
      <c r="Q428" s="559"/>
      <c r="R428" s="559"/>
      <c r="S428" s="559"/>
      <c r="T428" s="559"/>
      <c r="U428" s="559"/>
      <c r="V428" s="559"/>
      <c r="W428" s="559"/>
      <c r="X428" s="559"/>
      <c r="Y428" s="559"/>
      <c r="Z428" s="559"/>
      <c r="AA428" s="559"/>
      <c r="AB428" s="559"/>
      <c r="AC428" s="559"/>
      <c r="AD428" s="559"/>
      <c r="AE428" s="559"/>
      <c r="AF428" s="559"/>
      <c r="AG428" s="559"/>
    </row>
    <row r="429" spans="1:33" ht="18" customHeight="1" x14ac:dyDescent="0.35">
      <c r="A429" s="559"/>
      <c r="B429" s="559"/>
      <c r="C429" s="559"/>
      <c r="D429" s="559"/>
      <c r="E429" s="559"/>
      <c r="F429" s="559"/>
      <c r="G429" s="559"/>
      <c r="H429" s="559"/>
      <c r="I429" s="559"/>
      <c r="J429" s="559"/>
      <c r="K429" s="559"/>
      <c r="L429" s="559"/>
      <c r="M429" s="559"/>
      <c r="N429" s="559"/>
      <c r="O429" s="559"/>
      <c r="P429" s="559"/>
      <c r="Q429" s="559"/>
      <c r="R429" s="559"/>
      <c r="S429" s="559"/>
      <c r="T429" s="559"/>
      <c r="U429" s="559"/>
      <c r="V429" s="559"/>
      <c r="W429" s="559"/>
      <c r="X429" s="559"/>
      <c r="Y429" s="559"/>
      <c r="Z429" s="559"/>
      <c r="AA429" s="559"/>
      <c r="AB429" s="559"/>
      <c r="AC429" s="559"/>
      <c r="AD429" s="559"/>
      <c r="AE429" s="559"/>
      <c r="AF429" s="559"/>
      <c r="AG429" s="559"/>
    </row>
    <row r="430" spans="1:33" ht="18" customHeight="1" x14ac:dyDescent="0.35">
      <c r="A430" s="559"/>
      <c r="B430" s="559"/>
      <c r="C430" s="559"/>
      <c r="D430" s="559"/>
      <c r="E430" s="559"/>
      <c r="F430" s="559"/>
      <c r="G430" s="559"/>
      <c r="H430" s="559"/>
      <c r="I430" s="559"/>
      <c r="J430" s="559"/>
      <c r="K430" s="559"/>
      <c r="L430" s="559"/>
      <c r="M430" s="559"/>
      <c r="N430" s="559"/>
      <c r="O430" s="559"/>
      <c r="P430" s="559"/>
      <c r="Q430" s="559"/>
      <c r="R430" s="559"/>
      <c r="S430" s="559"/>
      <c r="T430" s="559"/>
      <c r="U430" s="559"/>
      <c r="V430" s="559"/>
      <c r="W430" s="559"/>
      <c r="X430" s="559"/>
      <c r="Y430" s="559"/>
      <c r="Z430" s="559"/>
      <c r="AA430" s="559"/>
      <c r="AB430" s="559"/>
      <c r="AC430" s="559"/>
      <c r="AD430" s="559"/>
      <c r="AE430" s="559"/>
      <c r="AF430" s="559"/>
      <c r="AG430" s="559"/>
    </row>
    <row r="431" spans="1:33" ht="18" customHeight="1" x14ac:dyDescent="0.35">
      <c r="A431" s="559"/>
      <c r="B431" s="559"/>
      <c r="C431" s="559"/>
      <c r="D431" s="559"/>
      <c r="E431" s="559"/>
      <c r="F431" s="559"/>
      <c r="G431" s="559"/>
      <c r="H431" s="559"/>
      <c r="I431" s="559"/>
      <c r="J431" s="559"/>
      <c r="K431" s="559"/>
      <c r="L431" s="559"/>
      <c r="M431" s="559"/>
      <c r="N431" s="559"/>
      <c r="O431" s="559"/>
      <c r="P431" s="559"/>
      <c r="Q431" s="559"/>
      <c r="R431" s="559"/>
      <c r="S431" s="559"/>
      <c r="T431" s="559"/>
      <c r="U431" s="559"/>
      <c r="V431" s="559"/>
      <c r="W431" s="559"/>
      <c r="X431" s="559"/>
      <c r="Y431" s="559"/>
      <c r="Z431" s="559"/>
      <c r="AA431" s="559"/>
      <c r="AB431" s="559"/>
      <c r="AC431" s="559"/>
      <c r="AD431" s="559"/>
      <c r="AE431" s="559"/>
      <c r="AF431" s="559"/>
      <c r="AG431" s="559"/>
    </row>
    <row r="432" spans="1:33" ht="18" customHeight="1" x14ac:dyDescent="0.35">
      <c r="A432" s="559"/>
      <c r="B432" s="559"/>
      <c r="C432" s="559"/>
      <c r="D432" s="559"/>
      <c r="E432" s="559"/>
      <c r="F432" s="559"/>
      <c r="G432" s="559"/>
      <c r="H432" s="559"/>
      <c r="I432" s="559"/>
      <c r="J432" s="559"/>
      <c r="K432" s="559"/>
      <c r="L432" s="559"/>
      <c r="M432" s="559"/>
      <c r="N432" s="559"/>
      <c r="O432" s="559"/>
      <c r="P432" s="559"/>
      <c r="Q432" s="559"/>
      <c r="R432" s="559"/>
      <c r="S432" s="559"/>
      <c r="T432" s="559"/>
      <c r="U432" s="559"/>
      <c r="V432" s="559"/>
      <c r="W432" s="559"/>
      <c r="X432" s="559"/>
      <c r="Y432" s="559"/>
      <c r="Z432" s="559"/>
      <c r="AA432" s="559"/>
      <c r="AB432" s="559"/>
      <c r="AC432" s="559"/>
      <c r="AD432" s="559"/>
      <c r="AE432" s="559"/>
      <c r="AF432" s="559"/>
      <c r="AG432" s="559"/>
    </row>
    <row r="433" spans="1:33" ht="18" customHeight="1" x14ac:dyDescent="0.35">
      <c r="A433" s="559"/>
      <c r="B433" s="559"/>
      <c r="C433" s="559"/>
      <c r="D433" s="559"/>
      <c r="E433" s="559"/>
      <c r="F433" s="559"/>
      <c r="G433" s="559"/>
      <c r="H433" s="559"/>
      <c r="I433" s="559"/>
      <c r="J433" s="559"/>
      <c r="K433" s="559"/>
      <c r="L433" s="559"/>
      <c r="M433" s="559"/>
      <c r="N433" s="559"/>
      <c r="O433" s="559"/>
      <c r="P433" s="559"/>
      <c r="Q433" s="559"/>
      <c r="R433" s="559"/>
      <c r="S433" s="559"/>
      <c r="T433" s="559"/>
      <c r="U433" s="559"/>
      <c r="V433" s="559"/>
      <c r="W433" s="559"/>
      <c r="X433" s="559"/>
      <c r="Y433" s="559"/>
      <c r="Z433" s="559"/>
      <c r="AA433" s="559"/>
      <c r="AB433" s="559"/>
      <c r="AC433" s="559"/>
      <c r="AD433" s="559"/>
      <c r="AE433" s="559"/>
      <c r="AF433" s="559"/>
      <c r="AG433" s="559"/>
    </row>
    <row r="434" spans="1:33" ht="18" customHeight="1" x14ac:dyDescent="0.35">
      <c r="A434" s="559"/>
      <c r="B434" s="559"/>
      <c r="C434" s="559"/>
      <c r="D434" s="559"/>
      <c r="E434" s="559"/>
      <c r="F434" s="559"/>
      <c r="G434" s="559"/>
      <c r="H434" s="559"/>
      <c r="I434" s="559"/>
      <c r="J434" s="559"/>
      <c r="K434" s="559"/>
      <c r="L434" s="559"/>
      <c r="M434" s="559"/>
      <c r="N434" s="559"/>
      <c r="O434" s="559"/>
      <c r="P434" s="559"/>
      <c r="Q434" s="559"/>
      <c r="R434" s="559"/>
      <c r="S434" s="559"/>
      <c r="T434" s="559"/>
      <c r="U434" s="559"/>
      <c r="V434" s="559"/>
      <c r="W434" s="559"/>
      <c r="X434" s="559"/>
      <c r="Y434" s="559"/>
      <c r="Z434" s="559"/>
      <c r="AA434" s="559"/>
      <c r="AB434" s="559"/>
      <c r="AC434" s="559"/>
      <c r="AD434" s="559"/>
      <c r="AE434" s="559"/>
      <c r="AF434" s="559"/>
      <c r="AG434" s="559"/>
    </row>
    <row r="435" spans="1:33" ht="18" customHeight="1" x14ac:dyDescent="0.35">
      <c r="A435" s="559"/>
      <c r="B435" s="559"/>
      <c r="C435" s="559"/>
      <c r="D435" s="559"/>
      <c r="E435" s="559"/>
      <c r="F435" s="559"/>
      <c r="G435" s="559"/>
      <c r="H435" s="559"/>
      <c r="I435" s="559"/>
      <c r="J435" s="559"/>
      <c r="K435" s="559"/>
      <c r="L435" s="559"/>
      <c r="M435" s="559"/>
      <c r="N435" s="559"/>
      <c r="O435" s="559"/>
      <c r="P435" s="559"/>
      <c r="Q435" s="559"/>
      <c r="R435" s="559"/>
      <c r="S435" s="559"/>
      <c r="T435" s="559"/>
      <c r="U435" s="559"/>
      <c r="V435" s="559"/>
      <c r="W435" s="559"/>
      <c r="X435" s="559"/>
      <c r="Y435" s="559"/>
      <c r="Z435" s="559"/>
      <c r="AA435" s="559"/>
      <c r="AB435" s="559"/>
      <c r="AC435" s="559"/>
      <c r="AD435" s="559"/>
      <c r="AE435" s="559"/>
      <c r="AF435" s="559"/>
      <c r="AG435" s="559"/>
    </row>
    <row r="436" spans="1:33" ht="18" customHeight="1" x14ac:dyDescent="0.35">
      <c r="A436" s="559"/>
      <c r="B436" s="559"/>
      <c r="C436" s="559"/>
      <c r="D436" s="559"/>
      <c r="E436" s="559"/>
      <c r="F436" s="559"/>
      <c r="G436" s="559"/>
      <c r="H436" s="559"/>
      <c r="I436" s="559"/>
      <c r="J436" s="559"/>
      <c r="K436" s="559"/>
      <c r="L436" s="559"/>
      <c r="M436" s="559"/>
      <c r="N436" s="559"/>
      <c r="O436" s="559"/>
      <c r="P436" s="559"/>
      <c r="Q436" s="559"/>
      <c r="R436" s="559"/>
      <c r="S436" s="559"/>
      <c r="T436" s="559"/>
      <c r="U436" s="559"/>
      <c r="V436" s="559"/>
      <c r="W436" s="559"/>
      <c r="X436" s="559"/>
      <c r="Y436" s="559"/>
      <c r="Z436" s="559"/>
      <c r="AA436" s="559"/>
      <c r="AB436" s="559"/>
      <c r="AC436" s="559"/>
      <c r="AD436" s="559"/>
      <c r="AE436" s="559"/>
      <c r="AF436" s="559"/>
      <c r="AG436" s="559"/>
    </row>
    <row r="437" spans="1:33" ht="18" customHeight="1" x14ac:dyDescent="0.35">
      <c r="A437" s="559"/>
      <c r="B437" s="559"/>
      <c r="C437" s="559"/>
      <c r="D437" s="559"/>
      <c r="E437" s="559"/>
      <c r="F437" s="559"/>
      <c r="G437" s="559"/>
      <c r="H437" s="559"/>
      <c r="I437" s="559"/>
      <c r="J437" s="559"/>
      <c r="K437" s="559"/>
      <c r="L437" s="559"/>
      <c r="M437" s="559"/>
      <c r="N437" s="559"/>
      <c r="O437" s="559"/>
      <c r="P437" s="559"/>
      <c r="Q437" s="559"/>
      <c r="R437" s="559"/>
      <c r="S437" s="559"/>
      <c r="T437" s="559"/>
      <c r="U437" s="559"/>
      <c r="V437" s="559"/>
      <c r="W437" s="559"/>
      <c r="X437" s="559"/>
      <c r="Y437" s="559"/>
      <c r="Z437" s="559"/>
      <c r="AA437" s="559"/>
      <c r="AB437" s="559"/>
      <c r="AC437" s="559"/>
      <c r="AD437" s="559"/>
      <c r="AE437" s="559"/>
      <c r="AF437" s="559"/>
      <c r="AG437" s="559"/>
    </row>
    <row r="438" spans="1:33" ht="18" customHeight="1" x14ac:dyDescent="0.35">
      <c r="A438" s="559"/>
      <c r="B438" s="559"/>
      <c r="C438" s="559"/>
      <c r="D438" s="559"/>
      <c r="E438" s="559"/>
      <c r="F438" s="559"/>
      <c r="G438" s="559"/>
      <c r="H438" s="559"/>
      <c r="I438" s="559"/>
      <c r="J438" s="559"/>
      <c r="K438" s="559"/>
      <c r="L438" s="559"/>
      <c r="M438" s="559"/>
      <c r="N438" s="559"/>
      <c r="O438" s="559"/>
      <c r="P438" s="559"/>
      <c r="Q438" s="559"/>
      <c r="R438" s="559"/>
      <c r="S438" s="559"/>
      <c r="T438" s="559"/>
      <c r="U438" s="559"/>
      <c r="V438" s="559"/>
      <c r="W438" s="559"/>
      <c r="X438" s="559"/>
      <c r="Y438" s="559"/>
      <c r="Z438" s="559"/>
      <c r="AA438" s="559"/>
      <c r="AB438" s="559"/>
      <c r="AC438" s="559"/>
      <c r="AD438" s="559"/>
      <c r="AE438" s="559"/>
      <c r="AF438" s="559"/>
      <c r="AG438" s="559"/>
    </row>
    <row r="439" spans="1:33" ht="18" customHeight="1" x14ac:dyDescent="0.35">
      <c r="A439" s="559"/>
      <c r="B439" s="559"/>
      <c r="C439" s="559"/>
      <c r="D439" s="559"/>
      <c r="E439" s="559"/>
      <c r="F439" s="559"/>
      <c r="G439" s="559"/>
      <c r="H439" s="559"/>
      <c r="I439" s="559"/>
      <c r="J439" s="559"/>
      <c r="K439" s="559"/>
      <c r="L439" s="559"/>
      <c r="M439" s="559"/>
      <c r="N439" s="559"/>
      <c r="O439" s="559"/>
      <c r="P439" s="559"/>
      <c r="Q439" s="559"/>
      <c r="R439" s="559"/>
      <c r="S439" s="559"/>
      <c r="T439" s="559"/>
      <c r="U439" s="559"/>
      <c r="V439" s="559"/>
      <c r="W439" s="559"/>
      <c r="X439" s="559"/>
      <c r="Y439" s="559"/>
      <c r="Z439" s="559"/>
      <c r="AA439" s="559"/>
      <c r="AB439" s="559"/>
      <c r="AC439" s="559"/>
      <c r="AD439" s="559"/>
      <c r="AE439" s="559"/>
      <c r="AF439" s="559"/>
      <c r="AG439" s="559"/>
    </row>
    <row r="440" spans="1:33" ht="18" customHeight="1" x14ac:dyDescent="0.35">
      <c r="A440" s="559"/>
      <c r="B440" s="559"/>
      <c r="C440" s="559"/>
      <c r="D440" s="559"/>
      <c r="E440" s="559"/>
      <c r="F440" s="559"/>
      <c r="G440" s="559"/>
      <c r="H440" s="559"/>
      <c r="I440" s="559"/>
      <c r="J440" s="559"/>
      <c r="K440" s="559"/>
      <c r="L440" s="559"/>
      <c r="M440" s="559"/>
      <c r="N440" s="559"/>
      <c r="O440" s="559"/>
      <c r="P440" s="559"/>
      <c r="Q440" s="559"/>
      <c r="R440" s="559"/>
      <c r="S440" s="559"/>
      <c r="T440" s="559"/>
      <c r="U440" s="559"/>
      <c r="V440" s="559"/>
      <c r="W440" s="559"/>
      <c r="X440" s="559"/>
      <c r="Y440" s="559"/>
      <c r="Z440" s="559"/>
      <c r="AA440" s="559"/>
      <c r="AB440" s="559"/>
      <c r="AC440" s="559"/>
      <c r="AD440" s="559"/>
      <c r="AE440" s="559"/>
      <c r="AF440" s="559"/>
      <c r="AG440" s="559"/>
    </row>
    <row r="441" spans="1:33" ht="18" customHeight="1" x14ac:dyDescent="0.35">
      <c r="A441" s="559"/>
      <c r="B441" s="559"/>
      <c r="C441" s="559"/>
      <c r="D441" s="559"/>
      <c r="E441" s="559"/>
      <c r="F441" s="559"/>
      <c r="G441" s="559"/>
      <c r="H441" s="559"/>
      <c r="I441" s="559"/>
      <c r="J441" s="559"/>
      <c r="K441" s="559"/>
      <c r="L441" s="559"/>
      <c r="M441" s="559"/>
      <c r="N441" s="559"/>
      <c r="O441" s="559"/>
      <c r="P441" s="559"/>
      <c r="Q441" s="559"/>
      <c r="R441" s="559"/>
      <c r="S441" s="559"/>
      <c r="T441" s="559"/>
      <c r="U441" s="559"/>
      <c r="V441" s="559"/>
      <c r="W441" s="559"/>
      <c r="X441" s="559"/>
      <c r="Y441" s="559"/>
      <c r="Z441" s="559"/>
      <c r="AA441" s="559"/>
      <c r="AB441" s="559"/>
      <c r="AC441" s="559"/>
      <c r="AD441" s="559"/>
      <c r="AE441" s="559"/>
      <c r="AF441" s="559"/>
      <c r="AG441" s="559"/>
    </row>
    <row r="442" spans="1:33" ht="18" customHeight="1" x14ac:dyDescent="0.35">
      <c r="A442" s="559"/>
      <c r="B442" s="559"/>
      <c r="C442" s="559"/>
      <c r="D442" s="559"/>
      <c r="E442" s="559"/>
      <c r="F442" s="559"/>
      <c r="G442" s="559"/>
      <c r="H442" s="559"/>
      <c r="I442" s="559"/>
      <c r="J442" s="559"/>
      <c r="K442" s="559"/>
      <c r="L442" s="559"/>
      <c r="M442" s="559"/>
      <c r="N442" s="559"/>
      <c r="O442" s="559"/>
      <c r="P442" s="559"/>
      <c r="Q442" s="559"/>
      <c r="R442" s="559"/>
      <c r="S442" s="559"/>
      <c r="T442" s="559"/>
      <c r="U442" s="559"/>
      <c r="V442" s="559"/>
      <c r="W442" s="559"/>
      <c r="X442" s="559"/>
      <c r="Y442" s="559"/>
      <c r="Z442" s="559"/>
      <c r="AA442" s="559"/>
      <c r="AB442" s="559"/>
      <c r="AC442" s="559"/>
      <c r="AD442" s="559"/>
      <c r="AE442" s="559"/>
      <c r="AF442" s="559"/>
      <c r="AG442" s="559"/>
    </row>
    <row r="443" spans="1:33" ht="18" customHeight="1" x14ac:dyDescent="0.35">
      <c r="A443" s="559"/>
      <c r="B443" s="559"/>
      <c r="C443" s="559"/>
      <c r="D443" s="559"/>
      <c r="E443" s="559"/>
      <c r="F443" s="559"/>
      <c r="G443" s="559"/>
      <c r="H443" s="559"/>
      <c r="I443" s="559"/>
      <c r="J443" s="559"/>
      <c r="K443" s="559"/>
      <c r="L443" s="559"/>
      <c r="M443" s="559"/>
      <c r="N443" s="559"/>
      <c r="O443" s="559"/>
      <c r="P443" s="559"/>
      <c r="Q443" s="559"/>
      <c r="R443" s="559"/>
      <c r="S443" s="559"/>
      <c r="T443" s="559"/>
      <c r="U443" s="559"/>
      <c r="V443" s="559"/>
      <c r="W443" s="559"/>
      <c r="X443" s="559"/>
      <c r="Y443" s="559"/>
      <c r="Z443" s="559"/>
      <c r="AA443" s="559"/>
      <c r="AB443" s="559"/>
      <c r="AC443" s="559"/>
      <c r="AD443" s="559"/>
      <c r="AE443" s="559"/>
      <c r="AF443" s="559"/>
      <c r="AG443" s="559"/>
    </row>
    <row r="444" spans="1:33" ht="18" customHeight="1" x14ac:dyDescent="0.35">
      <c r="A444" s="559"/>
      <c r="B444" s="559"/>
      <c r="C444" s="559"/>
      <c r="D444" s="559"/>
      <c r="E444" s="559"/>
      <c r="F444" s="559"/>
      <c r="G444" s="559"/>
      <c r="H444" s="559"/>
      <c r="I444" s="559"/>
      <c r="J444" s="559"/>
      <c r="K444" s="559"/>
      <c r="L444" s="559"/>
      <c r="M444" s="559"/>
      <c r="N444" s="559"/>
      <c r="O444" s="559"/>
      <c r="P444" s="559"/>
      <c r="Q444" s="559"/>
      <c r="R444" s="559"/>
      <c r="S444" s="559"/>
      <c r="T444" s="559"/>
      <c r="U444" s="559"/>
      <c r="V444" s="559"/>
      <c r="W444" s="559"/>
      <c r="X444" s="559"/>
      <c r="Y444" s="559"/>
      <c r="Z444" s="559"/>
      <c r="AA444" s="559"/>
      <c r="AB444" s="559"/>
      <c r="AC444" s="559"/>
      <c r="AD444" s="559"/>
      <c r="AE444" s="559"/>
      <c r="AF444" s="559"/>
      <c r="AG444" s="559"/>
    </row>
    <row r="445" spans="1:33" ht="18" customHeight="1" x14ac:dyDescent="0.35">
      <c r="A445" s="559"/>
      <c r="B445" s="559"/>
      <c r="C445" s="559"/>
      <c r="D445" s="559"/>
      <c r="E445" s="559"/>
      <c r="F445" s="559"/>
      <c r="G445" s="559"/>
      <c r="H445" s="559"/>
      <c r="I445" s="559"/>
      <c r="J445" s="559"/>
      <c r="K445" s="559"/>
      <c r="L445" s="559"/>
      <c r="M445" s="559"/>
      <c r="N445" s="559"/>
      <c r="O445" s="559"/>
      <c r="P445" s="559"/>
      <c r="Q445" s="559"/>
      <c r="R445" s="559"/>
      <c r="S445" s="559"/>
      <c r="T445" s="559"/>
      <c r="U445" s="559"/>
      <c r="V445" s="559"/>
      <c r="W445" s="559"/>
      <c r="X445" s="559"/>
      <c r="Y445" s="559"/>
      <c r="Z445" s="559"/>
      <c r="AA445" s="559"/>
      <c r="AB445" s="559"/>
      <c r="AC445" s="559"/>
      <c r="AD445" s="559"/>
      <c r="AE445" s="559"/>
      <c r="AF445" s="559"/>
      <c r="AG445" s="559"/>
    </row>
    <row r="446" spans="1:33" ht="18" customHeight="1" x14ac:dyDescent="0.35">
      <c r="A446" s="559"/>
      <c r="B446" s="559"/>
      <c r="C446" s="559"/>
      <c r="D446" s="559"/>
      <c r="E446" s="559"/>
      <c r="F446" s="559"/>
      <c r="G446" s="559"/>
      <c r="H446" s="559"/>
      <c r="I446" s="559"/>
      <c r="J446" s="559"/>
      <c r="K446" s="559"/>
      <c r="L446" s="559"/>
      <c r="M446" s="559"/>
      <c r="N446" s="559"/>
      <c r="O446" s="559"/>
      <c r="P446" s="559"/>
      <c r="Q446" s="559"/>
      <c r="R446" s="559"/>
      <c r="S446" s="559"/>
      <c r="T446" s="559"/>
      <c r="U446" s="559"/>
      <c r="V446" s="559"/>
      <c r="W446" s="559"/>
      <c r="X446" s="559"/>
      <c r="Y446" s="559"/>
      <c r="Z446" s="559"/>
      <c r="AA446" s="559"/>
      <c r="AB446" s="559"/>
      <c r="AC446" s="559"/>
      <c r="AD446" s="559"/>
      <c r="AE446" s="559"/>
      <c r="AF446" s="559"/>
      <c r="AG446" s="559"/>
    </row>
    <row r="447" spans="1:33" ht="18" customHeight="1" x14ac:dyDescent="0.35">
      <c r="A447" s="559"/>
      <c r="B447" s="559"/>
      <c r="C447" s="559"/>
      <c r="D447" s="559"/>
      <c r="E447" s="559"/>
      <c r="F447" s="559"/>
      <c r="G447" s="559"/>
      <c r="H447" s="559"/>
      <c r="I447" s="559"/>
      <c r="J447" s="559"/>
      <c r="K447" s="559"/>
      <c r="L447" s="559"/>
      <c r="M447" s="559"/>
      <c r="N447" s="559"/>
      <c r="O447" s="559"/>
      <c r="P447" s="559"/>
      <c r="Q447" s="559"/>
      <c r="R447" s="559"/>
      <c r="S447" s="559"/>
      <c r="T447" s="559"/>
      <c r="U447" s="559"/>
      <c r="V447" s="559"/>
      <c r="W447" s="559"/>
      <c r="X447" s="559"/>
      <c r="Y447" s="559"/>
      <c r="Z447" s="559"/>
      <c r="AA447" s="559"/>
      <c r="AB447" s="559"/>
      <c r="AC447" s="559"/>
      <c r="AD447" s="559"/>
      <c r="AE447" s="559"/>
      <c r="AF447" s="559"/>
      <c r="AG447" s="559"/>
    </row>
    <row r="448" spans="1:33" ht="18" customHeight="1" x14ac:dyDescent="0.35">
      <c r="A448" s="559"/>
      <c r="B448" s="559"/>
      <c r="C448" s="559"/>
      <c r="D448" s="559"/>
      <c r="E448" s="559"/>
      <c r="F448" s="559"/>
      <c r="G448" s="559"/>
      <c r="H448" s="559"/>
      <c r="I448" s="559"/>
      <c r="J448" s="559"/>
      <c r="K448" s="559"/>
      <c r="L448" s="559"/>
      <c r="M448" s="559"/>
      <c r="N448" s="559"/>
      <c r="O448" s="559"/>
      <c r="P448" s="559"/>
      <c r="Q448" s="559"/>
      <c r="R448" s="559"/>
      <c r="S448" s="559"/>
      <c r="T448" s="559"/>
      <c r="U448" s="559"/>
      <c r="V448" s="559"/>
      <c r="W448" s="559"/>
      <c r="X448" s="559"/>
      <c r="Y448" s="559"/>
      <c r="Z448" s="559"/>
      <c r="AA448" s="559"/>
      <c r="AB448" s="559"/>
      <c r="AC448" s="559"/>
      <c r="AD448" s="559"/>
      <c r="AE448" s="559"/>
      <c r="AF448" s="559"/>
      <c r="AG448" s="559"/>
    </row>
    <row r="449" spans="1:33" ht="18" customHeight="1" x14ac:dyDescent="0.35">
      <c r="A449" s="559"/>
      <c r="B449" s="559"/>
      <c r="C449" s="559"/>
      <c r="D449" s="559"/>
      <c r="E449" s="559"/>
      <c r="F449" s="559"/>
      <c r="G449" s="559"/>
      <c r="H449" s="559"/>
      <c r="I449" s="559"/>
      <c r="J449" s="559"/>
      <c r="K449" s="559"/>
      <c r="L449" s="559"/>
      <c r="M449" s="559"/>
      <c r="N449" s="559"/>
      <c r="O449" s="559"/>
      <c r="P449" s="559"/>
      <c r="Q449" s="559"/>
      <c r="R449" s="559"/>
      <c r="S449" s="559"/>
      <c r="T449" s="559"/>
      <c r="U449" s="559"/>
      <c r="V449" s="559"/>
      <c r="W449" s="559"/>
      <c r="X449" s="559"/>
      <c r="Y449" s="559"/>
      <c r="Z449" s="559"/>
      <c r="AA449" s="559"/>
      <c r="AB449" s="559"/>
      <c r="AC449" s="559"/>
      <c r="AD449" s="559"/>
      <c r="AE449" s="559"/>
      <c r="AF449" s="559"/>
      <c r="AG449" s="559"/>
    </row>
    <row r="450" spans="1:33" ht="18" customHeight="1" x14ac:dyDescent="0.35">
      <c r="A450" s="559"/>
      <c r="B450" s="559"/>
      <c r="C450" s="559"/>
      <c r="D450" s="559"/>
      <c r="E450" s="559"/>
      <c r="F450" s="559"/>
      <c r="G450" s="559"/>
      <c r="H450" s="559"/>
      <c r="I450" s="559"/>
      <c r="J450" s="559"/>
      <c r="K450" s="559"/>
      <c r="L450" s="559"/>
      <c r="M450" s="559"/>
      <c r="N450" s="559"/>
      <c r="O450" s="559"/>
      <c r="P450" s="559"/>
      <c r="Q450" s="559"/>
      <c r="R450" s="559"/>
      <c r="S450" s="559"/>
      <c r="T450" s="559"/>
      <c r="U450" s="559"/>
      <c r="V450" s="559"/>
      <c r="W450" s="559"/>
      <c r="X450" s="559"/>
      <c r="Y450" s="559"/>
      <c r="Z450" s="559"/>
      <c r="AA450" s="559"/>
      <c r="AB450" s="559"/>
      <c r="AC450" s="559"/>
      <c r="AD450" s="559"/>
      <c r="AE450" s="559"/>
      <c r="AF450" s="559"/>
      <c r="AG450" s="559"/>
    </row>
    <row r="451" spans="1:33" ht="18" customHeight="1" x14ac:dyDescent="0.35">
      <c r="A451" s="559"/>
      <c r="B451" s="559"/>
      <c r="C451" s="559"/>
      <c r="D451" s="559"/>
      <c r="E451" s="559"/>
      <c r="F451" s="559"/>
      <c r="G451" s="559"/>
      <c r="H451" s="559"/>
      <c r="I451" s="559"/>
      <c r="J451" s="559"/>
      <c r="K451" s="559"/>
      <c r="L451" s="559"/>
      <c r="M451" s="559"/>
      <c r="N451" s="559"/>
      <c r="O451" s="559"/>
      <c r="P451" s="559"/>
      <c r="Q451" s="559"/>
      <c r="R451" s="559"/>
      <c r="S451" s="559"/>
      <c r="T451" s="559"/>
      <c r="U451" s="559"/>
      <c r="V451" s="559"/>
      <c r="W451" s="559"/>
      <c r="X451" s="559"/>
      <c r="Y451" s="559"/>
      <c r="Z451" s="559"/>
      <c r="AA451" s="559"/>
      <c r="AB451" s="559"/>
      <c r="AC451" s="559"/>
      <c r="AD451" s="559"/>
      <c r="AE451" s="559"/>
      <c r="AF451" s="559"/>
      <c r="AG451" s="559"/>
    </row>
    <row r="452" spans="1:33" ht="18" customHeight="1" x14ac:dyDescent="0.35">
      <c r="A452" s="559"/>
      <c r="B452" s="559"/>
      <c r="C452" s="559"/>
      <c r="D452" s="559"/>
      <c r="E452" s="559"/>
      <c r="F452" s="559"/>
      <c r="G452" s="559"/>
      <c r="H452" s="559"/>
      <c r="I452" s="559"/>
      <c r="J452" s="559"/>
      <c r="K452" s="559"/>
      <c r="L452" s="559"/>
      <c r="M452" s="559"/>
      <c r="N452" s="559"/>
      <c r="O452" s="559"/>
      <c r="P452" s="559"/>
      <c r="Q452" s="559"/>
      <c r="R452" s="559"/>
      <c r="S452" s="559"/>
      <c r="T452" s="559"/>
      <c r="U452" s="559"/>
      <c r="V452" s="559"/>
      <c r="W452" s="559"/>
      <c r="X452" s="559"/>
      <c r="Y452" s="559"/>
      <c r="Z452" s="559"/>
      <c r="AA452" s="559"/>
      <c r="AB452" s="559"/>
      <c r="AC452" s="559"/>
      <c r="AD452" s="559"/>
      <c r="AE452" s="559"/>
      <c r="AF452" s="559"/>
      <c r="AG452" s="559"/>
    </row>
    <row r="453" spans="1:33" ht="18" customHeight="1" x14ac:dyDescent="0.35">
      <c r="A453" s="559"/>
      <c r="B453" s="559"/>
      <c r="C453" s="559"/>
      <c r="D453" s="559"/>
      <c r="E453" s="559"/>
      <c r="F453" s="559"/>
      <c r="G453" s="559"/>
      <c r="H453" s="559"/>
      <c r="I453" s="559"/>
      <c r="J453" s="559"/>
      <c r="K453" s="559"/>
      <c r="L453" s="559"/>
      <c r="M453" s="559"/>
      <c r="N453" s="559"/>
      <c r="O453" s="559"/>
      <c r="P453" s="559"/>
      <c r="Q453" s="559"/>
      <c r="R453" s="559"/>
      <c r="S453" s="559"/>
      <c r="T453" s="559"/>
      <c r="U453" s="559"/>
      <c r="V453" s="559"/>
      <c r="W453" s="559"/>
      <c r="X453" s="559"/>
      <c r="Y453" s="559"/>
      <c r="Z453" s="559"/>
      <c r="AA453" s="559"/>
      <c r="AB453" s="559"/>
      <c r="AC453" s="559"/>
      <c r="AD453" s="559"/>
      <c r="AE453" s="559"/>
      <c r="AF453" s="559"/>
      <c r="AG453" s="559"/>
    </row>
    <row r="454" spans="1:33" ht="18" customHeight="1" x14ac:dyDescent="0.35">
      <c r="A454" s="559"/>
      <c r="B454" s="559"/>
      <c r="C454" s="559"/>
      <c r="D454" s="559"/>
      <c r="E454" s="559"/>
      <c r="F454" s="559"/>
      <c r="G454" s="559"/>
      <c r="H454" s="559"/>
      <c r="I454" s="559"/>
      <c r="J454" s="559"/>
      <c r="K454" s="559"/>
      <c r="L454" s="559"/>
      <c r="M454" s="559"/>
      <c r="N454" s="559"/>
      <c r="O454" s="559"/>
      <c r="P454" s="559"/>
      <c r="Q454" s="559"/>
      <c r="R454" s="559"/>
      <c r="S454" s="559"/>
      <c r="T454" s="559"/>
      <c r="U454" s="559"/>
      <c r="V454" s="559"/>
      <c r="W454" s="559"/>
      <c r="X454" s="559"/>
      <c r="Y454" s="559"/>
      <c r="Z454" s="559"/>
      <c r="AA454" s="559"/>
      <c r="AB454" s="559"/>
      <c r="AC454" s="559"/>
      <c r="AD454" s="559"/>
      <c r="AE454" s="559"/>
      <c r="AF454" s="559"/>
      <c r="AG454" s="559"/>
    </row>
    <row r="455" spans="1:33" ht="18" customHeight="1" x14ac:dyDescent="0.35">
      <c r="A455" s="559"/>
      <c r="B455" s="559"/>
      <c r="C455" s="559"/>
      <c r="D455" s="559"/>
      <c r="E455" s="559"/>
      <c r="F455" s="559"/>
      <c r="G455" s="559"/>
      <c r="H455" s="559"/>
      <c r="I455" s="559"/>
      <c r="J455" s="559"/>
      <c r="K455" s="559"/>
      <c r="L455" s="559"/>
      <c r="M455" s="559"/>
      <c r="N455" s="559"/>
      <c r="O455" s="559"/>
      <c r="P455" s="559"/>
      <c r="Q455" s="559"/>
      <c r="R455" s="559"/>
      <c r="S455" s="559"/>
      <c r="T455" s="559"/>
      <c r="U455" s="559"/>
      <c r="V455" s="559"/>
      <c r="W455" s="559"/>
      <c r="X455" s="559"/>
      <c r="Y455" s="559"/>
      <c r="Z455" s="559"/>
      <c r="AA455" s="559"/>
      <c r="AB455" s="559"/>
      <c r="AC455" s="559"/>
      <c r="AD455" s="559"/>
      <c r="AE455" s="559"/>
      <c r="AF455" s="559"/>
      <c r="AG455" s="559"/>
    </row>
    <row r="456" spans="1:33" ht="18" customHeight="1" x14ac:dyDescent="0.35">
      <c r="A456" s="559"/>
      <c r="B456" s="559"/>
      <c r="C456" s="559"/>
      <c r="D456" s="559"/>
      <c r="E456" s="559"/>
      <c r="F456" s="559"/>
      <c r="G456" s="559"/>
      <c r="H456" s="559"/>
      <c r="I456" s="559"/>
      <c r="J456" s="559"/>
      <c r="K456" s="559"/>
      <c r="L456" s="559"/>
      <c r="M456" s="559"/>
      <c r="N456" s="559"/>
      <c r="O456" s="559"/>
      <c r="P456" s="559"/>
      <c r="Q456" s="559"/>
      <c r="R456" s="559"/>
      <c r="S456" s="559"/>
      <c r="T456" s="559"/>
      <c r="U456" s="559"/>
      <c r="V456" s="559"/>
      <c r="W456" s="559"/>
      <c r="X456" s="559"/>
      <c r="Y456" s="559"/>
      <c r="Z456" s="559"/>
      <c r="AA456" s="559"/>
      <c r="AB456" s="559"/>
      <c r="AC456" s="559"/>
      <c r="AD456" s="559"/>
      <c r="AE456" s="559"/>
      <c r="AF456" s="559"/>
      <c r="AG456" s="559"/>
    </row>
    <row r="457" spans="1:33" ht="18" customHeight="1" x14ac:dyDescent="0.35">
      <c r="A457" s="559"/>
      <c r="B457" s="559"/>
      <c r="C457" s="559"/>
      <c r="D457" s="559"/>
      <c r="E457" s="559"/>
      <c r="F457" s="559"/>
      <c r="G457" s="559"/>
      <c r="H457" s="559"/>
      <c r="I457" s="559"/>
      <c r="J457" s="559"/>
      <c r="K457" s="559"/>
      <c r="L457" s="559"/>
      <c r="M457" s="559"/>
      <c r="N457" s="559"/>
      <c r="O457" s="559"/>
      <c r="P457" s="559"/>
      <c r="Q457" s="559"/>
      <c r="R457" s="559"/>
      <c r="S457" s="559"/>
      <c r="T457" s="559"/>
      <c r="U457" s="559"/>
      <c r="V457" s="559"/>
      <c r="W457" s="559"/>
      <c r="X457" s="559"/>
      <c r="Y457" s="559"/>
      <c r="Z457" s="559"/>
      <c r="AA457" s="559"/>
      <c r="AB457" s="559"/>
      <c r="AC457" s="559"/>
      <c r="AD457" s="559"/>
      <c r="AE457" s="559"/>
      <c r="AF457" s="559"/>
      <c r="AG457" s="559"/>
    </row>
    <row r="458" spans="1:33" ht="18" customHeight="1" x14ac:dyDescent="0.35">
      <c r="A458" s="559"/>
      <c r="B458" s="559"/>
      <c r="C458" s="559"/>
      <c r="D458" s="559"/>
      <c r="E458" s="559"/>
      <c r="F458" s="559"/>
      <c r="G458" s="559"/>
      <c r="H458" s="559"/>
      <c r="I458" s="559"/>
      <c r="J458" s="559"/>
      <c r="K458" s="559"/>
      <c r="L458" s="559"/>
      <c r="M458" s="559"/>
      <c r="N458" s="559"/>
      <c r="O458" s="559"/>
      <c r="P458" s="559"/>
      <c r="Q458" s="559"/>
      <c r="R458" s="559"/>
      <c r="S458" s="559"/>
      <c r="T458" s="559"/>
      <c r="U458" s="559"/>
      <c r="V458" s="559"/>
      <c r="W458" s="559"/>
      <c r="X458" s="559"/>
      <c r="Y458" s="559"/>
      <c r="Z458" s="559"/>
      <c r="AA458" s="559"/>
      <c r="AB458" s="559"/>
      <c r="AC458" s="559"/>
      <c r="AD458" s="559"/>
      <c r="AE458" s="559"/>
      <c r="AF458" s="559"/>
      <c r="AG458" s="559"/>
    </row>
    <row r="459" spans="1:33" ht="18" customHeight="1" x14ac:dyDescent="0.35">
      <c r="A459" s="559"/>
      <c r="B459" s="559"/>
      <c r="C459" s="559"/>
      <c r="D459" s="559"/>
      <c r="E459" s="559"/>
      <c r="F459" s="559"/>
      <c r="G459" s="559"/>
      <c r="H459" s="559"/>
      <c r="I459" s="559"/>
      <c r="J459" s="559"/>
      <c r="K459" s="559"/>
      <c r="L459" s="559"/>
      <c r="M459" s="559"/>
      <c r="N459" s="559"/>
      <c r="O459" s="559"/>
      <c r="P459" s="559"/>
      <c r="Q459" s="559"/>
      <c r="R459" s="559"/>
      <c r="S459" s="559"/>
      <c r="T459" s="559"/>
      <c r="U459" s="559"/>
      <c r="V459" s="559"/>
      <c r="W459" s="559"/>
      <c r="X459" s="559"/>
      <c r="Y459" s="559"/>
      <c r="Z459" s="559"/>
      <c r="AA459" s="559"/>
      <c r="AB459" s="559"/>
      <c r="AC459" s="559"/>
      <c r="AD459" s="559"/>
      <c r="AE459" s="559"/>
      <c r="AF459" s="559"/>
      <c r="AG459" s="559"/>
    </row>
    <row r="460" spans="1:33" ht="18" customHeight="1" x14ac:dyDescent="0.35">
      <c r="A460" s="559"/>
      <c r="B460" s="559"/>
      <c r="C460" s="559"/>
      <c r="D460" s="559"/>
      <c r="E460" s="559"/>
      <c r="F460" s="559"/>
      <c r="G460" s="559"/>
      <c r="H460" s="559"/>
      <c r="I460" s="559"/>
      <c r="J460" s="559"/>
      <c r="K460" s="559"/>
      <c r="L460" s="559"/>
      <c r="M460" s="559"/>
      <c r="N460" s="559"/>
      <c r="O460" s="559"/>
      <c r="P460" s="559"/>
      <c r="Q460" s="559"/>
      <c r="R460" s="559"/>
      <c r="S460" s="559"/>
      <c r="T460" s="559"/>
      <c r="U460" s="559"/>
      <c r="V460" s="559"/>
      <c r="W460" s="559"/>
      <c r="X460" s="559"/>
      <c r="Y460" s="559"/>
      <c r="Z460" s="559"/>
      <c r="AA460" s="559"/>
      <c r="AB460" s="559"/>
      <c r="AC460" s="559"/>
      <c r="AD460" s="559"/>
      <c r="AE460" s="559"/>
      <c r="AF460" s="559"/>
      <c r="AG460" s="559"/>
    </row>
    <row r="461" spans="1:33" ht="18" customHeight="1" x14ac:dyDescent="0.35">
      <c r="A461" s="559"/>
      <c r="B461" s="559"/>
      <c r="C461" s="559"/>
      <c r="D461" s="559"/>
      <c r="E461" s="559"/>
      <c r="F461" s="559"/>
      <c r="G461" s="559"/>
      <c r="H461" s="559"/>
      <c r="I461" s="559"/>
      <c r="J461" s="559"/>
      <c r="K461" s="559"/>
      <c r="L461" s="559"/>
      <c r="M461" s="559"/>
      <c r="N461" s="559"/>
      <c r="O461" s="559"/>
      <c r="P461" s="559"/>
      <c r="Q461" s="559"/>
      <c r="R461" s="559"/>
      <c r="S461" s="559"/>
      <c r="T461" s="559"/>
      <c r="U461" s="559"/>
      <c r="V461" s="559"/>
      <c r="W461" s="559"/>
      <c r="X461" s="559"/>
      <c r="Y461" s="559"/>
      <c r="Z461" s="559"/>
      <c r="AA461" s="559"/>
      <c r="AB461" s="559"/>
      <c r="AC461" s="559"/>
      <c r="AD461" s="559"/>
      <c r="AE461" s="559"/>
      <c r="AF461" s="559"/>
      <c r="AG461" s="559"/>
    </row>
    <row r="462" spans="1:33" ht="18" customHeight="1" x14ac:dyDescent="0.35">
      <c r="A462" s="559"/>
      <c r="B462" s="559"/>
      <c r="C462" s="559"/>
      <c r="D462" s="559"/>
      <c r="E462" s="559"/>
      <c r="F462" s="559"/>
      <c r="G462" s="559"/>
      <c r="H462" s="559"/>
      <c r="I462" s="559"/>
      <c r="J462" s="559"/>
      <c r="K462" s="559"/>
      <c r="L462" s="559"/>
      <c r="M462" s="559"/>
      <c r="N462" s="559"/>
      <c r="O462" s="559"/>
      <c r="P462" s="559"/>
      <c r="Q462" s="559"/>
      <c r="R462" s="559"/>
      <c r="S462" s="559"/>
      <c r="T462" s="559"/>
      <c r="U462" s="559"/>
      <c r="V462" s="559"/>
      <c r="W462" s="559"/>
      <c r="X462" s="559"/>
      <c r="Y462" s="559"/>
      <c r="Z462" s="559"/>
      <c r="AA462" s="559"/>
      <c r="AB462" s="559"/>
      <c r="AC462" s="559"/>
      <c r="AD462" s="559"/>
      <c r="AE462" s="559"/>
      <c r="AF462" s="559"/>
      <c r="AG462" s="559"/>
    </row>
    <row r="463" spans="1:33" ht="18" customHeight="1" x14ac:dyDescent="0.35">
      <c r="A463" s="559"/>
      <c r="B463" s="559"/>
      <c r="C463" s="559"/>
      <c r="D463" s="559"/>
      <c r="E463" s="559"/>
      <c r="F463" s="559"/>
      <c r="G463" s="559"/>
      <c r="H463" s="559"/>
      <c r="I463" s="559"/>
      <c r="J463" s="559"/>
      <c r="K463" s="559"/>
      <c r="L463" s="559"/>
      <c r="M463" s="559"/>
      <c r="N463" s="559"/>
      <c r="O463" s="559"/>
      <c r="P463" s="559"/>
      <c r="Q463" s="559"/>
      <c r="R463" s="559"/>
      <c r="S463" s="559"/>
      <c r="T463" s="559"/>
      <c r="U463" s="559"/>
      <c r="V463" s="559"/>
      <c r="W463" s="559"/>
      <c r="X463" s="559"/>
      <c r="Y463" s="559"/>
      <c r="Z463" s="559"/>
      <c r="AA463" s="559"/>
      <c r="AB463" s="559"/>
      <c r="AC463" s="559"/>
      <c r="AD463" s="559"/>
      <c r="AE463" s="559"/>
      <c r="AF463" s="559"/>
      <c r="AG463" s="559"/>
    </row>
    <row r="464" spans="1:33" ht="18" customHeight="1" x14ac:dyDescent="0.35">
      <c r="A464" s="559"/>
      <c r="B464" s="559"/>
      <c r="C464" s="559"/>
      <c r="D464" s="559"/>
      <c r="E464" s="559"/>
      <c r="F464" s="559"/>
      <c r="G464" s="559"/>
      <c r="H464" s="559"/>
      <c r="I464" s="559"/>
      <c r="J464" s="559"/>
      <c r="K464" s="559"/>
      <c r="L464" s="559"/>
      <c r="M464" s="559"/>
      <c r="N464" s="559"/>
      <c r="O464" s="559"/>
      <c r="P464" s="559"/>
      <c r="Q464" s="559"/>
      <c r="R464" s="559"/>
      <c r="S464" s="559"/>
      <c r="T464" s="559"/>
      <c r="U464" s="559"/>
      <c r="V464" s="559"/>
      <c r="W464" s="559"/>
      <c r="X464" s="559"/>
      <c r="Y464" s="559"/>
      <c r="Z464" s="559"/>
      <c r="AA464" s="559"/>
      <c r="AB464" s="559"/>
      <c r="AC464" s="559"/>
      <c r="AD464" s="559"/>
      <c r="AE464" s="559"/>
      <c r="AF464" s="559"/>
      <c r="AG464" s="559"/>
    </row>
    <row r="465" spans="1:33" ht="18" customHeight="1" x14ac:dyDescent="0.35">
      <c r="A465" s="559"/>
      <c r="B465" s="559"/>
      <c r="C465" s="559"/>
      <c r="D465" s="559"/>
      <c r="E465" s="559"/>
      <c r="F465" s="559"/>
      <c r="G465" s="559"/>
      <c r="H465" s="559"/>
      <c r="I465" s="559"/>
      <c r="J465" s="559"/>
      <c r="K465" s="559"/>
      <c r="L465" s="559"/>
      <c r="M465" s="559"/>
      <c r="N465" s="559"/>
      <c r="O465" s="559"/>
      <c r="P465" s="559"/>
      <c r="Q465" s="559"/>
      <c r="R465" s="559"/>
      <c r="S465" s="559"/>
      <c r="T465" s="559"/>
      <c r="U465" s="559"/>
      <c r="V465" s="559"/>
      <c r="W465" s="559"/>
      <c r="X465" s="559"/>
      <c r="Y465" s="559"/>
      <c r="Z465" s="559"/>
      <c r="AA465" s="559"/>
      <c r="AB465" s="559"/>
      <c r="AC465" s="559"/>
      <c r="AD465" s="559"/>
      <c r="AE465" s="559"/>
      <c r="AF465" s="559"/>
      <c r="AG465" s="559"/>
    </row>
    <row r="466" spans="1:33" ht="18" customHeight="1" x14ac:dyDescent="0.35">
      <c r="A466" s="559"/>
      <c r="B466" s="559"/>
      <c r="C466" s="559"/>
      <c r="D466" s="559"/>
      <c r="E466" s="559"/>
      <c r="F466" s="559"/>
      <c r="G466" s="559"/>
      <c r="H466" s="559"/>
      <c r="I466" s="559"/>
      <c r="J466" s="559"/>
      <c r="K466" s="559"/>
      <c r="L466" s="559"/>
      <c r="M466" s="559"/>
      <c r="N466" s="559"/>
      <c r="O466" s="559"/>
      <c r="P466" s="559"/>
      <c r="Q466" s="559"/>
      <c r="R466" s="559"/>
      <c r="S466" s="559"/>
      <c r="T466" s="559"/>
      <c r="U466" s="559"/>
      <c r="V466" s="559"/>
      <c r="W466" s="559"/>
      <c r="X466" s="559"/>
      <c r="Y466" s="559"/>
      <c r="Z466" s="559"/>
      <c r="AA466" s="559"/>
      <c r="AB466" s="559"/>
      <c r="AC466" s="559"/>
      <c r="AD466" s="559"/>
      <c r="AE466" s="559"/>
      <c r="AF466" s="559"/>
      <c r="AG466" s="559"/>
    </row>
    <row r="467" spans="1:33" ht="18" customHeight="1" x14ac:dyDescent="0.35">
      <c r="A467" s="559"/>
      <c r="B467" s="559"/>
      <c r="C467" s="559"/>
      <c r="D467" s="559"/>
      <c r="E467" s="559"/>
      <c r="F467" s="559"/>
      <c r="G467" s="559"/>
      <c r="H467" s="559"/>
      <c r="I467" s="559"/>
      <c r="J467" s="559"/>
      <c r="K467" s="559"/>
      <c r="L467" s="559"/>
      <c r="M467" s="559"/>
      <c r="N467" s="559"/>
      <c r="O467" s="559"/>
      <c r="P467" s="559"/>
      <c r="Q467" s="559"/>
      <c r="R467" s="559"/>
      <c r="S467" s="559"/>
      <c r="T467" s="559"/>
      <c r="U467" s="559"/>
      <c r="V467" s="559"/>
      <c r="W467" s="559"/>
      <c r="X467" s="559"/>
      <c r="Y467" s="559"/>
      <c r="Z467" s="559"/>
      <c r="AA467" s="559"/>
      <c r="AB467" s="559"/>
      <c r="AC467" s="559"/>
      <c r="AD467" s="559"/>
      <c r="AE467" s="559"/>
      <c r="AF467" s="559"/>
      <c r="AG467" s="559"/>
    </row>
    <row r="468" spans="1:33" ht="18" customHeight="1" x14ac:dyDescent="0.35">
      <c r="A468" s="559"/>
      <c r="B468" s="559"/>
      <c r="C468" s="559"/>
      <c r="D468" s="559"/>
      <c r="E468" s="559"/>
      <c r="F468" s="559"/>
      <c r="G468" s="559"/>
      <c r="H468" s="559"/>
      <c r="I468" s="559"/>
      <c r="J468" s="559"/>
      <c r="K468" s="559"/>
      <c r="L468" s="559"/>
      <c r="M468" s="559"/>
      <c r="N468" s="559"/>
      <c r="O468" s="559"/>
      <c r="P468" s="559"/>
      <c r="Q468" s="559"/>
      <c r="R468" s="559"/>
      <c r="S468" s="559"/>
      <c r="T468" s="559"/>
      <c r="U468" s="559"/>
      <c r="V468" s="559"/>
      <c r="W468" s="559"/>
      <c r="X468" s="559"/>
      <c r="Y468" s="559"/>
      <c r="Z468" s="559"/>
      <c r="AA468" s="559"/>
      <c r="AB468" s="559"/>
      <c r="AC468" s="559"/>
      <c r="AD468" s="559"/>
      <c r="AE468" s="559"/>
      <c r="AF468" s="559"/>
      <c r="AG468" s="559"/>
    </row>
    <row r="469" spans="1:33" ht="18" customHeight="1" x14ac:dyDescent="0.35">
      <c r="A469" s="559"/>
      <c r="B469" s="559"/>
      <c r="C469" s="559"/>
      <c r="D469" s="559"/>
      <c r="E469" s="559"/>
      <c r="F469" s="559"/>
      <c r="G469" s="559"/>
      <c r="H469" s="559"/>
      <c r="I469" s="559"/>
      <c r="J469" s="559"/>
      <c r="K469" s="559"/>
      <c r="L469" s="559"/>
      <c r="M469" s="559"/>
      <c r="N469" s="559"/>
      <c r="O469" s="559"/>
      <c r="P469" s="559"/>
      <c r="Q469" s="559"/>
      <c r="R469" s="559"/>
      <c r="S469" s="559"/>
      <c r="T469" s="559"/>
      <c r="U469" s="559"/>
      <c r="V469" s="559"/>
      <c r="W469" s="559"/>
      <c r="X469" s="559"/>
      <c r="Y469" s="559"/>
      <c r="Z469" s="559"/>
      <c r="AA469" s="559"/>
      <c r="AB469" s="559"/>
      <c r="AC469" s="559"/>
      <c r="AD469" s="559"/>
      <c r="AE469" s="559"/>
      <c r="AF469" s="559"/>
      <c r="AG469" s="559"/>
    </row>
    <row r="470" spans="1:33" ht="18" customHeight="1" x14ac:dyDescent="0.35">
      <c r="A470" s="559"/>
      <c r="B470" s="559"/>
      <c r="C470" s="559"/>
      <c r="D470" s="559"/>
      <c r="E470" s="559"/>
      <c r="F470" s="559"/>
      <c r="G470" s="559"/>
      <c r="H470" s="559"/>
      <c r="I470" s="559"/>
      <c r="J470" s="559"/>
      <c r="K470" s="559"/>
      <c r="L470" s="559"/>
      <c r="M470" s="559"/>
      <c r="N470" s="559"/>
      <c r="O470" s="559"/>
      <c r="P470" s="559"/>
      <c r="Q470" s="559"/>
      <c r="R470" s="559"/>
      <c r="S470" s="559"/>
      <c r="T470" s="559"/>
      <c r="U470" s="559"/>
      <c r="V470" s="559"/>
      <c r="W470" s="559"/>
      <c r="X470" s="559"/>
      <c r="Y470" s="559"/>
      <c r="Z470" s="559"/>
      <c r="AA470" s="559"/>
      <c r="AB470" s="559"/>
      <c r="AC470" s="559"/>
      <c r="AD470" s="559"/>
      <c r="AE470" s="559"/>
      <c r="AF470" s="559"/>
      <c r="AG470" s="559"/>
    </row>
    <row r="471" spans="1:33" ht="18" customHeight="1" x14ac:dyDescent="0.35">
      <c r="A471" s="559"/>
      <c r="B471" s="559"/>
      <c r="C471" s="559"/>
      <c r="D471" s="559"/>
      <c r="E471" s="559"/>
      <c r="F471" s="559"/>
      <c r="G471" s="559"/>
      <c r="H471" s="559"/>
      <c r="I471" s="559"/>
      <c r="J471" s="559"/>
      <c r="K471" s="559"/>
      <c r="L471" s="559"/>
      <c r="M471" s="559"/>
      <c r="N471" s="559"/>
      <c r="O471" s="559"/>
      <c r="P471" s="559"/>
      <c r="Q471" s="559"/>
      <c r="R471" s="559"/>
      <c r="S471" s="559"/>
      <c r="T471" s="559"/>
      <c r="U471" s="559"/>
      <c r="V471" s="559"/>
      <c r="W471" s="559"/>
      <c r="X471" s="559"/>
      <c r="Y471" s="559"/>
      <c r="Z471" s="559"/>
      <c r="AA471" s="559"/>
      <c r="AB471" s="559"/>
      <c r="AC471" s="559"/>
      <c r="AD471" s="559"/>
      <c r="AE471" s="559"/>
      <c r="AF471" s="559"/>
      <c r="AG471" s="559"/>
    </row>
    <row r="472" spans="1:33" ht="18" customHeight="1" x14ac:dyDescent="0.35">
      <c r="A472" s="559"/>
      <c r="B472" s="559"/>
      <c r="C472" s="559"/>
      <c r="D472" s="559"/>
      <c r="E472" s="559"/>
      <c r="F472" s="559"/>
      <c r="G472" s="559"/>
      <c r="H472" s="559"/>
      <c r="I472" s="559"/>
      <c r="J472" s="559"/>
      <c r="K472" s="559"/>
      <c r="L472" s="559"/>
      <c r="M472" s="559"/>
      <c r="N472" s="559"/>
      <c r="O472" s="559"/>
      <c r="P472" s="559"/>
      <c r="Q472" s="559"/>
      <c r="R472" s="559"/>
      <c r="S472" s="559"/>
      <c r="T472" s="559"/>
      <c r="U472" s="559"/>
      <c r="V472" s="559"/>
      <c r="W472" s="559"/>
      <c r="X472" s="559"/>
      <c r="Y472" s="559"/>
      <c r="Z472" s="559"/>
      <c r="AA472" s="559"/>
      <c r="AB472" s="559"/>
      <c r="AC472" s="559"/>
      <c r="AD472" s="559"/>
      <c r="AE472" s="559"/>
      <c r="AF472" s="559"/>
      <c r="AG472" s="559"/>
    </row>
    <row r="473" spans="1:33" ht="18" customHeight="1" x14ac:dyDescent="0.35">
      <c r="A473" s="559"/>
      <c r="B473" s="559"/>
      <c r="C473" s="559"/>
      <c r="D473" s="559"/>
      <c r="E473" s="559"/>
      <c r="F473" s="559"/>
      <c r="G473" s="559"/>
      <c r="H473" s="559"/>
      <c r="I473" s="559"/>
      <c r="J473" s="559"/>
      <c r="K473" s="559"/>
      <c r="L473" s="559"/>
      <c r="M473" s="559"/>
      <c r="N473" s="559"/>
      <c r="O473" s="559"/>
      <c r="P473" s="559"/>
      <c r="Q473" s="559"/>
      <c r="R473" s="559"/>
      <c r="S473" s="559"/>
      <c r="T473" s="559"/>
      <c r="U473" s="559"/>
      <c r="V473" s="559"/>
      <c r="W473" s="559"/>
      <c r="X473" s="559"/>
      <c r="Y473" s="559"/>
      <c r="Z473" s="559"/>
      <c r="AA473" s="559"/>
      <c r="AB473" s="559"/>
      <c r="AC473" s="559"/>
      <c r="AD473" s="559"/>
      <c r="AE473" s="559"/>
      <c r="AF473" s="559"/>
      <c r="AG473" s="559"/>
    </row>
    <row r="474" spans="1:33" ht="18" customHeight="1" x14ac:dyDescent="0.35">
      <c r="A474" s="559"/>
      <c r="B474" s="559"/>
      <c r="C474" s="559"/>
      <c r="D474" s="559"/>
      <c r="E474" s="559"/>
      <c r="F474" s="559"/>
      <c r="G474" s="559"/>
      <c r="H474" s="559"/>
      <c r="I474" s="559"/>
      <c r="J474" s="559"/>
      <c r="K474" s="559"/>
      <c r="L474" s="559"/>
      <c r="M474" s="559"/>
      <c r="N474" s="559"/>
      <c r="O474" s="559"/>
      <c r="P474" s="559"/>
      <c r="Q474" s="559"/>
      <c r="R474" s="559"/>
      <c r="S474" s="559"/>
      <c r="T474" s="559"/>
      <c r="U474" s="559"/>
      <c r="V474" s="559"/>
      <c r="W474" s="559"/>
      <c r="X474" s="559"/>
      <c r="Y474" s="559"/>
      <c r="Z474" s="559"/>
      <c r="AA474" s="559"/>
      <c r="AB474" s="559"/>
      <c r="AC474" s="559"/>
      <c r="AD474" s="559"/>
      <c r="AE474" s="559"/>
      <c r="AF474" s="559"/>
      <c r="AG474" s="559"/>
    </row>
    <row r="475" spans="1:33" ht="18" customHeight="1" x14ac:dyDescent="0.35">
      <c r="A475" s="559"/>
      <c r="B475" s="559"/>
      <c r="C475" s="559"/>
      <c r="D475" s="559"/>
      <c r="E475" s="559"/>
      <c r="F475" s="559"/>
      <c r="G475" s="559"/>
      <c r="H475" s="559"/>
      <c r="I475" s="559"/>
      <c r="J475" s="559"/>
      <c r="K475" s="559"/>
      <c r="L475" s="559"/>
      <c r="M475" s="559"/>
      <c r="N475" s="559"/>
      <c r="O475" s="559"/>
      <c r="P475" s="559"/>
      <c r="Q475" s="559"/>
      <c r="R475" s="559"/>
      <c r="S475" s="559"/>
      <c r="T475" s="559"/>
      <c r="U475" s="559"/>
      <c r="V475" s="559"/>
      <c r="W475" s="559"/>
      <c r="X475" s="559"/>
      <c r="Y475" s="559"/>
      <c r="Z475" s="559"/>
      <c r="AA475" s="559"/>
      <c r="AB475" s="559"/>
      <c r="AC475" s="559"/>
      <c r="AD475" s="559"/>
      <c r="AE475" s="559"/>
      <c r="AF475" s="559"/>
      <c r="AG475" s="559"/>
    </row>
    <row r="476" spans="1:33" ht="18" customHeight="1" x14ac:dyDescent="0.35">
      <c r="A476" s="559"/>
      <c r="B476" s="559"/>
      <c r="C476" s="559"/>
      <c r="D476" s="559"/>
      <c r="E476" s="559"/>
      <c r="F476" s="559"/>
      <c r="G476" s="559"/>
      <c r="H476" s="559"/>
      <c r="I476" s="559"/>
      <c r="J476" s="559"/>
      <c r="K476" s="559"/>
      <c r="L476" s="559"/>
      <c r="M476" s="559"/>
      <c r="N476" s="559"/>
      <c r="O476" s="559"/>
      <c r="P476" s="559"/>
      <c r="Q476" s="559"/>
      <c r="R476" s="559"/>
      <c r="S476" s="559"/>
      <c r="T476" s="559"/>
      <c r="U476" s="559"/>
      <c r="V476" s="559"/>
      <c r="W476" s="559"/>
      <c r="X476" s="559"/>
      <c r="Y476" s="559"/>
      <c r="Z476" s="559"/>
      <c r="AA476" s="559"/>
      <c r="AB476" s="559"/>
      <c r="AC476" s="559"/>
      <c r="AD476" s="559"/>
      <c r="AE476" s="559"/>
      <c r="AF476" s="559"/>
      <c r="AG476" s="559"/>
    </row>
    <row r="477" spans="1:33" ht="18" customHeight="1" x14ac:dyDescent="0.35">
      <c r="A477" s="559"/>
      <c r="B477" s="559"/>
      <c r="C477" s="559"/>
      <c r="D477" s="559"/>
      <c r="E477" s="559"/>
      <c r="F477" s="559"/>
      <c r="G477" s="559"/>
      <c r="H477" s="559"/>
      <c r="I477" s="559"/>
      <c r="J477" s="559"/>
      <c r="K477" s="559"/>
      <c r="L477" s="559"/>
      <c r="M477" s="559"/>
      <c r="N477" s="559"/>
      <c r="O477" s="559"/>
      <c r="P477" s="559"/>
      <c r="Q477" s="559"/>
      <c r="R477" s="559"/>
      <c r="S477" s="559"/>
      <c r="T477" s="559"/>
      <c r="U477" s="559"/>
      <c r="V477" s="559"/>
      <c r="W477" s="559"/>
      <c r="X477" s="559"/>
      <c r="Y477" s="559"/>
      <c r="Z477" s="559"/>
      <c r="AA477" s="559"/>
      <c r="AB477" s="559"/>
      <c r="AC477" s="559"/>
      <c r="AD477" s="559"/>
      <c r="AE477" s="559"/>
      <c r="AF477" s="559"/>
      <c r="AG477" s="559"/>
    </row>
    <row r="478" spans="1:33" ht="18" customHeight="1" x14ac:dyDescent="0.35">
      <c r="A478" s="559"/>
      <c r="B478" s="559"/>
      <c r="C478" s="559"/>
      <c r="D478" s="559"/>
      <c r="E478" s="559"/>
      <c r="F478" s="559"/>
      <c r="G478" s="559"/>
      <c r="H478" s="559"/>
      <c r="I478" s="559"/>
      <c r="J478" s="559"/>
      <c r="K478" s="559"/>
      <c r="L478" s="559"/>
      <c r="M478" s="559"/>
      <c r="N478" s="559"/>
      <c r="O478" s="559"/>
      <c r="P478" s="559"/>
      <c r="Q478" s="559"/>
      <c r="R478" s="559"/>
      <c r="S478" s="559"/>
      <c r="T478" s="559"/>
      <c r="U478" s="559"/>
      <c r="V478" s="559"/>
      <c r="W478" s="559"/>
      <c r="X478" s="559"/>
      <c r="Y478" s="559"/>
      <c r="Z478" s="559"/>
      <c r="AA478" s="559"/>
      <c r="AB478" s="559"/>
      <c r="AC478" s="559"/>
      <c r="AD478" s="559"/>
      <c r="AE478" s="559"/>
      <c r="AF478" s="559"/>
      <c r="AG478" s="559"/>
    </row>
    <row r="479" spans="1:33" ht="18" customHeight="1" x14ac:dyDescent="0.35">
      <c r="A479" s="559"/>
      <c r="B479" s="559"/>
      <c r="C479" s="559"/>
      <c r="D479" s="559"/>
      <c r="E479" s="559"/>
      <c r="F479" s="559"/>
      <c r="G479" s="559"/>
      <c r="H479" s="559"/>
      <c r="I479" s="559"/>
      <c r="J479" s="559"/>
      <c r="K479" s="559"/>
      <c r="L479" s="559"/>
      <c r="M479" s="559"/>
      <c r="N479" s="559"/>
      <c r="O479" s="559"/>
      <c r="P479" s="559"/>
      <c r="Q479" s="559"/>
      <c r="R479" s="559"/>
      <c r="S479" s="559"/>
      <c r="T479" s="559"/>
      <c r="U479" s="559"/>
      <c r="V479" s="559"/>
      <c r="W479" s="559"/>
      <c r="X479" s="559"/>
      <c r="Y479" s="559"/>
      <c r="Z479" s="559"/>
      <c r="AA479" s="559"/>
      <c r="AB479" s="559"/>
      <c r="AC479" s="559"/>
      <c r="AD479" s="559"/>
      <c r="AE479" s="559"/>
      <c r="AF479" s="559"/>
      <c r="AG479" s="559"/>
    </row>
    <row r="480" spans="1:33" ht="18" customHeight="1" x14ac:dyDescent="0.35">
      <c r="A480" s="559"/>
      <c r="B480" s="559"/>
      <c r="C480" s="559"/>
      <c r="D480" s="559"/>
      <c r="E480" s="559"/>
      <c r="F480" s="559"/>
      <c r="G480" s="559"/>
      <c r="H480" s="559"/>
      <c r="I480" s="559"/>
      <c r="J480" s="559"/>
      <c r="K480" s="559"/>
      <c r="L480" s="559"/>
      <c r="M480" s="559"/>
      <c r="N480" s="559"/>
      <c r="O480" s="559"/>
      <c r="P480" s="559"/>
      <c r="Q480" s="559"/>
      <c r="R480" s="559"/>
      <c r="S480" s="559"/>
      <c r="T480" s="559"/>
      <c r="U480" s="559"/>
      <c r="V480" s="559"/>
      <c r="W480" s="559"/>
      <c r="X480" s="559"/>
      <c r="Y480" s="559"/>
      <c r="Z480" s="559"/>
      <c r="AA480" s="559"/>
      <c r="AB480" s="559"/>
      <c r="AC480" s="559"/>
      <c r="AD480" s="559"/>
      <c r="AE480" s="559"/>
      <c r="AF480" s="559"/>
      <c r="AG480" s="559"/>
    </row>
    <row r="481" spans="1:33" ht="18" customHeight="1" x14ac:dyDescent="0.35">
      <c r="A481" s="559"/>
      <c r="B481" s="559"/>
      <c r="C481" s="559"/>
      <c r="D481" s="559"/>
      <c r="E481" s="559"/>
      <c r="F481" s="559"/>
      <c r="G481" s="559"/>
      <c r="H481" s="559"/>
      <c r="I481" s="559"/>
      <c r="J481" s="559"/>
      <c r="K481" s="559"/>
      <c r="L481" s="559"/>
      <c r="M481" s="559"/>
      <c r="N481" s="559"/>
      <c r="O481" s="559"/>
      <c r="P481" s="559"/>
      <c r="Q481" s="559"/>
      <c r="R481" s="559"/>
      <c r="S481" s="559"/>
      <c r="T481" s="559"/>
      <c r="U481" s="559"/>
      <c r="V481" s="559"/>
      <c r="W481" s="559"/>
      <c r="X481" s="559"/>
      <c r="Y481" s="559"/>
      <c r="Z481" s="559"/>
      <c r="AA481" s="559"/>
      <c r="AB481" s="559"/>
      <c r="AC481" s="559"/>
      <c r="AD481" s="559"/>
      <c r="AE481" s="559"/>
      <c r="AF481" s="559"/>
      <c r="AG481" s="559"/>
    </row>
    <row r="482" spans="1:33" ht="18" customHeight="1" x14ac:dyDescent="0.35">
      <c r="A482" s="559"/>
      <c r="B482" s="559"/>
      <c r="C482" s="559"/>
      <c r="D482" s="559"/>
      <c r="E482" s="559"/>
      <c r="F482" s="559"/>
      <c r="G482" s="559"/>
      <c r="H482" s="559"/>
      <c r="I482" s="559"/>
      <c r="J482" s="559"/>
      <c r="K482" s="559"/>
      <c r="L482" s="559"/>
      <c r="M482" s="559"/>
      <c r="N482" s="559"/>
      <c r="O482" s="559"/>
      <c r="P482" s="559"/>
      <c r="Q482" s="559"/>
      <c r="R482" s="559"/>
      <c r="S482" s="559"/>
      <c r="T482" s="559"/>
      <c r="U482" s="559"/>
      <c r="V482" s="559"/>
      <c r="W482" s="559"/>
      <c r="X482" s="559"/>
      <c r="Y482" s="559"/>
      <c r="Z482" s="559"/>
      <c r="AA482" s="559"/>
      <c r="AB482" s="559"/>
      <c r="AC482" s="559"/>
      <c r="AD482" s="559"/>
      <c r="AE482" s="559"/>
      <c r="AF482" s="559"/>
      <c r="AG482" s="559"/>
    </row>
    <row r="483" spans="1:33" ht="18" customHeight="1" x14ac:dyDescent="0.35">
      <c r="A483" s="559"/>
      <c r="B483" s="559"/>
      <c r="C483" s="559"/>
      <c r="D483" s="559"/>
      <c r="E483" s="559"/>
      <c r="F483" s="559"/>
      <c r="G483" s="559"/>
      <c r="H483" s="559"/>
      <c r="I483" s="559"/>
      <c r="J483" s="559"/>
      <c r="K483" s="559"/>
      <c r="L483" s="559"/>
      <c r="M483" s="559"/>
      <c r="N483" s="559"/>
      <c r="O483" s="559"/>
      <c r="P483" s="559"/>
      <c r="Q483" s="559"/>
      <c r="R483" s="559"/>
      <c r="S483" s="559"/>
      <c r="T483" s="559"/>
      <c r="U483" s="559"/>
      <c r="V483" s="559"/>
      <c r="W483" s="559"/>
      <c r="X483" s="559"/>
      <c r="Y483" s="559"/>
      <c r="Z483" s="559"/>
      <c r="AA483" s="559"/>
      <c r="AB483" s="559"/>
      <c r="AC483" s="559"/>
      <c r="AD483" s="559"/>
      <c r="AE483" s="559"/>
      <c r="AF483" s="559"/>
      <c r="AG483" s="559"/>
    </row>
    <row r="484" spans="1:33" ht="18" customHeight="1" x14ac:dyDescent="0.35">
      <c r="A484" s="559"/>
      <c r="B484" s="559"/>
      <c r="C484" s="559"/>
      <c r="D484" s="559"/>
      <c r="E484" s="559"/>
      <c r="F484" s="559"/>
      <c r="G484" s="559"/>
      <c r="H484" s="559"/>
      <c r="I484" s="559"/>
      <c r="J484" s="559"/>
      <c r="K484" s="559"/>
      <c r="L484" s="559"/>
      <c r="M484" s="559"/>
      <c r="N484" s="559"/>
      <c r="O484" s="559"/>
      <c r="P484" s="559"/>
      <c r="Q484" s="559"/>
      <c r="R484" s="559"/>
      <c r="S484" s="559"/>
      <c r="T484" s="559"/>
      <c r="U484" s="559"/>
      <c r="V484" s="559"/>
      <c r="W484" s="559"/>
      <c r="X484" s="559"/>
      <c r="Y484" s="559"/>
      <c r="Z484" s="559"/>
      <c r="AA484" s="559"/>
      <c r="AB484" s="559"/>
      <c r="AC484" s="559"/>
      <c r="AD484" s="559"/>
      <c r="AE484" s="559"/>
      <c r="AF484" s="559"/>
      <c r="AG484" s="559"/>
    </row>
    <row r="485" spans="1:33" ht="18" customHeight="1" x14ac:dyDescent="0.35">
      <c r="A485" s="559"/>
      <c r="B485" s="559"/>
      <c r="C485" s="559"/>
      <c r="D485" s="559"/>
      <c r="E485" s="559"/>
      <c r="F485" s="559"/>
      <c r="G485" s="559"/>
      <c r="H485" s="559"/>
      <c r="I485" s="559"/>
      <c r="J485" s="559"/>
      <c r="K485" s="559"/>
      <c r="L485" s="559"/>
      <c r="M485" s="559"/>
      <c r="N485" s="559"/>
      <c r="O485" s="559"/>
      <c r="P485" s="559"/>
      <c r="Q485" s="559"/>
      <c r="R485" s="559"/>
      <c r="S485" s="559"/>
      <c r="T485" s="559"/>
      <c r="U485" s="559"/>
      <c r="V485" s="559"/>
      <c r="W485" s="559"/>
      <c r="X485" s="559"/>
      <c r="Y485" s="559"/>
      <c r="Z485" s="559"/>
      <c r="AA485" s="559"/>
      <c r="AB485" s="559"/>
      <c r="AC485" s="559"/>
      <c r="AD485" s="559"/>
      <c r="AE485" s="559"/>
      <c r="AF485" s="559"/>
      <c r="AG485" s="559"/>
    </row>
    <row r="486" spans="1:33" ht="18" customHeight="1" x14ac:dyDescent="0.35">
      <c r="A486" s="559"/>
      <c r="B486" s="559"/>
      <c r="C486" s="559"/>
      <c r="D486" s="559"/>
      <c r="E486" s="559"/>
      <c r="F486" s="559"/>
      <c r="G486" s="559"/>
      <c r="H486" s="559"/>
      <c r="I486" s="559"/>
      <c r="J486" s="559"/>
      <c r="K486" s="559"/>
      <c r="L486" s="559"/>
      <c r="M486" s="559"/>
      <c r="N486" s="559"/>
      <c r="O486" s="559"/>
      <c r="P486" s="559"/>
      <c r="Q486" s="559"/>
      <c r="R486" s="559"/>
      <c r="S486" s="559"/>
      <c r="T486" s="559"/>
      <c r="U486" s="559"/>
      <c r="V486" s="559"/>
      <c r="W486" s="559"/>
      <c r="X486" s="559"/>
      <c r="Y486" s="559"/>
      <c r="Z486" s="559"/>
      <c r="AA486" s="559"/>
      <c r="AB486" s="559"/>
      <c r="AC486" s="559"/>
      <c r="AD486" s="559"/>
      <c r="AE486" s="559"/>
      <c r="AF486" s="559"/>
      <c r="AG486" s="559"/>
    </row>
    <row r="487" spans="1:33" ht="18" customHeight="1" x14ac:dyDescent="0.35">
      <c r="A487" s="559"/>
      <c r="B487" s="559"/>
      <c r="C487" s="559"/>
      <c r="D487" s="559"/>
      <c r="E487" s="559"/>
      <c r="F487" s="559"/>
      <c r="G487" s="559"/>
      <c r="H487" s="559"/>
      <c r="I487" s="559"/>
      <c r="J487" s="559"/>
      <c r="K487" s="559"/>
      <c r="L487" s="559"/>
      <c r="M487" s="559"/>
      <c r="N487" s="559"/>
      <c r="O487" s="559"/>
      <c r="P487" s="559"/>
      <c r="Q487" s="559"/>
      <c r="R487" s="559"/>
      <c r="S487" s="559"/>
      <c r="T487" s="559"/>
      <c r="U487" s="559"/>
      <c r="V487" s="559"/>
      <c r="W487" s="559"/>
      <c r="X487" s="559"/>
      <c r="Y487" s="559"/>
      <c r="Z487" s="559"/>
      <c r="AA487" s="559"/>
      <c r="AB487" s="559"/>
      <c r="AC487" s="559"/>
      <c r="AD487" s="559"/>
      <c r="AE487" s="559"/>
      <c r="AF487" s="559"/>
      <c r="AG487" s="559"/>
    </row>
    <row r="488" spans="1:33" ht="18" customHeight="1" x14ac:dyDescent="0.35">
      <c r="A488" s="559"/>
      <c r="B488" s="559"/>
      <c r="C488" s="559"/>
      <c r="D488" s="559"/>
      <c r="E488" s="559"/>
      <c r="F488" s="559"/>
      <c r="G488" s="559"/>
      <c r="H488" s="559"/>
      <c r="I488" s="559"/>
      <c r="J488" s="559"/>
      <c r="K488" s="559"/>
      <c r="L488" s="559"/>
      <c r="M488" s="559"/>
      <c r="N488" s="559"/>
      <c r="O488" s="559"/>
      <c r="P488" s="559"/>
      <c r="Q488" s="559"/>
      <c r="R488" s="559"/>
      <c r="S488" s="559"/>
      <c r="T488" s="559"/>
      <c r="U488" s="559"/>
      <c r="V488" s="559"/>
      <c r="W488" s="559"/>
      <c r="X488" s="559"/>
      <c r="Y488" s="559"/>
      <c r="Z488" s="559"/>
      <c r="AA488" s="559"/>
      <c r="AB488" s="559"/>
      <c r="AC488" s="559"/>
      <c r="AD488" s="559"/>
      <c r="AE488" s="559"/>
      <c r="AF488" s="559"/>
      <c r="AG488" s="559"/>
    </row>
    <row r="489" spans="1:33" ht="18" customHeight="1" x14ac:dyDescent="0.35">
      <c r="A489" s="559"/>
      <c r="B489" s="559"/>
      <c r="C489" s="559"/>
      <c r="D489" s="559"/>
      <c r="E489" s="559"/>
      <c r="F489" s="559"/>
      <c r="G489" s="559"/>
      <c r="H489" s="559"/>
      <c r="I489" s="559"/>
      <c r="J489" s="559"/>
      <c r="K489" s="559"/>
      <c r="L489" s="559"/>
      <c r="M489" s="559"/>
      <c r="N489" s="559"/>
      <c r="O489" s="559"/>
      <c r="P489" s="559"/>
      <c r="Q489" s="559"/>
      <c r="R489" s="559"/>
      <c r="S489" s="559"/>
      <c r="T489" s="559"/>
      <c r="U489" s="559"/>
      <c r="V489" s="559"/>
      <c r="W489" s="559"/>
      <c r="X489" s="559"/>
      <c r="Y489" s="559"/>
      <c r="Z489" s="559"/>
      <c r="AA489" s="559"/>
      <c r="AB489" s="559"/>
      <c r="AC489" s="559"/>
      <c r="AD489" s="559"/>
      <c r="AE489" s="559"/>
      <c r="AF489" s="559"/>
      <c r="AG489" s="559"/>
    </row>
    <row r="490" spans="1:33" ht="18" customHeight="1" x14ac:dyDescent="0.35">
      <c r="A490" s="559"/>
      <c r="B490" s="559"/>
      <c r="C490" s="559"/>
      <c r="D490" s="559"/>
      <c r="E490" s="559"/>
      <c r="F490" s="559"/>
      <c r="G490" s="559"/>
      <c r="H490" s="559"/>
      <c r="I490" s="559"/>
      <c r="J490" s="559"/>
      <c r="K490" s="559"/>
      <c r="L490" s="559"/>
      <c r="M490" s="559"/>
      <c r="N490" s="559"/>
      <c r="O490" s="559"/>
      <c r="P490" s="559"/>
      <c r="Q490" s="559"/>
      <c r="R490" s="559"/>
      <c r="S490" s="559"/>
      <c r="T490" s="559"/>
      <c r="U490" s="559"/>
      <c r="V490" s="559"/>
      <c r="W490" s="559"/>
      <c r="X490" s="559"/>
      <c r="Y490" s="559"/>
      <c r="Z490" s="559"/>
      <c r="AA490" s="559"/>
      <c r="AB490" s="559"/>
      <c r="AC490" s="559"/>
      <c r="AD490" s="559"/>
      <c r="AE490" s="559"/>
      <c r="AF490" s="559"/>
      <c r="AG490" s="559"/>
    </row>
    <row r="491" spans="1:33" ht="18" customHeight="1" x14ac:dyDescent="0.35">
      <c r="A491" s="559"/>
      <c r="B491" s="559"/>
      <c r="C491" s="559"/>
      <c r="D491" s="559"/>
      <c r="E491" s="559"/>
      <c r="F491" s="559"/>
      <c r="G491" s="559"/>
      <c r="H491" s="559"/>
      <c r="I491" s="559"/>
      <c r="J491" s="559"/>
      <c r="K491" s="559"/>
      <c r="L491" s="559"/>
      <c r="M491" s="559"/>
      <c r="N491" s="559"/>
      <c r="O491" s="559"/>
      <c r="P491" s="559"/>
      <c r="Q491" s="559"/>
      <c r="R491" s="559"/>
      <c r="S491" s="559"/>
      <c r="T491" s="559"/>
      <c r="U491" s="559"/>
      <c r="V491" s="559"/>
      <c r="W491" s="559"/>
      <c r="X491" s="559"/>
      <c r="Y491" s="559"/>
      <c r="Z491" s="559"/>
      <c r="AA491" s="559"/>
      <c r="AB491" s="559"/>
      <c r="AC491" s="559"/>
      <c r="AD491" s="559"/>
      <c r="AE491" s="559"/>
      <c r="AF491" s="559"/>
      <c r="AG491" s="559"/>
    </row>
    <row r="492" spans="1:33" ht="18" customHeight="1" x14ac:dyDescent="0.35">
      <c r="A492" s="559"/>
      <c r="B492" s="559"/>
      <c r="C492" s="559"/>
      <c r="D492" s="559"/>
      <c r="E492" s="559"/>
      <c r="F492" s="559"/>
      <c r="G492" s="559"/>
      <c r="H492" s="559"/>
      <c r="I492" s="559"/>
      <c r="J492" s="559"/>
      <c r="K492" s="559"/>
      <c r="L492" s="559"/>
      <c r="M492" s="559"/>
      <c r="N492" s="559"/>
      <c r="O492" s="559"/>
      <c r="P492" s="559"/>
      <c r="Q492" s="559"/>
      <c r="R492" s="559"/>
      <c r="S492" s="559"/>
      <c r="T492" s="559"/>
      <c r="U492" s="559"/>
      <c r="V492" s="559"/>
      <c r="W492" s="559"/>
      <c r="X492" s="559"/>
      <c r="Y492" s="559"/>
      <c r="Z492" s="559"/>
      <c r="AA492" s="559"/>
      <c r="AB492" s="559"/>
      <c r="AC492" s="559"/>
      <c r="AD492" s="559"/>
      <c r="AE492" s="559"/>
      <c r="AF492" s="559"/>
      <c r="AG492" s="559"/>
    </row>
    <row r="493" spans="1:33" ht="18" customHeight="1" x14ac:dyDescent="0.35">
      <c r="A493" s="559"/>
      <c r="B493" s="559"/>
      <c r="C493" s="559"/>
      <c r="D493" s="559"/>
      <c r="E493" s="559"/>
      <c r="F493" s="559"/>
      <c r="G493" s="559"/>
      <c r="H493" s="559"/>
      <c r="I493" s="559"/>
      <c r="J493" s="559"/>
      <c r="K493" s="559"/>
      <c r="L493" s="559"/>
      <c r="M493" s="559"/>
      <c r="N493" s="559"/>
      <c r="O493" s="559"/>
      <c r="P493" s="559"/>
      <c r="Q493" s="559"/>
      <c r="R493" s="559"/>
      <c r="S493" s="559"/>
      <c r="T493" s="559"/>
      <c r="U493" s="559"/>
      <c r="V493" s="559"/>
      <c r="W493" s="559"/>
      <c r="X493" s="559"/>
      <c r="Y493" s="559"/>
      <c r="Z493" s="559"/>
      <c r="AA493" s="559"/>
      <c r="AB493" s="559"/>
      <c r="AC493" s="559"/>
      <c r="AD493" s="559"/>
      <c r="AE493" s="559"/>
      <c r="AF493" s="559"/>
      <c r="AG493" s="559"/>
    </row>
    <row r="494" spans="1:33" ht="18" customHeight="1" x14ac:dyDescent="0.35">
      <c r="A494" s="559"/>
      <c r="B494" s="559"/>
      <c r="C494" s="559"/>
      <c r="D494" s="559"/>
      <c r="E494" s="559"/>
      <c r="F494" s="559"/>
      <c r="G494" s="559"/>
      <c r="H494" s="559"/>
      <c r="I494" s="559"/>
      <c r="J494" s="559"/>
      <c r="K494" s="559"/>
      <c r="L494" s="559"/>
      <c r="M494" s="559"/>
      <c r="N494" s="559"/>
      <c r="O494" s="559"/>
      <c r="P494" s="559"/>
      <c r="Q494" s="559"/>
      <c r="R494" s="559"/>
      <c r="S494" s="559"/>
      <c r="T494" s="559"/>
      <c r="U494" s="559"/>
      <c r="V494" s="559"/>
      <c r="W494" s="559"/>
      <c r="X494" s="559"/>
      <c r="Y494" s="559"/>
      <c r="Z494" s="559"/>
      <c r="AA494" s="559"/>
      <c r="AB494" s="559"/>
      <c r="AC494" s="559"/>
      <c r="AD494" s="559"/>
      <c r="AE494" s="559"/>
      <c r="AF494" s="559"/>
      <c r="AG494" s="559"/>
    </row>
    <row r="495" spans="1:33" ht="18" customHeight="1" x14ac:dyDescent="0.35">
      <c r="A495" s="559"/>
      <c r="B495" s="559"/>
      <c r="C495" s="559"/>
      <c r="D495" s="559"/>
      <c r="E495" s="559"/>
      <c r="F495" s="559"/>
      <c r="G495" s="559"/>
      <c r="H495" s="559"/>
      <c r="I495" s="559"/>
      <c r="J495" s="559"/>
      <c r="K495" s="559"/>
      <c r="L495" s="559"/>
      <c r="M495" s="559"/>
      <c r="N495" s="559"/>
      <c r="O495" s="559"/>
      <c r="P495" s="559"/>
      <c r="Q495" s="559"/>
      <c r="R495" s="559"/>
      <c r="S495" s="559"/>
      <c r="T495" s="559"/>
      <c r="U495" s="559"/>
      <c r="V495" s="559"/>
      <c r="W495" s="559"/>
      <c r="X495" s="559"/>
      <c r="Y495" s="559"/>
      <c r="Z495" s="559"/>
      <c r="AA495" s="559"/>
      <c r="AB495" s="559"/>
      <c r="AC495" s="559"/>
      <c r="AD495" s="559"/>
      <c r="AE495" s="559"/>
      <c r="AF495" s="559"/>
      <c r="AG495" s="559"/>
    </row>
    <row r="496" spans="1:33" ht="18" customHeight="1" x14ac:dyDescent="0.35">
      <c r="A496" s="559"/>
      <c r="B496" s="559"/>
      <c r="C496" s="559"/>
      <c r="D496" s="559"/>
      <c r="E496" s="559"/>
      <c r="F496" s="559"/>
      <c r="G496" s="559"/>
      <c r="H496" s="559"/>
      <c r="I496" s="559"/>
      <c r="J496" s="559"/>
      <c r="K496" s="559"/>
      <c r="L496" s="559"/>
      <c r="M496" s="559"/>
      <c r="N496" s="559"/>
      <c r="O496" s="559"/>
      <c r="P496" s="559"/>
      <c r="Q496" s="559"/>
      <c r="R496" s="559"/>
      <c r="S496" s="559"/>
      <c r="T496" s="559"/>
      <c r="U496" s="559"/>
      <c r="V496" s="559"/>
      <c r="W496" s="559"/>
      <c r="X496" s="559"/>
      <c r="Y496" s="559"/>
      <c r="Z496" s="559"/>
      <c r="AA496" s="559"/>
      <c r="AB496" s="559"/>
      <c r="AC496" s="559"/>
      <c r="AD496" s="559"/>
      <c r="AE496" s="559"/>
      <c r="AF496" s="559"/>
      <c r="AG496" s="559"/>
    </row>
    <row r="497" spans="1:33" ht="18" customHeight="1" x14ac:dyDescent="0.35">
      <c r="A497" s="559"/>
      <c r="B497" s="559"/>
      <c r="C497" s="559"/>
      <c r="D497" s="559"/>
      <c r="E497" s="559"/>
      <c r="F497" s="559"/>
      <c r="G497" s="559"/>
      <c r="H497" s="559"/>
      <c r="I497" s="559"/>
      <c r="J497" s="559"/>
      <c r="K497" s="559"/>
      <c r="L497" s="559"/>
      <c r="M497" s="559"/>
      <c r="N497" s="559"/>
      <c r="O497" s="559"/>
      <c r="P497" s="559"/>
      <c r="Q497" s="559"/>
      <c r="R497" s="559"/>
      <c r="S497" s="559"/>
      <c r="T497" s="559"/>
      <c r="U497" s="559"/>
      <c r="V497" s="559"/>
      <c r="W497" s="559"/>
      <c r="X497" s="559"/>
      <c r="Y497" s="559"/>
      <c r="Z497" s="559"/>
      <c r="AA497" s="559"/>
      <c r="AB497" s="559"/>
      <c r="AC497" s="559"/>
      <c r="AD497" s="559"/>
      <c r="AE497" s="559"/>
      <c r="AF497" s="559"/>
      <c r="AG497" s="559"/>
    </row>
    <row r="498" spans="1:33" ht="18" customHeight="1" x14ac:dyDescent="0.35">
      <c r="A498" s="559"/>
      <c r="B498" s="559"/>
      <c r="C498" s="559"/>
      <c r="D498" s="559"/>
      <c r="E498" s="559"/>
      <c r="F498" s="559"/>
      <c r="G498" s="559"/>
      <c r="H498" s="559"/>
      <c r="I498" s="559"/>
      <c r="J498" s="559"/>
      <c r="K498" s="559"/>
      <c r="L498" s="559"/>
      <c r="M498" s="559"/>
      <c r="N498" s="559"/>
      <c r="O498" s="559"/>
      <c r="P498" s="559"/>
      <c r="Q498" s="559"/>
      <c r="R498" s="559"/>
      <c r="S498" s="559"/>
      <c r="T498" s="559"/>
      <c r="U498" s="559"/>
      <c r="V498" s="559"/>
      <c r="W498" s="559"/>
      <c r="X498" s="559"/>
      <c r="Y498" s="559"/>
      <c r="Z498" s="559"/>
      <c r="AA498" s="559"/>
      <c r="AB498" s="559"/>
      <c r="AC498" s="559"/>
      <c r="AD498" s="559"/>
      <c r="AE498" s="559"/>
      <c r="AF498" s="559"/>
      <c r="AG498" s="559"/>
    </row>
    <row r="499" spans="1:33" ht="18" customHeight="1" x14ac:dyDescent="0.35">
      <c r="A499" s="559"/>
      <c r="B499" s="559"/>
      <c r="C499" s="559"/>
      <c r="D499" s="559"/>
      <c r="E499" s="559"/>
      <c r="F499" s="559"/>
      <c r="G499" s="559"/>
      <c r="H499" s="559"/>
      <c r="I499" s="559"/>
      <c r="J499" s="559"/>
      <c r="K499" s="559"/>
      <c r="L499" s="559"/>
      <c r="M499" s="559"/>
      <c r="N499" s="559"/>
      <c r="O499" s="559"/>
      <c r="P499" s="559"/>
      <c r="Q499" s="559"/>
      <c r="R499" s="559"/>
      <c r="S499" s="559"/>
      <c r="T499" s="559"/>
      <c r="U499" s="559"/>
      <c r="V499" s="559"/>
      <c r="W499" s="559"/>
      <c r="X499" s="559"/>
      <c r="Y499" s="559"/>
      <c r="Z499" s="559"/>
      <c r="AA499" s="559"/>
      <c r="AB499" s="559"/>
      <c r="AC499" s="559"/>
      <c r="AD499" s="559"/>
      <c r="AE499" s="559"/>
      <c r="AF499" s="559"/>
      <c r="AG499" s="559"/>
    </row>
    <row r="500" spans="1:33" ht="18" customHeight="1" x14ac:dyDescent="0.35">
      <c r="A500" s="559"/>
      <c r="B500" s="559"/>
      <c r="C500" s="559"/>
      <c r="D500" s="559"/>
      <c r="E500" s="559"/>
      <c r="F500" s="559"/>
      <c r="G500" s="559"/>
      <c r="H500" s="559"/>
      <c r="I500" s="559"/>
      <c r="J500" s="559"/>
      <c r="K500" s="559"/>
      <c r="L500" s="559"/>
      <c r="M500" s="559"/>
      <c r="N500" s="559"/>
      <c r="O500" s="559"/>
      <c r="P500" s="559"/>
      <c r="Q500" s="559"/>
      <c r="R500" s="559"/>
      <c r="S500" s="559"/>
      <c r="T500" s="559"/>
      <c r="U500" s="559"/>
      <c r="V500" s="559"/>
      <c r="W500" s="559"/>
      <c r="X500" s="559"/>
      <c r="Y500" s="559"/>
      <c r="Z500" s="559"/>
      <c r="AA500" s="559"/>
      <c r="AB500" s="559"/>
      <c r="AC500" s="559"/>
      <c r="AD500" s="559"/>
      <c r="AE500" s="559"/>
      <c r="AF500" s="559"/>
      <c r="AG500" s="559"/>
    </row>
    <row r="501" spans="1:33" ht="18" customHeight="1" x14ac:dyDescent="0.35">
      <c r="A501" s="559"/>
      <c r="B501" s="559"/>
      <c r="C501" s="559"/>
      <c r="D501" s="559"/>
      <c r="E501" s="559"/>
      <c r="F501" s="559"/>
      <c r="G501" s="559"/>
      <c r="H501" s="559"/>
      <c r="I501" s="559"/>
      <c r="J501" s="559"/>
      <c r="K501" s="559"/>
      <c r="L501" s="559"/>
      <c r="M501" s="559"/>
      <c r="N501" s="559"/>
      <c r="O501" s="559"/>
      <c r="P501" s="559"/>
      <c r="Q501" s="559"/>
      <c r="R501" s="559"/>
      <c r="S501" s="559"/>
      <c r="T501" s="559"/>
      <c r="U501" s="559"/>
      <c r="V501" s="559"/>
      <c r="W501" s="559"/>
      <c r="X501" s="559"/>
      <c r="Y501" s="559"/>
      <c r="Z501" s="559"/>
      <c r="AA501" s="559"/>
      <c r="AB501" s="559"/>
      <c r="AC501" s="559"/>
      <c r="AD501" s="559"/>
      <c r="AE501" s="559"/>
      <c r="AF501" s="559"/>
      <c r="AG501" s="559"/>
    </row>
    <row r="502" spans="1:33" ht="18" customHeight="1" x14ac:dyDescent="0.35">
      <c r="A502" s="559"/>
      <c r="B502" s="559"/>
      <c r="C502" s="559"/>
      <c r="D502" s="559"/>
      <c r="E502" s="559"/>
      <c r="F502" s="559"/>
      <c r="G502" s="559"/>
      <c r="H502" s="559"/>
      <c r="I502" s="559"/>
      <c r="J502" s="559"/>
      <c r="K502" s="559"/>
      <c r="L502" s="559"/>
      <c r="M502" s="559"/>
      <c r="N502" s="559"/>
      <c r="O502" s="559"/>
      <c r="P502" s="559"/>
      <c r="Q502" s="559"/>
      <c r="R502" s="559"/>
      <c r="S502" s="559"/>
      <c r="T502" s="559"/>
      <c r="U502" s="559"/>
      <c r="V502" s="559"/>
      <c r="W502" s="559"/>
      <c r="X502" s="559"/>
      <c r="Y502" s="559"/>
      <c r="Z502" s="559"/>
      <c r="AA502" s="559"/>
      <c r="AB502" s="559"/>
      <c r="AC502" s="559"/>
      <c r="AD502" s="559"/>
      <c r="AE502" s="559"/>
      <c r="AF502" s="559"/>
      <c r="AG502" s="559"/>
    </row>
    <row r="503" spans="1:33" ht="18" customHeight="1" x14ac:dyDescent="0.35">
      <c r="A503" s="559"/>
      <c r="B503" s="559"/>
      <c r="C503" s="559"/>
      <c r="D503" s="559"/>
      <c r="E503" s="559"/>
      <c r="F503" s="559"/>
      <c r="G503" s="559"/>
      <c r="H503" s="559"/>
      <c r="I503" s="559"/>
      <c r="J503" s="559"/>
      <c r="K503" s="559"/>
      <c r="L503" s="559"/>
      <c r="M503" s="559"/>
      <c r="N503" s="559"/>
      <c r="O503" s="559"/>
      <c r="P503" s="559"/>
      <c r="Q503" s="559"/>
      <c r="R503" s="559"/>
      <c r="S503" s="559"/>
      <c r="T503" s="559"/>
      <c r="U503" s="559"/>
      <c r="V503" s="559"/>
      <c r="W503" s="559"/>
      <c r="X503" s="559"/>
      <c r="Y503" s="559"/>
      <c r="Z503" s="559"/>
      <c r="AA503" s="559"/>
      <c r="AB503" s="559"/>
      <c r="AC503" s="559"/>
      <c r="AD503" s="559"/>
      <c r="AE503" s="559"/>
      <c r="AF503" s="559"/>
      <c r="AG503" s="559"/>
    </row>
    <row r="504" spans="1:33" ht="18" customHeight="1" x14ac:dyDescent="0.35">
      <c r="A504" s="559"/>
      <c r="B504" s="559"/>
      <c r="C504" s="559"/>
      <c r="D504" s="559"/>
      <c r="E504" s="559"/>
      <c r="F504" s="559"/>
      <c r="G504" s="559"/>
      <c r="H504" s="559"/>
      <c r="I504" s="559"/>
      <c r="J504" s="559"/>
      <c r="K504" s="559"/>
      <c r="L504" s="559"/>
      <c r="M504" s="559"/>
      <c r="N504" s="559"/>
      <c r="O504" s="559"/>
      <c r="P504" s="559"/>
      <c r="Q504" s="559"/>
      <c r="R504" s="559"/>
      <c r="S504" s="559"/>
      <c r="T504" s="559"/>
      <c r="U504" s="559"/>
      <c r="V504" s="559"/>
      <c r="W504" s="559"/>
      <c r="X504" s="559"/>
      <c r="Y504" s="559"/>
      <c r="Z504" s="559"/>
      <c r="AA504" s="559"/>
      <c r="AB504" s="559"/>
      <c r="AC504" s="559"/>
      <c r="AD504" s="559"/>
      <c r="AE504" s="559"/>
      <c r="AF504" s="559"/>
      <c r="AG504" s="559"/>
    </row>
    <row r="505" spans="1:33" ht="18" customHeight="1" x14ac:dyDescent="0.35">
      <c r="A505" s="559"/>
      <c r="B505" s="559"/>
      <c r="C505" s="559"/>
      <c r="D505" s="559"/>
      <c r="E505" s="559"/>
      <c r="F505" s="559"/>
      <c r="G505" s="559"/>
      <c r="H505" s="559"/>
      <c r="I505" s="559"/>
      <c r="J505" s="559"/>
      <c r="K505" s="559"/>
      <c r="L505" s="559"/>
      <c r="M505" s="559"/>
      <c r="N505" s="559"/>
      <c r="O505" s="559"/>
      <c r="P505" s="559"/>
      <c r="Q505" s="559"/>
      <c r="R505" s="559"/>
      <c r="S505" s="559"/>
      <c r="T505" s="559"/>
      <c r="U505" s="559"/>
      <c r="V505" s="559"/>
      <c r="W505" s="559"/>
      <c r="X505" s="559"/>
      <c r="Y505" s="559"/>
      <c r="Z505" s="559"/>
      <c r="AA505" s="559"/>
      <c r="AB505" s="559"/>
      <c r="AC505" s="559"/>
      <c r="AD505" s="559"/>
      <c r="AE505" s="559"/>
      <c r="AF505" s="559"/>
      <c r="AG505" s="559"/>
    </row>
    <row r="506" spans="1:33" ht="18" customHeight="1" x14ac:dyDescent="0.35">
      <c r="A506" s="559"/>
      <c r="B506" s="559"/>
      <c r="C506" s="559"/>
      <c r="D506" s="559"/>
      <c r="E506" s="559"/>
      <c r="F506" s="559"/>
      <c r="G506" s="559"/>
      <c r="H506" s="559"/>
      <c r="I506" s="559"/>
      <c r="J506" s="559"/>
      <c r="K506" s="559"/>
      <c r="L506" s="559"/>
      <c r="M506" s="559"/>
      <c r="N506" s="559"/>
      <c r="O506" s="559"/>
      <c r="P506" s="559"/>
      <c r="Q506" s="559"/>
      <c r="R506" s="559"/>
      <c r="S506" s="559"/>
      <c r="T506" s="559"/>
      <c r="U506" s="559"/>
      <c r="V506" s="559"/>
      <c r="W506" s="559"/>
      <c r="X506" s="559"/>
      <c r="Y506" s="559"/>
      <c r="Z506" s="559"/>
      <c r="AA506" s="559"/>
      <c r="AB506" s="559"/>
      <c r="AC506" s="559"/>
      <c r="AD506" s="559"/>
      <c r="AE506" s="559"/>
      <c r="AF506" s="559"/>
      <c r="AG506" s="559"/>
    </row>
    <row r="507" spans="1:33" ht="18" customHeight="1" x14ac:dyDescent="0.35">
      <c r="A507" s="559"/>
      <c r="B507" s="559"/>
      <c r="C507" s="559"/>
      <c r="D507" s="559"/>
      <c r="E507" s="559"/>
      <c r="F507" s="559"/>
      <c r="G507" s="559"/>
      <c r="H507" s="559"/>
      <c r="I507" s="559"/>
      <c r="J507" s="559"/>
      <c r="K507" s="559"/>
      <c r="L507" s="559"/>
      <c r="M507" s="559"/>
      <c r="N507" s="559"/>
      <c r="O507" s="559"/>
      <c r="P507" s="559"/>
      <c r="Q507" s="559"/>
      <c r="R507" s="559"/>
      <c r="S507" s="559"/>
      <c r="T507" s="559"/>
      <c r="U507" s="559"/>
      <c r="V507" s="559"/>
      <c r="W507" s="559"/>
      <c r="X507" s="559"/>
      <c r="Y507" s="559"/>
      <c r="Z507" s="559"/>
      <c r="AA507" s="559"/>
      <c r="AB507" s="559"/>
      <c r="AC507" s="559"/>
      <c r="AD507" s="559"/>
      <c r="AE507" s="559"/>
      <c r="AF507" s="559"/>
      <c r="AG507" s="559"/>
    </row>
    <row r="508" spans="1:33" ht="18" customHeight="1" x14ac:dyDescent="0.35">
      <c r="A508" s="559"/>
      <c r="B508" s="559"/>
      <c r="C508" s="559"/>
      <c r="D508" s="559"/>
      <c r="E508" s="559"/>
      <c r="F508" s="559"/>
      <c r="G508" s="559"/>
      <c r="H508" s="559"/>
      <c r="I508" s="559"/>
      <c r="J508" s="559"/>
      <c r="K508" s="559"/>
      <c r="L508" s="559"/>
      <c r="M508" s="559"/>
      <c r="N508" s="559"/>
      <c r="O508" s="559"/>
      <c r="P508" s="559"/>
      <c r="Q508" s="559"/>
      <c r="R508" s="559"/>
      <c r="S508" s="559"/>
      <c r="T508" s="559"/>
      <c r="U508" s="559"/>
      <c r="V508" s="559"/>
      <c r="W508" s="559"/>
      <c r="X508" s="559"/>
      <c r="Y508" s="559"/>
      <c r="Z508" s="559"/>
      <c r="AA508" s="559"/>
      <c r="AB508" s="559"/>
      <c r="AC508" s="559"/>
      <c r="AD508" s="559"/>
      <c r="AE508" s="559"/>
      <c r="AF508" s="559"/>
      <c r="AG508" s="559"/>
    </row>
    <row r="509" spans="1:33" ht="18" customHeight="1" x14ac:dyDescent="0.35">
      <c r="A509" s="559"/>
      <c r="B509" s="559"/>
      <c r="C509" s="559"/>
      <c r="D509" s="559"/>
      <c r="E509" s="559"/>
      <c r="F509" s="559"/>
      <c r="G509" s="559"/>
      <c r="H509" s="559"/>
      <c r="I509" s="559"/>
      <c r="J509" s="559"/>
      <c r="K509" s="559"/>
      <c r="L509" s="559"/>
      <c r="M509" s="559"/>
      <c r="N509" s="559"/>
      <c r="O509" s="559"/>
      <c r="P509" s="559"/>
      <c r="Q509" s="559"/>
      <c r="R509" s="559"/>
      <c r="S509" s="559"/>
      <c r="T509" s="559"/>
      <c r="U509" s="559"/>
      <c r="V509" s="559"/>
      <c r="W509" s="559"/>
      <c r="X509" s="559"/>
      <c r="Y509" s="559"/>
      <c r="Z509" s="559"/>
      <c r="AA509" s="559"/>
      <c r="AB509" s="559"/>
      <c r="AC509" s="559"/>
      <c r="AD509" s="559"/>
      <c r="AE509" s="559"/>
      <c r="AF509" s="559"/>
      <c r="AG509" s="559"/>
    </row>
    <row r="510" spans="1:33" ht="18" customHeight="1" x14ac:dyDescent="0.35">
      <c r="A510" s="559"/>
      <c r="B510" s="559"/>
      <c r="C510" s="559"/>
      <c r="D510" s="559"/>
      <c r="E510" s="559"/>
      <c r="F510" s="559"/>
      <c r="G510" s="559"/>
      <c r="H510" s="559"/>
      <c r="I510" s="559"/>
      <c r="J510" s="559"/>
      <c r="K510" s="559"/>
      <c r="L510" s="559"/>
      <c r="M510" s="559"/>
      <c r="N510" s="559"/>
      <c r="O510" s="559"/>
      <c r="P510" s="559"/>
      <c r="Q510" s="559"/>
      <c r="R510" s="559"/>
      <c r="S510" s="559"/>
      <c r="T510" s="559"/>
      <c r="U510" s="559"/>
      <c r="V510" s="559"/>
      <c r="W510" s="559"/>
      <c r="X510" s="559"/>
      <c r="Y510" s="559"/>
      <c r="Z510" s="559"/>
      <c r="AA510" s="559"/>
      <c r="AB510" s="559"/>
      <c r="AC510" s="559"/>
      <c r="AD510" s="559"/>
      <c r="AE510" s="559"/>
      <c r="AF510" s="559"/>
      <c r="AG510" s="559"/>
    </row>
    <row r="511" spans="1:33" ht="18" customHeight="1" x14ac:dyDescent="0.35">
      <c r="A511" s="559"/>
      <c r="B511" s="559"/>
      <c r="C511" s="559"/>
      <c r="D511" s="559"/>
      <c r="E511" s="559"/>
      <c r="F511" s="559"/>
      <c r="G511" s="559"/>
      <c r="H511" s="559"/>
      <c r="I511" s="559"/>
      <c r="J511" s="559"/>
      <c r="K511" s="559"/>
      <c r="L511" s="559"/>
      <c r="M511" s="559"/>
      <c r="N511" s="559"/>
      <c r="O511" s="559"/>
      <c r="P511" s="559"/>
      <c r="Q511" s="559"/>
      <c r="R511" s="559"/>
      <c r="S511" s="559"/>
      <c r="T511" s="559"/>
      <c r="U511" s="559"/>
      <c r="V511" s="559"/>
      <c r="W511" s="559"/>
      <c r="X511" s="559"/>
      <c r="Y511" s="559"/>
      <c r="Z511" s="559"/>
      <c r="AA511" s="559"/>
      <c r="AB511" s="559"/>
      <c r="AC511" s="559"/>
      <c r="AD511" s="559"/>
      <c r="AE511" s="559"/>
      <c r="AF511" s="559"/>
      <c r="AG511" s="559"/>
    </row>
    <row r="512" spans="1:33" ht="18" customHeight="1" x14ac:dyDescent="0.35">
      <c r="A512" s="559"/>
      <c r="B512" s="559"/>
      <c r="C512" s="559"/>
      <c r="D512" s="559"/>
      <c r="E512" s="559"/>
      <c r="F512" s="559"/>
      <c r="G512" s="559"/>
      <c r="H512" s="559"/>
      <c r="I512" s="559"/>
      <c r="J512" s="559"/>
      <c r="K512" s="559"/>
      <c r="L512" s="559"/>
      <c r="M512" s="559"/>
      <c r="N512" s="559"/>
      <c r="O512" s="559"/>
      <c r="P512" s="559"/>
      <c r="Q512" s="559"/>
      <c r="R512" s="559"/>
      <c r="S512" s="559"/>
      <c r="T512" s="559"/>
      <c r="U512" s="559"/>
      <c r="V512" s="559"/>
      <c r="W512" s="559"/>
      <c r="X512" s="559"/>
      <c r="Y512" s="559"/>
      <c r="Z512" s="559"/>
      <c r="AA512" s="559"/>
      <c r="AB512" s="559"/>
      <c r="AC512" s="559"/>
      <c r="AD512" s="559"/>
      <c r="AE512" s="559"/>
      <c r="AF512" s="559"/>
      <c r="AG512" s="559"/>
    </row>
    <row r="513" spans="1:33" ht="18" customHeight="1" x14ac:dyDescent="0.35">
      <c r="A513" s="559"/>
      <c r="B513" s="559"/>
      <c r="C513" s="559"/>
      <c r="D513" s="559"/>
      <c r="E513" s="559"/>
      <c r="F513" s="559"/>
      <c r="G513" s="559"/>
      <c r="H513" s="559"/>
      <c r="I513" s="559"/>
      <c r="J513" s="559"/>
      <c r="K513" s="559"/>
      <c r="L513" s="559"/>
      <c r="M513" s="559"/>
      <c r="N513" s="559"/>
      <c r="O513" s="559"/>
      <c r="P513" s="559"/>
      <c r="Q513" s="559"/>
      <c r="R513" s="559"/>
      <c r="S513" s="559"/>
      <c r="T513" s="559"/>
      <c r="U513" s="559"/>
      <c r="V513" s="559"/>
      <c r="W513" s="559"/>
      <c r="X513" s="559"/>
      <c r="Y513" s="559"/>
      <c r="Z513" s="559"/>
      <c r="AA513" s="559"/>
      <c r="AB513" s="559"/>
      <c r="AC513" s="559"/>
      <c r="AD513" s="559"/>
      <c r="AE513" s="559"/>
      <c r="AF513" s="559"/>
      <c r="AG513" s="559"/>
    </row>
    <row r="514" spans="1:33" ht="18" customHeight="1" x14ac:dyDescent="0.35">
      <c r="A514" s="559"/>
      <c r="B514" s="559"/>
      <c r="C514" s="559"/>
      <c r="D514" s="559"/>
      <c r="E514" s="559"/>
      <c r="F514" s="559"/>
      <c r="G514" s="559"/>
      <c r="H514" s="559"/>
      <c r="I514" s="559"/>
      <c r="J514" s="559"/>
      <c r="K514" s="559"/>
      <c r="L514" s="559"/>
      <c r="M514" s="559"/>
      <c r="N514" s="559"/>
      <c r="O514" s="559"/>
      <c r="P514" s="559"/>
      <c r="Q514" s="559"/>
      <c r="R514" s="559"/>
      <c r="S514" s="559"/>
      <c r="T514" s="559"/>
      <c r="U514" s="559"/>
      <c r="V514" s="559"/>
      <c r="W514" s="559"/>
      <c r="X514" s="559"/>
      <c r="Y514" s="559"/>
      <c r="Z514" s="559"/>
      <c r="AA514" s="559"/>
      <c r="AB514" s="559"/>
      <c r="AC514" s="559"/>
      <c r="AD514" s="559"/>
      <c r="AE514" s="559"/>
      <c r="AF514" s="559"/>
      <c r="AG514" s="559"/>
    </row>
    <row r="515" spans="1:33" ht="18" customHeight="1" x14ac:dyDescent="0.35">
      <c r="A515" s="559"/>
      <c r="B515" s="559"/>
      <c r="C515" s="559"/>
      <c r="D515" s="559"/>
      <c r="E515" s="559"/>
      <c r="F515" s="559"/>
      <c r="G515" s="559"/>
      <c r="H515" s="559"/>
      <c r="I515" s="559"/>
      <c r="J515" s="559"/>
      <c r="K515" s="559"/>
      <c r="L515" s="559"/>
      <c r="M515" s="559"/>
      <c r="N515" s="559"/>
      <c r="O515" s="559"/>
      <c r="P515" s="559"/>
      <c r="Q515" s="559"/>
      <c r="R515" s="559"/>
      <c r="S515" s="559"/>
      <c r="T515" s="559"/>
      <c r="U515" s="559"/>
      <c r="V515" s="559"/>
      <c r="W515" s="559"/>
      <c r="X515" s="559"/>
      <c r="Y515" s="559"/>
      <c r="Z515" s="559"/>
      <c r="AA515" s="559"/>
      <c r="AB515" s="559"/>
      <c r="AC515" s="559"/>
      <c r="AD515" s="559"/>
      <c r="AE515" s="559"/>
      <c r="AF515" s="559"/>
      <c r="AG515" s="559"/>
    </row>
    <row r="516" spans="1:33" ht="18" customHeight="1" x14ac:dyDescent="0.35">
      <c r="A516" s="559"/>
      <c r="B516" s="559"/>
      <c r="C516" s="559"/>
      <c r="D516" s="559"/>
      <c r="E516" s="559"/>
      <c r="F516" s="559"/>
      <c r="G516" s="559"/>
      <c r="H516" s="559"/>
      <c r="I516" s="559"/>
      <c r="J516" s="559"/>
      <c r="K516" s="559"/>
      <c r="L516" s="559"/>
      <c r="M516" s="559"/>
      <c r="N516" s="559"/>
      <c r="O516" s="559"/>
      <c r="P516" s="559"/>
      <c r="Q516" s="559"/>
      <c r="R516" s="559"/>
      <c r="S516" s="559"/>
      <c r="T516" s="559"/>
      <c r="U516" s="559"/>
      <c r="V516" s="559"/>
      <c r="W516" s="559"/>
      <c r="X516" s="559"/>
      <c r="Y516" s="559"/>
      <c r="Z516" s="559"/>
      <c r="AA516" s="559"/>
      <c r="AB516" s="559"/>
      <c r="AC516" s="559"/>
      <c r="AD516" s="559"/>
      <c r="AE516" s="559"/>
      <c r="AF516" s="559"/>
      <c r="AG516" s="559"/>
    </row>
    <row r="517" spans="1:33" ht="18" customHeight="1" x14ac:dyDescent="0.35">
      <c r="A517" s="559"/>
      <c r="B517" s="559"/>
      <c r="C517" s="559"/>
      <c r="D517" s="559"/>
      <c r="E517" s="559"/>
      <c r="F517" s="559"/>
      <c r="G517" s="559"/>
      <c r="H517" s="559"/>
      <c r="I517" s="559"/>
      <c r="J517" s="559"/>
      <c r="K517" s="559"/>
      <c r="L517" s="559"/>
      <c r="M517" s="559"/>
      <c r="N517" s="559"/>
      <c r="O517" s="559"/>
      <c r="P517" s="559"/>
      <c r="Q517" s="559"/>
      <c r="R517" s="559"/>
      <c r="S517" s="559"/>
      <c r="T517" s="559"/>
      <c r="U517" s="559"/>
      <c r="V517" s="559"/>
      <c r="W517" s="559"/>
      <c r="X517" s="559"/>
      <c r="Y517" s="559"/>
      <c r="Z517" s="559"/>
      <c r="AA517" s="559"/>
      <c r="AB517" s="559"/>
      <c r="AC517" s="559"/>
      <c r="AD517" s="559"/>
      <c r="AE517" s="559"/>
      <c r="AF517" s="559"/>
      <c r="AG517" s="559"/>
    </row>
    <row r="518" spans="1:33" ht="18" customHeight="1" x14ac:dyDescent="0.35">
      <c r="A518" s="559"/>
      <c r="B518" s="559"/>
      <c r="C518" s="559"/>
      <c r="D518" s="559"/>
      <c r="E518" s="559"/>
      <c r="F518" s="559"/>
      <c r="G518" s="559"/>
      <c r="H518" s="559"/>
      <c r="I518" s="559"/>
      <c r="J518" s="559"/>
      <c r="K518" s="559"/>
      <c r="L518" s="559"/>
      <c r="M518" s="559"/>
      <c r="N518" s="559"/>
      <c r="O518" s="559"/>
      <c r="P518" s="559"/>
      <c r="Q518" s="559"/>
      <c r="R518" s="559"/>
      <c r="S518" s="559"/>
      <c r="T518" s="559"/>
      <c r="U518" s="559"/>
      <c r="V518" s="559"/>
      <c r="W518" s="559"/>
      <c r="X518" s="559"/>
      <c r="Y518" s="559"/>
      <c r="Z518" s="559"/>
      <c r="AA518" s="559"/>
      <c r="AB518" s="559"/>
      <c r="AC518" s="559"/>
      <c r="AD518" s="559"/>
      <c r="AE518" s="559"/>
      <c r="AF518" s="559"/>
      <c r="AG518" s="559"/>
    </row>
    <row r="519" spans="1:33" ht="18" customHeight="1" x14ac:dyDescent="0.35">
      <c r="A519" s="559"/>
      <c r="B519" s="559"/>
      <c r="C519" s="559"/>
      <c r="D519" s="559"/>
      <c r="E519" s="559"/>
      <c r="F519" s="559"/>
      <c r="G519" s="559"/>
      <c r="H519" s="559"/>
      <c r="I519" s="559"/>
      <c r="J519" s="559"/>
      <c r="K519" s="559"/>
      <c r="L519" s="559"/>
      <c r="M519" s="559"/>
      <c r="N519" s="559"/>
      <c r="O519" s="559"/>
      <c r="P519" s="559"/>
      <c r="Q519" s="559"/>
      <c r="R519" s="559"/>
      <c r="S519" s="559"/>
      <c r="T519" s="559"/>
      <c r="U519" s="559"/>
      <c r="V519" s="559"/>
      <c r="W519" s="559"/>
      <c r="X519" s="559"/>
      <c r="Y519" s="559"/>
      <c r="Z519" s="559"/>
      <c r="AA519" s="559"/>
      <c r="AB519" s="559"/>
      <c r="AC519" s="559"/>
      <c r="AD519" s="559"/>
      <c r="AE519" s="559"/>
      <c r="AF519" s="559"/>
      <c r="AG519" s="559"/>
    </row>
    <row r="520" spans="1:33" ht="18" customHeight="1" x14ac:dyDescent="0.35">
      <c r="A520" s="559"/>
      <c r="B520" s="559"/>
      <c r="C520" s="559"/>
      <c r="D520" s="559"/>
      <c r="E520" s="559"/>
      <c r="F520" s="559"/>
      <c r="G520" s="559"/>
      <c r="H520" s="559"/>
      <c r="I520" s="559"/>
      <c r="J520" s="559"/>
      <c r="K520" s="559"/>
      <c r="L520" s="559"/>
      <c r="M520" s="559"/>
      <c r="N520" s="559"/>
      <c r="O520" s="559"/>
      <c r="P520" s="559"/>
      <c r="Q520" s="559"/>
      <c r="R520" s="559"/>
      <c r="S520" s="559"/>
      <c r="T520" s="559"/>
      <c r="U520" s="559"/>
      <c r="V520" s="559"/>
      <c r="W520" s="559"/>
      <c r="X520" s="559"/>
      <c r="Y520" s="559"/>
      <c r="Z520" s="559"/>
      <c r="AA520" s="559"/>
      <c r="AB520" s="559"/>
      <c r="AC520" s="559"/>
      <c r="AD520" s="559"/>
      <c r="AE520" s="559"/>
      <c r="AF520" s="559"/>
      <c r="AG520" s="559"/>
    </row>
    <row r="521" spans="1:33" ht="18" customHeight="1" x14ac:dyDescent="0.35">
      <c r="A521" s="559"/>
      <c r="B521" s="559"/>
      <c r="C521" s="559"/>
      <c r="D521" s="559"/>
      <c r="E521" s="559"/>
      <c r="F521" s="559"/>
      <c r="G521" s="559"/>
      <c r="H521" s="559"/>
      <c r="I521" s="559"/>
      <c r="J521" s="559"/>
      <c r="K521" s="559"/>
      <c r="L521" s="559"/>
      <c r="M521" s="559"/>
      <c r="N521" s="559"/>
      <c r="O521" s="559"/>
      <c r="P521" s="559"/>
      <c r="Q521" s="559"/>
      <c r="R521" s="559"/>
      <c r="S521" s="559"/>
      <c r="T521" s="559"/>
      <c r="U521" s="559"/>
      <c r="V521" s="559"/>
      <c r="W521" s="559"/>
      <c r="X521" s="559"/>
      <c r="Y521" s="559"/>
      <c r="Z521" s="559"/>
      <c r="AA521" s="559"/>
      <c r="AB521" s="559"/>
      <c r="AC521" s="559"/>
      <c r="AD521" s="559"/>
      <c r="AE521" s="559"/>
      <c r="AF521" s="559"/>
      <c r="AG521" s="559"/>
    </row>
    <row r="522" spans="1:33" ht="18" customHeight="1" x14ac:dyDescent="0.35">
      <c r="A522" s="559"/>
      <c r="B522" s="559"/>
      <c r="C522" s="559"/>
      <c r="D522" s="559"/>
      <c r="E522" s="559"/>
      <c r="F522" s="559"/>
      <c r="G522" s="559"/>
      <c r="H522" s="559"/>
      <c r="I522" s="559"/>
      <c r="J522" s="559"/>
      <c r="K522" s="559"/>
      <c r="L522" s="559"/>
      <c r="M522" s="559"/>
      <c r="N522" s="559"/>
      <c r="O522" s="559"/>
      <c r="P522" s="559"/>
      <c r="Q522" s="559"/>
      <c r="R522" s="559"/>
      <c r="S522" s="559"/>
      <c r="T522" s="559"/>
      <c r="U522" s="559"/>
      <c r="V522" s="559"/>
      <c r="W522" s="559"/>
      <c r="X522" s="559"/>
      <c r="Y522" s="559"/>
      <c r="Z522" s="559"/>
      <c r="AA522" s="559"/>
      <c r="AB522" s="559"/>
      <c r="AC522" s="559"/>
      <c r="AD522" s="559"/>
      <c r="AE522" s="559"/>
      <c r="AF522" s="559"/>
      <c r="AG522" s="559"/>
    </row>
    <row r="523" spans="1:33" ht="18" customHeight="1" x14ac:dyDescent="0.35">
      <c r="A523" s="559"/>
      <c r="B523" s="559"/>
      <c r="C523" s="559"/>
      <c r="D523" s="559"/>
      <c r="E523" s="559"/>
      <c r="F523" s="559"/>
      <c r="G523" s="559"/>
      <c r="H523" s="559"/>
      <c r="I523" s="559"/>
      <c r="J523" s="559"/>
      <c r="K523" s="559"/>
      <c r="L523" s="559"/>
      <c r="M523" s="559"/>
      <c r="N523" s="559"/>
      <c r="O523" s="559"/>
      <c r="P523" s="559"/>
      <c r="Q523" s="559"/>
      <c r="R523" s="559"/>
      <c r="S523" s="559"/>
      <c r="T523" s="559"/>
      <c r="U523" s="559"/>
      <c r="V523" s="559"/>
      <c r="W523" s="559"/>
      <c r="X523" s="559"/>
      <c r="Y523" s="559"/>
      <c r="Z523" s="559"/>
      <c r="AA523" s="559"/>
      <c r="AB523" s="559"/>
      <c r="AC523" s="559"/>
      <c r="AD523" s="559"/>
      <c r="AE523" s="559"/>
      <c r="AF523" s="559"/>
      <c r="AG523" s="559"/>
    </row>
    <row r="524" spans="1:33" ht="18" customHeight="1" x14ac:dyDescent="0.35">
      <c r="A524" s="559"/>
      <c r="B524" s="559"/>
      <c r="C524" s="559"/>
      <c r="D524" s="559"/>
      <c r="E524" s="559"/>
      <c r="F524" s="559"/>
      <c r="G524" s="559"/>
      <c r="H524" s="559"/>
      <c r="I524" s="559"/>
      <c r="J524" s="559"/>
      <c r="K524" s="559"/>
      <c r="L524" s="559"/>
      <c r="M524" s="559"/>
      <c r="N524" s="559"/>
      <c r="O524" s="559"/>
      <c r="P524" s="559"/>
      <c r="Q524" s="559"/>
      <c r="R524" s="559"/>
      <c r="S524" s="559"/>
      <c r="T524" s="559"/>
      <c r="U524" s="559"/>
      <c r="V524" s="559"/>
      <c r="W524" s="559"/>
      <c r="X524" s="559"/>
      <c r="Y524" s="559"/>
      <c r="Z524" s="559"/>
      <c r="AA524" s="559"/>
      <c r="AB524" s="559"/>
      <c r="AC524" s="559"/>
      <c r="AD524" s="559"/>
      <c r="AE524" s="559"/>
      <c r="AF524" s="559"/>
      <c r="AG524" s="559"/>
    </row>
    <row r="525" spans="1:33" ht="18" customHeight="1" x14ac:dyDescent="0.35">
      <c r="A525" s="559"/>
      <c r="B525" s="559"/>
      <c r="C525" s="559"/>
      <c r="D525" s="559"/>
      <c r="E525" s="559"/>
      <c r="F525" s="559"/>
      <c r="G525" s="559"/>
      <c r="H525" s="559"/>
      <c r="I525" s="559"/>
      <c r="J525" s="559"/>
      <c r="K525" s="559"/>
      <c r="L525" s="559"/>
      <c r="M525" s="559"/>
      <c r="N525" s="559"/>
      <c r="O525" s="559"/>
      <c r="P525" s="559"/>
      <c r="Q525" s="559"/>
      <c r="R525" s="559"/>
      <c r="S525" s="559"/>
      <c r="T525" s="559"/>
      <c r="U525" s="559"/>
      <c r="V525" s="559"/>
      <c r="W525" s="559"/>
      <c r="X525" s="559"/>
      <c r="Y525" s="559"/>
      <c r="Z525" s="559"/>
      <c r="AA525" s="559"/>
      <c r="AB525" s="559"/>
      <c r="AC525" s="559"/>
      <c r="AD525" s="559"/>
      <c r="AE525" s="559"/>
      <c r="AF525" s="559"/>
      <c r="AG525" s="559"/>
    </row>
    <row r="526" spans="1:33" ht="18" customHeight="1" x14ac:dyDescent="0.35">
      <c r="A526" s="559"/>
      <c r="B526" s="559"/>
      <c r="C526" s="559"/>
      <c r="D526" s="559"/>
      <c r="E526" s="559"/>
      <c r="F526" s="559"/>
      <c r="G526" s="559"/>
      <c r="H526" s="559"/>
      <c r="I526" s="559"/>
      <c r="J526" s="559"/>
      <c r="K526" s="559"/>
      <c r="L526" s="559"/>
      <c r="M526" s="559"/>
      <c r="N526" s="559"/>
      <c r="O526" s="559"/>
      <c r="P526" s="559"/>
      <c r="Q526" s="559"/>
      <c r="R526" s="559"/>
      <c r="S526" s="559"/>
      <c r="T526" s="559"/>
      <c r="U526" s="559"/>
      <c r="V526" s="559"/>
      <c r="W526" s="559"/>
      <c r="X526" s="559"/>
      <c r="Y526" s="559"/>
      <c r="Z526" s="559"/>
      <c r="AA526" s="559"/>
      <c r="AB526" s="559"/>
      <c r="AC526" s="559"/>
      <c r="AD526" s="559"/>
      <c r="AE526" s="559"/>
      <c r="AF526" s="559"/>
      <c r="AG526" s="559"/>
    </row>
    <row r="527" spans="1:33" ht="18" customHeight="1" x14ac:dyDescent="0.35">
      <c r="A527" s="559"/>
      <c r="B527" s="559"/>
      <c r="C527" s="559"/>
      <c r="D527" s="559"/>
      <c r="E527" s="559"/>
      <c r="F527" s="559"/>
      <c r="G527" s="559"/>
      <c r="H527" s="559"/>
      <c r="I527" s="559"/>
      <c r="J527" s="559"/>
      <c r="K527" s="559"/>
      <c r="L527" s="559"/>
      <c r="M527" s="559"/>
      <c r="N527" s="559"/>
      <c r="O527" s="559"/>
      <c r="P527" s="559"/>
      <c r="Q527" s="559"/>
      <c r="R527" s="559"/>
      <c r="S527" s="559"/>
      <c r="T527" s="559"/>
      <c r="U527" s="559"/>
      <c r="V527" s="559"/>
      <c r="W527" s="559"/>
      <c r="X527" s="559"/>
      <c r="Y527" s="559"/>
      <c r="Z527" s="559"/>
      <c r="AA527" s="559"/>
      <c r="AB527" s="559"/>
      <c r="AC527" s="559"/>
      <c r="AD527" s="559"/>
      <c r="AE527" s="559"/>
      <c r="AF527" s="559"/>
      <c r="AG527" s="559"/>
    </row>
    <row r="528" spans="1:33" ht="18" customHeight="1" x14ac:dyDescent="0.35">
      <c r="A528" s="559"/>
      <c r="B528" s="559"/>
      <c r="C528" s="559"/>
      <c r="D528" s="559"/>
      <c r="E528" s="559"/>
      <c r="F528" s="559"/>
      <c r="G528" s="559"/>
      <c r="H528" s="559"/>
      <c r="I528" s="559"/>
      <c r="J528" s="559"/>
      <c r="K528" s="559"/>
      <c r="L528" s="559"/>
      <c r="M528" s="559"/>
      <c r="N528" s="559"/>
      <c r="O528" s="559"/>
      <c r="P528" s="559"/>
      <c r="Q528" s="559"/>
      <c r="R528" s="559"/>
      <c r="S528" s="559"/>
      <c r="T528" s="559"/>
      <c r="U528" s="559"/>
      <c r="V528" s="559"/>
      <c r="W528" s="559"/>
      <c r="X528" s="559"/>
      <c r="Y528" s="559"/>
      <c r="Z528" s="559"/>
      <c r="AA528" s="559"/>
      <c r="AB528" s="559"/>
      <c r="AC528" s="559"/>
      <c r="AD528" s="559"/>
      <c r="AE528" s="559"/>
      <c r="AF528" s="559"/>
      <c r="AG528" s="559"/>
    </row>
    <row r="529" spans="1:33" ht="18" customHeight="1" x14ac:dyDescent="0.35">
      <c r="A529" s="559"/>
      <c r="B529" s="559"/>
      <c r="C529" s="559"/>
      <c r="D529" s="559"/>
      <c r="E529" s="559"/>
      <c r="F529" s="559"/>
      <c r="G529" s="559"/>
      <c r="H529" s="559"/>
      <c r="I529" s="559"/>
      <c r="J529" s="559"/>
      <c r="K529" s="559"/>
      <c r="L529" s="559"/>
      <c r="M529" s="559"/>
      <c r="N529" s="559"/>
      <c r="O529" s="559"/>
      <c r="P529" s="559"/>
      <c r="Q529" s="559"/>
      <c r="R529" s="559"/>
      <c r="S529" s="559"/>
      <c r="T529" s="559"/>
      <c r="U529" s="559"/>
      <c r="V529" s="559"/>
      <c r="W529" s="559"/>
      <c r="X529" s="559"/>
      <c r="Y529" s="559"/>
      <c r="Z529" s="559"/>
      <c r="AA529" s="559"/>
      <c r="AB529" s="559"/>
      <c r="AC529" s="559"/>
      <c r="AD529" s="559"/>
      <c r="AE529" s="559"/>
      <c r="AF529" s="559"/>
      <c r="AG529" s="559"/>
    </row>
    <row r="530" spans="1:33" ht="18" customHeight="1" x14ac:dyDescent="0.35">
      <c r="A530" s="559"/>
      <c r="B530" s="559"/>
      <c r="C530" s="559"/>
      <c r="D530" s="559"/>
      <c r="E530" s="559"/>
      <c r="F530" s="559"/>
      <c r="G530" s="559"/>
      <c r="H530" s="559"/>
      <c r="I530" s="559"/>
      <c r="J530" s="559"/>
      <c r="K530" s="559"/>
      <c r="L530" s="559"/>
      <c r="M530" s="559"/>
      <c r="N530" s="559"/>
      <c r="O530" s="559"/>
      <c r="P530" s="559"/>
      <c r="Q530" s="559"/>
      <c r="R530" s="559"/>
      <c r="S530" s="559"/>
      <c r="T530" s="559"/>
      <c r="U530" s="559"/>
      <c r="V530" s="559"/>
      <c r="W530" s="559"/>
      <c r="X530" s="559"/>
      <c r="Y530" s="559"/>
      <c r="Z530" s="559"/>
      <c r="AA530" s="559"/>
      <c r="AB530" s="559"/>
      <c r="AC530" s="559"/>
      <c r="AD530" s="559"/>
      <c r="AE530" s="559"/>
      <c r="AF530" s="559"/>
      <c r="AG530" s="559"/>
    </row>
    <row r="531" spans="1:33" ht="18" customHeight="1" x14ac:dyDescent="0.35">
      <c r="A531" s="559"/>
      <c r="B531" s="559"/>
      <c r="C531" s="559"/>
      <c r="D531" s="559"/>
      <c r="E531" s="559"/>
      <c r="F531" s="559"/>
      <c r="G531" s="559"/>
      <c r="H531" s="559"/>
      <c r="I531" s="559"/>
      <c r="J531" s="559"/>
      <c r="K531" s="559"/>
      <c r="L531" s="559"/>
      <c r="M531" s="559"/>
      <c r="N531" s="559"/>
      <c r="O531" s="559"/>
      <c r="P531" s="559"/>
      <c r="Q531" s="559"/>
      <c r="R531" s="559"/>
      <c r="S531" s="559"/>
      <c r="T531" s="559"/>
      <c r="U531" s="559"/>
      <c r="V531" s="559"/>
      <c r="W531" s="559"/>
      <c r="X531" s="559"/>
      <c r="Y531" s="559"/>
      <c r="Z531" s="559"/>
      <c r="AA531" s="559"/>
      <c r="AB531" s="559"/>
      <c r="AC531" s="559"/>
      <c r="AD531" s="559"/>
      <c r="AE531" s="559"/>
      <c r="AF531" s="559"/>
      <c r="AG531" s="559"/>
    </row>
    <row r="532" spans="1:33" ht="18" customHeight="1" x14ac:dyDescent="0.35">
      <c r="A532" s="559"/>
      <c r="B532" s="559"/>
      <c r="C532" s="559"/>
      <c r="D532" s="559"/>
      <c r="E532" s="559"/>
      <c r="F532" s="559"/>
      <c r="G532" s="559"/>
      <c r="H532" s="559"/>
      <c r="I532" s="559"/>
      <c r="J532" s="559"/>
      <c r="K532" s="559"/>
      <c r="L532" s="559"/>
      <c r="M532" s="559"/>
      <c r="N532" s="559"/>
      <c r="O532" s="559"/>
      <c r="P532" s="559"/>
      <c r="Q532" s="559"/>
      <c r="R532" s="559"/>
      <c r="S532" s="559"/>
      <c r="T532" s="559"/>
      <c r="U532" s="559"/>
      <c r="V532" s="559"/>
      <c r="W532" s="559"/>
      <c r="X532" s="559"/>
      <c r="Y532" s="559"/>
      <c r="Z532" s="559"/>
      <c r="AA532" s="559"/>
      <c r="AB532" s="559"/>
      <c r="AC532" s="559"/>
      <c r="AD532" s="559"/>
      <c r="AE532" s="559"/>
      <c r="AF532" s="559"/>
      <c r="AG532" s="559"/>
    </row>
    <row r="533" spans="1:33" ht="18" customHeight="1" x14ac:dyDescent="0.35">
      <c r="A533" s="559"/>
      <c r="B533" s="559"/>
      <c r="C533" s="559"/>
      <c r="D533" s="559"/>
      <c r="E533" s="559"/>
      <c r="F533" s="559"/>
      <c r="G533" s="559"/>
      <c r="H533" s="559"/>
      <c r="I533" s="559"/>
      <c r="J533" s="559"/>
      <c r="K533" s="559"/>
      <c r="L533" s="559"/>
      <c r="M533" s="559"/>
      <c r="N533" s="559"/>
      <c r="O533" s="559"/>
      <c r="P533" s="559"/>
      <c r="Q533" s="559"/>
      <c r="R533" s="559"/>
      <c r="S533" s="559"/>
      <c r="T533" s="559"/>
      <c r="U533" s="559"/>
      <c r="V533" s="559"/>
      <c r="W533" s="559"/>
      <c r="X533" s="559"/>
      <c r="Y533" s="559"/>
      <c r="Z533" s="559"/>
      <c r="AA533" s="559"/>
      <c r="AB533" s="559"/>
      <c r="AC533" s="559"/>
      <c r="AD533" s="559"/>
      <c r="AE533" s="559"/>
      <c r="AF533" s="559"/>
      <c r="AG533" s="559"/>
    </row>
    <row r="534" spans="1:33" ht="18" customHeight="1" x14ac:dyDescent="0.35">
      <c r="A534" s="559"/>
      <c r="B534" s="559"/>
      <c r="C534" s="559"/>
      <c r="D534" s="559"/>
      <c r="E534" s="559"/>
      <c r="F534" s="559"/>
      <c r="G534" s="559"/>
      <c r="H534" s="559"/>
      <c r="I534" s="559"/>
      <c r="J534" s="559"/>
      <c r="K534" s="559"/>
      <c r="L534" s="559"/>
      <c r="M534" s="559"/>
      <c r="N534" s="559"/>
      <c r="O534" s="559"/>
      <c r="P534" s="559"/>
      <c r="Q534" s="559"/>
      <c r="R534" s="559"/>
      <c r="S534" s="559"/>
      <c r="T534" s="559"/>
      <c r="U534" s="559"/>
      <c r="V534" s="559"/>
      <c r="W534" s="559"/>
      <c r="X534" s="559"/>
      <c r="Y534" s="559"/>
      <c r="Z534" s="559"/>
      <c r="AA534" s="559"/>
      <c r="AB534" s="559"/>
      <c r="AC534" s="559"/>
      <c r="AD534" s="559"/>
      <c r="AE534" s="559"/>
      <c r="AF534" s="559"/>
      <c r="AG534" s="559"/>
    </row>
    <row r="535" spans="1:33" ht="18" customHeight="1" x14ac:dyDescent="0.35">
      <c r="A535" s="559"/>
      <c r="B535" s="559"/>
      <c r="C535" s="559"/>
      <c r="D535" s="559"/>
      <c r="E535" s="559"/>
      <c r="F535" s="559"/>
      <c r="G535" s="559"/>
      <c r="H535" s="559"/>
      <c r="I535" s="559"/>
      <c r="J535" s="559"/>
      <c r="K535" s="559"/>
      <c r="L535" s="559"/>
      <c r="M535" s="559"/>
      <c r="N535" s="559"/>
      <c r="O535" s="559"/>
      <c r="P535" s="559"/>
      <c r="Q535" s="559"/>
      <c r="R535" s="559"/>
      <c r="S535" s="559"/>
      <c r="T535" s="559"/>
      <c r="U535" s="559"/>
      <c r="V535" s="559"/>
      <c r="W535" s="559"/>
      <c r="X535" s="559"/>
      <c r="Y535" s="559"/>
      <c r="Z535" s="559"/>
      <c r="AA535" s="559"/>
      <c r="AB535" s="559"/>
      <c r="AC535" s="559"/>
      <c r="AD535" s="559"/>
      <c r="AE535" s="559"/>
      <c r="AF535" s="559"/>
      <c r="AG535" s="559"/>
    </row>
    <row r="536" spans="1:33" ht="18" customHeight="1" x14ac:dyDescent="0.35">
      <c r="A536" s="559"/>
      <c r="B536" s="559"/>
      <c r="C536" s="559"/>
      <c r="D536" s="559"/>
      <c r="E536" s="559"/>
      <c r="F536" s="559"/>
      <c r="G536" s="559"/>
      <c r="H536" s="559"/>
      <c r="I536" s="559"/>
      <c r="J536" s="559"/>
      <c r="K536" s="559"/>
      <c r="L536" s="559"/>
      <c r="M536" s="559"/>
      <c r="N536" s="559"/>
      <c r="O536" s="559"/>
      <c r="P536" s="559"/>
      <c r="Q536" s="559"/>
      <c r="R536" s="559"/>
      <c r="S536" s="559"/>
      <c r="T536" s="559"/>
      <c r="U536" s="559"/>
      <c r="V536" s="559"/>
      <c r="W536" s="559"/>
      <c r="X536" s="559"/>
      <c r="Y536" s="559"/>
      <c r="Z536" s="559"/>
      <c r="AA536" s="559"/>
      <c r="AB536" s="559"/>
      <c r="AC536" s="559"/>
      <c r="AD536" s="559"/>
      <c r="AE536" s="559"/>
      <c r="AF536" s="559"/>
      <c r="AG536" s="559"/>
    </row>
    <row r="537" spans="1:33" ht="18" customHeight="1" x14ac:dyDescent="0.35">
      <c r="A537" s="559"/>
      <c r="B537" s="559"/>
      <c r="C537" s="559"/>
      <c r="D537" s="559"/>
      <c r="E537" s="559"/>
      <c r="F537" s="559"/>
      <c r="G537" s="559"/>
      <c r="H537" s="559"/>
      <c r="I537" s="559"/>
      <c r="J537" s="559"/>
      <c r="K537" s="559"/>
      <c r="L537" s="559"/>
      <c r="M537" s="559"/>
      <c r="N537" s="559"/>
      <c r="O537" s="559"/>
      <c r="P537" s="559"/>
      <c r="Q537" s="559"/>
      <c r="R537" s="559"/>
      <c r="S537" s="559"/>
      <c r="T537" s="559"/>
      <c r="U537" s="559"/>
      <c r="V537" s="559"/>
      <c r="W537" s="559"/>
      <c r="X537" s="559"/>
      <c r="Y537" s="559"/>
      <c r="Z537" s="559"/>
      <c r="AA537" s="559"/>
      <c r="AB537" s="559"/>
      <c r="AC537" s="559"/>
      <c r="AD537" s="559"/>
      <c r="AE537" s="559"/>
      <c r="AF537" s="559"/>
      <c r="AG537" s="559"/>
    </row>
    <row r="538" spans="1:33" ht="18" customHeight="1" x14ac:dyDescent="0.35">
      <c r="A538" s="559"/>
      <c r="B538" s="559"/>
      <c r="C538" s="559"/>
      <c r="D538" s="559"/>
      <c r="E538" s="559"/>
      <c r="F538" s="559"/>
      <c r="G538" s="559"/>
      <c r="H538" s="559"/>
      <c r="I538" s="559"/>
      <c r="J538" s="559"/>
      <c r="K538" s="559"/>
      <c r="L538" s="559"/>
      <c r="M538" s="559"/>
      <c r="N538" s="559"/>
      <c r="O538" s="559"/>
      <c r="P538" s="559"/>
      <c r="Q538" s="559"/>
      <c r="R538" s="559"/>
      <c r="S538" s="559"/>
      <c r="T538" s="559"/>
      <c r="U538" s="559"/>
      <c r="V538" s="559"/>
      <c r="W538" s="559"/>
      <c r="X538" s="559"/>
      <c r="Y538" s="559"/>
      <c r="Z538" s="559"/>
      <c r="AA538" s="559"/>
      <c r="AB538" s="559"/>
      <c r="AC538" s="559"/>
      <c r="AD538" s="559"/>
      <c r="AE538" s="559"/>
      <c r="AF538" s="559"/>
      <c r="AG538" s="559"/>
    </row>
    <row r="539" spans="1:33" ht="18" customHeight="1" x14ac:dyDescent="0.35">
      <c r="A539" s="559"/>
      <c r="B539" s="559"/>
      <c r="C539" s="559"/>
      <c r="D539" s="559"/>
      <c r="E539" s="559"/>
      <c r="F539" s="559"/>
      <c r="G539" s="559"/>
      <c r="H539" s="559"/>
      <c r="I539" s="559"/>
      <c r="J539" s="559"/>
      <c r="K539" s="559"/>
      <c r="L539" s="559"/>
      <c r="M539" s="559"/>
      <c r="N539" s="559"/>
      <c r="O539" s="559"/>
      <c r="P539" s="559"/>
      <c r="Q539" s="559"/>
      <c r="R539" s="559"/>
      <c r="S539" s="559"/>
      <c r="T539" s="559"/>
      <c r="U539" s="559"/>
      <c r="V539" s="559"/>
      <c r="W539" s="559"/>
      <c r="X539" s="559"/>
      <c r="Y539" s="559"/>
      <c r="Z539" s="559"/>
      <c r="AA539" s="559"/>
      <c r="AB539" s="559"/>
      <c r="AC539" s="559"/>
      <c r="AD539" s="559"/>
      <c r="AE539" s="559"/>
      <c r="AF539" s="559"/>
      <c r="AG539" s="559"/>
    </row>
    <row r="540" spans="1:33" ht="18" customHeight="1" x14ac:dyDescent="0.35">
      <c r="A540" s="559"/>
      <c r="B540" s="559"/>
      <c r="C540" s="559"/>
      <c r="D540" s="559"/>
      <c r="E540" s="559"/>
      <c r="F540" s="559"/>
      <c r="G540" s="559"/>
      <c r="H540" s="559"/>
      <c r="I540" s="559"/>
      <c r="J540" s="559"/>
      <c r="K540" s="559"/>
      <c r="L540" s="559"/>
      <c r="M540" s="559"/>
      <c r="N540" s="559"/>
      <c r="O540" s="559"/>
      <c r="P540" s="559"/>
      <c r="Q540" s="559"/>
      <c r="R540" s="559"/>
      <c r="S540" s="559"/>
      <c r="T540" s="559"/>
      <c r="U540" s="559"/>
      <c r="V540" s="559"/>
      <c r="W540" s="559"/>
      <c r="X540" s="559"/>
      <c r="Y540" s="559"/>
      <c r="Z540" s="559"/>
      <c r="AA540" s="559"/>
      <c r="AB540" s="559"/>
      <c r="AC540" s="559"/>
      <c r="AD540" s="559"/>
      <c r="AE540" s="559"/>
      <c r="AF540" s="559"/>
      <c r="AG540" s="559"/>
    </row>
    <row r="541" spans="1:33" ht="18" customHeight="1" x14ac:dyDescent="0.35">
      <c r="A541" s="559"/>
      <c r="B541" s="559"/>
      <c r="C541" s="559"/>
      <c r="D541" s="559"/>
      <c r="E541" s="559"/>
      <c r="F541" s="559"/>
      <c r="G541" s="559"/>
      <c r="H541" s="559"/>
      <c r="I541" s="559"/>
      <c r="J541" s="559"/>
      <c r="K541" s="559"/>
      <c r="L541" s="559"/>
      <c r="M541" s="559"/>
      <c r="N541" s="559"/>
      <c r="O541" s="559"/>
      <c r="P541" s="559"/>
      <c r="Q541" s="559"/>
      <c r="R541" s="559"/>
      <c r="S541" s="559"/>
      <c r="T541" s="559"/>
      <c r="U541" s="559"/>
      <c r="V541" s="559"/>
      <c r="W541" s="559"/>
      <c r="X541" s="559"/>
      <c r="Y541" s="559"/>
      <c r="Z541" s="559"/>
      <c r="AA541" s="559"/>
      <c r="AB541" s="559"/>
      <c r="AC541" s="559"/>
      <c r="AD541" s="559"/>
      <c r="AE541" s="559"/>
      <c r="AF541" s="559"/>
      <c r="AG541" s="559"/>
    </row>
    <row r="542" spans="1:33" ht="18" customHeight="1" x14ac:dyDescent="0.35">
      <c r="A542" s="559"/>
      <c r="B542" s="559"/>
      <c r="C542" s="559"/>
      <c r="D542" s="559"/>
      <c r="E542" s="559"/>
      <c r="F542" s="559"/>
      <c r="G542" s="559"/>
      <c r="H542" s="559"/>
      <c r="I542" s="559"/>
      <c r="J542" s="559"/>
      <c r="K542" s="559"/>
      <c r="L542" s="559"/>
      <c r="M542" s="559"/>
      <c r="N542" s="559"/>
      <c r="O542" s="559"/>
      <c r="P542" s="559"/>
      <c r="Q542" s="559"/>
      <c r="R542" s="559"/>
      <c r="S542" s="559"/>
      <c r="T542" s="559"/>
      <c r="U542" s="559"/>
      <c r="V542" s="559"/>
      <c r="W542" s="559"/>
      <c r="X542" s="559"/>
      <c r="Y542" s="559"/>
      <c r="Z542" s="559"/>
      <c r="AA542" s="559"/>
      <c r="AB542" s="559"/>
      <c r="AC542" s="559"/>
      <c r="AD542" s="559"/>
      <c r="AE542" s="559"/>
      <c r="AF542" s="559"/>
      <c r="AG542" s="559"/>
    </row>
    <row r="543" spans="1:33" ht="18" customHeight="1" x14ac:dyDescent="0.35">
      <c r="A543" s="559"/>
      <c r="B543" s="559"/>
      <c r="C543" s="559"/>
      <c r="D543" s="559"/>
      <c r="E543" s="559"/>
      <c r="F543" s="559"/>
      <c r="G543" s="559"/>
      <c r="H543" s="559"/>
      <c r="I543" s="559"/>
      <c r="J543" s="559"/>
      <c r="K543" s="559"/>
      <c r="L543" s="559"/>
      <c r="M543" s="559"/>
      <c r="N543" s="559"/>
      <c r="O543" s="559"/>
      <c r="P543" s="559"/>
      <c r="Q543" s="559"/>
      <c r="R543" s="559"/>
      <c r="S543" s="559"/>
      <c r="T543" s="559"/>
      <c r="U543" s="559"/>
      <c r="V543" s="559"/>
      <c r="W543" s="559"/>
      <c r="X543" s="559"/>
      <c r="Y543" s="559"/>
      <c r="Z543" s="559"/>
      <c r="AA543" s="559"/>
      <c r="AB543" s="559"/>
      <c r="AC543" s="559"/>
      <c r="AD543" s="559"/>
      <c r="AE543" s="559"/>
      <c r="AF543" s="559"/>
      <c r="AG543" s="559"/>
    </row>
    <row r="544" spans="1:33" ht="18" customHeight="1" x14ac:dyDescent="0.35">
      <c r="A544" s="559"/>
      <c r="B544" s="559"/>
      <c r="C544" s="559"/>
      <c r="D544" s="559"/>
      <c r="E544" s="559"/>
      <c r="F544" s="559"/>
      <c r="G544" s="559"/>
      <c r="H544" s="559"/>
      <c r="I544" s="559"/>
      <c r="J544" s="559"/>
      <c r="K544" s="559"/>
      <c r="L544" s="559"/>
      <c r="M544" s="559"/>
      <c r="N544" s="559"/>
      <c r="O544" s="559"/>
      <c r="P544" s="559"/>
      <c r="Q544" s="559"/>
      <c r="R544" s="559"/>
      <c r="S544" s="559"/>
      <c r="T544" s="559"/>
      <c r="U544" s="559"/>
      <c r="V544" s="559"/>
      <c r="W544" s="559"/>
      <c r="X544" s="559"/>
      <c r="Y544" s="559"/>
      <c r="Z544" s="559"/>
      <c r="AA544" s="559"/>
      <c r="AB544" s="559"/>
      <c r="AC544" s="559"/>
      <c r="AD544" s="559"/>
      <c r="AE544" s="559"/>
      <c r="AF544" s="559"/>
      <c r="AG544" s="559"/>
    </row>
    <row r="545" spans="1:33" ht="18" customHeight="1" x14ac:dyDescent="0.35">
      <c r="A545" s="559"/>
      <c r="B545" s="559"/>
      <c r="C545" s="559"/>
      <c r="D545" s="559"/>
      <c r="E545" s="559"/>
      <c r="F545" s="559"/>
      <c r="G545" s="559"/>
      <c r="H545" s="559"/>
      <c r="I545" s="559"/>
      <c r="J545" s="559"/>
      <c r="K545" s="559"/>
      <c r="L545" s="559"/>
      <c r="M545" s="559"/>
      <c r="N545" s="559"/>
      <c r="O545" s="559"/>
      <c r="P545" s="559"/>
      <c r="Q545" s="559"/>
      <c r="R545" s="559"/>
      <c r="S545" s="559"/>
      <c r="T545" s="559"/>
      <c r="U545" s="559"/>
      <c r="V545" s="559"/>
      <c r="W545" s="559"/>
      <c r="X545" s="559"/>
      <c r="Y545" s="559"/>
      <c r="Z545" s="559"/>
      <c r="AA545" s="559"/>
      <c r="AB545" s="559"/>
      <c r="AC545" s="559"/>
      <c r="AD545" s="559"/>
      <c r="AE545" s="559"/>
      <c r="AF545" s="559"/>
      <c r="AG545" s="559"/>
    </row>
    <row r="546" spans="1:33" ht="18" customHeight="1" x14ac:dyDescent="0.35">
      <c r="A546" s="559"/>
      <c r="B546" s="559"/>
      <c r="C546" s="559"/>
      <c r="D546" s="559"/>
      <c r="E546" s="559"/>
      <c r="F546" s="559"/>
      <c r="G546" s="559"/>
      <c r="H546" s="559"/>
      <c r="I546" s="559"/>
      <c r="J546" s="559"/>
      <c r="K546" s="559"/>
      <c r="L546" s="559"/>
      <c r="M546" s="559"/>
      <c r="N546" s="559"/>
      <c r="O546" s="559"/>
      <c r="P546" s="559"/>
      <c r="Q546" s="559"/>
      <c r="R546" s="559"/>
      <c r="S546" s="559"/>
      <c r="T546" s="559"/>
      <c r="U546" s="559"/>
      <c r="V546" s="559"/>
      <c r="W546" s="559"/>
      <c r="X546" s="559"/>
      <c r="Y546" s="559"/>
      <c r="Z546" s="559"/>
      <c r="AA546" s="559"/>
      <c r="AB546" s="559"/>
      <c r="AC546" s="559"/>
      <c r="AD546" s="559"/>
      <c r="AE546" s="559"/>
      <c r="AF546" s="559"/>
      <c r="AG546" s="559"/>
    </row>
    <row r="547" spans="1:33" ht="18" customHeight="1" x14ac:dyDescent="0.35">
      <c r="A547" s="559"/>
      <c r="B547" s="559"/>
      <c r="C547" s="559"/>
      <c r="D547" s="559"/>
      <c r="E547" s="559"/>
      <c r="F547" s="559"/>
      <c r="G547" s="559"/>
      <c r="H547" s="559"/>
      <c r="I547" s="559"/>
      <c r="J547" s="559"/>
      <c r="K547" s="559"/>
      <c r="L547" s="559"/>
      <c r="M547" s="559"/>
      <c r="N547" s="559"/>
      <c r="O547" s="559"/>
      <c r="P547" s="559"/>
      <c r="Q547" s="559"/>
      <c r="R547" s="559"/>
      <c r="S547" s="559"/>
      <c r="T547" s="559"/>
      <c r="U547" s="559"/>
      <c r="V547" s="559"/>
      <c r="W547" s="559"/>
      <c r="X547" s="559"/>
      <c r="Y547" s="559"/>
      <c r="Z547" s="559"/>
      <c r="AA547" s="559"/>
      <c r="AB547" s="559"/>
      <c r="AC547" s="559"/>
      <c r="AD547" s="559"/>
      <c r="AE547" s="559"/>
      <c r="AF547" s="559"/>
      <c r="AG547" s="559"/>
    </row>
    <row r="548" spans="1:33" ht="18" customHeight="1" x14ac:dyDescent="0.35">
      <c r="A548" s="559"/>
      <c r="B548" s="559"/>
      <c r="C548" s="559"/>
      <c r="D548" s="559"/>
      <c r="E548" s="559"/>
      <c r="F548" s="559"/>
      <c r="G548" s="559"/>
      <c r="H548" s="559"/>
      <c r="I548" s="559"/>
      <c r="J548" s="559"/>
      <c r="K548" s="559"/>
      <c r="L548" s="559"/>
      <c r="M548" s="559"/>
      <c r="N548" s="559"/>
      <c r="O548" s="559"/>
      <c r="P548" s="559"/>
      <c r="Q548" s="559"/>
      <c r="R548" s="559"/>
      <c r="S548" s="559"/>
      <c r="T548" s="559"/>
      <c r="U548" s="559"/>
      <c r="V548" s="559"/>
      <c r="W548" s="559"/>
      <c r="X548" s="559"/>
      <c r="Y548" s="559"/>
      <c r="Z548" s="559"/>
      <c r="AA548" s="559"/>
      <c r="AB548" s="559"/>
      <c r="AC548" s="559"/>
      <c r="AD548" s="559"/>
      <c r="AE548" s="559"/>
      <c r="AF548" s="559"/>
      <c r="AG548" s="559"/>
    </row>
    <row r="549" spans="1:33" ht="18" customHeight="1" x14ac:dyDescent="0.35">
      <c r="A549" s="559"/>
      <c r="B549" s="559"/>
      <c r="C549" s="559"/>
      <c r="D549" s="559"/>
      <c r="E549" s="559"/>
      <c r="F549" s="559"/>
      <c r="G549" s="559"/>
      <c r="H549" s="559"/>
      <c r="I549" s="559"/>
      <c r="J549" s="559"/>
      <c r="K549" s="559"/>
      <c r="L549" s="559"/>
      <c r="M549" s="559"/>
      <c r="N549" s="559"/>
      <c r="O549" s="559"/>
      <c r="P549" s="559"/>
      <c r="Q549" s="559"/>
      <c r="R549" s="559"/>
      <c r="S549" s="559"/>
      <c r="T549" s="559"/>
      <c r="U549" s="559"/>
      <c r="V549" s="559"/>
      <c r="W549" s="559"/>
      <c r="X549" s="559"/>
      <c r="Y549" s="559"/>
      <c r="Z549" s="559"/>
      <c r="AA549" s="559"/>
      <c r="AB549" s="559"/>
      <c r="AC549" s="559"/>
      <c r="AD549" s="559"/>
      <c r="AE549" s="559"/>
      <c r="AF549" s="559"/>
      <c r="AG549" s="559"/>
    </row>
    <row r="550" spans="1:33" ht="18" customHeight="1" x14ac:dyDescent="0.35">
      <c r="A550" s="559"/>
      <c r="B550" s="559"/>
      <c r="C550" s="559"/>
      <c r="D550" s="559"/>
      <c r="E550" s="559"/>
      <c r="F550" s="559"/>
      <c r="G550" s="559"/>
      <c r="H550" s="559"/>
      <c r="I550" s="559"/>
      <c r="J550" s="559"/>
      <c r="K550" s="559"/>
      <c r="L550" s="559"/>
      <c r="M550" s="559"/>
      <c r="N550" s="559"/>
      <c r="O550" s="559"/>
      <c r="P550" s="559"/>
      <c r="Q550" s="559"/>
      <c r="R550" s="559"/>
      <c r="S550" s="559"/>
      <c r="T550" s="559"/>
      <c r="U550" s="559"/>
      <c r="V550" s="559"/>
      <c r="W550" s="559"/>
      <c r="X550" s="559"/>
      <c r="Y550" s="559"/>
      <c r="Z550" s="559"/>
      <c r="AA550" s="559"/>
      <c r="AB550" s="559"/>
      <c r="AC550" s="559"/>
      <c r="AD550" s="559"/>
      <c r="AE550" s="559"/>
      <c r="AF550" s="559"/>
      <c r="AG550" s="559"/>
    </row>
    <row r="551" spans="1:33" ht="18" customHeight="1" x14ac:dyDescent="0.35">
      <c r="A551" s="559"/>
      <c r="B551" s="559"/>
      <c r="C551" s="559"/>
      <c r="D551" s="559"/>
      <c r="E551" s="559"/>
      <c r="F551" s="559"/>
      <c r="G551" s="559"/>
      <c r="H551" s="559"/>
      <c r="I551" s="559"/>
      <c r="J551" s="559"/>
      <c r="K551" s="559"/>
      <c r="L551" s="559"/>
      <c r="M551" s="559"/>
      <c r="N551" s="559"/>
      <c r="O551" s="559"/>
      <c r="P551" s="559"/>
      <c r="Q551" s="559"/>
      <c r="R551" s="559"/>
      <c r="S551" s="559"/>
      <c r="T551" s="559"/>
      <c r="U551" s="559"/>
      <c r="V551" s="559"/>
      <c r="W551" s="559"/>
      <c r="X551" s="559"/>
      <c r="Y551" s="559"/>
      <c r="Z551" s="559"/>
      <c r="AA551" s="559"/>
      <c r="AB551" s="559"/>
      <c r="AC551" s="559"/>
      <c r="AD551" s="559"/>
      <c r="AE551" s="559"/>
      <c r="AF551" s="559"/>
      <c r="AG551" s="559"/>
    </row>
    <row r="552" spans="1:33" ht="18" customHeight="1" x14ac:dyDescent="0.35">
      <c r="A552" s="559"/>
      <c r="B552" s="559"/>
      <c r="C552" s="559"/>
      <c r="D552" s="559"/>
      <c r="E552" s="559"/>
      <c r="F552" s="559"/>
      <c r="G552" s="559"/>
      <c r="H552" s="559"/>
      <c r="I552" s="559"/>
      <c r="J552" s="559"/>
      <c r="K552" s="559"/>
      <c r="L552" s="559"/>
      <c r="M552" s="559"/>
      <c r="N552" s="559"/>
      <c r="O552" s="559"/>
      <c r="P552" s="559"/>
      <c r="Q552" s="559"/>
      <c r="R552" s="559"/>
      <c r="S552" s="559"/>
      <c r="T552" s="559"/>
      <c r="U552" s="559"/>
      <c r="V552" s="559"/>
      <c r="W552" s="559"/>
      <c r="X552" s="559"/>
      <c r="Y552" s="559"/>
      <c r="Z552" s="559"/>
      <c r="AA552" s="559"/>
      <c r="AB552" s="559"/>
      <c r="AC552" s="559"/>
      <c r="AD552" s="559"/>
      <c r="AE552" s="559"/>
      <c r="AF552" s="559"/>
      <c r="AG552" s="559"/>
    </row>
    <row r="553" spans="1:33" ht="18" customHeight="1" x14ac:dyDescent="0.35">
      <c r="A553" s="559"/>
      <c r="B553" s="559"/>
      <c r="C553" s="559"/>
      <c r="D553" s="559"/>
      <c r="E553" s="559"/>
      <c r="F553" s="559"/>
      <c r="G553" s="559"/>
      <c r="H553" s="559"/>
      <c r="I553" s="559"/>
      <c r="J553" s="559"/>
      <c r="K553" s="559"/>
      <c r="L553" s="559"/>
      <c r="M553" s="559"/>
      <c r="N553" s="559"/>
      <c r="O553" s="559"/>
      <c r="P553" s="559"/>
      <c r="Q553" s="559"/>
      <c r="R553" s="559"/>
      <c r="S553" s="559"/>
      <c r="T553" s="559"/>
      <c r="U553" s="559"/>
      <c r="V553" s="559"/>
      <c r="W553" s="559"/>
      <c r="X553" s="559"/>
      <c r="Y553" s="559"/>
      <c r="Z553" s="559"/>
      <c r="AA553" s="559"/>
      <c r="AB553" s="559"/>
      <c r="AC553" s="559"/>
      <c r="AD553" s="559"/>
      <c r="AE553" s="559"/>
      <c r="AF553" s="559"/>
      <c r="AG553" s="559"/>
    </row>
    <row r="554" spans="1:33" ht="18" customHeight="1" x14ac:dyDescent="0.35">
      <c r="A554" s="559"/>
      <c r="B554" s="559"/>
      <c r="C554" s="559"/>
      <c r="D554" s="559"/>
      <c r="E554" s="559"/>
      <c r="F554" s="559"/>
      <c r="G554" s="559"/>
      <c r="H554" s="559"/>
      <c r="I554" s="559"/>
      <c r="J554" s="559"/>
      <c r="K554" s="559"/>
      <c r="L554" s="559"/>
      <c r="M554" s="559"/>
      <c r="N554" s="559"/>
      <c r="O554" s="559"/>
      <c r="P554" s="559"/>
      <c r="Q554" s="559"/>
      <c r="R554" s="559"/>
      <c r="S554" s="559"/>
      <c r="T554" s="559"/>
      <c r="U554" s="559"/>
      <c r="V554" s="559"/>
      <c r="W554" s="559"/>
      <c r="X554" s="559"/>
      <c r="Y554" s="559"/>
      <c r="Z554" s="559"/>
      <c r="AA554" s="559"/>
      <c r="AB554" s="559"/>
      <c r="AC554" s="559"/>
      <c r="AD554" s="559"/>
      <c r="AE554" s="559"/>
      <c r="AF554" s="559"/>
      <c r="AG554" s="559"/>
    </row>
    <row r="555" spans="1:33" ht="18" customHeight="1" x14ac:dyDescent="0.35">
      <c r="A555" s="559"/>
      <c r="B555" s="559"/>
      <c r="C555" s="559"/>
      <c r="D555" s="559"/>
      <c r="E555" s="559"/>
      <c r="F555" s="559"/>
      <c r="G555" s="559"/>
      <c r="H555" s="559"/>
      <c r="I555" s="559"/>
      <c r="J555" s="559"/>
      <c r="K555" s="559"/>
      <c r="L555" s="559"/>
      <c r="M555" s="559"/>
      <c r="N555" s="559"/>
      <c r="O555" s="559"/>
      <c r="P555" s="559"/>
      <c r="Q555" s="559"/>
      <c r="R555" s="559"/>
      <c r="S555" s="559"/>
      <c r="T555" s="559"/>
      <c r="U555" s="559"/>
      <c r="V555" s="559"/>
      <c r="W555" s="559"/>
      <c r="X555" s="559"/>
      <c r="Y555" s="559"/>
      <c r="Z555" s="559"/>
      <c r="AA555" s="559"/>
      <c r="AB555" s="559"/>
      <c r="AC555" s="559"/>
      <c r="AD555" s="559"/>
      <c r="AE555" s="559"/>
      <c r="AF555" s="559"/>
      <c r="AG555" s="559"/>
    </row>
    <row r="556" spans="1:33" ht="18" customHeight="1" x14ac:dyDescent="0.35">
      <c r="A556" s="559"/>
      <c r="B556" s="559"/>
      <c r="C556" s="559"/>
      <c r="D556" s="559"/>
      <c r="E556" s="559"/>
      <c r="F556" s="559"/>
      <c r="G556" s="559"/>
      <c r="H556" s="559"/>
      <c r="I556" s="559"/>
      <c r="J556" s="559"/>
      <c r="K556" s="559"/>
      <c r="L556" s="559"/>
      <c r="M556" s="559"/>
      <c r="N556" s="559"/>
      <c r="O556" s="559"/>
      <c r="P556" s="559"/>
      <c r="Q556" s="559"/>
      <c r="R556" s="559"/>
      <c r="S556" s="559"/>
      <c r="T556" s="559"/>
      <c r="U556" s="559"/>
      <c r="V556" s="559"/>
      <c r="W556" s="559"/>
      <c r="X556" s="559"/>
      <c r="Y556" s="559"/>
      <c r="Z556" s="559"/>
      <c r="AA556" s="559"/>
      <c r="AB556" s="559"/>
      <c r="AC556" s="559"/>
      <c r="AD556" s="559"/>
      <c r="AE556" s="559"/>
      <c r="AF556" s="559"/>
      <c r="AG556" s="559"/>
    </row>
    <row r="557" spans="1:33" ht="18" customHeight="1" x14ac:dyDescent="0.35">
      <c r="A557" s="559"/>
      <c r="B557" s="559"/>
      <c r="C557" s="559"/>
      <c r="D557" s="559"/>
      <c r="E557" s="559"/>
      <c r="F557" s="559"/>
      <c r="G557" s="559"/>
      <c r="H557" s="559"/>
      <c r="I557" s="559"/>
      <c r="J557" s="559"/>
      <c r="K557" s="559"/>
      <c r="L557" s="559"/>
      <c r="M557" s="559"/>
      <c r="N557" s="559"/>
      <c r="O557" s="559"/>
      <c r="P557" s="559"/>
      <c r="Q557" s="559"/>
      <c r="R557" s="559"/>
      <c r="S557" s="559"/>
      <c r="T557" s="559"/>
      <c r="U557" s="559"/>
      <c r="V557" s="559"/>
      <c r="W557" s="559"/>
      <c r="X557" s="559"/>
      <c r="Y557" s="559"/>
      <c r="Z557" s="559"/>
      <c r="AA557" s="559"/>
      <c r="AB557" s="559"/>
      <c r="AC557" s="559"/>
      <c r="AD557" s="559"/>
      <c r="AE557" s="559"/>
      <c r="AF557" s="559"/>
      <c r="AG557" s="559"/>
    </row>
    <row r="558" spans="1:33" ht="18" customHeight="1" x14ac:dyDescent="0.35">
      <c r="A558" s="559"/>
      <c r="B558" s="559"/>
      <c r="C558" s="559"/>
      <c r="D558" s="559"/>
      <c r="E558" s="559"/>
      <c r="F558" s="559"/>
      <c r="G558" s="559"/>
      <c r="H558" s="559"/>
      <c r="I558" s="559"/>
      <c r="J558" s="559"/>
      <c r="K558" s="559"/>
      <c r="L558" s="559"/>
      <c r="M558" s="559"/>
      <c r="N558" s="559"/>
      <c r="O558" s="559"/>
      <c r="P558" s="559"/>
      <c r="Q558" s="559"/>
      <c r="R558" s="559"/>
      <c r="S558" s="559"/>
      <c r="T558" s="559"/>
      <c r="U558" s="559"/>
      <c r="V558" s="559"/>
      <c r="W558" s="559"/>
      <c r="X558" s="559"/>
      <c r="Y558" s="559"/>
      <c r="Z558" s="559"/>
      <c r="AA558" s="559"/>
      <c r="AB558" s="559"/>
      <c r="AC558" s="559"/>
      <c r="AD558" s="559"/>
      <c r="AE558" s="559"/>
      <c r="AF558" s="559"/>
      <c r="AG558" s="559"/>
    </row>
    <row r="559" spans="1:33" ht="18" customHeight="1" x14ac:dyDescent="0.35">
      <c r="A559" s="559"/>
      <c r="B559" s="559"/>
      <c r="C559" s="559"/>
      <c r="D559" s="559"/>
      <c r="E559" s="559"/>
      <c r="F559" s="559"/>
      <c r="G559" s="559"/>
      <c r="H559" s="559"/>
      <c r="I559" s="559"/>
      <c r="J559" s="559"/>
      <c r="K559" s="559"/>
      <c r="L559" s="559"/>
      <c r="M559" s="559"/>
      <c r="N559" s="559"/>
      <c r="O559" s="559"/>
      <c r="P559" s="559"/>
      <c r="Q559" s="559"/>
      <c r="R559" s="559"/>
      <c r="S559" s="559"/>
      <c r="T559" s="559"/>
      <c r="U559" s="559"/>
      <c r="V559" s="559"/>
      <c r="W559" s="559"/>
      <c r="X559" s="559"/>
      <c r="Y559" s="559"/>
      <c r="Z559" s="559"/>
      <c r="AA559" s="559"/>
      <c r="AB559" s="559"/>
      <c r="AC559" s="559"/>
      <c r="AD559" s="559"/>
      <c r="AE559" s="559"/>
      <c r="AF559" s="559"/>
      <c r="AG559" s="559"/>
    </row>
    <row r="560" spans="1:33" ht="18" customHeight="1" x14ac:dyDescent="0.35">
      <c r="A560" s="559"/>
      <c r="B560" s="559"/>
      <c r="C560" s="559"/>
      <c r="D560" s="559"/>
      <c r="E560" s="559"/>
      <c r="F560" s="559"/>
      <c r="G560" s="559"/>
      <c r="H560" s="559"/>
      <c r="I560" s="559"/>
      <c r="J560" s="559"/>
      <c r="K560" s="559"/>
      <c r="L560" s="559"/>
      <c r="M560" s="559"/>
      <c r="N560" s="559"/>
      <c r="O560" s="559"/>
      <c r="P560" s="559"/>
      <c r="Q560" s="559"/>
      <c r="R560" s="559"/>
      <c r="S560" s="559"/>
      <c r="T560" s="559"/>
      <c r="U560" s="559"/>
      <c r="V560" s="559"/>
      <c r="W560" s="559"/>
      <c r="X560" s="559"/>
      <c r="Y560" s="559"/>
      <c r="Z560" s="559"/>
      <c r="AA560" s="559"/>
      <c r="AB560" s="559"/>
      <c r="AC560" s="559"/>
      <c r="AD560" s="559"/>
      <c r="AE560" s="559"/>
      <c r="AF560" s="559"/>
      <c r="AG560" s="559"/>
    </row>
    <row r="561" spans="1:33" ht="18" customHeight="1" x14ac:dyDescent="0.35">
      <c r="A561" s="559"/>
      <c r="B561" s="559"/>
      <c r="C561" s="559"/>
      <c r="D561" s="559"/>
      <c r="E561" s="559"/>
      <c r="F561" s="559"/>
      <c r="G561" s="559"/>
      <c r="H561" s="559"/>
      <c r="I561" s="559"/>
      <c r="J561" s="559"/>
      <c r="K561" s="559"/>
      <c r="L561" s="559"/>
      <c r="M561" s="559"/>
      <c r="N561" s="559"/>
      <c r="O561" s="559"/>
      <c r="P561" s="559"/>
      <c r="Q561" s="559"/>
      <c r="R561" s="559"/>
      <c r="S561" s="559"/>
      <c r="T561" s="559"/>
      <c r="U561" s="559"/>
      <c r="V561" s="559"/>
      <c r="W561" s="559"/>
      <c r="X561" s="559"/>
      <c r="Y561" s="559"/>
      <c r="Z561" s="559"/>
      <c r="AA561" s="559"/>
      <c r="AB561" s="559"/>
      <c r="AC561" s="559"/>
      <c r="AD561" s="559"/>
      <c r="AE561" s="559"/>
      <c r="AF561" s="559"/>
      <c r="AG561" s="559"/>
    </row>
    <row r="562" spans="1:33" ht="18" customHeight="1" x14ac:dyDescent="0.35">
      <c r="A562" s="559"/>
      <c r="B562" s="559"/>
      <c r="C562" s="559"/>
      <c r="D562" s="559"/>
      <c r="E562" s="559"/>
      <c r="F562" s="559"/>
      <c r="G562" s="559"/>
      <c r="H562" s="559"/>
      <c r="I562" s="559"/>
      <c r="J562" s="559"/>
      <c r="K562" s="559"/>
      <c r="L562" s="559"/>
      <c r="M562" s="559"/>
      <c r="N562" s="559"/>
      <c r="O562" s="559"/>
      <c r="P562" s="559"/>
      <c r="Q562" s="559"/>
      <c r="R562" s="559"/>
      <c r="S562" s="559"/>
      <c r="T562" s="559"/>
      <c r="U562" s="559"/>
      <c r="V562" s="559"/>
      <c r="W562" s="559"/>
      <c r="X562" s="559"/>
      <c r="Y562" s="559"/>
      <c r="Z562" s="559"/>
      <c r="AA562" s="559"/>
      <c r="AB562" s="559"/>
      <c r="AC562" s="559"/>
      <c r="AD562" s="559"/>
      <c r="AE562" s="559"/>
      <c r="AF562" s="559"/>
      <c r="AG562" s="559"/>
    </row>
    <row r="563" spans="1:33" ht="18" customHeight="1" x14ac:dyDescent="0.35">
      <c r="A563" s="559"/>
      <c r="B563" s="559"/>
      <c r="C563" s="559"/>
      <c r="D563" s="559"/>
      <c r="E563" s="559"/>
      <c r="F563" s="559"/>
      <c r="G563" s="559"/>
      <c r="H563" s="559"/>
      <c r="I563" s="559"/>
      <c r="J563" s="559"/>
      <c r="K563" s="559"/>
      <c r="L563" s="559"/>
      <c r="M563" s="559"/>
      <c r="N563" s="559"/>
      <c r="O563" s="559"/>
      <c r="P563" s="559"/>
      <c r="Q563" s="559"/>
      <c r="R563" s="559"/>
      <c r="S563" s="559"/>
      <c r="T563" s="559"/>
      <c r="U563" s="559"/>
      <c r="V563" s="559"/>
      <c r="W563" s="559"/>
      <c r="X563" s="559"/>
      <c r="Y563" s="559"/>
      <c r="Z563" s="559"/>
      <c r="AA563" s="559"/>
      <c r="AB563" s="559"/>
      <c r="AC563" s="559"/>
      <c r="AD563" s="559"/>
      <c r="AE563" s="559"/>
      <c r="AF563" s="559"/>
      <c r="AG563" s="559"/>
    </row>
    <row r="564" spans="1:33" ht="18" customHeight="1" x14ac:dyDescent="0.35">
      <c r="A564" s="559"/>
      <c r="B564" s="559"/>
      <c r="C564" s="559"/>
      <c r="D564" s="559"/>
      <c r="E564" s="559"/>
      <c r="F564" s="559"/>
      <c r="G564" s="559"/>
      <c r="H564" s="559"/>
      <c r="I564" s="559"/>
      <c r="J564" s="559"/>
      <c r="K564" s="559"/>
      <c r="L564" s="559"/>
      <c r="M564" s="559"/>
      <c r="N564" s="559"/>
      <c r="O564" s="559"/>
      <c r="P564" s="559"/>
      <c r="Q564" s="559"/>
      <c r="R564" s="559"/>
      <c r="S564" s="559"/>
      <c r="T564" s="559"/>
      <c r="U564" s="559"/>
      <c r="V564" s="559"/>
      <c r="W564" s="559"/>
      <c r="X564" s="559"/>
      <c r="Y564" s="559"/>
      <c r="Z564" s="559"/>
      <c r="AA564" s="559"/>
      <c r="AB564" s="559"/>
      <c r="AC564" s="559"/>
      <c r="AD564" s="559"/>
      <c r="AE564" s="559"/>
      <c r="AF564" s="559"/>
      <c r="AG564" s="559"/>
    </row>
    <row r="565" spans="1:33" ht="18" customHeight="1" x14ac:dyDescent="0.35">
      <c r="A565" s="559"/>
      <c r="B565" s="559"/>
      <c r="C565" s="559"/>
      <c r="D565" s="559"/>
      <c r="E565" s="559"/>
      <c r="F565" s="559"/>
      <c r="G565" s="559"/>
      <c r="H565" s="559"/>
      <c r="I565" s="559"/>
      <c r="J565" s="559"/>
      <c r="K565" s="559"/>
      <c r="L565" s="559"/>
      <c r="M565" s="559"/>
      <c r="N565" s="559"/>
      <c r="O565" s="559"/>
      <c r="P565" s="559"/>
      <c r="Q565" s="559"/>
      <c r="R565" s="559"/>
      <c r="S565" s="559"/>
      <c r="T565" s="559"/>
      <c r="U565" s="559"/>
      <c r="V565" s="559"/>
      <c r="W565" s="559"/>
      <c r="X565" s="559"/>
      <c r="Y565" s="559"/>
      <c r="Z565" s="559"/>
      <c r="AA565" s="559"/>
      <c r="AB565" s="559"/>
      <c r="AC565" s="559"/>
      <c r="AD565" s="559"/>
      <c r="AE565" s="559"/>
      <c r="AF565" s="559"/>
      <c r="AG565" s="559"/>
    </row>
    <row r="566" spans="1:33" ht="18" customHeight="1" x14ac:dyDescent="0.35">
      <c r="A566" s="559"/>
      <c r="B566" s="559"/>
      <c r="C566" s="559"/>
      <c r="D566" s="559"/>
      <c r="E566" s="559"/>
      <c r="F566" s="559"/>
      <c r="G566" s="559"/>
      <c r="H566" s="559"/>
      <c r="I566" s="559"/>
      <c r="J566" s="559"/>
      <c r="K566" s="559"/>
      <c r="L566" s="559"/>
      <c r="M566" s="559"/>
      <c r="N566" s="559"/>
      <c r="O566" s="559"/>
      <c r="P566" s="559"/>
      <c r="Q566" s="559"/>
      <c r="R566" s="559"/>
      <c r="S566" s="559"/>
      <c r="T566" s="559"/>
      <c r="U566" s="559"/>
      <c r="V566" s="559"/>
      <c r="W566" s="559"/>
      <c r="X566" s="559"/>
      <c r="Y566" s="559"/>
      <c r="Z566" s="559"/>
      <c r="AA566" s="559"/>
      <c r="AB566" s="559"/>
      <c r="AC566" s="559"/>
      <c r="AD566" s="559"/>
      <c r="AE566" s="559"/>
      <c r="AF566" s="559"/>
      <c r="AG566" s="559"/>
    </row>
    <row r="567" spans="1:33" ht="18" customHeight="1" x14ac:dyDescent="0.35">
      <c r="A567" s="559"/>
      <c r="B567" s="559"/>
      <c r="C567" s="559"/>
      <c r="D567" s="559"/>
      <c r="E567" s="559"/>
      <c r="F567" s="559"/>
      <c r="G567" s="559"/>
      <c r="H567" s="559"/>
      <c r="I567" s="559"/>
      <c r="J567" s="559"/>
      <c r="K567" s="559"/>
      <c r="L567" s="559"/>
      <c r="M567" s="559"/>
      <c r="N567" s="559"/>
      <c r="O567" s="559"/>
      <c r="P567" s="559"/>
      <c r="Q567" s="559"/>
      <c r="R567" s="559"/>
      <c r="S567" s="559"/>
      <c r="T567" s="559"/>
      <c r="U567" s="559"/>
      <c r="V567" s="559"/>
      <c r="W567" s="559"/>
      <c r="X567" s="559"/>
      <c r="Y567" s="559"/>
      <c r="Z567" s="559"/>
      <c r="AA567" s="559"/>
      <c r="AB567" s="559"/>
      <c r="AC567" s="559"/>
      <c r="AD567" s="559"/>
      <c r="AE567" s="559"/>
      <c r="AF567" s="559"/>
      <c r="AG567" s="559"/>
    </row>
    <row r="568" spans="1:33" ht="18" customHeight="1" x14ac:dyDescent="0.35">
      <c r="A568" s="559"/>
      <c r="B568" s="559"/>
      <c r="C568" s="559"/>
      <c r="D568" s="559"/>
      <c r="E568" s="559"/>
      <c r="F568" s="559"/>
      <c r="G568" s="559"/>
      <c r="H568" s="559"/>
      <c r="I568" s="559"/>
      <c r="J568" s="559"/>
      <c r="K568" s="559"/>
      <c r="L568" s="559"/>
      <c r="M568" s="559"/>
      <c r="N568" s="559"/>
      <c r="O568" s="559"/>
      <c r="P568" s="559"/>
      <c r="Q568" s="559"/>
      <c r="R568" s="559"/>
      <c r="S568" s="559"/>
      <c r="T568" s="559"/>
      <c r="U568" s="559"/>
      <c r="V568" s="559"/>
      <c r="W568" s="559"/>
      <c r="X568" s="559"/>
      <c r="Y568" s="559"/>
      <c r="Z568" s="559"/>
      <c r="AA568" s="559"/>
      <c r="AB568" s="559"/>
      <c r="AC568" s="559"/>
      <c r="AD568" s="559"/>
      <c r="AE568" s="559"/>
      <c r="AF568" s="559"/>
      <c r="AG568" s="559"/>
    </row>
    <row r="569" spans="1:33" ht="18" customHeight="1" x14ac:dyDescent="0.35">
      <c r="A569" s="559"/>
      <c r="B569" s="559"/>
      <c r="C569" s="559"/>
      <c r="D569" s="559"/>
      <c r="E569" s="559"/>
      <c r="F569" s="559"/>
      <c r="G569" s="559"/>
      <c r="H569" s="559"/>
      <c r="I569" s="559"/>
      <c r="J569" s="559"/>
      <c r="K569" s="559"/>
      <c r="L569" s="559"/>
      <c r="M569" s="559"/>
      <c r="N569" s="559"/>
      <c r="O569" s="559"/>
      <c r="P569" s="559"/>
      <c r="Q569" s="559"/>
      <c r="R569" s="559"/>
      <c r="S569" s="559"/>
      <c r="T569" s="559"/>
      <c r="U569" s="559"/>
      <c r="V569" s="559"/>
      <c r="W569" s="559"/>
      <c r="X569" s="559"/>
      <c r="Y569" s="559"/>
      <c r="Z569" s="559"/>
      <c r="AA569" s="559"/>
      <c r="AB569" s="559"/>
      <c r="AC569" s="559"/>
      <c r="AD569" s="559"/>
      <c r="AE569" s="559"/>
      <c r="AF569" s="559"/>
      <c r="AG569" s="559"/>
    </row>
    <row r="570" spans="1:33" ht="18" customHeight="1" x14ac:dyDescent="0.35">
      <c r="A570" s="559"/>
      <c r="B570" s="559"/>
      <c r="C570" s="559"/>
      <c r="D570" s="559"/>
      <c r="E570" s="559"/>
      <c r="F570" s="559"/>
      <c r="G570" s="559"/>
      <c r="H570" s="559"/>
      <c r="I570" s="559"/>
      <c r="J570" s="559"/>
      <c r="K570" s="559"/>
      <c r="L570" s="559"/>
      <c r="M570" s="559"/>
      <c r="N570" s="559"/>
      <c r="O570" s="559"/>
      <c r="P570" s="559"/>
      <c r="Q570" s="559"/>
      <c r="R570" s="559"/>
      <c r="S570" s="559"/>
      <c r="T570" s="559"/>
      <c r="U570" s="559"/>
      <c r="V570" s="559"/>
      <c r="W570" s="559"/>
      <c r="X570" s="559"/>
      <c r="Y570" s="559"/>
      <c r="Z570" s="559"/>
      <c r="AA570" s="559"/>
      <c r="AB570" s="559"/>
      <c r="AC570" s="559"/>
      <c r="AD570" s="559"/>
      <c r="AE570" s="559"/>
      <c r="AF570" s="559"/>
      <c r="AG570" s="559"/>
    </row>
    <row r="571" spans="1:33" ht="18" customHeight="1" x14ac:dyDescent="0.35">
      <c r="A571" s="559"/>
      <c r="B571" s="559"/>
      <c r="C571" s="559"/>
      <c r="D571" s="559"/>
      <c r="E571" s="559"/>
      <c r="F571" s="559"/>
      <c r="G571" s="559"/>
      <c r="H571" s="559"/>
      <c r="I571" s="559"/>
      <c r="J571" s="559"/>
      <c r="K571" s="559"/>
      <c r="L571" s="559"/>
      <c r="M571" s="559"/>
      <c r="N571" s="559"/>
      <c r="O571" s="559"/>
      <c r="P571" s="559"/>
      <c r="Q571" s="559"/>
      <c r="R571" s="559"/>
      <c r="S571" s="559"/>
      <c r="T571" s="559"/>
      <c r="U571" s="559"/>
      <c r="V571" s="559"/>
      <c r="W571" s="559"/>
      <c r="X571" s="559"/>
      <c r="Y571" s="559"/>
      <c r="Z571" s="559"/>
      <c r="AA571" s="559"/>
      <c r="AB571" s="559"/>
      <c r="AC571" s="559"/>
      <c r="AD571" s="559"/>
      <c r="AE571" s="559"/>
      <c r="AF571" s="559"/>
      <c r="AG571" s="559"/>
    </row>
    <row r="572" spans="1:33" ht="18" customHeight="1" x14ac:dyDescent="0.35">
      <c r="A572" s="559"/>
      <c r="B572" s="559"/>
      <c r="C572" s="559"/>
      <c r="D572" s="559"/>
      <c r="E572" s="559"/>
      <c r="F572" s="559"/>
      <c r="G572" s="559"/>
      <c r="H572" s="559"/>
      <c r="I572" s="559"/>
      <c r="J572" s="559"/>
      <c r="K572" s="559"/>
      <c r="L572" s="559"/>
      <c r="M572" s="559"/>
      <c r="N572" s="559"/>
      <c r="O572" s="559"/>
      <c r="P572" s="559"/>
      <c r="Q572" s="559"/>
      <c r="R572" s="559"/>
      <c r="S572" s="559"/>
      <c r="T572" s="559"/>
      <c r="U572" s="559"/>
      <c r="V572" s="559"/>
      <c r="W572" s="559"/>
      <c r="X572" s="559"/>
      <c r="Y572" s="559"/>
      <c r="Z572" s="559"/>
      <c r="AA572" s="559"/>
      <c r="AB572" s="559"/>
      <c r="AC572" s="559"/>
      <c r="AD572" s="559"/>
      <c r="AE572" s="559"/>
      <c r="AF572" s="559"/>
      <c r="AG572" s="559"/>
    </row>
    <row r="573" spans="1:33" ht="18" customHeight="1" x14ac:dyDescent="0.35">
      <c r="A573" s="559"/>
      <c r="B573" s="559"/>
      <c r="C573" s="559"/>
      <c r="D573" s="559"/>
      <c r="E573" s="559"/>
      <c r="F573" s="559"/>
      <c r="G573" s="559"/>
      <c r="H573" s="559"/>
      <c r="I573" s="559"/>
      <c r="J573" s="559"/>
      <c r="K573" s="559"/>
      <c r="L573" s="559"/>
      <c r="M573" s="559"/>
      <c r="N573" s="559"/>
      <c r="O573" s="559"/>
      <c r="P573" s="559"/>
      <c r="Q573" s="559"/>
      <c r="R573" s="559"/>
      <c r="S573" s="559"/>
      <c r="T573" s="559"/>
      <c r="U573" s="559"/>
      <c r="V573" s="559"/>
      <c r="W573" s="559"/>
      <c r="X573" s="559"/>
      <c r="Y573" s="559"/>
      <c r="Z573" s="559"/>
      <c r="AA573" s="559"/>
      <c r="AB573" s="559"/>
      <c r="AC573" s="559"/>
      <c r="AD573" s="559"/>
      <c r="AE573" s="559"/>
      <c r="AF573" s="559"/>
      <c r="AG573" s="559"/>
    </row>
    <row r="574" spans="1:33" ht="18" customHeight="1" x14ac:dyDescent="0.35">
      <c r="A574" s="559"/>
      <c r="B574" s="559"/>
      <c r="C574" s="559"/>
      <c r="D574" s="559"/>
      <c r="E574" s="559"/>
      <c r="F574" s="559"/>
      <c r="G574" s="559"/>
      <c r="H574" s="559"/>
      <c r="I574" s="559"/>
      <c r="J574" s="559"/>
      <c r="K574" s="559"/>
      <c r="L574" s="559"/>
      <c r="M574" s="559"/>
      <c r="N574" s="559"/>
      <c r="O574" s="559"/>
      <c r="P574" s="559"/>
      <c r="Q574" s="559"/>
      <c r="R574" s="559"/>
      <c r="S574" s="559"/>
      <c r="T574" s="559"/>
      <c r="U574" s="559"/>
      <c r="V574" s="559"/>
      <c r="W574" s="559"/>
      <c r="X574" s="559"/>
      <c r="Y574" s="559"/>
      <c r="Z574" s="559"/>
      <c r="AA574" s="559"/>
      <c r="AB574" s="559"/>
      <c r="AC574" s="559"/>
      <c r="AD574" s="559"/>
      <c r="AE574" s="559"/>
      <c r="AF574" s="559"/>
      <c r="AG574" s="559"/>
    </row>
    <row r="575" spans="1:33" ht="18" customHeight="1" x14ac:dyDescent="0.35">
      <c r="A575" s="559"/>
      <c r="B575" s="559"/>
      <c r="C575" s="559"/>
      <c r="D575" s="559"/>
      <c r="E575" s="559"/>
      <c r="F575" s="559"/>
      <c r="G575" s="559"/>
      <c r="H575" s="559"/>
      <c r="I575" s="559"/>
      <c r="J575" s="559"/>
      <c r="K575" s="559"/>
      <c r="L575" s="559"/>
      <c r="M575" s="559"/>
      <c r="N575" s="559"/>
      <c r="O575" s="559"/>
      <c r="P575" s="559"/>
      <c r="Q575" s="559"/>
      <c r="R575" s="559"/>
      <c r="S575" s="559"/>
      <c r="T575" s="559"/>
      <c r="U575" s="559"/>
      <c r="V575" s="559"/>
      <c r="W575" s="559"/>
      <c r="X575" s="559"/>
      <c r="Y575" s="559"/>
      <c r="Z575" s="559"/>
      <c r="AA575" s="559"/>
      <c r="AB575" s="559"/>
      <c r="AC575" s="559"/>
      <c r="AD575" s="559"/>
      <c r="AE575" s="559"/>
      <c r="AF575" s="559"/>
      <c r="AG575" s="559"/>
    </row>
    <row r="576" spans="1:33" ht="18" customHeight="1" x14ac:dyDescent="0.35">
      <c r="A576" s="559"/>
      <c r="B576" s="559"/>
      <c r="C576" s="559"/>
      <c r="D576" s="559"/>
      <c r="E576" s="559"/>
      <c r="F576" s="559"/>
      <c r="G576" s="559"/>
      <c r="H576" s="559"/>
      <c r="I576" s="559"/>
      <c r="J576" s="559"/>
      <c r="K576" s="559"/>
      <c r="L576" s="559"/>
      <c r="M576" s="559"/>
      <c r="N576" s="559"/>
      <c r="O576" s="559"/>
      <c r="P576" s="559"/>
      <c r="Q576" s="559"/>
      <c r="R576" s="559"/>
      <c r="S576" s="559"/>
      <c r="T576" s="559"/>
      <c r="U576" s="559"/>
      <c r="V576" s="559"/>
      <c r="W576" s="559"/>
      <c r="X576" s="559"/>
      <c r="Y576" s="559"/>
      <c r="Z576" s="559"/>
      <c r="AA576" s="559"/>
      <c r="AB576" s="559"/>
      <c r="AC576" s="559"/>
      <c r="AD576" s="559"/>
      <c r="AE576" s="559"/>
      <c r="AF576" s="559"/>
      <c r="AG576" s="559"/>
    </row>
    <row r="577" spans="1:33" ht="18" customHeight="1" x14ac:dyDescent="0.35">
      <c r="A577" s="559"/>
      <c r="B577" s="559"/>
      <c r="C577" s="559"/>
      <c r="D577" s="559"/>
      <c r="E577" s="559"/>
      <c r="F577" s="559"/>
      <c r="G577" s="559"/>
      <c r="H577" s="559"/>
      <c r="I577" s="559"/>
      <c r="J577" s="559"/>
      <c r="K577" s="559"/>
      <c r="L577" s="559"/>
      <c r="M577" s="559"/>
      <c r="N577" s="559"/>
      <c r="O577" s="559"/>
      <c r="P577" s="559"/>
      <c r="Q577" s="559"/>
      <c r="R577" s="559"/>
      <c r="S577" s="559"/>
      <c r="T577" s="559"/>
      <c r="U577" s="559"/>
      <c r="V577" s="559"/>
      <c r="W577" s="559"/>
      <c r="X577" s="559"/>
      <c r="Y577" s="559"/>
      <c r="Z577" s="559"/>
      <c r="AA577" s="559"/>
      <c r="AB577" s="559"/>
      <c r="AC577" s="559"/>
      <c r="AD577" s="559"/>
      <c r="AE577" s="559"/>
      <c r="AF577" s="559"/>
      <c r="AG577" s="559"/>
    </row>
    <row r="578" spans="1:33" ht="18" customHeight="1" x14ac:dyDescent="0.35">
      <c r="A578" s="559"/>
      <c r="B578" s="559"/>
      <c r="C578" s="559"/>
      <c r="D578" s="559"/>
      <c r="E578" s="559"/>
      <c r="F578" s="559"/>
      <c r="G578" s="559"/>
      <c r="H578" s="559"/>
      <c r="I578" s="559"/>
      <c r="J578" s="559"/>
      <c r="K578" s="559"/>
      <c r="L578" s="559"/>
      <c r="M578" s="559"/>
      <c r="N578" s="559"/>
      <c r="O578" s="559"/>
      <c r="P578" s="559"/>
      <c r="Q578" s="559"/>
      <c r="R578" s="559"/>
      <c r="S578" s="559"/>
      <c r="T578" s="559"/>
      <c r="U578" s="559"/>
      <c r="V578" s="559"/>
      <c r="W578" s="559"/>
      <c r="X578" s="559"/>
      <c r="Y578" s="559"/>
      <c r="Z578" s="559"/>
      <c r="AA578" s="559"/>
      <c r="AB578" s="559"/>
      <c r="AC578" s="559"/>
      <c r="AD578" s="559"/>
      <c r="AE578" s="559"/>
      <c r="AF578" s="559"/>
      <c r="AG578" s="559"/>
    </row>
    <row r="579" spans="1:33" ht="18" customHeight="1" x14ac:dyDescent="0.35">
      <c r="A579" s="559"/>
      <c r="B579" s="559"/>
      <c r="C579" s="559"/>
      <c r="D579" s="559"/>
      <c r="E579" s="559"/>
      <c r="F579" s="559"/>
      <c r="G579" s="559"/>
      <c r="H579" s="559"/>
      <c r="I579" s="559"/>
      <c r="J579" s="559"/>
      <c r="K579" s="559"/>
      <c r="L579" s="559"/>
      <c r="M579" s="559"/>
      <c r="N579" s="559"/>
      <c r="O579" s="559"/>
      <c r="P579" s="559"/>
      <c r="Q579" s="559"/>
      <c r="R579" s="559"/>
      <c r="S579" s="559"/>
      <c r="T579" s="559"/>
      <c r="U579" s="559"/>
      <c r="V579" s="559"/>
      <c r="W579" s="559"/>
      <c r="X579" s="559"/>
      <c r="Y579" s="559"/>
      <c r="Z579" s="559"/>
      <c r="AA579" s="559"/>
      <c r="AB579" s="559"/>
      <c r="AC579" s="559"/>
      <c r="AD579" s="559"/>
      <c r="AE579" s="559"/>
      <c r="AF579" s="559"/>
      <c r="AG579" s="559"/>
    </row>
    <row r="580" spans="1:33" ht="18" customHeight="1" x14ac:dyDescent="0.35">
      <c r="A580" s="559"/>
      <c r="B580" s="559"/>
      <c r="C580" s="559"/>
      <c r="D580" s="559"/>
      <c r="E580" s="559"/>
      <c r="F580" s="559"/>
      <c r="G580" s="559"/>
      <c r="H580" s="559"/>
      <c r="I580" s="559"/>
      <c r="J580" s="559"/>
      <c r="K580" s="559"/>
      <c r="L580" s="559"/>
      <c r="M580" s="559"/>
      <c r="N580" s="559"/>
      <c r="O580" s="559"/>
      <c r="P580" s="559"/>
      <c r="Q580" s="559"/>
      <c r="R580" s="559"/>
      <c r="S580" s="559"/>
      <c r="T580" s="559"/>
      <c r="U580" s="559"/>
      <c r="V580" s="559"/>
      <c r="W580" s="559"/>
      <c r="X580" s="559"/>
      <c r="Y580" s="559"/>
      <c r="Z580" s="559"/>
      <c r="AA580" s="559"/>
      <c r="AB580" s="559"/>
      <c r="AC580" s="559"/>
      <c r="AD580" s="559"/>
      <c r="AE580" s="559"/>
      <c r="AF580" s="559"/>
      <c r="AG580" s="559"/>
    </row>
    <row r="581" spans="1:33" ht="18" customHeight="1" x14ac:dyDescent="0.35">
      <c r="A581" s="559"/>
      <c r="B581" s="559"/>
      <c r="C581" s="559"/>
      <c r="D581" s="559"/>
      <c r="E581" s="559"/>
      <c r="F581" s="559"/>
      <c r="G581" s="559"/>
      <c r="H581" s="559"/>
      <c r="I581" s="559"/>
      <c r="J581" s="559"/>
      <c r="K581" s="559"/>
      <c r="L581" s="559"/>
      <c r="M581" s="559"/>
      <c r="N581" s="559"/>
      <c r="O581" s="559"/>
      <c r="P581" s="559"/>
      <c r="Q581" s="559"/>
      <c r="R581" s="559"/>
      <c r="S581" s="559"/>
      <c r="T581" s="559"/>
      <c r="U581" s="559"/>
      <c r="V581" s="559"/>
      <c r="W581" s="559"/>
      <c r="X581" s="559"/>
      <c r="Y581" s="559"/>
      <c r="Z581" s="559"/>
      <c r="AA581" s="559"/>
      <c r="AB581" s="559"/>
      <c r="AC581" s="559"/>
      <c r="AD581" s="559"/>
      <c r="AE581" s="559"/>
      <c r="AF581" s="559"/>
      <c r="AG581" s="559"/>
    </row>
    <row r="582" spans="1:33" ht="18" customHeight="1" x14ac:dyDescent="0.35">
      <c r="A582" s="559"/>
      <c r="B582" s="559"/>
      <c r="C582" s="559"/>
      <c r="D582" s="559"/>
      <c r="E582" s="559"/>
      <c r="F582" s="559"/>
      <c r="G582" s="559"/>
      <c r="H582" s="559"/>
      <c r="I582" s="559"/>
      <c r="J582" s="559"/>
      <c r="K582" s="559"/>
      <c r="L582" s="559"/>
      <c r="M582" s="559"/>
      <c r="N582" s="559"/>
      <c r="O582" s="559"/>
      <c r="P582" s="559"/>
      <c r="Q582" s="559"/>
      <c r="R582" s="559"/>
      <c r="S582" s="559"/>
      <c r="T582" s="559"/>
      <c r="U582" s="559"/>
      <c r="V582" s="559"/>
      <c r="W582" s="559"/>
      <c r="X582" s="559"/>
      <c r="Y582" s="559"/>
      <c r="Z582" s="559"/>
      <c r="AA582" s="559"/>
      <c r="AB582" s="559"/>
      <c r="AC582" s="559"/>
      <c r="AD582" s="559"/>
      <c r="AE582" s="559"/>
      <c r="AF582" s="559"/>
      <c r="AG582" s="559"/>
    </row>
    <row r="583" spans="1:33" ht="18" customHeight="1" x14ac:dyDescent="0.35">
      <c r="A583" s="559"/>
      <c r="B583" s="559"/>
      <c r="C583" s="559"/>
      <c r="D583" s="559"/>
      <c r="E583" s="559"/>
      <c r="F583" s="559"/>
      <c r="G583" s="559"/>
      <c r="H583" s="559"/>
      <c r="I583" s="559"/>
      <c r="J583" s="559"/>
      <c r="K583" s="559"/>
      <c r="L583" s="559"/>
      <c r="M583" s="559"/>
      <c r="N583" s="559"/>
      <c r="O583" s="559"/>
      <c r="P583" s="559"/>
      <c r="Q583" s="559"/>
      <c r="R583" s="559"/>
      <c r="S583" s="559"/>
      <c r="T583" s="559"/>
      <c r="U583" s="559"/>
      <c r="V583" s="559"/>
      <c r="W583" s="559"/>
      <c r="X583" s="559"/>
      <c r="Y583" s="559"/>
      <c r="Z583" s="559"/>
      <c r="AA583" s="559"/>
      <c r="AB583" s="559"/>
      <c r="AC583" s="559"/>
      <c r="AD583" s="559"/>
      <c r="AE583" s="559"/>
      <c r="AF583" s="559"/>
      <c r="AG583" s="559"/>
    </row>
    <row r="584" spans="1:33" ht="18" customHeight="1" x14ac:dyDescent="0.35">
      <c r="A584" s="559"/>
      <c r="B584" s="559"/>
      <c r="C584" s="559"/>
      <c r="D584" s="559"/>
      <c r="E584" s="559"/>
      <c r="F584" s="559"/>
      <c r="G584" s="559"/>
      <c r="H584" s="559"/>
      <c r="I584" s="559"/>
      <c r="J584" s="559"/>
      <c r="K584" s="559"/>
      <c r="L584" s="559"/>
      <c r="M584" s="559"/>
      <c r="N584" s="559"/>
      <c r="O584" s="559"/>
      <c r="P584" s="559"/>
      <c r="Q584" s="559"/>
      <c r="R584" s="559"/>
      <c r="S584" s="559"/>
      <c r="T584" s="559"/>
      <c r="U584" s="559"/>
      <c r="V584" s="559"/>
      <c r="W584" s="559"/>
      <c r="X584" s="559"/>
      <c r="Y584" s="559"/>
      <c r="Z584" s="559"/>
      <c r="AA584" s="559"/>
      <c r="AB584" s="559"/>
      <c r="AC584" s="559"/>
      <c r="AD584" s="559"/>
      <c r="AE584" s="559"/>
      <c r="AF584" s="559"/>
      <c r="AG584" s="559"/>
    </row>
    <row r="585" spans="1:33" ht="18" customHeight="1" x14ac:dyDescent="0.35">
      <c r="A585" s="559"/>
      <c r="B585" s="559"/>
      <c r="C585" s="559"/>
      <c r="D585" s="559"/>
      <c r="E585" s="559"/>
      <c r="F585" s="559"/>
      <c r="G585" s="559"/>
      <c r="H585" s="559"/>
      <c r="I585" s="559"/>
      <c r="J585" s="559"/>
      <c r="K585" s="559"/>
      <c r="L585" s="559"/>
      <c r="M585" s="559"/>
      <c r="N585" s="559"/>
      <c r="O585" s="559"/>
      <c r="P585" s="559"/>
      <c r="Q585" s="559"/>
      <c r="R585" s="559"/>
      <c r="S585" s="559"/>
      <c r="T585" s="559"/>
      <c r="U585" s="559"/>
      <c r="V585" s="559"/>
      <c r="W585" s="559"/>
      <c r="X585" s="559"/>
      <c r="Y585" s="559"/>
      <c r="Z585" s="559"/>
      <c r="AA585" s="559"/>
      <c r="AB585" s="559"/>
      <c r="AC585" s="559"/>
      <c r="AD585" s="559"/>
      <c r="AE585" s="559"/>
      <c r="AF585" s="559"/>
      <c r="AG585" s="559"/>
    </row>
    <row r="586" spans="1:33" ht="18" customHeight="1" x14ac:dyDescent="0.35">
      <c r="A586" s="559"/>
      <c r="B586" s="559"/>
      <c r="C586" s="559"/>
      <c r="D586" s="559"/>
      <c r="E586" s="559"/>
      <c r="F586" s="559"/>
      <c r="G586" s="559"/>
      <c r="H586" s="559"/>
      <c r="I586" s="559"/>
      <c r="J586" s="559"/>
      <c r="K586" s="559"/>
      <c r="L586" s="559"/>
      <c r="M586" s="559"/>
      <c r="N586" s="559"/>
      <c r="O586" s="559"/>
      <c r="P586" s="559"/>
      <c r="Q586" s="559"/>
      <c r="R586" s="559"/>
      <c r="S586" s="559"/>
      <c r="T586" s="559"/>
      <c r="U586" s="559"/>
      <c r="V586" s="559"/>
      <c r="W586" s="559"/>
      <c r="X586" s="559"/>
      <c r="Y586" s="559"/>
      <c r="Z586" s="559"/>
      <c r="AA586" s="559"/>
      <c r="AB586" s="559"/>
      <c r="AC586" s="559"/>
      <c r="AD586" s="559"/>
      <c r="AE586" s="559"/>
      <c r="AF586" s="559"/>
      <c r="AG586" s="559"/>
    </row>
    <row r="587" spans="1:33" ht="18" customHeight="1" x14ac:dyDescent="0.35">
      <c r="A587" s="559"/>
      <c r="B587" s="559"/>
      <c r="C587" s="559"/>
      <c r="D587" s="559"/>
      <c r="E587" s="559"/>
      <c r="F587" s="559"/>
      <c r="G587" s="559"/>
      <c r="H587" s="559"/>
      <c r="I587" s="559"/>
      <c r="J587" s="559"/>
      <c r="K587" s="559"/>
      <c r="L587" s="559"/>
      <c r="M587" s="559"/>
      <c r="N587" s="559"/>
      <c r="O587" s="559"/>
      <c r="P587" s="559"/>
      <c r="Q587" s="559"/>
      <c r="R587" s="559"/>
      <c r="S587" s="559"/>
      <c r="T587" s="559"/>
      <c r="U587" s="559"/>
      <c r="V587" s="559"/>
      <c r="W587" s="559"/>
      <c r="X587" s="559"/>
      <c r="Y587" s="559"/>
      <c r="Z587" s="559"/>
      <c r="AA587" s="559"/>
      <c r="AB587" s="559"/>
      <c r="AC587" s="559"/>
      <c r="AD587" s="559"/>
      <c r="AE587" s="559"/>
      <c r="AF587" s="559"/>
      <c r="AG587" s="559"/>
    </row>
    <row r="588" spans="1:33" ht="18" customHeight="1" x14ac:dyDescent="0.35">
      <c r="A588" s="559"/>
      <c r="B588" s="559"/>
      <c r="C588" s="559"/>
      <c r="D588" s="559"/>
      <c r="E588" s="559"/>
      <c r="F588" s="559"/>
      <c r="G588" s="559"/>
      <c r="H588" s="559"/>
      <c r="I588" s="559"/>
      <c r="J588" s="559"/>
      <c r="K588" s="559"/>
      <c r="L588" s="559"/>
      <c r="M588" s="559"/>
      <c r="N588" s="559"/>
      <c r="O588" s="559"/>
      <c r="P588" s="559"/>
      <c r="Q588" s="559"/>
      <c r="R588" s="559"/>
      <c r="S588" s="559"/>
      <c r="T588" s="559"/>
      <c r="U588" s="559"/>
      <c r="V588" s="559"/>
      <c r="W588" s="559"/>
      <c r="X588" s="559"/>
      <c r="Y588" s="559"/>
      <c r="Z588" s="559"/>
      <c r="AA588" s="559"/>
      <c r="AB588" s="559"/>
      <c r="AC588" s="559"/>
      <c r="AD588" s="559"/>
      <c r="AE588" s="559"/>
      <c r="AF588" s="559"/>
      <c r="AG588" s="559"/>
    </row>
    <row r="589" spans="1:33" ht="18" customHeight="1" x14ac:dyDescent="0.35">
      <c r="A589" s="559"/>
      <c r="B589" s="559"/>
      <c r="C589" s="559"/>
      <c r="D589" s="559"/>
      <c r="E589" s="559"/>
      <c r="F589" s="559"/>
      <c r="G589" s="559"/>
      <c r="H589" s="559"/>
      <c r="I589" s="559"/>
      <c r="J589" s="559"/>
      <c r="K589" s="559"/>
      <c r="L589" s="559"/>
      <c r="M589" s="559"/>
      <c r="N589" s="559"/>
      <c r="O589" s="559"/>
      <c r="P589" s="559"/>
      <c r="Q589" s="559"/>
      <c r="R589" s="559"/>
      <c r="S589" s="559"/>
      <c r="T589" s="559"/>
      <c r="U589" s="559"/>
      <c r="V589" s="559"/>
      <c r="W589" s="559"/>
      <c r="X589" s="559"/>
      <c r="Y589" s="559"/>
      <c r="Z589" s="559"/>
      <c r="AA589" s="559"/>
      <c r="AB589" s="559"/>
      <c r="AC589" s="559"/>
      <c r="AD589" s="559"/>
      <c r="AE589" s="559"/>
      <c r="AF589" s="559"/>
      <c r="AG589" s="559"/>
    </row>
    <row r="590" spans="1:33" ht="18" customHeight="1" x14ac:dyDescent="0.35">
      <c r="A590" s="559"/>
      <c r="B590" s="559"/>
      <c r="C590" s="559"/>
      <c r="D590" s="559"/>
      <c r="E590" s="559"/>
      <c r="F590" s="559"/>
      <c r="G590" s="559"/>
      <c r="H590" s="559"/>
      <c r="I590" s="559"/>
      <c r="J590" s="559"/>
      <c r="K590" s="559"/>
      <c r="L590" s="559"/>
      <c r="M590" s="559"/>
      <c r="N590" s="559"/>
      <c r="O590" s="559"/>
      <c r="P590" s="559"/>
      <c r="Q590" s="559"/>
      <c r="R590" s="559"/>
      <c r="S590" s="559"/>
      <c r="T590" s="559"/>
      <c r="U590" s="559"/>
      <c r="V590" s="559"/>
      <c r="W590" s="559"/>
      <c r="X590" s="559"/>
      <c r="Y590" s="559"/>
      <c r="Z590" s="559"/>
      <c r="AA590" s="559"/>
      <c r="AB590" s="559"/>
      <c r="AC590" s="559"/>
      <c r="AD590" s="559"/>
      <c r="AE590" s="559"/>
      <c r="AF590" s="559"/>
      <c r="AG590" s="559"/>
    </row>
    <row r="591" spans="1:33" ht="18" customHeight="1" x14ac:dyDescent="0.35">
      <c r="A591" s="559"/>
      <c r="B591" s="559"/>
      <c r="C591" s="559"/>
      <c r="D591" s="559"/>
      <c r="E591" s="559"/>
      <c r="F591" s="559"/>
      <c r="G591" s="559"/>
      <c r="H591" s="559"/>
      <c r="I591" s="559"/>
      <c r="J591" s="559"/>
      <c r="K591" s="559"/>
      <c r="L591" s="559"/>
      <c r="M591" s="559"/>
      <c r="N591" s="559"/>
      <c r="O591" s="559"/>
      <c r="P591" s="559"/>
      <c r="Q591" s="559"/>
      <c r="R591" s="559"/>
      <c r="S591" s="559"/>
      <c r="T591" s="559"/>
      <c r="U591" s="559"/>
      <c r="V591" s="559"/>
      <c r="W591" s="559"/>
      <c r="X591" s="559"/>
      <c r="Y591" s="559"/>
      <c r="Z591" s="559"/>
      <c r="AA591" s="559"/>
      <c r="AB591" s="559"/>
      <c r="AC591" s="559"/>
      <c r="AD591" s="559"/>
      <c r="AE591" s="559"/>
      <c r="AF591" s="559"/>
      <c r="AG591" s="559"/>
    </row>
    <row r="592" spans="1:33" ht="18" customHeight="1" x14ac:dyDescent="0.35">
      <c r="A592" s="559"/>
      <c r="B592" s="559"/>
      <c r="C592" s="559"/>
      <c r="D592" s="559"/>
      <c r="E592" s="559"/>
      <c r="F592" s="559"/>
      <c r="G592" s="559"/>
      <c r="H592" s="559"/>
      <c r="I592" s="559"/>
      <c r="J592" s="559"/>
      <c r="K592" s="559"/>
      <c r="L592" s="559"/>
      <c r="M592" s="559"/>
      <c r="N592" s="559"/>
      <c r="O592" s="559"/>
      <c r="P592" s="559"/>
      <c r="Q592" s="559"/>
      <c r="R592" s="559"/>
      <c r="S592" s="559"/>
      <c r="T592" s="559"/>
      <c r="U592" s="559"/>
      <c r="V592" s="559"/>
      <c r="W592" s="559"/>
      <c r="X592" s="559"/>
      <c r="Y592" s="559"/>
      <c r="Z592" s="559"/>
      <c r="AA592" s="559"/>
      <c r="AB592" s="559"/>
      <c r="AC592" s="559"/>
      <c r="AD592" s="559"/>
      <c r="AE592" s="559"/>
      <c r="AF592" s="559"/>
      <c r="AG592" s="559"/>
    </row>
    <row r="593" spans="1:33" ht="18" customHeight="1" x14ac:dyDescent="0.35">
      <c r="A593" s="559"/>
      <c r="B593" s="559"/>
      <c r="C593" s="559"/>
      <c r="D593" s="559"/>
      <c r="E593" s="559"/>
      <c r="F593" s="559"/>
      <c r="G593" s="559"/>
      <c r="H593" s="559"/>
      <c r="I593" s="559"/>
      <c r="J593" s="559"/>
      <c r="K593" s="559"/>
      <c r="L593" s="559"/>
      <c r="M593" s="559"/>
      <c r="N593" s="559"/>
      <c r="O593" s="559"/>
      <c r="P593" s="559"/>
      <c r="Q593" s="559"/>
      <c r="R593" s="559"/>
      <c r="S593" s="559"/>
      <c r="T593" s="559"/>
      <c r="U593" s="559"/>
      <c r="V593" s="559"/>
      <c r="W593" s="559"/>
      <c r="X593" s="559"/>
      <c r="Y593" s="559"/>
      <c r="Z593" s="559"/>
      <c r="AA593" s="559"/>
      <c r="AB593" s="559"/>
      <c r="AC593" s="559"/>
      <c r="AD593" s="559"/>
      <c r="AE593" s="559"/>
      <c r="AF593" s="559"/>
      <c r="AG593" s="559"/>
    </row>
    <row r="594" spans="1:33" ht="18" customHeight="1" x14ac:dyDescent="0.35">
      <c r="A594" s="559"/>
      <c r="B594" s="559"/>
      <c r="C594" s="559"/>
      <c r="D594" s="559"/>
      <c r="E594" s="559"/>
      <c r="F594" s="559"/>
      <c r="G594" s="559"/>
      <c r="H594" s="559"/>
      <c r="I594" s="559"/>
      <c r="J594" s="559"/>
      <c r="K594" s="559"/>
      <c r="L594" s="559"/>
      <c r="M594" s="559"/>
      <c r="N594" s="559"/>
      <c r="O594" s="559"/>
      <c r="P594" s="559"/>
      <c r="Q594" s="559"/>
      <c r="R594" s="559"/>
      <c r="S594" s="559"/>
      <c r="T594" s="559"/>
      <c r="U594" s="559"/>
      <c r="V594" s="559"/>
      <c r="W594" s="559"/>
      <c r="X594" s="559"/>
      <c r="Y594" s="559"/>
      <c r="Z594" s="559"/>
      <c r="AA594" s="559"/>
      <c r="AB594" s="559"/>
      <c r="AC594" s="559"/>
      <c r="AD594" s="559"/>
      <c r="AE594" s="559"/>
      <c r="AF594" s="559"/>
      <c r="AG594" s="559"/>
    </row>
    <row r="595" spans="1:33" ht="18" customHeight="1" x14ac:dyDescent="0.35">
      <c r="A595" s="559"/>
      <c r="B595" s="559"/>
      <c r="C595" s="559"/>
      <c r="D595" s="559"/>
      <c r="E595" s="559"/>
      <c r="F595" s="559"/>
      <c r="G595" s="559"/>
      <c r="H595" s="559"/>
      <c r="I595" s="559"/>
      <c r="J595" s="559"/>
      <c r="K595" s="559"/>
      <c r="L595" s="559"/>
      <c r="M595" s="559"/>
      <c r="N595" s="559"/>
      <c r="O595" s="559"/>
      <c r="P595" s="559"/>
      <c r="Q595" s="559"/>
      <c r="R595" s="559"/>
      <c r="S595" s="559"/>
      <c r="T595" s="559"/>
      <c r="U595" s="559"/>
      <c r="V595" s="559"/>
      <c r="W595" s="559"/>
      <c r="X595" s="559"/>
      <c r="Y595" s="559"/>
      <c r="Z595" s="559"/>
      <c r="AA595" s="559"/>
      <c r="AB595" s="559"/>
      <c r="AC595" s="559"/>
      <c r="AD595" s="559"/>
      <c r="AE595" s="559"/>
      <c r="AF595" s="559"/>
      <c r="AG595" s="559"/>
    </row>
    <row r="596" spans="1:33" ht="18" customHeight="1" x14ac:dyDescent="0.35">
      <c r="A596" s="559"/>
      <c r="B596" s="559"/>
      <c r="C596" s="559"/>
      <c r="D596" s="559"/>
      <c r="E596" s="559"/>
      <c r="F596" s="559"/>
      <c r="G596" s="559"/>
      <c r="H596" s="559"/>
      <c r="I596" s="559"/>
      <c r="J596" s="559"/>
      <c r="K596" s="559"/>
      <c r="L596" s="559"/>
      <c r="M596" s="559"/>
      <c r="N596" s="559"/>
      <c r="O596" s="559"/>
      <c r="P596" s="559"/>
      <c r="Q596" s="559"/>
      <c r="R596" s="559"/>
      <c r="S596" s="559"/>
      <c r="T596" s="559"/>
      <c r="U596" s="559"/>
      <c r="V596" s="559"/>
      <c r="W596" s="559"/>
      <c r="X596" s="559"/>
      <c r="Y596" s="559"/>
      <c r="Z596" s="559"/>
      <c r="AA596" s="559"/>
      <c r="AB596" s="559"/>
      <c r="AC596" s="559"/>
      <c r="AD596" s="559"/>
      <c r="AE596" s="559"/>
      <c r="AF596" s="559"/>
      <c r="AG596" s="559"/>
    </row>
    <row r="597" spans="1:33" ht="18" customHeight="1" x14ac:dyDescent="0.35">
      <c r="A597" s="559"/>
      <c r="B597" s="559"/>
      <c r="C597" s="559"/>
      <c r="D597" s="559"/>
      <c r="E597" s="559"/>
      <c r="F597" s="559"/>
      <c r="G597" s="559"/>
      <c r="H597" s="559"/>
      <c r="I597" s="559"/>
      <c r="J597" s="559"/>
      <c r="K597" s="559"/>
      <c r="L597" s="559"/>
      <c r="M597" s="559"/>
      <c r="N597" s="559"/>
      <c r="O597" s="559"/>
      <c r="P597" s="559"/>
      <c r="Q597" s="559"/>
      <c r="R597" s="559"/>
      <c r="S597" s="559"/>
      <c r="T597" s="559"/>
      <c r="U597" s="559"/>
      <c r="V597" s="559"/>
      <c r="W597" s="559"/>
      <c r="X597" s="559"/>
      <c r="Y597" s="559"/>
      <c r="Z597" s="559"/>
      <c r="AA597" s="559"/>
      <c r="AB597" s="559"/>
      <c r="AC597" s="559"/>
      <c r="AD597" s="559"/>
      <c r="AE597" s="559"/>
      <c r="AF597" s="559"/>
      <c r="AG597" s="559"/>
    </row>
    <row r="598" spans="1:33" ht="18" customHeight="1" x14ac:dyDescent="0.35">
      <c r="A598" s="559"/>
      <c r="B598" s="559"/>
      <c r="C598" s="559"/>
      <c r="D598" s="559"/>
      <c r="E598" s="559"/>
      <c r="F598" s="559"/>
      <c r="G598" s="559"/>
      <c r="H598" s="559"/>
      <c r="I598" s="559"/>
      <c r="J598" s="559"/>
      <c r="K598" s="559"/>
      <c r="L598" s="559"/>
      <c r="M598" s="559"/>
      <c r="N598" s="559"/>
      <c r="O598" s="559"/>
      <c r="P598" s="559"/>
      <c r="Q598" s="559"/>
      <c r="R598" s="559"/>
      <c r="S598" s="559"/>
      <c r="T598" s="559"/>
      <c r="U598" s="559"/>
      <c r="V598" s="559"/>
      <c r="W598" s="559"/>
      <c r="X598" s="559"/>
      <c r="Y598" s="559"/>
      <c r="Z598" s="559"/>
      <c r="AA598" s="559"/>
      <c r="AB598" s="559"/>
      <c r="AC598" s="559"/>
      <c r="AD598" s="559"/>
      <c r="AE598" s="559"/>
      <c r="AF598" s="559"/>
      <c r="AG598" s="559"/>
    </row>
    <row r="599" spans="1:33" ht="18" customHeight="1" x14ac:dyDescent="0.35">
      <c r="A599" s="559"/>
      <c r="B599" s="559"/>
      <c r="C599" s="559"/>
      <c r="D599" s="559"/>
      <c r="E599" s="559"/>
      <c r="F599" s="559"/>
      <c r="G599" s="559"/>
      <c r="H599" s="559"/>
      <c r="I599" s="559"/>
      <c r="J599" s="559"/>
      <c r="K599" s="559"/>
      <c r="L599" s="559"/>
      <c r="M599" s="559"/>
      <c r="N599" s="559"/>
      <c r="O599" s="559"/>
      <c r="P599" s="559"/>
      <c r="Q599" s="559"/>
      <c r="R599" s="559"/>
      <c r="S599" s="559"/>
      <c r="T599" s="559"/>
      <c r="U599" s="559"/>
      <c r="V599" s="559"/>
      <c r="W599" s="559"/>
      <c r="X599" s="559"/>
      <c r="Y599" s="559"/>
      <c r="Z599" s="559"/>
      <c r="AA599" s="559"/>
      <c r="AB599" s="559"/>
      <c r="AC599" s="559"/>
      <c r="AD599" s="559"/>
      <c r="AE599" s="559"/>
      <c r="AF599" s="559"/>
      <c r="AG599" s="559"/>
    </row>
    <row r="600" spans="1:33" ht="18" customHeight="1" x14ac:dyDescent="0.35">
      <c r="A600" s="559"/>
      <c r="B600" s="559"/>
      <c r="C600" s="559"/>
      <c r="D600" s="559"/>
      <c r="E600" s="559"/>
      <c r="F600" s="559"/>
      <c r="G600" s="559"/>
      <c r="H600" s="559"/>
      <c r="I600" s="559"/>
      <c r="J600" s="559"/>
      <c r="K600" s="559"/>
      <c r="L600" s="559"/>
      <c r="M600" s="559"/>
      <c r="N600" s="559"/>
      <c r="O600" s="559"/>
      <c r="P600" s="559"/>
      <c r="Q600" s="559"/>
      <c r="R600" s="559"/>
      <c r="S600" s="559"/>
      <c r="T600" s="559"/>
      <c r="U600" s="559"/>
      <c r="V600" s="559"/>
      <c r="W600" s="559"/>
      <c r="X600" s="559"/>
      <c r="Y600" s="559"/>
      <c r="Z600" s="559"/>
      <c r="AA600" s="559"/>
      <c r="AB600" s="559"/>
      <c r="AC600" s="559"/>
      <c r="AD600" s="559"/>
      <c r="AE600" s="559"/>
      <c r="AF600" s="559"/>
      <c r="AG600" s="559"/>
    </row>
    <row r="601" spans="1:33" ht="18" customHeight="1" x14ac:dyDescent="0.35">
      <c r="A601" s="559"/>
      <c r="B601" s="559"/>
      <c r="C601" s="559"/>
      <c r="D601" s="559"/>
      <c r="E601" s="559"/>
      <c r="F601" s="559"/>
      <c r="G601" s="559"/>
      <c r="H601" s="559"/>
      <c r="I601" s="559"/>
      <c r="J601" s="559"/>
      <c r="K601" s="559"/>
      <c r="L601" s="559"/>
      <c r="M601" s="559"/>
      <c r="N601" s="559"/>
      <c r="O601" s="559"/>
      <c r="P601" s="559"/>
      <c r="Q601" s="559"/>
      <c r="R601" s="559"/>
      <c r="S601" s="559"/>
      <c r="T601" s="559"/>
      <c r="U601" s="559"/>
      <c r="V601" s="559"/>
      <c r="W601" s="559"/>
      <c r="X601" s="559"/>
      <c r="Y601" s="559"/>
      <c r="Z601" s="559"/>
      <c r="AA601" s="559"/>
      <c r="AB601" s="559"/>
      <c r="AC601" s="559"/>
      <c r="AD601" s="559"/>
      <c r="AE601" s="559"/>
      <c r="AF601" s="559"/>
      <c r="AG601" s="559"/>
    </row>
    <row r="602" spans="1:33" ht="18" customHeight="1" x14ac:dyDescent="0.35">
      <c r="A602" s="559"/>
      <c r="B602" s="559"/>
      <c r="C602" s="559"/>
      <c r="D602" s="559"/>
      <c r="E602" s="559"/>
      <c r="F602" s="559"/>
      <c r="G602" s="559"/>
      <c r="H602" s="559"/>
      <c r="I602" s="559"/>
      <c r="J602" s="559"/>
      <c r="K602" s="559"/>
      <c r="L602" s="559"/>
      <c r="M602" s="559"/>
      <c r="N602" s="559"/>
      <c r="O602" s="559"/>
      <c r="P602" s="559"/>
      <c r="Q602" s="559"/>
      <c r="R602" s="559"/>
      <c r="S602" s="559"/>
      <c r="T602" s="559"/>
      <c r="U602" s="559"/>
      <c r="V602" s="559"/>
      <c r="W602" s="559"/>
      <c r="X602" s="559"/>
      <c r="Y602" s="559"/>
      <c r="Z602" s="559"/>
      <c r="AA602" s="559"/>
      <c r="AB602" s="559"/>
      <c r="AC602" s="559"/>
      <c r="AD602" s="559"/>
      <c r="AE602" s="559"/>
      <c r="AF602" s="559"/>
      <c r="AG602" s="559"/>
    </row>
    <row r="603" spans="1:33" ht="18" customHeight="1" x14ac:dyDescent="0.35">
      <c r="A603" s="559"/>
      <c r="B603" s="559"/>
      <c r="C603" s="559"/>
      <c r="D603" s="559"/>
      <c r="E603" s="559"/>
      <c r="F603" s="559"/>
      <c r="G603" s="559"/>
      <c r="H603" s="559"/>
      <c r="I603" s="559"/>
      <c r="J603" s="559"/>
      <c r="K603" s="559"/>
      <c r="L603" s="559"/>
      <c r="M603" s="559"/>
      <c r="N603" s="559"/>
      <c r="O603" s="559"/>
      <c r="P603" s="559"/>
      <c r="Q603" s="559"/>
      <c r="R603" s="559"/>
      <c r="S603" s="559"/>
      <c r="T603" s="559"/>
      <c r="U603" s="559"/>
      <c r="V603" s="559"/>
      <c r="W603" s="559"/>
      <c r="X603" s="559"/>
      <c r="Y603" s="559"/>
      <c r="Z603" s="559"/>
      <c r="AA603" s="559"/>
      <c r="AB603" s="559"/>
      <c r="AC603" s="559"/>
      <c r="AD603" s="559"/>
      <c r="AE603" s="559"/>
      <c r="AF603" s="559"/>
      <c r="AG603" s="559"/>
    </row>
    <row r="604" spans="1:33" ht="18" customHeight="1" x14ac:dyDescent="0.35">
      <c r="A604" s="559"/>
      <c r="B604" s="559"/>
      <c r="C604" s="559"/>
      <c r="D604" s="559"/>
      <c r="E604" s="559"/>
      <c r="F604" s="559"/>
      <c r="G604" s="559"/>
      <c r="H604" s="559"/>
      <c r="I604" s="559"/>
      <c r="J604" s="559"/>
      <c r="K604" s="559"/>
      <c r="L604" s="559"/>
      <c r="M604" s="559"/>
      <c r="N604" s="559"/>
      <c r="O604" s="559"/>
      <c r="P604" s="559"/>
      <c r="Q604" s="559"/>
      <c r="R604" s="559"/>
      <c r="S604" s="559"/>
      <c r="T604" s="559"/>
      <c r="U604" s="559"/>
      <c r="V604" s="559"/>
      <c r="W604" s="559"/>
      <c r="X604" s="559"/>
      <c r="Y604" s="559"/>
      <c r="Z604" s="559"/>
      <c r="AA604" s="559"/>
      <c r="AB604" s="559"/>
      <c r="AC604" s="559"/>
      <c r="AD604" s="559"/>
      <c r="AE604" s="559"/>
      <c r="AF604" s="559"/>
      <c r="AG604" s="559"/>
    </row>
    <row r="605" spans="1:33" ht="18" customHeight="1" x14ac:dyDescent="0.35">
      <c r="A605" s="559"/>
      <c r="B605" s="559"/>
      <c r="C605" s="559"/>
      <c r="D605" s="559"/>
      <c r="E605" s="559"/>
      <c r="F605" s="559"/>
      <c r="G605" s="559"/>
      <c r="H605" s="559"/>
      <c r="I605" s="559"/>
      <c r="J605" s="559"/>
      <c r="K605" s="559"/>
      <c r="L605" s="559"/>
      <c r="M605" s="559"/>
      <c r="N605" s="559"/>
      <c r="O605" s="559"/>
      <c r="P605" s="559"/>
      <c r="Q605" s="559"/>
      <c r="R605" s="559"/>
      <c r="S605" s="559"/>
      <c r="T605" s="559"/>
      <c r="U605" s="559"/>
      <c r="V605" s="559"/>
      <c r="W605" s="559"/>
      <c r="X605" s="559"/>
      <c r="Y605" s="559"/>
      <c r="Z605" s="559"/>
      <c r="AA605" s="559"/>
      <c r="AB605" s="559"/>
      <c r="AC605" s="559"/>
      <c r="AD605" s="559"/>
      <c r="AE605" s="559"/>
      <c r="AF605" s="559"/>
      <c r="AG605" s="559"/>
    </row>
    <row r="606" spans="1:33" ht="18" customHeight="1" x14ac:dyDescent="0.35">
      <c r="A606" s="559"/>
      <c r="B606" s="559"/>
      <c r="C606" s="559"/>
      <c r="D606" s="559"/>
      <c r="E606" s="559"/>
      <c r="F606" s="559"/>
      <c r="G606" s="559"/>
      <c r="H606" s="559"/>
      <c r="I606" s="559"/>
      <c r="J606" s="559"/>
      <c r="K606" s="559"/>
      <c r="L606" s="559"/>
      <c r="M606" s="559"/>
      <c r="N606" s="559"/>
      <c r="O606" s="559"/>
      <c r="P606" s="559"/>
      <c r="Q606" s="559"/>
      <c r="R606" s="559"/>
      <c r="S606" s="559"/>
      <c r="T606" s="559"/>
      <c r="U606" s="559"/>
      <c r="V606" s="559"/>
      <c r="W606" s="559"/>
      <c r="X606" s="559"/>
      <c r="Y606" s="559"/>
      <c r="Z606" s="559"/>
      <c r="AA606" s="559"/>
      <c r="AB606" s="559"/>
      <c r="AC606" s="559"/>
      <c r="AD606" s="559"/>
      <c r="AE606" s="559"/>
      <c r="AF606" s="559"/>
      <c r="AG606" s="559"/>
    </row>
    <row r="607" spans="1:33" ht="18" customHeight="1" x14ac:dyDescent="0.35">
      <c r="A607" s="559"/>
      <c r="B607" s="559"/>
      <c r="C607" s="559"/>
      <c r="D607" s="559"/>
      <c r="E607" s="559"/>
      <c r="F607" s="559"/>
      <c r="G607" s="559"/>
      <c r="H607" s="559"/>
      <c r="I607" s="559"/>
      <c r="J607" s="559"/>
      <c r="K607" s="559"/>
      <c r="L607" s="559"/>
      <c r="M607" s="559"/>
      <c r="N607" s="559"/>
      <c r="O607" s="559"/>
      <c r="P607" s="559"/>
      <c r="Q607" s="559"/>
      <c r="R607" s="559"/>
      <c r="S607" s="559"/>
      <c r="T607" s="559"/>
      <c r="U607" s="559"/>
      <c r="V607" s="559"/>
      <c r="W607" s="559"/>
      <c r="X607" s="559"/>
      <c r="Y607" s="559"/>
      <c r="Z607" s="559"/>
      <c r="AA607" s="559"/>
      <c r="AB607" s="559"/>
      <c r="AC607" s="559"/>
      <c r="AD607" s="559"/>
      <c r="AE607" s="559"/>
      <c r="AF607" s="559"/>
      <c r="AG607" s="559"/>
    </row>
    <row r="608" spans="1:33" ht="18" customHeight="1" x14ac:dyDescent="0.35">
      <c r="A608" s="559"/>
      <c r="B608" s="559"/>
      <c r="C608" s="559"/>
      <c r="D608" s="559"/>
      <c r="E608" s="559"/>
      <c r="F608" s="559"/>
      <c r="G608" s="559"/>
      <c r="H608" s="559"/>
      <c r="I608" s="559"/>
      <c r="J608" s="559"/>
      <c r="K608" s="559"/>
      <c r="L608" s="559"/>
      <c r="M608" s="559"/>
      <c r="N608" s="559"/>
      <c r="O608" s="559"/>
      <c r="P608" s="559"/>
      <c r="Q608" s="559"/>
      <c r="R608" s="559"/>
      <c r="S608" s="559"/>
      <c r="T608" s="559"/>
      <c r="U608" s="559"/>
      <c r="V608" s="559"/>
      <c r="W608" s="559"/>
      <c r="X608" s="559"/>
      <c r="Y608" s="559"/>
      <c r="Z608" s="559"/>
      <c r="AA608" s="559"/>
      <c r="AB608" s="559"/>
      <c r="AC608" s="559"/>
      <c r="AD608" s="559"/>
      <c r="AE608" s="559"/>
      <c r="AF608" s="559"/>
      <c r="AG608" s="559"/>
    </row>
    <row r="609" spans="1:33" ht="18" customHeight="1" x14ac:dyDescent="0.35">
      <c r="A609" s="559"/>
      <c r="B609" s="559"/>
      <c r="C609" s="559"/>
      <c r="D609" s="559"/>
      <c r="E609" s="559"/>
      <c r="F609" s="559"/>
      <c r="G609" s="559"/>
      <c r="H609" s="559"/>
      <c r="I609" s="559"/>
      <c r="J609" s="559"/>
      <c r="K609" s="559"/>
      <c r="L609" s="559"/>
      <c r="M609" s="559"/>
      <c r="N609" s="559"/>
      <c r="O609" s="559"/>
      <c r="P609" s="559"/>
      <c r="Q609" s="559"/>
      <c r="R609" s="559"/>
      <c r="S609" s="559"/>
      <c r="T609" s="559"/>
      <c r="U609" s="559"/>
      <c r="V609" s="559"/>
      <c r="W609" s="559"/>
      <c r="X609" s="559"/>
      <c r="Y609" s="559"/>
      <c r="Z609" s="559"/>
      <c r="AA609" s="559"/>
      <c r="AB609" s="559"/>
      <c r="AC609" s="559"/>
      <c r="AD609" s="559"/>
      <c r="AE609" s="559"/>
      <c r="AF609" s="559"/>
      <c r="AG609" s="559"/>
    </row>
    <row r="610" spans="1:33" ht="18" customHeight="1" x14ac:dyDescent="0.35">
      <c r="A610" s="559"/>
      <c r="B610" s="559"/>
      <c r="C610" s="559"/>
      <c r="D610" s="559"/>
      <c r="E610" s="559"/>
      <c r="F610" s="559"/>
      <c r="G610" s="559"/>
      <c r="H610" s="559"/>
      <c r="I610" s="559"/>
      <c r="J610" s="559"/>
      <c r="K610" s="559"/>
      <c r="L610" s="559"/>
      <c r="M610" s="559"/>
      <c r="N610" s="559"/>
      <c r="O610" s="559"/>
      <c r="P610" s="559"/>
      <c r="Q610" s="559"/>
      <c r="R610" s="559"/>
      <c r="S610" s="559"/>
      <c r="T610" s="559"/>
      <c r="U610" s="559"/>
      <c r="V610" s="559"/>
      <c r="W610" s="559"/>
      <c r="X610" s="559"/>
      <c r="Y610" s="559"/>
      <c r="Z610" s="559"/>
      <c r="AA610" s="559"/>
      <c r="AB610" s="559"/>
      <c r="AC610" s="559"/>
      <c r="AD610" s="559"/>
      <c r="AE610" s="559"/>
      <c r="AF610" s="559"/>
      <c r="AG610" s="559"/>
    </row>
    <row r="611" spans="1:33" ht="18" customHeight="1" x14ac:dyDescent="0.35">
      <c r="A611" s="559"/>
      <c r="B611" s="559"/>
      <c r="C611" s="559"/>
      <c r="D611" s="559"/>
      <c r="E611" s="559"/>
      <c r="F611" s="559"/>
      <c r="G611" s="559"/>
      <c r="H611" s="559"/>
      <c r="I611" s="559"/>
      <c r="J611" s="559"/>
      <c r="K611" s="559"/>
      <c r="L611" s="559"/>
      <c r="M611" s="559"/>
      <c r="N611" s="559"/>
      <c r="O611" s="559"/>
      <c r="P611" s="559"/>
      <c r="Q611" s="559"/>
      <c r="R611" s="559"/>
      <c r="S611" s="559"/>
      <c r="T611" s="559"/>
      <c r="U611" s="559"/>
      <c r="V611" s="559"/>
      <c r="W611" s="559"/>
      <c r="X611" s="559"/>
      <c r="Y611" s="559"/>
      <c r="Z611" s="559"/>
      <c r="AA611" s="559"/>
      <c r="AB611" s="559"/>
      <c r="AC611" s="559"/>
      <c r="AD611" s="559"/>
      <c r="AE611" s="559"/>
      <c r="AF611" s="559"/>
      <c r="AG611" s="559"/>
    </row>
    <row r="612" spans="1:33" ht="18" customHeight="1" x14ac:dyDescent="0.35">
      <c r="A612" s="559"/>
      <c r="B612" s="559"/>
      <c r="C612" s="559"/>
      <c r="D612" s="559"/>
      <c r="E612" s="559"/>
      <c r="F612" s="559"/>
      <c r="G612" s="559"/>
      <c r="H612" s="559"/>
      <c r="I612" s="559"/>
      <c r="J612" s="559"/>
      <c r="K612" s="559"/>
      <c r="L612" s="559"/>
      <c r="M612" s="559"/>
      <c r="N612" s="559"/>
      <c r="O612" s="559"/>
      <c r="P612" s="559"/>
      <c r="Q612" s="559"/>
      <c r="R612" s="559"/>
      <c r="S612" s="559"/>
      <c r="T612" s="559"/>
      <c r="U612" s="559"/>
      <c r="V612" s="559"/>
      <c r="W612" s="559"/>
      <c r="X612" s="559"/>
      <c r="Y612" s="559"/>
      <c r="Z612" s="559"/>
      <c r="AA612" s="559"/>
      <c r="AB612" s="559"/>
      <c r="AC612" s="559"/>
      <c r="AD612" s="559"/>
      <c r="AE612" s="559"/>
      <c r="AF612" s="559"/>
      <c r="AG612" s="559"/>
    </row>
    <row r="613" spans="1:33" ht="18" customHeight="1" x14ac:dyDescent="0.35">
      <c r="A613" s="559"/>
      <c r="B613" s="559"/>
      <c r="C613" s="559"/>
      <c r="D613" s="559"/>
      <c r="E613" s="559"/>
      <c r="F613" s="559"/>
      <c r="G613" s="559"/>
      <c r="H613" s="559"/>
      <c r="I613" s="559"/>
      <c r="J613" s="559"/>
      <c r="K613" s="559"/>
      <c r="L613" s="559"/>
      <c r="M613" s="559"/>
      <c r="N613" s="559"/>
      <c r="O613" s="559"/>
      <c r="P613" s="559"/>
      <c r="Q613" s="559"/>
      <c r="R613" s="559"/>
      <c r="S613" s="559"/>
      <c r="T613" s="559"/>
      <c r="U613" s="559"/>
      <c r="V613" s="559"/>
      <c r="W613" s="559"/>
      <c r="X613" s="559"/>
      <c r="Y613" s="559"/>
      <c r="Z613" s="559"/>
      <c r="AA613" s="559"/>
      <c r="AB613" s="559"/>
      <c r="AC613" s="559"/>
      <c r="AD613" s="559"/>
      <c r="AE613" s="559"/>
      <c r="AF613" s="559"/>
      <c r="AG613" s="559"/>
    </row>
    <row r="614" spans="1:33" ht="18" customHeight="1" x14ac:dyDescent="0.35">
      <c r="A614" s="559"/>
      <c r="B614" s="559"/>
      <c r="C614" s="559"/>
      <c r="D614" s="559"/>
      <c r="E614" s="559"/>
      <c r="F614" s="559"/>
      <c r="G614" s="559"/>
      <c r="H614" s="559"/>
      <c r="I614" s="559"/>
      <c r="J614" s="559"/>
      <c r="K614" s="559"/>
      <c r="L614" s="559"/>
      <c r="M614" s="559"/>
      <c r="N614" s="559"/>
      <c r="O614" s="559"/>
      <c r="P614" s="559"/>
      <c r="Q614" s="559"/>
      <c r="R614" s="559"/>
      <c r="S614" s="559"/>
      <c r="T614" s="559"/>
      <c r="U614" s="559"/>
      <c r="V614" s="559"/>
      <c r="W614" s="559"/>
      <c r="X614" s="559"/>
      <c r="Y614" s="559"/>
      <c r="Z614" s="559"/>
      <c r="AA614" s="559"/>
      <c r="AB614" s="559"/>
      <c r="AC614" s="559"/>
      <c r="AD614" s="559"/>
      <c r="AE614" s="559"/>
      <c r="AF614" s="559"/>
      <c r="AG614" s="559"/>
    </row>
    <row r="615" spans="1:33" ht="18" customHeight="1" x14ac:dyDescent="0.35">
      <c r="A615" s="559"/>
      <c r="B615" s="559"/>
      <c r="C615" s="559"/>
      <c r="D615" s="559"/>
      <c r="E615" s="559"/>
      <c r="F615" s="559"/>
      <c r="G615" s="559"/>
      <c r="H615" s="559"/>
      <c r="I615" s="559"/>
      <c r="J615" s="559"/>
      <c r="K615" s="559"/>
      <c r="L615" s="559"/>
      <c r="M615" s="559"/>
      <c r="N615" s="559"/>
      <c r="O615" s="559"/>
      <c r="P615" s="559"/>
      <c r="Q615" s="559"/>
      <c r="R615" s="559"/>
      <c r="S615" s="559"/>
      <c r="T615" s="559"/>
      <c r="U615" s="559"/>
      <c r="V615" s="559"/>
      <c r="W615" s="559"/>
      <c r="X615" s="559"/>
      <c r="Y615" s="559"/>
      <c r="Z615" s="559"/>
      <c r="AA615" s="559"/>
      <c r="AB615" s="559"/>
      <c r="AC615" s="559"/>
      <c r="AD615" s="559"/>
      <c r="AE615" s="559"/>
      <c r="AF615" s="559"/>
      <c r="AG615" s="559"/>
    </row>
    <row r="616" spans="1:33" ht="18" customHeight="1" x14ac:dyDescent="0.35">
      <c r="A616" s="559"/>
      <c r="B616" s="559"/>
      <c r="C616" s="559"/>
      <c r="D616" s="559"/>
      <c r="E616" s="559"/>
      <c r="F616" s="559"/>
      <c r="G616" s="559"/>
      <c r="H616" s="559"/>
      <c r="I616" s="559"/>
      <c r="J616" s="559"/>
      <c r="K616" s="559"/>
      <c r="L616" s="559"/>
      <c r="M616" s="559"/>
      <c r="N616" s="559"/>
      <c r="O616" s="559"/>
      <c r="P616" s="559"/>
      <c r="Q616" s="559"/>
      <c r="R616" s="559"/>
      <c r="S616" s="559"/>
      <c r="T616" s="559"/>
      <c r="U616" s="559"/>
      <c r="V616" s="559"/>
      <c r="W616" s="559"/>
      <c r="X616" s="559"/>
      <c r="Y616" s="559"/>
      <c r="Z616" s="559"/>
      <c r="AA616" s="559"/>
      <c r="AB616" s="559"/>
      <c r="AC616" s="559"/>
      <c r="AD616" s="559"/>
      <c r="AE616" s="559"/>
      <c r="AF616" s="559"/>
      <c r="AG616" s="559"/>
    </row>
    <row r="617" spans="1:33" ht="18" customHeight="1" x14ac:dyDescent="0.35">
      <c r="A617" s="559"/>
      <c r="B617" s="559"/>
      <c r="C617" s="559"/>
      <c r="D617" s="559"/>
      <c r="E617" s="559"/>
      <c r="F617" s="559"/>
      <c r="G617" s="559"/>
      <c r="H617" s="559"/>
      <c r="I617" s="559"/>
      <c r="J617" s="559"/>
      <c r="K617" s="559"/>
      <c r="L617" s="559"/>
      <c r="M617" s="559"/>
      <c r="N617" s="559"/>
      <c r="O617" s="559"/>
      <c r="P617" s="559"/>
      <c r="Q617" s="559"/>
      <c r="R617" s="559"/>
      <c r="S617" s="559"/>
      <c r="T617" s="559"/>
      <c r="U617" s="559"/>
      <c r="V617" s="559"/>
      <c r="W617" s="559"/>
      <c r="X617" s="559"/>
      <c r="Y617" s="559"/>
      <c r="Z617" s="559"/>
      <c r="AA617" s="559"/>
      <c r="AB617" s="559"/>
      <c r="AC617" s="559"/>
      <c r="AD617" s="559"/>
      <c r="AE617" s="559"/>
      <c r="AF617" s="559"/>
      <c r="AG617" s="559"/>
    </row>
    <row r="618" spans="1:33" ht="18" customHeight="1" x14ac:dyDescent="0.35">
      <c r="A618" s="559"/>
      <c r="B618" s="559"/>
      <c r="C618" s="559"/>
      <c r="D618" s="559"/>
      <c r="E618" s="559"/>
      <c r="F618" s="559"/>
      <c r="G618" s="559"/>
      <c r="H618" s="559"/>
      <c r="I618" s="559"/>
      <c r="J618" s="559"/>
      <c r="K618" s="559"/>
      <c r="L618" s="559"/>
      <c r="M618" s="559"/>
      <c r="N618" s="559"/>
      <c r="O618" s="559"/>
      <c r="P618" s="559"/>
      <c r="Q618" s="559"/>
      <c r="R618" s="559"/>
      <c r="S618" s="559"/>
      <c r="T618" s="559"/>
      <c r="U618" s="559"/>
      <c r="V618" s="559"/>
      <c r="W618" s="559"/>
      <c r="X618" s="559"/>
      <c r="Y618" s="559"/>
      <c r="Z618" s="559"/>
      <c r="AA618" s="559"/>
      <c r="AB618" s="559"/>
      <c r="AC618" s="559"/>
      <c r="AD618" s="559"/>
      <c r="AE618" s="559"/>
      <c r="AF618" s="559"/>
      <c r="AG618" s="559"/>
    </row>
    <row r="619" spans="1:33" ht="18" customHeight="1" x14ac:dyDescent="0.35">
      <c r="A619" s="559"/>
      <c r="B619" s="559"/>
      <c r="C619" s="559"/>
      <c r="D619" s="559"/>
      <c r="E619" s="559"/>
      <c r="F619" s="559"/>
      <c r="G619" s="559"/>
      <c r="H619" s="559"/>
      <c r="I619" s="559"/>
      <c r="J619" s="559"/>
      <c r="K619" s="559"/>
      <c r="L619" s="559"/>
      <c r="M619" s="559"/>
      <c r="N619" s="559"/>
      <c r="O619" s="559"/>
      <c r="P619" s="559"/>
      <c r="Q619" s="559"/>
      <c r="R619" s="559"/>
      <c r="S619" s="559"/>
      <c r="T619" s="559"/>
      <c r="U619" s="559"/>
      <c r="V619" s="559"/>
      <c r="W619" s="559"/>
      <c r="X619" s="559"/>
      <c r="Y619" s="559"/>
      <c r="Z619" s="559"/>
      <c r="AA619" s="559"/>
      <c r="AB619" s="559"/>
      <c r="AC619" s="559"/>
      <c r="AD619" s="559"/>
      <c r="AE619" s="559"/>
      <c r="AF619" s="559"/>
      <c r="AG619" s="559"/>
    </row>
    <row r="620" spans="1:33" ht="18" customHeight="1" x14ac:dyDescent="0.35">
      <c r="A620" s="559"/>
      <c r="B620" s="559"/>
      <c r="C620" s="559"/>
      <c r="D620" s="559"/>
      <c r="E620" s="559"/>
      <c r="F620" s="559"/>
      <c r="G620" s="559"/>
      <c r="H620" s="559"/>
      <c r="I620" s="559"/>
      <c r="J620" s="559"/>
      <c r="K620" s="559"/>
      <c r="L620" s="559"/>
      <c r="M620" s="559"/>
      <c r="N620" s="559"/>
      <c r="O620" s="559"/>
      <c r="P620" s="559"/>
      <c r="Q620" s="559"/>
      <c r="R620" s="559"/>
      <c r="S620" s="559"/>
      <c r="T620" s="559"/>
      <c r="U620" s="559"/>
      <c r="V620" s="559"/>
      <c r="W620" s="559"/>
      <c r="X620" s="559"/>
      <c r="Y620" s="559"/>
      <c r="Z620" s="559"/>
      <c r="AA620" s="559"/>
      <c r="AB620" s="559"/>
      <c r="AC620" s="559"/>
      <c r="AD620" s="559"/>
      <c r="AE620" s="559"/>
      <c r="AF620" s="559"/>
      <c r="AG620" s="559"/>
    </row>
    <row r="621" spans="1:33" ht="18" customHeight="1" x14ac:dyDescent="0.35">
      <c r="A621" s="559"/>
      <c r="B621" s="559"/>
      <c r="C621" s="559"/>
      <c r="D621" s="559"/>
      <c r="E621" s="559"/>
      <c r="F621" s="559"/>
      <c r="G621" s="559"/>
      <c r="H621" s="559"/>
      <c r="I621" s="559"/>
      <c r="J621" s="559"/>
      <c r="K621" s="559"/>
      <c r="L621" s="559"/>
      <c r="M621" s="559"/>
      <c r="N621" s="559"/>
      <c r="O621" s="559"/>
      <c r="P621" s="559"/>
      <c r="Q621" s="559"/>
      <c r="R621" s="559"/>
      <c r="S621" s="559"/>
      <c r="T621" s="559"/>
      <c r="U621" s="559"/>
      <c r="V621" s="559"/>
      <c r="W621" s="559"/>
      <c r="X621" s="559"/>
      <c r="Y621" s="559"/>
      <c r="Z621" s="559"/>
      <c r="AA621" s="559"/>
      <c r="AB621" s="559"/>
      <c r="AC621" s="559"/>
      <c r="AD621" s="559"/>
      <c r="AE621" s="559"/>
      <c r="AF621" s="559"/>
      <c r="AG621" s="559"/>
    </row>
    <row r="622" spans="1:33" ht="18" customHeight="1" x14ac:dyDescent="0.35">
      <c r="A622" s="559"/>
      <c r="B622" s="559"/>
      <c r="C622" s="559"/>
      <c r="D622" s="559"/>
      <c r="E622" s="559"/>
      <c r="F622" s="559"/>
      <c r="G622" s="559"/>
      <c r="H622" s="559"/>
      <c r="I622" s="559"/>
      <c r="J622" s="559"/>
      <c r="K622" s="559"/>
      <c r="L622" s="559"/>
      <c r="M622" s="559"/>
      <c r="N622" s="559"/>
      <c r="O622" s="559"/>
      <c r="P622" s="559"/>
      <c r="Q622" s="559"/>
      <c r="R622" s="559"/>
      <c r="S622" s="559"/>
      <c r="T622" s="559"/>
      <c r="U622" s="559"/>
      <c r="V622" s="559"/>
      <c r="W622" s="559"/>
      <c r="X622" s="559"/>
      <c r="Y622" s="559"/>
      <c r="Z622" s="559"/>
      <c r="AA622" s="559"/>
      <c r="AB622" s="559"/>
      <c r="AC622" s="559"/>
      <c r="AD622" s="559"/>
      <c r="AE622" s="559"/>
      <c r="AF622" s="559"/>
      <c r="AG622" s="559"/>
    </row>
    <row r="623" spans="1:33" ht="18" customHeight="1" x14ac:dyDescent="0.35">
      <c r="A623" s="559"/>
      <c r="B623" s="559"/>
      <c r="C623" s="559"/>
      <c r="D623" s="559"/>
      <c r="E623" s="559"/>
      <c r="F623" s="559"/>
      <c r="G623" s="559"/>
      <c r="H623" s="559"/>
      <c r="I623" s="559"/>
      <c r="J623" s="559"/>
      <c r="K623" s="559"/>
      <c r="L623" s="559"/>
      <c r="M623" s="559"/>
      <c r="N623" s="559"/>
      <c r="O623" s="559"/>
      <c r="P623" s="559"/>
      <c r="Q623" s="559"/>
      <c r="R623" s="559"/>
      <c r="S623" s="559"/>
      <c r="T623" s="559"/>
      <c r="U623" s="559"/>
      <c r="V623" s="559"/>
      <c r="W623" s="559"/>
      <c r="X623" s="559"/>
      <c r="Y623" s="559"/>
      <c r="Z623" s="559"/>
      <c r="AA623" s="559"/>
      <c r="AB623" s="559"/>
      <c r="AC623" s="559"/>
      <c r="AD623" s="559"/>
      <c r="AE623" s="559"/>
      <c r="AF623" s="559"/>
      <c r="AG623" s="559"/>
    </row>
    <row r="624" spans="1:33" ht="18" customHeight="1" x14ac:dyDescent="0.35">
      <c r="A624" s="559"/>
      <c r="B624" s="559"/>
      <c r="C624" s="559"/>
      <c r="D624" s="559"/>
      <c r="E624" s="559"/>
      <c r="F624" s="559"/>
      <c r="G624" s="559"/>
      <c r="H624" s="559"/>
      <c r="I624" s="559"/>
      <c r="J624" s="559"/>
      <c r="K624" s="559"/>
      <c r="L624" s="559"/>
      <c r="M624" s="559"/>
      <c r="N624" s="559"/>
      <c r="O624" s="559"/>
      <c r="P624" s="559"/>
      <c r="Q624" s="559"/>
      <c r="R624" s="559"/>
      <c r="S624" s="559"/>
      <c r="T624" s="559"/>
      <c r="U624" s="559"/>
      <c r="V624" s="559"/>
      <c r="W624" s="559"/>
      <c r="X624" s="559"/>
      <c r="Y624" s="559"/>
      <c r="Z624" s="559"/>
      <c r="AA624" s="559"/>
      <c r="AB624" s="559"/>
      <c r="AC624" s="559"/>
      <c r="AD624" s="559"/>
      <c r="AE624" s="559"/>
      <c r="AF624" s="559"/>
      <c r="AG624" s="559"/>
    </row>
    <row r="625" spans="1:33" ht="18" customHeight="1" x14ac:dyDescent="0.35">
      <c r="A625" s="559"/>
      <c r="B625" s="559"/>
      <c r="C625" s="559"/>
      <c r="D625" s="559"/>
      <c r="E625" s="559"/>
      <c r="F625" s="559"/>
      <c r="G625" s="559"/>
      <c r="H625" s="559"/>
      <c r="I625" s="559"/>
      <c r="J625" s="559"/>
      <c r="K625" s="559"/>
      <c r="L625" s="559"/>
      <c r="M625" s="559"/>
      <c r="N625" s="559"/>
      <c r="O625" s="559"/>
      <c r="P625" s="559"/>
      <c r="Q625" s="559"/>
      <c r="R625" s="559"/>
      <c r="S625" s="559"/>
      <c r="T625" s="559"/>
      <c r="U625" s="559"/>
      <c r="V625" s="559"/>
      <c r="W625" s="559"/>
      <c r="X625" s="559"/>
      <c r="Y625" s="559"/>
      <c r="Z625" s="559"/>
      <c r="AA625" s="559"/>
      <c r="AB625" s="559"/>
      <c r="AC625" s="559"/>
      <c r="AD625" s="559"/>
      <c r="AE625" s="559"/>
      <c r="AF625" s="559"/>
      <c r="AG625" s="559"/>
    </row>
    <row r="626" spans="1:33" ht="18" customHeight="1" x14ac:dyDescent="0.35">
      <c r="A626" s="559"/>
      <c r="B626" s="559"/>
      <c r="C626" s="559"/>
      <c r="D626" s="559"/>
      <c r="E626" s="559"/>
      <c r="F626" s="559"/>
      <c r="G626" s="559"/>
      <c r="H626" s="559"/>
      <c r="I626" s="559"/>
      <c r="J626" s="559"/>
      <c r="K626" s="559"/>
      <c r="L626" s="559"/>
      <c r="M626" s="559"/>
      <c r="N626" s="559"/>
      <c r="O626" s="559"/>
      <c r="P626" s="559"/>
      <c r="Q626" s="559"/>
      <c r="R626" s="559"/>
      <c r="S626" s="559"/>
      <c r="T626" s="559"/>
      <c r="U626" s="559"/>
      <c r="V626" s="559"/>
      <c r="W626" s="559"/>
      <c r="X626" s="559"/>
      <c r="Y626" s="559"/>
      <c r="Z626" s="559"/>
      <c r="AA626" s="559"/>
      <c r="AB626" s="559"/>
      <c r="AC626" s="559"/>
      <c r="AD626" s="559"/>
      <c r="AE626" s="559"/>
      <c r="AF626" s="559"/>
      <c r="AG626" s="559"/>
    </row>
    <row r="627" spans="1:33" ht="18" customHeight="1" x14ac:dyDescent="0.35">
      <c r="A627" s="559"/>
      <c r="B627" s="559"/>
      <c r="C627" s="559"/>
      <c r="D627" s="559"/>
      <c r="E627" s="559"/>
      <c r="F627" s="559"/>
      <c r="G627" s="559"/>
      <c r="H627" s="559"/>
      <c r="I627" s="559"/>
      <c r="J627" s="559"/>
      <c r="K627" s="559"/>
      <c r="L627" s="559"/>
      <c r="M627" s="559"/>
      <c r="N627" s="559"/>
      <c r="O627" s="559"/>
      <c r="P627" s="559"/>
      <c r="Q627" s="559"/>
      <c r="R627" s="559"/>
      <c r="S627" s="559"/>
      <c r="T627" s="559"/>
      <c r="U627" s="559"/>
      <c r="V627" s="559"/>
      <c r="W627" s="559"/>
      <c r="X627" s="559"/>
      <c r="Y627" s="559"/>
      <c r="Z627" s="559"/>
      <c r="AA627" s="559"/>
      <c r="AB627" s="559"/>
      <c r="AC627" s="559"/>
      <c r="AD627" s="559"/>
      <c r="AE627" s="559"/>
      <c r="AF627" s="559"/>
      <c r="AG627" s="559"/>
    </row>
    <row r="628" spans="1:33" ht="18" customHeight="1" x14ac:dyDescent="0.35">
      <c r="A628" s="559"/>
      <c r="B628" s="559"/>
      <c r="C628" s="559"/>
      <c r="D628" s="559"/>
      <c r="E628" s="559"/>
      <c r="F628" s="559"/>
      <c r="G628" s="559"/>
      <c r="H628" s="559"/>
      <c r="I628" s="559"/>
      <c r="J628" s="559"/>
      <c r="K628" s="559"/>
      <c r="L628" s="559"/>
      <c r="M628" s="559"/>
      <c r="N628" s="559"/>
      <c r="O628" s="559"/>
      <c r="P628" s="559"/>
      <c r="Q628" s="559"/>
      <c r="R628" s="559"/>
      <c r="S628" s="559"/>
      <c r="T628" s="559"/>
      <c r="U628" s="559"/>
      <c r="V628" s="559"/>
      <c r="W628" s="559"/>
      <c r="X628" s="559"/>
      <c r="Y628" s="559"/>
      <c r="Z628" s="559"/>
      <c r="AA628" s="559"/>
      <c r="AB628" s="559"/>
      <c r="AC628" s="559"/>
      <c r="AD628" s="559"/>
      <c r="AE628" s="559"/>
      <c r="AF628" s="559"/>
      <c r="AG628" s="559"/>
    </row>
    <row r="629" spans="1:33" ht="18" customHeight="1" x14ac:dyDescent="0.35">
      <c r="A629" s="559"/>
      <c r="B629" s="559"/>
      <c r="C629" s="559"/>
      <c r="D629" s="559"/>
      <c r="E629" s="559"/>
      <c r="F629" s="559"/>
      <c r="G629" s="559"/>
      <c r="H629" s="559"/>
      <c r="I629" s="559"/>
      <c r="J629" s="559"/>
      <c r="K629" s="559"/>
      <c r="L629" s="559"/>
      <c r="M629" s="559"/>
      <c r="N629" s="559"/>
      <c r="O629" s="559"/>
      <c r="P629" s="559"/>
      <c r="Q629" s="559"/>
      <c r="R629" s="559"/>
      <c r="S629" s="559"/>
      <c r="T629" s="559"/>
      <c r="U629" s="559"/>
      <c r="V629" s="559"/>
      <c r="W629" s="559"/>
      <c r="X629" s="559"/>
      <c r="Y629" s="559"/>
      <c r="Z629" s="559"/>
      <c r="AA629" s="559"/>
      <c r="AB629" s="559"/>
      <c r="AC629" s="559"/>
      <c r="AD629" s="559"/>
      <c r="AE629" s="559"/>
      <c r="AF629" s="559"/>
      <c r="AG629" s="559"/>
    </row>
    <row r="630" spans="1:33" ht="18" customHeight="1" x14ac:dyDescent="0.35">
      <c r="A630" s="559"/>
      <c r="B630" s="559"/>
      <c r="C630" s="559"/>
      <c r="D630" s="559"/>
      <c r="E630" s="559"/>
      <c r="F630" s="559"/>
      <c r="G630" s="559"/>
      <c r="H630" s="559"/>
      <c r="I630" s="559"/>
      <c r="J630" s="559"/>
      <c r="K630" s="559"/>
      <c r="L630" s="559"/>
      <c r="M630" s="559"/>
      <c r="N630" s="559"/>
      <c r="O630" s="559"/>
      <c r="P630" s="559"/>
      <c r="Q630" s="559"/>
      <c r="R630" s="559"/>
      <c r="S630" s="559"/>
      <c r="T630" s="559"/>
      <c r="U630" s="559"/>
      <c r="V630" s="559"/>
      <c r="W630" s="559"/>
      <c r="X630" s="559"/>
      <c r="Y630" s="559"/>
      <c r="Z630" s="559"/>
      <c r="AA630" s="559"/>
      <c r="AB630" s="559"/>
      <c r="AC630" s="559"/>
      <c r="AD630" s="559"/>
      <c r="AE630" s="559"/>
      <c r="AF630" s="559"/>
      <c r="AG630" s="559"/>
    </row>
    <row r="631" spans="1:33" ht="18" customHeight="1" x14ac:dyDescent="0.35">
      <c r="A631" s="559"/>
      <c r="B631" s="559"/>
      <c r="C631" s="559"/>
      <c r="D631" s="559"/>
      <c r="E631" s="559"/>
      <c r="F631" s="559"/>
      <c r="G631" s="559"/>
      <c r="H631" s="559"/>
      <c r="I631" s="559"/>
      <c r="J631" s="559"/>
      <c r="K631" s="559"/>
      <c r="L631" s="559"/>
      <c r="M631" s="559"/>
      <c r="N631" s="559"/>
      <c r="O631" s="559"/>
      <c r="P631" s="559"/>
      <c r="Q631" s="559"/>
      <c r="R631" s="559"/>
      <c r="S631" s="559"/>
      <c r="T631" s="559"/>
      <c r="U631" s="559"/>
      <c r="V631" s="559"/>
      <c r="W631" s="559"/>
      <c r="X631" s="559"/>
      <c r="Y631" s="559"/>
      <c r="Z631" s="559"/>
      <c r="AA631" s="559"/>
      <c r="AB631" s="559"/>
      <c r="AC631" s="559"/>
      <c r="AD631" s="559"/>
      <c r="AE631" s="559"/>
      <c r="AF631" s="559"/>
      <c r="AG631" s="559"/>
    </row>
    <row r="632" spans="1:33" ht="18" customHeight="1" x14ac:dyDescent="0.35">
      <c r="A632" s="559"/>
      <c r="B632" s="559"/>
      <c r="C632" s="559"/>
      <c r="D632" s="559"/>
      <c r="E632" s="559"/>
      <c r="F632" s="559"/>
      <c r="G632" s="559"/>
      <c r="H632" s="559"/>
      <c r="I632" s="559"/>
      <c r="J632" s="559"/>
      <c r="K632" s="559"/>
      <c r="L632" s="559"/>
      <c r="M632" s="559"/>
      <c r="N632" s="559"/>
      <c r="O632" s="559"/>
      <c r="P632" s="559"/>
      <c r="Q632" s="559"/>
      <c r="R632" s="559"/>
      <c r="S632" s="559"/>
      <c r="T632" s="559"/>
      <c r="U632" s="559"/>
      <c r="V632" s="559"/>
      <c r="W632" s="559"/>
      <c r="X632" s="559"/>
      <c r="Y632" s="559"/>
      <c r="Z632" s="559"/>
      <c r="AA632" s="559"/>
      <c r="AB632" s="559"/>
      <c r="AC632" s="559"/>
      <c r="AD632" s="559"/>
      <c r="AE632" s="559"/>
      <c r="AF632" s="559"/>
      <c r="AG632" s="559"/>
    </row>
    <row r="633" spans="1:33" ht="18" customHeight="1" x14ac:dyDescent="0.35">
      <c r="A633" s="559"/>
      <c r="B633" s="559"/>
      <c r="C633" s="559"/>
      <c r="D633" s="559"/>
      <c r="E633" s="559"/>
      <c r="F633" s="559"/>
      <c r="G633" s="559"/>
      <c r="H633" s="559"/>
      <c r="I633" s="559"/>
      <c r="J633" s="559"/>
      <c r="K633" s="559"/>
      <c r="L633" s="559"/>
      <c r="M633" s="559"/>
      <c r="N633" s="559"/>
      <c r="O633" s="559"/>
      <c r="P633" s="559"/>
      <c r="Q633" s="559"/>
      <c r="R633" s="559"/>
      <c r="S633" s="559"/>
      <c r="T633" s="559"/>
      <c r="U633" s="559"/>
      <c r="V633" s="559"/>
      <c r="W633" s="559"/>
      <c r="X633" s="559"/>
      <c r="Y633" s="559"/>
      <c r="Z633" s="559"/>
      <c r="AA633" s="559"/>
      <c r="AB633" s="559"/>
      <c r="AC633" s="559"/>
      <c r="AD633" s="559"/>
      <c r="AE633" s="559"/>
      <c r="AF633" s="559"/>
      <c r="AG633" s="559"/>
    </row>
    <row r="634" spans="1:33" ht="18" customHeight="1" x14ac:dyDescent="0.35">
      <c r="A634" s="559"/>
      <c r="B634" s="559"/>
      <c r="C634" s="559"/>
      <c r="D634" s="559"/>
      <c r="E634" s="559"/>
      <c r="F634" s="559"/>
      <c r="G634" s="559"/>
      <c r="H634" s="559"/>
      <c r="I634" s="559"/>
      <c r="J634" s="559"/>
      <c r="K634" s="559"/>
      <c r="L634" s="559"/>
      <c r="M634" s="559"/>
      <c r="N634" s="559"/>
      <c r="O634" s="559"/>
      <c r="P634" s="559"/>
      <c r="Q634" s="559"/>
      <c r="R634" s="559"/>
      <c r="S634" s="559"/>
      <c r="T634" s="559"/>
      <c r="U634" s="559"/>
      <c r="V634" s="559"/>
      <c r="W634" s="559"/>
      <c r="X634" s="559"/>
      <c r="Y634" s="559"/>
      <c r="Z634" s="559"/>
      <c r="AA634" s="559"/>
      <c r="AB634" s="559"/>
      <c r="AC634" s="559"/>
      <c r="AD634" s="559"/>
      <c r="AE634" s="559"/>
      <c r="AF634" s="559"/>
      <c r="AG634" s="559"/>
    </row>
    <row r="635" spans="1:33" ht="18" customHeight="1" x14ac:dyDescent="0.35">
      <c r="A635" s="559"/>
      <c r="B635" s="559"/>
      <c r="C635" s="559"/>
      <c r="D635" s="559"/>
      <c r="E635" s="559"/>
      <c r="F635" s="559"/>
      <c r="G635" s="559"/>
      <c r="H635" s="559"/>
      <c r="I635" s="559"/>
      <c r="J635" s="559"/>
      <c r="K635" s="559"/>
      <c r="L635" s="559"/>
      <c r="M635" s="559"/>
      <c r="N635" s="559"/>
      <c r="O635" s="559"/>
      <c r="P635" s="559"/>
      <c r="Q635" s="559"/>
      <c r="R635" s="559"/>
      <c r="S635" s="559"/>
      <c r="T635" s="559"/>
      <c r="U635" s="559"/>
      <c r="V635" s="559"/>
      <c r="W635" s="559"/>
      <c r="X635" s="559"/>
      <c r="Y635" s="559"/>
      <c r="Z635" s="559"/>
      <c r="AA635" s="559"/>
      <c r="AB635" s="559"/>
      <c r="AC635" s="559"/>
      <c r="AD635" s="559"/>
      <c r="AE635" s="559"/>
      <c r="AF635" s="559"/>
      <c r="AG635" s="559"/>
    </row>
    <row r="636" spans="1:33" ht="18" customHeight="1" x14ac:dyDescent="0.35">
      <c r="A636" s="559"/>
      <c r="B636" s="559"/>
      <c r="C636" s="559"/>
      <c r="D636" s="559"/>
      <c r="E636" s="559"/>
      <c r="F636" s="559"/>
      <c r="G636" s="559"/>
      <c r="H636" s="559"/>
      <c r="I636" s="559"/>
      <c r="J636" s="559"/>
      <c r="K636" s="559"/>
      <c r="L636" s="559"/>
      <c r="M636" s="559"/>
      <c r="N636" s="559"/>
      <c r="O636" s="559"/>
      <c r="P636" s="559"/>
      <c r="Q636" s="559"/>
      <c r="R636" s="559"/>
      <c r="S636" s="559"/>
      <c r="T636" s="559"/>
      <c r="U636" s="559"/>
      <c r="V636" s="559"/>
      <c r="W636" s="559"/>
      <c r="X636" s="559"/>
      <c r="Y636" s="559"/>
      <c r="Z636" s="559"/>
      <c r="AA636" s="559"/>
      <c r="AB636" s="559"/>
      <c r="AC636" s="559"/>
      <c r="AD636" s="559"/>
      <c r="AE636" s="559"/>
      <c r="AF636" s="559"/>
      <c r="AG636" s="559"/>
    </row>
    <row r="637" spans="1:33" ht="18" customHeight="1" x14ac:dyDescent="0.35">
      <c r="A637" s="559"/>
      <c r="B637" s="559"/>
      <c r="C637" s="559"/>
      <c r="D637" s="559"/>
      <c r="E637" s="559"/>
      <c r="F637" s="559"/>
      <c r="G637" s="559"/>
      <c r="H637" s="559"/>
      <c r="I637" s="559"/>
      <c r="J637" s="559"/>
      <c r="K637" s="559"/>
      <c r="L637" s="559"/>
      <c r="M637" s="559"/>
      <c r="N637" s="559"/>
      <c r="O637" s="559"/>
      <c r="P637" s="559"/>
      <c r="Q637" s="559"/>
      <c r="R637" s="559"/>
      <c r="S637" s="559"/>
      <c r="T637" s="559"/>
      <c r="U637" s="559"/>
      <c r="V637" s="559"/>
      <c r="W637" s="559"/>
      <c r="X637" s="559"/>
      <c r="Y637" s="559"/>
      <c r="Z637" s="559"/>
      <c r="AA637" s="559"/>
      <c r="AB637" s="559"/>
      <c r="AC637" s="559"/>
      <c r="AD637" s="559"/>
      <c r="AE637" s="559"/>
      <c r="AF637" s="559"/>
      <c r="AG637" s="559"/>
    </row>
    <row r="638" spans="1:33" ht="18" customHeight="1" x14ac:dyDescent="0.35">
      <c r="A638" s="559"/>
      <c r="B638" s="559"/>
      <c r="C638" s="559"/>
      <c r="D638" s="559"/>
      <c r="E638" s="559"/>
      <c r="F638" s="559"/>
      <c r="G638" s="559"/>
      <c r="H638" s="559"/>
      <c r="I638" s="559"/>
      <c r="J638" s="559"/>
      <c r="K638" s="559"/>
      <c r="L638" s="559"/>
      <c r="M638" s="559"/>
      <c r="N638" s="559"/>
      <c r="O638" s="559"/>
      <c r="P638" s="559"/>
      <c r="Q638" s="559"/>
      <c r="R638" s="559"/>
      <c r="S638" s="559"/>
      <c r="T638" s="559"/>
      <c r="U638" s="559"/>
      <c r="V638" s="559"/>
      <c r="W638" s="559"/>
      <c r="X638" s="559"/>
      <c r="Y638" s="559"/>
      <c r="Z638" s="559"/>
      <c r="AA638" s="559"/>
      <c r="AB638" s="559"/>
      <c r="AC638" s="559"/>
      <c r="AD638" s="559"/>
      <c r="AE638" s="559"/>
      <c r="AF638" s="559"/>
      <c r="AG638" s="559"/>
    </row>
    <row r="639" spans="1:33" ht="18" customHeight="1" x14ac:dyDescent="0.35">
      <c r="A639" s="559"/>
      <c r="B639" s="559"/>
      <c r="C639" s="559"/>
      <c r="D639" s="559"/>
      <c r="E639" s="559"/>
      <c r="F639" s="559"/>
      <c r="G639" s="559"/>
      <c r="H639" s="559"/>
      <c r="I639" s="559"/>
      <c r="J639" s="559"/>
      <c r="K639" s="559"/>
      <c r="L639" s="559"/>
      <c r="M639" s="559"/>
      <c r="N639" s="559"/>
      <c r="O639" s="559"/>
      <c r="P639" s="559"/>
      <c r="Q639" s="559"/>
      <c r="R639" s="559"/>
      <c r="S639" s="559"/>
      <c r="T639" s="559"/>
      <c r="U639" s="559"/>
      <c r="V639" s="559"/>
      <c r="W639" s="559"/>
      <c r="X639" s="559"/>
      <c r="Y639" s="559"/>
      <c r="Z639" s="559"/>
      <c r="AA639" s="559"/>
      <c r="AB639" s="559"/>
      <c r="AC639" s="559"/>
      <c r="AD639" s="559"/>
      <c r="AE639" s="559"/>
      <c r="AF639" s="559"/>
      <c r="AG639" s="559"/>
    </row>
    <row r="640" spans="1:33" ht="18" customHeight="1" x14ac:dyDescent="0.35">
      <c r="A640" s="559"/>
      <c r="B640" s="559"/>
      <c r="C640" s="559"/>
      <c r="D640" s="559"/>
      <c r="E640" s="559"/>
      <c r="F640" s="559"/>
      <c r="G640" s="559"/>
      <c r="H640" s="559"/>
      <c r="I640" s="559"/>
      <c r="J640" s="559"/>
      <c r="K640" s="559"/>
      <c r="L640" s="559"/>
      <c r="M640" s="559"/>
      <c r="N640" s="559"/>
      <c r="O640" s="559"/>
      <c r="P640" s="559"/>
      <c r="Q640" s="559"/>
      <c r="R640" s="559"/>
      <c r="S640" s="559"/>
      <c r="T640" s="559"/>
      <c r="U640" s="559"/>
      <c r="V640" s="559"/>
      <c r="W640" s="559"/>
      <c r="X640" s="559"/>
      <c r="Y640" s="559"/>
      <c r="Z640" s="559"/>
      <c r="AA640" s="559"/>
      <c r="AB640" s="559"/>
      <c r="AC640" s="559"/>
      <c r="AD640" s="559"/>
      <c r="AE640" s="559"/>
      <c r="AF640" s="559"/>
      <c r="AG640" s="559"/>
    </row>
    <row r="641" spans="1:33" ht="18" customHeight="1" x14ac:dyDescent="0.35">
      <c r="A641" s="559"/>
      <c r="B641" s="559"/>
      <c r="C641" s="559"/>
      <c r="D641" s="559"/>
      <c r="E641" s="559"/>
      <c r="F641" s="559"/>
      <c r="G641" s="559"/>
      <c r="H641" s="559"/>
      <c r="I641" s="559"/>
      <c r="J641" s="559"/>
      <c r="K641" s="559"/>
      <c r="L641" s="559"/>
      <c r="M641" s="559"/>
      <c r="N641" s="559"/>
      <c r="O641" s="559"/>
      <c r="P641" s="559"/>
      <c r="Q641" s="559"/>
      <c r="R641" s="559"/>
      <c r="S641" s="559"/>
      <c r="T641" s="559"/>
      <c r="U641" s="559"/>
      <c r="V641" s="559"/>
      <c r="W641" s="559"/>
      <c r="X641" s="559"/>
      <c r="Y641" s="559"/>
      <c r="Z641" s="559"/>
      <c r="AA641" s="559"/>
      <c r="AB641" s="559"/>
      <c r="AC641" s="559"/>
      <c r="AD641" s="559"/>
      <c r="AE641" s="559"/>
      <c r="AF641" s="559"/>
      <c r="AG641" s="559"/>
    </row>
    <row r="642" spans="1:33" ht="18" customHeight="1" x14ac:dyDescent="0.35">
      <c r="A642" s="559"/>
      <c r="B642" s="559"/>
      <c r="C642" s="559"/>
      <c r="D642" s="559"/>
      <c r="E642" s="559"/>
      <c r="F642" s="559"/>
      <c r="G642" s="559"/>
      <c r="H642" s="559"/>
      <c r="I642" s="559"/>
      <c r="J642" s="559"/>
      <c r="K642" s="559"/>
      <c r="L642" s="559"/>
      <c r="M642" s="559"/>
      <c r="N642" s="559"/>
      <c r="O642" s="559"/>
      <c r="P642" s="559"/>
      <c r="Q642" s="559"/>
      <c r="R642" s="559"/>
      <c r="S642" s="559"/>
      <c r="T642" s="559"/>
      <c r="U642" s="559"/>
      <c r="V642" s="559"/>
      <c r="W642" s="559"/>
      <c r="X642" s="559"/>
      <c r="Y642" s="559"/>
      <c r="Z642" s="559"/>
      <c r="AA642" s="559"/>
      <c r="AB642" s="559"/>
      <c r="AC642" s="559"/>
      <c r="AD642" s="559"/>
      <c r="AE642" s="559"/>
      <c r="AF642" s="559"/>
      <c r="AG642" s="559"/>
    </row>
    <row r="643" spans="1:33" ht="18" customHeight="1" x14ac:dyDescent="0.35">
      <c r="A643" s="559"/>
      <c r="B643" s="559"/>
      <c r="C643" s="559"/>
      <c r="D643" s="559"/>
      <c r="E643" s="559"/>
      <c r="F643" s="559"/>
      <c r="G643" s="559"/>
      <c r="H643" s="559"/>
      <c r="I643" s="559"/>
      <c r="J643" s="559"/>
      <c r="K643" s="559"/>
      <c r="L643" s="559"/>
      <c r="M643" s="559"/>
      <c r="N643" s="559"/>
      <c r="O643" s="559"/>
      <c r="P643" s="559"/>
      <c r="Q643" s="559"/>
      <c r="R643" s="559"/>
      <c r="S643" s="559"/>
      <c r="T643" s="559"/>
      <c r="U643" s="559"/>
      <c r="V643" s="559"/>
      <c r="W643" s="559"/>
      <c r="X643" s="559"/>
      <c r="Y643" s="559"/>
      <c r="Z643" s="559"/>
      <c r="AA643" s="559"/>
      <c r="AB643" s="559"/>
      <c r="AC643" s="559"/>
      <c r="AD643" s="559"/>
      <c r="AE643" s="559"/>
      <c r="AF643" s="559"/>
      <c r="AG643" s="559"/>
    </row>
    <row r="644" spans="1:33" ht="18" customHeight="1" x14ac:dyDescent="0.35">
      <c r="A644" s="559"/>
      <c r="B644" s="559"/>
      <c r="C644" s="559"/>
      <c r="D644" s="559"/>
      <c r="E644" s="559"/>
      <c r="F644" s="559"/>
      <c r="G644" s="559"/>
      <c r="H644" s="559"/>
      <c r="I644" s="559"/>
      <c r="J644" s="559"/>
      <c r="K644" s="559"/>
      <c r="L644" s="559"/>
      <c r="M644" s="559"/>
      <c r="N644" s="559"/>
      <c r="O644" s="559"/>
      <c r="P644" s="559"/>
      <c r="Q644" s="559"/>
      <c r="R644" s="559"/>
      <c r="S644" s="559"/>
      <c r="T644" s="559"/>
      <c r="U644" s="559"/>
      <c r="V644" s="559"/>
      <c r="W644" s="559"/>
      <c r="X644" s="559"/>
      <c r="Y644" s="559"/>
      <c r="Z644" s="559"/>
      <c r="AA644" s="559"/>
      <c r="AB644" s="559"/>
      <c r="AC644" s="559"/>
      <c r="AD644" s="559"/>
      <c r="AE644" s="559"/>
      <c r="AF644" s="559"/>
      <c r="AG644" s="559"/>
    </row>
    <row r="645" spans="1:33" ht="18" customHeight="1" x14ac:dyDescent="0.35">
      <c r="A645" s="559"/>
      <c r="B645" s="559"/>
      <c r="C645" s="559"/>
      <c r="D645" s="559"/>
      <c r="E645" s="559"/>
      <c r="F645" s="559"/>
      <c r="G645" s="559"/>
      <c r="H645" s="559"/>
      <c r="I645" s="559"/>
      <c r="J645" s="559"/>
      <c r="K645" s="559"/>
      <c r="L645" s="559"/>
      <c r="M645" s="559"/>
      <c r="N645" s="559"/>
      <c r="O645" s="559"/>
      <c r="P645" s="559"/>
      <c r="Q645" s="559"/>
      <c r="R645" s="559"/>
      <c r="S645" s="559"/>
      <c r="T645" s="559"/>
      <c r="U645" s="559"/>
      <c r="V645" s="559"/>
      <c r="W645" s="559"/>
      <c r="X645" s="559"/>
      <c r="Y645" s="559"/>
      <c r="Z645" s="559"/>
      <c r="AA645" s="559"/>
      <c r="AB645" s="559"/>
      <c r="AC645" s="559"/>
      <c r="AD645" s="559"/>
      <c r="AE645" s="559"/>
      <c r="AF645" s="559"/>
      <c r="AG645" s="559"/>
    </row>
    <row r="646" spans="1:33" ht="18" customHeight="1" x14ac:dyDescent="0.35">
      <c r="A646" s="559"/>
      <c r="B646" s="559"/>
      <c r="C646" s="559"/>
      <c r="D646" s="559"/>
      <c r="E646" s="559"/>
      <c r="F646" s="559"/>
      <c r="G646" s="559"/>
      <c r="H646" s="559"/>
      <c r="I646" s="559"/>
      <c r="J646" s="559"/>
      <c r="K646" s="559"/>
      <c r="L646" s="559"/>
      <c r="M646" s="559"/>
      <c r="N646" s="559"/>
      <c r="O646" s="559"/>
      <c r="P646" s="559"/>
      <c r="Q646" s="559"/>
      <c r="R646" s="559"/>
      <c r="S646" s="559"/>
      <c r="T646" s="559"/>
      <c r="U646" s="559"/>
      <c r="V646" s="559"/>
      <c r="W646" s="559"/>
      <c r="X646" s="559"/>
      <c r="Y646" s="559"/>
      <c r="Z646" s="559"/>
      <c r="AA646" s="559"/>
      <c r="AB646" s="559"/>
      <c r="AC646" s="559"/>
      <c r="AD646" s="559"/>
      <c r="AE646" s="559"/>
      <c r="AF646" s="559"/>
      <c r="AG646" s="559"/>
    </row>
    <row r="647" spans="1:33" ht="18" customHeight="1" x14ac:dyDescent="0.35">
      <c r="A647" s="559"/>
      <c r="B647" s="559"/>
      <c r="C647" s="559"/>
      <c r="D647" s="559"/>
      <c r="E647" s="559"/>
      <c r="F647" s="559"/>
      <c r="G647" s="559"/>
      <c r="H647" s="559"/>
      <c r="I647" s="559"/>
      <c r="J647" s="559"/>
      <c r="K647" s="559"/>
      <c r="L647" s="559"/>
      <c r="M647" s="559"/>
      <c r="N647" s="559"/>
      <c r="O647" s="559"/>
      <c r="P647" s="559"/>
      <c r="Q647" s="559"/>
      <c r="R647" s="559"/>
      <c r="S647" s="559"/>
      <c r="T647" s="559"/>
      <c r="U647" s="559"/>
      <c r="V647" s="559"/>
      <c r="W647" s="559"/>
      <c r="X647" s="559"/>
      <c r="Y647" s="559"/>
      <c r="Z647" s="559"/>
      <c r="AA647" s="559"/>
      <c r="AB647" s="559"/>
      <c r="AC647" s="559"/>
      <c r="AD647" s="559"/>
      <c r="AE647" s="559"/>
      <c r="AF647" s="559"/>
      <c r="AG647" s="559"/>
    </row>
    <row r="648" spans="1:33" ht="18" customHeight="1" x14ac:dyDescent="0.35">
      <c r="A648" s="559"/>
      <c r="B648" s="559"/>
      <c r="C648" s="559"/>
      <c r="D648" s="559"/>
      <c r="E648" s="559"/>
      <c r="F648" s="559"/>
      <c r="G648" s="559"/>
      <c r="H648" s="559"/>
      <c r="I648" s="559"/>
      <c r="J648" s="559"/>
      <c r="K648" s="559"/>
      <c r="L648" s="559"/>
      <c r="M648" s="559"/>
      <c r="N648" s="559"/>
      <c r="O648" s="559"/>
      <c r="P648" s="559"/>
      <c r="Q648" s="559"/>
      <c r="R648" s="559"/>
      <c r="S648" s="559"/>
      <c r="T648" s="559"/>
      <c r="U648" s="559"/>
      <c r="V648" s="559"/>
      <c r="W648" s="559"/>
      <c r="X648" s="559"/>
      <c r="Y648" s="559"/>
      <c r="Z648" s="559"/>
      <c r="AA648" s="559"/>
      <c r="AB648" s="559"/>
      <c r="AC648" s="559"/>
      <c r="AD648" s="559"/>
      <c r="AE648" s="559"/>
      <c r="AF648" s="559"/>
      <c r="AG648" s="559"/>
    </row>
    <row r="649" spans="1:33" ht="18" customHeight="1" x14ac:dyDescent="0.35">
      <c r="A649" s="559"/>
      <c r="B649" s="559"/>
      <c r="C649" s="559"/>
      <c r="D649" s="559"/>
      <c r="E649" s="559"/>
      <c r="F649" s="559"/>
      <c r="G649" s="559"/>
      <c r="H649" s="559"/>
      <c r="I649" s="559"/>
      <c r="J649" s="559"/>
      <c r="K649" s="559"/>
      <c r="L649" s="559"/>
      <c r="M649" s="559"/>
      <c r="N649" s="559"/>
      <c r="O649" s="559"/>
      <c r="P649" s="559"/>
      <c r="Q649" s="559"/>
      <c r="R649" s="559"/>
      <c r="S649" s="559"/>
      <c r="T649" s="559"/>
      <c r="U649" s="559"/>
      <c r="V649" s="559"/>
      <c r="W649" s="559"/>
      <c r="X649" s="559"/>
      <c r="Y649" s="559"/>
      <c r="Z649" s="559"/>
      <c r="AA649" s="559"/>
      <c r="AB649" s="559"/>
      <c r="AC649" s="559"/>
      <c r="AD649" s="559"/>
      <c r="AE649" s="559"/>
      <c r="AF649" s="559"/>
      <c r="AG649" s="559"/>
    </row>
    <row r="650" spans="1:33" ht="18" customHeight="1" x14ac:dyDescent="0.35">
      <c r="A650" s="559"/>
      <c r="B650" s="559"/>
      <c r="C650" s="559"/>
      <c r="D650" s="559"/>
      <c r="E650" s="559"/>
      <c r="F650" s="559"/>
      <c r="G650" s="559"/>
      <c r="H650" s="559"/>
      <c r="I650" s="559"/>
      <c r="J650" s="559"/>
      <c r="K650" s="559"/>
      <c r="L650" s="559"/>
      <c r="M650" s="559"/>
      <c r="N650" s="559"/>
      <c r="O650" s="559"/>
      <c r="P650" s="559"/>
      <c r="Q650" s="559"/>
      <c r="R650" s="559"/>
      <c r="S650" s="559"/>
      <c r="T650" s="559"/>
      <c r="U650" s="559"/>
      <c r="V650" s="559"/>
      <c r="W650" s="559"/>
      <c r="X650" s="559"/>
      <c r="Y650" s="559"/>
      <c r="Z650" s="559"/>
      <c r="AA650" s="559"/>
      <c r="AB650" s="559"/>
      <c r="AC650" s="559"/>
      <c r="AD650" s="559"/>
      <c r="AE650" s="559"/>
      <c r="AF650" s="559"/>
      <c r="AG650" s="559"/>
    </row>
    <row r="651" spans="1:33" ht="18" customHeight="1" x14ac:dyDescent="0.35">
      <c r="A651" s="559"/>
      <c r="B651" s="559"/>
      <c r="C651" s="559"/>
      <c r="D651" s="559"/>
      <c r="E651" s="559"/>
      <c r="F651" s="559"/>
      <c r="G651" s="559"/>
      <c r="H651" s="559"/>
      <c r="I651" s="559"/>
      <c r="J651" s="559"/>
      <c r="K651" s="559"/>
      <c r="L651" s="559"/>
      <c r="M651" s="559"/>
      <c r="N651" s="559"/>
      <c r="O651" s="559"/>
      <c r="P651" s="559"/>
      <c r="Q651" s="559"/>
      <c r="R651" s="559"/>
      <c r="S651" s="559"/>
      <c r="T651" s="559"/>
      <c r="U651" s="559"/>
      <c r="V651" s="559"/>
      <c r="W651" s="559"/>
      <c r="X651" s="559"/>
      <c r="Y651" s="559"/>
      <c r="Z651" s="559"/>
      <c r="AA651" s="559"/>
      <c r="AB651" s="559"/>
      <c r="AC651" s="559"/>
      <c r="AD651" s="559"/>
      <c r="AE651" s="559"/>
      <c r="AF651" s="559"/>
      <c r="AG651" s="559"/>
    </row>
    <row r="652" spans="1:33" ht="18" customHeight="1" x14ac:dyDescent="0.35">
      <c r="A652" s="559"/>
      <c r="B652" s="559"/>
      <c r="C652" s="559"/>
      <c r="D652" s="559"/>
      <c r="E652" s="559"/>
      <c r="F652" s="559"/>
      <c r="G652" s="559"/>
      <c r="H652" s="559"/>
      <c r="I652" s="559"/>
      <c r="J652" s="559"/>
      <c r="K652" s="559"/>
      <c r="L652" s="559"/>
      <c r="M652" s="559"/>
      <c r="N652" s="559"/>
      <c r="O652" s="559"/>
      <c r="P652" s="559"/>
      <c r="Q652" s="559"/>
      <c r="R652" s="559"/>
      <c r="S652" s="559"/>
      <c r="T652" s="559"/>
      <c r="U652" s="559"/>
      <c r="V652" s="559"/>
      <c r="W652" s="559"/>
      <c r="X652" s="559"/>
      <c r="Y652" s="559"/>
      <c r="Z652" s="559"/>
      <c r="AA652" s="559"/>
      <c r="AB652" s="559"/>
      <c r="AC652" s="559"/>
      <c r="AD652" s="559"/>
      <c r="AE652" s="559"/>
      <c r="AF652" s="559"/>
      <c r="AG652" s="559"/>
    </row>
    <row r="653" spans="1:33" ht="18" customHeight="1" x14ac:dyDescent="0.35">
      <c r="A653" s="559"/>
      <c r="B653" s="559"/>
      <c r="C653" s="559"/>
      <c r="D653" s="559"/>
      <c r="E653" s="559"/>
      <c r="F653" s="559"/>
      <c r="G653" s="559"/>
      <c r="H653" s="559"/>
      <c r="I653" s="559"/>
      <c r="J653" s="559"/>
      <c r="K653" s="559"/>
      <c r="L653" s="559"/>
      <c r="M653" s="559"/>
      <c r="N653" s="559"/>
      <c r="O653" s="559"/>
      <c r="P653" s="559"/>
      <c r="Q653" s="559"/>
      <c r="R653" s="559"/>
      <c r="S653" s="559"/>
      <c r="T653" s="559"/>
      <c r="U653" s="559"/>
      <c r="V653" s="559"/>
      <c r="W653" s="559"/>
      <c r="X653" s="559"/>
      <c r="Y653" s="559"/>
      <c r="Z653" s="559"/>
      <c r="AA653" s="559"/>
      <c r="AB653" s="559"/>
      <c r="AC653" s="559"/>
      <c r="AD653" s="559"/>
      <c r="AE653" s="559"/>
      <c r="AF653" s="559"/>
      <c r="AG653" s="559"/>
    </row>
    <row r="654" spans="1:33" ht="18" customHeight="1" x14ac:dyDescent="0.35">
      <c r="A654" s="559"/>
      <c r="B654" s="559"/>
      <c r="C654" s="559"/>
      <c r="D654" s="559"/>
      <c r="E654" s="559"/>
      <c r="F654" s="559"/>
      <c r="G654" s="559"/>
      <c r="H654" s="559"/>
      <c r="I654" s="559"/>
      <c r="J654" s="559"/>
      <c r="K654" s="559"/>
      <c r="L654" s="559"/>
      <c r="M654" s="559"/>
      <c r="N654" s="559"/>
      <c r="O654" s="559"/>
      <c r="P654" s="559"/>
      <c r="Q654" s="559"/>
      <c r="R654" s="559"/>
      <c r="S654" s="559"/>
      <c r="T654" s="559"/>
      <c r="U654" s="559"/>
      <c r="V654" s="559"/>
      <c r="W654" s="559"/>
      <c r="X654" s="559"/>
      <c r="Y654" s="559"/>
      <c r="Z654" s="559"/>
      <c r="AA654" s="559"/>
      <c r="AB654" s="559"/>
      <c r="AC654" s="559"/>
      <c r="AD654" s="559"/>
      <c r="AE654" s="559"/>
      <c r="AF654" s="559"/>
      <c r="AG654" s="559"/>
    </row>
    <row r="655" spans="1:33" ht="18" customHeight="1" x14ac:dyDescent="0.35">
      <c r="A655" s="559"/>
      <c r="B655" s="559"/>
      <c r="C655" s="559"/>
      <c r="D655" s="559"/>
      <c r="E655" s="559"/>
      <c r="F655" s="559"/>
      <c r="G655" s="559"/>
      <c r="H655" s="559"/>
      <c r="I655" s="559"/>
      <c r="J655" s="559"/>
      <c r="K655" s="559"/>
      <c r="L655" s="559"/>
      <c r="M655" s="559"/>
      <c r="N655" s="559"/>
      <c r="O655" s="559"/>
      <c r="P655" s="559"/>
      <c r="Q655" s="559"/>
      <c r="R655" s="559"/>
      <c r="S655" s="559"/>
      <c r="T655" s="559"/>
      <c r="U655" s="559"/>
      <c r="V655" s="559"/>
      <c r="W655" s="559"/>
      <c r="X655" s="559"/>
      <c r="Y655" s="559"/>
      <c r="Z655" s="559"/>
      <c r="AA655" s="559"/>
      <c r="AB655" s="559"/>
      <c r="AC655" s="559"/>
      <c r="AD655" s="559"/>
      <c r="AE655" s="559"/>
      <c r="AF655" s="559"/>
      <c r="AG655" s="559"/>
    </row>
    <row r="656" spans="1:33" ht="18" customHeight="1" x14ac:dyDescent="0.35">
      <c r="A656" s="559"/>
      <c r="B656" s="559"/>
      <c r="C656" s="559"/>
      <c r="D656" s="559"/>
      <c r="E656" s="559"/>
      <c r="F656" s="559"/>
      <c r="G656" s="559"/>
      <c r="H656" s="559"/>
      <c r="I656" s="559"/>
      <c r="J656" s="559"/>
      <c r="K656" s="559"/>
      <c r="L656" s="559"/>
      <c r="M656" s="559"/>
      <c r="N656" s="559"/>
      <c r="O656" s="559"/>
      <c r="P656" s="559"/>
      <c r="Q656" s="559"/>
      <c r="R656" s="559"/>
      <c r="S656" s="559"/>
      <c r="T656" s="559"/>
      <c r="U656" s="559"/>
      <c r="V656" s="559"/>
      <c r="W656" s="559"/>
      <c r="X656" s="559"/>
      <c r="Y656" s="559"/>
      <c r="Z656" s="559"/>
      <c r="AA656" s="559"/>
      <c r="AB656" s="559"/>
      <c r="AC656" s="559"/>
      <c r="AD656" s="559"/>
      <c r="AE656" s="559"/>
      <c r="AF656" s="559"/>
      <c r="AG656" s="559"/>
    </row>
    <row r="657" spans="1:33" ht="18" customHeight="1" x14ac:dyDescent="0.35">
      <c r="A657" s="559"/>
      <c r="B657" s="559"/>
      <c r="C657" s="559"/>
      <c r="D657" s="559"/>
      <c r="E657" s="559"/>
      <c r="F657" s="559"/>
      <c r="G657" s="559"/>
      <c r="H657" s="559"/>
      <c r="I657" s="559"/>
      <c r="J657" s="559"/>
      <c r="K657" s="559"/>
      <c r="L657" s="559"/>
      <c r="M657" s="559"/>
      <c r="N657" s="559"/>
      <c r="O657" s="559"/>
      <c r="P657" s="559"/>
      <c r="Q657" s="559"/>
      <c r="R657" s="559"/>
      <c r="S657" s="559"/>
      <c r="T657" s="559"/>
      <c r="U657" s="559"/>
      <c r="V657" s="559"/>
      <c r="W657" s="559"/>
      <c r="X657" s="559"/>
      <c r="Y657" s="559"/>
      <c r="Z657" s="559"/>
      <c r="AA657" s="559"/>
      <c r="AB657" s="559"/>
      <c r="AC657" s="559"/>
      <c r="AD657" s="559"/>
      <c r="AE657" s="559"/>
      <c r="AF657" s="559"/>
      <c r="AG657" s="559"/>
    </row>
    <row r="658" spans="1:33" ht="18" customHeight="1" x14ac:dyDescent="0.35">
      <c r="A658" s="559"/>
      <c r="B658" s="559"/>
      <c r="C658" s="559"/>
      <c r="D658" s="559"/>
      <c r="E658" s="559"/>
      <c r="F658" s="559"/>
      <c r="G658" s="559"/>
      <c r="H658" s="559"/>
      <c r="I658" s="559"/>
      <c r="J658" s="559"/>
      <c r="K658" s="559"/>
      <c r="L658" s="559"/>
      <c r="M658" s="559"/>
      <c r="N658" s="559"/>
      <c r="O658" s="559"/>
      <c r="P658" s="559"/>
      <c r="Q658" s="559"/>
      <c r="R658" s="559"/>
      <c r="S658" s="559"/>
      <c r="T658" s="559"/>
      <c r="U658" s="559"/>
      <c r="V658" s="559"/>
      <c r="W658" s="559"/>
      <c r="X658" s="559"/>
      <c r="Y658" s="559"/>
      <c r="Z658" s="559"/>
      <c r="AA658" s="559"/>
      <c r="AB658" s="559"/>
      <c r="AC658" s="559"/>
      <c r="AD658" s="559"/>
      <c r="AE658" s="559"/>
      <c r="AF658" s="559"/>
      <c r="AG658" s="559"/>
    </row>
    <row r="659" spans="1:33" ht="18" customHeight="1" x14ac:dyDescent="0.35">
      <c r="A659" s="559"/>
      <c r="B659" s="559"/>
      <c r="C659" s="559"/>
      <c r="D659" s="559"/>
      <c r="E659" s="559"/>
      <c r="F659" s="559"/>
      <c r="G659" s="559"/>
      <c r="H659" s="559"/>
      <c r="I659" s="559"/>
      <c r="J659" s="559"/>
      <c r="K659" s="559"/>
      <c r="L659" s="559"/>
      <c r="M659" s="559"/>
      <c r="N659" s="559"/>
      <c r="O659" s="559"/>
      <c r="P659" s="559"/>
      <c r="Q659" s="559"/>
      <c r="R659" s="559"/>
      <c r="S659" s="559"/>
      <c r="T659" s="559"/>
      <c r="U659" s="559"/>
      <c r="V659" s="559"/>
      <c r="W659" s="559"/>
      <c r="X659" s="559"/>
      <c r="Y659" s="559"/>
      <c r="Z659" s="559"/>
      <c r="AA659" s="559"/>
      <c r="AB659" s="559"/>
      <c r="AC659" s="559"/>
      <c r="AD659" s="559"/>
      <c r="AE659" s="559"/>
      <c r="AF659" s="559"/>
      <c r="AG659" s="559"/>
    </row>
    <row r="660" spans="1:33" ht="18" customHeight="1" x14ac:dyDescent="0.35">
      <c r="A660" s="559"/>
      <c r="B660" s="559"/>
      <c r="C660" s="559"/>
      <c r="D660" s="559"/>
      <c r="E660" s="559"/>
      <c r="F660" s="559"/>
      <c r="G660" s="559"/>
      <c r="H660" s="559"/>
      <c r="I660" s="559"/>
      <c r="J660" s="559"/>
      <c r="K660" s="559"/>
      <c r="L660" s="559"/>
      <c r="M660" s="559"/>
      <c r="N660" s="559"/>
      <c r="O660" s="559"/>
      <c r="P660" s="559"/>
      <c r="Q660" s="559"/>
      <c r="R660" s="559"/>
      <c r="S660" s="559"/>
      <c r="T660" s="559"/>
      <c r="U660" s="559"/>
      <c r="V660" s="559"/>
      <c r="W660" s="559"/>
      <c r="X660" s="559"/>
      <c r="Y660" s="559"/>
      <c r="Z660" s="559"/>
      <c r="AA660" s="559"/>
      <c r="AB660" s="559"/>
      <c r="AC660" s="559"/>
      <c r="AD660" s="559"/>
      <c r="AE660" s="559"/>
      <c r="AF660" s="559"/>
      <c r="AG660" s="559"/>
    </row>
    <row r="661" spans="1:33" ht="18" customHeight="1" x14ac:dyDescent="0.35">
      <c r="A661" s="559"/>
      <c r="B661" s="559"/>
      <c r="C661" s="559"/>
      <c r="D661" s="559"/>
      <c r="E661" s="559"/>
      <c r="F661" s="559"/>
      <c r="G661" s="559"/>
      <c r="H661" s="559"/>
      <c r="I661" s="559"/>
      <c r="J661" s="559"/>
      <c r="K661" s="559"/>
      <c r="L661" s="559"/>
      <c r="M661" s="559"/>
      <c r="N661" s="559"/>
      <c r="O661" s="559"/>
      <c r="P661" s="559"/>
      <c r="Q661" s="559"/>
      <c r="R661" s="559"/>
      <c r="S661" s="559"/>
      <c r="T661" s="559"/>
      <c r="U661" s="559"/>
      <c r="V661" s="559"/>
      <c r="W661" s="559"/>
      <c r="X661" s="559"/>
      <c r="Y661" s="559"/>
      <c r="Z661" s="559"/>
      <c r="AA661" s="559"/>
      <c r="AB661" s="559"/>
      <c r="AC661" s="559"/>
      <c r="AD661" s="559"/>
      <c r="AE661" s="559"/>
      <c r="AF661" s="559"/>
      <c r="AG661" s="559"/>
    </row>
    <row r="662" spans="1:33" ht="18" customHeight="1" x14ac:dyDescent="0.35">
      <c r="A662" s="559"/>
      <c r="B662" s="559"/>
      <c r="C662" s="559"/>
      <c r="D662" s="559"/>
      <c r="E662" s="559"/>
      <c r="F662" s="559"/>
      <c r="G662" s="559"/>
      <c r="H662" s="559"/>
      <c r="I662" s="559"/>
      <c r="J662" s="559"/>
      <c r="K662" s="559"/>
      <c r="L662" s="559"/>
      <c r="M662" s="559"/>
      <c r="N662" s="559"/>
      <c r="O662" s="559"/>
      <c r="P662" s="559"/>
      <c r="Q662" s="559"/>
      <c r="R662" s="559"/>
      <c r="S662" s="559"/>
      <c r="T662" s="559"/>
      <c r="U662" s="559"/>
      <c r="V662" s="559"/>
      <c r="W662" s="559"/>
      <c r="X662" s="559"/>
      <c r="Y662" s="559"/>
      <c r="Z662" s="559"/>
      <c r="AA662" s="559"/>
      <c r="AB662" s="559"/>
      <c r="AC662" s="559"/>
      <c r="AD662" s="559"/>
      <c r="AE662" s="559"/>
      <c r="AF662" s="559"/>
      <c r="AG662" s="559"/>
    </row>
    <row r="663" spans="1:33" ht="18" customHeight="1" x14ac:dyDescent="0.35">
      <c r="A663" s="559"/>
      <c r="B663" s="559"/>
      <c r="C663" s="559"/>
      <c r="D663" s="559"/>
      <c r="E663" s="559"/>
      <c r="F663" s="559"/>
      <c r="G663" s="559"/>
      <c r="H663" s="559"/>
      <c r="I663" s="559"/>
      <c r="J663" s="559"/>
      <c r="K663" s="559"/>
      <c r="L663" s="559"/>
      <c r="M663" s="559"/>
      <c r="N663" s="559"/>
      <c r="O663" s="559"/>
      <c r="P663" s="559"/>
      <c r="Q663" s="559"/>
      <c r="R663" s="559"/>
      <c r="S663" s="559"/>
      <c r="T663" s="559"/>
      <c r="U663" s="559"/>
      <c r="V663" s="559"/>
      <c r="W663" s="559"/>
      <c r="X663" s="559"/>
      <c r="Y663" s="559"/>
      <c r="Z663" s="559"/>
      <c r="AA663" s="559"/>
      <c r="AB663" s="559"/>
      <c r="AC663" s="559"/>
      <c r="AD663" s="559"/>
      <c r="AE663" s="559"/>
      <c r="AF663" s="559"/>
      <c r="AG663" s="559"/>
    </row>
    <row r="664" spans="1:33" ht="18" customHeight="1" x14ac:dyDescent="0.35">
      <c r="A664" s="559"/>
      <c r="B664" s="559"/>
      <c r="C664" s="559"/>
      <c r="D664" s="559"/>
      <c r="E664" s="559"/>
      <c r="F664" s="559"/>
      <c r="G664" s="559"/>
      <c r="H664" s="559"/>
      <c r="I664" s="559"/>
      <c r="J664" s="559"/>
      <c r="K664" s="559"/>
      <c r="L664" s="559"/>
      <c r="M664" s="559"/>
      <c r="N664" s="559"/>
      <c r="O664" s="559"/>
      <c r="P664" s="559"/>
      <c r="Q664" s="559"/>
      <c r="R664" s="559"/>
      <c r="S664" s="559"/>
      <c r="T664" s="559"/>
      <c r="U664" s="559"/>
      <c r="V664" s="559"/>
      <c r="W664" s="559"/>
      <c r="X664" s="559"/>
      <c r="Y664" s="559"/>
      <c r="Z664" s="559"/>
      <c r="AA664" s="559"/>
      <c r="AB664" s="559"/>
      <c r="AC664" s="559"/>
      <c r="AD664" s="559"/>
      <c r="AE664" s="559"/>
      <c r="AF664" s="559"/>
      <c r="AG664" s="559"/>
    </row>
    <row r="665" spans="1:33" ht="18" customHeight="1" x14ac:dyDescent="0.35">
      <c r="A665" s="559"/>
      <c r="B665" s="559"/>
      <c r="C665" s="559"/>
      <c r="D665" s="559"/>
      <c r="E665" s="559"/>
      <c r="F665" s="559"/>
      <c r="G665" s="559"/>
      <c r="H665" s="559"/>
      <c r="I665" s="559"/>
      <c r="J665" s="559"/>
      <c r="K665" s="559"/>
      <c r="L665" s="559"/>
      <c r="M665" s="559"/>
      <c r="N665" s="559"/>
      <c r="O665" s="559"/>
      <c r="P665" s="559"/>
      <c r="Q665" s="559"/>
      <c r="R665" s="559"/>
      <c r="S665" s="559"/>
      <c r="T665" s="559"/>
      <c r="U665" s="559"/>
      <c r="V665" s="559"/>
      <c r="W665" s="559"/>
      <c r="X665" s="559"/>
      <c r="Y665" s="559"/>
      <c r="Z665" s="559"/>
      <c r="AA665" s="559"/>
      <c r="AB665" s="559"/>
      <c r="AC665" s="559"/>
      <c r="AD665" s="559"/>
      <c r="AE665" s="559"/>
      <c r="AF665" s="559"/>
      <c r="AG665" s="559"/>
    </row>
    <row r="666" spans="1:33" ht="18" customHeight="1" x14ac:dyDescent="0.35">
      <c r="A666" s="559"/>
      <c r="B666" s="559"/>
      <c r="C666" s="559"/>
      <c r="D666" s="559"/>
      <c r="E666" s="559"/>
      <c r="F666" s="559"/>
      <c r="G666" s="559"/>
      <c r="H666" s="559"/>
      <c r="I666" s="559"/>
      <c r="J666" s="559"/>
      <c r="K666" s="559"/>
      <c r="L666" s="559"/>
      <c r="M666" s="559"/>
      <c r="N666" s="559"/>
      <c r="O666" s="559"/>
      <c r="P666" s="559"/>
      <c r="Q666" s="559"/>
      <c r="R666" s="559"/>
      <c r="S666" s="559"/>
      <c r="T666" s="559"/>
      <c r="U666" s="559"/>
      <c r="V666" s="559"/>
      <c r="W666" s="559"/>
      <c r="X666" s="559"/>
      <c r="Y666" s="559"/>
      <c r="Z666" s="559"/>
      <c r="AA666" s="559"/>
      <c r="AB666" s="559"/>
      <c r="AC666" s="559"/>
      <c r="AD666" s="559"/>
      <c r="AE666" s="559"/>
      <c r="AF666" s="559"/>
      <c r="AG666" s="559"/>
    </row>
    <row r="667" spans="1:33" ht="18" customHeight="1" x14ac:dyDescent="0.35">
      <c r="A667" s="559"/>
      <c r="B667" s="559"/>
      <c r="C667" s="559"/>
      <c r="D667" s="559"/>
      <c r="E667" s="559"/>
      <c r="F667" s="559"/>
      <c r="G667" s="559"/>
      <c r="H667" s="559"/>
      <c r="I667" s="559"/>
      <c r="J667" s="559"/>
      <c r="K667" s="559"/>
      <c r="L667" s="559"/>
      <c r="M667" s="559"/>
      <c r="N667" s="559"/>
      <c r="O667" s="559"/>
      <c r="P667" s="559"/>
      <c r="Q667" s="559"/>
      <c r="R667" s="559"/>
      <c r="S667" s="559"/>
      <c r="T667" s="559"/>
      <c r="U667" s="559"/>
      <c r="V667" s="559"/>
      <c r="W667" s="559"/>
      <c r="X667" s="559"/>
      <c r="Y667" s="559"/>
      <c r="Z667" s="559"/>
      <c r="AA667" s="559"/>
      <c r="AB667" s="559"/>
      <c r="AC667" s="559"/>
      <c r="AD667" s="559"/>
      <c r="AE667" s="559"/>
      <c r="AF667" s="559"/>
      <c r="AG667" s="559"/>
    </row>
    <row r="668" spans="1:33" ht="18" customHeight="1" x14ac:dyDescent="0.35">
      <c r="A668" s="559"/>
      <c r="B668" s="559"/>
      <c r="C668" s="559"/>
      <c r="D668" s="559"/>
      <c r="E668" s="559"/>
      <c r="F668" s="559"/>
      <c r="G668" s="559"/>
      <c r="H668" s="559"/>
      <c r="I668" s="559"/>
      <c r="J668" s="559"/>
      <c r="K668" s="559"/>
      <c r="L668" s="559"/>
      <c r="M668" s="559"/>
      <c r="N668" s="559"/>
      <c r="O668" s="559"/>
      <c r="P668" s="559"/>
      <c r="Q668" s="559"/>
      <c r="R668" s="559"/>
      <c r="S668" s="559"/>
      <c r="T668" s="559"/>
      <c r="U668" s="559"/>
      <c r="V668" s="559"/>
      <c r="W668" s="559"/>
      <c r="X668" s="559"/>
      <c r="Y668" s="559"/>
      <c r="Z668" s="559"/>
      <c r="AA668" s="559"/>
      <c r="AB668" s="559"/>
      <c r="AC668" s="559"/>
      <c r="AD668" s="559"/>
      <c r="AE668" s="559"/>
      <c r="AF668" s="559"/>
      <c r="AG668" s="559"/>
    </row>
    <row r="669" spans="1:33" ht="18" customHeight="1" x14ac:dyDescent="0.35">
      <c r="A669" s="559"/>
      <c r="B669" s="559"/>
      <c r="C669" s="559"/>
      <c r="D669" s="559"/>
      <c r="E669" s="559"/>
      <c r="F669" s="559"/>
      <c r="G669" s="559"/>
      <c r="H669" s="559"/>
      <c r="I669" s="559"/>
      <c r="J669" s="559"/>
      <c r="K669" s="559"/>
      <c r="L669" s="559"/>
      <c r="M669" s="559"/>
      <c r="N669" s="559"/>
      <c r="O669" s="559"/>
      <c r="P669" s="559"/>
      <c r="Q669" s="559"/>
      <c r="R669" s="559"/>
      <c r="S669" s="559"/>
      <c r="T669" s="559"/>
      <c r="U669" s="559"/>
      <c r="V669" s="559"/>
      <c r="W669" s="559"/>
      <c r="X669" s="559"/>
      <c r="Y669" s="559"/>
      <c r="Z669" s="559"/>
      <c r="AA669" s="559"/>
      <c r="AB669" s="559"/>
      <c r="AC669" s="559"/>
      <c r="AD669" s="559"/>
      <c r="AE669" s="559"/>
      <c r="AF669" s="559"/>
      <c r="AG669" s="559"/>
    </row>
    <row r="670" spans="1:33" ht="18" customHeight="1" x14ac:dyDescent="0.35">
      <c r="A670" s="559"/>
      <c r="B670" s="559"/>
      <c r="C670" s="559"/>
      <c r="D670" s="559"/>
      <c r="E670" s="559"/>
      <c r="F670" s="559"/>
      <c r="G670" s="559"/>
      <c r="H670" s="559"/>
      <c r="I670" s="559"/>
      <c r="J670" s="559"/>
      <c r="K670" s="559"/>
      <c r="L670" s="559"/>
      <c r="M670" s="559"/>
      <c r="N670" s="559"/>
      <c r="O670" s="559"/>
      <c r="P670" s="559"/>
      <c r="Q670" s="559"/>
      <c r="R670" s="559"/>
      <c r="S670" s="559"/>
      <c r="T670" s="559"/>
      <c r="U670" s="559"/>
      <c r="V670" s="559"/>
      <c r="W670" s="559"/>
      <c r="X670" s="559"/>
      <c r="Y670" s="559"/>
      <c r="Z670" s="559"/>
      <c r="AA670" s="559"/>
      <c r="AB670" s="559"/>
      <c r="AC670" s="559"/>
      <c r="AD670" s="559"/>
      <c r="AE670" s="559"/>
      <c r="AF670" s="559"/>
      <c r="AG670" s="559"/>
    </row>
    <row r="671" spans="1:33" ht="18" customHeight="1" x14ac:dyDescent="0.35">
      <c r="A671" s="559"/>
      <c r="B671" s="559"/>
      <c r="C671" s="559"/>
      <c r="D671" s="559"/>
      <c r="E671" s="559"/>
      <c r="F671" s="559"/>
      <c r="G671" s="559"/>
      <c r="H671" s="559"/>
      <c r="I671" s="559"/>
      <c r="J671" s="559"/>
      <c r="K671" s="559"/>
      <c r="L671" s="559"/>
      <c r="M671" s="559"/>
      <c r="N671" s="559"/>
      <c r="O671" s="559"/>
      <c r="P671" s="559"/>
      <c r="Q671" s="559"/>
      <c r="R671" s="559"/>
      <c r="S671" s="559"/>
      <c r="T671" s="559"/>
      <c r="U671" s="559"/>
      <c r="V671" s="559"/>
      <c r="W671" s="559"/>
      <c r="X671" s="559"/>
      <c r="Y671" s="559"/>
      <c r="Z671" s="559"/>
      <c r="AA671" s="559"/>
      <c r="AB671" s="559"/>
      <c r="AC671" s="559"/>
      <c r="AD671" s="559"/>
      <c r="AE671" s="559"/>
      <c r="AF671" s="559"/>
      <c r="AG671" s="559"/>
    </row>
    <row r="672" spans="1:33" ht="18" customHeight="1" x14ac:dyDescent="0.35">
      <c r="A672" s="559"/>
      <c r="B672" s="559"/>
      <c r="C672" s="559"/>
      <c r="D672" s="559"/>
      <c r="E672" s="559"/>
      <c r="F672" s="559"/>
      <c r="G672" s="559"/>
      <c r="H672" s="559"/>
      <c r="I672" s="559"/>
      <c r="J672" s="559"/>
      <c r="K672" s="559"/>
      <c r="L672" s="559"/>
      <c r="M672" s="559"/>
      <c r="N672" s="559"/>
      <c r="O672" s="559"/>
      <c r="P672" s="559"/>
      <c r="Q672" s="559"/>
      <c r="R672" s="559"/>
      <c r="S672" s="559"/>
      <c r="T672" s="559"/>
      <c r="U672" s="559"/>
      <c r="V672" s="559"/>
      <c r="W672" s="559"/>
      <c r="X672" s="559"/>
      <c r="Y672" s="559"/>
      <c r="Z672" s="559"/>
      <c r="AA672" s="559"/>
      <c r="AB672" s="559"/>
      <c r="AC672" s="559"/>
      <c r="AD672" s="559"/>
      <c r="AE672" s="559"/>
      <c r="AF672" s="559"/>
      <c r="AG672" s="559"/>
    </row>
    <row r="673" spans="1:33" ht="18" customHeight="1" x14ac:dyDescent="0.35">
      <c r="A673" s="559"/>
      <c r="B673" s="559"/>
      <c r="C673" s="559"/>
      <c r="D673" s="559"/>
      <c r="E673" s="559"/>
      <c r="F673" s="559"/>
      <c r="G673" s="559"/>
      <c r="H673" s="559"/>
      <c r="I673" s="559"/>
      <c r="J673" s="559"/>
      <c r="K673" s="559"/>
      <c r="L673" s="559"/>
      <c r="M673" s="559"/>
      <c r="N673" s="559"/>
      <c r="O673" s="559"/>
      <c r="P673" s="559"/>
      <c r="Q673" s="559"/>
      <c r="R673" s="559"/>
      <c r="S673" s="559"/>
      <c r="T673" s="559"/>
      <c r="U673" s="559"/>
      <c r="V673" s="559"/>
      <c r="W673" s="559"/>
      <c r="X673" s="559"/>
      <c r="Y673" s="559"/>
      <c r="Z673" s="559"/>
      <c r="AA673" s="559"/>
      <c r="AB673" s="559"/>
      <c r="AC673" s="559"/>
      <c r="AD673" s="559"/>
      <c r="AE673" s="559"/>
      <c r="AF673" s="559"/>
      <c r="AG673" s="559"/>
    </row>
    <row r="674" spans="1:33" ht="18" customHeight="1" x14ac:dyDescent="0.35">
      <c r="A674" s="559"/>
      <c r="B674" s="559"/>
      <c r="C674" s="559"/>
      <c r="D674" s="559"/>
      <c r="E674" s="559"/>
      <c r="F674" s="559"/>
      <c r="G674" s="559"/>
      <c r="H674" s="559"/>
      <c r="I674" s="559"/>
      <c r="J674" s="559"/>
      <c r="K674" s="559"/>
      <c r="L674" s="559"/>
      <c r="M674" s="559"/>
      <c r="N674" s="559"/>
      <c r="O674" s="559"/>
      <c r="P674" s="559"/>
      <c r="Q674" s="559"/>
      <c r="R674" s="559"/>
      <c r="S674" s="559"/>
      <c r="T674" s="559"/>
      <c r="U674" s="559"/>
      <c r="V674" s="559"/>
      <c r="W674" s="559"/>
      <c r="X674" s="559"/>
      <c r="Y674" s="559"/>
      <c r="Z674" s="559"/>
      <c r="AA674" s="559"/>
      <c r="AB674" s="559"/>
      <c r="AC674" s="559"/>
      <c r="AD674" s="559"/>
      <c r="AE674" s="559"/>
      <c r="AF674" s="559"/>
      <c r="AG674" s="559"/>
    </row>
    <row r="675" spans="1:33" ht="18" customHeight="1" x14ac:dyDescent="0.35">
      <c r="A675" s="559"/>
      <c r="B675" s="559"/>
      <c r="C675" s="559"/>
      <c r="D675" s="559"/>
      <c r="E675" s="559"/>
      <c r="F675" s="559"/>
      <c r="G675" s="559"/>
      <c r="H675" s="559"/>
      <c r="I675" s="559"/>
      <c r="J675" s="559"/>
      <c r="K675" s="559"/>
      <c r="L675" s="559"/>
      <c r="M675" s="559"/>
      <c r="N675" s="559"/>
      <c r="O675" s="559"/>
      <c r="P675" s="559"/>
      <c r="Q675" s="559"/>
      <c r="R675" s="559"/>
      <c r="S675" s="559"/>
      <c r="T675" s="559"/>
      <c r="U675" s="559"/>
      <c r="V675" s="559"/>
      <c r="W675" s="559"/>
      <c r="X675" s="559"/>
      <c r="Y675" s="559"/>
      <c r="Z675" s="559"/>
      <c r="AA675" s="559"/>
      <c r="AB675" s="559"/>
      <c r="AC675" s="559"/>
      <c r="AD675" s="559"/>
      <c r="AE675" s="559"/>
      <c r="AF675" s="559"/>
      <c r="AG675" s="559"/>
    </row>
    <row r="676" spans="1:33" ht="18" customHeight="1" x14ac:dyDescent="0.35">
      <c r="A676" s="559"/>
      <c r="B676" s="559"/>
      <c r="C676" s="559"/>
      <c r="D676" s="559"/>
      <c r="E676" s="559"/>
      <c r="F676" s="559"/>
      <c r="G676" s="559"/>
      <c r="H676" s="559"/>
      <c r="I676" s="559"/>
      <c r="J676" s="559"/>
      <c r="K676" s="559"/>
      <c r="L676" s="559"/>
      <c r="M676" s="559"/>
      <c r="N676" s="559"/>
      <c r="O676" s="559"/>
      <c r="P676" s="559"/>
      <c r="Q676" s="559"/>
      <c r="R676" s="559"/>
      <c r="S676" s="559"/>
      <c r="T676" s="559"/>
      <c r="U676" s="559"/>
      <c r="V676" s="559"/>
      <c r="W676" s="559"/>
      <c r="X676" s="559"/>
      <c r="Y676" s="559"/>
      <c r="Z676" s="559"/>
      <c r="AA676" s="559"/>
      <c r="AB676" s="559"/>
      <c r="AC676" s="559"/>
      <c r="AD676" s="559"/>
      <c r="AE676" s="559"/>
      <c r="AF676" s="559"/>
      <c r="AG676" s="559"/>
    </row>
    <row r="677" spans="1:33" ht="18" customHeight="1" x14ac:dyDescent="0.35">
      <c r="A677" s="559"/>
      <c r="B677" s="559"/>
      <c r="C677" s="559"/>
      <c r="D677" s="559"/>
      <c r="E677" s="559"/>
      <c r="F677" s="559"/>
      <c r="G677" s="559"/>
      <c r="H677" s="559"/>
      <c r="I677" s="559"/>
      <c r="J677" s="559"/>
      <c r="K677" s="559"/>
      <c r="L677" s="559"/>
      <c r="M677" s="559"/>
      <c r="N677" s="559"/>
      <c r="O677" s="559"/>
      <c r="P677" s="559"/>
      <c r="Q677" s="559"/>
      <c r="R677" s="559"/>
      <c r="S677" s="559"/>
      <c r="T677" s="559"/>
      <c r="U677" s="559"/>
      <c r="V677" s="559"/>
      <c r="W677" s="559"/>
      <c r="X677" s="559"/>
      <c r="Y677" s="559"/>
      <c r="Z677" s="559"/>
      <c r="AA677" s="559"/>
      <c r="AB677" s="559"/>
      <c r="AC677" s="559"/>
      <c r="AD677" s="559"/>
      <c r="AE677" s="559"/>
      <c r="AF677" s="559"/>
      <c r="AG677" s="559"/>
    </row>
    <row r="678" spans="1:33" ht="18" customHeight="1" x14ac:dyDescent="0.35">
      <c r="A678" s="559"/>
      <c r="B678" s="559"/>
      <c r="C678" s="559"/>
      <c r="D678" s="559"/>
      <c r="E678" s="559"/>
      <c r="F678" s="559"/>
      <c r="G678" s="559"/>
      <c r="H678" s="559"/>
      <c r="I678" s="559"/>
      <c r="J678" s="559"/>
      <c r="K678" s="559"/>
      <c r="L678" s="559"/>
      <c r="M678" s="559"/>
      <c r="N678" s="559"/>
      <c r="O678" s="559"/>
      <c r="P678" s="559"/>
      <c r="Q678" s="559"/>
      <c r="R678" s="559"/>
      <c r="S678" s="559"/>
      <c r="T678" s="559"/>
      <c r="U678" s="559"/>
      <c r="V678" s="559"/>
      <c r="W678" s="559"/>
      <c r="X678" s="559"/>
      <c r="Y678" s="559"/>
      <c r="Z678" s="559"/>
      <c r="AA678" s="559"/>
      <c r="AB678" s="559"/>
      <c r="AC678" s="559"/>
      <c r="AD678" s="559"/>
      <c r="AE678" s="559"/>
      <c r="AF678" s="559"/>
      <c r="AG678" s="559"/>
    </row>
    <row r="679" spans="1:33" ht="18" customHeight="1" x14ac:dyDescent="0.35">
      <c r="A679" s="559"/>
      <c r="B679" s="559"/>
      <c r="C679" s="559"/>
      <c r="D679" s="559"/>
      <c r="E679" s="559"/>
      <c r="F679" s="559"/>
      <c r="G679" s="559"/>
      <c r="H679" s="559"/>
      <c r="I679" s="559"/>
      <c r="J679" s="559"/>
      <c r="K679" s="559"/>
      <c r="L679" s="559"/>
      <c r="M679" s="559"/>
      <c r="N679" s="559"/>
      <c r="O679" s="559"/>
      <c r="P679" s="559"/>
      <c r="Q679" s="559"/>
      <c r="R679" s="559"/>
      <c r="S679" s="559"/>
      <c r="T679" s="559"/>
      <c r="U679" s="559"/>
      <c r="V679" s="559"/>
      <c r="W679" s="559"/>
      <c r="X679" s="559"/>
      <c r="Y679" s="559"/>
      <c r="Z679" s="559"/>
      <c r="AA679" s="559"/>
      <c r="AB679" s="559"/>
      <c r="AC679" s="559"/>
      <c r="AD679" s="559"/>
      <c r="AE679" s="559"/>
      <c r="AF679" s="559"/>
      <c r="AG679" s="559"/>
    </row>
    <row r="680" spans="1:33" ht="18" customHeight="1" x14ac:dyDescent="0.35">
      <c r="A680" s="559"/>
      <c r="B680" s="559"/>
      <c r="C680" s="559"/>
      <c r="D680" s="559"/>
      <c r="E680" s="559"/>
      <c r="F680" s="559"/>
      <c r="G680" s="559"/>
      <c r="H680" s="559"/>
      <c r="I680" s="559"/>
      <c r="J680" s="559"/>
      <c r="K680" s="559"/>
      <c r="L680" s="559"/>
      <c r="M680" s="559"/>
      <c r="N680" s="559"/>
      <c r="O680" s="559"/>
      <c r="P680" s="559"/>
      <c r="Q680" s="559"/>
      <c r="R680" s="559"/>
      <c r="S680" s="559"/>
      <c r="T680" s="559"/>
      <c r="U680" s="559"/>
      <c r="V680" s="559"/>
      <c r="W680" s="559"/>
      <c r="X680" s="559"/>
      <c r="Y680" s="559"/>
      <c r="Z680" s="559"/>
      <c r="AA680" s="559"/>
      <c r="AB680" s="559"/>
      <c r="AC680" s="559"/>
      <c r="AD680" s="559"/>
      <c r="AE680" s="559"/>
      <c r="AF680" s="559"/>
      <c r="AG680" s="559"/>
    </row>
    <row r="681" spans="1:33" ht="18" customHeight="1" x14ac:dyDescent="0.35">
      <c r="A681" s="559"/>
      <c r="B681" s="559"/>
      <c r="C681" s="559"/>
      <c r="D681" s="559"/>
      <c r="E681" s="559"/>
      <c r="F681" s="559"/>
      <c r="G681" s="559"/>
      <c r="H681" s="559"/>
      <c r="I681" s="559"/>
      <c r="J681" s="559"/>
      <c r="K681" s="559"/>
      <c r="L681" s="559"/>
      <c r="M681" s="559"/>
      <c r="N681" s="559"/>
      <c r="O681" s="559"/>
      <c r="P681" s="559"/>
      <c r="Q681" s="559"/>
      <c r="R681" s="559"/>
      <c r="S681" s="559"/>
      <c r="T681" s="559"/>
      <c r="U681" s="559"/>
      <c r="V681" s="559"/>
      <c r="W681" s="559"/>
      <c r="X681" s="559"/>
      <c r="Y681" s="559"/>
      <c r="Z681" s="559"/>
      <c r="AA681" s="559"/>
      <c r="AB681" s="559"/>
      <c r="AC681" s="559"/>
      <c r="AD681" s="559"/>
      <c r="AE681" s="559"/>
      <c r="AF681" s="559"/>
      <c r="AG681" s="559"/>
    </row>
    <row r="682" spans="1:33" ht="18" customHeight="1" x14ac:dyDescent="0.35">
      <c r="A682" s="559"/>
      <c r="B682" s="559"/>
      <c r="C682" s="559"/>
      <c r="D682" s="559"/>
      <c r="E682" s="559"/>
      <c r="F682" s="559"/>
      <c r="G682" s="559"/>
      <c r="H682" s="559"/>
      <c r="I682" s="559"/>
      <c r="J682" s="559"/>
      <c r="K682" s="559"/>
      <c r="L682" s="559"/>
      <c r="M682" s="559"/>
      <c r="N682" s="559"/>
      <c r="O682" s="559"/>
      <c r="P682" s="559"/>
      <c r="Q682" s="559"/>
      <c r="R682" s="559"/>
      <c r="S682" s="559"/>
      <c r="T682" s="559"/>
      <c r="U682" s="559"/>
      <c r="V682" s="559"/>
      <c r="W682" s="559"/>
      <c r="X682" s="559"/>
      <c r="Y682" s="559"/>
      <c r="Z682" s="559"/>
      <c r="AA682" s="559"/>
      <c r="AB682" s="559"/>
      <c r="AC682" s="559"/>
      <c r="AD682" s="559"/>
      <c r="AE682" s="559"/>
      <c r="AF682" s="559"/>
      <c r="AG682" s="559"/>
    </row>
    <row r="683" spans="1:33" ht="18" customHeight="1" x14ac:dyDescent="0.35">
      <c r="A683" s="559"/>
      <c r="B683" s="559"/>
      <c r="C683" s="559"/>
      <c r="D683" s="559"/>
      <c r="E683" s="559"/>
      <c r="F683" s="559"/>
      <c r="G683" s="559"/>
      <c r="H683" s="559"/>
      <c r="I683" s="559"/>
      <c r="J683" s="559"/>
      <c r="K683" s="559"/>
      <c r="L683" s="559"/>
      <c r="M683" s="559"/>
      <c r="N683" s="559"/>
      <c r="O683" s="559"/>
      <c r="P683" s="559"/>
      <c r="Q683" s="559"/>
      <c r="R683" s="559"/>
      <c r="S683" s="559"/>
      <c r="T683" s="559"/>
      <c r="U683" s="559"/>
      <c r="V683" s="559"/>
      <c r="W683" s="559"/>
      <c r="X683" s="559"/>
      <c r="Y683" s="559"/>
      <c r="Z683" s="559"/>
      <c r="AA683" s="559"/>
      <c r="AB683" s="559"/>
      <c r="AC683" s="559"/>
      <c r="AD683" s="559"/>
      <c r="AE683" s="559"/>
      <c r="AF683" s="559"/>
      <c r="AG683" s="559"/>
    </row>
    <row r="684" spans="1:33" ht="18" customHeight="1" x14ac:dyDescent="0.35">
      <c r="A684" s="559"/>
      <c r="B684" s="559"/>
      <c r="C684" s="559"/>
      <c r="D684" s="559"/>
      <c r="E684" s="559"/>
      <c r="F684" s="559"/>
      <c r="G684" s="559"/>
      <c r="H684" s="559"/>
      <c r="I684" s="559"/>
      <c r="J684" s="559"/>
      <c r="K684" s="559"/>
      <c r="L684" s="559"/>
      <c r="M684" s="559"/>
      <c r="N684" s="559"/>
      <c r="O684" s="559"/>
      <c r="P684" s="559"/>
      <c r="Q684" s="559"/>
      <c r="R684" s="559"/>
      <c r="S684" s="559"/>
      <c r="T684" s="559"/>
      <c r="U684" s="559"/>
      <c r="V684" s="559"/>
      <c r="W684" s="559"/>
      <c r="X684" s="559"/>
      <c r="Y684" s="559"/>
      <c r="Z684" s="559"/>
      <c r="AA684" s="559"/>
      <c r="AB684" s="559"/>
      <c r="AC684" s="559"/>
      <c r="AD684" s="559"/>
      <c r="AE684" s="559"/>
      <c r="AF684" s="559"/>
      <c r="AG684" s="559"/>
    </row>
    <row r="685" spans="1:33" ht="18" customHeight="1" x14ac:dyDescent="0.35">
      <c r="A685" s="559"/>
      <c r="B685" s="559"/>
      <c r="C685" s="559"/>
      <c r="D685" s="559"/>
      <c r="E685" s="559"/>
      <c r="F685" s="559"/>
      <c r="G685" s="559"/>
      <c r="H685" s="559"/>
      <c r="I685" s="559"/>
      <c r="J685" s="559"/>
      <c r="K685" s="559"/>
      <c r="L685" s="559"/>
      <c r="M685" s="559"/>
      <c r="N685" s="559"/>
      <c r="O685" s="559"/>
      <c r="P685" s="559"/>
      <c r="Q685" s="559"/>
      <c r="R685" s="559"/>
      <c r="S685" s="559"/>
      <c r="T685" s="559"/>
      <c r="U685" s="559"/>
      <c r="V685" s="559"/>
      <c r="W685" s="559"/>
      <c r="X685" s="559"/>
      <c r="Y685" s="559"/>
      <c r="Z685" s="559"/>
      <c r="AA685" s="559"/>
      <c r="AB685" s="559"/>
      <c r="AC685" s="559"/>
      <c r="AD685" s="559"/>
      <c r="AE685" s="559"/>
      <c r="AF685" s="559"/>
      <c r="AG685" s="559"/>
    </row>
    <row r="686" spans="1:33" ht="18" customHeight="1" x14ac:dyDescent="0.35">
      <c r="A686" s="559"/>
      <c r="B686" s="559"/>
      <c r="C686" s="559"/>
      <c r="D686" s="559"/>
      <c r="E686" s="559"/>
      <c r="F686" s="559"/>
      <c r="G686" s="559"/>
      <c r="H686" s="559"/>
      <c r="I686" s="559"/>
      <c r="J686" s="559"/>
      <c r="K686" s="559"/>
      <c r="L686" s="559"/>
      <c r="M686" s="559"/>
      <c r="N686" s="559"/>
      <c r="O686" s="559"/>
      <c r="P686" s="559"/>
      <c r="Q686" s="559"/>
      <c r="R686" s="559"/>
      <c r="S686" s="559"/>
      <c r="T686" s="559"/>
      <c r="U686" s="559"/>
      <c r="V686" s="559"/>
      <c r="W686" s="559"/>
      <c r="X686" s="559"/>
      <c r="Y686" s="559"/>
      <c r="Z686" s="559"/>
      <c r="AA686" s="559"/>
      <c r="AB686" s="559"/>
      <c r="AC686" s="559"/>
      <c r="AD686" s="559"/>
      <c r="AE686" s="559"/>
      <c r="AF686" s="559"/>
      <c r="AG686" s="559"/>
    </row>
    <row r="687" spans="1:33" ht="18" customHeight="1" x14ac:dyDescent="0.35">
      <c r="A687" s="559"/>
      <c r="B687" s="559"/>
      <c r="C687" s="559"/>
      <c r="D687" s="559"/>
      <c r="E687" s="559"/>
      <c r="F687" s="559"/>
      <c r="G687" s="559"/>
      <c r="H687" s="559"/>
      <c r="I687" s="559"/>
      <c r="J687" s="559"/>
      <c r="K687" s="559"/>
      <c r="L687" s="559"/>
      <c r="M687" s="559"/>
      <c r="N687" s="559"/>
      <c r="O687" s="559"/>
      <c r="P687" s="559"/>
      <c r="Q687" s="559"/>
      <c r="R687" s="559"/>
      <c r="S687" s="559"/>
      <c r="T687" s="559"/>
      <c r="U687" s="559"/>
      <c r="V687" s="559"/>
      <c r="W687" s="559"/>
      <c r="X687" s="559"/>
      <c r="Y687" s="559"/>
      <c r="Z687" s="559"/>
      <c r="AA687" s="559"/>
      <c r="AB687" s="559"/>
      <c r="AC687" s="559"/>
      <c r="AD687" s="559"/>
      <c r="AE687" s="559"/>
      <c r="AF687" s="559"/>
      <c r="AG687" s="559"/>
    </row>
    <row r="688" spans="1:33" ht="18" customHeight="1" x14ac:dyDescent="0.35">
      <c r="A688" s="559"/>
      <c r="B688" s="559"/>
      <c r="C688" s="559"/>
      <c r="D688" s="559"/>
      <c r="E688" s="559"/>
      <c r="F688" s="559"/>
      <c r="G688" s="559"/>
      <c r="H688" s="559"/>
      <c r="I688" s="559"/>
      <c r="J688" s="559"/>
      <c r="K688" s="559"/>
      <c r="L688" s="559"/>
      <c r="M688" s="559"/>
      <c r="N688" s="559"/>
      <c r="O688" s="559"/>
      <c r="P688" s="559"/>
      <c r="Q688" s="559"/>
      <c r="R688" s="559"/>
      <c r="S688" s="559"/>
      <c r="T688" s="559"/>
      <c r="U688" s="559"/>
      <c r="V688" s="559"/>
      <c r="W688" s="559"/>
      <c r="X688" s="559"/>
      <c r="Y688" s="559"/>
      <c r="Z688" s="559"/>
      <c r="AA688" s="559"/>
      <c r="AB688" s="559"/>
      <c r="AC688" s="559"/>
      <c r="AD688" s="559"/>
      <c r="AE688" s="559"/>
      <c r="AF688" s="559"/>
      <c r="AG688" s="559"/>
    </row>
    <row r="689" spans="1:33" ht="18" customHeight="1" x14ac:dyDescent="0.35">
      <c r="A689" s="559"/>
      <c r="B689" s="559"/>
      <c r="C689" s="559"/>
      <c r="D689" s="559"/>
      <c r="E689" s="559"/>
      <c r="F689" s="559"/>
      <c r="G689" s="559"/>
      <c r="H689" s="559"/>
      <c r="I689" s="559"/>
      <c r="J689" s="559"/>
      <c r="K689" s="559"/>
      <c r="L689" s="559"/>
      <c r="M689" s="559"/>
      <c r="N689" s="559"/>
      <c r="O689" s="559"/>
      <c r="P689" s="559"/>
      <c r="Q689" s="559"/>
      <c r="R689" s="559"/>
      <c r="S689" s="559"/>
      <c r="T689" s="559"/>
      <c r="U689" s="559"/>
      <c r="V689" s="559"/>
      <c r="W689" s="559"/>
      <c r="X689" s="559"/>
      <c r="Y689" s="559"/>
      <c r="Z689" s="559"/>
      <c r="AA689" s="559"/>
      <c r="AB689" s="559"/>
      <c r="AC689" s="559"/>
      <c r="AD689" s="559"/>
      <c r="AE689" s="559"/>
      <c r="AF689" s="559"/>
      <c r="AG689" s="559"/>
    </row>
    <row r="690" spans="1:33" ht="18" customHeight="1" x14ac:dyDescent="0.35">
      <c r="A690" s="559"/>
      <c r="B690" s="559"/>
      <c r="C690" s="559"/>
      <c r="D690" s="559"/>
      <c r="E690" s="559"/>
      <c r="F690" s="559"/>
      <c r="G690" s="559"/>
      <c r="H690" s="559"/>
      <c r="I690" s="559"/>
      <c r="J690" s="559"/>
      <c r="K690" s="559"/>
      <c r="L690" s="559"/>
      <c r="M690" s="559"/>
      <c r="N690" s="559"/>
      <c r="O690" s="559"/>
      <c r="P690" s="559"/>
      <c r="Q690" s="559"/>
      <c r="R690" s="559"/>
      <c r="S690" s="559"/>
      <c r="T690" s="559"/>
      <c r="U690" s="559"/>
      <c r="V690" s="559"/>
      <c r="W690" s="559"/>
      <c r="X690" s="559"/>
      <c r="Y690" s="559"/>
      <c r="Z690" s="559"/>
      <c r="AA690" s="559"/>
      <c r="AB690" s="559"/>
      <c r="AC690" s="559"/>
      <c r="AD690" s="559"/>
      <c r="AE690" s="559"/>
      <c r="AF690" s="559"/>
      <c r="AG690" s="559"/>
    </row>
    <row r="691" spans="1:33" ht="18" customHeight="1" x14ac:dyDescent="0.35">
      <c r="A691" s="559"/>
      <c r="B691" s="559"/>
      <c r="C691" s="559"/>
      <c r="D691" s="559"/>
      <c r="E691" s="559"/>
      <c r="F691" s="559"/>
      <c r="G691" s="559"/>
      <c r="H691" s="559"/>
      <c r="I691" s="559"/>
      <c r="J691" s="559"/>
      <c r="K691" s="559"/>
      <c r="L691" s="559"/>
      <c r="M691" s="559"/>
      <c r="N691" s="559"/>
      <c r="O691" s="559"/>
      <c r="P691" s="559"/>
      <c r="Q691" s="559"/>
      <c r="R691" s="559"/>
      <c r="S691" s="559"/>
      <c r="T691" s="559"/>
      <c r="U691" s="559"/>
      <c r="V691" s="559"/>
      <c r="W691" s="559"/>
      <c r="X691" s="559"/>
      <c r="Y691" s="559"/>
      <c r="Z691" s="559"/>
      <c r="AA691" s="559"/>
      <c r="AB691" s="559"/>
      <c r="AC691" s="559"/>
      <c r="AD691" s="559"/>
      <c r="AE691" s="559"/>
      <c r="AF691" s="559"/>
      <c r="AG691" s="559"/>
    </row>
    <row r="692" spans="1:33" ht="18" customHeight="1" x14ac:dyDescent="0.35">
      <c r="A692" s="559"/>
      <c r="B692" s="559"/>
      <c r="C692" s="559"/>
      <c r="D692" s="559"/>
      <c r="E692" s="559"/>
      <c r="F692" s="559"/>
      <c r="G692" s="559"/>
      <c r="H692" s="559"/>
      <c r="I692" s="559"/>
      <c r="J692" s="559"/>
      <c r="K692" s="559"/>
      <c r="L692" s="559"/>
      <c r="M692" s="559"/>
      <c r="N692" s="559"/>
      <c r="O692" s="559"/>
      <c r="P692" s="559"/>
      <c r="Q692" s="559"/>
      <c r="R692" s="559"/>
      <c r="S692" s="559"/>
      <c r="T692" s="559"/>
      <c r="U692" s="559"/>
      <c r="V692" s="559"/>
      <c r="W692" s="559"/>
      <c r="X692" s="559"/>
      <c r="Y692" s="559"/>
      <c r="Z692" s="559"/>
      <c r="AA692" s="559"/>
      <c r="AB692" s="559"/>
      <c r="AC692" s="559"/>
      <c r="AD692" s="559"/>
      <c r="AE692" s="559"/>
      <c r="AF692" s="559"/>
      <c r="AG692" s="559"/>
    </row>
    <row r="693" spans="1:33" ht="18" customHeight="1" x14ac:dyDescent="0.35">
      <c r="A693" s="559"/>
      <c r="B693" s="559"/>
      <c r="C693" s="559"/>
      <c r="D693" s="559"/>
      <c r="E693" s="559"/>
      <c r="F693" s="559"/>
      <c r="G693" s="559"/>
      <c r="H693" s="559"/>
      <c r="I693" s="559"/>
      <c r="J693" s="559"/>
      <c r="K693" s="559"/>
      <c r="L693" s="559"/>
      <c r="M693" s="559"/>
      <c r="N693" s="559"/>
      <c r="O693" s="559"/>
      <c r="P693" s="559"/>
      <c r="Q693" s="559"/>
      <c r="R693" s="559"/>
      <c r="S693" s="559"/>
      <c r="T693" s="559"/>
      <c r="U693" s="559"/>
      <c r="V693" s="559"/>
      <c r="W693" s="559"/>
      <c r="X693" s="559"/>
      <c r="Y693" s="559"/>
      <c r="Z693" s="559"/>
      <c r="AA693" s="559"/>
      <c r="AB693" s="559"/>
      <c r="AC693" s="559"/>
      <c r="AD693" s="559"/>
      <c r="AE693" s="559"/>
      <c r="AF693" s="559"/>
      <c r="AG693" s="559"/>
    </row>
    <row r="694" spans="1:33" ht="18" customHeight="1" x14ac:dyDescent="0.35">
      <c r="A694" s="559"/>
      <c r="B694" s="559"/>
      <c r="C694" s="559"/>
      <c r="D694" s="559"/>
      <c r="E694" s="559"/>
      <c r="F694" s="559"/>
      <c r="G694" s="559"/>
      <c r="H694" s="559"/>
      <c r="I694" s="559"/>
      <c r="J694" s="559"/>
      <c r="K694" s="559"/>
      <c r="L694" s="559"/>
      <c r="M694" s="559"/>
      <c r="N694" s="559"/>
      <c r="O694" s="559"/>
      <c r="P694" s="559"/>
      <c r="Q694" s="559"/>
      <c r="R694" s="559"/>
      <c r="S694" s="559"/>
      <c r="T694" s="559"/>
      <c r="U694" s="559"/>
      <c r="V694" s="559"/>
      <c r="W694" s="559"/>
      <c r="X694" s="559"/>
      <c r="Y694" s="559"/>
      <c r="Z694" s="559"/>
      <c r="AA694" s="559"/>
      <c r="AB694" s="559"/>
      <c r="AC694" s="559"/>
      <c r="AD694" s="559"/>
      <c r="AE694" s="559"/>
      <c r="AF694" s="559"/>
      <c r="AG694" s="559"/>
    </row>
    <row r="695" spans="1:33" ht="18" customHeight="1" x14ac:dyDescent="0.35">
      <c r="A695" s="559"/>
      <c r="B695" s="559"/>
      <c r="C695" s="559"/>
      <c r="D695" s="559"/>
      <c r="E695" s="559"/>
      <c r="F695" s="559"/>
      <c r="G695" s="559"/>
      <c r="H695" s="559"/>
      <c r="I695" s="559"/>
      <c r="J695" s="559"/>
      <c r="K695" s="559"/>
      <c r="L695" s="559"/>
      <c r="M695" s="559"/>
      <c r="N695" s="559"/>
      <c r="O695" s="559"/>
      <c r="P695" s="559"/>
      <c r="Q695" s="559"/>
      <c r="R695" s="559"/>
      <c r="S695" s="559"/>
      <c r="T695" s="559"/>
      <c r="U695" s="559"/>
      <c r="V695" s="559"/>
      <c r="W695" s="559"/>
      <c r="X695" s="559"/>
      <c r="Y695" s="559"/>
      <c r="Z695" s="559"/>
      <c r="AA695" s="559"/>
      <c r="AB695" s="559"/>
      <c r="AC695" s="559"/>
      <c r="AD695" s="559"/>
      <c r="AE695" s="559"/>
      <c r="AF695" s="559"/>
      <c r="AG695" s="559"/>
    </row>
    <row r="696" spans="1:33" ht="18" customHeight="1" x14ac:dyDescent="0.35">
      <c r="A696" s="559"/>
      <c r="B696" s="559"/>
      <c r="C696" s="559"/>
      <c r="D696" s="559"/>
      <c r="E696" s="559"/>
      <c r="F696" s="559"/>
      <c r="G696" s="559"/>
      <c r="H696" s="559"/>
      <c r="I696" s="559"/>
      <c r="J696" s="559"/>
      <c r="K696" s="559"/>
      <c r="L696" s="559"/>
      <c r="M696" s="559"/>
      <c r="N696" s="559"/>
      <c r="O696" s="559"/>
      <c r="P696" s="559"/>
      <c r="Q696" s="559"/>
      <c r="R696" s="559"/>
      <c r="S696" s="559"/>
      <c r="T696" s="559"/>
      <c r="U696" s="559"/>
      <c r="V696" s="559"/>
      <c r="W696" s="559"/>
      <c r="X696" s="559"/>
      <c r="Y696" s="559"/>
      <c r="Z696" s="559"/>
      <c r="AA696" s="559"/>
      <c r="AB696" s="559"/>
      <c r="AC696" s="559"/>
      <c r="AD696" s="559"/>
      <c r="AE696" s="559"/>
      <c r="AF696" s="559"/>
      <c r="AG696" s="559"/>
    </row>
    <row r="697" spans="1:33" ht="18" customHeight="1" x14ac:dyDescent="0.35">
      <c r="A697" s="559"/>
      <c r="B697" s="559"/>
      <c r="C697" s="559"/>
      <c r="D697" s="559"/>
      <c r="E697" s="559"/>
      <c r="F697" s="559"/>
      <c r="G697" s="559"/>
      <c r="H697" s="559"/>
      <c r="I697" s="559"/>
      <c r="J697" s="559"/>
      <c r="K697" s="559"/>
      <c r="L697" s="559"/>
      <c r="M697" s="559"/>
      <c r="N697" s="559"/>
      <c r="O697" s="559"/>
      <c r="P697" s="559"/>
      <c r="Q697" s="559"/>
      <c r="R697" s="559"/>
      <c r="S697" s="559"/>
      <c r="T697" s="559"/>
      <c r="U697" s="559"/>
      <c r="V697" s="559"/>
      <c r="W697" s="559"/>
      <c r="X697" s="559"/>
      <c r="Y697" s="559"/>
      <c r="Z697" s="559"/>
      <c r="AA697" s="559"/>
      <c r="AB697" s="559"/>
      <c r="AC697" s="559"/>
      <c r="AD697" s="559"/>
      <c r="AE697" s="559"/>
      <c r="AF697" s="559"/>
      <c r="AG697" s="559"/>
    </row>
    <row r="698" spans="1:33" ht="18" customHeight="1" x14ac:dyDescent="0.35">
      <c r="A698" s="559"/>
      <c r="B698" s="559"/>
      <c r="C698" s="559"/>
      <c r="D698" s="559"/>
      <c r="E698" s="559"/>
      <c r="F698" s="559"/>
      <c r="G698" s="559"/>
      <c r="H698" s="559"/>
      <c r="I698" s="559"/>
      <c r="J698" s="559"/>
      <c r="K698" s="559"/>
      <c r="L698" s="559"/>
      <c r="M698" s="559"/>
      <c r="N698" s="559"/>
      <c r="O698" s="559"/>
      <c r="P698" s="559"/>
      <c r="Q698" s="559"/>
      <c r="R698" s="559"/>
      <c r="S698" s="559"/>
      <c r="T698" s="559"/>
      <c r="U698" s="559"/>
      <c r="V698" s="559"/>
      <c r="W698" s="559"/>
      <c r="X698" s="559"/>
      <c r="Y698" s="559"/>
      <c r="Z698" s="559"/>
      <c r="AA698" s="559"/>
      <c r="AB698" s="559"/>
      <c r="AC698" s="559"/>
      <c r="AD698" s="559"/>
      <c r="AE698" s="559"/>
      <c r="AF698" s="559"/>
      <c r="AG698" s="559"/>
    </row>
    <row r="699" spans="1:33" ht="18" customHeight="1" x14ac:dyDescent="0.35">
      <c r="A699" s="559"/>
      <c r="B699" s="559"/>
      <c r="C699" s="559"/>
      <c r="D699" s="559"/>
      <c r="E699" s="559"/>
      <c r="F699" s="559"/>
      <c r="G699" s="559"/>
      <c r="H699" s="559"/>
      <c r="I699" s="559"/>
      <c r="J699" s="559"/>
      <c r="K699" s="559"/>
      <c r="L699" s="559"/>
      <c r="M699" s="559"/>
      <c r="N699" s="559"/>
      <c r="O699" s="559"/>
      <c r="P699" s="559"/>
      <c r="Q699" s="559"/>
      <c r="R699" s="559"/>
      <c r="S699" s="559"/>
      <c r="T699" s="559"/>
      <c r="U699" s="559"/>
      <c r="V699" s="559"/>
      <c r="W699" s="559"/>
      <c r="X699" s="559"/>
      <c r="Y699" s="559"/>
      <c r="Z699" s="559"/>
      <c r="AA699" s="559"/>
      <c r="AB699" s="559"/>
      <c r="AC699" s="559"/>
      <c r="AD699" s="559"/>
      <c r="AE699" s="559"/>
      <c r="AF699" s="559"/>
      <c r="AG699" s="559"/>
    </row>
    <row r="700" spans="1:33" ht="18" customHeight="1" x14ac:dyDescent="0.35">
      <c r="A700" s="559"/>
      <c r="B700" s="559"/>
      <c r="C700" s="559"/>
      <c r="D700" s="559"/>
      <c r="E700" s="559"/>
      <c r="F700" s="559"/>
      <c r="G700" s="559"/>
      <c r="H700" s="559"/>
      <c r="I700" s="559"/>
      <c r="J700" s="559"/>
      <c r="K700" s="559"/>
      <c r="L700" s="559"/>
      <c r="M700" s="559"/>
      <c r="N700" s="559"/>
      <c r="O700" s="559"/>
      <c r="P700" s="559"/>
      <c r="Q700" s="559"/>
      <c r="R700" s="559"/>
      <c r="S700" s="559"/>
      <c r="T700" s="559"/>
      <c r="U700" s="559"/>
      <c r="V700" s="559"/>
      <c r="W700" s="559"/>
      <c r="X700" s="559"/>
      <c r="Y700" s="559"/>
      <c r="Z700" s="559"/>
      <c r="AA700" s="559"/>
      <c r="AB700" s="559"/>
      <c r="AC700" s="559"/>
      <c r="AD700" s="559"/>
      <c r="AE700" s="559"/>
      <c r="AF700" s="559"/>
      <c r="AG700" s="559"/>
    </row>
    <row r="701" spans="1:33" ht="18" customHeight="1" x14ac:dyDescent="0.35">
      <c r="A701" s="559"/>
      <c r="B701" s="559"/>
      <c r="C701" s="559"/>
      <c r="D701" s="559"/>
      <c r="E701" s="559"/>
      <c r="F701" s="559"/>
      <c r="G701" s="559"/>
      <c r="H701" s="559"/>
      <c r="I701" s="559"/>
      <c r="J701" s="559"/>
      <c r="K701" s="559"/>
      <c r="L701" s="559"/>
      <c r="M701" s="559"/>
      <c r="N701" s="559"/>
      <c r="O701" s="559"/>
      <c r="P701" s="559"/>
      <c r="Q701" s="559"/>
      <c r="R701" s="559"/>
      <c r="S701" s="559"/>
      <c r="T701" s="559"/>
      <c r="U701" s="559"/>
      <c r="V701" s="559"/>
      <c r="W701" s="559"/>
      <c r="X701" s="559"/>
      <c r="Y701" s="559"/>
      <c r="Z701" s="559"/>
      <c r="AA701" s="559"/>
      <c r="AB701" s="559"/>
      <c r="AC701" s="559"/>
      <c r="AD701" s="559"/>
      <c r="AE701" s="559"/>
      <c r="AF701" s="559"/>
      <c r="AG701" s="559"/>
    </row>
    <row r="702" spans="1:33" ht="18" customHeight="1" x14ac:dyDescent="0.35">
      <c r="A702" s="559"/>
      <c r="B702" s="559"/>
      <c r="C702" s="559"/>
      <c r="D702" s="559"/>
      <c r="E702" s="559"/>
      <c r="F702" s="559"/>
      <c r="G702" s="559"/>
      <c r="H702" s="559"/>
      <c r="I702" s="559"/>
      <c r="J702" s="559"/>
      <c r="K702" s="559"/>
      <c r="L702" s="559"/>
      <c r="M702" s="559"/>
      <c r="N702" s="559"/>
      <c r="O702" s="559"/>
      <c r="P702" s="559"/>
      <c r="Q702" s="559"/>
      <c r="R702" s="559"/>
      <c r="S702" s="559"/>
      <c r="T702" s="559"/>
      <c r="U702" s="559"/>
      <c r="V702" s="559"/>
      <c r="W702" s="559"/>
      <c r="X702" s="559"/>
      <c r="Y702" s="559"/>
      <c r="Z702" s="559"/>
      <c r="AA702" s="559"/>
      <c r="AB702" s="559"/>
      <c r="AC702" s="559"/>
      <c r="AD702" s="559"/>
      <c r="AE702" s="559"/>
      <c r="AF702" s="559"/>
      <c r="AG702" s="559"/>
    </row>
    <row r="703" spans="1:33" ht="18" customHeight="1" x14ac:dyDescent="0.35">
      <c r="A703" s="559"/>
      <c r="B703" s="559"/>
      <c r="C703" s="559"/>
      <c r="D703" s="559"/>
      <c r="E703" s="559"/>
      <c r="F703" s="559"/>
      <c r="G703" s="559"/>
      <c r="H703" s="559"/>
      <c r="I703" s="559"/>
      <c r="J703" s="559"/>
      <c r="K703" s="559"/>
      <c r="L703" s="559"/>
      <c r="M703" s="559"/>
      <c r="N703" s="559"/>
      <c r="O703" s="559"/>
      <c r="P703" s="559"/>
      <c r="Q703" s="559"/>
      <c r="R703" s="559"/>
      <c r="S703" s="559"/>
      <c r="T703" s="559"/>
      <c r="U703" s="559"/>
      <c r="V703" s="559"/>
      <c r="W703" s="559"/>
      <c r="X703" s="559"/>
      <c r="Y703" s="559"/>
      <c r="Z703" s="559"/>
      <c r="AA703" s="559"/>
      <c r="AB703" s="559"/>
      <c r="AC703" s="559"/>
      <c r="AD703" s="559"/>
      <c r="AE703" s="559"/>
      <c r="AF703" s="559"/>
      <c r="AG703" s="559"/>
    </row>
    <row r="704" spans="1:33" ht="18" customHeight="1" x14ac:dyDescent="0.35">
      <c r="A704" s="559"/>
      <c r="B704" s="559"/>
      <c r="C704" s="559"/>
      <c r="D704" s="559"/>
      <c r="E704" s="559"/>
      <c r="F704" s="559"/>
      <c r="G704" s="559"/>
      <c r="H704" s="559"/>
      <c r="I704" s="559"/>
      <c r="J704" s="559"/>
      <c r="K704" s="559"/>
      <c r="L704" s="559"/>
      <c r="M704" s="559"/>
      <c r="N704" s="559"/>
      <c r="O704" s="559"/>
      <c r="P704" s="559"/>
      <c r="Q704" s="559"/>
      <c r="R704" s="559"/>
      <c r="S704" s="559"/>
      <c r="T704" s="559"/>
      <c r="U704" s="559"/>
      <c r="V704" s="559"/>
      <c r="W704" s="559"/>
      <c r="X704" s="559"/>
      <c r="Y704" s="559"/>
      <c r="Z704" s="559"/>
      <c r="AA704" s="559"/>
      <c r="AB704" s="559"/>
      <c r="AC704" s="559"/>
      <c r="AD704" s="559"/>
      <c r="AE704" s="559"/>
      <c r="AF704" s="559"/>
      <c r="AG704" s="559"/>
    </row>
    <row r="705" spans="1:33" ht="18" customHeight="1" x14ac:dyDescent="0.35">
      <c r="A705" s="559"/>
      <c r="B705" s="559"/>
      <c r="C705" s="559"/>
      <c r="D705" s="559"/>
      <c r="E705" s="559"/>
      <c r="F705" s="559"/>
      <c r="G705" s="559"/>
      <c r="H705" s="559"/>
      <c r="I705" s="559"/>
      <c r="J705" s="559"/>
      <c r="K705" s="559"/>
      <c r="L705" s="559"/>
      <c r="M705" s="559"/>
      <c r="N705" s="559"/>
      <c r="O705" s="559"/>
      <c r="P705" s="559"/>
      <c r="Q705" s="559"/>
      <c r="R705" s="559"/>
      <c r="S705" s="559"/>
      <c r="T705" s="559"/>
      <c r="U705" s="559"/>
      <c r="V705" s="559"/>
      <c r="W705" s="559"/>
      <c r="X705" s="559"/>
      <c r="Y705" s="559"/>
      <c r="Z705" s="559"/>
      <c r="AA705" s="559"/>
      <c r="AB705" s="559"/>
      <c r="AC705" s="559"/>
      <c r="AD705" s="559"/>
      <c r="AE705" s="559"/>
      <c r="AF705" s="559"/>
      <c r="AG705" s="559"/>
    </row>
    <row r="706" spans="1:33" ht="18" customHeight="1" x14ac:dyDescent="0.35">
      <c r="A706" s="559"/>
      <c r="B706" s="559"/>
      <c r="C706" s="559"/>
      <c r="D706" s="559"/>
      <c r="E706" s="559"/>
      <c r="F706" s="559"/>
      <c r="G706" s="559"/>
      <c r="H706" s="559"/>
      <c r="I706" s="559"/>
      <c r="J706" s="559"/>
      <c r="K706" s="559"/>
      <c r="L706" s="559"/>
      <c r="M706" s="559"/>
      <c r="N706" s="559"/>
      <c r="O706" s="559"/>
      <c r="P706" s="559"/>
      <c r="Q706" s="559"/>
      <c r="R706" s="559"/>
      <c r="S706" s="559"/>
      <c r="T706" s="559"/>
      <c r="U706" s="559"/>
      <c r="V706" s="559"/>
      <c r="W706" s="559"/>
      <c r="X706" s="559"/>
      <c r="Y706" s="559"/>
      <c r="Z706" s="559"/>
      <c r="AA706" s="559"/>
      <c r="AB706" s="559"/>
      <c r="AC706" s="559"/>
      <c r="AD706" s="559"/>
      <c r="AE706" s="559"/>
      <c r="AF706" s="559"/>
      <c r="AG706" s="559"/>
    </row>
    <row r="707" spans="1:33" ht="18" customHeight="1" x14ac:dyDescent="0.35">
      <c r="A707" s="559"/>
      <c r="B707" s="559"/>
      <c r="C707" s="559"/>
      <c r="D707" s="559"/>
      <c r="E707" s="559"/>
      <c r="F707" s="559"/>
      <c r="G707" s="559"/>
      <c r="H707" s="559"/>
      <c r="I707" s="559"/>
      <c r="J707" s="559"/>
      <c r="K707" s="559"/>
      <c r="L707" s="559"/>
      <c r="M707" s="559"/>
      <c r="N707" s="559"/>
      <c r="O707" s="559"/>
      <c r="P707" s="559"/>
      <c r="Q707" s="559"/>
      <c r="R707" s="559"/>
      <c r="S707" s="559"/>
      <c r="T707" s="559"/>
      <c r="U707" s="559"/>
      <c r="V707" s="559"/>
      <c r="W707" s="559"/>
      <c r="X707" s="559"/>
      <c r="Y707" s="559"/>
      <c r="Z707" s="559"/>
      <c r="AA707" s="559"/>
      <c r="AB707" s="559"/>
      <c r="AC707" s="559"/>
      <c r="AD707" s="559"/>
      <c r="AE707" s="559"/>
      <c r="AF707" s="559"/>
      <c r="AG707" s="559"/>
    </row>
    <row r="708" spans="1:33" ht="18" customHeight="1" x14ac:dyDescent="0.35">
      <c r="A708" s="559"/>
      <c r="B708" s="559"/>
      <c r="C708" s="559"/>
      <c r="D708" s="559"/>
      <c r="E708" s="559"/>
      <c r="F708" s="559"/>
      <c r="G708" s="559"/>
      <c r="H708" s="559"/>
      <c r="I708" s="559"/>
      <c r="J708" s="559"/>
      <c r="K708" s="559"/>
      <c r="L708" s="559"/>
      <c r="M708" s="559"/>
      <c r="N708" s="559"/>
      <c r="O708" s="559"/>
      <c r="P708" s="559"/>
      <c r="Q708" s="559"/>
      <c r="R708" s="559"/>
      <c r="S708" s="559"/>
      <c r="T708" s="559"/>
      <c r="U708" s="559"/>
      <c r="V708" s="559"/>
      <c r="W708" s="559"/>
      <c r="X708" s="559"/>
      <c r="Y708" s="559"/>
      <c r="Z708" s="559"/>
      <c r="AA708" s="559"/>
      <c r="AB708" s="559"/>
      <c r="AC708" s="559"/>
      <c r="AD708" s="559"/>
      <c r="AE708" s="559"/>
      <c r="AF708" s="559"/>
      <c r="AG708" s="559"/>
    </row>
    <row r="709" spans="1:33" ht="18" customHeight="1" x14ac:dyDescent="0.35">
      <c r="A709" s="559"/>
      <c r="B709" s="559"/>
      <c r="C709" s="559"/>
      <c r="D709" s="559"/>
      <c r="E709" s="559"/>
      <c r="F709" s="559"/>
      <c r="G709" s="559"/>
      <c r="H709" s="559"/>
      <c r="I709" s="559"/>
      <c r="J709" s="559"/>
      <c r="K709" s="559"/>
      <c r="L709" s="559"/>
      <c r="M709" s="559"/>
      <c r="N709" s="559"/>
      <c r="O709" s="559"/>
      <c r="P709" s="559"/>
      <c r="Q709" s="559"/>
      <c r="R709" s="559"/>
      <c r="S709" s="559"/>
      <c r="T709" s="559"/>
      <c r="U709" s="559"/>
      <c r="V709" s="559"/>
      <c r="W709" s="559"/>
      <c r="X709" s="559"/>
      <c r="Y709" s="559"/>
      <c r="Z709" s="559"/>
      <c r="AA709" s="559"/>
      <c r="AB709" s="559"/>
      <c r="AC709" s="559"/>
      <c r="AD709" s="559"/>
      <c r="AE709" s="559"/>
      <c r="AF709" s="559"/>
      <c r="AG709" s="559"/>
    </row>
    <row r="710" spans="1:33" ht="18" customHeight="1" x14ac:dyDescent="0.35">
      <c r="A710" s="559"/>
      <c r="B710" s="559"/>
      <c r="C710" s="559"/>
      <c r="D710" s="559"/>
      <c r="E710" s="559"/>
      <c r="F710" s="559"/>
      <c r="G710" s="559"/>
      <c r="H710" s="559"/>
      <c r="I710" s="559"/>
      <c r="J710" s="559"/>
      <c r="K710" s="559"/>
      <c r="L710" s="559"/>
      <c r="M710" s="559"/>
      <c r="N710" s="559"/>
      <c r="O710" s="559"/>
      <c r="P710" s="559"/>
      <c r="Q710" s="559"/>
      <c r="R710" s="559"/>
      <c r="S710" s="559"/>
      <c r="T710" s="559"/>
      <c r="U710" s="559"/>
      <c r="V710" s="559"/>
      <c r="W710" s="559"/>
      <c r="X710" s="559"/>
      <c r="Y710" s="559"/>
      <c r="Z710" s="559"/>
      <c r="AA710" s="559"/>
      <c r="AB710" s="559"/>
      <c r="AC710" s="559"/>
      <c r="AD710" s="559"/>
      <c r="AE710" s="559"/>
      <c r="AF710" s="559"/>
      <c r="AG710" s="559"/>
    </row>
    <row r="711" spans="1:33" ht="18" customHeight="1" x14ac:dyDescent="0.35">
      <c r="A711" s="559"/>
      <c r="B711" s="559"/>
      <c r="C711" s="559"/>
      <c r="D711" s="559"/>
      <c r="E711" s="559"/>
      <c r="F711" s="559"/>
      <c r="G711" s="559"/>
      <c r="H711" s="559"/>
      <c r="I711" s="559"/>
      <c r="J711" s="559"/>
      <c r="K711" s="559"/>
      <c r="L711" s="559"/>
      <c r="M711" s="559"/>
      <c r="N711" s="559"/>
      <c r="O711" s="559"/>
      <c r="P711" s="559"/>
      <c r="Q711" s="559"/>
      <c r="R711" s="559"/>
      <c r="S711" s="559"/>
      <c r="T711" s="559"/>
      <c r="U711" s="559"/>
      <c r="V711" s="559"/>
      <c r="W711" s="559"/>
      <c r="X711" s="559"/>
      <c r="Y711" s="559"/>
      <c r="Z711" s="559"/>
      <c r="AA711" s="559"/>
      <c r="AB711" s="559"/>
      <c r="AC711" s="559"/>
      <c r="AD711" s="559"/>
      <c r="AE711" s="559"/>
      <c r="AF711" s="559"/>
      <c r="AG711" s="559"/>
    </row>
    <row r="712" spans="1:33" ht="18" customHeight="1" x14ac:dyDescent="0.35">
      <c r="A712" s="559"/>
      <c r="B712" s="559"/>
      <c r="C712" s="559"/>
      <c r="D712" s="559"/>
      <c r="E712" s="559"/>
      <c r="F712" s="559"/>
      <c r="G712" s="559"/>
      <c r="H712" s="559"/>
      <c r="I712" s="559"/>
      <c r="J712" s="559"/>
      <c r="K712" s="559"/>
      <c r="L712" s="559"/>
      <c r="M712" s="559"/>
      <c r="N712" s="559"/>
      <c r="O712" s="559"/>
      <c r="P712" s="559"/>
      <c r="Q712" s="559"/>
      <c r="R712" s="559"/>
      <c r="S712" s="559"/>
      <c r="T712" s="559"/>
      <c r="U712" s="559"/>
      <c r="V712" s="559"/>
      <c r="W712" s="559"/>
      <c r="X712" s="559"/>
      <c r="Y712" s="559"/>
      <c r="Z712" s="559"/>
      <c r="AA712" s="559"/>
      <c r="AB712" s="559"/>
      <c r="AC712" s="559"/>
      <c r="AD712" s="559"/>
      <c r="AE712" s="559"/>
      <c r="AF712" s="559"/>
      <c r="AG712" s="559"/>
    </row>
    <row r="713" spans="1:33" ht="18" customHeight="1" x14ac:dyDescent="0.35">
      <c r="A713" s="559"/>
      <c r="B713" s="559"/>
      <c r="C713" s="559"/>
      <c r="D713" s="559"/>
      <c r="E713" s="559"/>
      <c r="F713" s="559"/>
      <c r="G713" s="559"/>
      <c r="H713" s="559"/>
      <c r="I713" s="559"/>
      <c r="J713" s="559"/>
      <c r="K713" s="559"/>
      <c r="L713" s="559"/>
      <c r="M713" s="559"/>
      <c r="N713" s="559"/>
      <c r="O713" s="559"/>
      <c r="P713" s="559"/>
      <c r="Q713" s="559"/>
      <c r="R713" s="559"/>
      <c r="S713" s="559"/>
      <c r="T713" s="559"/>
      <c r="U713" s="559"/>
      <c r="V713" s="559"/>
      <c r="W713" s="559"/>
      <c r="X713" s="559"/>
      <c r="Y713" s="559"/>
      <c r="Z713" s="559"/>
      <c r="AA713" s="559"/>
      <c r="AB713" s="559"/>
      <c r="AC713" s="559"/>
      <c r="AD713" s="559"/>
      <c r="AE713" s="559"/>
      <c r="AF713" s="559"/>
      <c r="AG713" s="559"/>
    </row>
    <row r="714" spans="1:33" ht="18" customHeight="1" x14ac:dyDescent="0.35">
      <c r="A714" s="559"/>
      <c r="B714" s="559"/>
      <c r="C714" s="559"/>
      <c r="D714" s="559"/>
      <c r="E714" s="559"/>
      <c r="F714" s="559"/>
      <c r="G714" s="559"/>
      <c r="H714" s="559"/>
      <c r="I714" s="559"/>
      <c r="J714" s="559"/>
      <c r="K714" s="559"/>
      <c r="L714" s="559"/>
      <c r="M714" s="559"/>
      <c r="N714" s="559"/>
      <c r="O714" s="559"/>
      <c r="P714" s="559"/>
      <c r="Q714" s="559"/>
      <c r="R714" s="559"/>
      <c r="S714" s="559"/>
      <c r="T714" s="559"/>
      <c r="U714" s="559"/>
      <c r="V714" s="559"/>
      <c r="W714" s="559"/>
      <c r="X714" s="559"/>
      <c r="Y714" s="559"/>
      <c r="Z714" s="559"/>
      <c r="AA714" s="559"/>
      <c r="AB714" s="559"/>
      <c r="AC714" s="559"/>
      <c r="AD714" s="559"/>
      <c r="AE714" s="559"/>
      <c r="AF714" s="559"/>
      <c r="AG714" s="559"/>
    </row>
    <row r="715" spans="1:33" ht="18" customHeight="1" x14ac:dyDescent="0.35">
      <c r="A715" s="559"/>
      <c r="B715" s="559"/>
      <c r="C715" s="559"/>
      <c r="D715" s="559"/>
      <c r="E715" s="559"/>
      <c r="F715" s="559"/>
      <c r="G715" s="559"/>
      <c r="H715" s="559"/>
      <c r="I715" s="559"/>
      <c r="J715" s="559"/>
      <c r="K715" s="559"/>
      <c r="L715" s="559"/>
      <c r="M715" s="559"/>
      <c r="N715" s="559"/>
      <c r="O715" s="559"/>
      <c r="P715" s="559"/>
      <c r="Q715" s="559"/>
      <c r="R715" s="559"/>
      <c r="S715" s="559"/>
      <c r="T715" s="559"/>
      <c r="U715" s="559"/>
      <c r="V715" s="559"/>
      <c r="W715" s="559"/>
      <c r="X715" s="559"/>
      <c r="Y715" s="559"/>
      <c r="Z715" s="559"/>
      <c r="AA715" s="559"/>
      <c r="AB715" s="559"/>
      <c r="AC715" s="559"/>
      <c r="AD715" s="559"/>
      <c r="AE715" s="559"/>
      <c r="AF715" s="559"/>
      <c r="AG715" s="559"/>
    </row>
    <row r="716" spans="1:33" ht="18" customHeight="1" x14ac:dyDescent="0.35">
      <c r="A716" s="559"/>
      <c r="B716" s="559"/>
      <c r="C716" s="559"/>
      <c r="D716" s="559"/>
      <c r="E716" s="559"/>
      <c r="F716" s="559"/>
      <c r="G716" s="559"/>
      <c r="H716" s="559"/>
      <c r="I716" s="559"/>
      <c r="J716" s="559"/>
      <c r="K716" s="559"/>
      <c r="L716" s="559"/>
      <c r="M716" s="559"/>
      <c r="N716" s="559"/>
      <c r="O716" s="559"/>
      <c r="P716" s="559"/>
      <c r="Q716" s="559"/>
      <c r="R716" s="559"/>
      <c r="S716" s="559"/>
      <c r="T716" s="559"/>
      <c r="U716" s="559"/>
      <c r="V716" s="559"/>
      <c r="W716" s="559"/>
      <c r="X716" s="559"/>
      <c r="Y716" s="559"/>
      <c r="Z716" s="559"/>
      <c r="AA716" s="559"/>
      <c r="AB716" s="559"/>
      <c r="AC716" s="559"/>
      <c r="AD716" s="559"/>
      <c r="AE716" s="559"/>
      <c r="AF716" s="559"/>
      <c r="AG716" s="559"/>
    </row>
    <row r="717" spans="1:33" ht="18" customHeight="1" x14ac:dyDescent="0.35">
      <c r="A717" s="559"/>
      <c r="B717" s="559"/>
      <c r="C717" s="559"/>
      <c r="D717" s="559"/>
      <c r="E717" s="559"/>
      <c r="F717" s="559"/>
      <c r="G717" s="559"/>
      <c r="H717" s="559"/>
      <c r="I717" s="559"/>
      <c r="J717" s="559"/>
      <c r="K717" s="559"/>
      <c r="L717" s="559"/>
      <c r="M717" s="559"/>
      <c r="N717" s="559"/>
      <c r="O717" s="559"/>
      <c r="P717" s="559"/>
      <c r="Q717" s="559"/>
      <c r="R717" s="559"/>
      <c r="S717" s="559"/>
      <c r="T717" s="559"/>
      <c r="U717" s="559"/>
      <c r="V717" s="559"/>
      <c r="W717" s="559"/>
      <c r="X717" s="559"/>
      <c r="Y717" s="559"/>
      <c r="Z717" s="559"/>
      <c r="AA717" s="559"/>
      <c r="AB717" s="559"/>
      <c r="AC717" s="559"/>
      <c r="AD717" s="559"/>
      <c r="AE717" s="559"/>
      <c r="AF717" s="559"/>
      <c r="AG717" s="559"/>
    </row>
    <row r="718" spans="1:33" ht="18" customHeight="1" x14ac:dyDescent="0.35">
      <c r="A718" s="559"/>
      <c r="B718" s="559"/>
      <c r="C718" s="559"/>
      <c r="D718" s="559"/>
      <c r="E718" s="559"/>
      <c r="F718" s="559"/>
      <c r="G718" s="559"/>
      <c r="H718" s="559"/>
      <c r="I718" s="559"/>
      <c r="J718" s="559"/>
      <c r="K718" s="559"/>
      <c r="L718" s="559"/>
      <c r="M718" s="559"/>
      <c r="N718" s="559"/>
      <c r="O718" s="559"/>
      <c r="P718" s="559"/>
      <c r="Q718" s="559"/>
      <c r="R718" s="559"/>
      <c r="S718" s="559"/>
      <c r="T718" s="559"/>
      <c r="U718" s="559"/>
      <c r="V718" s="559"/>
      <c r="W718" s="559"/>
      <c r="X718" s="559"/>
      <c r="Y718" s="559"/>
      <c r="Z718" s="559"/>
      <c r="AA718" s="559"/>
      <c r="AB718" s="559"/>
      <c r="AC718" s="559"/>
      <c r="AD718" s="559"/>
      <c r="AE718" s="559"/>
      <c r="AF718" s="559"/>
      <c r="AG718" s="559"/>
    </row>
    <row r="719" spans="1:33" ht="18" customHeight="1" x14ac:dyDescent="0.35">
      <c r="A719" s="559"/>
      <c r="B719" s="559"/>
      <c r="C719" s="559"/>
      <c r="D719" s="559"/>
      <c r="E719" s="559"/>
      <c r="F719" s="559"/>
      <c r="G719" s="559"/>
      <c r="H719" s="559"/>
      <c r="I719" s="559"/>
      <c r="J719" s="559"/>
      <c r="K719" s="559"/>
      <c r="L719" s="559"/>
      <c r="M719" s="559"/>
      <c r="N719" s="559"/>
      <c r="O719" s="559"/>
      <c r="P719" s="559"/>
      <c r="Q719" s="559"/>
      <c r="R719" s="559"/>
      <c r="S719" s="559"/>
      <c r="T719" s="559"/>
      <c r="U719" s="559"/>
      <c r="V719" s="559"/>
      <c r="W719" s="559"/>
      <c r="X719" s="559"/>
      <c r="Y719" s="559"/>
      <c r="Z719" s="559"/>
      <c r="AA719" s="559"/>
      <c r="AB719" s="559"/>
      <c r="AC719" s="559"/>
      <c r="AD719" s="559"/>
      <c r="AE719" s="559"/>
      <c r="AF719" s="559"/>
      <c r="AG719" s="559"/>
    </row>
    <row r="720" spans="1:33" ht="18" customHeight="1" x14ac:dyDescent="0.35">
      <c r="A720" s="559"/>
      <c r="B720" s="559"/>
      <c r="C720" s="559"/>
      <c r="D720" s="559"/>
      <c r="E720" s="559"/>
      <c r="F720" s="559"/>
      <c r="G720" s="559"/>
      <c r="H720" s="559"/>
      <c r="I720" s="559"/>
      <c r="J720" s="559"/>
      <c r="K720" s="559"/>
      <c r="L720" s="559"/>
      <c r="M720" s="559"/>
      <c r="N720" s="559"/>
      <c r="O720" s="559"/>
      <c r="P720" s="559"/>
      <c r="Q720" s="559"/>
      <c r="R720" s="559"/>
      <c r="S720" s="559"/>
      <c r="T720" s="559"/>
      <c r="U720" s="559"/>
      <c r="V720" s="559"/>
      <c r="W720" s="559"/>
      <c r="X720" s="559"/>
      <c r="Y720" s="559"/>
      <c r="Z720" s="559"/>
      <c r="AA720" s="559"/>
      <c r="AB720" s="559"/>
      <c r="AC720" s="559"/>
      <c r="AD720" s="559"/>
      <c r="AE720" s="559"/>
      <c r="AF720" s="559"/>
      <c r="AG720" s="559"/>
    </row>
    <row r="721" spans="1:33" ht="18" customHeight="1" x14ac:dyDescent="0.35">
      <c r="A721" s="559"/>
      <c r="B721" s="559"/>
      <c r="C721" s="559"/>
      <c r="D721" s="559"/>
      <c r="E721" s="559"/>
      <c r="F721" s="559"/>
      <c r="G721" s="559"/>
      <c r="H721" s="559"/>
      <c r="I721" s="559"/>
      <c r="J721" s="559"/>
      <c r="K721" s="559"/>
      <c r="L721" s="559"/>
      <c r="M721" s="559"/>
      <c r="N721" s="559"/>
      <c r="O721" s="559"/>
      <c r="P721" s="559"/>
      <c r="Q721" s="559"/>
      <c r="R721" s="559"/>
      <c r="S721" s="559"/>
      <c r="T721" s="559"/>
      <c r="U721" s="559"/>
      <c r="V721" s="559"/>
      <c r="W721" s="559"/>
      <c r="X721" s="559"/>
      <c r="Y721" s="559"/>
      <c r="Z721" s="559"/>
      <c r="AA721" s="559"/>
      <c r="AB721" s="559"/>
      <c r="AC721" s="559"/>
      <c r="AD721" s="559"/>
      <c r="AE721" s="559"/>
      <c r="AF721" s="559"/>
      <c r="AG721" s="559"/>
    </row>
    <row r="722" spans="1:33" ht="18" customHeight="1" x14ac:dyDescent="0.35">
      <c r="A722" s="559"/>
      <c r="B722" s="559"/>
      <c r="C722" s="559"/>
      <c r="D722" s="559"/>
      <c r="E722" s="559"/>
      <c r="F722" s="559"/>
      <c r="G722" s="559"/>
      <c r="H722" s="559"/>
      <c r="I722" s="559"/>
      <c r="J722" s="559"/>
      <c r="K722" s="559"/>
      <c r="L722" s="559"/>
      <c r="M722" s="559"/>
      <c r="N722" s="559"/>
      <c r="O722" s="559"/>
      <c r="P722" s="559"/>
      <c r="Q722" s="559"/>
      <c r="R722" s="559"/>
      <c r="S722" s="559"/>
      <c r="T722" s="559"/>
      <c r="U722" s="559"/>
      <c r="V722" s="559"/>
      <c r="W722" s="559"/>
      <c r="X722" s="559"/>
      <c r="Y722" s="559"/>
      <c r="Z722" s="559"/>
      <c r="AA722" s="559"/>
      <c r="AB722" s="559"/>
      <c r="AC722" s="559"/>
      <c r="AD722" s="559"/>
      <c r="AE722" s="559"/>
      <c r="AF722" s="559"/>
      <c r="AG722" s="559"/>
    </row>
    <row r="723" spans="1:33" ht="18" customHeight="1" x14ac:dyDescent="0.35">
      <c r="A723" s="559"/>
      <c r="B723" s="559"/>
      <c r="C723" s="559"/>
      <c r="D723" s="559"/>
      <c r="E723" s="559"/>
      <c r="F723" s="559"/>
      <c r="G723" s="559"/>
      <c r="H723" s="559"/>
      <c r="I723" s="559"/>
      <c r="J723" s="559"/>
      <c r="K723" s="559"/>
      <c r="L723" s="559"/>
      <c r="M723" s="559"/>
      <c r="N723" s="559"/>
      <c r="O723" s="559"/>
      <c r="P723" s="559"/>
      <c r="Q723" s="559"/>
      <c r="R723" s="559"/>
      <c r="S723" s="559"/>
      <c r="T723" s="559"/>
      <c r="U723" s="559"/>
      <c r="V723" s="559"/>
      <c r="W723" s="559"/>
      <c r="X723" s="559"/>
      <c r="Y723" s="559"/>
      <c r="Z723" s="559"/>
      <c r="AA723" s="559"/>
      <c r="AB723" s="559"/>
      <c r="AC723" s="559"/>
      <c r="AD723" s="559"/>
      <c r="AE723" s="559"/>
      <c r="AF723" s="559"/>
      <c r="AG723" s="559"/>
    </row>
    <row r="724" spans="1:33" ht="18" customHeight="1" x14ac:dyDescent="0.35">
      <c r="A724" s="559"/>
      <c r="B724" s="559"/>
      <c r="C724" s="559"/>
      <c r="D724" s="559"/>
      <c r="E724" s="559"/>
      <c r="F724" s="559"/>
      <c r="G724" s="559"/>
      <c r="H724" s="559"/>
      <c r="I724" s="559"/>
      <c r="J724" s="559"/>
      <c r="K724" s="559"/>
      <c r="L724" s="559"/>
      <c r="M724" s="559"/>
      <c r="N724" s="559"/>
      <c r="O724" s="559"/>
      <c r="P724" s="559"/>
      <c r="Q724" s="559"/>
      <c r="R724" s="559"/>
      <c r="S724" s="559"/>
      <c r="T724" s="559"/>
      <c r="U724" s="559"/>
      <c r="V724" s="559"/>
      <c r="W724" s="559"/>
      <c r="X724" s="559"/>
      <c r="Y724" s="559"/>
      <c r="Z724" s="559"/>
      <c r="AA724" s="559"/>
      <c r="AB724" s="559"/>
      <c r="AC724" s="559"/>
      <c r="AD724" s="559"/>
      <c r="AE724" s="559"/>
      <c r="AF724" s="559"/>
      <c r="AG724" s="559"/>
    </row>
    <row r="725" spans="1:33" ht="18" customHeight="1" x14ac:dyDescent="0.35">
      <c r="A725" s="559"/>
      <c r="B725" s="559"/>
      <c r="C725" s="559"/>
      <c r="D725" s="559"/>
      <c r="E725" s="559"/>
      <c r="F725" s="559"/>
      <c r="G725" s="559"/>
      <c r="H725" s="559"/>
      <c r="I725" s="559"/>
      <c r="J725" s="559"/>
      <c r="K725" s="559"/>
      <c r="L725" s="559"/>
      <c r="M725" s="559"/>
      <c r="N725" s="559"/>
      <c r="O725" s="559"/>
      <c r="P725" s="559"/>
      <c r="Q725" s="559"/>
      <c r="R725" s="559"/>
      <c r="S725" s="559"/>
      <c r="T725" s="559"/>
      <c r="U725" s="559"/>
      <c r="V725" s="559"/>
      <c r="W725" s="559"/>
      <c r="X725" s="559"/>
      <c r="Y725" s="559"/>
      <c r="Z725" s="559"/>
      <c r="AA725" s="559"/>
      <c r="AB725" s="559"/>
      <c r="AC725" s="559"/>
      <c r="AD725" s="559"/>
      <c r="AE725" s="559"/>
      <c r="AF725" s="559"/>
      <c r="AG725" s="559"/>
    </row>
    <row r="726" spans="1:33" ht="18" customHeight="1" x14ac:dyDescent="0.35">
      <c r="A726" s="559"/>
      <c r="B726" s="559"/>
      <c r="C726" s="559"/>
      <c r="D726" s="559"/>
      <c r="E726" s="559"/>
      <c r="F726" s="559"/>
      <c r="G726" s="559"/>
      <c r="H726" s="559"/>
      <c r="I726" s="559"/>
      <c r="J726" s="559"/>
      <c r="K726" s="559"/>
      <c r="L726" s="559"/>
      <c r="M726" s="559"/>
      <c r="N726" s="559"/>
      <c r="O726" s="559"/>
      <c r="P726" s="559"/>
      <c r="Q726" s="559"/>
      <c r="R726" s="559"/>
      <c r="S726" s="559"/>
      <c r="T726" s="559"/>
      <c r="U726" s="559"/>
      <c r="V726" s="559"/>
      <c r="W726" s="559"/>
      <c r="X726" s="559"/>
      <c r="Y726" s="559"/>
      <c r="Z726" s="559"/>
      <c r="AA726" s="559"/>
      <c r="AB726" s="559"/>
      <c r="AC726" s="559"/>
      <c r="AD726" s="559"/>
      <c r="AE726" s="559"/>
      <c r="AF726" s="559"/>
      <c r="AG726" s="559"/>
    </row>
    <row r="727" spans="1:33" ht="18" customHeight="1" x14ac:dyDescent="0.35">
      <c r="A727" s="559"/>
      <c r="B727" s="559"/>
      <c r="C727" s="559"/>
      <c r="D727" s="559"/>
      <c r="E727" s="559"/>
      <c r="F727" s="559"/>
      <c r="G727" s="559"/>
      <c r="H727" s="559"/>
      <c r="I727" s="559"/>
      <c r="J727" s="559"/>
      <c r="K727" s="559"/>
      <c r="L727" s="559"/>
      <c r="M727" s="559"/>
      <c r="N727" s="559"/>
      <c r="O727" s="559"/>
      <c r="P727" s="559"/>
      <c r="Q727" s="559"/>
      <c r="R727" s="559"/>
      <c r="S727" s="559"/>
      <c r="T727" s="559"/>
      <c r="U727" s="559"/>
      <c r="V727" s="559"/>
      <c r="W727" s="559"/>
      <c r="X727" s="559"/>
      <c r="Y727" s="559"/>
      <c r="Z727" s="559"/>
      <c r="AA727" s="559"/>
      <c r="AB727" s="559"/>
      <c r="AC727" s="559"/>
      <c r="AD727" s="559"/>
      <c r="AE727" s="559"/>
      <c r="AF727" s="559"/>
      <c r="AG727" s="559"/>
    </row>
    <row r="728" spans="1:33" ht="18" customHeight="1" x14ac:dyDescent="0.35">
      <c r="A728" s="559"/>
      <c r="B728" s="559"/>
      <c r="C728" s="559"/>
      <c r="D728" s="559"/>
      <c r="E728" s="559"/>
      <c r="F728" s="559"/>
      <c r="G728" s="559"/>
      <c r="H728" s="559"/>
      <c r="I728" s="559"/>
      <c r="J728" s="559"/>
      <c r="K728" s="559"/>
      <c r="L728" s="559"/>
      <c r="M728" s="559"/>
      <c r="N728" s="559"/>
      <c r="O728" s="559"/>
      <c r="P728" s="559"/>
      <c r="Q728" s="559"/>
      <c r="R728" s="559"/>
      <c r="S728" s="559"/>
      <c r="T728" s="559"/>
      <c r="U728" s="559"/>
      <c r="V728" s="559"/>
      <c r="W728" s="559"/>
      <c r="X728" s="559"/>
      <c r="Y728" s="559"/>
      <c r="Z728" s="559"/>
      <c r="AA728" s="559"/>
      <c r="AB728" s="559"/>
      <c r="AC728" s="559"/>
      <c r="AD728" s="559"/>
      <c r="AE728" s="559"/>
      <c r="AF728" s="559"/>
      <c r="AG728" s="559"/>
    </row>
    <row r="729" spans="1:33" ht="18" customHeight="1" x14ac:dyDescent="0.35">
      <c r="A729" s="559"/>
      <c r="B729" s="559"/>
      <c r="C729" s="559"/>
      <c r="D729" s="559"/>
      <c r="E729" s="559"/>
      <c r="F729" s="559"/>
      <c r="G729" s="559"/>
      <c r="H729" s="559"/>
      <c r="I729" s="559"/>
      <c r="J729" s="559"/>
      <c r="K729" s="559"/>
      <c r="L729" s="559"/>
      <c r="M729" s="559"/>
      <c r="N729" s="559"/>
      <c r="O729" s="559"/>
      <c r="P729" s="559"/>
      <c r="Q729" s="559"/>
      <c r="R729" s="559"/>
      <c r="S729" s="559"/>
      <c r="T729" s="559"/>
      <c r="U729" s="559"/>
      <c r="V729" s="559"/>
      <c r="W729" s="559"/>
      <c r="X729" s="559"/>
      <c r="Y729" s="559"/>
      <c r="Z729" s="559"/>
      <c r="AA729" s="559"/>
      <c r="AB729" s="559"/>
      <c r="AC729" s="559"/>
      <c r="AD729" s="559"/>
      <c r="AE729" s="559"/>
      <c r="AF729" s="559"/>
      <c r="AG729" s="559"/>
    </row>
    <row r="730" spans="1:33" ht="18" customHeight="1" x14ac:dyDescent="0.35">
      <c r="A730" s="559"/>
      <c r="B730" s="559"/>
      <c r="C730" s="559"/>
      <c r="D730" s="559"/>
      <c r="E730" s="559"/>
      <c r="F730" s="559"/>
      <c r="G730" s="559"/>
      <c r="H730" s="559"/>
      <c r="I730" s="559"/>
      <c r="J730" s="559"/>
      <c r="K730" s="559"/>
      <c r="L730" s="559"/>
      <c r="M730" s="559"/>
      <c r="N730" s="559"/>
      <c r="O730" s="559"/>
      <c r="P730" s="559"/>
      <c r="Q730" s="559"/>
      <c r="R730" s="559"/>
      <c r="S730" s="559"/>
      <c r="T730" s="559"/>
      <c r="U730" s="559"/>
      <c r="V730" s="559"/>
      <c r="W730" s="559"/>
      <c r="X730" s="559"/>
      <c r="Y730" s="559"/>
      <c r="Z730" s="559"/>
      <c r="AA730" s="559"/>
      <c r="AB730" s="559"/>
      <c r="AC730" s="559"/>
      <c r="AD730" s="559"/>
      <c r="AE730" s="559"/>
      <c r="AF730" s="559"/>
      <c r="AG730" s="559"/>
    </row>
    <row r="731" spans="1:33" ht="18" customHeight="1" x14ac:dyDescent="0.35">
      <c r="A731" s="559"/>
      <c r="B731" s="559"/>
      <c r="C731" s="559"/>
      <c r="D731" s="559"/>
      <c r="E731" s="559"/>
      <c r="F731" s="559"/>
      <c r="G731" s="559"/>
      <c r="H731" s="559"/>
      <c r="I731" s="559"/>
      <c r="J731" s="559"/>
      <c r="K731" s="559"/>
      <c r="L731" s="559"/>
      <c r="M731" s="559"/>
      <c r="N731" s="559"/>
      <c r="O731" s="559"/>
      <c r="P731" s="559"/>
      <c r="Q731" s="559"/>
      <c r="R731" s="559"/>
      <c r="S731" s="559"/>
      <c r="T731" s="559"/>
      <c r="U731" s="559"/>
      <c r="V731" s="559"/>
      <c r="W731" s="559"/>
      <c r="X731" s="559"/>
      <c r="Y731" s="559"/>
      <c r="Z731" s="559"/>
      <c r="AA731" s="559"/>
      <c r="AB731" s="559"/>
      <c r="AC731" s="559"/>
      <c r="AD731" s="559"/>
      <c r="AE731" s="559"/>
      <c r="AF731" s="559"/>
      <c r="AG731" s="559"/>
    </row>
    <row r="732" spans="1:33" ht="18" customHeight="1" x14ac:dyDescent="0.35">
      <c r="A732" s="559"/>
      <c r="B732" s="559"/>
      <c r="C732" s="559"/>
      <c r="D732" s="559"/>
      <c r="E732" s="559"/>
      <c r="F732" s="559"/>
      <c r="G732" s="559"/>
      <c r="H732" s="559"/>
      <c r="I732" s="559"/>
      <c r="J732" s="559"/>
      <c r="K732" s="559"/>
      <c r="L732" s="559"/>
      <c r="M732" s="559"/>
      <c r="N732" s="559"/>
      <c r="O732" s="559"/>
      <c r="P732" s="559"/>
      <c r="Q732" s="559"/>
      <c r="R732" s="559"/>
      <c r="S732" s="559"/>
      <c r="T732" s="559"/>
      <c r="U732" s="559"/>
      <c r="V732" s="559"/>
      <c r="W732" s="559"/>
      <c r="X732" s="559"/>
      <c r="Y732" s="559"/>
      <c r="Z732" s="559"/>
      <c r="AA732" s="559"/>
      <c r="AB732" s="559"/>
      <c r="AC732" s="559"/>
      <c r="AD732" s="559"/>
      <c r="AE732" s="559"/>
      <c r="AF732" s="559"/>
      <c r="AG732" s="559"/>
    </row>
    <row r="733" spans="1:33" ht="18" customHeight="1" x14ac:dyDescent="0.35">
      <c r="A733" s="559"/>
      <c r="B733" s="559"/>
      <c r="C733" s="559"/>
      <c r="D733" s="559"/>
      <c r="E733" s="559"/>
      <c r="F733" s="559"/>
      <c r="G733" s="559"/>
      <c r="H733" s="559"/>
      <c r="I733" s="559"/>
      <c r="J733" s="559"/>
      <c r="K733" s="559"/>
      <c r="L733" s="559"/>
      <c r="M733" s="559"/>
      <c r="N733" s="559"/>
      <c r="O733" s="559"/>
      <c r="P733" s="559"/>
      <c r="Q733" s="559"/>
      <c r="R733" s="559"/>
      <c r="S733" s="559"/>
      <c r="T733" s="559"/>
      <c r="U733" s="559"/>
      <c r="V733" s="559"/>
      <c r="W733" s="559"/>
      <c r="X733" s="559"/>
      <c r="Y733" s="559"/>
      <c r="Z733" s="559"/>
      <c r="AA733" s="559"/>
      <c r="AB733" s="559"/>
      <c r="AC733" s="559"/>
      <c r="AD733" s="559"/>
      <c r="AE733" s="559"/>
      <c r="AF733" s="559"/>
      <c r="AG733" s="559"/>
    </row>
    <row r="734" spans="1:33" ht="18" customHeight="1" x14ac:dyDescent="0.35">
      <c r="A734" s="559"/>
      <c r="B734" s="559"/>
      <c r="C734" s="559"/>
      <c r="D734" s="559"/>
      <c r="E734" s="559"/>
      <c r="F734" s="559"/>
      <c r="G734" s="559"/>
      <c r="H734" s="559"/>
      <c r="I734" s="559"/>
      <c r="J734" s="559"/>
      <c r="K734" s="559"/>
      <c r="L734" s="559"/>
      <c r="M734" s="559"/>
      <c r="N734" s="559"/>
      <c r="O734" s="559"/>
      <c r="P734" s="559"/>
      <c r="Q734" s="559"/>
      <c r="R734" s="559"/>
      <c r="S734" s="559"/>
      <c r="T734" s="559"/>
      <c r="U734" s="559"/>
      <c r="V734" s="559"/>
      <c r="W734" s="559"/>
      <c r="X734" s="559"/>
      <c r="Y734" s="559"/>
      <c r="Z734" s="559"/>
      <c r="AA734" s="559"/>
      <c r="AB734" s="559"/>
      <c r="AC734" s="559"/>
      <c r="AD734" s="559"/>
      <c r="AE734" s="559"/>
      <c r="AF734" s="559"/>
      <c r="AG734" s="559"/>
    </row>
    <row r="735" spans="1:33" ht="18" customHeight="1" x14ac:dyDescent="0.35">
      <c r="A735" s="559"/>
      <c r="B735" s="559"/>
      <c r="C735" s="559"/>
      <c r="D735" s="559"/>
      <c r="E735" s="559"/>
      <c r="F735" s="559"/>
      <c r="G735" s="559"/>
      <c r="H735" s="559"/>
      <c r="I735" s="559"/>
      <c r="J735" s="559"/>
      <c r="K735" s="559"/>
      <c r="L735" s="559"/>
      <c r="M735" s="559"/>
      <c r="N735" s="559"/>
      <c r="O735" s="559"/>
      <c r="P735" s="559"/>
      <c r="Q735" s="559"/>
      <c r="R735" s="559"/>
      <c r="S735" s="559"/>
      <c r="T735" s="559"/>
      <c r="U735" s="559"/>
      <c r="V735" s="559"/>
      <c r="W735" s="559"/>
      <c r="X735" s="559"/>
      <c r="Y735" s="559"/>
      <c r="Z735" s="559"/>
      <c r="AA735" s="559"/>
      <c r="AB735" s="559"/>
      <c r="AC735" s="559"/>
      <c r="AD735" s="559"/>
      <c r="AE735" s="559"/>
      <c r="AF735" s="559"/>
      <c r="AG735" s="559"/>
    </row>
    <row r="736" spans="1:33" ht="18" customHeight="1" x14ac:dyDescent="0.35">
      <c r="A736" s="559"/>
      <c r="B736" s="559"/>
      <c r="C736" s="559"/>
      <c r="D736" s="559"/>
      <c r="E736" s="559"/>
      <c r="F736" s="559"/>
      <c r="G736" s="559"/>
      <c r="H736" s="559"/>
      <c r="I736" s="559"/>
      <c r="J736" s="559"/>
      <c r="K736" s="559"/>
      <c r="L736" s="559"/>
      <c r="M736" s="559"/>
      <c r="N736" s="559"/>
      <c r="O736" s="559"/>
      <c r="P736" s="559"/>
      <c r="Q736" s="559"/>
      <c r="R736" s="559"/>
      <c r="S736" s="559"/>
      <c r="T736" s="559"/>
      <c r="U736" s="559"/>
      <c r="V736" s="559"/>
      <c r="W736" s="559"/>
      <c r="X736" s="559"/>
      <c r="Y736" s="559"/>
      <c r="Z736" s="559"/>
      <c r="AA736" s="559"/>
      <c r="AB736" s="559"/>
      <c r="AC736" s="559"/>
      <c r="AD736" s="559"/>
      <c r="AE736" s="559"/>
      <c r="AF736" s="559"/>
      <c r="AG736" s="559"/>
    </row>
    <row r="737" spans="1:33" ht="18" customHeight="1" x14ac:dyDescent="0.35">
      <c r="A737" s="559"/>
      <c r="B737" s="559"/>
      <c r="C737" s="559"/>
      <c r="D737" s="559"/>
      <c r="E737" s="559"/>
      <c r="F737" s="559"/>
      <c r="G737" s="559"/>
      <c r="H737" s="559"/>
      <c r="I737" s="559"/>
      <c r="J737" s="559"/>
      <c r="K737" s="559"/>
      <c r="L737" s="559"/>
      <c r="M737" s="559"/>
      <c r="N737" s="559"/>
      <c r="O737" s="559"/>
      <c r="P737" s="559"/>
      <c r="Q737" s="559"/>
      <c r="R737" s="559"/>
      <c r="S737" s="559"/>
      <c r="T737" s="559"/>
      <c r="U737" s="559"/>
      <c r="V737" s="559"/>
      <c r="W737" s="559"/>
      <c r="X737" s="559"/>
      <c r="Y737" s="559"/>
      <c r="Z737" s="559"/>
      <c r="AA737" s="559"/>
      <c r="AB737" s="559"/>
      <c r="AC737" s="559"/>
      <c r="AD737" s="559"/>
      <c r="AE737" s="559"/>
      <c r="AF737" s="559"/>
      <c r="AG737" s="559"/>
    </row>
    <row r="738" spans="1:33" ht="18" customHeight="1" x14ac:dyDescent="0.35">
      <c r="A738" s="559"/>
      <c r="B738" s="559"/>
      <c r="C738" s="559"/>
      <c r="D738" s="559"/>
      <c r="E738" s="559"/>
      <c r="F738" s="559"/>
      <c r="G738" s="559"/>
      <c r="H738" s="559"/>
      <c r="I738" s="559"/>
      <c r="J738" s="559"/>
      <c r="K738" s="559"/>
      <c r="L738" s="559"/>
      <c r="M738" s="559"/>
      <c r="N738" s="559"/>
      <c r="O738" s="559"/>
      <c r="P738" s="559"/>
      <c r="Q738" s="559"/>
      <c r="R738" s="559"/>
      <c r="S738" s="559"/>
      <c r="T738" s="559"/>
      <c r="U738" s="559"/>
      <c r="V738" s="559"/>
      <c r="W738" s="559"/>
      <c r="X738" s="559"/>
      <c r="Y738" s="559"/>
      <c r="Z738" s="559"/>
      <c r="AA738" s="559"/>
      <c r="AB738" s="559"/>
      <c r="AC738" s="559"/>
      <c r="AD738" s="559"/>
      <c r="AE738" s="559"/>
      <c r="AF738" s="559"/>
      <c r="AG738" s="559"/>
    </row>
    <row r="739" spans="1:33" ht="18" customHeight="1" x14ac:dyDescent="0.35">
      <c r="A739" s="559"/>
      <c r="B739" s="559"/>
      <c r="C739" s="559"/>
      <c r="D739" s="559"/>
      <c r="E739" s="559"/>
      <c r="F739" s="559"/>
      <c r="G739" s="559"/>
      <c r="H739" s="559"/>
      <c r="I739" s="559"/>
      <c r="J739" s="559"/>
      <c r="K739" s="559"/>
      <c r="L739" s="559"/>
      <c r="M739" s="559"/>
      <c r="N739" s="559"/>
      <c r="O739" s="559"/>
      <c r="P739" s="559"/>
      <c r="Q739" s="559"/>
      <c r="R739" s="559"/>
      <c r="S739" s="559"/>
      <c r="T739" s="559"/>
      <c r="U739" s="559"/>
      <c r="V739" s="559"/>
      <c r="W739" s="559"/>
      <c r="X739" s="559"/>
      <c r="Y739" s="559"/>
      <c r="Z739" s="559"/>
      <c r="AA739" s="559"/>
      <c r="AB739" s="559"/>
      <c r="AC739" s="559"/>
      <c r="AD739" s="559"/>
      <c r="AE739" s="559"/>
      <c r="AF739" s="559"/>
      <c r="AG739" s="559"/>
    </row>
    <row r="740" spans="1:33" ht="18" customHeight="1" x14ac:dyDescent="0.35">
      <c r="A740" s="559"/>
      <c r="B740" s="559"/>
      <c r="C740" s="559"/>
      <c r="D740" s="559"/>
      <c r="E740" s="559"/>
      <c r="F740" s="559"/>
      <c r="G740" s="559"/>
      <c r="H740" s="559"/>
      <c r="I740" s="559"/>
      <c r="J740" s="559"/>
      <c r="K740" s="559"/>
      <c r="L740" s="559"/>
      <c r="M740" s="559"/>
      <c r="N740" s="559"/>
      <c r="O740" s="559"/>
      <c r="P740" s="559"/>
      <c r="Q740" s="559"/>
      <c r="R740" s="559"/>
      <c r="S740" s="559"/>
      <c r="T740" s="559"/>
      <c r="U740" s="559"/>
      <c r="V740" s="559"/>
      <c r="W740" s="559"/>
      <c r="X740" s="559"/>
      <c r="Y740" s="559"/>
      <c r="Z740" s="559"/>
      <c r="AA740" s="559"/>
      <c r="AB740" s="559"/>
      <c r="AC740" s="559"/>
      <c r="AD740" s="559"/>
      <c r="AE740" s="559"/>
      <c r="AF740" s="559"/>
      <c r="AG740" s="559"/>
    </row>
    <row r="741" spans="1:33" ht="18" customHeight="1" x14ac:dyDescent="0.35">
      <c r="A741" s="559"/>
      <c r="B741" s="559"/>
      <c r="C741" s="559"/>
      <c r="D741" s="559"/>
      <c r="E741" s="559"/>
      <c r="F741" s="559"/>
      <c r="G741" s="559"/>
      <c r="H741" s="559"/>
      <c r="I741" s="559"/>
      <c r="J741" s="559"/>
      <c r="K741" s="559"/>
      <c r="L741" s="559"/>
      <c r="M741" s="559"/>
      <c r="N741" s="559"/>
      <c r="O741" s="559"/>
      <c r="P741" s="559"/>
      <c r="Q741" s="559"/>
      <c r="R741" s="559"/>
      <c r="S741" s="559"/>
      <c r="T741" s="559"/>
      <c r="U741" s="559"/>
      <c r="V741" s="559"/>
      <c r="W741" s="559"/>
      <c r="X741" s="559"/>
      <c r="Y741" s="559"/>
      <c r="Z741" s="559"/>
      <c r="AA741" s="559"/>
      <c r="AB741" s="559"/>
      <c r="AC741" s="559"/>
      <c r="AD741" s="559"/>
      <c r="AE741" s="559"/>
      <c r="AF741" s="559"/>
      <c r="AG741" s="559"/>
    </row>
    <row r="742" spans="1:33" ht="18" customHeight="1" x14ac:dyDescent="0.35">
      <c r="A742" s="559"/>
      <c r="B742" s="559"/>
      <c r="C742" s="559"/>
      <c r="D742" s="559"/>
      <c r="E742" s="559"/>
      <c r="F742" s="559"/>
      <c r="G742" s="559"/>
      <c r="H742" s="559"/>
      <c r="I742" s="559"/>
      <c r="J742" s="559"/>
      <c r="K742" s="559"/>
      <c r="L742" s="559"/>
      <c r="M742" s="559"/>
      <c r="N742" s="559"/>
      <c r="O742" s="559"/>
      <c r="P742" s="559"/>
      <c r="Q742" s="559"/>
      <c r="R742" s="559"/>
      <c r="S742" s="559"/>
      <c r="T742" s="559"/>
      <c r="U742" s="559"/>
      <c r="V742" s="559"/>
      <c r="W742" s="559"/>
      <c r="X742" s="559"/>
      <c r="Y742" s="559"/>
      <c r="Z742" s="559"/>
      <c r="AA742" s="559"/>
      <c r="AB742" s="559"/>
      <c r="AC742" s="559"/>
      <c r="AD742" s="559"/>
      <c r="AE742" s="559"/>
      <c r="AF742" s="559"/>
      <c r="AG742" s="559"/>
    </row>
    <row r="743" spans="1:33" ht="18" customHeight="1" x14ac:dyDescent="0.35">
      <c r="A743" s="559"/>
      <c r="B743" s="559"/>
      <c r="C743" s="559"/>
      <c r="D743" s="559"/>
      <c r="E743" s="559"/>
      <c r="F743" s="559"/>
      <c r="G743" s="559"/>
      <c r="H743" s="559"/>
      <c r="I743" s="559"/>
      <c r="J743" s="559"/>
      <c r="K743" s="559"/>
      <c r="L743" s="559"/>
      <c r="M743" s="559"/>
      <c r="N743" s="559"/>
      <c r="O743" s="559"/>
      <c r="P743" s="559"/>
      <c r="Q743" s="559"/>
      <c r="R743" s="559"/>
      <c r="S743" s="559"/>
      <c r="T743" s="559"/>
      <c r="U743" s="559"/>
      <c r="V743" s="559"/>
      <c r="W743" s="559"/>
      <c r="X743" s="559"/>
      <c r="Y743" s="559"/>
      <c r="Z743" s="559"/>
      <c r="AA743" s="559"/>
      <c r="AB743" s="559"/>
      <c r="AC743" s="559"/>
      <c r="AD743" s="559"/>
      <c r="AE743" s="559"/>
      <c r="AF743" s="559"/>
      <c r="AG743" s="559"/>
    </row>
    <row r="744" spans="1:33" ht="18" customHeight="1" x14ac:dyDescent="0.35">
      <c r="A744" s="559"/>
      <c r="B744" s="559"/>
      <c r="C744" s="559"/>
      <c r="D744" s="559"/>
      <c r="E744" s="559"/>
      <c r="F744" s="559"/>
      <c r="G744" s="559"/>
      <c r="H744" s="559"/>
      <c r="I744" s="559"/>
      <c r="J744" s="559"/>
      <c r="K744" s="559"/>
      <c r="L744" s="559"/>
      <c r="M744" s="559"/>
      <c r="N744" s="559"/>
      <c r="O744" s="559"/>
      <c r="P744" s="559"/>
      <c r="Q744" s="559"/>
      <c r="R744" s="559"/>
      <c r="S744" s="559"/>
      <c r="T744" s="559"/>
      <c r="U744" s="559"/>
      <c r="V744" s="559"/>
      <c r="W744" s="559"/>
      <c r="X744" s="559"/>
      <c r="Y744" s="559"/>
      <c r="Z744" s="559"/>
      <c r="AA744" s="559"/>
      <c r="AB744" s="559"/>
      <c r="AC744" s="559"/>
      <c r="AD744" s="559"/>
      <c r="AE744" s="559"/>
      <c r="AF744" s="559"/>
      <c r="AG744" s="559"/>
    </row>
    <row r="745" spans="1:33" ht="18" customHeight="1" x14ac:dyDescent="0.35">
      <c r="A745" s="559"/>
      <c r="B745" s="559"/>
      <c r="C745" s="559"/>
      <c r="D745" s="559"/>
      <c r="E745" s="559"/>
      <c r="F745" s="559"/>
      <c r="G745" s="559"/>
      <c r="H745" s="559"/>
      <c r="I745" s="559"/>
      <c r="J745" s="559"/>
      <c r="K745" s="559"/>
      <c r="L745" s="559"/>
      <c r="M745" s="559"/>
      <c r="N745" s="559"/>
      <c r="O745" s="559"/>
      <c r="P745" s="559"/>
      <c r="Q745" s="559"/>
      <c r="R745" s="559"/>
      <c r="S745" s="559"/>
      <c r="T745" s="559"/>
      <c r="U745" s="559"/>
      <c r="V745" s="559"/>
      <c r="W745" s="559"/>
      <c r="X745" s="559"/>
      <c r="Y745" s="559"/>
      <c r="Z745" s="559"/>
      <c r="AA745" s="559"/>
      <c r="AB745" s="559"/>
      <c r="AC745" s="559"/>
      <c r="AD745" s="559"/>
      <c r="AE745" s="559"/>
      <c r="AF745" s="559"/>
      <c r="AG745" s="559"/>
    </row>
    <row r="746" spans="1:33" ht="18" customHeight="1" x14ac:dyDescent="0.35">
      <c r="A746" s="559"/>
      <c r="B746" s="559"/>
      <c r="C746" s="559"/>
      <c r="D746" s="559"/>
      <c r="E746" s="559"/>
      <c r="F746" s="559"/>
      <c r="G746" s="559"/>
      <c r="H746" s="559"/>
      <c r="I746" s="559"/>
      <c r="J746" s="559"/>
      <c r="K746" s="559"/>
      <c r="L746" s="559"/>
      <c r="M746" s="559"/>
      <c r="N746" s="559"/>
      <c r="O746" s="559"/>
      <c r="P746" s="559"/>
      <c r="Q746" s="559"/>
      <c r="R746" s="559"/>
      <c r="S746" s="559"/>
      <c r="T746" s="559"/>
      <c r="U746" s="559"/>
      <c r="V746" s="559"/>
      <c r="W746" s="559"/>
      <c r="X746" s="559"/>
      <c r="Y746" s="559"/>
      <c r="Z746" s="559"/>
      <c r="AA746" s="559"/>
      <c r="AB746" s="559"/>
      <c r="AC746" s="559"/>
      <c r="AD746" s="559"/>
      <c r="AE746" s="559"/>
      <c r="AF746" s="559"/>
      <c r="AG746" s="559"/>
    </row>
    <row r="747" spans="1:33" ht="18" customHeight="1" x14ac:dyDescent="0.35">
      <c r="A747" s="559"/>
      <c r="B747" s="559"/>
      <c r="C747" s="559"/>
      <c r="D747" s="559"/>
      <c r="E747" s="559"/>
      <c r="F747" s="559"/>
      <c r="G747" s="559"/>
      <c r="H747" s="559"/>
      <c r="I747" s="559"/>
      <c r="J747" s="559"/>
      <c r="K747" s="559"/>
      <c r="L747" s="559"/>
      <c r="M747" s="559"/>
      <c r="N747" s="559"/>
      <c r="O747" s="559"/>
      <c r="P747" s="559"/>
      <c r="Q747" s="559"/>
      <c r="R747" s="559"/>
      <c r="S747" s="559"/>
      <c r="T747" s="559"/>
      <c r="U747" s="559"/>
      <c r="V747" s="559"/>
      <c r="W747" s="559"/>
      <c r="X747" s="559"/>
      <c r="Y747" s="559"/>
      <c r="Z747" s="559"/>
      <c r="AA747" s="559"/>
      <c r="AB747" s="559"/>
      <c r="AC747" s="559"/>
      <c r="AD747" s="559"/>
      <c r="AE747" s="559"/>
      <c r="AF747" s="559"/>
      <c r="AG747" s="559"/>
    </row>
    <row r="748" spans="1:33" ht="18" customHeight="1" x14ac:dyDescent="0.35">
      <c r="A748" s="559"/>
      <c r="B748" s="559"/>
      <c r="C748" s="559"/>
      <c r="D748" s="559"/>
      <c r="E748" s="559"/>
      <c r="F748" s="559"/>
      <c r="G748" s="559"/>
      <c r="H748" s="559"/>
      <c r="I748" s="559"/>
      <c r="J748" s="559"/>
      <c r="K748" s="559"/>
      <c r="L748" s="559"/>
      <c r="M748" s="559"/>
      <c r="N748" s="559"/>
      <c r="O748" s="559"/>
      <c r="P748" s="559"/>
      <c r="Q748" s="559"/>
      <c r="R748" s="559"/>
      <c r="S748" s="559"/>
      <c r="T748" s="559"/>
      <c r="U748" s="559"/>
      <c r="V748" s="559"/>
      <c r="W748" s="559"/>
      <c r="X748" s="559"/>
      <c r="Y748" s="559"/>
      <c r="Z748" s="559"/>
      <c r="AA748" s="559"/>
      <c r="AB748" s="559"/>
      <c r="AC748" s="559"/>
      <c r="AD748" s="559"/>
      <c r="AE748" s="559"/>
      <c r="AF748" s="559"/>
      <c r="AG748" s="559"/>
    </row>
    <row r="749" spans="1:33" ht="18" customHeight="1" x14ac:dyDescent="0.35">
      <c r="A749" s="559"/>
      <c r="B749" s="559"/>
      <c r="C749" s="559"/>
      <c r="D749" s="559"/>
      <c r="E749" s="559"/>
      <c r="F749" s="559"/>
      <c r="G749" s="559"/>
      <c r="H749" s="559"/>
      <c r="I749" s="559"/>
      <c r="J749" s="559"/>
      <c r="K749" s="559"/>
      <c r="L749" s="559"/>
      <c r="M749" s="559"/>
      <c r="N749" s="559"/>
      <c r="O749" s="559"/>
      <c r="P749" s="559"/>
      <c r="Q749" s="559"/>
      <c r="R749" s="559"/>
      <c r="S749" s="559"/>
      <c r="T749" s="559"/>
      <c r="U749" s="559"/>
      <c r="V749" s="559"/>
      <c r="W749" s="559"/>
      <c r="X749" s="559"/>
      <c r="Y749" s="559"/>
      <c r="Z749" s="559"/>
      <c r="AA749" s="559"/>
      <c r="AB749" s="559"/>
      <c r="AC749" s="559"/>
      <c r="AD749" s="559"/>
      <c r="AE749" s="559"/>
      <c r="AF749" s="559"/>
      <c r="AG749" s="559"/>
    </row>
    <row r="750" spans="1:33" ht="18" customHeight="1" x14ac:dyDescent="0.35">
      <c r="A750" s="559"/>
      <c r="B750" s="559"/>
      <c r="C750" s="559"/>
      <c r="D750" s="559"/>
      <c r="E750" s="559"/>
      <c r="F750" s="559"/>
      <c r="G750" s="559"/>
      <c r="H750" s="559"/>
      <c r="I750" s="559"/>
      <c r="J750" s="559"/>
      <c r="K750" s="559"/>
      <c r="L750" s="559"/>
      <c r="M750" s="559"/>
      <c r="N750" s="559"/>
      <c r="O750" s="559"/>
      <c r="P750" s="559"/>
      <c r="Q750" s="559"/>
      <c r="R750" s="559"/>
      <c r="S750" s="559"/>
      <c r="T750" s="559"/>
      <c r="U750" s="559"/>
      <c r="V750" s="559"/>
      <c r="W750" s="559"/>
      <c r="X750" s="559"/>
      <c r="Y750" s="559"/>
      <c r="Z750" s="559"/>
      <c r="AA750" s="559"/>
      <c r="AB750" s="559"/>
      <c r="AC750" s="559"/>
      <c r="AD750" s="559"/>
      <c r="AE750" s="559"/>
      <c r="AF750" s="559"/>
      <c r="AG750" s="559"/>
    </row>
    <row r="751" spans="1:33" ht="18" customHeight="1" x14ac:dyDescent="0.35">
      <c r="A751" s="559"/>
      <c r="B751" s="559"/>
      <c r="C751" s="559"/>
      <c r="D751" s="559"/>
      <c r="E751" s="559"/>
      <c r="F751" s="559"/>
      <c r="G751" s="559"/>
      <c r="H751" s="559"/>
      <c r="I751" s="559"/>
      <c r="J751" s="559"/>
      <c r="K751" s="559"/>
      <c r="L751" s="559"/>
      <c r="M751" s="559"/>
      <c r="N751" s="559"/>
      <c r="O751" s="559"/>
      <c r="P751" s="559"/>
      <c r="Q751" s="559"/>
      <c r="R751" s="559"/>
      <c r="S751" s="559"/>
      <c r="T751" s="559"/>
      <c r="U751" s="559"/>
      <c r="V751" s="559"/>
      <c r="W751" s="559"/>
      <c r="X751" s="559"/>
      <c r="Y751" s="559"/>
      <c r="Z751" s="559"/>
      <c r="AA751" s="559"/>
      <c r="AB751" s="559"/>
      <c r="AC751" s="559"/>
      <c r="AD751" s="559"/>
      <c r="AE751" s="559"/>
      <c r="AF751" s="559"/>
      <c r="AG751" s="559"/>
    </row>
    <row r="752" spans="1:33" ht="18" customHeight="1" x14ac:dyDescent="0.35">
      <c r="A752" s="559"/>
      <c r="B752" s="559"/>
      <c r="C752" s="559"/>
      <c r="D752" s="559"/>
      <c r="E752" s="559"/>
      <c r="F752" s="559"/>
      <c r="G752" s="559"/>
      <c r="H752" s="559"/>
      <c r="I752" s="559"/>
      <c r="J752" s="559"/>
      <c r="K752" s="559"/>
      <c r="L752" s="559"/>
      <c r="M752" s="559"/>
      <c r="N752" s="559"/>
      <c r="O752" s="559"/>
      <c r="P752" s="559"/>
      <c r="Q752" s="559"/>
      <c r="R752" s="559"/>
      <c r="S752" s="559"/>
      <c r="T752" s="559"/>
      <c r="U752" s="559"/>
      <c r="V752" s="559"/>
      <c r="W752" s="559"/>
      <c r="X752" s="559"/>
      <c r="Y752" s="559"/>
      <c r="Z752" s="559"/>
      <c r="AA752" s="559"/>
      <c r="AB752" s="559"/>
      <c r="AC752" s="559"/>
      <c r="AD752" s="559"/>
      <c r="AE752" s="559"/>
      <c r="AF752" s="559"/>
      <c r="AG752" s="559"/>
    </row>
    <row r="753" spans="1:33" ht="18" customHeight="1" x14ac:dyDescent="0.35">
      <c r="A753" s="559"/>
      <c r="B753" s="559"/>
      <c r="C753" s="559"/>
      <c r="D753" s="559"/>
      <c r="E753" s="559"/>
      <c r="F753" s="559"/>
      <c r="G753" s="559"/>
      <c r="H753" s="559"/>
      <c r="I753" s="559"/>
      <c r="J753" s="559"/>
      <c r="K753" s="559"/>
      <c r="L753" s="559"/>
      <c r="M753" s="559"/>
      <c r="N753" s="559"/>
      <c r="O753" s="559"/>
      <c r="P753" s="559"/>
      <c r="Q753" s="559"/>
      <c r="R753" s="559"/>
      <c r="S753" s="559"/>
      <c r="T753" s="559"/>
      <c r="U753" s="559"/>
      <c r="V753" s="559"/>
      <c r="W753" s="559"/>
      <c r="X753" s="559"/>
      <c r="Y753" s="559"/>
      <c r="Z753" s="559"/>
      <c r="AA753" s="559"/>
      <c r="AB753" s="559"/>
      <c r="AC753" s="559"/>
      <c r="AD753" s="559"/>
      <c r="AE753" s="559"/>
      <c r="AF753" s="559"/>
      <c r="AG753" s="559"/>
    </row>
    <row r="754" spans="1:33" ht="18" customHeight="1" x14ac:dyDescent="0.35">
      <c r="A754" s="559"/>
      <c r="B754" s="559"/>
      <c r="C754" s="559"/>
      <c r="D754" s="559"/>
      <c r="E754" s="559"/>
      <c r="F754" s="559"/>
      <c r="G754" s="559"/>
      <c r="H754" s="559"/>
      <c r="I754" s="559"/>
      <c r="J754" s="559"/>
      <c r="K754" s="559"/>
      <c r="L754" s="559"/>
      <c r="M754" s="559"/>
      <c r="N754" s="559"/>
      <c r="O754" s="559"/>
      <c r="P754" s="559"/>
      <c r="Q754" s="559"/>
      <c r="R754" s="559"/>
      <c r="S754" s="559"/>
      <c r="T754" s="559"/>
      <c r="U754" s="559"/>
      <c r="V754" s="559"/>
      <c r="W754" s="559"/>
      <c r="X754" s="559"/>
      <c r="Y754" s="559"/>
      <c r="Z754" s="559"/>
      <c r="AA754" s="559"/>
      <c r="AB754" s="559"/>
      <c r="AC754" s="559"/>
      <c r="AD754" s="559"/>
      <c r="AE754" s="559"/>
      <c r="AF754" s="559"/>
      <c r="AG754" s="559"/>
    </row>
    <row r="755" spans="1:33" ht="18" customHeight="1" x14ac:dyDescent="0.35">
      <c r="A755" s="559"/>
      <c r="B755" s="559"/>
      <c r="C755" s="559"/>
      <c r="D755" s="559"/>
      <c r="E755" s="559"/>
      <c r="F755" s="559"/>
      <c r="G755" s="559"/>
      <c r="H755" s="559"/>
      <c r="I755" s="559"/>
      <c r="J755" s="559"/>
      <c r="K755" s="559"/>
      <c r="L755" s="559"/>
      <c r="M755" s="559"/>
      <c r="N755" s="559"/>
      <c r="O755" s="559"/>
      <c r="P755" s="559"/>
      <c r="Q755" s="559"/>
      <c r="R755" s="559"/>
      <c r="S755" s="559"/>
      <c r="T755" s="559"/>
      <c r="U755" s="559"/>
      <c r="V755" s="559"/>
      <c r="W755" s="559"/>
      <c r="X755" s="559"/>
      <c r="Y755" s="559"/>
      <c r="Z755" s="559"/>
      <c r="AA755" s="559"/>
      <c r="AB755" s="559"/>
      <c r="AC755" s="559"/>
      <c r="AD755" s="559"/>
      <c r="AE755" s="559"/>
      <c r="AF755" s="559"/>
      <c r="AG755" s="559"/>
    </row>
    <row r="756" spans="1:33" ht="18" customHeight="1" x14ac:dyDescent="0.35">
      <c r="A756" s="559"/>
      <c r="B756" s="559"/>
      <c r="C756" s="559"/>
      <c r="D756" s="559"/>
      <c r="E756" s="559"/>
      <c r="F756" s="559"/>
      <c r="G756" s="559"/>
      <c r="H756" s="559"/>
      <c r="I756" s="559"/>
      <c r="J756" s="559"/>
      <c r="K756" s="559"/>
      <c r="L756" s="559"/>
      <c r="M756" s="559"/>
      <c r="N756" s="559"/>
      <c r="O756" s="559"/>
      <c r="P756" s="559"/>
      <c r="Q756" s="559"/>
      <c r="R756" s="559"/>
      <c r="S756" s="559"/>
      <c r="T756" s="559"/>
      <c r="U756" s="559"/>
      <c r="V756" s="559"/>
      <c r="W756" s="559"/>
      <c r="X756" s="559"/>
      <c r="Y756" s="559"/>
      <c r="Z756" s="559"/>
      <c r="AA756" s="559"/>
      <c r="AB756" s="559"/>
      <c r="AC756" s="559"/>
      <c r="AD756" s="559"/>
      <c r="AE756" s="559"/>
      <c r="AF756" s="559"/>
      <c r="AG756" s="559"/>
    </row>
    <row r="757" spans="1:33" ht="18" customHeight="1" x14ac:dyDescent="0.35">
      <c r="A757" s="559"/>
      <c r="B757" s="559"/>
      <c r="C757" s="559"/>
      <c r="D757" s="559"/>
      <c r="E757" s="559"/>
      <c r="F757" s="559"/>
      <c r="G757" s="559"/>
      <c r="H757" s="559"/>
      <c r="I757" s="559"/>
      <c r="J757" s="559"/>
      <c r="K757" s="559"/>
      <c r="L757" s="559"/>
      <c r="M757" s="559"/>
      <c r="N757" s="559"/>
      <c r="O757" s="559"/>
      <c r="P757" s="559"/>
      <c r="Q757" s="559"/>
      <c r="R757" s="559"/>
      <c r="S757" s="559"/>
      <c r="T757" s="559"/>
      <c r="U757" s="559"/>
      <c r="V757" s="559"/>
      <c r="W757" s="559"/>
      <c r="X757" s="559"/>
      <c r="Y757" s="559"/>
      <c r="Z757" s="559"/>
      <c r="AA757" s="559"/>
      <c r="AB757" s="559"/>
      <c r="AC757" s="559"/>
      <c r="AD757" s="559"/>
      <c r="AE757" s="559"/>
      <c r="AF757" s="559"/>
      <c r="AG757" s="559"/>
    </row>
    <row r="758" spans="1:33" ht="18" customHeight="1" x14ac:dyDescent="0.35">
      <c r="A758" s="559"/>
      <c r="B758" s="559"/>
      <c r="C758" s="559"/>
      <c r="D758" s="559"/>
      <c r="E758" s="559"/>
      <c r="F758" s="559"/>
      <c r="G758" s="559"/>
      <c r="H758" s="559"/>
      <c r="I758" s="559"/>
      <c r="J758" s="559"/>
      <c r="K758" s="559"/>
      <c r="L758" s="559"/>
      <c r="M758" s="559"/>
      <c r="N758" s="559"/>
      <c r="O758" s="559"/>
      <c r="P758" s="559"/>
      <c r="Q758" s="559"/>
      <c r="R758" s="559"/>
      <c r="S758" s="559"/>
      <c r="T758" s="559"/>
      <c r="U758" s="559"/>
      <c r="V758" s="559"/>
      <c r="W758" s="559"/>
      <c r="X758" s="559"/>
      <c r="Y758" s="559"/>
      <c r="Z758" s="559"/>
      <c r="AA758" s="559"/>
      <c r="AB758" s="559"/>
      <c r="AC758" s="559"/>
      <c r="AD758" s="559"/>
      <c r="AE758" s="559"/>
      <c r="AF758" s="559"/>
      <c r="AG758" s="559"/>
    </row>
    <row r="759" spans="1:33" ht="18" customHeight="1" x14ac:dyDescent="0.35">
      <c r="A759" s="559"/>
      <c r="B759" s="559"/>
      <c r="C759" s="559"/>
      <c r="D759" s="559"/>
      <c r="E759" s="559"/>
      <c r="F759" s="559"/>
      <c r="G759" s="559"/>
      <c r="H759" s="559"/>
      <c r="I759" s="559"/>
      <c r="J759" s="559"/>
      <c r="K759" s="559"/>
      <c r="L759" s="559"/>
      <c r="M759" s="559"/>
      <c r="N759" s="559"/>
      <c r="O759" s="559"/>
      <c r="P759" s="559"/>
      <c r="Q759" s="559"/>
      <c r="R759" s="559"/>
      <c r="S759" s="559"/>
      <c r="T759" s="559"/>
      <c r="U759" s="559"/>
      <c r="V759" s="559"/>
      <c r="W759" s="559"/>
      <c r="X759" s="559"/>
      <c r="Y759" s="559"/>
      <c r="Z759" s="559"/>
      <c r="AA759" s="559"/>
      <c r="AB759" s="559"/>
      <c r="AC759" s="559"/>
      <c r="AD759" s="559"/>
      <c r="AE759" s="559"/>
      <c r="AF759" s="559"/>
      <c r="AG759" s="559"/>
    </row>
    <row r="760" spans="1:33" ht="18" customHeight="1" x14ac:dyDescent="0.35">
      <c r="A760" s="559"/>
      <c r="B760" s="559"/>
      <c r="C760" s="559"/>
      <c r="D760" s="559"/>
      <c r="E760" s="559"/>
      <c r="F760" s="559"/>
      <c r="G760" s="559"/>
      <c r="H760" s="559"/>
      <c r="I760" s="559"/>
      <c r="J760" s="559"/>
      <c r="K760" s="559"/>
      <c r="L760" s="559"/>
      <c r="M760" s="559"/>
      <c r="N760" s="559"/>
      <c r="O760" s="559"/>
      <c r="P760" s="559"/>
      <c r="Q760" s="559"/>
      <c r="R760" s="559"/>
      <c r="S760" s="559"/>
      <c r="T760" s="559"/>
      <c r="U760" s="559"/>
      <c r="V760" s="559"/>
      <c r="W760" s="559"/>
      <c r="X760" s="559"/>
      <c r="Y760" s="559"/>
      <c r="Z760" s="559"/>
      <c r="AA760" s="559"/>
      <c r="AB760" s="559"/>
      <c r="AC760" s="559"/>
      <c r="AD760" s="559"/>
      <c r="AE760" s="559"/>
      <c r="AF760" s="559"/>
      <c r="AG760" s="559"/>
    </row>
    <row r="761" spans="1:33" ht="18" customHeight="1" x14ac:dyDescent="0.35">
      <c r="A761" s="559"/>
      <c r="B761" s="559"/>
      <c r="C761" s="559"/>
      <c r="D761" s="559"/>
      <c r="E761" s="559"/>
      <c r="F761" s="559"/>
      <c r="G761" s="559"/>
      <c r="H761" s="559"/>
      <c r="I761" s="559"/>
      <c r="J761" s="559"/>
      <c r="K761" s="559"/>
      <c r="L761" s="559"/>
      <c r="M761" s="559"/>
      <c r="N761" s="559"/>
      <c r="O761" s="559"/>
      <c r="P761" s="559"/>
      <c r="Q761" s="559"/>
      <c r="R761" s="559"/>
      <c r="S761" s="559"/>
      <c r="T761" s="559"/>
      <c r="U761" s="559"/>
      <c r="V761" s="559"/>
      <c r="W761" s="559"/>
      <c r="X761" s="559"/>
      <c r="Y761" s="559"/>
      <c r="Z761" s="559"/>
      <c r="AA761" s="559"/>
      <c r="AB761" s="559"/>
      <c r="AC761" s="559"/>
      <c r="AD761" s="559"/>
      <c r="AE761" s="559"/>
      <c r="AF761" s="559"/>
      <c r="AG761" s="559"/>
    </row>
    <row r="762" spans="1:33" ht="18" customHeight="1" x14ac:dyDescent="0.35">
      <c r="A762" s="559"/>
      <c r="B762" s="559"/>
      <c r="C762" s="559"/>
      <c r="D762" s="559"/>
      <c r="E762" s="559"/>
      <c r="F762" s="559"/>
      <c r="G762" s="559"/>
      <c r="H762" s="559"/>
      <c r="I762" s="559"/>
      <c r="J762" s="559"/>
      <c r="K762" s="559"/>
      <c r="L762" s="559"/>
      <c r="M762" s="559"/>
      <c r="N762" s="559"/>
      <c r="O762" s="559"/>
      <c r="P762" s="559"/>
      <c r="Q762" s="559"/>
      <c r="R762" s="559"/>
      <c r="S762" s="559"/>
      <c r="T762" s="559"/>
      <c r="U762" s="559"/>
      <c r="V762" s="559"/>
      <c r="W762" s="559"/>
      <c r="X762" s="559"/>
      <c r="Y762" s="559"/>
      <c r="Z762" s="559"/>
      <c r="AA762" s="559"/>
      <c r="AB762" s="559"/>
      <c r="AC762" s="559"/>
      <c r="AD762" s="559"/>
      <c r="AE762" s="559"/>
      <c r="AF762" s="559"/>
      <c r="AG762" s="559"/>
    </row>
    <row r="763" spans="1:33" ht="18" customHeight="1" x14ac:dyDescent="0.35">
      <c r="A763" s="559"/>
      <c r="B763" s="559"/>
      <c r="C763" s="559"/>
      <c r="D763" s="559"/>
      <c r="E763" s="559"/>
      <c r="F763" s="559"/>
      <c r="G763" s="559"/>
      <c r="H763" s="559"/>
      <c r="I763" s="559"/>
      <c r="J763" s="559"/>
      <c r="K763" s="559"/>
      <c r="L763" s="559"/>
      <c r="M763" s="559"/>
      <c r="N763" s="559"/>
      <c r="O763" s="559"/>
      <c r="P763" s="559"/>
      <c r="Q763" s="559"/>
      <c r="R763" s="559"/>
      <c r="S763" s="559"/>
      <c r="T763" s="559"/>
      <c r="U763" s="559"/>
      <c r="V763" s="559"/>
      <c r="W763" s="559"/>
      <c r="X763" s="559"/>
      <c r="Y763" s="559"/>
      <c r="Z763" s="559"/>
      <c r="AA763" s="559"/>
      <c r="AB763" s="559"/>
      <c r="AC763" s="559"/>
      <c r="AD763" s="559"/>
      <c r="AE763" s="559"/>
      <c r="AF763" s="559"/>
      <c r="AG763" s="559"/>
    </row>
    <row r="764" spans="1:33" ht="18" customHeight="1" x14ac:dyDescent="0.35">
      <c r="A764" s="559"/>
      <c r="B764" s="559"/>
      <c r="C764" s="559"/>
      <c r="D764" s="559"/>
      <c r="E764" s="559"/>
      <c r="F764" s="559"/>
      <c r="G764" s="559"/>
      <c r="H764" s="559"/>
      <c r="I764" s="559"/>
      <c r="J764" s="559"/>
      <c r="K764" s="559"/>
      <c r="L764" s="559"/>
      <c r="M764" s="559"/>
      <c r="N764" s="559"/>
      <c r="O764" s="559"/>
      <c r="P764" s="559"/>
      <c r="Q764" s="559"/>
      <c r="R764" s="559"/>
      <c r="S764" s="559"/>
      <c r="T764" s="559"/>
      <c r="U764" s="559"/>
      <c r="V764" s="559"/>
      <c r="W764" s="559"/>
      <c r="X764" s="559"/>
      <c r="Y764" s="559"/>
      <c r="Z764" s="559"/>
      <c r="AA764" s="559"/>
      <c r="AB764" s="559"/>
      <c r="AC764" s="559"/>
      <c r="AD764" s="559"/>
      <c r="AE764" s="559"/>
      <c r="AF764" s="559"/>
      <c r="AG764" s="559"/>
    </row>
    <row r="765" spans="1:33" ht="18" customHeight="1" x14ac:dyDescent="0.35">
      <c r="A765" s="559"/>
      <c r="B765" s="559"/>
      <c r="C765" s="559"/>
      <c r="D765" s="559"/>
      <c r="E765" s="559"/>
      <c r="F765" s="559"/>
      <c r="G765" s="559"/>
      <c r="H765" s="559"/>
      <c r="I765" s="559"/>
      <c r="J765" s="559"/>
      <c r="K765" s="559"/>
      <c r="L765" s="559"/>
      <c r="M765" s="559"/>
      <c r="N765" s="559"/>
      <c r="O765" s="559"/>
      <c r="P765" s="559"/>
      <c r="Q765" s="559"/>
      <c r="R765" s="559"/>
      <c r="S765" s="559"/>
      <c r="T765" s="559"/>
      <c r="U765" s="559"/>
      <c r="V765" s="559"/>
      <c r="W765" s="559"/>
      <c r="X765" s="559"/>
      <c r="Y765" s="559"/>
      <c r="Z765" s="559"/>
      <c r="AA765" s="559"/>
      <c r="AB765" s="559"/>
      <c r="AC765" s="559"/>
      <c r="AD765" s="559"/>
      <c r="AE765" s="559"/>
      <c r="AF765" s="559"/>
      <c r="AG765" s="559"/>
    </row>
    <row r="766" spans="1:33" ht="18" customHeight="1" x14ac:dyDescent="0.35">
      <c r="A766" s="559"/>
      <c r="B766" s="559"/>
      <c r="C766" s="559"/>
      <c r="D766" s="559"/>
      <c r="E766" s="559"/>
      <c r="F766" s="559"/>
      <c r="G766" s="559"/>
      <c r="H766" s="559"/>
      <c r="I766" s="559"/>
      <c r="J766" s="559"/>
      <c r="K766" s="559"/>
      <c r="L766" s="559"/>
      <c r="M766" s="559"/>
      <c r="N766" s="559"/>
      <c r="O766" s="559"/>
      <c r="P766" s="559"/>
      <c r="Q766" s="559"/>
      <c r="R766" s="559"/>
      <c r="S766" s="559"/>
      <c r="T766" s="559"/>
      <c r="U766" s="559"/>
      <c r="V766" s="559"/>
      <c r="W766" s="559"/>
      <c r="X766" s="559"/>
      <c r="Y766" s="559"/>
      <c r="Z766" s="559"/>
      <c r="AA766" s="559"/>
      <c r="AB766" s="559"/>
      <c r="AC766" s="559"/>
      <c r="AD766" s="559"/>
      <c r="AE766" s="559"/>
      <c r="AF766" s="559"/>
      <c r="AG766" s="559"/>
    </row>
    <row r="767" spans="1:33" ht="18" customHeight="1" x14ac:dyDescent="0.35">
      <c r="A767" s="559"/>
      <c r="B767" s="559"/>
      <c r="C767" s="559"/>
      <c r="D767" s="559"/>
      <c r="E767" s="559"/>
      <c r="F767" s="559"/>
      <c r="G767" s="559"/>
      <c r="H767" s="559"/>
      <c r="I767" s="559"/>
      <c r="J767" s="559"/>
      <c r="K767" s="559"/>
      <c r="L767" s="559"/>
      <c r="M767" s="559"/>
      <c r="N767" s="559"/>
      <c r="O767" s="559"/>
      <c r="P767" s="559"/>
      <c r="Q767" s="559"/>
      <c r="R767" s="559"/>
      <c r="S767" s="559"/>
      <c r="T767" s="559"/>
      <c r="U767" s="559"/>
      <c r="V767" s="559"/>
      <c r="W767" s="559"/>
      <c r="X767" s="559"/>
      <c r="Y767" s="559"/>
      <c r="Z767" s="559"/>
      <c r="AA767" s="559"/>
      <c r="AB767" s="559"/>
      <c r="AC767" s="559"/>
      <c r="AD767" s="559"/>
      <c r="AE767" s="559"/>
      <c r="AF767" s="559"/>
      <c r="AG767" s="559"/>
    </row>
    <row r="768" spans="1:33" ht="18" customHeight="1" x14ac:dyDescent="0.35">
      <c r="A768" s="559"/>
      <c r="B768" s="559"/>
      <c r="C768" s="559"/>
      <c r="D768" s="559"/>
      <c r="E768" s="559"/>
      <c r="F768" s="559"/>
      <c r="G768" s="559"/>
      <c r="H768" s="559"/>
      <c r="I768" s="559"/>
      <c r="J768" s="559"/>
      <c r="K768" s="559"/>
      <c r="L768" s="559"/>
      <c r="M768" s="559"/>
      <c r="N768" s="559"/>
      <c r="O768" s="559"/>
      <c r="P768" s="559"/>
      <c r="Q768" s="559"/>
      <c r="R768" s="559"/>
      <c r="S768" s="559"/>
      <c r="T768" s="559"/>
      <c r="U768" s="559"/>
      <c r="V768" s="559"/>
      <c r="W768" s="559"/>
      <c r="X768" s="559"/>
      <c r="Y768" s="559"/>
      <c r="Z768" s="559"/>
      <c r="AA768" s="559"/>
      <c r="AB768" s="559"/>
      <c r="AC768" s="559"/>
      <c r="AD768" s="559"/>
      <c r="AE768" s="559"/>
      <c r="AF768" s="559"/>
      <c r="AG768" s="559"/>
    </row>
    <row r="769" spans="1:33" ht="18" customHeight="1" x14ac:dyDescent="0.35">
      <c r="A769" s="559"/>
      <c r="B769" s="559"/>
      <c r="C769" s="559"/>
      <c r="D769" s="559"/>
      <c r="E769" s="559"/>
      <c r="F769" s="559"/>
      <c r="G769" s="559"/>
      <c r="H769" s="559"/>
      <c r="I769" s="559"/>
      <c r="J769" s="559"/>
      <c r="K769" s="559"/>
      <c r="L769" s="559"/>
      <c r="M769" s="559"/>
      <c r="N769" s="559"/>
      <c r="O769" s="559"/>
      <c r="P769" s="559"/>
      <c r="Q769" s="559"/>
      <c r="R769" s="559"/>
      <c r="S769" s="559"/>
      <c r="T769" s="559"/>
      <c r="U769" s="559"/>
      <c r="V769" s="559"/>
      <c r="W769" s="559"/>
      <c r="X769" s="559"/>
      <c r="Y769" s="559"/>
      <c r="Z769" s="559"/>
      <c r="AA769" s="559"/>
      <c r="AB769" s="559"/>
      <c r="AC769" s="559"/>
      <c r="AD769" s="559"/>
      <c r="AE769" s="559"/>
      <c r="AF769" s="559"/>
      <c r="AG769" s="559"/>
    </row>
    <row r="770" spans="1:33" ht="18" customHeight="1" x14ac:dyDescent="0.35">
      <c r="A770" s="559"/>
      <c r="B770" s="559"/>
      <c r="C770" s="559"/>
      <c r="D770" s="559"/>
      <c r="E770" s="559"/>
      <c r="F770" s="559"/>
      <c r="G770" s="559"/>
      <c r="H770" s="559"/>
      <c r="I770" s="559"/>
      <c r="J770" s="559"/>
      <c r="K770" s="559"/>
      <c r="L770" s="559"/>
      <c r="M770" s="559"/>
      <c r="N770" s="559"/>
      <c r="O770" s="559"/>
      <c r="P770" s="559"/>
      <c r="Q770" s="559"/>
      <c r="R770" s="559"/>
      <c r="S770" s="559"/>
      <c r="T770" s="559"/>
      <c r="U770" s="559"/>
      <c r="V770" s="559"/>
      <c r="W770" s="559"/>
      <c r="X770" s="559"/>
      <c r="Y770" s="559"/>
      <c r="Z770" s="559"/>
      <c r="AA770" s="559"/>
      <c r="AB770" s="559"/>
      <c r="AC770" s="559"/>
      <c r="AD770" s="559"/>
      <c r="AE770" s="559"/>
      <c r="AF770" s="559"/>
      <c r="AG770" s="559"/>
    </row>
    <row r="771" spans="1:33" ht="18" customHeight="1" x14ac:dyDescent="0.35">
      <c r="A771" s="559"/>
      <c r="B771" s="559"/>
      <c r="C771" s="559"/>
      <c r="D771" s="559"/>
      <c r="E771" s="559"/>
      <c r="F771" s="559"/>
      <c r="G771" s="559"/>
      <c r="H771" s="559"/>
      <c r="I771" s="559"/>
      <c r="J771" s="559"/>
      <c r="K771" s="559"/>
      <c r="L771" s="559"/>
      <c r="M771" s="559"/>
      <c r="N771" s="559"/>
      <c r="O771" s="559"/>
      <c r="P771" s="559"/>
      <c r="Q771" s="559"/>
      <c r="R771" s="559"/>
      <c r="S771" s="559"/>
      <c r="T771" s="559"/>
      <c r="U771" s="559"/>
      <c r="V771" s="559"/>
      <c r="W771" s="559"/>
      <c r="X771" s="559"/>
      <c r="Y771" s="559"/>
      <c r="Z771" s="559"/>
      <c r="AA771" s="559"/>
      <c r="AB771" s="559"/>
      <c r="AC771" s="559"/>
      <c r="AD771" s="559"/>
      <c r="AE771" s="559"/>
      <c r="AF771" s="559"/>
      <c r="AG771" s="559"/>
    </row>
    <row r="772" spans="1:33" ht="18" customHeight="1" x14ac:dyDescent="0.35">
      <c r="A772" s="559"/>
      <c r="B772" s="559"/>
      <c r="C772" s="559"/>
      <c r="D772" s="559"/>
      <c r="E772" s="559"/>
      <c r="F772" s="559"/>
      <c r="G772" s="559"/>
      <c r="H772" s="559"/>
      <c r="I772" s="559"/>
      <c r="J772" s="559"/>
      <c r="K772" s="559"/>
      <c r="L772" s="559"/>
      <c r="M772" s="559"/>
      <c r="N772" s="559"/>
      <c r="O772" s="559"/>
      <c r="P772" s="559"/>
      <c r="Q772" s="559"/>
      <c r="R772" s="559"/>
      <c r="S772" s="559"/>
      <c r="T772" s="559"/>
      <c r="U772" s="559"/>
      <c r="V772" s="559"/>
      <c r="W772" s="559"/>
      <c r="X772" s="559"/>
      <c r="Y772" s="559"/>
      <c r="Z772" s="559"/>
      <c r="AA772" s="559"/>
      <c r="AB772" s="559"/>
      <c r="AC772" s="559"/>
      <c r="AD772" s="559"/>
      <c r="AE772" s="559"/>
      <c r="AF772" s="559"/>
      <c r="AG772" s="559"/>
    </row>
    <row r="773" spans="1:33" ht="18" customHeight="1" x14ac:dyDescent="0.35">
      <c r="A773" s="559"/>
      <c r="B773" s="559"/>
      <c r="C773" s="559"/>
      <c r="D773" s="559"/>
      <c r="E773" s="559"/>
      <c r="F773" s="559"/>
      <c r="G773" s="559"/>
      <c r="H773" s="559"/>
      <c r="I773" s="559"/>
      <c r="J773" s="559"/>
      <c r="K773" s="559"/>
      <c r="L773" s="559"/>
      <c r="M773" s="559"/>
      <c r="N773" s="559"/>
      <c r="O773" s="559"/>
      <c r="P773" s="559"/>
      <c r="Q773" s="559"/>
      <c r="R773" s="559"/>
      <c r="S773" s="559"/>
      <c r="T773" s="559"/>
      <c r="U773" s="559"/>
      <c r="V773" s="559"/>
      <c r="W773" s="559"/>
      <c r="X773" s="559"/>
      <c r="Y773" s="559"/>
      <c r="Z773" s="559"/>
      <c r="AA773" s="559"/>
      <c r="AB773" s="559"/>
      <c r="AC773" s="559"/>
      <c r="AD773" s="559"/>
      <c r="AE773" s="559"/>
      <c r="AF773" s="559"/>
      <c r="AG773" s="559"/>
    </row>
    <row r="774" spans="1:33" ht="18" customHeight="1" x14ac:dyDescent="0.35">
      <c r="A774" s="559"/>
      <c r="B774" s="559"/>
      <c r="C774" s="559"/>
      <c r="D774" s="559"/>
      <c r="E774" s="559"/>
      <c r="F774" s="559"/>
      <c r="G774" s="559"/>
      <c r="H774" s="559"/>
      <c r="I774" s="559"/>
      <c r="J774" s="559"/>
      <c r="K774" s="559"/>
      <c r="L774" s="559"/>
      <c r="M774" s="559"/>
      <c r="N774" s="559"/>
      <c r="O774" s="559"/>
      <c r="P774" s="559"/>
      <c r="Q774" s="559"/>
      <c r="R774" s="559"/>
      <c r="S774" s="559"/>
      <c r="T774" s="559"/>
      <c r="U774" s="559"/>
      <c r="V774" s="559"/>
      <c r="W774" s="559"/>
      <c r="X774" s="559"/>
      <c r="Y774" s="559"/>
      <c r="Z774" s="559"/>
      <c r="AA774" s="559"/>
      <c r="AB774" s="559"/>
      <c r="AC774" s="559"/>
      <c r="AD774" s="559"/>
      <c r="AE774" s="559"/>
      <c r="AF774" s="559"/>
      <c r="AG774" s="559"/>
    </row>
    <row r="775" spans="1:33" ht="18" customHeight="1" x14ac:dyDescent="0.35">
      <c r="A775" s="559"/>
      <c r="B775" s="559"/>
      <c r="C775" s="559"/>
      <c r="D775" s="559"/>
      <c r="E775" s="559"/>
      <c r="F775" s="559"/>
      <c r="G775" s="559"/>
      <c r="H775" s="559"/>
      <c r="I775" s="559"/>
      <c r="J775" s="559"/>
      <c r="K775" s="559"/>
      <c r="L775" s="559"/>
      <c r="M775" s="559"/>
      <c r="N775" s="559"/>
      <c r="O775" s="559"/>
      <c r="P775" s="559"/>
      <c r="Q775" s="559"/>
      <c r="R775" s="559"/>
      <c r="S775" s="559"/>
      <c r="T775" s="559"/>
      <c r="U775" s="559"/>
      <c r="V775" s="559"/>
      <c r="W775" s="559"/>
      <c r="X775" s="559"/>
      <c r="Y775" s="559"/>
      <c r="Z775" s="559"/>
      <c r="AA775" s="559"/>
      <c r="AB775" s="559"/>
      <c r="AC775" s="559"/>
      <c r="AD775" s="559"/>
      <c r="AE775" s="559"/>
      <c r="AF775" s="559"/>
      <c r="AG775" s="559"/>
    </row>
    <row r="776" spans="1:33" ht="18" customHeight="1" x14ac:dyDescent="0.35">
      <c r="A776" s="559"/>
      <c r="B776" s="559"/>
      <c r="C776" s="559"/>
      <c r="D776" s="559"/>
      <c r="E776" s="559"/>
      <c r="F776" s="559"/>
      <c r="G776" s="559"/>
      <c r="H776" s="559"/>
      <c r="I776" s="559"/>
      <c r="J776" s="559"/>
      <c r="K776" s="559"/>
      <c r="L776" s="559"/>
      <c r="M776" s="559"/>
      <c r="N776" s="559"/>
      <c r="O776" s="559"/>
      <c r="P776" s="559"/>
      <c r="Q776" s="559"/>
      <c r="R776" s="559"/>
      <c r="S776" s="559"/>
      <c r="T776" s="559"/>
      <c r="U776" s="559"/>
      <c r="V776" s="559"/>
      <c r="W776" s="559"/>
      <c r="X776" s="559"/>
      <c r="Y776" s="559"/>
      <c r="Z776" s="559"/>
      <c r="AA776" s="559"/>
      <c r="AB776" s="559"/>
      <c r="AC776" s="559"/>
      <c r="AD776" s="559"/>
      <c r="AE776" s="559"/>
      <c r="AF776" s="559"/>
      <c r="AG776" s="559"/>
    </row>
    <row r="777" spans="1:33" ht="18" customHeight="1" x14ac:dyDescent="0.35">
      <c r="A777" s="559"/>
      <c r="B777" s="559"/>
      <c r="C777" s="559"/>
      <c r="D777" s="559"/>
      <c r="E777" s="559"/>
      <c r="F777" s="559"/>
      <c r="G777" s="559"/>
      <c r="H777" s="559"/>
      <c r="I777" s="559"/>
      <c r="J777" s="559"/>
      <c r="K777" s="559"/>
      <c r="L777" s="559"/>
      <c r="M777" s="559"/>
      <c r="N777" s="559"/>
      <c r="O777" s="559"/>
      <c r="P777" s="559"/>
      <c r="Q777" s="559"/>
      <c r="R777" s="559"/>
      <c r="S777" s="559"/>
      <c r="T777" s="559"/>
      <c r="U777" s="559"/>
      <c r="V777" s="559"/>
      <c r="W777" s="559"/>
      <c r="X777" s="559"/>
      <c r="Y777" s="559"/>
      <c r="Z777" s="559"/>
      <c r="AA777" s="559"/>
      <c r="AB777" s="559"/>
      <c r="AC777" s="559"/>
      <c r="AD777" s="559"/>
      <c r="AE777" s="559"/>
      <c r="AF777" s="559"/>
      <c r="AG777" s="559"/>
    </row>
    <row r="778" spans="1:33" ht="18" customHeight="1" x14ac:dyDescent="0.35">
      <c r="A778" s="559"/>
      <c r="B778" s="559"/>
      <c r="C778" s="559"/>
      <c r="D778" s="559"/>
      <c r="E778" s="559"/>
      <c r="F778" s="559"/>
      <c r="G778" s="559"/>
      <c r="H778" s="559"/>
      <c r="I778" s="559"/>
      <c r="J778" s="559"/>
      <c r="K778" s="559"/>
      <c r="L778" s="559"/>
      <c r="M778" s="559"/>
      <c r="N778" s="559"/>
      <c r="O778" s="559"/>
      <c r="P778" s="559"/>
      <c r="Q778" s="559"/>
      <c r="R778" s="559"/>
      <c r="S778" s="559"/>
      <c r="T778" s="559"/>
      <c r="U778" s="559"/>
      <c r="V778" s="559"/>
      <c r="W778" s="559"/>
      <c r="X778" s="559"/>
      <c r="Y778" s="559"/>
      <c r="Z778" s="559"/>
      <c r="AA778" s="559"/>
      <c r="AB778" s="559"/>
      <c r="AC778" s="559"/>
      <c r="AD778" s="559"/>
      <c r="AE778" s="559"/>
      <c r="AF778" s="559"/>
      <c r="AG778" s="559"/>
    </row>
    <row r="779" spans="1:33" ht="18" customHeight="1" x14ac:dyDescent="0.35">
      <c r="A779" s="559"/>
      <c r="B779" s="559"/>
      <c r="C779" s="559"/>
      <c r="D779" s="559"/>
      <c r="E779" s="559"/>
      <c r="F779" s="559"/>
      <c r="G779" s="559"/>
      <c r="H779" s="559"/>
      <c r="I779" s="559"/>
      <c r="J779" s="559"/>
      <c r="K779" s="559"/>
      <c r="L779" s="559"/>
      <c r="M779" s="559"/>
      <c r="N779" s="559"/>
      <c r="O779" s="559"/>
      <c r="P779" s="559"/>
      <c r="Q779" s="559"/>
      <c r="R779" s="559"/>
      <c r="S779" s="559"/>
      <c r="T779" s="559"/>
      <c r="U779" s="559"/>
      <c r="V779" s="559"/>
      <c r="W779" s="559"/>
      <c r="X779" s="559"/>
      <c r="Y779" s="559"/>
      <c r="Z779" s="559"/>
      <c r="AA779" s="559"/>
      <c r="AB779" s="559"/>
      <c r="AC779" s="559"/>
      <c r="AD779" s="559"/>
      <c r="AE779" s="559"/>
      <c r="AF779" s="559"/>
      <c r="AG779" s="559"/>
    </row>
    <row r="780" spans="1:33" ht="18" customHeight="1" x14ac:dyDescent="0.35">
      <c r="A780" s="559"/>
      <c r="B780" s="559"/>
      <c r="C780" s="559"/>
      <c r="D780" s="559"/>
      <c r="E780" s="559"/>
      <c r="F780" s="559"/>
      <c r="G780" s="559"/>
      <c r="H780" s="559"/>
      <c r="I780" s="559"/>
      <c r="J780" s="559"/>
      <c r="K780" s="559"/>
      <c r="L780" s="559"/>
      <c r="M780" s="559"/>
      <c r="N780" s="559"/>
      <c r="O780" s="559"/>
      <c r="P780" s="559"/>
      <c r="Q780" s="559"/>
      <c r="R780" s="559"/>
      <c r="S780" s="559"/>
      <c r="T780" s="559"/>
      <c r="U780" s="559"/>
      <c r="V780" s="559"/>
      <c r="W780" s="559"/>
      <c r="X780" s="559"/>
      <c r="Y780" s="559"/>
      <c r="Z780" s="559"/>
      <c r="AA780" s="559"/>
      <c r="AB780" s="559"/>
      <c r="AC780" s="559"/>
      <c r="AD780" s="559"/>
      <c r="AE780" s="559"/>
      <c r="AF780" s="559"/>
      <c r="AG780" s="559"/>
    </row>
    <row r="781" spans="1:33" ht="18" customHeight="1" x14ac:dyDescent="0.35">
      <c r="A781" s="559"/>
      <c r="B781" s="559"/>
      <c r="C781" s="559"/>
      <c r="D781" s="559"/>
      <c r="E781" s="559"/>
      <c r="F781" s="559"/>
      <c r="G781" s="559"/>
      <c r="H781" s="559"/>
      <c r="I781" s="559"/>
      <c r="J781" s="559"/>
      <c r="K781" s="559"/>
      <c r="L781" s="559"/>
      <c r="M781" s="559"/>
      <c r="N781" s="559"/>
      <c r="O781" s="559"/>
      <c r="P781" s="559"/>
      <c r="Q781" s="559"/>
      <c r="R781" s="559"/>
      <c r="S781" s="559"/>
      <c r="T781" s="559"/>
      <c r="U781" s="559"/>
      <c r="V781" s="559"/>
      <c r="W781" s="559"/>
      <c r="X781" s="559"/>
      <c r="Y781" s="559"/>
      <c r="Z781" s="559"/>
      <c r="AA781" s="559"/>
      <c r="AB781" s="559"/>
      <c r="AC781" s="559"/>
      <c r="AD781" s="559"/>
      <c r="AE781" s="559"/>
      <c r="AF781" s="559"/>
      <c r="AG781" s="559"/>
    </row>
    <row r="782" spans="1:33" ht="18" customHeight="1" x14ac:dyDescent="0.35">
      <c r="A782" s="559"/>
      <c r="B782" s="559"/>
      <c r="C782" s="559"/>
      <c r="D782" s="559"/>
      <c r="E782" s="559"/>
      <c r="F782" s="559"/>
      <c r="G782" s="559"/>
      <c r="H782" s="559"/>
      <c r="I782" s="559"/>
      <c r="J782" s="559"/>
      <c r="K782" s="559"/>
      <c r="L782" s="559"/>
      <c r="M782" s="559"/>
      <c r="N782" s="559"/>
      <c r="O782" s="559"/>
      <c r="P782" s="559"/>
      <c r="Q782" s="559"/>
      <c r="R782" s="559"/>
      <c r="S782" s="559"/>
      <c r="T782" s="559"/>
      <c r="U782" s="559"/>
      <c r="V782" s="559"/>
      <c r="W782" s="559"/>
      <c r="X782" s="559"/>
      <c r="Y782" s="559"/>
      <c r="Z782" s="559"/>
      <c r="AA782" s="559"/>
      <c r="AB782" s="559"/>
      <c r="AC782" s="559"/>
      <c r="AD782" s="559"/>
      <c r="AE782" s="559"/>
      <c r="AF782" s="559"/>
      <c r="AG782" s="559"/>
    </row>
    <row r="783" spans="1:33" ht="18" customHeight="1" x14ac:dyDescent="0.35">
      <c r="A783" s="559"/>
      <c r="B783" s="559"/>
      <c r="C783" s="559"/>
      <c r="D783" s="559"/>
      <c r="E783" s="559"/>
      <c r="F783" s="559"/>
      <c r="G783" s="559"/>
      <c r="H783" s="559"/>
      <c r="I783" s="559"/>
      <c r="J783" s="559"/>
      <c r="K783" s="559"/>
      <c r="L783" s="559"/>
      <c r="M783" s="559"/>
      <c r="N783" s="559"/>
      <c r="O783" s="559"/>
      <c r="P783" s="559"/>
      <c r="Q783" s="559"/>
      <c r="R783" s="559"/>
      <c r="S783" s="559"/>
      <c r="T783" s="559"/>
      <c r="U783" s="559"/>
      <c r="V783" s="559"/>
      <c r="W783" s="559"/>
      <c r="X783" s="559"/>
      <c r="Y783" s="559"/>
      <c r="Z783" s="559"/>
      <c r="AA783" s="559"/>
      <c r="AB783" s="559"/>
      <c r="AC783" s="559"/>
      <c r="AD783" s="559"/>
      <c r="AE783" s="559"/>
      <c r="AF783" s="559"/>
      <c r="AG783" s="559"/>
    </row>
    <row r="784" spans="1:33" ht="18" customHeight="1" x14ac:dyDescent="0.35">
      <c r="A784" s="559"/>
      <c r="B784" s="559"/>
      <c r="C784" s="559"/>
      <c r="D784" s="559"/>
      <c r="E784" s="559"/>
      <c r="F784" s="559"/>
      <c r="G784" s="559"/>
      <c r="H784" s="559"/>
      <c r="I784" s="559"/>
      <c r="J784" s="559"/>
      <c r="K784" s="559"/>
      <c r="L784" s="559"/>
      <c r="M784" s="559"/>
      <c r="N784" s="559"/>
      <c r="O784" s="559"/>
      <c r="P784" s="559"/>
      <c r="Q784" s="559"/>
      <c r="R784" s="559"/>
      <c r="S784" s="559"/>
      <c r="T784" s="559"/>
      <c r="U784" s="559"/>
      <c r="V784" s="559"/>
      <c r="W784" s="559"/>
      <c r="X784" s="559"/>
      <c r="Y784" s="559"/>
      <c r="Z784" s="559"/>
      <c r="AA784" s="559"/>
      <c r="AB784" s="559"/>
      <c r="AC784" s="559"/>
      <c r="AD784" s="559"/>
      <c r="AE784" s="559"/>
      <c r="AF784" s="559"/>
      <c r="AG784" s="559"/>
    </row>
    <row r="785" spans="1:33" ht="18" customHeight="1" x14ac:dyDescent="0.35">
      <c r="A785" s="559"/>
      <c r="B785" s="559"/>
      <c r="C785" s="559"/>
      <c r="D785" s="559"/>
      <c r="E785" s="559"/>
      <c r="F785" s="559"/>
      <c r="G785" s="559"/>
      <c r="H785" s="559"/>
      <c r="I785" s="559"/>
      <c r="J785" s="559"/>
      <c r="K785" s="559"/>
      <c r="L785" s="559"/>
      <c r="M785" s="559"/>
      <c r="N785" s="559"/>
      <c r="O785" s="559"/>
      <c r="P785" s="559"/>
      <c r="Q785" s="559"/>
      <c r="R785" s="559"/>
      <c r="S785" s="559"/>
      <c r="T785" s="559"/>
      <c r="U785" s="559"/>
      <c r="V785" s="559"/>
      <c r="W785" s="559"/>
      <c r="X785" s="559"/>
      <c r="Y785" s="559"/>
      <c r="Z785" s="559"/>
      <c r="AA785" s="559"/>
      <c r="AB785" s="559"/>
      <c r="AC785" s="559"/>
      <c r="AD785" s="559"/>
      <c r="AE785" s="559"/>
      <c r="AF785" s="559"/>
      <c r="AG785" s="559"/>
    </row>
    <row r="786" spans="1:33" ht="18" customHeight="1" x14ac:dyDescent="0.35">
      <c r="A786" s="559"/>
      <c r="B786" s="559"/>
      <c r="C786" s="559"/>
      <c r="D786" s="559"/>
      <c r="E786" s="559"/>
      <c r="F786" s="559"/>
      <c r="G786" s="559"/>
      <c r="H786" s="559"/>
      <c r="I786" s="559"/>
      <c r="J786" s="559"/>
      <c r="K786" s="559"/>
      <c r="L786" s="559"/>
      <c r="M786" s="559"/>
      <c r="N786" s="559"/>
      <c r="O786" s="559"/>
      <c r="P786" s="559"/>
      <c r="Q786" s="559"/>
      <c r="R786" s="559"/>
      <c r="S786" s="559"/>
      <c r="T786" s="559"/>
      <c r="U786" s="559"/>
      <c r="V786" s="559"/>
      <c r="W786" s="559"/>
      <c r="X786" s="559"/>
      <c r="Y786" s="559"/>
      <c r="Z786" s="559"/>
      <c r="AA786" s="559"/>
      <c r="AB786" s="559"/>
      <c r="AC786" s="559"/>
      <c r="AD786" s="559"/>
      <c r="AE786" s="559"/>
      <c r="AF786" s="559"/>
      <c r="AG786" s="559"/>
    </row>
    <row r="787" spans="1:33" ht="18" customHeight="1" x14ac:dyDescent="0.35">
      <c r="A787" s="559"/>
      <c r="B787" s="559"/>
      <c r="C787" s="559"/>
      <c r="D787" s="559"/>
      <c r="E787" s="559"/>
      <c r="F787" s="559"/>
      <c r="G787" s="559"/>
      <c r="H787" s="559"/>
      <c r="I787" s="559"/>
      <c r="J787" s="559"/>
      <c r="K787" s="559"/>
      <c r="L787" s="559"/>
      <c r="M787" s="559"/>
      <c r="N787" s="559"/>
      <c r="O787" s="559"/>
      <c r="P787" s="559"/>
      <c r="Q787" s="559"/>
      <c r="R787" s="559"/>
      <c r="S787" s="559"/>
      <c r="T787" s="559"/>
      <c r="U787" s="559"/>
      <c r="V787" s="559"/>
      <c r="W787" s="559"/>
      <c r="X787" s="559"/>
      <c r="Y787" s="559"/>
      <c r="Z787" s="559"/>
      <c r="AA787" s="559"/>
      <c r="AB787" s="559"/>
      <c r="AC787" s="559"/>
      <c r="AD787" s="559"/>
      <c r="AE787" s="559"/>
      <c r="AF787" s="559"/>
      <c r="AG787" s="559"/>
    </row>
    <row r="788" spans="1:33" ht="18" customHeight="1" x14ac:dyDescent="0.35">
      <c r="A788" s="559"/>
      <c r="B788" s="559"/>
      <c r="C788" s="559"/>
      <c r="D788" s="559"/>
      <c r="E788" s="559"/>
      <c r="F788" s="559"/>
      <c r="G788" s="559"/>
      <c r="H788" s="559"/>
      <c r="I788" s="559"/>
      <c r="J788" s="559"/>
      <c r="K788" s="559"/>
      <c r="L788" s="559"/>
      <c r="M788" s="559"/>
      <c r="N788" s="559"/>
      <c r="O788" s="559"/>
      <c r="P788" s="559"/>
      <c r="Q788" s="559"/>
      <c r="R788" s="559"/>
      <c r="S788" s="559"/>
      <c r="T788" s="559"/>
      <c r="U788" s="559"/>
      <c r="V788" s="559"/>
      <c r="W788" s="559"/>
      <c r="X788" s="559"/>
      <c r="Y788" s="559"/>
      <c r="Z788" s="559"/>
      <c r="AA788" s="559"/>
      <c r="AB788" s="559"/>
      <c r="AC788" s="559"/>
      <c r="AD788" s="559"/>
      <c r="AE788" s="559"/>
      <c r="AF788" s="559"/>
      <c r="AG788" s="559"/>
    </row>
    <row r="789" spans="1:33" ht="18" customHeight="1" x14ac:dyDescent="0.35">
      <c r="A789" s="559"/>
      <c r="B789" s="559"/>
      <c r="C789" s="559"/>
      <c r="D789" s="559"/>
      <c r="E789" s="559"/>
      <c r="F789" s="559"/>
      <c r="G789" s="559"/>
      <c r="H789" s="559"/>
      <c r="I789" s="559"/>
      <c r="J789" s="559"/>
      <c r="K789" s="559"/>
      <c r="L789" s="559"/>
      <c r="M789" s="559"/>
      <c r="N789" s="559"/>
      <c r="O789" s="559"/>
      <c r="P789" s="559"/>
      <c r="Q789" s="559"/>
      <c r="R789" s="559"/>
      <c r="S789" s="559"/>
      <c r="T789" s="559"/>
      <c r="U789" s="559"/>
      <c r="V789" s="559"/>
      <c r="W789" s="559"/>
      <c r="X789" s="559"/>
      <c r="Y789" s="559"/>
      <c r="Z789" s="559"/>
      <c r="AA789" s="559"/>
      <c r="AB789" s="559"/>
      <c r="AC789" s="559"/>
      <c r="AD789" s="559"/>
      <c r="AE789" s="559"/>
      <c r="AF789" s="559"/>
      <c r="AG789" s="559"/>
    </row>
    <row r="790" spans="1:33" ht="18" customHeight="1" x14ac:dyDescent="0.35">
      <c r="A790" s="559"/>
      <c r="B790" s="559"/>
      <c r="C790" s="559"/>
      <c r="D790" s="559"/>
      <c r="E790" s="559"/>
      <c r="F790" s="559"/>
      <c r="G790" s="559"/>
      <c r="H790" s="559"/>
      <c r="I790" s="559"/>
      <c r="J790" s="559"/>
      <c r="K790" s="559"/>
      <c r="L790" s="559"/>
      <c r="M790" s="559"/>
      <c r="N790" s="559"/>
      <c r="O790" s="559"/>
      <c r="P790" s="559"/>
      <c r="Q790" s="559"/>
      <c r="R790" s="559"/>
      <c r="S790" s="559"/>
      <c r="T790" s="559"/>
      <c r="U790" s="559"/>
      <c r="V790" s="559"/>
      <c r="W790" s="559"/>
      <c r="X790" s="559"/>
      <c r="Y790" s="559"/>
      <c r="Z790" s="559"/>
      <c r="AA790" s="559"/>
      <c r="AB790" s="559"/>
      <c r="AC790" s="559"/>
      <c r="AD790" s="559"/>
      <c r="AE790" s="559"/>
      <c r="AF790" s="559"/>
      <c r="AG790" s="559"/>
    </row>
    <row r="791" spans="1:33" ht="18" customHeight="1" x14ac:dyDescent="0.35">
      <c r="A791" s="559"/>
      <c r="B791" s="559"/>
      <c r="C791" s="559"/>
      <c r="D791" s="559"/>
      <c r="E791" s="559"/>
      <c r="F791" s="559"/>
      <c r="G791" s="559"/>
      <c r="H791" s="559"/>
      <c r="I791" s="559"/>
      <c r="J791" s="559"/>
      <c r="K791" s="559"/>
      <c r="L791" s="559"/>
      <c r="M791" s="559"/>
      <c r="N791" s="559"/>
      <c r="O791" s="559"/>
      <c r="P791" s="559"/>
      <c r="Q791" s="559"/>
      <c r="R791" s="559"/>
      <c r="S791" s="559"/>
      <c r="T791" s="559"/>
      <c r="U791" s="559"/>
      <c r="V791" s="559"/>
      <c r="W791" s="559"/>
      <c r="X791" s="559"/>
      <c r="Y791" s="559"/>
      <c r="Z791" s="559"/>
      <c r="AA791" s="559"/>
      <c r="AB791" s="559"/>
      <c r="AC791" s="559"/>
      <c r="AD791" s="559"/>
      <c r="AE791" s="559"/>
      <c r="AF791" s="559"/>
      <c r="AG791" s="559"/>
    </row>
    <row r="792" spans="1:33" ht="18" customHeight="1" x14ac:dyDescent="0.35">
      <c r="A792" s="559"/>
      <c r="B792" s="559"/>
      <c r="C792" s="559"/>
      <c r="D792" s="559"/>
      <c r="E792" s="559"/>
      <c r="F792" s="559"/>
      <c r="G792" s="559"/>
      <c r="H792" s="559"/>
      <c r="I792" s="559"/>
      <c r="J792" s="559"/>
      <c r="K792" s="559"/>
      <c r="L792" s="559"/>
      <c r="M792" s="559"/>
      <c r="N792" s="559"/>
      <c r="O792" s="559"/>
      <c r="P792" s="559"/>
      <c r="Q792" s="559"/>
      <c r="R792" s="559"/>
      <c r="S792" s="559"/>
      <c r="T792" s="559"/>
      <c r="U792" s="559"/>
      <c r="V792" s="559"/>
      <c r="W792" s="559"/>
      <c r="X792" s="559"/>
      <c r="Y792" s="559"/>
      <c r="Z792" s="559"/>
      <c r="AA792" s="559"/>
      <c r="AB792" s="559"/>
      <c r="AC792" s="559"/>
      <c r="AD792" s="559"/>
      <c r="AE792" s="559"/>
      <c r="AF792" s="559"/>
      <c r="AG792" s="559"/>
    </row>
    <row r="793" spans="1:33" ht="18" customHeight="1" x14ac:dyDescent="0.35">
      <c r="A793" s="559"/>
      <c r="B793" s="559"/>
      <c r="C793" s="559"/>
      <c r="D793" s="559"/>
      <c r="E793" s="559"/>
      <c r="F793" s="559"/>
      <c r="G793" s="559"/>
      <c r="H793" s="559"/>
      <c r="I793" s="559"/>
      <c r="J793" s="559"/>
      <c r="K793" s="559"/>
      <c r="L793" s="559"/>
      <c r="M793" s="559"/>
      <c r="N793" s="559"/>
      <c r="O793" s="559"/>
      <c r="P793" s="559"/>
      <c r="Q793" s="559"/>
      <c r="R793" s="559"/>
      <c r="S793" s="559"/>
      <c r="T793" s="559"/>
      <c r="U793" s="559"/>
      <c r="V793" s="559"/>
      <c r="W793" s="559"/>
      <c r="X793" s="559"/>
      <c r="Y793" s="559"/>
      <c r="Z793" s="559"/>
      <c r="AA793" s="559"/>
      <c r="AB793" s="559"/>
      <c r="AC793" s="559"/>
      <c r="AD793" s="559"/>
      <c r="AE793" s="559"/>
      <c r="AF793" s="559"/>
      <c r="AG793" s="559"/>
    </row>
    <row r="794" spans="1:33" ht="18" customHeight="1" x14ac:dyDescent="0.35">
      <c r="A794" s="559"/>
      <c r="B794" s="559"/>
      <c r="C794" s="559"/>
      <c r="D794" s="559"/>
      <c r="E794" s="559"/>
      <c r="F794" s="559"/>
      <c r="G794" s="559"/>
      <c r="H794" s="559"/>
      <c r="I794" s="559"/>
      <c r="J794" s="559"/>
      <c r="K794" s="559"/>
      <c r="L794" s="559"/>
      <c r="M794" s="559"/>
      <c r="N794" s="559"/>
      <c r="O794" s="559"/>
      <c r="P794" s="559"/>
      <c r="Q794" s="559"/>
      <c r="R794" s="559"/>
      <c r="S794" s="559"/>
      <c r="T794" s="559"/>
      <c r="U794" s="559"/>
      <c r="V794" s="559"/>
      <c r="W794" s="559"/>
      <c r="X794" s="559"/>
      <c r="Y794" s="559"/>
      <c r="Z794" s="559"/>
      <c r="AA794" s="559"/>
      <c r="AB794" s="559"/>
      <c r="AC794" s="559"/>
      <c r="AD794" s="559"/>
      <c r="AE794" s="559"/>
      <c r="AF794" s="559"/>
      <c r="AG794" s="559"/>
    </row>
    <row r="795" spans="1:33" ht="18" customHeight="1" x14ac:dyDescent="0.35">
      <c r="A795" s="559"/>
      <c r="B795" s="559"/>
      <c r="C795" s="559"/>
      <c r="D795" s="559"/>
      <c r="E795" s="559"/>
      <c r="F795" s="559"/>
      <c r="G795" s="559"/>
      <c r="H795" s="559"/>
      <c r="I795" s="559"/>
      <c r="J795" s="559"/>
      <c r="K795" s="559"/>
      <c r="L795" s="559"/>
      <c r="M795" s="559"/>
      <c r="N795" s="559"/>
      <c r="O795" s="559"/>
      <c r="P795" s="559"/>
      <c r="Q795" s="559"/>
      <c r="R795" s="559"/>
      <c r="S795" s="559"/>
      <c r="T795" s="559"/>
      <c r="U795" s="559"/>
      <c r="V795" s="559"/>
      <c r="W795" s="559"/>
      <c r="X795" s="559"/>
      <c r="Y795" s="559"/>
      <c r="Z795" s="559"/>
      <c r="AA795" s="559"/>
      <c r="AB795" s="559"/>
      <c r="AC795" s="559"/>
      <c r="AD795" s="559"/>
      <c r="AE795" s="559"/>
      <c r="AF795" s="559"/>
      <c r="AG795" s="559"/>
    </row>
    <row r="796" spans="1:33" ht="18" customHeight="1" x14ac:dyDescent="0.35">
      <c r="A796" s="559"/>
      <c r="B796" s="559"/>
      <c r="C796" s="559"/>
      <c r="D796" s="559"/>
      <c r="E796" s="559"/>
      <c r="F796" s="559"/>
      <c r="G796" s="559"/>
      <c r="H796" s="559"/>
      <c r="I796" s="559"/>
      <c r="J796" s="559"/>
      <c r="K796" s="559"/>
      <c r="L796" s="559"/>
      <c r="M796" s="559"/>
      <c r="N796" s="559"/>
      <c r="O796" s="559"/>
      <c r="P796" s="559"/>
      <c r="Q796" s="559"/>
      <c r="R796" s="559"/>
      <c r="S796" s="559"/>
      <c r="T796" s="559"/>
      <c r="U796" s="559"/>
      <c r="V796" s="559"/>
      <c r="W796" s="559"/>
      <c r="X796" s="559"/>
      <c r="Y796" s="559"/>
      <c r="Z796" s="559"/>
      <c r="AA796" s="559"/>
      <c r="AB796" s="559"/>
      <c r="AC796" s="559"/>
      <c r="AD796" s="559"/>
      <c r="AE796" s="559"/>
      <c r="AF796" s="559"/>
      <c r="AG796" s="559"/>
    </row>
    <row r="797" spans="1:33" ht="18" customHeight="1" x14ac:dyDescent="0.35">
      <c r="A797" s="559"/>
      <c r="B797" s="559"/>
      <c r="C797" s="559"/>
      <c r="D797" s="559"/>
      <c r="E797" s="559"/>
      <c r="F797" s="559"/>
      <c r="G797" s="559"/>
      <c r="H797" s="559"/>
      <c r="I797" s="559"/>
      <c r="J797" s="559"/>
      <c r="K797" s="559"/>
      <c r="L797" s="559"/>
      <c r="M797" s="559"/>
      <c r="N797" s="559"/>
      <c r="O797" s="559"/>
      <c r="P797" s="559"/>
      <c r="Q797" s="559"/>
      <c r="R797" s="559"/>
      <c r="S797" s="559"/>
      <c r="T797" s="559"/>
      <c r="U797" s="559"/>
      <c r="V797" s="559"/>
      <c r="W797" s="559"/>
      <c r="X797" s="559"/>
      <c r="Y797" s="559"/>
      <c r="Z797" s="559"/>
      <c r="AA797" s="559"/>
      <c r="AB797" s="559"/>
      <c r="AC797" s="559"/>
      <c r="AD797" s="559"/>
      <c r="AE797" s="559"/>
      <c r="AF797" s="559"/>
      <c r="AG797" s="559"/>
    </row>
    <row r="798" spans="1:33" ht="18" customHeight="1" x14ac:dyDescent="0.35">
      <c r="A798" s="559"/>
      <c r="B798" s="559"/>
      <c r="C798" s="559"/>
      <c r="D798" s="559"/>
      <c r="E798" s="559"/>
      <c r="F798" s="559"/>
      <c r="G798" s="559"/>
      <c r="H798" s="559"/>
      <c r="I798" s="559"/>
      <c r="J798" s="559"/>
      <c r="K798" s="559"/>
      <c r="L798" s="559"/>
      <c r="M798" s="559"/>
      <c r="N798" s="559"/>
      <c r="O798" s="559"/>
      <c r="P798" s="559"/>
      <c r="Q798" s="559"/>
      <c r="R798" s="559"/>
      <c r="S798" s="559"/>
      <c r="T798" s="559"/>
      <c r="U798" s="559"/>
      <c r="V798" s="559"/>
      <c r="W798" s="559"/>
      <c r="X798" s="559"/>
      <c r="Y798" s="559"/>
      <c r="Z798" s="559"/>
      <c r="AA798" s="559"/>
      <c r="AB798" s="559"/>
      <c r="AC798" s="559"/>
      <c r="AD798" s="559"/>
      <c r="AE798" s="559"/>
      <c r="AF798" s="559"/>
      <c r="AG798" s="559"/>
    </row>
    <row r="799" spans="1:33" ht="18" customHeight="1" x14ac:dyDescent="0.35">
      <c r="A799" s="559"/>
      <c r="B799" s="559"/>
      <c r="C799" s="559"/>
      <c r="D799" s="559"/>
      <c r="E799" s="559"/>
      <c r="F799" s="559"/>
      <c r="G799" s="559"/>
      <c r="H799" s="559"/>
      <c r="I799" s="559"/>
      <c r="J799" s="559"/>
      <c r="K799" s="559"/>
      <c r="L799" s="559"/>
      <c r="M799" s="559"/>
      <c r="N799" s="559"/>
      <c r="O799" s="559"/>
      <c r="P799" s="559"/>
      <c r="Q799" s="559"/>
      <c r="R799" s="559"/>
      <c r="S799" s="559"/>
      <c r="T799" s="559"/>
      <c r="U799" s="559"/>
      <c r="V799" s="559"/>
      <c r="W799" s="559"/>
      <c r="X799" s="559"/>
      <c r="Y799" s="559"/>
      <c r="Z799" s="559"/>
      <c r="AA799" s="559"/>
      <c r="AB799" s="559"/>
      <c r="AC799" s="559"/>
      <c r="AD799" s="559"/>
      <c r="AE799" s="559"/>
      <c r="AF799" s="559"/>
      <c r="AG799" s="559"/>
    </row>
    <row r="800" spans="1:33" ht="18" customHeight="1" x14ac:dyDescent="0.35">
      <c r="A800" s="559"/>
      <c r="B800" s="559"/>
      <c r="C800" s="559"/>
      <c r="D800" s="559"/>
      <c r="E800" s="559"/>
      <c r="F800" s="559"/>
      <c r="G800" s="559"/>
      <c r="H800" s="559"/>
      <c r="I800" s="559"/>
      <c r="J800" s="559"/>
      <c r="K800" s="559"/>
      <c r="L800" s="559"/>
      <c r="M800" s="559"/>
      <c r="N800" s="559"/>
      <c r="O800" s="559"/>
      <c r="P800" s="559"/>
      <c r="Q800" s="559"/>
      <c r="R800" s="559"/>
      <c r="S800" s="559"/>
      <c r="T800" s="559"/>
      <c r="U800" s="559"/>
      <c r="V800" s="559"/>
      <c r="W800" s="559"/>
      <c r="X800" s="559"/>
      <c r="Y800" s="559"/>
      <c r="Z800" s="559"/>
      <c r="AA800" s="559"/>
      <c r="AB800" s="559"/>
      <c r="AC800" s="559"/>
      <c r="AD800" s="559"/>
      <c r="AE800" s="559"/>
      <c r="AF800" s="559"/>
      <c r="AG800" s="559"/>
    </row>
    <row r="801" spans="1:33" ht="18" customHeight="1" x14ac:dyDescent="0.35">
      <c r="A801" s="559"/>
      <c r="B801" s="559"/>
      <c r="C801" s="559"/>
      <c r="D801" s="559"/>
      <c r="E801" s="559"/>
      <c r="F801" s="559"/>
      <c r="G801" s="559"/>
      <c r="H801" s="559"/>
      <c r="I801" s="559"/>
      <c r="J801" s="559"/>
      <c r="K801" s="559"/>
      <c r="L801" s="559"/>
      <c r="M801" s="559"/>
      <c r="N801" s="559"/>
      <c r="O801" s="559"/>
      <c r="P801" s="559"/>
      <c r="Q801" s="559"/>
      <c r="R801" s="559"/>
      <c r="S801" s="559"/>
      <c r="T801" s="559"/>
      <c r="U801" s="559"/>
      <c r="V801" s="559"/>
      <c r="W801" s="559"/>
      <c r="X801" s="559"/>
      <c r="Y801" s="559"/>
      <c r="Z801" s="559"/>
      <c r="AA801" s="559"/>
      <c r="AB801" s="559"/>
      <c r="AC801" s="559"/>
      <c r="AD801" s="559"/>
      <c r="AE801" s="559"/>
      <c r="AF801" s="559"/>
      <c r="AG801" s="559"/>
    </row>
    <row r="802" spans="1:33" ht="18" customHeight="1" x14ac:dyDescent="0.35">
      <c r="A802" s="559"/>
      <c r="B802" s="559"/>
      <c r="C802" s="559"/>
      <c r="D802" s="559"/>
      <c r="E802" s="559"/>
      <c r="F802" s="559"/>
      <c r="G802" s="559"/>
      <c r="H802" s="559"/>
      <c r="I802" s="559"/>
      <c r="J802" s="559"/>
      <c r="K802" s="559"/>
      <c r="L802" s="559"/>
      <c r="M802" s="559"/>
      <c r="N802" s="559"/>
      <c r="O802" s="559"/>
      <c r="P802" s="559"/>
      <c r="Q802" s="559"/>
      <c r="R802" s="559"/>
      <c r="S802" s="559"/>
      <c r="T802" s="559"/>
      <c r="U802" s="559"/>
      <c r="V802" s="559"/>
      <c r="W802" s="559"/>
      <c r="X802" s="559"/>
      <c r="Y802" s="559"/>
      <c r="Z802" s="559"/>
      <c r="AA802" s="559"/>
      <c r="AB802" s="559"/>
      <c r="AC802" s="559"/>
      <c r="AD802" s="559"/>
      <c r="AE802" s="559"/>
      <c r="AF802" s="559"/>
      <c r="AG802" s="559"/>
    </row>
    <row r="803" spans="1:33" ht="18" customHeight="1" x14ac:dyDescent="0.35">
      <c r="A803" s="559"/>
      <c r="B803" s="559"/>
      <c r="C803" s="559"/>
      <c r="D803" s="559"/>
      <c r="E803" s="559"/>
      <c r="F803" s="559"/>
      <c r="G803" s="559"/>
      <c r="H803" s="559"/>
      <c r="I803" s="559"/>
      <c r="J803" s="559"/>
      <c r="K803" s="559"/>
      <c r="L803" s="559"/>
      <c r="M803" s="559"/>
      <c r="N803" s="559"/>
      <c r="O803" s="559"/>
      <c r="P803" s="559"/>
      <c r="Q803" s="559"/>
      <c r="R803" s="559"/>
      <c r="S803" s="559"/>
      <c r="T803" s="559"/>
      <c r="U803" s="559"/>
      <c r="V803" s="559"/>
      <c r="W803" s="559"/>
      <c r="X803" s="559"/>
      <c r="Y803" s="559"/>
      <c r="Z803" s="559"/>
      <c r="AA803" s="559"/>
      <c r="AB803" s="559"/>
      <c r="AC803" s="559"/>
      <c r="AD803" s="559"/>
      <c r="AE803" s="559"/>
      <c r="AF803" s="559"/>
      <c r="AG803" s="559"/>
    </row>
    <row r="804" spans="1:33" ht="18" customHeight="1" x14ac:dyDescent="0.35">
      <c r="A804" s="559"/>
      <c r="B804" s="559"/>
      <c r="C804" s="559"/>
      <c r="D804" s="559"/>
      <c r="E804" s="559"/>
      <c r="F804" s="559"/>
      <c r="G804" s="559"/>
      <c r="H804" s="559"/>
      <c r="I804" s="559"/>
      <c r="J804" s="559"/>
      <c r="K804" s="559"/>
      <c r="L804" s="559"/>
      <c r="M804" s="559"/>
      <c r="N804" s="559"/>
      <c r="O804" s="559"/>
      <c r="P804" s="559"/>
      <c r="Q804" s="559"/>
      <c r="R804" s="559"/>
      <c r="S804" s="559"/>
      <c r="T804" s="559"/>
      <c r="U804" s="559"/>
      <c r="V804" s="559"/>
      <c r="W804" s="559"/>
      <c r="X804" s="559"/>
      <c r="Y804" s="559"/>
      <c r="Z804" s="559"/>
      <c r="AA804" s="559"/>
      <c r="AB804" s="559"/>
      <c r="AC804" s="559"/>
      <c r="AD804" s="559"/>
      <c r="AE804" s="559"/>
      <c r="AF804" s="559"/>
      <c r="AG804" s="559"/>
    </row>
    <row r="805" spans="1:33" ht="18" customHeight="1" x14ac:dyDescent="0.35">
      <c r="A805" s="559"/>
      <c r="B805" s="559"/>
      <c r="C805" s="559"/>
      <c r="D805" s="559"/>
      <c r="E805" s="559"/>
      <c r="F805" s="559"/>
      <c r="G805" s="559"/>
      <c r="H805" s="559"/>
      <c r="I805" s="559"/>
      <c r="J805" s="559"/>
      <c r="K805" s="559"/>
      <c r="L805" s="559"/>
      <c r="M805" s="559"/>
      <c r="N805" s="559"/>
      <c r="O805" s="559"/>
      <c r="P805" s="559"/>
      <c r="Q805" s="559"/>
      <c r="R805" s="559"/>
      <c r="S805" s="559"/>
      <c r="T805" s="559"/>
      <c r="U805" s="559"/>
      <c r="V805" s="559"/>
      <c r="W805" s="559"/>
      <c r="X805" s="559"/>
      <c r="Y805" s="559"/>
      <c r="Z805" s="559"/>
      <c r="AA805" s="559"/>
      <c r="AB805" s="559"/>
      <c r="AC805" s="559"/>
      <c r="AD805" s="559"/>
      <c r="AE805" s="559"/>
      <c r="AF805" s="559"/>
      <c r="AG805" s="559"/>
    </row>
    <row r="806" spans="1:33" ht="18" customHeight="1" x14ac:dyDescent="0.35">
      <c r="A806" s="559"/>
      <c r="B806" s="559"/>
      <c r="C806" s="559"/>
      <c r="D806" s="559"/>
      <c r="E806" s="559"/>
      <c r="F806" s="559"/>
      <c r="G806" s="559"/>
      <c r="H806" s="559"/>
      <c r="I806" s="559"/>
      <c r="J806" s="559"/>
      <c r="K806" s="559"/>
      <c r="L806" s="559"/>
      <c r="M806" s="559"/>
      <c r="N806" s="559"/>
      <c r="O806" s="559"/>
      <c r="P806" s="559"/>
      <c r="Q806" s="559"/>
      <c r="R806" s="559"/>
      <c r="S806" s="559"/>
      <c r="T806" s="559"/>
      <c r="U806" s="559"/>
      <c r="V806" s="559"/>
      <c r="W806" s="559"/>
      <c r="X806" s="559"/>
      <c r="Y806" s="559"/>
      <c r="Z806" s="559"/>
      <c r="AA806" s="559"/>
      <c r="AB806" s="559"/>
      <c r="AC806" s="559"/>
      <c r="AD806" s="559"/>
      <c r="AE806" s="559"/>
      <c r="AF806" s="559"/>
      <c r="AG806" s="559"/>
    </row>
    <row r="807" spans="1:33" ht="18" customHeight="1" x14ac:dyDescent="0.35">
      <c r="A807" s="559"/>
      <c r="B807" s="559"/>
      <c r="C807" s="559"/>
      <c r="D807" s="559"/>
      <c r="E807" s="559"/>
      <c r="F807" s="559"/>
      <c r="G807" s="559"/>
      <c r="H807" s="559"/>
      <c r="I807" s="559"/>
      <c r="J807" s="559"/>
      <c r="K807" s="559"/>
      <c r="L807" s="559"/>
      <c r="M807" s="559"/>
      <c r="N807" s="559"/>
      <c r="O807" s="559"/>
      <c r="P807" s="559"/>
      <c r="Q807" s="559"/>
      <c r="R807" s="559"/>
      <c r="S807" s="559"/>
      <c r="T807" s="559"/>
      <c r="U807" s="559"/>
      <c r="V807" s="559"/>
      <c r="W807" s="559"/>
      <c r="X807" s="559"/>
      <c r="Y807" s="559"/>
      <c r="Z807" s="559"/>
      <c r="AA807" s="559"/>
      <c r="AB807" s="559"/>
      <c r="AC807" s="559"/>
      <c r="AD807" s="559"/>
      <c r="AE807" s="559"/>
      <c r="AF807" s="559"/>
      <c r="AG807" s="559"/>
    </row>
    <row r="808" spans="1:33" ht="18" customHeight="1" x14ac:dyDescent="0.35">
      <c r="A808" s="559"/>
      <c r="B808" s="559"/>
      <c r="C808" s="559"/>
      <c r="D808" s="559"/>
      <c r="E808" s="559"/>
      <c r="F808" s="559"/>
      <c r="G808" s="559"/>
      <c r="H808" s="559"/>
      <c r="I808" s="559"/>
      <c r="J808" s="559"/>
      <c r="K808" s="559"/>
      <c r="L808" s="559"/>
      <c r="M808" s="559"/>
      <c r="N808" s="559"/>
      <c r="O808" s="559"/>
      <c r="P808" s="559"/>
      <c r="Q808" s="559"/>
      <c r="R808" s="559"/>
      <c r="S808" s="559"/>
      <c r="T808" s="559"/>
      <c r="U808" s="559"/>
      <c r="V808" s="559"/>
      <c r="W808" s="559"/>
      <c r="X808" s="559"/>
      <c r="Y808" s="559"/>
      <c r="Z808" s="559"/>
      <c r="AA808" s="559"/>
      <c r="AB808" s="559"/>
      <c r="AC808" s="559"/>
      <c r="AD808" s="559"/>
      <c r="AE808" s="559"/>
      <c r="AF808" s="559"/>
      <c r="AG808" s="559"/>
    </row>
    <row r="809" spans="1:33" ht="18" customHeight="1" x14ac:dyDescent="0.35">
      <c r="A809" s="559"/>
      <c r="B809" s="559"/>
      <c r="C809" s="559"/>
      <c r="D809" s="559"/>
      <c r="E809" s="559"/>
      <c r="F809" s="559"/>
      <c r="G809" s="559"/>
      <c r="H809" s="559"/>
      <c r="I809" s="559"/>
      <c r="J809" s="559"/>
      <c r="K809" s="559"/>
      <c r="L809" s="559"/>
      <c r="M809" s="559"/>
      <c r="N809" s="559"/>
      <c r="O809" s="559"/>
      <c r="P809" s="559"/>
      <c r="Q809" s="559"/>
      <c r="R809" s="559"/>
      <c r="S809" s="559"/>
      <c r="T809" s="559"/>
      <c r="U809" s="559"/>
      <c r="V809" s="559"/>
      <c r="W809" s="559"/>
      <c r="X809" s="559"/>
      <c r="Y809" s="559"/>
      <c r="Z809" s="559"/>
      <c r="AA809" s="559"/>
      <c r="AB809" s="559"/>
      <c r="AC809" s="559"/>
      <c r="AD809" s="559"/>
      <c r="AE809" s="559"/>
      <c r="AF809" s="559"/>
      <c r="AG809" s="559"/>
    </row>
    <row r="810" spans="1:33" ht="18" customHeight="1" x14ac:dyDescent="0.35">
      <c r="A810" s="559"/>
      <c r="B810" s="559"/>
      <c r="C810" s="559"/>
      <c r="D810" s="559"/>
      <c r="E810" s="559"/>
      <c r="F810" s="559"/>
      <c r="G810" s="559"/>
      <c r="H810" s="559"/>
      <c r="I810" s="559"/>
      <c r="J810" s="559"/>
      <c r="K810" s="559"/>
      <c r="L810" s="559"/>
      <c r="M810" s="559"/>
      <c r="N810" s="559"/>
      <c r="O810" s="559"/>
      <c r="P810" s="559"/>
      <c r="Q810" s="559"/>
      <c r="R810" s="559"/>
      <c r="S810" s="559"/>
      <c r="T810" s="559"/>
      <c r="U810" s="559"/>
      <c r="V810" s="559"/>
      <c r="W810" s="559"/>
      <c r="X810" s="559"/>
      <c r="Y810" s="559"/>
      <c r="Z810" s="559"/>
      <c r="AA810" s="559"/>
      <c r="AB810" s="559"/>
      <c r="AC810" s="559"/>
      <c r="AD810" s="559"/>
      <c r="AE810" s="559"/>
      <c r="AF810" s="559"/>
      <c r="AG810" s="559"/>
    </row>
    <row r="811" spans="1:33" ht="18" customHeight="1" x14ac:dyDescent="0.35">
      <c r="A811" s="559"/>
      <c r="B811" s="559"/>
      <c r="C811" s="559"/>
      <c r="D811" s="559"/>
      <c r="E811" s="559"/>
      <c r="F811" s="559"/>
      <c r="G811" s="559"/>
      <c r="H811" s="559"/>
      <c r="I811" s="559"/>
      <c r="J811" s="559"/>
      <c r="K811" s="559"/>
      <c r="L811" s="559"/>
      <c r="M811" s="559"/>
      <c r="N811" s="559"/>
      <c r="O811" s="559"/>
      <c r="P811" s="559"/>
      <c r="Q811" s="559"/>
      <c r="R811" s="559"/>
      <c r="S811" s="559"/>
      <c r="T811" s="559"/>
      <c r="U811" s="559"/>
      <c r="V811" s="559"/>
      <c r="W811" s="559"/>
      <c r="X811" s="559"/>
      <c r="Y811" s="559"/>
      <c r="Z811" s="559"/>
      <c r="AA811" s="559"/>
      <c r="AB811" s="559"/>
      <c r="AC811" s="559"/>
      <c r="AD811" s="559"/>
      <c r="AE811" s="559"/>
      <c r="AF811" s="559"/>
      <c r="AG811" s="559"/>
    </row>
    <row r="812" spans="1:33" ht="18" customHeight="1" x14ac:dyDescent="0.35">
      <c r="A812" s="559"/>
      <c r="B812" s="559"/>
      <c r="C812" s="559"/>
      <c r="D812" s="559"/>
      <c r="E812" s="559"/>
      <c r="F812" s="559"/>
      <c r="G812" s="559"/>
      <c r="H812" s="559"/>
      <c r="I812" s="559"/>
      <c r="J812" s="559"/>
      <c r="K812" s="559"/>
      <c r="L812" s="559"/>
      <c r="M812" s="559"/>
      <c r="N812" s="559"/>
      <c r="O812" s="559"/>
      <c r="P812" s="559"/>
      <c r="Q812" s="559"/>
      <c r="R812" s="559"/>
      <c r="S812" s="559"/>
      <c r="T812" s="559"/>
      <c r="U812" s="559"/>
      <c r="V812" s="559"/>
      <c r="W812" s="559"/>
      <c r="X812" s="559"/>
      <c r="Y812" s="559"/>
      <c r="Z812" s="559"/>
      <c r="AA812" s="559"/>
      <c r="AB812" s="559"/>
      <c r="AC812" s="559"/>
      <c r="AD812" s="559"/>
      <c r="AE812" s="559"/>
      <c r="AF812" s="559"/>
      <c r="AG812" s="559"/>
    </row>
    <row r="813" spans="1:33" ht="18" customHeight="1" x14ac:dyDescent="0.35">
      <c r="A813" s="559"/>
      <c r="B813" s="559"/>
      <c r="C813" s="559"/>
      <c r="D813" s="559"/>
      <c r="E813" s="559"/>
      <c r="F813" s="559"/>
      <c r="G813" s="559"/>
      <c r="H813" s="559"/>
      <c r="I813" s="559"/>
      <c r="J813" s="559"/>
      <c r="K813" s="559"/>
      <c r="L813" s="559"/>
      <c r="M813" s="559"/>
      <c r="N813" s="559"/>
      <c r="O813" s="559"/>
      <c r="P813" s="559"/>
      <c r="Q813" s="559"/>
      <c r="R813" s="559"/>
      <c r="S813" s="559"/>
      <c r="T813" s="559"/>
      <c r="U813" s="559"/>
      <c r="V813" s="559"/>
      <c r="W813" s="559"/>
      <c r="X813" s="559"/>
      <c r="Y813" s="559"/>
      <c r="Z813" s="559"/>
      <c r="AA813" s="559"/>
      <c r="AB813" s="559"/>
      <c r="AC813" s="559"/>
      <c r="AD813" s="559"/>
      <c r="AE813" s="559"/>
      <c r="AF813" s="559"/>
      <c r="AG813" s="559"/>
    </row>
    <row r="814" spans="1:33" ht="18" customHeight="1" x14ac:dyDescent="0.35">
      <c r="A814" s="559"/>
      <c r="B814" s="559"/>
      <c r="C814" s="559"/>
      <c r="D814" s="559"/>
      <c r="E814" s="559"/>
      <c r="F814" s="559"/>
      <c r="G814" s="559"/>
      <c r="H814" s="559"/>
      <c r="I814" s="559"/>
      <c r="J814" s="559"/>
      <c r="K814" s="559"/>
      <c r="L814" s="559"/>
      <c r="M814" s="559"/>
      <c r="N814" s="559"/>
      <c r="O814" s="559"/>
      <c r="P814" s="559"/>
      <c r="Q814" s="559"/>
      <c r="R814" s="559"/>
      <c r="S814" s="559"/>
      <c r="T814" s="559"/>
      <c r="U814" s="559"/>
      <c r="V814" s="559"/>
      <c r="W814" s="559"/>
      <c r="X814" s="559"/>
      <c r="Y814" s="559"/>
      <c r="Z814" s="559"/>
      <c r="AA814" s="559"/>
      <c r="AB814" s="559"/>
      <c r="AC814" s="559"/>
      <c r="AD814" s="559"/>
      <c r="AE814" s="559"/>
      <c r="AF814" s="559"/>
      <c r="AG814" s="559"/>
    </row>
    <row r="815" spans="1:33" ht="18" customHeight="1" x14ac:dyDescent="0.35">
      <c r="A815" s="559"/>
      <c r="B815" s="559"/>
      <c r="C815" s="559"/>
      <c r="D815" s="559"/>
      <c r="E815" s="559"/>
      <c r="F815" s="559"/>
      <c r="G815" s="559"/>
      <c r="H815" s="559"/>
      <c r="I815" s="559"/>
      <c r="J815" s="559"/>
      <c r="K815" s="559"/>
      <c r="L815" s="559"/>
      <c r="M815" s="559"/>
      <c r="N815" s="559"/>
      <c r="O815" s="559"/>
      <c r="P815" s="559"/>
      <c r="Q815" s="559"/>
      <c r="R815" s="559"/>
      <c r="S815" s="559"/>
      <c r="T815" s="559"/>
      <c r="U815" s="559"/>
      <c r="V815" s="559"/>
      <c r="W815" s="559"/>
      <c r="X815" s="559"/>
      <c r="Y815" s="559"/>
      <c r="Z815" s="559"/>
      <c r="AA815" s="559"/>
      <c r="AB815" s="559"/>
      <c r="AC815" s="559"/>
      <c r="AD815" s="559"/>
      <c r="AE815" s="559"/>
      <c r="AF815" s="559"/>
      <c r="AG815" s="559"/>
    </row>
    <row r="816" spans="1:33" ht="18" customHeight="1" x14ac:dyDescent="0.35">
      <c r="A816" s="559"/>
      <c r="B816" s="559"/>
      <c r="C816" s="559"/>
      <c r="D816" s="559"/>
      <c r="E816" s="559"/>
      <c r="F816" s="559"/>
      <c r="G816" s="559"/>
      <c r="H816" s="559"/>
      <c r="I816" s="559"/>
      <c r="J816" s="559"/>
      <c r="K816" s="559"/>
      <c r="L816" s="559"/>
      <c r="M816" s="559"/>
      <c r="N816" s="559"/>
      <c r="O816" s="559"/>
      <c r="P816" s="559"/>
      <c r="Q816" s="559"/>
      <c r="R816" s="559"/>
      <c r="S816" s="559"/>
      <c r="T816" s="559"/>
      <c r="U816" s="559"/>
      <c r="V816" s="559"/>
      <c r="W816" s="559"/>
      <c r="X816" s="559"/>
      <c r="Y816" s="559"/>
      <c r="Z816" s="559"/>
      <c r="AA816" s="559"/>
      <c r="AB816" s="559"/>
      <c r="AC816" s="559"/>
      <c r="AD816" s="559"/>
      <c r="AE816" s="559"/>
      <c r="AF816" s="559"/>
      <c r="AG816" s="559"/>
    </row>
    <row r="817" spans="1:33" ht="18" customHeight="1" x14ac:dyDescent="0.35">
      <c r="A817" s="559"/>
      <c r="B817" s="559"/>
      <c r="C817" s="559"/>
      <c r="D817" s="559"/>
      <c r="E817" s="559"/>
      <c r="F817" s="559"/>
      <c r="G817" s="559"/>
      <c r="H817" s="559"/>
      <c r="I817" s="559"/>
      <c r="J817" s="559"/>
      <c r="K817" s="559"/>
      <c r="L817" s="559"/>
      <c r="M817" s="559"/>
      <c r="N817" s="559"/>
      <c r="O817" s="559"/>
      <c r="P817" s="559"/>
      <c r="Q817" s="559"/>
      <c r="R817" s="559"/>
      <c r="S817" s="559"/>
      <c r="T817" s="559"/>
      <c r="U817" s="559"/>
      <c r="V817" s="559"/>
      <c r="W817" s="559"/>
      <c r="X817" s="559"/>
      <c r="Y817" s="559"/>
      <c r="Z817" s="559"/>
      <c r="AA817" s="559"/>
      <c r="AB817" s="559"/>
      <c r="AC817" s="559"/>
      <c r="AD817" s="559"/>
      <c r="AE817" s="559"/>
      <c r="AF817" s="559"/>
      <c r="AG817" s="559"/>
    </row>
    <row r="818" spans="1:33" ht="18" customHeight="1" x14ac:dyDescent="0.35">
      <c r="A818" s="559"/>
      <c r="B818" s="559"/>
      <c r="C818" s="559"/>
      <c r="D818" s="559"/>
      <c r="E818" s="559"/>
      <c r="F818" s="559"/>
      <c r="G818" s="559"/>
      <c r="H818" s="559"/>
      <c r="I818" s="559"/>
      <c r="J818" s="559"/>
      <c r="K818" s="559"/>
      <c r="L818" s="559"/>
      <c r="M818" s="559"/>
      <c r="N818" s="559"/>
      <c r="O818" s="559"/>
      <c r="P818" s="559"/>
      <c r="Q818" s="559"/>
      <c r="R818" s="559"/>
      <c r="S818" s="559"/>
      <c r="T818" s="559"/>
      <c r="U818" s="559"/>
      <c r="V818" s="559"/>
      <c r="W818" s="559"/>
      <c r="X818" s="559"/>
      <c r="Y818" s="559"/>
      <c r="Z818" s="559"/>
      <c r="AA818" s="559"/>
      <c r="AB818" s="559"/>
      <c r="AC818" s="559"/>
      <c r="AD818" s="559"/>
      <c r="AE818" s="559"/>
      <c r="AF818" s="559"/>
      <c r="AG818" s="559"/>
    </row>
    <row r="819" spans="1:33" ht="18" customHeight="1" x14ac:dyDescent="0.35">
      <c r="A819" s="559"/>
      <c r="B819" s="559"/>
      <c r="C819" s="559"/>
      <c r="D819" s="559"/>
      <c r="E819" s="559"/>
      <c r="F819" s="559"/>
      <c r="G819" s="559"/>
      <c r="H819" s="559"/>
      <c r="I819" s="559"/>
      <c r="J819" s="559"/>
      <c r="K819" s="559"/>
      <c r="L819" s="559"/>
      <c r="M819" s="559"/>
      <c r="N819" s="559"/>
      <c r="O819" s="559"/>
      <c r="P819" s="559"/>
      <c r="Q819" s="559"/>
      <c r="R819" s="559"/>
      <c r="S819" s="559"/>
      <c r="T819" s="559"/>
      <c r="U819" s="559"/>
      <c r="V819" s="559"/>
      <c r="W819" s="559"/>
      <c r="X819" s="559"/>
      <c r="Y819" s="559"/>
      <c r="Z819" s="559"/>
      <c r="AA819" s="559"/>
      <c r="AB819" s="559"/>
      <c r="AC819" s="559"/>
      <c r="AD819" s="559"/>
      <c r="AE819" s="559"/>
      <c r="AF819" s="559"/>
      <c r="AG819" s="559"/>
    </row>
    <row r="820" spans="1:33" ht="18" customHeight="1" x14ac:dyDescent="0.35">
      <c r="A820" s="559"/>
      <c r="B820" s="559"/>
      <c r="C820" s="559"/>
      <c r="D820" s="559"/>
      <c r="E820" s="559"/>
      <c r="F820" s="559"/>
      <c r="G820" s="559"/>
      <c r="H820" s="559"/>
      <c r="I820" s="559"/>
      <c r="J820" s="559"/>
      <c r="K820" s="559"/>
      <c r="L820" s="559"/>
      <c r="M820" s="559"/>
      <c r="N820" s="559"/>
      <c r="O820" s="559"/>
      <c r="P820" s="559"/>
      <c r="Q820" s="559"/>
      <c r="R820" s="559"/>
      <c r="S820" s="559"/>
      <c r="T820" s="559"/>
      <c r="U820" s="559"/>
      <c r="V820" s="559"/>
      <c r="W820" s="559"/>
      <c r="X820" s="559"/>
      <c r="Y820" s="559"/>
      <c r="Z820" s="559"/>
      <c r="AA820" s="559"/>
      <c r="AB820" s="559"/>
      <c r="AC820" s="559"/>
      <c r="AD820" s="559"/>
      <c r="AE820" s="559"/>
      <c r="AF820" s="559"/>
      <c r="AG820" s="559"/>
    </row>
    <row r="821" spans="1:33" ht="18" customHeight="1" x14ac:dyDescent="0.35">
      <c r="A821" s="559"/>
      <c r="B821" s="559"/>
      <c r="C821" s="559"/>
      <c r="D821" s="559"/>
      <c r="E821" s="559"/>
      <c r="F821" s="559"/>
      <c r="G821" s="559"/>
      <c r="H821" s="559"/>
      <c r="I821" s="559"/>
      <c r="J821" s="559"/>
      <c r="K821" s="559"/>
      <c r="L821" s="559"/>
      <c r="M821" s="559"/>
      <c r="N821" s="559"/>
      <c r="O821" s="559"/>
      <c r="P821" s="559"/>
      <c r="Q821" s="559"/>
      <c r="R821" s="559"/>
      <c r="S821" s="559"/>
      <c r="T821" s="559"/>
      <c r="U821" s="559"/>
      <c r="V821" s="559"/>
      <c r="W821" s="559"/>
      <c r="X821" s="559"/>
      <c r="Y821" s="559"/>
      <c r="Z821" s="559"/>
      <c r="AA821" s="559"/>
      <c r="AB821" s="559"/>
      <c r="AC821" s="559"/>
      <c r="AD821" s="559"/>
      <c r="AE821" s="559"/>
      <c r="AF821" s="559"/>
      <c r="AG821" s="559"/>
    </row>
    <row r="822" spans="1:33" ht="18" customHeight="1" x14ac:dyDescent="0.35">
      <c r="A822" s="559"/>
      <c r="B822" s="559"/>
      <c r="C822" s="559"/>
      <c r="D822" s="559"/>
      <c r="E822" s="559"/>
      <c r="F822" s="559"/>
      <c r="G822" s="559"/>
      <c r="H822" s="559"/>
      <c r="I822" s="559"/>
      <c r="J822" s="559"/>
      <c r="K822" s="559"/>
      <c r="L822" s="559"/>
      <c r="M822" s="559"/>
      <c r="N822" s="559"/>
      <c r="O822" s="559"/>
      <c r="P822" s="559"/>
      <c r="Q822" s="559"/>
      <c r="R822" s="559"/>
      <c r="S822" s="559"/>
      <c r="T822" s="559"/>
      <c r="U822" s="559"/>
      <c r="V822" s="559"/>
      <c r="W822" s="559"/>
      <c r="X822" s="559"/>
      <c r="Y822" s="559"/>
      <c r="Z822" s="559"/>
      <c r="AA822" s="559"/>
      <c r="AB822" s="559"/>
      <c r="AC822" s="559"/>
      <c r="AD822" s="559"/>
      <c r="AE822" s="559"/>
      <c r="AF822" s="559"/>
      <c r="AG822" s="559"/>
    </row>
    <row r="823" spans="1:33" ht="18" customHeight="1" x14ac:dyDescent="0.35">
      <c r="A823" s="559"/>
      <c r="B823" s="559"/>
      <c r="C823" s="559"/>
      <c r="D823" s="559"/>
      <c r="E823" s="559"/>
      <c r="F823" s="559"/>
      <c r="G823" s="559"/>
      <c r="H823" s="559"/>
      <c r="I823" s="559"/>
      <c r="J823" s="559"/>
      <c r="K823" s="559"/>
      <c r="L823" s="559"/>
      <c r="M823" s="559"/>
      <c r="N823" s="559"/>
      <c r="O823" s="559"/>
      <c r="P823" s="559"/>
      <c r="Q823" s="559"/>
      <c r="R823" s="559"/>
      <c r="S823" s="559"/>
      <c r="T823" s="559"/>
      <c r="U823" s="559"/>
      <c r="V823" s="559"/>
      <c r="W823" s="559"/>
      <c r="X823" s="559"/>
      <c r="Y823" s="559"/>
      <c r="Z823" s="559"/>
      <c r="AA823" s="559"/>
      <c r="AB823" s="559"/>
      <c r="AC823" s="559"/>
      <c r="AD823" s="559"/>
      <c r="AE823" s="559"/>
      <c r="AF823" s="559"/>
      <c r="AG823" s="559"/>
    </row>
    <row r="824" spans="1:33" ht="18" customHeight="1" x14ac:dyDescent="0.35">
      <c r="A824" s="559"/>
      <c r="B824" s="559"/>
      <c r="C824" s="559"/>
      <c r="D824" s="559"/>
      <c r="E824" s="559"/>
      <c r="F824" s="559"/>
      <c r="G824" s="559"/>
      <c r="H824" s="559"/>
      <c r="I824" s="559"/>
      <c r="J824" s="559"/>
      <c r="K824" s="559"/>
      <c r="L824" s="559"/>
      <c r="M824" s="559"/>
      <c r="N824" s="559"/>
      <c r="O824" s="559"/>
      <c r="P824" s="559"/>
      <c r="Q824" s="559"/>
      <c r="R824" s="559"/>
      <c r="S824" s="559"/>
      <c r="T824" s="559"/>
      <c r="U824" s="559"/>
      <c r="V824" s="559"/>
      <c r="W824" s="559"/>
      <c r="X824" s="559"/>
      <c r="Y824" s="559"/>
      <c r="Z824" s="559"/>
      <c r="AA824" s="559"/>
      <c r="AB824" s="559"/>
      <c r="AC824" s="559"/>
      <c r="AD824" s="559"/>
      <c r="AE824" s="559"/>
      <c r="AF824" s="559"/>
      <c r="AG824" s="559"/>
    </row>
    <row r="825" spans="1:33" ht="18" customHeight="1" x14ac:dyDescent="0.35">
      <c r="A825" s="559"/>
      <c r="B825" s="559"/>
      <c r="C825" s="559"/>
      <c r="D825" s="559"/>
      <c r="E825" s="559"/>
      <c r="F825" s="559"/>
      <c r="G825" s="559"/>
      <c r="H825" s="559"/>
      <c r="I825" s="559"/>
      <c r="J825" s="559"/>
      <c r="K825" s="559"/>
      <c r="L825" s="559"/>
      <c r="M825" s="559"/>
      <c r="N825" s="559"/>
      <c r="O825" s="559"/>
      <c r="P825" s="559"/>
      <c r="Q825" s="559"/>
      <c r="R825" s="559"/>
      <c r="S825" s="559"/>
      <c r="T825" s="559"/>
      <c r="U825" s="559"/>
      <c r="V825" s="559"/>
      <c r="W825" s="559"/>
      <c r="X825" s="559"/>
      <c r="Y825" s="559"/>
      <c r="Z825" s="559"/>
      <c r="AA825" s="559"/>
      <c r="AB825" s="559"/>
      <c r="AC825" s="559"/>
      <c r="AD825" s="559"/>
      <c r="AE825" s="559"/>
      <c r="AF825" s="559"/>
      <c r="AG825" s="559"/>
    </row>
    <row r="826" spans="1:33" ht="18" customHeight="1" x14ac:dyDescent="0.35">
      <c r="A826" s="559"/>
      <c r="B826" s="559"/>
      <c r="C826" s="559"/>
      <c r="D826" s="559"/>
      <c r="E826" s="559"/>
      <c r="F826" s="559"/>
      <c r="G826" s="559"/>
      <c r="H826" s="559"/>
      <c r="I826" s="559"/>
      <c r="J826" s="559"/>
      <c r="K826" s="559"/>
      <c r="L826" s="559"/>
      <c r="M826" s="559"/>
      <c r="N826" s="559"/>
      <c r="O826" s="559"/>
      <c r="P826" s="559"/>
      <c r="Q826" s="559"/>
      <c r="R826" s="559"/>
      <c r="S826" s="559"/>
      <c r="T826" s="559"/>
      <c r="U826" s="559"/>
      <c r="V826" s="559"/>
      <c r="W826" s="559"/>
      <c r="X826" s="559"/>
      <c r="Y826" s="559"/>
      <c r="Z826" s="559"/>
      <c r="AA826" s="559"/>
      <c r="AB826" s="559"/>
      <c r="AC826" s="559"/>
      <c r="AD826" s="559"/>
      <c r="AE826" s="559"/>
      <c r="AF826" s="559"/>
      <c r="AG826" s="559"/>
    </row>
    <row r="827" spans="1:33" ht="18" customHeight="1" x14ac:dyDescent="0.35">
      <c r="A827" s="559"/>
      <c r="B827" s="559"/>
      <c r="C827" s="559"/>
      <c r="D827" s="559"/>
      <c r="E827" s="559"/>
      <c r="F827" s="559"/>
      <c r="G827" s="559"/>
      <c r="H827" s="559"/>
      <c r="I827" s="559"/>
      <c r="J827" s="559"/>
      <c r="K827" s="559"/>
      <c r="L827" s="559"/>
      <c r="M827" s="559"/>
      <c r="N827" s="559"/>
      <c r="O827" s="559"/>
      <c r="P827" s="559"/>
      <c r="Q827" s="559"/>
      <c r="R827" s="559"/>
      <c r="S827" s="559"/>
      <c r="T827" s="559"/>
      <c r="U827" s="559"/>
      <c r="V827" s="559"/>
      <c r="W827" s="559"/>
      <c r="X827" s="559"/>
      <c r="Y827" s="559"/>
      <c r="Z827" s="559"/>
      <c r="AA827" s="559"/>
      <c r="AB827" s="559"/>
      <c r="AC827" s="559"/>
      <c r="AD827" s="559"/>
      <c r="AE827" s="559"/>
      <c r="AF827" s="559"/>
      <c r="AG827" s="559"/>
    </row>
    <row r="828" spans="1:33" ht="18" customHeight="1" x14ac:dyDescent="0.35">
      <c r="A828" s="559"/>
      <c r="B828" s="559"/>
      <c r="C828" s="559"/>
      <c r="D828" s="559"/>
      <c r="E828" s="559"/>
      <c r="F828" s="559"/>
      <c r="G828" s="559"/>
      <c r="H828" s="559"/>
      <c r="I828" s="559"/>
      <c r="J828" s="559"/>
      <c r="K828" s="559"/>
      <c r="L828" s="559"/>
      <c r="M828" s="559"/>
      <c r="N828" s="559"/>
      <c r="O828" s="559"/>
      <c r="P828" s="559"/>
      <c r="Q828" s="559"/>
      <c r="R828" s="559"/>
      <c r="S828" s="559"/>
      <c r="T828" s="559"/>
      <c r="U828" s="559"/>
      <c r="V828" s="559"/>
      <c r="W828" s="559"/>
      <c r="X828" s="559"/>
      <c r="Y828" s="559"/>
      <c r="Z828" s="559"/>
      <c r="AA828" s="559"/>
      <c r="AB828" s="559"/>
      <c r="AC828" s="559"/>
      <c r="AD828" s="559"/>
      <c r="AE828" s="559"/>
      <c r="AF828" s="559"/>
      <c r="AG828" s="559"/>
    </row>
    <row r="829" spans="1:33" ht="18" customHeight="1" x14ac:dyDescent="0.35">
      <c r="A829" s="559"/>
      <c r="B829" s="559"/>
      <c r="C829" s="559"/>
      <c r="D829" s="559"/>
      <c r="E829" s="559"/>
      <c r="F829" s="559"/>
      <c r="G829" s="559"/>
      <c r="H829" s="559"/>
      <c r="I829" s="559"/>
      <c r="J829" s="559"/>
      <c r="K829" s="559"/>
      <c r="L829" s="559"/>
      <c r="M829" s="559"/>
      <c r="N829" s="559"/>
      <c r="O829" s="559"/>
      <c r="P829" s="559"/>
      <c r="Q829" s="559"/>
      <c r="R829" s="559"/>
      <c r="S829" s="559"/>
      <c r="T829" s="559"/>
      <c r="U829" s="559"/>
      <c r="V829" s="559"/>
      <c r="W829" s="559"/>
      <c r="X829" s="559"/>
      <c r="Y829" s="559"/>
      <c r="Z829" s="559"/>
      <c r="AA829" s="559"/>
      <c r="AB829" s="559"/>
      <c r="AC829" s="559"/>
      <c r="AD829" s="559"/>
      <c r="AE829" s="559"/>
      <c r="AF829" s="559"/>
      <c r="AG829" s="559"/>
    </row>
    <row r="830" spans="1:33" ht="18" customHeight="1" x14ac:dyDescent="0.35">
      <c r="A830" s="559"/>
      <c r="B830" s="559"/>
      <c r="C830" s="559"/>
      <c r="D830" s="559"/>
      <c r="E830" s="559"/>
      <c r="F830" s="559"/>
      <c r="G830" s="559"/>
      <c r="H830" s="559"/>
      <c r="I830" s="559"/>
      <c r="J830" s="559"/>
      <c r="K830" s="559"/>
      <c r="L830" s="559"/>
      <c r="M830" s="559"/>
      <c r="N830" s="559"/>
      <c r="O830" s="559"/>
      <c r="P830" s="559"/>
      <c r="Q830" s="559"/>
      <c r="R830" s="559"/>
      <c r="S830" s="559"/>
      <c r="T830" s="559"/>
      <c r="U830" s="559"/>
      <c r="V830" s="559"/>
      <c r="W830" s="559"/>
      <c r="X830" s="559"/>
      <c r="Y830" s="559"/>
      <c r="Z830" s="559"/>
      <c r="AA830" s="559"/>
      <c r="AB830" s="559"/>
      <c r="AC830" s="559"/>
      <c r="AD830" s="559"/>
      <c r="AE830" s="559"/>
      <c r="AF830" s="559"/>
      <c r="AG830" s="559"/>
    </row>
    <row r="831" spans="1:33" ht="18" customHeight="1" x14ac:dyDescent="0.35">
      <c r="A831" s="559"/>
      <c r="B831" s="559"/>
      <c r="C831" s="559"/>
      <c r="D831" s="559"/>
      <c r="E831" s="559"/>
      <c r="F831" s="559"/>
      <c r="G831" s="559"/>
      <c r="H831" s="559"/>
      <c r="I831" s="559"/>
      <c r="J831" s="559"/>
      <c r="K831" s="559"/>
      <c r="L831" s="559"/>
      <c r="M831" s="559"/>
      <c r="N831" s="559"/>
      <c r="O831" s="559"/>
      <c r="P831" s="559"/>
      <c r="Q831" s="559"/>
      <c r="R831" s="559"/>
      <c r="S831" s="559"/>
      <c r="T831" s="559"/>
      <c r="U831" s="559"/>
      <c r="V831" s="559"/>
      <c r="W831" s="559"/>
      <c r="X831" s="559"/>
      <c r="Y831" s="559"/>
      <c r="Z831" s="559"/>
      <c r="AA831" s="559"/>
      <c r="AB831" s="559"/>
      <c r="AC831" s="559"/>
      <c r="AD831" s="559"/>
      <c r="AE831" s="559"/>
      <c r="AF831" s="559"/>
      <c r="AG831" s="559"/>
    </row>
    <row r="832" spans="1:33" ht="18" customHeight="1" x14ac:dyDescent="0.35">
      <c r="A832" s="559"/>
      <c r="B832" s="559"/>
      <c r="C832" s="559"/>
      <c r="D832" s="559"/>
      <c r="E832" s="559"/>
      <c r="F832" s="559"/>
      <c r="G832" s="559"/>
      <c r="H832" s="559"/>
      <c r="I832" s="559"/>
      <c r="J832" s="559"/>
      <c r="K832" s="559"/>
      <c r="L832" s="559"/>
      <c r="M832" s="559"/>
      <c r="N832" s="559"/>
      <c r="O832" s="559"/>
      <c r="P832" s="559"/>
      <c r="Q832" s="559"/>
      <c r="R832" s="559"/>
      <c r="S832" s="559"/>
      <c r="T832" s="559"/>
      <c r="U832" s="559"/>
      <c r="V832" s="559"/>
      <c r="W832" s="559"/>
      <c r="X832" s="559"/>
      <c r="Y832" s="559"/>
      <c r="Z832" s="559"/>
      <c r="AA832" s="559"/>
      <c r="AB832" s="559"/>
      <c r="AC832" s="559"/>
      <c r="AD832" s="559"/>
      <c r="AE832" s="559"/>
      <c r="AF832" s="559"/>
      <c r="AG832" s="559"/>
    </row>
    <row r="833" spans="1:33" ht="18" customHeight="1" x14ac:dyDescent="0.35">
      <c r="A833" s="559"/>
      <c r="B833" s="559"/>
      <c r="C833" s="559"/>
      <c r="D833" s="559"/>
      <c r="E833" s="559"/>
      <c r="F833" s="559"/>
      <c r="G833" s="559"/>
      <c r="H833" s="559"/>
      <c r="I833" s="559"/>
      <c r="J833" s="559"/>
      <c r="K833" s="559"/>
      <c r="L833" s="559"/>
      <c r="M833" s="559"/>
      <c r="N833" s="559"/>
      <c r="O833" s="559"/>
      <c r="P833" s="559"/>
      <c r="Q833" s="559"/>
      <c r="R833" s="559"/>
      <c r="S833" s="559"/>
      <c r="T833" s="559"/>
      <c r="U833" s="559"/>
      <c r="V833" s="559"/>
      <c r="W833" s="559"/>
      <c r="X833" s="559"/>
      <c r="Y833" s="559"/>
      <c r="Z833" s="559"/>
      <c r="AA833" s="559"/>
      <c r="AB833" s="559"/>
      <c r="AC833" s="559"/>
      <c r="AD833" s="559"/>
      <c r="AE833" s="559"/>
      <c r="AF833" s="559"/>
      <c r="AG833" s="559"/>
    </row>
    <row r="834" spans="1:33" ht="18" customHeight="1" x14ac:dyDescent="0.35">
      <c r="A834" s="559"/>
      <c r="B834" s="559"/>
      <c r="C834" s="559"/>
      <c r="D834" s="559"/>
      <c r="E834" s="559"/>
      <c r="F834" s="559"/>
      <c r="G834" s="559"/>
      <c r="H834" s="559"/>
      <c r="I834" s="559"/>
      <c r="J834" s="559"/>
      <c r="K834" s="559"/>
      <c r="L834" s="559"/>
      <c r="M834" s="559"/>
      <c r="N834" s="559"/>
      <c r="O834" s="559"/>
      <c r="P834" s="559"/>
      <c r="Q834" s="559"/>
      <c r="R834" s="559"/>
      <c r="S834" s="559"/>
      <c r="T834" s="559"/>
      <c r="U834" s="559"/>
      <c r="V834" s="559"/>
      <c r="W834" s="559"/>
      <c r="X834" s="559"/>
      <c r="Y834" s="559"/>
      <c r="Z834" s="559"/>
      <c r="AA834" s="559"/>
      <c r="AB834" s="559"/>
      <c r="AC834" s="559"/>
      <c r="AD834" s="559"/>
      <c r="AE834" s="559"/>
      <c r="AF834" s="559"/>
      <c r="AG834" s="559"/>
    </row>
    <row r="835" spans="1:33" ht="18" customHeight="1" x14ac:dyDescent="0.35">
      <c r="A835" s="559"/>
      <c r="B835" s="559"/>
      <c r="C835" s="559"/>
      <c r="D835" s="559"/>
      <c r="E835" s="559"/>
      <c r="F835" s="559"/>
      <c r="G835" s="559"/>
      <c r="H835" s="559"/>
      <c r="I835" s="559"/>
      <c r="J835" s="559"/>
      <c r="K835" s="559"/>
      <c r="L835" s="559"/>
      <c r="M835" s="559"/>
      <c r="N835" s="559"/>
      <c r="O835" s="559"/>
      <c r="P835" s="559"/>
      <c r="Q835" s="559"/>
      <c r="R835" s="559"/>
      <c r="S835" s="559"/>
      <c r="T835" s="559"/>
      <c r="U835" s="559"/>
      <c r="V835" s="559"/>
      <c r="W835" s="559"/>
      <c r="X835" s="559"/>
      <c r="Y835" s="559"/>
      <c r="Z835" s="559"/>
      <c r="AA835" s="559"/>
      <c r="AB835" s="559"/>
      <c r="AC835" s="559"/>
      <c r="AD835" s="559"/>
      <c r="AE835" s="559"/>
      <c r="AF835" s="559"/>
      <c r="AG835" s="559"/>
    </row>
    <row r="836" spans="1:33" ht="18" customHeight="1" x14ac:dyDescent="0.35">
      <c r="A836" s="559"/>
      <c r="B836" s="559"/>
      <c r="C836" s="559"/>
      <c r="D836" s="559"/>
      <c r="E836" s="559"/>
      <c r="F836" s="559"/>
      <c r="G836" s="559"/>
      <c r="H836" s="559"/>
      <c r="I836" s="559"/>
      <c r="J836" s="559"/>
      <c r="K836" s="559"/>
      <c r="L836" s="559"/>
      <c r="M836" s="559"/>
      <c r="N836" s="559"/>
      <c r="O836" s="559"/>
      <c r="P836" s="559"/>
      <c r="Q836" s="559"/>
      <c r="R836" s="559"/>
      <c r="S836" s="559"/>
      <c r="T836" s="559"/>
      <c r="U836" s="559"/>
      <c r="V836" s="559"/>
      <c r="W836" s="559"/>
      <c r="X836" s="559"/>
      <c r="Y836" s="559"/>
      <c r="Z836" s="559"/>
      <c r="AA836" s="559"/>
      <c r="AB836" s="559"/>
      <c r="AC836" s="559"/>
      <c r="AD836" s="559"/>
      <c r="AE836" s="559"/>
      <c r="AF836" s="559"/>
      <c r="AG836" s="559"/>
    </row>
    <row r="837" spans="1:33" ht="18" customHeight="1" x14ac:dyDescent="0.35">
      <c r="A837" s="559"/>
      <c r="B837" s="559"/>
      <c r="C837" s="559"/>
      <c r="D837" s="559"/>
      <c r="E837" s="559"/>
      <c r="F837" s="559"/>
      <c r="G837" s="559"/>
      <c r="H837" s="559"/>
      <c r="I837" s="559"/>
      <c r="J837" s="559"/>
      <c r="K837" s="559"/>
      <c r="L837" s="559"/>
      <c r="M837" s="559"/>
      <c r="N837" s="559"/>
      <c r="O837" s="559"/>
      <c r="P837" s="559"/>
      <c r="Q837" s="559"/>
      <c r="R837" s="559"/>
      <c r="S837" s="559"/>
      <c r="T837" s="559"/>
      <c r="U837" s="559"/>
      <c r="V837" s="559"/>
      <c r="W837" s="559"/>
      <c r="X837" s="559"/>
      <c r="Y837" s="559"/>
      <c r="Z837" s="559"/>
      <c r="AA837" s="559"/>
      <c r="AB837" s="559"/>
      <c r="AC837" s="559"/>
      <c r="AD837" s="559"/>
      <c r="AE837" s="559"/>
      <c r="AF837" s="559"/>
      <c r="AG837" s="559"/>
    </row>
    <row r="838" spans="1:33" ht="18" customHeight="1" x14ac:dyDescent="0.35">
      <c r="A838" s="559"/>
      <c r="B838" s="559"/>
      <c r="C838" s="559"/>
      <c r="D838" s="559"/>
      <c r="E838" s="559"/>
      <c r="F838" s="559"/>
      <c r="G838" s="559"/>
      <c r="H838" s="559"/>
      <c r="I838" s="559"/>
      <c r="J838" s="559"/>
      <c r="K838" s="559"/>
      <c r="L838" s="559"/>
      <c r="M838" s="559"/>
      <c r="N838" s="559"/>
      <c r="O838" s="559"/>
      <c r="P838" s="559"/>
      <c r="Q838" s="559"/>
      <c r="R838" s="559"/>
      <c r="S838" s="559"/>
      <c r="T838" s="559"/>
      <c r="U838" s="559"/>
      <c r="V838" s="559"/>
      <c r="W838" s="559"/>
      <c r="X838" s="559"/>
      <c r="Y838" s="559"/>
      <c r="Z838" s="559"/>
      <c r="AA838" s="559"/>
      <c r="AB838" s="559"/>
      <c r="AC838" s="559"/>
      <c r="AD838" s="559"/>
      <c r="AE838" s="559"/>
      <c r="AF838" s="559"/>
      <c r="AG838" s="559"/>
    </row>
    <row r="839" spans="1:33" ht="18" customHeight="1" x14ac:dyDescent="0.35">
      <c r="A839" s="559"/>
      <c r="B839" s="559"/>
      <c r="C839" s="559"/>
      <c r="D839" s="559"/>
      <c r="E839" s="559"/>
      <c r="F839" s="559"/>
      <c r="G839" s="559"/>
      <c r="H839" s="559"/>
      <c r="I839" s="559"/>
      <c r="J839" s="559"/>
      <c r="K839" s="559"/>
      <c r="L839" s="559"/>
      <c r="M839" s="559"/>
      <c r="N839" s="559"/>
      <c r="O839" s="559"/>
      <c r="P839" s="559"/>
      <c r="Q839" s="559"/>
      <c r="R839" s="559"/>
      <c r="S839" s="559"/>
      <c r="T839" s="559"/>
      <c r="U839" s="559"/>
      <c r="V839" s="559"/>
      <c r="W839" s="559"/>
      <c r="X839" s="559"/>
      <c r="Y839" s="559"/>
      <c r="Z839" s="559"/>
      <c r="AA839" s="559"/>
      <c r="AB839" s="559"/>
      <c r="AC839" s="559"/>
      <c r="AD839" s="559"/>
      <c r="AE839" s="559"/>
      <c r="AF839" s="559"/>
      <c r="AG839" s="559"/>
    </row>
    <row r="840" spans="1:33" ht="18" customHeight="1" x14ac:dyDescent="0.35">
      <c r="A840" s="559"/>
      <c r="B840" s="559"/>
      <c r="C840" s="559"/>
      <c r="D840" s="559"/>
      <c r="E840" s="559"/>
      <c r="F840" s="559"/>
      <c r="G840" s="559"/>
      <c r="H840" s="559"/>
      <c r="I840" s="559"/>
      <c r="J840" s="559"/>
      <c r="K840" s="559"/>
      <c r="L840" s="559"/>
      <c r="M840" s="559"/>
      <c r="N840" s="559"/>
      <c r="O840" s="559"/>
      <c r="P840" s="559"/>
      <c r="Q840" s="559"/>
      <c r="R840" s="559"/>
      <c r="S840" s="559"/>
      <c r="T840" s="559"/>
      <c r="U840" s="559"/>
      <c r="V840" s="559"/>
      <c r="W840" s="559"/>
      <c r="X840" s="559"/>
      <c r="Y840" s="559"/>
      <c r="Z840" s="559"/>
      <c r="AA840" s="559"/>
      <c r="AB840" s="559"/>
      <c r="AC840" s="559"/>
      <c r="AD840" s="559"/>
      <c r="AE840" s="559"/>
      <c r="AF840" s="559"/>
      <c r="AG840" s="559"/>
    </row>
    <row r="841" spans="1:33" ht="18" customHeight="1" x14ac:dyDescent="0.35">
      <c r="A841" s="559"/>
      <c r="B841" s="559"/>
      <c r="C841" s="559"/>
      <c r="D841" s="559"/>
      <c r="E841" s="559"/>
      <c r="F841" s="559"/>
      <c r="G841" s="559"/>
      <c r="H841" s="559"/>
      <c r="I841" s="559"/>
      <c r="J841" s="559"/>
      <c r="K841" s="559"/>
      <c r="L841" s="559"/>
      <c r="M841" s="559"/>
      <c r="N841" s="559"/>
      <c r="O841" s="559"/>
      <c r="P841" s="559"/>
      <c r="Q841" s="559"/>
      <c r="R841" s="559"/>
      <c r="S841" s="559"/>
      <c r="T841" s="559"/>
      <c r="U841" s="559"/>
      <c r="V841" s="559"/>
      <c r="W841" s="559"/>
      <c r="X841" s="559"/>
      <c r="Y841" s="559"/>
      <c r="Z841" s="559"/>
      <c r="AA841" s="559"/>
      <c r="AB841" s="559"/>
      <c r="AC841" s="559"/>
      <c r="AD841" s="559"/>
      <c r="AE841" s="559"/>
      <c r="AF841" s="559"/>
      <c r="AG841" s="559"/>
    </row>
    <row r="842" spans="1:33" ht="18" customHeight="1" x14ac:dyDescent="0.35">
      <c r="A842" s="559"/>
      <c r="B842" s="559"/>
      <c r="C842" s="559"/>
      <c r="D842" s="559"/>
      <c r="E842" s="559"/>
      <c r="F842" s="559"/>
      <c r="G842" s="559"/>
      <c r="H842" s="559"/>
      <c r="I842" s="559"/>
      <c r="J842" s="559"/>
      <c r="K842" s="559"/>
      <c r="L842" s="559"/>
      <c r="M842" s="559"/>
      <c r="N842" s="559"/>
      <c r="O842" s="559"/>
      <c r="P842" s="559"/>
      <c r="Q842" s="559"/>
      <c r="R842" s="559"/>
      <c r="S842" s="559"/>
      <c r="T842" s="559"/>
      <c r="U842" s="559"/>
      <c r="V842" s="559"/>
      <c r="W842" s="559"/>
      <c r="X842" s="559"/>
      <c r="Y842" s="559"/>
      <c r="Z842" s="559"/>
      <c r="AA842" s="559"/>
      <c r="AB842" s="559"/>
      <c r="AC842" s="559"/>
      <c r="AD842" s="559"/>
      <c r="AE842" s="559"/>
      <c r="AF842" s="559"/>
      <c r="AG842" s="559"/>
    </row>
    <row r="843" spans="1:33" ht="18" customHeight="1" x14ac:dyDescent="0.35">
      <c r="A843" s="559"/>
      <c r="B843" s="559"/>
      <c r="C843" s="559"/>
      <c r="D843" s="559"/>
      <c r="E843" s="559"/>
      <c r="F843" s="559"/>
      <c r="G843" s="559"/>
      <c r="H843" s="559"/>
      <c r="I843" s="559"/>
      <c r="J843" s="559"/>
      <c r="K843" s="559"/>
      <c r="L843" s="559"/>
      <c r="M843" s="559"/>
      <c r="N843" s="559"/>
      <c r="O843" s="559"/>
      <c r="P843" s="559"/>
      <c r="Q843" s="559"/>
      <c r="R843" s="559"/>
      <c r="S843" s="559"/>
      <c r="T843" s="559"/>
      <c r="U843" s="559"/>
      <c r="V843" s="559"/>
      <c r="W843" s="559"/>
      <c r="X843" s="559"/>
      <c r="Y843" s="559"/>
      <c r="Z843" s="559"/>
      <c r="AA843" s="559"/>
      <c r="AB843" s="559"/>
      <c r="AC843" s="559"/>
      <c r="AD843" s="559"/>
      <c r="AE843" s="559"/>
      <c r="AF843" s="559"/>
      <c r="AG843" s="559"/>
    </row>
    <row r="844" spans="1:33" ht="18" customHeight="1" x14ac:dyDescent="0.35">
      <c r="A844" s="559"/>
      <c r="B844" s="559"/>
      <c r="C844" s="559"/>
      <c r="D844" s="559"/>
      <c r="E844" s="559"/>
      <c r="F844" s="559"/>
      <c r="G844" s="559"/>
      <c r="H844" s="559"/>
      <c r="I844" s="559"/>
      <c r="J844" s="559"/>
      <c r="K844" s="559"/>
      <c r="L844" s="559"/>
      <c r="M844" s="559"/>
      <c r="N844" s="559"/>
      <c r="O844" s="559"/>
      <c r="P844" s="559"/>
      <c r="Q844" s="559"/>
      <c r="R844" s="559"/>
      <c r="S844" s="559"/>
      <c r="T844" s="559"/>
      <c r="U844" s="559"/>
      <c r="V844" s="559"/>
      <c r="W844" s="559"/>
      <c r="X844" s="559"/>
      <c r="Y844" s="559"/>
      <c r="Z844" s="559"/>
      <c r="AA844" s="559"/>
      <c r="AB844" s="559"/>
      <c r="AC844" s="559"/>
      <c r="AD844" s="559"/>
      <c r="AE844" s="559"/>
      <c r="AF844" s="559"/>
      <c r="AG844" s="559"/>
    </row>
    <row r="845" spans="1:33" ht="18" customHeight="1" x14ac:dyDescent="0.35">
      <c r="A845" s="559"/>
      <c r="B845" s="559"/>
      <c r="C845" s="559"/>
      <c r="D845" s="559"/>
      <c r="E845" s="559"/>
      <c r="F845" s="559"/>
      <c r="G845" s="559"/>
      <c r="H845" s="559"/>
      <c r="I845" s="559"/>
      <c r="J845" s="559"/>
      <c r="K845" s="559"/>
      <c r="L845" s="559"/>
      <c r="M845" s="559"/>
      <c r="N845" s="559"/>
      <c r="O845" s="559"/>
      <c r="P845" s="559"/>
      <c r="Q845" s="559"/>
      <c r="R845" s="559"/>
      <c r="S845" s="559"/>
      <c r="T845" s="559"/>
      <c r="U845" s="559"/>
      <c r="V845" s="559"/>
      <c r="W845" s="559"/>
      <c r="X845" s="559"/>
      <c r="Y845" s="559"/>
      <c r="Z845" s="559"/>
      <c r="AA845" s="559"/>
      <c r="AB845" s="559"/>
      <c r="AC845" s="559"/>
      <c r="AD845" s="559"/>
      <c r="AE845" s="559"/>
      <c r="AF845" s="559"/>
      <c r="AG845" s="559"/>
    </row>
    <row r="846" spans="1:33" ht="18" customHeight="1" x14ac:dyDescent="0.35">
      <c r="A846" s="559"/>
      <c r="B846" s="559"/>
      <c r="C846" s="559"/>
      <c r="D846" s="559"/>
      <c r="E846" s="559"/>
      <c r="F846" s="559"/>
      <c r="G846" s="559"/>
      <c r="H846" s="559"/>
      <c r="I846" s="559"/>
      <c r="J846" s="559"/>
      <c r="K846" s="559"/>
      <c r="L846" s="559"/>
      <c r="M846" s="559"/>
      <c r="N846" s="559"/>
      <c r="O846" s="559"/>
      <c r="P846" s="559"/>
      <c r="Q846" s="559"/>
      <c r="R846" s="559"/>
      <c r="S846" s="559"/>
      <c r="T846" s="559"/>
      <c r="U846" s="559"/>
      <c r="V846" s="559"/>
      <c r="W846" s="559"/>
      <c r="X846" s="559"/>
      <c r="Y846" s="559"/>
      <c r="Z846" s="559"/>
      <c r="AA846" s="559"/>
      <c r="AB846" s="559"/>
      <c r="AC846" s="559"/>
      <c r="AD846" s="559"/>
      <c r="AE846" s="559"/>
      <c r="AF846" s="559"/>
      <c r="AG846" s="559"/>
    </row>
    <row r="847" spans="1:33" ht="18" customHeight="1" x14ac:dyDescent="0.35">
      <c r="A847" s="559"/>
      <c r="B847" s="559"/>
      <c r="C847" s="559"/>
      <c r="D847" s="559"/>
      <c r="E847" s="559"/>
      <c r="F847" s="559"/>
      <c r="G847" s="559"/>
      <c r="H847" s="559"/>
      <c r="I847" s="559"/>
      <c r="J847" s="559"/>
      <c r="K847" s="559"/>
      <c r="L847" s="559"/>
      <c r="M847" s="559"/>
      <c r="N847" s="559"/>
      <c r="O847" s="559"/>
      <c r="P847" s="559"/>
      <c r="Q847" s="559"/>
      <c r="R847" s="559"/>
      <c r="S847" s="559"/>
      <c r="T847" s="559"/>
      <c r="U847" s="559"/>
      <c r="V847" s="559"/>
      <c r="W847" s="559"/>
      <c r="X847" s="559"/>
      <c r="Y847" s="559"/>
      <c r="Z847" s="559"/>
      <c r="AA847" s="559"/>
      <c r="AB847" s="559"/>
      <c r="AC847" s="559"/>
      <c r="AD847" s="559"/>
      <c r="AE847" s="559"/>
      <c r="AF847" s="559"/>
      <c r="AG847" s="559"/>
    </row>
    <row r="848" spans="1:33" ht="18" customHeight="1" x14ac:dyDescent="0.35">
      <c r="A848" s="559"/>
      <c r="B848" s="559"/>
      <c r="C848" s="559"/>
      <c r="D848" s="559"/>
      <c r="E848" s="559"/>
      <c r="F848" s="559"/>
      <c r="G848" s="559"/>
      <c r="H848" s="559"/>
      <c r="I848" s="559"/>
      <c r="J848" s="559"/>
      <c r="K848" s="559"/>
      <c r="L848" s="559"/>
      <c r="M848" s="559"/>
      <c r="N848" s="559"/>
      <c r="O848" s="559"/>
      <c r="P848" s="559"/>
      <c r="Q848" s="559"/>
      <c r="R848" s="559"/>
      <c r="S848" s="559"/>
      <c r="T848" s="559"/>
      <c r="U848" s="559"/>
      <c r="V848" s="559"/>
      <c r="W848" s="559"/>
      <c r="X848" s="559"/>
      <c r="Y848" s="559"/>
      <c r="Z848" s="559"/>
      <c r="AA848" s="559"/>
      <c r="AB848" s="559"/>
      <c r="AC848" s="559"/>
      <c r="AD848" s="559"/>
      <c r="AE848" s="559"/>
      <c r="AF848" s="559"/>
      <c r="AG848" s="559"/>
    </row>
    <row r="849" spans="1:33" ht="18" customHeight="1" x14ac:dyDescent="0.35">
      <c r="A849" s="559"/>
      <c r="B849" s="559"/>
      <c r="C849" s="559"/>
      <c r="D849" s="559"/>
      <c r="E849" s="559"/>
      <c r="F849" s="559"/>
      <c r="G849" s="559"/>
      <c r="H849" s="559"/>
      <c r="I849" s="559"/>
      <c r="J849" s="559"/>
      <c r="K849" s="559"/>
      <c r="L849" s="559"/>
      <c r="M849" s="559"/>
      <c r="N849" s="559"/>
      <c r="O849" s="559"/>
      <c r="P849" s="559"/>
      <c r="Q849" s="559"/>
      <c r="R849" s="559"/>
      <c r="S849" s="559"/>
      <c r="T849" s="559"/>
      <c r="U849" s="559"/>
      <c r="V849" s="559"/>
      <c r="W849" s="559"/>
      <c r="X849" s="559"/>
      <c r="Y849" s="559"/>
      <c r="Z849" s="559"/>
      <c r="AA849" s="559"/>
      <c r="AB849" s="559"/>
      <c r="AC849" s="559"/>
      <c r="AD849" s="559"/>
      <c r="AE849" s="559"/>
      <c r="AF849" s="559"/>
      <c r="AG849" s="559"/>
    </row>
    <row r="850" spans="1:33" ht="18" customHeight="1" x14ac:dyDescent="0.35">
      <c r="A850" s="559"/>
      <c r="B850" s="559"/>
      <c r="C850" s="559"/>
      <c r="D850" s="559"/>
      <c r="E850" s="559"/>
      <c r="F850" s="559"/>
      <c r="G850" s="559"/>
      <c r="H850" s="559"/>
      <c r="I850" s="559"/>
      <c r="J850" s="559"/>
      <c r="K850" s="559"/>
      <c r="L850" s="559"/>
      <c r="M850" s="559"/>
      <c r="N850" s="559"/>
      <c r="O850" s="559"/>
      <c r="P850" s="559"/>
      <c r="Q850" s="559"/>
      <c r="R850" s="559"/>
      <c r="S850" s="559"/>
      <c r="T850" s="559"/>
      <c r="U850" s="559"/>
      <c r="V850" s="559"/>
      <c r="W850" s="559"/>
      <c r="X850" s="559"/>
      <c r="Y850" s="559"/>
      <c r="Z850" s="559"/>
      <c r="AA850" s="559"/>
      <c r="AB850" s="559"/>
      <c r="AC850" s="559"/>
      <c r="AD850" s="559"/>
      <c r="AE850" s="559"/>
      <c r="AF850" s="559"/>
      <c r="AG850" s="559"/>
    </row>
    <row r="851" spans="1:33" ht="18" customHeight="1" x14ac:dyDescent="0.35">
      <c r="A851" s="559"/>
      <c r="B851" s="559"/>
      <c r="C851" s="559"/>
      <c r="D851" s="559"/>
      <c r="E851" s="559"/>
      <c r="F851" s="559"/>
      <c r="G851" s="559"/>
      <c r="H851" s="559"/>
      <c r="I851" s="559"/>
      <c r="J851" s="559"/>
      <c r="K851" s="559"/>
      <c r="L851" s="559"/>
      <c r="M851" s="559"/>
      <c r="N851" s="559"/>
      <c r="O851" s="559"/>
      <c r="P851" s="559"/>
      <c r="Q851" s="559"/>
      <c r="R851" s="559"/>
      <c r="S851" s="559"/>
      <c r="T851" s="559"/>
      <c r="U851" s="559"/>
      <c r="V851" s="559"/>
      <c r="W851" s="559"/>
      <c r="X851" s="559"/>
      <c r="Y851" s="559"/>
      <c r="Z851" s="559"/>
      <c r="AA851" s="559"/>
      <c r="AB851" s="559"/>
      <c r="AC851" s="559"/>
      <c r="AD851" s="559"/>
      <c r="AE851" s="559"/>
      <c r="AF851" s="559"/>
      <c r="AG851" s="559"/>
    </row>
    <row r="852" spans="1:33" ht="18" customHeight="1" x14ac:dyDescent="0.35">
      <c r="A852" s="559"/>
      <c r="B852" s="559"/>
      <c r="C852" s="559"/>
      <c r="D852" s="559"/>
      <c r="E852" s="559"/>
      <c r="F852" s="559"/>
      <c r="G852" s="559"/>
      <c r="H852" s="559"/>
      <c r="I852" s="559"/>
      <c r="J852" s="559"/>
      <c r="K852" s="559"/>
      <c r="L852" s="559"/>
      <c r="M852" s="559"/>
      <c r="N852" s="559"/>
      <c r="O852" s="559"/>
      <c r="P852" s="559"/>
      <c r="Q852" s="559"/>
      <c r="R852" s="559"/>
      <c r="S852" s="559"/>
      <c r="T852" s="559"/>
      <c r="U852" s="559"/>
      <c r="V852" s="559"/>
      <c r="W852" s="559"/>
      <c r="X852" s="559"/>
      <c r="Y852" s="559"/>
      <c r="Z852" s="559"/>
      <c r="AA852" s="559"/>
      <c r="AB852" s="559"/>
      <c r="AC852" s="559"/>
      <c r="AD852" s="559"/>
      <c r="AE852" s="559"/>
      <c r="AF852" s="559"/>
      <c r="AG852" s="559"/>
    </row>
    <row r="853" spans="1:33" ht="18" customHeight="1" x14ac:dyDescent="0.35">
      <c r="A853" s="559"/>
      <c r="B853" s="559"/>
      <c r="C853" s="559"/>
      <c r="D853" s="559"/>
      <c r="E853" s="559"/>
      <c r="F853" s="559"/>
      <c r="G853" s="559"/>
      <c r="H853" s="559"/>
      <c r="I853" s="559"/>
      <c r="J853" s="559"/>
      <c r="K853" s="559"/>
      <c r="L853" s="559"/>
      <c r="M853" s="559"/>
      <c r="N853" s="559"/>
      <c r="O853" s="559"/>
      <c r="P853" s="559"/>
      <c r="Q853" s="559"/>
      <c r="R853" s="559"/>
      <c r="S853" s="559"/>
      <c r="T853" s="559"/>
      <c r="U853" s="559"/>
      <c r="V853" s="559"/>
      <c r="W853" s="559"/>
      <c r="X853" s="559"/>
      <c r="Y853" s="559"/>
      <c r="Z853" s="559"/>
      <c r="AA853" s="559"/>
      <c r="AB853" s="559"/>
      <c r="AC853" s="559"/>
      <c r="AD853" s="559"/>
      <c r="AE853" s="559"/>
      <c r="AF853" s="559"/>
      <c r="AG853" s="559"/>
    </row>
    <row r="854" spans="1:33" ht="18" customHeight="1" x14ac:dyDescent="0.35">
      <c r="A854" s="559"/>
      <c r="B854" s="559"/>
      <c r="C854" s="559"/>
      <c r="D854" s="559"/>
      <c r="E854" s="559"/>
      <c r="F854" s="559"/>
      <c r="G854" s="559"/>
      <c r="H854" s="559"/>
      <c r="I854" s="559"/>
      <c r="J854" s="559"/>
      <c r="K854" s="559"/>
      <c r="L854" s="559"/>
      <c r="M854" s="559"/>
      <c r="N854" s="559"/>
      <c r="O854" s="559"/>
      <c r="P854" s="559"/>
      <c r="Q854" s="559"/>
      <c r="R854" s="559"/>
      <c r="S854" s="559"/>
      <c r="T854" s="559"/>
      <c r="U854" s="559"/>
      <c r="V854" s="559"/>
      <c r="W854" s="559"/>
      <c r="X854" s="559"/>
      <c r="Y854" s="559"/>
      <c r="Z854" s="559"/>
      <c r="AA854" s="559"/>
      <c r="AB854" s="559"/>
      <c r="AC854" s="559"/>
      <c r="AD854" s="559"/>
      <c r="AE854" s="559"/>
      <c r="AF854" s="559"/>
      <c r="AG854" s="559"/>
    </row>
    <row r="855" spans="1:33" ht="18" customHeight="1" x14ac:dyDescent="0.35">
      <c r="A855" s="559"/>
      <c r="B855" s="559"/>
      <c r="C855" s="559"/>
      <c r="D855" s="559"/>
      <c r="E855" s="559"/>
      <c r="F855" s="559"/>
      <c r="G855" s="559"/>
      <c r="H855" s="559"/>
      <c r="I855" s="559"/>
      <c r="J855" s="559"/>
      <c r="K855" s="559"/>
      <c r="L855" s="559"/>
      <c r="M855" s="559"/>
      <c r="N855" s="559"/>
      <c r="O855" s="559"/>
      <c r="P855" s="559"/>
      <c r="Q855" s="559"/>
      <c r="R855" s="559"/>
      <c r="S855" s="559"/>
      <c r="T855" s="559"/>
      <c r="U855" s="559"/>
      <c r="V855" s="559"/>
      <c r="W855" s="559"/>
      <c r="X855" s="559"/>
      <c r="Y855" s="559"/>
      <c r="Z855" s="559"/>
      <c r="AA855" s="559"/>
      <c r="AB855" s="559"/>
      <c r="AC855" s="559"/>
      <c r="AD855" s="559"/>
      <c r="AE855" s="559"/>
      <c r="AF855" s="559"/>
      <c r="AG855" s="559"/>
    </row>
    <row r="856" spans="1:33" ht="18" customHeight="1" x14ac:dyDescent="0.35">
      <c r="A856" s="559"/>
      <c r="B856" s="559"/>
      <c r="C856" s="559"/>
      <c r="D856" s="559"/>
      <c r="E856" s="559"/>
      <c r="F856" s="559"/>
      <c r="G856" s="559"/>
      <c r="H856" s="559"/>
      <c r="I856" s="559"/>
      <c r="J856" s="559"/>
      <c r="K856" s="559"/>
      <c r="L856" s="559"/>
      <c r="M856" s="559"/>
      <c r="N856" s="559"/>
      <c r="O856" s="559"/>
      <c r="P856" s="559"/>
      <c r="Q856" s="559"/>
      <c r="R856" s="559"/>
      <c r="S856" s="559"/>
      <c r="T856" s="559"/>
      <c r="U856" s="559"/>
      <c r="V856" s="559"/>
      <c r="W856" s="559"/>
      <c r="X856" s="559"/>
      <c r="Y856" s="559"/>
      <c r="Z856" s="559"/>
      <c r="AA856" s="559"/>
      <c r="AB856" s="559"/>
      <c r="AC856" s="559"/>
      <c r="AD856" s="559"/>
      <c r="AE856" s="559"/>
      <c r="AF856" s="559"/>
      <c r="AG856" s="559"/>
    </row>
    <row r="857" spans="1:33" ht="18" customHeight="1" x14ac:dyDescent="0.35">
      <c r="A857" s="559"/>
      <c r="B857" s="559"/>
      <c r="C857" s="559"/>
      <c r="D857" s="559"/>
      <c r="E857" s="559"/>
      <c r="F857" s="559"/>
      <c r="G857" s="559"/>
      <c r="H857" s="559"/>
      <c r="I857" s="559"/>
      <c r="J857" s="559"/>
      <c r="K857" s="559"/>
      <c r="L857" s="559"/>
      <c r="M857" s="559"/>
      <c r="N857" s="559"/>
      <c r="O857" s="559"/>
      <c r="P857" s="559"/>
      <c r="Q857" s="559"/>
      <c r="R857" s="559"/>
      <c r="S857" s="559"/>
      <c r="T857" s="559"/>
      <c r="U857" s="559"/>
      <c r="V857" s="559"/>
      <c r="W857" s="559"/>
      <c r="X857" s="559"/>
      <c r="Y857" s="559"/>
      <c r="Z857" s="559"/>
      <c r="AA857" s="559"/>
      <c r="AB857" s="559"/>
      <c r="AC857" s="559"/>
      <c r="AD857" s="559"/>
      <c r="AE857" s="559"/>
      <c r="AF857" s="559"/>
      <c r="AG857" s="559"/>
    </row>
    <row r="858" spans="1:33" ht="18" customHeight="1" x14ac:dyDescent="0.35">
      <c r="A858" s="559"/>
      <c r="B858" s="559"/>
      <c r="C858" s="559"/>
      <c r="D858" s="559"/>
      <c r="E858" s="559"/>
      <c r="F858" s="559"/>
      <c r="G858" s="559"/>
      <c r="H858" s="559"/>
      <c r="I858" s="559"/>
      <c r="J858" s="559"/>
      <c r="K858" s="559"/>
      <c r="L858" s="559"/>
      <c r="M858" s="559"/>
      <c r="N858" s="559"/>
      <c r="O858" s="559"/>
      <c r="P858" s="559"/>
      <c r="Q858" s="559"/>
      <c r="R858" s="559"/>
      <c r="S858" s="559"/>
      <c r="T858" s="559"/>
      <c r="U858" s="559"/>
      <c r="V858" s="559"/>
      <c r="W858" s="559"/>
      <c r="X858" s="559"/>
      <c r="Y858" s="559"/>
      <c r="Z858" s="559"/>
      <c r="AA858" s="559"/>
      <c r="AB858" s="559"/>
      <c r="AC858" s="559"/>
      <c r="AD858" s="559"/>
      <c r="AE858" s="559"/>
      <c r="AF858" s="559"/>
      <c r="AG858" s="559"/>
    </row>
    <row r="859" spans="1:33" ht="18" customHeight="1" x14ac:dyDescent="0.35">
      <c r="A859" s="559"/>
      <c r="B859" s="559"/>
      <c r="C859" s="559"/>
      <c r="D859" s="559"/>
      <c r="E859" s="559"/>
      <c r="F859" s="559"/>
      <c r="G859" s="559"/>
      <c r="H859" s="559"/>
      <c r="I859" s="559"/>
      <c r="J859" s="559"/>
      <c r="K859" s="559"/>
      <c r="L859" s="559"/>
      <c r="M859" s="559"/>
      <c r="N859" s="559"/>
      <c r="O859" s="559"/>
      <c r="P859" s="559"/>
      <c r="Q859" s="559"/>
      <c r="R859" s="559"/>
      <c r="S859" s="559"/>
      <c r="T859" s="559"/>
      <c r="U859" s="559"/>
      <c r="V859" s="559"/>
      <c r="W859" s="559"/>
      <c r="X859" s="559"/>
      <c r="Y859" s="559"/>
      <c r="Z859" s="559"/>
      <c r="AA859" s="559"/>
      <c r="AB859" s="559"/>
      <c r="AC859" s="559"/>
      <c r="AD859" s="559"/>
      <c r="AE859" s="559"/>
      <c r="AF859" s="559"/>
      <c r="AG859" s="559"/>
    </row>
    <row r="860" spans="1:33" ht="18" customHeight="1" x14ac:dyDescent="0.35">
      <c r="A860" s="559"/>
      <c r="B860" s="559"/>
      <c r="C860" s="559"/>
      <c r="D860" s="559"/>
      <c r="E860" s="559"/>
      <c r="F860" s="559"/>
      <c r="G860" s="559"/>
      <c r="H860" s="559"/>
      <c r="I860" s="559"/>
      <c r="J860" s="559"/>
      <c r="K860" s="559"/>
      <c r="L860" s="559"/>
      <c r="M860" s="559"/>
      <c r="N860" s="559"/>
      <c r="O860" s="559"/>
      <c r="P860" s="559"/>
      <c r="Q860" s="559"/>
      <c r="R860" s="559"/>
      <c r="S860" s="559"/>
      <c r="T860" s="559"/>
      <c r="U860" s="559"/>
      <c r="V860" s="559"/>
      <c r="W860" s="559"/>
      <c r="X860" s="559"/>
      <c r="Y860" s="559"/>
      <c r="Z860" s="559"/>
      <c r="AA860" s="559"/>
      <c r="AB860" s="559"/>
      <c r="AC860" s="559"/>
      <c r="AD860" s="559"/>
      <c r="AE860" s="559"/>
      <c r="AF860" s="559"/>
      <c r="AG860" s="559"/>
    </row>
    <row r="861" spans="1:33" ht="18" customHeight="1" x14ac:dyDescent="0.35">
      <c r="A861" s="559"/>
      <c r="B861" s="559"/>
      <c r="C861" s="559"/>
      <c r="D861" s="559"/>
      <c r="E861" s="559"/>
      <c r="F861" s="559"/>
      <c r="G861" s="559"/>
      <c r="H861" s="559"/>
      <c r="I861" s="559"/>
      <c r="J861" s="559"/>
      <c r="K861" s="559"/>
      <c r="L861" s="559"/>
      <c r="M861" s="559"/>
      <c r="N861" s="559"/>
      <c r="O861" s="559"/>
      <c r="P861" s="559"/>
      <c r="Q861" s="559"/>
      <c r="R861" s="559"/>
      <c r="S861" s="559"/>
      <c r="T861" s="559"/>
      <c r="U861" s="559"/>
      <c r="V861" s="559"/>
      <c r="W861" s="559"/>
      <c r="X861" s="559"/>
      <c r="Y861" s="559"/>
      <c r="Z861" s="559"/>
      <c r="AA861" s="559"/>
      <c r="AB861" s="559"/>
      <c r="AC861" s="559"/>
      <c r="AD861" s="559"/>
      <c r="AE861" s="559"/>
      <c r="AF861" s="559"/>
      <c r="AG861" s="559"/>
    </row>
    <row r="862" spans="1:33" ht="18" customHeight="1" x14ac:dyDescent="0.35">
      <c r="A862" s="559"/>
      <c r="B862" s="559"/>
      <c r="C862" s="559"/>
      <c r="D862" s="559"/>
      <c r="E862" s="559"/>
      <c r="F862" s="559"/>
      <c r="G862" s="559"/>
      <c r="H862" s="559"/>
      <c r="I862" s="559"/>
      <c r="J862" s="559"/>
      <c r="K862" s="559"/>
      <c r="L862" s="559"/>
      <c r="M862" s="559"/>
      <c r="N862" s="559"/>
      <c r="O862" s="559"/>
      <c r="P862" s="559"/>
      <c r="Q862" s="559"/>
      <c r="R862" s="559"/>
      <c r="S862" s="559"/>
      <c r="T862" s="559"/>
      <c r="U862" s="559"/>
      <c r="V862" s="559"/>
      <c r="W862" s="559"/>
      <c r="X862" s="559"/>
      <c r="Y862" s="559"/>
      <c r="Z862" s="559"/>
      <c r="AA862" s="559"/>
      <c r="AB862" s="559"/>
      <c r="AC862" s="559"/>
      <c r="AD862" s="559"/>
      <c r="AE862" s="559"/>
      <c r="AF862" s="559"/>
      <c r="AG862" s="559"/>
    </row>
    <row r="863" spans="1:33" ht="18" customHeight="1" x14ac:dyDescent="0.35">
      <c r="A863" s="559"/>
      <c r="B863" s="559"/>
      <c r="C863" s="559"/>
      <c r="D863" s="559"/>
      <c r="E863" s="559"/>
      <c r="F863" s="559"/>
      <c r="G863" s="559"/>
      <c r="H863" s="559"/>
      <c r="I863" s="559"/>
      <c r="J863" s="559"/>
      <c r="K863" s="559"/>
      <c r="L863" s="559"/>
      <c r="M863" s="559"/>
      <c r="N863" s="559"/>
      <c r="O863" s="559"/>
      <c r="P863" s="559"/>
      <c r="Q863" s="559"/>
      <c r="R863" s="559"/>
      <c r="S863" s="559"/>
      <c r="T863" s="559"/>
      <c r="U863" s="559"/>
      <c r="V863" s="559"/>
      <c r="W863" s="559"/>
      <c r="X863" s="559"/>
      <c r="Y863" s="559"/>
      <c r="Z863" s="559"/>
      <c r="AA863" s="559"/>
      <c r="AB863" s="559"/>
      <c r="AC863" s="559"/>
      <c r="AD863" s="559"/>
      <c r="AE863" s="559"/>
      <c r="AF863" s="559"/>
      <c r="AG863" s="559"/>
    </row>
    <row r="864" spans="1:33" ht="18" customHeight="1" x14ac:dyDescent="0.35">
      <c r="A864" s="559"/>
      <c r="B864" s="559"/>
      <c r="C864" s="559"/>
      <c r="D864" s="559"/>
      <c r="E864" s="559"/>
      <c r="F864" s="559"/>
      <c r="G864" s="559"/>
      <c r="H864" s="559"/>
      <c r="I864" s="559"/>
      <c r="J864" s="559"/>
      <c r="K864" s="559"/>
      <c r="L864" s="559"/>
      <c r="M864" s="559"/>
      <c r="N864" s="559"/>
      <c r="O864" s="559"/>
      <c r="P864" s="559"/>
      <c r="Q864" s="559"/>
      <c r="R864" s="559"/>
      <c r="S864" s="559"/>
      <c r="T864" s="559"/>
      <c r="U864" s="559"/>
      <c r="V864" s="559"/>
      <c r="W864" s="559"/>
      <c r="X864" s="559"/>
      <c r="Y864" s="559"/>
      <c r="Z864" s="559"/>
      <c r="AA864" s="559"/>
      <c r="AB864" s="559"/>
      <c r="AC864" s="559"/>
      <c r="AD864" s="559"/>
      <c r="AE864" s="559"/>
      <c r="AF864" s="559"/>
      <c r="AG864" s="559"/>
    </row>
    <row r="865" spans="1:33" ht="18" customHeight="1" x14ac:dyDescent="0.35">
      <c r="A865" s="559"/>
      <c r="B865" s="559"/>
      <c r="C865" s="559"/>
      <c r="D865" s="559"/>
      <c r="E865" s="559"/>
      <c r="F865" s="559"/>
      <c r="G865" s="559"/>
      <c r="H865" s="559"/>
      <c r="I865" s="559"/>
      <c r="J865" s="559"/>
      <c r="K865" s="559"/>
      <c r="L865" s="559"/>
      <c r="M865" s="559"/>
      <c r="N865" s="559"/>
      <c r="O865" s="559"/>
      <c r="P865" s="559"/>
      <c r="Q865" s="559"/>
      <c r="R865" s="559"/>
      <c r="S865" s="559"/>
      <c r="T865" s="559"/>
      <c r="U865" s="559"/>
      <c r="V865" s="559"/>
      <c r="W865" s="559"/>
      <c r="X865" s="559"/>
      <c r="Y865" s="559"/>
      <c r="Z865" s="559"/>
      <c r="AA865" s="559"/>
      <c r="AB865" s="559"/>
      <c r="AC865" s="559"/>
      <c r="AD865" s="559"/>
      <c r="AE865" s="559"/>
      <c r="AF865" s="559"/>
      <c r="AG865" s="559"/>
    </row>
    <row r="866" spans="1:33" ht="18" customHeight="1" x14ac:dyDescent="0.35">
      <c r="A866" s="559"/>
      <c r="B866" s="559"/>
      <c r="C866" s="559"/>
      <c r="D866" s="559"/>
      <c r="E866" s="559"/>
      <c r="F866" s="559"/>
      <c r="G866" s="559"/>
      <c r="H866" s="559"/>
      <c r="I866" s="559"/>
      <c r="J866" s="559"/>
      <c r="K866" s="559"/>
      <c r="L866" s="559"/>
      <c r="M866" s="559"/>
      <c r="N866" s="559"/>
      <c r="O866" s="559"/>
      <c r="P866" s="559"/>
      <c r="Q866" s="559"/>
      <c r="R866" s="559"/>
      <c r="S866" s="559"/>
      <c r="T866" s="559"/>
      <c r="U866" s="559"/>
      <c r="V866" s="559"/>
      <c r="W866" s="559"/>
      <c r="X866" s="559"/>
      <c r="Y866" s="559"/>
      <c r="Z866" s="559"/>
      <c r="AA866" s="559"/>
      <c r="AB866" s="559"/>
      <c r="AC866" s="559"/>
      <c r="AD866" s="559"/>
      <c r="AE866" s="559"/>
      <c r="AF866" s="559"/>
      <c r="AG866" s="559"/>
    </row>
    <row r="867" spans="1:33" ht="18" customHeight="1" x14ac:dyDescent="0.35">
      <c r="A867" s="559"/>
      <c r="B867" s="559"/>
      <c r="C867" s="559"/>
      <c r="D867" s="559"/>
      <c r="E867" s="559"/>
      <c r="F867" s="559"/>
      <c r="G867" s="559"/>
      <c r="H867" s="559"/>
      <c r="I867" s="559"/>
      <c r="J867" s="559"/>
      <c r="K867" s="559"/>
      <c r="L867" s="559"/>
      <c r="M867" s="559"/>
      <c r="N867" s="559"/>
      <c r="O867" s="559"/>
      <c r="P867" s="559"/>
      <c r="Q867" s="559"/>
      <c r="R867" s="559"/>
      <c r="S867" s="559"/>
      <c r="T867" s="559"/>
      <c r="U867" s="559"/>
      <c r="V867" s="559"/>
      <c r="W867" s="559"/>
      <c r="X867" s="559"/>
      <c r="Y867" s="559"/>
      <c r="Z867" s="559"/>
      <c r="AA867" s="559"/>
      <c r="AB867" s="559"/>
      <c r="AC867" s="559"/>
      <c r="AD867" s="559"/>
      <c r="AE867" s="559"/>
      <c r="AF867" s="559"/>
      <c r="AG867" s="559"/>
    </row>
    <row r="868" spans="1:33" ht="18" customHeight="1" x14ac:dyDescent="0.35">
      <c r="A868" s="559"/>
      <c r="B868" s="559"/>
      <c r="C868" s="559"/>
      <c r="D868" s="559"/>
      <c r="E868" s="559"/>
      <c r="F868" s="559"/>
      <c r="G868" s="559"/>
      <c r="H868" s="559"/>
      <c r="I868" s="559"/>
      <c r="J868" s="559"/>
      <c r="K868" s="559"/>
      <c r="L868" s="559"/>
      <c r="M868" s="559"/>
      <c r="N868" s="559"/>
      <c r="O868" s="559"/>
      <c r="P868" s="559"/>
      <c r="Q868" s="559"/>
      <c r="R868" s="559"/>
      <c r="S868" s="559"/>
      <c r="T868" s="559"/>
      <c r="U868" s="559"/>
      <c r="V868" s="559"/>
      <c r="W868" s="559"/>
      <c r="X868" s="559"/>
      <c r="Y868" s="559"/>
      <c r="Z868" s="559"/>
      <c r="AA868" s="559"/>
      <c r="AB868" s="559"/>
      <c r="AC868" s="559"/>
      <c r="AD868" s="559"/>
      <c r="AE868" s="559"/>
      <c r="AF868" s="559"/>
      <c r="AG868" s="559"/>
    </row>
    <row r="869" spans="1:33" ht="18" customHeight="1" x14ac:dyDescent="0.35">
      <c r="A869" s="559"/>
      <c r="B869" s="559"/>
      <c r="C869" s="559"/>
      <c r="D869" s="559"/>
      <c r="E869" s="559"/>
      <c r="F869" s="559"/>
      <c r="G869" s="559"/>
      <c r="H869" s="559"/>
      <c r="I869" s="559"/>
      <c r="J869" s="559"/>
      <c r="K869" s="559"/>
      <c r="L869" s="559"/>
      <c r="M869" s="559"/>
      <c r="N869" s="559"/>
      <c r="O869" s="559"/>
      <c r="P869" s="559"/>
      <c r="Q869" s="559"/>
      <c r="R869" s="559"/>
      <c r="S869" s="559"/>
      <c r="T869" s="559"/>
      <c r="U869" s="559"/>
      <c r="V869" s="559"/>
      <c r="W869" s="559"/>
      <c r="X869" s="559"/>
      <c r="Y869" s="559"/>
      <c r="Z869" s="559"/>
      <c r="AA869" s="559"/>
      <c r="AB869" s="559"/>
      <c r="AC869" s="559"/>
      <c r="AD869" s="559"/>
      <c r="AE869" s="559"/>
      <c r="AF869" s="559"/>
      <c r="AG869" s="559"/>
    </row>
    <row r="870" spans="1:33" ht="18" customHeight="1" x14ac:dyDescent="0.35">
      <c r="A870" s="559"/>
      <c r="B870" s="559"/>
      <c r="C870" s="559"/>
      <c r="D870" s="559"/>
      <c r="E870" s="559"/>
      <c r="F870" s="559"/>
      <c r="G870" s="559"/>
      <c r="H870" s="559"/>
      <c r="I870" s="559"/>
      <c r="J870" s="559"/>
      <c r="K870" s="559"/>
      <c r="L870" s="559"/>
      <c r="M870" s="559"/>
      <c r="N870" s="559"/>
      <c r="O870" s="559"/>
      <c r="P870" s="559"/>
      <c r="Q870" s="559"/>
      <c r="R870" s="559"/>
      <c r="S870" s="559"/>
      <c r="T870" s="559"/>
      <c r="U870" s="559"/>
      <c r="V870" s="559"/>
      <c r="W870" s="559"/>
      <c r="X870" s="559"/>
      <c r="Y870" s="559"/>
      <c r="Z870" s="559"/>
      <c r="AA870" s="559"/>
      <c r="AB870" s="559"/>
      <c r="AC870" s="559"/>
      <c r="AD870" s="559"/>
      <c r="AE870" s="559"/>
      <c r="AF870" s="559"/>
      <c r="AG870" s="559"/>
    </row>
    <row r="871" spans="1:33" ht="18" customHeight="1" x14ac:dyDescent="0.35">
      <c r="A871" s="559"/>
      <c r="B871" s="559"/>
      <c r="C871" s="559"/>
      <c r="D871" s="559"/>
      <c r="E871" s="559"/>
      <c r="F871" s="559"/>
      <c r="G871" s="559"/>
      <c r="H871" s="559"/>
      <c r="I871" s="559"/>
      <c r="J871" s="559"/>
      <c r="K871" s="559"/>
      <c r="L871" s="559"/>
      <c r="M871" s="559"/>
      <c r="N871" s="559"/>
      <c r="O871" s="559"/>
      <c r="P871" s="559"/>
      <c r="Q871" s="559"/>
      <c r="R871" s="559"/>
      <c r="S871" s="559"/>
      <c r="T871" s="559"/>
      <c r="U871" s="559"/>
      <c r="V871" s="559"/>
      <c r="W871" s="559"/>
      <c r="X871" s="559"/>
      <c r="Y871" s="559"/>
      <c r="Z871" s="559"/>
      <c r="AA871" s="559"/>
      <c r="AB871" s="559"/>
      <c r="AC871" s="559"/>
      <c r="AD871" s="559"/>
      <c r="AE871" s="559"/>
      <c r="AF871" s="559"/>
      <c r="AG871" s="559"/>
    </row>
    <row r="872" spans="1:33" ht="18" customHeight="1" x14ac:dyDescent="0.35">
      <c r="A872" s="559"/>
      <c r="B872" s="559"/>
      <c r="C872" s="559"/>
      <c r="D872" s="559"/>
      <c r="E872" s="559"/>
      <c r="F872" s="559"/>
      <c r="G872" s="559"/>
      <c r="H872" s="559"/>
      <c r="I872" s="559"/>
      <c r="J872" s="559"/>
      <c r="K872" s="559"/>
      <c r="L872" s="559"/>
      <c r="M872" s="559"/>
      <c r="N872" s="559"/>
      <c r="O872" s="559"/>
      <c r="P872" s="559"/>
      <c r="Q872" s="559"/>
      <c r="R872" s="559"/>
      <c r="S872" s="559"/>
      <c r="T872" s="559"/>
      <c r="U872" s="559"/>
      <c r="V872" s="559"/>
      <c r="W872" s="559"/>
      <c r="X872" s="559"/>
      <c r="Y872" s="559"/>
      <c r="Z872" s="559"/>
      <c r="AA872" s="559"/>
      <c r="AB872" s="559"/>
      <c r="AC872" s="559"/>
      <c r="AD872" s="559"/>
      <c r="AE872" s="559"/>
      <c r="AF872" s="559"/>
      <c r="AG872" s="559"/>
    </row>
    <row r="873" spans="1:33" ht="18" customHeight="1" x14ac:dyDescent="0.35">
      <c r="A873" s="559"/>
      <c r="B873" s="559"/>
      <c r="C873" s="559"/>
      <c r="D873" s="559"/>
      <c r="E873" s="559"/>
      <c r="F873" s="559"/>
      <c r="G873" s="559"/>
      <c r="H873" s="559"/>
      <c r="I873" s="559"/>
      <c r="J873" s="559"/>
      <c r="K873" s="559"/>
      <c r="L873" s="559"/>
      <c r="M873" s="559"/>
      <c r="N873" s="559"/>
      <c r="O873" s="559"/>
      <c r="P873" s="559"/>
      <c r="Q873" s="559"/>
      <c r="R873" s="559"/>
      <c r="S873" s="559"/>
      <c r="T873" s="559"/>
      <c r="U873" s="559"/>
      <c r="V873" s="559"/>
      <c r="W873" s="559"/>
      <c r="X873" s="559"/>
      <c r="Y873" s="559"/>
      <c r="Z873" s="559"/>
      <c r="AA873" s="559"/>
      <c r="AB873" s="559"/>
      <c r="AC873" s="559"/>
      <c r="AD873" s="559"/>
      <c r="AE873" s="559"/>
      <c r="AF873" s="559"/>
      <c r="AG873" s="559"/>
    </row>
    <row r="874" spans="1:33" ht="18" customHeight="1" x14ac:dyDescent="0.35">
      <c r="A874" s="559"/>
      <c r="B874" s="559"/>
      <c r="C874" s="559"/>
      <c r="D874" s="559"/>
      <c r="E874" s="559"/>
      <c r="F874" s="559"/>
      <c r="G874" s="559"/>
      <c r="H874" s="559"/>
      <c r="I874" s="559"/>
      <c r="J874" s="559"/>
      <c r="K874" s="559"/>
      <c r="L874" s="559"/>
      <c r="M874" s="559"/>
      <c r="N874" s="559"/>
      <c r="O874" s="559"/>
      <c r="P874" s="559"/>
      <c r="Q874" s="559"/>
      <c r="R874" s="559"/>
      <c r="S874" s="559"/>
      <c r="T874" s="559"/>
      <c r="U874" s="559"/>
      <c r="V874" s="559"/>
      <c r="W874" s="559"/>
      <c r="X874" s="559"/>
      <c r="Y874" s="559"/>
      <c r="Z874" s="559"/>
      <c r="AA874" s="559"/>
      <c r="AB874" s="559"/>
      <c r="AC874" s="559"/>
      <c r="AD874" s="559"/>
      <c r="AE874" s="559"/>
      <c r="AF874" s="559"/>
      <c r="AG874" s="559"/>
    </row>
    <row r="875" spans="1:33" ht="18" customHeight="1" x14ac:dyDescent="0.35">
      <c r="A875" s="559"/>
      <c r="B875" s="559"/>
      <c r="C875" s="559"/>
      <c r="D875" s="559"/>
      <c r="E875" s="559"/>
      <c r="F875" s="559"/>
      <c r="G875" s="559"/>
      <c r="H875" s="559"/>
      <c r="I875" s="559"/>
      <c r="J875" s="559"/>
      <c r="K875" s="559"/>
      <c r="L875" s="559"/>
      <c r="M875" s="559"/>
      <c r="N875" s="559"/>
      <c r="O875" s="559"/>
      <c r="P875" s="559"/>
      <c r="Q875" s="559"/>
      <c r="R875" s="559"/>
      <c r="S875" s="559"/>
      <c r="T875" s="559"/>
      <c r="U875" s="559"/>
      <c r="V875" s="559"/>
      <c r="W875" s="559"/>
      <c r="X875" s="559"/>
      <c r="Y875" s="559"/>
      <c r="Z875" s="559"/>
      <c r="AA875" s="559"/>
      <c r="AB875" s="559"/>
      <c r="AC875" s="559"/>
      <c r="AD875" s="559"/>
      <c r="AE875" s="559"/>
      <c r="AF875" s="559"/>
      <c r="AG875" s="559"/>
    </row>
    <row r="876" spans="1:33" ht="18" customHeight="1" x14ac:dyDescent="0.35">
      <c r="A876" s="559"/>
      <c r="B876" s="559"/>
      <c r="C876" s="559"/>
      <c r="D876" s="559"/>
      <c r="E876" s="559"/>
      <c r="F876" s="559"/>
      <c r="G876" s="559"/>
      <c r="H876" s="559"/>
      <c r="I876" s="559"/>
      <c r="J876" s="559"/>
      <c r="K876" s="559"/>
      <c r="L876" s="559"/>
      <c r="M876" s="559"/>
      <c r="N876" s="559"/>
      <c r="O876" s="559"/>
      <c r="P876" s="559"/>
      <c r="Q876" s="559"/>
      <c r="R876" s="559"/>
      <c r="S876" s="559"/>
      <c r="T876" s="559"/>
      <c r="U876" s="559"/>
      <c r="V876" s="559"/>
      <c r="W876" s="559"/>
      <c r="X876" s="559"/>
      <c r="Y876" s="559"/>
      <c r="Z876" s="559"/>
      <c r="AA876" s="559"/>
      <c r="AB876" s="559"/>
      <c r="AC876" s="559"/>
      <c r="AD876" s="559"/>
      <c r="AE876" s="559"/>
      <c r="AF876" s="559"/>
      <c r="AG876" s="559"/>
    </row>
    <row r="877" spans="1:33" ht="18" customHeight="1" x14ac:dyDescent="0.35">
      <c r="A877" s="559"/>
      <c r="B877" s="559"/>
      <c r="C877" s="559"/>
      <c r="D877" s="559"/>
      <c r="E877" s="559"/>
      <c r="F877" s="559"/>
      <c r="G877" s="559"/>
      <c r="H877" s="559"/>
      <c r="I877" s="559"/>
      <c r="J877" s="559"/>
      <c r="K877" s="559"/>
      <c r="L877" s="559"/>
      <c r="M877" s="559"/>
      <c r="N877" s="559"/>
      <c r="O877" s="559"/>
      <c r="P877" s="559"/>
      <c r="Q877" s="559"/>
      <c r="R877" s="559"/>
      <c r="S877" s="559"/>
      <c r="T877" s="559"/>
      <c r="U877" s="559"/>
      <c r="V877" s="559"/>
      <c r="W877" s="559"/>
      <c r="X877" s="559"/>
      <c r="Y877" s="559"/>
      <c r="Z877" s="559"/>
      <c r="AA877" s="559"/>
      <c r="AB877" s="559"/>
      <c r="AC877" s="559"/>
      <c r="AD877" s="559"/>
      <c r="AE877" s="559"/>
      <c r="AF877" s="559"/>
      <c r="AG877" s="559"/>
    </row>
    <row r="878" spans="1:33" ht="18" customHeight="1" x14ac:dyDescent="0.35">
      <c r="A878" s="559"/>
      <c r="B878" s="559"/>
      <c r="C878" s="559"/>
      <c r="D878" s="559"/>
      <c r="E878" s="559"/>
      <c r="F878" s="559"/>
      <c r="G878" s="559"/>
      <c r="H878" s="559"/>
      <c r="I878" s="559"/>
      <c r="J878" s="559"/>
      <c r="K878" s="559"/>
      <c r="L878" s="559"/>
      <c r="M878" s="559"/>
      <c r="N878" s="559"/>
      <c r="O878" s="559"/>
      <c r="P878" s="559"/>
      <c r="Q878" s="559"/>
      <c r="R878" s="559"/>
      <c r="S878" s="559"/>
      <c r="T878" s="559"/>
      <c r="U878" s="559"/>
      <c r="V878" s="559"/>
      <c r="W878" s="559"/>
      <c r="X878" s="559"/>
      <c r="Y878" s="559"/>
      <c r="Z878" s="559"/>
      <c r="AA878" s="559"/>
      <c r="AB878" s="559"/>
      <c r="AC878" s="559"/>
      <c r="AD878" s="559"/>
      <c r="AE878" s="559"/>
      <c r="AF878" s="559"/>
      <c r="AG878" s="559"/>
    </row>
    <row r="879" spans="1:33" ht="18" customHeight="1" x14ac:dyDescent="0.35">
      <c r="A879" s="559"/>
      <c r="B879" s="559"/>
      <c r="C879" s="559"/>
      <c r="D879" s="559"/>
      <c r="E879" s="559"/>
      <c r="F879" s="559"/>
      <c r="G879" s="559"/>
      <c r="H879" s="559"/>
      <c r="I879" s="559"/>
      <c r="J879" s="559"/>
      <c r="K879" s="559"/>
      <c r="L879" s="559"/>
      <c r="M879" s="559"/>
      <c r="N879" s="559"/>
      <c r="O879" s="559"/>
      <c r="P879" s="559"/>
      <c r="Q879" s="559"/>
      <c r="R879" s="559"/>
      <c r="S879" s="559"/>
      <c r="T879" s="559"/>
      <c r="U879" s="559"/>
      <c r="V879" s="559"/>
      <c r="W879" s="559"/>
      <c r="X879" s="559"/>
      <c r="Y879" s="559"/>
      <c r="Z879" s="559"/>
      <c r="AA879" s="559"/>
      <c r="AB879" s="559"/>
      <c r="AC879" s="559"/>
      <c r="AD879" s="559"/>
      <c r="AE879" s="559"/>
      <c r="AF879" s="559"/>
      <c r="AG879" s="559"/>
    </row>
    <row r="880" spans="1:33" ht="18" customHeight="1" x14ac:dyDescent="0.35">
      <c r="A880" s="559"/>
      <c r="B880" s="559"/>
      <c r="C880" s="559"/>
      <c r="D880" s="559"/>
      <c r="E880" s="559"/>
      <c r="F880" s="559"/>
      <c r="G880" s="559"/>
      <c r="H880" s="559"/>
      <c r="I880" s="559"/>
      <c r="J880" s="559"/>
      <c r="K880" s="559"/>
      <c r="L880" s="559"/>
      <c r="M880" s="559"/>
      <c r="N880" s="559"/>
      <c r="O880" s="559"/>
      <c r="P880" s="559"/>
      <c r="Q880" s="559"/>
      <c r="R880" s="559"/>
      <c r="S880" s="559"/>
      <c r="T880" s="559"/>
      <c r="U880" s="559"/>
      <c r="V880" s="559"/>
      <c r="W880" s="559"/>
      <c r="X880" s="559"/>
      <c r="Y880" s="559"/>
      <c r="Z880" s="559"/>
      <c r="AA880" s="559"/>
      <c r="AB880" s="559"/>
      <c r="AC880" s="559"/>
      <c r="AD880" s="559"/>
      <c r="AE880" s="559"/>
      <c r="AF880" s="559"/>
      <c r="AG880" s="559"/>
    </row>
    <row r="881" spans="1:33" ht="18" customHeight="1" x14ac:dyDescent="0.35">
      <c r="A881" s="559"/>
      <c r="B881" s="559"/>
      <c r="C881" s="559"/>
      <c r="D881" s="559"/>
      <c r="E881" s="559"/>
      <c r="F881" s="559"/>
      <c r="G881" s="559"/>
      <c r="H881" s="559"/>
      <c r="I881" s="559"/>
      <c r="J881" s="559"/>
      <c r="K881" s="559"/>
      <c r="L881" s="559"/>
      <c r="M881" s="559"/>
      <c r="N881" s="559"/>
      <c r="O881" s="559"/>
      <c r="P881" s="559"/>
      <c r="Q881" s="559"/>
      <c r="R881" s="559"/>
      <c r="S881" s="559"/>
      <c r="T881" s="559"/>
      <c r="U881" s="559"/>
      <c r="V881" s="559"/>
      <c r="W881" s="559"/>
      <c r="X881" s="559"/>
      <c r="Y881" s="559"/>
      <c r="Z881" s="559"/>
      <c r="AA881" s="559"/>
      <c r="AB881" s="559"/>
      <c r="AC881" s="559"/>
      <c r="AD881" s="559"/>
      <c r="AE881" s="559"/>
      <c r="AF881" s="559"/>
      <c r="AG881" s="559"/>
    </row>
    <row r="882" spans="1:33" ht="18" customHeight="1" x14ac:dyDescent="0.35">
      <c r="A882" s="559"/>
      <c r="B882" s="559"/>
      <c r="C882" s="559"/>
      <c r="D882" s="559"/>
      <c r="E882" s="559"/>
      <c r="F882" s="559"/>
      <c r="G882" s="559"/>
      <c r="H882" s="559"/>
      <c r="I882" s="559"/>
      <c r="J882" s="559"/>
      <c r="K882" s="559"/>
      <c r="L882" s="559"/>
      <c r="M882" s="559"/>
      <c r="N882" s="559"/>
      <c r="O882" s="559"/>
      <c r="P882" s="559"/>
      <c r="Q882" s="559"/>
      <c r="R882" s="559"/>
      <c r="S882" s="559"/>
      <c r="T882" s="559"/>
      <c r="U882" s="559"/>
      <c r="V882" s="559"/>
      <c r="W882" s="559"/>
      <c r="X882" s="559"/>
      <c r="Y882" s="559"/>
      <c r="Z882" s="559"/>
      <c r="AA882" s="559"/>
      <c r="AB882" s="559"/>
      <c r="AC882" s="559"/>
      <c r="AD882" s="559"/>
      <c r="AE882" s="559"/>
      <c r="AF882" s="559"/>
      <c r="AG882" s="559"/>
    </row>
    <row r="883" spans="1:33" ht="18" customHeight="1" x14ac:dyDescent="0.35">
      <c r="A883" s="559"/>
      <c r="B883" s="559"/>
      <c r="C883" s="559"/>
      <c r="D883" s="559"/>
      <c r="E883" s="559"/>
      <c r="F883" s="559"/>
      <c r="G883" s="559"/>
      <c r="H883" s="559"/>
      <c r="I883" s="559"/>
      <c r="J883" s="559"/>
      <c r="K883" s="559"/>
      <c r="L883" s="559"/>
      <c r="M883" s="559"/>
      <c r="N883" s="559"/>
      <c r="O883" s="559"/>
      <c r="P883" s="559"/>
      <c r="Q883" s="559"/>
      <c r="R883" s="559"/>
      <c r="S883" s="559"/>
      <c r="T883" s="559"/>
      <c r="U883" s="559"/>
      <c r="V883" s="559"/>
      <c r="W883" s="559"/>
      <c r="X883" s="559"/>
      <c r="Y883" s="559"/>
      <c r="Z883" s="559"/>
      <c r="AA883" s="559"/>
      <c r="AB883" s="559"/>
      <c r="AC883" s="559"/>
      <c r="AD883" s="559"/>
      <c r="AE883" s="559"/>
      <c r="AF883" s="559"/>
      <c r="AG883" s="559"/>
    </row>
    <row r="884" spans="1:33" ht="18" customHeight="1" x14ac:dyDescent="0.35">
      <c r="A884" s="559"/>
      <c r="B884" s="559"/>
      <c r="C884" s="559"/>
      <c r="D884" s="559"/>
      <c r="E884" s="559"/>
      <c r="F884" s="559"/>
      <c r="G884" s="559"/>
      <c r="H884" s="559"/>
      <c r="I884" s="559"/>
      <c r="J884" s="559"/>
      <c r="K884" s="559"/>
      <c r="L884" s="559"/>
      <c r="M884" s="559"/>
      <c r="N884" s="559"/>
      <c r="O884" s="559"/>
      <c r="P884" s="559"/>
      <c r="Q884" s="559"/>
      <c r="R884" s="559"/>
      <c r="S884" s="559"/>
      <c r="T884" s="559"/>
      <c r="U884" s="559"/>
      <c r="V884" s="559"/>
      <c r="W884" s="559"/>
      <c r="X884" s="559"/>
      <c r="Y884" s="559"/>
      <c r="Z884" s="559"/>
      <c r="AA884" s="559"/>
      <c r="AB884" s="559"/>
      <c r="AC884" s="559"/>
      <c r="AD884" s="559"/>
      <c r="AE884" s="559"/>
      <c r="AF884" s="559"/>
      <c r="AG884" s="559"/>
    </row>
    <row r="885" spans="1:33" ht="18" customHeight="1" x14ac:dyDescent="0.35">
      <c r="A885" s="559"/>
      <c r="B885" s="559"/>
      <c r="C885" s="559"/>
      <c r="D885" s="559"/>
      <c r="E885" s="559"/>
      <c r="F885" s="559"/>
      <c r="G885" s="559"/>
      <c r="H885" s="559"/>
      <c r="I885" s="559"/>
      <c r="J885" s="559"/>
      <c r="K885" s="559"/>
      <c r="L885" s="559"/>
      <c r="M885" s="559"/>
      <c r="N885" s="559"/>
      <c r="O885" s="559"/>
      <c r="P885" s="559"/>
      <c r="Q885" s="559"/>
      <c r="R885" s="559"/>
      <c r="S885" s="559"/>
      <c r="T885" s="559"/>
      <c r="U885" s="559"/>
      <c r="V885" s="559"/>
      <c r="W885" s="559"/>
      <c r="X885" s="559"/>
      <c r="Y885" s="559"/>
      <c r="Z885" s="559"/>
      <c r="AA885" s="559"/>
      <c r="AB885" s="559"/>
      <c r="AC885" s="559"/>
      <c r="AD885" s="559"/>
      <c r="AE885" s="559"/>
      <c r="AF885" s="559"/>
      <c r="AG885" s="559"/>
    </row>
    <row r="886" spans="1:33" ht="18" customHeight="1" x14ac:dyDescent="0.35">
      <c r="A886" s="559"/>
      <c r="B886" s="559"/>
      <c r="C886" s="559"/>
      <c r="D886" s="559"/>
      <c r="E886" s="559"/>
      <c r="F886" s="559"/>
      <c r="G886" s="559"/>
      <c r="H886" s="559"/>
      <c r="I886" s="559"/>
      <c r="J886" s="559"/>
      <c r="K886" s="559"/>
      <c r="L886" s="559"/>
      <c r="M886" s="559"/>
      <c r="N886" s="559"/>
      <c r="O886" s="559"/>
      <c r="P886" s="559"/>
      <c r="Q886" s="559"/>
      <c r="R886" s="559"/>
      <c r="S886" s="559"/>
      <c r="T886" s="559"/>
      <c r="U886" s="559"/>
      <c r="V886" s="559"/>
      <c r="W886" s="559"/>
      <c r="X886" s="559"/>
      <c r="Y886" s="559"/>
      <c r="Z886" s="559"/>
      <c r="AA886" s="559"/>
      <c r="AB886" s="559"/>
      <c r="AC886" s="559"/>
      <c r="AD886" s="559"/>
      <c r="AE886" s="559"/>
      <c r="AF886" s="559"/>
      <c r="AG886" s="559"/>
    </row>
    <row r="887" spans="1:33" ht="18" customHeight="1" x14ac:dyDescent="0.35">
      <c r="A887" s="559"/>
      <c r="B887" s="559"/>
      <c r="C887" s="559"/>
      <c r="D887" s="559"/>
      <c r="E887" s="559"/>
      <c r="F887" s="559"/>
      <c r="G887" s="559"/>
      <c r="H887" s="559"/>
      <c r="I887" s="559"/>
      <c r="J887" s="559"/>
      <c r="K887" s="559"/>
      <c r="L887" s="559"/>
      <c r="M887" s="559"/>
      <c r="N887" s="559"/>
      <c r="O887" s="559"/>
      <c r="P887" s="559"/>
      <c r="Q887" s="559"/>
      <c r="R887" s="559"/>
      <c r="S887" s="559"/>
      <c r="T887" s="559"/>
      <c r="U887" s="559"/>
      <c r="V887" s="559"/>
      <c r="W887" s="559"/>
      <c r="X887" s="559"/>
      <c r="Y887" s="559"/>
      <c r="Z887" s="559"/>
      <c r="AA887" s="559"/>
      <c r="AB887" s="559"/>
      <c r="AC887" s="559"/>
      <c r="AD887" s="559"/>
      <c r="AE887" s="559"/>
      <c r="AF887" s="559"/>
      <c r="AG887" s="559"/>
    </row>
    <row r="888" spans="1:33" ht="18" customHeight="1" x14ac:dyDescent="0.35">
      <c r="A888" s="559"/>
      <c r="B888" s="559"/>
      <c r="C888" s="559"/>
      <c r="D888" s="559"/>
      <c r="E888" s="559"/>
      <c r="F888" s="559"/>
      <c r="G888" s="559"/>
      <c r="H888" s="559"/>
      <c r="I888" s="559"/>
      <c r="J888" s="559"/>
      <c r="K888" s="559"/>
      <c r="L888" s="559"/>
      <c r="M888" s="559"/>
      <c r="N888" s="559"/>
      <c r="O888" s="559"/>
      <c r="P888" s="559"/>
      <c r="Q888" s="559"/>
      <c r="R888" s="559"/>
      <c r="S888" s="559"/>
      <c r="T888" s="559"/>
      <c r="U888" s="559"/>
      <c r="V888" s="559"/>
      <c r="W888" s="559"/>
      <c r="X888" s="559"/>
      <c r="Y888" s="559"/>
      <c r="Z888" s="559"/>
      <c r="AA888" s="559"/>
      <c r="AB888" s="559"/>
      <c r="AC888" s="559"/>
      <c r="AD888" s="559"/>
      <c r="AE888" s="559"/>
      <c r="AF888" s="559"/>
      <c r="AG888" s="559"/>
    </row>
    <row r="889" spans="1:33" ht="18" customHeight="1" x14ac:dyDescent="0.35">
      <c r="A889" s="559"/>
      <c r="B889" s="559"/>
      <c r="C889" s="559"/>
      <c r="D889" s="559"/>
      <c r="E889" s="559"/>
      <c r="F889" s="559"/>
      <c r="G889" s="559"/>
      <c r="H889" s="559"/>
      <c r="I889" s="559"/>
      <c r="J889" s="559"/>
      <c r="K889" s="559"/>
      <c r="L889" s="559"/>
      <c r="M889" s="559"/>
      <c r="N889" s="559"/>
      <c r="O889" s="559"/>
      <c r="P889" s="559"/>
      <c r="Q889" s="559"/>
      <c r="R889" s="559"/>
      <c r="S889" s="559"/>
      <c r="T889" s="559"/>
      <c r="U889" s="559"/>
      <c r="V889" s="559"/>
      <c r="W889" s="559"/>
      <c r="X889" s="559"/>
      <c r="Y889" s="559"/>
      <c r="Z889" s="559"/>
      <c r="AA889" s="559"/>
      <c r="AB889" s="559"/>
      <c r="AC889" s="559"/>
      <c r="AD889" s="559"/>
      <c r="AE889" s="559"/>
      <c r="AF889" s="559"/>
      <c r="AG889" s="559"/>
    </row>
    <row r="890" spans="1:33" ht="18" customHeight="1" x14ac:dyDescent="0.35">
      <c r="A890" s="559"/>
      <c r="B890" s="559"/>
      <c r="C890" s="559"/>
      <c r="D890" s="559"/>
      <c r="E890" s="559"/>
      <c r="F890" s="559"/>
      <c r="G890" s="559"/>
      <c r="H890" s="559"/>
      <c r="I890" s="559"/>
      <c r="J890" s="559"/>
      <c r="K890" s="559"/>
      <c r="L890" s="559"/>
      <c r="M890" s="559"/>
      <c r="N890" s="559"/>
      <c r="O890" s="559"/>
      <c r="P890" s="559"/>
      <c r="Q890" s="559"/>
      <c r="R890" s="559"/>
      <c r="S890" s="559"/>
      <c r="T890" s="559"/>
      <c r="U890" s="559"/>
      <c r="V890" s="559"/>
      <c r="W890" s="559"/>
      <c r="X890" s="559"/>
      <c r="Y890" s="559"/>
      <c r="Z890" s="559"/>
      <c r="AA890" s="559"/>
      <c r="AB890" s="559"/>
      <c r="AC890" s="559"/>
      <c r="AD890" s="559"/>
      <c r="AE890" s="559"/>
      <c r="AF890" s="559"/>
      <c r="AG890" s="559"/>
    </row>
    <row r="891" spans="1:33" ht="18" customHeight="1" x14ac:dyDescent="0.35">
      <c r="A891" s="559"/>
      <c r="B891" s="559"/>
      <c r="C891" s="559"/>
      <c r="D891" s="559"/>
      <c r="E891" s="559"/>
      <c r="F891" s="559"/>
      <c r="G891" s="559"/>
      <c r="H891" s="559"/>
      <c r="I891" s="559"/>
      <c r="J891" s="559"/>
      <c r="K891" s="559"/>
      <c r="L891" s="559"/>
      <c r="M891" s="559"/>
      <c r="N891" s="559"/>
      <c r="O891" s="559"/>
      <c r="P891" s="559"/>
      <c r="Q891" s="559"/>
      <c r="R891" s="559"/>
      <c r="S891" s="559"/>
      <c r="T891" s="559"/>
      <c r="U891" s="559"/>
      <c r="V891" s="559"/>
      <c r="W891" s="559"/>
      <c r="X891" s="559"/>
      <c r="Y891" s="559"/>
      <c r="Z891" s="559"/>
      <c r="AA891" s="559"/>
      <c r="AB891" s="559"/>
      <c r="AC891" s="559"/>
      <c r="AD891" s="559"/>
      <c r="AE891" s="559"/>
      <c r="AF891" s="559"/>
      <c r="AG891" s="559"/>
    </row>
    <row r="892" spans="1:33" ht="18" customHeight="1" x14ac:dyDescent="0.35">
      <c r="A892" s="559"/>
      <c r="B892" s="559"/>
      <c r="C892" s="559"/>
      <c r="D892" s="559"/>
      <c r="E892" s="559"/>
      <c r="F892" s="559"/>
      <c r="G892" s="559"/>
      <c r="H892" s="559"/>
      <c r="I892" s="559"/>
      <c r="J892" s="559"/>
      <c r="K892" s="559"/>
      <c r="L892" s="559"/>
      <c r="M892" s="559"/>
      <c r="N892" s="559"/>
      <c r="O892" s="559"/>
      <c r="P892" s="559"/>
      <c r="Q892" s="559"/>
      <c r="R892" s="559"/>
      <c r="S892" s="559"/>
      <c r="T892" s="559"/>
      <c r="U892" s="559"/>
      <c r="V892" s="559"/>
      <c r="W892" s="559"/>
      <c r="X892" s="559"/>
      <c r="Y892" s="559"/>
      <c r="Z892" s="559"/>
      <c r="AA892" s="559"/>
      <c r="AB892" s="559"/>
      <c r="AC892" s="559"/>
      <c r="AD892" s="559"/>
      <c r="AE892" s="559"/>
      <c r="AF892" s="559"/>
      <c r="AG892" s="559"/>
    </row>
    <row r="893" spans="1:33" ht="18" customHeight="1" x14ac:dyDescent="0.35">
      <c r="A893" s="559"/>
      <c r="B893" s="559"/>
      <c r="C893" s="559"/>
      <c r="D893" s="559"/>
      <c r="E893" s="559"/>
      <c r="F893" s="559"/>
      <c r="G893" s="559"/>
      <c r="H893" s="559"/>
      <c r="I893" s="559"/>
      <c r="J893" s="559"/>
      <c r="K893" s="559"/>
      <c r="L893" s="559"/>
      <c r="M893" s="559"/>
      <c r="N893" s="559"/>
      <c r="O893" s="559"/>
      <c r="P893" s="559"/>
      <c r="Q893" s="559"/>
      <c r="R893" s="559"/>
      <c r="S893" s="559"/>
      <c r="T893" s="559"/>
      <c r="U893" s="559"/>
      <c r="V893" s="559"/>
      <c r="W893" s="559"/>
      <c r="X893" s="559"/>
      <c r="Y893" s="559"/>
      <c r="Z893" s="559"/>
      <c r="AA893" s="559"/>
      <c r="AB893" s="559"/>
      <c r="AC893" s="559"/>
      <c r="AD893" s="559"/>
      <c r="AE893" s="559"/>
      <c r="AF893" s="559"/>
      <c r="AG893" s="559"/>
    </row>
    <row r="894" spans="1:33" ht="18" customHeight="1" x14ac:dyDescent="0.35">
      <c r="A894" s="559"/>
      <c r="B894" s="559"/>
      <c r="C894" s="559"/>
      <c r="D894" s="559"/>
      <c r="E894" s="559"/>
      <c r="F894" s="559"/>
      <c r="G894" s="559"/>
      <c r="H894" s="559"/>
      <c r="I894" s="559"/>
      <c r="J894" s="559"/>
      <c r="K894" s="559"/>
      <c r="L894" s="559"/>
      <c r="M894" s="559"/>
      <c r="N894" s="559"/>
      <c r="O894" s="559"/>
      <c r="P894" s="559"/>
      <c r="Q894" s="559"/>
      <c r="R894" s="559"/>
      <c r="S894" s="559"/>
      <c r="T894" s="559"/>
      <c r="U894" s="559"/>
      <c r="V894" s="559"/>
      <c r="W894" s="559"/>
      <c r="X894" s="559"/>
      <c r="Y894" s="559"/>
      <c r="Z894" s="559"/>
      <c r="AA894" s="559"/>
      <c r="AB894" s="559"/>
      <c r="AC894" s="559"/>
      <c r="AD894" s="559"/>
      <c r="AE894" s="559"/>
      <c r="AF894" s="559"/>
      <c r="AG894" s="559"/>
    </row>
    <row r="895" spans="1:33" ht="18" customHeight="1" x14ac:dyDescent="0.35">
      <c r="A895" s="559"/>
      <c r="B895" s="559"/>
      <c r="C895" s="559"/>
      <c r="D895" s="559"/>
      <c r="E895" s="559"/>
      <c r="F895" s="559"/>
      <c r="G895" s="559"/>
      <c r="H895" s="559"/>
      <c r="I895" s="559"/>
      <c r="J895" s="559"/>
      <c r="K895" s="559"/>
      <c r="L895" s="559"/>
      <c r="M895" s="559"/>
      <c r="N895" s="559"/>
      <c r="O895" s="559"/>
      <c r="P895" s="559"/>
      <c r="Q895" s="559"/>
      <c r="R895" s="559"/>
      <c r="S895" s="559"/>
      <c r="T895" s="559"/>
      <c r="U895" s="559"/>
      <c r="V895" s="559"/>
      <c r="W895" s="559"/>
      <c r="X895" s="559"/>
      <c r="Y895" s="559"/>
      <c r="Z895" s="559"/>
      <c r="AA895" s="559"/>
      <c r="AB895" s="559"/>
      <c r="AC895" s="559"/>
      <c r="AD895" s="559"/>
      <c r="AE895" s="559"/>
      <c r="AF895" s="559"/>
      <c r="AG895" s="559"/>
    </row>
    <row r="896" spans="1:33" ht="18" customHeight="1" x14ac:dyDescent="0.35">
      <c r="A896" s="559"/>
      <c r="B896" s="559"/>
      <c r="C896" s="559"/>
      <c r="D896" s="559"/>
      <c r="E896" s="559"/>
      <c r="F896" s="559"/>
      <c r="G896" s="559"/>
      <c r="H896" s="559"/>
      <c r="I896" s="559"/>
      <c r="J896" s="559"/>
      <c r="K896" s="559"/>
      <c r="L896" s="559"/>
      <c r="M896" s="559"/>
      <c r="N896" s="559"/>
      <c r="O896" s="559"/>
      <c r="P896" s="559"/>
      <c r="Q896" s="559"/>
      <c r="R896" s="559"/>
      <c r="S896" s="559"/>
      <c r="T896" s="559"/>
      <c r="U896" s="559"/>
      <c r="V896" s="559"/>
      <c r="W896" s="559"/>
      <c r="X896" s="559"/>
      <c r="Y896" s="559"/>
      <c r="Z896" s="559"/>
      <c r="AA896" s="559"/>
      <c r="AB896" s="559"/>
      <c r="AC896" s="559"/>
      <c r="AD896" s="559"/>
      <c r="AE896" s="559"/>
      <c r="AF896" s="559"/>
      <c r="AG896" s="559"/>
    </row>
    <row r="897" spans="1:33" ht="18" customHeight="1" x14ac:dyDescent="0.35">
      <c r="A897" s="559"/>
      <c r="B897" s="559"/>
      <c r="C897" s="559"/>
      <c r="D897" s="559"/>
      <c r="E897" s="559"/>
      <c r="F897" s="559"/>
      <c r="G897" s="559"/>
      <c r="H897" s="559"/>
      <c r="I897" s="559"/>
      <c r="J897" s="559"/>
      <c r="K897" s="559"/>
      <c r="L897" s="559"/>
      <c r="M897" s="559"/>
      <c r="N897" s="559"/>
      <c r="O897" s="559"/>
      <c r="P897" s="559"/>
      <c r="Q897" s="559"/>
      <c r="R897" s="559"/>
      <c r="S897" s="559"/>
      <c r="T897" s="559"/>
      <c r="U897" s="559"/>
      <c r="V897" s="559"/>
      <c r="W897" s="559"/>
      <c r="X897" s="559"/>
      <c r="Y897" s="559"/>
      <c r="Z897" s="559"/>
      <c r="AA897" s="559"/>
      <c r="AB897" s="559"/>
      <c r="AC897" s="559"/>
      <c r="AD897" s="559"/>
      <c r="AE897" s="559"/>
      <c r="AF897" s="559"/>
      <c r="AG897" s="559"/>
    </row>
    <row r="898" spans="1:33" ht="18" customHeight="1" x14ac:dyDescent="0.35">
      <c r="A898" s="559"/>
      <c r="B898" s="559"/>
      <c r="C898" s="559"/>
      <c r="D898" s="559"/>
      <c r="E898" s="559"/>
      <c r="F898" s="559"/>
      <c r="G898" s="559"/>
      <c r="H898" s="559"/>
      <c r="I898" s="559"/>
      <c r="J898" s="559"/>
      <c r="K898" s="559"/>
      <c r="L898" s="559"/>
      <c r="M898" s="559"/>
      <c r="N898" s="559"/>
      <c r="O898" s="559"/>
      <c r="P898" s="559"/>
      <c r="Q898" s="559"/>
      <c r="R898" s="559"/>
      <c r="S898" s="559"/>
      <c r="T898" s="559"/>
      <c r="U898" s="559"/>
      <c r="V898" s="559"/>
      <c r="W898" s="559"/>
      <c r="X898" s="559"/>
      <c r="Y898" s="559"/>
      <c r="Z898" s="559"/>
      <c r="AA898" s="559"/>
      <c r="AB898" s="559"/>
      <c r="AC898" s="559"/>
      <c r="AD898" s="559"/>
      <c r="AE898" s="559"/>
      <c r="AF898" s="559"/>
      <c r="AG898" s="559"/>
    </row>
    <row r="899" spans="1:33" ht="18" customHeight="1" x14ac:dyDescent="0.35">
      <c r="A899" s="559"/>
      <c r="B899" s="559"/>
      <c r="C899" s="559"/>
      <c r="D899" s="559"/>
      <c r="E899" s="559"/>
      <c r="F899" s="559"/>
      <c r="G899" s="559"/>
      <c r="H899" s="559"/>
      <c r="I899" s="559"/>
      <c r="J899" s="559"/>
      <c r="K899" s="559"/>
      <c r="L899" s="559"/>
      <c r="M899" s="559"/>
      <c r="N899" s="559"/>
      <c r="O899" s="559"/>
      <c r="P899" s="559"/>
      <c r="Q899" s="559"/>
      <c r="R899" s="559"/>
      <c r="S899" s="559"/>
      <c r="T899" s="559"/>
      <c r="U899" s="559"/>
      <c r="V899" s="559"/>
      <c r="W899" s="559"/>
      <c r="X899" s="559"/>
      <c r="Y899" s="559"/>
      <c r="Z899" s="559"/>
      <c r="AA899" s="559"/>
      <c r="AB899" s="559"/>
      <c r="AC899" s="559"/>
      <c r="AD899" s="559"/>
      <c r="AE899" s="559"/>
      <c r="AF899" s="559"/>
      <c r="AG899" s="559"/>
    </row>
    <row r="900" spans="1:33" ht="18" customHeight="1" x14ac:dyDescent="0.35">
      <c r="A900" s="559"/>
      <c r="B900" s="559"/>
      <c r="C900" s="559"/>
      <c r="D900" s="559"/>
      <c r="E900" s="559"/>
      <c r="F900" s="559"/>
      <c r="G900" s="559"/>
      <c r="H900" s="559"/>
      <c r="I900" s="559"/>
      <c r="J900" s="559"/>
      <c r="K900" s="559"/>
      <c r="L900" s="559"/>
      <c r="M900" s="559"/>
      <c r="N900" s="559"/>
      <c r="O900" s="559"/>
      <c r="P900" s="559"/>
      <c r="Q900" s="559"/>
      <c r="R900" s="559"/>
      <c r="S900" s="559"/>
      <c r="T900" s="559"/>
      <c r="U900" s="559"/>
      <c r="V900" s="559"/>
      <c r="W900" s="559"/>
      <c r="X900" s="559"/>
      <c r="Y900" s="559"/>
      <c r="Z900" s="559"/>
      <c r="AA900" s="559"/>
      <c r="AB900" s="559"/>
      <c r="AC900" s="559"/>
      <c r="AD900" s="559"/>
      <c r="AE900" s="559"/>
      <c r="AF900" s="559"/>
      <c r="AG900" s="559"/>
    </row>
    <row r="901" spans="1:33" ht="18" customHeight="1" x14ac:dyDescent="0.35">
      <c r="A901" s="559"/>
      <c r="B901" s="559"/>
      <c r="C901" s="559"/>
      <c r="D901" s="559"/>
      <c r="E901" s="559"/>
      <c r="F901" s="559"/>
      <c r="G901" s="559"/>
      <c r="H901" s="559"/>
      <c r="I901" s="559"/>
      <c r="J901" s="559"/>
      <c r="K901" s="559"/>
      <c r="L901" s="559"/>
      <c r="M901" s="559"/>
      <c r="N901" s="559"/>
      <c r="O901" s="559"/>
      <c r="P901" s="559"/>
      <c r="Q901" s="559"/>
      <c r="R901" s="559"/>
      <c r="S901" s="559"/>
      <c r="T901" s="559"/>
      <c r="U901" s="559"/>
      <c r="V901" s="559"/>
      <c r="W901" s="559"/>
      <c r="X901" s="559"/>
      <c r="Y901" s="559"/>
      <c r="Z901" s="559"/>
      <c r="AA901" s="559"/>
      <c r="AB901" s="559"/>
      <c r="AC901" s="559"/>
      <c r="AD901" s="559"/>
      <c r="AE901" s="559"/>
      <c r="AF901" s="559"/>
      <c r="AG901" s="559"/>
    </row>
    <row r="902" spans="1:33" ht="18" customHeight="1" x14ac:dyDescent="0.35">
      <c r="A902" s="559"/>
      <c r="B902" s="559"/>
      <c r="C902" s="559"/>
      <c r="D902" s="559"/>
      <c r="E902" s="559"/>
      <c r="F902" s="559"/>
      <c r="G902" s="559"/>
      <c r="H902" s="559"/>
      <c r="I902" s="559"/>
      <c r="J902" s="559"/>
      <c r="K902" s="559"/>
      <c r="L902" s="559"/>
      <c r="M902" s="559"/>
      <c r="N902" s="559"/>
      <c r="O902" s="559"/>
      <c r="P902" s="559"/>
      <c r="Q902" s="559"/>
      <c r="R902" s="559"/>
      <c r="S902" s="559"/>
      <c r="T902" s="559"/>
      <c r="U902" s="559"/>
      <c r="V902" s="559"/>
      <c r="W902" s="559"/>
      <c r="X902" s="559"/>
      <c r="Y902" s="559"/>
      <c r="Z902" s="559"/>
      <c r="AA902" s="559"/>
      <c r="AB902" s="559"/>
      <c r="AC902" s="559"/>
      <c r="AD902" s="559"/>
      <c r="AE902" s="559"/>
      <c r="AF902" s="559"/>
      <c r="AG902" s="559"/>
    </row>
    <row r="903" spans="1:33" ht="18" customHeight="1" x14ac:dyDescent="0.35">
      <c r="A903" s="559"/>
      <c r="B903" s="559"/>
      <c r="C903" s="559"/>
      <c r="D903" s="559"/>
      <c r="E903" s="559"/>
      <c r="F903" s="559"/>
      <c r="G903" s="559"/>
      <c r="H903" s="559"/>
      <c r="I903" s="559"/>
      <c r="J903" s="559"/>
      <c r="K903" s="559"/>
      <c r="L903" s="559"/>
      <c r="M903" s="559"/>
      <c r="N903" s="559"/>
      <c r="O903" s="559"/>
      <c r="P903" s="559"/>
      <c r="Q903" s="559"/>
      <c r="R903" s="559"/>
      <c r="S903" s="559"/>
      <c r="T903" s="559"/>
      <c r="U903" s="559"/>
      <c r="V903" s="559"/>
      <c r="W903" s="559"/>
      <c r="X903" s="559"/>
      <c r="Y903" s="559"/>
      <c r="Z903" s="559"/>
      <c r="AA903" s="559"/>
      <c r="AB903" s="559"/>
      <c r="AC903" s="559"/>
      <c r="AD903" s="559"/>
      <c r="AE903" s="559"/>
      <c r="AF903" s="559"/>
      <c r="AG903" s="559"/>
    </row>
    <row r="904" spans="1:33" ht="18" customHeight="1" x14ac:dyDescent="0.35">
      <c r="A904" s="559"/>
      <c r="B904" s="559"/>
      <c r="C904" s="559"/>
      <c r="D904" s="559"/>
      <c r="E904" s="559"/>
      <c r="F904" s="559"/>
      <c r="G904" s="559"/>
      <c r="H904" s="559"/>
      <c r="I904" s="559"/>
      <c r="J904" s="559"/>
      <c r="K904" s="559"/>
      <c r="L904" s="559"/>
      <c r="M904" s="559"/>
      <c r="N904" s="559"/>
      <c r="O904" s="559"/>
      <c r="P904" s="559"/>
      <c r="Q904" s="559"/>
      <c r="R904" s="559"/>
      <c r="S904" s="559"/>
      <c r="T904" s="559"/>
      <c r="U904" s="559"/>
      <c r="V904" s="559"/>
      <c r="W904" s="559"/>
      <c r="X904" s="559"/>
      <c r="Y904" s="559"/>
      <c r="Z904" s="559"/>
      <c r="AA904" s="559"/>
      <c r="AB904" s="559"/>
      <c r="AC904" s="559"/>
      <c r="AD904" s="559"/>
      <c r="AE904" s="559"/>
      <c r="AF904" s="559"/>
      <c r="AG904" s="559"/>
    </row>
    <row r="905" spans="1:33" ht="18" customHeight="1" x14ac:dyDescent="0.35">
      <c r="A905" s="559"/>
      <c r="B905" s="559"/>
      <c r="C905" s="559"/>
      <c r="D905" s="559"/>
      <c r="E905" s="559"/>
      <c r="F905" s="559"/>
      <c r="G905" s="559"/>
      <c r="H905" s="559"/>
      <c r="I905" s="559"/>
      <c r="J905" s="559"/>
      <c r="K905" s="559"/>
      <c r="L905" s="559"/>
      <c r="M905" s="559"/>
      <c r="N905" s="559"/>
      <c r="O905" s="559"/>
      <c r="P905" s="559"/>
      <c r="Q905" s="559"/>
      <c r="R905" s="559"/>
      <c r="S905" s="559"/>
      <c r="T905" s="559"/>
      <c r="U905" s="559"/>
      <c r="V905" s="559"/>
      <c r="W905" s="559"/>
      <c r="X905" s="559"/>
      <c r="Y905" s="559"/>
      <c r="Z905" s="559"/>
      <c r="AA905" s="559"/>
      <c r="AB905" s="559"/>
      <c r="AC905" s="559"/>
      <c r="AD905" s="559"/>
      <c r="AE905" s="559"/>
      <c r="AF905" s="559"/>
      <c r="AG905" s="559"/>
    </row>
    <row r="906" spans="1:33" ht="18" customHeight="1" x14ac:dyDescent="0.35">
      <c r="A906" s="559"/>
      <c r="B906" s="559"/>
      <c r="C906" s="559"/>
      <c r="D906" s="559"/>
      <c r="E906" s="559"/>
      <c r="F906" s="559"/>
      <c r="G906" s="559"/>
      <c r="H906" s="559"/>
      <c r="I906" s="559"/>
      <c r="J906" s="559"/>
      <c r="K906" s="559"/>
      <c r="L906" s="559"/>
      <c r="M906" s="559"/>
      <c r="N906" s="559"/>
      <c r="O906" s="559"/>
      <c r="P906" s="559"/>
      <c r="Q906" s="559"/>
      <c r="R906" s="559"/>
      <c r="S906" s="559"/>
      <c r="T906" s="559"/>
      <c r="U906" s="559"/>
      <c r="V906" s="559"/>
      <c r="W906" s="559"/>
      <c r="X906" s="559"/>
      <c r="Y906" s="559"/>
      <c r="Z906" s="559"/>
      <c r="AA906" s="559"/>
      <c r="AB906" s="559"/>
      <c r="AC906" s="559"/>
      <c r="AD906" s="559"/>
      <c r="AE906" s="559"/>
      <c r="AF906" s="559"/>
      <c r="AG906" s="559"/>
    </row>
    <row r="907" spans="1:33" ht="18" customHeight="1" x14ac:dyDescent="0.35">
      <c r="A907" s="559"/>
      <c r="B907" s="559"/>
      <c r="C907" s="559"/>
      <c r="D907" s="559"/>
      <c r="E907" s="559"/>
      <c r="F907" s="559"/>
      <c r="G907" s="559"/>
      <c r="H907" s="559"/>
      <c r="I907" s="559"/>
      <c r="J907" s="559"/>
      <c r="K907" s="559"/>
      <c r="L907" s="559"/>
      <c r="M907" s="559"/>
      <c r="N907" s="559"/>
      <c r="O907" s="559"/>
      <c r="P907" s="559"/>
      <c r="Q907" s="559"/>
      <c r="R907" s="559"/>
      <c r="S907" s="559"/>
      <c r="T907" s="559"/>
      <c r="U907" s="559"/>
      <c r="V907" s="559"/>
      <c r="W907" s="559"/>
      <c r="X907" s="559"/>
      <c r="Y907" s="559"/>
      <c r="Z907" s="559"/>
      <c r="AA907" s="559"/>
      <c r="AB907" s="559"/>
      <c r="AC907" s="559"/>
      <c r="AD907" s="559"/>
      <c r="AE907" s="559"/>
      <c r="AF907" s="559"/>
      <c r="AG907" s="559"/>
    </row>
    <row r="908" spans="1:33" ht="18" customHeight="1" x14ac:dyDescent="0.35">
      <c r="A908" s="559"/>
      <c r="B908" s="559"/>
      <c r="C908" s="559"/>
      <c r="D908" s="559"/>
      <c r="E908" s="559"/>
      <c r="F908" s="559"/>
      <c r="G908" s="559"/>
      <c r="H908" s="559"/>
      <c r="I908" s="559"/>
      <c r="J908" s="559"/>
      <c r="K908" s="559"/>
      <c r="L908" s="559"/>
      <c r="M908" s="559"/>
      <c r="N908" s="559"/>
      <c r="O908" s="559"/>
      <c r="P908" s="559"/>
      <c r="Q908" s="559"/>
      <c r="R908" s="559"/>
      <c r="S908" s="559"/>
      <c r="T908" s="559"/>
      <c r="U908" s="559"/>
      <c r="V908" s="559"/>
      <c r="W908" s="559"/>
      <c r="X908" s="559"/>
      <c r="Y908" s="559"/>
      <c r="Z908" s="559"/>
      <c r="AA908" s="559"/>
      <c r="AB908" s="559"/>
      <c r="AC908" s="559"/>
      <c r="AD908" s="559"/>
      <c r="AE908" s="559"/>
      <c r="AF908" s="559"/>
      <c r="AG908" s="559"/>
    </row>
    <row r="909" spans="1:33" ht="18" customHeight="1" x14ac:dyDescent="0.35">
      <c r="A909" s="559"/>
      <c r="B909" s="559"/>
      <c r="C909" s="559"/>
      <c r="D909" s="559"/>
      <c r="E909" s="559"/>
      <c r="F909" s="559"/>
      <c r="G909" s="559"/>
      <c r="H909" s="559"/>
      <c r="I909" s="559"/>
      <c r="J909" s="559"/>
      <c r="K909" s="559"/>
      <c r="L909" s="559"/>
      <c r="M909" s="559"/>
      <c r="N909" s="559"/>
      <c r="O909" s="559"/>
      <c r="P909" s="559"/>
      <c r="Q909" s="559"/>
      <c r="R909" s="559"/>
      <c r="S909" s="559"/>
      <c r="T909" s="559"/>
      <c r="U909" s="559"/>
      <c r="V909" s="559"/>
      <c r="W909" s="559"/>
      <c r="X909" s="559"/>
      <c r="Y909" s="559"/>
      <c r="Z909" s="559"/>
      <c r="AA909" s="559"/>
      <c r="AB909" s="559"/>
      <c r="AC909" s="559"/>
      <c r="AD909" s="559"/>
      <c r="AE909" s="559"/>
      <c r="AF909" s="559"/>
      <c r="AG909" s="559"/>
    </row>
    <row r="910" spans="1:33" ht="18" customHeight="1" x14ac:dyDescent="0.35">
      <c r="A910" s="559"/>
      <c r="B910" s="559"/>
      <c r="C910" s="559"/>
      <c r="D910" s="559"/>
      <c r="E910" s="559"/>
      <c r="F910" s="559"/>
      <c r="G910" s="559"/>
      <c r="H910" s="559"/>
      <c r="I910" s="559"/>
      <c r="J910" s="559"/>
      <c r="K910" s="559"/>
      <c r="L910" s="559"/>
      <c r="M910" s="559"/>
      <c r="N910" s="559"/>
      <c r="O910" s="559"/>
      <c r="P910" s="559"/>
      <c r="Q910" s="559"/>
      <c r="R910" s="559"/>
      <c r="S910" s="559"/>
      <c r="T910" s="559"/>
      <c r="U910" s="559"/>
      <c r="V910" s="559"/>
      <c r="W910" s="559"/>
      <c r="X910" s="559"/>
      <c r="Y910" s="559"/>
      <c r="Z910" s="559"/>
      <c r="AA910" s="559"/>
      <c r="AB910" s="559"/>
      <c r="AC910" s="559"/>
      <c r="AD910" s="559"/>
      <c r="AE910" s="559"/>
      <c r="AF910" s="559"/>
      <c r="AG910" s="559"/>
    </row>
    <row r="911" spans="1:33" ht="18" customHeight="1" x14ac:dyDescent="0.35">
      <c r="A911" s="559"/>
      <c r="B911" s="559"/>
      <c r="C911" s="559"/>
      <c r="D911" s="559"/>
      <c r="E911" s="559"/>
      <c r="F911" s="559"/>
      <c r="G911" s="559"/>
      <c r="H911" s="559"/>
      <c r="I911" s="559"/>
      <c r="J911" s="559"/>
      <c r="K911" s="559"/>
      <c r="L911" s="559"/>
      <c r="M911" s="559"/>
      <c r="N911" s="559"/>
      <c r="O911" s="559"/>
      <c r="P911" s="559"/>
      <c r="Q911" s="559"/>
      <c r="R911" s="559"/>
      <c r="S911" s="559"/>
      <c r="T911" s="559"/>
      <c r="U911" s="559"/>
      <c r="V911" s="559"/>
      <c r="W911" s="559"/>
      <c r="X911" s="559"/>
      <c r="Y911" s="559"/>
      <c r="Z911" s="559"/>
      <c r="AA911" s="559"/>
      <c r="AB911" s="559"/>
      <c r="AC911" s="559"/>
      <c r="AD911" s="559"/>
      <c r="AE911" s="559"/>
      <c r="AF911" s="559"/>
      <c r="AG911" s="559"/>
    </row>
    <row r="912" spans="1:33" ht="18" customHeight="1" x14ac:dyDescent="0.35">
      <c r="A912" s="559"/>
      <c r="B912" s="559"/>
      <c r="C912" s="559"/>
      <c r="D912" s="559"/>
      <c r="E912" s="559"/>
      <c r="F912" s="559"/>
      <c r="G912" s="559"/>
      <c r="H912" s="559"/>
      <c r="I912" s="559"/>
      <c r="J912" s="559"/>
      <c r="K912" s="559"/>
      <c r="L912" s="559"/>
      <c r="M912" s="559"/>
      <c r="N912" s="559"/>
      <c r="O912" s="559"/>
      <c r="P912" s="559"/>
      <c r="Q912" s="559"/>
      <c r="R912" s="559"/>
      <c r="S912" s="559"/>
      <c r="T912" s="559"/>
      <c r="U912" s="559"/>
      <c r="V912" s="559"/>
      <c r="W912" s="559"/>
      <c r="X912" s="559"/>
      <c r="Y912" s="559"/>
      <c r="Z912" s="559"/>
      <c r="AA912" s="559"/>
      <c r="AB912" s="559"/>
      <c r="AC912" s="559"/>
      <c r="AD912" s="559"/>
      <c r="AE912" s="559"/>
      <c r="AF912" s="559"/>
      <c r="AG912" s="559"/>
    </row>
    <row r="913" spans="1:33" ht="18" customHeight="1" x14ac:dyDescent="0.35">
      <c r="A913" s="559"/>
      <c r="B913" s="559"/>
      <c r="C913" s="559"/>
      <c r="D913" s="559"/>
      <c r="E913" s="559"/>
      <c r="F913" s="559"/>
      <c r="G913" s="559"/>
      <c r="H913" s="559"/>
      <c r="I913" s="559"/>
      <c r="J913" s="559"/>
      <c r="K913" s="559"/>
      <c r="L913" s="559"/>
      <c r="M913" s="559"/>
      <c r="N913" s="559"/>
      <c r="O913" s="559"/>
      <c r="P913" s="559"/>
      <c r="Q913" s="559"/>
      <c r="R913" s="559"/>
      <c r="S913" s="559"/>
      <c r="T913" s="559"/>
      <c r="U913" s="559"/>
      <c r="V913" s="559"/>
      <c r="W913" s="559"/>
      <c r="X913" s="559"/>
      <c r="Y913" s="559"/>
      <c r="Z913" s="559"/>
      <c r="AA913" s="559"/>
      <c r="AB913" s="559"/>
      <c r="AC913" s="559"/>
      <c r="AD913" s="559"/>
      <c r="AE913" s="559"/>
      <c r="AF913" s="559"/>
      <c r="AG913" s="559"/>
    </row>
    <row r="914" spans="1:33" ht="18" customHeight="1" x14ac:dyDescent="0.35">
      <c r="A914" s="559"/>
      <c r="B914" s="559"/>
      <c r="C914" s="559"/>
      <c r="D914" s="559"/>
      <c r="E914" s="559"/>
      <c r="F914" s="559"/>
      <c r="G914" s="559"/>
      <c r="H914" s="559"/>
      <c r="I914" s="559"/>
      <c r="J914" s="559"/>
      <c r="K914" s="559"/>
      <c r="L914" s="559"/>
      <c r="M914" s="559"/>
      <c r="N914" s="559"/>
      <c r="O914" s="559"/>
      <c r="P914" s="559"/>
      <c r="Q914" s="559"/>
      <c r="R914" s="559"/>
      <c r="S914" s="559"/>
      <c r="T914" s="559"/>
      <c r="U914" s="559"/>
      <c r="V914" s="559"/>
      <c r="W914" s="559"/>
      <c r="X914" s="559"/>
      <c r="Y914" s="559"/>
      <c r="Z914" s="559"/>
      <c r="AA914" s="559"/>
      <c r="AB914" s="559"/>
      <c r="AC914" s="559"/>
      <c r="AD914" s="559"/>
      <c r="AE914" s="559"/>
      <c r="AF914" s="559"/>
      <c r="AG914" s="559"/>
    </row>
    <row r="915" spans="1:33" ht="18" customHeight="1" x14ac:dyDescent="0.35">
      <c r="A915" s="559"/>
      <c r="B915" s="559"/>
      <c r="C915" s="559"/>
      <c r="D915" s="559"/>
      <c r="E915" s="559"/>
      <c r="F915" s="559"/>
      <c r="G915" s="559"/>
      <c r="H915" s="559"/>
      <c r="I915" s="559"/>
      <c r="J915" s="559"/>
      <c r="K915" s="559"/>
      <c r="L915" s="559"/>
      <c r="M915" s="559"/>
      <c r="N915" s="559"/>
      <c r="O915" s="559"/>
      <c r="P915" s="559"/>
      <c r="Q915" s="559"/>
      <c r="R915" s="559"/>
      <c r="S915" s="559"/>
      <c r="T915" s="559"/>
      <c r="U915" s="559"/>
      <c r="V915" s="559"/>
      <c r="W915" s="559"/>
      <c r="X915" s="559"/>
      <c r="Y915" s="559"/>
      <c r="Z915" s="559"/>
      <c r="AA915" s="559"/>
      <c r="AB915" s="559"/>
      <c r="AC915" s="559"/>
      <c r="AD915" s="559"/>
      <c r="AE915" s="559"/>
      <c r="AF915" s="559"/>
      <c r="AG915" s="559"/>
    </row>
    <row r="916" spans="1:33" ht="18" customHeight="1" x14ac:dyDescent="0.35">
      <c r="A916" s="559"/>
      <c r="B916" s="559"/>
      <c r="C916" s="559"/>
      <c r="D916" s="559"/>
      <c r="E916" s="559"/>
      <c r="F916" s="559"/>
      <c r="G916" s="559"/>
      <c r="H916" s="559"/>
      <c r="I916" s="559"/>
      <c r="J916" s="559"/>
      <c r="K916" s="559"/>
      <c r="L916" s="559"/>
      <c r="M916" s="559"/>
      <c r="N916" s="559"/>
      <c r="O916" s="559"/>
      <c r="P916" s="559"/>
      <c r="Q916" s="559"/>
      <c r="R916" s="559"/>
      <c r="S916" s="559"/>
      <c r="T916" s="559"/>
      <c r="U916" s="559"/>
      <c r="V916" s="559"/>
      <c r="W916" s="559"/>
      <c r="X916" s="559"/>
      <c r="Y916" s="559"/>
      <c r="Z916" s="559"/>
      <c r="AA916" s="559"/>
      <c r="AB916" s="559"/>
      <c r="AC916" s="559"/>
      <c r="AD916" s="559"/>
      <c r="AE916" s="559"/>
      <c r="AF916" s="559"/>
      <c r="AG916" s="559"/>
    </row>
    <row r="917" spans="1:33" ht="18" customHeight="1" x14ac:dyDescent="0.35">
      <c r="A917" s="559"/>
      <c r="B917" s="559"/>
      <c r="C917" s="559"/>
      <c r="D917" s="559"/>
      <c r="E917" s="559"/>
      <c r="F917" s="559"/>
      <c r="G917" s="559"/>
      <c r="H917" s="559"/>
      <c r="I917" s="559"/>
      <c r="J917" s="559"/>
      <c r="K917" s="559"/>
      <c r="L917" s="559"/>
      <c r="M917" s="559"/>
      <c r="N917" s="559"/>
      <c r="O917" s="559"/>
      <c r="P917" s="559"/>
      <c r="Q917" s="559"/>
      <c r="R917" s="559"/>
      <c r="S917" s="559"/>
      <c r="T917" s="559"/>
      <c r="U917" s="559"/>
      <c r="V917" s="559"/>
      <c r="W917" s="559"/>
      <c r="X917" s="559"/>
      <c r="Y917" s="559"/>
      <c r="Z917" s="559"/>
      <c r="AA917" s="559"/>
      <c r="AB917" s="559"/>
      <c r="AC917" s="559"/>
      <c r="AD917" s="559"/>
      <c r="AE917" s="559"/>
      <c r="AF917" s="559"/>
      <c r="AG917" s="559"/>
    </row>
    <row r="918" spans="1:33" ht="18" customHeight="1" x14ac:dyDescent="0.35">
      <c r="A918" s="559"/>
      <c r="B918" s="559"/>
      <c r="C918" s="559"/>
      <c r="D918" s="559"/>
      <c r="E918" s="559"/>
      <c r="F918" s="559"/>
      <c r="G918" s="559"/>
      <c r="H918" s="559"/>
      <c r="I918" s="559"/>
      <c r="J918" s="559"/>
      <c r="K918" s="559"/>
      <c r="L918" s="559"/>
      <c r="M918" s="559"/>
      <c r="N918" s="559"/>
      <c r="O918" s="559"/>
      <c r="P918" s="559"/>
      <c r="Q918" s="559"/>
      <c r="R918" s="559"/>
      <c r="S918" s="559"/>
      <c r="T918" s="559"/>
      <c r="U918" s="559"/>
      <c r="V918" s="559"/>
      <c r="W918" s="559"/>
      <c r="X918" s="559"/>
      <c r="Y918" s="559"/>
      <c r="Z918" s="559"/>
      <c r="AA918" s="559"/>
      <c r="AB918" s="559"/>
      <c r="AC918" s="559"/>
      <c r="AD918" s="559"/>
      <c r="AE918" s="559"/>
      <c r="AF918" s="559"/>
      <c r="AG918" s="559"/>
    </row>
    <row r="919" spans="1:33" ht="18" customHeight="1" x14ac:dyDescent="0.35">
      <c r="A919" s="559"/>
      <c r="B919" s="559"/>
      <c r="C919" s="559"/>
      <c r="D919" s="559"/>
      <c r="E919" s="559"/>
      <c r="F919" s="559"/>
      <c r="G919" s="559"/>
      <c r="H919" s="559"/>
      <c r="I919" s="559"/>
      <c r="J919" s="559"/>
      <c r="K919" s="559"/>
      <c r="L919" s="559"/>
      <c r="M919" s="559"/>
      <c r="N919" s="559"/>
      <c r="O919" s="559"/>
      <c r="P919" s="559"/>
      <c r="Q919" s="559"/>
      <c r="R919" s="559"/>
      <c r="S919" s="559"/>
      <c r="T919" s="559"/>
      <c r="U919" s="559"/>
      <c r="V919" s="559"/>
      <c r="W919" s="559"/>
      <c r="X919" s="559"/>
      <c r="Y919" s="559"/>
      <c r="Z919" s="559"/>
      <c r="AA919" s="559"/>
      <c r="AB919" s="559"/>
      <c r="AC919" s="559"/>
      <c r="AD919" s="559"/>
      <c r="AE919" s="559"/>
      <c r="AF919" s="559"/>
      <c r="AG919" s="559"/>
    </row>
    <row r="920" spans="1:33" ht="18" customHeight="1" x14ac:dyDescent="0.35">
      <c r="A920" s="559"/>
      <c r="B920" s="559"/>
      <c r="C920" s="559"/>
      <c r="D920" s="559"/>
      <c r="E920" s="559"/>
      <c r="F920" s="559"/>
      <c r="G920" s="559"/>
      <c r="H920" s="559"/>
      <c r="I920" s="559"/>
      <c r="J920" s="559"/>
      <c r="K920" s="559"/>
      <c r="L920" s="559"/>
      <c r="M920" s="559"/>
      <c r="N920" s="559"/>
      <c r="O920" s="559"/>
      <c r="P920" s="559"/>
      <c r="Q920" s="559"/>
      <c r="R920" s="559"/>
      <c r="S920" s="559"/>
      <c r="T920" s="559"/>
      <c r="U920" s="559"/>
      <c r="V920" s="559"/>
      <c r="W920" s="559"/>
      <c r="X920" s="559"/>
      <c r="Y920" s="559"/>
      <c r="Z920" s="559"/>
      <c r="AA920" s="559"/>
      <c r="AB920" s="559"/>
      <c r="AC920" s="559"/>
      <c r="AD920" s="559"/>
      <c r="AE920" s="559"/>
      <c r="AF920" s="559"/>
      <c r="AG920" s="559"/>
    </row>
    <row r="921" spans="1:33" ht="18" customHeight="1" x14ac:dyDescent="0.35">
      <c r="A921" s="559"/>
      <c r="B921" s="559"/>
      <c r="C921" s="559"/>
      <c r="D921" s="559"/>
      <c r="E921" s="559"/>
      <c r="F921" s="559"/>
      <c r="G921" s="559"/>
      <c r="H921" s="559"/>
      <c r="I921" s="559"/>
      <c r="J921" s="559"/>
      <c r="K921" s="559"/>
      <c r="L921" s="559"/>
      <c r="M921" s="559"/>
      <c r="N921" s="559"/>
      <c r="O921" s="559"/>
      <c r="P921" s="559"/>
      <c r="Q921" s="559"/>
      <c r="R921" s="559"/>
      <c r="S921" s="559"/>
      <c r="T921" s="559"/>
      <c r="U921" s="559"/>
      <c r="V921" s="559"/>
      <c r="W921" s="559"/>
      <c r="X921" s="559"/>
      <c r="Y921" s="559"/>
      <c r="Z921" s="559"/>
      <c r="AA921" s="559"/>
      <c r="AB921" s="559"/>
      <c r="AC921" s="559"/>
      <c r="AD921" s="559"/>
      <c r="AE921" s="559"/>
      <c r="AF921" s="559"/>
      <c r="AG921" s="559"/>
    </row>
    <row r="922" spans="1:33" ht="18" customHeight="1" x14ac:dyDescent="0.35">
      <c r="A922" s="559"/>
      <c r="B922" s="559"/>
      <c r="C922" s="559"/>
      <c r="D922" s="559"/>
      <c r="E922" s="559"/>
      <c r="F922" s="559"/>
      <c r="G922" s="559"/>
      <c r="H922" s="559"/>
      <c r="I922" s="559"/>
      <c r="J922" s="559"/>
      <c r="K922" s="559"/>
      <c r="L922" s="559"/>
      <c r="M922" s="559"/>
      <c r="N922" s="559"/>
      <c r="O922" s="559"/>
      <c r="P922" s="559"/>
      <c r="Q922" s="559"/>
      <c r="R922" s="559"/>
      <c r="S922" s="559"/>
      <c r="T922" s="559"/>
      <c r="U922" s="559"/>
      <c r="V922" s="559"/>
      <c r="W922" s="559"/>
      <c r="X922" s="559"/>
      <c r="Y922" s="559"/>
      <c r="Z922" s="559"/>
      <c r="AA922" s="559"/>
      <c r="AB922" s="559"/>
      <c r="AC922" s="559"/>
      <c r="AD922" s="559"/>
      <c r="AE922" s="559"/>
      <c r="AF922" s="559"/>
      <c r="AG922" s="559"/>
    </row>
    <row r="923" spans="1:33" ht="18" customHeight="1" x14ac:dyDescent="0.35">
      <c r="A923" s="559"/>
      <c r="B923" s="559"/>
      <c r="C923" s="559"/>
      <c r="D923" s="559"/>
      <c r="E923" s="559"/>
      <c r="F923" s="559"/>
      <c r="G923" s="559"/>
      <c r="H923" s="559"/>
      <c r="I923" s="559"/>
      <c r="J923" s="559"/>
      <c r="K923" s="559"/>
      <c r="L923" s="559"/>
      <c r="M923" s="559"/>
      <c r="N923" s="559"/>
      <c r="O923" s="559"/>
      <c r="P923" s="559"/>
      <c r="Q923" s="559"/>
      <c r="R923" s="559"/>
      <c r="S923" s="559"/>
      <c r="T923" s="559"/>
      <c r="U923" s="559"/>
      <c r="V923" s="559"/>
      <c r="W923" s="559"/>
      <c r="X923" s="559"/>
      <c r="Y923" s="559"/>
      <c r="Z923" s="559"/>
      <c r="AA923" s="559"/>
      <c r="AB923" s="559"/>
      <c r="AC923" s="559"/>
      <c r="AD923" s="559"/>
      <c r="AE923" s="559"/>
      <c r="AF923" s="559"/>
      <c r="AG923" s="559"/>
    </row>
    <row r="924" spans="1:33" ht="18" customHeight="1" x14ac:dyDescent="0.35">
      <c r="A924" s="559"/>
      <c r="B924" s="559"/>
      <c r="C924" s="559"/>
      <c r="D924" s="559"/>
      <c r="E924" s="559"/>
      <c r="F924" s="559"/>
      <c r="G924" s="559"/>
      <c r="H924" s="559"/>
      <c r="I924" s="559"/>
      <c r="J924" s="559"/>
      <c r="K924" s="559"/>
      <c r="L924" s="559"/>
      <c r="M924" s="559"/>
      <c r="N924" s="559"/>
      <c r="O924" s="559"/>
      <c r="P924" s="559"/>
      <c r="Q924" s="559"/>
      <c r="R924" s="559"/>
      <c r="S924" s="559"/>
      <c r="T924" s="559"/>
      <c r="U924" s="559"/>
      <c r="V924" s="559"/>
      <c r="W924" s="559"/>
      <c r="X924" s="559"/>
      <c r="Y924" s="559"/>
      <c r="Z924" s="559"/>
      <c r="AA924" s="559"/>
      <c r="AB924" s="559"/>
      <c r="AC924" s="559"/>
      <c r="AD924" s="559"/>
      <c r="AE924" s="559"/>
      <c r="AF924" s="559"/>
      <c r="AG924" s="559"/>
    </row>
    <row r="925" spans="1:33" ht="18" customHeight="1" x14ac:dyDescent="0.35">
      <c r="A925" s="559"/>
      <c r="B925" s="559"/>
      <c r="C925" s="559"/>
      <c r="D925" s="559"/>
      <c r="E925" s="559"/>
      <c r="F925" s="559"/>
      <c r="G925" s="559"/>
      <c r="H925" s="559"/>
      <c r="I925" s="559"/>
      <c r="J925" s="559"/>
      <c r="K925" s="559"/>
      <c r="L925" s="559"/>
      <c r="M925" s="559"/>
      <c r="N925" s="559"/>
      <c r="O925" s="559"/>
      <c r="P925" s="559"/>
      <c r="Q925" s="559"/>
      <c r="R925" s="559"/>
      <c r="S925" s="559"/>
      <c r="T925" s="559"/>
      <c r="U925" s="559"/>
      <c r="V925" s="559"/>
      <c r="W925" s="559"/>
      <c r="X925" s="559"/>
      <c r="Y925" s="559"/>
      <c r="Z925" s="559"/>
      <c r="AA925" s="559"/>
      <c r="AB925" s="559"/>
      <c r="AC925" s="559"/>
      <c r="AD925" s="559"/>
      <c r="AE925" s="559"/>
      <c r="AF925" s="559"/>
      <c r="AG925" s="559"/>
    </row>
    <row r="926" spans="1:33" ht="18" customHeight="1" x14ac:dyDescent="0.35">
      <c r="A926" s="559"/>
      <c r="B926" s="559"/>
      <c r="C926" s="559"/>
      <c r="D926" s="559"/>
      <c r="E926" s="559"/>
      <c r="F926" s="559"/>
      <c r="G926" s="559"/>
      <c r="H926" s="559"/>
      <c r="I926" s="559"/>
      <c r="J926" s="559"/>
      <c r="K926" s="559"/>
      <c r="L926" s="559"/>
      <c r="M926" s="559"/>
      <c r="N926" s="559"/>
      <c r="O926" s="559"/>
      <c r="P926" s="559"/>
      <c r="Q926" s="559"/>
      <c r="R926" s="559"/>
      <c r="S926" s="559"/>
      <c r="T926" s="559"/>
      <c r="U926" s="559"/>
      <c r="V926" s="559"/>
      <c r="W926" s="559"/>
      <c r="X926" s="559"/>
      <c r="Y926" s="559"/>
      <c r="Z926" s="559"/>
      <c r="AA926" s="559"/>
      <c r="AB926" s="559"/>
      <c r="AC926" s="559"/>
      <c r="AD926" s="559"/>
      <c r="AE926" s="559"/>
      <c r="AF926" s="559"/>
      <c r="AG926" s="559"/>
    </row>
    <row r="927" spans="1:33" ht="18" customHeight="1" x14ac:dyDescent="0.35">
      <c r="A927" s="559"/>
      <c r="B927" s="559"/>
      <c r="C927" s="559"/>
      <c r="D927" s="559"/>
      <c r="E927" s="559"/>
      <c r="F927" s="559"/>
      <c r="G927" s="559"/>
      <c r="H927" s="559"/>
      <c r="I927" s="559"/>
      <c r="J927" s="559"/>
      <c r="K927" s="559"/>
      <c r="L927" s="559"/>
      <c r="M927" s="559"/>
      <c r="N927" s="559"/>
      <c r="O927" s="559"/>
      <c r="P927" s="559"/>
      <c r="Q927" s="559"/>
      <c r="R927" s="559"/>
      <c r="S927" s="559"/>
      <c r="T927" s="559"/>
      <c r="U927" s="559"/>
      <c r="V927" s="559"/>
      <c r="W927" s="559"/>
      <c r="X927" s="559"/>
      <c r="Y927" s="559"/>
      <c r="Z927" s="559"/>
      <c r="AA927" s="559"/>
      <c r="AB927" s="559"/>
      <c r="AC927" s="559"/>
      <c r="AD927" s="559"/>
      <c r="AE927" s="559"/>
      <c r="AF927" s="559"/>
      <c r="AG927" s="559"/>
    </row>
    <row r="928" spans="1:33" ht="18" customHeight="1" x14ac:dyDescent="0.35">
      <c r="A928" s="559"/>
      <c r="B928" s="559"/>
      <c r="C928" s="559"/>
      <c r="D928" s="559"/>
      <c r="E928" s="559"/>
      <c r="F928" s="559"/>
      <c r="G928" s="559"/>
      <c r="H928" s="559"/>
      <c r="I928" s="559"/>
      <c r="J928" s="559"/>
      <c r="K928" s="559"/>
      <c r="L928" s="559"/>
      <c r="M928" s="559"/>
      <c r="N928" s="559"/>
      <c r="O928" s="559"/>
      <c r="P928" s="559"/>
      <c r="Q928" s="559"/>
      <c r="R928" s="559"/>
      <c r="S928" s="559"/>
      <c r="T928" s="559"/>
      <c r="U928" s="559"/>
      <c r="V928" s="559"/>
      <c r="W928" s="559"/>
      <c r="X928" s="559"/>
      <c r="Y928" s="559"/>
      <c r="Z928" s="559"/>
      <c r="AA928" s="559"/>
      <c r="AB928" s="559"/>
      <c r="AC928" s="559"/>
      <c r="AD928" s="559"/>
      <c r="AE928" s="559"/>
      <c r="AF928" s="559"/>
      <c r="AG928" s="559"/>
    </row>
    <row r="929" spans="1:33" ht="18" customHeight="1" x14ac:dyDescent="0.35">
      <c r="A929" s="559"/>
      <c r="B929" s="559"/>
      <c r="C929" s="559"/>
      <c r="D929" s="559"/>
      <c r="E929" s="559"/>
      <c r="F929" s="559"/>
      <c r="G929" s="559"/>
      <c r="H929" s="559"/>
      <c r="I929" s="559"/>
      <c r="J929" s="559"/>
      <c r="K929" s="559"/>
      <c r="L929" s="559"/>
      <c r="M929" s="559"/>
      <c r="N929" s="559"/>
      <c r="O929" s="559"/>
      <c r="P929" s="559"/>
      <c r="Q929" s="559"/>
      <c r="R929" s="559"/>
      <c r="S929" s="559"/>
      <c r="T929" s="559"/>
      <c r="U929" s="559"/>
      <c r="V929" s="559"/>
      <c r="W929" s="559"/>
      <c r="X929" s="559"/>
      <c r="Y929" s="559"/>
      <c r="Z929" s="559"/>
      <c r="AA929" s="559"/>
      <c r="AB929" s="559"/>
      <c r="AC929" s="559"/>
      <c r="AD929" s="559"/>
      <c r="AE929" s="559"/>
      <c r="AF929" s="559"/>
      <c r="AG929" s="559"/>
    </row>
    <row r="930" spans="1:33" ht="18" customHeight="1" x14ac:dyDescent="0.35">
      <c r="A930" s="559"/>
      <c r="B930" s="559"/>
      <c r="C930" s="559"/>
      <c r="D930" s="559"/>
      <c r="E930" s="559"/>
      <c r="F930" s="559"/>
      <c r="G930" s="559"/>
      <c r="H930" s="559"/>
      <c r="I930" s="559"/>
      <c r="J930" s="559"/>
      <c r="K930" s="559"/>
      <c r="L930" s="559"/>
      <c r="M930" s="559"/>
      <c r="N930" s="559"/>
      <c r="O930" s="559"/>
      <c r="P930" s="559"/>
      <c r="Q930" s="559"/>
      <c r="R930" s="559"/>
      <c r="S930" s="559"/>
      <c r="T930" s="559"/>
      <c r="U930" s="559"/>
      <c r="V930" s="559"/>
      <c r="W930" s="559"/>
      <c r="X930" s="559"/>
      <c r="Y930" s="559"/>
      <c r="Z930" s="559"/>
      <c r="AA930" s="559"/>
      <c r="AB930" s="559"/>
      <c r="AC930" s="559"/>
      <c r="AD930" s="559"/>
      <c r="AE930" s="559"/>
      <c r="AF930" s="559"/>
      <c r="AG930" s="559"/>
    </row>
    <row r="931" spans="1:33" ht="18" customHeight="1" x14ac:dyDescent="0.35">
      <c r="A931" s="559"/>
      <c r="B931" s="559"/>
      <c r="C931" s="559"/>
      <c r="D931" s="559"/>
      <c r="E931" s="559"/>
      <c r="F931" s="559"/>
      <c r="G931" s="559"/>
      <c r="H931" s="559"/>
      <c r="I931" s="559"/>
      <c r="J931" s="559"/>
      <c r="K931" s="559"/>
      <c r="L931" s="559"/>
      <c r="M931" s="559"/>
      <c r="N931" s="559"/>
      <c r="O931" s="559"/>
      <c r="P931" s="559"/>
      <c r="Q931" s="559"/>
      <c r="R931" s="559"/>
      <c r="S931" s="559"/>
      <c r="T931" s="559"/>
      <c r="U931" s="559"/>
      <c r="V931" s="559"/>
      <c r="W931" s="559"/>
      <c r="X931" s="559"/>
      <c r="Y931" s="559"/>
      <c r="Z931" s="559"/>
      <c r="AA931" s="559"/>
      <c r="AB931" s="559"/>
      <c r="AC931" s="559"/>
      <c r="AD931" s="559"/>
      <c r="AE931" s="559"/>
      <c r="AF931" s="559"/>
      <c r="AG931" s="559"/>
    </row>
    <row r="932" spans="1:33" ht="18" customHeight="1" x14ac:dyDescent="0.35">
      <c r="A932" s="559"/>
      <c r="B932" s="559"/>
      <c r="C932" s="559"/>
      <c r="D932" s="559"/>
      <c r="E932" s="559"/>
      <c r="F932" s="559"/>
      <c r="G932" s="559"/>
      <c r="H932" s="559"/>
      <c r="I932" s="559"/>
      <c r="J932" s="559"/>
      <c r="K932" s="559"/>
      <c r="L932" s="559"/>
      <c r="M932" s="559"/>
      <c r="N932" s="559"/>
      <c r="O932" s="559"/>
      <c r="P932" s="559"/>
      <c r="Q932" s="559"/>
      <c r="R932" s="559"/>
      <c r="S932" s="559"/>
      <c r="T932" s="559"/>
      <c r="U932" s="559"/>
      <c r="V932" s="559"/>
      <c r="W932" s="559"/>
      <c r="X932" s="559"/>
      <c r="Y932" s="559"/>
      <c r="Z932" s="559"/>
      <c r="AA932" s="559"/>
      <c r="AB932" s="559"/>
      <c r="AC932" s="559"/>
      <c r="AD932" s="559"/>
      <c r="AE932" s="559"/>
      <c r="AF932" s="559"/>
      <c r="AG932" s="559"/>
    </row>
    <row r="933" spans="1:33" ht="18" customHeight="1" x14ac:dyDescent="0.35">
      <c r="A933" s="559"/>
      <c r="B933" s="559"/>
      <c r="C933" s="559"/>
      <c r="D933" s="559"/>
      <c r="E933" s="559"/>
      <c r="F933" s="559"/>
      <c r="G933" s="559"/>
      <c r="H933" s="559"/>
      <c r="I933" s="559"/>
      <c r="J933" s="559"/>
      <c r="K933" s="559"/>
      <c r="L933" s="559"/>
      <c r="M933" s="559"/>
      <c r="N933" s="559"/>
      <c r="O933" s="559"/>
      <c r="P933" s="559"/>
      <c r="Q933" s="559"/>
      <c r="R933" s="559"/>
      <c r="S933" s="559"/>
      <c r="T933" s="559"/>
      <c r="U933" s="559"/>
      <c r="V933" s="559"/>
      <c r="W933" s="559"/>
      <c r="X933" s="559"/>
      <c r="Y933" s="559"/>
      <c r="Z933" s="559"/>
      <c r="AA933" s="559"/>
      <c r="AB933" s="559"/>
      <c r="AC933" s="559"/>
      <c r="AD933" s="559"/>
      <c r="AE933" s="559"/>
      <c r="AF933" s="559"/>
      <c r="AG933" s="559"/>
    </row>
    <row r="934" spans="1:33" ht="18" customHeight="1" x14ac:dyDescent="0.35">
      <c r="A934" s="559"/>
      <c r="B934" s="559"/>
      <c r="C934" s="559"/>
      <c r="D934" s="559"/>
      <c r="E934" s="559"/>
      <c r="F934" s="559"/>
      <c r="G934" s="559"/>
      <c r="H934" s="559"/>
      <c r="I934" s="559"/>
      <c r="J934" s="559"/>
      <c r="K934" s="559"/>
      <c r="L934" s="559"/>
      <c r="M934" s="559"/>
      <c r="N934" s="559"/>
      <c r="O934" s="559"/>
      <c r="P934" s="559"/>
      <c r="Q934" s="559"/>
      <c r="R934" s="559"/>
      <c r="S934" s="559"/>
      <c r="T934" s="559"/>
      <c r="U934" s="559"/>
      <c r="V934" s="559"/>
      <c r="W934" s="559"/>
      <c r="X934" s="559"/>
      <c r="Y934" s="559"/>
      <c r="Z934" s="559"/>
      <c r="AA934" s="559"/>
      <c r="AB934" s="559"/>
      <c r="AC934" s="559"/>
      <c r="AD934" s="559"/>
      <c r="AE934" s="559"/>
      <c r="AF934" s="559"/>
      <c r="AG934" s="559"/>
    </row>
    <row r="935" spans="1:33" ht="18" customHeight="1" x14ac:dyDescent="0.35">
      <c r="A935" s="559"/>
      <c r="B935" s="559"/>
      <c r="C935" s="559"/>
      <c r="D935" s="559"/>
      <c r="E935" s="559"/>
      <c r="F935" s="559"/>
      <c r="G935" s="559"/>
      <c r="H935" s="559"/>
      <c r="I935" s="559"/>
      <c r="J935" s="559"/>
      <c r="K935" s="559"/>
      <c r="L935" s="559"/>
      <c r="M935" s="559"/>
      <c r="N935" s="559"/>
      <c r="O935" s="559"/>
      <c r="P935" s="559"/>
      <c r="Q935" s="559"/>
      <c r="R935" s="559"/>
      <c r="S935" s="559"/>
      <c r="T935" s="559"/>
      <c r="U935" s="559"/>
      <c r="V935" s="559"/>
      <c r="W935" s="559"/>
      <c r="X935" s="559"/>
      <c r="Y935" s="559"/>
      <c r="Z935" s="559"/>
      <c r="AA935" s="559"/>
      <c r="AB935" s="559"/>
      <c r="AC935" s="559"/>
      <c r="AD935" s="559"/>
      <c r="AE935" s="559"/>
      <c r="AF935" s="559"/>
      <c r="AG935" s="559"/>
    </row>
    <row r="936" spans="1:33" ht="18" customHeight="1" x14ac:dyDescent="0.35">
      <c r="A936" s="559"/>
      <c r="B936" s="559"/>
      <c r="C936" s="559"/>
      <c r="D936" s="559"/>
      <c r="E936" s="559"/>
      <c r="F936" s="559"/>
      <c r="G936" s="559"/>
      <c r="H936" s="559"/>
      <c r="I936" s="559"/>
      <c r="J936" s="559"/>
      <c r="K936" s="559"/>
      <c r="L936" s="559"/>
      <c r="M936" s="559"/>
      <c r="N936" s="559"/>
      <c r="O936" s="559"/>
      <c r="P936" s="559"/>
      <c r="Q936" s="559"/>
      <c r="R936" s="559"/>
      <c r="S936" s="559"/>
      <c r="T936" s="559"/>
      <c r="U936" s="559"/>
      <c r="V936" s="559"/>
      <c r="W936" s="559"/>
      <c r="X936" s="559"/>
      <c r="Y936" s="559"/>
      <c r="Z936" s="559"/>
      <c r="AA936" s="559"/>
      <c r="AB936" s="559"/>
      <c r="AC936" s="559"/>
      <c r="AD936" s="559"/>
      <c r="AE936" s="559"/>
      <c r="AF936" s="559"/>
      <c r="AG936" s="559"/>
    </row>
    <row r="937" spans="1:33" ht="18" customHeight="1" x14ac:dyDescent="0.35">
      <c r="A937" s="559"/>
      <c r="B937" s="559"/>
      <c r="C937" s="559"/>
      <c r="D937" s="559"/>
      <c r="E937" s="559"/>
      <c r="F937" s="559"/>
      <c r="G937" s="559"/>
      <c r="H937" s="559"/>
      <c r="I937" s="559"/>
      <c r="J937" s="559"/>
      <c r="K937" s="559"/>
      <c r="L937" s="559"/>
      <c r="M937" s="559"/>
      <c r="N937" s="559"/>
      <c r="O937" s="559"/>
      <c r="P937" s="559"/>
      <c r="Q937" s="559"/>
      <c r="R937" s="559"/>
      <c r="S937" s="559"/>
      <c r="T937" s="559"/>
      <c r="U937" s="559"/>
      <c r="V937" s="559"/>
      <c r="W937" s="559"/>
      <c r="X937" s="559"/>
      <c r="Y937" s="559"/>
      <c r="Z937" s="559"/>
      <c r="AA937" s="559"/>
      <c r="AB937" s="559"/>
      <c r="AC937" s="559"/>
      <c r="AD937" s="559"/>
      <c r="AE937" s="559"/>
      <c r="AF937" s="559"/>
      <c r="AG937" s="559"/>
    </row>
    <row r="938" spans="1:33" ht="18" customHeight="1" x14ac:dyDescent="0.35">
      <c r="A938" s="559"/>
      <c r="B938" s="559"/>
      <c r="C938" s="559"/>
      <c r="D938" s="559"/>
      <c r="E938" s="559"/>
      <c r="F938" s="559"/>
      <c r="G938" s="559"/>
      <c r="H938" s="559"/>
      <c r="I938" s="559"/>
      <c r="J938" s="559"/>
      <c r="K938" s="559"/>
      <c r="L938" s="559"/>
      <c r="M938" s="559"/>
      <c r="N938" s="559"/>
      <c r="O938" s="559"/>
      <c r="P938" s="559"/>
      <c r="Q938" s="559"/>
      <c r="R938" s="559"/>
      <c r="S938" s="559"/>
      <c r="T938" s="559"/>
      <c r="U938" s="559"/>
      <c r="V938" s="559"/>
      <c r="W938" s="559"/>
      <c r="X938" s="559"/>
      <c r="Y938" s="559"/>
      <c r="Z938" s="559"/>
      <c r="AA938" s="559"/>
      <c r="AB938" s="559"/>
      <c r="AC938" s="559"/>
      <c r="AD938" s="559"/>
      <c r="AE938" s="559"/>
      <c r="AF938" s="559"/>
      <c r="AG938" s="559"/>
    </row>
    <row r="939" spans="1:33" ht="18" customHeight="1" x14ac:dyDescent="0.35">
      <c r="A939" s="559"/>
      <c r="B939" s="559"/>
      <c r="C939" s="559"/>
      <c r="D939" s="559"/>
      <c r="E939" s="559"/>
      <c r="F939" s="559"/>
      <c r="G939" s="559"/>
      <c r="H939" s="559"/>
      <c r="I939" s="559"/>
      <c r="J939" s="559"/>
      <c r="K939" s="559"/>
      <c r="L939" s="559"/>
      <c r="M939" s="559"/>
      <c r="N939" s="559"/>
      <c r="O939" s="559"/>
      <c r="P939" s="559"/>
      <c r="Q939" s="559"/>
      <c r="R939" s="559"/>
      <c r="S939" s="559"/>
      <c r="T939" s="559"/>
      <c r="U939" s="559"/>
      <c r="V939" s="559"/>
      <c r="W939" s="559"/>
      <c r="X939" s="559"/>
      <c r="Y939" s="559"/>
      <c r="Z939" s="559"/>
      <c r="AA939" s="559"/>
      <c r="AB939" s="559"/>
      <c r="AC939" s="559"/>
      <c r="AD939" s="559"/>
      <c r="AE939" s="559"/>
      <c r="AF939" s="559"/>
      <c r="AG939" s="559"/>
    </row>
    <row r="940" spans="1:33" ht="18" customHeight="1" x14ac:dyDescent="0.35">
      <c r="A940" s="559"/>
      <c r="B940" s="559"/>
      <c r="C940" s="559"/>
      <c r="D940" s="559"/>
      <c r="E940" s="559"/>
      <c r="F940" s="559"/>
      <c r="G940" s="559"/>
      <c r="H940" s="559"/>
      <c r="I940" s="559"/>
      <c r="J940" s="559"/>
      <c r="K940" s="559"/>
      <c r="L940" s="559"/>
      <c r="M940" s="559"/>
      <c r="N940" s="559"/>
      <c r="O940" s="559"/>
      <c r="P940" s="559"/>
      <c r="Q940" s="559"/>
      <c r="R940" s="559"/>
      <c r="S940" s="559"/>
      <c r="T940" s="559"/>
      <c r="U940" s="559"/>
      <c r="V940" s="559"/>
      <c r="W940" s="559"/>
      <c r="X940" s="559"/>
      <c r="Y940" s="559"/>
      <c r="Z940" s="559"/>
      <c r="AA940" s="559"/>
      <c r="AB940" s="559"/>
      <c r="AC940" s="559"/>
      <c r="AD940" s="559"/>
      <c r="AE940" s="559"/>
      <c r="AF940" s="559"/>
      <c r="AG940" s="559"/>
    </row>
    <row r="941" spans="1:33" ht="18" customHeight="1" x14ac:dyDescent="0.35">
      <c r="A941" s="559"/>
      <c r="B941" s="559"/>
      <c r="C941" s="559"/>
      <c r="D941" s="559"/>
      <c r="E941" s="559"/>
      <c r="F941" s="559"/>
      <c r="G941" s="559"/>
      <c r="H941" s="559"/>
      <c r="I941" s="559"/>
      <c r="J941" s="559"/>
      <c r="K941" s="559"/>
      <c r="L941" s="559"/>
      <c r="M941" s="559"/>
      <c r="N941" s="559"/>
      <c r="O941" s="559"/>
      <c r="P941" s="559"/>
      <c r="Q941" s="559"/>
      <c r="R941" s="559"/>
      <c r="S941" s="559"/>
      <c r="T941" s="559"/>
      <c r="U941" s="559"/>
      <c r="V941" s="559"/>
      <c r="W941" s="559"/>
      <c r="X941" s="559"/>
      <c r="Y941" s="559"/>
      <c r="Z941" s="559"/>
      <c r="AA941" s="559"/>
      <c r="AB941" s="559"/>
      <c r="AC941" s="559"/>
      <c r="AD941" s="559"/>
      <c r="AE941" s="559"/>
      <c r="AF941" s="559"/>
      <c r="AG941" s="559"/>
    </row>
    <row r="942" spans="1:33" ht="18" customHeight="1" x14ac:dyDescent="0.35">
      <c r="A942" s="559"/>
      <c r="B942" s="559"/>
      <c r="C942" s="559"/>
      <c r="D942" s="559"/>
      <c r="E942" s="559"/>
      <c r="F942" s="559"/>
      <c r="G942" s="559"/>
      <c r="H942" s="559"/>
      <c r="I942" s="559"/>
      <c r="J942" s="559"/>
      <c r="K942" s="559"/>
      <c r="L942" s="559"/>
      <c r="M942" s="559"/>
      <c r="N942" s="559"/>
      <c r="O942" s="559"/>
      <c r="P942" s="559"/>
      <c r="Q942" s="559"/>
      <c r="R942" s="559"/>
      <c r="S942" s="559"/>
      <c r="T942" s="559"/>
      <c r="U942" s="559"/>
      <c r="V942" s="559"/>
      <c r="W942" s="559"/>
      <c r="X942" s="559"/>
      <c r="Y942" s="559"/>
      <c r="Z942" s="559"/>
      <c r="AA942" s="559"/>
      <c r="AB942" s="559"/>
      <c r="AC942" s="559"/>
      <c r="AD942" s="559"/>
      <c r="AE942" s="559"/>
      <c r="AF942" s="559"/>
      <c r="AG942" s="559"/>
    </row>
    <row r="943" spans="1:33" ht="18" customHeight="1" x14ac:dyDescent="0.35">
      <c r="A943" s="559"/>
      <c r="B943" s="559"/>
      <c r="C943" s="559"/>
      <c r="D943" s="559"/>
      <c r="E943" s="559"/>
      <c r="F943" s="559"/>
      <c r="G943" s="559"/>
      <c r="H943" s="559"/>
      <c r="I943" s="559"/>
      <c r="J943" s="559"/>
      <c r="K943" s="559"/>
      <c r="L943" s="559"/>
      <c r="M943" s="559"/>
      <c r="N943" s="559"/>
      <c r="O943" s="559"/>
      <c r="P943" s="559"/>
      <c r="Q943" s="559"/>
      <c r="R943" s="559"/>
      <c r="S943" s="559"/>
      <c r="T943" s="559"/>
      <c r="U943" s="559"/>
      <c r="V943" s="559"/>
      <c r="W943" s="559"/>
      <c r="X943" s="559"/>
      <c r="Y943" s="559"/>
      <c r="Z943" s="559"/>
      <c r="AA943" s="559"/>
      <c r="AB943" s="559"/>
      <c r="AC943" s="559"/>
      <c r="AD943" s="559"/>
      <c r="AE943" s="559"/>
      <c r="AF943" s="559"/>
      <c r="AG943" s="559"/>
    </row>
    <row r="944" spans="1:33" ht="18" customHeight="1" x14ac:dyDescent="0.35">
      <c r="A944" s="559"/>
      <c r="B944" s="559"/>
      <c r="C944" s="559"/>
      <c r="D944" s="559"/>
      <c r="E944" s="559"/>
      <c r="F944" s="559"/>
      <c r="G944" s="559"/>
      <c r="H944" s="559"/>
      <c r="I944" s="559"/>
      <c r="J944" s="559"/>
      <c r="K944" s="559"/>
      <c r="L944" s="559"/>
      <c r="M944" s="559"/>
      <c r="N944" s="559"/>
      <c r="O944" s="559"/>
      <c r="P944" s="559"/>
      <c r="Q944" s="559"/>
      <c r="R944" s="559"/>
      <c r="S944" s="559"/>
      <c r="T944" s="559"/>
      <c r="U944" s="559"/>
      <c r="V944" s="559"/>
      <c r="W944" s="559"/>
      <c r="X944" s="559"/>
      <c r="Y944" s="559"/>
      <c r="Z944" s="559"/>
      <c r="AA944" s="559"/>
      <c r="AB944" s="559"/>
      <c r="AC944" s="559"/>
      <c r="AD944" s="559"/>
      <c r="AE944" s="559"/>
      <c r="AF944" s="559"/>
      <c r="AG944" s="559"/>
    </row>
    <row r="945" spans="1:33" ht="18" customHeight="1" x14ac:dyDescent="0.35">
      <c r="A945" s="559"/>
      <c r="B945" s="559"/>
      <c r="C945" s="559"/>
      <c r="D945" s="559"/>
      <c r="E945" s="559"/>
      <c r="F945" s="559"/>
      <c r="G945" s="559"/>
      <c r="H945" s="559"/>
      <c r="I945" s="559"/>
      <c r="J945" s="559"/>
      <c r="K945" s="559"/>
      <c r="L945" s="559"/>
      <c r="M945" s="559"/>
      <c r="N945" s="559"/>
      <c r="O945" s="559"/>
      <c r="P945" s="559"/>
      <c r="Q945" s="559"/>
      <c r="R945" s="559"/>
      <c r="S945" s="559"/>
      <c r="T945" s="559"/>
      <c r="U945" s="559"/>
      <c r="V945" s="559"/>
      <c r="W945" s="559"/>
      <c r="X945" s="559"/>
      <c r="Y945" s="559"/>
      <c r="Z945" s="559"/>
      <c r="AA945" s="559"/>
      <c r="AB945" s="559"/>
      <c r="AC945" s="559"/>
      <c r="AD945" s="559"/>
      <c r="AE945" s="559"/>
      <c r="AF945" s="559"/>
      <c r="AG945" s="559"/>
    </row>
    <row r="946" spans="1:33" ht="18" customHeight="1" x14ac:dyDescent="0.35">
      <c r="A946" s="559"/>
      <c r="B946" s="559"/>
      <c r="C946" s="559"/>
      <c r="D946" s="559"/>
      <c r="E946" s="559"/>
      <c r="F946" s="559"/>
      <c r="G946" s="559"/>
      <c r="H946" s="559"/>
      <c r="I946" s="559"/>
      <c r="J946" s="559"/>
      <c r="K946" s="559"/>
      <c r="L946" s="559"/>
      <c r="M946" s="559"/>
      <c r="N946" s="559"/>
      <c r="O946" s="559"/>
      <c r="P946" s="559"/>
      <c r="Q946" s="559"/>
      <c r="R946" s="559"/>
      <c r="S946" s="559"/>
      <c r="T946" s="559"/>
      <c r="U946" s="559"/>
      <c r="V946" s="559"/>
      <c r="W946" s="559"/>
      <c r="X946" s="559"/>
      <c r="Y946" s="559"/>
      <c r="Z946" s="559"/>
      <c r="AA946" s="559"/>
      <c r="AB946" s="559"/>
      <c r="AC946" s="559"/>
      <c r="AD946" s="559"/>
      <c r="AE946" s="559"/>
      <c r="AF946" s="559"/>
      <c r="AG946" s="559"/>
    </row>
    <row r="947" spans="1:33" ht="18" customHeight="1" x14ac:dyDescent="0.35">
      <c r="A947" s="559"/>
      <c r="B947" s="559"/>
      <c r="C947" s="559"/>
      <c r="D947" s="559"/>
      <c r="E947" s="559"/>
      <c r="F947" s="559"/>
      <c r="G947" s="559"/>
      <c r="H947" s="559"/>
      <c r="I947" s="559"/>
      <c r="J947" s="559"/>
      <c r="K947" s="559"/>
      <c r="L947" s="559"/>
      <c r="M947" s="559"/>
      <c r="N947" s="559"/>
      <c r="O947" s="559"/>
      <c r="P947" s="559"/>
      <c r="Q947" s="559"/>
      <c r="R947" s="559"/>
      <c r="S947" s="559"/>
      <c r="T947" s="559"/>
      <c r="U947" s="559"/>
      <c r="V947" s="559"/>
      <c r="W947" s="559"/>
      <c r="X947" s="559"/>
      <c r="Y947" s="559"/>
      <c r="Z947" s="559"/>
      <c r="AA947" s="559"/>
      <c r="AB947" s="559"/>
      <c r="AC947" s="559"/>
      <c r="AD947" s="559"/>
      <c r="AE947" s="559"/>
      <c r="AF947" s="559"/>
      <c r="AG947" s="559"/>
    </row>
    <row r="948" spans="1:33" ht="18" customHeight="1" x14ac:dyDescent="0.35">
      <c r="A948" s="559"/>
      <c r="B948" s="559"/>
      <c r="C948" s="559"/>
      <c r="D948" s="559"/>
      <c r="E948" s="559"/>
      <c r="F948" s="559"/>
      <c r="G948" s="559"/>
      <c r="H948" s="559"/>
      <c r="I948" s="559"/>
      <c r="J948" s="559"/>
      <c r="K948" s="559"/>
      <c r="L948" s="559"/>
      <c r="M948" s="559"/>
      <c r="N948" s="559"/>
      <c r="O948" s="559"/>
      <c r="P948" s="559"/>
      <c r="Q948" s="559"/>
      <c r="R948" s="559"/>
      <c r="S948" s="559"/>
      <c r="T948" s="559"/>
      <c r="U948" s="559"/>
      <c r="V948" s="559"/>
      <c r="W948" s="559"/>
      <c r="X948" s="559"/>
      <c r="Y948" s="559"/>
      <c r="Z948" s="559"/>
      <c r="AA948" s="559"/>
      <c r="AB948" s="559"/>
      <c r="AC948" s="559"/>
      <c r="AD948" s="559"/>
      <c r="AE948" s="559"/>
      <c r="AF948" s="559"/>
      <c r="AG948" s="559"/>
    </row>
    <row r="949" spans="1:33" ht="18" customHeight="1" x14ac:dyDescent="0.35">
      <c r="A949" s="559"/>
      <c r="B949" s="559"/>
      <c r="C949" s="559"/>
      <c r="D949" s="559"/>
      <c r="E949" s="559"/>
      <c r="F949" s="559"/>
      <c r="G949" s="559"/>
      <c r="H949" s="559"/>
      <c r="I949" s="559"/>
      <c r="J949" s="559"/>
      <c r="K949" s="559"/>
      <c r="L949" s="559"/>
      <c r="M949" s="559"/>
      <c r="N949" s="559"/>
      <c r="O949" s="559"/>
      <c r="P949" s="559"/>
      <c r="Q949" s="559"/>
      <c r="R949" s="559"/>
      <c r="S949" s="559"/>
      <c r="T949" s="559"/>
      <c r="U949" s="559"/>
      <c r="V949" s="559"/>
      <c r="W949" s="559"/>
      <c r="X949" s="559"/>
      <c r="Y949" s="559"/>
      <c r="Z949" s="559"/>
      <c r="AA949" s="559"/>
      <c r="AB949" s="559"/>
      <c r="AC949" s="559"/>
      <c r="AD949" s="559"/>
      <c r="AE949" s="559"/>
      <c r="AF949" s="559"/>
      <c r="AG949" s="559"/>
    </row>
    <row r="950" spans="1:33" ht="18" customHeight="1" x14ac:dyDescent="0.35">
      <c r="A950" s="559"/>
      <c r="B950" s="559"/>
      <c r="C950" s="559"/>
      <c r="D950" s="559"/>
      <c r="E950" s="559"/>
      <c r="F950" s="559"/>
      <c r="G950" s="559"/>
      <c r="H950" s="559"/>
      <c r="I950" s="559"/>
      <c r="J950" s="559"/>
      <c r="K950" s="559"/>
      <c r="L950" s="559"/>
      <c r="M950" s="559"/>
      <c r="N950" s="559"/>
      <c r="O950" s="559"/>
      <c r="P950" s="559"/>
      <c r="Q950" s="559"/>
      <c r="R950" s="559"/>
      <c r="S950" s="559"/>
      <c r="T950" s="559"/>
      <c r="U950" s="559"/>
      <c r="V950" s="559"/>
      <c r="W950" s="559"/>
      <c r="X950" s="559"/>
      <c r="Y950" s="559"/>
      <c r="Z950" s="559"/>
      <c r="AA950" s="559"/>
      <c r="AB950" s="559"/>
      <c r="AC950" s="559"/>
      <c r="AD950" s="559"/>
      <c r="AE950" s="559"/>
      <c r="AF950" s="559"/>
      <c r="AG950" s="559"/>
    </row>
    <row r="951" spans="1:33" ht="18" customHeight="1" x14ac:dyDescent="0.35">
      <c r="A951" s="559"/>
      <c r="B951" s="559"/>
      <c r="C951" s="559"/>
      <c r="D951" s="559"/>
      <c r="E951" s="559"/>
      <c r="F951" s="559"/>
      <c r="G951" s="559"/>
      <c r="H951" s="559"/>
      <c r="I951" s="559"/>
      <c r="J951" s="559"/>
      <c r="K951" s="559"/>
      <c r="L951" s="559"/>
      <c r="M951" s="559"/>
      <c r="N951" s="559"/>
      <c r="O951" s="559"/>
      <c r="P951" s="559"/>
      <c r="Q951" s="559"/>
      <c r="R951" s="559"/>
      <c r="S951" s="559"/>
      <c r="T951" s="559"/>
      <c r="U951" s="559"/>
      <c r="V951" s="559"/>
      <c r="W951" s="559"/>
      <c r="X951" s="559"/>
      <c r="Y951" s="559"/>
      <c r="Z951" s="559"/>
      <c r="AA951" s="559"/>
      <c r="AB951" s="559"/>
      <c r="AC951" s="559"/>
      <c r="AD951" s="559"/>
      <c r="AE951" s="559"/>
      <c r="AF951" s="559"/>
      <c r="AG951" s="559"/>
    </row>
    <row r="952" spans="1:33" ht="18" customHeight="1" x14ac:dyDescent="0.35">
      <c r="A952" s="559"/>
      <c r="B952" s="559"/>
      <c r="C952" s="559"/>
      <c r="D952" s="559"/>
      <c r="E952" s="559"/>
      <c r="F952" s="559"/>
      <c r="G952" s="559"/>
      <c r="H952" s="559"/>
      <c r="I952" s="559"/>
      <c r="J952" s="559"/>
      <c r="K952" s="559"/>
      <c r="L952" s="559"/>
      <c r="M952" s="559"/>
      <c r="N952" s="559"/>
      <c r="O952" s="559"/>
      <c r="P952" s="559"/>
      <c r="Q952" s="559"/>
      <c r="R952" s="559"/>
      <c r="S952" s="559"/>
      <c r="T952" s="559"/>
      <c r="U952" s="559"/>
      <c r="V952" s="559"/>
      <c r="W952" s="559"/>
      <c r="X952" s="559"/>
      <c r="Y952" s="559"/>
      <c r="Z952" s="559"/>
      <c r="AA952" s="559"/>
      <c r="AB952" s="559"/>
      <c r="AC952" s="559"/>
      <c r="AD952" s="559"/>
      <c r="AE952" s="559"/>
      <c r="AF952" s="559"/>
      <c r="AG952" s="559"/>
    </row>
    <row r="953" spans="1:33" ht="18" customHeight="1" x14ac:dyDescent="0.35">
      <c r="A953" s="559"/>
      <c r="B953" s="559"/>
      <c r="C953" s="559"/>
      <c r="D953" s="559"/>
      <c r="E953" s="559"/>
      <c r="F953" s="559"/>
      <c r="G953" s="559"/>
      <c r="H953" s="559"/>
      <c r="I953" s="559"/>
      <c r="J953" s="559"/>
      <c r="K953" s="559"/>
      <c r="L953" s="559"/>
      <c r="M953" s="559"/>
      <c r="N953" s="559"/>
      <c r="O953" s="559"/>
      <c r="P953" s="559"/>
      <c r="Q953" s="559"/>
      <c r="R953" s="559"/>
      <c r="S953" s="559"/>
      <c r="T953" s="559"/>
      <c r="U953" s="559"/>
      <c r="V953" s="559"/>
      <c r="W953" s="559"/>
      <c r="X953" s="559"/>
      <c r="Y953" s="559"/>
      <c r="Z953" s="559"/>
      <c r="AA953" s="559"/>
      <c r="AB953" s="559"/>
      <c r="AC953" s="559"/>
      <c r="AD953" s="559"/>
      <c r="AE953" s="559"/>
      <c r="AF953" s="559"/>
      <c r="AG953" s="559"/>
    </row>
    <row r="954" spans="1:33" ht="18" customHeight="1" x14ac:dyDescent="0.35">
      <c r="A954" s="559"/>
      <c r="B954" s="559"/>
      <c r="C954" s="559"/>
      <c r="D954" s="559"/>
      <c r="E954" s="559"/>
      <c r="F954" s="559"/>
      <c r="G954" s="559"/>
      <c r="H954" s="559"/>
      <c r="I954" s="559"/>
      <c r="J954" s="559"/>
      <c r="K954" s="559"/>
      <c r="L954" s="559"/>
      <c r="M954" s="559"/>
      <c r="N954" s="559"/>
      <c r="O954" s="559"/>
      <c r="P954" s="559"/>
      <c r="Q954" s="559"/>
      <c r="R954" s="559"/>
      <c r="S954" s="559"/>
      <c r="T954" s="559"/>
      <c r="U954" s="559"/>
      <c r="V954" s="559"/>
      <c r="W954" s="559"/>
      <c r="X954" s="559"/>
      <c r="Y954" s="559"/>
      <c r="Z954" s="559"/>
      <c r="AA954" s="559"/>
      <c r="AB954" s="559"/>
      <c r="AC954" s="559"/>
      <c r="AD954" s="559"/>
      <c r="AE954" s="559"/>
      <c r="AF954" s="559"/>
      <c r="AG954" s="559"/>
    </row>
    <row r="955" spans="1:33" ht="18" customHeight="1" x14ac:dyDescent="0.35">
      <c r="A955" s="559"/>
      <c r="B955" s="559"/>
      <c r="C955" s="559"/>
      <c r="D955" s="559"/>
      <c r="E955" s="559"/>
      <c r="F955" s="559"/>
      <c r="G955" s="559"/>
      <c r="H955" s="559"/>
      <c r="I955" s="559"/>
      <c r="J955" s="559"/>
      <c r="K955" s="559"/>
      <c r="L955" s="559"/>
      <c r="M955" s="559"/>
      <c r="N955" s="559"/>
      <c r="O955" s="559"/>
      <c r="P955" s="559"/>
      <c r="Q955" s="559"/>
      <c r="R955" s="559"/>
      <c r="S955" s="559"/>
      <c r="T955" s="559"/>
      <c r="U955" s="559"/>
      <c r="V955" s="559"/>
      <c r="W955" s="559"/>
      <c r="X955" s="559"/>
      <c r="Y955" s="559"/>
      <c r="Z955" s="559"/>
      <c r="AA955" s="559"/>
      <c r="AB955" s="559"/>
      <c r="AC955" s="559"/>
      <c r="AD955" s="559"/>
      <c r="AE955" s="559"/>
      <c r="AF955" s="559"/>
      <c r="AG955" s="559"/>
    </row>
    <row r="956" spans="1:33" ht="18" customHeight="1" x14ac:dyDescent="0.35">
      <c r="A956" s="559"/>
      <c r="B956" s="559"/>
      <c r="C956" s="559"/>
      <c r="D956" s="559"/>
      <c r="E956" s="559"/>
      <c r="F956" s="559"/>
      <c r="G956" s="559"/>
      <c r="H956" s="559"/>
      <c r="I956" s="559"/>
      <c r="J956" s="559"/>
      <c r="K956" s="559"/>
      <c r="L956" s="559"/>
      <c r="M956" s="559"/>
      <c r="N956" s="559"/>
      <c r="O956" s="559"/>
      <c r="P956" s="559"/>
      <c r="Q956" s="559"/>
      <c r="R956" s="559"/>
      <c r="S956" s="559"/>
      <c r="T956" s="559"/>
      <c r="U956" s="559"/>
      <c r="V956" s="559"/>
      <c r="W956" s="559"/>
      <c r="X956" s="559"/>
      <c r="Y956" s="559"/>
      <c r="Z956" s="559"/>
      <c r="AA956" s="559"/>
      <c r="AB956" s="559"/>
      <c r="AC956" s="559"/>
      <c r="AD956" s="559"/>
      <c r="AE956" s="559"/>
      <c r="AF956" s="559"/>
      <c r="AG956" s="559"/>
    </row>
    <row r="957" spans="1:33" ht="18" customHeight="1" x14ac:dyDescent="0.35">
      <c r="A957" s="559"/>
      <c r="B957" s="559"/>
      <c r="C957" s="559"/>
      <c r="D957" s="559"/>
      <c r="E957" s="559"/>
      <c r="F957" s="559"/>
      <c r="G957" s="559"/>
      <c r="H957" s="559"/>
      <c r="I957" s="559"/>
      <c r="J957" s="559"/>
      <c r="K957" s="559"/>
      <c r="L957" s="559"/>
      <c r="M957" s="559"/>
      <c r="N957" s="559"/>
      <c r="O957" s="559"/>
      <c r="P957" s="559"/>
      <c r="Q957" s="559"/>
      <c r="R957" s="559"/>
      <c r="S957" s="559"/>
      <c r="T957" s="559"/>
      <c r="U957" s="559"/>
      <c r="V957" s="559"/>
      <c r="W957" s="559"/>
      <c r="X957" s="559"/>
      <c r="Y957" s="559"/>
      <c r="Z957" s="559"/>
      <c r="AA957" s="559"/>
      <c r="AB957" s="559"/>
      <c r="AC957" s="559"/>
      <c r="AD957" s="559"/>
      <c r="AE957" s="559"/>
      <c r="AF957" s="559"/>
      <c r="AG957" s="559"/>
    </row>
    <row r="958" spans="1:33" ht="18" customHeight="1" x14ac:dyDescent="0.35">
      <c r="A958" s="559"/>
      <c r="B958" s="559"/>
      <c r="C958" s="559"/>
      <c r="D958" s="559"/>
      <c r="E958" s="559"/>
      <c r="F958" s="559"/>
      <c r="G958" s="559"/>
      <c r="H958" s="559"/>
      <c r="I958" s="559"/>
      <c r="J958" s="559"/>
      <c r="K958" s="559"/>
      <c r="L958" s="559"/>
      <c r="M958" s="559"/>
      <c r="N958" s="559"/>
      <c r="O958" s="559"/>
      <c r="P958" s="559"/>
      <c r="Q958" s="559"/>
      <c r="R958" s="559"/>
      <c r="S958" s="559"/>
      <c r="T958" s="559"/>
      <c r="U958" s="559"/>
      <c r="V958" s="559"/>
      <c r="W958" s="559"/>
      <c r="X958" s="559"/>
      <c r="Y958" s="559"/>
      <c r="Z958" s="559"/>
      <c r="AA958" s="559"/>
      <c r="AB958" s="559"/>
      <c r="AC958" s="559"/>
      <c r="AD958" s="559"/>
      <c r="AE958" s="559"/>
      <c r="AF958" s="559"/>
      <c r="AG958" s="559"/>
    </row>
    <row r="959" spans="1:33" ht="18" customHeight="1" x14ac:dyDescent="0.35">
      <c r="A959" s="559"/>
      <c r="B959" s="559"/>
      <c r="C959" s="559"/>
      <c r="D959" s="559"/>
      <c r="E959" s="559"/>
      <c r="F959" s="559"/>
      <c r="G959" s="559"/>
      <c r="H959" s="559"/>
      <c r="I959" s="559"/>
      <c r="J959" s="559"/>
      <c r="K959" s="559"/>
      <c r="L959" s="559"/>
      <c r="M959" s="559"/>
      <c r="N959" s="559"/>
      <c r="O959" s="559"/>
      <c r="P959" s="559"/>
      <c r="Q959" s="559"/>
      <c r="R959" s="559"/>
      <c r="S959" s="559"/>
      <c r="T959" s="559"/>
      <c r="U959" s="559"/>
      <c r="V959" s="559"/>
      <c r="W959" s="559"/>
      <c r="X959" s="559"/>
      <c r="Y959" s="559"/>
      <c r="Z959" s="559"/>
      <c r="AA959" s="559"/>
      <c r="AB959" s="559"/>
      <c r="AC959" s="559"/>
      <c r="AD959" s="559"/>
      <c r="AE959" s="559"/>
      <c r="AF959" s="559"/>
      <c r="AG959" s="559"/>
    </row>
    <row r="960" spans="1:33" ht="18" customHeight="1" x14ac:dyDescent="0.35">
      <c r="A960" s="559"/>
      <c r="B960" s="559"/>
      <c r="C960" s="559"/>
      <c r="D960" s="559"/>
      <c r="E960" s="559"/>
      <c r="F960" s="559"/>
      <c r="G960" s="559"/>
      <c r="H960" s="559"/>
      <c r="I960" s="559"/>
      <c r="J960" s="559"/>
      <c r="K960" s="559"/>
      <c r="L960" s="559"/>
      <c r="M960" s="559"/>
      <c r="N960" s="559"/>
      <c r="O960" s="559"/>
      <c r="P960" s="559"/>
      <c r="Q960" s="559"/>
      <c r="R960" s="559"/>
      <c r="S960" s="559"/>
      <c r="T960" s="559"/>
      <c r="U960" s="559"/>
      <c r="V960" s="559"/>
      <c r="W960" s="559"/>
      <c r="X960" s="559"/>
      <c r="Y960" s="559"/>
      <c r="Z960" s="559"/>
      <c r="AA960" s="559"/>
      <c r="AB960" s="559"/>
      <c r="AC960" s="559"/>
      <c r="AD960" s="559"/>
      <c r="AE960" s="559"/>
      <c r="AF960" s="559"/>
      <c r="AG960" s="559"/>
    </row>
    <row r="961" spans="1:33" ht="18" customHeight="1" x14ac:dyDescent="0.35">
      <c r="A961" s="559"/>
      <c r="B961" s="559"/>
      <c r="C961" s="559"/>
      <c r="D961" s="559"/>
      <c r="E961" s="559"/>
      <c r="F961" s="559"/>
      <c r="G961" s="559"/>
      <c r="H961" s="559"/>
      <c r="I961" s="559"/>
      <c r="J961" s="559"/>
      <c r="K961" s="559"/>
      <c r="L961" s="559"/>
      <c r="M961" s="559"/>
      <c r="N961" s="559"/>
      <c r="O961" s="559"/>
      <c r="P961" s="559"/>
      <c r="Q961" s="559"/>
      <c r="R961" s="559"/>
      <c r="S961" s="559"/>
      <c r="T961" s="559"/>
      <c r="U961" s="559"/>
      <c r="V961" s="559"/>
      <c r="W961" s="559"/>
      <c r="X961" s="559"/>
      <c r="Y961" s="559"/>
      <c r="Z961" s="559"/>
      <c r="AA961" s="559"/>
      <c r="AB961" s="559"/>
      <c r="AC961" s="559"/>
      <c r="AD961" s="559"/>
      <c r="AE961" s="559"/>
      <c r="AF961" s="559"/>
      <c r="AG961" s="559"/>
    </row>
    <row r="962" spans="1:33" ht="18" customHeight="1" x14ac:dyDescent="0.35">
      <c r="A962" s="559"/>
      <c r="B962" s="559"/>
      <c r="C962" s="559"/>
      <c r="D962" s="559"/>
      <c r="E962" s="559"/>
      <c r="F962" s="559"/>
      <c r="G962" s="559"/>
      <c r="H962" s="559"/>
      <c r="I962" s="559"/>
      <c r="J962" s="559"/>
      <c r="K962" s="559"/>
      <c r="L962" s="559"/>
      <c r="M962" s="559"/>
      <c r="N962" s="559"/>
      <c r="O962" s="559"/>
      <c r="P962" s="559"/>
      <c r="Q962" s="559"/>
      <c r="R962" s="559"/>
      <c r="S962" s="559"/>
      <c r="T962" s="559"/>
      <c r="U962" s="559"/>
      <c r="V962" s="559"/>
      <c r="W962" s="559"/>
      <c r="X962" s="559"/>
      <c r="Y962" s="559"/>
      <c r="Z962" s="559"/>
      <c r="AA962" s="559"/>
      <c r="AB962" s="559"/>
      <c r="AC962" s="559"/>
      <c r="AD962" s="559"/>
      <c r="AE962" s="559"/>
      <c r="AF962" s="559"/>
      <c r="AG962" s="559"/>
    </row>
    <row r="963" spans="1:33" ht="18" customHeight="1" x14ac:dyDescent="0.35">
      <c r="A963" s="559"/>
      <c r="B963" s="559"/>
      <c r="C963" s="559"/>
      <c r="D963" s="559"/>
      <c r="E963" s="559"/>
      <c r="F963" s="559"/>
      <c r="G963" s="559"/>
      <c r="H963" s="559"/>
      <c r="I963" s="559"/>
      <c r="J963" s="559"/>
      <c r="K963" s="559"/>
      <c r="L963" s="559"/>
      <c r="M963" s="559"/>
      <c r="N963" s="559"/>
      <c r="O963" s="559"/>
      <c r="P963" s="559"/>
      <c r="Q963" s="559"/>
      <c r="R963" s="559"/>
      <c r="S963" s="559"/>
      <c r="T963" s="559"/>
      <c r="U963" s="559"/>
      <c r="V963" s="559"/>
      <c r="W963" s="559"/>
      <c r="X963" s="559"/>
      <c r="Y963" s="559"/>
      <c r="Z963" s="559"/>
      <c r="AA963" s="559"/>
      <c r="AB963" s="559"/>
      <c r="AC963" s="559"/>
      <c r="AD963" s="559"/>
      <c r="AE963" s="559"/>
      <c r="AF963" s="559"/>
      <c r="AG963" s="559"/>
    </row>
    <row r="964" spans="1:33" ht="18" customHeight="1" x14ac:dyDescent="0.35">
      <c r="A964" s="559"/>
      <c r="B964" s="559"/>
      <c r="C964" s="559"/>
      <c r="D964" s="559"/>
      <c r="E964" s="559"/>
      <c r="F964" s="559"/>
      <c r="G964" s="559"/>
      <c r="H964" s="559"/>
      <c r="I964" s="559"/>
      <c r="J964" s="559"/>
      <c r="K964" s="559"/>
      <c r="L964" s="559"/>
      <c r="M964" s="559"/>
      <c r="N964" s="559"/>
      <c r="O964" s="559"/>
      <c r="P964" s="559"/>
      <c r="Q964" s="559"/>
      <c r="R964" s="559"/>
      <c r="S964" s="559"/>
      <c r="T964" s="559"/>
      <c r="U964" s="559"/>
      <c r="V964" s="559"/>
      <c r="W964" s="559"/>
      <c r="X964" s="559"/>
      <c r="Y964" s="559"/>
      <c r="Z964" s="559"/>
      <c r="AA964" s="559"/>
      <c r="AB964" s="559"/>
      <c r="AC964" s="559"/>
      <c r="AD964" s="559"/>
      <c r="AE964" s="559"/>
      <c r="AF964" s="559"/>
      <c r="AG964" s="559"/>
    </row>
    <row r="965" spans="1:33" ht="18" customHeight="1" x14ac:dyDescent="0.35">
      <c r="A965" s="559"/>
      <c r="B965" s="559"/>
      <c r="C965" s="559"/>
      <c r="D965" s="559"/>
      <c r="E965" s="559"/>
      <c r="F965" s="559"/>
      <c r="G965" s="559"/>
      <c r="H965" s="559"/>
      <c r="I965" s="559"/>
      <c r="J965" s="559"/>
      <c r="K965" s="559"/>
      <c r="L965" s="559"/>
      <c r="M965" s="559"/>
      <c r="N965" s="559"/>
      <c r="O965" s="559"/>
      <c r="P965" s="559"/>
      <c r="Q965" s="559"/>
      <c r="R965" s="559"/>
      <c r="S965" s="559"/>
      <c r="T965" s="559"/>
      <c r="U965" s="559"/>
      <c r="V965" s="559"/>
      <c r="W965" s="559"/>
      <c r="X965" s="559"/>
      <c r="Y965" s="559"/>
      <c r="Z965" s="559"/>
      <c r="AA965" s="559"/>
      <c r="AB965" s="559"/>
      <c r="AC965" s="559"/>
      <c r="AD965" s="559"/>
      <c r="AE965" s="559"/>
      <c r="AF965" s="559"/>
      <c r="AG965" s="559"/>
    </row>
    <row r="966" spans="1:33" ht="18" customHeight="1" x14ac:dyDescent="0.35">
      <c r="A966" s="559"/>
      <c r="B966" s="559"/>
      <c r="C966" s="559"/>
      <c r="D966" s="559"/>
      <c r="E966" s="559"/>
      <c r="F966" s="559"/>
      <c r="G966" s="559"/>
      <c r="H966" s="559"/>
      <c r="I966" s="559"/>
      <c r="J966" s="559"/>
      <c r="K966" s="559"/>
      <c r="L966" s="559"/>
      <c r="M966" s="559"/>
      <c r="N966" s="559"/>
      <c r="O966" s="559"/>
      <c r="P966" s="559"/>
      <c r="Q966" s="559"/>
      <c r="R966" s="559"/>
      <c r="S966" s="559"/>
      <c r="T966" s="559"/>
      <c r="U966" s="559"/>
      <c r="V966" s="559"/>
      <c r="W966" s="559"/>
      <c r="X966" s="559"/>
      <c r="Y966" s="559"/>
      <c r="Z966" s="559"/>
      <c r="AA966" s="559"/>
      <c r="AB966" s="559"/>
      <c r="AC966" s="559"/>
      <c r="AD966" s="559"/>
      <c r="AE966" s="559"/>
      <c r="AF966" s="559"/>
      <c r="AG966" s="559"/>
    </row>
    <row r="967" spans="1:33" ht="18" customHeight="1" x14ac:dyDescent="0.35">
      <c r="A967" s="559"/>
      <c r="B967" s="559"/>
      <c r="C967" s="559"/>
      <c r="D967" s="559"/>
      <c r="E967" s="559"/>
      <c r="F967" s="559"/>
      <c r="G967" s="559"/>
      <c r="H967" s="559"/>
      <c r="I967" s="559"/>
      <c r="J967" s="559"/>
      <c r="K967" s="559"/>
      <c r="L967" s="559"/>
      <c r="M967" s="559"/>
      <c r="N967" s="559"/>
      <c r="O967" s="559"/>
      <c r="P967" s="559"/>
      <c r="Q967" s="559"/>
      <c r="R967" s="559"/>
      <c r="S967" s="559"/>
      <c r="T967" s="559"/>
      <c r="U967" s="559"/>
      <c r="V967" s="559"/>
      <c r="W967" s="559"/>
      <c r="X967" s="559"/>
      <c r="Y967" s="559"/>
      <c r="Z967" s="559"/>
      <c r="AA967" s="559"/>
      <c r="AB967" s="559"/>
      <c r="AC967" s="559"/>
      <c r="AD967" s="559"/>
      <c r="AE967" s="559"/>
      <c r="AF967" s="559"/>
      <c r="AG967" s="559"/>
    </row>
    <row r="968" spans="1:33" ht="18" customHeight="1" x14ac:dyDescent="0.35">
      <c r="A968" s="559"/>
      <c r="B968" s="559"/>
      <c r="C968" s="559"/>
      <c r="D968" s="559"/>
      <c r="E968" s="559"/>
      <c r="F968" s="559"/>
      <c r="G968" s="559"/>
      <c r="H968" s="559"/>
      <c r="I968" s="559"/>
      <c r="J968" s="559"/>
      <c r="K968" s="559"/>
      <c r="L968" s="559"/>
      <c r="M968" s="559"/>
      <c r="N968" s="559"/>
      <c r="O968" s="559"/>
      <c r="P968" s="559"/>
      <c r="Q968" s="559"/>
      <c r="R968" s="559"/>
      <c r="S968" s="559"/>
      <c r="T968" s="559"/>
      <c r="U968" s="559"/>
      <c r="V968" s="559"/>
      <c r="W968" s="559"/>
      <c r="X968" s="559"/>
      <c r="Y968" s="559"/>
      <c r="Z968" s="559"/>
      <c r="AA968" s="559"/>
      <c r="AB968" s="559"/>
      <c r="AC968" s="559"/>
      <c r="AD968" s="559"/>
      <c r="AE968" s="559"/>
      <c r="AF968" s="559"/>
      <c r="AG968" s="559"/>
    </row>
    <row r="969" spans="1:33" ht="18" customHeight="1" x14ac:dyDescent="0.35">
      <c r="A969" s="559"/>
      <c r="B969" s="559"/>
      <c r="C969" s="559"/>
      <c r="D969" s="559"/>
      <c r="E969" s="559"/>
      <c r="F969" s="559"/>
      <c r="G969" s="559"/>
      <c r="H969" s="559"/>
      <c r="I969" s="559"/>
      <c r="J969" s="559"/>
      <c r="K969" s="559"/>
      <c r="L969" s="559"/>
      <c r="M969" s="559"/>
      <c r="N969" s="559"/>
      <c r="O969" s="559"/>
      <c r="P969" s="559"/>
      <c r="Q969" s="559"/>
      <c r="R969" s="559"/>
      <c r="S969" s="559"/>
      <c r="T969" s="559"/>
      <c r="U969" s="559"/>
      <c r="V969" s="559"/>
      <c r="W969" s="559"/>
      <c r="X969" s="559"/>
      <c r="Y969" s="559"/>
      <c r="Z969" s="559"/>
      <c r="AA969" s="559"/>
      <c r="AB969" s="559"/>
      <c r="AC969" s="559"/>
      <c r="AD969" s="559"/>
      <c r="AE969" s="559"/>
      <c r="AF969" s="559"/>
      <c r="AG969" s="559"/>
    </row>
    <row r="970" spans="1:33" ht="18" customHeight="1" x14ac:dyDescent="0.35">
      <c r="A970" s="559"/>
      <c r="B970" s="559"/>
      <c r="C970" s="559"/>
      <c r="D970" s="559"/>
      <c r="E970" s="559"/>
      <c r="F970" s="559"/>
      <c r="G970" s="559"/>
      <c r="H970" s="559"/>
      <c r="I970" s="559"/>
      <c r="J970" s="559"/>
      <c r="K970" s="559"/>
      <c r="L970" s="559"/>
      <c r="M970" s="559"/>
      <c r="N970" s="559"/>
      <c r="O970" s="559"/>
      <c r="P970" s="559"/>
      <c r="Q970" s="559"/>
      <c r="R970" s="559"/>
      <c r="S970" s="559"/>
      <c r="T970" s="559"/>
      <c r="U970" s="559"/>
      <c r="V970" s="559"/>
      <c r="W970" s="559"/>
      <c r="X970" s="559"/>
      <c r="Y970" s="559"/>
      <c r="Z970" s="559"/>
      <c r="AA970" s="559"/>
      <c r="AB970" s="559"/>
      <c r="AC970" s="559"/>
      <c r="AD970" s="559"/>
      <c r="AE970" s="559"/>
      <c r="AF970" s="559"/>
      <c r="AG970" s="559"/>
    </row>
    <row r="971" spans="1:33" ht="18" customHeight="1" x14ac:dyDescent="0.35">
      <c r="A971" s="559"/>
      <c r="B971" s="559"/>
      <c r="C971" s="559"/>
      <c r="D971" s="559"/>
      <c r="E971" s="559"/>
      <c r="F971" s="559"/>
      <c r="G971" s="559"/>
      <c r="H971" s="559"/>
      <c r="I971" s="559"/>
      <c r="J971" s="559"/>
      <c r="K971" s="559"/>
      <c r="L971" s="559"/>
      <c r="M971" s="559"/>
      <c r="N971" s="559"/>
      <c r="O971" s="559"/>
      <c r="P971" s="559"/>
      <c r="Q971" s="559"/>
      <c r="R971" s="559"/>
      <c r="S971" s="559"/>
      <c r="T971" s="559"/>
      <c r="U971" s="559"/>
      <c r="V971" s="559"/>
      <c r="W971" s="559"/>
      <c r="X971" s="559"/>
      <c r="Y971" s="559"/>
      <c r="Z971" s="559"/>
      <c r="AA971" s="559"/>
      <c r="AB971" s="559"/>
      <c r="AC971" s="559"/>
      <c r="AD971" s="559"/>
      <c r="AE971" s="559"/>
      <c r="AF971" s="559"/>
      <c r="AG971" s="559"/>
    </row>
    <row r="972" spans="1:33" ht="18" customHeight="1" x14ac:dyDescent="0.35">
      <c r="A972" s="559"/>
      <c r="B972" s="559"/>
      <c r="C972" s="559"/>
      <c r="D972" s="559"/>
      <c r="E972" s="559"/>
      <c r="F972" s="559"/>
      <c r="G972" s="559"/>
      <c r="H972" s="559"/>
      <c r="I972" s="559"/>
      <c r="J972" s="559"/>
      <c r="K972" s="559"/>
      <c r="L972" s="559"/>
      <c r="M972" s="559"/>
      <c r="N972" s="559"/>
      <c r="O972" s="559"/>
      <c r="P972" s="559"/>
      <c r="Q972" s="559"/>
      <c r="R972" s="559"/>
      <c r="S972" s="559"/>
      <c r="T972" s="559"/>
      <c r="U972" s="559"/>
      <c r="V972" s="559"/>
      <c r="W972" s="559"/>
      <c r="X972" s="559"/>
      <c r="Y972" s="559"/>
      <c r="Z972" s="559"/>
      <c r="AA972" s="559"/>
      <c r="AB972" s="559"/>
      <c r="AC972" s="559"/>
      <c r="AD972" s="559"/>
      <c r="AE972" s="559"/>
      <c r="AF972" s="559"/>
      <c r="AG972" s="559"/>
    </row>
    <row r="973" spans="1:33" ht="18" customHeight="1" x14ac:dyDescent="0.35">
      <c r="A973" s="559"/>
      <c r="B973" s="559"/>
      <c r="C973" s="559"/>
      <c r="D973" s="559"/>
      <c r="E973" s="559"/>
      <c r="F973" s="559"/>
      <c r="G973" s="559"/>
      <c r="H973" s="559"/>
      <c r="I973" s="559"/>
      <c r="J973" s="559"/>
      <c r="K973" s="559"/>
      <c r="L973" s="559"/>
      <c r="M973" s="559"/>
      <c r="N973" s="559"/>
      <c r="O973" s="559"/>
      <c r="P973" s="559"/>
      <c r="Q973" s="559"/>
      <c r="R973" s="559"/>
      <c r="S973" s="559"/>
      <c r="T973" s="559"/>
      <c r="U973" s="559"/>
      <c r="V973" s="559"/>
      <c r="W973" s="559"/>
      <c r="X973" s="559"/>
      <c r="Y973" s="559"/>
      <c r="Z973" s="559"/>
      <c r="AA973" s="559"/>
      <c r="AB973" s="559"/>
      <c r="AC973" s="559"/>
      <c r="AD973" s="559"/>
      <c r="AE973" s="559"/>
      <c r="AF973" s="559"/>
      <c r="AG973" s="559"/>
    </row>
    <row r="974" spans="1:33" ht="18" customHeight="1" x14ac:dyDescent="0.35">
      <c r="A974" s="559"/>
      <c r="B974" s="559"/>
      <c r="C974" s="559"/>
      <c r="D974" s="559"/>
      <c r="E974" s="559"/>
      <c r="F974" s="559"/>
      <c r="G974" s="559"/>
      <c r="H974" s="559"/>
      <c r="I974" s="559"/>
      <c r="J974" s="559"/>
      <c r="K974" s="559"/>
      <c r="L974" s="559"/>
      <c r="M974" s="559"/>
      <c r="N974" s="559"/>
      <c r="O974" s="559"/>
      <c r="P974" s="559"/>
      <c r="Q974" s="559"/>
      <c r="R974" s="559"/>
      <c r="S974" s="559"/>
      <c r="T974" s="559"/>
      <c r="U974" s="559"/>
      <c r="V974" s="559"/>
      <c r="W974" s="559"/>
      <c r="X974" s="559"/>
      <c r="Y974" s="559"/>
      <c r="Z974" s="559"/>
      <c r="AA974" s="559"/>
      <c r="AB974" s="559"/>
      <c r="AC974" s="559"/>
      <c r="AD974" s="559"/>
      <c r="AE974" s="559"/>
      <c r="AF974" s="559"/>
      <c r="AG974" s="559"/>
    </row>
    <row r="975" spans="1:33" ht="18" customHeight="1" x14ac:dyDescent="0.35">
      <c r="A975" s="559"/>
      <c r="B975" s="559"/>
      <c r="C975" s="559"/>
      <c r="D975" s="559"/>
      <c r="E975" s="559"/>
      <c r="F975" s="559"/>
      <c r="G975" s="559"/>
      <c r="H975" s="559"/>
      <c r="I975" s="559"/>
      <c r="J975" s="559"/>
      <c r="K975" s="559"/>
      <c r="L975" s="559"/>
      <c r="M975" s="559"/>
      <c r="N975" s="559"/>
      <c r="O975" s="559"/>
      <c r="P975" s="559"/>
      <c r="Q975" s="559"/>
      <c r="R975" s="559"/>
      <c r="S975" s="559"/>
      <c r="T975" s="559"/>
      <c r="U975" s="559"/>
      <c r="V975" s="559"/>
      <c r="W975" s="559"/>
      <c r="X975" s="559"/>
      <c r="Y975" s="559"/>
      <c r="Z975" s="559"/>
      <c r="AA975" s="559"/>
      <c r="AB975" s="559"/>
      <c r="AC975" s="559"/>
      <c r="AD975" s="559"/>
      <c r="AE975" s="559"/>
      <c r="AF975" s="559"/>
      <c r="AG975" s="559"/>
    </row>
    <row r="976" spans="1:33" ht="18" customHeight="1" x14ac:dyDescent="0.35">
      <c r="A976" s="559"/>
      <c r="B976" s="559"/>
      <c r="C976" s="559"/>
      <c r="D976" s="559"/>
      <c r="E976" s="559"/>
      <c r="F976" s="559"/>
      <c r="G976" s="559"/>
      <c r="H976" s="559"/>
      <c r="I976" s="559"/>
      <c r="J976" s="559"/>
      <c r="K976" s="559"/>
      <c r="L976" s="559"/>
      <c r="M976" s="559"/>
      <c r="N976" s="559"/>
      <c r="O976" s="559"/>
      <c r="P976" s="559"/>
      <c r="Q976" s="559"/>
      <c r="R976" s="559"/>
      <c r="S976" s="559"/>
      <c r="T976" s="559"/>
      <c r="U976" s="559"/>
      <c r="V976" s="559"/>
      <c r="W976" s="559"/>
      <c r="X976" s="559"/>
      <c r="Y976" s="559"/>
      <c r="Z976" s="559"/>
      <c r="AA976" s="559"/>
      <c r="AB976" s="559"/>
      <c r="AC976" s="559"/>
      <c r="AD976" s="559"/>
      <c r="AE976" s="559"/>
      <c r="AF976" s="559"/>
      <c r="AG976" s="559"/>
    </row>
    <row r="977" spans="1:33" ht="18" customHeight="1" x14ac:dyDescent="0.35">
      <c r="A977" s="559"/>
      <c r="B977" s="559"/>
      <c r="C977" s="559"/>
      <c r="D977" s="559"/>
      <c r="E977" s="559"/>
      <c r="F977" s="559"/>
      <c r="G977" s="559"/>
      <c r="H977" s="559"/>
      <c r="I977" s="559"/>
      <c r="J977" s="559"/>
      <c r="K977" s="559"/>
      <c r="L977" s="559"/>
      <c r="M977" s="559"/>
      <c r="N977" s="559"/>
      <c r="O977" s="559"/>
      <c r="P977" s="559"/>
      <c r="Q977" s="559"/>
      <c r="R977" s="559"/>
      <c r="S977" s="559"/>
      <c r="T977" s="559"/>
      <c r="U977" s="559"/>
      <c r="V977" s="559"/>
      <c r="W977" s="559"/>
      <c r="X977" s="559"/>
      <c r="Y977" s="559"/>
      <c r="Z977" s="559"/>
      <c r="AA977" s="559"/>
      <c r="AB977" s="559"/>
      <c r="AC977" s="559"/>
      <c r="AD977" s="559"/>
      <c r="AE977" s="559"/>
      <c r="AF977" s="559"/>
      <c r="AG977" s="559"/>
    </row>
    <row r="978" spans="1:33" ht="18" customHeight="1" x14ac:dyDescent="0.35">
      <c r="A978" s="559"/>
      <c r="B978" s="559"/>
      <c r="C978" s="559"/>
      <c r="D978" s="559"/>
      <c r="E978" s="559"/>
      <c r="F978" s="559"/>
      <c r="G978" s="559"/>
      <c r="H978" s="559"/>
      <c r="I978" s="559"/>
      <c r="J978" s="559"/>
      <c r="K978" s="559"/>
      <c r="L978" s="559"/>
      <c r="M978" s="559"/>
      <c r="N978" s="559"/>
      <c r="O978" s="559"/>
      <c r="P978" s="559"/>
      <c r="Q978" s="559"/>
      <c r="R978" s="559"/>
      <c r="S978" s="559"/>
      <c r="T978" s="559"/>
      <c r="U978" s="559"/>
      <c r="V978" s="559"/>
      <c r="W978" s="559"/>
      <c r="X978" s="559"/>
      <c r="Y978" s="559"/>
      <c r="Z978" s="559"/>
      <c r="AA978" s="559"/>
      <c r="AB978" s="559"/>
      <c r="AC978" s="559"/>
      <c r="AD978" s="559"/>
      <c r="AE978" s="559"/>
      <c r="AF978" s="559"/>
      <c r="AG978" s="559"/>
    </row>
    <row r="979" spans="1:33" ht="18" customHeight="1" x14ac:dyDescent="0.35">
      <c r="A979" s="559"/>
      <c r="B979" s="559"/>
      <c r="C979" s="559"/>
      <c r="D979" s="559"/>
      <c r="E979" s="559"/>
      <c r="F979" s="559"/>
      <c r="G979" s="559"/>
      <c r="H979" s="559"/>
      <c r="I979" s="559"/>
      <c r="J979" s="559"/>
      <c r="K979" s="559"/>
      <c r="L979" s="559"/>
      <c r="M979" s="559"/>
      <c r="N979" s="559"/>
      <c r="O979" s="559"/>
      <c r="P979" s="559"/>
      <c r="Q979" s="559"/>
      <c r="R979" s="559"/>
      <c r="S979" s="559"/>
      <c r="T979" s="559"/>
      <c r="U979" s="559"/>
      <c r="V979" s="559"/>
      <c r="W979" s="559"/>
      <c r="X979" s="559"/>
      <c r="Y979" s="559"/>
      <c r="Z979" s="559"/>
      <c r="AA979" s="559"/>
      <c r="AB979" s="559"/>
      <c r="AC979" s="559"/>
      <c r="AD979" s="559"/>
      <c r="AE979" s="559"/>
      <c r="AF979" s="559"/>
      <c r="AG979" s="559"/>
    </row>
    <row r="980" spans="1:33" ht="18" customHeight="1" x14ac:dyDescent="0.35">
      <c r="A980" s="559"/>
      <c r="B980" s="559"/>
      <c r="C980" s="559"/>
      <c r="D980" s="559"/>
      <c r="E980" s="559"/>
      <c r="F980" s="559"/>
      <c r="G980" s="559"/>
      <c r="H980" s="559"/>
      <c r="I980" s="559"/>
      <c r="J980" s="559"/>
      <c r="K980" s="559"/>
      <c r="L980" s="559"/>
      <c r="M980" s="559"/>
      <c r="N980" s="559"/>
      <c r="O980" s="559"/>
      <c r="P980" s="559"/>
      <c r="Q980" s="559"/>
      <c r="R980" s="559"/>
      <c r="S980" s="559"/>
      <c r="T980" s="559"/>
      <c r="U980" s="559"/>
      <c r="V980" s="559"/>
      <c r="W980" s="559"/>
      <c r="X980" s="559"/>
      <c r="Y980" s="559"/>
      <c r="Z980" s="559"/>
      <c r="AA980" s="559"/>
      <c r="AB980" s="559"/>
      <c r="AC980" s="559"/>
      <c r="AD980" s="559"/>
      <c r="AE980" s="559"/>
      <c r="AF980" s="559"/>
      <c r="AG980" s="559"/>
    </row>
    <row r="981" spans="1:33" ht="18" customHeight="1" x14ac:dyDescent="0.35">
      <c r="A981" s="559"/>
      <c r="B981" s="559"/>
      <c r="C981" s="559"/>
      <c r="D981" s="559"/>
      <c r="E981" s="559"/>
      <c r="F981" s="559"/>
      <c r="G981" s="559"/>
      <c r="H981" s="559"/>
      <c r="I981" s="559"/>
      <c r="J981" s="559"/>
      <c r="K981" s="559"/>
      <c r="L981" s="559"/>
      <c r="M981" s="559"/>
      <c r="N981" s="559"/>
      <c r="O981" s="559"/>
      <c r="P981" s="559"/>
      <c r="Q981" s="559"/>
      <c r="R981" s="559"/>
      <c r="S981" s="559"/>
      <c r="T981" s="559"/>
      <c r="U981" s="559"/>
      <c r="V981" s="559"/>
      <c r="W981" s="559"/>
      <c r="X981" s="559"/>
      <c r="Y981" s="559"/>
      <c r="Z981" s="559"/>
      <c r="AA981" s="559"/>
      <c r="AB981" s="559"/>
      <c r="AC981" s="559"/>
      <c r="AD981" s="559"/>
      <c r="AE981" s="559"/>
      <c r="AF981" s="559"/>
      <c r="AG981" s="559"/>
    </row>
    <row r="982" spans="1:33" ht="18" customHeight="1" x14ac:dyDescent="0.35">
      <c r="A982" s="559"/>
      <c r="B982" s="559"/>
      <c r="C982" s="559"/>
      <c r="D982" s="559"/>
      <c r="E982" s="559"/>
      <c r="F982" s="559"/>
      <c r="G982" s="559"/>
      <c r="H982" s="559"/>
      <c r="I982" s="559"/>
      <c r="J982" s="559"/>
      <c r="K982" s="559"/>
      <c r="L982" s="559"/>
      <c r="M982" s="559"/>
      <c r="N982" s="559"/>
      <c r="O982" s="559"/>
      <c r="P982" s="559"/>
      <c r="Q982" s="559"/>
      <c r="R982" s="559"/>
      <c r="S982" s="559"/>
      <c r="T982" s="559"/>
      <c r="U982" s="559"/>
      <c r="V982" s="559"/>
      <c r="W982" s="559"/>
      <c r="X982" s="559"/>
      <c r="Y982" s="559"/>
      <c r="Z982" s="559"/>
      <c r="AA982" s="559"/>
      <c r="AB982" s="559"/>
      <c r="AC982" s="559"/>
      <c r="AD982" s="559"/>
      <c r="AE982" s="559"/>
      <c r="AF982" s="559"/>
      <c r="AG982" s="559"/>
    </row>
    <row r="983" spans="1:33" ht="18" customHeight="1" x14ac:dyDescent="0.35">
      <c r="A983" s="559"/>
      <c r="B983" s="559"/>
      <c r="C983" s="559"/>
      <c r="D983" s="559"/>
      <c r="E983" s="559"/>
      <c r="F983" s="559"/>
      <c r="G983" s="559"/>
      <c r="H983" s="559"/>
      <c r="I983" s="559"/>
      <c r="J983" s="559"/>
      <c r="K983" s="559"/>
      <c r="L983" s="559"/>
      <c r="M983" s="559"/>
      <c r="N983" s="559"/>
      <c r="O983" s="559"/>
      <c r="P983" s="559"/>
      <c r="Q983" s="559"/>
      <c r="R983" s="559"/>
      <c r="S983" s="559"/>
      <c r="T983" s="559"/>
      <c r="U983" s="559"/>
      <c r="V983" s="559"/>
      <c r="W983" s="559"/>
      <c r="X983" s="559"/>
      <c r="Y983" s="559"/>
      <c r="Z983" s="559"/>
      <c r="AA983" s="559"/>
      <c r="AB983" s="559"/>
      <c r="AC983" s="559"/>
      <c r="AD983" s="559"/>
      <c r="AE983" s="559"/>
      <c r="AF983" s="559"/>
      <c r="AG983" s="559"/>
    </row>
    <row r="984" spans="1:33" ht="18" customHeight="1" x14ac:dyDescent="0.35">
      <c r="A984" s="559"/>
      <c r="B984" s="559"/>
      <c r="C984" s="559"/>
      <c r="D984" s="559"/>
      <c r="E984" s="559"/>
      <c r="F984" s="559"/>
      <c r="G984" s="559"/>
      <c r="H984" s="559"/>
      <c r="I984" s="559"/>
      <c r="J984" s="559"/>
      <c r="K984" s="559"/>
      <c r="L984" s="559"/>
      <c r="M984" s="559"/>
      <c r="N984" s="559"/>
      <c r="O984" s="559"/>
      <c r="P984" s="559"/>
      <c r="Q984" s="559"/>
      <c r="R984" s="559"/>
      <c r="S984" s="559"/>
      <c r="T984" s="559"/>
      <c r="U984" s="559"/>
      <c r="V984" s="559"/>
      <c r="W984" s="559"/>
      <c r="X984" s="559"/>
      <c r="Y984" s="559"/>
      <c r="Z984" s="559"/>
      <c r="AA984" s="559"/>
      <c r="AB984" s="559"/>
      <c r="AC984" s="559"/>
      <c r="AD984" s="559"/>
      <c r="AE984" s="559"/>
      <c r="AF984" s="559"/>
      <c r="AG984" s="559"/>
    </row>
    <row r="985" spans="1:33" ht="18" customHeight="1" x14ac:dyDescent="0.35">
      <c r="A985" s="559"/>
      <c r="B985" s="559"/>
      <c r="C985" s="559"/>
      <c r="D985" s="559"/>
      <c r="E985" s="559"/>
      <c r="F985" s="559"/>
      <c r="G985" s="559"/>
      <c r="H985" s="559"/>
      <c r="I985" s="559"/>
      <c r="J985" s="559"/>
      <c r="K985" s="559"/>
      <c r="L985" s="559"/>
      <c r="M985" s="559"/>
      <c r="N985" s="559"/>
      <c r="O985" s="559"/>
      <c r="P985" s="559"/>
      <c r="Q985" s="559"/>
      <c r="R985" s="559"/>
      <c r="S985" s="559"/>
      <c r="T985" s="559"/>
      <c r="U985" s="559"/>
      <c r="V985" s="559"/>
      <c r="W985" s="559"/>
      <c r="X985" s="559"/>
      <c r="Y985" s="559"/>
      <c r="Z985" s="559"/>
      <c r="AA985" s="559"/>
      <c r="AB985" s="559"/>
      <c r="AC985" s="559"/>
      <c r="AD985" s="559"/>
      <c r="AE985" s="559"/>
      <c r="AF985" s="559"/>
      <c r="AG985" s="559"/>
    </row>
    <row r="986" spans="1:33" ht="18" customHeight="1" x14ac:dyDescent="0.35">
      <c r="A986" s="559"/>
      <c r="B986" s="559"/>
      <c r="C986" s="559"/>
      <c r="D986" s="559"/>
      <c r="E986" s="559"/>
      <c r="F986" s="559"/>
      <c r="G986" s="559"/>
      <c r="H986" s="559"/>
      <c r="I986" s="559"/>
      <c r="J986" s="559"/>
      <c r="K986" s="559"/>
      <c r="L986" s="559"/>
      <c r="M986" s="559"/>
      <c r="N986" s="559"/>
      <c r="O986" s="559"/>
      <c r="P986" s="559"/>
      <c r="Q986" s="559"/>
      <c r="R986" s="559"/>
      <c r="S986" s="559"/>
      <c r="T986" s="559"/>
      <c r="U986" s="559"/>
      <c r="V986" s="559"/>
      <c r="W986" s="559"/>
      <c r="X986" s="559"/>
      <c r="Y986" s="559"/>
      <c r="Z986" s="559"/>
      <c r="AA986" s="559"/>
      <c r="AB986" s="559"/>
      <c r="AC986" s="559"/>
      <c r="AD986" s="559"/>
      <c r="AE986" s="559"/>
      <c r="AF986" s="559"/>
      <c r="AG986" s="559"/>
    </row>
    <row r="987" spans="1:33" ht="18" customHeight="1" x14ac:dyDescent="0.35">
      <c r="A987" s="559"/>
      <c r="B987" s="559"/>
      <c r="C987" s="559"/>
      <c r="D987" s="559"/>
      <c r="E987" s="559"/>
      <c r="F987" s="559"/>
      <c r="G987" s="559"/>
      <c r="H987" s="559"/>
      <c r="I987" s="559"/>
      <c r="J987" s="559"/>
      <c r="K987" s="559"/>
      <c r="L987" s="559"/>
      <c r="M987" s="559"/>
      <c r="N987" s="559"/>
      <c r="O987" s="559"/>
      <c r="P987" s="559"/>
      <c r="Q987" s="559"/>
      <c r="R987" s="559"/>
      <c r="S987" s="559"/>
      <c r="T987" s="559"/>
      <c r="U987" s="559"/>
      <c r="V987" s="559"/>
      <c r="W987" s="559"/>
      <c r="X987" s="559"/>
      <c r="Y987" s="559"/>
      <c r="Z987" s="559"/>
      <c r="AA987" s="559"/>
      <c r="AB987" s="559"/>
      <c r="AC987" s="559"/>
      <c r="AD987" s="559"/>
      <c r="AE987" s="559"/>
      <c r="AF987" s="559"/>
      <c r="AG987" s="559"/>
    </row>
    <row r="988" spans="1:33" ht="18" customHeight="1" x14ac:dyDescent="0.35">
      <c r="A988" s="559"/>
      <c r="B988" s="559"/>
      <c r="C988" s="559"/>
      <c r="D988" s="559"/>
      <c r="E988" s="559"/>
      <c r="F988" s="559"/>
      <c r="G988" s="559"/>
      <c r="H988" s="559"/>
      <c r="I988" s="559"/>
      <c r="J988" s="559"/>
      <c r="K988" s="559"/>
      <c r="L988" s="559"/>
      <c r="M988" s="559"/>
      <c r="N988" s="559"/>
      <c r="O988" s="559"/>
      <c r="P988" s="559"/>
      <c r="Q988" s="559"/>
      <c r="R988" s="559"/>
      <c r="S988" s="559"/>
      <c r="T988" s="559"/>
      <c r="U988" s="559"/>
      <c r="V988" s="559"/>
      <c r="W988" s="559"/>
      <c r="X988" s="559"/>
      <c r="Y988" s="559"/>
      <c r="Z988" s="559"/>
      <c r="AA988" s="559"/>
      <c r="AB988" s="559"/>
      <c r="AC988" s="559"/>
      <c r="AD988" s="559"/>
      <c r="AE988" s="559"/>
      <c r="AF988" s="559"/>
      <c r="AG988" s="559"/>
    </row>
    <row r="989" spans="1:33" ht="18" customHeight="1" x14ac:dyDescent="0.35">
      <c r="A989" s="559"/>
      <c r="B989" s="559"/>
      <c r="C989" s="559"/>
      <c r="D989" s="559"/>
      <c r="E989" s="559"/>
      <c r="F989" s="559"/>
      <c r="G989" s="559"/>
      <c r="H989" s="559"/>
      <c r="I989" s="559"/>
      <c r="J989" s="559"/>
      <c r="K989" s="559"/>
      <c r="L989" s="559"/>
      <c r="M989" s="559"/>
      <c r="N989" s="559"/>
      <c r="O989" s="559"/>
      <c r="P989" s="559"/>
      <c r="Q989" s="559"/>
      <c r="R989" s="559"/>
      <c r="S989" s="559"/>
      <c r="T989" s="559"/>
      <c r="U989" s="559"/>
      <c r="V989" s="559"/>
      <c r="W989" s="559"/>
      <c r="X989" s="559"/>
      <c r="Y989" s="559"/>
      <c r="Z989" s="559"/>
      <c r="AA989" s="559"/>
      <c r="AB989" s="559"/>
      <c r="AC989" s="559"/>
      <c r="AD989" s="559"/>
      <c r="AE989" s="559"/>
      <c r="AF989" s="559"/>
      <c r="AG989" s="559"/>
    </row>
    <row r="990" spans="1:33" ht="18" customHeight="1" x14ac:dyDescent="0.35">
      <c r="A990" s="559"/>
      <c r="B990" s="559"/>
      <c r="C990" s="559"/>
      <c r="D990" s="559"/>
      <c r="E990" s="559"/>
      <c r="F990" s="559"/>
      <c r="G990" s="559"/>
      <c r="H990" s="559"/>
      <c r="I990" s="559"/>
      <c r="J990" s="559"/>
      <c r="K990" s="559"/>
      <c r="L990" s="559"/>
      <c r="M990" s="559"/>
      <c r="N990" s="559"/>
      <c r="O990" s="559"/>
      <c r="P990" s="559"/>
      <c r="Q990" s="559"/>
      <c r="R990" s="559"/>
      <c r="S990" s="559"/>
      <c r="T990" s="559"/>
      <c r="U990" s="559"/>
      <c r="V990" s="559"/>
      <c r="W990" s="559"/>
      <c r="X990" s="559"/>
      <c r="Y990" s="559"/>
      <c r="Z990" s="559"/>
      <c r="AA990" s="559"/>
      <c r="AB990" s="559"/>
      <c r="AC990" s="559"/>
      <c r="AD990" s="559"/>
      <c r="AE990" s="559"/>
      <c r="AF990" s="559"/>
      <c r="AG990" s="559"/>
    </row>
    <row r="991" spans="1:33" ht="18" customHeight="1" x14ac:dyDescent="0.35">
      <c r="A991" s="559"/>
      <c r="B991" s="559"/>
      <c r="C991" s="559"/>
      <c r="D991" s="559"/>
      <c r="E991" s="559"/>
      <c r="F991" s="559"/>
      <c r="G991" s="559"/>
      <c r="H991" s="559"/>
      <c r="I991" s="559"/>
      <c r="J991" s="559"/>
      <c r="K991" s="559"/>
      <c r="L991" s="559"/>
      <c r="M991" s="559"/>
      <c r="N991" s="559"/>
      <c r="O991" s="559"/>
      <c r="P991" s="559"/>
      <c r="Q991" s="559"/>
      <c r="R991" s="559"/>
      <c r="S991" s="559"/>
      <c r="T991" s="559"/>
      <c r="U991" s="559"/>
      <c r="V991" s="559"/>
      <c r="W991" s="559"/>
      <c r="X991" s="559"/>
      <c r="Y991" s="559"/>
      <c r="Z991" s="559"/>
      <c r="AA991" s="559"/>
      <c r="AB991" s="559"/>
      <c r="AC991" s="559"/>
      <c r="AD991" s="559"/>
      <c r="AE991" s="559"/>
      <c r="AF991" s="559"/>
      <c r="AG991" s="559"/>
    </row>
    <row r="992" spans="1:33" ht="18" customHeight="1" x14ac:dyDescent="0.35">
      <c r="A992" s="559"/>
      <c r="B992" s="559"/>
      <c r="C992" s="559"/>
      <c r="D992" s="559"/>
      <c r="E992" s="559"/>
      <c r="F992" s="559"/>
      <c r="G992" s="559"/>
      <c r="H992" s="559"/>
      <c r="I992" s="559"/>
      <c r="J992" s="559"/>
      <c r="K992" s="559"/>
      <c r="L992" s="559"/>
      <c r="M992" s="559"/>
      <c r="N992" s="559"/>
      <c r="O992" s="559"/>
      <c r="P992" s="559"/>
      <c r="Q992" s="559"/>
      <c r="R992" s="559"/>
      <c r="S992" s="559"/>
      <c r="T992" s="559"/>
      <c r="U992" s="559"/>
      <c r="V992" s="559"/>
      <c r="W992" s="559"/>
      <c r="X992" s="559"/>
      <c r="Y992" s="559"/>
      <c r="Z992" s="559"/>
      <c r="AA992" s="559"/>
      <c r="AB992" s="559"/>
      <c r="AC992" s="559"/>
      <c r="AD992" s="559"/>
      <c r="AE992" s="559"/>
      <c r="AF992" s="559"/>
      <c r="AG992" s="559"/>
    </row>
    <row r="993" spans="1:33" ht="18" customHeight="1" x14ac:dyDescent="0.35">
      <c r="A993" s="559"/>
      <c r="B993" s="559"/>
      <c r="C993" s="559"/>
      <c r="D993" s="559"/>
      <c r="E993" s="559"/>
      <c r="F993" s="559"/>
      <c r="G993" s="559"/>
      <c r="H993" s="559"/>
      <c r="I993" s="559"/>
      <c r="J993" s="559"/>
      <c r="K993" s="559"/>
      <c r="L993" s="559"/>
      <c r="M993" s="559"/>
      <c r="N993" s="559"/>
      <c r="O993" s="559"/>
      <c r="P993" s="559"/>
      <c r="Q993" s="559"/>
      <c r="R993" s="559"/>
      <c r="S993" s="559"/>
      <c r="T993" s="559"/>
      <c r="U993" s="559"/>
      <c r="V993" s="559"/>
      <c r="W993" s="559"/>
      <c r="X993" s="559"/>
      <c r="Y993" s="559"/>
      <c r="Z993" s="559"/>
      <c r="AA993" s="559"/>
      <c r="AB993" s="559"/>
      <c r="AC993" s="559"/>
      <c r="AD993" s="559"/>
      <c r="AE993" s="559"/>
      <c r="AF993" s="559"/>
      <c r="AG993" s="559"/>
    </row>
    <row r="994" spans="1:33" ht="18" customHeight="1" x14ac:dyDescent="0.35">
      <c r="A994" s="559"/>
      <c r="B994" s="559"/>
      <c r="C994" s="559"/>
      <c r="D994" s="559"/>
      <c r="E994" s="559"/>
      <c r="F994" s="559"/>
      <c r="G994" s="559"/>
      <c r="H994" s="559"/>
      <c r="I994" s="559"/>
      <c r="J994" s="559"/>
      <c r="K994" s="559"/>
      <c r="L994" s="559"/>
      <c r="M994" s="559"/>
      <c r="N994" s="559"/>
      <c r="O994" s="559"/>
      <c r="P994" s="559"/>
      <c r="Q994" s="559"/>
      <c r="R994" s="559"/>
      <c r="S994" s="559"/>
      <c r="T994" s="559"/>
      <c r="U994" s="559"/>
      <c r="V994" s="559"/>
      <c r="W994" s="559"/>
      <c r="X994" s="559"/>
      <c r="Y994" s="559"/>
      <c r="Z994" s="559"/>
      <c r="AA994" s="559"/>
      <c r="AB994" s="559"/>
      <c r="AC994" s="559"/>
      <c r="AD994" s="559"/>
      <c r="AE994" s="559"/>
      <c r="AF994" s="559"/>
      <c r="AG994" s="559"/>
    </row>
    <row r="995" spans="1:33" ht="18" customHeight="1" x14ac:dyDescent="0.35">
      <c r="A995" s="559"/>
      <c r="B995" s="559"/>
      <c r="C995" s="559"/>
      <c r="D995" s="559"/>
      <c r="E995" s="559"/>
      <c r="F995" s="559"/>
      <c r="G995" s="559"/>
      <c r="H995" s="559"/>
      <c r="I995" s="559"/>
      <c r="J995" s="559"/>
      <c r="K995" s="559"/>
      <c r="L995" s="559"/>
      <c r="M995" s="559"/>
      <c r="N995" s="559"/>
      <c r="O995" s="559"/>
      <c r="P995" s="559"/>
      <c r="Q995" s="559"/>
      <c r="R995" s="559"/>
      <c r="S995" s="559"/>
      <c r="T995" s="559"/>
      <c r="U995" s="559"/>
      <c r="V995" s="559"/>
      <c r="W995" s="559"/>
      <c r="X995" s="559"/>
      <c r="Y995" s="559"/>
      <c r="Z995" s="559"/>
      <c r="AA995" s="559"/>
      <c r="AB995" s="559"/>
      <c r="AC995" s="559"/>
      <c r="AD995" s="559"/>
      <c r="AE995" s="559"/>
      <c r="AF995" s="559"/>
      <c r="AG995" s="559"/>
    </row>
    <row r="996" spans="1:33" ht="18" customHeight="1" x14ac:dyDescent="0.35">
      <c r="A996" s="559"/>
      <c r="B996" s="559"/>
      <c r="C996" s="559"/>
      <c r="D996" s="559"/>
      <c r="E996" s="559"/>
      <c r="F996" s="559"/>
      <c r="G996" s="559"/>
      <c r="H996" s="559"/>
      <c r="I996" s="559"/>
      <c r="J996" s="559"/>
      <c r="K996" s="559"/>
      <c r="L996" s="559"/>
      <c r="M996" s="559"/>
      <c r="N996" s="559"/>
      <c r="O996" s="559"/>
      <c r="P996" s="559"/>
      <c r="Q996" s="559"/>
      <c r="R996" s="559"/>
      <c r="S996" s="559"/>
      <c r="T996" s="559"/>
      <c r="U996" s="559"/>
      <c r="V996" s="559"/>
      <c r="W996" s="559"/>
      <c r="X996" s="559"/>
      <c r="Y996" s="559"/>
      <c r="Z996" s="559"/>
      <c r="AA996" s="559"/>
      <c r="AB996" s="559"/>
      <c r="AC996" s="559"/>
      <c r="AD996" s="559"/>
      <c r="AE996" s="559"/>
      <c r="AF996" s="559"/>
      <c r="AG996" s="559"/>
    </row>
    <row r="997" spans="1:33" ht="18" customHeight="1" x14ac:dyDescent="0.35">
      <c r="A997" s="559"/>
      <c r="B997" s="559"/>
      <c r="C997" s="559"/>
      <c r="D997" s="559"/>
      <c r="E997" s="559"/>
      <c r="F997" s="559"/>
      <c r="G997" s="559"/>
      <c r="H997" s="559"/>
      <c r="I997" s="559"/>
      <c r="J997" s="559"/>
      <c r="K997" s="559"/>
      <c r="L997" s="559"/>
      <c r="M997" s="559"/>
      <c r="N997" s="559"/>
      <c r="O997" s="559"/>
      <c r="P997" s="559"/>
      <c r="Q997" s="559"/>
      <c r="R997" s="559"/>
      <c r="S997" s="559"/>
      <c r="T997" s="559"/>
      <c r="U997" s="559"/>
      <c r="V997" s="559"/>
      <c r="W997" s="559"/>
      <c r="X997" s="559"/>
      <c r="Y997" s="559"/>
      <c r="Z997" s="559"/>
      <c r="AA997" s="559"/>
      <c r="AB997" s="559"/>
      <c r="AC997" s="559"/>
      <c r="AD997" s="559"/>
      <c r="AE997" s="559"/>
      <c r="AF997" s="559"/>
      <c r="AG997" s="559"/>
    </row>
    <row r="998" spans="1:33" ht="18" customHeight="1" x14ac:dyDescent="0.35">
      <c r="A998" s="559"/>
      <c r="B998" s="559"/>
      <c r="C998" s="559"/>
      <c r="D998" s="559"/>
      <c r="E998" s="559"/>
      <c r="F998" s="559"/>
      <c r="G998" s="559"/>
      <c r="H998" s="559"/>
      <c r="I998" s="559"/>
      <c r="J998" s="559"/>
      <c r="K998" s="559"/>
      <c r="L998" s="559"/>
      <c r="M998" s="559"/>
      <c r="N998" s="559"/>
      <c r="O998" s="559"/>
      <c r="P998" s="559"/>
      <c r="Q998" s="559"/>
      <c r="R998" s="559"/>
      <c r="S998" s="559"/>
      <c r="T998" s="559"/>
      <c r="U998" s="559"/>
      <c r="V998" s="559"/>
      <c r="W998" s="559"/>
      <c r="X998" s="559"/>
      <c r="Y998" s="559"/>
      <c r="Z998" s="559"/>
      <c r="AA998" s="559"/>
      <c r="AB998" s="559"/>
      <c r="AC998" s="559"/>
      <c r="AD998" s="559"/>
      <c r="AE998" s="559"/>
      <c r="AF998" s="559"/>
      <c r="AG998" s="559"/>
    </row>
    <row r="999" spans="1:33" ht="18" customHeight="1" x14ac:dyDescent="0.35">
      <c r="A999" s="559"/>
      <c r="B999" s="559"/>
      <c r="C999" s="559"/>
      <c r="D999" s="559"/>
      <c r="E999" s="559"/>
      <c r="F999" s="559"/>
      <c r="G999" s="559"/>
      <c r="H999" s="559"/>
      <c r="I999" s="559"/>
      <c r="J999" s="559"/>
      <c r="K999" s="559"/>
      <c r="L999" s="559"/>
      <c r="M999" s="559"/>
      <c r="N999" s="559"/>
      <c r="O999" s="559"/>
      <c r="P999" s="559"/>
      <c r="Q999" s="559"/>
      <c r="R999" s="559"/>
      <c r="S999" s="559"/>
      <c r="T999" s="559"/>
      <c r="U999" s="559"/>
      <c r="V999" s="559"/>
      <c r="W999" s="559"/>
      <c r="X999" s="559"/>
      <c r="Y999" s="559"/>
      <c r="Z999" s="559"/>
      <c r="AA999" s="559"/>
      <c r="AB999" s="559"/>
      <c r="AC999" s="559"/>
      <c r="AD999" s="559"/>
      <c r="AE999" s="559"/>
      <c r="AF999" s="559"/>
      <c r="AG999" s="559"/>
    </row>
    <row r="1000" spans="1:33" ht="18" customHeight="1" x14ac:dyDescent="0.35">
      <c r="A1000" s="559"/>
      <c r="B1000" s="559"/>
      <c r="C1000" s="559"/>
      <c r="D1000" s="559"/>
      <c r="E1000" s="559"/>
      <c r="F1000" s="559"/>
      <c r="G1000" s="559"/>
      <c r="H1000" s="559"/>
      <c r="I1000" s="559"/>
      <c r="J1000" s="559"/>
      <c r="K1000" s="559"/>
      <c r="L1000" s="559"/>
      <c r="M1000" s="559"/>
      <c r="N1000" s="559"/>
      <c r="O1000" s="559"/>
      <c r="P1000" s="559"/>
      <c r="Q1000" s="559"/>
      <c r="R1000" s="559"/>
      <c r="S1000" s="559"/>
      <c r="T1000" s="559"/>
      <c r="U1000" s="559"/>
      <c r="V1000" s="559"/>
      <c r="W1000" s="559"/>
      <c r="X1000" s="559"/>
      <c r="Y1000" s="559"/>
      <c r="Z1000" s="559"/>
      <c r="AA1000" s="559"/>
      <c r="AB1000" s="559"/>
      <c r="AC1000" s="559"/>
      <c r="AD1000" s="559"/>
      <c r="AE1000" s="559"/>
      <c r="AF1000" s="559"/>
      <c r="AG1000" s="559"/>
    </row>
  </sheetData>
  <mergeCells count="8">
    <mergeCell ref="F20:G20"/>
    <mergeCell ref="F22:G22"/>
    <mergeCell ref="D30:E30"/>
    <mergeCell ref="A1:G2"/>
    <mergeCell ref="I9:K15"/>
    <mergeCell ref="E13:G13"/>
    <mergeCell ref="E14:G14"/>
    <mergeCell ref="E16:G18"/>
  </mergeCells>
  <conditionalFormatting sqref="C3 F3 C19">
    <cfRule type="beginsWith" dxfId="19" priority="1" operator="beginsWith" text="Boulons">
      <formula>LEFT((C3),LEN("Boulons"))=("Boulons")</formula>
    </cfRule>
  </conditionalFormatting>
  <conditionalFormatting sqref="F19">
    <cfRule type="containsText" dxfId="18" priority="2" operator="containsText" text="Oui">
      <formula>NOT(ISERROR(SEARCH(("Oui"),(F19))))</formula>
    </cfRule>
  </conditionalFormatting>
  <dataValidations count="10">
    <dataValidation type="list" allowBlank="1" showErrorMessage="1" sqref="F19" xr:uid="{00000000-0002-0000-1000-000000000000}">
      <formula1>$A$154:$A$155</formula1>
    </dataValidation>
    <dataValidation type="list" allowBlank="1" showErrorMessage="1" sqref="F25" xr:uid="{00000000-0002-0000-1000-000001000000}">
      <formula1>$A$177:$A$181</formula1>
    </dataValidation>
    <dataValidation type="list" allowBlank="1" showErrorMessage="1" sqref="C30" xr:uid="{00000000-0002-0000-1000-000002000000}">
      <formula1>$A$221:$A$231</formula1>
    </dataValidation>
    <dataValidation type="list" allowBlank="1" showErrorMessage="1" sqref="C19" xr:uid="{00000000-0002-0000-1000-000003000000}">
      <formula1>$A$151:$A$152</formula1>
    </dataValidation>
    <dataValidation type="list" allowBlank="1" showErrorMessage="1" sqref="F24" xr:uid="{00000000-0002-0000-1000-000004000000}">
      <formula1>$A$179:$A$181</formula1>
    </dataValidation>
    <dataValidation type="list" allowBlank="1" showErrorMessage="1" sqref="F30" xr:uid="{00000000-0002-0000-1000-000005000000}">
      <formula1>IF($D$30="Type de mousse",$A$251:$A$252,IF($D$30="Nombre",$A$254:$A$259,0))</formula1>
    </dataValidation>
    <dataValidation type="list" allowBlank="1" showErrorMessage="1" sqref="C17" xr:uid="{00000000-0002-0000-1000-000006000000}">
      <formula1>$A$143:$A$149</formula1>
    </dataValidation>
    <dataValidation type="list" allowBlank="1" showErrorMessage="1" sqref="C32" xr:uid="{00000000-0002-0000-1000-000007000000}">
      <formula1>$A$233:$A$239</formula1>
    </dataValidation>
    <dataValidation type="list" allowBlank="1" showErrorMessage="1" sqref="C33" xr:uid="{00000000-0002-0000-1000-000008000000}">
      <formula1>$A$241:$A$249</formula1>
    </dataValidation>
    <dataValidation type="list" allowBlank="1" showErrorMessage="1" sqref="F22" xr:uid="{00000000-0002-0000-1000-000009000000}">
      <formula1>$A$161:$A$163</formula1>
    </dataValidation>
  </dataValidations>
  <pageMargins left="0.51181102362204722" right="0.31496062992125984" top="0.55118110236220474" bottom="0.55118110236220474" header="0" footer="0"/>
  <pageSetup paperSize="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92D050"/>
    <pageSetUpPr fitToPage="1"/>
  </sheetPr>
  <dimension ref="A1:AE1000"/>
  <sheetViews>
    <sheetView workbookViewId="0"/>
  </sheetViews>
  <sheetFormatPr baseColWidth="10" defaultColWidth="14.44140625" defaultRowHeight="15" customHeight="1" x14ac:dyDescent="0.3"/>
  <cols>
    <col min="1" max="1" width="17.109375" customWidth="1"/>
    <col min="2" max="2" width="30.88671875" customWidth="1"/>
    <col min="3" max="3" width="40.33203125" customWidth="1"/>
    <col min="4" max="4" width="28.6640625" customWidth="1"/>
    <col min="5" max="5" width="23.88671875" customWidth="1"/>
    <col min="6" max="6" width="16.6640625" customWidth="1"/>
    <col min="7" max="7" width="18.109375" customWidth="1"/>
    <col min="8" max="8" width="16.44140625" customWidth="1"/>
    <col min="9" max="9" width="14.6640625" customWidth="1"/>
    <col min="10" max="10" width="11.44140625" customWidth="1"/>
    <col min="11" max="11" width="11.5546875" customWidth="1"/>
    <col min="12" max="13" width="12.88671875" customWidth="1"/>
    <col min="14" max="14" width="15.44140625" customWidth="1"/>
    <col min="15" max="15" width="14.5546875" customWidth="1"/>
    <col min="16" max="20" width="11.44140625" customWidth="1"/>
    <col min="21" max="21" width="26.5546875" customWidth="1"/>
    <col min="22" max="31" width="19" customWidth="1"/>
  </cols>
  <sheetData>
    <row r="1" spans="1:31" ht="18" customHeight="1" x14ac:dyDescent="0.35">
      <c r="A1" s="1084" t="s">
        <v>431</v>
      </c>
      <c r="B1" s="1085"/>
      <c r="C1" s="1085"/>
      <c r="D1" s="1085"/>
      <c r="E1" s="1085"/>
      <c r="F1" s="1085"/>
      <c r="G1" s="1085"/>
      <c r="H1" s="1086"/>
      <c r="I1" s="559"/>
      <c r="J1" s="559"/>
      <c r="K1" s="559"/>
      <c r="L1" s="559"/>
      <c r="M1" s="559"/>
      <c r="N1" s="559"/>
      <c r="O1" s="559"/>
      <c r="P1" s="559"/>
      <c r="Q1" s="559"/>
      <c r="R1" s="559"/>
      <c r="S1" s="559"/>
      <c r="T1" s="559"/>
      <c r="U1" s="559"/>
      <c r="V1" s="559"/>
      <c r="W1" s="559"/>
      <c r="X1" s="559"/>
      <c r="Y1" s="559"/>
      <c r="Z1" s="559"/>
      <c r="AA1" s="559"/>
      <c r="AB1" s="559"/>
      <c r="AC1" s="559"/>
      <c r="AD1" s="559"/>
      <c r="AE1" s="559"/>
    </row>
    <row r="2" spans="1:31" ht="18" customHeight="1" x14ac:dyDescent="0.35">
      <c r="A2" s="1087"/>
      <c r="B2" s="1088"/>
      <c r="C2" s="1088"/>
      <c r="D2" s="1088"/>
      <c r="E2" s="1088"/>
      <c r="F2" s="1088"/>
      <c r="G2" s="1088"/>
      <c r="H2" s="1089"/>
      <c r="I2" s="559"/>
      <c r="J2" s="559"/>
      <c r="K2" s="559"/>
      <c r="L2" s="559"/>
      <c r="M2" s="559"/>
      <c r="N2" s="559"/>
      <c r="O2" s="559"/>
      <c r="P2" s="559"/>
      <c r="Q2" s="559"/>
      <c r="R2" s="559"/>
      <c r="S2" s="559"/>
      <c r="T2" s="559"/>
      <c r="U2" s="559"/>
      <c r="V2" s="559"/>
      <c r="W2" s="559"/>
      <c r="X2" s="559"/>
      <c r="Y2" s="559"/>
      <c r="Z2" s="559"/>
      <c r="AA2" s="559"/>
      <c r="AB2" s="559"/>
      <c r="AC2" s="559"/>
      <c r="AD2" s="559"/>
      <c r="AE2" s="559"/>
    </row>
    <row r="3" spans="1:31" ht="47.25" hidden="1" customHeight="1" x14ac:dyDescent="0.35">
      <c r="A3" s="1195"/>
      <c r="B3" s="1189" t="str">
        <f>VLOOKUP($F$10,'Infos Clients'!$B$2:$G$10,2)</f>
        <v>#VALUE!</v>
      </c>
      <c r="C3" s="1140"/>
      <c r="D3" s="560">
        <f>IF(C19="Boulons et platines","Boulons et Platines CV",0)</f>
        <v>0</v>
      </c>
      <c r="E3" s="560">
        <f>IF(D3="Boulons et Platines GC","Nbre de Trous",0)</f>
        <v>0</v>
      </c>
      <c r="F3" s="561">
        <f>IF(D3="Boulons et Platines GC","Dim du Bord",0)</f>
        <v>0</v>
      </c>
      <c r="G3" s="610"/>
      <c r="H3" s="610"/>
      <c r="I3" s="559"/>
      <c r="J3" s="559"/>
      <c r="K3" s="559"/>
      <c r="L3" s="559"/>
      <c r="M3" s="559"/>
      <c r="N3" s="559"/>
      <c r="O3" s="559"/>
      <c r="P3" s="559"/>
      <c r="Q3" s="559"/>
      <c r="R3" s="559"/>
      <c r="S3" s="559"/>
      <c r="T3" s="559"/>
      <c r="U3" s="559"/>
      <c r="V3" s="559"/>
      <c r="W3" s="559"/>
      <c r="X3" s="559"/>
      <c r="Y3" s="559"/>
      <c r="Z3" s="559"/>
      <c r="AA3" s="559"/>
      <c r="AB3" s="559"/>
      <c r="AC3" s="559"/>
      <c r="AD3" s="559"/>
      <c r="AE3" s="559"/>
    </row>
    <row r="4" spans="1:31" ht="18" hidden="1" customHeight="1" x14ac:dyDescent="0.35">
      <c r="A4" s="1108"/>
      <c r="B4" s="1091"/>
      <c r="C4" s="1142"/>
      <c r="D4" s="562">
        <f>IF(C19="Vis bois",0,"Trous dans la Longueur")</f>
        <v>0</v>
      </c>
      <c r="E4" s="563">
        <f>IF(D4=0,0,IF(C46&lt;100,2,IF(C46&lt;150,3,IF(C46&lt;200,4,IF(C46&lt;250,5,IF(C46&lt;300,6,7))))))</f>
        <v>0</v>
      </c>
      <c r="F4" s="564">
        <f>IF(E4=0,0,IF(E4=2,0,IF(E4=3,0,(($C$46-32)/(E4-1))+16)))</f>
        <v>0</v>
      </c>
      <c r="G4" s="563"/>
      <c r="H4" s="729"/>
      <c r="I4" s="559"/>
      <c r="J4" s="559"/>
      <c r="K4" s="559"/>
      <c r="L4" s="559"/>
      <c r="M4" s="559"/>
      <c r="N4" s="559"/>
      <c r="O4" s="559"/>
      <c r="P4" s="559"/>
      <c r="Q4" s="559"/>
      <c r="R4" s="559"/>
      <c r="S4" s="559"/>
      <c r="T4" s="559"/>
      <c r="U4" s="559"/>
      <c r="V4" s="559"/>
      <c r="W4" s="559"/>
      <c r="X4" s="559"/>
      <c r="Y4" s="559"/>
      <c r="Z4" s="559"/>
      <c r="AA4" s="559"/>
      <c r="AB4" s="559"/>
      <c r="AC4" s="559"/>
      <c r="AD4" s="559"/>
      <c r="AE4" s="559"/>
    </row>
    <row r="5" spans="1:31" ht="16.5" hidden="1" customHeight="1" x14ac:dyDescent="0.35">
      <c r="A5" s="797"/>
      <c r="B5" s="1091"/>
      <c r="C5" s="1142"/>
      <c r="D5" s="565">
        <f>IF(E4=6,"2ème Trou",IF(E4=7,"2ème Trou",0))</f>
        <v>0</v>
      </c>
      <c r="E5" s="559"/>
      <c r="F5" s="564">
        <f>IF(D5=0,0,F4+F4-16)</f>
        <v>0</v>
      </c>
      <c r="G5" s="559"/>
      <c r="H5" s="729"/>
      <c r="I5" s="559"/>
      <c r="J5" s="559"/>
      <c r="K5" s="559"/>
      <c r="L5" s="559"/>
      <c r="M5" s="559"/>
      <c r="N5" s="559"/>
      <c r="O5" s="559"/>
      <c r="P5" s="559"/>
      <c r="Q5" s="559"/>
      <c r="R5" s="559"/>
      <c r="S5" s="559"/>
      <c r="T5" s="559"/>
      <c r="U5" s="559"/>
      <c r="V5" s="559"/>
      <c r="W5" s="559"/>
      <c r="X5" s="559"/>
      <c r="Y5" s="559"/>
      <c r="Z5" s="559"/>
      <c r="AA5" s="559"/>
      <c r="AB5" s="559"/>
      <c r="AC5" s="559"/>
      <c r="AD5" s="559"/>
      <c r="AE5" s="559"/>
    </row>
    <row r="6" spans="1:31" ht="16.5" hidden="1" customHeight="1" x14ac:dyDescent="0.35">
      <c r="A6" s="797"/>
      <c r="B6" s="1091"/>
      <c r="C6" s="1142"/>
      <c r="D6" s="562">
        <f>IF(C19="Vis bois",0,"Trous dans la Hauteur")</f>
        <v>0</v>
      </c>
      <c r="E6" s="563">
        <f>IF(D6=0,0,IF(D46&lt;100,2,IF(D46&lt;150,3,IF(D46&lt;200,4,IF(D46&lt;250,5,IF(D46&lt;310,6,7))))))</f>
        <v>0</v>
      </c>
      <c r="F6" s="564">
        <f>IF(E6=0,0,IF(E6=2,0,IF(E6=3,0,(($D$46-32)/(E6-1))+16)))</f>
        <v>0</v>
      </c>
      <c r="G6" s="563"/>
      <c r="H6" s="729"/>
      <c r="I6" s="559"/>
      <c r="J6" s="559"/>
      <c r="K6" s="559"/>
      <c r="L6" s="559"/>
      <c r="M6" s="559"/>
      <c r="N6" s="559"/>
      <c r="O6" s="559"/>
      <c r="P6" s="559"/>
      <c r="Q6" s="559"/>
      <c r="R6" s="559"/>
      <c r="S6" s="559"/>
      <c r="T6" s="559"/>
      <c r="U6" s="559"/>
      <c r="V6" s="559"/>
      <c r="W6" s="559"/>
      <c r="X6" s="559"/>
      <c r="Y6" s="559"/>
      <c r="Z6" s="559"/>
      <c r="AA6" s="559"/>
      <c r="AB6" s="559"/>
      <c r="AC6" s="559"/>
      <c r="AD6" s="559"/>
      <c r="AE6" s="559"/>
    </row>
    <row r="7" spans="1:31" ht="16.5" hidden="1" customHeight="1" x14ac:dyDescent="0.35">
      <c r="A7" s="797"/>
      <c r="B7" s="1087"/>
      <c r="C7" s="1196"/>
      <c r="D7" s="566">
        <f>IF(E6=6,"2ème Trou",IF(E6=7,"2ème Trou",0))</f>
        <v>0</v>
      </c>
      <c r="E7" s="567"/>
      <c r="F7" s="568">
        <f>IF(D7=0,0,F6+F6-16)</f>
        <v>0</v>
      </c>
      <c r="G7" s="559"/>
      <c r="H7" s="729"/>
      <c r="I7" s="559"/>
      <c r="J7" s="559"/>
      <c r="K7" s="559"/>
      <c r="L7" s="559"/>
      <c r="M7" s="559"/>
      <c r="N7" s="559"/>
      <c r="O7" s="559"/>
      <c r="P7" s="559"/>
      <c r="Q7" s="559"/>
      <c r="R7" s="559"/>
      <c r="S7" s="559"/>
      <c r="T7" s="559"/>
      <c r="U7" s="559"/>
      <c r="V7" s="559"/>
      <c r="W7" s="559"/>
      <c r="X7" s="559"/>
      <c r="Y7" s="559"/>
      <c r="Z7" s="559"/>
      <c r="AA7" s="559"/>
      <c r="AB7" s="559"/>
      <c r="AC7" s="559"/>
      <c r="AD7" s="559"/>
      <c r="AE7" s="559"/>
    </row>
    <row r="8" spans="1:31" ht="16.5" customHeight="1" x14ac:dyDescent="0.35">
      <c r="A8" s="797"/>
      <c r="B8" s="559"/>
      <c r="C8" s="559"/>
      <c r="D8" s="559"/>
      <c r="E8" s="559"/>
      <c r="F8" s="559"/>
      <c r="G8" s="559"/>
      <c r="H8" s="559"/>
      <c r="I8" s="559"/>
      <c r="J8" s="559"/>
      <c r="K8" s="559"/>
      <c r="L8" s="559"/>
      <c r="M8" s="559"/>
      <c r="N8" s="559"/>
      <c r="O8" s="559"/>
      <c r="P8" s="559"/>
      <c r="Q8" s="559"/>
      <c r="R8" s="559"/>
      <c r="S8" s="559"/>
      <c r="T8" s="559"/>
      <c r="U8" s="559"/>
      <c r="V8" s="559"/>
      <c r="W8" s="559"/>
      <c r="X8" s="559"/>
      <c r="Y8" s="559"/>
      <c r="Z8" s="559"/>
      <c r="AA8" s="559"/>
      <c r="AB8" s="559"/>
      <c r="AC8" s="559"/>
      <c r="AD8" s="559"/>
      <c r="AE8" s="559"/>
    </row>
    <row r="9" spans="1:31" ht="18" customHeight="1" x14ac:dyDescent="0.35">
      <c r="A9" s="559"/>
      <c r="B9" s="559" t="s">
        <v>1</v>
      </c>
      <c r="C9" s="20"/>
      <c r="D9" s="559"/>
      <c r="E9" s="563" t="s">
        <v>2</v>
      </c>
      <c r="F9" s="22"/>
      <c r="G9" s="559"/>
      <c r="H9" s="559"/>
      <c r="I9" s="559"/>
      <c r="J9" s="559"/>
      <c r="K9" s="559"/>
      <c r="L9" s="559"/>
      <c r="M9" s="559"/>
      <c r="N9" s="559"/>
      <c r="O9" s="559"/>
      <c r="P9" s="559"/>
      <c r="Q9" s="559"/>
      <c r="R9" s="559"/>
      <c r="S9" s="559"/>
      <c r="T9" s="559"/>
      <c r="U9" s="559"/>
      <c r="V9" s="559"/>
      <c r="W9" s="559"/>
      <c r="X9" s="559"/>
      <c r="Y9" s="559"/>
      <c r="Z9" s="559"/>
      <c r="AA9" s="559"/>
      <c r="AB9" s="559"/>
      <c r="AC9" s="559"/>
      <c r="AD9" s="559"/>
      <c r="AE9" s="559"/>
    </row>
    <row r="10" spans="1:31" ht="18" customHeight="1" x14ac:dyDescent="0.35">
      <c r="A10" s="559"/>
      <c r="B10" s="559" t="s">
        <v>4</v>
      </c>
      <c r="C10" s="23"/>
      <c r="D10" s="559"/>
      <c r="E10" s="563" t="s">
        <v>5</v>
      </c>
      <c r="F10" s="569" t="s">
        <v>6</v>
      </c>
      <c r="G10" s="559"/>
      <c r="H10" s="570"/>
      <c r="I10" s="559"/>
      <c r="J10" s="1189" t="str">
        <f>VLOOKUP($F$10,'Infos Clients'!$B$2:$G$10,2)</f>
        <v>#VALUE!</v>
      </c>
      <c r="K10" s="1085"/>
      <c r="L10" s="1085"/>
      <c r="M10" s="1085"/>
      <c r="N10" s="1086"/>
      <c r="O10" s="559"/>
      <c r="P10" s="559"/>
      <c r="Q10" s="559"/>
      <c r="R10" s="559"/>
      <c r="S10" s="559"/>
      <c r="T10" s="559"/>
      <c r="U10" s="559"/>
      <c r="V10" s="559"/>
      <c r="W10" s="559"/>
      <c r="X10" s="559"/>
      <c r="Y10" s="559"/>
      <c r="Z10" s="559"/>
      <c r="AA10" s="559"/>
      <c r="AB10" s="559"/>
      <c r="AC10" s="559"/>
      <c r="AD10" s="559"/>
      <c r="AE10" s="559"/>
    </row>
    <row r="11" spans="1:31" ht="18" customHeight="1" x14ac:dyDescent="0.35">
      <c r="A11" s="559"/>
      <c r="B11" s="559" t="s">
        <v>138</v>
      </c>
      <c r="C11" s="20"/>
      <c r="D11" s="559"/>
      <c r="E11" s="571" t="s">
        <v>8</v>
      </c>
      <c r="F11" s="25"/>
      <c r="G11" s="559"/>
      <c r="H11" s="559"/>
      <c r="I11" s="559"/>
      <c r="J11" s="1091"/>
      <c r="K11" s="1097"/>
      <c r="L11" s="1097"/>
      <c r="M11" s="1097"/>
      <c r="N11" s="1092"/>
      <c r="O11" s="559"/>
      <c r="P11" s="559"/>
      <c r="Q11" s="559"/>
      <c r="R11" s="559"/>
      <c r="S11" s="559"/>
      <c r="T11" s="559"/>
      <c r="U11" s="559"/>
      <c r="V11" s="559"/>
      <c r="W11" s="559"/>
      <c r="X11" s="559"/>
      <c r="Y11" s="559"/>
      <c r="Z11" s="559"/>
      <c r="AA11" s="559"/>
      <c r="AB11" s="559"/>
      <c r="AC11" s="559"/>
      <c r="AD11" s="559"/>
      <c r="AE11" s="559"/>
    </row>
    <row r="12" spans="1:31" ht="18" customHeight="1" x14ac:dyDescent="0.35">
      <c r="A12" s="559"/>
      <c r="B12" s="559"/>
      <c r="C12" s="563"/>
      <c r="D12" s="559"/>
      <c r="E12" s="571"/>
      <c r="F12" s="559"/>
      <c r="G12" s="559"/>
      <c r="H12" s="559"/>
      <c r="I12" s="559"/>
      <c r="J12" s="1091"/>
      <c r="K12" s="1097"/>
      <c r="L12" s="1097"/>
      <c r="M12" s="1097"/>
      <c r="N12" s="1092"/>
      <c r="O12" s="559"/>
      <c r="P12" s="559"/>
      <c r="Q12" s="559"/>
      <c r="R12" s="559"/>
      <c r="S12" s="559"/>
      <c r="T12" s="559"/>
      <c r="U12" s="559"/>
      <c r="V12" s="559"/>
      <c r="W12" s="559"/>
      <c r="X12" s="559"/>
      <c r="Y12" s="559"/>
      <c r="Z12" s="559"/>
      <c r="AA12" s="559"/>
      <c r="AB12" s="559"/>
      <c r="AC12" s="559"/>
      <c r="AD12" s="559"/>
      <c r="AE12" s="559"/>
    </row>
    <row r="13" spans="1:31" ht="18" customHeight="1" x14ac:dyDescent="0.4">
      <c r="A13" s="559"/>
      <c r="B13" s="573" t="s">
        <v>9</v>
      </c>
      <c r="C13" s="23" t="s">
        <v>10</v>
      </c>
      <c r="D13" s="559"/>
      <c r="E13" s="1167" t="str">
        <f>IF($C$13="Peuplier 15 mm","Clouage des Barres au 32 mm de l'intérieur","Clouage des Barres au 45 mm de l'extérieur")</f>
        <v>Clouage des Barres au 32 mm de l'intérieur</v>
      </c>
      <c r="F13" s="1100"/>
      <c r="G13" s="1101"/>
      <c r="H13" s="559"/>
      <c r="I13" s="559"/>
      <c r="J13" s="1091"/>
      <c r="K13" s="1097"/>
      <c r="L13" s="1097"/>
      <c r="M13" s="1097"/>
      <c r="N13" s="1092"/>
      <c r="O13" s="559"/>
      <c r="P13" s="559"/>
      <c r="Q13" s="559"/>
      <c r="R13" s="559"/>
      <c r="S13" s="559"/>
      <c r="T13" s="559"/>
      <c r="U13" s="559"/>
      <c r="V13" s="559"/>
      <c r="W13" s="559"/>
      <c r="X13" s="559"/>
      <c r="Y13" s="559"/>
      <c r="Z13" s="559"/>
      <c r="AA13" s="559"/>
      <c r="AB13" s="559"/>
      <c r="AC13" s="559"/>
      <c r="AD13" s="559"/>
      <c r="AE13" s="559"/>
    </row>
    <row r="14" spans="1:31" ht="20.25" customHeight="1" x14ac:dyDescent="0.4">
      <c r="A14" s="559"/>
      <c r="B14" s="573"/>
      <c r="C14" s="563"/>
      <c r="D14" s="559"/>
      <c r="E14" s="1167" t="str">
        <f>IF($C$19="Boulons et Platines",VLOOKUP($F$10,'[1]Infos Clients'!$B$2:$G$11,5),VLOOKUP($F$10,'[1]Infos Clients'!$B$2:$G$11,6))</f>
        <v>Fermeture par Vis Bois 4 x 70 + Cuvette Laiton</v>
      </c>
      <c r="F14" s="1100"/>
      <c r="G14" s="1101"/>
      <c r="H14" s="559"/>
      <c r="I14" s="559"/>
      <c r="J14" s="1091"/>
      <c r="K14" s="1097"/>
      <c r="L14" s="1097"/>
      <c r="M14" s="1097"/>
      <c r="N14" s="1092"/>
      <c r="O14" s="559"/>
      <c r="P14" s="559"/>
      <c r="Q14" s="559"/>
      <c r="R14" s="559"/>
      <c r="S14" s="559"/>
      <c r="T14" s="559"/>
      <c r="U14" s="559"/>
      <c r="V14" s="559"/>
      <c r="W14" s="559"/>
      <c r="X14" s="559"/>
      <c r="Y14" s="559"/>
      <c r="Z14" s="559"/>
      <c r="AA14" s="559"/>
      <c r="AB14" s="559"/>
      <c r="AC14" s="559"/>
      <c r="AD14" s="559"/>
      <c r="AE14" s="559"/>
    </row>
    <row r="15" spans="1:31" ht="18" customHeight="1" x14ac:dyDescent="0.35">
      <c r="A15" s="559"/>
      <c r="B15" s="573" t="s">
        <v>11</v>
      </c>
      <c r="C15" s="23" t="s">
        <v>12</v>
      </c>
      <c r="D15" s="559"/>
      <c r="E15" s="574" t="s">
        <v>13</v>
      </c>
      <c r="F15" s="23" t="s">
        <v>14</v>
      </c>
      <c r="G15" s="559"/>
      <c r="H15" s="559"/>
      <c r="I15" s="559"/>
      <c r="J15" s="1087"/>
      <c r="K15" s="1088"/>
      <c r="L15" s="1088"/>
      <c r="M15" s="1088"/>
      <c r="N15" s="1089"/>
      <c r="O15" s="559"/>
      <c r="P15" s="559"/>
      <c r="Q15" s="559"/>
      <c r="R15" s="559"/>
      <c r="S15" s="559"/>
      <c r="T15" s="559"/>
      <c r="U15" s="559"/>
      <c r="V15" s="559"/>
      <c r="W15" s="559"/>
      <c r="X15" s="559"/>
      <c r="Y15" s="559"/>
      <c r="Z15" s="559"/>
      <c r="AA15" s="559"/>
      <c r="AB15" s="559"/>
      <c r="AC15" s="559"/>
      <c r="AD15" s="559"/>
      <c r="AE15" s="559"/>
    </row>
    <row r="16" spans="1:31" ht="18" customHeight="1" x14ac:dyDescent="0.35">
      <c r="A16" s="559"/>
      <c r="B16" s="559"/>
      <c r="C16" s="563"/>
      <c r="D16" s="559"/>
      <c r="E16" s="1090" t="str">
        <f>VLOOKUP(F10,'[1]Infos Clients'!B2:E10,3)</f>
        <v>Valsem Scotch Marron, Styrofoam Armé,                         Carton Scotch Marron, Joint 19 mm</v>
      </c>
      <c r="F16" s="1085"/>
      <c r="G16" s="1086"/>
      <c r="H16" s="559"/>
      <c r="I16" s="559"/>
      <c r="J16" s="559"/>
      <c r="K16" s="559"/>
      <c r="L16" s="559"/>
      <c r="M16" s="559"/>
      <c r="N16" s="559"/>
      <c r="O16" s="559"/>
      <c r="P16" s="559"/>
      <c r="Q16" s="559"/>
      <c r="R16" s="559"/>
      <c r="S16" s="559"/>
      <c r="T16" s="559"/>
      <c r="U16" s="559"/>
      <c r="V16" s="559"/>
      <c r="W16" s="559"/>
      <c r="X16" s="559"/>
      <c r="Y16" s="559"/>
      <c r="Z16" s="559"/>
      <c r="AA16" s="559"/>
      <c r="AB16" s="559"/>
      <c r="AC16" s="559"/>
      <c r="AD16" s="559"/>
      <c r="AE16" s="559"/>
    </row>
    <row r="17" spans="1:31" ht="18" customHeight="1" x14ac:dyDescent="0.35">
      <c r="A17" s="559"/>
      <c r="B17" s="573" t="s">
        <v>15</v>
      </c>
      <c r="C17" s="23" t="s">
        <v>16</v>
      </c>
      <c r="D17" s="559"/>
      <c r="E17" s="1091"/>
      <c r="F17" s="1097"/>
      <c r="G17" s="1092"/>
      <c r="H17" s="559"/>
      <c r="I17" s="559"/>
      <c r="J17" s="559"/>
      <c r="K17" s="559"/>
      <c r="L17" s="575" t="s">
        <v>432</v>
      </c>
      <c r="M17" s="575" t="s">
        <v>433</v>
      </c>
      <c r="N17" s="575" t="s">
        <v>434</v>
      </c>
      <c r="O17" s="575" t="s">
        <v>435</v>
      </c>
      <c r="P17" s="575"/>
      <c r="Q17" s="575" t="s">
        <v>436</v>
      </c>
      <c r="R17" s="575" t="s">
        <v>437</v>
      </c>
      <c r="S17" s="575" t="s">
        <v>438</v>
      </c>
      <c r="T17" s="559"/>
      <c r="U17" s="559"/>
      <c r="V17" s="559" t="s">
        <v>439</v>
      </c>
      <c r="W17" s="559" t="s">
        <v>440</v>
      </c>
      <c r="X17" s="559" t="s">
        <v>441</v>
      </c>
      <c r="Y17" s="559" t="s">
        <v>442</v>
      </c>
      <c r="Z17" s="559" t="s">
        <v>443</v>
      </c>
      <c r="AA17" s="559" t="s">
        <v>444</v>
      </c>
      <c r="AB17" s="559" t="s">
        <v>445</v>
      </c>
      <c r="AC17" s="559" t="s">
        <v>446</v>
      </c>
      <c r="AD17" s="559" t="s">
        <v>447</v>
      </c>
      <c r="AE17" s="559" t="s">
        <v>448</v>
      </c>
    </row>
    <row r="18" spans="1:31" ht="18" customHeight="1" x14ac:dyDescent="0.35">
      <c r="A18" s="559"/>
      <c r="B18" s="559"/>
      <c r="C18" s="563"/>
      <c r="D18" s="559"/>
      <c r="E18" s="1087"/>
      <c r="F18" s="1088"/>
      <c r="G18" s="1089"/>
      <c r="H18" s="559"/>
      <c r="I18" s="559"/>
      <c r="J18" s="559"/>
      <c r="K18" s="559"/>
      <c r="L18" s="559"/>
      <c r="M18" s="559"/>
      <c r="N18" s="559"/>
      <c r="O18" s="559"/>
      <c r="P18" s="559"/>
      <c r="Q18" s="559"/>
      <c r="R18" s="559"/>
      <c r="S18" s="559"/>
      <c r="T18" s="559"/>
      <c r="U18" s="559"/>
      <c r="V18" s="559"/>
      <c r="W18" s="559"/>
      <c r="X18" s="559"/>
      <c r="Y18" s="559"/>
      <c r="Z18" s="559"/>
      <c r="AA18" s="559"/>
      <c r="AB18" s="559"/>
      <c r="AC18" s="559"/>
      <c r="AD18" s="559"/>
      <c r="AE18" s="559"/>
    </row>
    <row r="19" spans="1:31" ht="18" customHeight="1" x14ac:dyDescent="0.35">
      <c r="A19" s="559"/>
      <c r="B19" s="573" t="s">
        <v>17</v>
      </c>
      <c r="C19" s="23" t="s">
        <v>18</v>
      </c>
      <c r="D19" s="559"/>
      <c r="E19" s="574" t="s">
        <v>19</v>
      </c>
      <c r="F19" s="23" t="s">
        <v>20</v>
      </c>
      <c r="G19" s="559"/>
      <c r="H19" s="559"/>
      <c r="I19" s="559"/>
      <c r="J19" s="559"/>
      <c r="K19" s="559"/>
      <c r="L19" s="798"/>
      <c r="M19" s="798"/>
      <c r="N19" s="798"/>
      <c r="O19" s="798"/>
      <c r="P19" s="559"/>
      <c r="Q19" s="559">
        <f>L19+20</f>
        <v>20</v>
      </c>
      <c r="R19" s="559">
        <f>(HLOOKUP(M19,V19:AE20,2))+N19*2</f>
        <v>0</v>
      </c>
      <c r="S19" s="559">
        <f>R19+2</f>
        <v>2</v>
      </c>
      <c r="T19" s="559"/>
      <c r="U19" s="559" t="s">
        <v>449</v>
      </c>
      <c r="V19" s="559">
        <f>PI()*O19</f>
        <v>0</v>
      </c>
      <c r="W19" s="559">
        <f t="shared" ref="W19:AE19" si="0">(PI()*V20)+V19</f>
        <v>0</v>
      </c>
      <c r="X19" s="559">
        <f t="shared" si="0"/>
        <v>0</v>
      </c>
      <c r="Y19" s="559">
        <f t="shared" si="0"/>
        <v>0</v>
      </c>
      <c r="Z19" s="559">
        <f t="shared" si="0"/>
        <v>0</v>
      </c>
      <c r="AA19" s="559">
        <f t="shared" si="0"/>
        <v>0</v>
      </c>
      <c r="AB19" s="559">
        <f t="shared" si="0"/>
        <v>0</v>
      </c>
      <c r="AC19" s="559">
        <f t="shared" si="0"/>
        <v>0</v>
      </c>
      <c r="AD19" s="559">
        <f t="shared" si="0"/>
        <v>0</v>
      </c>
      <c r="AE19" s="559">
        <f t="shared" si="0"/>
        <v>0</v>
      </c>
    </row>
    <row r="20" spans="1:31" ht="18" customHeight="1" x14ac:dyDescent="0.35">
      <c r="A20" s="559"/>
      <c r="B20" s="559"/>
      <c r="C20" s="563"/>
      <c r="D20" s="559"/>
      <c r="E20" s="573">
        <f>IF(F19="Oui","Type de Peinture",0)</f>
        <v>0</v>
      </c>
      <c r="F20" s="1168">
        <f>IF(F19="Non",0,VLOOKUP(F10,'[1]Infos Clients'!B2:E10,4))</f>
        <v>0</v>
      </c>
      <c r="G20" s="1101"/>
      <c r="H20" s="559"/>
      <c r="I20" s="559"/>
      <c r="J20" s="559"/>
      <c r="K20" s="559"/>
      <c r="L20" s="559"/>
      <c r="M20" s="559"/>
      <c r="N20" s="559"/>
      <c r="O20" s="559"/>
      <c r="P20" s="559"/>
      <c r="Q20" s="559"/>
      <c r="R20" s="559"/>
      <c r="S20" s="559"/>
      <c r="T20" s="559"/>
      <c r="U20" s="559" t="s">
        <v>450</v>
      </c>
      <c r="V20" s="559">
        <f>$O$19+($N$19*2)</f>
        <v>0</v>
      </c>
      <c r="W20" s="559">
        <f t="shared" ref="W20:AE20" si="1">V20+(2*$N$19)</f>
        <v>0</v>
      </c>
      <c r="X20" s="559">
        <f t="shared" si="1"/>
        <v>0</v>
      </c>
      <c r="Y20" s="559">
        <f t="shared" si="1"/>
        <v>0</v>
      </c>
      <c r="Z20" s="559">
        <f t="shared" si="1"/>
        <v>0</v>
      </c>
      <c r="AA20" s="559">
        <f t="shared" si="1"/>
        <v>0</v>
      </c>
      <c r="AB20" s="559">
        <f t="shared" si="1"/>
        <v>0</v>
      </c>
      <c r="AC20" s="559">
        <f t="shared" si="1"/>
        <v>0</v>
      </c>
      <c r="AD20" s="559">
        <f t="shared" si="1"/>
        <v>0</v>
      </c>
      <c r="AE20" s="559">
        <f t="shared" si="1"/>
        <v>0</v>
      </c>
    </row>
    <row r="21" spans="1:31" ht="18" customHeight="1" x14ac:dyDescent="0.35">
      <c r="A21" s="559"/>
      <c r="B21" s="573" t="s">
        <v>21</v>
      </c>
      <c r="C21" s="23" t="s">
        <v>22</v>
      </c>
      <c r="D21" s="559"/>
      <c r="E21" s="574" t="s">
        <v>24</v>
      </c>
      <c r="F21" s="1157" t="s">
        <v>136</v>
      </c>
      <c r="G21" s="1158"/>
      <c r="H21" s="559"/>
      <c r="I21" s="559"/>
      <c r="J21" s="559"/>
      <c r="K21" s="559"/>
      <c r="L21" s="559"/>
      <c r="M21" s="559"/>
      <c r="N21" s="559"/>
      <c r="O21" s="559"/>
      <c r="P21" s="559"/>
      <c r="Q21" s="559"/>
      <c r="R21" s="559"/>
      <c r="S21" s="559"/>
      <c r="T21" s="559"/>
      <c r="U21" s="559"/>
      <c r="V21" s="559"/>
      <c r="W21" s="559"/>
      <c r="X21" s="559"/>
      <c r="Y21" s="559"/>
      <c r="Z21" s="559"/>
      <c r="AA21" s="559"/>
      <c r="AB21" s="559"/>
      <c r="AC21" s="559"/>
      <c r="AD21" s="559"/>
      <c r="AE21" s="559"/>
    </row>
    <row r="22" spans="1:31" ht="32.25" customHeight="1" x14ac:dyDescent="0.35">
      <c r="A22" s="559"/>
      <c r="B22" s="573"/>
      <c r="C22" s="563"/>
      <c r="D22" s="559"/>
      <c r="E22" s="594"/>
      <c r="F22" s="571"/>
      <c r="G22" s="571"/>
      <c r="H22" s="559"/>
      <c r="I22" s="559"/>
      <c r="J22" s="559"/>
      <c r="K22" s="559"/>
      <c r="L22" s="559"/>
      <c r="M22" s="559"/>
      <c r="N22" s="559"/>
      <c r="O22" s="559"/>
      <c r="P22" s="559"/>
      <c r="Q22" s="559"/>
      <c r="R22" s="559"/>
      <c r="S22" s="559"/>
      <c r="T22" s="559"/>
      <c r="U22" s="559"/>
      <c r="V22" s="559"/>
      <c r="W22" s="559"/>
      <c r="X22" s="559"/>
      <c r="Y22" s="559"/>
      <c r="Z22" s="559"/>
      <c r="AA22" s="559"/>
      <c r="AB22" s="559"/>
      <c r="AC22" s="559"/>
      <c r="AD22" s="559"/>
      <c r="AE22" s="559"/>
    </row>
    <row r="23" spans="1:31" ht="18" customHeight="1" x14ac:dyDescent="0.35">
      <c r="A23" s="559"/>
      <c r="B23" s="559"/>
      <c r="C23" s="799" t="s">
        <v>28</v>
      </c>
      <c r="D23" s="1184" t="s">
        <v>451</v>
      </c>
      <c r="E23" s="1172"/>
      <c r="F23" s="800" t="s">
        <v>452</v>
      </c>
      <c r="G23" s="559"/>
      <c r="H23" s="559"/>
      <c r="I23" s="559"/>
      <c r="J23" s="559"/>
      <c r="K23" s="559"/>
      <c r="L23" s="559"/>
      <c r="M23" s="559"/>
      <c r="N23" s="559"/>
      <c r="O23" s="559"/>
      <c r="P23" s="559"/>
      <c r="Q23" s="559"/>
      <c r="R23" s="559"/>
      <c r="S23" s="559"/>
      <c r="T23" s="559"/>
      <c r="U23" s="559"/>
      <c r="V23" s="559"/>
      <c r="W23" s="559"/>
      <c r="X23" s="559"/>
      <c r="Y23" s="559"/>
      <c r="Z23" s="559"/>
      <c r="AA23" s="559"/>
      <c r="AB23" s="559"/>
      <c r="AC23" s="559"/>
      <c r="AD23" s="559"/>
      <c r="AE23" s="559"/>
    </row>
    <row r="24" spans="1:31" ht="18" customHeight="1" x14ac:dyDescent="0.35">
      <c r="A24" s="559"/>
      <c r="B24" s="573" t="s">
        <v>453</v>
      </c>
      <c r="C24" s="581"/>
      <c r="D24" s="801"/>
      <c r="E24" s="802"/>
      <c r="F24" s="803">
        <v>30</v>
      </c>
      <c r="G24" s="559"/>
      <c r="H24" s="559"/>
      <c r="I24" s="559"/>
      <c r="J24" s="559"/>
      <c r="K24" s="559"/>
      <c r="L24" s="559"/>
      <c r="M24" s="559"/>
      <c r="N24" s="559"/>
      <c r="O24" s="559"/>
      <c r="P24" s="559"/>
      <c r="Q24" s="559"/>
      <c r="R24" s="559"/>
      <c r="S24" s="559"/>
      <c r="T24" s="559"/>
      <c r="U24" s="559"/>
      <c r="V24" s="559"/>
      <c r="W24" s="559"/>
      <c r="X24" s="559"/>
      <c r="Y24" s="559"/>
      <c r="Z24" s="559"/>
      <c r="AA24" s="559"/>
      <c r="AB24" s="559"/>
      <c r="AC24" s="559"/>
      <c r="AD24" s="559"/>
      <c r="AE24" s="559"/>
    </row>
    <row r="25" spans="1:31" ht="18" customHeight="1" x14ac:dyDescent="0.35">
      <c r="A25" s="559"/>
      <c r="B25" s="573"/>
      <c r="C25" s="595"/>
      <c r="D25" s="595"/>
      <c r="E25" s="595"/>
      <c r="F25" s="559"/>
      <c r="G25" s="559"/>
      <c r="H25" s="559"/>
      <c r="I25" s="559"/>
      <c r="J25" s="559"/>
      <c r="K25" s="559"/>
      <c r="L25" s="559"/>
      <c r="M25" s="559"/>
      <c r="N25" s="559"/>
      <c r="O25" s="559"/>
      <c r="P25" s="559"/>
      <c r="Q25" s="559"/>
      <c r="R25" s="559"/>
      <c r="S25" s="559"/>
      <c r="T25" s="559"/>
      <c r="U25" s="559"/>
      <c r="V25" s="559"/>
      <c r="W25" s="559"/>
      <c r="X25" s="559"/>
      <c r="Y25" s="559"/>
      <c r="Z25" s="559"/>
      <c r="AA25" s="559"/>
      <c r="AB25" s="559"/>
      <c r="AC25" s="559"/>
      <c r="AD25" s="559"/>
      <c r="AE25" s="559"/>
    </row>
    <row r="26" spans="1:31" ht="18" customHeight="1" x14ac:dyDescent="0.35">
      <c r="A26" s="559"/>
      <c r="B26" s="804" t="s">
        <v>31</v>
      </c>
      <c r="C26" s="23" t="s">
        <v>16</v>
      </c>
      <c r="D26" s="1193" t="s">
        <v>454</v>
      </c>
      <c r="E26" s="1170"/>
      <c r="F26" s="805" t="s">
        <v>20</v>
      </c>
      <c r="G26" s="559"/>
      <c r="H26" s="559"/>
      <c r="I26" s="559"/>
      <c r="J26" s="559"/>
      <c r="K26" s="559"/>
      <c r="L26" s="559"/>
      <c r="M26" s="559"/>
      <c r="N26" s="559"/>
      <c r="O26" s="559"/>
      <c r="P26" s="559"/>
      <c r="Q26" s="559"/>
      <c r="R26" s="559"/>
      <c r="S26" s="559"/>
      <c r="T26" s="559"/>
      <c r="U26" s="559"/>
      <c r="V26" s="559"/>
      <c r="W26" s="559"/>
      <c r="X26" s="559"/>
      <c r="Y26" s="559"/>
      <c r="Z26" s="559"/>
      <c r="AA26" s="559"/>
      <c r="AB26" s="559"/>
      <c r="AC26" s="559"/>
      <c r="AD26" s="559"/>
      <c r="AE26" s="559"/>
    </row>
    <row r="27" spans="1:31" ht="18" customHeight="1" x14ac:dyDescent="0.35">
      <c r="A27" s="559"/>
      <c r="B27" s="573"/>
      <c r="C27" s="563"/>
      <c r="D27" s="595"/>
      <c r="E27" s="595"/>
      <c r="F27" s="559"/>
      <c r="G27" s="559"/>
      <c r="H27" s="559"/>
      <c r="I27" s="559"/>
      <c r="J27" s="559"/>
      <c r="K27" s="559"/>
      <c r="L27" s="559"/>
      <c r="M27" s="559"/>
      <c r="N27" s="559"/>
      <c r="O27" s="559"/>
      <c r="P27" s="559"/>
      <c r="Q27" s="559"/>
      <c r="R27" s="559"/>
      <c r="S27" s="559"/>
      <c r="T27" s="559"/>
      <c r="U27" s="559"/>
      <c r="V27" s="559"/>
      <c r="W27" s="559"/>
      <c r="X27" s="559"/>
      <c r="Y27" s="559"/>
      <c r="Z27" s="559"/>
      <c r="AA27" s="559"/>
      <c r="AB27" s="559"/>
      <c r="AC27" s="559"/>
      <c r="AD27" s="559"/>
      <c r="AE27" s="559"/>
    </row>
    <row r="28" spans="1:31" ht="18" customHeight="1" x14ac:dyDescent="0.35">
      <c r="A28" s="559"/>
      <c r="B28" s="587" t="s">
        <v>359</v>
      </c>
      <c r="C28" s="579">
        <f>$C$24+VLOOKUP(C26,$A$139:$D$142,2)</f>
        <v>0</v>
      </c>
      <c r="D28" s="579">
        <f>$D$24+VLOOKUP(C26,$A$139:$D$142,3)</f>
        <v>0</v>
      </c>
      <c r="E28" s="579">
        <f>$E$24+VLOOKUP(C26,$A$139:$D$142,4)</f>
        <v>0</v>
      </c>
      <c r="F28" s="559"/>
      <c r="G28" s="559"/>
      <c r="H28" s="559"/>
      <c r="I28" s="559"/>
      <c r="J28" s="559"/>
      <c r="K28" s="559"/>
      <c r="L28" s="559"/>
      <c r="M28" s="559"/>
      <c r="N28" s="559"/>
      <c r="O28" s="559"/>
      <c r="P28" s="559"/>
      <c r="Q28" s="559"/>
      <c r="R28" s="559"/>
      <c r="S28" s="559"/>
      <c r="T28" s="559"/>
      <c r="U28" s="559"/>
      <c r="V28" s="559"/>
      <c r="W28" s="559"/>
      <c r="X28" s="559"/>
      <c r="Y28" s="559"/>
      <c r="Z28" s="559"/>
      <c r="AA28" s="559"/>
      <c r="AB28" s="559"/>
      <c r="AC28" s="559"/>
      <c r="AD28" s="559"/>
      <c r="AE28" s="559"/>
    </row>
    <row r="29" spans="1:31" ht="18" customHeight="1" x14ac:dyDescent="0.35">
      <c r="A29" s="559"/>
      <c r="B29" s="573"/>
      <c r="C29" s="595"/>
      <c r="D29" s="595"/>
      <c r="E29" s="595"/>
      <c r="F29" s="559"/>
      <c r="G29" s="559"/>
      <c r="H29" s="559"/>
      <c r="I29" s="559"/>
      <c r="J29" s="559"/>
      <c r="K29" s="559"/>
      <c r="L29" s="559"/>
      <c r="M29" s="559"/>
      <c r="N29" s="559"/>
      <c r="O29" s="559"/>
      <c r="P29" s="559"/>
      <c r="Q29" s="559"/>
      <c r="R29" s="559"/>
      <c r="S29" s="559"/>
      <c r="T29" s="559"/>
      <c r="U29" s="559"/>
      <c r="V29" s="559"/>
      <c r="W29" s="559"/>
      <c r="X29" s="559"/>
      <c r="Y29" s="559"/>
      <c r="Z29" s="559"/>
      <c r="AA29" s="559"/>
      <c r="AB29" s="559"/>
      <c r="AC29" s="559"/>
      <c r="AD29" s="559"/>
      <c r="AE29" s="559"/>
    </row>
    <row r="30" spans="1:31" ht="18" customHeight="1" x14ac:dyDescent="0.35">
      <c r="A30" s="559"/>
      <c r="B30" s="573"/>
      <c r="C30" s="579" t="s">
        <v>28</v>
      </c>
      <c r="D30" s="1184" t="s">
        <v>451</v>
      </c>
      <c r="E30" s="1172"/>
      <c r="F30" s="579" t="s">
        <v>452</v>
      </c>
      <c r="G30" s="559"/>
      <c r="H30" s="559"/>
      <c r="I30" s="559"/>
      <c r="J30" s="559"/>
      <c r="K30" s="559"/>
      <c r="L30" s="559"/>
      <c r="M30" s="559"/>
      <c r="N30" s="559"/>
      <c r="O30" s="559"/>
      <c r="P30" s="559"/>
      <c r="Q30" s="559"/>
      <c r="R30" s="559"/>
      <c r="S30" s="559"/>
      <c r="T30" s="559"/>
      <c r="U30" s="559"/>
      <c r="V30" s="559"/>
      <c r="W30" s="559"/>
      <c r="X30" s="559"/>
      <c r="Y30" s="559"/>
      <c r="Z30" s="559"/>
      <c r="AA30" s="559"/>
      <c r="AB30" s="559"/>
      <c r="AC30" s="559"/>
      <c r="AD30" s="559"/>
      <c r="AE30" s="559"/>
    </row>
    <row r="31" spans="1:31" ht="18" customHeight="1" x14ac:dyDescent="0.35">
      <c r="A31" s="559"/>
      <c r="B31" s="573" t="s">
        <v>455</v>
      </c>
      <c r="C31" s="806"/>
      <c r="D31" s="801"/>
      <c r="E31" s="802">
        <f>D31</f>
        <v>0</v>
      </c>
      <c r="F31" s="803">
        <v>30</v>
      </c>
      <c r="G31" s="559"/>
      <c r="H31" s="559"/>
      <c r="I31" s="559"/>
      <c r="J31" s="559"/>
      <c r="K31" s="559"/>
      <c r="L31" s="559"/>
      <c r="M31" s="559"/>
      <c r="N31" s="559"/>
      <c r="O31" s="559"/>
      <c r="P31" s="559"/>
      <c r="Q31" s="559"/>
      <c r="R31" s="559"/>
      <c r="S31" s="559"/>
      <c r="T31" s="559"/>
      <c r="U31" s="559"/>
      <c r="V31" s="559"/>
      <c r="W31" s="559"/>
      <c r="X31" s="559"/>
      <c r="Y31" s="559"/>
      <c r="Z31" s="559"/>
      <c r="AA31" s="559"/>
      <c r="AB31" s="559"/>
      <c r="AC31" s="559"/>
      <c r="AD31" s="559"/>
      <c r="AE31" s="559"/>
    </row>
    <row r="32" spans="1:31" ht="18" customHeight="1" x14ac:dyDescent="0.35">
      <c r="A32" s="559"/>
      <c r="B32" s="559"/>
      <c r="C32" s="559"/>
      <c r="D32" s="559"/>
      <c r="E32" s="559"/>
      <c r="F32" s="559"/>
      <c r="G32" s="559"/>
      <c r="H32" s="559"/>
      <c r="I32" s="559"/>
      <c r="J32" s="559"/>
      <c r="K32" s="559"/>
      <c r="L32" s="559"/>
      <c r="M32" s="559"/>
      <c r="N32" s="559"/>
      <c r="O32" s="559"/>
      <c r="P32" s="559"/>
      <c r="Q32" s="559"/>
      <c r="R32" s="559"/>
      <c r="S32" s="559"/>
      <c r="T32" s="559"/>
      <c r="U32" s="559"/>
      <c r="V32" s="559"/>
      <c r="W32" s="559"/>
      <c r="X32" s="559"/>
      <c r="Y32" s="559"/>
      <c r="Z32" s="559"/>
      <c r="AA32" s="559"/>
      <c r="AB32" s="559"/>
      <c r="AC32" s="559"/>
      <c r="AD32" s="559"/>
      <c r="AE32" s="559"/>
    </row>
    <row r="33" spans="1:31" ht="18" customHeight="1" x14ac:dyDescent="0.35">
      <c r="A33" s="559"/>
      <c r="B33" s="804" t="s">
        <v>31</v>
      </c>
      <c r="C33" s="23" t="s">
        <v>16</v>
      </c>
      <c r="D33" s="1193" t="s">
        <v>454</v>
      </c>
      <c r="E33" s="1170"/>
      <c r="F33" s="805" t="s">
        <v>14</v>
      </c>
      <c r="G33" s="559"/>
      <c r="H33" s="559"/>
      <c r="I33" s="559"/>
      <c r="J33" s="559"/>
      <c r="K33" s="559"/>
      <c r="L33" s="559"/>
      <c r="M33" s="559"/>
      <c r="N33" s="559"/>
      <c r="O33" s="559"/>
      <c r="P33" s="559"/>
      <c r="Q33" s="559"/>
      <c r="R33" s="559"/>
      <c r="S33" s="559"/>
      <c r="T33" s="559"/>
      <c r="U33" s="559"/>
      <c r="V33" s="559"/>
      <c r="W33" s="559"/>
      <c r="X33" s="559"/>
      <c r="Y33" s="559"/>
      <c r="Z33" s="559"/>
      <c r="AA33" s="559"/>
      <c r="AB33" s="559"/>
      <c r="AC33" s="559"/>
      <c r="AD33" s="559"/>
      <c r="AE33" s="559"/>
    </row>
    <row r="34" spans="1:31" ht="18" customHeight="1" x14ac:dyDescent="0.35">
      <c r="A34" s="559"/>
      <c r="B34" s="573"/>
      <c r="C34" s="559"/>
      <c r="D34" s="559"/>
      <c r="E34" s="559"/>
      <c r="F34" s="559"/>
      <c r="G34" s="559"/>
      <c r="H34" s="559"/>
      <c r="I34" s="559"/>
      <c r="J34" s="559"/>
      <c r="K34" s="559"/>
      <c r="L34" s="559"/>
      <c r="M34" s="559"/>
      <c r="N34" s="559"/>
      <c r="O34" s="559"/>
      <c r="P34" s="559"/>
      <c r="Q34" s="559"/>
      <c r="R34" s="559"/>
      <c r="S34" s="559"/>
      <c r="T34" s="559"/>
      <c r="U34" s="559"/>
      <c r="V34" s="559"/>
      <c r="W34" s="559"/>
      <c r="X34" s="559"/>
      <c r="Y34" s="559"/>
      <c r="Z34" s="559"/>
      <c r="AA34" s="559"/>
      <c r="AB34" s="559"/>
      <c r="AC34" s="559"/>
      <c r="AD34" s="559"/>
      <c r="AE34" s="559"/>
    </row>
    <row r="35" spans="1:31" ht="18" customHeight="1" x14ac:dyDescent="0.35">
      <c r="A35" s="559"/>
      <c r="B35" s="587" t="s">
        <v>359</v>
      </c>
      <c r="C35" s="579">
        <f>$C$31+VLOOKUP(C33,$A$139:$D$142,2)</f>
        <v>0</v>
      </c>
      <c r="D35" s="579">
        <f>$D$31+VLOOKUP(C33,$A$139:$D$142,3)</f>
        <v>0</v>
      </c>
      <c r="E35" s="579">
        <f>$E$31+VLOOKUP(C33,$A$139:$D$142,4)</f>
        <v>0</v>
      </c>
      <c r="F35" s="559"/>
      <c r="G35" s="559"/>
      <c r="H35" s="559"/>
      <c r="I35" s="559"/>
      <c r="J35" s="559"/>
      <c r="K35" s="559"/>
      <c r="L35" s="559"/>
      <c r="M35" s="559"/>
      <c r="N35" s="559"/>
      <c r="O35" s="559"/>
      <c r="P35" s="559"/>
      <c r="Q35" s="559"/>
      <c r="R35" s="559"/>
      <c r="S35" s="559"/>
      <c r="T35" s="559"/>
      <c r="U35" s="559"/>
      <c r="V35" s="559"/>
      <c r="W35" s="559"/>
      <c r="X35" s="559"/>
      <c r="Y35" s="559"/>
      <c r="Z35" s="559"/>
      <c r="AA35" s="559"/>
      <c r="AB35" s="559"/>
      <c r="AC35" s="559"/>
      <c r="AD35" s="559"/>
      <c r="AE35" s="559"/>
    </row>
    <row r="36" spans="1:31" ht="18" customHeight="1" x14ac:dyDescent="0.35">
      <c r="A36" s="559"/>
      <c r="B36" s="559"/>
      <c r="C36" s="559"/>
      <c r="D36" s="559"/>
      <c r="E36" s="559"/>
      <c r="F36" s="559"/>
      <c r="G36" s="559"/>
      <c r="H36" s="559"/>
      <c r="I36" s="559"/>
      <c r="J36" s="559"/>
      <c r="K36" s="559"/>
      <c r="L36" s="559"/>
      <c r="M36" s="559"/>
      <c r="N36" s="559"/>
      <c r="O36" s="559"/>
      <c r="P36" s="559"/>
      <c r="Q36" s="559"/>
      <c r="R36" s="559"/>
      <c r="S36" s="559"/>
      <c r="T36" s="559"/>
      <c r="U36" s="559"/>
      <c r="V36" s="559"/>
      <c r="W36" s="559"/>
      <c r="X36" s="559"/>
      <c r="Y36" s="559"/>
      <c r="Z36" s="559"/>
      <c r="AA36" s="559"/>
      <c r="AB36" s="559"/>
      <c r="AC36" s="559"/>
      <c r="AD36" s="559"/>
      <c r="AE36" s="559"/>
    </row>
    <row r="37" spans="1:31" ht="18" customHeight="1" x14ac:dyDescent="0.35">
      <c r="A37" s="559"/>
      <c r="B37" s="606" t="s">
        <v>42</v>
      </c>
      <c r="C37" s="807">
        <f>MAX(C28,C35)+VLOOKUP($C$17,$A$147:$S$153,2)+IF(VLOOKUP($C$17,$A$147:$S$153,18)=2,3,0)</f>
        <v>0</v>
      </c>
      <c r="D37" s="807">
        <f>D28+VLOOKUP($C$17,$A$147:$S$153,2)+IF(D31=0,0,1.5+D35)</f>
        <v>0</v>
      </c>
      <c r="E37" s="561">
        <f>MAX(E28,E35)+VLOOKUP($C$17,$A$147:$S$153,2)</f>
        <v>0</v>
      </c>
      <c r="F37" s="559"/>
      <c r="G37" s="559"/>
      <c r="H37" s="559"/>
      <c r="I37" s="559"/>
      <c r="J37" s="559"/>
      <c r="K37" s="559"/>
      <c r="L37" s="559"/>
      <c r="M37" s="559"/>
      <c r="N37" s="559"/>
      <c r="O37" s="559"/>
      <c r="P37" s="559"/>
      <c r="Q37" s="559"/>
      <c r="R37" s="559"/>
      <c r="S37" s="559"/>
      <c r="T37" s="559"/>
      <c r="U37" s="559"/>
      <c r="V37" s="559"/>
      <c r="W37" s="559"/>
      <c r="X37" s="559"/>
      <c r="Y37" s="559"/>
      <c r="Z37" s="559"/>
      <c r="AA37" s="559"/>
      <c r="AB37" s="559"/>
      <c r="AC37" s="559"/>
      <c r="AD37" s="559"/>
      <c r="AE37" s="559"/>
    </row>
    <row r="38" spans="1:31" ht="18" customHeight="1" x14ac:dyDescent="0.35">
      <c r="A38" s="559"/>
      <c r="B38" s="573"/>
      <c r="C38" s="610"/>
      <c r="D38" s="610"/>
      <c r="E38" s="610"/>
      <c r="F38" s="559"/>
      <c r="G38" s="609" t="s">
        <v>256</v>
      </c>
      <c r="H38" s="610"/>
      <c r="I38" s="559"/>
      <c r="J38" s="559"/>
      <c r="K38" s="559"/>
      <c r="L38" s="559"/>
      <c r="M38" s="559"/>
      <c r="N38" s="559"/>
      <c r="O38" s="559"/>
      <c r="P38" s="559"/>
      <c r="Q38" s="559"/>
      <c r="R38" s="559"/>
      <c r="S38" s="559"/>
      <c r="T38" s="559"/>
      <c r="U38" s="559"/>
      <c r="V38" s="559"/>
      <c r="W38" s="559"/>
      <c r="X38" s="559"/>
      <c r="Y38" s="559"/>
      <c r="Z38" s="559"/>
      <c r="AA38" s="559"/>
      <c r="AB38" s="559"/>
      <c r="AC38" s="559"/>
      <c r="AD38" s="559"/>
      <c r="AE38" s="559"/>
    </row>
    <row r="39" spans="1:31" ht="18" customHeight="1" x14ac:dyDescent="0.35">
      <c r="A39" s="559"/>
      <c r="B39" s="606" t="s">
        <v>44</v>
      </c>
      <c r="C39" s="808">
        <f>C37+IF($C$21="Bois",4.4,0)+VLOOKUP($C$13,$A$170:$E$171,4)*2+VLOOKUP($C$15,$A$173:$D$174,4)*2</f>
        <v>11.600000000000001</v>
      </c>
      <c r="D39" s="808">
        <f>D37+VLOOKUP($C$13,$A$170:$E$171,4)*2+VLOOKUP($C$15,$A$173:$D$174,4)*2</f>
        <v>7.2</v>
      </c>
      <c r="E39" s="809">
        <f>E37+VLOOKUP($C$13,$A$170:$E$171,4)+VLOOKUP($C$13,$A$170:$E$171,5)+VLOOKUP($C$15,$A$173:$D$174,4)*2+IF(F21="Skis",2.1,10)</f>
        <v>17.2</v>
      </c>
      <c r="F39" s="559"/>
      <c r="G39" s="613">
        <f>C131</f>
        <v>0</v>
      </c>
      <c r="H39" s="614"/>
      <c r="I39" s="559"/>
      <c r="J39" s="559"/>
      <c r="K39" s="559"/>
      <c r="L39" s="559"/>
      <c r="M39" s="559"/>
      <c r="N39" s="559"/>
      <c r="O39" s="559"/>
      <c r="P39" s="559"/>
      <c r="Q39" s="559"/>
      <c r="R39" s="559"/>
      <c r="S39" s="559"/>
      <c r="T39" s="559"/>
      <c r="U39" s="559"/>
      <c r="V39" s="559"/>
      <c r="W39" s="559"/>
      <c r="X39" s="559"/>
      <c r="Y39" s="559"/>
      <c r="Z39" s="559"/>
      <c r="AA39" s="559"/>
      <c r="AB39" s="559"/>
      <c r="AC39" s="559"/>
      <c r="AD39" s="559"/>
      <c r="AE39" s="559"/>
    </row>
    <row r="40" spans="1:31" ht="18" customHeight="1" x14ac:dyDescent="0.35">
      <c r="A40" s="559"/>
      <c r="B40" s="573"/>
      <c r="C40" s="573"/>
      <c r="D40" s="573"/>
      <c r="E40" s="573"/>
      <c r="F40" s="559"/>
      <c r="G40" s="559"/>
      <c r="H40" s="559"/>
      <c r="I40" s="559"/>
      <c r="J40" s="559"/>
      <c r="K40" s="559"/>
      <c r="L40" s="559"/>
      <c r="M40" s="559"/>
      <c r="N40" s="559"/>
      <c r="O40" s="559"/>
      <c r="P40" s="559"/>
      <c r="Q40" s="559"/>
      <c r="R40" s="559"/>
      <c r="S40" s="559"/>
      <c r="T40" s="559"/>
      <c r="U40" s="559"/>
      <c r="V40" s="559"/>
      <c r="W40" s="559"/>
      <c r="X40" s="559"/>
      <c r="Y40" s="559"/>
      <c r="Z40" s="559"/>
      <c r="AA40" s="559"/>
      <c r="AB40" s="559"/>
      <c r="AC40" s="559"/>
      <c r="AD40" s="559"/>
      <c r="AE40" s="559"/>
    </row>
    <row r="41" spans="1:31" ht="18" customHeight="1" x14ac:dyDescent="0.35">
      <c r="A41" s="559"/>
      <c r="B41" s="615" t="s">
        <v>45</v>
      </c>
      <c r="C41" s="616">
        <f>Q123</f>
        <v>0</v>
      </c>
      <c r="D41" s="608" t="s">
        <v>46</v>
      </c>
      <c r="E41" s="573"/>
      <c r="F41" s="559"/>
      <c r="G41" s="559"/>
      <c r="H41" s="559"/>
      <c r="I41" s="559"/>
      <c r="J41" s="559"/>
      <c r="K41" s="559"/>
      <c r="L41" s="559"/>
      <c r="M41" s="559"/>
      <c r="N41" s="559"/>
      <c r="O41" s="559"/>
      <c r="P41" s="559"/>
      <c r="Q41" s="559"/>
      <c r="R41" s="559"/>
      <c r="S41" s="559"/>
      <c r="T41" s="559"/>
      <c r="U41" s="559"/>
      <c r="V41" s="559"/>
      <c r="W41" s="559"/>
      <c r="X41" s="559"/>
      <c r="Y41" s="559"/>
      <c r="Z41" s="559"/>
      <c r="AA41" s="559"/>
      <c r="AB41" s="559"/>
      <c r="AC41" s="559"/>
      <c r="AD41" s="559"/>
      <c r="AE41" s="559"/>
    </row>
    <row r="42" spans="1:31" ht="18" hidden="1" customHeight="1" x14ac:dyDescent="0.35">
      <c r="A42" s="559"/>
      <c r="B42" s="617" t="s">
        <v>48</v>
      </c>
      <c r="C42" s="618">
        <f>D125</f>
        <v>0</v>
      </c>
      <c r="D42" s="619" t="s">
        <v>49</v>
      </c>
      <c r="E42" s="573"/>
      <c r="F42" s="559"/>
      <c r="G42" s="559"/>
      <c r="H42" s="559"/>
      <c r="I42" s="559"/>
      <c r="J42" s="559"/>
      <c r="K42" s="559"/>
      <c r="L42" s="559"/>
      <c r="M42" s="559"/>
      <c r="N42" s="559"/>
      <c r="O42" s="559"/>
      <c r="P42" s="559"/>
      <c r="Q42" s="559"/>
      <c r="R42" s="559"/>
      <c r="S42" s="559"/>
      <c r="T42" s="559"/>
      <c r="U42" s="559"/>
      <c r="V42" s="559"/>
      <c r="W42" s="559"/>
      <c r="X42" s="559"/>
      <c r="Y42" s="559"/>
      <c r="Z42" s="559"/>
      <c r="AA42" s="559"/>
      <c r="AB42" s="559"/>
      <c r="AC42" s="559"/>
      <c r="AD42" s="559"/>
      <c r="AE42" s="559"/>
    </row>
    <row r="43" spans="1:31" ht="18" hidden="1" customHeight="1" x14ac:dyDescent="0.35">
      <c r="A43" s="559"/>
      <c r="B43" s="559"/>
      <c r="C43" s="614"/>
      <c r="D43" s="559"/>
      <c r="E43" s="559"/>
      <c r="F43" s="559"/>
      <c r="G43" s="559"/>
      <c r="H43" s="559"/>
      <c r="I43" s="559"/>
      <c r="J43" s="559"/>
      <c r="K43" s="559"/>
      <c r="L43" s="559"/>
      <c r="M43" s="559"/>
      <c r="N43" s="559"/>
      <c r="O43" s="559"/>
      <c r="P43" s="559"/>
      <c r="Q43" s="559"/>
      <c r="R43" s="559"/>
      <c r="S43" s="559"/>
      <c r="T43" s="559"/>
      <c r="U43" s="559"/>
      <c r="V43" s="559"/>
      <c r="W43" s="559"/>
      <c r="X43" s="559"/>
      <c r="Y43" s="559"/>
      <c r="Z43" s="559"/>
      <c r="AA43" s="559"/>
      <c r="AB43" s="559"/>
      <c r="AC43" s="559"/>
      <c r="AD43" s="559"/>
      <c r="AE43" s="559"/>
    </row>
    <row r="44" spans="1:31" ht="18" hidden="1" customHeight="1" x14ac:dyDescent="0.35">
      <c r="A44" s="559"/>
      <c r="B44" s="559"/>
      <c r="C44" s="559"/>
      <c r="D44" s="559"/>
      <c r="E44" s="559"/>
      <c r="F44" s="559" t="s">
        <v>34</v>
      </c>
      <c r="G44" s="559"/>
      <c r="H44" s="559"/>
      <c r="I44" s="559"/>
      <c r="J44" s="559"/>
      <c r="K44" s="559"/>
      <c r="L44" s="559"/>
      <c r="M44" s="559"/>
      <c r="N44" s="559"/>
      <c r="O44" s="559"/>
      <c r="P44" s="559"/>
      <c r="Q44" s="559" t="s">
        <v>157</v>
      </c>
      <c r="R44" s="559"/>
      <c r="S44" s="559"/>
      <c r="T44" s="559"/>
      <c r="U44" s="559"/>
      <c r="V44" s="559"/>
      <c r="W44" s="559"/>
      <c r="X44" s="559"/>
      <c r="Y44" s="559"/>
      <c r="Z44" s="559"/>
      <c r="AA44" s="559"/>
      <c r="AB44" s="559"/>
      <c r="AC44" s="559"/>
      <c r="AD44" s="559"/>
      <c r="AE44" s="559"/>
    </row>
    <row r="45" spans="1:31" ht="18" hidden="1" customHeight="1" x14ac:dyDescent="0.35">
      <c r="A45" s="620" t="s">
        <v>53</v>
      </c>
      <c r="B45" s="621" t="str">
        <f t="shared" ref="B45:B46" si="2">VLOOKUP($C$13,$A$170:$E$171,2)</f>
        <v>Peuplier 15 mm</v>
      </c>
      <c r="C45" s="621">
        <f>IF(C37=0,0,C37+2*(VLOOKUP(B45,$A$170:$E$171,4)+VLOOKUP($C$15,$A$173:$D$174,4)))</f>
        <v>0</v>
      </c>
      <c r="D45" s="621">
        <f>IF(E37=0,0,E37+(VLOOKUP(B45,$A$170:$E$171,5)+VLOOKUP($C$15,$A$173:$D$174,4)))</f>
        <v>0</v>
      </c>
      <c r="E45" s="622" t="str">
        <f t="shared" ref="E45:E49" si="3">B45</f>
        <v>Peuplier 15 mm</v>
      </c>
      <c r="F45" s="623">
        <v>2</v>
      </c>
      <c r="G45" s="559"/>
      <c r="H45" s="559"/>
      <c r="I45" s="559"/>
      <c r="J45" s="559">
        <f t="shared" ref="J45:J49" si="4">IF(C45=0,0,(C45/100)*(D45/100)*F45)</f>
        <v>0</v>
      </c>
      <c r="K45" s="559">
        <f t="shared" ref="K45:K49" si="5">J45/0.8</f>
        <v>0</v>
      </c>
      <c r="L45" s="625" t="s">
        <v>663</v>
      </c>
      <c r="M45" s="625" t="e">
        <f t="shared" ref="M45:M49" si="6">L45*K45-IF($F$15="Non",K45*0.75,0)</f>
        <v>#VALUE!</v>
      </c>
      <c r="N45" s="626">
        <f t="shared" ref="N45:N48" si="7">IF(J45=0,0,IF($F$15="Oui",(7.0924*J45)+15,(6.0924*J45)+10))</f>
        <v>0</v>
      </c>
      <c r="O45" s="625">
        <f t="shared" ref="O45:O49" si="8">N45*Tapisserie!MinuteMO</f>
        <v>0</v>
      </c>
      <c r="P45" s="559"/>
      <c r="Q45" s="627">
        <v>0</v>
      </c>
      <c r="R45" s="559"/>
      <c r="S45" s="559"/>
      <c r="T45" s="559"/>
      <c r="U45" s="559"/>
      <c r="V45" s="559"/>
      <c r="W45" s="559"/>
      <c r="X45" s="559"/>
      <c r="Y45" s="559"/>
      <c r="Z45" s="559"/>
      <c r="AA45" s="559"/>
      <c r="AB45" s="559"/>
      <c r="AC45" s="559"/>
      <c r="AD45" s="559"/>
      <c r="AE45" s="559"/>
    </row>
    <row r="46" spans="1:31" ht="18" hidden="1" customHeight="1" x14ac:dyDescent="0.35">
      <c r="A46" s="620" t="s">
        <v>175</v>
      </c>
      <c r="B46" s="621" t="str">
        <f t="shared" si="2"/>
        <v>Peuplier 15 mm</v>
      </c>
      <c r="C46" s="621">
        <f>C45</f>
        <v>0</v>
      </c>
      <c r="D46" s="621">
        <f>IF(D37=0,0,D37+2*(VLOOKUP(B46,A170:E171,4)+VLOOKUP($C$15,A173:D174,4)))</f>
        <v>0</v>
      </c>
      <c r="E46" s="622" t="str">
        <f t="shared" si="3"/>
        <v>Peuplier 15 mm</v>
      </c>
      <c r="F46" s="623">
        <v>1</v>
      </c>
      <c r="G46" s="559"/>
      <c r="H46" s="559"/>
      <c r="I46" s="559"/>
      <c r="J46" s="559">
        <f t="shared" si="4"/>
        <v>0</v>
      </c>
      <c r="K46" s="559">
        <f t="shared" si="5"/>
        <v>0</v>
      </c>
      <c r="L46" s="625" t="s">
        <v>663</v>
      </c>
      <c r="M46" s="625" t="e">
        <f t="shared" si="6"/>
        <v>#VALUE!</v>
      </c>
      <c r="N46" s="626">
        <f t="shared" si="7"/>
        <v>0</v>
      </c>
      <c r="O46" s="625">
        <f t="shared" si="8"/>
        <v>0</v>
      </c>
      <c r="P46" s="559"/>
      <c r="Q46" s="627">
        <v>0</v>
      </c>
      <c r="R46" s="559"/>
      <c r="S46" s="559"/>
      <c r="T46" s="559"/>
      <c r="U46" s="559"/>
      <c r="V46" s="559"/>
      <c r="W46" s="559"/>
      <c r="X46" s="559"/>
      <c r="Y46" s="559"/>
      <c r="Z46" s="559"/>
      <c r="AA46" s="559"/>
      <c r="AB46" s="559"/>
      <c r="AC46" s="559"/>
      <c r="AD46" s="559"/>
      <c r="AE46" s="559"/>
    </row>
    <row r="47" spans="1:31" ht="18" hidden="1" customHeight="1" x14ac:dyDescent="0.35">
      <c r="A47" s="620" t="s">
        <v>176</v>
      </c>
      <c r="B47" s="621" t="str">
        <f>VLOOKUP($C$13,$A$170:$E$171,3)</f>
        <v>Peuplier 15 mm</v>
      </c>
      <c r="C47" s="621">
        <f t="shared" ref="C47:D47" si="9">C37</f>
        <v>0</v>
      </c>
      <c r="D47" s="621">
        <f t="shared" si="9"/>
        <v>0</v>
      </c>
      <c r="E47" s="622" t="str">
        <f t="shared" si="3"/>
        <v>Peuplier 15 mm</v>
      </c>
      <c r="F47" s="623">
        <v>1</v>
      </c>
      <c r="G47" s="559"/>
      <c r="H47" s="559"/>
      <c r="I47" s="559"/>
      <c r="J47" s="559">
        <f t="shared" si="4"/>
        <v>0</v>
      </c>
      <c r="K47" s="559">
        <f t="shared" si="5"/>
        <v>0</v>
      </c>
      <c r="L47" s="625" t="s">
        <v>663</v>
      </c>
      <c r="M47" s="625" t="e">
        <f t="shared" si="6"/>
        <v>#VALUE!</v>
      </c>
      <c r="N47" s="626">
        <f t="shared" si="7"/>
        <v>0</v>
      </c>
      <c r="O47" s="625">
        <f t="shared" si="8"/>
        <v>0</v>
      </c>
      <c r="P47" s="559"/>
      <c r="Q47" s="627">
        <v>0</v>
      </c>
      <c r="R47" s="559"/>
      <c r="S47" s="559"/>
      <c r="T47" s="559"/>
      <c r="U47" s="559"/>
      <c r="V47" s="559"/>
      <c r="W47" s="559"/>
      <c r="X47" s="559"/>
      <c r="Y47" s="559"/>
      <c r="Z47" s="559"/>
      <c r="AA47" s="559"/>
      <c r="AB47" s="559"/>
      <c r="AC47" s="559"/>
      <c r="AD47" s="559"/>
      <c r="AE47" s="559"/>
    </row>
    <row r="48" spans="1:31" ht="18" hidden="1" customHeight="1" x14ac:dyDescent="0.35">
      <c r="A48" s="620" t="s">
        <v>55</v>
      </c>
      <c r="B48" s="621" t="str">
        <f>VLOOKUP($C$13,$A$170:$E$171,2)</f>
        <v>Peuplier 15 mm</v>
      </c>
      <c r="C48" s="621">
        <f>D37</f>
        <v>0</v>
      </c>
      <c r="D48" s="621">
        <f>D45</f>
        <v>0</v>
      </c>
      <c r="E48" s="622" t="str">
        <f t="shared" si="3"/>
        <v>Peuplier 15 mm</v>
      </c>
      <c r="F48" s="623">
        <v>2</v>
      </c>
      <c r="G48" s="559"/>
      <c r="H48" s="559"/>
      <c r="I48" s="559"/>
      <c r="J48" s="559">
        <f t="shared" si="4"/>
        <v>0</v>
      </c>
      <c r="K48" s="559">
        <f t="shared" si="5"/>
        <v>0</v>
      </c>
      <c r="L48" s="625" t="s">
        <v>663</v>
      </c>
      <c r="M48" s="625" t="e">
        <f t="shared" si="6"/>
        <v>#VALUE!</v>
      </c>
      <c r="N48" s="626">
        <f t="shared" si="7"/>
        <v>0</v>
      </c>
      <c r="O48" s="625">
        <f t="shared" si="8"/>
        <v>0</v>
      </c>
      <c r="P48" s="559"/>
      <c r="Q48" s="627">
        <v>0</v>
      </c>
      <c r="R48" s="559"/>
      <c r="S48" s="559"/>
      <c r="T48" s="559"/>
      <c r="U48" s="559"/>
      <c r="V48" s="559"/>
      <c r="W48" s="559"/>
      <c r="X48" s="559"/>
      <c r="Y48" s="559"/>
      <c r="Z48" s="559"/>
      <c r="AA48" s="559"/>
      <c r="AB48" s="559"/>
      <c r="AC48" s="559"/>
      <c r="AD48" s="559"/>
      <c r="AE48" s="559"/>
    </row>
    <row r="49" spans="1:31" ht="18" hidden="1" customHeight="1" x14ac:dyDescent="0.35">
      <c r="A49" s="620" t="s">
        <v>456</v>
      </c>
      <c r="B49" s="621">
        <f>IF(C31=0,0,"Peuplier 15 mm")</f>
        <v>0</v>
      </c>
      <c r="C49" s="621">
        <f>IF(C31=0,0,Tapisserie!Dimensions_intérieures_Cp_15_longueur)</f>
        <v>0</v>
      </c>
      <c r="D49" s="621">
        <f>IF(C31=0,0,Tapisserie!Dimensions_intérieures_CP_15_hauteur)</f>
        <v>0</v>
      </c>
      <c r="E49" s="622">
        <f t="shared" si="3"/>
        <v>0</v>
      </c>
      <c r="F49" s="623">
        <f>IF(C31=0,0,1)</f>
        <v>0</v>
      </c>
      <c r="G49" s="559"/>
      <c r="H49" s="559"/>
      <c r="I49" s="559"/>
      <c r="J49" s="559">
        <f t="shared" si="4"/>
        <v>0</v>
      </c>
      <c r="K49" s="559">
        <f t="shared" si="5"/>
        <v>0</v>
      </c>
      <c r="L49" s="625">
        <v>0</v>
      </c>
      <c r="M49" s="625">
        <f t="shared" si="6"/>
        <v>0</v>
      </c>
      <c r="N49" s="626">
        <f>IF(J49=0,0,(6.0924*J49)+10)</f>
        <v>0</v>
      </c>
      <c r="O49" s="625">
        <f t="shared" si="8"/>
        <v>0</v>
      </c>
      <c r="P49" s="559"/>
      <c r="Q49" s="627">
        <v>0</v>
      </c>
      <c r="R49" s="559"/>
      <c r="S49" s="559"/>
      <c r="T49" s="559"/>
      <c r="U49" s="559"/>
      <c r="V49" s="559"/>
      <c r="W49" s="559"/>
      <c r="X49" s="559"/>
      <c r="Y49" s="559"/>
      <c r="Z49" s="559"/>
      <c r="AA49" s="559"/>
      <c r="AB49" s="559"/>
      <c r="AC49" s="559"/>
      <c r="AD49" s="559"/>
      <c r="AE49" s="559"/>
    </row>
    <row r="50" spans="1:31" ht="18" hidden="1" customHeight="1" x14ac:dyDescent="0.35">
      <c r="A50" s="559"/>
      <c r="B50" s="559"/>
      <c r="C50" s="559"/>
      <c r="D50" s="559"/>
      <c r="E50" s="559"/>
      <c r="F50" s="559"/>
      <c r="G50" s="559"/>
      <c r="H50" s="559"/>
      <c r="I50" s="559"/>
      <c r="J50" s="559"/>
      <c r="K50" s="559"/>
      <c r="L50" s="625"/>
      <c r="M50" s="625"/>
      <c r="N50" s="626"/>
      <c r="O50" s="625"/>
      <c r="P50" s="559"/>
      <c r="Q50" s="627"/>
      <c r="R50" s="559"/>
      <c r="S50" s="559"/>
      <c r="T50" s="559"/>
      <c r="U50" s="559"/>
      <c r="V50" s="559"/>
      <c r="W50" s="559"/>
      <c r="X50" s="559"/>
      <c r="Y50" s="559"/>
      <c r="Z50" s="559"/>
      <c r="AA50" s="559"/>
      <c r="AB50" s="559"/>
      <c r="AC50" s="559"/>
      <c r="AD50" s="559"/>
      <c r="AE50" s="559"/>
    </row>
    <row r="51" spans="1:31" ht="18" hidden="1" customHeight="1" x14ac:dyDescent="0.35">
      <c r="A51" s="559"/>
      <c r="B51" s="559"/>
      <c r="C51" s="559"/>
      <c r="D51" s="559"/>
      <c r="E51" s="559"/>
      <c r="F51" s="559"/>
      <c r="G51" s="559"/>
      <c r="H51" s="559"/>
      <c r="I51" s="559"/>
      <c r="J51" s="559"/>
      <c r="K51" s="559"/>
      <c r="L51" s="625"/>
      <c r="M51" s="625"/>
      <c r="N51" s="626"/>
      <c r="O51" s="625"/>
      <c r="P51" s="559"/>
      <c r="Q51" s="627"/>
      <c r="R51" s="559"/>
      <c r="S51" s="559"/>
      <c r="T51" s="559"/>
      <c r="U51" s="559"/>
      <c r="V51" s="559"/>
      <c r="W51" s="559"/>
      <c r="X51" s="559"/>
      <c r="Y51" s="559"/>
      <c r="Z51" s="559"/>
      <c r="AA51" s="559"/>
      <c r="AB51" s="559"/>
      <c r="AC51" s="559"/>
      <c r="AD51" s="559"/>
      <c r="AE51" s="559"/>
    </row>
    <row r="52" spans="1:31" ht="18" hidden="1" customHeight="1" x14ac:dyDescent="0.35">
      <c r="A52" s="573" t="s">
        <v>11</v>
      </c>
      <c r="B52" s="584" t="s">
        <v>56</v>
      </c>
      <c r="C52" s="621">
        <f>C45</f>
        <v>0</v>
      </c>
      <c r="D52" s="584">
        <f>IF(D45&gt;80,9.4,7)</f>
        <v>7</v>
      </c>
      <c r="E52" s="579" t="str">
        <f>IF($C$15="Pin raboté 4 faces","Barres 21 R4F","Barres 19 mm")</f>
        <v>Barres 21 R4F</v>
      </c>
      <c r="F52" s="584">
        <v>4</v>
      </c>
      <c r="G52" s="559"/>
      <c r="H52" s="559"/>
      <c r="I52" s="559"/>
      <c r="J52" s="559">
        <f t="shared" ref="J52:J61" si="10">IF(C52=0,0,(C52/100)*(D52/100)*F52)</f>
        <v>0</v>
      </c>
      <c r="K52" s="559">
        <f t="shared" ref="K52:K61" si="11">J52/0.8</f>
        <v>0</v>
      </c>
      <c r="L52" s="625" t="s">
        <v>663</v>
      </c>
      <c r="M52" s="625" t="e">
        <f t="shared" ref="M52:M61" si="12">L52*K52</f>
        <v>#VALUE!</v>
      </c>
      <c r="N52" s="626">
        <f t="shared" ref="N52:N61" si="13">IF(J52=0,0,1+(11*J52))</f>
        <v>0</v>
      </c>
      <c r="O52" s="625">
        <f t="shared" ref="O52:O61" si="14">N52*Tapisserie!MinuteMO</f>
        <v>0</v>
      </c>
      <c r="P52" s="559"/>
      <c r="Q52" s="627">
        <v>0</v>
      </c>
      <c r="R52" s="559"/>
      <c r="S52" s="559"/>
      <c r="T52" s="559"/>
      <c r="U52" s="559"/>
      <c r="V52" s="559"/>
      <c r="W52" s="559"/>
      <c r="X52" s="559"/>
      <c r="Y52" s="559"/>
      <c r="Z52" s="559"/>
      <c r="AA52" s="559"/>
      <c r="AB52" s="559"/>
      <c r="AC52" s="559"/>
      <c r="AD52" s="559"/>
      <c r="AE52" s="559"/>
    </row>
    <row r="53" spans="1:31" ht="18" hidden="1" customHeight="1" x14ac:dyDescent="0.35">
      <c r="A53" s="559"/>
      <c r="B53" s="584" t="s">
        <v>57</v>
      </c>
      <c r="C53" s="621">
        <f>D45-2*D52</f>
        <v>-14</v>
      </c>
      <c r="D53" s="584">
        <f>D52</f>
        <v>7</v>
      </c>
      <c r="E53" s="579" t="str">
        <f>IF($C$15="Pin raboté 4 faces","Barres 21 R4F",0)</f>
        <v>Barres 21 R4F</v>
      </c>
      <c r="F53" s="584">
        <f>4</f>
        <v>4</v>
      </c>
      <c r="G53" s="559"/>
      <c r="H53" s="559"/>
      <c r="I53" s="559"/>
      <c r="J53" s="559">
        <f t="shared" si="10"/>
        <v>-3.9200000000000006E-2</v>
      </c>
      <c r="K53" s="559">
        <f t="shared" si="11"/>
        <v>-4.9000000000000002E-2</v>
      </c>
      <c r="L53" s="625" t="s">
        <v>663</v>
      </c>
      <c r="M53" s="625" t="e">
        <f t="shared" si="12"/>
        <v>#VALUE!</v>
      </c>
      <c r="N53" s="626">
        <f t="shared" si="13"/>
        <v>0.56879999999999997</v>
      </c>
      <c r="O53" s="625">
        <f t="shared" si="14"/>
        <v>0.48347999999999997</v>
      </c>
      <c r="P53" s="559"/>
      <c r="Q53" s="627" t="s">
        <v>663</v>
      </c>
      <c r="R53" s="559"/>
      <c r="S53" s="559"/>
      <c r="T53" s="559"/>
      <c r="U53" s="559"/>
      <c r="V53" s="559"/>
      <c r="W53" s="559"/>
      <c r="X53" s="559"/>
      <c r="Y53" s="559"/>
      <c r="Z53" s="559"/>
      <c r="AA53" s="559"/>
      <c r="AB53" s="559"/>
      <c r="AC53" s="559"/>
      <c r="AD53" s="559"/>
      <c r="AE53" s="559"/>
    </row>
    <row r="54" spans="1:31" ht="18" hidden="1" customHeight="1" x14ac:dyDescent="0.35">
      <c r="A54" s="559"/>
      <c r="B54" s="584" t="s">
        <v>177</v>
      </c>
      <c r="C54" s="621">
        <f>C52</f>
        <v>0</v>
      </c>
      <c r="D54" s="584">
        <f>IF($D$37&lt;80,7,9.4)</f>
        <v>7</v>
      </c>
      <c r="E54" s="579" t="str">
        <f t="shared" ref="E54:E57" si="15">IF($C$15="Pin raboté 4 faces","Barres 21 R4F","Barres 19 mm")</f>
        <v>Barres 21 R4F</v>
      </c>
      <c r="F54" s="584">
        <f t="shared" ref="F54:F55" si="16">IF(D54&lt;14.4,2,4)</f>
        <v>2</v>
      </c>
      <c r="G54" s="559"/>
      <c r="H54" s="559"/>
      <c r="I54" s="559"/>
      <c r="J54" s="559">
        <f t="shared" si="10"/>
        <v>0</v>
      </c>
      <c r="K54" s="559">
        <f t="shared" si="11"/>
        <v>0</v>
      </c>
      <c r="L54" s="625" t="s">
        <v>663</v>
      </c>
      <c r="M54" s="625" t="e">
        <f t="shared" si="12"/>
        <v>#VALUE!</v>
      </c>
      <c r="N54" s="626">
        <f t="shared" si="13"/>
        <v>0</v>
      </c>
      <c r="O54" s="625">
        <f t="shared" si="14"/>
        <v>0</v>
      </c>
      <c r="P54" s="559"/>
      <c r="Q54" s="627">
        <v>0</v>
      </c>
      <c r="R54" s="559"/>
      <c r="S54" s="559"/>
      <c r="T54" s="559"/>
      <c r="U54" s="559"/>
      <c r="V54" s="559"/>
      <c r="W54" s="559"/>
      <c r="X54" s="559"/>
      <c r="Y54" s="559"/>
      <c r="Z54" s="559"/>
      <c r="AA54" s="559"/>
      <c r="AB54" s="559"/>
      <c r="AC54" s="559"/>
      <c r="AD54" s="559"/>
      <c r="AE54" s="559"/>
    </row>
    <row r="55" spans="1:31" ht="18" hidden="1" customHeight="1" x14ac:dyDescent="0.35">
      <c r="A55" s="559"/>
      <c r="B55" s="584" t="s">
        <v>178</v>
      </c>
      <c r="C55" s="621">
        <f>D46-2*D54</f>
        <v>-14</v>
      </c>
      <c r="D55" s="584">
        <f>D54</f>
        <v>7</v>
      </c>
      <c r="E55" s="579" t="str">
        <f t="shared" si="15"/>
        <v>Barres 21 R4F</v>
      </c>
      <c r="F55" s="584">
        <f t="shared" si="16"/>
        <v>2</v>
      </c>
      <c r="G55" s="559"/>
      <c r="H55" s="559"/>
      <c r="I55" s="559"/>
      <c r="J55" s="559">
        <f t="shared" si="10"/>
        <v>-1.9600000000000003E-2</v>
      </c>
      <c r="K55" s="559">
        <f t="shared" si="11"/>
        <v>-2.4500000000000001E-2</v>
      </c>
      <c r="L55" s="625" t="s">
        <v>663</v>
      </c>
      <c r="M55" s="625" t="e">
        <f t="shared" si="12"/>
        <v>#VALUE!</v>
      </c>
      <c r="N55" s="626">
        <f t="shared" si="13"/>
        <v>0.78439999999999999</v>
      </c>
      <c r="O55" s="625">
        <f t="shared" si="14"/>
        <v>0.66674</v>
      </c>
      <c r="P55" s="559"/>
      <c r="Q55" s="627" t="s">
        <v>663</v>
      </c>
      <c r="R55" s="559"/>
      <c r="S55" s="559"/>
      <c r="T55" s="559"/>
      <c r="U55" s="559"/>
      <c r="V55" s="559"/>
      <c r="W55" s="559"/>
      <c r="X55" s="559"/>
      <c r="Y55" s="559"/>
      <c r="Z55" s="559"/>
      <c r="AA55" s="559"/>
      <c r="AB55" s="559"/>
      <c r="AC55" s="559"/>
      <c r="AD55" s="559"/>
      <c r="AE55" s="559"/>
    </row>
    <row r="56" spans="1:31" ht="18" hidden="1" customHeight="1" x14ac:dyDescent="0.35">
      <c r="A56" s="559"/>
      <c r="B56" s="584" t="s">
        <v>179</v>
      </c>
      <c r="C56" s="621">
        <f>C37</f>
        <v>0</v>
      </c>
      <c r="D56" s="584">
        <v>7</v>
      </c>
      <c r="E56" s="579" t="str">
        <f t="shared" si="15"/>
        <v>Barres 21 R4F</v>
      </c>
      <c r="F56" s="584">
        <f>IF(D37&gt;70,3,2)</f>
        <v>2</v>
      </c>
      <c r="G56" s="559"/>
      <c r="H56" s="559"/>
      <c r="I56" s="559"/>
      <c r="J56" s="559">
        <f t="shared" si="10"/>
        <v>0</v>
      </c>
      <c r="K56" s="559">
        <f t="shared" si="11"/>
        <v>0</v>
      </c>
      <c r="L56" s="625" t="s">
        <v>663</v>
      </c>
      <c r="M56" s="625" t="e">
        <f t="shared" si="12"/>
        <v>#VALUE!</v>
      </c>
      <c r="N56" s="626">
        <f t="shared" si="13"/>
        <v>0</v>
      </c>
      <c r="O56" s="625">
        <f t="shared" si="14"/>
        <v>0</v>
      </c>
      <c r="P56" s="559"/>
      <c r="Q56" s="627">
        <v>0</v>
      </c>
      <c r="R56" s="559"/>
      <c r="S56" s="559"/>
      <c r="T56" s="559"/>
      <c r="U56" s="559"/>
      <c r="V56" s="559"/>
      <c r="W56" s="559"/>
      <c r="X56" s="559"/>
      <c r="Y56" s="559"/>
      <c r="Z56" s="559"/>
      <c r="AA56" s="559"/>
      <c r="AB56" s="559"/>
      <c r="AC56" s="559"/>
      <c r="AD56" s="559"/>
      <c r="AE56" s="559"/>
    </row>
    <row r="57" spans="1:31" ht="18" hidden="1" customHeight="1" x14ac:dyDescent="0.35">
      <c r="A57" s="559"/>
      <c r="B57" s="584" t="s">
        <v>180</v>
      </c>
      <c r="C57" s="621">
        <f>(D37-(D56*F56))/(F56-1)</f>
        <v>-14</v>
      </c>
      <c r="D57" s="584">
        <v>7</v>
      </c>
      <c r="E57" s="579" t="str">
        <f t="shared" si="15"/>
        <v>Barres 21 R4F</v>
      </c>
      <c r="F57" s="584">
        <f>IF(F56=2,2,4)</f>
        <v>2</v>
      </c>
      <c r="G57" s="559"/>
      <c r="H57" s="559"/>
      <c r="I57" s="559"/>
      <c r="J57" s="559">
        <f t="shared" si="10"/>
        <v>-1.9600000000000003E-2</v>
      </c>
      <c r="K57" s="559">
        <f t="shared" si="11"/>
        <v>-2.4500000000000001E-2</v>
      </c>
      <c r="L57" s="625" t="s">
        <v>663</v>
      </c>
      <c r="M57" s="625" t="e">
        <f t="shared" si="12"/>
        <v>#VALUE!</v>
      </c>
      <c r="N57" s="626">
        <f t="shared" si="13"/>
        <v>0.78439999999999999</v>
      </c>
      <c r="O57" s="625">
        <f t="shared" si="14"/>
        <v>0.66674</v>
      </c>
      <c r="P57" s="559"/>
      <c r="Q57" s="627" t="s">
        <v>663</v>
      </c>
      <c r="R57" s="559"/>
      <c r="S57" s="559"/>
      <c r="T57" s="559"/>
      <c r="U57" s="559"/>
      <c r="V57" s="559"/>
      <c r="W57" s="559"/>
      <c r="X57" s="559"/>
      <c r="Y57" s="559"/>
      <c r="Z57" s="559"/>
      <c r="AA57" s="559"/>
      <c r="AB57" s="559"/>
      <c r="AC57" s="559"/>
      <c r="AD57" s="559"/>
      <c r="AE57" s="559"/>
    </row>
    <row r="58" spans="1:31" ht="18" hidden="1" customHeight="1" x14ac:dyDescent="0.35">
      <c r="A58" s="559"/>
      <c r="B58" s="584" t="str">
        <f>F21</f>
        <v>10 dessous en skis</v>
      </c>
      <c r="C58" s="621">
        <f>IF(B58="10 dessous en skis", (C52-70)/2,IF(B58="10 dessous en semelles",D46,C54-10))</f>
        <v>-35</v>
      </c>
      <c r="D58" s="584">
        <f>IF($F$10="BOVIS",9.4,7)</f>
        <v>7</v>
      </c>
      <c r="E58" s="579" t="str">
        <f>IF(B58="skis","Barres 21 R4F","Semelles R4F")</f>
        <v>Semelles R4F</v>
      </c>
      <c r="F58" s="584">
        <f>IF(B58="10 dessous en skis",6,IF(B58="10 dessous en semelles",2,2))</f>
        <v>6</v>
      </c>
      <c r="G58" s="559"/>
      <c r="H58" s="559"/>
      <c r="I58" s="559"/>
      <c r="J58" s="559">
        <f t="shared" si="10"/>
        <v>-0.14700000000000002</v>
      </c>
      <c r="K58" s="559">
        <f t="shared" si="11"/>
        <v>-0.18375000000000002</v>
      </c>
      <c r="L58" s="625" t="s">
        <v>663</v>
      </c>
      <c r="M58" s="625" t="e">
        <f t="shared" si="12"/>
        <v>#VALUE!</v>
      </c>
      <c r="N58" s="626">
        <f t="shared" si="13"/>
        <v>-0.61700000000000021</v>
      </c>
      <c r="O58" s="625">
        <f t="shared" si="14"/>
        <v>-0.52445000000000019</v>
      </c>
      <c r="P58" s="559"/>
      <c r="Q58" s="627" t="s">
        <v>663</v>
      </c>
      <c r="R58" s="559"/>
      <c r="S58" s="559"/>
      <c r="T58" s="559"/>
      <c r="U58" s="559"/>
      <c r="V58" s="559"/>
      <c r="W58" s="559"/>
      <c r="X58" s="559"/>
      <c r="Y58" s="559"/>
      <c r="Z58" s="559"/>
      <c r="AA58" s="559"/>
      <c r="AB58" s="559"/>
      <c r="AC58" s="559"/>
      <c r="AD58" s="559"/>
      <c r="AE58" s="559"/>
    </row>
    <row r="59" spans="1:31" ht="18" hidden="1" customHeight="1" x14ac:dyDescent="0.35">
      <c r="A59" s="559"/>
      <c r="B59" s="584" t="s">
        <v>59</v>
      </c>
      <c r="C59" s="621">
        <f>IF($D$48&lt;14.4,0,C48)</f>
        <v>0</v>
      </c>
      <c r="D59" s="584">
        <f>IF(D37&lt;14.4,0,D52)</f>
        <v>0</v>
      </c>
      <c r="E59" s="579" t="str">
        <f t="shared" ref="E59:E60" si="17">IF($C$15="Pin raboté 4 faces","Barres 21 R4F","Barres 19 mm")</f>
        <v>Barres 21 R4F</v>
      </c>
      <c r="F59" s="584">
        <f>IF(D37&lt;14.4,0,4)</f>
        <v>0</v>
      </c>
      <c r="G59" s="559"/>
      <c r="H59" s="559"/>
      <c r="I59" s="559"/>
      <c r="J59" s="559">
        <f t="shared" si="10"/>
        <v>0</v>
      </c>
      <c r="K59" s="559">
        <f t="shared" si="11"/>
        <v>0</v>
      </c>
      <c r="L59" s="625" t="s">
        <v>663</v>
      </c>
      <c r="M59" s="625" t="e">
        <f t="shared" si="12"/>
        <v>#VALUE!</v>
      </c>
      <c r="N59" s="626">
        <f t="shared" si="13"/>
        <v>0</v>
      </c>
      <c r="O59" s="625">
        <f t="shared" si="14"/>
        <v>0</v>
      </c>
      <c r="P59" s="559"/>
      <c r="Q59" s="627">
        <v>0</v>
      </c>
      <c r="R59" s="559"/>
      <c r="S59" s="559"/>
      <c r="T59" s="559"/>
      <c r="U59" s="559"/>
      <c r="V59" s="559"/>
      <c r="W59" s="559"/>
      <c r="X59" s="559"/>
      <c r="Y59" s="559"/>
      <c r="Z59" s="559"/>
      <c r="AA59" s="559"/>
      <c r="AB59" s="559"/>
      <c r="AC59" s="559"/>
      <c r="AD59" s="559"/>
      <c r="AE59" s="559"/>
    </row>
    <row r="60" spans="1:31" ht="18" hidden="1" customHeight="1" x14ac:dyDescent="0.35">
      <c r="A60" s="559"/>
      <c r="B60" s="584" t="s">
        <v>60</v>
      </c>
      <c r="C60" s="584">
        <f>IF(D37&lt;14.4,E38,D48-2*D59)</f>
        <v>0</v>
      </c>
      <c r="D60" s="584">
        <f>IF($D$37&lt;14.4,$D$37,IF($D$37&lt;20,5,7))</f>
        <v>0</v>
      </c>
      <c r="E60" s="579" t="str">
        <f t="shared" si="17"/>
        <v>Barres 21 R4F</v>
      </c>
      <c r="F60" s="584">
        <f>IF(D37&lt;14.4,2,4)</f>
        <v>2</v>
      </c>
      <c r="G60" s="559"/>
      <c r="H60" s="559"/>
      <c r="I60" s="559"/>
      <c r="J60" s="559">
        <f t="shared" si="10"/>
        <v>0</v>
      </c>
      <c r="K60" s="559">
        <f t="shared" si="11"/>
        <v>0</v>
      </c>
      <c r="L60" s="625" t="s">
        <v>663</v>
      </c>
      <c r="M60" s="625" t="e">
        <f t="shared" si="12"/>
        <v>#VALUE!</v>
      </c>
      <c r="N60" s="626">
        <f t="shared" si="13"/>
        <v>0</v>
      </c>
      <c r="O60" s="625">
        <f t="shared" si="14"/>
        <v>0</v>
      </c>
      <c r="P60" s="559"/>
      <c r="Q60" s="627">
        <v>0</v>
      </c>
      <c r="R60" s="559"/>
      <c r="S60" s="559"/>
      <c r="T60" s="559"/>
      <c r="U60" s="559"/>
      <c r="V60" s="559"/>
      <c r="W60" s="559"/>
      <c r="X60" s="559"/>
      <c r="Y60" s="559"/>
      <c r="Z60" s="559"/>
      <c r="AA60" s="559"/>
      <c r="AB60" s="559"/>
      <c r="AC60" s="559"/>
      <c r="AD60" s="559"/>
      <c r="AE60" s="559"/>
    </row>
    <row r="61" spans="1:31" ht="18" hidden="1" customHeight="1" x14ac:dyDescent="0.35">
      <c r="A61" s="559"/>
      <c r="B61" s="584">
        <f>IF(D37&lt;14.4,0,IF(C21="Bois","Poignées",IF(C21="Métal x 2 sur bouts","Supports poignées",0)))</f>
        <v>0</v>
      </c>
      <c r="C61" s="584">
        <f>IF(B61="Poignées",D37+VLOOKUP(C13,A170:D171,4)*2+4.2,IF(B61="Supports poignées",D37-2*D60,0))</f>
        <v>0</v>
      </c>
      <c r="D61" s="584">
        <f>IF(B61="Poignées",7,IF(B61="Supports poignées",9.4,0))</f>
        <v>0</v>
      </c>
      <c r="E61" s="579" t="s">
        <v>61</v>
      </c>
      <c r="F61" s="584">
        <f>IF(B61=0,0,2)</f>
        <v>0</v>
      </c>
      <c r="G61" s="559"/>
      <c r="H61" s="559"/>
      <c r="I61" s="559"/>
      <c r="J61" s="559">
        <f t="shared" si="10"/>
        <v>0</v>
      </c>
      <c r="K61" s="559">
        <f t="shared" si="11"/>
        <v>0</v>
      </c>
      <c r="L61" s="625" t="s">
        <v>663</v>
      </c>
      <c r="M61" s="625" t="e">
        <f t="shared" si="12"/>
        <v>#VALUE!</v>
      </c>
      <c r="N61" s="626">
        <f t="shared" si="13"/>
        <v>0</v>
      </c>
      <c r="O61" s="625">
        <f t="shared" si="14"/>
        <v>0</v>
      </c>
      <c r="P61" s="559"/>
      <c r="Q61" s="627">
        <v>0</v>
      </c>
      <c r="R61" s="559"/>
      <c r="S61" s="559"/>
      <c r="T61" s="559"/>
      <c r="U61" s="559"/>
      <c r="V61" s="559"/>
      <c r="W61" s="559"/>
      <c r="X61" s="559"/>
      <c r="Y61" s="559"/>
      <c r="Z61" s="559"/>
      <c r="AA61" s="559"/>
      <c r="AB61" s="559"/>
      <c r="AC61" s="559"/>
      <c r="AD61" s="559"/>
      <c r="AE61" s="559"/>
    </row>
    <row r="62" spans="1:31" ht="18" hidden="1" customHeight="1" x14ac:dyDescent="0.35">
      <c r="A62" s="559"/>
      <c r="B62" s="559"/>
      <c r="C62" s="559"/>
      <c r="D62" s="559"/>
      <c r="E62" s="559"/>
      <c r="F62" s="559"/>
      <c r="G62" s="559"/>
      <c r="H62" s="559"/>
      <c r="I62" s="559"/>
      <c r="J62" s="559"/>
      <c r="K62" s="559"/>
      <c r="L62" s="625"/>
      <c r="M62" s="625"/>
      <c r="N62" s="626"/>
      <c r="O62" s="625"/>
      <c r="P62" s="559"/>
      <c r="Q62" s="627"/>
      <c r="R62" s="559"/>
      <c r="S62" s="559"/>
      <c r="T62" s="559"/>
      <c r="U62" s="559"/>
      <c r="V62" s="559"/>
      <c r="W62" s="559"/>
      <c r="X62" s="559"/>
      <c r="Y62" s="559"/>
      <c r="Z62" s="559"/>
      <c r="AA62" s="559"/>
      <c r="AB62" s="559"/>
      <c r="AC62" s="559"/>
      <c r="AD62" s="559"/>
      <c r="AE62" s="559"/>
    </row>
    <row r="63" spans="1:31" ht="18" hidden="1" customHeight="1" x14ac:dyDescent="0.35">
      <c r="A63" s="559"/>
      <c r="B63" s="559"/>
      <c r="C63" s="559"/>
      <c r="D63" s="559"/>
      <c r="E63" s="559"/>
      <c r="F63" s="559"/>
      <c r="G63" s="559"/>
      <c r="H63" s="559"/>
      <c r="I63" s="559"/>
      <c r="J63" s="559"/>
      <c r="K63" s="559"/>
      <c r="L63" s="625"/>
      <c r="M63" s="625"/>
      <c r="N63" s="626"/>
      <c r="O63" s="625"/>
      <c r="P63" s="559"/>
      <c r="Q63" s="627"/>
      <c r="R63" s="559"/>
      <c r="S63" s="559"/>
      <c r="T63" s="559"/>
      <c r="U63" s="559"/>
      <c r="V63" s="559"/>
      <c r="W63" s="559"/>
      <c r="X63" s="559"/>
      <c r="Y63" s="559"/>
      <c r="Z63" s="559"/>
      <c r="AA63" s="559"/>
      <c r="AB63" s="559"/>
      <c r="AC63" s="559"/>
      <c r="AD63" s="559"/>
      <c r="AE63" s="559"/>
    </row>
    <row r="64" spans="1:31" ht="18" hidden="1" customHeight="1" x14ac:dyDescent="0.35">
      <c r="A64" s="573" t="s">
        <v>62</v>
      </c>
      <c r="B64" s="584" t="s">
        <v>63</v>
      </c>
      <c r="C64" s="584">
        <f>IF(F64=0,0,C68+VLOOKUP($C$17,A147:S153,5))</f>
        <v>0</v>
      </c>
      <c r="D64" s="584">
        <f>IF(F64=0,0,E37-VLOOKUP($C$17,A147:S153,5))</f>
        <v>0</v>
      </c>
      <c r="E64" s="579">
        <f>VLOOKUP($C$17,A147:S153,6)</f>
        <v>0</v>
      </c>
      <c r="F64" s="584">
        <f>VLOOKUP($C$17,A147:S153,7)</f>
        <v>0</v>
      </c>
      <c r="G64" s="559"/>
      <c r="H64" s="559"/>
      <c r="I64" s="559"/>
      <c r="J64" s="559">
        <f t="shared" ref="J64:J66" si="18">IF(C64=0,0,(C64/100)*(D64/100)*F64)</f>
        <v>0</v>
      </c>
      <c r="K64" s="559">
        <f t="shared" ref="K64:K66" si="19">J64/0.8</f>
        <v>0</v>
      </c>
      <c r="L64" s="625">
        <v>0</v>
      </c>
      <c r="M64" s="625">
        <f t="shared" ref="M64:M66" si="20">L64*K64</f>
        <v>0</v>
      </c>
      <c r="N64" s="626">
        <f t="shared" ref="N64:N66" si="21">IF(J64=0,0,(4.7283*J64)+3)</f>
        <v>0</v>
      </c>
      <c r="O64" s="625">
        <f t="shared" ref="O64:O66" si="22">N64*Tapisserie!MinuteMO</f>
        <v>0</v>
      </c>
      <c r="P64" s="559"/>
      <c r="Q64" s="627">
        <v>0</v>
      </c>
      <c r="R64" s="559"/>
      <c r="S64" s="559"/>
      <c r="T64" s="559"/>
      <c r="U64" s="559"/>
      <c r="V64" s="559"/>
      <c r="W64" s="559"/>
      <c r="X64" s="559"/>
      <c r="Y64" s="559"/>
      <c r="Z64" s="559"/>
      <c r="AA64" s="559"/>
      <c r="AB64" s="559"/>
      <c r="AC64" s="559"/>
      <c r="AD64" s="559"/>
      <c r="AE64" s="559"/>
    </row>
    <row r="65" spans="1:31" ht="18" hidden="1" customHeight="1" x14ac:dyDescent="0.35">
      <c r="A65" s="559"/>
      <c r="B65" s="584" t="s">
        <v>54</v>
      </c>
      <c r="C65" s="584">
        <f>IF(F65=0,0,C68+VLOOKUP($C$17,A147:S153,5))</f>
        <v>0</v>
      </c>
      <c r="D65" s="584">
        <f>IF(F65=0,0,D37)</f>
        <v>0</v>
      </c>
      <c r="E65" s="579">
        <f>IF($C$17="Aucun",0,VLOOKUP($C$17,A147:S153,6))</f>
        <v>0</v>
      </c>
      <c r="F65" s="584">
        <f>VLOOKUP($C$17,A147:S153,7)</f>
        <v>0</v>
      </c>
      <c r="G65" s="559"/>
      <c r="H65" s="559"/>
      <c r="I65" s="559"/>
      <c r="J65" s="559">
        <f t="shared" si="18"/>
        <v>0</v>
      </c>
      <c r="K65" s="559">
        <f t="shared" si="19"/>
        <v>0</v>
      </c>
      <c r="L65" s="625">
        <v>0</v>
      </c>
      <c r="M65" s="625">
        <f t="shared" si="20"/>
        <v>0</v>
      </c>
      <c r="N65" s="626">
        <f t="shared" si="21"/>
        <v>0</v>
      </c>
      <c r="O65" s="625">
        <f t="shared" si="22"/>
        <v>0</v>
      </c>
      <c r="P65" s="559"/>
      <c r="Q65" s="627">
        <v>0</v>
      </c>
      <c r="R65" s="559"/>
      <c r="S65" s="559"/>
      <c r="T65" s="559"/>
      <c r="U65" s="559"/>
      <c r="V65" s="559"/>
      <c r="W65" s="559"/>
      <c r="X65" s="559"/>
      <c r="Y65" s="559"/>
      <c r="Z65" s="559"/>
      <c r="AA65" s="559"/>
      <c r="AB65" s="559"/>
      <c r="AC65" s="559"/>
      <c r="AD65" s="559"/>
      <c r="AE65" s="559"/>
    </row>
    <row r="66" spans="1:31" ht="18" hidden="1" customHeight="1" x14ac:dyDescent="0.35">
      <c r="A66" s="559"/>
      <c r="B66" s="584" t="s">
        <v>55</v>
      </c>
      <c r="C66" s="584">
        <f>IF(F66=0,0,D64)</f>
        <v>0</v>
      </c>
      <c r="D66" s="584">
        <f>IF(F66=0,0,D68)</f>
        <v>0</v>
      </c>
      <c r="E66" s="579">
        <f>IF($C$17="Aucun",0,VLOOKUP($C$17,A147:S153,6))</f>
        <v>0</v>
      </c>
      <c r="F66" s="584">
        <f>VLOOKUP($C$17,A147:S153,7)</f>
        <v>0</v>
      </c>
      <c r="G66" s="559"/>
      <c r="H66" s="559"/>
      <c r="I66" s="559"/>
      <c r="J66" s="559">
        <f t="shared" si="18"/>
        <v>0</v>
      </c>
      <c r="K66" s="559">
        <f t="shared" si="19"/>
        <v>0</v>
      </c>
      <c r="L66" s="625">
        <v>0</v>
      </c>
      <c r="M66" s="625">
        <f t="shared" si="20"/>
        <v>0</v>
      </c>
      <c r="N66" s="626">
        <f t="shared" si="21"/>
        <v>0</v>
      </c>
      <c r="O66" s="625">
        <f t="shared" si="22"/>
        <v>0</v>
      </c>
      <c r="P66" s="559"/>
      <c r="Q66" s="627">
        <v>0</v>
      </c>
      <c r="R66" s="559"/>
      <c r="S66" s="559"/>
      <c r="T66" s="559"/>
      <c r="U66" s="559"/>
      <c r="V66" s="559"/>
      <c r="W66" s="559"/>
      <c r="X66" s="559"/>
      <c r="Y66" s="559"/>
      <c r="Z66" s="559"/>
      <c r="AA66" s="559"/>
      <c r="AB66" s="559"/>
      <c r="AC66" s="559"/>
      <c r="AD66" s="559"/>
      <c r="AE66" s="559"/>
    </row>
    <row r="67" spans="1:31" ht="18" hidden="1" customHeight="1" x14ac:dyDescent="0.35">
      <c r="A67" s="559"/>
      <c r="B67" s="559"/>
      <c r="C67" s="559"/>
      <c r="D67" s="559"/>
      <c r="E67" s="559"/>
      <c r="F67" s="559"/>
      <c r="G67" s="559"/>
      <c r="H67" s="559"/>
      <c r="I67" s="559"/>
      <c r="J67" s="559"/>
      <c r="K67" s="559"/>
      <c r="L67" s="625"/>
      <c r="M67" s="625"/>
      <c r="N67" s="626"/>
      <c r="O67" s="625"/>
      <c r="P67" s="559"/>
      <c r="Q67" s="627"/>
      <c r="R67" s="559"/>
      <c r="S67" s="559"/>
      <c r="T67" s="559"/>
      <c r="U67" s="559"/>
      <c r="V67" s="559"/>
      <c r="W67" s="559"/>
      <c r="X67" s="559"/>
      <c r="Y67" s="559"/>
      <c r="Z67" s="559"/>
      <c r="AA67" s="559"/>
      <c r="AB67" s="559"/>
      <c r="AC67" s="559"/>
      <c r="AD67" s="559"/>
      <c r="AE67" s="559"/>
    </row>
    <row r="68" spans="1:31" ht="18" hidden="1" customHeight="1" x14ac:dyDescent="0.35">
      <c r="A68" s="559"/>
      <c r="B68" s="759" t="s">
        <v>64</v>
      </c>
      <c r="C68" s="730">
        <f>C37-VLOOKUP($C$17,$A$147:$S$153,5)</f>
        <v>0</v>
      </c>
      <c r="D68" s="559">
        <f t="shared" ref="D68:E68" si="23">D37-VLOOKUP($C$17,$A$147:$I$153,5)</f>
        <v>0</v>
      </c>
      <c r="E68" s="559">
        <f t="shared" si="23"/>
        <v>0</v>
      </c>
      <c r="F68" s="559"/>
      <c r="G68" s="559"/>
      <c r="H68" s="559"/>
      <c r="I68" s="559"/>
      <c r="J68" s="559"/>
      <c r="K68" s="559"/>
      <c r="L68" s="625"/>
      <c r="M68" s="625"/>
      <c r="N68" s="626"/>
      <c r="O68" s="625"/>
      <c r="P68" s="559"/>
      <c r="Q68" s="627">
        <f>IF(J68=0,0,J68*VLOOKUP(E68,'[1]Prix Matiere'!$A$4:$L$60,12))</f>
        <v>0</v>
      </c>
      <c r="R68" s="559"/>
      <c r="S68" s="559"/>
      <c r="T68" s="559"/>
      <c r="U68" s="559"/>
      <c r="V68" s="559"/>
      <c r="W68" s="559"/>
      <c r="X68" s="559"/>
      <c r="Y68" s="559"/>
      <c r="Z68" s="559"/>
      <c r="AA68" s="559"/>
      <c r="AB68" s="559"/>
      <c r="AC68" s="559"/>
      <c r="AD68" s="559"/>
      <c r="AE68" s="559"/>
    </row>
    <row r="69" spans="1:31" ht="18" hidden="1" customHeight="1" x14ac:dyDescent="0.35">
      <c r="A69" s="559"/>
      <c r="B69" s="559"/>
      <c r="C69" s="559"/>
      <c r="D69" s="559"/>
      <c r="E69" s="559"/>
      <c r="F69" s="559"/>
      <c r="G69" s="559"/>
      <c r="H69" s="559"/>
      <c r="I69" s="559"/>
      <c r="J69" s="559"/>
      <c r="K69" s="559"/>
      <c r="L69" s="625"/>
      <c r="M69" s="625"/>
      <c r="N69" s="626"/>
      <c r="O69" s="625"/>
      <c r="P69" s="559"/>
      <c r="Q69" s="627"/>
      <c r="R69" s="559"/>
      <c r="S69" s="559"/>
      <c r="T69" s="559"/>
      <c r="U69" s="559"/>
      <c r="V69" s="559"/>
      <c r="W69" s="559"/>
      <c r="X69" s="559"/>
      <c r="Y69" s="559"/>
      <c r="Z69" s="559"/>
      <c r="AA69" s="559"/>
      <c r="AB69" s="559"/>
      <c r="AC69" s="559"/>
      <c r="AD69" s="559"/>
      <c r="AE69" s="559"/>
    </row>
    <row r="70" spans="1:31" ht="18" hidden="1" customHeight="1" x14ac:dyDescent="0.35">
      <c r="A70" s="573" t="s">
        <v>65</v>
      </c>
      <c r="B70" s="584" t="s">
        <v>63</v>
      </c>
      <c r="C70" s="584">
        <f>IF(F70=0,0,C74+VLOOKUP($C$17,A147:S153,8))</f>
        <v>0</v>
      </c>
      <c r="D70" s="584">
        <f>IF(F70=0,0,E74)</f>
        <v>0</v>
      </c>
      <c r="E70" s="579">
        <f>VLOOKUP($C$17,A147:S153,9)</f>
        <v>0</v>
      </c>
      <c r="F70" s="584">
        <f>VLOOKUP($C$17,A147:S153,10)</f>
        <v>0</v>
      </c>
      <c r="G70" s="559"/>
      <c r="H70" s="559"/>
      <c r="I70" s="559"/>
      <c r="J70" s="559">
        <f t="shared" ref="J70:J72" si="24">IF(C70=0,0,(C70/100)*(D70/100)*F70)</f>
        <v>0</v>
      </c>
      <c r="K70" s="559">
        <f t="shared" ref="K70:K72" si="25">J70/0.8</f>
        <v>0</v>
      </c>
      <c r="L70" s="625">
        <v>0</v>
      </c>
      <c r="M70" s="625">
        <f t="shared" ref="M70:M72" si="26">L70*K70</f>
        <v>0</v>
      </c>
      <c r="N70" s="626">
        <f t="shared" ref="N70:N72" si="27">IF(J70=0,0,(3.94*J70)+5)</f>
        <v>0</v>
      </c>
      <c r="O70" s="625">
        <f t="shared" ref="O70:O72" si="28">N70*Tapisserie!MinuteMO</f>
        <v>0</v>
      </c>
      <c r="P70" s="559"/>
      <c r="Q70" s="627">
        <v>0</v>
      </c>
      <c r="R70" s="559"/>
      <c r="S70" s="559"/>
      <c r="T70" s="559"/>
      <c r="U70" s="559"/>
      <c r="V70" s="559"/>
      <c r="W70" s="559"/>
      <c r="X70" s="559"/>
      <c r="Y70" s="559"/>
      <c r="Z70" s="559"/>
      <c r="AA70" s="559"/>
      <c r="AB70" s="559"/>
      <c r="AC70" s="559"/>
      <c r="AD70" s="559"/>
      <c r="AE70" s="559"/>
    </row>
    <row r="71" spans="1:31" ht="18" hidden="1" customHeight="1" x14ac:dyDescent="0.35">
      <c r="A71" s="559"/>
      <c r="B71" s="584" t="s">
        <v>54</v>
      </c>
      <c r="C71" s="584">
        <f>IF(F71=0,0,C74+VLOOKUP($C$17,A147:S153,8))</f>
        <v>0</v>
      </c>
      <c r="D71" s="584">
        <f>IF(F71=0,0,D68)</f>
        <v>0</v>
      </c>
      <c r="E71" s="579">
        <f>VLOOKUP($C$17,A147:S153,9)</f>
        <v>0</v>
      </c>
      <c r="F71" s="584">
        <f>VLOOKUP($C$17,A147:S153,10)</f>
        <v>0</v>
      </c>
      <c r="G71" s="559"/>
      <c r="H71" s="559"/>
      <c r="I71" s="559"/>
      <c r="J71" s="559">
        <f t="shared" si="24"/>
        <v>0</v>
      </c>
      <c r="K71" s="559">
        <f t="shared" si="25"/>
        <v>0</v>
      </c>
      <c r="L71" s="625">
        <v>0</v>
      </c>
      <c r="M71" s="625">
        <f t="shared" si="26"/>
        <v>0</v>
      </c>
      <c r="N71" s="626">
        <f t="shared" si="27"/>
        <v>0</v>
      </c>
      <c r="O71" s="625">
        <f t="shared" si="28"/>
        <v>0</v>
      </c>
      <c r="P71" s="559"/>
      <c r="Q71" s="627">
        <v>0</v>
      </c>
      <c r="R71" s="559"/>
      <c r="S71" s="559"/>
      <c r="T71" s="559"/>
      <c r="U71" s="559"/>
      <c r="V71" s="559"/>
      <c r="W71" s="559"/>
      <c r="X71" s="559"/>
      <c r="Y71" s="559"/>
      <c r="Z71" s="559"/>
      <c r="AA71" s="559"/>
      <c r="AB71" s="559"/>
      <c r="AC71" s="559"/>
      <c r="AD71" s="559"/>
      <c r="AE71" s="559"/>
    </row>
    <row r="72" spans="1:31" ht="18" hidden="1" customHeight="1" x14ac:dyDescent="0.35">
      <c r="A72" s="559"/>
      <c r="B72" s="584" t="s">
        <v>55</v>
      </c>
      <c r="C72" s="584">
        <f>IF(F72=0,0,E74)</f>
        <v>0</v>
      </c>
      <c r="D72" s="584">
        <f>IF(F72=0,0,D74)</f>
        <v>0</v>
      </c>
      <c r="E72" s="579">
        <f>VLOOKUP($C$17,A147:S153,9)</f>
        <v>0</v>
      </c>
      <c r="F72" s="584">
        <f>VLOOKUP($C$17,A147:S153,10)</f>
        <v>0</v>
      </c>
      <c r="G72" s="559"/>
      <c r="H72" s="559"/>
      <c r="I72" s="559"/>
      <c r="J72" s="559">
        <f t="shared" si="24"/>
        <v>0</v>
      </c>
      <c r="K72" s="559">
        <f t="shared" si="25"/>
        <v>0</v>
      </c>
      <c r="L72" s="625">
        <v>0</v>
      </c>
      <c r="M72" s="625">
        <f t="shared" si="26"/>
        <v>0</v>
      </c>
      <c r="N72" s="626">
        <f t="shared" si="27"/>
        <v>0</v>
      </c>
      <c r="O72" s="625">
        <f t="shared" si="28"/>
        <v>0</v>
      </c>
      <c r="P72" s="559"/>
      <c r="Q72" s="627">
        <v>0</v>
      </c>
      <c r="R72" s="559"/>
      <c r="S72" s="559"/>
      <c r="T72" s="559"/>
      <c r="U72" s="559"/>
      <c r="V72" s="559"/>
      <c r="W72" s="559"/>
      <c r="X72" s="559"/>
      <c r="Y72" s="559"/>
      <c r="Z72" s="559"/>
      <c r="AA72" s="559"/>
      <c r="AB72" s="559"/>
      <c r="AC72" s="559"/>
      <c r="AD72" s="559"/>
      <c r="AE72" s="559"/>
    </row>
    <row r="73" spans="1:31" ht="18" hidden="1" customHeight="1" x14ac:dyDescent="0.35">
      <c r="A73" s="559"/>
      <c r="B73" s="559"/>
      <c r="C73" s="559"/>
      <c r="D73" s="559"/>
      <c r="E73" s="559"/>
      <c r="F73" s="559"/>
      <c r="G73" s="559"/>
      <c r="H73" s="559"/>
      <c r="I73" s="559"/>
      <c r="J73" s="559"/>
      <c r="K73" s="559"/>
      <c r="L73" s="625"/>
      <c r="M73" s="625"/>
      <c r="N73" s="626"/>
      <c r="O73" s="625"/>
      <c r="P73" s="559"/>
      <c r="Q73" s="627"/>
      <c r="R73" s="559"/>
      <c r="S73" s="559"/>
      <c r="T73" s="559"/>
      <c r="U73" s="559"/>
      <c r="V73" s="559"/>
      <c r="W73" s="559"/>
      <c r="X73" s="559"/>
      <c r="Y73" s="559"/>
      <c r="Z73" s="559"/>
      <c r="AA73" s="559"/>
      <c r="AB73" s="559"/>
      <c r="AC73" s="559"/>
      <c r="AD73" s="559"/>
      <c r="AE73" s="559"/>
    </row>
    <row r="74" spans="1:31" ht="18" hidden="1" customHeight="1" x14ac:dyDescent="0.35">
      <c r="A74" s="559"/>
      <c r="B74" s="559" t="s">
        <v>66</v>
      </c>
      <c r="C74" s="559">
        <f t="shared" ref="C74:E74" si="29">C68-VLOOKUP($C$17,$A$147:$I$153,8)</f>
        <v>0</v>
      </c>
      <c r="D74" s="559">
        <f t="shared" si="29"/>
        <v>0</v>
      </c>
      <c r="E74" s="559">
        <f t="shared" si="29"/>
        <v>0</v>
      </c>
      <c r="F74" s="559"/>
      <c r="G74" s="559"/>
      <c r="H74" s="559"/>
      <c r="I74" s="559"/>
      <c r="J74" s="559"/>
      <c r="K74" s="559"/>
      <c r="L74" s="625"/>
      <c r="M74" s="625"/>
      <c r="N74" s="626"/>
      <c r="O74" s="625"/>
      <c r="P74" s="559"/>
      <c r="Q74" s="627">
        <f>IF(J74=0,0,J74*VLOOKUP(E74,'[1]Prix Matiere'!$A$4:$L$60,12))</f>
        <v>0</v>
      </c>
      <c r="R74" s="559"/>
      <c r="S74" s="559"/>
      <c r="T74" s="559"/>
      <c r="U74" s="559"/>
      <c r="V74" s="559"/>
      <c r="W74" s="559"/>
      <c r="X74" s="559"/>
      <c r="Y74" s="559"/>
      <c r="Z74" s="559"/>
      <c r="AA74" s="559"/>
      <c r="AB74" s="559"/>
      <c r="AC74" s="559"/>
      <c r="AD74" s="559"/>
      <c r="AE74" s="559"/>
    </row>
    <row r="75" spans="1:31" ht="18" hidden="1" customHeight="1" x14ac:dyDescent="0.35">
      <c r="A75" s="559"/>
      <c r="B75" s="559"/>
      <c r="C75" s="559"/>
      <c r="D75" s="559"/>
      <c r="E75" s="559"/>
      <c r="F75" s="559"/>
      <c r="G75" s="559"/>
      <c r="H75" s="559"/>
      <c r="I75" s="559"/>
      <c r="J75" s="559"/>
      <c r="K75" s="559"/>
      <c r="L75" s="625"/>
      <c r="M75" s="625"/>
      <c r="N75" s="626"/>
      <c r="O75" s="625"/>
      <c r="P75" s="559"/>
      <c r="Q75" s="627"/>
      <c r="R75" s="559"/>
      <c r="S75" s="559"/>
      <c r="T75" s="559"/>
      <c r="U75" s="559"/>
      <c r="V75" s="559"/>
      <c r="W75" s="559"/>
      <c r="X75" s="559"/>
      <c r="Y75" s="559"/>
      <c r="Z75" s="559"/>
      <c r="AA75" s="559"/>
      <c r="AB75" s="559"/>
      <c r="AC75" s="559"/>
      <c r="AD75" s="559"/>
      <c r="AE75" s="559"/>
    </row>
    <row r="76" spans="1:31" ht="18" hidden="1" customHeight="1" x14ac:dyDescent="0.35">
      <c r="A76" s="573" t="s">
        <v>67</v>
      </c>
      <c r="B76" s="584" t="s">
        <v>63</v>
      </c>
      <c r="C76" s="584">
        <f>IF(F76=0,0,E74)</f>
        <v>0</v>
      </c>
      <c r="D76" s="584">
        <f>IF(F76=0,0,10)</f>
        <v>0</v>
      </c>
      <c r="E76" s="579">
        <f>VLOOKUP($C$17,A147:S153,12)</f>
        <v>0</v>
      </c>
      <c r="F76" s="584">
        <f>VLOOKUP($C$17,$A$147:$S$153,13)*2</f>
        <v>0</v>
      </c>
      <c r="G76" s="559"/>
      <c r="H76" s="559"/>
      <c r="I76" s="559"/>
      <c r="J76" s="559">
        <f t="shared" ref="J76:J77" si="30">IF(C76=0,0,(C76/100)*(D76/100)*F76)</f>
        <v>0</v>
      </c>
      <c r="K76" s="559">
        <f t="shared" ref="K76:K77" si="31">J76/0.8</f>
        <v>0</v>
      </c>
      <c r="L76" s="625">
        <v>0</v>
      </c>
      <c r="M76" s="625">
        <f t="shared" ref="M76:M77" si="32">L76*K76</f>
        <v>0</v>
      </c>
      <c r="N76" s="626">
        <f t="shared" ref="N76:N77" si="33">IF(J76=0,0,1+(6*J76))</f>
        <v>0</v>
      </c>
      <c r="O76" s="625">
        <f t="shared" ref="O76:O77" si="34">N76*Tapisserie!MinuteMO</f>
        <v>0</v>
      </c>
      <c r="P76" s="559"/>
      <c r="Q76" s="627">
        <v>0</v>
      </c>
      <c r="R76" s="559"/>
      <c r="S76" s="559"/>
      <c r="T76" s="559"/>
      <c r="U76" s="559"/>
      <c r="V76" s="559"/>
      <c r="W76" s="559"/>
      <c r="X76" s="559"/>
      <c r="Y76" s="559"/>
      <c r="Z76" s="559"/>
      <c r="AA76" s="559"/>
      <c r="AB76" s="559"/>
      <c r="AC76" s="559"/>
      <c r="AD76" s="559"/>
      <c r="AE76" s="559"/>
    </row>
    <row r="77" spans="1:31" ht="18" hidden="1" customHeight="1" x14ac:dyDescent="0.35">
      <c r="A77" s="559"/>
      <c r="B77" s="584" t="s">
        <v>54</v>
      </c>
      <c r="C77" s="584">
        <f>IF(F77=0,0,D74-VLOOKUP($C$17,A147:S153,11))</f>
        <v>0</v>
      </c>
      <c r="D77" s="584">
        <f>IF(F76=0,0,D76)</f>
        <v>0</v>
      </c>
      <c r="E77" s="579">
        <f>VLOOKUP($C$17,A147:S153,12)</f>
        <v>0</v>
      </c>
      <c r="F77" s="584">
        <f>VLOOKUP($C$17,$A$147:$S$153,13)</f>
        <v>0</v>
      </c>
      <c r="G77" s="559"/>
      <c r="H77" s="559"/>
      <c r="I77" s="559"/>
      <c r="J77" s="559">
        <f t="shared" si="30"/>
        <v>0</v>
      </c>
      <c r="K77" s="559">
        <f t="shared" si="31"/>
        <v>0</v>
      </c>
      <c r="L77" s="625">
        <v>0</v>
      </c>
      <c r="M77" s="625">
        <f t="shared" si="32"/>
        <v>0</v>
      </c>
      <c r="N77" s="626">
        <f t="shared" si="33"/>
        <v>0</v>
      </c>
      <c r="O77" s="625">
        <f t="shared" si="34"/>
        <v>0</v>
      </c>
      <c r="P77" s="559"/>
      <c r="Q77" s="627">
        <v>0</v>
      </c>
      <c r="R77" s="559"/>
      <c r="S77" s="559"/>
      <c r="T77" s="559"/>
      <c r="U77" s="559"/>
      <c r="V77" s="559"/>
      <c r="W77" s="559"/>
      <c r="X77" s="559"/>
      <c r="Y77" s="559"/>
      <c r="Z77" s="559"/>
      <c r="AA77" s="559"/>
      <c r="AB77" s="559"/>
      <c r="AC77" s="559"/>
      <c r="AD77" s="559"/>
      <c r="AE77" s="559"/>
    </row>
    <row r="78" spans="1:31" ht="18" hidden="1" customHeight="1" x14ac:dyDescent="0.35">
      <c r="A78" s="559"/>
      <c r="B78" s="559"/>
      <c r="C78" s="559"/>
      <c r="D78" s="559"/>
      <c r="E78" s="559"/>
      <c r="F78" s="559"/>
      <c r="G78" s="559"/>
      <c r="H78" s="559"/>
      <c r="I78" s="559"/>
      <c r="J78" s="559"/>
      <c r="K78" s="559"/>
      <c r="L78" s="625"/>
      <c r="M78" s="625"/>
      <c r="N78" s="626"/>
      <c r="O78" s="625"/>
      <c r="P78" s="559"/>
      <c r="Q78" s="627"/>
      <c r="R78" s="559"/>
      <c r="S78" s="559"/>
      <c r="T78" s="559"/>
      <c r="U78" s="559"/>
      <c r="V78" s="559"/>
      <c r="W78" s="559"/>
      <c r="X78" s="559"/>
      <c r="Y78" s="559"/>
      <c r="Z78" s="559"/>
      <c r="AA78" s="559"/>
      <c r="AB78" s="559"/>
      <c r="AC78" s="559"/>
      <c r="AD78" s="559"/>
      <c r="AE78" s="559"/>
    </row>
    <row r="79" spans="1:31" ht="18" hidden="1" customHeight="1" x14ac:dyDescent="0.35">
      <c r="A79" s="559"/>
      <c r="B79" s="1194" t="s">
        <v>68</v>
      </c>
      <c r="C79" s="1101"/>
      <c r="D79" s="559">
        <f>D74-VLOOKUP($C$17,A147:S153,11)</f>
        <v>0</v>
      </c>
      <c r="E79" s="559">
        <f>E74-VLOOKUP($C$17,A147:S153,11)</f>
        <v>0</v>
      </c>
      <c r="F79" s="559"/>
      <c r="G79" s="559"/>
      <c r="H79" s="559"/>
      <c r="I79" s="559"/>
      <c r="J79" s="559">
        <f>IF(C79=0,0,(C79/100)*(D79/100)*F79)</f>
        <v>0</v>
      </c>
      <c r="K79" s="559">
        <f>J79/0.8</f>
        <v>0</v>
      </c>
      <c r="L79" s="625"/>
      <c r="M79" s="625"/>
      <c r="N79" s="626"/>
      <c r="O79" s="625"/>
      <c r="P79" s="559"/>
      <c r="Q79" s="627">
        <f>IF(J79=0,0,J79*VLOOKUP(E79,'[1]Prix Matiere'!$A$4:$L$60,12))</f>
        <v>0</v>
      </c>
      <c r="R79" s="559"/>
      <c r="S79" s="559"/>
      <c r="T79" s="559"/>
      <c r="U79" s="559"/>
      <c r="V79" s="559"/>
      <c r="W79" s="559"/>
      <c r="X79" s="559"/>
      <c r="Y79" s="559"/>
      <c r="Z79" s="559"/>
      <c r="AA79" s="559"/>
      <c r="AB79" s="559"/>
      <c r="AC79" s="559"/>
      <c r="AD79" s="559"/>
      <c r="AE79" s="559"/>
    </row>
    <row r="80" spans="1:31" ht="18" hidden="1" customHeight="1" x14ac:dyDescent="0.35">
      <c r="A80" s="559"/>
      <c r="B80" s="559"/>
      <c r="C80" s="559"/>
      <c r="D80" s="559"/>
      <c r="E80" s="559"/>
      <c r="F80" s="559"/>
      <c r="G80" s="559"/>
      <c r="H80" s="559"/>
      <c r="I80" s="559"/>
      <c r="J80" s="559"/>
      <c r="K80" s="559"/>
      <c r="L80" s="625"/>
      <c r="M80" s="625"/>
      <c r="N80" s="626"/>
      <c r="O80" s="625"/>
      <c r="P80" s="559"/>
      <c r="Q80" s="627"/>
      <c r="R80" s="559"/>
      <c r="S80" s="559"/>
      <c r="T80" s="559"/>
      <c r="U80" s="559"/>
      <c r="V80" s="559"/>
      <c r="W80" s="559"/>
      <c r="X80" s="559"/>
      <c r="Y80" s="559"/>
      <c r="Z80" s="559"/>
      <c r="AA80" s="559"/>
      <c r="AB80" s="559"/>
      <c r="AC80" s="559"/>
      <c r="AD80" s="559"/>
      <c r="AE80" s="559"/>
    </row>
    <row r="81" spans="1:31" ht="18" hidden="1" customHeight="1" x14ac:dyDescent="0.35">
      <c r="A81" s="573" t="s">
        <v>69</v>
      </c>
      <c r="B81" s="584" t="s">
        <v>63</v>
      </c>
      <c r="C81" s="584">
        <f>IF(F81=0,0,C85+VLOOKUP($C$17,A147:S153,14))</f>
        <v>0</v>
      </c>
      <c r="D81" s="584">
        <f>IF(F81=0,0,E85)</f>
        <v>0</v>
      </c>
      <c r="E81" s="579">
        <f>VLOOKUP($C$17,A147:S153,15)</f>
        <v>0</v>
      </c>
      <c r="F81" s="584">
        <f>VLOOKUP($C$17,A147:S153,16)</f>
        <v>0</v>
      </c>
      <c r="G81" s="559"/>
      <c r="H81" s="559"/>
      <c r="I81" s="559"/>
      <c r="J81" s="559">
        <f t="shared" ref="J81:J83" si="35">IF(C81=0,0,(C81/100)*(D81/100)*F81)</f>
        <v>0</v>
      </c>
      <c r="K81" s="559">
        <f t="shared" ref="K81:K83" si="36">J81/0.8</f>
        <v>0</v>
      </c>
      <c r="L81" s="625">
        <v>0</v>
      </c>
      <c r="M81" s="625">
        <f t="shared" ref="M81:M83" si="37">L81*K81</f>
        <v>0</v>
      </c>
      <c r="N81" s="626">
        <f t="shared" ref="N81:N83" si="38">IF(J81=0,0,(3.94*J81)+5)</f>
        <v>0</v>
      </c>
      <c r="O81" s="625">
        <f t="shared" ref="O81:O83" si="39">N81*Tapisserie!MinuteMO</f>
        <v>0</v>
      </c>
      <c r="P81" s="559"/>
      <c r="Q81" s="627">
        <v>0</v>
      </c>
      <c r="R81" s="559"/>
      <c r="S81" s="559"/>
      <c r="T81" s="559"/>
      <c r="U81" s="559"/>
      <c r="V81" s="559"/>
      <c r="W81" s="559"/>
      <c r="X81" s="559"/>
      <c r="Y81" s="559"/>
      <c r="Z81" s="559"/>
      <c r="AA81" s="559"/>
      <c r="AB81" s="559"/>
      <c r="AC81" s="559"/>
      <c r="AD81" s="559"/>
      <c r="AE81" s="559"/>
    </row>
    <row r="82" spans="1:31" ht="18" hidden="1" customHeight="1" x14ac:dyDescent="0.35">
      <c r="A82" s="559"/>
      <c r="B82" s="584" t="s">
        <v>54</v>
      </c>
      <c r="C82" s="584">
        <f>IF(F82=0,0,C85+VLOOKUP($C$17,A147:S153,14))</f>
        <v>0</v>
      </c>
      <c r="D82" s="584">
        <f>IF(F82=0,0,D79)</f>
        <v>0</v>
      </c>
      <c r="E82" s="579">
        <f>VLOOKUP($C$17,A147:S153,15)</f>
        <v>0</v>
      </c>
      <c r="F82" s="584">
        <f>VLOOKUP($C$17,A147:S153,16)</f>
        <v>0</v>
      </c>
      <c r="G82" s="559"/>
      <c r="H82" s="559"/>
      <c r="I82" s="559"/>
      <c r="J82" s="559">
        <f t="shared" si="35"/>
        <v>0</v>
      </c>
      <c r="K82" s="559">
        <f t="shared" si="36"/>
        <v>0</v>
      </c>
      <c r="L82" s="625">
        <v>0</v>
      </c>
      <c r="M82" s="625">
        <f t="shared" si="37"/>
        <v>0</v>
      </c>
      <c r="N82" s="626">
        <f t="shared" si="38"/>
        <v>0</v>
      </c>
      <c r="O82" s="625">
        <f t="shared" si="39"/>
        <v>0</v>
      </c>
      <c r="P82" s="559"/>
      <c r="Q82" s="627">
        <v>0</v>
      </c>
      <c r="R82" s="559"/>
      <c r="S82" s="559"/>
      <c r="T82" s="559"/>
      <c r="U82" s="559"/>
      <c r="V82" s="559"/>
      <c r="W82" s="559"/>
      <c r="X82" s="559"/>
      <c r="Y82" s="559"/>
      <c r="Z82" s="559"/>
      <c r="AA82" s="559"/>
      <c r="AB82" s="559"/>
      <c r="AC82" s="559"/>
      <c r="AD82" s="559"/>
      <c r="AE82" s="559"/>
    </row>
    <row r="83" spans="1:31" ht="18" hidden="1" customHeight="1" x14ac:dyDescent="0.35">
      <c r="A83" s="559"/>
      <c r="B83" s="584" t="s">
        <v>55</v>
      </c>
      <c r="C83" s="584">
        <f>IF(F83=0,0,E85)</f>
        <v>0</v>
      </c>
      <c r="D83" s="584">
        <f>IF(F83=0,0,D85)</f>
        <v>0</v>
      </c>
      <c r="E83" s="579">
        <f>VLOOKUP($C$17,A147:S153,15)</f>
        <v>0</v>
      </c>
      <c r="F83" s="584">
        <f>VLOOKUP($C$17,A147:S153,16)</f>
        <v>0</v>
      </c>
      <c r="G83" s="559"/>
      <c r="H83" s="559"/>
      <c r="I83" s="559"/>
      <c r="J83" s="559">
        <f t="shared" si="35"/>
        <v>0</v>
      </c>
      <c r="K83" s="559">
        <f t="shared" si="36"/>
        <v>0</v>
      </c>
      <c r="L83" s="625">
        <v>0</v>
      </c>
      <c r="M83" s="625">
        <f t="shared" si="37"/>
        <v>0</v>
      </c>
      <c r="N83" s="626">
        <f t="shared" si="38"/>
        <v>0</v>
      </c>
      <c r="O83" s="625">
        <f t="shared" si="39"/>
        <v>0</v>
      </c>
      <c r="P83" s="559"/>
      <c r="Q83" s="627">
        <v>0</v>
      </c>
      <c r="R83" s="559"/>
      <c r="S83" s="559"/>
      <c r="T83" s="559"/>
      <c r="U83" s="559"/>
      <c r="V83" s="559"/>
      <c r="W83" s="559"/>
      <c r="X83" s="559"/>
      <c r="Y83" s="559"/>
      <c r="Z83" s="559"/>
      <c r="AA83" s="559"/>
      <c r="AB83" s="559"/>
      <c r="AC83" s="559"/>
      <c r="AD83" s="559"/>
      <c r="AE83" s="559"/>
    </row>
    <row r="84" spans="1:31" ht="18" hidden="1" customHeight="1" x14ac:dyDescent="0.35">
      <c r="A84" s="559"/>
      <c r="B84" s="559"/>
      <c r="C84" s="559"/>
      <c r="D84" s="559"/>
      <c r="E84" s="559"/>
      <c r="F84" s="559"/>
      <c r="G84" s="559"/>
      <c r="H84" s="559"/>
      <c r="I84" s="559"/>
      <c r="J84" s="559"/>
      <c r="K84" s="559"/>
      <c r="L84" s="625"/>
      <c r="M84" s="625"/>
      <c r="N84" s="626"/>
      <c r="O84" s="625"/>
      <c r="P84" s="559"/>
      <c r="Q84" s="627"/>
      <c r="R84" s="559"/>
      <c r="S84" s="559"/>
      <c r="T84" s="559"/>
      <c r="U84" s="559"/>
      <c r="V84" s="559"/>
      <c r="W84" s="559"/>
      <c r="X84" s="559"/>
      <c r="Y84" s="559"/>
      <c r="Z84" s="559"/>
      <c r="AA84" s="559"/>
      <c r="AB84" s="559"/>
      <c r="AC84" s="559"/>
      <c r="AD84" s="559"/>
      <c r="AE84" s="559"/>
    </row>
    <row r="85" spans="1:31" ht="18" hidden="1" customHeight="1" x14ac:dyDescent="0.35">
      <c r="A85" s="559"/>
      <c r="B85" s="559" t="s">
        <v>66</v>
      </c>
      <c r="C85" s="559">
        <f>C79-VLOOKUP($C$17,A147:S153,14)</f>
        <v>0</v>
      </c>
      <c r="D85" s="559">
        <f>D79-VLOOKUP($C$17,A147:S153,14)</f>
        <v>0</v>
      </c>
      <c r="E85" s="559">
        <f>E79-VLOOKUP($C$17,A147:S153,14)</f>
        <v>0</v>
      </c>
      <c r="F85" s="559"/>
      <c r="G85" s="559"/>
      <c r="H85" s="559"/>
      <c r="I85" s="559"/>
      <c r="J85" s="559">
        <f>IF(C85=0,0,(C85/100)*(D85/100)*F85)</f>
        <v>0</v>
      </c>
      <c r="K85" s="559">
        <f>J85/0.8</f>
        <v>0</v>
      </c>
      <c r="L85" s="625"/>
      <c r="M85" s="625"/>
      <c r="N85" s="626"/>
      <c r="O85" s="625"/>
      <c r="P85" s="559"/>
      <c r="Q85" s="627">
        <f>IF(J85=0,0,J85*VLOOKUP(E85,'[1]Prix Matiere'!$A$4:$L$60,12))</f>
        <v>0</v>
      </c>
      <c r="R85" s="559"/>
      <c r="S85" s="559"/>
      <c r="T85" s="559"/>
      <c r="U85" s="559"/>
      <c r="V85" s="559"/>
      <c r="W85" s="559"/>
      <c r="X85" s="559"/>
      <c r="Y85" s="559"/>
      <c r="Z85" s="559"/>
      <c r="AA85" s="559"/>
      <c r="AB85" s="559"/>
      <c r="AC85" s="559"/>
      <c r="AD85" s="559"/>
      <c r="AE85" s="559"/>
    </row>
    <row r="86" spans="1:31" ht="18" hidden="1" customHeight="1" x14ac:dyDescent="0.35">
      <c r="A86" s="559"/>
      <c r="B86" s="559"/>
      <c r="C86" s="559"/>
      <c r="D86" s="559"/>
      <c r="E86" s="559"/>
      <c r="F86" s="559"/>
      <c r="G86" s="559"/>
      <c r="H86" s="559"/>
      <c r="I86" s="559"/>
      <c r="J86" s="559"/>
      <c r="K86" s="559"/>
      <c r="L86" s="625"/>
      <c r="M86" s="625"/>
      <c r="N86" s="626"/>
      <c r="O86" s="625"/>
      <c r="P86" s="559"/>
      <c r="Q86" s="627"/>
      <c r="R86" s="559"/>
      <c r="S86" s="559"/>
      <c r="T86" s="559"/>
      <c r="U86" s="559"/>
      <c r="V86" s="559"/>
      <c r="W86" s="559"/>
      <c r="X86" s="559"/>
      <c r="Y86" s="559"/>
      <c r="Z86" s="559"/>
      <c r="AA86" s="559"/>
      <c r="AB86" s="559"/>
      <c r="AC86" s="559"/>
      <c r="AD86" s="559"/>
      <c r="AE86" s="559"/>
    </row>
    <row r="87" spans="1:31" ht="18" hidden="1" customHeight="1" x14ac:dyDescent="0.35">
      <c r="A87" s="573" t="s">
        <v>309</v>
      </c>
      <c r="B87" s="584">
        <f>IF(C87=0,0,"Peuplier 15 mm")</f>
        <v>0</v>
      </c>
      <c r="C87" s="584">
        <f>IF(VLOOKUP($C$33,A139:S142,18)+VLOOKUP($C$17,A147:S153,18)=2,D85,IF(VLOOKUP($C$33,A139:S142,19)+VLOOKUP($C$17,A147:S153,19)=2,C85,0))</f>
        <v>0</v>
      </c>
      <c r="D87" s="584">
        <f>IF(C87=0,0,E85)</f>
        <v>0</v>
      </c>
      <c r="E87" s="584">
        <f>B87</f>
        <v>0</v>
      </c>
      <c r="F87" s="584">
        <f>IF(C87=0,0,2)</f>
        <v>0</v>
      </c>
      <c r="G87" s="559"/>
      <c r="H87" s="559"/>
      <c r="I87" s="559"/>
      <c r="J87" s="559">
        <f>IF(C87=0,0,(C87/100)*(D87/100)*F87)</f>
        <v>0</v>
      </c>
      <c r="K87" s="559">
        <f>J87/0.8</f>
        <v>0</v>
      </c>
      <c r="L87" s="625">
        <f>IF(E87=0,0,VLOOKUP(E87,'[1]Prix Matiere'!$A$4:$J$65,10))</f>
        <v>0</v>
      </c>
      <c r="M87" s="625">
        <f>L87*K87</f>
        <v>0</v>
      </c>
      <c r="N87" s="626">
        <f>IF(J87=0,0,(6.0924*J87)+10)</f>
        <v>0</v>
      </c>
      <c r="O87" s="625">
        <f>N87*Tapisserie!MinuteMO</f>
        <v>0</v>
      </c>
      <c r="P87" s="559"/>
      <c r="Q87" s="627">
        <f>IF(J87=0,0,J87*VLOOKUP(E87,'[1]Prix Matiere'!$A$4:$L$60,12))</f>
        <v>0</v>
      </c>
      <c r="R87" s="559"/>
      <c r="S87" s="559"/>
      <c r="T87" s="559"/>
      <c r="U87" s="559"/>
      <c r="V87" s="559"/>
      <c r="W87" s="559"/>
      <c r="X87" s="559"/>
      <c r="Y87" s="559"/>
      <c r="Z87" s="559"/>
      <c r="AA87" s="559"/>
      <c r="AB87" s="559"/>
      <c r="AC87" s="559"/>
      <c r="AD87" s="559"/>
      <c r="AE87" s="559"/>
    </row>
    <row r="88" spans="1:31" ht="18" hidden="1" customHeight="1" x14ac:dyDescent="0.35">
      <c r="A88" s="559"/>
      <c r="B88" s="559"/>
      <c r="C88" s="559"/>
      <c r="D88" s="559"/>
      <c r="E88" s="559"/>
      <c r="F88" s="559"/>
      <c r="G88" s="559"/>
      <c r="H88" s="559"/>
      <c r="I88" s="559"/>
      <c r="J88" s="559"/>
      <c r="K88" s="559"/>
      <c r="L88" s="625"/>
      <c r="M88" s="625"/>
      <c r="N88" s="626"/>
      <c r="O88" s="625"/>
      <c r="P88" s="559"/>
      <c r="Q88" s="627"/>
      <c r="R88" s="559"/>
      <c r="S88" s="559"/>
      <c r="T88" s="559"/>
      <c r="U88" s="559"/>
      <c r="V88" s="559"/>
      <c r="W88" s="559"/>
      <c r="X88" s="559"/>
      <c r="Y88" s="559"/>
      <c r="Z88" s="559"/>
      <c r="AA88" s="559"/>
      <c r="AB88" s="559"/>
      <c r="AC88" s="559"/>
      <c r="AD88" s="559"/>
      <c r="AE88" s="559"/>
    </row>
    <row r="89" spans="1:31" ht="18" hidden="1" customHeight="1" x14ac:dyDescent="0.35">
      <c r="A89" s="559"/>
      <c r="B89" s="559"/>
      <c r="C89" s="559"/>
      <c r="D89" s="559"/>
      <c r="E89" s="559"/>
      <c r="F89" s="559"/>
      <c r="G89" s="559"/>
      <c r="H89" s="559"/>
      <c r="I89" s="559"/>
      <c r="J89" s="559"/>
      <c r="K89" s="559"/>
      <c r="L89" s="625"/>
      <c r="M89" s="625"/>
      <c r="N89" s="626"/>
      <c r="O89" s="625"/>
      <c r="P89" s="559"/>
      <c r="Q89" s="627"/>
      <c r="R89" s="559"/>
      <c r="S89" s="559"/>
      <c r="T89" s="559"/>
      <c r="U89" s="559"/>
      <c r="V89" s="559"/>
      <c r="W89" s="559"/>
      <c r="X89" s="559"/>
      <c r="Y89" s="559"/>
      <c r="Z89" s="559"/>
      <c r="AA89" s="559"/>
      <c r="AB89" s="559"/>
      <c r="AC89" s="559"/>
      <c r="AD89" s="559"/>
      <c r="AE89" s="559"/>
    </row>
    <row r="90" spans="1:31" ht="18" hidden="1" customHeight="1" x14ac:dyDescent="0.35">
      <c r="A90" s="559"/>
      <c r="B90" s="559" t="s">
        <v>310</v>
      </c>
      <c r="C90" s="559">
        <f>IF(VLOOKUP($C$33,A139:S142,18)+VLOOKUP($C$17,A147:S153,18)=2,C85-3,IF(VLOOKUP($C$33,A139:S142,19)+VLOOKUP($C$17,A147:S153,19)=2,C85,C85))</f>
        <v>0</v>
      </c>
      <c r="D90" s="559">
        <f>IF(VLOOKUP($C$33,A139:S142,18)+VLOOKUP($C$17,A147:S153,18)=2,D85,IF(VLOOKUP($C$33,A139:S142,19)+VLOOKUP($C$17,A147:S153,19)=2,D85-3,D85))</f>
        <v>0</v>
      </c>
      <c r="E90" s="559">
        <f>E85</f>
        <v>0</v>
      </c>
      <c r="F90" s="559"/>
      <c r="G90" s="559"/>
      <c r="H90" s="559"/>
      <c r="I90" s="559"/>
      <c r="J90" s="559"/>
      <c r="K90" s="559"/>
      <c r="L90" s="625"/>
      <c r="M90" s="625"/>
      <c r="N90" s="626"/>
      <c r="O90" s="625"/>
      <c r="P90" s="559"/>
      <c r="Q90" s="627">
        <f>IF(J90=0,0,J90*VLOOKUP(E90,'[1]Prix Matiere'!$A$4:$L$60,12))</f>
        <v>0</v>
      </c>
      <c r="R90" s="559"/>
      <c r="S90" s="559"/>
      <c r="T90" s="559"/>
      <c r="U90" s="559"/>
      <c r="V90" s="559"/>
      <c r="W90" s="559"/>
      <c r="X90" s="559"/>
      <c r="Y90" s="559"/>
      <c r="Z90" s="559"/>
      <c r="AA90" s="559"/>
      <c r="AB90" s="559"/>
      <c r="AC90" s="559"/>
      <c r="AD90" s="559"/>
      <c r="AE90" s="559"/>
    </row>
    <row r="91" spans="1:31" ht="18" hidden="1" customHeight="1" x14ac:dyDescent="0.35">
      <c r="A91" s="559"/>
      <c r="B91" s="559"/>
      <c r="C91" s="559"/>
      <c r="D91" s="559"/>
      <c r="E91" s="559"/>
      <c r="F91" s="559"/>
      <c r="G91" s="559"/>
      <c r="H91" s="559"/>
      <c r="I91" s="559"/>
      <c r="J91" s="559"/>
      <c r="K91" s="559"/>
      <c r="L91" s="625"/>
      <c r="M91" s="625"/>
      <c r="N91" s="626"/>
      <c r="O91" s="625"/>
      <c r="P91" s="559"/>
      <c r="Q91" s="627"/>
      <c r="R91" s="559"/>
      <c r="S91" s="559"/>
      <c r="T91" s="559"/>
      <c r="U91" s="559"/>
      <c r="V91" s="559"/>
      <c r="W91" s="559"/>
      <c r="X91" s="559"/>
      <c r="Y91" s="559"/>
      <c r="Z91" s="559"/>
      <c r="AA91" s="559"/>
      <c r="AB91" s="559"/>
      <c r="AC91" s="559"/>
      <c r="AD91" s="559"/>
      <c r="AE91" s="559"/>
    </row>
    <row r="92" spans="1:31" ht="18" hidden="1" customHeight="1" x14ac:dyDescent="0.35">
      <c r="A92" s="559"/>
      <c r="B92" s="559"/>
      <c r="C92" s="559"/>
      <c r="D92" s="559"/>
      <c r="E92" s="559"/>
      <c r="F92" s="559"/>
      <c r="G92" s="559"/>
      <c r="H92" s="559"/>
      <c r="I92" s="559"/>
      <c r="J92" s="559"/>
      <c r="K92" s="559"/>
      <c r="L92" s="625"/>
      <c r="M92" s="625"/>
      <c r="N92" s="626"/>
      <c r="O92" s="625"/>
      <c r="P92" s="559"/>
      <c r="Q92" s="627"/>
      <c r="R92" s="559"/>
      <c r="S92" s="559"/>
      <c r="T92" s="559"/>
      <c r="U92" s="559"/>
      <c r="V92" s="559"/>
      <c r="W92" s="559"/>
      <c r="X92" s="559"/>
      <c r="Y92" s="559"/>
      <c r="Z92" s="559"/>
      <c r="AA92" s="559"/>
      <c r="AB92" s="559"/>
      <c r="AC92" s="559"/>
      <c r="AD92" s="559"/>
      <c r="AE92" s="559"/>
    </row>
    <row r="93" spans="1:31" ht="18" hidden="1" customHeight="1" x14ac:dyDescent="0.35">
      <c r="A93" s="573" t="s">
        <v>70</v>
      </c>
      <c r="B93" s="559"/>
      <c r="C93" s="559"/>
      <c r="D93" s="559"/>
      <c r="E93" s="559"/>
      <c r="F93" s="559"/>
      <c r="G93" s="559"/>
      <c r="H93" s="559"/>
      <c r="I93" s="559"/>
      <c r="J93" s="559">
        <f>IF(C93=0,0,(C93/100)*(D93/100)*F93)</f>
        <v>0</v>
      </c>
      <c r="K93" s="559">
        <f>J93/0.8</f>
        <v>0</v>
      </c>
      <c r="L93" s="625"/>
      <c r="M93" s="625"/>
      <c r="N93" s="626"/>
      <c r="O93" s="625"/>
      <c r="P93" s="559"/>
      <c r="Q93" s="627">
        <f>IF(J93=0,0,J93*VLOOKUP(E93,'[1]Prix Matiere'!$A$4:$L$60,12))</f>
        <v>0</v>
      </c>
      <c r="R93" s="559"/>
      <c r="S93" s="559"/>
      <c r="T93" s="559"/>
      <c r="U93" s="559"/>
      <c r="V93" s="559"/>
      <c r="W93" s="559"/>
      <c r="X93" s="559"/>
      <c r="Y93" s="559"/>
      <c r="Z93" s="559"/>
      <c r="AA93" s="559"/>
      <c r="AB93" s="559"/>
      <c r="AC93" s="559"/>
      <c r="AD93" s="559"/>
      <c r="AE93" s="559"/>
    </row>
    <row r="94" spans="1:31" ht="18" hidden="1" customHeight="1" x14ac:dyDescent="0.35">
      <c r="A94" s="559"/>
      <c r="B94" s="559"/>
      <c r="C94" s="559"/>
      <c r="D94" s="559"/>
      <c r="E94" s="559"/>
      <c r="F94" s="559"/>
      <c r="G94" s="559"/>
      <c r="H94" s="559"/>
      <c r="I94" s="559"/>
      <c r="J94" s="559"/>
      <c r="K94" s="559"/>
      <c r="L94" s="625"/>
      <c r="M94" s="625"/>
      <c r="N94" s="626"/>
      <c r="O94" s="625"/>
      <c r="P94" s="559"/>
      <c r="Q94" s="627"/>
      <c r="R94" s="559"/>
      <c r="S94" s="559"/>
      <c r="T94" s="559"/>
      <c r="U94" s="559"/>
      <c r="V94" s="559"/>
      <c r="W94" s="559"/>
      <c r="X94" s="559"/>
      <c r="Y94" s="559"/>
      <c r="Z94" s="559"/>
      <c r="AA94" s="559"/>
      <c r="AB94" s="559"/>
      <c r="AC94" s="559"/>
      <c r="AD94" s="559"/>
      <c r="AE94" s="559"/>
    </row>
    <row r="95" spans="1:31" ht="18" hidden="1" customHeight="1" x14ac:dyDescent="0.35">
      <c r="A95" s="559"/>
      <c r="B95" s="587" t="s">
        <v>279</v>
      </c>
      <c r="C95" s="622"/>
      <c r="D95" s="630" t="s">
        <v>28</v>
      </c>
      <c r="E95" s="630" t="s">
        <v>33</v>
      </c>
      <c r="F95" s="631" t="s">
        <v>34</v>
      </c>
      <c r="G95" s="559"/>
      <c r="H95" s="559"/>
      <c r="I95" s="559"/>
      <c r="J95" s="559"/>
      <c r="K95" s="559"/>
      <c r="L95" s="625"/>
      <c r="M95" s="625"/>
      <c r="N95" s="626"/>
      <c r="O95" s="625"/>
      <c r="P95" s="559"/>
      <c r="Q95" s="627">
        <v>0</v>
      </c>
      <c r="R95" s="559"/>
      <c r="S95" s="559"/>
      <c r="T95" s="559"/>
      <c r="U95" s="559"/>
      <c r="V95" s="559"/>
      <c r="W95" s="559"/>
      <c r="X95" s="559"/>
      <c r="Y95" s="559"/>
      <c r="Z95" s="559"/>
      <c r="AA95" s="559"/>
      <c r="AB95" s="559"/>
      <c r="AC95" s="559"/>
      <c r="AD95" s="559"/>
      <c r="AE95" s="559"/>
    </row>
    <row r="96" spans="1:31" ht="18" hidden="1" customHeight="1" x14ac:dyDescent="0.35">
      <c r="A96" s="559"/>
      <c r="B96" s="810" t="str">
        <f>C26</f>
        <v>Aucun</v>
      </c>
      <c r="C96" s="584"/>
      <c r="D96" s="631"/>
      <c r="E96" s="631"/>
      <c r="F96" s="631"/>
      <c r="G96" s="559">
        <f>IF(C96=0,0,"Barres 21 R4F")</f>
        <v>0</v>
      </c>
      <c r="H96" s="559"/>
      <c r="I96" s="559"/>
      <c r="J96" s="559"/>
      <c r="K96" s="559"/>
      <c r="L96" s="625"/>
      <c r="M96" s="625"/>
      <c r="N96" s="626"/>
      <c r="O96" s="625"/>
      <c r="P96" s="559"/>
      <c r="Q96" s="627">
        <v>0</v>
      </c>
      <c r="R96" s="559"/>
      <c r="S96" s="559"/>
      <c r="T96" s="559"/>
      <c r="U96" s="559"/>
      <c r="V96" s="559"/>
      <c r="W96" s="559"/>
      <c r="X96" s="559"/>
      <c r="Y96" s="559"/>
      <c r="Z96" s="559"/>
      <c r="AA96" s="559"/>
      <c r="AB96" s="559"/>
      <c r="AC96" s="559"/>
      <c r="AD96" s="559"/>
      <c r="AE96" s="559"/>
    </row>
    <row r="97" spans="1:31" ht="18" hidden="1" customHeight="1" x14ac:dyDescent="0.35">
      <c r="A97" s="559"/>
      <c r="B97" s="685">
        <f>VLOOKUP($B$96,A139:G142,5)</f>
        <v>0</v>
      </c>
      <c r="C97" s="571">
        <f>IF(VLOOKUP(B96,A139:F142,6)=1,"défonçage 102 x 72 mm",IF(VLOOKUP(B96,A139:F142,6)=2,F24,0))</f>
        <v>0</v>
      </c>
      <c r="D97" s="631">
        <f>IF(B96="Aucun",0,D28)</f>
        <v>0</v>
      </c>
      <c r="E97" s="631">
        <f>IF(B96="Aucun",0,Tapisserie!Dimensions_intérieures_CP_15_hauteur)</f>
        <v>0</v>
      </c>
      <c r="F97" s="631">
        <f>IF(B96="Aucun",0,2)</f>
        <v>0</v>
      </c>
      <c r="G97" s="559">
        <f>IF(B97=0,0,B97)</f>
        <v>0</v>
      </c>
      <c r="H97" s="559"/>
      <c r="I97" s="559"/>
      <c r="J97" s="559">
        <f t="shared" ref="J97:J99" si="40">IF(D97=0,0,(D97/100)*(E97/100)*F97)</f>
        <v>0</v>
      </c>
      <c r="K97" s="559">
        <f t="shared" ref="K97:K102" si="41">J97/0.8</f>
        <v>0</v>
      </c>
      <c r="L97" s="625">
        <v>0</v>
      </c>
      <c r="M97" s="625">
        <f t="shared" ref="M97:M101" si="42">L97*K97</f>
        <v>0</v>
      </c>
      <c r="N97" s="626">
        <f>IF(J97=0,0,(6.0924*J97)+10)</f>
        <v>0</v>
      </c>
      <c r="O97" s="625">
        <f t="shared" ref="O97:O101" si="43">N97*Tapisserie!MinuteMO</f>
        <v>0</v>
      </c>
      <c r="P97" s="559"/>
      <c r="Q97" s="627">
        <v>0</v>
      </c>
      <c r="R97" s="559"/>
      <c r="S97" s="559"/>
      <c r="T97" s="559"/>
      <c r="U97" s="559"/>
      <c r="V97" s="559"/>
      <c r="W97" s="559"/>
      <c r="X97" s="559"/>
      <c r="Y97" s="559"/>
      <c r="Z97" s="559"/>
      <c r="AA97" s="559"/>
      <c r="AB97" s="559"/>
      <c r="AC97" s="559"/>
      <c r="AD97" s="559"/>
      <c r="AE97" s="559"/>
    </row>
    <row r="98" spans="1:31" ht="18" hidden="1" customHeight="1" x14ac:dyDescent="0.35">
      <c r="A98" s="559"/>
      <c r="B98" s="622">
        <f>IF(B96="Aucun",0,"Tasseaux")</f>
        <v>0</v>
      </c>
      <c r="C98" s="685"/>
      <c r="D98" s="631">
        <f>IF(B96="Aucun",0,Tapisserie!Dimensions_intérieures_CP_15_hauteur)</f>
        <v>0</v>
      </c>
      <c r="E98" s="631">
        <f>IF(B96="Aucun",0,7)</f>
        <v>0</v>
      </c>
      <c r="F98" s="631">
        <f>IF(B96="Aucun",0,8)</f>
        <v>0</v>
      </c>
      <c r="G98" s="559">
        <f>IF(C26="Aucun",0,"Barres 21 R4F")</f>
        <v>0</v>
      </c>
      <c r="H98" s="559"/>
      <c r="I98" s="559"/>
      <c r="J98" s="559">
        <f t="shared" si="40"/>
        <v>0</v>
      </c>
      <c r="K98" s="559">
        <f t="shared" si="41"/>
        <v>0</v>
      </c>
      <c r="L98" s="625">
        <v>0</v>
      </c>
      <c r="M98" s="625">
        <f t="shared" si="42"/>
        <v>0</v>
      </c>
      <c r="N98" s="626">
        <f>IF(J98=0,0,2+(6*J98))</f>
        <v>0</v>
      </c>
      <c r="O98" s="625">
        <f t="shared" si="43"/>
        <v>0</v>
      </c>
      <c r="P98" s="559"/>
      <c r="Q98" s="627">
        <v>0</v>
      </c>
      <c r="R98" s="559"/>
      <c r="S98" s="559"/>
      <c r="T98" s="559"/>
      <c r="U98" s="559"/>
      <c r="V98" s="559"/>
      <c r="W98" s="559"/>
      <c r="X98" s="559"/>
      <c r="Y98" s="559"/>
      <c r="Z98" s="559"/>
      <c r="AA98" s="559"/>
      <c r="AB98" s="559"/>
      <c r="AC98" s="559"/>
      <c r="AD98" s="559"/>
      <c r="AE98" s="559"/>
    </row>
    <row r="99" spans="1:31" ht="18" hidden="1" customHeight="1" x14ac:dyDescent="0.35">
      <c r="A99" s="559"/>
      <c r="B99" s="622">
        <f>IF(B96="Aucun",0,"Flasques")</f>
        <v>0</v>
      </c>
      <c r="C99" s="685">
        <f>C97</f>
        <v>0</v>
      </c>
      <c r="D99" s="631">
        <f>IF(B96="Aucun",0,F24)</f>
        <v>0</v>
      </c>
      <c r="E99" s="631">
        <f>D99</f>
        <v>0</v>
      </c>
      <c r="F99" s="631">
        <f>VLOOKUP(B96,A139:G142,7)</f>
        <v>0</v>
      </c>
      <c r="G99" s="559">
        <f>IF(D99=0,0,"Peuplier 15 mm")</f>
        <v>0</v>
      </c>
      <c r="H99" s="559"/>
      <c r="I99" s="559"/>
      <c r="J99" s="559">
        <f t="shared" si="40"/>
        <v>0</v>
      </c>
      <c r="K99" s="559">
        <f t="shared" si="41"/>
        <v>0</v>
      </c>
      <c r="L99" s="625">
        <v>0</v>
      </c>
      <c r="M99" s="625">
        <f t="shared" si="42"/>
        <v>0</v>
      </c>
      <c r="N99" s="626">
        <f t="shared" ref="N99:N100" si="44">IF(J99=0,0,(6.0924*J99)+10)</f>
        <v>0</v>
      </c>
      <c r="O99" s="625">
        <f t="shared" si="43"/>
        <v>0</v>
      </c>
      <c r="P99" s="559"/>
      <c r="Q99" s="627">
        <v>0</v>
      </c>
      <c r="R99" s="559"/>
      <c r="S99" s="559"/>
      <c r="T99" s="559"/>
      <c r="U99" s="559"/>
      <c r="V99" s="559"/>
      <c r="W99" s="559"/>
      <c r="X99" s="559"/>
      <c r="Y99" s="559"/>
      <c r="Z99" s="559"/>
      <c r="AA99" s="559"/>
      <c r="AB99" s="559"/>
      <c r="AC99" s="559"/>
      <c r="AD99" s="559"/>
      <c r="AE99" s="559"/>
    </row>
    <row r="100" spans="1:31" ht="18" hidden="1" customHeight="1" x14ac:dyDescent="0.35">
      <c r="A100" s="559"/>
      <c r="B100" s="622" t="s">
        <v>457</v>
      </c>
      <c r="C100" s="685">
        <f>IF(VLOOKUP(B96,$A$139:$F$142,6)=1,"Semelles R4F",0)</f>
        <v>0</v>
      </c>
      <c r="D100" s="631">
        <f>IF(C100="Semelles R4F",C24+20,0)</f>
        <v>0</v>
      </c>
      <c r="E100" s="631"/>
      <c r="F100" s="631"/>
      <c r="G100" s="559">
        <f>IF(D100=0,0,"Semelles R4F")</f>
        <v>0</v>
      </c>
      <c r="H100" s="559"/>
      <c r="I100" s="559"/>
      <c r="J100" s="559">
        <f>(D100/100)*0.1</f>
        <v>0</v>
      </c>
      <c r="K100" s="559">
        <f t="shared" si="41"/>
        <v>0</v>
      </c>
      <c r="L100" s="625">
        <v>0</v>
      </c>
      <c r="M100" s="625">
        <f t="shared" si="42"/>
        <v>0</v>
      </c>
      <c r="N100" s="626">
        <f t="shared" si="44"/>
        <v>0</v>
      </c>
      <c r="O100" s="625">
        <f t="shared" si="43"/>
        <v>0</v>
      </c>
      <c r="P100" s="559"/>
      <c r="Q100" s="627">
        <v>0</v>
      </c>
      <c r="R100" s="559"/>
      <c r="S100" s="559"/>
      <c r="T100" s="559"/>
      <c r="U100" s="559"/>
      <c r="V100" s="559"/>
      <c r="W100" s="559"/>
      <c r="X100" s="559"/>
      <c r="Y100" s="559"/>
      <c r="Z100" s="559"/>
      <c r="AA100" s="559"/>
      <c r="AB100" s="559"/>
      <c r="AC100" s="559"/>
      <c r="AD100" s="559"/>
      <c r="AE100" s="559"/>
    </row>
    <row r="101" spans="1:31" ht="18" hidden="1" customHeight="1" x14ac:dyDescent="0.35">
      <c r="A101" s="559"/>
      <c r="B101" s="622" t="s">
        <v>458</v>
      </c>
      <c r="C101" s="685">
        <f>F24</f>
        <v>30</v>
      </c>
      <c r="D101" s="631">
        <f>IF(F26="Oui",0,C24)</f>
        <v>0</v>
      </c>
      <c r="E101" s="631">
        <f>C101</f>
        <v>30</v>
      </c>
      <c r="F101" s="631">
        <v>1</v>
      </c>
      <c r="G101" s="559">
        <f t="shared" ref="G101:G103" si="45">C101</f>
        <v>30</v>
      </c>
      <c r="H101" s="559"/>
      <c r="I101" s="559"/>
      <c r="J101" s="559">
        <f>IF(D101=0,0,D101/100)</f>
        <v>0</v>
      </c>
      <c r="K101" s="559">
        <f t="shared" si="41"/>
        <v>0</v>
      </c>
      <c r="L101" s="625">
        <f>VLOOKUP(C101,$A$210:$B$213,2)</f>
        <v>21.61</v>
      </c>
      <c r="M101" s="625">
        <f t="shared" si="42"/>
        <v>0</v>
      </c>
      <c r="N101" s="626">
        <f>IF(J101=0,0,2+(11*J101))</f>
        <v>0</v>
      </c>
      <c r="O101" s="625">
        <f t="shared" si="43"/>
        <v>0</v>
      </c>
      <c r="P101" s="559"/>
      <c r="Q101" s="627"/>
      <c r="R101" s="559"/>
      <c r="S101" s="559"/>
      <c r="T101" s="559"/>
      <c r="U101" s="559"/>
      <c r="V101" s="559"/>
      <c r="W101" s="559"/>
      <c r="X101" s="559"/>
      <c r="Y101" s="559"/>
      <c r="Z101" s="559"/>
      <c r="AA101" s="559"/>
      <c r="AB101" s="559"/>
      <c r="AC101" s="559"/>
      <c r="AD101" s="559"/>
      <c r="AE101" s="559"/>
    </row>
    <row r="102" spans="1:31" ht="18" hidden="1" customHeight="1" x14ac:dyDescent="0.35">
      <c r="A102" s="559"/>
      <c r="B102" s="622"/>
      <c r="C102" s="584"/>
      <c r="D102" s="631"/>
      <c r="E102" s="631"/>
      <c r="F102" s="631"/>
      <c r="G102" s="559">
        <f t="shared" si="45"/>
        <v>0</v>
      </c>
      <c r="H102" s="559"/>
      <c r="I102" s="559"/>
      <c r="J102" s="559">
        <f>IF(D102=0,0,(D102/100)*(E102/100)*F102)</f>
        <v>0</v>
      </c>
      <c r="K102" s="559">
        <f t="shared" si="41"/>
        <v>0</v>
      </c>
      <c r="L102" s="625"/>
      <c r="M102" s="625"/>
      <c r="N102" s="626"/>
      <c r="O102" s="625"/>
      <c r="P102" s="559"/>
      <c r="Q102" s="627">
        <v>0</v>
      </c>
      <c r="R102" s="559"/>
      <c r="S102" s="559"/>
      <c r="T102" s="559"/>
      <c r="U102" s="559"/>
      <c r="V102" s="559"/>
      <c r="W102" s="559"/>
      <c r="X102" s="559"/>
      <c r="Y102" s="559"/>
      <c r="Z102" s="559"/>
      <c r="AA102" s="559"/>
      <c r="AB102" s="559"/>
      <c r="AC102" s="559"/>
      <c r="AD102" s="559"/>
      <c r="AE102" s="559"/>
    </row>
    <row r="103" spans="1:31" ht="18" hidden="1" customHeight="1" x14ac:dyDescent="0.35">
      <c r="A103" s="559"/>
      <c r="B103" s="811" t="s">
        <v>280</v>
      </c>
      <c r="C103" s="584"/>
      <c r="D103" s="631"/>
      <c r="E103" s="631"/>
      <c r="F103" s="631"/>
      <c r="G103" s="559">
        <f t="shared" si="45"/>
        <v>0</v>
      </c>
      <c r="H103" s="559"/>
      <c r="I103" s="559"/>
      <c r="J103" s="559"/>
      <c r="K103" s="559"/>
      <c r="L103" s="625"/>
      <c r="M103" s="625"/>
      <c r="N103" s="626"/>
      <c r="O103" s="625"/>
      <c r="P103" s="559"/>
      <c r="Q103" s="627">
        <v>0</v>
      </c>
      <c r="R103" s="559"/>
      <c r="S103" s="559"/>
      <c r="T103" s="559"/>
      <c r="U103" s="559"/>
      <c r="V103" s="559"/>
      <c r="W103" s="559"/>
      <c r="X103" s="559"/>
      <c r="Y103" s="559"/>
      <c r="Z103" s="559"/>
      <c r="AA103" s="559"/>
      <c r="AB103" s="559"/>
      <c r="AC103" s="559"/>
      <c r="AD103" s="559"/>
      <c r="AE103" s="559"/>
    </row>
    <row r="104" spans="1:31" ht="18" hidden="1" customHeight="1" x14ac:dyDescent="0.35">
      <c r="A104" s="559"/>
      <c r="B104" s="723" t="str">
        <f>C33</f>
        <v>Aucun</v>
      </c>
      <c r="C104" s="584"/>
      <c r="D104" s="631"/>
      <c r="E104" s="631"/>
      <c r="F104" s="631"/>
      <c r="G104" s="559"/>
      <c r="H104" s="559"/>
      <c r="I104" s="559"/>
      <c r="J104" s="559"/>
      <c r="K104" s="559"/>
      <c r="L104" s="625"/>
      <c r="M104" s="625"/>
      <c r="N104" s="626"/>
      <c r="O104" s="625"/>
      <c r="P104" s="559"/>
      <c r="Q104" s="627">
        <v>0</v>
      </c>
      <c r="R104" s="559"/>
      <c r="S104" s="559"/>
      <c r="T104" s="559"/>
      <c r="U104" s="559"/>
      <c r="V104" s="559"/>
      <c r="W104" s="559"/>
      <c r="X104" s="559"/>
      <c r="Y104" s="559"/>
      <c r="Z104" s="559"/>
      <c r="AA104" s="559"/>
      <c r="AB104" s="559"/>
      <c r="AC104" s="559"/>
      <c r="AD104" s="559"/>
      <c r="AE104" s="559"/>
    </row>
    <row r="105" spans="1:31" ht="18" hidden="1" customHeight="1" x14ac:dyDescent="0.35">
      <c r="A105" s="559"/>
      <c r="B105" s="685">
        <f>VLOOKUP($B$104,A139:G142,5)</f>
        <v>0</v>
      </c>
      <c r="C105" s="571">
        <f>IF(VLOOKUP(B104,A139:G142,6)=1,"défonçage 102 x 72 mm",IF(VLOOKUP(B104,A139:F142,6)=2,F31,0))</f>
        <v>0</v>
      </c>
      <c r="D105" s="631">
        <f>IF(B104="Aucun",0,D35)</f>
        <v>0</v>
      </c>
      <c r="E105" s="631">
        <f>IF($B$104="Aucun",0,Tapisserie!Dimensions_intérieures_CP_15_hauteur)</f>
        <v>0</v>
      </c>
      <c r="F105" s="631">
        <f>IF($B$104="Aucun",0,2)</f>
        <v>0</v>
      </c>
      <c r="G105" s="559">
        <f>IF(B105=0,0,B105)</f>
        <v>0</v>
      </c>
      <c r="H105" s="559"/>
      <c r="I105" s="559"/>
      <c r="J105" s="559">
        <f t="shared" ref="J105:J107" si="46">IF(D105=0,0,(D105/100)*(E105/100)*F105)</f>
        <v>0</v>
      </c>
      <c r="K105" s="559">
        <f t="shared" ref="K105:K109" si="47">J105/0.8</f>
        <v>0</v>
      </c>
      <c r="L105" s="625">
        <v>0</v>
      </c>
      <c r="M105" s="625">
        <f t="shared" ref="M105:M109" si="48">L105*K105</f>
        <v>0</v>
      </c>
      <c r="N105" s="626">
        <f>IF(J105=0,0,(6.0924*J105)+10)</f>
        <v>0</v>
      </c>
      <c r="O105" s="625">
        <f t="shared" ref="O105:O109" si="49">N105*Tapisserie!MinuteMO</f>
        <v>0</v>
      </c>
      <c r="P105" s="559"/>
      <c r="Q105" s="627">
        <v>0</v>
      </c>
      <c r="R105" s="559"/>
      <c r="S105" s="559"/>
      <c r="T105" s="559"/>
      <c r="U105" s="559"/>
      <c r="V105" s="559"/>
      <c r="W105" s="559"/>
      <c r="X105" s="559"/>
      <c r="Y105" s="559"/>
      <c r="Z105" s="559"/>
      <c r="AA105" s="559"/>
      <c r="AB105" s="559"/>
      <c r="AC105" s="559"/>
      <c r="AD105" s="559"/>
      <c r="AE105" s="559"/>
    </row>
    <row r="106" spans="1:31" ht="18" hidden="1" customHeight="1" x14ac:dyDescent="0.35">
      <c r="A106" s="559"/>
      <c r="B106" s="622">
        <f>IF(B104="Aucun",0,"Tasseaux")</f>
        <v>0</v>
      </c>
      <c r="C106" s="685"/>
      <c r="D106" s="631">
        <f>IF(B104="Aucun",0,Tapisserie!Dimensions_intérieures_CP_15_hauteur)</f>
        <v>0</v>
      </c>
      <c r="E106" s="631">
        <f>IF($B$104="Aucun",0,7)</f>
        <v>0</v>
      </c>
      <c r="F106" s="631">
        <f>IF($B$104="Aucun",0,8)</f>
        <v>0</v>
      </c>
      <c r="G106" s="559">
        <f>IF(C33="Aucun",0,"Barres 21 R4F")</f>
        <v>0</v>
      </c>
      <c r="H106" s="559"/>
      <c r="I106" s="559"/>
      <c r="J106" s="559">
        <f t="shared" si="46"/>
        <v>0</v>
      </c>
      <c r="K106" s="559">
        <f t="shared" si="47"/>
        <v>0</v>
      </c>
      <c r="L106" s="625">
        <v>0</v>
      </c>
      <c r="M106" s="625">
        <f t="shared" si="48"/>
        <v>0</v>
      </c>
      <c r="N106" s="626">
        <f>IF(J106=0,0,2+(6*J106))</f>
        <v>0</v>
      </c>
      <c r="O106" s="625">
        <f t="shared" si="49"/>
        <v>0</v>
      </c>
      <c r="P106" s="559"/>
      <c r="Q106" s="627">
        <v>0</v>
      </c>
      <c r="R106" s="559"/>
      <c r="S106" s="559"/>
      <c r="T106" s="559"/>
      <c r="U106" s="559"/>
      <c r="V106" s="559"/>
      <c r="W106" s="559"/>
      <c r="X106" s="559"/>
      <c r="Y106" s="559"/>
      <c r="Z106" s="559"/>
      <c r="AA106" s="559"/>
      <c r="AB106" s="559"/>
      <c r="AC106" s="559"/>
      <c r="AD106" s="559"/>
      <c r="AE106" s="559"/>
    </row>
    <row r="107" spans="1:31" ht="18" hidden="1" customHeight="1" x14ac:dyDescent="0.35">
      <c r="A107" s="559"/>
      <c r="B107" s="622">
        <f>IF(B104="Aucun",0,"Flasques")</f>
        <v>0</v>
      </c>
      <c r="C107" s="685">
        <f>C105</f>
        <v>0</v>
      </c>
      <c r="D107" s="631">
        <f>IF(B104="Aucun",0,IF(F31="Ø 32",42,26))</f>
        <v>0</v>
      </c>
      <c r="E107" s="631">
        <f>D107</f>
        <v>0</v>
      </c>
      <c r="F107" s="631">
        <f>VLOOKUP($B$104,$A$139:$G$142,7)</f>
        <v>0</v>
      </c>
      <c r="G107" s="559">
        <f>IF(D107=0,0,"Peuplier 15 mm")</f>
        <v>0</v>
      </c>
      <c r="H107" s="559"/>
      <c r="I107" s="559"/>
      <c r="J107" s="559">
        <f t="shared" si="46"/>
        <v>0</v>
      </c>
      <c r="K107" s="559">
        <f t="shared" si="47"/>
        <v>0</v>
      </c>
      <c r="L107" s="625">
        <v>0</v>
      </c>
      <c r="M107" s="625">
        <f t="shared" si="48"/>
        <v>0</v>
      </c>
      <c r="N107" s="626">
        <f t="shared" ref="N107:N108" si="50">IF(J107=0,0,(6.0924*J107)+10)</f>
        <v>0</v>
      </c>
      <c r="O107" s="625">
        <f t="shared" si="49"/>
        <v>0</v>
      </c>
      <c r="P107" s="559"/>
      <c r="Q107" s="627">
        <v>0</v>
      </c>
      <c r="R107" s="559"/>
      <c r="S107" s="559"/>
      <c r="T107" s="559"/>
      <c r="U107" s="559"/>
      <c r="V107" s="559"/>
      <c r="W107" s="559"/>
      <c r="X107" s="559"/>
      <c r="Y107" s="559"/>
      <c r="Z107" s="559"/>
      <c r="AA107" s="559"/>
      <c r="AB107" s="559"/>
      <c r="AC107" s="559"/>
      <c r="AD107" s="559"/>
      <c r="AE107" s="559"/>
    </row>
    <row r="108" spans="1:31" ht="18" hidden="1" customHeight="1" x14ac:dyDescent="0.35">
      <c r="A108" s="559"/>
      <c r="B108" s="622" t="s">
        <v>457</v>
      </c>
      <c r="C108" s="685">
        <f>IF(VLOOKUP(B104,$A$139:$F$142,6)=1,"Semelles R4F",0)</f>
        <v>0</v>
      </c>
      <c r="D108" s="631">
        <f>IF(C108="Semelles R4F",C31+20,0)</f>
        <v>0</v>
      </c>
      <c r="E108" s="631"/>
      <c r="F108" s="631"/>
      <c r="G108" s="559">
        <f>IF(D108=0,0,"Semelles R4F")</f>
        <v>0</v>
      </c>
      <c r="H108" s="559"/>
      <c r="I108" s="559"/>
      <c r="J108" s="559">
        <f>(D108/100)*0.1</f>
        <v>0</v>
      </c>
      <c r="K108" s="559">
        <f t="shared" si="47"/>
        <v>0</v>
      </c>
      <c r="L108" s="625">
        <v>0</v>
      </c>
      <c r="M108" s="625">
        <f t="shared" si="48"/>
        <v>0</v>
      </c>
      <c r="N108" s="626">
        <f t="shared" si="50"/>
        <v>0</v>
      </c>
      <c r="O108" s="625">
        <f t="shared" si="49"/>
        <v>0</v>
      </c>
      <c r="P108" s="559"/>
      <c r="Q108" s="627">
        <v>0</v>
      </c>
      <c r="R108" s="559"/>
      <c r="S108" s="559"/>
      <c r="T108" s="559"/>
      <c r="U108" s="559"/>
      <c r="V108" s="559"/>
      <c r="W108" s="559"/>
      <c r="X108" s="559"/>
      <c r="Y108" s="559"/>
      <c r="Z108" s="559"/>
      <c r="AA108" s="559"/>
      <c r="AB108" s="559"/>
      <c r="AC108" s="559"/>
      <c r="AD108" s="559"/>
      <c r="AE108" s="559"/>
    </row>
    <row r="109" spans="1:31" ht="18" hidden="1" customHeight="1" x14ac:dyDescent="0.35">
      <c r="A109" s="559"/>
      <c r="B109" s="622" t="s">
        <v>458</v>
      </c>
      <c r="C109" s="685">
        <f>F31</f>
        <v>30</v>
      </c>
      <c r="D109" s="631">
        <f>IF(F33="Oui",0,C31)</f>
        <v>0</v>
      </c>
      <c r="E109" s="631">
        <f>C109</f>
        <v>30</v>
      </c>
      <c r="F109" s="631">
        <v>1</v>
      </c>
      <c r="G109" s="559">
        <f>C109</f>
        <v>30</v>
      </c>
      <c r="H109" s="559"/>
      <c r="I109" s="559"/>
      <c r="J109" s="559">
        <f>IF(D109=0,0,D109/100)</f>
        <v>0</v>
      </c>
      <c r="K109" s="559">
        <f t="shared" si="47"/>
        <v>0</v>
      </c>
      <c r="L109" s="625">
        <f>VLOOKUP(C109,$A$210:$B$213,2)</f>
        <v>21.61</v>
      </c>
      <c r="M109" s="625">
        <f t="shared" si="48"/>
        <v>0</v>
      </c>
      <c r="N109" s="626">
        <f>IF(J109=0,0,2+(11*J109))</f>
        <v>0</v>
      </c>
      <c r="O109" s="625">
        <f t="shared" si="49"/>
        <v>0</v>
      </c>
      <c r="P109" s="559"/>
      <c r="Q109" s="627"/>
      <c r="R109" s="559"/>
      <c r="S109" s="559"/>
      <c r="T109" s="559"/>
      <c r="U109" s="559"/>
      <c r="V109" s="559"/>
      <c r="W109" s="559"/>
      <c r="X109" s="559"/>
      <c r="Y109" s="559"/>
      <c r="Z109" s="559"/>
      <c r="AA109" s="559"/>
      <c r="AB109" s="559"/>
      <c r="AC109" s="559"/>
      <c r="AD109" s="559"/>
      <c r="AE109" s="559"/>
    </row>
    <row r="110" spans="1:31" ht="18" hidden="1" customHeight="1" x14ac:dyDescent="0.35">
      <c r="A110" s="559"/>
      <c r="B110" s="685"/>
      <c r="C110" s="584"/>
      <c r="D110" s="630"/>
      <c r="E110" s="630"/>
      <c r="F110" s="631"/>
      <c r="G110" s="559"/>
      <c r="H110" s="559"/>
      <c r="I110" s="559"/>
      <c r="J110" s="559"/>
      <c r="K110" s="559"/>
      <c r="L110" s="625"/>
      <c r="M110" s="625"/>
      <c r="N110" s="626"/>
      <c r="O110" s="625"/>
      <c r="P110" s="559"/>
      <c r="Q110" s="627">
        <f>IF(J110=0,0,J110*VLOOKUP(G110,'[1]Prix Matiere'!$A$4:$L$60,12))</f>
        <v>0</v>
      </c>
      <c r="R110" s="559"/>
      <c r="S110" s="559"/>
      <c r="T110" s="559"/>
      <c r="U110" s="559"/>
      <c r="V110" s="559"/>
      <c r="W110" s="559"/>
      <c r="X110" s="559"/>
      <c r="Y110" s="559"/>
      <c r="Z110" s="559"/>
      <c r="AA110" s="559"/>
      <c r="AB110" s="559"/>
      <c r="AC110" s="559"/>
      <c r="AD110" s="559"/>
      <c r="AE110" s="559"/>
    </row>
    <row r="111" spans="1:31" ht="18" hidden="1" customHeight="1" x14ac:dyDescent="0.35">
      <c r="A111" s="559"/>
      <c r="B111" s="559"/>
      <c r="C111" s="632"/>
      <c r="D111" s="632"/>
      <c r="E111" s="632"/>
      <c r="F111" s="559"/>
      <c r="G111" s="559"/>
      <c r="H111" s="559"/>
      <c r="I111" s="559"/>
      <c r="J111" s="559"/>
      <c r="K111" s="559"/>
      <c r="L111" s="625"/>
      <c r="M111" s="625"/>
      <c r="N111" s="626"/>
      <c r="O111" s="625"/>
      <c r="P111" s="559"/>
      <c r="Q111" s="559"/>
      <c r="R111" s="559"/>
      <c r="S111" s="559"/>
      <c r="T111" s="559"/>
      <c r="U111" s="559"/>
      <c r="V111" s="559"/>
      <c r="W111" s="559"/>
      <c r="X111" s="559"/>
      <c r="Y111" s="559"/>
      <c r="Z111" s="559"/>
      <c r="AA111" s="559"/>
      <c r="AB111" s="559"/>
      <c r="AC111" s="559"/>
      <c r="AD111" s="559"/>
      <c r="AE111" s="559"/>
    </row>
    <row r="112" spans="1:31" ht="18" hidden="1" customHeight="1" x14ac:dyDescent="0.35">
      <c r="A112" s="559"/>
      <c r="B112" s="559"/>
      <c r="C112" s="632"/>
      <c r="D112" s="632"/>
      <c r="E112" s="632"/>
      <c r="F112" s="559"/>
      <c r="G112" s="559"/>
      <c r="H112" s="559"/>
      <c r="I112" s="559"/>
      <c r="J112" s="559"/>
      <c r="K112" s="559"/>
      <c r="L112" s="625"/>
      <c r="M112" s="625"/>
      <c r="N112" s="626"/>
      <c r="O112" s="625"/>
      <c r="P112" s="559"/>
      <c r="Q112" s="559"/>
      <c r="R112" s="559"/>
      <c r="S112" s="559"/>
      <c r="T112" s="559"/>
      <c r="U112" s="559"/>
      <c r="V112" s="559"/>
      <c r="W112" s="559"/>
      <c r="X112" s="559"/>
      <c r="Y112" s="559"/>
      <c r="Z112" s="559"/>
      <c r="AA112" s="559"/>
      <c r="AB112" s="559"/>
      <c r="AC112" s="559"/>
      <c r="AD112" s="559"/>
      <c r="AE112" s="559"/>
    </row>
    <row r="113" spans="1:31" ht="18" hidden="1" customHeight="1" x14ac:dyDescent="0.35">
      <c r="A113" s="559"/>
      <c r="B113" s="559"/>
      <c r="C113" s="632"/>
      <c r="D113" s="632"/>
      <c r="E113" s="632"/>
      <c r="F113" s="559"/>
      <c r="G113" s="559"/>
      <c r="H113" s="559"/>
      <c r="I113" s="559"/>
      <c r="J113" s="559"/>
      <c r="K113" s="559"/>
      <c r="L113" s="625"/>
      <c r="M113" s="625"/>
      <c r="N113" s="626"/>
      <c r="O113" s="625"/>
      <c r="P113" s="559"/>
      <c r="Q113" s="559"/>
      <c r="R113" s="559"/>
      <c r="S113" s="559"/>
      <c r="T113" s="559"/>
      <c r="U113" s="559"/>
      <c r="V113" s="559"/>
      <c r="W113" s="559"/>
      <c r="X113" s="559"/>
      <c r="Y113" s="559"/>
      <c r="Z113" s="559"/>
      <c r="AA113" s="559"/>
      <c r="AB113" s="559"/>
      <c r="AC113" s="559"/>
      <c r="AD113" s="559"/>
      <c r="AE113" s="559"/>
    </row>
    <row r="114" spans="1:31" ht="18" hidden="1" customHeight="1" x14ac:dyDescent="0.35">
      <c r="A114" s="559"/>
      <c r="B114" s="559"/>
      <c r="C114" s="632"/>
      <c r="D114" s="632"/>
      <c r="E114" s="632"/>
      <c r="F114" s="559"/>
      <c r="G114" s="559"/>
      <c r="H114" s="559"/>
      <c r="I114" s="559"/>
      <c r="J114" s="559"/>
      <c r="K114" s="559"/>
      <c r="L114" s="625"/>
      <c r="M114" s="625"/>
      <c r="N114" s="626"/>
      <c r="O114" s="625"/>
      <c r="P114" s="559"/>
      <c r="Q114" s="559"/>
      <c r="R114" s="559"/>
      <c r="S114" s="559"/>
      <c r="T114" s="559"/>
      <c r="U114" s="559"/>
      <c r="V114" s="559"/>
      <c r="W114" s="559"/>
      <c r="X114" s="559"/>
      <c r="Y114" s="559"/>
      <c r="Z114" s="559"/>
      <c r="AA114" s="559"/>
      <c r="AB114" s="559"/>
      <c r="AC114" s="559"/>
      <c r="AD114" s="559"/>
      <c r="AE114" s="559"/>
    </row>
    <row r="115" spans="1:31" ht="18" hidden="1" customHeight="1" x14ac:dyDescent="0.35">
      <c r="A115" s="559"/>
      <c r="B115" s="559"/>
      <c r="C115" s="632"/>
      <c r="D115" s="632"/>
      <c r="E115" s="632"/>
      <c r="F115" s="559"/>
      <c r="G115" s="559"/>
      <c r="H115" s="559"/>
      <c r="I115" s="559"/>
      <c r="J115" s="559"/>
      <c r="K115" s="559"/>
      <c r="L115" s="625"/>
      <c r="M115" s="625"/>
      <c r="N115" s="626"/>
      <c r="O115" s="625"/>
      <c r="P115" s="559"/>
      <c r="Q115" s="559"/>
      <c r="R115" s="559"/>
      <c r="S115" s="559"/>
      <c r="T115" s="559"/>
      <c r="U115" s="559"/>
      <c r="V115" s="559"/>
      <c r="W115" s="559"/>
      <c r="X115" s="559"/>
      <c r="Y115" s="559"/>
      <c r="Z115" s="559"/>
      <c r="AA115" s="559"/>
      <c r="AB115" s="559"/>
      <c r="AC115" s="559"/>
      <c r="AD115" s="559"/>
      <c r="AE115" s="559"/>
    </row>
    <row r="116" spans="1:31" ht="18" hidden="1" customHeight="1" x14ac:dyDescent="0.35">
      <c r="A116" s="559"/>
      <c r="B116" s="559"/>
      <c r="C116" s="632"/>
      <c r="D116" s="632"/>
      <c r="E116" s="632"/>
      <c r="F116" s="632"/>
      <c r="G116" s="559"/>
      <c r="H116" s="559"/>
      <c r="I116" s="559"/>
      <c r="J116" s="559"/>
      <c r="K116" s="559"/>
      <c r="L116" s="625"/>
      <c r="M116" s="625"/>
      <c r="N116" s="626"/>
      <c r="O116" s="625"/>
      <c r="P116" s="559"/>
      <c r="Q116" s="559"/>
      <c r="R116" s="559"/>
      <c r="S116" s="559"/>
      <c r="T116" s="559"/>
      <c r="U116" s="559"/>
      <c r="V116" s="559"/>
      <c r="W116" s="559"/>
      <c r="X116" s="559"/>
      <c r="Y116" s="559"/>
      <c r="Z116" s="559"/>
      <c r="AA116" s="559"/>
      <c r="AB116" s="559"/>
      <c r="AC116" s="559"/>
      <c r="AD116" s="559"/>
      <c r="AE116" s="559"/>
    </row>
    <row r="117" spans="1:31" ht="18" hidden="1" customHeight="1" x14ac:dyDescent="0.35">
      <c r="A117" s="559"/>
      <c r="B117" s="559"/>
      <c r="C117" s="559"/>
      <c r="D117" s="559"/>
      <c r="E117" s="559"/>
      <c r="F117" s="559"/>
      <c r="G117" s="559"/>
      <c r="H117" s="559"/>
      <c r="I117" s="559"/>
      <c r="J117" s="559"/>
      <c r="K117" s="559"/>
      <c r="L117" s="559"/>
      <c r="M117" s="559"/>
      <c r="N117" s="626"/>
      <c r="O117" s="559"/>
      <c r="P117" s="559"/>
      <c r="Q117" s="559"/>
      <c r="R117" s="559"/>
      <c r="S117" s="559"/>
      <c r="T117" s="559"/>
      <c r="U117" s="559"/>
      <c r="V117" s="559"/>
      <c r="W117" s="559"/>
      <c r="X117" s="559"/>
      <c r="Y117" s="559"/>
      <c r="Z117" s="559"/>
      <c r="AA117" s="559"/>
      <c r="AB117" s="559"/>
      <c r="AC117" s="559"/>
      <c r="AD117" s="559"/>
      <c r="AE117" s="559"/>
    </row>
    <row r="118" spans="1:31" ht="18" hidden="1" customHeight="1" x14ac:dyDescent="0.35">
      <c r="A118" s="559"/>
      <c r="B118" s="559"/>
      <c r="C118" s="559"/>
      <c r="D118" s="559"/>
      <c r="E118" s="559"/>
      <c r="F118" s="559"/>
      <c r="G118" s="559"/>
      <c r="H118" s="559"/>
      <c r="I118" s="559"/>
      <c r="J118" s="559"/>
      <c r="K118" s="559"/>
      <c r="L118" s="559"/>
      <c r="M118" s="559"/>
      <c r="N118" s="626"/>
      <c r="O118" s="559"/>
      <c r="P118" s="559"/>
      <c r="Q118" s="559"/>
      <c r="R118" s="559"/>
      <c r="S118" s="559"/>
      <c r="T118" s="559"/>
      <c r="U118" s="559"/>
      <c r="V118" s="559"/>
      <c r="W118" s="559"/>
      <c r="X118" s="559"/>
      <c r="Y118" s="559"/>
      <c r="Z118" s="559"/>
      <c r="AA118" s="559"/>
      <c r="AB118" s="559"/>
      <c r="AC118" s="559"/>
      <c r="AD118" s="559"/>
      <c r="AE118" s="559"/>
    </row>
    <row r="119" spans="1:31" ht="18" hidden="1" customHeight="1" x14ac:dyDescent="0.35">
      <c r="A119" s="559" t="s">
        <v>19</v>
      </c>
      <c r="B119" s="559">
        <f>IF(F19="Non",0,"Peinture")</f>
        <v>0</v>
      </c>
      <c r="C119" s="559"/>
      <c r="D119" s="559"/>
      <c r="E119" s="559"/>
      <c r="F119" s="559"/>
      <c r="G119" s="559"/>
      <c r="H119" s="559"/>
      <c r="I119" s="559"/>
      <c r="J119" s="559">
        <f>IF(B119=0,0,(((C39/100)*(D39/100))+((C39/100)*(E39/100))+((D39/100)*(E39/100)))*2)</f>
        <v>0</v>
      </c>
      <c r="K119" s="559">
        <f>J119*0.5</f>
        <v>0</v>
      </c>
      <c r="L119" s="625">
        <v>0</v>
      </c>
      <c r="M119" s="625">
        <f>K119*L119</f>
        <v>0</v>
      </c>
      <c r="N119" s="626">
        <f>IF(J119=0,0,IF(B119="Peinture",30+J119*15))</f>
        <v>0</v>
      </c>
      <c r="O119" s="625">
        <f t="shared" ref="O119:O120" si="51">N119*Tapisserie!MinuteMO</f>
        <v>0</v>
      </c>
      <c r="P119" s="559"/>
      <c r="Q119" s="559"/>
      <c r="R119" s="559"/>
      <c r="S119" s="559"/>
      <c r="T119" s="559"/>
      <c r="U119" s="559"/>
      <c r="V119" s="559"/>
      <c r="W119" s="559"/>
      <c r="X119" s="559"/>
      <c r="Y119" s="559"/>
      <c r="Z119" s="559"/>
      <c r="AA119" s="559"/>
      <c r="AB119" s="559"/>
      <c r="AC119" s="559"/>
      <c r="AD119" s="559"/>
      <c r="AE119" s="559"/>
    </row>
    <row r="120" spans="1:31" ht="18" hidden="1" customHeight="1" x14ac:dyDescent="0.35">
      <c r="A120" s="559" t="s">
        <v>72</v>
      </c>
      <c r="B120" s="559" t="str">
        <f>C19</f>
        <v>Vis bois</v>
      </c>
      <c r="C120" s="559"/>
      <c r="D120" s="559"/>
      <c r="E120" s="559"/>
      <c r="F120" s="559"/>
      <c r="G120" s="559"/>
      <c r="H120" s="559"/>
      <c r="I120" s="559"/>
      <c r="J120" s="559"/>
      <c r="K120" s="559"/>
      <c r="L120" s="559"/>
      <c r="M120" s="625">
        <f>IF(B120="Vis bois",0,(E4*2+E6*2)*1.5)</f>
        <v>0</v>
      </c>
      <c r="N120" s="626">
        <f>IF(B120="Vis bois",0,45)</f>
        <v>0</v>
      </c>
      <c r="O120" s="625">
        <f t="shared" si="51"/>
        <v>0</v>
      </c>
      <c r="P120" s="559"/>
      <c r="Q120" s="559"/>
      <c r="R120" s="559"/>
      <c r="S120" s="559"/>
      <c r="T120" s="559"/>
      <c r="U120" s="559"/>
      <c r="V120" s="559"/>
      <c r="W120" s="559"/>
      <c r="X120" s="559"/>
      <c r="Y120" s="559"/>
      <c r="Z120" s="559"/>
      <c r="AA120" s="559"/>
      <c r="AB120" s="559"/>
      <c r="AC120" s="559"/>
      <c r="AD120" s="559"/>
      <c r="AE120" s="559"/>
    </row>
    <row r="121" spans="1:31" ht="18" hidden="1" customHeight="1" x14ac:dyDescent="0.35">
      <c r="A121" s="559" t="s">
        <v>21</v>
      </c>
      <c r="B121" s="559" t="str">
        <f>C21</f>
        <v>Bois</v>
      </c>
      <c r="C121" s="559"/>
      <c r="D121" s="559"/>
      <c r="E121" s="559"/>
      <c r="F121" s="559"/>
      <c r="G121" s="559"/>
      <c r="H121" s="559"/>
      <c r="I121" s="559"/>
      <c r="J121" s="559"/>
      <c r="K121" s="559"/>
      <c r="L121" s="559"/>
      <c r="M121" s="625"/>
      <c r="N121" s="626"/>
      <c r="O121" s="625"/>
      <c r="P121" s="559"/>
      <c r="Q121" s="559"/>
      <c r="R121" s="559"/>
      <c r="S121" s="559"/>
      <c r="T121" s="559"/>
      <c r="U121" s="559"/>
      <c r="V121" s="559"/>
      <c r="W121" s="559"/>
      <c r="X121" s="559"/>
      <c r="Y121" s="559"/>
      <c r="Z121" s="559"/>
      <c r="AA121" s="559"/>
      <c r="AB121" s="559"/>
      <c r="AC121" s="559"/>
      <c r="AD121" s="559"/>
      <c r="AE121" s="559"/>
    </row>
    <row r="122" spans="1:31" ht="18" hidden="1" customHeight="1" x14ac:dyDescent="0.35">
      <c r="A122" s="559"/>
      <c r="B122" s="559"/>
      <c r="C122" s="559"/>
      <c r="D122" s="559"/>
      <c r="E122" s="559"/>
      <c r="F122" s="559"/>
      <c r="G122" s="559"/>
      <c r="H122" s="559"/>
      <c r="I122" s="559"/>
      <c r="J122" s="559"/>
      <c r="K122" s="559"/>
      <c r="L122" s="559"/>
      <c r="M122" s="559"/>
      <c r="N122" s="626"/>
      <c r="O122" s="559"/>
      <c r="P122" s="559"/>
      <c r="Q122" s="559"/>
      <c r="R122" s="559"/>
      <c r="S122" s="559"/>
      <c r="T122" s="559"/>
      <c r="U122" s="559"/>
      <c r="V122" s="559"/>
      <c r="W122" s="559"/>
      <c r="X122" s="559"/>
      <c r="Y122" s="559"/>
      <c r="Z122" s="559"/>
      <c r="AA122" s="559"/>
      <c r="AB122" s="559"/>
      <c r="AC122" s="559"/>
      <c r="AD122" s="559"/>
      <c r="AE122" s="559"/>
    </row>
    <row r="123" spans="1:31" ht="18" hidden="1" customHeight="1" x14ac:dyDescent="0.35">
      <c r="A123" s="559"/>
      <c r="B123" s="559"/>
      <c r="C123" s="559"/>
      <c r="D123" s="559"/>
      <c r="E123" s="559"/>
      <c r="F123" s="559"/>
      <c r="G123" s="559"/>
      <c r="H123" s="559"/>
      <c r="I123" s="559"/>
      <c r="J123" s="559"/>
      <c r="K123" s="559"/>
      <c r="L123" s="614"/>
      <c r="M123" s="614" t="e">
        <f t="shared" ref="M123:O123" si="52">SUM(M45:M122)</f>
        <v>#VALUE!</v>
      </c>
      <c r="N123" s="638">
        <f t="shared" si="52"/>
        <v>1.5205999999999997</v>
      </c>
      <c r="O123" s="614">
        <f t="shared" si="52"/>
        <v>1.2925099999999996</v>
      </c>
      <c r="P123" s="559"/>
      <c r="Q123" s="627">
        <f>SUM(Q45:Q122)</f>
        <v>0</v>
      </c>
      <c r="R123" s="559"/>
      <c r="S123" s="559"/>
      <c r="T123" s="559"/>
      <c r="U123" s="559"/>
      <c r="V123" s="559"/>
      <c r="W123" s="559"/>
      <c r="X123" s="559"/>
      <c r="Y123" s="559"/>
      <c r="Z123" s="559"/>
      <c r="AA123" s="559"/>
      <c r="AB123" s="559"/>
      <c r="AC123" s="559"/>
      <c r="AD123" s="559"/>
      <c r="AE123" s="559"/>
    </row>
    <row r="124" spans="1:31" ht="18" hidden="1" customHeight="1" x14ac:dyDescent="0.35">
      <c r="A124" s="559"/>
      <c r="B124" s="639" t="s">
        <v>73</v>
      </c>
      <c r="C124" s="640">
        <f>IF($F$9=0,0,M123)</f>
        <v>0</v>
      </c>
      <c r="D124" s="641"/>
      <c r="E124" s="642" t="s">
        <v>74</v>
      </c>
      <c r="F124" s="643" t="str">
        <f>CONCATENATE(ROUNDUP(SUM(K45:K49)+SUM(K76:K77)+K87+K97+K105,2)," m²")</f>
        <v>0 m²</v>
      </c>
      <c r="G124" s="644" t="e">
        <f>(SUM(M45:M49)+SUM(M76:M77)+M87+M97+M105)</f>
        <v>#VALUE!</v>
      </c>
      <c r="H124" s="559"/>
      <c r="I124" s="559"/>
      <c r="J124" s="559"/>
      <c r="K124" s="559"/>
      <c r="L124" s="559"/>
      <c r="M124" s="559"/>
      <c r="N124" s="559"/>
      <c r="O124" s="559"/>
      <c r="P124" s="559"/>
      <c r="Q124" s="559"/>
      <c r="R124" s="559"/>
      <c r="S124" s="559"/>
      <c r="T124" s="559"/>
      <c r="U124" s="559"/>
      <c r="V124" s="559"/>
      <c r="W124" s="559"/>
      <c r="X124" s="559"/>
      <c r="Y124" s="559"/>
      <c r="Z124" s="559"/>
      <c r="AA124" s="559"/>
      <c r="AB124" s="559"/>
      <c r="AC124" s="559"/>
      <c r="AD124" s="559"/>
      <c r="AE124" s="559"/>
    </row>
    <row r="125" spans="1:31" ht="18" hidden="1" customHeight="1" x14ac:dyDescent="0.35">
      <c r="A125" s="559"/>
      <c r="B125" s="645" t="s">
        <v>75</v>
      </c>
      <c r="C125" s="625">
        <f>IF($F$9=0,0,O123)</f>
        <v>0</v>
      </c>
      <c r="D125" s="646">
        <f>IF($F$9=0,0,N123)</f>
        <v>0</v>
      </c>
      <c r="E125" s="647" t="s">
        <v>76</v>
      </c>
      <c r="F125" s="648" t="str">
        <f>CONCATENATE(ROUNDUP(SUM(K52:K61)+K101+K109+K98+K106,2)," m²")</f>
        <v>-0,29 m²</v>
      </c>
      <c r="G125" s="649" t="e">
        <f>(SUM(M52:M61)+M101+M109+M98+M106)</f>
        <v>#VALUE!</v>
      </c>
      <c r="H125" s="559"/>
      <c r="I125" s="559"/>
      <c r="J125" s="559"/>
      <c r="K125" s="559"/>
      <c r="L125" s="559"/>
      <c r="M125" s="559"/>
      <c r="N125" s="559"/>
      <c r="O125" s="559"/>
      <c r="P125" s="559"/>
      <c r="Q125" s="559"/>
      <c r="R125" s="559"/>
      <c r="S125" s="559"/>
      <c r="T125" s="559"/>
      <c r="U125" s="559"/>
      <c r="V125" s="559"/>
      <c r="W125" s="559"/>
      <c r="X125" s="559"/>
      <c r="Y125" s="559"/>
      <c r="Z125" s="559"/>
      <c r="AA125" s="559"/>
      <c r="AB125" s="559"/>
      <c r="AC125" s="559"/>
      <c r="AD125" s="559"/>
      <c r="AE125" s="559"/>
    </row>
    <row r="126" spans="1:31" ht="18" hidden="1" customHeight="1" x14ac:dyDescent="0.35">
      <c r="A126" s="559"/>
      <c r="B126" s="645" t="s">
        <v>77</v>
      </c>
      <c r="C126" s="625">
        <f>IF($F$9=0,0,((C124+C125)/Tapisserie!Frais_Généraux)-(C124+C125))</f>
        <v>0</v>
      </c>
      <c r="D126" s="650"/>
      <c r="E126" s="647" t="s">
        <v>78</v>
      </c>
      <c r="F126" s="648" t="str">
        <f>CONCATENATE(ROUNDUP(SUM(K70:K72)+SUM(K81:K83),2)," m²")</f>
        <v>0 m²</v>
      </c>
      <c r="G126" s="649">
        <f>(SUM(M70:M72)+SUM(M81:M83))</f>
        <v>0</v>
      </c>
      <c r="H126" s="559"/>
      <c r="I126" s="559"/>
      <c r="J126" s="559"/>
      <c r="K126" s="559"/>
      <c r="L126" s="559"/>
      <c r="M126" s="559"/>
      <c r="N126" s="559"/>
      <c r="O126" s="559"/>
      <c r="P126" s="559"/>
      <c r="Q126" s="559"/>
      <c r="R126" s="559"/>
      <c r="S126" s="559"/>
      <c r="T126" s="559"/>
      <c r="U126" s="559"/>
      <c r="V126" s="559"/>
      <c r="W126" s="559"/>
      <c r="X126" s="559"/>
      <c r="Y126" s="559"/>
      <c r="Z126" s="559"/>
      <c r="AA126" s="559"/>
      <c r="AB126" s="559"/>
      <c r="AC126" s="559"/>
      <c r="AD126" s="559"/>
      <c r="AE126" s="559"/>
    </row>
    <row r="127" spans="1:31" ht="18" hidden="1" customHeight="1" x14ac:dyDescent="0.35">
      <c r="A127" s="559"/>
      <c r="B127" s="645" t="s">
        <v>79</v>
      </c>
      <c r="C127" s="625">
        <f>IF($F$9=0,0,SUM(C124:C126))</f>
        <v>0</v>
      </c>
      <c r="D127" s="650"/>
      <c r="E127" s="647" t="s">
        <v>80</v>
      </c>
      <c r="F127" s="648" t="str">
        <f>CONCATENATE(ROUNDUP(SUM(K64:K66)+K97+K105,2)," m²")</f>
        <v>0 m²</v>
      </c>
      <c r="G127" s="649">
        <f>(SUM(M64:M66)+M97+M105)</f>
        <v>0</v>
      </c>
      <c r="H127" s="559"/>
      <c r="I127" s="559"/>
      <c r="J127" s="559"/>
      <c r="K127" s="559"/>
      <c r="L127" s="559"/>
      <c r="M127" s="559"/>
      <c r="N127" s="559"/>
      <c r="O127" s="559"/>
      <c r="P127" s="559"/>
      <c r="Q127" s="559"/>
      <c r="R127" s="559"/>
      <c r="S127" s="559"/>
      <c r="T127" s="559"/>
      <c r="U127" s="559"/>
      <c r="V127" s="559"/>
      <c r="W127" s="559"/>
      <c r="X127" s="559"/>
      <c r="Y127" s="559"/>
      <c r="Z127" s="559"/>
      <c r="AA127" s="559"/>
      <c r="AB127" s="559"/>
      <c r="AC127" s="559"/>
      <c r="AD127" s="559"/>
      <c r="AE127" s="559"/>
    </row>
    <row r="128" spans="1:31" ht="18" hidden="1" customHeight="1" x14ac:dyDescent="0.35">
      <c r="A128" s="559"/>
      <c r="B128" s="645" t="s">
        <v>81</v>
      </c>
      <c r="C128" s="625">
        <f>IF($F$9=0,0,(C127/(1-Tapisserie!Marge)-C127))</f>
        <v>0</v>
      </c>
      <c r="D128" s="651">
        <f>C127+C128</f>
        <v>0</v>
      </c>
      <c r="E128" s="647" t="s">
        <v>82</v>
      </c>
      <c r="F128" s="648"/>
      <c r="G128" s="652"/>
      <c r="H128" s="559"/>
      <c r="I128" s="559"/>
      <c r="J128" s="559"/>
      <c r="K128" s="559"/>
      <c r="L128" s="559"/>
      <c r="M128" s="559"/>
      <c r="N128" s="559"/>
      <c r="O128" s="559"/>
      <c r="P128" s="559"/>
      <c r="Q128" s="559"/>
      <c r="R128" s="559"/>
      <c r="S128" s="559"/>
      <c r="T128" s="559"/>
      <c r="U128" s="559"/>
      <c r="V128" s="559"/>
      <c r="W128" s="559"/>
      <c r="X128" s="559"/>
      <c r="Y128" s="559"/>
      <c r="Z128" s="559"/>
      <c r="AA128" s="559"/>
      <c r="AB128" s="559"/>
      <c r="AC128" s="559"/>
      <c r="AD128" s="559"/>
      <c r="AE128" s="559"/>
    </row>
    <row r="129" spans="1:31" ht="18" hidden="1" customHeight="1" x14ac:dyDescent="0.35">
      <c r="A129" s="559"/>
      <c r="B129" s="645" t="s">
        <v>83</v>
      </c>
      <c r="C129" s="625">
        <f>IF($F$10="BOVIS",((C127+C128)*(1+C130))-(C127+C128),((C127+C128)*(1+D129))-(C127+C128))</f>
        <v>0</v>
      </c>
      <c r="D129" s="22"/>
      <c r="E129" s="647"/>
      <c r="F129" s="648"/>
      <c r="G129" s="652"/>
      <c r="H129" s="559"/>
      <c r="I129" s="559"/>
      <c r="J129" s="559"/>
      <c r="K129" s="559"/>
      <c r="L129" s="559"/>
      <c r="M129" s="559"/>
      <c r="N129" s="559"/>
      <c r="O129" s="559"/>
      <c r="P129" s="559"/>
      <c r="Q129" s="559"/>
      <c r="R129" s="559"/>
      <c r="S129" s="559"/>
      <c r="T129" s="559"/>
      <c r="U129" s="559"/>
      <c r="V129" s="559"/>
      <c r="W129" s="559"/>
      <c r="X129" s="559"/>
      <c r="Y129" s="559"/>
      <c r="Z129" s="559"/>
      <c r="AA129" s="559"/>
      <c r="AB129" s="559"/>
      <c r="AC129" s="559"/>
      <c r="AD129" s="559"/>
      <c r="AE129" s="559"/>
    </row>
    <row r="130" spans="1:31" ht="18" hidden="1" customHeight="1" x14ac:dyDescent="0.35">
      <c r="A130" s="559"/>
      <c r="B130" s="645"/>
      <c r="C130" s="653">
        <f>IF($F$10="BOVIS",0.03,0)</f>
        <v>0</v>
      </c>
      <c r="D130" s="654"/>
      <c r="E130" s="647"/>
      <c r="F130" s="648"/>
      <c r="G130" s="652"/>
      <c r="H130" s="559"/>
      <c r="I130" s="559"/>
      <c r="J130" s="559"/>
      <c r="K130" s="559"/>
      <c r="L130" s="559"/>
      <c r="M130" s="559"/>
      <c r="N130" s="559"/>
      <c r="O130" s="559"/>
      <c r="P130" s="559"/>
      <c r="Q130" s="559"/>
      <c r="R130" s="559"/>
      <c r="S130" s="559"/>
      <c r="T130" s="559"/>
      <c r="U130" s="559"/>
      <c r="V130" s="559"/>
      <c r="W130" s="559"/>
      <c r="X130" s="559"/>
      <c r="Y130" s="559"/>
      <c r="Z130" s="559"/>
      <c r="AA130" s="559"/>
      <c r="AB130" s="559"/>
      <c r="AC130" s="559"/>
      <c r="AD130" s="559"/>
      <c r="AE130" s="559"/>
    </row>
    <row r="131" spans="1:31" ht="18" hidden="1" customHeight="1" x14ac:dyDescent="0.35">
      <c r="A131" s="559"/>
      <c r="B131" s="655" t="s">
        <v>84</v>
      </c>
      <c r="C131" s="656">
        <f>SUM(C127:C130)</f>
        <v>0</v>
      </c>
      <c r="D131" s="657"/>
      <c r="E131" s="658" t="s">
        <v>85</v>
      </c>
      <c r="F131" s="567"/>
      <c r="G131" s="659" t="e">
        <f>C124-SUM(G124:G128)</f>
        <v>#VALUE!</v>
      </c>
      <c r="H131" s="559"/>
      <c r="I131" s="559"/>
      <c r="J131" s="559"/>
      <c r="K131" s="559"/>
      <c r="L131" s="559"/>
      <c r="M131" s="559"/>
      <c r="N131" s="559"/>
      <c r="O131" s="559"/>
      <c r="P131" s="559"/>
      <c r="Q131" s="559"/>
      <c r="R131" s="559"/>
      <c r="S131" s="559"/>
      <c r="T131" s="559"/>
      <c r="U131" s="559"/>
      <c r="V131" s="559"/>
      <c r="W131" s="559"/>
      <c r="X131" s="559"/>
      <c r="Y131" s="559"/>
      <c r="Z131" s="559"/>
      <c r="AA131" s="559"/>
      <c r="AB131" s="559"/>
      <c r="AC131" s="559"/>
      <c r="AD131" s="559"/>
      <c r="AE131" s="559"/>
    </row>
    <row r="132" spans="1:31" ht="18" hidden="1" customHeight="1" x14ac:dyDescent="0.35">
      <c r="A132" s="559"/>
      <c r="B132" s="559"/>
      <c r="C132" s="559"/>
      <c r="D132" s="559"/>
      <c r="E132" s="559"/>
      <c r="F132" s="559"/>
      <c r="G132" s="559"/>
      <c r="H132" s="559"/>
      <c r="I132" s="559"/>
      <c r="J132" s="559"/>
      <c r="K132" s="559"/>
      <c r="L132" s="559"/>
      <c r="M132" s="559"/>
      <c r="N132" s="559"/>
      <c r="O132" s="559"/>
      <c r="P132" s="559"/>
      <c r="Q132" s="559"/>
      <c r="R132" s="559"/>
      <c r="S132" s="559"/>
      <c r="T132" s="559"/>
      <c r="U132" s="559"/>
      <c r="V132" s="559"/>
      <c r="W132" s="559"/>
      <c r="X132" s="559"/>
      <c r="Y132" s="559"/>
      <c r="Z132" s="559"/>
      <c r="AA132" s="559"/>
      <c r="AB132" s="559"/>
      <c r="AC132" s="559"/>
      <c r="AD132" s="559"/>
      <c r="AE132" s="559"/>
    </row>
    <row r="133" spans="1:31" ht="18" hidden="1" customHeight="1" x14ac:dyDescent="0.35">
      <c r="A133" s="559"/>
      <c r="B133" s="559"/>
      <c r="C133" s="559"/>
      <c r="D133" s="559"/>
      <c r="E133" s="559"/>
      <c r="F133" s="559"/>
      <c r="G133" s="559"/>
      <c r="H133" s="559"/>
      <c r="I133" s="559"/>
      <c r="J133" s="559"/>
      <c r="K133" s="559"/>
      <c r="L133" s="559"/>
      <c r="M133" s="559"/>
      <c r="N133" s="559"/>
      <c r="O133" s="559"/>
      <c r="P133" s="559"/>
      <c r="Q133" s="559"/>
      <c r="R133" s="559"/>
      <c r="S133" s="559"/>
      <c r="T133" s="559"/>
      <c r="U133" s="559"/>
      <c r="V133" s="559"/>
      <c r="W133" s="559"/>
      <c r="X133" s="559"/>
      <c r="Y133" s="559"/>
      <c r="Z133" s="559"/>
      <c r="AA133" s="559"/>
      <c r="AB133" s="559"/>
      <c r="AC133" s="559"/>
      <c r="AD133" s="559"/>
      <c r="AE133" s="559"/>
    </row>
    <row r="134" spans="1:31" ht="18" hidden="1" customHeight="1" x14ac:dyDescent="0.35">
      <c r="A134" s="559"/>
      <c r="B134" s="559"/>
      <c r="C134" s="559"/>
      <c r="D134" s="559"/>
      <c r="E134" s="559"/>
      <c r="F134" s="559"/>
      <c r="G134" s="559"/>
      <c r="H134" s="559"/>
      <c r="I134" s="559"/>
      <c r="J134" s="559"/>
      <c r="K134" s="559"/>
      <c r="L134" s="559"/>
      <c r="M134" s="559"/>
      <c r="N134" s="559"/>
      <c r="O134" s="559"/>
      <c r="P134" s="559"/>
      <c r="Q134" s="559"/>
      <c r="R134" s="559"/>
      <c r="S134" s="559"/>
      <c r="T134" s="559"/>
      <c r="U134" s="559"/>
      <c r="V134" s="559"/>
      <c r="W134" s="559"/>
      <c r="X134" s="559"/>
      <c r="Y134" s="559"/>
      <c r="Z134" s="559"/>
      <c r="AA134" s="559"/>
      <c r="AB134" s="559"/>
      <c r="AC134" s="559"/>
      <c r="AD134" s="559"/>
      <c r="AE134" s="559"/>
    </row>
    <row r="135" spans="1:31" ht="18" hidden="1" customHeight="1" x14ac:dyDescent="0.35">
      <c r="A135" s="559"/>
      <c r="B135" s="559"/>
      <c r="C135" s="559"/>
      <c r="D135" s="559"/>
      <c r="E135" s="559"/>
      <c r="F135" s="559"/>
      <c r="G135" s="559"/>
      <c r="H135" s="559"/>
      <c r="I135" s="559"/>
      <c r="J135" s="559"/>
      <c r="K135" s="559"/>
      <c r="L135" s="559"/>
      <c r="M135" s="559"/>
      <c r="N135" s="559"/>
      <c r="O135" s="559"/>
      <c r="P135" s="559"/>
      <c r="Q135" s="559"/>
      <c r="R135" s="559"/>
      <c r="S135" s="559"/>
      <c r="T135" s="559"/>
      <c r="U135" s="559"/>
      <c r="V135" s="559"/>
      <c r="W135" s="559"/>
      <c r="X135" s="559"/>
      <c r="Y135" s="559"/>
      <c r="Z135" s="559"/>
      <c r="AA135" s="559"/>
      <c r="AB135" s="559"/>
      <c r="AC135" s="559"/>
      <c r="AD135" s="559"/>
      <c r="AE135" s="559"/>
    </row>
    <row r="136" spans="1:31" ht="18" hidden="1" customHeight="1" x14ac:dyDescent="0.35">
      <c r="A136" s="559"/>
      <c r="B136" s="559"/>
      <c r="C136" s="559"/>
      <c r="D136" s="559"/>
      <c r="E136" s="559"/>
      <c r="F136" s="559"/>
      <c r="G136" s="559"/>
      <c r="H136" s="559"/>
      <c r="I136" s="559"/>
      <c r="J136" s="559"/>
      <c r="K136" s="559"/>
      <c r="L136" s="559"/>
      <c r="M136" s="559"/>
      <c r="N136" s="559"/>
      <c r="O136" s="559"/>
      <c r="P136" s="559"/>
      <c r="Q136" s="559"/>
      <c r="R136" s="559"/>
      <c r="S136" s="559"/>
      <c r="T136" s="559"/>
      <c r="U136" s="559"/>
      <c r="V136" s="559"/>
      <c r="W136" s="559"/>
      <c r="X136" s="559"/>
      <c r="Y136" s="559"/>
      <c r="Z136" s="559"/>
      <c r="AA136" s="559"/>
      <c r="AB136" s="559"/>
      <c r="AC136" s="559"/>
      <c r="AD136" s="559"/>
      <c r="AE136" s="559"/>
    </row>
    <row r="137" spans="1:31" ht="18" hidden="1" customHeight="1" x14ac:dyDescent="0.3">
      <c r="A137" s="660"/>
      <c r="B137" s="661" t="s">
        <v>114</v>
      </c>
      <c r="C137" s="661" t="s">
        <v>115</v>
      </c>
      <c r="D137" s="661" t="s">
        <v>116</v>
      </c>
      <c r="E137" s="661" t="s">
        <v>459</v>
      </c>
      <c r="F137" s="661" t="s">
        <v>460</v>
      </c>
      <c r="G137" s="662" t="s">
        <v>461</v>
      </c>
      <c r="H137" s="663"/>
      <c r="I137" s="663"/>
      <c r="J137" s="663"/>
      <c r="K137" s="663"/>
      <c r="L137" s="663"/>
      <c r="M137" s="663"/>
      <c r="N137" s="663"/>
      <c r="O137" s="663"/>
      <c r="P137" s="663"/>
      <c r="Q137" s="663"/>
      <c r="R137" s="663"/>
      <c r="S137" s="663"/>
      <c r="T137" s="663"/>
      <c r="U137" s="663"/>
      <c r="V137" s="663"/>
      <c r="W137" s="663"/>
      <c r="X137" s="663"/>
      <c r="Y137" s="663"/>
      <c r="Z137" s="663"/>
      <c r="AA137" s="663"/>
      <c r="AB137" s="663"/>
      <c r="AC137" s="663"/>
      <c r="AD137" s="663"/>
      <c r="AE137" s="663"/>
    </row>
    <row r="138" spans="1:31" ht="18" hidden="1" customHeight="1" x14ac:dyDescent="0.3">
      <c r="A138" s="664">
        <v>1</v>
      </c>
      <c r="B138" s="663">
        <v>2</v>
      </c>
      <c r="C138" s="663">
        <v>3</v>
      </c>
      <c r="D138" s="663">
        <v>4</v>
      </c>
      <c r="E138" s="663">
        <v>5</v>
      </c>
      <c r="F138" s="663"/>
      <c r="G138" s="665"/>
      <c r="H138" s="663"/>
      <c r="I138" s="663"/>
      <c r="J138" s="663"/>
      <c r="K138" s="663"/>
      <c r="L138" s="663"/>
      <c r="M138" s="663"/>
      <c r="N138" s="663"/>
      <c r="O138" s="663"/>
      <c r="P138" s="663"/>
      <c r="Q138" s="663"/>
      <c r="R138" s="663"/>
      <c r="S138" s="663"/>
      <c r="T138" s="663"/>
      <c r="U138" s="663"/>
      <c r="V138" s="663"/>
      <c r="W138" s="663"/>
      <c r="X138" s="663"/>
      <c r="Y138" s="663"/>
      <c r="Z138" s="663"/>
      <c r="AA138" s="663"/>
      <c r="AB138" s="663"/>
      <c r="AC138" s="663"/>
      <c r="AD138" s="663"/>
      <c r="AE138" s="663"/>
    </row>
    <row r="139" spans="1:31" ht="18" hidden="1" customHeight="1" x14ac:dyDescent="0.3">
      <c r="A139" s="664" t="s">
        <v>16</v>
      </c>
      <c r="B139" s="663">
        <v>0</v>
      </c>
      <c r="C139" s="663">
        <v>0</v>
      </c>
      <c r="D139" s="663">
        <v>0</v>
      </c>
      <c r="E139" s="663">
        <v>0</v>
      </c>
      <c r="F139" s="663">
        <v>0</v>
      </c>
      <c r="G139" s="665">
        <v>0</v>
      </c>
      <c r="H139" s="663"/>
      <c r="I139" s="663"/>
      <c r="J139" s="663"/>
      <c r="K139" s="663"/>
      <c r="L139" s="663"/>
      <c r="M139" s="663"/>
      <c r="N139" s="663"/>
      <c r="O139" s="663"/>
      <c r="P139" s="663"/>
      <c r="Q139" s="663"/>
      <c r="R139" s="663"/>
      <c r="S139" s="663"/>
      <c r="T139" s="663"/>
      <c r="U139" s="663"/>
      <c r="V139" s="663"/>
      <c r="W139" s="663"/>
      <c r="X139" s="663"/>
      <c r="Y139" s="663"/>
      <c r="Z139" s="663"/>
      <c r="AA139" s="663"/>
      <c r="AB139" s="663"/>
      <c r="AC139" s="663"/>
      <c r="AD139" s="663"/>
      <c r="AE139" s="663"/>
    </row>
    <row r="140" spans="1:31" ht="18" hidden="1" customHeight="1" x14ac:dyDescent="0.3">
      <c r="A140" s="664" t="s">
        <v>462</v>
      </c>
      <c r="B140" s="663">
        <v>20</v>
      </c>
      <c r="C140" s="663">
        <v>10</v>
      </c>
      <c r="D140" s="663">
        <v>10</v>
      </c>
      <c r="E140" s="663" t="s">
        <v>10</v>
      </c>
      <c r="F140" s="663">
        <v>1</v>
      </c>
      <c r="G140" s="665">
        <v>6</v>
      </c>
      <c r="H140" s="663"/>
      <c r="I140" s="663"/>
      <c r="J140" s="663"/>
      <c r="K140" s="663"/>
      <c r="L140" s="663"/>
      <c r="M140" s="663"/>
      <c r="N140" s="663"/>
      <c r="O140" s="663"/>
      <c r="P140" s="663"/>
      <c r="Q140" s="663"/>
      <c r="R140" s="663"/>
      <c r="S140" s="663"/>
      <c r="T140" s="663"/>
      <c r="U140" s="663"/>
      <c r="V140" s="663"/>
      <c r="W140" s="663"/>
      <c r="X140" s="663"/>
      <c r="Y140" s="663"/>
      <c r="Z140" s="663"/>
      <c r="AA140" s="663"/>
      <c r="AB140" s="663"/>
      <c r="AC140" s="663"/>
      <c r="AD140" s="663"/>
      <c r="AE140" s="663"/>
    </row>
    <row r="141" spans="1:31" ht="18" hidden="1" customHeight="1" x14ac:dyDescent="0.3">
      <c r="A141" s="664" t="s">
        <v>463</v>
      </c>
      <c r="B141" s="663">
        <v>0.5</v>
      </c>
      <c r="C141" s="663">
        <v>10</v>
      </c>
      <c r="D141" s="663">
        <v>10</v>
      </c>
      <c r="E141" s="663" t="s">
        <v>10</v>
      </c>
      <c r="F141" s="663">
        <v>2</v>
      </c>
      <c r="G141" s="665">
        <v>2</v>
      </c>
      <c r="H141" s="663"/>
      <c r="I141" s="663"/>
      <c r="J141" s="663"/>
      <c r="K141" s="663"/>
      <c r="L141" s="663"/>
      <c r="M141" s="663"/>
      <c r="N141" s="663"/>
      <c r="O141" s="663"/>
      <c r="P141" s="663"/>
      <c r="Q141" s="663"/>
      <c r="R141" s="663"/>
      <c r="S141" s="663"/>
      <c r="T141" s="663"/>
      <c r="U141" s="663"/>
      <c r="V141" s="663"/>
      <c r="W141" s="663"/>
      <c r="X141" s="663"/>
      <c r="Y141" s="663"/>
      <c r="Z141" s="663"/>
      <c r="AA141" s="663"/>
      <c r="AB141" s="663"/>
      <c r="AC141" s="663"/>
      <c r="AD141" s="663"/>
      <c r="AE141" s="663"/>
    </row>
    <row r="142" spans="1:31" ht="18" hidden="1" customHeight="1" x14ac:dyDescent="0.3">
      <c r="A142" s="666" t="s">
        <v>464</v>
      </c>
      <c r="B142" s="667">
        <v>0.5</v>
      </c>
      <c r="C142" s="667">
        <v>10</v>
      </c>
      <c r="D142" s="667">
        <v>10</v>
      </c>
      <c r="E142" s="667" t="s">
        <v>37</v>
      </c>
      <c r="F142" s="667">
        <v>2</v>
      </c>
      <c r="G142" s="668">
        <v>2</v>
      </c>
      <c r="H142" s="663"/>
      <c r="I142" s="663"/>
      <c r="J142" s="663"/>
      <c r="K142" s="663"/>
      <c r="L142" s="663"/>
      <c r="M142" s="663"/>
      <c r="N142" s="663"/>
      <c r="O142" s="663"/>
      <c r="P142" s="663"/>
      <c r="Q142" s="663"/>
      <c r="R142" s="663"/>
      <c r="S142" s="663"/>
      <c r="T142" s="663"/>
      <c r="U142" s="663"/>
      <c r="V142" s="663"/>
      <c r="W142" s="663"/>
      <c r="X142" s="663"/>
      <c r="Y142" s="663"/>
      <c r="Z142" s="663"/>
      <c r="AA142" s="663"/>
      <c r="AB142" s="663"/>
      <c r="AC142" s="663"/>
      <c r="AD142" s="663"/>
      <c r="AE142" s="663"/>
    </row>
    <row r="143" spans="1:31" ht="18" hidden="1" customHeight="1" x14ac:dyDescent="0.3">
      <c r="A143" s="663"/>
      <c r="B143" s="663"/>
      <c r="C143" s="663"/>
      <c r="D143" s="663"/>
      <c r="E143" s="663"/>
      <c r="F143" s="663"/>
      <c r="G143" s="663"/>
      <c r="H143" s="663"/>
      <c r="I143" s="663"/>
      <c r="J143" s="663"/>
      <c r="K143" s="663"/>
      <c r="L143" s="663"/>
      <c r="M143" s="663"/>
      <c r="N143" s="663"/>
      <c r="O143" s="663"/>
      <c r="P143" s="663"/>
      <c r="Q143" s="663"/>
      <c r="R143" s="663"/>
      <c r="S143" s="663"/>
      <c r="T143" s="663"/>
      <c r="U143" s="663"/>
      <c r="V143" s="663"/>
      <c r="W143" s="663"/>
      <c r="X143" s="663"/>
      <c r="Y143" s="663"/>
      <c r="Z143" s="663"/>
      <c r="AA143" s="663"/>
      <c r="AB143" s="663"/>
      <c r="AC143" s="663"/>
      <c r="AD143" s="663"/>
      <c r="AE143" s="663"/>
    </row>
    <row r="144" spans="1:31" ht="18" hidden="1" customHeight="1" x14ac:dyDescent="0.3">
      <c r="A144" s="660">
        <v>1</v>
      </c>
      <c r="B144" s="661">
        <v>2</v>
      </c>
      <c r="C144" s="661">
        <v>3</v>
      </c>
      <c r="D144" s="661">
        <v>4</v>
      </c>
      <c r="E144" s="661">
        <v>5</v>
      </c>
      <c r="F144" s="661">
        <v>6</v>
      </c>
      <c r="G144" s="661">
        <v>7</v>
      </c>
      <c r="H144" s="661">
        <v>8</v>
      </c>
      <c r="I144" s="661">
        <v>9</v>
      </c>
      <c r="J144" s="661">
        <v>10</v>
      </c>
      <c r="K144" s="661">
        <v>11</v>
      </c>
      <c r="L144" s="661">
        <v>12</v>
      </c>
      <c r="M144" s="661">
        <v>13</v>
      </c>
      <c r="N144" s="661">
        <v>14</v>
      </c>
      <c r="O144" s="661">
        <v>15</v>
      </c>
      <c r="P144" s="661">
        <v>16</v>
      </c>
      <c r="Q144" s="661">
        <v>17</v>
      </c>
      <c r="R144" s="661"/>
      <c r="S144" s="662"/>
      <c r="T144" s="663"/>
      <c r="U144" s="663"/>
      <c r="V144" s="663"/>
      <c r="W144" s="663"/>
      <c r="X144" s="663"/>
      <c r="Y144" s="663"/>
      <c r="Z144" s="663"/>
      <c r="AA144" s="663"/>
      <c r="AB144" s="663"/>
      <c r="AC144" s="663"/>
      <c r="AD144" s="663"/>
      <c r="AE144" s="663"/>
    </row>
    <row r="145" spans="1:31" ht="18" hidden="1" customHeight="1" x14ac:dyDescent="0.3">
      <c r="A145" s="669"/>
      <c r="B145" s="670"/>
      <c r="C145" s="670"/>
      <c r="D145" s="670"/>
      <c r="E145" s="670" t="s">
        <v>80</v>
      </c>
      <c r="F145" s="670" t="s">
        <v>91</v>
      </c>
      <c r="G145" s="670" t="s">
        <v>34</v>
      </c>
      <c r="H145" s="670" t="s">
        <v>65</v>
      </c>
      <c r="I145" s="670" t="s">
        <v>92</v>
      </c>
      <c r="J145" s="670" t="s">
        <v>93</v>
      </c>
      <c r="K145" s="670" t="s">
        <v>67</v>
      </c>
      <c r="L145" s="670" t="s">
        <v>94</v>
      </c>
      <c r="M145" s="670" t="s">
        <v>95</v>
      </c>
      <c r="N145" s="670" t="s">
        <v>69</v>
      </c>
      <c r="O145" s="670" t="s">
        <v>96</v>
      </c>
      <c r="P145" s="670" t="s">
        <v>97</v>
      </c>
      <c r="Q145" s="670" t="s">
        <v>333</v>
      </c>
      <c r="R145" s="670"/>
      <c r="S145" s="671"/>
      <c r="T145" s="670"/>
      <c r="U145" s="670"/>
      <c r="V145" s="670"/>
      <c r="W145" s="670"/>
      <c r="X145" s="670"/>
      <c r="Y145" s="670"/>
      <c r="Z145" s="670"/>
      <c r="AA145" s="670"/>
      <c r="AB145" s="670"/>
      <c r="AC145" s="670"/>
      <c r="AD145" s="670"/>
      <c r="AE145" s="670"/>
    </row>
    <row r="146" spans="1:31" ht="18" hidden="1" customHeight="1" x14ac:dyDescent="0.3">
      <c r="A146" s="664"/>
      <c r="B146" s="663"/>
      <c r="C146" s="663"/>
      <c r="D146" s="663"/>
      <c r="E146" s="663"/>
      <c r="F146" s="663"/>
      <c r="G146" s="663"/>
      <c r="H146" s="663"/>
      <c r="I146" s="663"/>
      <c r="J146" s="663"/>
      <c r="K146" s="663"/>
      <c r="L146" s="663"/>
      <c r="M146" s="663"/>
      <c r="N146" s="663"/>
      <c r="O146" s="663"/>
      <c r="P146" s="663"/>
      <c r="Q146" s="663"/>
      <c r="R146" s="663"/>
      <c r="S146" s="665"/>
      <c r="T146" s="663"/>
      <c r="U146" s="663"/>
      <c r="V146" s="663"/>
      <c r="W146" s="663"/>
      <c r="X146" s="663"/>
      <c r="Y146" s="663"/>
      <c r="Z146" s="663"/>
      <c r="AA146" s="663"/>
      <c r="AB146" s="663"/>
      <c r="AC146" s="663"/>
      <c r="AD146" s="663"/>
      <c r="AE146" s="663"/>
    </row>
    <row r="147" spans="1:31" ht="18" hidden="1" customHeight="1" x14ac:dyDescent="0.3">
      <c r="A147" s="664" t="s">
        <v>16</v>
      </c>
      <c r="B147" s="663">
        <v>0</v>
      </c>
      <c r="C147" s="663">
        <v>0</v>
      </c>
      <c r="D147" s="663">
        <v>0</v>
      </c>
      <c r="E147" s="663">
        <v>0</v>
      </c>
      <c r="F147" s="663">
        <v>0</v>
      </c>
      <c r="G147" s="663">
        <v>0</v>
      </c>
      <c r="H147" s="663">
        <v>0</v>
      </c>
      <c r="I147" s="663">
        <v>0</v>
      </c>
      <c r="J147" s="663">
        <v>0</v>
      </c>
      <c r="K147" s="663">
        <v>0</v>
      </c>
      <c r="L147" s="663">
        <v>0</v>
      </c>
      <c r="M147" s="663">
        <v>0</v>
      </c>
      <c r="N147" s="663">
        <v>0</v>
      </c>
      <c r="O147" s="663">
        <v>0</v>
      </c>
      <c r="P147" s="663">
        <v>0</v>
      </c>
      <c r="Q147" s="663">
        <v>0</v>
      </c>
      <c r="R147" s="663">
        <v>0</v>
      </c>
      <c r="S147" s="665">
        <v>0</v>
      </c>
      <c r="T147" s="663"/>
      <c r="U147" s="663"/>
      <c r="V147" s="663"/>
      <c r="W147" s="663"/>
      <c r="X147" s="663"/>
      <c r="Y147" s="663"/>
      <c r="Z147" s="663"/>
      <c r="AA147" s="663"/>
      <c r="AB147" s="663"/>
      <c r="AC147" s="663"/>
      <c r="AD147" s="663"/>
      <c r="AE147" s="663"/>
    </row>
    <row r="148" spans="1:31" ht="18" hidden="1" customHeight="1" x14ac:dyDescent="0.3">
      <c r="A148" s="664" t="s">
        <v>98</v>
      </c>
      <c r="B148" s="663">
        <f t="shared" ref="B148:D148" si="53">(3+1.25+3)*2</f>
        <v>14.5</v>
      </c>
      <c r="C148" s="663">
        <f t="shared" si="53"/>
        <v>14.5</v>
      </c>
      <c r="D148" s="663">
        <f t="shared" si="53"/>
        <v>14.5</v>
      </c>
      <c r="E148" s="663">
        <v>0</v>
      </c>
      <c r="F148" s="663">
        <v>0</v>
      </c>
      <c r="G148" s="663">
        <v>0</v>
      </c>
      <c r="H148" s="663">
        <v>6</v>
      </c>
      <c r="I148" s="663" t="s">
        <v>99</v>
      </c>
      <c r="J148" s="663">
        <v>2</v>
      </c>
      <c r="K148" s="663">
        <v>2.5</v>
      </c>
      <c r="L148" s="663" t="s">
        <v>86</v>
      </c>
      <c r="M148" s="713">
        <v>4</v>
      </c>
      <c r="N148" s="663">
        <v>6</v>
      </c>
      <c r="O148" s="663" t="s">
        <v>99</v>
      </c>
      <c r="P148" s="714">
        <v>2</v>
      </c>
      <c r="Q148" s="663">
        <v>2</v>
      </c>
      <c r="R148" s="663">
        <v>2</v>
      </c>
      <c r="S148" s="665">
        <v>1</v>
      </c>
      <c r="T148" s="663"/>
      <c r="U148" s="663"/>
      <c r="V148" s="663"/>
      <c r="W148" s="663"/>
      <c r="X148" s="663"/>
      <c r="Y148" s="663"/>
      <c r="Z148" s="663"/>
      <c r="AA148" s="663"/>
      <c r="AB148" s="663"/>
      <c r="AC148" s="663"/>
      <c r="AD148" s="663"/>
      <c r="AE148" s="663"/>
    </row>
    <row r="149" spans="1:31" ht="18" hidden="1" customHeight="1" x14ac:dyDescent="0.3">
      <c r="A149" s="664" t="s">
        <v>100</v>
      </c>
      <c r="B149" s="663">
        <f t="shared" ref="B149:D149" si="54">(5.1+1.25+5.1)*2</f>
        <v>22.9</v>
      </c>
      <c r="C149" s="663">
        <f t="shared" si="54"/>
        <v>22.9</v>
      </c>
      <c r="D149" s="663">
        <f t="shared" si="54"/>
        <v>22.9</v>
      </c>
      <c r="E149" s="663">
        <v>0</v>
      </c>
      <c r="F149" s="663">
        <v>0</v>
      </c>
      <c r="G149" s="663">
        <v>0</v>
      </c>
      <c r="H149" s="663">
        <v>10.199999999999999</v>
      </c>
      <c r="I149" s="663" t="s">
        <v>101</v>
      </c>
      <c r="J149" s="663">
        <v>2</v>
      </c>
      <c r="K149" s="663">
        <v>2.5</v>
      </c>
      <c r="L149" s="663" t="s">
        <v>86</v>
      </c>
      <c r="M149" s="713">
        <v>4</v>
      </c>
      <c r="N149" s="663">
        <v>10.199999999999999</v>
      </c>
      <c r="O149" s="663" t="s">
        <v>101</v>
      </c>
      <c r="P149" s="714">
        <v>2</v>
      </c>
      <c r="Q149" s="663">
        <v>2</v>
      </c>
      <c r="R149" s="663">
        <v>2</v>
      </c>
      <c r="S149" s="665">
        <v>1</v>
      </c>
      <c r="T149" s="663"/>
      <c r="U149" s="663"/>
      <c r="V149" s="663"/>
      <c r="W149" s="663"/>
      <c r="X149" s="663"/>
      <c r="Y149" s="663"/>
      <c r="Z149" s="663"/>
      <c r="AA149" s="663"/>
      <c r="AB149" s="663"/>
      <c r="AC149" s="663"/>
      <c r="AD149" s="663"/>
      <c r="AE149" s="663"/>
    </row>
    <row r="150" spans="1:31" ht="18" hidden="1" customHeight="1" x14ac:dyDescent="0.3">
      <c r="A150" s="664" t="s">
        <v>102</v>
      </c>
      <c r="B150" s="663">
        <f t="shared" ref="B150:D150" si="55">(3)*2</f>
        <v>6</v>
      </c>
      <c r="C150" s="663">
        <f t="shared" si="55"/>
        <v>6</v>
      </c>
      <c r="D150" s="663">
        <f t="shared" si="55"/>
        <v>6</v>
      </c>
      <c r="E150" s="663">
        <v>0</v>
      </c>
      <c r="F150" s="663">
        <v>0</v>
      </c>
      <c r="G150" s="663">
        <v>0</v>
      </c>
      <c r="H150" s="663">
        <v>6</v>
      </c>
      <c r="I150" s="663" t="s">
        <v>99</v>
      </c>
      <c r="J150" s="663">
        <v>2</v>
      </c>
      <c r="K150" s="663">
        <v>0</v>
      </c>
      <c r="L150" s="663">
        <v>0</v>
      </c>
      <c r="M150" s="713">
        <v>0</v>
      </c>
      <c r="N150" s="663">
        <v>0</v>
      </c>
      <c r="O150" s="663"/>
      <c r="P150" s="714">
        <v>0</v>
      </c>
      <c r="Q150" s="663">
        <v>0</v>
      </c>
      <c r="R150" s="663">
        <v>2</v>
      </c>
      <c r="S150" s="665">
        <v>1</v>
      </c>
      <c r="T150" s="663"/>
      <c r="U150" s="663"/>
      <c r="V150" s="663"/>
      <c r="W150" s="663"/>
      <c r="X150" s="663"/>
      <c r="Y150" s="663"/>
      <c r="Z150" s="663"/>
      <c r="AA150" s="663"/>
      <c r="AB150" s="663"/>
      <c r="AC150" s="663"/>
      <c r="AD150" s="663"/>
      <c r="AE150" s="663"/>
    </row>
    <row r="151" spans="1:31" ht="18" hidden="1" customHeight="1" x14ac:dyDescent="0.3">
      <c r="A151" s="664" t="s">
        <v>103</v>
      </c>
      <c r="B151" s="663">
        <f t="shared" ref="B151:D151" si="56">(5.1)*2</f>
        <v>10.199999999999999</v>
      </c>
      <c r="C151" s="663">
        <f t="shared" si="56"/>
        <v>10.199999999999999</v>
      </c>
      <c r="D151" s="663">
        <f t="shared" si="56"/>
        <v>10.199999999999999</v>
      </c>
      <c r="E151" s="663">
        <v>0</v>
      </c>
      <c r="F151" s="663">
        <v>0</v>
      </c>
      <c r="G151" s="663">
        <v>0</v>
      </c>
      <c r="H151" s="663">
        <v>10.199999999999999</v>
      </c>
      <c r="I151" s="663" t="s">
        <v>101</v>
      </c>
      <c r="J151" s="663">
        <v>2</v>
      </c>
      <c r="K151" s="663">
        <v>0</v>
      </c>
      <c r="L151" s="663">
        <v>0</v>
      </c>
      <c r="M151" s="713">
        <v>0</v>
      </c>
      <c r="N151" s="663">
        <v>0</v>
      </c>
      <c r="O151" s="663"/>
      <c r="P151" s="714">
        <v>0</v>
      </c>
      <c r="Q151" s="663">
        <v>0</v>
      </c>
      <c r="R151" s="663">
        <v>2</v>
      </c>
      <c r="S151" s="665">
        <v>1</v>
      </c>
      <c r="T151" s="663"/>
      <c r="U151" s="663"/>
      <c r="V151" s="663"/>
      <c r="W151" s="663"/>
      <c r="X151" s="663"/>
      <c r="Y151" s="663"/>
      <c r="Z151" s="663"/>
      <c r="AA151" s="663"/>
      <c r="AB151" s="663"/>
      <c r="AC151" s="663"/>
      <c r="AD151" s="663"/>
      <c r="AE151" s="663"/>
    </row>
    <row r="152" spans="1:31" ht="18" hidden="1" customHeight="1" x14ac:dyDescent="0.3">
      <c r="A152" s="664" t="s">
        <v>104</v>
      </c>
      <c r="B152" s="663">
        <f t="shared" ref="B152:D152" si="57">(3+3+1.25+3)*2</f>
        <v>20.5</v>
      </c>
      <c r="C152" s="663">
        <f t="shared" si="57"/>
        <v>20.5</v>
      </c>
      <c r="D152" s="663">
        <f t="shared" si="57"/>
        <v>20.5</v>
      </c>
      <c r="E152" s="663">
        <v>6</v>
      </c>
      <c r="F152" s="663" t="s">
        <v>105</v>
      </c>
      <c r="G152" s="663">
        <v>2</v>
      </c>
      <c r="H152" s="663">
        <v>6</v>
      </c>
      <c r="I152" s="663" t="s">
        <v>99</v>
      </c>
      <c r="J152" s="663">
        <v>2</v>
      </c>
      <c r="K152" s="663">
        <v>2.5</v>
      </c>
      <c r="L152" s="663" t="s">
        <v>86</v>
      </c>
      <c r="M152" s="713">
        <v>4</v>
      </c>
      <c r="N152" s="663">
        <v>6</v>
      </c>
      <c r="O152" s="663" t="s">
        <v>99</v>
      </c>
      <c r="P152" s="714">
        <v>2</v>
      </c>
      <c r="Q152" s="663">
        <v>2</v>
      </c>
      <c r="R152" s="663">
        <v>2</v>
      </c>
      <c r="S152" s="665">
        <v>1</v>
      </c>
      <c r="T152" s="663"/>
      <c r="U152" s="663"/>
      <c r="V152" s="663"/>
      <c r="W152" s="663"/>
      <c r="X152" s="663"/>
      <c r="Y152" s="663"/>
      <c r="Z152" s="663"/>
      <c r="AA152" s="663"/>
      <c r="AB152" s="663"/>
      <c r="AC152" s="663"/>
      <c r="AD152" s="663"/>
      <c r="AE152" s="663"/>
    </row>
    <row r="153" spans="1:31" ht="18" hidden="1" customHeight="1" x14ac:dyDescent="0.3">
      <c r="A153" s="666" t="s">
        <v>106</v>
      </c>
      <c r="B153" s="667">
        <f t="shared" ref="B153:D153" si="58">(5+5.1+1.25+5.1)*2</f>
        <v>32.9</v>
      </c>
      <c r="C153" s="667">
        <f t="shared" si="58"/>
        <v>32.9</v>
      </c>
      <c r="D153" s="667">
        <f t="shared" si="58"/>
        <v>32.9</v>
      </c>
      <c r="E153" s="667">
        <v>10.199999999999999</v>
      </c>
      <c r="F153" s="667" t="s">
        <v>27</v>
      </c>
      <c r="G153" s="667">
        <v>2</v>
      </c>
      <c r="H153" s="667">
        <v>10.199999999999999</v>
      </c>
      <c r="I153" s="667" t="s">
        <v>101</v>
      </c>
      <c r="J153" s="667">
        <v>2</v>
      </c>
      <c r="K153" s="667">
        <v>2.5</v>
      </c>
      <c r="L153" s="667" t="s">
        <v>86</v>
      </c>
      <c r="M153" s="715">
        <v>4</v>
      </c>
      <c r="N153" s="667">
        <v>10.199999999999999</v>
      </c>
      <c r="O153" s="667" t="s">
        <v>101</v>
      </c>
      <c r="P153" s="716">
        <v>2</v>
      </c>
      <c r="Q153" s="667">
        <v>2</v>
      </c>
      <c r="R153" s="667">
        <v>2</v>
      </c>
      <c r="S153" s="668">
        <v>1</v>
      </c>
      <c r="T153" s="663"/>
      <c r="U153" s="663"/>
      <c r="V153" s="663"/>
      <c r="W153" s="663"/>
      <c r="X153" s="663"/>
      <c r="Y153" s="663"/>
      <c r="Z153" s="663"/>
      <c r="AA153" s="663"/>
      <c r="AB153" s="663"/>
      <c r="AC153" s="663"/>
      <c r="AD153" s="663"/>
      <c r="AE153" s="663"/>
    </row>
    <row r="154" spans="1:31" ht="18" hidden="1" customHeight="1" x14ac:dyDescent="0.3">
      <c r="A154" s="663"/>
      <c r="B154" s="663"/>
      <c r="C154" s="663"/>
      <c r="D154" s="663"/>
      <c r="E154" s="663"/>
      <c r="F154" s="663"/>
      <c r="G154" s="663"/>
      <c r="H154" s="663"/>
      <c r="I154" s="663"/>
      <c r="J154" s="663"/>
      <c r="K154" s="663"/>
      <c r="L154" s="663"/>
      <c r="M154" s="663"/>
      <c r="N154" s="663"/>
      <c r="O154" s="663"/>
      <c r="P154" s="663"/>
      <c r="Q154" s="663"/>
      <c r="R154" s="663"/>
      <c r="S154" s="663"/>
      <c r="T154" s="663"/>
      <c r="U154" s="663"/>
      <c r="V154" s="663"/>
      <c r="W154" s="663"/>
      <c r="X154" s="663"/>
      <c r="Y154" s="663"/>
      <c r="Z154" s="663"/>
      <c r="AA154" s="663"/>
      <c r="AB154" s="663"/>
      <c r="AC154" s="663"/>
      <c r="AD154" s="663"/>
      <c r="AE154" s="663"/>
    </row>
    <row r="155" spans="1:31" ht="18" hidden="1" customHeight="1" x14ac:dyDescent="0.3">
      <c r="A155" s="660" t="s">
        <v>107</v>
      </c>
      <c r="B155" s="662">
        <v>1</v>
      </c>
      <c r="C155" s="663"/>
      <c r="D155" s="663"/>
      <c r="E155" s="663"/>
      <c r="F155" s="663"/>
      <c r="G155" s="663"/>
      <c r="H155" s="663"/>
      <c r="I155" s="663"/>
      <c r="J155" s="663"/>
      <c r="K155" s="663"/>
      <c r="L155" s="663"/>
      <c r="M155" s="663"/>
      <c r="N155" s="663"/>
      <c r="O155" s="663"/>
      <c r="P155" s="663"/>
      <c r="Q155" s="663"/>
      <c r="R155" s="663"/>
      <c r="S155" s="663"/>
      <c r="T155" s="663"/>
      <c r="U155" s="663"/>
      <c r="V155" s="663"/>
      <c r="W155" s="663"/>
      <c r="X155" s="663"/>
      <c r="Y155" s="663"/>
      <c r="Z155" s="663"/>
      <c r="AA155" s="663"/>
      <c r="AB155" s="663"/>
      <c r="AC155" s="663"/>
      <c r="AD155" s="663"/>
      <c r="AE155" s="663"/>
    </row>
    <row r="156" spans="1:31" ht="18" hidden="1" customHeight="1" x14ac:dyDescent="0.3">
      <c r="A156" s="666" t="s">
        <v>18</v>
      </c>
      <c r="B156" s="668">
        <v>0</v>
      </c>
      <c r="C156" s="663"/>
      <c r="D156" s="663"/>
      <c r="E156" s="663"/>
      <c r="F156" s="663"/>
      <c r="G156" s="663"/>
      <c r="H156" s="663"/>
      <c r="I156" s="663"/>
      <c r="J156" s="663"/>
      <c r="K156" s="663"/>
      <c r="L156" s="663"/>
      <c r="M156" s="663"/>
      <c r="N156" s="663"/>
      <c r="O156" s="663"/>
      <c r="P156" s="663"/>
      <c r="Q156" s="663"/>
      <c r="R156" s="663"/>
      <c r="S156" s="663"/>
      <c r="T156" s="663"/>
      <c r="U156" s="663"/>
      <c r="V156" s="663"/>
      <c r="W156" s="663"/>
      <c r="X156" s="663"/>
      <c r="Y156" s="663"/>
      <c r="Z156" s="663"/>
      <c r="AA156" s="663"/>
      <c r="AB156" s="663"/>
      <c r="AC156" s="663"/>
      <c r="AD156" s="663"/>
      <c r="AE156" s="663"/>
    </row>
    <row r="157" spans="1:31" ht="18" hidden="1" customHeight="1" x14ac:dyDescent="0.3">
      <c r="A157" s="663"/>
      <c r="B157" s="663"/>
      <c r="C157" s="663"/>
      <c r="D157" s="663"/>
      <c r="E157" s="663"/>
      <c r="F157" s="663"/>
      <c r="G157" s="663"/>
      <c r="H157" s="663"/>
      <c r="I157" s="663"/>
      <c r="J157" s="663"/>
      <c r="K157" s="663"/>
      <c r="L157" s="663"/>
      <c r="M157" s="663"/>
      <c r="N157" s="663"/>
      <c r="O157" s="663"/>
      <c r="P157" s="663"/>
      <c r="Q157" s="663"/>
      <c r="R157" s="663"/>
      <c r="S157" s="663"/>
      <c r="T157" s="663"/>
      <c r="U157" s="663"/>
      <c r="V157" s="663"/>
      <c r="W157" s="663"/>
      <c r="X157" s="663"/>
      <c r="Y157" s="663"/>
      <c r="Z157" s="663"/>
      <c r="AA157" s="663"/>
      <c r="AB157" s="663"/>
      <c r="AC157" s="663"/>
      <c r="AD157" s="663"/>
      <c r="AE157" s="663"/>
    </row>
    <row r="158" spans="1:31" ht="18" hidden="1" customHeight="1" x14ac:dyDescent="0.35">
      <c r="A158" s="660" t="s">
        <v>135</v>
      </c>
      <c r="B158" s="641"/>
      <c r="C158" s="663"/>
      <c r="D158" s="663"/>
      <c r="E158" s="663"/>
      <c r="F158" s="663"/>
      <c r="G158" s="663"/>
      <c r="H158" s="663"/>
      <c r="I158" s="663"/>
      <c r="J158" s="663"/>
      <c r="K158" s="663"/>
      <c r="L158" s="663"/>
      <c r="M158" s="663"/>
      <c r="N158" s="663"/>
      <c r="O158" s="663"/>
      <c r="P158" s="663"/>
      <c r="Q158" s="663"/>
      <c r="R158" s="663"/>
      <c r="S158" s="663"/>
      <c r="T158" s="663"/>
      <c r="U158" s="663"/>
      <c r="V158" s="663"/>
      <c r="W158" s="663"/>
      <c r="X158" s="663"/>
      <c r="Y158" s="663"/>
      <c r="Z158" s="663"/>
      <c r="AA158" s="663"/>
      <c r="AB158" s="663"/>
      <c r="AC158" s="663"/>
      <c r="AD158" s="663"/>
      <c r="AE158" s="663"/>
    </row>
    <row r="159" spans="1:31" ht="18" hidden="1" customHeight="1" x14ac:dyDescent="0.35">
      <c r="A159" s="664" t="s">
        <v>136</v>
      </c>
      <c r="B159" s="650"/>
      <c r="C159" s="663"/>
      <c r="D159" s="663"/>
      <c r="E159" s="663"/>
      <c r="F159" s="663"/>
      <c r="G159" s="663"/>
      <c r="H159" s="663"/>
      <c r="I159" s="663"/>
      <c r="J159" s="663"/>
      <c r="K159" s="663"/>
      <c r="L159" s="663"/>
      <c r="M159" s="663"/>
      <c r="N159" s="663"/>
      <c r="O159" s="663"/>
      <c r="P159" s="663"/>
      <c r="Q159" s="663"/>
      <c r="R159" s="663"/>
      <c r="S159" s="663"/>
      <c r="T159" s="663"/>
      <c r="U159" s="663"/>
      <c r="V159" s="663"/>
      <c r="W159" s="663"/>
      <c r="X159" s="663"/>
      <c r="Y159" s="663"/>
      <c r="Z159" s="663"/>
      <c r="AA159" s="663"/>
      <c r="AB159" s="663"/>
      <c r="AC159" s="663"/>
      <c r="AD159" s="663"/>
      <c r="AE159" s="663"/>
    </row>
    <row r="160" spans="1:31" ht="18" hidden="1" customHeight="1" x14ac:dyDescent="0.35">
      <c r="A160" s="666" t="s">
        <v>24</v>
      </c>
      <c r="B160" s="657"/>
      <c r="C160" s="663"/>
      <c r="D160" s="663"/>
      <c r="E160" s="663"/>
      <c r="F160" s="663"/>
      <c r="G160" s="663"/>
      <c r="H160" s="663"/>
      <c r="I160" s="663"/>
      <c r="J160" s="663"/>
      <c r="K160" s="663"/>
      <c r="L160" s="663"/>
      <c r="M160" s="663"/>
      <c r="N160" s="663"/>
      <c r="O160" s="663"/>
      <c r="P160" s="663"/>
      <c r="Q160" s="663"/>
      <c r="R160" s="663"/>
      <c r="S160" s="663"/>
      <c r="T160" s="663"/>
      <c r="U160" s="663"/>
      <c r="V160" s="663"/>
      <c r="W160" s="663"/>
      <c r="X160" s="663"/>
      <c r="Y160" s="663"/>
      <c r="Z160" s="663"/>
      <c r="AA160" s="663"/>
      <c r="AB160" s="663"/>
      <c r="AC160" s="663"/>
      <c r="AD160" s="663"/>
      <c r="AE160" s="663"/>
    </row>
    <row r="161" spans="1:31" ht="18" hidden="1" customHeight="1" x14ac:dyDescent="0.3">
      <c r="A161" s="663"/>
      <c r="B161" s="663"/>
      <c r="C161" s="663"/>
      <c r="D161" s="663"/>
      <c r="E161" s="663"/>
      <c r="F161" s="663"/>
      <c r="G161" s="663"/>
      <c r="H161" s="663"/>
      <c r="I161" s="663"/>
      <c r="J161" s="663"/>
      <c r="K161" s="663"/>
      <c r="L161" s="663"/>
      <c r="M161" s="663"/>
      <c r="N161" s="663"/>
      <c r="O161" s="663"/>
      <c r="P161" s="663"/>
      <c r="Q161" s="663"/>
      <c r="R161" s="663"/>
      <c r="S161" s="663"/>
      <c r="T161" s="663"/>
      <c r="U161" s="663"/>
      <c r="V161" s="663"/>
      <c r="W161" s="663"/>
      <c r="X161" s="663"/>
      <c r="Y161" s="663"/>
      <c r="Z161" s="663"/>
      <c r="AA161" s="663"/>
      <c r="AB161" s="663"/>
      <c r="AC161" s="663"/>
      <c r="AD161" s="663"/>
      <c r="AE161" s="663"/>
    </row>
    <row r="162" spans="1:31" ht="18" hidden="1" customHeight="1" x14ac:dyDescent="0.3">
      <c r="A162" s="663"/>
      <c r="B162" s="663"/>
      <c r="C162" s="663"/>
      <c r="D162" s="663"/>
      <c r="E162" s="663"/>
      <c r="F162" s="663"/>
      <c r="G162" s="663"/>
      <c r="H162" s="663"/>
      <c r="I162" s="663"/>
      <c r="J162" s="663"/>
      <c r="K162" s="663"/>
      <c r="L162" s="663"/>
      <c r="M162" s="663"/>
      <c r="N162" s="663"/>
      <c r="O162" s="663"/>
      <c r="P162" s="663"/>
      <c r="Q162" s="663"/>
      <c r="R162" s="663"/>
      <c r="S162" s="663"/>
      <c r="T162" s="663"/>
      <c r="U162" s="663"/>
      <c r="V162" s="663"/>
      <c r="W162" s="663"/>
      <c r="X162" s="663"/>
      <c r="Y162" s="663"/>
      <c r="Z162" s="663"/>
      <c r="AA162" s="663"/>
      <c r="AB162" s="663"/>
      <c r="AC162" s="663"/>
      <c r="AD162" s="663"/>
      <c r="AE162" s="663"/>
    </row>
    <row r="163" spans="1:31" ht="18" hidden="1" customHeight="1" x14ac:dyDescent="0.3">
      <c r="A163" s="672" t="s">
        <v>22</v>
      </c>
      <c r="B163" s="662">
        <v>4.2</v>
      </c>
      <c r="C163" s="663"/>
      <c r="D163" s="663"/>
      <c r="E163" s="663"/>
      <c r="F163" s="663"/>
      <c r="G163" s="663"/>
      <c r="H163" s="663"/>
      <c r="I163" s="663"/>
      <c r="J163" s="663"/>
      <c r="K163" s="663"/>
      <c r="L163" s="663"/>
      <c r="M163" s="663"/>
      <c r="N163" s="663"/>
      <c r="O163" s="663"/>
      <c r="P163" s="663"/>
      <c r="Q163" s="663"/>
      <c r="R163" s="663"/>
      <c r="S163" s="663"/>
      <c r="T163" s="663"/>
      <c r="U163" s="663"/>
      <c r="V163" s="663"/>
      <c r="W163" s="663"/>
      <c r="X163" s="663"/>
      <c r="Y163" s="663"/>
      <c r="Z163" s="663"/>
      <c r="AA163" s="663"/>
      <c r="AB163" s="663"/>
      <c r="AC163" s="663"/>
      <c r="AD163" s="663"/>
      <c r="AE163" s="663"/>
    </row>
    <row r="164" spans="1:31" ht="18" hidden="1" customHeight="1" x14ac:dyDescent="0.3">
      <c r="A164" s="673" t="s">
        <v>20</v>
      </c>
      <c r="B164" s="665">
        <v>0</v>
      </c>
      <c r="C164" s="663"/>
      <c r="D164" s="663"/>
      <c r="E164" s="663"/>
      <c r="F164" s="663"/>
      <c r="G164" s="663"/>
      <c r="H164" s="663"/>
      <c r="I164" s="663"/>
      <c r="J164" s="663"/>
      <c r="K164" s="663"/>
      <c r="L164" s="663"/>
      <c r="M164" s="663"/>
      <c r="N164" s="663"/>
      <c r="O164" s="663"/>
      <c r="P164" s="663"/>
      <c r="Q164" s="663"/>
      <c r="R164" s="663"/>
      <c r="S164" s="663"/>
      <c r="T164" s="663"/>
      <c r="U164" s="663"/>
      <c r="V164" s="663"/>
      <c r="W164" s="663"/>
      <c r="X164" s="663"/>
      <c r="Y164" s="663"/>
      <c r="Z164" s="663"/>
      <c r="AA164" s="663"/>
      <c r="AB164" s="663"/>
      <c r="AC164" s="663"/>
      <c r="AD164" s="663"/>
      <c r="AE164" s="663"/>
    </row>
    <row r="165" spans="1:31" ht="18" hidden="1" customHeight="1" x14ac:dyDescent="0.3">
      <c r="A165" s="674"/>
      <c r="B165" s="668"/>
      <c r="C165" s="663"/>
      <c r="D165" s="663"/>
      <c r="E165" s="663"/>
      <c r="F165" s="663"/>
      <c r="G165" s="663"/>
      <c r="H165" s="663"/>
      <c r="I165" s="663"/>
      <c r="J165" s="663"/>
      <c r="K165" s="663"/>
      <c r="L165" s="663"/>
      <c r="M165" s="663"/>
      <c r="N165" s="663"/>
      <c r="O165" s="663"/>
      <c r="P165" s="663"/>
      <c r="Q165" s="663"/>
      <c r="R165" s="663"/>
      <c r="S165" s="663"/>
      <c r="T165" s="663"/>
      <c r="U165" s="663"/>
      <c r="V165" s="663"/>
      <c r="W165" s="663"/>
      <c r="X165" s="663"/>
      <c r="Y165" s="663"/>
      <c r="Z165" s="663"/>
      <c r="AA165" s="663"/>
      <c r="AB165" s="663"/>
      <c r="AC165" s="663"/>
      <c r="AD165" s="663"/>
      <c r="AE165" s="663"/>
    </row>
    <row r="166" spans="1:31" ht="18" hidden="1" customHeight="1" x14ac:dyDescent="0.3">
      <c r="A166" s="663"/>
      <c r="B166" s="663"/>
      <c r="C166" s="663"/>
      <c r="D166" s="663"/>
      <c r="E166" s="663"/>
      <c r="F166" s="663"/>
      <c r="G166" s="663"/>
      <c r="H166" s="663"/>
      <c r="I166" s="663"/>
      <c r="J166" s="663"/>
      <c r="K166" s="663"/>
      <c r="L166" s="663"/>
      <c r="M166" s="663"/>
      <c r="N166" s="663"/>
      <c r="O166" s="663"/>
      <c r="P166" s="663"/>
      <c r="Q166" s="663"/>
      <c r="R166" s="663"/>
      <c r="S166" s="663"/>
      <c r="T166" s="663"/>
      <c r="U166" s="663"/>
      <c r="V166" s="663"/>
      <c r="W166" s="663"/>
      <c r="X166" s="663"/>
      <c r="Y166" s="663"/>
      <c r="Z166" s="663"/>
      <c r="AA166" s="663"/>
      <c r="AB166" s="663"/>
      <c r="AC166" s="663"/>
      <c r="AD166" s="663"/>
      <c r="AE166" s="663"/>
    </row>
    <row r="167" spans="1:31" ht="18" hidden="1" customHeight="1" x14ac:dyDescent="0.3">
      <c r="A167" s="672" t="s">
        <v>20</v>
      </c>
      <c r="B167" s="663"/>
      <c r="C167" s="663"/>
      <c r="D167" s="663"/>
      <c r="E167" s="663"/>
      <c r="F167" s="663"/>
      <c r="G167" s="663"/>
      <c r="H167" s="663"/>
      <c r="I167" s="663"/>
      <c r="J167" s="663"/>
      <c r="K167" s="663"/>
      <c r="L167" s="663"/>
      <c r="M167" s="663"/>
      <c r="N167" s="663"/>
      <c r="O167" s="663"/>
      <c r="P167" s="663"/>
      <c r="Q167" s="663"/>
      <c r="R167" s="663"/>
      <c r="S167" s="663"/>
      <c r="T167" s="663"/>
      <c r="U167" s="663"/>
      <c r="V167" s="663"/>
      <c r="W167" s="663"/>
      <c r="X167" s="663"/>
      <c r="Y167" s="663"/>
      <c r="Z167" s="663"/>
      <c r="AA167" s="663"/>
      <c r="AB167" s="663"/>
      <c r="AC167" s="663"/>
      <c r="AD167" s="663"/>
      <c r="AE167" s="663"/>
    </row>
    <row r="168" spans="1:31" ht="18" hidden="1" customHeight="1" x14ac:dyDescent="0.3">
      <c r="A168" s="674" t="s">
        <v>14</v>
      </c>
      <c r="B168" s="663"/>
      <c r="C168" s="663"/>
      <c r="D168" s="663"/>
      <c r="E168" s="663"/>
      <c r="F168" s="663"/>
      <c r="G168" s="663"/>
      <c r="H168" s="663"/>
      <c r="I168" s="663"/>
      <c r="J168" s="663"/>
      <c r="K168" s="663"/>
      <c r="L168" s="663"/>
      <c r="M168" s="663"/>
      <c r="N168" s="663"/>
      <c r="O168" s="663"/>
      <c r="P168" s="663"/>
      <c r="Q168" s="663"/>
      <c r="R168" s="663"/>
      <c r="S168" s="663"/>
      <c r="T168" s="663"/>
      <c r="U168" s="663"/>
      <c r="V168" s="663"/>
      <c r="W168" s="663"/>
      <c r="X168" s="663"/>
      <c r="Y168" s="663"/>
      <c r="Z168" s="663"/>
      <c r="AA168" s="663"/>
      <c r="AB168" s="663"/>
      <c r="AC168" s="663"/>
      <c r="AD168" s="663"/>
      <c r="AE168" s="663"/>
    </row>
    <row r="169" spans="1:31" ht="18" hidden="1" customHeight="1" x14ac:dyDescent="0.3">
      <c r="A169" s="663"/>
      <c r="B169" s="663"/>
      <c r="C169" s="663"/>
      <c r="D169" s="663"/>
      <c r="E169" s="663"/>
      <c r="F169" s="663"/>
      <c r="G169" s="663"/>
      <c r="H169" s="663"/>
      <c r="I169" s="663"/>
      <c r="J169" s="663"/>
      <c r="K169" s="663"/>
      <c r="L169" s="663"/>
      <c r="M169" s="663"/>
      <c r="N169" s="663"/>
      <c r="O169" s="663"/>
      <c r="P169" s="663"/>
      <c r="Q169" s="663"/>
      <c r="R169" s="663"/>
      <c r="S169" s="663"/>
      <c r="T169" s="663"/>
      <c r="U169" s="663"/>
      <c r="V169" s="663"/>
      <c r="W169" s="663"/>
      <c r="X169" s="663"/>
      <c r="Y169" s="663"/>
      <c r="Z169" s="663"/>
      <c r="AA169" s="663"/>
      <c r="AB169" s="663"/>
      <c r="AC169" s="663"/>
      <c r="AD169" s="663"/>
      <c r="AE169" s="663"/>
    </row>
    <row r="170" spans="1:31" ht="18" hidden="1" customHeight="1" x14ac:dyDescent="0.3">
      <c r="A170" s="660" t="s">
        <v>86</v>
      </c>
      <c r="B170" s="661" t="s">
        <v>86</v>
      </c>
      <c r="C170" s="661" t="s">
        <v>10</v>
      </c>
      <c r="D170" s="661">
        <v>1</v>
      </c>
      <c r="E170" s="662">
        <v>1.5</v>
      </c>
      <c r="F170" s="663"/>
      <c r="G170" s="663"/>
      <c r="H170" s="663"/>
      <c r="I170" s="663"/>
      <c r="J170" s="663"/>
      <c r="K170" s="663"/>
      <c r="L170" s="663"/>
      <c r="M170" s="663"/>
      <c r="N170" s="663"/>
      <c r="O170" s="663"/>
      <c r="P170" s="663"/>
      <c r="Q170" s="663"/>
      <c r="R170" s="663"/>
      <c r="S170" s="663"/>
      <c r="T170" s="663"/>
      <c r="U170" s="663"/>
      <c r="V170" s="663"/>
      <c r="W170" s="663"/>
      <c r="X170" s="663"/>
      <c r="Y170" s="663"/>
      <c r="Z170" s="663"/>
      <c r="AA170" s="663"/>
      <c r="AB170" s="663"/>
      <c r="AC170" s="663"/>
      <c r="AD170" s="663"/>
      <c r="AE170" s="663"/>
    </row>
    <row r="171" spans="1:31" ht="18" hidden="1" customHeight="1" x14ac:dyDescent="0.3">
      <c r="A171" s="666" t="s">
        <v>10</v>
      </c>
      <c r="B171" s="667" t="s">
        <v>10</v>
      </c>
      <c r="C171" s="667" t="s">
        <v>10</v>
      </c>
      <c r="D171" s="667">
        <v>1.5</v>
      </c>
      <c r="E171" s="668">
        <v>1.5</v>
      </c>
      <c r="F171" s="663"/>
      <c r="G171" s="663"/>
      <c r="H171" s="663"/>
      <c r="I171" s="663"/>
      <c r="J171" s="663"/>
      <c r="K171" s="663"/>
      <c r="L171" s="663"/>
      <c r="M171" s="663"/>
      <c r="N171" s="663"/>
      <c r="O171" s="663"/>
      <c r="P171" s="663"/>
      <c r="Q171" s="663"/>
      <c r="R171" s="663"/>
      <c r="S171" s="663"/>
      <c r="T171" s="663"/>
      <c r="U171" s="663"/>
      <c r="V171" s="663"/>
      <c r="W171" s="663"/>
      <c r="X171" s="663"/>
      <c r="Y171" s="663"/>
      <c r="Z171" s="663"/>
      <c r="AA171" s="663"/>
      <c r="AB171" s="663"/>
      <c r="AC171" s="663"/>
      <c r="AD171" s="663"/>
      <c r="AE171" s="663"/>
    </row>
    <row r="172" spans="1:31" ht="18" hidden="1" customHeight="1" x14ac:dyDescent="0.3">
      <c r="A172" s="663"/>
      <c r="B172" s="663"/>
      <c r="C172" s="663"/>
      <c r="D172" s="663"/>
      <c r="E172" s="663"/>
      <c r="F172" s="663"/>
      <c r="G172" s="663"/>
      <c r="H172" s="663"/>
      <c r="I172" s="663"/>
      <c r="J172" s="663"/>
      <c r="K172" s="663"/>
      <c r="L172" s="663"/>
      <c r="M172" s="663"/>
      <c r="N172" s="663"/>
      <c r="O172" s="663"/>
      <c r="P172" s="663"/>
      <c r="Q172" s="663"/>
      <c r="R172" s="663"/>
      <c r="S172" s="663"/>
      <c r="T172" s="663"/>
      <c r="U172" s="663"/>
      <c r="V172" s="663"/>
      <c r="W172" s="663"/>
      <c r="X172" s="663"/>
      <c r="Y172" s="663"/>
      <c r="Z172" s="663"/>
      <c r="AA172" s="663"/>
      <c r="AB172" s="663"/>
      <c r="AC172" s="663"/>
      <c r="AD172" s="663"/>
      <c r="AE172" s="663"/>
    </row>
    <row r="173" spans="1:31" ht="18" hidden="1" customHeight="1" x14ac:dyDescent="0.3">
      <c r="A173" s="660" t="s">
        <v>88</v>
      </c>
      <c r="B173" s="661" t="s">
        <v>89</v>
      </c>
      <c r="C173" s="661" t="s">
        <v>89</v>
      </c>
      <c r="D173" s="662">
        <v>1.9</v>
      </c>
      <c r="E173" s="663"/>
      <c r="F173" s="663"/>
      <c r="G173" s="663"/>
      <c r="H173" s="663"/>
      <c r="I173" s="663"/>
      <c r="J173" s="663"/>
      <c r="K173" s="663"/>
      <c r="L173" s="663"/>
      <c r="M173" s="663"/>
      <c r="N173" s="663"/>
      <c r="O173" s="663"/>
      <c r="P173" s="663"/>
      <c r="Q173" s="663"/>
      <c r="R173" s="663"/>
      <c r="S173" s="663"/>
      <c r="T173" s="663"/>
      <c r="U173" s="663"/>
      <c r="V173" s="663"/>
      <c r="W173" s="663"/>
      <c r="X173" s="663"/>
      <c r="Y173" s="663"/>
      <c r="Z173" s="663"/>
      <c r="AA173" s="663"/>
      <c r="AB173" s="663"/>
      <c r="AC173" s="663"/>
      <c r="AD173" s="663"/>
      <c r="AE173" s="663"/>
    </row>
    <row r="174" spans="1:31" ht="18" hidden="1" customHeight="1" x14ac:dyDescent="0.3">
      <c r="A174" s="666" t="s">
        <v>12</v>
      </c>
      <c r="B174" s="667" t="s">
        <v>90</v>
      </c>
      <c r="C174" s="667" t="s">
        <v>90</v>
      </c>
      <c r="D174" s="668">
        <v>2.1</v>
      </c>
      <c r="E174" s="663"/>
      <c r="F174" s="663"/>
      <c r="G174" s="663"/>
      <c r="H174" s="663"/>
      <c r="I174" s="663"/>
      <c r="J174" s="663"/>
      <c r="K174" s="663"/>
      <c r="L174" s="663"/>
      <c r="M174" s="663"/>
      <c r="N174" s="663"/>
      <c r="O174" s="663"/>
      <c r="P174" s="663"/>
      <c r="Q174" s="663"/>
      <c r="R174" s="663"/>
      <c r="S174" s="663"/>
      <c r="T174" s="663"/>
      <c r="U174" s="663"/>
      <c r="V174" s="663"/>
      <c r="W174" s="663"/>
      <c r="X174" s="663"/>
      <c r="Y174" s="663"/>
      <c r="Z174" s="663"/>
      <c r="AA174" s="663"/>
      <c r="AB174" s="663"/>
      <c r="AC174" s="663"/>
      <c r="AD174" s="663"/>
      <c r="AE174" s="663"/>
    </row>
    <row r="175" spans="1:31" ht="18" hidden="1" customHeight="1" x14ac:dyDescent="0.3">
      <c r="A175" s="663"/>
      <c r="B175" s="663"/>
      <c r="C175" s="663"/>
      <c r="D175" s="663"/>
      <c r="E175" s="663"/>
      <c r="F175" s="663"/>
      <c r="G175" s="663"/>
      <c r="H175" s="663"/>
      <c r="I175" s="663"/>
      <c r="J175" s="663"/>
      <c r="K175" s="663"/>
      <c r="L175" s="663"/>
      <c r="M175" s="663"/>
      <c r="N175" s="663"/>
      <c r="O175" s="663"/>
      <c r="P175" s="663"/>
      <c r="Q175" s="663"/>
      <c r="R175" s="663"/>
      <c r="S175" s="663"/>
      <c r="T175" s="663"/>
      <c r="U175" s="663"/>
      <c r="V175" s="663"/>
      <c r="W175" s="663"/>
      <c r="X175" s="663"/>
      <c r="Y175" s="663"/>
      <c r="Z175" s="663"/>
      <c r="AA175" s="663"/>
      <c r="AB175" s="663"/>
      <c r="AC175" s="663"/>
      <c r="AD175" s="663"/>
      <c r="AE175" s="663"/>
    </row>
    <row r="176" spans="1:31" ht="18" hidden="1" customHeight="1" x14ac:dyDescent="0.3">
      <c r="A176" s="660" t="s">
        <v>16</v>
      </c>
      <c r="B176" s="661">
        <v>0</v>
      </c>
      <c r="C176" s="662">
        <v>0</v>
      </c>
      <c r="D176" s="662"/>
      <c r="E176" s="663"/>
      <c r="F176" s="663"/>
      <c r="G176" s="663"/>
      <c r="H176" s="663"/>
      <c r="I176" s="663"/>
      <c r="J176" s="663"/>
      <c r="K176" s="663"/>
      <c r="L176" s="663"/>
      <c r="M176" s="663"/>
      <c r="N176" s="663"/>
      <c r="O176" s="663"/>
      <c r="P176" s="663"/>
      <c r="Q176" s="663"/>
      <c r="R176" s="663"/>
      <c r="S176" s="663"/>
      <c r="T176" s="663"/>
      <c r="U176" s="663"/>
      <c r="V176" s="663"/>
      <c r="W176" s="663"/>
      <c r="X176" s="663"/>
      <c r="Y176" s="663"/>
      <c r="Z176" s="663"/>
      <c r="AA176" s="663"/>
      <c r="AB176" s="663"/>
      <c r="AC176" s="663"/>
      <c r="AD176" s="663"/>
      <c r="AE176" s="663"/>
    </row>
    <row r="177" spans="1:31" ht="18" hidden="1" customHeight="1" x14ac:dyDescent="0.3">
      <c r="A177" s="664" t="s">
        <v>334</v>
      </c>
      <c r="B177" s="663">
        <v>0.7</v>
      </c>
      <c r="C177" s="665">
        <v>2</v>
      </c>
      <c r="D177" s="665">
        <v>1</v>
      </c>
      <c r="E177" s="663"/>
      <c r="F177" s="663"/>
      <c r="G177" s="663"/>
      <c r="H177" s="663"/>
      <c r="I177" s="663"/>
      <c r="J177" s="663"/>
      <c r="K177" s="663"/>
      <c r="L177" s="663"/>
      <c r="M177" s="663"/>
      <c r="N177" s="663"/>
      <c r="O177" s="663"/>
      <c r="P177" s="663"/>
      <c r="Q177" s="663"/>
      <c r="R177" s="663"/>
      <c r="S177" s="663"/>
      <c r="T177" s="663"/>
      <c r="U177" s="663"/>
      <c r="V177" s="663"/>
      <c r="W177" s="663"/>
      <c r="X177" s="663"/>
      <c r="Y177" s="663"/>
      <c r="Z177" s="663"/>
      <c r="AA177" s="663"/>
      <c r="AB177" s="663"/>
      <c r="AC177" s="663"/>
      <c r="AD177" s="663"/>
      <c r="AE177" s="663"/>
    </row>
    <row r="178" spans="1:31" ht="18" hidden="1" customHeight="1" x14ac:dyDescent="0.3">
      <c r="A178" s="664" t="s">
        <v>335</v>
      </c>
      <c r="B178" s="663">
        <v>1</v>
      </c>
      <c r="C178" s="665">
        <v>8</v>
      </c>
      <c r="D178" s="665">
        <v>5.3</v>
      </c>
      <c r="E178" s="663"/>
      <c r="F178" s="663"/>
      <c r="G178" s="663"/>
      <c r="H178" s="663"/>
      <c r="I178" s="663"/>
      <c r="J178" s="663"/>
      <c r="K178" s="663"/>
      <c r="L178" s="663"/>
      <c r="M178" s="663"/>
      <c r="N178" s="663"/>
      <c r="O178" s="663"/>
      <c r="P178" s="663"/>
      <c r="Q178" s="663"/>
      <c r="R178" s="663"/>
      <c r="S178" s="663"/>
      <c r="T178" s="663"/>
      <c r="U178" s="663"/>
      <c r="V178" s="663"/>
      <c r="W178" s="663"/>
      <c r="X178" s="663"/>
      <c r="Y178" s="663"/>
      <c r="Z178" s="663"/>
      <c r="AA178" s="663"/>
      <c r="AB178" s="663"/>
      <c r="AC178" s="663"/>
      <c r="AD178" s="663"/>
      <c r="AE178" s="663"/>
    </row>
    <row r="179" spans="1:31" ht="18" hidden="1" customHeight="1" x14ac:dyDescent="0.3">
      <c r="A179" s="664" t="s">
        <v>336</v>
      </c>
      <c r="B179" s="663">
        <f>1.5+2</f>
        <v>3.5</v>
      </c>
      <c r="C179" s="665">
        <v>19</v>
      </c>
      <c r="D179" s="665">
        <v>6.3</v>
      </c>
      <c r="E179" s="663"/>
      <c r="F179" s="663"/>
      <c r="G179" s="663"/>
      <c r="H179" s="663"/>
      <c r="I179" s="663"/>
      <c r="J179" s="663"/>
      <c r="K179" s="663"/>
      <c r="L179" s="663"/>
      <c r="M179" s="663"/>
      <c r="N179" s="663"/>
      <c r="O179" s="663"/>
      <c r="P179" s="663"/>
      <c r="Q179" s="663"/>
      <c r="R179" s="663"/>
      <c r="S179" s="663"/>
      <c r="T179" s="663"/>
      <c r="U179" s="663"/>
      <c r="V179" s="663"/>
      <c r="W179" s="663"/>
      <c r="X179" s="663"/>
      <c r="Y179" s="663"/>
      <c r="Z179" s="663"/>
      <c r="AA179" s="663"/>
      <c r="AB179" s="663"/>
      <c r="AC179" s="663"/>
      <c r="AD179" s="663"/>
      <c r="AE179" s="663"/>
    </row>
    <row r="180" spans="1:31" ht="18" hidden="1" customHeight="1" x14ac:dyDescent="0.3">
      <c r="A180" s="664" t="s">
        <v>337</v>
      </c>
      <c r="B180" s="663">
        <f>1.5+2+1</f>
        <v>4.5</v>
      </c>
      <c r="C180" s="665">
        <v>22</v>
      </c>
      <c r="D180" s="665">
        <v>6.5</v>
      </c>
      <c r="E180" s="663"/>
      <c r="F180" s="663"/>
      <c r="G180" s="663"/>
      <c r="H180" s="663"/>
      <c r="I180" s="663"/>
      <c r="J180" s="663"/>
      <c r="K180" s="663"/>
      <c r="L180" s="663"/>
      <c r="M180" s="663"/>
      <c r="N180" s="663"/>
      <c r="O180" s="663"/>
      <c r="P180" s="663"/>
      <c r="Q180" s="663"/>
      <c r="R180" s="663"/>
      <c r="S180" s="663"/>
      <c r="T180" s="663"/>
      <c r="U180" s="663"/>
      <c r="V180" s="663"/>
      <c r="W180" s="663"/>
      <c r="X180" s="663"/>
      <c r="Y180" s="663"/>
      <c r="Z180" s="663"/>
      <c r="AA180" s="663"/>
      <c r="AB180" s="663"/>
      <c r="AC180" s="663"/>
      <c r="AD180" s="663"/>
      <c r="AE180" s="663"/>
    </row>
    <row r="181" spans="1:31" ht="18" hidden="1" customHeight="1" x14ac:dyDescent="0.3">
      <c r="A181" s="664" t="s">
        <v>338</v>
      </c>
      <c r="B181" s="663">
        <v>1.5</v>
      </c>
      <c r="C181" s="665">
        <v>11</v>
      </c>
      <c r="D181" s="665">
        <v>5.95</v>
      </c>
      <c r="E181" s="663"/>
      <c r="F181" s="663"/>
      <c r="G181" s="663"/>
      <c r="H181" s="663"/>
      <c r="I181" s="663"/>
      <c r="J181" s="663"/>
      <c r="K181" s="663"/>
      <c r="L181" s="663"/>
      <c r="M181" s="663"/>
      <c r="N181" s="663"/>
      <c r="O181" s="663"/>
      <c r="P181" s="663"/>
      <c r="Q181" s="663"/>
      <c r="R181" s="663"/>
      <c r="S181" s="663"/>
      <c r="T181" s="663"/>
      <c r="U181" s="663"/>
      <c r="V181" s="663"/>
      <c r="W181" s="663"/>
      <c r="X181" s="663"/>
      <c r="Y181" s="663"/>
      <c r="Z181" s="663"/>
      <c r="AA181" s="663"/>
      <c r="AB181" s="663"/>
      <c r="AC181" s="663"/>
      <c r="AD181" s="663"/>
      <c r="AE181" s="663"/>
    </row>
    <row r="182" spans="1:31" ht="18" hidden="1" customHeight="1" x14ac:dyDescent="0.3">
      <c r="A182" s="666" t="s">
        <v>339</v>
      </c>
      <c r="B182" s="667">
        <v>2.5</v>
      </c>
      <c r="C182" s="668">
        <v>13</v>
      </c>
      <c r="D182" s="668">
        <v>6.1</v>
      </c>
      <c r="E182" s="663"/>
      <c r="F182" s="663"/>
      <c r="G182" s="663"/>
      <c r="H182" s="663"/>
      <c r="I182" s="663"/>
      <c r="J182" s="663"/>
      <c r="K182" s="663"/>
      <c r="L182" s="663"/>
      <c r="M182" s="663"/>
      <c r="N182" s="663"/>
      <c r="O182" s="663"/>
      <c r="P182" s="663"/>
      <c r="Q182" s="663"/>
      <c r="R182" s="663"/>
      <c r="S182" s="663"/>
      <c r="T182" s="663"/>
      <c r="U182" s="663"/>
      <c r="V182" s="663"/>
      <c r="W182" s="663"/>
      <c r="X182" s="663"/>
      <c r="Y182" s="663"/>
      <c r="Z182" s="663"/>
      <c r="AA182" s="663"/>
      <c r="AB182" s="663"/>
      <c r="AC182" s="663"/>
      <c r="AD182" s="663"/>
      <c r="AE182" s="663"/>
    </row>
    <row r="183" spans="1:31" ht="18" hidden="1" customHeight="1" x14ac:dyDescent="0.3">
      <c r="A183" s="663"/>
      <c r="B183" s="663"/>
      <c r="C183" s="663"/>
      <c r="D183" s="663"/>
      <c r="E183" s="663"/>
      <c r="F183" s="663"/>
      <c r="G183" s="663"/>
      <c r="H183" s="663"/>
      <c r="I183" s="663"/>
      <c r="J183" s="663"/>
      <c r="K183" s="663"/>
      <c r="L183" s="663"/>
      <c r="M183" s="663"/>
      <c r="N183" s="663"/>
      <c r="O183" s="663"/>
      <c r="P183" s="663"/>
      <c r="Q183" s="663"/>
      <c r="R183" s="663"/>
      <c r="S183" s="663"/>
      <c r="T183" s="663"/>
      <c r="U183" s="663"/>
      <c r="V183" s="663"/>
      <c r="W183" s="663"/>
      <c r="X183" s="663"/>
      <c r="Y183" s="663"/>
      <c r="Z183" s="663"/>
      <c r="AA183" s="663"/>
      <c r="AB183" s="663"/>
      <c r="AC183" s="663"/>
      <c r="AD183" s="663"/>
      <c r="AE183" s="663"/>
    </row>
    <row r="184" spans="1:31" ht="18" hidden="1" customHeight="1" x14ac:dyDescent="0.3">
      <c r="A184" s="660" t="s">
        <v>375</v>
      </c>
      <c r="B184" s="661">
        <v>1</v>
      </c>
      <c r="C184" s="662">
        <v>3</v>
      </c>
      <c r="D184" s="663"/>
      <c r="E184" s="663"/>
      <c r="F184" s="663"/>
      <c r="G184" s="663"/>
      <c r="H184" s="663"/>
      <c r="I184" s="663"/>
      <c r="J184" s="663"/>
      <c r="K184" s="663"/>
      <c r="L184" s="663"/>
      <c r="M184" s="663"/>
      <c r="N184" s="663"/>
      <c r="O184" s="663"/>
      <c r="P184" s="663"/>
      <c r="Q184" s="663"/>
      <c r="R184" s="663"/>
      <c r="S184" s="663"/>
      <c r="T184" s="663"/>
      <c r="U184" s="663"/>
      <c r="V184" s="663"/>
      <c r="W184" s="663"/>
      <c r="X184" s="663"/>
      <c r="Y184" s="663"/>
      <c r="Z184" s="663"/>
      <c r="AA184" s="663"/>
      <c r="AB184" s="663"/>
      <c r="AC184" s="663"/>
      <c r="AD184" s="663"/>
      <c r="AE184" s="663"/>
    </row>
    <row r="185" spans="1:31" ht="18" hidden="1" customHeight="1" x14ac:dyDescent="0.3">
      <c r="A185" s="664" t="s">
        <v>113</v>
      </c>
      <c r="B185" s="663">
        <v>1</v>
      </c>
      <c r="C185" s="665">
        <v>5</v>
      </c>
      <c r="D185" s="663"/>
      <c r="E185" s="663"/>
      <c r="F185" s="663"/>
      <c r="G185" s="663"/>
      <c r="H185" s="663"/>
      <c r="I185" s="663"/>
      <c r="J185" s="663"/>
      <c r="K185" s="663"/>
      <c r="L185" s="663"/>
      <c r="M185" s="663"/>
      <c r="N185" s="663"/>
      <c r="O185" s="663"/>
      <c r="P185" s="663"/>
      <c r="Q185" s="663"/>
      <c r="R185" s="663"/>
      <c r="S185" s="663"/>
      <c r="T185" s="663"/>
      <c r="U185" s="663"/>
      <c r="V185" s="663"/>
      <c r="W185" s="663"/>
      <c r="X185" s="663"/>
      <c r="Y185" s="663"/>
      <c r="Z185" s="663"/>
      <c r="AA185" s="663"/>
      <c r="AB185" s="663"/>
      <c r="AC185" s="663"/>
      <c r="AD185" s="663"/>
      <c r="AE185" s="663"/>
    </row>
    <row r="186" spans="1:31" ht="18" hidden="1" customHeight="1" x14ac:dyDescent="0.3">
      <c r="A186" s="664" t="s">
        <v>16</v>
      </c>
      <c r="B186" s="663"/>
      <c r="C186" s="665"/>
      <c r="D186" s="663"/>
      <c r="E186" s="663"/>
      <c r="F186" s="663"/>
      <c r="G186" s="663"/>
      <c r="H186" s="663"/>
      <c r="I186" s="663"/>
      <c r="J186" s="663"/>
      <c r="K186" s="663"/>
      <c r="L186" s="663"/>
      <c r="M186" s="663"/>
      <c r="N186" s="663"/>
      <c r="O186" s="663"/>
      <c r="P186" s="663"/>
      <c r="Q186" s="663"/>
      <c r="R186" s="663"/>
      <c r="S186" s="663"/>
      <c r="T186" s="663"/>
      <c r="U186" s="663"/>
      <c r="V186" s="663"/>
      <c r="W186" s="663"/>
      <c r="X186" s="663"/>
      <c r="Y186" s="663"/>
      <c r="Z186" s="663"/>
      <c r="AA186" s="663"/>
      <c r="AB186" s="663"/>
      <c r="AC186" s="663"/>
      <c r="AD186" s="663"/>
      <c r="AE186" s="663"/>
    </row>
    <row r="187" spans="1:31" ht="18" hidden="1" customHeight="1" x14ac:dyDescent="0.3">
      <c r="A187" s="664" t="s">
        <v>105</v>
      </c>
      <c r="B187" s="663">
        <v>1</v>
      </c>
      <c r="C187" s="665">
        <v>3</v>
      </c>
      <c r="D187" s="663"/>
      <c r="E187" s="663"/>
      <c r="F187" s="663"/>
      <c r="G187" s="663"/>
      <c r="H187" s="663"/>
      <c r="I187" s="663"/>
      <c r="J187" s="663"/>
      <c r="K187" s="663"/>
      <c r="L187" s="663"/>
      <c r="M187" s="663"/>
      <c r="N187" s="663"/>
      <c r="O187" s="663"/>
      <c r="P187" s="663"/>
      <c r="Q187" s="663"/>
      <c r="R187" s="663"/>
      <c r="S187" s="663"/>
      <c r="T187" s="663"/>
      <c r="U187" s="663"/>
      <c r="V187" s="663"/>
      <c r="W187" s="663"/>
      <c r="X187" s="663"/>
      <c r="Y187" s="663"/>
      <c r="Z187" s="663"/>
      <c r="AA187" s="663"/>
      <c r="AB187" s="663"/>
      <c r="AC187" s="663"/>
      <c r="AD187" s="663"/>
      <c r="AE187" s="663"/>
    </row>
    <row r="188" spans="1:31" ht="18" hidden="1" customHeight="1" x14ac:dyDescent="0.3">
      <c r="A188" s="664" t="s">
        <v>27</v>
      </c>
      <c r="B188" s="663">
        <v>1</v>
      </c>
      <c r="C188" s="665">
        <v>5</v>
      </c>
      <c r="D188" s="663"/>
      <c r="E188" s="663"/>
      <c r="F188" s="663"/>
      <c r="G188" s="663"/>
      <c r="H188" s="663"/>
      <c r="I188" s="663"/>
      <c r="J188" s="663"/>
      <c r="K188" s="663"/>
      <c r="L188" s="663"/>
      <c r="M188" s="663"/>
      <c r="N188" s="663"/>
      <c r="O188" s="663"/>
      <c r="P188" s="663"/>
      <c r="Q188" s="663"/>
      <c r="R188" s="663"/>
      <c r="S188" s="663"/>
      <c r="T188" s="663"/>
      <c r="U188" s="663"/>
      <c r="V188" s="663"/>
      <c r="W188" s="663"/>
      <c r="X188" s="663"/>
      <c r="Y188" s="663"/>
      <c r="Z188" s="663"/>
      <c r="AA188" s="663"/>
      <c r="AB188" s="663"/>
      <c r="AC188" s="663"/>
      <c r="AD188" s="663"/>
      <c r="AE188" s="663"/>
    </row>
    <row r="189" spans="1:31" ht="18" hidden="1" customHeight="1" x14ac:dyDescent="0.3">
      <c r="A189" s="664" t="s">
        <v>128</v>
      </c>
      <c r="B189" s="663">
        <v>1</v>
      </c>
      <c r="C189" s="665">
        <v>3.2</v>
      </c>
      <c r="D189" s="663"/>
      <c r="E189" s="663"/>
      <c r="F189" s="663"/>
      <c r="G189" s="663"/>
      <c r="H189" s="663"/>
      <c r="I189" s="663"/>
      <c r="J189" s="663"/>
      <c r="K189" s="663"/>
      <c r="L189" s="663"/>
      <c r="M189" s="663"/>
      <c r="N189" s="663"/>
      <c r="O189" s="663"/>
      <c r="P189" s="663"/>
      <c r="Q189" s="663"/>
      <c r="R189" s="663"/>
      <c r="S189" s="663"/>
      <c r="T189" s="663"/>
      <c r="U189" s="663"/>
      <c r="V189" s="663"/>
      <c r="W189" s="663"/>
      <c r="X189" s="663"/>
      <c r="Y189" s="663"/>
      <c r="Z189" s="663"/>
      <c r="AA189" s="663"/>
      <c r="AB189" s="663"/>
      <c r="AC189" s="663"/>
      <c r="AD189" s="663"/>
      <c r="AE189" s="663"/>
    </row>
    <row r="190" spans="1:31" ht="18" hidden="1" customHeight="1" x14ac:dyDescent="0.3">
      <c r="A190" s="664" t="s">
        <v>376</v>
      </c>
      <c r="B190" s="663">
        <v>1</v>
      </c>
      <c r="C190" s="665">
        <v>3.2</v>
      </c>
      <c r="D190" s="663"/>
      <c r="E190" s="663"/>
      <c r="F190" s="663"/>
      <c r="G190" s="663"/>
      <c r="H190" s="663"/>
      <c r="I190" s="663"/>
      <c r="J190" s="663"/>
      <c r="K190" s="663"/>
      <c r="L190" s="663"/>
      <c r="M190" s="663"/>
      <c r="N190" s="663"/>
      <c r="O190" s="663"/>
      <c r="P190" s="663"/>
      <c r="Q190" s="663"/>
      <c r="R190" s="663"/>
      <c r="S190" s="663"/>
      <c r="T190" s="663"/>
      <c r="U190" s="663"/>
      <c r="V190" s="663"/>
      <c r="W190" s="663"/>
      <c r="X190" s="663"/>
      <c r="Y190" s="663"/>
      <c r="Z190" s="663"/>
      <c r="AA190" s="663"/>
      <c r="AB190" s="663"/>
      <c r="AC190" s="663"/>
      <c r="AD190" s="663"/>
      <c r="AE190" s="663"/>
    </row>
    <row r="191" spans="1:31" ht="18" hidden="1" customHeight="1" x14ac:dyDescent="0.3">
      <c r="A191" s="664" t="s">
        <v>203</v>
      </c>
      <c r="B191" s="663">
        <v>1</v>
      </c>
      <c r="C191" s="665">
        <v>5.3</v>
      </c>
      <c r="D191" s="663"/>
      <c r="E191" s="663"/>
      <c r="F191" s="663"/>
      <c r="G191" s="663"/>
      <c r="H191" s="663"/>
      <c r="I191" s="663"/>
      <c r="J191" s="663"/>
      <c r="K191" s="663"/>
      <c r="L191" s="663"/>
      <c r="M191" s="663"/>
      <c r="N191" s="663"/>
      <c r="O191" s="663"/>
      <c r="P191" s="663"/>
      <c r="Q191" s="663"/>
      <c r="R191" s="663"/>
      <c r="S191" s="663"/>
      <c r="T191" s="663"/>
      <c r="U191" s="663"/>
      <c r="V191" s="663"/>
      <c r="W191" s="663"/>
      <c r="X191" s="663"/>
      <c r="Y191" s="663"/>
      <c r="Z191" s="663"/>
      <c r="AA191" s="663"/>
      <c r="AB191" s="663"/>
      <c r="AC191" s="663"/>
      <c r="AD191" s="663"/>
      <c r="AE191" s="663"/>
    </row>
    <row r="192" spans="1:31" ht="18" hidden="1" customHeight="1" x14ac:dyDescent="0.3">
      <c r="A192" s="666" t="s">
        <v>377</v>
      </c>
      <c r="B192" s="667">
        <v>1</v>
      </c>
      <c r="C192" s="668">
        <v>5.3</v>
      </c>
      <c r="D192" s="663"/>
      <c r="E192" s="663"/>
      <c r="F192" s="663"/>
      <c r="G192" s="663"/>
      <c r="H192" s="663"/>
      <c r="I192" s="663"/>
      <c r="J192" s="663"/>
      <c r="K192" s="663"/>
      <c r="L192" s="663"/>
      <c r="M192" s="663"/>
      <c r="N192" s="663"/>
      <c r="O192" s="663"/>
      <c r="P192" s="663"/>
      <c r="Q192" s="663"/>
      <c r="R192" s="663"/>
      <c r="S192" s="663"/>
      <c r="T192" s="663"/>
      <c r="U192" s="663"/>
      <c r="V192" s="663"/>
      <c r="W192" s="663"/>
      <c r="X192" s="663"/>
      <c r="Y192" s="663"/>
      <c r="Z192" s="663"/>
      <c r="AA192" s="663"/>
      <c r="AB192" s="663"/>
      <c r="AC192" s="663"/>
      <c r="AD192" s="663"/>
      <c r="AE192" s="663"/>
    </row>
    <row r="193" spans="1:31" ht="17.25" hidden="1" customHeight="1" x14ac:dyDescent="0.3">
      <c r="A193" s="663"/>
      <c r="B193" s="663"/>
      <c r="C193" s="663"/>
      <c r="D193" s="663"/>
      <c r="E193" s="663"/>
      <c r="F193" s="663"/>
      <c r="G193" s="663"/>
      <c r="H193" s="663"/>
      <c r="I193" s="663"/>
      <c r="J193" s="663"/>
      <c r="K193" s="663"/>
      <c r="L193" s="663"/>
      <c r="M193" s="663"/>
      <c r="N193" s="663"/>
      <c r="O193" s="663"/>
      <c r="P193" s="663"/>
      <c r="Q193" s="663"/>
      <c r="R193" s="663"/>
      <c r="S193" s="663"/>
      <c r="T193" s="663"/>
      <c r="U193" s="663"/>
      <c r="V193" s="663"/>
      <c r="W193" s="663"/>
      <c r="X193" s="663"/>
      <c r="Y193" s="663"/>
      <c r="Z193" s="663"/>
      <c r="AA193" s="663"/>
      <c r="AB193" s="663"/>
      <c r="AC193" s="663"/>
      <c r="AD193" s="663"/>
      <c r="AE193" s="663"/>
    </row>
    <row r="194" spans="1:31" ht="18" hidden="1" customHeight="1" x14ac:dyDescent="0.3">
      <c r="A194" s="672" t="s">
        <v>305</v>
      </c>
      <c r="B194" s="663"/>
      <c r="C194" s="663"/>
      <c r="D194" s="663"/>
      <c r="E194" s="663"/>
      <c r="F194" s="663"/>
      <c r="G194" s="663"/>
      <c r="H194" s="663"/>
      <c r="I194" s="663"/>
      <c r="J194" s="663"/>
      <c r="K194" s="663"/>
      <c r="L194" s="663"/>
      <c r="M194" s="663"/>
      <c r="N194" s="663"/>
      <c r="O194" s="663"/>
      <c r="P194" s="663"/>
      <c r="Q194" s="663"/>
      <c r="R194" s="663"/>
      <c r="S194" s="663"/>
      <c r="T194" s="663"/>
      <c r="U194" s="663"/>
      <c r="V194" s="663"/>
      <c r="W194" s="663"/>
      <c r="X194" s="663"/>
      <c r="Y194" s="663"/>
      <c r="Z194" s="663"/>
      <c r="AA194" s="663"/>
      <c r="AB194" s="663"/>
      <c r="AC194" s="663"/>
      <c r="AD194" s="663"/>
      <c r="AE194" s="663"/>
    </row>
    <row r="195" spans="1:31" ht="18" hidden="1" customHeight="1" x14ac:dyDescent="0.3">
      <c r="A195" s="674" t="s">
        <v>347</v>
      </c>
      <c r="B195" s="663"/>
      <c r="C195" s="663"/>
      <c r="D195" s="663"/>
      <c r="E195" s="663"/>
      <c r="F195" s="663"/>
      <c r="G195" s="663"/>
      <c r="H195" s="663"/>
      <c r="I195" s="663"/>
      <c r="J195" s="663"/>
      <c r="K195" s="663"/>
      <c r="L195" s="663"/>
      <c r="M195" s="663"/>
      <c r="N195" s="663"/>
      <c r="O195" s="663"/>
      <c r="P195" s="663"/>
      <c r="Q195" s="663"/>
      <c r="R195" s="663"/>
      <c r="S195" s="663"/>
      <c r="T195" s="663"/>
      <c r="U195" s="663"/>
      <c r="V195" s="663"/>
      <c r="W195" s="663"/>
      <c r="X195" s="663"/>
      <c r="Y195" s="663"/>
      <c r="Z195" s="663"/>
      <c r="AA195" s="663"/>
      <c r="AB195" s="663"/>
      <c r="AC195" s="663"/>
      <c r="AD195" s="663"/>
      <c r="AE195" s="663"/>
    </row>
    <row r="196" spans="1:31" ht="18" hidden="1" customHeight="1" x14ac:dyDescent="0.3">
      <c r="A196" s="663"/>
      <c r="B196" s="663"/>
      <c r="C196" s="663"/>
      <c r="D196" s="663"/>
      <c r="E196" s="663"/>
      <c r="F196" s="663"/>
      <c r="G196" s="663"/>
      <c r="H196" s="663"/>
      <c r="I196" s="663"/>
      <c r="J196" s="663"/>
      <c r="K196" s="663"/>
      <c r="L196" s="663"/>
      <c r="M196" s="663"/>
      <c r="N196" s="663"/>
      <c r="O196" s="663"/>
      <c r="P196" s="663"/>
      <c r="Q196" s="663"/>
      <c r="R196" s="663"/>
      <c r="S196" s="663"/>
      <c r="T196" s="663"/>
      <c r="U196" s="663"/>
      <c r="V196" s="663"/>
      <c r="W196" s="663"/>
      <c r="X196" s="663"/>
      <c r="Y196" s="663"/>
      <c r="Z196" s="663"/>
      <c r="AA196" s="663"/>
      <c r="AB196" s="663"/>
      <c r="AC196" s="663"/>
      <c r="AD196" s="663"/>
      <c r="AE196" s="663"/>
    </row>
    <row r="197" spans="1:31" ht="18" hidden="1" customHeight="1" x14ac:dyDescent="0.3">
      <c r="A197" s="672">
        <v>1</v>
      </c>
      <c r="B197" s="663"/>
      <c r="C197" s="663"/>
      <c r="D197" s="663"/>
      <c r="E197" s="663"/>
      <c r="F197" s="663"/>
      <c r="G197" s="663"/>
      <c r="H197" s="663"/>
      <c r="I197" s="663"/>
      <c r="J197" s="663"/>
      <c r="K197" s="663"/>
      <c r="L197" s="663"/>
      <c r="M197" s="663"/>
      <c r="N197" s="663"/>
      <c r="O197" s="663"/>
      <c r="P197" s="663"/>
      <c r="Q197" s="663"/>
      <c r="R197" s="663"/>
      <c r="S197" s="663"/>
      <c r="T197" s="663"/>
      <c r="U197" s="663"/>
      <c r="V197" s="663"/>
      <c r="W197" s="663"/>
      <c r="X197" s="663"/>
      <c r="Y197" s="663"/>
      <c r="Z197" s="663"/>
      <c r="AA197" s="663"/>
      <c r="AB197" s="663"/>
      <c r="AC197" s="663"/>
      <c r="AD197" s="663"/>
      <c r="AE197" s="663"/>
    </row>
    <row r="198" spans="1:31" ht="18" hidden="1" customHeight="1" x14ac:dyDescent="0.3">
      <c r="A198" s="673">
        <v>2</v>
      </c>
      <c r="B198" s="663"/>
      <c r="C198" s="663"/>
      <c r="D198" s="663"/>
      <c r="E198" s="663"/>
      <c r="F198" s="663"/>
      <c r="G198" s="663"/>
      <c r="H198" s="663"/>
      <c r="I198" s="663"/>
      <c r="J198" s="663"/>
      <c r="K198" s="663"/>
      <c r="L198" s="663"/>
      <c r="M198" s="663"/>
      <c r="N198" s="663"/>
      <c r="O198" s="663"/>
      <c r="P198" s="663"/>
      <c r="Q198" s="663"/>
      <c r="R198" s="663"/>
      <c r="S198" s="663"/>
      <c r="T198" s="663"/>
      <c r="U198" s="663"/>
      <c r="V198" s="663"/>
      <c r="W198" s="663"/>
      <c r="X198" s="663"/>
      <c r="Y198" s="663"/>
      <c r="Z198" s="663"/>
      <c r="AA198" s="663"/>
      <c r="AB198" s="663"/>
      <c r="AC198" s="663"/>
      <c r="AD198" s="663"/>
      <c r="AE198" s="663"/>
    </row>
    <row r="199" spans="1:31" ht="18" hidden="1" customHeight="1" x14ac:dyDescent="0.3">
      <c r="A199" s="673">
        <v>3</v>
      </c>
      <c r="B199" s="663"/>
      <c r="C199" s="663"/>
      <c r="D199" s="663"/>
      <c r="E199" s="663"/>
      <c r="F199" s="663"/>
      <c r="G199" s="663"/>
      <c r="H199" s="663"/>
      <c r="I199" s="663"/>
      <c r="J199" s="663"/>
      <c r="K199" s="663"/>
      <c r="L199" s="663"/>
      <c r="M199" s="663"/>
      <c r="N199" s="663"/>
      <c r="O199" s="663"/>
      <c r="P199" s="663"/>
      <c r="Q199" s="663"/>
      <c r="R199" s="663"/>
      <c r="S199" s="663"/>
      <c r="T199" s="663"/>
      <c r="U199" s="663"/>
      <c r="V199" s="663"/>
      <c r="W199" s="663"/>
      <c r="X199" s="663"/>
      <c r="Y199" s="663"/>
      <c r="Z199" s="663"/>
      <c r="AA199" s="663"/>
      <c r="AB199" s="663"/>
      <c r="AC199" s="663"/>
      <c r="AD199" s="663"/>
      <c r="AE199" s="663"/>
    </row>
    <row r="200" spans="1:31" ht="18" hidden="1" customHeight="1" x14ac:dyDescent="0.3">
      <c r="A200" s="673">
        <v>4</v>
      </c>
      <c r="B200" s="663"/>
      <c r="C200" s="663"/>
      <c r="D200" s="663"/>
      <c r="E200" s="663"/>
      <c r="F200" s="663"/>
      <c r="G200" s="663"/>
      <c r="H200" s="663"/>
      <c r="I200" s="663"/>
      <c r="J200" s="663"/>
      <c r="K200" s="663"/>
      <c r="L200" s="663"/>
      <c r="M200" s="663"/>
      <c r="N200" s="663"/>
      <c r="O200" s="663"/>
      <c r="P200" s="663"/>
      <c r="Q200" s="663"/>
      <c r="R200" s="663"/>
      <c r="S200" s="663"/>
      <c r="T200" s="663"/>
      <c r="U200" s="663"/>
      <c r="V200" s="663"/>
      <c r="W200" s="663"/>
      <c r="X200" s="663"/>
      <c r="Y200" s="663"/>
      <c r="Z200" s="663"/>
      <c r="AA200" s="663"/>
      <c r="AB200" s="663"/>
      <c r="AC200" s="663"/>
      <c r="AD200" s="663"/>
      <c r="AE200" s="663"/>
    </row>
    <row r="201" spans="1:31" ht="18" hidden="1" customHeight="1" x14ac:dyDescent="0.3">
      <c r="A201" s="673">
        <v>5</v>
      </c>
      <c r="B201" s="663"/>
      <c r="C201" s="663"/>
      <c r="D201" s="663"/>
      <c r="E201" s="663"/>
      <c r="F201" s="663"/>
      <c r="G201" s="663"/>
      <c r="H201" s="663"/>
      <c r="I201" s="663"/>
      <c r="J201" s="663"/>
      <c r="K201" s="663"/>
      <c r="L201" s="663"/>
      <c r="M201" s="663"/>
      <c r="N201" s="663"/>
      <c r="O201" s="663"/>
      <c r="P201" s="663"/>
      <c r="Q201" s="663"/>
      <c r="R201" s="663"/>
      <c r="S201" s="663"/>
      <c r="T201" s="663"/>
      <c r="U201" s="663"/>
      <c r="V201" s="663"/>
      <c r="W201" s="663"/>
      <c r="X201" s="663"/>
      <c r="Y201" s="663"/>
      <c r="Z201" s="663"/>
      <c r="AA201" s="663"/>
      <c r="AB201" s="663"/>
      <c r="AC201" s="663"/>
      <c r="AD201" s="663"/>
      <c r="AE201" s="663"/>
    </row>
    <row r="202" spans="1:31" ht="18" hidden="1" customHeight="1" x14ac:dyDescent="0.3">
      <c r="A202" s="674">
        <v>6</v>
      </c>
      <c r="B202" s="663"/>
      <c r="C202" s="663"/>
      <c r="D202" s="663"/>
      <c r="E202" s="663"/>
      <c r="F202" s="663"/>
      <c r="G202" s="663"/>
      <c r="H202" s="663"/>
      <c r="I202" s="663"/>
      <c r="J202" s="663"/>
      <c r="K202" s="663"/>
      <c r="L202" s="663"/>
      <c r="M202" s="663"/>
      <c r="N202" s="663"/>
      <c r="O202" s="663"/>
      <c r="P202" s="663"/>
      <c r="Q202" s="663"/>
      <c r="R202" s="663"/>
      <c r="S202" s="663"/>
      <c r="T202" s="663"/>
      <c r="U202" s="663"/>
      <c r="V202" s="663"/>
      <c r="W202" s="663"/>
      <c r="X202" s="663"/>
      <c r="Y202" s="663"/>
      <c r="Z202" s="663"/>
      <c r="AA202" s="663"/>
      <c r="AB202" s="663"/>
      <c r="AC202" s="663"/>
      <c r="AD202" s="663"/>
      <c r="AE202" s="663"/>
    </row>
    <row r="203" spans="1:31" ht="18" hidden="1" customHeight="1" x14ac:dyDescent="0.3">
      <c r="A203" s="663"/>
      <c r="B203" s="663"/>
      <c r="C203" s="663"/>
      <c r="D203" s="663"/>
      <c r="E203" s="663"/>
      <c r="F203" s="663"/>
      <c r="G203" s="663"/>
      <c r="H203" s="663"/>
      <c r="I203" s="663"/>
      <c r="J203" s="663"/>
      <c r="K203" s="663"/>
      <c r="L203" s="663"/>
      <c r="M203" s="663"/>
      <c r="N203" s="663"/>
      <c r="O203" s="663"/>
      <c r="P203" s="663"/>
      <c r="Q203" s="663"/>
      <c r="R203" s="663"/>
      <c r="S203" s="663"/>
      <c r="T203" s="663"/>
      <c r="U203" s="663"/>
      <c r="V203" s="663"/>
      <c r="W203" s="663"/>
      <c r="X203" s="663"/>
      <c r="Y203" s="663"/>
      <c r="Z203" s="663"/>
      <c r="AA203" s="663"/>
      <c r="AB203" s="663"/>
      <c r="AC203" s="663"/>
      <c r="AD203" s="663"/>
      <c r="AE203" s="663"/>
    </row>
    <row r="204" spans="1:31" ht="18" hidden="1" customHeight="1" x14ac:dyDescent="0.3">
      <c r="A204" s="660" t="s">
        <v>20</v>
      </c>
      <c r="B204" s="661">
        <v>0</v>
      </c>
      <c r="C204" s="662">
        <v>0</v>
      </c>
      <c r="D204" s="663"/>
      <c r="E204" s="663"/>
      <c r="F204" s="663"/>
      <c r="G204" s="663"/>
      <c r="H204" s="663"/>
      <c r="I204" s="663"/>
      <c r="J204" s="663"/>
      <c r="K204" s="663"/>
      <c r="L204" s="663"/>
      <c r="M204" s="663"/>
      <c r="N204" s="663"/>
      <c r="O204" s="663"/>
      <c r="P204" s="663"/>
      <c r="Q204" s="663"/>
      <c r="R204" s="663"/>
      <c r="S204" s="663"/>
      <c r="T204" s="663"/>
      <c r="U204" s="663"/>
      <c r="V204" s="663"/>
      <c r="W204" s="663"/>
      <c r="X204" s="663"/>
      <c r="Y204" s="663"/>
      <c r="Z204" s="663"/>
      <c r="AA204" s="663"/>
      <c r="AB204" s="663"/>
      <c r="AC204" s="663"/>
      <c r="AD204" s="663"/>
      <c r="AE204" s="663"/>
    </row>
    <row r="205" spans="1:31" ht="18" hidden="1" customHeight="1" x14ac:dyDescent="0.3">
      <c r="A205" s="666" t="s">
        <v>14</v>
      </c>
      <c r="B205" s="667">
        <v>2.5</v>
      </c>
      <c r="C205" s="668">
        <v>1.5</v>
      </c>
      <c r="D205" s="663"/>
      <c r="E205" s="663"/>
      <c r="F205" s="663"/>
      <c r="G205" s="663"/>
      <c r="H205" s="663"/>
      <c r="I205" s="663"/>
      <c r="J205" s="663"/>
      <c r="K205" s="663"/>
      <c r="L205" s="663"/>
      <c r="M205" s="663"/>
      <c r="N205" s="663"/>
      <c r="O205" s="663"/>
      <c r="P205" s="663"/>
      <c r="Q205" s="663"/>
      <c r="R205" s="663"/>
      <c r="S205" s="663"/>
      <c r="T205" s="663"/>
      <c r="U205" s="663"/>
      <c r="V205" s="663"/>
      <c r="W205" s="663"/>
      <c r="X205" s="663"/>
      <c r="Y205" s="663"/>
      <c r="Z205" s="663"/>
      <c r="AA205" s="663"/>
      <c r="AB205" s="663"/>
      <c r="AC205" s="663"/>
      <c r="AD205" s="663"/>
      <c r="AE205" s="663"/>
    </row>
    <row r="206" spans="1:31" ht="18" hidden="1" customHeight="1" x14ac:dyDescent="0.3">
      <c r="A206" s="663"/>
      <c r="B206" s="663"/>
      <c r="C206" s="663"/>
      <c r="D206" s="663"/>
      <c r="E206" s="663"/>
      <c r="F206" s="663"/>
      <c r="G206" s="663"/>
      <c r="H206" s="663"/>
      <c r="I206" s="663"/>
      <c r="J206" s="663"/>
      <c r="K206" s="663"/>
      <c r="L206" s="663"/>
      <c r="M206" s="663"/>
      <c r="N206" s="663"/>
      <c r="O206" s="663"/>
      <c r="P206" s="663"/>
      <c r="Q206" s="663"/>
      <c r="R206" s="663"/>
      <c r="S206" s="663"/>
      <c r="T206" s="663"/>
      <c r="U206" s="663"/>
      <c r="V206" s="663"/>
      <c r="W206" s="663"/>
      <c r="X206" s="663"/>
      <c r="Y206" s="663"/>
      <c r="Z206" s="663"/>
      <c r="AA206" s="663"/>
      <c r="AB206" s="663"/>
      <c r="AC206" s="663"/>
      <c r="AD206" s="663"/>
      <c r="AE206" s="663"/>
    </row>
    <row r="207" spans="1:31" ht="18" hidden="1" customHeight="1" x14ac:dyDescent="0.3">
      <c r="A207" s="672" t="s">
        <v>133</v>
      </c>
      <c r="B207" s="663"/>
      <c r="C207" s="663"/>
      <c r="D207" s="663"/>
      <c r="E207" s="663"/>
      <c r="F207" s="663"/>
      <c r="G207" s="663"/>
      <c r="H207" s="663"/>
      <c r="I207" s="663"/>
      <c r="J207" s="663"/>
      <c r="K207" s="663"/>
      <c r="L207" s="663"/>
      <c r="M207" s="663"/>
      <c r="N207" s="663"/>
      <c r="O207" s="663"/>
      <c r="P207" s="663"/>
      <c r="Q207" s="663"/>
      <c r="R207" s="663"/>
      <c r="S207" s="663"/>
      <c r="T207" s="663"/>
      <c r="U207" s="663"/>
      <c r="V207" s="663"/>
      <c r="W207" s="663"/>
      <c r="X207" s="663"/>
      <c r="Y207" s="663"/>
      <c r="Z207" s="663"/>
      <c r="AA207" s="663"/>
      <c r="AB207" s="663"/>
      <c r="AC207" s="663"/>
      <c r="AD207" s="663"/>
      <c r="AE207" s="663"/>
    </row>
    <row r="208" spans="1:31" ht="18" hidden="1" customHeight="1" x14ac:dyDescent="0.3">
      <c r="A208" s="674" t="s">
        <v>134</v>
      </c>
      <c r="B208" s="663"/>
      <c r="C208" s="663"/>
      <c r="D208" s="663"/>
      <c r="E208" s="663"/>
      <c r="F208" s="663"/>
      <c r="G208" s="663"/>
      <c r="H208" s="663"/>
      <c r="I208" s="663"/>
      <c r="J208" s="663"/>
      <c r="K208" s="663"/>
      <c r="L208" s="663"/>
      <c r="M208" s="663"/>
      <c r="N208" s="663"/>
      <c r="O208" s="663"/>
      <c r="P208" s="663"/>
      <c r="Q208" s="663"/>
      <c r="R208" s="663"/>
      <c r="S208" s="663"/>
      <c r="T208" s="663"/>
      <c r="U208" s="663"/>
      <c r="V208" s="663"/>
      <c r="W208" s="663"/>
      <c r="X208" s="663"/>
      <c r="Y208" s="663"/>
      <c r="Z208" s="663"/>
      <c r="AA208" s="663"/>
      <c r="AB208" s="663"/>
      <c r="AC208" s="663"/>
      <c r="AD208" s="663"/>
      <c r="AE208" s="663"/>
    </row>
    <row r="209" spans="1:31" ht="18" hidden="1" customHeight="1" x14ac:dyDescent="0.3">
      <c r="A209" s="663"/>
      <c r="B209" s="663"/>
      <c r="C209" s="663"/>
      <c r="D209" s="663"/>
      <c r="E209" s="663"/>
      <c r="F209" s="663"/>
      <c r="G209" s="663"/>
      <c r="H209" s="663"/>
      <c r="I209" s="663"/>
      <c r="J209" s="663"/>
      <c r="K209" s="663"/>
      <c r="L209" s="663"/>
      <c r="M209" s="663"/>
      <c r="N209" s="663"/>
      <c r="O209" s="663"/>
      <c r="P209" s="663"/>
      <c r="Q209" s="663"/>
      <c r="R209" s="663"/>
      <c r="S209" s="663"/>
      <c r="T209" s="663"/>
      <c r="U209" s="663"/>
      <c r="V209" s="663"/>
      <c r="W209" s="663"/>
      <c r="X209" s="663"/>
      <c r="Y209" s="663"/>
      <c r="Z209" s="663"/>
      <c r="AA209" s="663"/>
      <c r="AB209" s="663"/>
      <c r="AC209" s="663"/>
      <c r="AD209" s="663"/>
      <c r="AE209" s="663"/>
    </row>
    <row r="210" spans="1:31" ht="18" hidden="1" customHeight="1" x14ac:dyDescent="0.3">
      <c r="A210" s="672">
        <v>15</v>
      </c>
      <c r="B210" s="812">
        <f>48.68/4</f>
        <v>12.17</v>
      </c>
      <c r="C210" s="663"/>
      <c r="D210" s="663"/>
      <c r="E210" s="663"/>
      <c r="F210" s="663"/>
      <c r="G210" s="663"/>
      <c r="H210" s="663"/>
      <c r="I210" s="663"/>
      <c r="J210" s="663"/>
      <c r="K210" s="663"/>
      <c r="L210" s="663"/>
      <c r="M210" s="663"/>
      <c r="N210" s="663"/>
      <c r="O210" s="663"/>
      <c r="P210" s="663"/>
      <c r="Q210" s="663"/>
      <c r="R210" s="663"/>
      <c r="S210" s="663"/>
      <c r="T210" s="663"/>
      <c r="U210" s="663"/>
      <c r="V210" s="663"/>
      <c r="W210" s="663"/>
      <c r="X210" s="663"/>
      <c r="Y210" s="663"/>
      <c r="Z210" s="663"/>
      <c r="AA210" s="663"/>
      <c r="AB210" s="663"/>
      <c r="AC210" s="663"/>
      <c r="AD210" s="663"/>
      <c r="AE210" s="663"/>
    </row>
    <row r="211" spans="1:31" ht="18" hidden="1" customHeight="1" x14ac:dyDescent="0.3">
      <c r="A211" s="673">
        <v>30</v>
      </c>
      <c r="B211" s="813">
        <f>86.44/4</f>
        <v>21.61</v>
      </c>
      <c r="C211" s="663"/>
      <c r="D211" s="663"/>
      <c r="E211" s="663"/>
      <c r="F211" s="663"/>
      <c r="G211" s="663"/>
      <c r="H211" s="663"/>
      <c r="I211" s="663"/>
      <c r="J211" s="663"/>
      <c r="K211" s="663"/>
      <c r="L211" s="663"/>
      <c r="M211" s="663"/>
      <c r="N211" s="663"/>
      <c r="O211" s="663"/>
      <c r="P211" s="663"/>
      <c r="Q211" s="663"/>
      <c r="R211" s="663"/>
      <c r="S211" s="663"/>
      <c r="T211" s="663"/>
      <c r="U211" s="663"/>
      <c r="V211" s="663"/>
      <c r="W211" s="663"/>
      <c r="X211" s="663"/>
      <c r="Y211" s="663"/>
      <c r="Z211" s="663"/>
      <c r="AA211" s="663"/>
      <c r="AB211" s="663"/>
      <c r="AC211" s="663"/>
      <c r="AD211" s="663"/>
      <c r="AE211" s="663"/>
    </row>
    <row r="212" spans="1:31" ht="18" hidden="1" customHeight="1" x14ac:dyDescent="0.3">
      <c r="A212" s="673">
        <v>40</v>
      </c>
      <c r="B212" s="813">
        <f>127.51/4</f>
        <v>31.877500000000001</v>
      </c>
      <c r="C212" s="663"/>
      <c r="D212" s="663"/>
      <c r="E212" s="663"/>
      <c r="F212" s="663"/>
      <c r="G212" s="663"/>
      <c r="H212" s="663"/>
      <c r="I212" s="663"/>
      <c r="J212" s="663"/>
      <c r="K212" s="663"/>
      <c r="L212" s="663"/>
      <c r="M212" s="663"/>
      <c r="N212" s="663"/>
      <c r="O212" s="663"/>
      <c r="P212" s="663"/>
      <c r="Q212" s="663"/>
      <c r="R212" s="663"/>
      <c r="S212" s="663"/>
      <c r="T212" s="663"/>
      <c r="U212" s="663"/>
      <c r="V212" s="663"/>
      <c r="W212" s="663"/>
      <c r="X212" s="663"/>
      <c r="Y212" s="663"/>
      <c r="Z212" s="663"/>
      <c r="AA212" s="663"/>
      <c r="AB212" s="663"/>
      <c r="AC212" s="663"/>
      <c r="AD212" s="663"/>
      <c r="AE212" s="663"/>
    </row>
    <row r="213" spans="1:31" ht="18" hidden="1" customHeight="1" x14ac:dyDescent="0.3">
      <c r="A213" s="674">
        <v>50</v>
      </c>
      <c r="B213" s="814">
        <f>179.29/4</f>
        <v>44.822499999999998</v>
      </c>
      <c r="C213" s="663"/>
      <c r="D213" s="663"/>
      <c r="E213" s="663"/>
      <c r="F213" s="663"/>
      <c r="G213" s="663"/>
      <c r="H213" s="663"/>
      <c r="I213" s="663"/>
      <c r="J213" s="663"/>
      <c r="K213" s="663"/>
      <c r="L213" s="663"/>
      <c r="M213" s="663"/>
      <c r="N213" s="663"/>
      <c r="O213" s="663"/>
      <c r="P213" s="663"/>
      <c r="Q213" s="663"/>
      <c r="R213" s="663"/>
      <c r="S213" s="663"/>
      <c r="T213" s="663"/>
      <c r="U213" s="663"/>
      <c r="V213" s="663"/>
      <c r="W213" s="663"/>
      <c r="X213" s="663"/>
      <c r="Y213" s="663"/>
      <c r="Z213" s="663"/>
      <c r="AA213" s="663"/>
      <c r="AB213" s="663"/>
      <c r="AC213" s="663"/>
      <c r="AD213" s="663"/>
      <c r="AE213" s="663"/>
    </row>
    <row r="214" spans="1:31" ht="18" hidden="1" customHeight="1" x14ac:dyDescent="0.3">
      <c r="A214" s="663"/>
      <c r="B214" s="663"/>
      <c r="C214" s="663"/>
      <c r="D214" s="663"/>
      <c r="E214" s="663"/>
      <c r="F214" s="663"/>
      <c r="G214" s="663"/>
      <c r="H214" s="663"/>
      <c r="I214" s="663"/>
      <c r="J214" s="663"/>
      <c r="K214" s="663"/>
      <c r="L214" s="663"/>
      <c r="M214" s="663"/>
      <c r="N214" s="663"/>
      <c r="O214" s="663"/>
      <c r="P214" s="663"/>
      <c r="Q214" s="663"/>
      <c r="R214" s="663"/>
      <c r="S214" s="663"/>
      <c r="T214" s="663"/>
      <c r="U214" s="663"/>
      <c r="V214" s="663"/>
      <c r="W214" s="663"/>
      <c r="X214" s="663"/>
      <c r="Y214" s="663"/>
      <c r="Z214" s="663"/>
      <c r="AA214" s="663"/>
      <c r="AB214" s="663"/>
      <c r="AC214" s="663"/>
      <c r="AD214" s="663"/>
      <c r="AE214" s="663"/>
    </row>
    <row r="215" spans="1:31" ht="18" customHeight="1" x14ac:dyDescent="0.3">
      <c r="A215" s="663"/>
      <c r="B215" s="663"/>
      <c r="C215" s="663"/>
      <c r="D215" s="663"/>
      <c r="E215" s="663"/>
      <c r="F215" s="663"/>
      <c r="G215" s="663"/>
      <c r="H215" s="663"/>
      <c r="I215" s="663"/>
      <c r="J215" s="663"/>
      <c r="K215" s="663"/>
      <c r="L215" s="663"/>
      <c r="M215" s="663"/>
      <c r="N215" s="663"/>
      <c r="O215" s="663"/>
      <c r="P215" s="663"/>
      <c r="Q215" s="663"/>
      <c r="R215" s="663"/>
      <c r="S215" s="663"/>
      <c r="T215" s="663"/>
      <c r="U215" s="663"/>
      <c r="V215" s="663"/>
      <c r="W215" s="663"/>
      <c r="X215" s="663"/>
      <c r="Y215" s="663"/>
      <c r="Z215" s="663"/>
      <c r="AA215" s="663"/>
      <c r="AB215" s="663"/>
      <c r="AC215" s="663"/>
      <c r="AD215" s="663"/>
      <c r="AE215" s="663"/>
    </row>
    <row r="216" spans="1:31" ht="18" customHeight="1" x14ac:dyDescent="0.3">
      <c r="A216" s="663"/>
      <c r="B216" s="1192"/>
      <c r="C216" s="1100"/>
      <c r="D216" s="1101"/>
      <c r="E216" s="663"/>
      <c r="F216" s="1192"/>
      <c r="G216" s="1100"/>
      <c r="H216" s="1101"/>
      <c r="I216" s="1192"/>
      <c r="J216" s="1100"/>
      <c r="K216" s="1101"/>
      <c r="L216" s="1192"/>
      <c r="M216" s="1100"/>
      <c r="N216" s="1101"/>
      <c r="O216" s="663"/>
      <c r="P216" s="663"/>
      <c r="Q216" s="663"/>
      <c r="R216" s="663"/>
      <c r="S216" s="663"/>
      <c r="T216" s="663"/>
      <c r="U216" s="663"/>
      <c r="V216" s="663"/>
      <c r="W216" s="663"/>
      <c r="X216" s="663"/>
      <c r="Y216" s="663"/>
      <c r="Z216" s="663"/>
      <c r="AA216" s="663"/>
      <c r="AB216" s="663"/>
      <c r="AC216" s="663"/>
      <c r="AD216" s="663"/>
      <c r="AE216" s="663"/>
    </row>
    <row r="217" spans="1:31" ht="18" customHeight="1" x14ac:dyDescent="0.35">
      <c r="A217" s="559"/>
      <c r="B217" s="559"/>
      <c r="C217" s="559"/>
      <c r="D217" s="559"/>
      <c r="E217" s="559"/>
      <c r="F217" s="559"/>
      <c r="G217" s="559"/>
      <c r="H217" s="559"/>
      <c r="I217" s="559"/>
      <c r="J217" s="559"/>
      <c r="K217" s="559"/>
      <c r="L217" s="559"/>
      <c r="M217" s="559"/>
      <c r="N217" s="559"/>
      <c r="O217" s="559"/>
      <c r="P217" s="559"/>
      <c r="Q217" s="559"/>
      <c r="R217" s="559"/>
      <c r="S217" s="559"/>
      <c r="T217" s="559"/>
      <c r="U217" s="559"/>
      <c r="V217" s="559"/>
      <c r="W217" s="559"/>
      <c r="X217" s="559"/>
      <c r="Y217" s="559"/>
      <c r="Z217" s="559"/>
      <c r="AA217" s="559"/>
      <c r="AB217" s="559"/>
      <c r="AC217" s="559"/>
      <c r="AD217" s="559"/>
      <c r="AE217" s="559"/>
    </row>
    <row r="218" spans="1:31" ht="18" customHeight="1" x14ac:dyDescent="0.35">
      <c r="A218" s="559"/>
      <c r="B218" s="559"/>
      <c r="C218" s="559"/>
      <c r="D218" s="559"/>
      <c r="E218" s="559"/>
      <c r="F218" s="559"/>
      <c r="G218" s="559"/>
      <c r="H218" s="559"/>
      <c r="I218" s="559"/>
      <c r="J218" s="559"/>
      <c r="K218" s="559"/>
      <c r="L218" s="559"/>
      <c r="M218" s="559"/>
      <c r="N218" s="559"/>
      <c r="O218" s="559"/>
      <c r="P218" s="559"/>
      <c r="Q218" s="559"/>
      <c r="R218" s="559"/>
      <c r="S218" s="559"/>
      <c r="T218" s="559"/>
      <c r="U218" s="559"/>
      <c r="V218" s="559"/>
      <c r="W218" s="559"/>
      <c r="X218" s="559"/>
      <c r="Y218" s="559"/>
      <c r="Z218" s="559"/>
      <c r="AA218" s="559"/>
      <c r="AB218" s="559"/>
      <c r="AC218" s="559"/>
      <c r="AD218" s="559"/>
      <c r="AE218" s="559"/>
    </row>
    <row r="219" spans="1:31" ht="18" customHeight="1" x14ac:dyDescent="0.35">
      <c r="A219" s="559"/>
      <c r="B219" s="559"/>
      <c r="C219" s="559"/>
      <c r="D219" s="559"/>
      <c r="E219" s="559"/>
      <c r="F219" s="559"/>
      <c r="G219" s="559"/>
      <c r="H219" s="559"/>
      <c r="I219" s="559"/>
      <c r="J219" s="559"/>
      <c r="K219" s="559"/>
      <c r="L219" s="559"/>
      <c r="M219" s="559"/>
      <c r="N219" s="559"/>
      <c r="O219" s="559"/>
      <c r="P219" s="559"/>
      <c r="Q219" s="559"/>
      <c r="R219" s="559"/>
      <c r="S219" s="559"/>
      <c r="T219" s="559"/>
      <c r="U219" s="559"/>
      <c r="V219" s="559"/>
      <c r="W219" s="559"/>
      <c r="X219" s="559"/>
      <c r="Y219" s="559"/>
      <c r="Z219" s="559"/>
      <c r="AA219" s="559"/>
      <c r="AB219" s="559"/>
      <c r="AC219" s="559"/>
      <c r="AD219" s="559"/>
      <c r="AE219" s="559"/>
    </row>
    <row r="220" spans="1:31" ht="18" customHeight="1" x14ac:dyDescent="0.35">
      <c r="A220" s="559"/>
      <c r="B220" s="559"/>
      <c r="C220" s="559"/>
      <c r="D220" s="559"/>
      <c r="E220" s="559"/>
      <c r="F220" s="559"/>
      <c r="G220" s="559"/>
      <c r="H220" s="559"/>
      <c r="I220" s="559"/>
      <c r="J220" s="559"/>
      <c r="K220" s="559"/>
      <c r="L220" s="559"/>
      <c r="M220" s="559"/>
      <c r="N220" s="559"/>
      <c r="O220" s="559"/>
      <c r="P220" s="559"/>
      <c r="Q220" s="559"/>
      <c r="R220" s="559"/>
      <c r="S220" s="559"/>
      <c r="T220" s="559"/>
      <c r="U220" s="559"/>
      <c r="V220" s="559"/>
      <c r="W220" s="559"/>
      <c r="X220" s="559"/>
      <c r="Y220" s="559"/>
      <c r="Z220" s="559"/>
      <c r="AA220" s="559"/>
      <c r="AB220" s="559"/>
      <c r="AC220" s="559"/>
      <c r="AD220" s="559"/>
      <c r="AE220" s="559"/>
    </row>
    <row r="221" spans="1:31" ht="18" customHeight="1" x14ac:dyDescent="0.35">
      <c r="A221" s="559"/>
      <c r="B221" s="559"/>
      <c r="C221" s="559"/>
      <c r="D221" s="559"/>
      <c r="E221" s="559"/>
      <c r="F221" s="559"/>
      <c r="G221" s="559"/>
      <c r="H221" s="559"/>
      <c r="I221" s="559"/>
      <c r="J221" s="559"/>
      <c r="K221" s="559"/>
      <c r="L221" s="559"/>
      <c r="M221" s="559"/>
      <c r="N221" s="559"/>
      <c r="O221" s="559"/>
      <c r="P221" s="559"/>
      <c r="Q221" s="559"/>
      <c r="R221" s="559"/>
      <c r="S221" s="559"/>
      <c r="T221" s="559"/>
      <c r="U221" s="559"/>
      <c r="V221" s="559"/>
      <c r="W221" s="559"/>
      <c r="X221" s="559"/>
      <c r="Y221" s="559"/>
      <c r="Z221" s="559"/>
      <c r="AA221" s="559"/>
      <c r="AB221" s="559"/>
      <c r="AC221" s="559"/>
      <c r="AD221" s="559"/>
      <c r="AE221" s="559"/>
    </row>
    <row r="222" spans="1:31" ht="18" customHeight="1" x14ac:dyDescent="0.35">
      <c r="A222" s="559"/>
      <c r="B222" s="559"/>
      <c r="C222" s="559"/>
      <c r="D222" s="559"/>
      <c r="E222" s="559"/>
      <c r="F222" s="559"/>
      <c r="G222" s="559"/>
      <c r="H222" s="559"/>
      <c r="I222" s="559"/>
      <c r="J222" s="559"/>
      <c r="K222" s="559"/>
      <c r="L222" s="559"/>
      <c r="M222" s="559"/>
      <c r="N222" s="559"/>
      <c r="O222" s="559"/>
      <c r="P222" s="559"/>
      <c r="Q222" s="559"/>
      <c r="R222" s="559"/>
      <c r="S222" s="559"/>
      <c r="T222" s="559"/>
      <c r="U222" s="559"/>
      <c r="V222" s="559"/>
      <c r="W222" s="559"/>
      <c r="X222" s="559"/>
      <c r="Y222" s="559"/>
      <c r="Z222" s="559"/>
      <c r="AA222" s="559"/>
      <c r="AB222" s="559"/>
      <c r="AC222" s="559"/>
      <c r="AD222" s="559"/>
      <c r="AE222" s="559"/>
    </row>
    <row r="223" spans="1:31" ht="18" customHeight="1" x14ac:dyDescent="0.35">
      <c r="A223" s="559"/>
      <c r="B223" s="559"/>
      <c r="C223" s="559"/>
      <c r="D223" s="559"/>
      <c r="E223" s="559"/>
      <c r="F223" s="559"/>
      <c r="G223" s="559"/>
      <c r="H223" s="559"/>
      <c r="I223" s="559"/>
      <c r="J223" s="559"/>
      <c r="K223" s="559"/>
      <c r="L223" s="559"/>
      <c r="M223" s="559"/>
      <c r="N223" s="559"/>
      <c r="O223" s="559"/>
      <c r="P223" s="559"/>
      <c r="Q223" s="559"/>
      <c r="R223" s="559"/>
      <c r="S223" s="559"/>
      <c r="T223" s="559"/>
      <c r="U223" s="559"/>
      <c r="V223" s="559"/>
      <c r="W223" s="559"/>
      <c r="X223" s="559"/>
      <c r="Y223" s="559"/>
      <c r="Z223" s="559"/>
      <c r="AA223" s="559"/>
      <c r="AB223" s="559"/>
      <c r="AC223" s="559"/>
      <c r="AD223" s="559"/>
      <c r="AE223" s="559"/>
    </row>
    <row r="224" spans="1:31" ht="18" customHeight="1" x14ac:dyDescent="0.35">
      <c r="A224" s="559"/>
      <c r="B224" s="559"/>
      <c r="C224" s="559"/>
      <c r="D224" s="559"/>
      <c r="E224" s="559"/>
      <c r="F224" s="559"/>
      <c r="G224" s="559"/>
      <c r="H224" s="559"/>
      <c r="I224" s="559"/>
      <c r="J224" s="559"/>
      <c r="K224" s="559"/>
      <c r="L224" s="559"/>
      <c r="M224" s="559"/>
      <c r="N224" s="559"/>
      <c r="O224" s="559"/>
      <c r="P224" s="559"/>
      <c r="Q224" s="559"/>
      <c r="R224" s="559"/>
      <c r="S224" s="559"/>
      <c r="T224" s="559"/>
      <c r="U224" s="559"/>
      <c r="V224" s="559"/>
      <c r="W224" s="559"/>
      <c r="X224" s="559"/>
      <c r="Y224" s="559"/>
      <c r="Z224" s="559"/>
      <c r="AA224" s="559"/>
      <c r="AB224" s="559"/>
      <c r="AC224" s="559"/>
      <c r="AD224" s="559"/>
      <c r="AE224" s="559"/>
    </row>
    <row r="225" spans="1:31" ht="18" customHeight="1" x14ac:dyDescent="0.35">
      <c r="A225" s="559"/>
      <c r="B225" s="559"/>
      <c r="C225" s="559"/>
      <c r="D225" s="559"/>
      <c r="E225" s="559"/>
      <c r="F225" s="559"/>
      <c r="G225" s="559"/>
      <c r="H225" s="559"/>
      <c r="I225" s="559"/>
      <c r="J225" s="559"/>
      <c r="K225" s="559"/>
      <c r="L225" s="559"/>
      <c r="M225" s="559"/>
      <c r="N225" s="559"/>
      <c r="O225" s="559"/>
      <c r="P225" s="559"/>
      <c r="Q225" s="559"/>
      <c r="R225" s="559"/>
      <c r="S225" s="559"/>
      <c r="T225" s="559"/>
      <c r="U225" s="559"/>
      <c r="V225" s="559"/>
      <c r="W225" s="559"/>
      <c r="X225" s="559"/>
      <c r="Y225" s="559"/>
      <c r="Z225" s="559"/>
      <c r="AA225" s="559"/>
      <c r="AB225" s="559"/>
      <c r="AC225" s="559"/>
      <c r="AD225" s="559"/>
      <c r="AE225" s="559"/>
    </row>
    <row r="226" spans="1:31" ht="18" customHeight="1" x14ac:dyDescent="0.35">
      <c r="A226" s="559"/>
      <c r="B226" s="559"/>
      <c r="C226" s="559"/>
      <c r="D226" s="559"/>
      <c r="E226" s="559"/>
      <c r="F226" s="559"/>
      <c r="G226" s="559"/>
      <c r="H226" s="559"/>
      <c r="I226" s="559"/>
      <c r="J226" s="559"/>
      <c r="K226" s="559"/>
      <c r="L226" s="559"/>
      <c r="M226" s="559"/>
      <c r="N226" s="559"/>
      <c r="O226" s="559"/>
      <c r="P226" s="559"/>
      <c r="Q226" s="559"/>
      <c r="R226" s="559"/>
      <c r="S226" s="559"/>
      <c r="T226" s="559"/>
      <c r="U226" s="559"/>
      <c r="V226" s="559"/>
      <c r="W226" s="559"/>
      <c r="X226" s="559"/>
      <c r="Y226" s="559"/>
      <c r="Z226" s="559"/>
      <c r="AA226" s="559"/>
      <c r="AB226" s="559"/>
      <c r="AC226" s="559"/>
      <c r="AD226" s="559"/>
      <c r="AE226" s="559"/>
    </row>
    <row r="227" spans="1:31" ht="18" customHeight="1" x14ac:dyDescent="0.35">
      <c r="A227" s="559"/>
      <c r="B227" s="559"/>
      <c r="C227" s="559"/>
      <c r="D227" s="559"/>
      <c r="E227" s="559"/>
      <c r="F227" s="559"/>
      <c r="G227" s="559"/>
      <c r="H227" s="559"/>
      <c r="I227" s="559"/>
      <c r="J227" s="559"/>
      <c r="K227" s="559"/>
      <c r="L227" s="559"/>
      <c r="M227" s="559"/>
      <c r="N227" s="559"/>
      <c r="O227" s="559"/>
      <c r="P227" s="559"/>
      <c r="Q227" s="559"/>
      <c r="R227" s="559"/>
      <c r="S227" s="559"/>
      <c r="T227" s="559"/>
      <c r="U227" s="559"/>
      <c r="V227" s="559"/>
      <c r="W227" s="559"/>
      <c r="X227" s="559"/>
      <c r="Y227" s="559"/>
      <c r="Z227" s="559"/>
      <c r="AA227" s="559"/>
      <c r="AB227" s="559"/>
      <c r="AC227" s="559"/>
      <c r="AD227" s="559"/>
      <c r="AE227" s="559"/>
    </row>
    <row r="228" spans="1:31" ht="18" customHeight="1" x14ac:dyDescent="0.35">
      <c r="A228" s="559"/>
      <c r="B228" s="559"/>
      <c r="C228" s="559"/>
      <c r="D228" s="559"/>
      <c r="E228" s="559"/>
      <c r="F228" s="559"/>
      <c r="G228" s="559"/>
      <c r="H228" s="559"/>
      <c r="I228" s="559"/>
      <c r="J228" s="559"/>
      <c r="K228" s="559"/>
      <c r="L228" s="559"/>
      <c r="M228" s="559"/>
      <c r="N228" s="559"/>
      <c r="O228" s="559"/>
      <c r="P228" s="559"/>
      <c r="Q228" s="559"/>
      <c r="R228" s="559"/>
      <c r="S228" s="559"/>
      <c r="T228" s="559"/>
      <c r="U228" s="559"/>
      <c r="V228" s="559"/>
      <c r="W228" s="559"/>
      <c r="X228" s="559"/>
      <c r="Y228" s="559"/>
      <c r="Z228" s="559"/>
      <c r="AA228" s="559"/>
      <c r="AB228" s="559"/>
      <c r="AC228" s="559"/>
      <c r="AD228" s="559"/>
      <c r="AE228" s="559"/>
    </row>
    <row r="229" spans="1:31" ht="18" customHeight="1" x14ac:dyDescent="0.35">
      <c r="A229" s="559"/>
      <c r="B229" s="559"/>
      <c r="C229" s="559"/>
      <c r="D229" s="559"/>
      <c r="E229" s="559"/>
      <c r="F229" s="559"/>
      <c r="G229" s="559"/>
      <c r="H229" s="559"/>
      <c r="I229" s="559"/>
      <c r="J229" s="559"/>
      <c r="K229" s="559"/>
      <c r="L229" s="559"/>
      <c r="M229" s="559"/>
      <c r="N229" s="559"/>
      <c r="O229" s="559"/>
      <c r="P229" s="559"/>
      <c r="Q229" s="559"/>
      <c r="R229" s="559"/>
      <c r="S229" s="559"/>
      <c r="T229" s="559"/>
      <c r="U229" s="559"/>
      <c r="V229" s="559"/>
      <c r="W229" s="559"/>
      <c r="X229" s="559"/>
      <c r="Y229" s="559"/>
      <c r="Z229" s="559"/>
      <c r="AA229" s="559"/>
      <c r="AB229" s="559"/>
      <c r="AC229" s="559"/>
      <c r="AD229" s="559"/>
      <c r="AE229" s="559"/>
    </row>
    <row r="230" spans="1:31" ht="18" customHeight="1" x14ac:dyDescent="0.35">
      <c r="A230" s="559"/>
      <c r="B230" s="559"/>
      <c r="C230" s="559"/>
      <c r="D230" s="559"/>
      <c r="E230" s="559"/>
      <c r="F230" s="559"/>
      <c r="G230" s="559"/>
      <c r="H230" s="559"/>
      <c r="I230" s="559"/>
      <c r="J230" s="559"/>
      <c r="K230" s="559"/>
      <c r="L230" s="559"/>
      <c r="M230" s="559"/>
      <c r="N230" s="559"/>
      <c r="O230" s="559"/>
      <c r="P230" s="559"/>
      <c r="Q230" s="559"/>
      <c r="R230" s="559"/>
      <c r="S230" s="559"/>
      <c r="T230" s="559"/>
      <c r="U230" s="559"/>
      <c r="V230" s="559"/>
      <c r="W230" s="559"/>
      <c r="X230" s="559"/>
      <c r="Y230" s="559"/>
      <c r="Z230" s="559"/>
      <c r="AA230" s="559"/>
      <c r="AB230" s="559"/>
      <c r="AC230" s="559"/>
      <c r="AD230" s="559"/>
      <c r="AE230" s="559"/>
    </row>
    <row r="231" spans="1:31" ht="18" customHeight="1" x14ac:dyDescent="0.35">
      <c r="A231" s="559"/>
      <c r="B231" s="559"/>
      <c r="C231" s="559"/>
      <c r="D231" s="559"/>
      <c r="E231" s="559"/>
      <c r="F231" s="559"/>
      <c r="G231" s="559"/>
      <c r="H231" s="559"/>
      <c r="I231" s="559"/>
      <c r="J231" s="559"/>
      <c r="K231" s="559"/>
      <c r="L231" s="559"/>
      <c r="M231" s="559"/>
      <c r="N231" s="559"/>
      <c r="O231" s="559"/>
      <c r="P231" s="559"/>
      <c r="Q231" s="559"/>
      <c r="R231" s="559"/>
      <c r="S231" s="559"/>
      <c r="T231" s="559"/>
      <c r="U231" s="559"/>
      <c r="V231" s="559"/>
      <c r="W231" s="559"/>
      <c r="X231" s="559"/>
      <c r="Y231" s="559"/>
      <c r="Z231" s="559"/>
      <c r="AA231" s="559"/>
      <c r="AB231" s="559"/>
      <c r="AC231" s="559"/>
      <c r="AD231" s="559"/>
      <c r="AE231" s="559"/>
    </row>
    <row r="232" spans="1:31" ht="18" customHeight="1" x14ac:dyDescent="0.35">
      <c r="A232" s="559"/>
      <c r="B232" s="559"/>
      <c r="C232" s="559"/>
      <c r="D232" s="559"/>
      <c r="E232" s="559"/>
      <c r="F232" s="559"/>
      <c r="G232" s="559"/>
      <c r="H232" s="559"/>
      <c r="I232" s="559"/>
      <c r="J232" s="559"/>
      <c r="K232" s="559"/>
      <c r="L232" s="559"/>
      <c r="M232" s="559"/>
      <c r="N232" s="559"/>
      <c r="O232" s="559"/>
      <c r="P232" s="559"/>
      <c r="Q232" s="559"/>
      <c r="R232" s="559"/>
      <c r="S232" s="559"/>
      <c r="T232" s="559"/>
      <c r="U232" s="559"/>
      <c r="V232" s="559"/>
      <c r="W232" s="559"/>
      <c r="X232" s="559"/>
      <c r="Y232" s="559"/>
      <c r="Z232" s="559"/>
      <c r="AA232" s="559"/>
      <c r="AB232" s="559"/>
      <c r="AC232" s="559"/>
      <c r="AD232" s="559"/>
      <c r="AE232" s="559"/>
    </row>
    <row r="233" spans="1:31" ht="18" customHeight="1" x14ac:dyDescent="0.35">
      <c r="A233" s="559"/>
      <c r="B233" s="559"/>
      <c r="C233" s="559"/>
      <c r="D233" s="559"/>
      <c r="E233" s="559"/>
      <c r="F233" s="559"/>
      <c r="G233" s="559"/>
      <c r="H233" s="559"/>
      <c r="I233" s="559"/>
      <c r="J233" s="559"/>
      <c r="K233" s="559"/>
      <c r="L233" s="559"/>
      <c r="M233" s="559"/>
      <c r="N233" s="559"/>
      <c r="O233" s="559"/>
      <c r="P233" s="559"/>
      <c r="Q233" s="559"/>
      <c r="R233" s="559"/>
      <c r="S233" s="559"/>
      <c r="T233" s="559"/>
      <c r="U233" s="559"/>
      <c r="V233" s="559"/>
      <c r="W233" s="559"/>
      <c r="X233" s="559"/>
      <c r="Y233" s="559"/>
      <c r="Z233" s="559"/>
      <c r="AA233" s="559"/>
      <c r="AB233" s="559"/>
      <c r="AC233" s="559"/>
      <c r="AD233" s="559"/>
      <c r="AE233" s="559"/>
    </row>
    <row r="234" spans="1:31" ht="18" customHeight="1" x14ac:dyDescent="0.35">
      <c r="A234" s="559"/>
      <c r="B234" s="559"/>
      <c r="C234" s="559"/>
      <c r="D234" s="559"/>
      <c r="E234" s="559"/>
      <c r="F234" s="559"/>
      <c r="G234" s="559"/>
      <c r="H234" s="559"/>
      <c r="I234" s="559"/>
      <c r="J234" s="559"/>
      <c r="K234" s="559"/>
      <c r="L234" s="559"/>
      <c r="M234" s="559"/>
      <c r="N234" s="559"/>
      <c r="O234" s="559"/>
      <c r="P234" s="559"/>
      <c r="Q234" s="559"/>
      <c r="R234" s="559"/>
      <c r="S234" s="559"/>
      <c r="T234" s="559"/>
      <c r="U234" s="559"/>
      <c r="V234" s="559"/>
      <c r="W234" s="559"/>
      <c r="X234" s="559"/>
      <c r="Y234" s="559"/>
      <c r="Z234" s="559"/>
      <c r="AA234" s="559"/>
      <c r="AB234" s="559"/>
      <c r="AC234" s="559"/>
      <c r="AD234" s="559"/>
      <c r="AE234" s="559"/>
    </row>
    <row r="235" spans="1:31" ht="18" customHeight="1" x14ac:dyDescent="0.35">
      <c r="A235" s="559"/>
      <c r="B235" s="559"/>
      <c r="C235" s="559"/>
      <c r="D235" s="559"/>
      <c r="E235" s="559"/>
      <c r="F235" s="559"/>
      <c r="G235" s="559"/>
      <c r="H235" s="559"/>
      <c r="I235" s="559"/>
      <c r="J235" s="559"/>
      <c r="K235" s="559"/>
      <c r="L235" s="559"/>
      <c r="M235" s="559"/>
      <c r="N235" s="559"/>
      <c r="O235" s="559"/>
      <c r="P235" s="559"/>
      <c r="Q235" s="559"/>
      <c r="R235" s="559"/>
      <c r="S235" s="559"/>
      <c r="T235" s="559"/>
      <c r="U235" s="559"/>
      <c r="V235" s="559"/>
      <c r="W235" s="559"/>
      <c r="X235" s="559"/>
      <c r="Y235" s="559"/>
      <c r="Z235" s="559"/>
      <c r="AA235" s="559"/>
      <c r="AB235" s="559"/>
      <c r="AC235" s="559"/>
      <c r="AD235" s="559"/>
      <c r="AE235" s="559"/>
    </row>
    <row r="236" spans="1:31" ht="18" customHeight="1" x14ac:dyDescent="0.35">
      <c r="A236" s="559"/>
      <c r="B236" s="559"/>
      <c r="C236" s="559"/>
      <c r="D236" s="559"/>
      <c r="E236" s="559"/>
      <c r="F236" s="559"/>
      <c r="G236" s="559"/>
      <c r="H236" s="559"/>
      <c r="I236" s="559"/>
      <c r="J236" s="559"/>
      <c r="K236" s="559"/>
      <c r="L236" s="559"/>
      <c r="M236" s="559"/>
      <c r="N236" s="559"/>
      <c r="O236" s="559"/>
      <c r="P236" s="559"/>
      <c r="Q236" s="559"/>
      <c r="R236" s="559"/>
      <c r="S236" s="559"/>
      <c r="T236" s="559"/>
      <c r="U236" s="559"/>
      <c r="V236" s="559"/>
      <c r="W236" s="559"/>
      <c r="X236" s="559"/>
      <c r="Y236" s="559"/>
      <c r="Z236" s="559"/>
      <c r="AA236" s="559"/>
      <c r="AB236" s="559"/>
      <c r="AC236" s="559"/>
      <c r="AD236" s="559"/>
      <c r="AE236" s="559"/>
    </row>
    <row r="237" spans="1:31" ht="18" customHeight="1" x14ac:dyDescent="0.35">
      <c r="A237" s="559"/>
      <c r="B237" s="559"/>
      <c r="C237" s="559"/>
      <c r="D237" s="559"/>
      <c r="E237" s="559"/>
      <c r="F237" s="559"/>
      <c r="G237" s="559"/>
      <c r="H237" s="559"/>
      <c r="I237" s="559"/>
      <c r="J237" s="559"/>
      <c r="K237" s="559"/>
      <c r="L237" s="559"/>
      <c r="M237" s="559"/>
      <c r="N237" s="559"/>
      <c r="O237" s="559"/>
      <c r="P237" s="559"/>
      <c r="Q237" s="559"/>
      <c r="R237" s="559"/>
      <c r="S237" s="559"/>
      <c r="T237" s="559"/>
      <c r="U237" s="559"/>
      <c r="V237" s="559"/>
      <c r="W237" s="559"/>
      <c r="X237" s="559"/>
      <c r="Y237" s="559"/>
      <c r="Z237" s="559"/>
      <c r="AA237" s="559"/>
      <c r="AB237" s="559"/>
      <c r="AC237" s="559"/>
      <c r="AD237" s="559"/>
      <c r="AE237" s="559"/>
    </row>
    <row r="238" spans="1:31" ht="18" customHeight="1" x14ac:dyDescent="0.35">
      <c r="A238" s="559"/>
      <c r="B238" s="559"/>
      <c r="C238" s="559"/>
      <c r="D238" s="559"/>
      <c r="E238" s="559"/>
      <c r="F238" s="559"/>
      <c r="G238" s="559"/>
      <c r="H238" s="559"/>
      <c r="I238" s="559"/>
      <c r="J238" s="559"/>
      <c r="K238" s="559"/>
      <c r="L238" s="559"/>
      <c r="M238" s="559"/>
      <c r="N238" s="559"/>
      <c r="O238" s="559"/>
      <c r="P238" s="559"/>
      <c r="Q238" s="559"/>
      <c r="R238" s="559"/>
      <c r="S238" s="559"/>
      <c r="T238" s="559"/>
      <c r="U238" s="559"/>
      <c r="V238" s="559"/>
      <c r="W238" s="559"/>
      <c r="X238" s="559"/>
      <c r="Y238" s="559"/>
      <c r="Z238" s="559"/>
      <c r="AA238" s="559"/>
      <c r="AB238" s="559"/>
      <c r="AC238" s="559"/>
      <c r="AD238" s="559"/>
      <c r="AE238" s="559"/>
    </row>
    <row r="239" spans="1:31" ht="18" customHeight="1" x14ac:dyDescent="0.35">
      <c r="A239" s="559"/>
      <c r="B239" s="559"/>
      <c r="C239" s="559"/>
      <c r="D239" s="559"/>
      <c r="E239" s="559"/>
      <c r="F239" s="559"/>
      <c r="G239" s="559"/>
      <c r="H239" s="559"/>
      <c r="I239" s="559"/>
      <c r="J239" s="559"/>
      <c r="K239" s="559"/>
      <c r="L239" s="559"/>
      <c r="M239" s="559"/>
      <c r="N239" s="559"/>
      <c r="O239" s="559"/>
      <c r="P239" s="559"/>
      <c r="Q239" s="559"/>
      <c r="R239" s="559"/>
      <c r="S239" s="559"/>
      <c r="T239" s="559"/>
      <c r="U239" s="559"/>
      <c r="V239" s="559"/>
      <c r="W239" s="559"/>
      <c r="X239" s="559"/>
      <c r="Y239" s="559"/>
      <c r="Z239" s="559"/>
      <c r="AA239" s="559"/>
      <c r="AB239" s="559"/>
      <c r="AC239" s="559"/>
      <c r="AD239" s="559"/>
      <c r="AE239" s="559"/>
    </row>
    <row r="240" spans="1:31" ht="18" customHeight="1" x14ac:dyDescent="0.35">
      <c r="A240" s="559"/>
      <c r="B240" s="559"/>
      <c r="C240" s="559"/>
      <c r="D240" s="559"/>
      <c r="E240" s="559"/>
      <c r="F240" s="559"/>
      <c r="G240" s="559"/>
      <c r="H240" s="559"/>
      <c r="I240" s="559"/>
      <c r="J240" s="559"/>
      <c r="K240" s="559"/>
      <c r="L240" s="559"/>
      <c r="M240" s="559"/>
      <c r="N240" s="559"/>
      <c r="O240" s="559"/>
      <c r="P240" s="559"/>
      <c r="Q240" s="559"/>
      <c r="R240" s="559"/>
      <c r="S240" s="559"/>
      <c r="T240" s="559"/>
      <c r="U240" s="559"/>
      <c r="V240" s="559"/>
      <c r="W240" s="559"/>
      <c r="X240" s="559"/>
      <c r="Y240" s="559"/>
      <c r="Z240" s="559"/>
      <c r="AA240" s="559"/>
      <c r="AB240" s="559"/>
      <c r="AC240" s="559"/>
      <c r="AD240" s="559"/>
      <c r="AE240" s="559"/>
    </row>
    <row r="241" spans="1:31" ht="18" customHeight="1" x14ac:dyDescent="0.35">
      <c r="A241" s="559"/>
      <c r="B241" s="559"/>
      <c r="C241" s="559"/>
      <c r="D241" s="559"/>
      <c r="E241" s="559"/>
      <c r="F241" s="559"/>
      <c r="G241" s="559"/>
      <c r="H241" s="559"/>
      <c r="I241" s="559"/>
      <c r="J241" s="559"/>
      <c r="K241" s="559"/>
      <c r="L241" s="559"/>
      <c r="M241" s="559"/>
      <c r="N241" s="559"/>
      <c r="O241" s="559"/>
      <c r="P241" s="559"/>
      <c r="Q241" s="559"/>
      <c r="R241" s="559"/>
      <c r="S241" s="559"/>
      <c r="T241" s="559"/>
      <c r="U241" s="559"/>
      <c r="V241" s="559"/>
      <c r="W241" s="559"/>
      <c r="X241" s="559"/>
      <c r="Y241" s="559"/>
      <c r="Z241" s="559"/>
      <c r="AA241" s="559"/>
      <c r="AB241" s="559"/>
      <c r="AC241" s="559"/>
      <c r="AD241" s="559"/>
      <c r="AE241" s="559"/>
    </row>
    <row r="242" spans="1:31" ht="18" customHeight="1" x14ac:dyDescent="0.35">
      <c r="A242" s="559"/>
      <c r="B242" s="559"/>
      <c r="C242" s="559"/>
      <c r="D242" s="559"/>
      <c r="E242" s="559"/>
      <c r="F242" s="559"/>
      <c r="G242" s="559"/>
      <c r="H242" s="559"/>
      <c r="I242" s="559"/>
      <c r="J242" s="559"/>
      <c r="K242" s="559"/>
      <c r="L242" s="559"/>
      <c r="M242" s="559"/>
      <c r="N242" s="559"/>
      <c r="O242" s="559"/>
      <c r="P242" s="559"/>
      <c r="Q242" s="559"/>
      <c r="R242" s="559"/>
      <c r="S242" s="559"/>
      <c r="T242" s="559"/>
      <c r="U242" s="559"/>
      <c r="V242" s="559"/>
      <c r="W242" s="559"/>
      <c r="X242" s="559"/>
      <c r="Y242" s="559"/>
      <c r="Z242" s="559"/>
      <c r="AA242" s="559"/>
      <c r="AB242" s="559"/>
      <c r="AC242" s="559"/>
      <c r="AD242" s="559"/>
      <c r="AE242" s="559"/>
    </row>
    <row r="243" spans="1:31" ht="18" customHeight="1" x14ac:dyDescent="0.35">
      <c r="A243" s="559"/>
      <c r="B243" s="559"/>
      <c r="C243" s="559"/>
      <c r="D243" s="559"/>
      <c r="E243" s="559"/>
      <c r="F243" s="559"/>
      <c r="G243" s="559"/>
      <c r="H243" s="559"/>
      <c r="I243" s="559"/>
      <c r="J243" s="559"/>
      <c r="K243" s="559"/>
      <c r="L243" s="559"/>
      <c r="M243" s="559"/>
      <c r="N243" s="559"/>
      <c r="O243" s="559"/>
      <c r="P243" s="559"/>
      <c r="Q243" s="559"/>
      <c r="R243" s="559"/>
      <c r="S243" s="559"/>
      <c r="T243" s="559"/>
      <c r="U243" s="559"/>
      <c r="V243" s="559"/>
      <c r="W243" s="559"/>
      <c r="X243" s="559"/>
      <c r="Y243" s="559"/>
      <c r="Z243" s="559"/>
      <c r="AA243" s="559"/>
      <c r="AB243" s="559"/>
      <c r="AC243" s="559"/>
      <c r="AD243" s="559"/>
      <c r="AE243" s="559"/>
    </row>
    <row r="244" spans="1:31" ht="18" customHeight="1" x14ac:dyDescent="0.35">
      <c r="A244" s="559"/>
      <c r="B244" s="559"/>
      <c r="C244" s="559"/>
      <c r="D244" s="559"/>
      <c r="E244" s="559"/>
      <c r="F244" s="559"/>
      <c r="G244" s="559"/>
      <c r="H244" s="559"/>
      <c r="I244" s="559"/>
      <c r="J244" s="559"/>
      <c r="K244" s="559"/>
      <c r="L244" s="559"/>
      <c r="M244" s="559"/>
      <c r="N244" s="559"/>
      <c r="O244" s="559"/>
      <c r="P244" s="559"/>
      <c r="Q244" s="559"/>
      <c r="R244" s="559"/>
      <c r="S244" s="559"/>
      <c r="T244" s="559"/>
      <c r="U244" s="559"/>
      <c r="V244" s="559"/>
      <c r="W244" s="559"/>
      <c r="X244" s="559"/>
      <c r="Y244" s="559"/>
      <c r="Z244" s="559"/>
      <c r="AA244" s="559"/>
      <c r="AB244" s="559"/>
      <c r="AC244" s="559"/>
      <c r="AD244" s="559"/>
      <c r="AE244" s="559"/>
    </row>
    <row r="245" spans="1:31" ht="18" customHeight="1" x14ac:dyDescent="0.35">
      <c r="A245" s="559"/>
      <c r="B245" s="559"/>
      <c r="C245" s="559"/>
      <c r="D245" s="559"/>
      <c r="E245" s="559"/>
      <c r="F245" s="559"/>
      <c r="G245" s="559"/>
      <c r="H245" s="559"/>
      <c r="I245" s="559"/>
      <c r="J245" s="559"/>
      <c r="K245" s="559"/>
      <c r="L245" s="559"/>
      <c r="M245" s="559"/>
      <c r="N245" s="559"/>
      <c r="O245" s="559"/>
      <c r="P245" s="559"/>
      <c r="Q245" s="559"/>
      <c r="R245" s="559"/>
      <c r="S245" s="559"/>
      <c r="T245" s="559"/>
      <c r="U245" s="559"/>
      <c r="V245" s="559"/>
      <c r="W245" s="559"/>
      <c r="X245" s="559"/>
      <c r="Y245" s="559"/>
      <c r="Z245" s="559"/>
      <c r="AA245" s="559"/>
      <c r="AB245" s="559"/>
      <c r="AC245" s="559"/>
      <c r="AD245" s="559"/>
      <c r="AE245" s="559"/>
    </row>
    <row r="246" spans="1:31" ht="18" customHeight="1" x14ac:dyDescent="0.35">
      <c r="A246" s="559"/>
      <c r="B246" s="559"/>
      <c r="C246" s="559"/>
      <c r="D246" s="559"/>
      <c r="E246" s="559"/>
      <c r="F246" s="559"/>
      <c r="G246" s="559"/>
      <c r="H246" s="559"/>
      <c r="I246" s="559"/>
      <c r="J246" s="559"/>
      <c r="K246" s="559"/>
      <c r="L246" s="559"/>
      <c r="M246" s="559"/>
      <c r="N246" s="559"/>
      <c r="O246" s="559"/>
      <c r="P246" s="559"/>
      <c r="Q246" s="559"/>
      <c r="R246" s="559"/>
      <c r="S246" s="559"/>
      <c r="T246" s="559"/>
      <c r="U246" s="559"/>
      <c r="V246" s="559"/>
      <c r="W246" s="559"/>
      <c r="X246" s="559"/>
      <c r="Y246" s="559"/>
      <c r="Z246" s="559"/>
      <c r="AA246" s="559"/>
      <c r="AB246" s="559"/>
      <c r="AC246" s="559"/>
      <c r="AD246" s="559"/>
      <c r="AE246" s="559"/>
    </row>
    <row r="247" spans="1:31" ht="18" customHeight="1" x14ac:dyDescent="0.35">
      <c r="A247" s="559"/>
      <c r="B247" s="559"/>
      <c r="C247" s="559"/>
      <c r="D247" s="559"/>
      <c r="E247" s="559"/>
      <c r="F247" s="559"/>
      <c r="G247" s="559"/>
      <c r="H247" s="559"/>
      <c r="I247" s="559"/>
      <c r="J247" s="559"/>
      <c r="K247" s="559"/>
      <c r="L247" s="559"/>
      <c r="M247" s="559"/>
      <c r="N247" s="559"/>
      <c r="O247" s="559"/>
      <c r="P247" s="559"/>
      <c r="Q247" s="559"/>
      <c r="R247" s="559"/>
      <c r="S247" s="559"/>
      <c r="T247" s="559"/>
      <c r="U247" s="559"/>
      <c r="V247" s="559"/>
      <c r="W247" s="559"/>
      <c r="X247" s="559"/>
      <c r="Y247" s="559"/>
      <c r="Z247" s="559"/>
      <c r="AA247" s="559"/>
      <c r="AB247" s="559"/>
      <c r="AC247" s="559"/>
      <c r="AD247" s="559"/>
      <c r="AE247" s="559"/>
    </row>
    <row r="248" spans="1:31" ht="18" customHeight="1" x14ac:dyDescent="0.35">
      <c r="A248" s="559"/>
      <c r="B248" s="559"/>
      <c r="C248" s="559"/>
      <c r="D248" s="559"/>
      <c r="E248" s="559"/>
      <c r="F248" s="559"/>
      <c r="G248" s="559"/>
      <c r="H248" s="559"/>
      <c r="I248" s="559"/>
      <c r="J248" s="559"/>
      <c r="K248" s="559"/>
      <c r="L248" s="559"/>
      <c r="M248" s="559"/>
      <c r="N248" s="559"/>
      <c r="O248" s="559"/>
      <c r="P248" s="559"/>
      <c r="Q248" s="559"/>
      <c r="R248" s="559"/>
      <c r="S248" s="559"/>
      <c r="T248" s="559"/>
      <c r="U248" s="559"/>
      <c r="V248" s="559"/>
      <c r="W248" s="559"/>
      <c r="X248" s="559"/>
      <c r="Y248" s="559"/>
      <c r="Z248" s="559"/>
      <c r="AA248" s="559"/>
      <c r="AB248" s="559"/>
      <c r="AC248" s="559"/>
      <c r="AD248" s="559"/>
      <c r="AE248" s="559"/>
    </row>
    <row r="249" spans="1:31" ht="18" customHeight="1" x14ac:dyDescent="0.35">
      <c r="A249" s="559"/>
      <c r="B249" s="559"/>
      <c r="C249" s="559"/>
      <c r="D249" s="559"/>
      <c r="E249" s="559"/>
      <c r="F249" s="559"/>
      <c r="G249" s="559"/>
      <c r="H249" s="559"/>
      <c r="I249" s="559"/>
      <c r="J249" s="559"/>
      <c r="K249" s="559"/>
      <c r="L249" s="559"/>
      <c r="M249" s="559"/>
      <c r="N249" s="559"/>
      <c r="O249" s="559"/>
      <c r="P249" s="559"/>
      <c r="Q249" s="559"/>
      <c r="R249" s="559"/>
      <c r="S249" s="559"/>
      <c r="T249" s="559"/>
      <c r="U249" s="559"/>
      <c r="V249" s="559"/>
      <c r="W249" s="559"/>
      <c r="X249" s="559"/>
      <c r="Y249" s="559"/>
      <c r="Z249" s="559"/>
      <c r="AA249" s="559"/>
      <c r="AB249" s="559"/>
      <c r="AC249" s="559"/>
      <c r="AD249" s="559"/>
      <c r="AE249" s="559"/>
    </row>
    <row r="250" spans="1:31" ht="18" customHeight="1" x14ac:dyDescent="0.35">
      <c r="A250" s="559"/>
      <c r="B250" s="559"/>
      <c r="C250" s="559"/>
      <c r="D250" s="559"/>
      <c r="E250" s="559"/>
      <c r="F250" s="559"/>
      <c r="G250" s="559"/>
      <c r="H250" s="559"/>
      <c r="I250" s="559"/>
      <c r="J250" s="559"/>
      <c r="K250" s="559"/>
      <c r="L250" s="559"/>
      <c r="M250" s="559"/>
      <c r="N250" s="559"/>
      <c r="O250" s="559"/>
      <c r="P250" s="559"/>
      <c r="Q250" s="559"/>
      <c r="R250" s="559"/>
      <c r="S250" s="559"/>
      <c r="T250" s="559"/>
      <c r="U250" s="559"/>
      <c r="V250" s="559"/>
      <c r="W250" s="559"/>
      <c r="X250" s="559"/>
      <c r="Y250" s="559"/>
      <c r="Z250" s="559"/>
      <c r="AA250" s="559"/>
      <c r="AB250" s="559"/>
      <c r="AC250" s="559"/>
      <c r="AD250" s="559"/>
      <c r="AE250" s="559"/>
    </row>
    <row r="251" spans="1:31" ht="18" customHeight="1" x14ac:dyDescent="0.35">
      <c r="A251" s="559"/>
      <c r="B251" s="559"/>
      <c r="C251" s="559"/>
      <c r="D251" s="559"/>
      <c r="E251" s="559"/>
      <c r="F251" s="559"/>
      <c r="G251" s="559"/>
      <c r="H251" s="559"/>
      <c r="I251" s="559"/>
      <c r="J251" s="559"/>
      <c r="K251" s="559"/>
      <c r="L251" s="559"/>
      <c r="M251" s="559"/>
      <c r="N251" s="559"/>
      <c r="O251" s="559"/>
      <c r="P251" s="559"/>
      <c r="Q251" s="559"/>
      <c r="R251" s="559"/>
      <c r="S251" s="559"/>
      <c r="T251" s="559"/>
      <c r="U251" s="559"/>
      <c r="V251" s="559"/>
      <c r="W251" s="559"/>
      <c r="X251" s="559"/>
      <c r="Y251" s="559"/>
      <c r="Z251" s="559"/>
      <c r="AA251" s="559"/>
      <c r="AB251" s="559"/>
      <c r="AC251" s="559"/>
      <c r="AD251" s="559"/>
      <c r="AE251" s="559"/>
    </row>
    <row r="252" spans="1:31" ht="18" customHeight="1" x14ac:dyDescent="0.35">
      <c r="A252" s="559"/>
      <c r="B252" s="559"/>
      <c r="C252" s="559"/>
      <c r="D252" s="559"/>
      <c r="E252" s="559"/>
      <c r="F252" s="559"/>
      <c r="G252" s="559"/>
      <c r="H252" s="559"/>
      <c r="I252" s="559"/>
      <c r="J252" s="559"/>
      <c r="K252" s="559"/>
      <c r="L252" s="559"/>
      <c r="M252" s="559"/>
      <c r="N252" s="559"/>
      <c r="O252" s="559"/>
      <c r="P252" s="559"/>
      <c r="Q252" s="559"/>
      <c r="R252" s="559"/>
      <c r="S252" s="559"/>
      <c r="T252" s="559"/>
      <c r="U252" s="559"/>
      <c r="V252" s="559"/>
      <c r="W252" s="559"/>
      <c r="X252" s="559"/>
      <c r="Y252" s="559"/>
      <c r="Z252" s="559"/>
      <c r="AA252" s="559"/>
      <c r="AB252" s="559"/>
      <c r="AC252" s="559"/>
      <c r="AD252" s="559"/>
      <c r="AE252" s="559"/>
    </row>
    <row r="253" spans="1:31" ht="18" customHeight="1" x14ac:dyDescent="0.35">
      <c r="A253" s="559"/>
      <c r="B253" s="559"/>
      <c r="C253" s="559"/>
      <c r="D253" s="559"/>
      <c r="E253" s="559"/>
      <c r="F253" s="559"/>
      <c r="G253" s="559"/>
      <c r="H253" s="559"/>
      <c r="I253" s="559"/>
      <c r="J253" s="559"/>
      <c r="K253" s="559"/>
      <c r="L253" s="559"/>
      <c r="M253" s="559"/>
      <c r="N253" s="559"/>
      <c r="O253" s="559"/>
      <c r="P253" s="559"/>
      <c r="Q253" s="559"/>
      <c r="R253" s="559"/>
      <c r="S253" s="559"/>
      <c r="T253" s="559"/>
      <c r="U253" s="559"/>
      <c r="V253" s="559"/>
      <c r="W253" s="559"/>
      <c r="X253" s="559"/>
      <c r="Y253" s="559"/>
      <c r="Z253" s="559"/>
      <c r="AA253" s="559"/>
      <c r="AB253" s="559"/>
      <c r="AC253" s="559"/>
      <c r="AD253" s="559"/>
      <c r="AE253" s="559"/>
    </row>
    <row r="254" spans="1:31" ht="18" customHeight="1" x14ac:dyDescent="0.35">
      <c r="A254" s="559"/>
      <c r="B254" s="559"/>
      <c r="C254" s="559"/>
      <c r="D254" s="559"/>
      <c r="E254" s="559"/>
      <c r="F254" s="559"/>
      <c r="G254" s="559"/>
      <c r="H254" s="559"/>
      <c r="I254" s="559"/>
      <c r="J254" s="559"/>
      <c r="K254" s="559"/>
      <c r="L254" s="559"/>
      <c r="M254" s="559"/>
      <c r="N254" s="559"/>
      <c r="O254" s="559"/>
      <c r="P254" s="559"/>
      <c r="Q254" s="559"/>
      <c r="R254" s="559"/>
      <c r="S254" s="559"/>
      <c r="T254" s="559"/>
      <c r="U254" s="559"/>
      <c r="V254" s="559"/>
      <c r="W254" s="559"/>
      <c r="X254" s="559"/>
      <c r="Y254" s="559"/>
      <c r="Z254" s="559"/>
      <c r="AA254" s="559"/>
      <c r="AB254" s="559"/>
      <c r="AC254" s="559"/>
      <c r="AD254" s="559"/>
      <c r="AE254" s="559"/>
    </row>
    <row r="255" spans="1:31" ht="18" customHeight="1" x14ac:dyDescent="0.35">
      <c r="A255" s="559"/>
      <c r="B255" s="559"/>
      <c r="C255" s="559"/>
      <c r="D255" s="559"/>
      <c r="E255" s="559"/>
      <c r="F255" s="559"/>
      <c r="G255" s="559"/>
      <c r="H255" s="559"/>
      <c r="I255" s="559"/>
      <c r="J255" s="559"/>
      <c r="K255" s="559"/>
      <c r="L255" s="559"/>
      <c r="M255" s="559"/>
      <c r="N255" s="559"/>
      <c r="O255" s="559"/>
      <c r="P255" s="559"/>
      <c r="Q255" s="559"/>
      <c r="R255" s="559"/>
      <c r="S255" s="559"/>
      <c r="T255" s="559"/>
      <c r="U255" s="559"/>
      <c r="V255" s="559"/>
      <c r="W255" s="559"/>
      <c r="X255" s="559"/>
      <c r="Y255" s="559"/>
      <c r="Z255" s="559"/>
      <c r="AA255" s="559"/>
      <c r="AB255" s="559"/>
      <c r="AC255" s="559"/>
      <c r="AD255" s="559"/>
      <c r="AE255" s="559"/>
    </row>
    <row r="256" spans="1:31" ht="18" customHeight="1" x14ac:dyDescent="0.35">
      <c r="A256" s="559"/>
      <c r="B256" s="559"/>
      <c r="C256" s="559"/>
      <c r="D256" s="559"/>
      <c r="E256" s="559"/>
      <c r="F256" s="559"/>
      <c r="G256" s="559"/>
      <c r="H256" s="559"/>
      <c r="I256" s="559"/>
      <c r="J256" s="559"/>
      <c r="K256" s="559"/>
      <c r="L256" s="559"/>
      <c r="M256" s="559"/>
      <c r="N256" s="559"/>
      <c r="O256" s="559"/>
      <c r="P256" s="559"/>
      <c r="Q256" s="559"/>
      <c r="R256" s="559"/>
      <c r="S256" s="559"/>
      <c r="T256" s="559"/>
      <c r="U256" s="559"/>
      <c r="V256" s="559"/>
      <c r="W256" s="559"/>
      <c r="X256" s="559"/>
      <c r="Y256" s="559"/>
      <c r="Z256" s="559"/>
      <c r="AA256" s="559"/>
      <c r="AB256" s="559"/>
      <c r="AC256" s="559"/>
      <c r="AD256" s="559"/>
      <c r="AE256" s="559"/>
    </row>
    <row r="257" spans="1:31" ht="18" customHeight="1" x14ac:dyDescent="0.35">
      <c r="A257" s="559"/>
      <c r="B257" s="559"/>
      <c r="C257" s="559"/>
      <c r="D257" s="559"/>
      <c r="E257" s="559"/>
      <c r="F257" s="559"/>
      <c r="G257" s="559"/>
      <c r="H257" s="559"/>
      <c r="I257" s="559"/>
      <c r="J257" s="559"/>
      <c r="K257" s="559"/>
      <c r="L257" s="559"/>
      <c r="M257" s="559"/>
      <c r="N257" s="559"/>
      <c r="O257" s="559"/>
      <c r="P257" s="559"/>
      <c r="Q257" s="559"/>
      <c r="R257" s="559"/>
      <c r="S257" s="559"/>
      <c r="T257" s="559"/>
      <c r="U257" s="559"/>
      <c r="V257" s="559"/>
      <c r="W257" s="559"/>
      <c r="X257" s="559"/>
      <c r="Y257" s="559"/>
      <c r="Z257" s="559"/>
      <c r="AA257" s="559"/>
      <c r="AB257" s="559"/>
      <c r="AC257" s="559"/>
      <c r="AD257" s="559"/>
      <c r="AE257" s="559"/>
    </row>
    <row r="258" spans="1:31" ht="18" customHeight="1" x14ac:dyDescent="0.35">
      <c r="A258" s="559"/>
      <c r="B258" s="559"/>
      <c r="C258" s="559"/>
      <c r="D258" s="559"/>
      <c r="E258" s="559"/>
      <c r="F258" s="559"/>
      <c r="G258" s="559"/>
      <c r="H258" s="559"/>
      <c r="I258" s="559"/>
      <c r="J258" s="559"/>
      <c r="K258" s="559"/>
      <c r="L258" s="559"/>
      <c r="M258" s="559"/>
      <c r="N258" s="559"/>
      <c r="O258" s="559"/>
      <c r="P258" s="559"/>
      <c r="Q258" s="559"/>
      <c r="R258" s="559"/>
      <c r="S258" s="559"/>
      <c r="T258" s="559"/>
      <c r="U258" s="559"/>
      <c r="V258" s="559"/>
      <c r="W258" s="559"/>
      <c r="X258" s="559"/>
      <c r="Y258" s="559"/>
      <c r="Z258" s="559"/>
      <c r="AA258" s="559"/>
      <c r="AB258" s="559"/>
      <c r="AC258" s="559"/>
      <c r="AD258" s="559"/>
      <c r="AE258" s="559"/>
    </row>
    <row r="259" spans="1:31" ht="18" customHeight="1" x14ac:dyDescent="0.35">
      <c r="A259" s="559"/>
      <c r="B259" s="559"/>
      <c r="C259" s="559"/>
      <c r="D259" s="559"/>
      <c r="E259" s="559"/>
      <c r="F259" s="559"/>
      <c r="G259" s="559"/>
      <c r="H259" s="559"/>
      <c r="I259" s="559"/>
      <c r="J259" s="559"/>
      <c r="K259" s="559"/>
      <c r="L259" s="559"/>
      <c r="M259" s="559"/>
      <c r="N259" s="559"/>
      <c r="O259" s="559"/>
      <c r="P259" s="559"/>
      <c r="Q259" s="559"/>
      <c r="R259" s="559"/>
      <c r="S259" s="559"/>
      <c r="T259" s="559"/>
      <c r="U259" s="559"/>
      <c r="V259" s="559"/>
      <c r="W259" s="559"/>
      <c r="X259" s="559"/>
      <c r="Y259" s="559"/>
      <c r="Z259" s="559"/>
      <c r="AA259" s="559"/>
      <c r="AB259" s="559"/>
      <c r="AC259" s="559"/>
      <c r="AD259" s="559"/>
      <c r="AE259" s="559"/>
    </row>
    <row r="260" spans="1:31" ht="18" customHeight="1" x14ac:dyDescent="0.35">
      <c r="A260" s="559"/>
      <c r="B260" s="559"/>
      <c r="C260" s="559"/>
      <c r="D260" s="559"/>
      <c r="E260" s="559"/>
      <c r="F260" s="559"/>
      <c r="G260" s="559"/>
      <c r="H260" s="559"/>
      <c r="I260" s="559"/>
      <c r="J260" s="559"/>
      <c r="K260" s="559"/>
      <c r="L260" s="559"/>
      <c r="M260" s="559"/>
      <c r="N260" s="559"/>
      <c r="O260" s="559"/>
      <c r="P260" s="559"/>
      <c r="Q260" s="559"/>
      <c r="R260" s="559"/>
      <c r="S260" s="559"/>
      <c r="T260" s="559"/>
      <c r="U260" s="559"/>
      <c r="V260" s="559"/>
      <c r="W260" s="559"/>
      <c r="X260" s="559"/>
      <c r="Y260" s="559"/>
      <c r="Z260" s="559"/>
      <c r="AA260" s="559"/>
      <c r="AB260" s="559"/>
      <c r="AC260" s="559"/>
      <c r="AD260" s="559"/>
      <c r="AE260" s="559"/>
    </row>
    <row r="261" spans="1:31" ht="18" customHeight="1" x14ac:dyDescent="0.35">
      <c r="A261" s="559"/>
      <c r="B261" s="559"/>
      <c r="C261" s="559"/>
      <c r="D261" s="559"/>
      <c r="E261" s="559"/>
      <c r="F261" s="559"/>
      <c r="G261" s="559"/>
      <c r="H261" s="559"/>
      <c r="I261" s="559"/>
      <c r="J261" s="559"/>
      <c r="K261" s="559"/>
      <c r="L261" s="559"/>
      <c r="M261" s="559"/>
      <c r="N261" s="559"/>
      <c r="O261" s="559"/>
      <c r="P261" s="559"/>
      <c r="Q261" s="559"/>
      <c r="R261" s="559"/>
      <c r="S261" s="559"/>
      <c r="T261" s="559"/>
      <c r="U261" s="559"/>
      <c r="V261" s="559"/>
      <c r="W261" s="559"/>
      <c r="X261" s="559"/>
      <c r="Y261" s="559"/>
      <c r="Z261" s="559"/>
      <c r="AA261" s="559"/>
      <c r="AB261" s="559"/>
      <c r="AC261" s="559"/>
      <c r="AD261" s="559"/>
      <c r="AE261" s="559"/>
    </row>
    <row r="262" spans="1:31" ht="18" customHeight="1" x14ac:dyDescent="0.35">
      <c r="A262" s="559"/>
      <c r="B262" s="559"/>
      <c r="C262" s="559"/>
      <c r="D262" s="559"/>
      <c r="E262" s="559"/>
      <c r="F262" s="559"/>
      <c r="G262" s="559"/>
      <c r="H262" s="559"/>
      <c r="I262" s="559"/>
      <c r="J262" s="559"/>
      <c r="K262" s="559"/>
      <c r="L262" s="559"/>
      <c r="M262" s="559"/>
      <c r="N262" s="559"/>
      <c r="O262" s="559"/>
      <c r="P262" s="559"/>
      <c r="Q262" s="559"/>
      <c r="R262" s="559"/>
      <c r="S262" s="559"/>
      <c r="T262" s="559"/>
      <c r="U262" s="559"/>
      <c r="V262" s="559"/>
      <c r="W262" s="559"/>
      <c r="X262" s="559"/>
      <c r="Y262" s="559"/>
      <c r="Z262" s="559"/>
      <c r="AA262" s="559"/>
      <c r="AB262" s="559"/>
      <c r="AC262" s="559"/>
      <c r="AD262" s="559"/>
      <c r="AE262" s="559"/>
    </row>
    <row r="263" spans="1:31" ht="18" customHeight="1" x14ac:dyDescent="0.35">
      <c r="A263" s="559"/>
      <c r="B263" s="559"/>
      <c r="C263" s="559"/>
      <c r="D263" s="559"/>
      <c r="E263" s="559"/>
      <c r="F263" s="559"/>
      <c r="G263" s="559"/>
      <c r="H263" s="559"/>
      <c r="I263" s="559"/>
      <c r="J263" s="559"/>
      <c r="K263" s="559"/>
      <c r="L263" s="559"/>
      <c r="M263" s="559"/>
      <c r="N263" s="559"/>
      <c r="O263" s="559"/>
      <c r="P263" s="559"/>
      <c r="Q263" s="559"/>
      <c r="R263" s="559"/>
      <c r="S263" s="559"/>
      <c r="T263" s="559"/>
      <c r="U263" s="559"/>
      <c r="V263" s="559"/>
      <c r="W263" s="559"/>
      <c r="X263" s="559"/>
      <c r="Y263" s="559"/>
      <c r="Z263" s="559"/>
      <c r="AA263" s="559"/>
      <c r="AB263" s="559"/>
      <c r="AC263" s="559"/>
      <c r="AD263" s="559"/>
      <c r="AE263" s="559"/>
    </row>
    <row r="264" spans="1:31" ht="18" customHeight="1" x14ac:dyDescent="0.35">
      <c r="A264" s="559"/>
      <c r="B264" s="559"/>
      <c r="C264" s="559"/>
      <c r="D264" s="559"/>
      <c r="E264" s="559"/>
      <c r="F264" s="559"/>
      <c r="G264" s="559"/>
      <c r="H264" s="559"/>
      <c r="I264" s="559"/>
      <c r="J264" s="559"/>
      <c r="K264" s="559"/>
      <c r="L264" s="559"/>
      <c r="M264" s="559"/>
      <c r="N264" s="559"/>
      <c r="O264" s="559"/>
      <c r="P264" s="559"/>
      <c r="Q264" s="559"/>
      <c r="R264" s="559"/>
      <c r="S264" s="559"/>
      <c r="T264" s="559"/>
      <c r="U264" s="559"/>
      <c r="V264" s="559"/>
      <c r="W264" s="559"/>
      <c r="X264" s="559"/>
      <c r="Y264" s="559"/>
      <c r="Z264" s="559"/>
      <c r="AA264" s="559"/>
      <c r="AB264" s="559"/>
      <c r="AC264" s="559"/>
      <c r="AD264" s="559"/>
      <c r="AE264" s="559"/>
    </row>
    <row r="265" spans="1:31" ht="18" customHeight="1" x14ac:dyDescent="0.35">
      <c r="A265" s="559"/>
      <c r="B265" s="559"/>
      <c r="C265" s="559"/>
      <c r="D265" s="559"/>
      <c r="E265" s="559"/>
      <c r="F265" s="559"/>
      <c r="G265" s="559"/>
      <c r="H265" s="559"/>
      <c r="I265" s="559"/>
      <c r="J265" s="559"/>
      <c r="K265" s="559"/>
      <c r="L265" s="559"/>
      <c r="M265" s="559"/>
      <c r="N265" s="559"/>
      <c r="O265" s="559"/>
      <c r="P265" s="559"/>
      <c r="Q265" s="559"/>
      <c r="R265" s="559"/>
      <c r="S265" s="559"/>
      <c r="T265" s="559"/>
      <c r="U265" s="559"/>
      <c r="V265" s="559"/>
      <c r="W265" s="559"/>
      <c r="X265" s="559"/>
      <c r="Y265" s="559"/>
      <c r="Z265" s="559"/>
      <c r="AA265" s="559"/>
      <c r="AB265" s="559"/>
      <c r="AC265" s="559"/>
      <c r="AD265" s="559"/>
      <c r="AE265" s="559"/>
    </row>
    <row r="266" spans="1:31" ht="18" customHeight="1" x14ac:dyDescent="0.35">
      <c r="A266" s="559"/>
      <c r="B266" s="559"/>
      <c r="C266" s="559"/>
      <c r="D266" s="559"/>
      <c r="E266" s="559"/>
      <c r="F266" s="559"/>
      <c r="G266" s="559"/>
      <c r="H266" s="559"/>
      <c r="I266" s="559"/>
      <c r="J266" s="559"/>
      <c r="K266" s="559"/>
      <c r="L266" s="559"/>
      <c r="M266" s="559"/>
      <c r="N266" s="559"/>
      <c r="O266" s="559"/>
      <c r="P266" s="559"/>
      <c r="Q266" s="559"/>
      <c r="R266" s="559"/>
      <c r="S266" s="559"/>
      <c r="T266" s="559"/>
      <c r="U266" s="559"/>
      <c r="V266" s="559"/>
      <c r="W266" s="559"/>
      <c r="X266" s="559"/>
      <c r="Y266" s="559"/>
      <c r="Z266" s="559"/>
      <c r="AA266" s="559"/>
      <c r="AB266" s="559"/>
      <c r="AC266" s="559"/>
      <c r="AD266" s="559"/>
      <c r="AE266" s="559"/>
    </row>
    <row r="267" spans="1:31" ht="18" customHeight="1" x14ac:dyDescent="0.35">
      <c r="A267" s="559"/>
      <c r="B267" s="559"/>
      <c r="C267" s="559"/>
      <c r="D267" s="559"/>
      <c r="E267" s="559"/>
      <c r="F267" s="559"/>
      <c r="G267" s="559"/>
      <c r="H267" s="559"/>
      <c r="I267" s="559"/>
      <c r="J267" s="559"/>
      <c r="K267" s="559"/>
      <c r="L267" s="559"/>
      <c r="M267" s="559"/>
      <c r="N267" s="559"/>
      <c r="O267" s="559"/>
      <c r="P267" s="559"/>
      <c r="Q267" s="559"/>
      <c r="R267" s="559"/>
      <c r="S267" s="559"/>
      <c r="T267" s="559"/>
      <c r="U267" s="559"/>
      <c r="V267" s="559"/>
      <c r="W267" s="559"/>
      <c r="X267" s="559"/>
      <c r="Y267" s="559"/>
      <c r="Z267" s="559"/>
      <c r="AA267" s="559"/>
      <c r="AB267" s="559"/>
      <c r="AC267" s="559"/>
      <c r="AD267" s="559"/>
      <c r="AE267" s="559"/>
    </row>
    <row r="268" spans="1:31" ht="18" customHeight="1" x14ac:dyDescent="0.35">
      <c r="A268" s="559"/>
      <c r="B268" s="559"/>
      <c r="C268" s="559"/>
      <c r="D268" s="559"/>
      <c r="E268" s="559"/>
      <c r="F268" s="559"/>
      <c r="G268" s="559"/>
      <c r="H268" s="559"/>
      <c r="I268" s="559"/>
      <c r="J268" s="559"/>
      <c r="K268" s="559"/>
      <c r="L268" s="559"/>
      <c r="M268" s="559"/>
      <c r="N268" s="559"/>
      <c r="O268" s="559"/>
      <c r="P268" s="559"/>
      <c r="Q268" s="559"/>
      <c r="R268" s="559"/>
      <c r="S268" s="559"/>
      <c r="T268" s="559"/>
      <c r="U268" s="559"/>
      <c r="V268" s="559"/>
      <c r="W268" s="559"/>
      <c r="X268" s="559"/>
      <c r="Y268" s="559"/>
      <c r="Z268" s="559"/>
      <c r="AA268" s="559"/>
      <c r="AB268" s="559"/>
      <c r="AC268" s="559"/>
      <c r="AD268" s="559"/>
      <c r="AE268" s="559"/>
    </row>
    <row r="269" spans="1:31" ht="18" customHeight="1" x14ac:dyDescent="0.35">
      <c r="A269" s="559"/>
      <c r="B269" s="559"/>
      <c r="C269" s="559"/>
      <c r="D269" s="559"/>
      <c r="E269" s="559"/>
      <c r="F269" s="559"/>
      <c r="G269" s="559"/>
      <c r="H269" s="559"/>
      <c r="I269" s="559"/>
      <c r="J269" s="559"/>
      <c r="K269" s="559"/>
      <c r="L269" s="559"/>
      <c r="M269" s="559"/>
      <c r="N269" s="559"/>
      <c r="O269" s="559"/>
      <c r="P269" s="559"/>
      <c r="Q269" s="559"/>
      <c r="R269" s="559"/>
      <c r="S269" s="559"/>
      <c r="T269" s="559"/>
      <c r="U269" s="559"/>
      <c r="V269" s="559"/>
      <c r="W269" s="559"/>
      <c r="X269" s="559"/>
      <c r="Y269" s="559"/>
      <c r="Z269" s="559"/>
      <c r="AA269" s="559"/>
      <c r="AB269" s="559"/>
      <c r="AC269" s="559"/>
      <c r="AD269" s="559"/>
      <c r="AE269" s="559"/>
    </row>
    <row r="270" spans="1:31" ht="18" customHeight="1" x14ac:dyDescent="0.35">
      <c r="A270" s="559"/>
      <c r="B270" s="559"/>
      <c r="C270" s="559"/>
      <c r="D270" s="559"/>
      <c r="E270" s="559"/>
      <c r="F270" s="559"/>
      <c r="G270" s="559"/>
      <c r="H270" s="559"/>
      <c r="I270" s="559"/>
      <c r="J270" s="559"/>
      <c r="K270" s="559"/>
      <c r="L270" s="559"/>
      <c r="M270" s="559"/>
      <c r="N270" s="559"/>
      <c r="O270" s="559"/>
      <c r="P270" s="559"/>
      <c r="Q270" s="559"/>
      <c r="R270" s="559"/>
      <c r="S270" s="559"/>
      <c r="T270" s="559"/>
      <c r="U270" s="559"/>
      <c r="V270" s="559"/>
      <c r="W270" s="559"/>
      <c r="X270" s="559"/>
      <c r="Y270" s="559"/>
      <c r="Z270" s="559"/>
      <c r="AA270" s="559"/>
      <c r="AB270" s="559"/>
      <c r="AC270" s="559"/>
      <c r="AD270" s="559"/>
      <c r="AE270" s="559"/>
    </row>
    <row r="271" spans="1:31" ht="18" customHeight="1" x14ac:dyDescent="0.35">
      <c r="A271" s="559"/>
      <c r="B271" s="559"/>
      <c r="C271" s="559"/>
      <c r="D271" s="559"/>
      <c r="E271" s="559"/>
      <c r="F271" s="559"/>
      <c r="G271" s="559"/>
      <c r="H271" s="559"/>
      <c r="I271" s="559"/>
      <c r="J271" s="559"/>
      <c r="K271" s="559"/>
      <c r="L271" s="559"/>
      <c r="M271" s="559"/>
      <c r="N271" s="559"/>
      <c r="O271" s="559"/>
      <c r="P271" s="559"/>
      <c r="Q271" s="559"/>
      <c r="R271" s="559"/>
      <c r="S271" s="559"/>
      <c r="T271" s="559"/>
      <c r="U271" s="559"/>
      <c r="V271" s="559"/>
      <c r="W271" s="559"/>
      <c r="X271" s="559"/>
      <c r="Y271" s="559"/>
      <c r="Z271" s="559"/>
      <c r="AA271" s="559"/>
      <c r="AB271" s="559"/>
      <c r="AC271" s="559"/>
      <c r="AD271" s="559"/>
      <c r="AE271" s="559"/>
    </row>
    <row r="272" spans="1:31" ht="18" customHeight="1" x14ac:dyDescent="0.35">
      <c r="A272" s="559"/>
      <c r="B272" s="559"/>
      <c r="C272" s="559"/>
      <c r="D272" s="559"/>
      <c r="E272" s="559"/>
      <c r="F272" s="559"/>
      <c r="G272" s="559"/>
      <c r="H272" s="559"/>
      <c r="I272" s="559"/>
      <c r="J272" s="559"/>
      <c r="K272" s="559"/>
      <c r="L272" s="559"/>
      <c r="M272" s="559"/>
      <c r="N272" s="559"/>
      <c r="O272" s="559"/>
      <c r="P272" s="559"/>
      <c r="Q272" s="559"/>
      <c r="R272" s="559"/>
      <c r="S272" s="559"/>
      <c r="T272" s="559"/>
      <c r="U272" s="559"/>
      <c r="V272" s="559"/>
      <c r="W272" s="559"/>
      <c r="X272" s="559"/>
      <c r="Y272" s="559"/>
      <c r="Z272" s="559"/>
      <c r="AA272" s="559"/>
      <c r="AB272" s="559"/>
      <c r="AC272" s="559"/>
      <c r="AD272" s="559"/>
      <c r="AE272" s="559"/>
    </row>
    <row r="273" spans="1:31" ht="18" customHeight="1" x14ac:dyDescent="0.35">
      <c r="A273" s="559"/>
      <c r="B273" s="559"/>
      <c r="C273" s="559"/>
      <c r="D273" s="559"/>
      <c r="E273" s="559"/>
      <c r="F273" s="559"/>
      <c r="G273" s="559"/>
      <c r="H273" s="559"/>
      <c r="I273" s="559"/>
      <c r="J273" s="559"/>
      <c r="K273" s="559"/>
      <c r="L273" s="559"/>
      <c r="M273" s="559"/>
      <c r="N273" s="559"/>
      <c r="O273" s="559"/>
      <c r="P273" s="559"/>
      <c r="Q273" s="559"/>
      <c r="R273" s="559"/>
      <c r="S273" s="559"/>
      <c r="T273" s="559"/>
      <c r="U273" s="559"/>
      <c r="V273" s="559"/>
      <c r="W273" s="559"/>
      <c r="X273" s="559"/>
      <c r="Y273" s="559"/>
      <c r="Z273" s="559"/>
      <c r="AA273" s="559"/>
      <c r="AB273" s="559"/>
      <c r="AC273" s="559"/>
      <c r="AD273" s="559"/>
      <c r="AE273" s="559"/>
    </row>
    <row r="274" spans="1:31" ht="18" customHeight="1" x14ac:dyDescent="0.35">
      <c r="A274" s="559"/>
      <c r="B274" s="559"/>
      <c r="C274" s="559"/>
      <c r="D274" s="559"/>
      <c r="E274" s="559"/>
      <c r="F274" s="559"/>
      <c r="G274" s="559"/>
      <c r="H274" s="559"/>
      <c r="I274" s="559"/>
      <c r="J274" s="559"/>
      <c r="K274" s="559"/>
      <c r="L274" s="559"/>
      <c r="M274" s="559"/>
      <c r="N274" s="559"/>
      <c r="O274" s="559"/>
      <c r="P274" s="559"/>
      <c r="Q274" s="559"/>
      <c r="R274" s="559"/>
      <c r="S274" s="559"/>
      <c r="T274" s="559"/>
      <c r="U274" s="559"/>
      <c r="V274" s="559"/>
      <c r="W274" s="559"/>
      <c r="X274" s="559"/>
      <c r="Y274" s="559"/>
      <c r="Z274" s="559"/>
      <c r="AA274" s="559"/>
      <c r="AB274" s="559"/>
      <c r="AC274" s="559"/>
      <c r="AD274" s="559"/>
      <c r="AE274" s="559"/>
    </row>
    <row r="275" spans="1:31" ht="18" customHeight="1" x14ac:dyDescent="0.35">
      <c r="A275" s="559"/>
      <c r="B275" s="559"/>
      <c r="C275" s="559"/>
      <c r="D275" s="559"/>
      <c r="E275" s="559"/>
      <c r="F275" s="559"/>
      <c r="G275" s="559"/>
      <c r="H275" s="559"/>
      <c r="I275" s="559"/>
      <c r="J275" s="559"/>
      <c r="K275" s="559"/>
      <c r="L275" s="559"/>
      <c r="M275" s="559"/>
      <c r="N275" s="559"/>
      <c r="O275" s="559"/>
      <c r="P275" s="559"/>
      <c r="Q275" s="559"/>
      <c r="R275" s="559"/>
      <c r="S275" s="559"/>
      <c r="T275" s="559"/>
      <c r="U275" s="559"/>
      <c r="V275" s="559"/>
      <c r="W275" s="559"/>
      <c r="X275" s="559"/>
      <c r="Y275" s="559"/>
      <c r="Z275" s="559"/>
      <c r="AA275" s="559"/>
      <c r="AB275" s="559"/>
      <c r="AC275" s="559"/>
      <c r="AD275" s="559"/>
      <c r="AE275" s="559"/>
    </row>
    <row r="276" spans="1:31" ht="18" customHeight="1" x14ac:dyDescent="0.35">
      <c r="A276" s="559"/>
      <c r="B276" s="559"/>
      <c r="C276" s="559"/>
      <c r="D276" s="559"/>
      <c r="E276" s="559"/>
      <c r="F276" s="559"/>
      <c r="G276" s="559"/>
      <c r="H276" s="559"/>
      <c r="I276" s="559"/>
      <c r="J276" s="559"/>
      <c r="K276" s="559"/>
      <c r="L276" s="559"/>
      <c r="M276" s="559"/>
      <c r="N276" s="559"/>
      <c r="O276" s="559"/>
      <c r="P276" s="559"/>
      <c r="Q276" s="559"/>
      <c r="R276" s="559"/>
      <c r="S276" s="559"/>
      <c r="T276" s="559"/>
      <c r="U276" s="559"/>
      <c r="V276" s="559"/>
      <c r="W276" s="559"/>
      <c r="X276" s="559"/>
      <c r="Y276" s="559"/>
      <c r="Z276" s="559"/>
      <c r="AA276" s="559"/>
      <c r="AB276" s="559"/>
      <c r="AC276" s="559"/>
      <c r="AD276" s="559"/>
      <c r="AE276" s="559"/>
    </row>
    <row r="277" spans="1:31" ht="18" customHeight="1" x14ac:dyDescent="0.35">
      <c r="A277" s="559"/>
      <c r="B277" s="559"/>
      <c r="C277" s="559"/>
      <c r="D277" s="559"/>
      <c r="E277" s="559"/>
      <c r="F277" s="559"/>
      <c r="G277" s="559"/>
      <c r="H277" s="559"/>
      <c r="I277" s="559"/>
      <c r="J277" s="559"/>
      <c r="K277" s="559"/>
      <c r="L277" s="559"/>
      <c r="M277" s="559"/>
      <c r="N277" s="559"/>
      <c r="O277" s="559"/>
      <c r="P277" s="559"/>
      <c r="Q277" s="559"/>
      <c r="R277" s="559"/>
      <c r="S277" s="559"/>
      <c r="T277" s="559"/>
      <c r="U277" s="559"/>
      <c r="V277" s="559"/>
      <c r="W277" s="559"/>
      <c r="X277" s="559"/>
      <c r="Y277" s="559"/>
      <c r="Z277" s="559"/>
      <c r="AA277" s="559"/>
      <c r="AB277" s="559"/>
      <c r="AC277" s="559"/>
      <c r="AD277" s="559"/>
      <c r="AE277" s="559"/>
    </row>
    <row r="278" spans="1:31" ht="18" customHeight="1" x14ac:dyDescent="0.35">
      <c r="A278" s="559"/>
      <c r="B278" s="559"/>
      <c r="C278" s="559"/>
      <c r="D278" s="559"/>
      <c r="E278" s="559"/>
      <c r="F278" s="559"/>
      <c r="G278" s="559"/>
      <c r="H278" s="559"/>
      <c r="I278" s="559"/>
      <c r="J278" s="559"/>
      <c r="K278" s="559"/>
      <c r="L278" s="559"/>
      <c r="M278" s="559"/>
      <c r="N278" s="559"/>
      <c r="O278" s="559"/>
      <c r="P278" s="559"/>
      <c r="Q278" s="559"/>
      <c r="R278" s="559"/>
      <c r="S278" s="559"/>
      <c r="T278" s="559"/>
      <c r="U278" s="559"/>
      <c r="V278" s="559"/>
      <c r="W278" s="559"/>
      <c r="X278" s="559"/>
      <c r="Y278" s="559"/>
      <c r="Z278" s="559"/>
      <c r="AA278" s="559"/>
      <c r="AB278" s="559"/>
      <c r="AC278" s="559"/>
      <c r="AD278" s="559"/>
      <c r="AE278" s="559"/>
    </row>
    <row r="279" spans="1:31" ht="18" customHeight="1" x14ac:dyDescent="0.35">
      <c r="A279" s="559"/>
      <c r="B279" s="559"/>
      <c r="C279" s="559"/>
      <c r="D279" s="559"/>
      <c r="E279" s="559"/>
      <c r="F279" s="559"/>
      <c r="G279" s="559"/>
      <c r="H279" s="559"/>
      <c r="I279" s="559"/>
      <c r="J279" s="559"/>
      <c r="K279" s="559"/>
      <c r="L279" s="559"/>
      <c r="M279" s="559"/>
      <c r="N279" s="559"/>
      <c r="O279" s="559"/>
      <c r="P279" s="559"/>
      <c r="Q279" s="559"/>
      <c r="R279" s="559"/>
      <c r="S279" s="559"/>
      <c r="T279" s="559"/>
      <c r="U279" s="559"/>
      <c r="V279" s="559"/>
      <c r="W279" s="559"/>
      <c r="X279" s="559"/>
      <c r="Y279" s="559"/>
      <c r="Z279" s="559"/>
      <c r="AA279" s="559"/>
      <c r="AB279" s="559"/>
      <c r="AC279" s="559"/>
      <c r="AD279" s="559"/>
      <c r="AE279" s="559"/>
    </row>
    <row r="280" spans="1:31" ht="18" customHeight="1" x14ac:dyDescent="0.35">
      <c r="A280" s="559"/>
      <c r="B280" s="559"/>
      <c r="C280" s="559"/>
      <c r="D280" s="559"/>
      <c r="E280" s="559"/>
      <c r="F280" s="559"/>
      <c r="G280" s="559"/>
      <c r="H280" s="559"/>
      <c r="I280" s="559"/>
      <c r="J280" s="559"/>
      <c r="K280" s="559"/>
      <c r="L280" s="559"/>
      <c r="M280" s="559"/>
      <c r="N280" s="559"/>
      <c r="O280" s="559"/>
      <c r="P280" s="559"/>
      <c r="Q280" s="559"/>
      <c r="R280" s="559"/>
      <c r="S280" s="559"/>
      <c r="T280" s="559"/>
      <c r="U280" s="559"/>
      <c r="V280" s="559"/>
      <c r="W280" s="559"/>
      <c r="X280" s="559"/>
      <c r="Y280" s="559"/>
      <c r="Z280" s="559"/>
      <c r="AA280" s="559"/>
      <c r="AB280" s="559"/>
      <c r="AC280" s="559"/>
      <c r="AD280" s="559"/>
      <c r="AE280" s="559"/>
    </row>
    <row r="281" spans="1:31" ht="18" customHeight="1" x14ac:dyDescent="0.35">
      <c r="A281" s="559"/>
      <c r="B281" s="559"/>
      <c r="C281" s="559"/>
      <c r="D281" s="559"/>
      <c r="E281" s="559"/>
      <c r="F281" s="559"/>
      <c r="G281" s="559"/>
      <c r="H281" s="559"/>
      <c r="I281" s="559"/>
      <c r="J281" s="559"/>
      <c r="K281" s="559"/>
      <c r="L281" s="559"/>
      <c r="M281" s="559"/>
      <c r="N281" s="559"/>
      <c r="O281" s="559"/>
      <c r="P281" s="559"/>
      <c r="Q281" s="559"/>
      <c r="R281" s="559"/>
      <c r="S281" s="559"/>
      <c r="T281" s="559"/>
      <c r="U281" s="559"/>
      <c r="V281" s="559"/>
      <c r="W281" s="559"/>
      <c r="X281" s="559"/>
      <c r="Y281" s="559"/>
      <c r="Z281" s="559"/>
      <c r="AA281" s="559"/>
      <c r="AB281" s="559"/>
      <c r="AC281" s="559"/>
      <c r="AD281" s="559"/>
      <c r="AE281" s="559"/>
    </row>
    <row r="282" spans="1:31" ht="18" customHeight="1" x14ac:dyDescent="0.35">
      <c r="A282" s="559"/>
      <c r="B282" s="559"/>
      <c r="C282" s="559"/>
      <c r="D282" s="559"/>
      <c r="E282" s="559"/>
      <c r="F282" s="559"/>
      <c r="G282" s="559"/>
      <c r="H282" s="559"/>
      <c r="I282" s="559"/>
      <c r="J282" s="559"/>
      <c r="K282" s="559"/>
      <c r="L282" s="559"/>
      <c r="M282" s="559"/>
      <c r="N282" s="559"/>
      <c r="O282" s="559"/>
      <c r="P282" s="559"/>
      <c r="Q282" s="559"/>
      <c r="R282" s="559"/>
      <c r="S282" s="559"/>
      <c r="T282" s="559"/>
      <c r="U282" s="559"/>
      <c r="V282" s="559"/>
      <c r="W282" s="559"/>
      <c r="X282" s="559"/>
      <c r="Y282" s="559"/>
      <c r="Z282" s="559"/>
      <c r="AA282" s="559"/>
      <c r="AB282" s="559"/>
      <c r="AC282" s="559"/>
      <c r="AD282" s="559"/>
      <c r="AE282" s="559"/>
    </row>
    <row r="283" spans="1:31" ht="18" customHeight="1" x14ac:dyDescent="0.35">
      <c r="A283" s="559"/>
      <c r="B283" s="559"/>
      <c r="C283" s="559"/>
      <c r="D283" s="559"/>
      <c r="E283" s="559"/>
      <c r="F283" s="559"/>
      <c r="G283" s="559"/>
      <c r="H283" s="559"/>
      <c r="I283" s="559"/>
      <c r="J283" s="559"/>
      <c r="K283" s="559"/>
      <c r="L283" s="559"/>
      <c r="M283" s="559"/>
      <c r="N283" s="559"/>
      <c r="O283" s="559"/>
      <c r="P283" s="559"/>
      <c r="Q283" s="559"/>
      <c r="R283" s="559"/>
      <c r="S283" s="559"/>
      <c r="T283" s="559"/>
      <c r="U283" s="559"/>
      <c r="V283" s="559"/>
      <c r="W283" s="559"/>
      <c r="X283" s="559"/>
      <c r="Y283" s="559"/>
      <c r="Z283" s="559"/>
      <c r="AA283" s="559"/>
      <c r="AB283" s="559"/>
      <c r="AC283" s="559"/>
      <c r="AD283" s="559"/>
      <c r="AE283" s="559"/>
    </row>
    <row r="284" spans="1:31" ht="18" customHeight="1" x14ac:dyDescent="0.35">
      <c r="A284" s="559"/>
      <c r="B284" s="559"/>
      <c r="C284" s="559"/>
      <c r="D284" s="559"/>
      <c r="E284" s="559"/>
      <c r="F284" s="559"/>
      <c r="G284" s="559"/>
      <c r="H284" s="559"/>
      <c r="I284" s="559"/>
      <c r="J284" s="559"/>
      <c r="K284" s="559"/>
      <c r="L284" s="559"/>
      <c r="M284" s="559"/>
      <c r="N284" s="559"/>
      <c r="O284" s="559"/>
      <c r="P284" s="559"/>
      <c r="Q284" s="559"/>
      <c r="R284" s="559"/>
      <c r="S284" s="559"/>
      <c r="T284" s="559"/>
      <c r="U284" s="559"/>
      <c r="V284" s="559"/>
      <c r="W284" s="559"/>
      <c r="X284" s="559"/>
      <c r="Y284" s="559"/>
      <c r="Z284" s="559"/>
      <c r="AA284" s="559"/>
      <c r="AB284" s="559"/>
      <c r="AC284" s="559"/>
      <c r="AD284" s="559"/>
      <c r="AE284" s="559"/>
    </row>
    <row r="285" spans="1:31" ht="18" customHeight="1" x14ac:dyDescent="0.35">
      <c r="A285" s="559"/>
      <c r="B285" s="559"/>
      <c r="C285" s="559"/>
      <c r="D285" s="559"/>
      <c r="E285" s="559"/>
      <c r="F285" s="559"/>
      <c r="G285" s="559"/>
      <c r="H285" s="559"/>
      <c r="I285" s="559"/>
      <c r="J285" s="559"/>
      <c r="K285" s="559"/>
      <c r="L285" s="559"/>
      <c r="M285" s="559"/>
      <c r="N285" s="559"/>
      <c r="O285" s="559"/>
      <c r="P285" s="559"/>
      <c r="Q285" s="559"/>
      <c r="R285" s="559"/>
      <c r="S285" s="559"/>
      <c r="T285" s="559"/>
      <c r="U285" s="559"/>
      <c r="V285" s="559"/>
      <c r="W285" s="559"/>
      <c r="X285" s="559"/>
      <c r="Y285" s="559"/>
      <c r="Z285" s="559"/>
      <c r="AA285" s="559"/>
      <c r="AB285" s="559"/>
      <c r="AC285" s="559"/>
      <c r="AD285" s="559"/>
      <c r="AE285" s="559"/>
    </row>
    <row r="286" spans="1:31" ht="18" customHeight="1" x14ac:dyDescent="0.35">
      <c r="A286" s="559"/>
      <c r="B286" s="559"/>
      <c r="C286" s="559"/>
      <c r="D286" s="559"/>
      <c r="E286" s="559"/>
      <c r="F286" s="559"/>
      <c r="G286" s="559"/>
      <c r="H286" s="559"/>
      <c r="I286" s="559"/>
      <c r="J286" s="559"/>
      <c r="K286" s="559"/>
      <c r="L286" s="559"/>
      <c r="M286" s="559"/>
      <c r="N286" s="559"/>
      <c r="O286" s="559"/>
      <c r="P286" s="559"/>
      <c r="Q286" s="559"/>
      <c r="R286" s="559"/>
      <c r="S286" s="559"/>
      <c r="T286" s="559"/>
      <c r="U286" s="559"/>
      <c r="V286" s="559"/>
      <c r="W286" s="559"/>
      <c r="X286" s="559"/>
      <c r="Y286" s="559"/>
      <c r="Z286" s="559"/>
      <c r="AA286" s="559"/>
      <c r="AB286" s="559"/>
      <c r="AC286" s="559"/>
      <c r="AD286" s="559"/>
      <c r="AE286" s="559"/>
    </row>
    <row r="287" spans="1:31" ht="18" customHeight="1" x14ac:dyDescent="0.35">
      <c r="A287" s="559"/>
      <c r="B287" s="559"/>
      <c r="C287" s="559"/>
      <c r="D287" s="559"/>
      <c r="E287" s="559"/>
      <c r="F287" s="559"/>
      <c r="G287" s="559"/>
      <c r="H287" s="559"/>
      <c r="I287" s="559"/>
      <c r="J287" s="559"/>
      <c r="K287" s="559"/>
      <c r="L287" s="559"/>
      <c r="M287" s="559"/>
      <c r="N287" s="559"/>
      <c r="O287" s="559"/>
      <c r="P287" s="559"/>
      <c r="Q287" s="559"/>
      <c r="R287" s="559"/>
      <c r="S287" s="559"/>
      <c r="T287" s="559"/>
      <c r="U287" s="559"/>
      <c r="V287" s="559"/>
      <c r="W287" s="559"/>
      <c r="X287" s="559"/>
      <c r="Y287" s="559"/>
      <c r="Z287" s="559"/>
      <c r="AA287" s="559"/>
      <c r="AB287" s="559"/>
      <c r="AC287" s="559"/>
      <c r="AD287" s="559"/>
      <c r="AE287" s="559"/>
    </row>
    <row r="288" spans="1:31" ht="18" customHeight="1" x14ac:dyDescent="0.35">
      <c r="A288" s="559"/>
      <c r="B288" s="559"/>
      <c r="C288" s="559"/>
      <c r="D288" s="559"/>
      <c r="E288" s="559"/>
      <c r="F288" s="559"/>
      <c r="G288" s="559"/>
      <c r="H288" s="559"/>
      <c r="I288" s="559"/>
      <c r="J288" s="559"/>
      <c r="K288" s="559"/>
      <c r="L288" s="559"/>
      <c r="M288" s="559"/>
      <c r="N288" s="559"/>
      <c r="O288" s="559"/>
      <c r="P288" s="559"/>
      <c r="Q288" s="559"/>
      <c r="R288" s="559"/>
      <c r="S288" s="559"/>
      <c r="T288" s="559"/>
      <c r="U288" s="559"/>
      <c r="V288" s="559"/>
      <c r="W288" s="559"/>
      <c r="X288" s="559"/>
      <c r="Y288" s="559"/>
      <c r="Z288" s="559"/>
      <c r="AA288" s="559"/>
      <c r="AB288" s="559"/>
      <c r="AC288" s="559"/>
      <c r="AD288" s="559"/>
      <c r="AE288" s="559"/>
    </row>
    <row r="289" spans="1:31" ht="18" customHeight="1" x14ac:dyDescent="0.35">
      <c r="A289" s="559"/>
      <c r="B289" s="559"/>
      <c r="C289" s="559"/>
      <c r="D289" s="559"/>
      <c r="E289" s="559"/>
      <c r="F289" s="559"/>
      <c r="G289" s="559"/>
      <c r="H289" s="559"/>
      <c r="I289" s="559"/>
      <c r="J289" s="559"/>
      <c r="K289" s="559"/>
      <c r="L289" s="559"/>
      <c r="M289" s="559"/>
      <c r="N289" s="559"/>
      <c r="O289" s="559"/>
      <c r="P289" s="559"/>
      <c r="Q289" s="559"/>
      <c r="R289" s="559"/>
      <c r="S289" s="559"/>
      <c r="T289" s="559"/>
      <c r="U289" s="559"/>
      <c r="V289" s="559"/>
      <c r="W289" s="559"/>
      <c r="X289" s="559"/>
      <c r="Y289" s="559"/>
      <c r="Z289" s="559"/>
      <c r="AA289" s="559"/>
      <c r="AB289" s="559"/>
      <c r="AC289" s="559"/>
      <c r="AD289" s="559"/>
      <c r="AE289" s="559"/>
    </row>
    <row r="290" spans="1:31" ht="18" customHeight="1" x14ac:dyDescent="0.35">
      <c r="A290" s="559"/>
      <c r="B290" s="559"/>
      <c r="C290" s="559"/>
      <c r="D290" s="559"/>
      <c r="E290" s="559"/>
      <c r="F290" s="559"/>
      <c r="G290" s="559"/>
      <c r="H290" s="559"/>
      <c r="I290" s="559"/>
      <c r="J290" s="559"/>
      <c r="K290" s="559"/>
      <c r="L290" s="559"/>
      <c r="M290" s="559"/>
      <c r="N290" s="559"/>
      <c r="O290" s="559"/>
      <c r="P290" s="559"/>
      <c r="Q290" s="559"/>
      <c r="R290" s="559"/>
      <c r="S290" s="559"/>
      <c r="T290" s="559"/>
      <c r="U290" s="559"/>
      <c r="V290" s="559"/>
      <c r="W290" s="559"/>
      <c r="X290" s="559"/>
      <c r="Y290" s="559"/>
      <c r="Z290" s="559"/>
      <c r="AA290" s="559"/>
      <c r="AB290" s="559"/>
      <c r="AC290" s="559"/>
      <c r="AD290" s="559"/>
      <c r="AE290" s="559"/>
    </row>
    <row r="291" spans="1:31" ht="18" customHeight="1" x14ac:dyDescent="0.35">
      <c r="A291" s="559"/>
      <c r="B291" s="559"/>
      <c r="C291" s="559"/>
      <c r="D291" s="559"/>
      <c r="E291" s="559"/>
      <c r="F291" s="559"/>
      <c r="G291" s="559"/>
      <c r="H291" s="559"/>
      <c r="I291" s="559"/>
      <c r="J291" s="559"/>
      <c r="K291" s="559"/>
      <c r="L291" s="559"/>
      <c r="M291" s="559"/>
      <c r="N291" s="559"/>
      <c r="O291" s="559"/>
      <c r="P291" s="559"/>
      <c r="Q291" s="559"/>
      <c r="R291" s="559"/>
      <c r="S291" s="559"/>
      <c r="T291" s="559"/>
      <c r="U291" s="559"/>
      <c r="V291" s="559"/>
      <c r="W291" s="559"/>
      <c r="X291" s="559"/>
      <c r="Y291" s="559"/>
      <c r="Z291" s="559"/>
      <c r="AA291" s="559"/>
      <c r="AB291" s="559"/>
      <c r="AC291" s="559"/>
      <c r="AD291" s="559"/>
      <c r="AE291" s="559"/>
    </row>
    <row r="292" spans="1:31" ht="18" customHeight="1" x14ac:dyDescent="0.35">
      <c r="A292" s="559"/>
      <c r="B292" s="559"/>
      <c r="C292" s="559"/>
      <c r="D292" s="559"/>
      <c r="E292" s="559"/>
      <c r="F292" s="559"/>
      <c r="G292" s="559"/>
      <c r="H292" s="559"/>
      <c r="I292" s="559"/>
      <c r="J292" s="559"/>
      <c r="K292" s="559"/>
      <c r="L292" s="559"/>
      <c r="M292" s="559"/>
      <c r="N292" s="559"/>
      <c r="O292" s="559"/>
      <c r="P292" s="559"/>
      <c r="Q292" s="559"/>
      <c r="R292" s="559"/>
      <c r="S292" s="559"/>
      <c r="T292" s="559"/>
      <c r="U292" s="559"/>
      <c r="V292" s="559"/>
      <c r="W292" s="559"/>
      <c r="X292" s="559"/>
      <c r="Y292" s="559"/>
      <c r="Z292" s="559"/>
      <c r="AA292" s="559"/>
      <c r="AB292" s="559"/>
      <c r="AC292" s="559"/>
      <c r="AD292" s="559"/>
      <c r="AE292" s="559"/>
    </row>
    <row r="293" spans="1:31" ht="18" customHeight="1" x14ac:dyDescent="0.35">
      <c r="A293" s="559"/>
      <c r="B293" s="559"/>
      <c r="C293" s="559"/>
      <c r="D293" s="559"/>
      <c r="E293" s="559"/>
      <c r="F293" s="559"/>
      <c r="G293" s="559"/>
      <c r="H293" s="559"/>
      <c r="I293" s="559"/>
      <c r="J293" s="559"/>
      <c r="K293" s="559"/>
      <c r="L293" s="559"/>
      <c r="M293" s="559"/>
      <c r="N293" s="559"/>
      <c r="O293" s="559"/>
      <c r="P293" s="559"/>
      <c r="Q293" s="559"/>
      <c r="R293" s="559"/>
      <c r="S293" s="559"/>
      <c r="T293" s="559"/>
      <c r="U293" s="559"/>
      <c r="V293" s="559"/>
      <c r="W293" s="559"/>
      <c r="X293" s="559"/>
      <c r="Y293" s="559"/>
      <c r="Z293" s="559"/>
      <c r="AA293" s="559"/>
      <c r="AB293" s="559"/>
      <c r="AC293" s="559"/>
      <c r="AD293" s="559"/>
      <c r="AE293" s="559"/>
    </row>
    <row r="294" spans="1:31" ht="18" customHeight="1" x14ac:dyDescent="0.35">
      <c r="A294" s="559"/>
      <c r="B294" s="559"/>
      <c r="C294" s="559"/>
      <c r="D294" s="559"/>
      <c r="E294" s="559"/>
      <c r="F294" s="559"/>
      <c r="G294" s="559"/>
      <c r="H294" s="559"/>
      <c r="I294" s="559"/>
      <c r="J294" s="559"/>
      <c r="K294" s="559"/>
      <c r="L294" s="559"/>
      <c r="M294" s="559"/>
      <c r="N294" s="559"/>
      <c r="O294" s="559"/>
      <c r="P294" s="559"/>
      <c r="Q294" s="559"/>
      <c r="R294" s="559"/>
      <c r="S294" s="559"/>
      <c r="T294" s="559"/>
      <c r="U294" s="559"/>
      <c r="V294" s="559"/>
      <c r="W294" s="559"/>
      <c r="X294" s="559"/>
      <c r="Y294" s="559"/>
      <c r="Z294" s="559"/>
      <c r="AA294" s="559"/>
      <c r="AB294" s="559"/>
      <c r="AC294" s="559"/>
      <c r="AD294" s="559"/>
      <c r="AE294" s="559"/>
    </row>
    <row r="295" spans="1:31" ht="18" customHeight="1" x14ac:dyDescent="0.35">
      <c r="A295" s="559"/>
      <c r="B295" s="559"/>
      <c r="C295" s="559"/>
      <c r="D295" s="559"/>
      <c r="E295" s="559"/>
      <c r="F295" s="559"/>
      <c r="G295" s="559"/>
      <c r="H295" s="559"/>
      <c r="I295" s="559"/>
      <c r="J295" s="559"/>
      <c r="K295" s="559"/>
      <c r="L295" s="559"/>
      <c r="M295" s="559"/>
      <c r="N295" s="559"/>
      <c r="O295" s="559"/>
      <c r="P295" s="559"/>
      <c r="Q295" s="559"/>
      <c r="R295" s="559"/>
      <c r="S295" s="559"/>
      <c r="T295" s="559"/>
      <c r="U295" s="559"/>
      <c r="V295" s="559"/>
      <c r="W295" s="559"/>
      <c r="X295" s="559"/>
      <c r="Y295" s="559"/>
      <c r="Z295" s="559"/>
      <c r="AA295" s="559"/>
      <c r="AB295" s="559"/>
      <c r="AC295" s="559"/>
      <c r="AD295" s="559"/>
      <c r="AE295" s="559"/>
    </row>
    <row r="296" spans="1:31" ht="18" customHeight="1" x14ac:dyDescent="0.35">
      <c r="A296" s="559"/>
      <c r="B296" s="559"/>
      <c r="C296" s="559"/>
      <c r="D296" s="559"/>
      <c r="E296" s="559"/>
      <c r="F296" s="559"/>
      <c r="G296" s="559"/>
      <c r="H296" s="559"/>
      <c r="I296" s="559"/>
      <c r="J296" s="559"/>
      <c r="K296" s="559"/>
      <c r="L296" s="559"/>
      <c r="M296" s="559"/>
      <c r="N296" s="559"/>
      <c r="O296" s="559"/>
      <c r="P296" s="559"/>
      <c r="Q296" s="559"/>
      <c r="R296" s="559"/>
      <c r="S296" s="559"/>
      <c r="T296" s="559"/>
      <c r="U296" s="559"/>
      <c r="V296" s="559"/>
      <c r="W296" s="559"/>
      <c r="X296" s="559"/>
      <c r="Y296" s="559"/>
      <c r="Z296" s="559"/>
      <c r="AA296" s="559"/>
      <c r="AB296" s="559"/>
      <c r="AC296" s="559"/>
      <c r="AD296" s="559"/>
      <c r="AE296" s="559"/>
    </row>
    <row r="297" spans="1:31" ht="18" customHeight="1" x14ac:dyDescent="0.35">
      <c r="A297" s="559"/>
      <c r="B297" s="559"/>
      <c r="C297" s="559"/>
      <c r="D297" s="559"/>
      <c r="E297" s="559"/>
      <c r="F297" s="559"/>
      <c r="G297" s="559"/>
      <c r="H297" s="559"/>
      <c r="I297" s="559"/>
      <c r="J297" s="559"/>
      <c r="K297" s="559"/>
      <c r="L297" s="559"/>
      <c r="M297" s="559"/>
      <c r="N297" s="559"/>
      <c r="O297" s="559"/>
      <c r="P297" s="559"/>
      <c r="Q297" s="559"/>
      <c r="R297" s="559"/>
      <c r="S297" s="559"/>
      <c r="T297" s="559"/>
      <c r="U297" s="559"/>
      <c r="V297" s="559"/>
      <c r="W297" s="559"/>
      <c r="X297" s="559"/>
      <c r="Y297" s="559"/>
      <c r="Z297" s="559"/>
      <c r="AA297" s="559"/>
      <c r="AB297" s="559"/>
      <c r="AC297" s="559"/>
      <c r="AD297" s="559"/>
      <c r="AE297" s="559"/>
    </row>
    <row r="298" spans="1:31" ht="18" customHeight="1" x14ac:dyDescent="0.35">
      <c r="A298" s="559"/>
      <c r="B298" s="559"/>
      <c r="C298" s="559"/>
      <c r="D298" s="559"/>
      <c r="E298" s="559"/>
      <c r="F298" s="559"/>
      <c r="G298" s="559"/>
      <c r="H298" s="559"/>
      <c r="I298" s="559"/>
      <c r="J298" s="559"/>
      <c r="K298" s="559"/>
      <c r="L298" s="559"/>
      <c r="M298" s="559"/>
      <c r="N298" s="559"/>
      <c r="O298" s="559"/>
      <c r="P298" s="559"/>
      <c r="Q298" s="559"/>
      <c r="R298" s="559"/>
      <c r="S298" s="559"/>
      <c r="T298" s="559"/>
      <c r="U298" s="559"/>
      <c r="V298" s="559"/>
      <c r="W298" s="559"/>
      <c r="X298" s="559"/>
      <c r="Y298" s="559"/>
      <c r="Z298" s="559"/>
      <c r="AA298" s="559"/>
      <c r="AB298" s="559"/>
      <c r="AC298" s="559"/>
      <c r="AD298" s="559"/>
      <c r="AE298" s="559"/>
    </row>
    <row r="299" spans="1:31" ht="18" customHeight="1" x14ac:dyDescent="0.35">
      <c r="A299" s="559"/>
      <c r="B299" s="559"/>
      <c r="C299" s="559"/>
      <c r="D299" s="559"/>
      <c r="E299" s="559"/>
      <c r="F299" s="559"/>
      <c r="G299" s="559"/>
      <c r="H299" s="559"/>
      <c r="I299" s="559"/>
      <c r="J299" s="559"/>
      <c r="K299" s="559"/>
      <c r="L299" s="559"/>
      <c r="M299" s="559"/>
      <c r="N299" s="559"/>
      <c r="O299" s="559"/>
      <c r="P299" s="559"/>
      <c r="Q299" s="559"/>
      <c r="R299" s="559"/>
      <c r="S299" s="559"/>
      <c r="T299" s="559"/>
      <c r="U299" s="559"/>
      <c r="V299" s="559"/>
      <c r="W299" s="559"/>
      <c r="X299" s="559"/>
      <c r="Y299" s="559"/>
      <c r="Z299" s="559"/>
      <c r="AA299" s="559"/>
      <c r="AB299" s="559"/>
      <c r="AC299" s="559"/>
      <c r="AD299" s="559"/>
      <c r="AE299" s="559"/>
    </row>
    <row r="300" spans="1:31" ht="18" customHeight="1" x14ac:dyDescent="0.35">
      <c r="A300" s="559"/>
      <c r="B300" s="559"/>
      <c r="C300" s="559"/>
      <c r="D300" s="559"/>
      <c r="E300" s="559"/>
      <c r="F300" s="559"/>
      <c r="G300" s="559"/>
      <c r="H300" s="559"/>
      <c r="I300" s="559"/>
      <c r="J300" s="559"/>
      <c r="K300" s="559"/>
      <c r="L300" s="559"/>
      <c r="M300" s="559"/>
      <c r="N300" s="559"/>
      <c r="O300" s="559"/>
      <c r="P300" s="559"/>
      <c r="Q300" s="559"/>
      <c r="R300" s="559"/>
      <c r="S300" s="559"/>
      <c r="T300" s="559"/>
      <c r="U300" s="559"/>
      <c r="V300" s="559"/>
      <c r="W300" s="559"/>
      <c r="X300" s="559"/>
      <c r="Y300" s="559"/>
      <c r="Z300" s="559"/>
      <c r="AA300" s="559"/>
      <c r="AB300" s="559"/>
      <c r="AC300" s="559"/>
      <c r="AD300" s="559"/>
      <c r="AE300" s="559"/>
    </row>
    <row r="301" spans="1:31" ht="18" customHeight="1" x14ac:dyDescent="0.35">
      <c r="A301" s="559"/>
      <c r="B301" s="559"/>
      <c r="C301" s="559"/>
      <c r="D301" s="559"/>
      <c r="E301" s="559"/>
      <c r="F301" s="559"/>
      <c r="G301" s="559"/>
      <c r="H301" s="559"/>
      <c r="I301" s="559"/>
      <c r="J301" s="559"/>
      <c r="K301" s="559"/>
      <c r="L301" s="559"/>
      <c r="M301" s="559"/>
      <c r="N301" s="559"/>
      <c r="O301" s="559"/>
      <c r="P301" s="559"/>
      <c r="Q301" s="559"/>
      <c r="R301" s="559"/>
      <c r="S301" s="559"/>
      <c r="T301" s="559"/>
      <c r="U301" s="559"/>
      <c r="V301" s="559"/>
      <c r="W301" s="559"/>
      <c r="X301" s="559"/>
      <c r="Y301" s="559"/>
      <c r="Z301" s="559"/>
      <c r="AA301" s="559"/>
      <c r="AB301" s="559"/>
      <c r="AC301" s="559"/>
      <c r="AD301" s="559"/>
      <c r="AE301" s="559"/>
    </row>
    <row r="302" spans="1:31" ht="18" customHeight="1" x14ac:dyDescent="0.35">
      <c r="A302" s="559"/>
      <c r="B302" s="559"/>
      <c r="C302" s="559"/>
      <c r="D302" s="559"/>
      <c r="E302" s="559"/>
      <c r="F302" s="559"/>
      <c r="G302" s="559"/>
      <c r="H302" s="559"/>
      <c r="I302" s="559"/>
      <c r="J302" s="559"/>
      <c r="K302" s="559"/>
      <c r="L302" s="559"/>
      <c r="M302" s="559"/>
      <c r="N302" s="559"/>
      <c r="O302" s="559"/>
      <c r="P302" s="559"/>
      <c r="Q302" s="559"/>
      <c r="R302" s="559"/>
      <c r="S302" s="559"/>
      <c r="T302" s="559"/>
      <c r="U302" s="559"/>
      <c r="V302" s="559"/>
      <c r="W302" s="559"/>
      <c r="X302" s="559"/>
      <c r="Y302" s="559"/>
      <c r="Z302" s="559"/>
      <c r="AA302" s="559"/>
      <c r="AB302" s="559"/>
      <c r="AC302" s="559"/>
      <c r="AD302" s="559"/>
      <c r="AE302" s="559"/>
    </row>
    <row r="303" spans="1:31" ht="18" customHeight="1" x14ac:dyDescent="0.35">
      <c r="A303" s="559"/>
      <c r="B303" s="559"/>
      <c r="C303" s="559"/>
      <c r="D303" s="559"/>
      <c r="E303" s="559"/>
      <c r="F303" s="559"/>
      <c r="G303" s="559"/>
      <c r="H303" s="559"/>
      <c r="I303" s="559"/>
      <c r="J303" s="559"/>
      <c r="K303" s="559"/>
      <c r="L303" s="559"/>
      <c r="M303" s="559"/>
      <c r="N303" s="559"/>
      <c r="O303" s="559"/>
      <c r="P303" s="559"/>
      <c r="Q303" s="559"/>
      <c r="R303" s="559"/>
      <c r="S303" s="559"/>
      <c r="T303" s="559"/>
      <c r="U303" s="559"/>
      <c r="V303" s="559"/>
      <c r="W303" s="559"/>
      <c r="X303" s="559"/>
      <c r="Y303" s="559"/>
      <c r="Z303" s="559"/>
      <c r="AA303" s="559"/>
      <c r="AB303" s="559"/>
      <c r="AC303" s="559"/>
      <c r="AD303" s="559"/>
      <c r="AE303" s="559"/>
    </row>
    <row r="304" spans="1:31" ht="18" customHeight="1" x14ac:dyDescent="0.35">
      <c r="A304" s="559"/>
      <c r="B304" s="559"/>
      <c r="C304" s="559"/>
      <c r="D304" s="559"/>
      <c r="E304" s="559"/>
      <c r="F304" s="559"/>
      <c r="G304" s="559"/>
      <c r="H304" s="559"/>
      <c r="I304" s="559"/>
      <c r="J304" s="559"/>
      <c r="K304" s="559"/>
      <c r="L304" s="559"/>
      <c r="M304" s="559"/>
      <c r="N304" s="559"/>
      <c r="O304" s="559"/>
      <c r="P304" s="559"/>
      <c r="Q304" s="559"/>
      <c r="R304" s="559"/>
      <c r="S304" s="559"/>
      <c r="T304" s="559"/>
      <c r="U304" s="559"/>
      <c r="V304" s="559"/>
      <c r="W304" s="559"/>
      <c r="X304" s="559"/>
      <c r="Y304" s="559"/>
      <c r="Z304" s="559"/>
      <c r="AA304" s="559"/>
      <c r="AB304" s="559"/>
      <c r="AC304" s="559"/>
      <c r="AD304" s="559"/>
      <c r="AE304" s="559"/>
    </row>
    <row r="305" spans="1:31" ht="18" customHeight="1" x14ac:dyDescent="0.35">
      <c r="A305" s="559"/>
      <c r="B305" s="559"/>
      <c r="C305" s="559"/>
      <c r="D305" s="559"/>
      <c r="E305" s="559"/>
      <c r="F305" s="559"/>
      <c r="G305" s="559"/>
      <c r="H305" s="559"/>
      <c r="I305" s="559"/>
      <c r="J305" s="559"/>
      <c r="K305" s="559"/>
      <c r="L305" s="559"/>
      <c r="M305" s="559"/>
      <c r="N305" s="559"/>
      <c r="O305" s="559"/>
      <c r="P305" s="559"/>
      <c r="Q305" s="559"/>
      <c r="R305" s="559"/>
      <c r="S305" s="559"/>
      <c r="T305" s="559"/>
      <c r="U305" s="559"/>
      <c r="V305" s="559"/>
      <c r="W305" s="559"/>
      <c r="X305" s="559"/>
      <c r="Y305" s="559"/>
      <c r="Z305" s="559"/>
      <c r="AA305" s="559"/>
      <c r="AB305" s="559"/>
      <c r="AC305" s="559"/>
      <c r="AD305" s="559"/>
      <c r="AE305" s="559"/>
    </row>
    <row r="306" spans="1:31" ht="18" customHeight="1" x14ac:dyDescent="0.35">
      <c r="A306" s="559"/>
      <c r="B306" s="559"/>
      <c r="C306" s="559"/>
      <c r="D306" s="559"/>
      <c r="E306" s="559"/>
      <c r="F306" s="559"/>
      <c r="G306" s="559"/>
      <c r="H306" s="559"/>
      <c r="I306" s="559"/>
      <c r="J306" s="559"/>
      <c r="K306" s="559"/>
      <c r="L306" s="559"/>
      <c r="M306" s="559"/>
      <c r="N306" s="559"/>
      <c r="O306" s="559"/>
      <c r="P306" s="559"/>
      <c r="Q306" s="559"/>
      <c r="R306" s="559"/>
      <c r="S306" s="559"/>
      <c r="T306" s="559"/>
      <c r="U306" s="559"/>
      <c r="V306" s="559"/>
      <c r="W306" s="559"/>
      <c r="X306" s="559"/>
      <c r="Y306" s="559"/>
      <c r="Z306" s="559"/>
      <c r="AA306" s="559"/>
      <c r="AB306" s="559"/>
      <c r="AC306" s="559"/>
      <c r="AD306" s="559"/>
      <c r="AE306" s="559"/>
    </row>
    <row r="307" spans="1:31" ht="18" customHeight="1" x14ac:dyDescent="0.35">
      <c r="A307" s="559"/>
      <c r="B307" s="559"/>
      <c r="C307" s="559"/>
      <c r="D307" s="559"/>
      <c r="E307" s="559"/>
      <c r="F307" s="559"/>
      <c r="G307" s="559"/>
      <c r="H307" s="559"/>
      <c r="I307" s="559"/>
      <c r="J307" s="559"/>
      <c r="K307" s="559"/>
      <c r="L307" s="559"/>
      <c r="M307" s="559"/>
      <c r="N307" s="559"/>
      <c r="O307" s="559"/>
      <c r="P307" s="559"/>
      <c r="Q307" s="559"/>
      <c r="R307" s="559"/>
      <c r="S307" s="559"/>
      <c r="T307" s="559"/>
      <c r="U307" s="559"/>
      <c r="V307" s="559"/>
      <c r="W307" s="559"/>
      <c r="X307" s="559"/>
      <c r="Y307" s="559"/>
      <c r="Z307" s="559"/>
      <c r="AA307" s="559"/>
      <c r="AB307" s="559"/>
      <c r="AC307" s="559"/>
      <c r="AD307" s="559"/>
      <c r="AE307" s="559"/>
    </row>
    <row r="308" spans="1:31" ht="18" customHeight="1" x14ac:dyDescent="0.35">
      <c r="A308" s="559"/>
      <c r="B308" s="559"/>
      <c r="C308" s="559"/>
      <c r="D308" s="559"/>
      <c r="E308" s="559"/>
      <c r="F308" s="559"/>
      <c r="G308" s="559"/>
      <c r="H308" s="559"/>
      <c r="I308" s="559"/>
      <c r="J308" s="559"/>
      <c r="K308" s="559"/>
      <c r="L308" s="559"/>
      <c r="M308" s="559"/>
      <c r="N308" s="559"/>
      <c r="O308" s="559"/>
      <c r="P308" s="559"/>
      <c r="Q308" s="559"/>
      <c r="R308" s="559"/>
      <c r="S308" s="559"/>
      <c r="T308" s="559"/>
      <c r="U308" s="559"/>
      <c r="V308" s="559"/>
      <c r="W308" s="559"/>
      <c r="X308" s="559"/>
      <c r="Y308" s="559"/>
      <c r="Z308" s="559"/>
      <c r="AA308" s="559"/>
      <c r="AB308" s="559"/>
      <c r="AC308" s="559"/>
      <c r="AD308" s="559"/>
      <c r="AE308" s="559"/>
    </row>
    <row r="309" spans="1:31" ht="18" customHeight="1" x14ac:dyDescent="0.35">
      <c r="A309" s="559"/>
      <c r="B309" s="559"/>
      <c r="C309" s="559"/>
      <c r="D309" s="559"/>
      <c r="E309" s="559"/>
      <c r="F309" s="559"/>
      <c r="G309" s="559"/>
      <c r="H309" s="559"/>
      <c r="I309" s="559"/>
      <c r="J309" s="559"/>
      <c r="K309" s="559"/>
      <c r="L309" s="559"/>
      <c r="M309" s="559"/>
      <c r="N309" s="559"/>
      <c r="O309" s="559"/>
      <c r="P309" s="559"/>
      <c r="Q309" s="559"/>
      <c r="R309" s="559"/>
      <c r="S309" s="559"/>
      <c r="T309" s="559"/>
      <c r="U309" s="559"/>
      <c r="V309" s="559"/>
      <c r="W309" s="559"/>
      <c r="X309" s="559"/>
      <c r="Y309" s="559"/>
      <c r="Z309" s="559"/>
      <c r="AA309" s="559"/>
      <c r="AB309" s="559"/>
      <c r="AC309" s="559"/>
      <c r="AD309" s="559"/>
      <c r="AE309" s="559"/>
    </row>
    <row r="310" spans="1:31" ht="18" customHeight="1" x14ac:dyDescent="0.35">
      <c r="A310" s="559"/>
      <c r="B310" s="559"/>
      <c r="C310" s="559"/>
      <c r="D310" s="559"/>
      <c r="E310" s="559"/>
      <c r="F310" s="559"/>
      <c r="G310" s="559"/>
      <c r="H310" s="559"/>
      <c r="I310" s="559"/>
      <c r="J310" s="559"/>
      <c r="K310" s="559"/>
      <c r="L310" s="559"/>
      <c r="M310" s="559"/>
      <c r="N310" s="559"/>
      <c r="O310" s="559"/>
      <c r="P310" s="559"/>
      <c r="Q310" s="559"/>
      <c r="R310" s="559"/>
      <c r="S310" s="559"/>
      <c r="T310" s="559"/>
      <c r="U310" s="559"/>
      <c r="V310" s="559"/>
      <c r="W310" s="559"/>
      <c r="X310" s="559"/>
      <c r="Y310" s="559"/>
      <c r="Z310" s="559"/>
      <c r="AA310" s="559"/>
      <c r="AB310" s="559"/>
      <c r="AC310" s="559"/>
      <c r="AD310" s="559"/>
      <c r="AE310" s="559"/>
    </row>
    <row r="311" spans="1:31" ht="18" customHeight="1" x14ac:dyDescent="0.35">
      <c r="A311" s="559"/>
      <c r="B311" s="559"/>
      <c r="C311" s="559"/>
      <c r="D311" s="559"/>
      <c r="E311" s="559"/>
      <c r="F311" s="559"/>
      <c r="G311" s="559"/>
      <c r="H311" s="559"/>
      <c r="I311" s="559"/>
      <c r="J311" s="559"/>
      <c r="K311" s="559"/>
      <c r="L311" s="559"/>
      <c r="M311" s="559"/>
      <c r="N311" s="559"/>
      <c r="O311" s="559"/>
      <c r="P311" s="559"/>
      <c r="Q311" s="559"/>
      <c r="R311" s="559"/>
      <c r="S311" s="559"/>
      <c r="T311" s="559"/>
      <c r="U311" s="559"/>
      <c r="V311" s="559"/>
      <c r="W311" s="559"/>
      <c r="X311" s="559"/>
      <c r="Y311" s="559"/>
      <c r="Z311" s="559"/>
      <c r="AA311" s="559"/>
      <c r="AB311" s="559"/>
      <c r="AC311" s="559"/>
      <c r="AD311" s="559"/>
      <c r="AE311" s="559"/>
    </row>
    <row r="312" spans="1:31" ht="18" customHeight="1" x14ac:dyDescent="0.35">
      <c r="A312" s="559"/>
      <c r="B312" s="559"/>
      <c r="C312" s="559"/>
      <c r="D312" s="559"/>
      <c r="E312" s="559"/>
      <c r="F312" s="559"/>
      <c r="G312" s="559"/>
      <c r="H312" s="559"/>
      <c r="I312" s="559"/>
      <c r="J312" s="559"/>
      <c r="K312" s="559"/>
      <c r="L312" s="559"/>
      <c r="M312" s="559"/>
      <c r="N312" s="559"/>
      <c r="O312" s="559"/>
      <c r="P312" s="559"/>
      <c r="Q312" s="559"/>
      <c r="R312" s="559"/>
      <c r="S312" s="559"/>
      <c r="T312" s="559"/>
      <c r="U312" s="559"/>
      <c r="V312" s="559"/>
      <c r="W312" s="559"/>
      <c r="X312" s="559"/>
      <c r="Y312" s="559"/>
      <c r="Z312" s="559"/>
      <c r="AA312" s="559"/>
      <c r="AB312" s="559"/>
      <c r="AC312" s="559"/>
      <c r="AD312" s="559"/>
      <c r="AE312" s="559"/>
    </row>
    <row r="313" spans="1:31" ht="18" customHeight="1" x14ac:dyDescent="0.35">
      <c r="A313" s="559"/>
      <c r="B313" s="559"/>
      <c r="C313" s="559"/>
      <c r="D313" s="559"/>
      <c r="E313" s="559"/>
      <c r="F313" s="559"/>
      <c r="G313" s="559"/>
      <c r="H313" s="559"/>
      <c r="I313" s="559"/>
      <c r="J313" s="559"/>
      <c r="K313" s="559"/>
      <c r="L313" s="559"/>
      <c r="M313" s="559"/>
      <c r="N313" s="559"/>
      <c r="O313" s="559"/>
      <c r="P313" s="559"/>
      <c r="Q313" s="559"/>
      <c r="R313" s="559"/>
      <c r="S313" s="559"/>
      <c r="T313" s="559"/>
      <c r="U313" s="559"/>
      <c r="V313" s="559"/>
      <c r="W313" s="559"/>
      <c r="X313" s="559"/>
      <c r="Y313" s="559"/>
      <c r="Z313" s="559"/>
      <c r="AA313" s="559"/>
      <c r="AB313" s="559"/>
      <c r="AC313" s="559"/>
      <c r="AD313" s="559"/>
      <c r="AE313" s="559"/>
    </row>
    <row r="314" spans="1:31" ht="18" customHeight="1" x14ac:dyDescent="0.35">
      <c r="A314" s="559"/>
      <c r="B314" s="559"/>
      <c r="C314" s="559"/>
      <c r="D314" s="559"/>
      <c r="E314" s="559"/>
      <c r="F314" s="559"/>
      <c r="G314" s="559"/>
      <c r="H314" s="559"/>
      <c r="I314" s="559"/>
      <c r="J314" s="559"/>
      <c r="K314" s="559"/>
      <c r="L314" s="559"/>
      <c r="M314" s="559"/>
      <c r="N314" s="559"/>
      <c r="O314" s="559"/>
      <c r="P314" s="559"/>
      <c r="Q314" s="559"/>
      <c r="R314" s="559"/>
      <c r="S314" s="559"/>
      <c r="T314" s="559"/>
      <c r="U314" s="559"/>
      <c r="V314" s="559"/>
      <c r="W314" s="559"/>
      <c r="X314" s="559"/>
      <c r="Y314" s="559"/>
      <c r="Z314" s="559"/>
      <c r="AA314" s="559"/>
      <c r="AB314" s="559"/>
      <c r="AC314" s="559"/>
      <c r="AD314" s="559"/>
      <c r="AE314" s="559"/>
    </row>
    <row r="315" spans="1:31" ht="18" customHeight="1" x14ac:dyDescent="0.35">
      <c r="A315" s="559"/>
      <c r="B315" s="559"/>
      <c r="C315" s="559"/>
      <c r="D315" s="559"/>
      <c r="E315" s="559"/>
      <c r="F315" s="559"/>
      <c r="G315" s="559"/>
      <c r="H315" s="559"/>
      <c r="I315" s="559"/>
      <c r="J315" s="559"/>
      <c r="K315" s="559"/>
      <c r="L315" s="559"/>
      <c r="M315" s="559"/>
      <c r="N315" s="559"/>
      <c r="O315" s="559"/>
      <c r="P315" s="559"/>
      <c r="Q315" s="559"/>
      <c r="R315" s="559"/>
      <c r="S315" s="559"/>
      <c r="T315" s="559"/>
      <c r="U315" s="559"/>
      <c r="V315" s="559"/>
      <c r="W315" s="559"/>
      <c r="X315" s="559"/>
      <c r="Y315" s="559"/>
      <c r="Z315" s="559"/>
      <c r="AA315" s="559"/>
      <c r="AB315" s="559"/>
      <c r="AC315" s="559"/>
      <c r="AD315" s="559"/>
      <c r="AE315" s="559"/>
    </row>
    <row r="316" spans="1:31" ht="18" customHeight="1" x14ac:dyDescent="0.35">
      <c r="A316" s="559"/>
      <c r="B316" s="559"/>
      <c r="C316" s="559"/>
      <c r="D316" s="559"/>
      <c r="E316" s="559"/>
      <c r="F316" s="559"/>
      <c r="G316" s="559"/>
      <c r="H316" s="559"/>
      <c r="I316" s="559"/>
      <c r="J316" s="559"/>
      <c r="K316" s="559"/>
      <c r="L316" s="559"/>
      <c r="M316" s="559"/>
      <c r="N316" s="559"/>
      <c r="O316" s="559"/>
      <c r="P316" s="559"/>
      <c r="Q316" s="559"/>
      <c r="R316" s="559"/>
      <c r="S316" s="559"/>
      <c r="T316" s="559"/>
      <c r="U316" s="559"/>
      <c r="V316" s="559"/>
      <c r="W316" s="559"/>
      <c r="X316" s="559"/>
      <c r="Y316" s="559"/>
      <c r="Z316" s="559"/>
      <c r="AA316" s="559"/>
      <c r="AB316" s="559"/>
      <c r="AC316" s="559"/>
      <c r="AD316" s="559"/>
      <c r="AE316" s="559"/>
    </row>
    <row r="317" spans="1:31" ht="18" customHeight="1" x14ac:dyDescent="0.35">
      <c r="A317" s="559"/>
      <c r="B317" s="559"/>
      <c r="C317" s="559"/>
      <c r="D317" s="559"/>
      <c r="E317" s="559"/>
      <c r="F317" s="559"/>
      <c r="G317" s="559"/>
      <c r="H317" s="559"/>
      <c r="I317" s="559"/>
      <c r="J317" s="559"/>
      <c r="K317" s="559"/>
      <c r="L317" s="559"/>
      <c r="M317" s="559"/>
      <c r="N317" s="559"/>
      <c r="O317" s="559"/>
      <c r="P317" s="559"/>
      <c r="Q317" s="559"/>
      <c r="R317" s="559"/>
      <c r="S317" s="559"/>
      <c r="T317" s="559"/>
      <c r="U317" s="559"/>
      <c r="V317" s="559"/>
      <c r="W317" s="559"/>
      <c r="X317" s="559"/>
      <c r="Y317" s="559"/>
      <c r="Z317" s="559"/>
      <c r="AA317" s="559"/>
      <c r="AB317" s="559"/>
      <c r="AC317" s="559"/>
      <c r="AD317" s="559"/>
      <c r="AE317" s="559"/>
    </row>
    <row r="318" spans="1:31" ht="18" customHeight="1" x14ac:dyDescent="0.35">
      <c r="A318" s="559"/>
      <c r="B318" s="559"/>
      <c r="C318" s="559"/>
      <c r="D318" s="559"/>
      <c r="E318" s="559"/>
      <c r="F318" s="559"/>
      <c r="G318" s="559"/>
      <c r="H318" s="559"/>
      <c r="I318" s="559"/>
      <c r="J318" s="559"/>
      <c r="K318" s="559"/>
      <c r="L318" s="559"/>
      <c r="M318" s="559"/>
      <c r="N318" s="559"/>
      <c r="O318" s="559"/>
      <c r="P318" s="559"/>
      <c r="Q318" s="559"/>
      <c r="R318" s="559"/>
      <c r="S318" s="559"/>
      <c r="T318" s="559"/>
      <c r="U318" s="559"/>
      <c r="V318" s="559"/>
      <c r="W318" s="559"/>
      <c r="X318" s="559"/>
      <c r="Y318" s="559"/>
      <c r="Z318" s="559"/>
      <c r="AA318" s="559"/>
      <c r="AB318" s="559"/>
      <c r="AC318" s="559"/>
      <c r="AD318" s="559"/>
      <c r="AE318" s="559"/>
    </row>
    <row r="319" spans="1:31" ht="18" customHeight="1" x14ac:dyDescent="0.35">
      <c r="A319" s="559"/>
      <c r="B319" s="559"/>
      <c r="C319" s="559"/>
      <c r="D319" s="559"/>
      <c r="E319" s="559"/>
      <c r="F319" s="559"/>
      <c r="G319" s="559"/>
      <c r="H319" s="559"/>
      <c r="I319" s="559"/>
      <c r="J319" s="559"/>
      <c r="K319" s="559"/>
      <c r="L319" s="559"/>
      <c r="M319" s="559"/>
      <c r="N319" s="559"/>
      <c r="O319" s="559"/>
      <c r="P319" s="559"/>
      <c r="Q319" s="559"/>
      <c r="R319" s="559"/>
      <c r="S319" s="559"/>
      <c r="T319" s="559"/>
      <c r="U319" s="559"/>
      <c r="V319" s="559"/>
      <c r="W319" s="559"/>
      <c r="X319" s="559"/>
      <c r="Y319" s="559"/>
      <c r="Z319" s="559"/>
      <c r="AA319" s="559"/>
      <c r="AB319" s="559"/>
      <c r="AC319" s="559"/>
      <c r="AD319" s="559"/>
      <c r="AE319" s="559"/>
    </row>
    <row r="320" spans="1:31" ht="18" customHeight="1" x14ac:dyDescent="0.35">
      <c r="A320" s="559"/>
      <c r="B320" s="559"/>
      <c r="C320" s="559"/>
      <c r="D320" s="559"/>
      <c r="E320" s="559"/>
      <c r="F320" s="559"/>
      <c r="G320" s="559"/>
      <c r="H320" s="559"/>
      <c r="I320" s="559"/>
      <c r="J320" s="559"/>
      <c r="K320" s="559"/>
      <c r="L320" s="559"/>
      <c r="M320" s="559"/>
      <c r="N320" s="559"/>
      <c r="O320" s="559"/>
      <c r="P320" s="559"/>
      <c r="Q320" s="559"/>
      <c r="R320" s="559"/>
      <c r="S320" s="559"/>
      <c r="T320" s="559"/>
      <c r="U320" s="559"/>
      <c r="V320" s="559"/>
      <c r="W320" s="559"/>
      <c r="X320" s="559"/>
      <c r="Y320" s="559"/>
      <c r="Z320" s="559"/>
      <c r="AA320" s="559"/>
      <c r="AB320" s="559"/>
      <c r="AC320" s="559"/>
      <c r="AD320" s="559"/>
      <c r="AE320" s="559"/>
    </row>
    <row r="321" spans="1:31" ht="18" customHeight="1" x14ac:dyDescent="0.35">
      <c r="A321" s="559"/>
      <c r="B321" s="559"/>
      <c r="C321" s="559"/>
      <c r="D321" s="559"/>
      <c r="E321" s="559"/>
      <c r="F321" s="559"/>
      <c r="G321" s="559"/>
      <c r="H321" s="559"/>
      <c r="I321" s="559"/>
      <c r="J321" s="559"/>
      <c r="K321" s="559"/>
      <c r="L321" s="559"/>
      <c r="M321" s="559"/>
      <c r="N321" s="559"/>
      <c r="O321" s="559"/>
      <c r="P321" s="559"/>
      <c r="Q321" s="559"/>
      <c r="R321" s="559"/>
      <c r="S321" s="559"/>
      <c r="T321" s="559"/>
      <c r="U321" s="559"/>
      <c r="V321" s="559"/>
      <c r="W321" s="559"/>
      <c r="X321" s="559"/>
      <c r="Y321" s="559"/>
      <c r="Z321" s="559"/>
      <c r="AA321" s="559"/>
      <c r="AB321" s="559"/>
      <c r="AC321" s="559"/>
      <c r="AD321" s="559"/>
      <c r="AE321" s="559"/>
    </row>
    <row r="322" spans="1:31" ht="18" customHeight="1" x14ac:dyDescent="0.35">
      <c r="A322" s="559"/>
      <c r="B322" s="559"/>
      <c r="C322" s="559"/>
      <c r="D322" s="559"/>
      <c r="E322" s="559"/>
      <c r="F322" s="559"/>
      <c r="G322" s="559"/>
      <c r="H322" s="559"/>
      <c r="I322" s="559"/>
      <c r="J322" s="559"/>
      <c r="K322" s="559"/>
      <c r="L322" s="559"/>
      <c r="M322" s="559"/>
      <c r="N322" s="559"/>
      <c r="O322" s="559"/>
      <c r="P322" s="559"/>
      <c r="Q322" s="559"/>
      <c r="R322" s="559"/>
      <c r="S322" s="559"/>
      <c r="T322" s="559"/>
      <c r="U322" s="559"/>
      <c r="V322" s="559"/>
      <c r="W322" s="559"/>
      <c r="X322" s="559"/>
      <c r="Y322" s="559"/>
      <c r="Z322" s="559"/>
      <c r="AA322" s="559"/>
      <c r="AB322" s="559"/>
      <c r="AC322" s="559"/>
      <c r="AD322" s="559"/>
      <c r="AE322" s="559"/>
    </row>
    <row r="323" spans="1:31" ht="18" customHeight="1" x14ac:dyDescent="0.35">
      <c r="A323" s="559"/>
      <c r="B323" s="559"/>
      <c r="C323" s="559"/>
      <c r="D323" s="559"/>
      <c r="E323" s="559"/>
      <c r="F323" s="559"/>
      <c r="G323" s="559"/>
      <c r="H323" s="559"/>
      <c r="I323" s="559"/>
      <c r="J323" s="559"/>
      <c r="K323" s="559"/>
      <c r="L323" s="559"/>
      <c r="M323" s="559"/>
      <c r="N323" s="559"/>
      <c r="O323" s="559"/>
      <c r="P323" s="559"/>
      <c r="Q323" s="559"/>
      <c r="R323" s="559"/>
      <c r="S323" s="559"/>
      <c r="T323" s="559"/>
      <c r="U323" s="559"/>
      <c r="V323" s="559"/>
      <c r="W323" s="559"/>
      <c r="X323" s="559"/>
      <c r="Y323" s="559"/>
      <c r="Z323" s="559"/>
      <c r="AA323" s="559"/>
      <c r="AB323" s="559"/>
      <c r="AC323" s="559"/>
      <c r="AD323" s="559"/>
      <c r="AE323" s="559"/>
    </row>
    <row r="324" spans="1:31" ht="18" customHeight="1" x14ac:dyDescent="0.35">
      <c r="A324" s="559"/>
      <c r="B324" s="559"/>
      <c r="C324" s="559"/>
      <c r="D324" s="559"/>
      <c r="E324" s="559"/>
      <c r="F324" s="559"/>
      <c r="G324" s="559"/>
      <c r="H324" s="559"/>
      <c r="I324" s="559"/>
      <c r="J324" s="559"/>
      <c r="K324" s="559"/>
      <c r="L324" s="559"/>
      <c r="M324" s="559"/>
      <c r="N324" s="559"/>
      <c r="O324" s="559"/>
      <c r="P324" s="559"/>
      <c r="Q324" s="559"/>
      <c r="R324" s="559"/>
      <c r="S324" s="559"/>
      <c r="T324" s="559"/>
      <c r="U324" s="559"/>
      <c r="V324" s="559"/>
      <c r="W324" s="559"/>
      <c r="X324" s="559"/>
      <c r="Y324" s="559"/>
      <c r="Z324" s="559"/>
      <c r="AA324" s="559"/>
      <c r="AB324" s="559"/>
      <c r="AC324" s="559"/>
      <c r="AD324" s="559"/>
      <c r="AE324" s="559"/>
    </row>
    <row r="325" spans="1:31" ht="18" customHeight="1" x14ac:dyDescent="0.35">
      <c r="A325" s="559"/>
      <c r="B325" s="559"/>
      <c r="C325" s="559"/>
      <c r="D325" s="559"/>
      <c r="E325" s="559"/>
      <c r="F325" s="559"/>
      <c r="G325" s="559"/>
      <c r="H325" s="559"/>
      <c r="I325" s="559"/>
      <c r="J325" s="559"/>
      <c r="K325" s="559"/>
      <c r="L325" s="559"/>
      <c r="M325" s="559"/>
      <c r="N325" s="559"/>
      <c r="O325" s="559"/>
      <c r="P325" s="559"/>
      <c r="Q325" s="559"/>
      <c r="R325" s="559"/>
      <c r="S325" s="559"/>
      <c r="T325" s="559"/>
      <c r="U325" s="559"/>
      <c r="V325" s="559"/>
      <c r="W325" s="559"/>
      <c r="X325" s="559"/>
      <c r="Y325" s="559"/>
      <c r="Z325" s="559"/>
      <c r="AA325" s="559"/>
      <c r="AB325" s="559"/>
      <c r="AC325" s="559"/>
      <c r="AD325" s="559"/>
      <c r="AE325" s="559"/>
    </row>
    <row r="326" spans="1:31" ht="18" customHeight="1" x14ac:dyDescent="0.35">
      <c r="A326" s="559"/>
      <c r="B326" s="559"/>
      <c r="C326" s="559"/>
      <c r="D326" s="559"/>
      <c r="E326" s="559"/>
      <c r="F326" s="559"/>
      <c r="G326" s="559"/>
      <c r="H326" s="559"/>
      <c r="I326" s="559"/>
      <c r="J326" s="559"/>
      <c r="K326" s="559"/>
      <c r="L326" s="559"/>
      <c r="M326" s="559"/>
      <c r="N326" s="559"/>
      <c r="O326" s="559"/>
      <c r="P326" s="559"/>
      <c r="Q326" s="559"/>
      <c r="R326" s="559"/>
      <c r="S326" s="559"/>
      <c r="T326" s="559"/>
      <c r="U326" s="559"/>
      <c r="V326" s="559"/>
      <c r="W326" s="559"/>
      <c r="X326" s="559"/>
      <c r="Y326" s="559"/>
      <c r="Z326" s="559"/>
      <c r="AA326" s="559"/>
      <c r="AB326" s="559"/>
      <c r="AC326" s="559"/>
      <c r="AD326" s="559"/>
      <c r="AE326" s="559"/>
    </row>
    <row r="327" spans="1:31" ht="18" customHeight="1" x14ac:dyDescent="0.35">
      <c r="A327" s="559"/>
      <c r="B327" s="559"/>
      <c r="C327" s="559"/>
      <c r="D327" s="559"/>
      <c r="E327" s="559"/>
      <c r="F327" s="559"/>
      <c r="G327" s="559"/>
      <c r="H327" s="559"/>
      <c r="I327" s="559"/>
      <c r="J327" s="559"/>
      <c r="K327" s="559"/>
      <c r="L327" s="559"/>
      <c r="M327" s="559"/>
      <c r="N327" s="559"/>
      <c r="O327" s="559"/>
      <c r="P327" s="559"/>
      <c r="Q327" s="559"/>
      <c r="R327" s="559"/>
      <c r="S327" s="559"/>
      <c r="T327" s="559"/>
      <c r="U327" s="559"/>
      <c r="V327" s="559"/>
      <c r="W327" s="559"/>
      <c r="X327" s="559"/>
      <c r="Y327" s="559"/>
      <c r="Z327" s="559"/>
      <c r="AA327" s="559"/>
      <c r="AB327" s="559"/>
      <c r="AC327" s="559"/>
      <c r="AD327" s="559"/>
      <c r="AE327" s="559"/>
    </row>
    <row r="328" spans="1:31" ht="18" customHeight="1" x14ac:dyDescent="0.35">
      <c r="A328" s="559"/>
      <c r="B328" s="559"/>
      <c r="C328" s="559"/>
      <c r="D328" s="559"/>
      <c r="E328" s="559"/>
      <c r="F328" s="559"/>
      <c r="G328" s="559"/>
      <c r="H328" s="559"/>
      <c r="I328" s="559"/>
      <c r="J328" s="559"/>
      <c r="K328" s="559"/>
      <c r="L328" s="559"/>
      <c r="M328" s="559"/>
      <c r="N328" s="559"/>
      <c r="O328" s="559"/>
      <c r="P328" s="559"/>
      <c r="Q328" s="559"/>
      <c r="R328" s="559"/>
      <c r="S328" s="559"/>
      <c r="T328" s="559"/>
      <c r="U328" s="559"/>
      <c r="V328" s="559"/>
      <c r="W328" s="559"/>
      <c r="X328" s="559"/>
      <c r="Y328" s="559"/>
      <c r="Z328" s="559"/>
      <c r="AA328" s="559"/>
      <c r="AB328" s="559"/>
      <c r="AC328" s="559"/>
      <c r="AD328" s="559"/>
      <c r="AE328" s="559"/>
    </row>
    <row r="329" spans="1:31" ht="18" customHeight="1" x14ac:dyDescent="0.35">
      <c r="A329" s="559"/>
      <c r="B329" s="559"/>
      <c r="C329" s="559"/>
      <c r="D329" s="559"/>
      <c r="E329" s="559"/>
      <c r="F329" s="559"/>
      <c r="G329" s="559"/>
      <c r="H329" s="559"/>
      <c r="I329" s="559"/>
      <c r="J329" s="559"/>
      <c r="K329" s="559"/>
      <c r="L329" s="559"/>
      <c r="M329" s="559"/>
      <c r="N329" s="559"/>
      <c r="O329" s="559"/>
      <c r="P329" s="559"/>
      <c r="Q329" s="559"/>
      <c r="R329" s="559"/>
      <c r="S329" s="559"/>
      <c r="T329" s="559"/>
      <c r="U329" s="559"/>
      <c r="V329" s="559"/>
      <c r="W329" s="559"/>
      <c r="X329" s="559"/>
      <c r="Y329" s="559"/>
      <c r="Z329" s="559"/>
      <c r="AA329" s="559"/>
      <c r="AB329" s="559"/>
      <c r="AC329" s="559"/>
      <c r="AD329" s="559"/>
      <c r="AE329" s="559"/>
    </row>
    <row r="330" spans="1:31" ht="18" customHeight="1" x14ac:dyDescent="0.35">
      <c r="A330" s="559"/>
      <c r="B330" s="559"/>
      <c r="C330" s="559"/>
      <c r="D330" s="559"/>
      <c r="E330" s="559"/>
      <c r="F330" s="559"/>
      <c r="G330" s="559"/>
      <c r="H330" s="559"/>
      <c r="I330" s="559"/>
      <c r="J330" s="559"/>
      <c r="K330" s="559"/>
      <c r="L330" s="559"/>
      <c r="M330" s="559"/>
      <c r="N330" s="559"/>
      <c r="O330" s="559"/>
      <c r="P330" s="559"/>
      <c r="Q330" s="559"/>
      <c r="R330" s="559"/>
      <c r="S330" s="559"/>
      <c r="T330" s="559"/>
      <c r="U330" s="559"/>
      <c r="V330" s="559"/>
      <c r="W330" s="559"/>
      <c r="X330" s="559"/>
      <c r="Y330" s="559"/>
      <c r="Z330" s="559"/>
      <c r="AA330" s="559"/>
      <c r="AB330" s="559"/>
      <c r="AC330" s="559"/>
      <c r="AD330" s="559"/>
      <c r="AE330" s="559"/>
    </row>
    <row r="331" spans="1:31" ht="18" customHeight="1" x14ac:dyDescent="0.35">
      <c r="A331" s="559"/>
      <c r="B331" s="559"/>
      <c r="C331" s="559"/>
      <c r="D331" s="559"/>
      <c r="E331" s="559"/>
      <c r="F331" s="559"/>
      <c r="G331" s="559"/>
      <c r="H331" s="559"/>
      <c r="I331" s="559"/>
      <c r="J331" s="559"/>
      <c r="K331" s="559"/>
      <c r="L331" s="559"/>
      <c r="M331" s="559"/>
      <c r="N331" s="559"/>
      <c r="O331" s="559"/>
      <c r="P331" s="559"/>
      <c r="Q331" s="559"/>
      <c r="R331" s="559"/>
      <c r="S331" s="559"/>
      <c r="T331" s="559"/>
      <c r="U331" s="559"/>
      <c r="V331" s="559"/>
      <c r="W331" s="559"/>
      <c r="X331" s="559"/>
      <c r="Y331" s="559"/>
      <c r="Z331" s="559"/>
      <c r="AA331" s="559"/>
      <c r="AB331" s="559"/>
      <c r="AC331" s="559"/>
      <c r="AD331" s="559"/>
      <c r="AE331" s="559"/>
    </row>
    <row r="332" spans="1:31" ht="18" customHeight="1" x14ac:dyDescent="0.35">
      <c r="A332" s="559"/>
      <c r="B332" s="559"/>
      <c r="C332" s="559"/>
      <c r="D332" s="559"/>
      <c r="E332" s="559"/>
      <c r="F332" s="559"/>
      <c r="G332" s="559"/>
      <c r="H332" s="559"/>
      <c r="I332" s="559"/>
      <c r="J332" s="559"/>
      <c r="K332" s="559"/>
      <c r="L332" s="559"/>
      <c r="M332" s="559"/>
      <c r="N332" s="559"/>
      <c r="O332" s="559"/>
      <c r="P332" s="559"/>
      <c r="Q332" s="559"/>
      <c r="R332" s="559"/>
      <c r="S332" s="559"/>
      <c r="T332" s="559"/>
      <c r="U332" s="559"/>
      <c r="V332" s="559"/>
      <c r="W332" s="559"/>
      <c r="X332" s="559"/>
      <c r="Y332" s="559"/>
      <c r="Z332" s="559"/>
      <c r="AA332" s="559"/>
      <c r="AB332" s="559"/>
      <c r="AC332" s="559"/>
      <c r="AD332" s="559"/>
      <c r="AE332" s="559"/>
    </row>
    <row r="333" spans="1:31" ht="18" customHeight="1" x14ac:dyDescent="0.35">
      <c r="A333" s="559"/>
      <c r="B333" s="559"/>
      <c r="C333" s="559"/>
      <c r="D333" s="559"/>
      <c r="E333" s="559"/>
      <c r="F333" s="559"/>
      <c r="G333" s="559"/>
      <c r="H333" s="559"/>
      <c r="I333" s="559"/>
      <c r="J333" s="559"/>
      <c r="K333" s="559"/>
      <c r="L333" s="559"/>
      <c r="M333" s="559"/>
      <c r="N333" s="559"/>
      <c r="O333" s="559"/>
      <c r="P333" s="559"/>
      <c r="Q333" s="559"/>
      <c r="R333" s="559"/>
      <c r="S333" s="559"/>
      <c r="T333" s="559"/>
      <c r="U333" s="559"/>
      <c r="V333" s="559"/>
      <c r="W333" s="559"/>
      <c r="X333" s="559"/>
      <c r="Y333" s="559"/>
      <c r="Z333" s="559"/>
      <c r="AA333" s="559"/>
      <c r="AB333" s="559"/>
      <c r="AC333" s="559"/>
      <c r="AD333" s="559"/>
      <c r="AE333" s="559"/>
    </row>
    <row r="334" spans="1:31" ht="18" customHeight="1" x14ac:dyDescent="0.35">
      <c r="A334" s="559"/>
      <c r="B334" s="559"/>
      <c r="C334" s="559"/>
      <c r="D334" s="559"/>
      <c r="E334" s="559"/>
      <c r="F334" s="559"/>
      <c r="G334" s="559"/>
      <c r="H334" s="559"/>
      <c r="I334" s="559"/>
      <c r="J334" s="559"/>
      <c r="K334" s="559"/>
      <c r="L334" s="559"/>
      <c r="M334" s="559"/>
      <c r="N334" s="559"/>
      <c r="O334" s="559"/>
      <c r="P334" s="559"/>
      <c r="Q334" s="559"/>
      <c r="R334" s="559"/>
      <c r="S334" s="559"/>
      <c r="T334" s="559"/>
      <c r="U334" s="559"/>
      <c r="V334" s="559"/>
      <c r="W334" s="559"/>
      <c r="X334" s="559"/>
      <c r="Y334" s="559"/>
      <c r="Z334" s="559"/>
      <c r="AA334" s="559"/>
      <c r="AB334" s="559"/>
      <c r="AC334" s="559"/>
      <c r="AD334" s="559"/>
      <c r="AE334" s="559"/>
    </row>
    <row r="335" spans="1:31" ht="18" customHeight="1" x14ac:dyDescent="0.35">
      <c r="A335" s="559"/>
      <c r="B335" s="559"/>
      <c r="C335" s="559"/>
      <c r="D335" s="559"/>
      <c r="E335" s="559"/>
      <c r="F335" s="559"/>
      <c r="G335" s="559"/>
      <c r="H335" s="559"/>
      <c r="I335" s="559"/>
      <c r="J335" s="559"/>
      <c r="K335" s="559"/>
      <c r="L335" s="559"/>
      <c r="M335" s="559"/>
      <c r="N335" s="559"/>
      <c r="O335" s="559"/>
      <c r="P335" s="559"/>
      <c r="Q335" s="559"/>
      <c r="R335" s="559"/>
      <c r="S335" s="559"/>
      <c r="T335" s="559"/>
      <c r="U335" s="559"/>
      <c r="V335" s="559"/>
      <c r="W335" s="559"/>
      <c r="X335" s="559"/>
      <c r="Y335" s="559"/>
      <c r="Z335" s="559"/>
      <c r="AA335" s="559"/>
      <c r="AB335" s="559"/>
      <c r="AC335" s="559"/>
      <c r="AD335" s="559"/>
      <c r="AE335" s="559"/>
    </row>
    <row r="336" spans="1:31" ht="18" customHeight="1" x14ac:dyDescent="0.35">
      <c r="A336" s="559"/>
      <c r="B336" s="559"/>
      <c r="C336" s="559"/>
      <c r="D336" s="559"/>
      <c r="E336" s="559"/>
      <c r="F336" s="559"/>
      <c r="G336" s="559"/>
      <c r="H336" s="559"/>
      <c r="I336" s="559"/>
      <c r="J336" s="559"/>
      <c r="K336" s="559"/>
      <c r="L336" s="559"/>
      <c r="M336" s="559"/>
      <c r="N336" s="559"/>
      <c r="O336" s="559"/>
      <c r="P336" s="559"/>
      <c r="Q336" s="559"/>
      <c r="R336" s="559"/>
      <c r="S336" s="559"/>
      <c r="T336" s="559"/>
      <c r="U336" s="559"/>
      <c r="V336" s="559"/>
      <c r="W336" s="559"/>
      <c r="X336" s="559"/>
      <c r="Y336" s="559"/>
      <c r="Z336" s="559"/>
      <c r="AA336" s="559"/>
      <c r="AB336" s="559"/>
      <c r="AC336" s="559"/>
      <c r="AD336" s="559"/>
      <c r="AE336" s="559"/>
    </row>
    <row r="337" spans="1:31" ht="18" customHeight="1" x14ac:dyDescent="0.35">
      <c r="A337" s="559"/>
      <c r="B337" s="559"/>
      <c r="C337" s="559"/>
      <c r="D337" s="559"/>
      <c r="E337" s="559"/>
      <c r="F337" s="559"/>
      <c r="G337" s="559"/>
      <c r="H337" s="559"/>
      <c r="I337" s="559"/>
      <c r="J337" s="559"/>
      <c r="K337" s="559"/>
      <c r="L337" s="559"/>
      <c r="M337" s="559"/>
      <c r="N337" s="559"/>
      <c r="O337" s="559"/>
      <c r="P337" s="559"/>
      <c r="Q337" s="559"/>
      <c r="R337" s="559"/>
      <c r="S337" s="559"/>
      <c r="T337" s="559"/>
      <c r="U337" s="559"/>
      <c r="V337" s="559"/>
      <c r="W337" s="559"/>
      <c r="X337" s="559"/>
      <c r="Y337" s="559"/>
      <c r="Z337" s="559"/>
      <c r="AA337" s="559"/>
      <c r="AB337" s="559"/>
      <c r="AC337" s="559"/>
      <c r="AD337" s="559"/>
      <c r="AE337" s="559"/>
    </row>
    <row r="338" spans="1:31" ht="18" customHeight="1" x14ac:dyDescent="0.35">
      <c r="A338" s="559"/>
      <c r="B338" s="559"/>
      <c r="C338" s="559"/>
      <c r="D338" s="559"/>
      <c r="E338" s="559"/>
      <c r="F338" s="559"/>
      <c r="G338" s="559"/>
      <c r="H338" s="559"/>
      <c r="I338" s="559"/>
      <c r="J338" s="559"/>
      <c r="K338" s="559"/>
      <c r="L338" s="559"/>
      <c r="M338" s="559"/>
      <c r="N338" s="559"/>
      <c r="O338" s="559"/>
      <c r="P338" s="559"/>
      <c r="Q338" s="559"/>
      <c r="R338" s="559"/>
      <c r="S338" s="559"/>
      <c r="T338" s="559"/>
      <c r="U338" s="559"/>
      <c r="V338" s="559"/>
      <c r="W338" s="559"/>
      <c r="X338" s="559"/>
      <c r="Y338" s="559"/>
      <c r="Z338" s="559"/>
      <c r="AA338" s="559"/>
      <c r="AB338" s="559"/>
      <c r="AC338" s="559"/>
      <c r="AD338" s="559"/>
      <c r="AE338" s="559"/>
    </row>
    <row r="339" spans="1:31" ht="18" customHeight="1" x14ac:dyDescent="0.35">
      <c r="A339" s="559"/>
      <c r="B339" s="559"/>
      <c r="C339" s="559"/>
      <c r="D339" s="559"/>
      <c r="E339" s="559"/>
      <c r="F339" s="559"/>
      <c r="G339" s="559"/>
      <c r="H339" s="559"/>
      <c r="I339" s="559"/>
      <c r="J339" s="559"/>
      <c r="K339" s="559"/>
      <c r="L339" s="559"/>
      <c r="M339" s="559"/>
      <c r="N339" s="559"/>
      <c r="O339" s="559"/>
      <c r="P339" s="559"/>
      <c r="Q339" s="559"/>
      <c r="R339" s="559"/>
      <c r="S339" s="559"/>
      <c r="T339" s="559"/>
      <c r="U339" s="559"/>
      <c r="V339" s="559"/>
      <c r="W339" s="559"/>
      <c r="X339" s="559"/>
      <c r="Y339" s="559"/>
      <c r="Z339" s="559"/>
      <c r="AA339" s="559"/>
      <c r="AB339" s="559"/>
      <c r="AC339" s="559"/>
      <c r="AD339" s="559"/>
      <c r="AE339" s="559"/>
    </row>
    <row r="340" spans="1:31" ht="18" customHeight="1" x14ac:dyDescent="0.35">
      <c r="A340" s="559"/>
      <c r="B340" s="559"/>
      <c r="C340" s="559"/>
      <c r="D340" s="559"/>
      <c r="E340" s="559"/>
      <c r="F340" s="559"/>
      <c r="G340" s="559"/>
      <c r="H340" s="559"/>
      <c r="I340" s="559"/>
      <c r="J340" s="559"/>
      <c r="K340" s="559"/>
      <c r="L340" s="559"/>
      <c r="M340" s="559"/>
      <c r="N340" s="559"/>
      <c r="O340" s="559"/>
      <c r="P340" s="559"/>
      <c r="Q340" s="559"/>
      <c r="R340" s="559"/>
      <c r="S340" s="559"/>
      <c r="T340" s="559"/>
      <c r="U340" s="559"/>
      <c r="V340" s="559"/>
      <c r="W340" s="559"/>
      <c r="X340" s="559"/>
      <c r="Y340" s="559"/>
      <c r="Z340" s="559"/>
      <c r="AA340" s="559"/>
      <c r="AB340" s="559"/>
      <c r="AC340" s="559"/>
      <c r="AD340" s="559"/>
      <c r="AE340" s="559"/>
    </row>
    <row r="341" spans="1:31" ht="18" customHeight="1" x14ac:dyDescent="0.35">
      <c r="A341" s="559"/>
      <c r="B341" s="559"/>
      <c r="C341" s="559"/>
      <c r="D341" s="559"/>
      <c r="E341" s="559"/>
      <c r="F341" s="559"/>
      <c r="G341" s="559"/>
      <c r="H341" s="559"/>
      <c r="I341" s="559"/>
      <c r="J341" s="559"/>
      <c r="K341" s="559"/>
      <c r="L341" s="559"/>
      <c r="M341" s="559"/>
      <c r="N341" s="559"/>
      <c r="O341" s="559"/>
      <c r="P341" s="559"/>
      <c r="Q341" s="559"/>
      <c r="R341" s="559"/>
      <c r="S341" s="559"/>
      <c r="T341" s="559"/>
      <c r="U341" s="559"/>
      <c r="V341" s="559"/>
      <c r="W341" s="559"/>
      <c r="X341" s="559"/>
      <c r="Y341" s="559"/>
      <c r="Z341" s="559"/>
      <c r="AA341" s="559"/>
      <c r="AB341" s="559"/>
      <c r="AC341" s="559"/>
      <c r="AD341" s="559"/>
      <c r="AE341" s="559"/>
    </row>
    <row r="342" spans="1:31" ht="18" customHeight="1" x14ac:dyDescent="0.35">
      <c r="A342" s="559"/>
      <c r="B342" s="559"/>
      <c r="C342" s="559"/>
      <c r="D342" s="559"/>
      <c r="E342" s="559"/>
      <c r="F342" s="559"/>
      <c r="G342" s="559"/>
      <c r="H342" s="559"/>
      <c r="I342" s="559"/>
      <c r="J342" s="559"/>
      <c r="K342" s="559"/>
      <c r="L342" s="559"/>
      <c r="M342" s="559"/>
      <c r="N342" s="559"/>
      <c r="O342" s="559"/>
      <c r="P342" s="559"/>
      <c r="Q342" s="559"/>
      <c r="R342" s="559"/>
      <c r="S342" s="559"/>
      <c r="T342" s="559"/>
      <c r="U342" s="559"/>
      <c r="V342" s="559"/>
      <c r="W342" s="559"/>
      <c r="X342" s="559"/>
      <c r="Y342" s="559"/>
      <c r="Z342" s="559"/>
      <c r="AA342" s="559"/>
      <c r="AB342" s="559"/>
      <c r="AC342" s="559"/>
      <c r="AD342" s="559"/>
      <c r="AE342" s="559"/>
    </row>
    <row r="343" spans="1:31" ht="18" customHeight="1" x14ac:dyDescent="0.35">
      <c r="A343" s="559"/>
      <c r="B343" s="559"/>
      <c r="C343" s="559"/>
      <c r="D343" s="559"/>
      <c r="E343" s="559"/>
      <c r="F343" s="559"/>
      <c r="G343" s="559"/>
      <c r="H343" s="559"/>
      <c r="I343" s="559"/>
      <c r="J343" s="559"/>
      <c r="K343" s="559"/>
      <c r="L343" s="559"/>
      <c r="M343" s="559"/>
      <c r="N343" s="559"/>
      <c r="O343" s="559"/>
      <c r="P343" s="559"/>
      <c r="Q343" s="559"/>
      <c r="R343" s="559"/>
      <c r="S343" s="559"/>
      <c r="T343" s="559"/>
      <c r="U343" s="559"/>
      <c r="V343" s="559"/>
      <c r="W343" s="559"/>
      <c r="X343" s="559"/>
      <c r="Y343" s="559"/>
      <c r="Z343" s="559"/>
      <c r="AA343" s="559"/>
      <c r="AB343" s="559"/>
      <c r="AC343" s="559"/>
      <c r="AD343" s="559"/>
      <c r="AE343" s="559"/>
    </row>
    <row r="344" spans="1:31" ht="18" customHeight="1" x14ac:dyDescent="0.35">
      <c r="A344" s="559"/>
      <c r="B344" s="559"/>
      <c r="C344" s="559"/>
      <c r="D344" s="559"/>
      <c r="E344" s="559"/>
      <c r="F344" s="559"/>
      <c r="G344" s="559"/>
      <c r="H344" s="559"/>
      <c r="I344" s="559"/>
      <c r="J344" s="559"/>
      <c r="K344" s="559"/>
      <c r="L344" s="559"/>
      <c r="M344" s="559"/>
      <c r="N344" s="559"/>
      <c r="O344" s="559"/>
      <c r="P344" s="559"/>
      <c r="Q344" s="559"/>
      <c r="R344" s="559"/>
      <c r="S344" s="559"/>
      <c r="T344" s="559"/>
      <c r="U344" s="559"/>
      <c r="V344" s="559"/>
      <c r="W344" s="559"/>
      <c r="X344" s="559"/>
      <c r="Y344" s="559"/>
      <c r="Z344" s="559"/>
      <c r="AA344" s="559"/>
      <c r="AB344" s="559"/>
      <c r="AC344" s="559"/>
      <c r="AD344" s="559"/>
      <c r="AE344" s="559"/>
    </row>
    <row r="345" spans="1:31" ht="18" customHeight="1" x14ac:dyDescent="0.35">
      <c r="A345" s="559"/>
      <c r="B345" s="559"/>
      <c r="C345" s="559"/>
      <c r="D345" s="559"/>
      <c r="E345" s="559"/>
      <c r="F345" s="559"/>
      <c r="G345" s="559"/>
      <c r="H345" s="559"/>
      <c r="I345" s="559"/>
      <c r="J345" s="559"/>
      <c r="K345" s="559"/>
      <c r="L345" s="559"/>
      <c r="M345" s="559"/>
      <c r="N345" s="559"/>
      <c r="O345" s="559"/>
      <c r="P345" s="559"/>
      <c r="Q345" s="559"/>
      <c r="R345" s="559"/>
      <c r="S345" s="559"/>
      <c r="T345" s="559"/>
      <c r="U345" s="559"/>
      <c r="V345" s="559"/>
      <c r="W345" s="559"/>
      <c r="X345" s="559"/>
      <c r="Y345" s="559"/>
      <c r="Z345" s="559"/>
      <c r="AA345" s="559"/>
      <c r="AB345" s="559"/>
      <c r="AC345" s="559"/>
      <c r="AD345" s="559"/>
      <c r="AE345" s="559"/>
    </row>
    <row r="346" spans="1:31" ht="18" customHeight="1" x14ac:dyDescent="0.35">
      <c r="A346" s="559"/>
      <c r="B346" s="559"/>
      <c r="C346" s="559"/>
      <c r="D346" s="559"/>
      <c r="E346" s="559"/>
      <c r="F346" s="559"/>
      <c r="G346" s="559"/>
      <c r="H346" s="559"/>
      <c r="I346" s="559"/>
      <c r="J346" s="559"/>
      <c r="K346" s="559"/>
      <c r="L346" s="559"/>
      <c r="M346" s="559"/>
      <c r="N346" s="559"/>
      <c r="O346" s="559"/>
      <c r="P346" s="559"/>
      <c r="Q346" s="559"/>
      <c r="R346" s="559"/>
      <c r="S346" s="559"/>
      <c r="T346" s="559"/>
      <c r="U346" s="559"/>
      <c r="V346" s="559"/>
      <c r="W346" s="559"/>
      <c r="X346" s="559"/>
      <c r="Y346" s="559"/>
      <c r="Z346" s="559"/>
      <c r="AA346" s="559"/>
      <c r="AB346" s="559"/>
      <c r="AC346" s="559"/>
      <c r="AD346" s="559"/>
      <c r="AE346" s="559"/>
    </row>
    <row r="347" spans="1:31" ht="18" customHeight="1" x14ac:dyDescent="0.35">
      <c r="A347" s="559"/>
      <c r="B347" s="559"/>
      <c r="C347" s="559"/>
      <c r="D347" s="559"/>
      <c r="E347" s="559"/>
      <c r="F347" s="559"/>
      <c r="G347" s="559"/>
      <c r="H347" s="559"/>
      <c r="I347" s="559"/>
      <c r="J347" s="559"/>
      <c r="K347" s="559"/>
      <c r="L347" s="559"/>
      <c r="M347" s="559"/>
      <c r="N347" s="559"/>
      <c r="O347" s="559"/>
      <c r="P347" s="559"/>
      <c r="Q347" s="559"/>
      <c r="R347" s="559"/>
      <c r="S347" s="559"/>
      <c r="T347" s="559"/>
      <c r="U347" s="559"/>
      <c r="V347" s="559"/>
      <c r="W347" s="559"/>
      <c r="X347" s="559"/>
      <c r="Y347" s="559"/>
      <c r="Z347" s="559"/>
      <c r="AA347" s="559"/>
      <c r="AB347" s="559"/>
      <c r="AC347" s="559"/>
      <c r="AD347" s="559"/>
      <c r="AE347" s="559"/>
    </row>
    <row r="348" spans="1:31" ht="18" customHeight="1" x14ac:dyDescent="0.35">
      <c r="A348" s="559"/>
      <c r="B348" s="559"/>
      <c r="C348" s="559"/>
      <c r="D348" s="559"/>
      <c r="E348" s="559"/>
      <c r="F348" s="559"/>
      <c r="G348" s="559"/>
      <c r="H348" s="559"/>
      <c r="I348" s="559"/>
      <c r="J348" s="559"/>
      <c r="K348" s="559"/>
      <c r="L348" s="559"/>
      <c r="M348" s="559"/>
      <c r="N348" s="559"/>
      <c r="O348" s="559"/>
      <c r="P348" s="559"/>
      <c r="Q348" s="559"/>
      <c r="R348" s="559"/>
      <c r="S348" s="559"/>
      <c r="T348" s="559"/>
      <c r="U348" s="559"/>
      <c r="V348" s="559"/>
      <c r="W348" s="559"/>
      <c r="X348" s="559"/>
      <c r="Y348" s="559"/>
      <c r="Z348" s="559"/>
      <c r="AA348" s="559"/>
      <c r="AB348" s="559"/>
      <c r="AC348" s="559"/>
      <c r="AD348" s="559"/>
      <c r="AE348" s="559"/>
    </row>
    <row r="349" spans="1:31" ht="18" customHeight="1" x14ac:dyDescent="0.35">
      <c r="A349" s="559"/>
      <c r="B349" s="559"/>
      <c r="C349" s="559"/>
      <c r="D349" s="559"/>
      <c r="E349" s="559"/>
      <c r="F349" s="559"/>
      <c r="G349" s="559"/>
      <c r="H349" s="559"/>
      <c r="I349" s="559"/>
      <c r="J349" s="559"/>
      <c r="K349" s="559"/>
      <c r="L349" s="559"/>
      <c r="M349" s="559"/>
      <c r="N349" s="559"/>
      <c r="O349" s="559"/>
      <c r="P349" s="559"/>
      <c r="Q349" s="559"/>
      <c r="R349" s="559"/>
      <c r="S349" s="559"/>
      <c r="T349" s="559"/>
      <c r="U349" s="559"/>
      <c r="V349" s="559"/>
      <c r="W349" s="559"/>
      <c r="X349" s="559"/>
      <c r="Y349" s="559"/>
      <c r="Z349" s="559"/>
      <c r="AA349" s="559"/>
      <c r="AB349" s="559"/>
      <c r="AC349" s="559"/>
      <c r="AD349" s="559"/>
      <c r="AE349" s="559"/>
    </row>
    <row r="350" spans="1:31" ht="18" customHeight="1" x14ac:dyDescent="0.35">
      <c r="A350" s="559"/>
      <c r="B350" s="559"/>
      <c r="C350" s="559"/>
      <c r="D350" s="559"/>
      <c r="E350" s="559"/>
      <c r="F350" s="559"/>
      <c r="G350" s="559"/>
      <c r="H350" s="559"/>
      <c r="I350" s="559"/>
      <c r="J350" s="559"/>
      <c r="K350" s="559"/>
      <c r="L350" s="559"/>
      <c r="M350" s="559"/>
      <c r="N350" s="559"/>
      <c r="O350" s="559"/>
      <c r="P350" s="559"/>
      <c r="Q350" s="559"/>
      <c r="R350" s="559"/>
      <c r="S350" s="559"/>
      <c r="T350" s="559"/>
      <c r="U350" s="559"/>
      <c r="V350" s="559"/>
      <c r="W350" s="559"/>
      <c r="X350" s="559"/>
      <c r="Y350" s="559"/>
      <c r="Z350" s="559"/>
      <c r="AA350" s="559"/>
      <c r="AB350" s="559"/>
      <c r="AC350" s="559"/>
      <c r="AD350" s="559"/>
      <c r="AE350" s="559"/>
    </row>
    <row r="351" spans="1:31" ht="18" customHeight="1" x14ac:dyDescent="0.35">
      <c r="A351" s="559"/>
      <c r="B351" s="559"/>
      <c r="C351" s="559"/>
      <c r="D351" s="559"/>
      <c r="E351" s="559"/>
      <c r="F351" s="559"/>
      <c r="G351" s="559"/>
      <c r="H351" s="559"/>
      <c r="I351" s="559"/>
      <c r="J351" s="559"/>
      <c r="K351" s="559"/>
      <c r="L351" s="559"/>
      <c r="M351" s="559"/>
      <c r="N351" s="559"/>
      <c r="O351" s="559"/>
      <c r="P351" s="559"/>
      <c r="Q351" s="559"/>
      <c r="R351" s="559"/>
      <c r="S351" s="559"/>
      <c r="T351" s="559"/>
      <c r="U351" s="559"/>
      <c r="V351" s="559"/>
      <c r="W351" s="559"/>
      <c r="X351" s="559"/>
      <c r="Y351" s="559"/>
      <c r="Z351" s="559"/>
      <c r="AA351" s="559"/>
      <c r="AB351" s="559"/>
      <c r="AC351" s="559"/>
      <c r="AD351" s="559"/>
      <c r="AE351" s="559"/>
    </row>
    <row r="352" spans="1:31" ht="18" customHeight="1" x14ac:dyDescent="0.35">
      <c r="A352" s="559"/>
      <c r="B352" s="559"/>
      <c r="C352" s="559"/>
      <c r="D352" s="559"/>
      <c r="E352" s="559"/>
      <c r="F352" s="559"/>
      <c r="G352" s="559"/>
      <c r="H352" s="559"/>
      <c r="I352" s="559"/>
      <c r="J352" s="559"/>
      <c r="K352" s="559"/>
      <c r="L352" s="559"/>
      <c r="M352" s="559"/>
      <c r="N352" s="559"/>
      <c r="O352" s="559"/>
      <c r="P352" s="559"/>
      <c r="Q352" s="559"/>
      <c r="R352" s="559"/>
      <c r="S352" s="559"/>
      <c r="T352" s="559"/>
      <c r="U352" s="559"/>
      <c r="V352" s="559"/>
      <c r="W352" s="559"/>
      <c r="X352" s="559"/>
      <c r="Y352" s="559"/>
      <c r="Z352" s="559"/>
      <c r="AA352" s="559"/>
      <c r="AB352" s="559"/>
      <c r="AC352" s="559"/>
      <c r="AD352" s="559"/>
      <c r="AE352" s="559"/>
    </row>
    <row r="353" spans="1:31" ht="18" customHeight="1" x14ac:dyDescent="0.35">
      <c r="A353" s="559"/>
      <c r="B353" s="559"/>
      <c r="C353" s="559"/>
      <c r="D353" s="559"/>
      <c r="E353" s="559"/>
      <c r="F353" s="559"/>
      <c r="G353" s="559"/>
      <c r="H353" s="559"/>
      <c r="I353" s="559"/>
      <c r="J353" s="559"/>
      <c r="K353" s="559"/>
      <c r="L353" s="559"/>
      <c r="M353" s="559"/>
      <c r="N353" s="559"/>
      <c r="O353" s="559"/>
      <c r="P353" s="559"/>
      <c r="Q353" s="559"/>
      <c r="R353" s="559"/>
      <c r="S353" s="559"/>
      <c r="T353" s="559"/>
      <c r="U353" s="559"/>
      <c r="V353" s="559"/>
      <c r="W353" s="559"/>
      <c r="X353" s="559"/>
      <c r="Y353" s="559"/>
      <c r="Z353" s="559"/>
      <c r="AA353" s="559"/>
      <c r="AB353" s="559"/>
      <c r="AC353" s="559"/>
      <c r="AD353" s="559"/>
      <c r="AE353" s="559"/>
    </row>
    <row r="354" spans="1:31" ht="18" customHeight="1" x14ac:dyDescent="0.35">
      <c r="A354" s="559"/>
      <c r="B354" s="559"/>
      <c r="C354" s="559"/>
      <c r="D354" s="559"/>
      <c r="E354" s="559"/>
      <c r="F354" s="559"/>
      <c r="G354" s="559"/>
      <c r="H354" s="559"/>
      <c r="I354" s="559"/>
      <c r="J354" s="559"/>
      <c r="K354" s="559"/>
      <c r="L354" s="559"/>
      <c r="M354" s="559"/>
      <c r="N354" s="559"/>
      <c r="O354" s="559"/>
      <c r="P354" s="559"/>
      <c r="Q354" s="559"/>
      <c r="R354" s="559"/>
      <c r="S354" s="559"/>
      <c r="T354" s="559"/>
      <c r="U354" s="559"/>
      <c r="V354" s="559"/>
      <c r="W354" s="559"/>
      <c r="X354" s="559"/>
      <c r="Y354" s="559"/>
      <c r="Z354" s="559"/>
      <c r="AA354" s="559"/>
      <c r="AB354" s="559"/>
      <c r="AC354" s="559"/>
      <c r="AD354" s="559"/>
      <c r="AE354" s="559"/>
    </row>
    <row r="355" spans="1:31" ht="18" customHeight="1" x14ac:dyDescent="0.35">
      <c r="A355" s="559"/>
      <c r="B355" s="559"/>
      <c r="C355" s="559"/>
      <c r="D355" s="559"/>
      <c r="E355" s="559"/>
      <c r="F355" s="559"/>
      <c r="G355" s="559"/>
      <c r="H355" s="559"/>
      <c r="I355" s="559"/>
      <c r="J355" s="559"/>
      <c r="K355" s="559"/>
      <c r="L355" s="559"/>
      <c r="M355" s="559"/>
      <c r="N355" s="559"/>
      <c r="O355" s="559"/>
      <c r="P355" s="559"/>
      <c r="Q355" s="559"/>
      <c r="R355" s="559"/>
      <c r="S355" s="559"/>
      <c r="T355" s="559"/>
      <c r="U355" s="559"/>
      <c r="V355" s="559"/>
      <c r="W355" s="559"/>
      <c r="X355" s="559"/>
      <c r="Y355" s="559"/>
      <c r="Z355" s="559"/>
      <c r="AA355" s="559"/>
      <c r="AB355" s="559"/>
      <c r="AC355" s="559"/>
      <c r="AD355" s="559"/>
      <c r="AE355" s="559"/>
    </row>
    <row r="356" spans="1:31" ht="18" customHeight="1" x14ac:dyDescent="0.35">
      <c r="A356" s="559"/>
      <c r="B356" s="559"/>
      <c r="C356" s="559"/>
      <c r="D356" s="559"/>
      <c r="E356" s="559"/>
      <c r="F356" s="559"/>
      <c r="G356" s="559"/>
      <c r="H356" s="559"/>
      <c r="I356" s="559"/>
      <c r="J356" s="559"/>
      <c r="K356" s="559"/>
      <c r="L356" s="559"/>
      <c r="M356" s="559"/>
      <c r="N356" s="559"/>
      <c r="O356" s="559"/>
      <c r="P356" s="559"/>
      <c r="Q356" s="559"/>
      <c r="R356" s="559"/>
      <c r="S356" s="559"/>
      <c r="T356" s="559"/>
      <c r="U356" s="559"/>
      <c r="V356" s="559"/>
      <c r="W356" s="559"/>
      <c r="X356" s="559"/>
      <c r="Y356" s="559"/>
      <c r="Z356" s="559"/>
      <c r="AA356" s="559"/>
      <c r="AB356" s="559"/>
      <c r="AC356" s="559"/>
      <c r="AD356" s="559"/>
      <c r="AE356" s="559"/>
    </row>
    <row r="357" spans="1:31" ht="18" customHeight="1" x14ac:dyDescent="0.35">
      <c r="A357" s="559"/>
      <c r="B357" s="559"/>
      <c r="C357" s="559"/>
      <c r="D357" s="559"/>
      <c r="E357" s="559"/>
      <c r="F357" s="559"/>
      <c r="G357" s="559"/>
      <c r="H357" s="559"/>
      <c r="I357" s="559"/>
      <c r="J357" s="559"/>
      <c r="K357" s="559"/>
      <c r="L357" s="559"/>
      <c r="M357" s="559"/>
      <c r="N357" s="559"/>
      <c r="O357" s="559"/>
      <c r="P357" s="559"/>
      <c r="Q357" s="559"/>
      <c r="R357" s="559"/>
      <c r="S357" s="559"/>
      <c r="T357" s="559"/>
      <c r="U357" s="559"/>
      <c r="V357" s="559"/>
      <c r="W357" s="559"/>
      <c r="X357" s="559"/>
      <c r="Y357" s="559"/>
      <c r="Z357" s="559"/>
      <c r="AA357" s="559"/>
      <c r="AB357" s="559"/>
      <c r="AC357" s="559"/>
      <c r="AD357" s="559"/>
      <c r="AE357" s="559"/>
    </row>
    <row r="358" spans="1:31" ht="18" customHeight="1" x14ac:dyDescent="0.35">
      <c r="A358" s="559"/>
      <c r="B358" s="559"/>
      <c r="C358" s="559"/>
      <c r="D358" s="559"/>
      <c r="E358" s="559"/>
      <c r="F358" s="559"/>
      <c r="G358" s="559"/>
      <c r="H358" s="559"/>
      <c r="I358" s="559"/>
      <c r="J358" s="559"/>
      <c r="K358" s="559"/>
      <c r="L358" s="559"/>
      <c r="M358" s="559"/>
      <c r="N358" s="559"/>
      <c r="O358" s="559"/>
      <c r="P358" s="559"/>
      <c r="Q358" s="559"/>
      <c r="R358" s="559"/>
      <c r="S358" s="559"/>
      <c r="T358" s="559"/>
      <c r="U358" s="559"/>
      <c r="V358" s="559"/>
      <c r="W358" s="559"/>
      <c r="X358" s="559"/>
      <c r="Y358" s="559"/>
      <c r="Z358" s="559"/>
      <c r="AA358" s="559"/>
      <c r="AB358" s="559"/>
      <c r="AC358" s="559"/>
      <c r="AD358" s="559"/>
      <c r="AE358" s="559"/>
    </row>
    <row r="359" spans="1:31" ht="18" customHeight="1" x14ac:dyDescent="0.35">
      <c r="A359" s="559"/>
      <c r="B359" s="559"/>
      <c r="C359" s="559"/>
      <c r="D359" s="559"/>
      <c r="E359" s="559"/>
      <c r="F359" s="559"/>
      <c r="G359" s="559"/>
      <c r="H359" s="559"/>
      <c r="I359" s="559"/>
      <c r="J359" s="559"/>
      <c r="K359" s="559"/>
      <c r="L359" s="559"/>
      <c r="M359" s="559"/>
      <c r="N359" s="559"/>
      <c r="O359" s="559"/>
      <c r="P359" s="559"/>
      <c r="Q359" s="559"/>
      <c r="R359" s="559"/>
      <c r="S359" s="559"/>
      <c r="T359" s="559"/>
      <c r="U359" s="559"/>
      <c r="V359" s="559"/>
      <c r="W359" s="559"/>
      <c r="X359" s="559"/>
      <c r="Y359" s="559"/>
      <c r="Z359" s="559"/>
      <c r="AA359" s="559"/>
      <c r="AB359" s="559"/>
      <c r="AC359" s="559"/>
      <c r="AD359" s="559"/>
      <c r="AE359" s="559"/>
    </row>
    <row r="360" spans="1:31" ht="18" customHeight="1" x14ac:dyDescent="0.35">
      <c r="A360" s="559"/>
      <c r="B360" s="559"/>
      <c r="C360" s="559"/>
      <c r="D360" s="559"/>
      <c r="E360" s="559"/>
      <c r="F360" s="559"/>
      <c r="G360" s="559"/>
      <c r="H360" s="559"/>
      <c r="I360" s="559"/>
      <c r="J360" s="559"/>
      <c r="K360" s="559"/>
      <c r="L360" s="559"/>
      <c r="M360" s="559"/>
      <c r="N360" s="559"/>
      <c r="O360" s="559"/>
      <c r="P360" s="559"/>
      <c r="Q360" s="559"/>
      <c r="R360" s="559"/>
      <c r="S360" s="559"/>
      <c r="T360" s="559"/>
      <c r="U360" s="559"/>
      <c r="V360" s="559"/>
      <c r="W360" s="559"/>
      <c r="X360" s="559"/>
      <c r="Y360" s="559"/>
      <c r="Z360" s="559"/>
      <c r="AA360" s="559"/>
      <c r="AB360" s="559"/>
      <c r="AC360" s="559"/>
      <c r="AD360" s="559"/>
      <c r="AE360" s="559"/>
    </row>
    <row r="361" spans="1:31" ht="18" customHeight="1" x14ac:dyDescent="0.35">
      <c r="A361" s="559"/>
      <c r="B361" s="559"/>
      <c r="C361" s="559"/>
      <c r="D361" s="559"/>
      <c r="E361" s="559"/>
      <c r="F361" s="559"/>
      <c r="G361" s="559"/>
      <c r="H361" s="559"/>
      <c r="I361" s="559"/>
      <c r="J361" s="559"/>
      <c r="K361" s="559"/>
      <c r="L361" s="559"/>
      <c r="M361" s="559"/>
      <c r="N361" s="559"/>
      <c r="O361" s="559"/>
      <c r="P361" s="559"/>
      <c r="Q361" s="559"/>
      <c r="R361" s="559"/>
      <c r="S361" s="559"/>
      <c r="T361" s="559"/>
      <c r="U361" s="559"/>
      <c r="V361" s="559"/>
      <c r="W361" s="559"/>
      <c r="X361" s="559"/>
      <c r="Y361" s="559"/>
      <c r="Z361" s="559"/>
      <c r="AA361" s="559"/>
      <c r="AB361" s="559"/>
      <c r="AC361" s="559"/>
      <c r="AD361" s="559"/>
      <c r="AE361" s="559"/>
    </row>
    <row r="362" spans="1:31" ht="18" customHeight="1" x14ac:dyDescent="0.35">
      <c r="A362" s="559"/>
      <c r="B362" s="559"/>
      <c r="C362" s="559"/>
      <c r="D362" s="559"/>
      <c r="E362" s="559"/>
      <c r="F362" s="559"/>
      <c r="G362" s="559"/>
      <c r="H362" s="559"/>
      <c r="I362" s="559"/>
      <c r="J362" s="559"/>
      <c r="K362" s="559"/>
      <c r="L362" s="559"/>
      <c r="M362" s="559"/>
      <c r="N362" s="559"/>
      <c r="O362" s="559"/>
      <c r="P362" s="559"/>
      <c r="Q362" s="559"/>
      <c r="R362" s="559"/>
      <c r="S362" s="559"/>
      <c r="T362" s="559"/>
      <c r="U362" s="559"/>
      <c r="V362" s="559"/>
      <c r="W362" s="559"/>
      <c r="X362" s="559"/>
      <c r="Y362" s="559"/>
      <c r="Z362" s="559"/>
      <c r="AA362" s="559"/>
      <c r="AB362" s="559"/>
      <c r="AC362" s="559"/>
      <c r="AD362" s="559"/>
      <c r="AE362" s="559"/>
    </row>
    <row r="363" spans="1:31" ht="18" customHeight="1" x14ac:dyDescent="0.35">
      <c r="A363" s="559"/>
      <c r="B363" s="559"/>
      <c r="C363" s="559"/>
      <c r="D363" s="559"/>
      <c r="E363" s="559"/>
      <c r="F363" s="559"/>
      <c r="G363" s="559"/>
      <c r="H363" s="559"/>
      <c r="I363" s="559"/>
      <c r="J363" s="559"/>
      <c r="K363" s="559"/>
      <c r="L363" s="559"/>
      <c r="M363" s="559"/>
      <c r="N363" s="559"/>
      <c r="O363" s="559"/>
      <c r="P363" s="559"/>
      <c r="Q363" s="559"/>
      <c r="R363" s="559"/>
      <c r="S363" s="559"/>
      <c r="T363" s="559"/>
      <c r="U363" s="559"/>
      <c r="V363" s="559"/>
      <c r="W363" s="559"/>
      <c r="X363" s="559"/>
      <c r="Y363" s="559"/>
      <c r="Z363" s="559"/>
      <c r="AA363" s="559"/>
      <c r="AB363" s="559"/>
      <c r="AC363" s="559"/>
      <c r="AD363" s="559"/>
      <c r="AE363" s="559"/>
    </row>
    <row r="364" spans="1:31" ht="18" customHeight="1" x14ac:dyDescent="0.35">
      <c r="A364" s="559"/>
      <c r="B364" s="559"/>
      <c r="C364" s="559"/>
      <c r="D364" s="559"/>
      <c r="E364" s="559"/>
      <c r="F364" s="559"/>
      <c r="G364" s="559"/>
      <c r="H364" s="559"/>
      <c r="I364" s="559"/>
      <c r="J364" s="559"/>
      <c r="K364" s="559"/>
      <c r="L364" s="559"/>
      <c r="M364" s="559"/>
      <c r="N364" s="559"/>
      <c r="O364" s="559"/>
      <c r="P364" s="559"/>
      <c r="Q364" s="559"/>
      <c r="R364" s="559"/>
      <c r="S364" s="559"/>
      <c r="T364" s="559"/>
      <c r="U364" s="559"/>
      <c r="V364" s="559"/>
      <c r="W364" s="559"/>
      <c r="X364" s="559"/>
      <c r="Y364" s="559"/>
      <c r="Z364" s="559"/>
      <c r="AA364" s="559"/>
      <c r="AB364" s="559"/>
      <c r="AC364" s="559"/>
      <c r="AD364" s="559"/>
      <c r="AE364" s="559"/>
    </row>
    <row r="365" spans="1:31" ht="18" customHeight="1" x14ac:dyDescent="0.35">
      <c r="A365" s="559"/>
      <c r="B365" s="559"/>
      <c r="C365" s="559"/>
      <c r="D365" s="559"/>
      <c r="E365" s="559"/>
      <c r="F365" s="559"/>
      <c r="G365" s="559"/>
      <c r="H365" s="559"/>
      <c r="I365" s="559"/>
      <c r="J365" s="559"/>
      <c r="K365" s="559"/>
      <c r="L365" s="559"/>
      <c r="M365" s="559"/>
      <c r="N365" s="559"/>
      <c r="O365" s="559"/>
      <c r="P365" s="559"/>
      <c r="Q365" s="559"/>
      <c r="R365" s="559"/>
      <c r="S365" s="559"/>
      <c r="T365" s="559"/>
      <c r="U365" s="559"/>
      <c r="V365" s="559"/>
      <c r="W365" s="559"/>
      <c r="X365" s="559"/>
      <c r="Y365" s="559"/>
      <c r="Z365" s="559"/>
      <c r="AA365" s="559"/>
      <c r="AB365" s="559"/>
      <c r="AC365" s="559"/>
      <c r="AD365" s="559"/>
      <c r="AE365" s="559"/>
    </row>
    <row r="366" spans="1:31" ht="18" customHeight="1" x14ac:dyDescent="0.35">
      <c r="A366" s="559"/>
      <c r="B366" s="559"/>
      <c r="C366" s="559"/>
      <c r="D366" s="559"/>
      <c r="E366" s="559"/>
      <c r="F366" s="559"/>
      <c r="G366" s="559"/>
      <c r="H366" s="559"/>
      <c r="I366" s="559"/>
      <c r="J366" s="559"/>
      <c r="K366" s="559"/>
      <c r="L366" s="559"/>
      <c r="M366" s="559"/>
      <c r="N366" s="559"/>
      <c r="O366" s="559"/>
      <c r="P366" s="559"/>
      <c r="Q366" s="559"/>
      <c r="R366" s="559"/>
      <c r="S366" s="559"/>
      <c r="T366" s="559"/>
      <c r="U366" s="559"/>
      <c r="V366" s="559"/>
      <c r="W366" s="559"/>
      <c r="X366" s="559"/>
      <c r="Y366" s="559"/>
      <c r="Z366" s="559"/>
      <c r="AA366" s="559"/>
      <c r="AB366" s="559"/>
      <c r="AC366" s="559"/>
      <c r="AD366" s="559"/>
      <c r="AE366" s="559"/>
    </row>
    <row r="367" spans="1:31" ht="18" customHeight="1" x14ac:dyDescent="0.35">
      <c r="A367" s="559"/>
      <c r="B367" s="559"/>
      <c r="C367" s="559"/>
      <c r="D367" s="559"/>
      <c r="E367" s="559"/>
      <c r="F367" s="559"/>
      <c r="G367" s="559"/>
      <c r="H367" s="559"/>
      <c r="I367" s="559"/>
      <c r="J367" s="559"/>
      <c r="K367" s="559"/>
      <c r="L367" s="559"/>
      <c r="M367" s="559"/>
      <c r="N367" s="559"/>
      <c r="O367" s="559"/>
      <c r="P367" s="559"/>
      <c r="Q367" s="559"/>
      <c r="R367" s="559"/>
      <c r="S367" s="559"/>
      <c r="T367" s="559"/>
      <c r="U367" s="559"/>
      <c r="V367" s="559"/>
      <c r="W367" s="559"/>
      <c r="X367" s="559"/>
      <c r="Y367" s="559"/>
      <c r="Z367" s="559"/>
      <c r="AA367" s="559"/>
      <c r="AB367" s="559"/>
      <c r="AC367" s="559"/>
      <c r="AD367" s="559"/>
      <c r="AE367" s="559"/>
    </row>
    <row r="368" spans="1:31" ht="18" customHeight="1" x14ac:dyDescent="0.35">
      <c r="A368" s="559"/>
      <c r="B368" s="559"/>
      <c r="C368" s="559"/>
      <c r="D368" s="559"/>
      <c r="E368" s="559"/>
      <c r="F368" s="559"/>
      <c r="G368" s="559"/>
      <c r="H368" s="559"/>
      <c r="I368" s="559"/>
      <c r="J368" s="559"/>
      <c r="K368" s="559"/>
      <c r="L368" s="559"/>
      <c r="M368" s="559"/>
      <c r="N368" s="559"/>
      <c r="O368" s="559"/>
      <c r="P368" s="559"/>
      <c r="Q368" s="559"/>
      <c r="R368" s="559"/>
      <c r="S368" s="559"/>
      <c r="T368" s="559"/>
      <c r="U368" s="559"/>
      <c r="V368" s="559"/>
      <c r="W368" s="559"/>
      <c r="X368" s="559"/>
      <c r="Y368" s="559"/>
      <c r="Z368" s="559"/>
      <c r="AA368" s="559"/>
      <c r="AB368" s="559"/>
      <c r="AC368" s="559"/>
      <c r="AD368" s="559"/>
      <c r="AE368" s="559"/>
    </row>
    <row r="369" spans="1:31" ht="18" customHeight="1" x14ac:dyDescent="0.35">
      <c r="A369" s="559"/>
      <c r="B369" s="559"/>
      <c r="C369" s="559"/>
      <c r="D369" s="559"/>
      <c r="E369" s="559"/>
      <c r="F369" s="559"/>
      <c r="G369" s="559"/>
      <c r="H369" s="559"/>
      <c r="I369" s="559"/>
      <c r="J369" s="559"/>
      <c r="K369" s="559"/>
      <c r="L369" s="559"/>
      <c r="M369" s="559"/>
      <c r="N369" s="559"/>
      <c r="O369" s="559"/>
      <c r="P369" s="559"/>
      <c r="Q369" s="559"/>
      <c r="R369" s="559"/>
      <c r="S369" s="559"/>
      <c r="T369" s="559"/>
      <c r="U369" s="559"/>
      <c r="V369" s="559"/>
      <c r="W369" s="559"/>
      <c r="X369" s="559"/>
      <c r="Y369" s="559"/>
      <c r="Z369" s="559"/>
      <c r="AA369" s="559"/>
      <c r="AB369" s="559"/>
      <c r="AC369" s="559"/>
      <c r="AD369" s="559"/>
      <c r="AE369" s="559"/>
    </row>
    <row r="370" spans="1:31" ht="18" customHeight="1" x14ac:dyDescent="0.35">
      <c r="A370" s="559"/>
      <c r="B370" s="559"/>
      <c r="C370" s="559"/>
      <c r="D370" s="559"/>
      <c r="E370" s="559"/>
      <c r="F370" s="559"/>
      <c r="G370" s="559"/>
      <c r="H370" s="559"/>
      <c r="I370" s="559"/>
      <c r="J370" s="559"/>
      <c r="K370" s="559"/>
      <c r="L370" s="559"/>
      <c r="M370" s="559"/>
      <c r="N370" s="559"/>
      <c r="O370" s="559"/>
      <c r="P370" s="559"/>
      <c r="Q370" s="559"/>
      <c r="R370" s="559"/>
      <c r="S370" s="559"/>
      <c r="T370" s="559"/>
      <c r="U370" s="559"/>
      <c r="V370" s="559"/>
      <c r="W370" s="559"/>
      <c r="X370" s="559"/>
      <c r="Y370" s="559"/>
      <c r="Z370" s="559"/>
      <c r="AA370" s="559"/>
      <c r="AB370" s="559"/>
      <c r="AC370" s="559"/>
      <c r="AD370" s="559"/>
      <c r="AE370" s="559"/>
    </row>
    <row r="371" spans="1:31" ht="18" customHeight="1" x14ac:dyDescent="0.35">
      <c r="A371" s="559"/>
      <c r="B371" s="559"/>
      <c r="C371" s="559"/>
      <c r="D371" s="559"/>
      <c r="E371" s="559"/>
      <c r="F371" s="559"/>
      <c r="G371" s="559"/>
      <c r="H371" s="559"/>
      <c r="I371" s="559"/>
      <c r="J371" s="559"/>
      <c r="K371" s="559"/>
      <c r="L371" s="559"/>
      <c r="M371" s="559"/>
      <c r="N371" s="559"/>
      <c r="O371" s="559"/>
      <c r="P371" s="559"/>
      <c r="Q371" s="559"/>
      <c r="R371" s="559"/>
      <c r="S371" s="559"/>
      <c r="T371" s="559"/>
      <c r="U371" s="559"/>
      <c r="V371" s="559"/>
      <c r="W371" s="559"/>
      <c r="X371" s="559"/>
      <c r="Y371" s="559"/>
      <c r="Z371" s="559"/>
      <c r="AA371" s="559"/>
      <c r="AB371" s="559"/>
      <c r="AC371" s="559"/>
      <c r="AD371" s="559"/>
      <c r="AE371" s="559"/>
    </row>
    <row r="372" spans="1:31" ht="18" customHeight="1" x14ac:dyDescent="0.35">
      <c r="A372" s="559"/>
      <c r="B372" s="559"/>
      <c r="C372" s="559"/>
      <c r="D372" s="559"/>
      <c r="E372" s="559"/>
      <c r="F372" s="559"/>
      <c r="G372" s="559"/>
      <c r="H372" s="559"/>
      <c r="I372" s="559"/>
      <c r="J372" s="559"/>
      <c r="K372" s="559"/>
      <c r="L372" s="559"/>
      <c r="M372" s="559"/>
      <c r="N372" s="559"/>
      <c r="O372" s="559"/>
      <c r="P372" s="559"/>
      <c r="Q372" s="559"/>
      <c r="R372" s="559"/>
      <c r="S372" s="559"/>
      <c r="T372" s="559"/>
      <c r="U372" s="559"/>
      <c r="V372" s="559"/>
      <c r="W372" s="559"/>
      <c r="X372" s="559"/>
      <c r="Y372" s="559"/>
      <c r="Z372" s="559"/>
      <c r="AA372" s="559"/>
      <c r="AB372" s="559"/>
      <c r="AC372" s="559"/>
      <c r="AD372" s="559"/>
      <c r="AE372" s="559"/>
    </row>
    <row r="373" spans="1:31" ht="18" customHeight="1" x14ac:dyDescent="0.35">
      <c r="A373" s="559"/>
      <c r="B373" s="559"/>
      <c r="C373" s="559"/>
      <c r="D373" s="559"/>
      <c r="E373" s="559"/>
      <c r="F373" s="559"/>
      <c r="G373" s="559"/>
      <c r="H373" s="559"/>
      <c r="I373" s="559"/>
      <c r="J373" s="559"/>
      <c r="K373" s="559"/>
      <c r="L373" s="559"/>
      <c r="M373" s="559"/>
      <c r="N373" s="559"/>
      <c r="O373" s="559"/>
      <c r="P373" s="559"/>
      <c r="Q373" s="559"/>
      <c r="R373" s="559"/>
      <c r="S373" s="559"/>
      <c r="T373" s="559"/>
      <c r="U373" s="559"/>
      <c r="V373" s="559"/>
      <c r="W373" s="559"/>
      <c r="X373" s="559"/>
      <c r="Y373" s="559"/>
      <c r="Z373" s="559"/>
      <c r="AA373" s="559"/>
      <c r="AB373" s="559"/>
      <c r="AC373" s="559"/>
      <c r="AD373" s="559"/>
      <c r="AE373" s="559"/>
    </row>
    <row r="374" spans="1:31" ht="18" customHeight="1" x14ac:dyDescent="0.35">
      <c r="A374" s="559"/>
      <c r="B374" s="559"/>
      <c r="C374" s="559"/>
      <c r="D374" s="559"/>
      <c r="E374" s="559"/>
      <c r="F374" s="559"/>
      <c r="G374" s="559"/>
      <c r="H374" s="559"/>
      <c r="I374" s="559"/>
      <c r="J374" s="559"/>
      <c r="K374" s="559"/>
      <c r="L374" s="559"/>
      <c r="M374" s="559"/>
      <c r="N374" s="559"/>
      <c r="O374" s="559"/>
      <c r="P374" s="559"/>
      <c r="Q374" s="559"/>
      <c r="R374" s="559"/>
      <c r="S374" s="559"/>
      <c r="T374" s="559"/>
      <c r="U374" s="559"/>
      <c r="V374" s="559"/>
      <c r="W374" s="559"/>
      <c r="X374" s="559"/>
      <c r="Y374" s="559"/>
      <c r="Z374" s="559"/>
      <c r="AA374" s="559"/>
      <c r="AB374" s="559"/>
      <c r="AC374" s="559"/>
      <c r="AD374" s="559"/>
      <c r="AE374" s="559"/>
    </row>
    <row r="375" spans="1:31" ht="18" customHeight="1" x14ac:dyDescent="0.35">
      <c r="A375" s="559"/>
      <c r="B375" s="559"/>
      <c r="C375" s="559"/>
      <c r="D375" s="559"/>
      <c r="E375" s="559"/>
      <c r="F375" s="559"/>
      <c r="G375" s="559"/>
      <c r="H375" s="559"/>
      <c r="I375" s="559"/>
      <c r="J375" s="559"/>
      <c r="K375" s="559"/>
      <c r="L375" s="559"/>
      <c r="M375" s="559"/>
      <c r="N375" s="559"/>
      <c r="O375" s="559"/>
      <c r="P375" s="559"/>
      <c r="Q375" s="559"/>
      <c r="R375" s="559"/>
      <c r="S375" s="559"/>
      <c r="T375" s="559"/>
      <c r="U375" s="559"/>
      <c r="V375" s="559"/>
      <c r="W375" s="559"/>
      <c r="X375" s="559"/>
      <c r="Y375" s="559"/>
      <c r="Z375" s="559"/>
      <c r="AA375" s="559"/>
      <c r="AB375" s="559"/>
      <c r="AC375" s="559"/>
      <c r="AD375" s="559"/>
      <c r="AE375" s="559"/>
    </row>
    <row r="376" spans="1:31" ht="18" customHeight="1" x14ac:dyDescent="0.35">
      <c r="A376" s="559"/>
      <c r="B376" s="559"/>
      <c r="C376" s="559"/>
      <c r="D376" s="559"/>
      <c r="E376" s="559"/>
      <c r="F376" s="559"/>
      <c r="G376" s="559"/>
      <c r="H376" s="559"/>
      <c r="I376" s="559"/>
      <c r="J376" s="559"/>
      <c r="K376" s="559"/>
      <c r="L376" s="559"/>
      <c r="M376" s="559"/>
      <c r="N376" s="559"/>
      <c r="O376" s="559"/>
      <c r="P376" s="559"/>
      <c r="Q376" s="559"/>
      <c r="R376" s="559"/>
      <c r="S376" s="559"/>
      <c r="T376" s="559"/>
      <c r="U376" s="559"/>
      <c r="V376" s="559"/>
      <c r="W376" s="559"/>
      <c r="X376" s="559"/>
      <c r="Y376" s="559"/>
      <c r="Z376" s="559"/>
      <c r="AA376" s="559"/>
      <c r="AB376" s="559"/>
      <c r="AC376" s="559"/>
      <c r="AD376" s="559"/>
      <c r="AE376" s="559"/>
    </row>
    <row r="377" spans="1:31" ht="18" customHeight="1" x14ac:dyDescent="0.35">
      <c r="A377" s="559"/>
      <c r="B377" s="559"/>
      <c r="C377" s="559"/>
      <c r="D377" s="559"/>
      <c r="E377" s="559"/>
      <c r="F377" s="559"/>
      <c r="G377" s="559"/>
      <c r="H377" s="559"/>
      <c r="I377" s="559"/>
      <c r="J377" s="559"/>
      <c r="K377" s="559"/>
      <c r="L377" s="559"/>
      <c r="M377" s="559"/>
      <c r="N377" s="559"/>
      <c r="O377" s="559"/>
      <c r="P377" s="559"/>
      <c r="Q377" s="559"/>
      <c r="R377" s="559"/>
      <c r="S377" s="559"/>
      <c r="T377" s="559"/>
      <c r="U377" s="559"/>
      <c r="V377" s="559"/>
      <c r="W377" s="559"/>
      <c r="X377" s="559"/>
      <c r="Y377" s="559"/>
      <c r="Z377" s="559"/>
      <c r="AA377" s="559"/>
      <c r="AB377" s="559"/>
      <c r="AC377" s="559"/>
      <c r="AD377" s="559"/>
      <c r="AE377" s="559"/>
    </row>
    <row r="378" spans="1:31" ht="18" customHeight="1" x14ac:dyDescent="0.35">
      <c r="A378" s="559"/>
      <c r="B378" s="559"/>
      <c r="C378" s="559"/>
      <c r="D378" s="559"/>
      <c r="E378" s="559"/>
      <c r="F378" s="559"/>
      <c r="G378" s="559"/>
      <c r="H378" s="559"/>
      <c r="I378" s="559"/>
      <c r="J378" s="559"/>
      <c r="K378" s="559"/>
      <c r="L378" s="559"/>
      <c r="M378" s="559"/>
      <c r="N378" s="559"/>
      <c r="O378" s="559"/>
      <c r="P378" s="559"/>
      <c r="Q378" s="559"/>
      <c r="R378" s="559"/>
      <c r="S378" s="559"/>
      <c r="T378" s="559"/>
      <c r="U378" s="559"/>
      <c r="V378" s="559"/>
      <c r="W378" s="559"/>
      <c r="X378" s="559"/>
      <c r="Y378" s="559"/>
      <c r="Z378" s="559"/>
      <c r="AA378" s="559"/>
      <c r="AB378" s="559"/>
      <c r="AC378" s="559"/>
      <c r="AD378" s="559"/>
      <c r="AE378" s="559"/>
    </row>
    <row r="379" spans="1:31" ht="18" customHeight="1" x14ac:dyDescent="0.35">
      <c r="A379" s="559"/>
      <c r="B379" s="559"/>
      <c r="C379" s="559"/>
      <c r="D379" s="559"/>
      <c r="E379" s="559"/>
      <c r="F379" s="559"/>
      <c r="G379" s="559"/>
      <c r="H379" s="559"/>
      <c r="I379" s="559"/>
      <c r="J379" s="559"/>
      <c r="K379" s="559"/>
      <c r="L379" s="559"/>
      <c r="M379" s="559"/>
      <c r="N379" s="559"/>
      <c r="O379" s="559"/>
      <c r="P379" s="559"/>
      <c r="Q379" s="559"/>
      <c r="R379" s="559"/>
      <c r="S379" s="559"/>
      <c r="T379" s="559"/>
      <c r="U379" s="559"/>
      <c r="V379" s="559"/>
      <c r="W379" s="559"/>
      <c r="X379" s="559"/>
      <c r="Y379" s="559"/>
      <c r="Z379" s="559"/>
      <c r="AA379" s="559"/>
      <c r="AB379" s="559"/>
      <c r="AC379" s="559"/>
      <c r="AD379" s="559"/>
      <c r="AE379" s="559"/>
    </row>
    <row r="380" spans="1:31" ht="18" customHeight="1" x14ac:dyDescent="0.35">
      <c r="A380" s="559"/>
      <c r="B380" s="559"/>
      <c r="C380" s="559"/>
      <c r="D380" s="559"/>
      <c r="E380" s="559"/>
      <c r="F380" s="559"/>
      <c r="G380" s="559"/>
      <c r="H380" s="559"/>
      <c r="I380" s="559"/>
      <c r="J380" s="559"/>
      <c r="K380" s="559"/>
      <c r="L380" s="559"/>
      <c r="M380" s="559"/>
      <c r="N380" s="559"/>
      <c r="O380" s="559"/>
      <c r="P380" s="559"/>
      <c r="Q380" s="559"/>
      <c r="R380" s="559"/>
      <c r="S380" s="559"/>
      <c r="T380" s="559"/>
      <c r="U380" s="559"/>
      <c r="V380" s="559"/>
      <c r="W380" s="559"/>
      <c r="X380" s="559"/>
      <c r="Y380" s="559"/>
      <c r="Z380" s="559"/>
      <c r="AA380" s="559"/>
      <c r="AB380" s="559"/>
      <c r="AC380" s="559"/>
      <c r="AD380" s="559"/>
      <c r="AE380" s="559"/>
    </row>
    <row r="381" spans="1:31" ht="18" customHeight="1" x14ac:dyDescent="0.35">
      <c r="A381" s="559"/>
      <c r="B381" s="559"/>
      <c r="C381" s="559"/>
      <c r="D381" s="559"/>
      <c r="E381" s="559"/>
      <c r="F381" s="559"/>
      <c r="G381" s="559"/>
      <c r="H381" s="559"/>
      <c r="I381" s="559"/>
      <c r="J381" s="559"/>
      <c r="K381" s="559"/>
      <c r="L381" s="559"/>
      <c r="M381" s="559"/>
      <c r="N381" s="559"/>
      <c r="O381" s="559"/>
      <c r="P381" s="559"/>
      <c r="Q381" s="559"/>
      <c r="R381" s="559"/>
      <c r="S381" s="559"/>
      <c r="T381" s="559"/>
      <c r="U381" s="559"/>
      <c r="V381" s="559"/>
      <c r="W381" s="559"/>
      <c r="X381" s="559"/>
      <c r="Y381" s="559"/>
      <c r="Z381" s="559"/>
      <c r="AA381" s="559"/>
      <c r="AB381" s="559"/>
      <c r="AC381" s="559"/>
      <c r="AD381" s="559"/>
      <c r="AE381" s="559"/>
    </row>
    <row r="382" spans="1:31" ht="18" customHeight="1" x14ac:dyDescent="0.35">
      <c r="A382" s="559"/>
      <c r="B382" s="559"/>
      <c r="C382" s="559"/>
      <c r="D382" s="559"/>
      <c r="E382" s="559"/>
      <c r="F382" s="559"/>
      <c r="G382" s="559"/>
      <c r="H382" s="559"/>
      <c r="I382" s="559"/>
      <c r="J382" s="559"/>
      <c r="K382" s="559"/>
      <c r="L382" s="559"/>
      <c r="M382" s="559"/>
      <c r="N382" s="559"/>
      <c r="O382" s="559"/>
      <c r="P382" s="559"/>
      <c r="Q382" s="559"/>
      <c r="R382" s="559"/>
      <c r="S382" s="559"/>
      <c r="T382" s="559"/>
      <c r="U382" s="559"/>
      <c r="V382" s="559"/>
      <c r="W382" s="559"/>
      <c r="X382" s="559"/>
      <c r="Y382" s="559"/>
      <c r="Z382" s="559"/>
      <c r="AA382" s="559"/>
      <c r="AB382" s="559"/>
      <c r="AC382" s="559"/>
      <c r="AD382" s="559"/>
      <c r="AE382" s="559"/>
    </row>
    <row r="383" spans="1:31" ht="18" customHeight="1" x14ac:dyDescent="0.35">
      <c r="A383" s="559"/>
      <c r="B383" s="559"/>
      <c r="C383" s="559"/>
      <c r="D383" s="559"/>
      <c r="E383" s="559"/>
      <c r="F383" s="559"/>
      <c r="G383" s="559"/>
      <c r="H383" s="559"/>
      <c r="I383" s="559"/>
      <c r="J383" s="559"/>
      <c r="K383" s="559"/>
      <c r="L383" s="559"/>
      <c r="M383" s="559"/>
      <c r="N383" s="559"/>
      <c r="O383" s="559"/>
      <c r="P383" s="559"/>
      <c r="Q383" s="559"/>
      <c r="R383" s="559"/>
      <c r="S383" s="559"/>
      <c r="T383" s="559"/>
      <c r="U383" s="559"/>
      <c r="V383" s="559"/>
      <c r="W383" s="559"/>
      <c r="X383" s="559"/>
      <c r="Y383" s="559"/>
      <c r="Z383" s="559"/>
      <c r="AA383" s="559"/>
      <c r="AB383" s="559"/>
      <c r="AC383" s="559"/>
      <c r="AD383" s="559"/>
      <c r="AE383" s="559"/>
    </row>
    <row r="384" spans="1:31" ht="18" customHeight="1" x14ac:dyDescent="0.35">
      <c r="A384" s="559"/>
      <c r="B384" s="559"/>
      <c r="C384" s="559"/>
      <c r="D384" s="559"/>
      <c r="E384" s="559"/>
      <c r="F384" s="559"/>
      <c r="G384" s="559"/>
      <c r="H384" s="559"/>
      <c r="I384" s="559"/>
      <c r="J384" s="559"/>
      <c r="K384" s="559"/>
      <c r="L384" s="559"/>
      <c r="M384" s="559"/>
      <c r="N384" s="559"/>
      <c r="O384" s="559"/>
      <c r="P384" s="559"/>
      <c r="Q384" s="559"/>
      <c r="R384" s="559"/>
      <c r="S384" s="559"/>
      <c r="T384" s="559"/>
      <c r="U384" s="559"/>
      <c r="V384" s="559"/>
      <c r="W384" s="559"/>
      <c r="X384" s="559"/>
      <c r="Y384" s="559"/>
      <c r="Z384" s="559"/>
      <c r="AA384" s="559"/>
      <c r="AB384" s="559"/>
      <c r="AC384" s="559"/>
      <c r="AD384" s="559"/>
      <c r="AE384" s="559"/>
    </row>
    <row r="385" spans="1:31" ht="18" customHeight="1" x14ac:dyDescent="0.35">
      <c r="A385" s="559"/>
      <c r="B385" s="559"/>
      <c r="C385" s="559"/>
      <c r="D385" s="559"/>
      <c r="E385" s="559"/>
      <c r="F385" s="559"/>
      <c r="G385" s="559"/>
      <c r="H385" s="559"/>
      <c r="I385" s="559"/>
      <c r="J385" s="559"/>
      <c r="K385" s="559"/>
      <c r="L385" s="559"/>
      <c r="M385" s="559"/>
      <c r="N385" s="559"/>
      <c r="O385" s="559"/>
      <c r="P385" s="559"/>
      <c r="Q385" s="559"/>
      <c r="R385" s="559"/>
      <c r="S385" s="559"/>
      <c r="T385" s="559"/>
      <c r="U385" s="559"/>
      <c r="V385" s="559"/>
      <c r="W385" s="559"/>
      <c r="X385" s="559"/>
      <c r="Y385" s="559"/>
      <c r="Z385" s="559"/>
      <c r="AA385" s="559"/>
      <c r="AB385" s="559"/>
      <c r="AC385" s="559"/>
      <c r="AD385" s="559"/>
      <c r="AE385" s="559"/>
    </row>
    <row r="386" spans="1:31" ht="18" customHeight="1" x14ac:dyDescent="0.35">
      <c r="A386" s="559"/>
      <c r="B386" s="559"/>
      <c r="C386" s="559"/>
      <c r="D386" s="559"/>
      <c r="E386" s="559"/>
      <c r="F386" s="559"/>
      <c r="G386" s="559"/>
      <c r="H386" s="559"/>
      <c r="I386" s="559"/>
      <c r="J386" s="559"/>
      <c r="K386" s="559"/>
      <c r="L386" s="559"/>
      <c r="M386" s="559"/>
      <c r="N386" s="559"/>
      <c r="O386" s="559"/>
      <c r="P386" s="559"/>
      <c r="Q386" s="559"/>
      <c r="R386" s="559"/>
      <c r="S386" s="559"/>
      <c r="T386" s="559"/>
      <c r="U386" s="559"/>
      <c r="V386" s="559"/>
      <c r="W386" s="559"/>
      <c r="X386" s="559"/>
      <c r="Y386" s="559"/>
      <c r="Z386" s="559"/>
      <c r="AA386" s="559"/>
      <c r="AB386" s="559"/>
      <c r="AC386" s="559"/>
      <c r="AD386" s="559"/>
      <c r="AE386" s="559"/>
    </row>
    <row r="387" spans="1:31" ht="18" customHeight="1" x14ac:dyDescent="0.35">
      <c r="A387" s="559"/>
      <c r="B387" s="559"/>
      <c r="C387" s="559"/>
      <c r="D387" s="559"/>
      <c r="E387" s="559"/>
      <c r="F387" s="559"/>
      <c r="G387" s="559"/>
      <c r="H387" s="559"/>
      <c r="I387" s="559"/>
      <c r="J387" s="559"/>
      <c r="K387" s="559"/>
      <c r="L387" s="559"/>
      <c r="M387" s="559"/>
      <c r="N387" s="559"/>
      <c r="O387" s="559"/>
      <c r="P387" s="559"/>
      <c r="Q387" s="559"/>
      <c r="R387" s="559"/>
      <c r="S387" s="559"/>
      <c r="T387" s="559"/>
      <c r="U387" s="559"/>
      <c r="V387" s="559"/>
      <c r="W387" s="559"/>
      <c r="X387" s="559"/>
      <c r="Y387" s="559"/>
      <c r="Z387" s="559"/>
      <c r="AA387" s="559"/>
      <c r="AB387" s="559"/>
      <c r="AC387" s="559"/>
      <c r="AD387" s="559"/>
      <c r="AE387" s="559"/>
    </row>
    <row r="388" spans="1:31" ht="18" customHeight="1" x14ac:dyDescent="0.35">
      <c r="A388" s="559"/>
      <c r="B388" s="559"/>
      <c r="C388" s="559"/>
      <c r="D388" s="559"/>
      <c r="E388" s="559"/>
      <c r="F388" s="559"/>
      <c r="G388" s="559"/>
      <c r="H388" s="559"/>
      <c r="I388" s="559"/>
      <c r="J388" s="559"/>
      <c r="K388" s="559"/>
      <c r="L388" s="559"/>
      <c r="M388" s="559"/>
      <c r="N388" s="559"/>
      <c r="O388" s="559"/>
      <c r="P388" s="559"/>
      <c r="Q388" s="559"/>
      <c r="R388" s="559"/>
      <c r="S388" s="559"/>
      <c r="T388" s="559"/>
      <c r="U388" s="559"/>
      <c r="V388" s="559"/>
      <c r="W388" s="559"/>
      <c r="X388" s="559"/>
      <c r="Y388" s="559"/>
      <c r="Z388" s="559"/>
      <c r="AA388" s="559"/>
      <c r="AB388" s="559"/>
      <c r="AC388" s="559"/>
      <c r="AD388" s="559"/>
      <c r="AE388" s="559"/>
    </row>
    <row r="389" spans="1:31" ht="18" customHeight="1" x14ac:dyDescent="0.35">
      <c r="A389" s="559"/>
      <c r="B389" s="559"/>
      <c r="C389" s="559"/>
      <c r="D389" s="559"/>
      <c r="E389" s="559"/>
      <c r="F389" s="559"/>
      <c r="G389" s="559"/>
      <c r="H389" s="559"/>
      <c r="I389" s="559"/>
      <c r="J389" s="559"/>
      <c r="K389" s="559"/>
      <c r="L389" s="559"/>
      <c r="M389" s="559"/>
      <c r="N389" s="559"/>
      <c r="O389" s="559"/>
      <c r="P389" s="559"/>
      <c r="Q389" s="559"/>
      <c r="R389" s="559"/>
      <c r="S389" s="559"/>
      <c r="T389" s="559"/>
      <c r="U389" s="559"/>
      <c r="V389" s="559"/>
      <c r="W389" s="559"/>
      <c r="X389" s="559"/>
      <c r="Y389" s="559"/>
      <c r="Z389" s="559"/>
      <c r="AA389" s="559"/>
      <c r="AB389" s="559"/>
      <c r="AC389" s="559"/>
      <c r="AD389" s="559"/>
      <c r="AE389" s="559"/>
    </row>
    <row r="390" spans="1:31" ht="18" customHeight="1" x14ac:dyDescent="0.35">
      <c r="A390" s="559"/>
      <c r="B390" s="559"/>
      <c r="C390" s="559"/>
      <c r="D390" s="559"/>
      <c r="E390" s="559"/>
      <c r="F390" s="559"/>
      <c r="G390" s="559"/>
      <c r="H390" s="559"/>
      <c r="I390" s="559"/>
      <c r="J390" s="559"/>
      <c r="K390" s="559"/>
      <c r="L390" s="559"/>
      <c r="M390" s="559"/>
      <c r="N390" s="559"/>
      <c r="O390" s="559"/>
      <c r="P390" s="559"/>
      <c r="Q390" s="559"/>
      <c r="R390" s="559"/>
      <c r="S390" s="559"/>
      <c r="T390" s="559"/>
      <c r="U390" s="559"/>
      <c r="V390" s="559"/>
      <c r="W390" s="559"/>
      <c r="X390" s="559"/>
      <c r="Y390" s="559"/>
      <c r="Z390" s="559"/>
      <c r="AA390" s="559"/>
      <c r="AB390" s="559"/>
      <c r="AC390" s="559"/>
      <c r="AD390" s="559"/>
      <c r="AE390" s="559"/>
    </row>
    <row r="391" spans="1:31" ht="18" customHeight="1" x14ac:dyDescent="0.35">
      <c r="A391" s="559"/>
      <c r="B391" s="559"/>
      <c r="C391" s="559"/>
      <c r="D391" s="559"/>
      <c r="E391" s="559"/>
      <c r="F391" s="559"/>
      <c r="G391" s="559"/>
      <c r="H391" s="559"/>
      <c r="I391" s="559"/>
      <c r="J391" s="559"/>
      <c r="K391" s="559"/>
      <c r="L391" s="559"/>
      <c r="M391" s="559"/>
      <c r="N391" s="559"/>
      <c r="O391" s="559"/>
      <c r="P391" s="559"/>
      <c r="Q391" s="559"/>
      <c r="R391" s="559"/>
      <c r="S391" s="559"/>
      <c r="T391" s="559"/>
      <c r="U391" s="559"/>
      <c r="V391" s="559"/>
      <c r="W391" s="559"/>
      <c r="X391" s="559"/>
      <c r="Y391" s="559"/>
      <c r="Z391" s="559"/>
      <c r="AA391" s="559"/>
      <c r="AB391" s="559"/>
      <c r="AC391" s="559"/>
      <c r="AD391" s="559"/>
      <c r="AE391" s="559"/>
    </row>
    <row r="392" spans="1:31" ht="18" customHeight="1" x14ac:dyDescent="0.35">
      <c r="A392" s="559"/>
      <c r="B392" s="559"/>
      <c r="C392" s="559"/>
      <c r="D392" s="559"/>
      <c r="E392" s="559"/>
      <c r="F392" s="559"/>
      <c r="G392" s="559"/>
      <c r="H392" s="559"/>
      <c r="I392" s="559"/>
      <c r="J392" s="559"/>
      <c r="K392" s="559"/>
      <c r="L392" s="559"/>
      <c r="M392" s="559"/>
      <c r="N392" s="559"/>
      <c r="O392" s="559"/>
      <c r="P392" s="559"/>
      <c r="Q392" s="559"/>
      <c r="R392" s="559"/>
      <c r="S392" s="559"/>
      <c r="T392" s="559"/>
      <c r="U392" s="559"/>
      <c r="V392" s="559"/>
      <c r="W392" s="559"/>
      <c r="X392" s="559"/>
      <c r="Y392" s="559"/>
      <c r="Z392" s="559"/>
      <c r="AA392" s="559"/>
      <c r="AB392" s="559"/>
      <c r="AC392" s="559"/>
      <c r="AD392" s="559"/>
      <c r="AE392" s="559"/>
    </row>
    <row r="393" spans="1:31" ht="18" customHeight="1" x14ac:dyDescent="0.35">
      <c r="A393" s="559"/>
      <c r="B393" s="559"/>
      <c r="C393" s="559"/>
      <c r="D393" s="559"/>
      <c r="E393" s="559"/>
      <c r="F393" s="559"/>
      <c r="G393" s="559"/>
      <c r="H393" s="559"/>
      <c r="I393" s="559"/>
      <c r="J393" s="559"/>
      <c r="K393" s="559"/>
      <c r="L393" s="559"/>
      <c r="M393" s="559"/>
      <c r="N393" s="559"/>
      <c r="O393" s="559"/>
      <c r="P393" s="559"/>
      <c r="Q393" s="559"/>
      <c r="R393" s="559"/>
      <c r="S393" s="559"/>
      <c r="T393" s="559"/>
      <c r="U393" s="559"/>
      <c r="V393" s="559"/>
      <c r="W393" s="559"/>
      <c r="X393" s="559"/>
      <c r="Y393" s="559"/>
      <c r="Z393" s="559"/>
      <c r="AA393" s="559"/>
      <c r="AB393" s="559"/>
      <c r="AC393" s="559"/>
      <c r="AD393" s="559"/>
      <c r="AE393" s="559"/>
    </row>
    <row r="394" spans="1:31" ht="18" customHeight="1" x14ac:dyDescent="0.35">
      <c r="A394" s="559"/>
      <c r="B394" s="559"/>
      <c r="C394" s="559"/>
      <c r="D394" s="559"/>
      <c r="E394" s="559"/>
      <c r="F394" s="559"/>
      <c r="G394" s="559"/>
      <c r="H394" s="559"/>
      <c r="I394" s="559"/>
      <c r="J394" s="559"/>
      <c r="K394" s="559"/>
      <c r="L394" s="559"/>
      <c r="M394" s="559"/>
      <c r="N394" s="559"/>
      <c r="O394" s="559"/>
      <c r="P394" s="559"/>
      <c r="Q394" s="559"/>
      <c r="R394" s="559"/>
      <c r="S394" s="559"/>
      <c r="T394" s="559"/>
      <c r="U394" s="559"/>
      <c r="V394" s="559"/>
      <c r="W394" s="559"/>
      <c r="X394" s="559"/>
      <c r="Y394" s="559"/>
      <c r="Z394" s="559"/>
      <c r="AA394" s="559"/>
      <c r="AB394" s="559"/>
      <c r="AC394" s="559"/>
      <c r="AD394" s="559"/>
      <c r="AE394" s="559"/>
    </row>
    <row r="395" spans="1:31" ht="18" customHeight="1" x14ac:dyDescent="0.35">
      <c r="A395" s="559"/>
      <c r="B395" s="559"/>
      <c r="C395" s="559"/>
      <c r="D395" s="559"/>
      <c r="E395" s="559"/>
      <c r="F395" s="559"/>
      <c r="G395" s="559"/>
      <c r="H395" s="559"/>
      <c r="I395" s="559"/>
      <c r="J395" s="559"/>
      <c r="K395" s="559"/>
      <c r="L395" s="559"/>
      <c r="M395" s="559"/>
      <c r="N395" s="559"/>
      <c r="O395" s="559"/>
      <c r="P395" s="559"/>
      <c r="Q395" s="559"/>
      <c r="R395" s="559"/>
      <c r="S395" s="559"/>
      <c r="T395" s="559"/>
      <c r="U395" s="559"/>
      <c r="V395" s="559"/>
      <c r="W395" s="559"/>
      <c r="X395" s="559"/>
      <c r="Y395" s="559"/>
      <c r="Z395" s="559"/>
      <c r="AA395" s="559"/>
      <c r="AB395" s="559"/>
      <c r="AC395" s="559"/>
      <c r="AD395" s="559"/>
      <c r="AE395" s="559"/>
    </row>
    <row r="396" spans="1:31" ht="18" customHeight="1" x14ac:dyDescent="0.35">
      <c r="A396" s="559"/>
      <c r="B396" s="559"/>
      <c r="C396" s="559"/>
      <c r="D396" s="559"/>
      <c r="E396" s="559"/>
      <c r="F396" s="559"/>
      <c r="G396" s="559"/>
      <c r="H396" s="559"/>
      <c r="I396" s="559"/>
      <c r="J396" s="559"/>
      <c r="K396" s="559"/>
      <c r="L396" s="559"/>
      <c r="M396" s="559"/>
      <c r="N396" s="559"/>
      <c r="O396" s="559"/>
      <c r="P396" s="559"/>
      <c r="Q396" s="559"/>
      <c r="R396" s="559"/>
      <c r="S396" s="559"/>
      <c r="T396" s="559"/>
      <c r="U396" s="559"/>
      <c r="V396" s="559"/>
      <c r="W396" s="559"/>
      <c r="X396" s="559"/>
      <c r="Y396" s="559"/>
      <c r="Z396" s="559"/>
      <c r="AA396" s="559"/>
      <c r="AB396" s="559"/>
      <c r="AC396" s="559"/>
      <c r="AD396" s="559"/>
      <c r="AE396" s="559"/>
    </row>
    <row r="397" spans="1:31" ht="18" customHeight="1" x14ac:dyDescent="0.35">
      <c r="A397" s="559"/>
      <c r="B397" s="559"/>
      <c r="C397" s="559"/>
      <c r="D397" s="559"/>
      <c r="E397" s="559"/>
      <c r="F397" s="559"/>
      <c r="G397" s="559"/>
      <c r="H397" s="559"/>
      <c r="I397" s="559"/>
      <c r="J397" s="559"/>
      <c r="K397" s="559"/>
      <c r="L397" s="559"/>
      <c r="M397" s="559"/>
      <c r="N397" s="559"/>
      <c r="O397" s="559"/>
      <c r="P397" s="559"/>
      <c r="Q397" s="559"/>
      <c r="R397" s="559"/>
      <c r="S397" s="559"/>
      <c r="T397" s="559"/>
      <c r="U397" s="559"/>
      <c r="V397" s="559"/>
      <c r="W397" s="559"/>
      <c r="X397" s="559"/>
      <c r="Y397" s="559"/>
      <c r="Z397" s="559"/>
      <c r="AA397" s="559"/>
      <c r="AB397" s="559"/>
      <c r="AC397" s="559"/>
      <c r="AD397" s="559"/>
      <c r="AE397" s="559"/>
    </row>
    <row r="398" spans="1:31" ht="18" customHeight="1" x14ac:dyDescent="0.35">
      <c r="A398" s="559"/>
      <c r="B398" s="559"/>
      <c r="C398" s="559"/>
      <c r="D398" s="559"/>
      <c r="E398" s="559"/>
      <c r="F398" s="559"/>
      <c r="G398" s="559"/>
      <c r="H398" s="559"/>
      <c r="I398" s="559"/>
      <c r="J398" s="559"/>
      <c r="K398" s="559"/>
      <c r="L398" s="559"/>
      <c r="M398" s="559"/>
      <c r="N398" s="559"/>
      <c r="O398" s="559"/>
      <c r="P398" s="559"/>
      <c r="Q398" s="559"/>
      <c r="R398" s="559"/>
      <c r="S398" s="559"/>
      <c r="T398" s="559"/>
      <c r="U398" s="559"/>
      <c r="V398" s="559"/>
      <c r="W398" s="559"/>
      <c r="X398" s="559"/>
      <c r="Y398" s="559"/>
      <c r="Z398" s="559"/>
      <c r="AA398" s="559"/>
      <c r="AB398" s="559"/>
      <c r="AC398" s="559"/>
      <c r="AD398" s="559"/>
      <c r="AE398" s="559"/>
    </row>
    <row r="399" spans="1:31" ht="18" customHeight="1" x14ac:dyDescent="0.35">
      <c r="A399" s="559"/>
      <c r="B399" s="559"/>
      <c r="C399" s="559"/>
      <c r="D399" s="559"/>
      <c r="E399" s="559"/>
      <c r="F399" s="559"/>
      <c r="G399" s="559"/>
      <c r="H399" s="559"/>
      <c r="I399" s="559"/>
      <c r="J399" s="559"/>
      <c r="K399" s="559"/>
      <c r="L399" s="559"/>
      <c r="M399" s="559"/>
      <c r="N399" s="559"/>
      <c r="O399" s="559"/>
      <c r="P399" s="559"/>
      <c r="Q399" s="559"/>
      <c r="R399" s="559"/>
      <c r="S399" s="559"/>
      <c r="T399" s="559"/>
      <c r="U399" s="559"/>
      <c r="V399" s="559"/>
      <c r="W399" s="559"/>
      <c r="X399" s="559"/>
      <c r="Y399" s="559"/>
      <c r="Z399" s="559"/>
      <c r="AA399" s="559"/>
      <c r="AB399" s="559"/>
      <c r="AC399" s="559"/>
      <c r="AD399" s="559"/>
      <c r="AE399" s="559"/>
    </row>
    <row r="400" spans="1:31" ht="18" customHeight="1" x14ac:dyDescent="0.35">
      <c r="A400" s="559"/>
      <c r="B400" s="559"/>
      <c r="C400" s="559"/>
      <c r="D400" s="559"/>
      <c r="E400" s="559"/>
      <c r="F400" s="559"/>
      <c r="G400" s="559"/>
      <c r="H400" s="559"/>
      <c r="I400" s="559"/>
      <c r="J400" s="559"/>
      <c r="K400" s="559"/>
      <c r="L400" s="559"/>
      <c r="M400" s="559"/>
      <c r="N400" s="559"/>
      <c r="O400" s="559"/>
      <c r="P400" s="559"/>
      <c r="Q400" s="559"/>
      <c r="R400" s="559"/>
      <c r="S400" s="559"/>
      <c r="T400" s="559"/>
      <c r="U400" s="559"/>
      <c r="V400" s="559"/>
      <c r="W400" s="559"/>
      <c r="X400" s="559"/>
      <c r="Y400" s="559"/>
      <c r="Z400" s="559"/>
      <c r="AA400" s="559"/>
      <c r="AB400" s="559"/>
      <c r="AC400" s="559"/>
      <c r="AD400" s="559"/>
      <c r="AE400" s="559"/>
    </row>
    <row r="401" spans="1:31" ht="18" customHeight="1" x14ac:dyDescent="0.35">
      <c r="A401" s="559"/>
      <c r="B401" s="559"/>
      <c r="C401" s="559"/>
      <c r="D401" s="559"/>
      <c r="E401" s="559"/>
      <c r="F401" s="559"/>
      <c r="G401" s="559"/>
      <c r="H401" s="559"/>
      <c r="I401" s="559"/>
      <c r="J401" s="559"/>
      <c r="K401" s="559"/>
      <c r="L401" s="559"/>
      <c r="M401" s="559"/>
      <c r="N401" s="559"/>
      <c r="O401" s="559"/>
      <c r="P401" s="559"/>
      <c r="Q401" s="559"/>
      <c r="R401" s="559"/>
      <c r="S401" s="559"/>
      <c r="T401" s="559"/>
      <c r="U401" s="559"/>
      <c r="V401" s="559"/>
      <c r="W401" s="559"/>
      <c r="X401" s="559"/>
      <c r="Y401" s="559"/>
      <c r="Z401" s="559"/>
      <c r="AA401" s="559"/>
      <c r="AB401" s="559"/>
      <c r="AC401" s="559"/>
      <c r="AD401" s="559"/>
      <c r="AE401" s="559"/>
    </row>
    <row r="402" spans="1:31" ht="18" customHeight="1" x14ac:dyDescent="0.35">
      <c r="A402" s="559"/>
      <c r="B402" s="559"/>
      <c r="C402" s="559"/>
      <c r="D402" s="559"/>
      <c r="E402" s="559"/>
      <c r="F402" s="559"/>
      <c r="G402" s="559"/>
      <c r="H402" s="559"/>
      <c r="I402" s="559"/>
      <c r="J402" s="559"/>
      <c r="K402" s="559"/>
      <c r="L402" s="559"/>
      <c r="M402" s="559"/>
      <c r="N402" s="559"/>
      <c r="O402" s="559"/>
      <c r="P402" s="559"/>
      <c r="Q402" s="559"/>
      <c r="R402" s="559"/>
      <c r="S402" s="559"/>
      <c r="T402" s="559"/>
      <c r="U402" s="559"/>
      <c r="V402" s="559"/>
      <c r="W402" s="559"/>
      <c r="X402" s="559"/>
      <c r="Y402" s="559"/>
      <c r="Z402" s="559"/>
      <c r="AA402" s="559"/>
      <c r="AB402" s="559"/>
      <c r="AC402" s="559"/>
      <c r="AD402" s="559"/>
      <c r="AE402" s="559"/>
    </row>
    <row r="403" spans="1:31" ht="18" customHeight="1" x14ac:dyDescent="0.35">
      <c r="A403" s="559"/>
      <c r="B403" s="559"/>
      <c r="C403" s="559"/>
      <c r="D403" s="559"/>
      <c r="E403" s="559"/>
      <c r="F403" s="559"/>
      <c r="G403" s="559"/>
      <c r="H403" s="559"/>
      <c r="I403" s="559"/>
      <c r="J403" s="559"/>
      <c r="K403" s="559"/>
      <c r="L403" s="559"/>
      <c r="M403" s="559"/>
      <c r="N403" s="559"/>
      <c r="O403" s="559"/>
      <c r="P403" s="559"/>
      <c r="Q403" s="559"/>
      <c r="R403" s="559"/>
      <c r="S403" s="559"/>
      <c r="T403" s="559"/>
      <c r="U403" s="559"/>
      <c r="V403" s="559"/>
      <c r="W403" s="559"/>
      <c r="X403" s="559"/>
      <c r="Y403" s="559"/>
      <c r="Z403" s="559"/>
      <c r="AA403" s="559"/>
      <c r="AB403" s="559"/>
      <c r="AC403" s="559"/>
      <c r="AD403" s="559"/>
      <c r="AE403" s="559"/>
    </row>
    <row r="404" spans="1:31" ht="18" customHeight="1" x14ac:dyDescent="0.35">
      <c r="A404" s="559"/>
      <c r="B404" s="559"/>
      <c r="C404" s="559"/>
      <c r="D404" s="559"/>
      <c r="E404" s="559"/>
      <c r="F404" s="559"/>
      <c r="G404" s="559"/>
      <c r="H404" s="559"/>
      <c r="I404" s="559"/>
      <c r="J404" s="559"/>
      <c r="K404" s="559"/>
      <c r="L404" s="559"/>
      <c r="M404" s="559"/>
      <c r="N404" s="559"/>
      <c r="O404" s="559"/>
      <c r="P404" s="559"/>
      <c r="Q404" s="559"/>
      <c r="R404" s="559"/>
      <c r="S404" s="559"/>
      <c r="T404" s="559"/>
      <c r="U404" s="559"/>
      <c r="V404" s="559"/>
      <c r="W404" s="559"/>
      <c r="X404" s="559"/>
      <c r="Y404" s="559"/>
      <c r="Z404" s="559"/>
      <c r="AA404" s="559"/>
      <c r="AB404" s="559"/>
      <c r="AC404" s="559"/>
      <c r="AD404" s="559"/>
      <c r="AE404" s="559"/>
    </row>
    <row r="405" spans="1:31" ht="18" customHeight="1" x14ac:dyDescent="0.35">
      <c r="A405" s="559"/>
      <c r="B405" s="559"/>
      <c r="C405" s="559"/>
      <c r="D405" s="559"/>
      <c r="E405" s="559"/>
      <c r="F405" s="559"/>
      <c r="G405" s="559"/>
      <c r="H405" s="559"/>
      <c r="I405" s="559"/>
      <c r="J405" s="559"/>
      <c r="K405" s="559"/>
      <c r="L405" s="559"/>
      <c r="M405" s="559"/>
      <c r="N405" s="559"/>
      <c r="O405" s="559"/>
      <c r="P405" s="559"/>
      <c r="Q405" s="559"/>
      <c r="R405" s="559"/>
      <c r="S405" s="559"/>
      <c r="T405" s="559"/>
      <c r="U405" s="559"/>
      <c r="V405" s="559"/>
      <c r="W405" s="559"/>
      <c r="X405" s="559"/>
      <c r="Y405" s="559"/>
      <c r="Z405" s="559"/>
      <c r="AA405" s="559"/>
      <c r="AB405" s="559"/>
      <c r="AC405" s="559"/>
      <c r="AD405" s="559"/>
      <c r="AE405" s="559"/>
    </row>
    <row r="406" spans="1:31" ht="18" customHeight="1" x14ac:dyDescent="0.35">
      <c r="A406" s="559"/>
      <c r="B406" s="559"/>
      <c r="C406" s="559"/>
      <c r="D406" s="559"/>
      <c r="E406" s="559"/>
      <c r="F406" s="559"/>
      <c r="G406" s="559"/>
      <c r="H406" s="559"/>
      <c r="I406" s="559"/>
      <c r="J406" s="559"/>
      <c r="K406" s="559"/>
      <c r="L406" s="559"/>
      <c r="M406" s="559"/>
      <c r="N406" s="559"/>
      <c r="O406" s="559"/>
      <c r="P406" s="559"/>
      <c r="Q406" s="559"/>
      <c r="R406" s="559"/>
      <c r="S406" s="559"/>
      <c r="T406" s="559"/>
      <c r="U406" s="559"/>
      <c r="V406" s="559"/>
      <c r="W406" s="559"/>
      <c r="X406" s="559"/>
      <c r="Y406" s="559"/>
      <c r="Z406" s="559"/>
      <c r="AA406" s="559"/>
      <c r="AB406" s="559"/>
      <c r="AC406" s="559"/>
      <c r="AD406" s="559"/>
      <c r="AE406" s="559"/>
    </row>
    <row r="407" spans="1:31" ht="18" customHeight="1" x14ac:dyDescent="0.35">
      <c r="A407" s="559"/>
      <c r="B407" s="559"/>
      <c r="C407" s="559"/>
      <c r="D407" s="559"/>
      <c r="E407" s="559"/>
      <c r="F407" s="559"/>
      <c r="G407" s="559"/>
      <c r="H407" s="559"/>
      <c r="I407" s="559"/>
      <c r="J407" s="559"/>
      <c r="K407" s="559"/>
      <c r="L407" s="559"/>
      <c r="M407" s="559"/>
      <c r="N407" s="559"/>
      <c r="O407" s="559"/>
      <c r="P407" s="559"/>
      <c r="Q407" s="559"/>
      <c r="R407" s="559"/>
      <c r="S407" s="559"/>
      <c r="T407" s="559"/>
      <c r="U407" s="559"/>
      <c r="V407" s="559"/>
      <c r="W407" s="559"/>
      <c r="X407" s="559"/>
      <c r="Y407" s="559"/>
      <c r="Z407" s="559"/>
      <c r="AA407" s="559"/>
      <c r="AB407" s="559"/>
      <c r="AC407" s="559"/>
      <c r="AD407" s="559"/>
      <c r="AE407" s="559"/>
    </row>
    <row r="408" spans="1:31" ht="18" customHeight="1" x14ac:dyDescent="0.35">
      <c r="A408" s="559"/>
      <c r="B408" s="559"/>
      <c r="C408" s="559"/>
      <c r="D408" s="559"/>
      <c r="E408" s="559"/>
      <c r="F408" s="559"/>
      <c r="G408" s="559"/>
      <c r="H408" s="559"/>
      <c r="I408" s="559"/>
      <c r="J408" s="559"/>
      <c r="K408" s="559"/>
      <c r="L408" s="559"/>
      <c r="M408" s="559"/>
      <c r="N408" s="559"/>
      <c r="O408" s="559"/>
      <c r="P408" s="559"/>
      <c r="Q408" s="559"/>
      <c r="R408" s="559"/>
      <c r="S408" s="559"/>
      <c r="T408" s="559"/>
      <c r="U408" s="559"/>
      <c r="V408" s="559"/>
      <c r="W408" s="559"/>
      <c r="X408" s="559"/>
      <c r="Y408" s="559"/>
      <c r="Z408" s="559"/>
      <c r="AA408" s="559"/>
      <c r="AB408" s="559"/>
      <c r="AC408" s="559"/>
      <c r="AD408" s="559"/>
      <c r="AE408" s="559"/>
    </row>
    <row r="409" spans="1:31" ht="18" customHeight="1" x14ac:dyDescent="0.35">
      <c r="A409" s="559"/>
      <c r="B409" s="559"/>
      <c r="C409" s="559"/>
      <c r="D409" s="559"/>
      <c r="E409" s="559"/>
      <c r="F409" s="559"/>
      <c r="G409" s="559"/>
      <c r="H409" s="559"/>
      <c r="I409" s="559"/>
      <c r="J409" s="559"/>
      <c r="K409" s="559"/>
      <c r="L409" s="559"/>
      <c r="M409" s="559"/>
      <c r="N409" s="559"/>
      <c r="O409" s="559"/>
      <c r="P409" s="559"/>
      <c r="Q409" s="559"/>
      <c r="R409" s="559"/>
      <c r="S409" s="559"/>
      <c r="T409" s="559"/>
      <c r="U409" s="559"/>
      <c r="V409" s="559"/>
      <c r="W409" s="559"/>
      <c r="X409" s="559"/>
      <c r="Y409" s="559"/>
      <c r="Z409" s="559"/>
      <c r="AA409" s="559"/>
      <c r="AB409" s="559"/>
      <c r="AC409" s="559"/>
      <c r="AD409" s="559"/>
      <c r="AE409" s="559"/>
    </row>
    <row r="410" spans="1:31" ht="18" customHeight="1" x14ac:dyDescent="0.35">
      <c r="A410" s="559"/>
      <c r="B410" s="559"/>
      <c r="C410" s="559"/>
      <c r="D410" s="559"/>
      <c r="E410" s="559"/>
      <c r="F410" s="559"/>
      <c r="G410" s="559"/>
      <c r="H410" s="559"/>
      <c r="I410" s="559"/>
      <c r="J410" s="559"/>
      <c r="K410" s="559"/>
      <c r="L410" s="559"/>
      <c r="M410" s="559"/>
      <c r="N410" s="559"/>
      <c r="O410" s="559"/>
      <c r="P410" s="559"/>
      <c r="Q410" s="559"/>
      <c r="R410" s="559"/>
      <c r="S410" s="559"/>
      <c r="T410" s="559"/>
      <c r="U410" s="559"/>
      <c r="V410" s="559"/>
      <c r="W410" s="559"/>
      <c r="X410" s="559"/>
      <c r="Y410" s="559"/>
      <c r="Z410" s="559"/>
      <c r="AA410" s="559"/>
      <c r="AB410" s="559"/>
      <c r="AC410" s="559"/>
      <c r="AD410" s="559"/>
      <c r="AE410" s="559"/>
    </row>
    <row r="411" spans="1:31" ht="18" customHeight="1" x14ac:dyDescent="0.35">
      <c r="A411" s="559"/>
      <c r="B411" s="559"/>
      <c r="C411" s="559"/>
      <c r="D411" s="559"/>
      <c r="E411" s="559"/>
      <c r="F411" s="559"/>
      <c r="G411" s="559"/>
      <c r="H411" s="559"/>
      <c r="I411" s="559"/>
      <c r="J411" s="559"/>
      <c r="K411" s="559"/>
      <c r="L411" s="559"/>
      <c r="M411" s="559"/>
      <c r="N411" s="559"/>
      <c r="O411" s="559"/>
      <c r="P411" s="559"/>
      <c r="Q411" s="559"/>
      <c r="R411" s="559"/>
      <c r="S411" s="559"/>
      <c r="T411" s="559"/>
      <c r="U411" s="559"/>
      <c r="V411" s="559"/>
      <c r="W411" s="559"/>
      <c r="X411" s="559"/>
      <c r="Y411" s="559"/>
      <c r="Z411" s="559"/>
      <c r="AA411" s="559"/>
      <c r="AB411" s="559"/>
      <c r="AC411" s="559"/>
      <c r="AD411" s="559"/>
      <c r="AE411" s="559"/>
    </row>
    <row r="412" spans="1:31" ht="18" customHeight="1" x14ac:dyDescent="0.35">
      <c r="A412" s="559"/>
      <c r="B412" s="559"/>
      <c r="C412" s="559"/>
      <c r="D412" s="559"/>
      <c r="E412" s="559"/>
      <c r="F412" s="559"/>
      <c r="G412" s="559"/>
      <c r="H412" s="559"/>
      <c r="I412" s="559"/>
      <c r="J412" s="559"/>
      <c r="K412" s="559"/>
      <c r="L412" s="559"/>
      <c r="M412" s="559"/>
      <c r="N412" s="559"/>
      <c r="O412" s="559"/>
      <c r="P412" s="559"/>
      <c r="Q412" s="559"/>
      <c r="R412" s="559"/>
      <c r="S412" s="559"/>
      <c r="T412" s="559"/>
      <c r="U412" s="559"/>
      <c r="V412" s="559"/>
      <c r="W412" s="559"/>
      <c r="X412" s="559"/>
      <c r="Y412" s="559"/>
      <c r="Z412" s="559"/>
      <c r="AA412" s="559"/>
      <c r="AB412" s="559"/>
      <c r="AC412" s="559"/>
      <c r="AD412" s="559"/>
      <c r="AE412" s="559"/>
    </row>
    <row r="413" spans="1:31" ht="18" customHeight="1" x14ac:dyDescent="0.35">
      <c r="A413" s="559"/>
      <c r="B413" s="559"/>
      <c r="C413" s="559"/>
      <c r="D413" s="559"/>
      <c r="E413" s="559"/>
      <c r="F413" s="559"/>
      <c r="G413" s="559"/>
      <c r="H413" s="559"/>
      <c r="I413" s="559"/>
      <c r="J413" s="559"/>
      <c r="K413" s="559"/>
      <c r="L413" s="559"/>
      <c r="M413" s="559"/>
      <c r="N413" s="559"/>
      <c r="O413" s="559"/>
      <c r="P413" s="559"/>
      <c r="Q413" s="559"/>
      <c r="R413" s="559"/>
      <c r="S413" s="559"/>
      <c r="T413" s="559"/>
      <c r="U413" s="559"/>
      <c r="V413" s="559"/>
      <c r="W413" s="559"/>
      <c r="X413" s="559"/>
      <c r="Y413" s="559"/>
      <c r="Z413" s="559"/>
      <c r="AA413" s="559"/>
      <c r="AB413" s="559"/>
      <c r="AC413" s="559"/>
      <c r="AD413" s="559"/>
      <c r="AE413" s="559"/>
    </row>
    <row r="414" spans="1:31" ht="18" customHeight="1" x14ac:dyDescent="0.35">
      <c r="A414" s="559"/>
      <c r="B414" s="559"/>
      <c r="C414" s="559"/>
      <c r="D414" s="559"/>
      <c r="E414" s="559"/>
      <c r="F414" s="559"/>
      <c r="G414" s="559"/>
      <c r="H414" s="559"/>
      <c r="I414" s="559"/>
      <c r="J414" s="559"/>
      <c r="K414" s="559"/>
      <c r="L414" s="559"/>
      <c r="M414" s="559"/>
      <c r="N414" s="559"/>
      <c r="O414" s="559"/>
      <c r="P414" s="559"/>
      <c r="Q414" s="559"/>
      <c r="R414" s="559"/>
      <c r="S414" s="559"/>
      <c r="T414" s="559"/>
      <c r="U414" s="559"/>
      <c r="V414" s="559"/>
      <c r="W414" s="559"/>
      <c r="X414" s="559"/>
      <c r="Y414" s="559"/>
      <c r="Z414" s="559"/>
      <c r="AA414" s="559"/>
      <c r="AB414" s="559"/>
      <c r="AC414" s="559"/>
      <c r="AD414" s="559"/>
      <c r="AE414" s="559"/>
    </row>
    <row r="415" spans="1:31" ht="18" customHeight="1" x14ac:dyDescent="0.35">
      <c r="A415" s="559"/>
      <c r="B415" s="559"/>
      <c r="C415" s="559"/>
      <c r="D415" s="559"/>
      <c r="E415" s="559"/>
      <c r="F415" s="559"/>
      <c r="G415" s="559"/>
      <c r="H415" s="559"/>
      <c r="I415" s="559"/>
      <c r="J415" s="559"/>
      <c r="K415" s="559"/>
      <c r="L415" s="559"/>
      <c r="M415" s="559"/>
      <c r="N415" s="559"/>
      <c r="O415" s="559"/>
      <c r="P415" s="559"/>
      <c r="Q415" s="559"/>
      <c r="R415" s="559"/>
      <c r="S415" s="559"/>
      <c r="T415" s="559"/>
      <c r="U415" s="559"/>
      <c r="V415" s="559"/>
      <c r="W415" s="559"/>
      <c r="X415" s="559"/>
      <c r="Y415" s="559"/>
      <c r="Z415" s="559"/>
      <c r="AA415" s="559"/>
      <c r="AB415" s="559"/>
      <c r="AC415" s="559"/>
      <c r="AD415" s="559"/>
      <c r="AE415" s="559"/>
    </row>
    <row r="416" spans="1:31" ht="18" customHeight="1" x14ac:dyDescent="0.35">
      <c r="A416" s="559"/>
      <c r="B416" s="559"/>
      <c r="C416" s="559"/>
      <c r="D416" s="559"/>
      <c r="E416" s="559"/>
      <c r="F416" s="559"/>
      <c r="G416" s="559"/>
      <c r="H416" s="559"/>
      <c r="I416" s="559"/>
      <c r="J416" s="559"/>
      <c r="K416" s="559"/>
      <c r="L416" s="559"/>
      <c r="M416" s="559"/>
      <c r="N416" s="559"/>
      <c r="O416" s="559"/>
      <c r="P416" s="559"/>
      <c r="Q416" s="559"/>
      <c r="R416" s="559"/>
      <c r="S416" s="559"/>
      <c r="T416" s="559"/>
      <c r="U416" s="559"/>
      <c r="V416" s="559"/>
      <c r="W416" s="559"/>
      <c r="X416" s="559"/>
      <c r="Y416" s="559"/>
      <c r="Z416" s="559"/>
      <c r="AA416" s="559"/>
      <c r="AB416" s="559"/>
      <c r="AC416" s="559"/>
      <c r="AD416" s="559"/>
      <c r="AE416" s="559"/>
    </row>
    <row r="417" spans="1:31" ht="18" customHeight="1" x14ac:dyDescent="0.35">
      <c r="A417" s="559"/>
      <c r="B417" s="559"/>
      <c r="C417" s="559"/>
      <c r="D417" s="559"/>
      <c r="E417" s="559"/>
      <c r="F417" s="559"/>
      <c r="G417" s="559"/>
      <c r="H417" s="559"/>
      <c r="I417" s="559"/>
      <c r="J417" s="559"/>
      <c r="K417" s="559"/>
      <c r="L417" s="559"/>
      <c r="M417" s="559"/>
      <c r="N417" s="559"/>
      <c r="O417" s="559"/>
      <c r="P417" s="559"/>
      <c r="Q417" s="559"/>
      <c r="R417" s="559"/>
      <c r="S417" s="559"/>
      <c r="T417" s="559"/>
      <c r="U417" s="559"/>
      <c r="V417" s="559"/>
      <c r="W417" s="559"/>
      <c r="X417" s="559"/>
      <c r="Y417" s="559"/>
      <c r="Z417" s="559"/>
      <c r="AA417" s="559"/>
      <c r="AB417" s="559"/>
      <c r="AC417" s="559"/>
      <c r="AD417" s="559"/>
      <c r="AE417" s="559"/>
    </row>
    <row r="418" spans="1:31" ht="18" customHeight="1" x14ac:dyDescent="0.35">
      <c r="A418" s="559"/>
      <c r="B418" s="559"/>
      <c r="C418" s="559"/>
      <c r="D418" s="559"/>
      <c r="E418" s="559"/>
      <c r="F418" s="559"/>
      <c r="G418" s="559"/>
      <c r="H418" s="559"/>
      <c r="I418" s="559"/>
      <c r="J418" s="559"/>
      <c r="K418" s="559"/>
      <c r="L418" s="559"/>
      <c r="M418" s="559"/>
      <c r="N418" s="559"/>
      <c r="O418" s="559"/>
      <c r="P418" s="559"/>
      <c r="Q418" s="559"/>
      <c r="R418" s="559"/>
      <c r="S418" s="559"/>
      <c r="T418" s="559"/>
      <c r="U418" s="559"/>
      <c r="V418" s="559"/>
      <c r="W418" s="559"/>
      <c r="X418" s="559"/>
      <c r="Y418" s="559"/>
      <c r="Z418" s="559"/>
      <c r="AA418" s="559"/>
      <c r="AB418" s="559"/>
      <c r="AC418" s="559"/>
      <c r="AD418" s="559"/>
      <c r="AE418" s="559"/>
    </row>
    <row r="419" spans="1:31" ht="18" customHeight="1" x14ac:dyDescent="0.35">
      <c r="A419" s="559"/>
      <c r="B419" s="559"/>
      <c r="C419" s="559"/>
      <c r="D419" s="559"/>
      <c r="E419" s="559"/>
      <c r="F419" s="559"/>
      <c r="G419" s="559"/>
      <c r="H419" s="559"/>
      <c r="I419" s="559"/>
      <c r="J419" s="559"/>
      <c r="K419" s="559"/>
      <c r="L419" s="559"/>
      <c r="M419" s="559"/>
      <c r="N419" s="559"/>
      <c r="O419" s="559"/>
      <c r="P419" s="559"/>
      <c r="Q419" s="559"/>
      <c r="R419" s="559"/>
      <c r="S419" s="559"/>
      <c r="T419" s="559"/>
      <c r="U419" s="559"/>
      <c r="V419" s="559"/>
      <c r="W419" s="559"/>
      <c r="X419" s="559"/>
      <c r="Y419" s="559"/>
      <c r="Z419" s="559"/>
      <c r="AA419" s="559"/>
      <c r="AB419" s="559"/>
      <c r="AC419" s="559"/>
      <c r="AD419" s="559"/>
      <c r="AE419" s="559"/>
    </row>
    <row r="420" spans="1:31" ht="18" customHeight="1" x14ac:dyDescent="0.35">
      <c r="A420" s="559"/>
      <c r="B420" s="559"/>
      <c r="C420" s="559"/>
      <c r="D420" s="559"/>
      <c r="E420" s="559"/>
      <c r="F420" s="559"/>
      <c r="G420" s="559"/>
      <c r="H420" s="559"/>
      <c r="I420" s="559"/>
      <c r="J420" s="559"/>
      <c r="K420" s="559"/>
      <c r="L420" s="559"/>
      <c r="M420" s="559"/>
      <c r="N420" s="559"/>
      <c r="O420" s="559"/>
      <c r="P420" s="559"/>
      <c r="Q420" s="559"/>
      <c r="R420" s="559"/>
      <c r="S420" s="559"/>
      <c r="T420" s="559"/>
      <c r="U420" s="559"/>
      <c r="V420" s="559"/>
      <c r="W420" s="559"/>
      <c r="X420" s="559"/>
      <c r="Y420" s="559"/>
      <c r="Z420" s="559"/>
      <c r="AA420" s="559"/>
      <c r="AB420" s="559"/>
      <c r="AC420" s="559"/>
      <c r="AD420" s="559"/>
      <c r="AE420" s="559"/>
    </row>
    <row r="421" spans="1:31" ht="18" customHeight="1" x14ac:dyDescent="0.35">
      <c r="A421" s="559"/>
      <c r="B421" s="559"/>
      <c r="C421" s="559"/>
      <c r="D421" s="559"/>
      <c r="E421" s="559"/>
      <c r="F421" s="559"/>
      <c r="G421" s="559"/>
      <c r="H421" s="559"/>
      <c r="I421" s="559"/>
      <c r="J421" s="559"/>
      <c r="K421" s="559"/>
      <c r="L421" s="559"/>
      <c r="M421" s="559"/>
      <c r="N421" s="559"/>
      <c r="O421" s="559"/>
      <c r="P421" s="559"/>
      <c r="Q421" s="559"/>
      <c r="R421" s="559"/>
      <c r="S421" s="559"/>
      <c r="T421" s="559"/>
      <c r="U421" s="559"/>
      <c r="V421" s="559"/>
      <c r="W421" s="559"/>
      <c r="X421" s="559"/>
      <c r="Y421" s="559"/>
      <c r="Z421" s="559"/>
      <c r="AA421" s="559"/>
      <c r="AB421" s="559"/>
      <c r="AC421" s="559"/>
      <c r="AD421" s="559"/>
      <c r="AE421" s="559"/>
    </row>
    <row r="422" spans="1:31" ht="18" customHeight="1" x14ac:dyDescent="0.35">
      <c r="A422" s="559"/>
      <c r="B422" s="559"/>
      <c r="C422" s="559"/>
      <c r="D422" s="559"/>
      <c r="E422" s="559"/>
      <c r="F422" s="559"/>
      <c r="G422" s="559"/>
      <c r="H422" s="559"/>
      <c r="I422" s="559"/>
      <c r="J422" s="559"/>
      <c r="K422" s="559"/>
      <c r="L422" s="559"/>
      <c r="M422" s="559"/>
      <c r="N422" s="559"/>
      <c r="O422" s="559"/>
      <c r="P422" s="559"/>
      <c r="Q422" s="559"/>
      <c r="R422" s="559"/>
      <c r="S422" s="559"/>
      <c r="T422" s="559"/>
      <c r="U422" s="559"/>
      <c r="V422" s="559"/>
      <c r="W422" s="559"/>
      <c r="X422" s="559"/>
      <c r="Y422" s="559"/>
      <c r="Z422" s="559"/>
      <c r="AA422" s="559"/>
      <c r="AB422" s="559"/>
      <c r="AC422" s="559"/>
      <c r="AD422" s="559"/>
      <c r="AE422" s="559"/>
    </row>
    <row r="423" spans="1:31" ht="18" customHeight="1" x14ac:dyDescent="0.35">
      <c r="A423" s="559"/>
      <c r="B423" s="559"/>
      <c r="C423" s="559"/>
      <c r="D423" s="559"/>
      <c r="E423" s="559"/>
      <c r="F423" s="559"/>
      <c r="G423" s="559"/>
      <c r="H423" s="559"/>
      <c r="I423" s="559"/>
      <c r="J423" s="559"/>
      <c r="K423" s="559"/>
      <c r="L423" s="559"/>
      <c r="M423" s="559"/>
      <c r="N423" s="559"/>
      <c r="O423" s="559"/>
      <c r="P423" s="559"/>
      <c r="Q423" s="559"/>
      <c r="R423" s="559"/>
      <c r="S423" s="559"/>
      <c r="T423" s="559"/>
      <c r="U423" s="559"/>
      <c r="V423" s="559"/>
      <c r="W423" s="559"/>
      <c r="X423" s="559"/>
      <c r="Y423" s="559"/>
      <c r="Z423" s="559"/>
      <c r="AA423" s="559"/>
      <c r="AB423" s="559"/>
      <c r="AC423" s="559"/>
      <c r="AD423" s="559"/>
      <c r="AE423" s="559"/>
    </row>
    <row r="424" spans="1:31" ht="18" customHeight="1" x14ac:dyDescent="0.35">
      <c r="A424" s="559"/>
      <c r="B424" s="559"/>
      <c r="C424" s="559"/>
      <c r="D424" s="559"/>
      <c r="E424" s="559"/>
      <c r="F424" s="559"/>
      <c r="G424" s="559"/>
      <c r="H424" s="559"/>
      <c r="I424" s="559"/>
      <c r="J424" s="559"/>
      <c r="K424" s="559"/>
      <c r="L424" s="559"/>
      <c r="M424" s="559"/>
      <c r="N424" s="559"/>
      <c r="O424" s="559"/>
      <c r="P424" s="559"/>
      <c r="Q424" s="559"/>
      <c r="R424" s="559"/>
      <c r="S424" s="559"/>
      <c r="T424" s="559"/>
      <c r="U424" s="559"/>
      <c r="V424" s="559"/>
      <c r="W424" s="559"/>
      <c r="X424" s="559"/>
      <c r="Y424" s="559"/>
      <c r="Z424" s="559"/>
      <c r="AA424" s="559"/>
      <c r="AB424" s="559"/>
      <c r="AC424" s="559"/>
      <c r="AD424" s="559"/>
      <c r="AE424" s="559"/>
    </row>
    <row r="425" spans="1:31" ht="18" customHeight="1" x14ac:dyDescent="0.35">
      <c r="A425" s="559"/>
      <c r="B425" s="559"/>
      <c r="C425" s="559"/>
      <c r="D425" s="559"/>
      <c r="E425" s="559"/>
      <c r="F425" s="559"/>
      <c r="G425" s="559"/>
      <c r="H425" s="559"/>
      <c r="I425" s="559"/>
      <c r="J425" s="559"/>
      <c r="K425" s="559"/>
      <c r="L425" s="559"/>
      <c r="M425" s="559"/>
      <c r="N425" s="559"/>
      <c r="O425" s="559"/>
      <c r="P425" s="559"/>
      <c r="Q425" s="559"/>
      <c r="R425" s="559"/>
      <c r="S425" s="559"/>
      <c r="T425" s="559"/>
      <c r="U425" s="559"/>
      <c r="V425" s="559"/>
      <c r="W425" s="559"/>
      <c r="X425" s="559"/>
      <c r="Y425" s="559"/>
      <c r="Z425" s="559"/>
      <c r="AA425" s="559"/>
      <c r="AB425" s="559"/>
      <c r="AC425" s="559"/>
      <c r="AD425" s="559"/>
      <c r="AE425" s="559"/>
    </row>
    <row r="426" spans="1:31" ht="18" customHeight="1" x14ac:dyDescent="0.35">
      <c r="A426" s="559"/>
      <c r="B426" s="559"/>
      <c r="C426" s="559"/>
      <c r="D426" s="559"/>
      <c r="E426" s="559"/>
      <c r="F426" s="559"/>
      <c r="G426" s="559"/>
      <c r="H426" s="559"/>
      <c r="I426" s="559"/>
      <c r="J426" s="559"/>
      <c r="K426" s="559"/>
      <c r="L426" s="559"/>
      <c r="M426" s="559"/>
      <c r="N426" s="559"/>
      <c r="O426" s="559"/>
      <c r="P426" s="559"/>
      <c r="Q426" s="559"/>
      <c r="R426" s="559"/>
      <c r="S426" s="559"/>
      <c r="T426" s="559"/>
      <c r="U426" s="559"/>
      <c r="V426" s="559"/>
      <c r="W426" s="559"/>
      <c r="X426" s="559"/>
      <c r="Y426" s="559"/>
      <c r="Z426" s="559"/>
      <c r="AA426" s="559"/>
      <c r="AB426" s="559"/>
      <c r="AC426" s="559"/>
      <c r="AD426" s="559"/>
      <c r="AE426" s="559"/>
    </row>
    <row r="427" spans="1:31" ht="18" customHeight="1" x14ac:dyDescent="0.35">
      <c r="A427" s="559"/>
      <c r="B427" s="559"/>
      <c r="C427" s="559"/>
      <c r="D427" s="559"/>
      <c r="E427" s="559"/>
      <c r="F427" s="559"/>
      <c r="G427" s="559"/>
      <c r="H427" s="559"/>
      <c r="I427" s="559"/>
      <c r="J427" s="559"/>
      <c r="K427" s="559"/>
      <c r="L427" s="559"/>
      <c r="M427" s="559"/>
      <c r="N427" s="559"/>
      <c r="O427" s="559"/>
      <c r="P427" s="559"/>
      <c r="Q427" s="559"/>
      <c r="R427" s="559"/>
      <c r="S427" s="559"/>
      <c r="T427" s="559"/>
      <c r="U427" s="559"/>
      <c r="V427" s="559"/>
      <c r="W427" s="559"/>
      <c r="X427" s="559"/>
      <c r="Y427" s="559"/>
      <c r="Z427" s="559"/>
      <c r="AA427" s="559"/>
      <c r="AB427" s="559"/>
      <c r="AC427" s="559"/>
      <c r="AD427" s="559"/>
      <c r="AE427" s="559"/>
    </row>
    <row r="428" spans="1:31" ht="18" customHeight="1" x14ac:dyDescent="0.35">
      <c r="A428" s="559"/>
      <c r="B428" s="559"/>
      <c r="C428" s="559"/>
      <c r="D428" s="559"/>
      <c r="E428" s="559"/>
      <c r="F428" s="559"/>
      <c r="G428" s="559"/>
      <c r="H428" s="559"/>
      <c r="I428" s="559"/>
      <c r="J428" s="559"/>
      <c r="K428" s="559"/>
      <c r="L428" s="559"/>
      <c r="M428" s="559"/>
      <c r="N428" s="559"/>
      <c r="O428" s="559"/>
      <c r="P428" s="559"/>
      <c r="Q428" s="559"/>
      <c r="R428" s="559"/>
      <c r="S428" s="559"/>
      <c r="T428" s="559"/>
      <c r="U428" s="559"/>
      <c r="V428" s="559"/>
      <c r="W428" s="559"/>
      <c r="X428" s="559"/>
      <c r="Y428" s="559"/>
      <c r="Z428" s="559"/>
      <c r="AA428" s="559"/>
      <c r="AB428" s="559"/>
      <c r="AC428" s="559"/>
      <c r="AD428" s="559"/>
      <c r="AE428" s="559"/>
    </row>
    <row r="429" spans="1:31" ht="18" customHeight="1" x14ac:dyDescent="0.35">
      <c r="A429" s="559"/>
      <c r="B429" s="559"/>
      <c r="C429" s="559"/>
      <c r="D429" s="559"/>
      <c r="E429" s="559"/>
      <c r="F429" s="559"/>
      <c r="G429" s="559"/>
      <c r="H429" s="559"/>
      <c r="I429" s="559"/>
      <c r="J429" s="559"/>
      <c r="K429" s="559"/>
      <c r="L429" s="559"/>
      <c r="M429" s="559"/>
      <c r="N429" s="559"/>
      <c r="O429" s="559"/>
      <c r="P429" s="559"/>
      <c r="Q429" s="559"/>
      <c r="R429" s="559"/>
      <c r="S429" s="559"/>
      <c r="T429" s="559"/>
      <c r="U429" s="559"/>
      <c r="V429" s="559"/>
      <c r="W429" s="559"/>
      <c r="X429" s="559"/>
      <c r="Y429" s="559"/>
      <c r="Z429" s="559"/>
      <c r="AA429" s="559"/>
      <c r="AB429" s="559"/>
      <c r="AC429" s="559"/>
      <c r="AD429" s="559"/>
      <c r="AE429" s="559"/>
    </row>
    <row r="430" spans="1:31" ht="18" customHeight="1" x14ac:dyDescent="0.35">
      <c r="A430" s="559"/>
      <c r="B430" s="559"/>
      <c r="C430" s="559"/>
      <c r="D430" s="559"/>
      <c r="E430" s="559"/>
      <c r="F430" s="559"/>
      <c r="G430" s="559"/>
      <c r="H430" s="559"/>
      <c r="I430" s="559"/>
      <c r="J430" s="559"/>
      <c r="K430" s="559"/>
      <c r="L430" s="559"/>
      <c r="M430" s="559"/>
      <c r="N430" s="559"/>
      <c r="O430" s="559"/>
      <c r="P430" s="559"/>
      <c r="Q430" s="559"/>
      <c r="R430" s="559"/>
      <c r="S430" s="559"/>
      <c r="T430" s="559"/>
      <c r="U430" s="559"/>
      <c r="V430" s="559"/>
      <c r="W430" s="559"/>
      <c r="X430" s="559"/>
      <c r="Y430" s="559"/>
      <c r="Z430" s="559"/>
      <c r="AA430" s="559"/>
      <c r="AB430" s="559"/>
      <c r="AC430" s="559"/>
      <c r="AD430" s="559"/>
      <c r="AE430" s="559"/>
    </row>
    <row r="431" spans="1:31" ht="18" customHeight="1" x14ac:dyDescent="0.35">
      <c r="A431" s="559"/>
      <c r="B431" s="559"/>
      <c r="C431" s="559"/>
      <c r="D431" s="559"/>
      <c r="E431" s="559"/>
      <c r="F431" s="559"/>
      <c r="G431" s="559"/>
      <c r="H431" s="559"/>
      <c r="I431" s="559"/>
      <c r="J431" s="559"/>
      <c r="K431" s="559"/>
      <c r="L431" s="559"/>
      <c r="M431" s="559"/>
      <c r="N431" s="559"/>
      <c r="O431" s="559"/>
      <c r="P431" s="559"/>
      <c r="Q431" s="559"/>
      <c r="R431" s="559"/>
      <c r="S431" s="559"/>
      <c r="T431" s="559"/>
      <c r="U431" s="559"/>
      <c r="V431" s="559"/>
      <c r="W431" s="559"/>
      <c r="X431" s="559"/>
      <c r="Y431" s="559"/>
      <c r="Z431" s="559"/>
      <c r="AA431" s="559"/>
      <c r="AB431" s="559"/>
      <c r="AC431" s="559"/>
      <c r="AD431" s="559"/>
      <c r="AE431" s="559"/>
    </row>
    <row r="432" spans="1:31" ht="18" customHeight="1" x14ac:dyDescent="0.35">
      <c r="A432" s="559"/>
      <c r="B432" s="559"/>
      <c r="C432" s="559"/>
      <c r="D432" s="559"/>
      <c r="E432" s="559"/>
      <c r="F432" s="559"/>
      <c r="G432" s="559"/>
      <c r="H432" s="559"/>
      <c r="I432" s="559"/>
      <c r="J432" s="559"/>
      <c r="K432" s="559"/>
      <c r="L432" s="559"/>
      <c r="M432" s="559"/>
      <c r="N432" s="559"/>
      <c r="O432" s="559"/>
      <c r="P432" s="559"/>
      <c r="Q432" s="559"/>
      <c r="R432" s="559"/>
      <c r="S432" s="559"/>
      <c r="T432" s="559"/>
      <c r="U432" s="559"/>
      <c r="V432" s="559"/>
      <c r="W432" s="559"/>
      <c r="X432" s="559"/>
      <c r="Y432" s="559"/>
      <c r="Z432" s="559"/>
      <c r="AA432" s="559"/>
      <c r="AB432" s="559"/>
      <c r="AC432" s="559"/>
      <c r="AD432" s="559"/>
      <c r="AE432" s="559"/>
    </row>
    <row r="433" spans="1:31" ht="18" customHeight="1" x14ac:dyDescent="0.35">
      <c r="A433" s="559"/>
      <c r="B433" s="559"/>
      <c r="C433" s="559"/>
      <c r="D433" s="559"/>
      <c r="E433" s="559"/>
      <c r="F433" s="559"/>
      <c r="G433" s="559"/>
      <c r="H433" s="559"/>
      <c r="I433" s="559"/>
      <c r="J433" s="559"/>
      <c r="K433" s="559"/>
      <c r="L433" s="559"/>
      <c r="M433" s="559"/>
      <c r="N433" s="559"/>
      <c r="O433" s="559"/>
      <c r="P433" s="559"/>
      <c r="Q433" s="559"/>
      <c r="R433" s="559"/>
      <c r="S433" s="559"/>
      <c r="T433" s="559"/>
      <c r="U433" s="559"/>
      <c r="V433" s="559"/>
      <c r="W433" s="559"/>
      <c r="X433" s="559"/>
      <c r="Y433" s="559"/>
      <c r="Z433" s="559"/>
      <c r="AA433" s="559"/>
      <c r="AB433" s="559"/>
      <c r="AC433" s="559"/>
      <c r="AD433" s="559"/>
      <c r="AE433" s="559"/>
    </row>
    <row r="434" spans="1:31" ht="18" customHeight="1" x14ac:dyDescent="0.35">
      <c r="A434" s="559"/>
      <c r="B434" s="559"/>
      <c r="C434" s="559"/>
      <c r="D434" s="559"/>
      <c r="E434" s="559"/>
      <c r="F434" s="559"/>
      <c r="G434" s="559"/>
      <c r="H434" s="559"/>
      <c r="I434" s="559"/>
      <c r="J434" s="559"/>
      <c r="K434" s="559"/>
      <c r="L434" s="559"/>
      <c r="M434" s="559"/>
      <c r="N434" s="559"/>
      <c r="O434" s="559"/>
      <c r="P434" s="559"/>
      <c r="Q434" s="559"/>
      <c r="R434" s="559"/>
      <c r="S434" s="559"/>
      <c r="T434" s="559"/>
      <c r="U434" s="559"/>
      <c r="V434" s="559"/>
      <c r="W434" s="559"/>
      <c r="X434" s="559"/>
      <c r="Y434" s="559"/>
      <c r="Z434" s="559"/>
      <c r="AA434" s="559"/>
      <c r="AB434" s="559"/>
      <c r="AC434" s="559"/>
      <c r="AD434" s="559"/>
      <c r="AE434" s="559"/>
    </row>
    <row r="435" spans="1:31" ht="18" customHeight="1" x14ac:dyDescent="0.35">
      <c r="A435" s="559"/>
      <c r="B435" s="559"/>
      <c r="C435" s="559"/>
      <c r="D435" s="559"/>
      <c r="E435" s="559"/>
      <c r="F435" s="559"/>
      <c r="G435" s="559"/>
      <c r="H435" s="559"/>
      <c r="I435" s="559"/>
      <c r="J435" s="559"/>
      <c r="K435" s="559"/>
      <c r="L435" s="559"/>
      <c r="M435" s="559"/>
      <c r="N435" s="559"/>
      <c r="O435" s="559"/>
      <c r="P435" s="559"/>
      <c r="Q435" s="559"/>
      <c r="R435" s="559"/>
      <c r="S435" s="559"/>
      <c r="T435" s="559"/>
      <c r="U435" s="559"/>
      <c r="V435" s="559"/>
      <c r="W435" s="559"/>
      <c r="X435" s="559"/>
      <c r="Y435" s="559"/>
      <c r="Z435" s="559"/>
      <c r="AA435" s="559"/>
      <c r="AB435" s="559"/>
      <c r="AC435" s="559"/>
      <c r="AD435" s="559"/>
      <c r="AE435" s="559"/>
    </row>
    <row r="436" spans="1:31" ht="18" customHeight="1" x14ac:dyDescent="0.35">
      <c r="A436" s="559"/>
      <c r="B436" s="559"/>
      <c r="C436" s="559"/>
      <c r="D436" s="559"/>
      <c r="E436" s="559"/>
      <c r="F436" s="559"/>
      <c r="G436" s="559"/>
      <c r="H436" s="559"/>
      <c r="I436" s="559"/>
      <c r="J436" s="559"/>
      <c r="K436" s="559"/>
      <c r="L436" s="559"/>
      <c r="M436" s="559"/>
      <c r="N436" s="559"/>
      <c r="O436" s="559"/>
      <c r="P436" s="559"/>
      <c r="Q436" s="559"/>
      <c r="R436" s="559"/>
      <c r="S436" s="559"/>
      <c r="T436" s="559"/>
      <c r="U436" s="559"/>
      <c r="V436" s="559"/>
      <c r="W436" s="559"/>
      <c r="X436" s="559"/>
      <c r="Y436" s="559"/>
      <c r="Z436" s="559"/>
      <c r="AA436" s="559"/>
      <c r="AB436" s="559"/>
      <c r="AC436" s="559"/>
      <c r="AD436" s="559"/>
      <c r="AE436" s="559"/>
    </row>
    <row r="437" spans="1:31" ht="18" customHeight="1" x14ac:dyDescent="0.35">
      <c r="A437" s="559"/>
      <c r="B437" s="559"/>
      <c r="C437" s="559"/>
      <c r="D437" s="559"/>
      <c r="E437" s="559"/>
      <c r="F437" s="559"/>
      <c r="G437" s="559"/>
      <c r="H437" s="559"/>
      <c r="I437" s="559"/>
      <c r="J437" s="559"/>
      <c r="K437" s="559"/>
      <c r="L437" s="559"/>
      <c r="M437" s="559"/>
      <c r="N437" s="559"/>
      <c r="O437" s="559"/>
      <c r="P437" s="559"/>
      <c r="Q437" s="559"/>
      <c r="R437" s="559"/>
      <c r="S437" s="559"/>
      <c r="T437" s="559"/>
      <c r="U437" s="559"/>
      <c r="V437" s="559"/>
      <c r="W437" s="559"/>
      <c r="X437" s="559"/>
      <c r="Y437" s="559"/>
      <c r="Z437" s="559"/>
      <c r="AA437" s="559"/>
      <c r="AB437" s="559"/>
      <c r="AC437" s="559"/>
      <c r="AD437" s="559"/>
      <c r="AE437" s="559"/>
    </row>
    <row r="438" spans="1:31" ht="18" customHeight="1" x14ac:dyDescent="0.35">
      <c r="A438" s="559"/>
      <c r="B438" s="559"/>
      <c r="C438" s="559"/>
      <c r="D438" s="559"/>
      <c r="E438" s="559"/>
      <c r="F438" s="559"/>
      <c r="G438" s="559"/>
      <c r="H438" s="559"/>
      <c r="I438" s="559"/>
      <c r="J438" s="559"/>
      <c r="K438" s="559"/>
      <c r="L438" s="559"/>
      <c r="M438" s="559"/>
      <c r="N438" s="559"/>
      <c r="O438" s="559"/>
      <c r="P438" s="559"/>
      <c r="Q438" s="559"/>
      <c r="R438" s="559"/>
      <c r="S438" s="559"/>
      <c r="T438" s="559"/>
      <c r="U438" s="559"/>
      <c r="V438" s="559"/>
      <c r="W438" s="559"/>
      <c r="X438" s="559"/>
      <c r="Y438" s="559"/>
      <c r="Z438" s="559"/>
      <c r="AA438" s="559"/>
      <c r="AB438" s="559"/>
      <c r="AC438" s="559"/>
      <c r="AD438" s="559"/>
      <c r="AE438" s="559"/>
    </row>
    <row r="439" spans="1:31" ht="18" customHeight="1" x14ac:dyDescent="0.35">
      <c r="A439" s="559"/>
      <c r="B439" s="559"/>
      <c r="C439" s="559"/>
      <c r="D439" s="559"/>
      <c r="E439" s="559"/>
      <c r="F439" s="559"/>
      <c r="G439" s="559"/>
      <c r="H439" s="559"/>
      <c r="I439" s="559"/>
      <c r="J439" s="559"/>
      <c r="K439" s="559"/>
      <c r="L439" s="559"/>
      <c r="M439" s="559"/>
      <c r="N439" s="559"/>
      <c r="O439" s="559"/>
      <c r="P439" s="559"/>
      <c r="Q439" s="559"/>
      <c r="R439" s="559"/>
      <c r="S439" s="559"/>
      <c r="T439" s="559"/>
      <c r="U439" s="559"/>
      <c r="V439" s="559"/>
      <c r="W439" s="559"/>
      <c r="X439" s="559"/>
      <c r="Y439" s="559"/>
      <c r="Z439" s="559"/>
      <c r="AA439" s="559"/>
      <c r="AB439" s="559"/>
      <c r="AC439" s="559"/>
      <c r="AD439" s="559"/>
      <c r="AE439" s="559"/>
    </row>
    <row r="440" spans="1:31" ht="18" customHeight="1" x14ac:dyDescent="0.35">
      <c r="A440" s="559"/>
      <c r="B440" s="559"/>
      <c r="C440" s="559"/>
      <c r="D440" s="559"/>
      <c r="E440" s="559"/>
      <c r="F440" s="559"/>
      <c r="G440" s="559"/>
      <c r="H440" s="559"/>
      <c r="I440" s="559"/>
      <c r="J440" s="559"/>
      <c r="K440" s="559"/>
      <c r="L440" s="559"/>
      <c r="M440" s="559"/>
      <c r="N440" s="559"/>
      <c r="O440" s="559"/>
      <c r="P440" s="559"/>
      <c r="Q440" s="559"/>
      <c r="R440" s="559"/>
      <c r="S440" s="559"/>
      <c r="T440" s="559"/>
      <c r="U440" s="559"/>
      <c r="V440" s="559"/>
      <c r="W440" s="559"/>
      <c r="X440" s="559"/>
      <c r="Y440" s="559"/>
      <c r="Z440" s="559"/>
      <c r="AA440" s="559"/>
      <c r="AB440" s="559"/>
      <c r="AC440" s="559"/>
      <c r="AD440" s="559"/>
      <c r="AE440" s="559"/>
    </row>
    <row r="441" spans="1:31" ht="18" customHeight="1" x14ac:dyDescent="0.35">
      <c r="A441" s="559"/>
      <c r="B441" s="559"/>
      <c r="C441" s="559"/>
      <c r="D441" s="559"/>
      <c r="E441" s="559"/>
      <c r="F441" s="559"/>
      <c r="G441" s="559"/>
      <c r="H441" s="559"/>
      <c r="I441" s="559"/>
      <c r="J441" s="559"/>
      <c r="K441" s="559"/>
      <c r="L441" s="559"/>
      <c r="M441" s="559"/>
      <c r="N441" s="559"/>
      <c r="O441" s="559"/>
      <c r="P441" s="559"/>
      <c r="Q441" s="559"/>
      <c r="R441" s="559"/>
      <c r="S441" s="559"/>
      <c r="T441" s="559"/>
      <c r="U441" s="559"/>
      <c r="V441" s="559"/>
      <c r="W441" s="559"/>
      <c r="X441" s="559"/>
      <c r="Y441" s="559"/>
      <c r="Z441" s="559"/>
      <c r="AA441" s="559"/>
      <c r="AB441" s="559"/>
      <c r="AC441" s="559"/>
      <c r="AD441" s="559"/>
      <c r="AE441" s="559"/>
    </row>
    <row r="442" spans="1:31" ht="18" customHeight="1" x14ac:dyDescent="0.35">
      <c r="A442" s="559"/>
      <c r="B442" s="559"/>
      <c r="C442" s="559"/>
      <c r="D442" s="559"/>
      <c r="E442" s="559"/>
      <c r="F442" s="559"/>
      <c r="G442" s="559"/>
      <c r="H442" s="559"/>
      <c r="I442" s="559"/>
      <c r="J442" s="559"/>
      <c r="K442" s="559"/>
      <c r="L442" s="559"/>
      <c r="M442" s="559"/>
      <c r="N442" s="559"/>
      <c r="O442" s="559"/>
      <c r="P442" s="559"/>
      <c r="Q442" s="559"/>
      <c r="R442" s="559"/>
      <c r="S442" s="559"/>
      <c r="T442" s="559"/>
      <c r="U442" s="559"/>
      <c r="V442" s="559"/>
      <c r="W442" s="559"/>
      <c r="X442" s="559"/>
      <c r="Y442" s="559"/>
      <c r="Z442" s="559"/>
      <c r="AA442" s="559"/>
      <c r="AB442" s="559"/>
      <c r="AC442" s="559"/>
      <c r="AD442" s="559"/>
      <c r="AE442" s="559"/>
    </row>
    <row r="443" spans="1:31" ht="18" customHeight="1" x14ac:dyDescent="0.35">
      <c r="A443" s="559"/>
      <c r="B443" s="559"/>
      <c r="C443" s="559"/>
      <c r="D443" s="559"/>
      <c r="E443" s="559"/>
      <c r="F443" s="559"/>
      <c r="G443" s="559"/>
      <c r="H443" s="559"/>
      <c r="I443" s="559"/>
      <c r="J443" s="559"/>
      <c r="K443" s="559"/>
      <c r="L443" s="559"/>
      <c r="M443" s="559"/>
      <c r="N443" s="559"/>
      <c r="O443" s="559"/>
      <c r="P443" s="559"/>
      <c r="Q443" s="559"/>
      <c r="R443" s="559"/>
      <c r="S443" s="559"/>
      <c r="T443" s="559"/>
      <c r="U443" s="559"/>
      <c r="V443" s="559"/>
      <c r="W443" s="559"/>
      <c r="X443" s="559"/>
      <c r="Y443" s="559"/>
      <c r="Z443" s="559"/>
      <c r="AA443" s="559"/>
      <c r="AB443" s="559"/>
      <c r="AC443" s="559"/>
      <c r="AD443" s="559"/>
      <c r="AE443" s="559"/>
    </row>
    <row r="444" spans="1:31" ht="18" customHeight="1" x14ac:dyDescent="0.35">
      <c r="A444" s="559"/>
      <c r="B444" s="559"/>
      <c r="C444" s="559"/>
      <c r="D444" s="559"/>
      <c r="E444" s="559"/>
      <c r="F444" s="559"/>
      <c r="G444" s="559"/>
      <c r="H444" s="559"/>
      <c r="I444" s="559"/>
      <c r="J444" s="559"/>
      <c r="K444" s="559"/>
      <c r="L444" s="559"/>
      <c r="M444" s="559"/>
      <c r="N444" s="559"/>
      <c r="O444" s="559"/>
      <c r="P444" s="559"/>
      <c r="Q444" s="559"/>
      <c r="R444" s="559"/>
      <c r="S444" s="559"/>
      <c r="T444" s="559"/>
      <c r="U444" s="559"/>
      <c r="V444" s="559"/>
      <c r="W444" s="559"/>
      <c r="X444" s="559"/>
      <c r="Y444" s="559"/>
      <c r="Z444" s="559"/>
      <c r="AA444" s="559"/>
      <c r="AB444" s="559"/>
      <c r="AC444" s="559"/>
      <c r="AD444" s="559"/>
      <c r="AE444" s="559"/>
    </row>
    <row r="445" spans="1:31" ht="18" customHeight="1" x14ac:dyDescent="0.35">
      <c r="A445" s="559"/>
      <c r="B445" s="559"/>
      <c r="C445" s="559"/>
      <c r="D445" s="559"/>
      <c r="E445" s="559"/>
      <c r="F445" s="559"/>
      <c r="G445" s="559"/>
      <c r="H445" s="559"/>
      <c r="I445" s="559"/>
      <c r="J445" s="559"/>
      <c r="K445" s="559"/>
      <c r="L445" s="559"/>
      <c r="M445" s="559"/>
      <c r="N445" s="559"/>
      <c r="O445" s="559"/>
      <c r="P445" s="559"/>
      <c r="Q445" s="559"/>
      <c r="R445" s="559"/>
      <c r="S445" s="559"/>
      <c r="T445" s="559"/>
      <c r="U445" s="559"/>
      <c r="V445" s="559"/>
      <c r="W445" s="559"/>
      <c r="X445" s="559"/>
      <c r="Y445" s="559"/>
      <c r="Z445" s="559"/>
      <c r="AA445" s="559"/>
      <c r="AB445" s="559"/>
      <c r="AC445" s="559"/>
      <c r="AD445" s="559"/>
      <c r="AE445" s="559"/>
    </row>
    <row r="446" spans="1:31" ht="18" customHeight="1" x14ac:dyDescent="0.35">
      <c r="A446" s="559"/>
      <c r="B446" s="559"/>
      <c r="C446" s="559"/>
      <c r="D446" s="559"/>
      <c r="E446" s="559"/>
      <c r="F446" s="559"/>
      <c r="G446" s="559"/>
      <c r="H446" s="559"/>
      <c r="I446" s="559"/>
      <c r="J446" s="559"/>
      <c r="K446" s="559"/>
      <c r="L446" s="559"/>
      <c r="M446" s="559"/>
      <c r="N446" s="559"/>
      <c r="O446" s="559"/>
      <c r="P446" s="559"/>
      <c r="Q446" s="559"/>
      <c r="R446" s="559"/>
      <c r="S446" s="559"/>
      <c r="T446" s="559"/>
      <c r="U446" s="559"/>
      <c r="V446" s="559"/>
      <c r="W446" s="559"/>
      <c r="X446" s="559"/>
      <c r="Y446" s="559"/>
      <c r="Z446" s="559"/>
      <c r="AA446" s="559"/>
      <c r="AB446" s="559"/>
      <c r="AC446" s="559"/>
      <c r="AD446" s="559"/>
      <c r="AE446" s="559"/>
    </row>
    <row r="447" spans="1:31" ht="18" customHeight="1" x14ac:dyDescent="0.35">
      <c r="A447" s="559"/>
      <c r="B447" s="559"/>
      <c r="C447" s="559"/>
      <c r="D447" s="559"/>
      <c r="E447" s="559"/>
      <c r="F447" s="559"/>
      <c r="G447" s="559"/>
      <c r="H447" s="559"/>
      <c r="I447" s="559"/>
      <c r="J447" s="559"/>
      <c r="K447" s="559"/>
      <c r="L447" s="559"/>
      <c r="M447" s="559"/>
      <c r="N447" s="559"/>
      <c r="O447" s="559"/>
      <c r="P447" s="559"/>
      <c r="Q447" s="559"/>
      <c r="R447" s="559"/>
      <c r="S447" s="559"/>
      <c r="T447" s="559"/>
      <c r="U447" s="559"/>
      <c r="V447" s="559"/>
      <c r="W447" s="559"/>
      <c r="X447" s="559"/>
      <c r="Y447" s="559"/>
      <c r="Z447" s="559"/>
      <c r="AA447" s="559"/>
      <c r="AB447" s="559"/>
      <c r="AC447" s="559"/>
      <c r="AD447" s="559"/>
      <c r="AE447" s="559"/>
    </row>
    <row r="448" spans="1:31" ht="18" customHeight="1" x14ac:dyDescent="0.35">
      <c r="A448" s="559"/>
      <c r="B448" s="559"/>
      <c r="C448" s="559"/>
      <c r="D448" s="559"/>
      <c r="E448" s="559"/>
      <c r="F448" s="559"/>
      <c r="G448" s="559"/>
      <c r="H448" s="559"/>
      <c r="I448" s="559"/>
      <c r="J448" s="559"/>
      <c r="K448" s="559"/>
      <c r="L448" s="559"/>
      <c r="M448" s="559"/>
      <c r="N448" s="559"/>
      <c r="O448" s="559"/>
      <c r="P448" s="559"/>
      <c r="Q448" s="559"/>
      <c r="R448" s="559"/>
      <c r="S448" s="559"/>
      <c r="T448" s="559"/>
      <c r="U448" s="559"/>
      <c r="V448" s="559"/>
      <c r="W448" s="559"/>
      <c r="X448" s="559"/>
      <c r="Y448" s="559"/>
      <c r="Z448" s="559"/>
      <c r="AA448" s="559"/>
      <c r="AB448" s="559"/>
      <c r="AC448" s="559"/>
      <c r="AD448" s="559"/>
      <c r="AE448" s="559"/>
    </row>
    <row r="449" spans="1:31" ht="18" customHeight="1" x14ac:dyDescent="0.35">
      <c r="A449" s="559"/>
      <c r="B449" s="559"/>
      <c r="C449" s="559"/>
      <c r="D449" s="559"/>
      <c r="E449" s="559"/>
      <c r="F449" s="559"/>
      <c r="G449" s="559"/>
      <c r="H449" s="559"/>
      <c r="I449" s="559"/>
      <c r="J449" s="559"/>
      <c r="K449" s="559"/>
      <c r="L449" s="559"/>
      <c r="M449" s="559"/>
      <c r="N449" s="559"/>
      <c r="O449" s="559"/>
      <c r="P449" s="559"/>
      <c r="Q449" s="559"/>
      <c r="R449" s="559"/>
      <c r="S449" s="559"/>
      <c r="T449" s="559"/>
      <c r="U449" s="559"/>
      <c r="V449" s="559"/>
      <c r="W449" s="559"/>
      <c r="X449" s="559"/>
      <c r="Y449" s="559"/>
      <c r="Z449" s="559"/>
      <c r="AA449" s="559"/>
      <c r="AB449" s="559"/>
      <c r="AC449" s="559"/>
      <c r="AD449" s="559"/>
      <c r="AE449" s="559"/>
    </row>
    <row r="450" spans="1:31" ht="18" customHeight="1" x14ac:dyDescent="0.35">
      <c r="A450" s="559"/>
      <c r="B450" s="559"/>
      <c r="C450" s="559"/>
      <c r="D450" s="559"/>
      <c r="E450" s="559"/>
      <c r="F450" s="559"/>
      <c r="G450" s="559"/>
      <c r="H450" s="559"/>
      <c r="I450" s="559"/>
      <c r="J450" s="559"/>
      <c r="K450" s="559"/>
      <c r="L450" s="559"/>
      <c r="M450" s="559"/>
      <c r="N450" s="559"/>
      <c r="O450" s="559"/>
      <c r="P450" s="559"/>
      <c r="Q450" s="559"/>
      <c r="R450" s="559"/>
      <c r="S450" s="559"/>
      <c r="T450" s="559"/>
      <c r="U450" s="559"/>
      <c r="V450" s="559"/>
      <c r="W450" s="559"/>
      <c r="X450" s="559"/>
      <c r="Y450" s="559"/>
      <c r="Z450" s="559"/>
      <c r="AA450" s="559"/>
      <c r="AB450" s="559"/>
      <c r="AC450" s="559"/>
      <c r="AD450" s="559"/>
      <c r="AE450" s="559"/>
    </row>
    <row r="451" spans="1:31" ht="18" customHeight="1" x14ac:dyDescent="0.35">
      <c r="A451" s="559"/>
      <c r="B451" s="559"/>
      <c r="C451" s="559"/>
      <c r="D451" s="559"/>
      <c r="E451" s="559"/>
      <c r="F451" s="559"/>
      <c r="G451" s="559"/>
      <c r="H451" s="559"/>
      <c r="I451" s="559"/>
      <c r="J451" s="559"/>
      <c r="K451" s="559"/>
      <c r="L451" s="559"/>
      <c r="M451" s="559"/>
      <c r="N451" s="559"/>
      <c r="O451" s="559"/>
      <c r="P451" s="559"/>
      <c r="Q451" s="559"/>
      <c r="R451" s="559"/>
      <c r="S451" s="559"/>
      <c r="T451" s="559"/>
      <c r="U451" s="559"/>
      <c r="V451" s="559"/>
      <c r="W451" s="559"/>
      <c r="X451" s="559"/>
      <c r="Y451" s="559"/>
      <c r="Z451" s="559"/>
      <c r="AA451" s="559"/>
      <c r="AB451" s="559"/>
      <c r="AC451" s="559"/>
      <c r="AD451" s="559"/>
      <c r="AE451" s="559"/>
    </row>
    <row r="452" spans="1:31" ht="18" customHeight="1" x14ac:dyDescent="0.35">
      <c r="A452" s="559"/>
      <c r="B452" s="559"/>
      <c r="C452" s="559"/>
      <c r="D452" s="559"/>
      <c r="E452" s="559"/>
      <c r="F452" s="559"/>
      <c r="G452" s="559"/>
      <c r="H452" s="559"/>
      <c r="I452" s="559"/>
      <c r="J452" s="559"/>
      <c r="K452" s="559"/>
      <c r="L452" s="559"/>
      <c r="M452" s="559"/>
      <c r="N452" s="559"/>
      <c r="O452" s="559"/>
      <c r="P452" s="559"/>
      <c r="Q452" s="559"/>
      <c r="R452" s="559"/>
      <c r="S452" s="559"/>
      <c r="T452" s="559"/>
      <c r="U452" s="559"/>
      <c r="V452" s="559"/>
      <c r="W452" s="559"/>
      <c r="X452" s="559"/>
      <c r="Y452" s="559"/>
      <c r="Z452" s="559"/>
      <c r="AA452" s="559"/>
      <c r="AB452" s="559"/>
      <c r="AC452" s="559"/>
      <c r="AD452" s="559"/>
      <c r="AE452" s="559"/>
    </row>
    <row r="453" spans="1:31" ht="18" customHeight="1" x14ac:dyDescent="0.35">
      <c r="A453" s="559"/>
      <c r="B453" s="559"/>
      <c r="C453" s="559"/>
      <c r="D453" s="559"/>
      <c r="E453" s="559"/>
      <c r="F453" s="559"/>
      <c r="G453" s="559"/>
      <c r="H453" s="559"/>
      <c r="I453" s="559"/>
      <c r="J453" s="559"/>
      <c r="K453" s="559"/>
      <c r="L453" s="559"/>
      <c r="M453" s="559"/>
      <c r="N453" s="559"/>
      <c r="O453" s="559"/>
      <c r="P453" s="559"/>
      <c r="Q453" s="559"/>
      <c r="R453" s="559"/>
      <c r="S453" s="559"/>
      <c r="T453" s="559"/>
      <c r="U453" s="559"/>
      <c r="V453" s="559"/>
      <c r="W453" s="559"/>
      <c r="X453" s="559"/>
      <c r="Y453" s="559"/>
      <c r="Z453" s="559"/>
      <c r="AA453" s="559"/>
      <c r="AB453" s="559"/>
      <c r="AC453" s="559"/>
      <c r="AD453" s="559"/>
      <c r="AE453" s="559"/>
    </row>
    <row r="454" spans="1:31" ht="18" customHeight="1" x14ac:dyDescent="0.35">
      <c r="A454" s="559"/>
      <c r="B454" s="559"/>
      <c r="C454" s="559"/>
      <c r="D454" s="559"/>
      <c r="E454" s="559"/>
      <c r="F454" s="559"/>
      <c r="G454" s="559"/>
      <c r="H454" s="559"/>
      <c r="I454" s="559"/>
      <c r="J454" s="559"/>
      <c r="K454" s="559"/>
      <c r="L454" s="559"/>
      <c r="M454" s="559"/>
      <c r="N454" s="559"/>
      <c r="O454" s="559"/>
      <c r="P454" s="559"/>
      <c r="Q454" s="559"/>
      <c r="R454" s="559"/>
      <c r="S454" s="559"/>
      <c r="T454" s="559"/>
      <c r="U454" s="559"/>
      <c r="V454" s="559"/>
      <c r="W454" s="559"/>
      <c r="X454" s="559"/>
      <c r="Y454" s="559"/>
      <c r="Z454" s="559"/>
      <c r="AA454" s="559"/>
      <c r="AB454" s="559"/>
      <c r="AC454" s="559"/>
      <c r="AD454" s="559"/>
      <c r="AE454" s="559"/>
    </row>
    <row r="455" spans="1:31" ht="18" customHeight="1" x14ac:dyDescent="0.35">
      <c r="A455" s="559"/>
      <c r="B455" s="559"/>
      <c r="C455" s="559"/>
      <c r="D455" s="559"/>
      <c r="E455" s="559"/>
      <c r="F455" s="559"/>
      <c r="G455" s="559"/>
      <c r="H455" s="559"/>
      <c r="I455" s="559"/>
      <c r="J455" s="559"/>
      <c r="K455" s="559"/>
      <c r="L455" s="559"/>
      <c r="M455" s="559"/>
      <c r="N455" s="559"/>
      <c r="O455" s="559"/>
      <c r="P455" s="559"/>
      <c r="Q455" s="559"/>
      <c r="R455" s="559"/>
      <c r="S455" s="559"/>
      <c r="T455" s="559"/>
      <c r="U455" s="559"/>
      <c r="V455" s="559"/>
      <c r="W455" s="559"/>
      <c r="X455" s="559"/>
      <c r="Y455" s="559"/>
      <c r="Z455" s="559"/>
      <c r="AA455" s="559"/>
      <c r="AB455" s="559"/>
      <c r="AC455" s="559"/>
      <c r="AD455" s="559"/>
      <c r="AE455" s="559"/>
    </row>
    <row r="456" spans="1:31" ht="18" customHeight="1" x14ac:dyDescent="0.35">
      <c r="A456" s="559"/>
      <c r="B456" s="559"/>
      <c r="C456" s="559"/>
      <c r="D456" s="559"/>
      <c r="E456" s="559"/>
      <c r="F456" s="559"/>
      <c r="G456" s="559"/>
      <c r="H456" s="559"/>
      <c r="I456" s="559"/>
      <c r="J456" s="559"/>
      <c r="K456" s="559"/>
      <c r="L456" s="559"/>
      <c r="M456" s="559"/>
      <c r="N456" s="559"/>
      <c r="O456" s="559"/>
      <c r="P456" s="559"/>
      <c r="Q456" s="559"/>
      <c r="R456" s="559"/>
      <c r="S456" s="559"/>
      <c r="T456" s="559"/>
      <c r="U456" s="559"/>
      <c r="V456" s="559"/>
      <c r="W456" s="559"/>
      <c r="X456" s="559"/>
      <c r="Y456" s="559"/>
      <c r="Z456" s="559"/>
      <c r="AA456" s="559"/>
      <c r="AB456" s="559"/>
      <c r="AC456" s="559"/>
      <c r="AD456" s="559"/>
      <c r="AE456" s="559"/>
    </row>
    <row r="457" spans="1:31" ht="18" customHeight="1" x14ac:dyDescent="0.35">
      <c r="A457" s="559"/>
      <c r="B457" s="559"/>
      <c r="C457" s="559"/>
      <c r="D457" s="559"/>
      <c r="E457" s="559"/>
      <c r="F457" s="559"/>
      <c r="G457" s="559"/>
      <c r="H457" s="559"/>
      <c r="I457" s="559"/>
      <c r="J457" s="559"/>
      <c r="K457" s="559"/>
      <c r="L457" s="559"/>
      <c r="M457" s="559"/>
      <c r="N457" s="559"/>
      <c r="O457" s="559"/>
      <c r="P457" s="559"/>
      <c r="Q457" s="559"/>
      <c r="R457" s="559"/>
      <c r="S457" s="559"/>
      <c r="T457" s="559"/>
      <c r="U457" s="559"/>
      <c r="V457" s="559"/>
      <c r="W457" s="559"/>
      <c r="X457" s="559"/>
      <c r="Y457" s="559"/>
      <c r="Z457" s="559"/>
      <c r="AA457" s="559"/>
      <c r="AB457" s="559"/>
      <c r="AC457" s="559"/>
      <c r="AD457" s="559"/>
      <c r="AE457" s="559"/>
    </row>
    <row r="458" spans="1:31" ht="18" customHeight="1" x14ac:dyDescent="0.35">
      <c r="A458" s="559"/>
      <c r="B458" s="559"/>
      <c r="C458" s="559"/>
      <c r="D458" s="559"/>
      <c r="E458" s="559"/>
      <c r="F458" s="559"/>
      <c r="G458" s="559"/>
      <c r="H458" s="559"/>
      <c r="I458" s="559"/>
      <c r="J458" s="559"/>
      <c r="K458" s="559"/>
      <c r="L458" s="559"/>
      <c r="M458" s="559"/>
      <c r="N458" s="559"/>
      <c r="O458" s="559"/>
      <c r="P458" s="559"/>
      <c r="Q458" s="559"/>
      <c r="R458" s="559"/>
      <c r="S458" s="559"/>
      <c r="T458" s="559"/>
      <c r="U458" s="559"/>
      <c r="V458" s="559"/>
      <c r="W458" s="559"/>
      <c r="X458" s="559"/>
      <c r="Y458" s="559"/>
      <c r="Z458" s="559"/>
      <c r="AA458" s="559"/>
      <c r="AB458" s="559"/>
      <c r="AC458" s="559"/>
      <c r="AD458" s="559"/>
      <c r="AE458" s="559"/>
    </row>
    <row r="459" spans="1:31" ht="18" customHeight="1" x14ac:dyDescent="0.35">
      <c r="A459" s="559"/>
      <c r="B459" s="559"/>
      <c r="C459" s="559"/>
      <c r="D459" s="559"/>
      <c r="E459" s="559"/>
      <c r="F459" s="559"/>
      <c r="G459" s="559"/>
      <c r="H459" s="559"/>
      <c r="I459" s="559"/>
      <c r="J459" s="559"/>
      <c r="K459" s="559"/>
      <c r="L459" s="559"/>
      <c r="M459" s="559"/>
      <c r="N459" s="559"/>
      <c r="O459" s="559"/>
      <c r="P459" s="559"/>
      <c r="Q459" s="559"/>
      <c r="R459" s="559"/>
      <c r="S459" s="559"/>
      <c r="T459" s="559"/>
      <c r="U459" s="559"/>
      <c r="V459" s="559"/>
      <c r="W459" s="559"/>
      <c r="X459" s="559"/>
      <c r="Y459" s="559"/>
      <c r="Z459" s="559"/>
      <c r="AA459" s="559"/>
      <c r="AB459" s="559"/>
      <c r="AC459" s="559"/>
      <c r="AD459" s="559"/>
      <c r="AE459" s="559"/>
    </row>
    <row r="460" spans="1:31" ht="18" customHeight="1" x14ac:dyDescent="0.35">
      <c r="A460" s="559"/>
      <c r="B460" s="559"/>
      <c r="C460" s="559"/>
      <c r="D460" s="559"/>
      <c r="E460" s="559"/>
      <c r="F460" s="559"/>
      <c r="G460" s="559"/>
      <c r="H460" s="559"/>
      <c r="I460" s="559"/>
      <c r="J460" s="559"/>
      <c r="K460" s="559"/>
      <c r="L460" s="559"/>
      <c r="M460" s="559"/>
      <c r="N460" s="559"/>
      <c r="O460" s="559"/>
      <c r="P460" s="559"/>
      <c r="Q460" s="559"/>
      <c r="R460" s="559"/>
      <c r="S460" s="559"/>
      <c r="T460" s="559"/>
      <c r="U460" s="559"/>
      <c r="V460" s="559"/>
      <c r="W460" s="559"/>
      <c r="X460" s="559"/>
      <c r="Y460" s="559"/>
      <c r="Z460" s="559"/>
      <c r="AA460" s="559"/>
      <c r="AB460" s="559"/>
      <c r="AC460" s="559"/>
      <c r="AD460" s="559"/>
      <c r="AE460" s="559"/>
    </row>
    <row r="461" spans="1:31" ht="18" customHeight="1" x14ac:dyDescent="0.35">
      <c r="A461" s="559"/>
      <c r="B461" s="559"/>
      <c r="C461" s="559"/>
      <c r="D461" s="559"/>
      <c r="E461" s="559"/>
      <c r="F461" s="559"/>
      <c r="G461" s="559"/>
      <c r="H461" s="559"/>
      <c r="I461" s="559"/>
      <c r="J461" s="559"/>
      <c r="K461" s="559"/>
      <c r="L461" s="559"/>
      <c r="M461" s="559"/>
      <c r="N461" s="559"/>
      <c r="O461" s="559"/>
      <c r="P461" s="559"/>
      <c r="Q461" s="559"/>
      <c r="R461" s="559"/>
      <c r="S461" s="559"/>
      <c r="T461" s="559"/>
      <c r="U461" s="559"/>
      <c r="V461" s="559"/>
      <c r="W461" s="559"/>
      <c r="X461" s="559"/>
      <c r="Y461" s="559"/>
      <c r="Z461" s="559"/>
      <c r="AA461" s="559"/>
      <c r="AB461" s="559"/>
      <c r="AC461" s="559"/>
      <c r="AD461" s="559"/>
      <c r="AE461" s="559"/>
    </row>
    <row r="462" spans="1:31" ht="18" customHeight="1" x14ac:dyDescent="0.35">
      <c r="A462" s="559"/>
      <c r="B462" s="559"/>
      <c r="C462" s="559"/>
      <c r="D462" s="559"/>
      <c r="E462" s="559"/>
      <c r="F462" s="559"/>
      <c r="G462" s="559"/>
      <c r="H462" s="559"/>
      <c r="I462" s="559"/>
      <c r="J462" s="559"/>
      <c r="K462" s="559"/>
      <c r="L462" s="559"/>
      <c r="M462" s="559"/>
      <c r="N462" s="559"/>
      <c r="O462" s="559"/>
      <c r="P462" s="559"/>
      <c r="Q462" s="559"/>
      <c r="R462" s="559"/>
      <c r="S462" s="559"/>
      <c r="T462" s="559"/>
      <c r="U462" s="559"/>
      <c r="V462" s="559"/>
      <c r="W462" s="559"/>
      <c r="X462" s="559"/>
      <c r="Y462" s="559"/>
      <c r="Z462" s="559"/>
      <c r="AA462" s="559"/>
      <c r="AB462" s="559"/>
      <c r="AC462" s="559"/>
      <c r="AD462" s="559"/>
      <c r="AE462" s="559"/>
    </row>
    <row r="463" spans="1:31" ht="18" customHeight="1" x14ac:dyDescent="0.35">
      <c r="A463" s="559"/>
      <c r="B463" s="559"/>
      <c r="C463" s="559"/>
      <c r="D463" s="559"/>
      <c r="E463" s="559"/>
      <c r="F463" s="559"/>
      <c r="G463" s="559"/>
      <c r="H463" s="559"/>
      <c r="I463" s="559"/>
      <c r="J463" s="559"/>
      <c r="K463" s="559"/>
      <c r="L463" s="559"/>
      <c r="M463" s="559"/>
      <c r="N463" s="559"/>
      <c r="O463" s="559"/>
      <c r="P463" s="559"/>
      <c r="Q463" s="559"/>
      <c r="R463" s="559"/>
      <c r="S463" s="559"/>
      <c r="T463" s="559"/>
      <c r="U463" s="559"/>
      <c r="V463" s="559"/>
      <c r="W463" s="559"/>
      <c r="X463" s="559"/>
      <c r="Y463" s="559"/>
      <c r="Z463" s="559"/>
      <c r="AA463" s="559"/>
      <c r="AB463" s="559"/>
      <c r="AC463" s="559"/>
      <c r="AD463" s="559"/>
      <c r="AE463" s="559"/>
    </row>
    <row r="464" spans="1:31" ht="18" customHeight="1" x14ac:dyDescent="0.35">
      <c r="A464" s="559"/>
      <c r="B464" s="559"/>
      <c r="C464" s="559"/>
      <c r="D464" s="559"/>
      <c r="E464" s="559"/>
      <c r="F464" s="559"/>
      <c r="G464" s="559"/>
      <c r="H464" s="559"/>
      <c r="I464" s="559"/>
      <c r="J464" s="559"/>
      <c r="K464" s="559"/>
      <c r="L464" s="559"/>
      <c r="M464" s="559"/>
      <c r="N464" s="559"/>
      <c r="O464" s="559"/>
      <c r="P464" s="559"/>
      <c r="Q464" s="559"/>
      <c r="R464" s="559"/>
      <c r="S464" s="559"/>
      <c r="T464" s="559"/>
      <c r="U464" s="559"/>
      <c r="V464" s="559"/>
      <c r="W464" s="559"/>
      <c r="X464" s="559"/>
      <c r="Y464" s="559"/>
      <c r="Z464" s="559"/>
      <c r="AA464" s="559"/>
      <c r="AB464" s="559"/>
      <c r="AC464" s="559"/>
      <c r="AD464" s="559"/>
      <c r="AE464" s="559"/>
    </row>
    <row r="465" spans="1:31" ht="18" customHeight="1" x14ac:dyDescent="0.35">
      <c r="A465" s="559"/>
      <c r="B465" s="559"/>
      <c r="C465" s="559"/>
      <c r="D465" s="559"/>
      <c r="E465" s="559"/>
      <c r="F465" s="559"/>
      <c r="G465" s="559"/>
      <c r="H465" s="559"/>
      <c r="I465" s="559"/>
      <c r="J465" s="559"/>
      <c r="K465" s="559"/>
      <c r="L465" s="559"/>
      <c r="M465" s="559"/>
      <c r="N465" s="559"/>
      <c r="O465" s="559"/>
      <c r="P465" s="559"/>
      <c r="Q465" s="559"/>
      <c r="R465" s="559"/>
      <c r="S465" s="559"/>
      <c r="T465" s="559"/>
      <c r="U465" s="559"/>
      <c r="V465" s="559"/>
      <c r="W465" s="559"/>
      <c r="X465" s="559"/>
      <c r="Y465" s="559"/>
      <c r="Z465" s="559"/>
      <c r="AA465" s="559"/>
      <c r="AB465" s="559"/>
      <c r="AC465" s="559"/>
      <c r="AD465" s="559"/>
      <c r="AE465" s="559"/>
    </row>
    <row r="466" spans="1:31" ht="18" customHeight="1" x14ac:dyDescent="0.35">
      <c r="A466" s="559"/>
      <c r="B466" s="559"/>
      <c r="C466" s="559"/>
      <c r="D466" s="559"/>
      <c r="E466" s="559"/>
      <c r="F466" s="559"/>
      <c r="G466" s="559"/>
      <c r="H466" s="559"/>
      <c r="I466" s="559"/>
      <c r="J466" s="559"/>
      <c r="K466" s="559"/>
      <c r="L466" s="559"/>
      <c r="M466" s="559"/>
      <c r="N466" s="559"/>
      <c r="O466" s="559"/>
      <c r="P466" s="559"/>
      <c r="Q466" s="559"/>
      <c r="R466" s="559"/>
      <c r="S466" s="559"/>
      <c r="T466" s="559"/>
      <c r="U466" s="559"/>
      <c r="V466" s="559"/>
      <c r="W466" s="559"/>
      <c r="X466" s="559"/>
      <c r="Y466" s="559"/>
      <c r="Z466" s="559"/>
      <c r="AA466" s="559"/>
      <c r="AB466" s="559"/>
      <c r="AC466" s="559"/>
      <c r="AD466" s="559"/>
      <c r="AE466" s="559"/>
    </row>
    <row r="467" spans="1:31" ht="18" customHeight="1" x14ac:dyDescent="0.35">
      <c r="A467" s="559"/>
      <c r="B467" s="559"/>
      <c r="C467" s="559"/>
      <c r="D467" s="559"/>
      <c r="E467" s="559"/>
      <c r="F467" s="559"/>
      <c r="G467" s="559"/>
      <c r="H467" s="559"/>
      <c r="I467" s="559"/>
      <c r="J467" s="559"/>
      <c r="K467" s="559"/>
      <c r="L467" s="559"/>
      <c r="M467" s="559"/>
      <c r="N467" s="559"/>
      <c r="O467" s="559"/>
      <c r="P467" s="559"/>
      <c r="Q467" s="559"/>
      <c r="R467" s="559"/>
      <c r="S467" s="559"/>
      <c r="T467" s="559"/>
      <c r="U467" s="559"/>
      <c r="V467" s="559"/>
      <c r="W467" s="559"/>
      <c r="X467" s="559"/>
      <c r="Y467" s="559"/>
      <c r="Z467" s="559"/>
      <c r="AA467" s="559"/>
      <c r="AB467" s="559"/>
      <c r="AC467" s="559"/>
      <c r="AD467" s="559"/>
      <c r="AE467" s="559"/>
    </row>
    <row r="468" spans="1:31" ht="18" customHeight="1" x14ac:dyDescent="0.35">
      <c r="A468" s="559"/>
      <c r="B468" s="559"/>
      <c r="C468" s="559"/>
      <c r="D468" s="559"/>
      <c r="E468" s="559"/>
      <c r="F468" s="559"/>
      <c r="G468" s="559"/>
      <c r="H468" s="559"/>
      <c r="I468" s="559"/>
      <c r="J468" s="559"/>
      <c r="K468" s="559"/>
      <c r="L468" s="559"/>
      <c r="M468" s="559"/>
      <c r="N468" s="559"/>
      <c r="O468" s="559"/>
      <c r="P468" s="559"/>
      <c r="Q468" s="559"/>
      <c r="R468" s="559"/>
      <c r="S468" s="559"/>
      <c r="T468" s="559"/>
      <c r="U468" s="559"/>
      <c r="V468" s="559"/>
      <c r="W468" s="559"/>
      <c r="X468" s="559"/>
      <c r="Y468" s="559"/>
      <c r="Z468" s="559"/>
      <c r="AA468" s="559"/>
      <c r="AB468" s="559"/>
      <c r="AC468" s="559"/>
      <c r="AD468" s="559"/>
      <c r="AE468" s="559"/>
    </row>
    <row r="469" spans="1:31" ht="18" customHeight="1" x14ac:dyDescent="0.35">
      <c r="A469" s="559"/>
      <c r="B469" s="559"/>
      <c r="C469" s="559"/>
      <c r="D469" s="559"/>
      <c r="E469" s="559"/>
      <c r="F469" s="559"/>
      <c r="G469" s="559"/>
      <c r="H469" s="559"/>
      <c r="I469" s="559"/>
      <c r="J469" s="559"/>
      <c r="K469" s="559"/>
      <c r="L469" s="559"/>
      <c r="M469" s="559"/>
      <c r="N469" s="559"/>
      <c r="O469" s="559"/>
      <c r="P469" s="559"/>
      <c r="Q469" s="559"/>
      <c r="R469" s="559"/>
      <c r="S469" s="559"/>
      <c r="T469" s="559"/>
      <c r="U469" s="559"/>
      <c r="V469" s="559"/>
      <c r="W469" s="559"/>
      <c r="X469" s="559"/>
      <c r="Y469" s="559"/>
      <c r="Z469" s="559"/>
      <c r="AA469" s="559"/>
      <c r="AB469" s="559"/>
      <c r="AC469" s="559"/>
      <c r="AD469" s="559"/>
      <c r="AE469" s="559"/>
    </row>
    <row r="470" spans="1:31" ht="18" customHeight="1" x14ac:dyDescent="0.35">
      <c r="A470" s="559"/>
      <c r="B470" s="559"/>
      <c r="C470" s="559"/>
      <c r="D470" s="559"/>
      <c r="E470" s="559"/>
      <c r="F470" s="559"/>
      <c r="G470" s="559"/>
      <c r="H470" s="559"/>
      <c r="I470" s="559"/>
      <c r="J470" s="559"/>
      <c r="K470" s="559"/>
      <c r="L470" s="559"/>
      <c r="M470" s="559"/>
      <c r="N470" s="559"/>
      <c r="O470" s="559"/>
      <c r="P470" s="559"/>
      <c r="Q470" s="559"/>
      <c r="R470" s="559"/>
      <c r="S470" s="559"/>
      <c r="T470" s="559"/>
      <c r="U470" s="559"/>
      <c r="V470" s="559"/>
      <c r="W470" s="559"/>
      <c r="X470" s="559"/>
      <c r="Y470" s="559"/>
      <c r="Z470" s="559"/>
      <c r="AA470" s="559"/>
      <c r="AB470" s="559"/>
      <c r="AC470" s="559"/>
      <c r="AD470" s="559"/>
      <c r="AE470" s="559"/>
    </row>
    <row r="471" spans="1:31" ht="18" customHeight="1" x14ac:dyDescent="0.35">
      <c r="A471" s="559"/>
      <c r="B471" s="559"/>
      <c r="C471" s="559"/>
      <c r="D471" s="559"/>
      <c r="E471" s="559"/>
      <c r="F471" s="559"/>
      <c r="G471" s="559"/>
      <c r="H471" s="559"/>
      <c r="I471" s="559"/>
      <c r="J471" s="559"/>
      <c r="K471" s="559"/>
      <c r="L471" s="559"/>
      <c r="M471" s="559"/>
      <c r="N471" s="559"/>
      <c r="O471" s="559"/>
      <c r="P471" s="559"/>
      <c r="Q471" s="559"/>
      <c r="R471" s="559"/>
      <c r="S471" s="559"/>
      <c r="T471" s="559"/>
      <c r="U471" s="559"/>
      <c r="V471" s="559"/>
      <c r="W471" s="559"/>
      <c r="X471" s="559"/>
      <c r="Y471" s="559"/>
      <c r="Z471" s="559"/>
      <c r="AA471" s="559"/>
      <c r="AB471" s="559"/>
      <c r="AC471" s="559"/>
      <c r="AD471" s="559"/>
      <c r="AE471" s="559"/>
    </row>
    <row r="472" spans="1:31" ht="18" customHeight="1" x14ac:dyDescent="0.35">
      <c r="A472" s="559"/>
      <c r="B472" s="559"/>
      <c r="C472" s="559"/>
      <c r="D472" s="559"/>
      <c r="E472" s="559"/>
      <c r="F472" s="559"/>
      <c r="G472" s="559"/>
      <c r="H472" s="559"/>
      <c r="I472" s="559"/>
      <c r="J472" s="559"/>
      <c r="K472" s="559"/>
      <c r="L472" s="559"/>
      <c r="M472" s="559"/>
      <c r="N472" s="559"/>
      <c r="O472" s="559"/>
      <c r="P472" s="559"/>
      <c r="Q472" s="559"/>
      <c r="R472" s="559"/>
      <c r="S472" s="559"/>
      <c r="T472" s="559"/>
      <c r="U472" s="559"/>
      <c r="V472" s="559"/>
      <c r="W472" s="559"/>
      <c r="X472" s="559"/>
      <c r="Y472" s="559"/>
      <c r="Z472" s="559"/>
      <c r="AA472" s="559"/>
      <c r="AB472" s="559"/>
      <c r="AC472" s="559"/>
      <c r="AD472" s="559"/>
      <c r="AE472" s="559"/>
    </row>
    <row r="473" spans="1:31" ht="18" customHeight="1" x14ac:dyDescent="0.35">
      <c r="A473" s="559"/>
      <c r="B473" s="559"/>
      <c r="C473" s="559"/>
      <c r="D473" s="559"/>
      <c r="E473" s="559"/>
      <c r="F473" s="559"/>
      <c r="G473" s="559"/>
      <c r="H473" s="559"/>
      <c r="I473" s="559"/>
      <c r="J473" s="559"/>
      <c r="K473" s="559"/>
      <c r="L473" s="559"/>
      <c r="M473" s="559"/>
      <c r="N473" s="559"/>
      <c r="O473" s="559"/>
      <c r="P473" s="559"/>
      <c r="Q473" s="559"/>
      <c r="R473" s="559"/>
      <c r="S473" s="559"/>
      <c r="T473" s="559"/>
      <c r="U473" s="559"/>
      <c r="V473" s="559"/>
      <c r="W473" s="559"/>
      <c r="X473" s="559"/>
      <c r="Y473" s="559"/>
      <c r="Z473" s="559"/>
      <c r="AA473" s="559"/>
      <c r="AB473" s="559"/>
      <c r="AC473" s="559"/>
      <c r="AD473" s="559"/>
      <c r="AE473" s="559"/>
    </row>
    <row r="474" spans="1:31" ht="18" customHeight="1" x14ac:dyDescent="0.35">
      <c r="A474" s="559"/>
      <c r="B474" s="559"/>
      <c r="C474" s="559"/>
      <c r="D474" s="559"/>
      <c r="E474" s="559"/>
      <c r="F474" s="559"/>
      <c r="G474" s="559"/>
      <c r="H474" s="559"/>
      <c r="I474" s="559"/>
      <c r="J474" s="559"/>
      <c r="K474" s="559"/>
      <c r="L474" s="559"/>
      <c r="M474" s="559"/>
      <c r="N474" s="559"/>
      <c r="O474" s="559"/>
      <c r="P474" s="559"/>
      <c r="Q474" s="559"/>
      <c r="R474" s="559"/>
      <c r="S474" s="559"/>
      <c r="T474" s="559"/>
      <c r="U474" s="559"/>
      <c r="V474" s="559"/>
      <c r="W474" s="559"/>
      <c r="X474" s="559"/>
      <c r="Y474" s="559"/>
      <c r="Z474" s="559"/>
      <c r="AA474" s="559"/>
      <c r="AB474" s="559"/>
      <c r="AC474" s="559"/>
      <c r="AD474" s="559"/>
      <c r="AE474" s="559"/>
    </row>
    <row r="475" spans="1:31" ht="18" customHeight="1" x14ac:dyDescent="0.35">
      <c r="A475" s="559"/>
      <c r="B475" s="559"/>
      <c r="C475" s="559"/>
      <c r="D475" s="559"/>
      <c r="E475" s="559"/>
      <c r="F475" s="559"/>
      <c r="G475" s="559"/>
      <c r="H475" s="559"/>
      <c r="I475" s="559"/>
      <c r="J475" s="559"/>
      <c r="K475" s="559"/>
      <c r="L475" s="559"/>
      <c r="M475" s="559"/>
      <c r="N475" s="559"/>
      <c r="O475" s="559"/>
      <c r="P475" s="559"/>
      <c r="Q475" s="559"/>
      <c r="R475" s="559"/>
      <c r="S475" s="559"/>
      <c r="T475" s="559"/>
      <c r="U475" s="559"/>
      <c r="V475" s="559"/>
      <c r="W475" s="559"/>
      <c r="X475" s="559"/>
      <c r="Y475" s="559"/>
      <c r="Z475" s="559"/>
      <c r="AA475" s="559"/>
      <c r="AB475" s="559"/>
      <c r="AC475" s="559"/>
      <c r="AD475" s="559"/>
      <c r="AE475" s="559"/>
    </row>
    <row r="476" spans="1:31" ht="18" customHeight="1" x14ac:dyDescent="0.35">
      <c r="A476" s="559"/>
      <c r="B476" s="559"/>
      <c r="C476" s="559"/>
      <c r="D476" s="559"/>
      <c r="E476" s="559"/>
      <c r="F476" s="559"/>
      <c r="G476" s="559"/>
      <c r="H476" s="559"/>
      <c r="I476" s="559"/>
      <c r="J476" s="559"/>
      <c r="K476" s="559"/>
      <c r="L476" s="559"/>
      <c r="M476" s="559"/>
      <c r="N476" s="559"/>
      <c r="O476" s="559"/>
      <c r="P476" s="559"/>
      <c r="Q476" s="559"/>
      <c r="R476" s="559"/>
      <c r="S476" s="559"/>
      <c r="T476" s="559"/>
      <c r="U476" s="559"/>
      <c r="V476" s="559"/>
      <c r="W476" s="559"/>
      <c r="X476" s="559"/>
      <c r="Y476" s="559"/>
      <c r="Z476" s="559"/>
      <c r="AA476" s="559"/>
      <c r="AB476" s="559"/>
      <c r="AC476" s="559"/>
      <c r="AD476" s="559"/>
      <c r="AE476" s="559"/>
    </row>
    <row r="477" spans="1:31" ht="18" customHeight="1" x14ac:dyDescent="0.35">
      <c r="A477" s="559"/>
      <c r="B477" s="559"/>
      <c r="C477" s="559"/>
      <c r="D477" s="559"/>
      <c r="E477" s="559"/>
      <c r="F477" s="559"/>
      <c r="G477" s="559"/>
      <c r="H477" s="559"/>
      <c r="I477" s="559"/>
      <c r="J477" s="559"/>
      <c r="K477" s="559"/>
      <c r="L477" s="559"/>
      <c r="M477" s="559"/>
      <c r="N477" s="559"/>
      <c r="O477" s="559"/>
      <c r="P477" s="559"/>
      <c r="Q477" s="559"/>
      <c r="R477" s="559"/>
      <c r="S477" s="559"/>
      <c r="T477" s="559"/>
      <c r="U477" s="559"/>
      <c r="V477" s="559"/>
      <c r="W477" s="559"/>
      <c r="X477" s="559"/>
      <c r="Y477" s="559"/>
      <c r="Z477" s="559"/>
      <c r="AA477" s="559"/>
      <c r="AB477" s="559"/>
      <c r="AC477" s="559"/>
      <c r="AD477" s="559"/>
      <c r="AE477" s="559"/>
    </row>
    <row r="478" spans="1:31" ht="18" customHeight="1" x14ac:dyDescent="0.35">
      <c r="A478" s="559"/>
      <c r="B478" s="559"/>
      <c r="C478" s="559"/>
      <c r="D478" s="559"/>
      <c r="E478" s="559"/>
      <c r="F478" s="559"/>
      <c r="G478" s="559"/>
      <c r="H478" s="559"/>
      <c r="I478" s="559"/>
      <c r="J478" s="559"/>
      <c r="K478" s="559"/>
      <c r="L478" s="559"/>
      <c r="M478" s="559"/>
      <c r="N478" s="559"/>
      <c r="O478" s="559"/>
      <c r="P478" s="559"/>
      <c r="Q478" s="559"/>
      <c r="R478" s="559"/>
      <c r="S478" s="559"/>
      <c r="T478" s="559"/>
      <c r="U478" s="559"/>
      <c r="V478" s="559"/>
      <c r="W478" s="559"/>
      <c r="X478" s="559"/>
      <c r="Y478" s="559"/>
      <c r="Z478" s="559"/>
      <c r="AA478" s="559"/>
      <c r="AB478" s="559"/>
      <c r="AC478" s="559"/>
      <c r="AD478" s="559"/>
      <c r="AE478" s="559"/>
    </row>
    <row r="479" spans="1:31" ht="18" customHeight="1" x14ac:dyDescent="0.35">
      <c r="A479" s="559"/>
      <c r="B479" s="559"/>
      <c r="C479" s="559"/>
      <c r="D479" s="559"/>
      <c r="E479" s="559"/>
      <c r="F479" s="559"/>
      <c r="G479" s="559"/>
      <c r="H479" s="559"/>
      <c r="I479" s="559"/>
      <c r="J479" s="559"/>
      <c r="K479" s="559"/>
      <c r="L479" s="559"/>
      <c r="M479" s="559"/>
      <c r="N479" s="559"/>
      <c r="O479" s="559"/>
      <c r="P479" s="559"/>
      <c r="Q479" s="559"/>
      <c r="R479" s="559"/>
      <c r="S479" s="559"/>
      <c r="T479" s="559"/>
      <c r="U479" s="559"/>
      <c r="V479" s="559"/>
      <c r="W479" s="559"/>
      <c r="X479" s="559"/>
      <c r="Y479" s="559"/>
      <c r="Z479" s="559"/>
      <c r="AA479" s="559"/>
      <c r="AB479" s="559"/>
      <c r="AC479" s="559"/>
      <c r="AD479" s="559"/>
      <c r="AE479" s="559"/>
    </row>
    <row r="480" spans="1:31" ht="18" customHeight="1" x14ac:dyDescent="0.35">
      <c r="A480" s="559"/>
      <c r="B480" s="559"/>
      <c r="C480" s="559"/>
      <c r="D480" s="559"/>
      <c r="E480" s="559"/>
      <c r="F480" s="559"/>
      <c r="G480" s="559"/>
      <c r="H480" s="559"/>
      <c r="I480" s="559"/>
      <c r="J480" s="559"/>
      <c r="K480" s="559"/>
      <c r="L480" s="559"/>
      <c r="M480" s="559"/>
      <c r="N480" s="559"/>
      <c r="O480" s="559"/>
      <c r="P480" s="559"/>
      <c r="Q480" s="559"/>
      <c r="R480" s="559"/>
      <c r="S480" s="559"/>
      <c r="T480" s="559"/>
      <c r="U480" s="559"/>
      <c r="V480" s="559"/>
      <c r="W480" s="559"/>
      <c r="X480" s="559"/>
      <c r="Y480" s="559"/>
      <c r="Z480" s="559"/>
      <c r="AA480" s="559"/>
      <c r="AB480" s="559"/>
      <c r="AC480" s="559"/>
      <c r="AD480" s="559"/>
      <c r="AE480" s="559"/>
    </row>
    <row r="481" spans="1:31" ht="18" customHeight="1" x14ac:dyDescent="0.35">
      <c r="A481" s="559"/>
      <c r="B481" s="559"/>
      <c r="C481" s="559"/>
      <c r="D481" s="559"/>
      <c r="E481" s="559"/>
      <c r="F481" s="559"/>
      <c r="G481" s="559"/>
      <c r="H481" s="559"/>
      <c r="I481" s="559"/>
      <c r="J481" s="559"/>
      <c r="K481" s="559"/>
      <c r="L481" s="559"/>
      <c r="M481" s="559"/>
      <c r="N481" s="559"/>
      <c r="O481" s="559"/>
      <c r="P481" s="559"/>
      <c r="Q481" s="559"/>
      <c r="R481" s="559"/>
      <c r="S481" s="559"/>
      <c r="T481" s="559"/>
      <c r="U481" s="559"/>
      <c r="V481" s="559"/>
      <c r="W481" s="559"/>
      <c r="X481" s="559"/>
      <c r="Y481" s="559"/>
      <c r="Z481" s="559"/>
      <c r="AA481" s="559"/>
      <c r="AB481" s="559"/>
      <c r="AC481" s="559"/>
      <c r="AD481" s="559"/>
      <c r="AE481" s="559"/>
    </row>
    <row r="482" spans="1:31" ht="18" customHeight="1" x14ac:dyDescent="0.35">
      <c r="A482" s="559"/>
      <c r="B482" s="559"/>
      <c r="C482" s="559"/>
      <c r="D482" s="559"/>
      <c r="E482" s="559"/>
      <c r="F482" s="559"/>
      <c r="G482" s="559"/>
      <c r="H482" s="559"/>
      <c r="I482" s="559"/>
      <c r="J482" s="559"/>
      <c r="K482" s="559"/>
      <c r="L482" s="559"/>
      <c r="M482" s="559"/>
      <c r="N482" s="559"/>
      <c r="O482" s="559"/>
      <c r="P482" s="559"/>
      <c r="Q482" s="559"/>
      <c r="R482" s="559"/>
      <c r="S482" s="559"/>
      <c r="T482" s="559"/>
      <c r="U482" s="559"/>
      <c r="V482" s="559"/>
      <c r="W482" s="559"/>
      <c r="X482" s="559"/>
      <c r="Y482" s="559"/>
      <c r="Z482" s="559"/>
      <c r="AA482" s="559"/>
      <c r="AB482" s="559"/>
      <c r="AC482" s="559"/>
      <c r="AD482" s="559"/>
      <c r="AE482" s="559"/>
    </row>
    <row r="483" spans="1:31" ht="18" customHeight="1" x14ac:dyDescent="0.35">
      <c r="A483" s="559"/>
      <c r="B483" s="559"/>
      <c r="C483" s="559"/>
      <c r="D483" s="559"/>
      <c r="E483" s="559"/>
      <c r="F483" s="559"/>
      <c r="G483" s="559"/>
      <c r="H483" s="559"/>
      <c r="I483" s="559"/>
      <c r="J483" s="559"/>
      <c r="K483" s="559"/>
      <c r="L483" s="559"/>
      <c r="M483" s="559"/>
      <c r="N483" s="559"/>
      <c r="O483" s="559"/>
      <c r="P483" s="559"/>
      <c r="Q483" s="559"/>
      <c r="R483" s="559"/>
      <c r="S483" s="559"/>
      <c r="T483" s="559"/>
      <c r="U483" s="559"/>
      <c r="V483" s="559"/>
      <c r="W483" s="559"/>
      <c r="X483" s="559"/>
      <c r="Y483" s="559"/>
      <c r="Z483" s="559"/>
      <c r="AA483" s="559"/>
      <c r="AB483" s="559"/>
      <c r="AC483" s="559"/>
      <c r="AD483" s="559"/>
      <c r="AE483" s="559"/>
    </row>
    <row r="484" spans="1:31" ht="18" customHeight="1" x14ac:dyDescent="0.35">
      <c r="A484" s="559"/>
      <c r="B484" s="559"/>
      <c r="C484" s="559"/>
      <c r="D484" s="559"/>
      <c r="E484" s="559"/>
      <c r="F484" s="559"/>
      <c r="G484" s="559"/>
      <c r="H484" s="559"/>
      <c r="I484" s="559"/>
      <c r="J484" s="559"/>
      <c r="K484" s="559"/>
      <c r="L484" s="559"/>
      <c r="M484" s="559"/>
      <c r="N484" s="559"/>
      <c r="O484" s="559"/>
      <c r="P484" s="559"/>
      <c r="Q484" s="559"/>
      <c r="R484" s="559"/>
      <c r="S484" s="559"/>
      <c r="T484" s="559"/>
      <c r="U484" s="559"/>
      <c r="V484" s="559"/>
      <c r="W484" s="559"/>
      <c r="X484" s="559"/>
      <c r="Y484" s="559"/>
      <c r="Z484" s="559"/>
      <c r="AA484" s="559"/>
      <c r="AB484" s="559"/>
      <c r="AC484" s="559"/>
      <c r="AD484" s="559"/>
      <c r="AE484" s="559"/>
    </row>
    <row r="485" spans="1:31" ht="18" customHeight="1" x14ac:dyDescent="0.35">
      <c r="A485" s="559"/>
      <c r="B485" s="559"/>
      <c r="C485" s="559"/>
      <c r="D485" s="559"/>
      <c r="E485" s="559"/>
      <c r="F485" s="559"/>
      <c r="G485" s="559"/>
      <c r="H485" s="559"/>
      <c r="I485" s="559"/>
      <c r="J485" s="559"/>
      <c r="K485" s="559"/>
      <c r="L485" s="559"/>
      <c r="M485" s="559"/>
      <c r="N485" s="559"/>
      <c r="O485" s="559"/>
      <c r="P485" s="559"/>
      <c r="Q485" s="559"/>
      <c r="R485" s="559"/>
      <c r="S485" s="559"/>
      <c r="T485" s="559"/>
      <c r="U485" s="559"/>
      <c r="V485" s="559"/>
      <c r="W485" s="559"/>
      <c r="X485" s="559"/>
      <c r="Y485" s="559"/>
      <c r="Z485" s="559"/>
      <c r="AA485" s="559"/>
      <c r="AB485" s="559"/>
      <c r="AC485" s="559"/>
      <c r="AD485" s="559"/>
      <c r="AE485" s="559"/>
    </row>
    <row r="486" spans="1:31" ht="18" customHeight="1" x14ac:dyDescent="0.35">
      <c r="A486" s="559"/>
      <c r="B486" s="559"/>
      <c r="C486" s="559"/>
      <c r="D486" s="559"/>
      <c r="E486" s="559"/>
      <c r="F486" s="559"/>
      <c r="G486" s="559"/>
      <c r="H486" s="559"/>
      <c r="I486" s="559"/>
      <c r="J486" s="559"/>
      <c r="K486" s="559"/>
      <c r="L486" s="559"/>
      <c r="M486" s="559"/>
      <c r="N486" s="559"/>
      <c r="O486" s="559"/>
      <c r="P486" s="559"/>
      <c r="Q486" s="559"/>
      <c r="R486" s="559"/>
      <c r="S486" s="559"/>
      <c r="T486" s="559"/>
      <c r="U486" s="559"/>
      <c r="V486" s="559"/>
      <c r="W486" s="559"/>
      <c r="X486" s="559"/>
      <c r="Y486" s="559"/>
      <c r="Z486" s="559"/>
      <c r="AA486" s="559"/>
      <c r="AB486" s="559"/>
      <c r="AC486" s="559"/>
      <c r="AD486" s="559"/>
      <c r="AE486" s="559"/>
    </row>
    <row r="487" spans="1:31" ht="18" customHeight="1" x14ac:dyDescent="0.35">
      <c r="A487" s="559"/>
      <c r="B487" s="559"/>
      <c r="C487" s="559"/>
      <c r="D487" s="559"/>
      <c r="E487" s="559"/>
      <c r="F487" s="559"/>
      <c r="G487" s="559"/>
      <c r="H487" s="559"/>
      <c r="I487" s="559"/>
      <c r="J487" s="559"/>
      <c r="K487" s="559"/>
      <c r="L487" s="559"/>
      <c r="M487" s="559"/>
      <c r="N487" s="559"/>
      <c r="O487" s="559"/>
      <c r="P487" s="559"/>
      <c r="Q487" s="559"/>
      <c r="R487" s="559"/>
      <c r="S487" s="559"/>
      <c r="T487" s="559"/>
      <c r="U487" s="559"/>
      <c r="V487" s="559"/>
      <c r="W487" s="559"/>
      <c r="X487" s="559"/>
      <c r="Y487" s="559"/>
      <c r="Z487" s="559"/>
      <c r="AA487" s="559"/>
      <c r="AB487" s="559"/>
      <c r="AC487" s="559"/>
      <c r="AD487" s="559"/>
      <c r="AE487" s="559"/>
    </row>
    <row r="488" spans="1:31" ht="18" customHeight="1" x14ac:dyDescent="0.35">
      <c r="A488" s="559"/>
      <c r="B488" s="559"/>
      <c r="C488" s="559"/>
      <c r="D488" s="559"/>
      <c r="E488" s="559"/>
      <c r="F488" s="559"/>
      <c r="G488" s="559"/>
      <c r="H488" s="559"/>
      <c r="I488" s="559"/>
      <c r="J488" s="559"/>
      <c r="K488" s="559"/>
      <c r="L488" s="559"/>
      <c r="M488" s="559"/>
      <c r="N488" s="559"/>
      <c r="O488" s="559"/>
      <c r="P488" s="559"/>
      <c r="Q488" s="559"/>
      <c r="R488" s="559"/>
      <c r="S488" s="559"/>
      <c r="T488" s="559"/>
      <c r="U488" s="559"/>
      <c r="V488" s="559"/>
      <c r="W488" s="559"/>
      <c r="X488" s="559"/>
      <c r="Y488" s="559"/>
      <c r="Z488" s="559"/>
      <c r="AA488" s="559"/>
      <c r="AB488" s="559"/>
      <c r="AC488" s="559"/>
      <c r="AD488" s="559"/>
      <c r="AE488" s="559"/>
    </row>
    <row r="489" spans="1:31" ht="18" customHeight="1" x14ac:dyDescent="0.35">
      <c r="A489" s="559"/>
      <c r="B489" s="559"/>
      <c r="C489" s="559"/>
      <c r="D489" s="559"/>
      <c r="E489" s="559"/>
      <c r="F489" s="559"/>
      <c r="G489" s="559"/>
      <c r="H489" s="559"/>
      <c r="I489" s="559"/>
      <c r="J489" s="559"/>
      <c r="K489" s="559"/>
      <c r="L489" s="559"/>
      <c r="M489" s="559"/>
      <c r="N489" s="559"/>
      <c r="O489" s="559"/>
      <c r="P489" s="559"/>
      <c r="Q489" s="559"/>
      <c r="R489" s="559"/>
      <c r="S489" s="559"/>
      <c r="T489" s="559"/>
      <c r="U489" s="559"/>
      <c r="V489" s="559"/>
      <c r="W489" s="559"/>
      <c r="X489" s="559"/>
      <c r="Y489" s="559"/>
      <c r="Z489" s="559"/>
      <c r="AA489" s="559"/>
      <c r="AB489" s="559"/>
      <c r="AC489" s="559"/>
      <c r="AD489" s="559"/>
      <c r="AE489" s="559"/>
    </row>
    <row r="490" spans="1:31" ht="18" customHeight="1" x14ac:dyDescent="0.35">
      <c r="A490" s="559"/>
      <c r="B490" s="559"/>
      <c r="C490" s="559"/>
      <c r="D490" s="559"/>
      <c r="E490" s="559"/>
      <c r="F490" s="559"/>
      <c r="G490" s="559"/>
      <c r="H490" s="559"/>
      <c r="I490" s="559"/>
      <c r="J490" s="559"/>
      <c r="K490" s="559"/>
      <c r="L490" s="559"/>
      <c r="M490" s="559"/>
      <c r="N490" s="559"/>
      <c r="O490" s="559"/>
      <c r="P490" s="559"/>
      <c r="Q490" s="559"/>
      <c r="R490" s="559"/>
      <c r="S490" s="559"/>
      <c r="T490" s="559"/>
      <c r="U490" s="559"/>
      <c r="V490" s="559"/>
      <c r="W490" s="559"/>
      <c r="X490" s="559"/>
      <c r="Y490" s="559"/>
      <c r="Z490" s="559"/>
      <c r="AA490" s="559"/>
      <c r="AB490" s="559"/>
      <c r="AC490" s="559"/>
      <c r="AD490" s="559"/>
      <c r="AE490" s="559"/>
    </row>
    <row r="491" spans="1:31" ht="18" customHeight="1" x14ac:dyDescent="0.35">
      <c r="A491" s="559"/>
      <c r="B491" s="559"/>
      <c r="C491" s="559"/>
      <c r="D491" s="559"/>
      <c r="E491" s="559"/>
      <c r="F491" s="559"/>
      <c r="G491" s="559"/>
      <c r="H491" s="559"/>
      <c r="I491" s="559"/>
      <c r="J491" s="559"/>
      <c r="K491" s="559"/>
      <c r="L491" s="559"/>
      <c r="M491" s="559"/>
      <c r="N491" s="559"/>
      <c r="O491" s="559"/>
      <c r="P491" s="559"/>
      <c r="Q491" s="559"/>
      <c r="R491" s="559"/>
      <c r="S491" s="559"/>
      <c r="T491" s="559"/>
      <c r="U491" s="559"/>
      <c r="V491" s="559"/>
      <c r="W491" s="559"/>
      <c r="X491" s="559"/>
      <c r="Y491" s="559"/>
      <c r="Z491" s="559"/>
      <c r="AA491" s="559"/>
      <c r="AB491" s="559"/>
      <c r="AC491" s="559"/>
      <c r="AD491" s="559"/>
      <c r="AE491" s="559"/>
    </row>
    <row r="492" spans="1:31" ht="18" customHeight="1" x14ac:dyDescent="0.35">
      <c r="A492" s="559"/>
      <c r="B492" s="559"/>
      <c r="C492" s="559"/>
      <c r="D492" s="559"/>
      <c r="E492" s="559"/>
      <c r="F492" s="559"/>
      <c r="G492" s="559"/>
      <c r="H492" s="559"/>
      <c r="I492" s="559"/>
      <c r="J492" s="559"/>
      <c r="K492" s="559"/>
      <c r="L492" s="559"/>
      <c r="M492" s="559"/>
      <c r="N492" s="559"/>
      <c r="O492" s="559"/>
      <c r="P492" s="559"/>
      <c r="Q492" s="559"/>
      <c r="R492" s="559"/>
      <c r="S492" s="559"/>
      <c r="T492" s="559"/>
      <c r="U492" s="559"/>
      <c r="V492" s="559"/>
      <c r="W492" s="559"/>
      <c r="X492" s="559"/>
      <c r="Y492" s="559"/>
      <c r="Z492" s="559"/>
      <c r="AA492" s="559"/>
      <c r="AB492" s="559"/>
      <c r="AC492" s="559"/>
      <c r="AD492" s="559"/>
      <c r="AE492" s="559"/>
    </row>
    <row r="493" spans="1:31" ht="18" customHeight="1" x14ac:dyDescent="0.35">
      <c r="A493" s="559"/>
      <c r="B493" s="559"/>
      <c r="C493" s="559"/>
      <c r="D493" s="559"/>
      <c r="E493" s="559"/>
      <c r="F493" s="559"/>
      <c r="G493" s="559"/>
      <c r="H493" s="559"/>
      <c r="I493" s="559"/>
      <c r="J493" s="559"/>
      <c r="K493" s="559"/>
      <c r="L493" s="559"/>
      <c r="M493" s="559"/>
      <c r="N493" s="559"/>
      <c r="O493" s="559"/>
      <c r="P493" s="559"/>
      <c r="Q493" s="559"/>
      <c r="R493" s="559"/>
      <c r="S493" s="559"/>
      <c r="T493" s="559"/>
      <c r="U493" s="559"/>
      <c r="V493" s="559"/>
      <c r="W493" s="559"/>
      <c r="X493" s="559"/>
      <c r="Y493" s="559"/>
      <c r="Z493" s="559"/>
      <c r="AA493" s="559"/>
      <c r="AB493" s="559"/>
      <c r="AC493" s="559"/>
      <c r="AD493" s="559"/>
      <c r="AE493" s="559"/>
    </row>
    <row r="494" spans="1:31" ht="18" customHeight="1" x14ac:dyDescent="0.35">
      <c r="A494" s="559"/>
      <c r="B494" s="559"/>
      <c r="C494" s="559"/>
      <c r="D494" s="559"/>
      <c r="E494" s="559"/>
      <c r="F494" s="559"/>
      <c r="G494" s="559"/>
      <c r="H494" s="559"/>
      <c r="I494" s="559"/>
      <c r="J494" s="559"/>
      <c r="K494" s="559"/>
      <c r="L494" s="559"/>
      <c r="M494" s="559"/>
      <c r="N494" s="559"/>
      <c r="O494" s="559"/>
      <c r="P494" s="559"/>
      <c r="Q494" s="559"/>
      <c r="R494" s="559"/>
      <c r="S494" s="559"/>
      <c r="T494" s="559"/>
      <c r="U494" s="559"/>
      <c r="V494" s="559"/>
      <c r="W494" s="559"/>
      <c r="X494" s="559"/>
      <c r="Y494" s="559"/>
      <c r="Z494" s="559"/>
      <c r="AA494" s="559"/>
      <c r="AB494" s="559"/>
      <c r="AC494" s="559"/>
      <c r="AD494" s="559"/>
      <c r="AE494" s="559"/>
    </row>
    <row r="495" spans="1:31" ht="18" customHeight="1" x14ac:dyDescent="0.35">
      <c r="A495" s="559"/>
      <c r="B495" s="559"/>
      <c r="C495" s="559"/>
      <c r="D495" s="559"/>
      <c r="E495" s="559"/>
      <c r="F495" s="559"/>
      <c r="G495" s="559"/>
      <c r="H495" s="559"/>
      <c r="I495" s="559"/>
      <c r="J495" s="559"/>
      <c r="K495" s="559"/>
      <c r="L495" s="559"/>
      <c r="M495" s="559"/>
      <c r="N495" s="559"/>
      <c r="O495" s="559"/>
      <c r="P495" s="559"/>
      <c r="Q495" s="559"/>
      <c r="R495" s="559"/>
      <c r="S495" s="559"/>
      <c r="T495" s="559"/>
      <c r="U495" s="559"/>
      <c r="V495" s="559"/>
      <c r="W495" s="559"/>
      <c r="X495" s="559"/>
      <c r="Y495" s="559"/>
      <c r="Z495" s="559"/>
      <c r="AA495" s="559"/>
      <c r="AB495" s="559"/>
      <c r="AC495" s="559"/>
      <c r="AD495" s="559"/>
      <c r="AE495" s="559"/>
    </row>
    <row r="496" spans="1:31" ht="18" customHeight="1" x14ac:dyDescent="0.35">
      <c r="A496" s="559"/>
      <c r="B496" s="559"/>
      <c r="C496" s="559"/>
      <c r="D496" s="559"/>
      <c r="E496" s="559"/>
      <c r="F496" s="559"/>
      <c r="G496" s="559"/>
      <c r="H496" s="559"/>
      <c r="I496" s="559"/>
      <c r="J496" s="559"/>
      <c r="K496" s="559"/>
      <c r="L496" s="559"/>
      <c r="M496" s="559"/>
      <c r="N496" s="559"/>
      <c r="O496" s="559"/>
      <c r="P496" s="559"/>
      <c r="Q496" s="559"/>
      <c r="R496" s="559"/>
      <c r="S496" s="559"/>
      <c r="T496" s="559"/>
      <c r="U496" s="559"/>
      <c r="V496" s="559"/>
      <c r="W496" s="559"/>
      <c r="X496" s="559"/>
      <c r="Y496" s="559"/>
      <c r="Z496" s="559"/>
      <c r="AA496" s="559"/>
      <c r="AB496" s="559"/>
      <c r="AC496" s="559"/>
      <c r="AD496" s="559"/>
      <c r="AE496" s="559"/>
    </row>
    <row r="497" spans="1:31" ht="18" customHeight="1" x14ac:dyDescent="0.35">
      <c r="A497" s="559"/>
      <c r="B497" s="559"/>
      <c r="C497" s="559"/>
      <c r="D497" s="559"/>
      <c r="E497" s="559"/>
      <c r="F497" s="559"/>
      <c r="G497" s="559"/>
      <c r="H497" s="559"/>
      <c r="I497" s="559"/>
      <c r="J497" s="559"/>
      <c r="K497" s="559"/>
      <c r="L497" s="559"/>
      <c r="M497" s="559"/>
      <c r="N497" s="559"/>
      <c r="O497" s="559"/>
      <c r="P497" s="559"/>
      <c r="Q497" s="559"/>
      <c r="R497" s="559"/>
      <c r="S497" s="559"/>
      <c r="T497" s="559"/>
      <c r="U497" s="559"/>
      <c r="V497" s="559"/>
      <c r="W497" s="559"/>
      <c r="X497" s="559"/>
      <c r="Y497" s="559"/>
      <c r="Z497" s="559"/>
      <c r="AA497" s="559"/>
      <c r="AB497" s="559"/>
      <c r="AC497" s="559"/>
      <c r="AD497" s="559"/>
      <c r="AE497" s="559"/>
    </row>
    <row r="498" spans="1:31" ht="18" customHeight="1" x14ac:dyDescent="0.35">
      <c r="A498" s="559"/>
      <c r="B498" s="559"/>
      <c r="C498" s="559"/>
      <c r="D498" s="559"/>
      <c r="E498" s="559"/>
      <c r="F498" s="559"/>
      <c r="G498" s="559"/>
      <c r="H498" s="559"/>
      <c r="I498" s="559"/>
      <c r="J498" s="559"/>
      <c r="K498" s="559"/>
      <c r="L498" s="559"/>
      <c r="M498" s="559"/>
      <c r="N498" s="559"/>
      <c r="O498" s="559"/>
      <c r="P498" s="559"/>
      <c r="Q498" s="559"/>
      <c r="R498" s="559"/>
      <c r="S498" s="559"/>
      <c r="T498" s="559"/>
      <c r="U498" s="559"/>
      <c r="V498" s="559"/>
      <c r="W498" s="559"/>
      <c r="X498" s="559"/>
      <c r="Y498" s="559"/>
      <c r="Z498" s="559"/>
      <c r="AA498" s="559"/>
      <c r="AB498" s="559"/>
      <c r="AC498" s="559"/>
      <c r="AD498" s="559"/>
      <c r="AE498" s="559"/>
    </row>
    <row r="499" spans="1:31" ht="18" customHeight="1" x14ac:dyDescent="0.35">
      <c r="A499" s="559"/>
      <c r="B499" s="559"/>
      <c r="C499" s="559"/>
      <c r="D499" s="559"/>
      <c r="E499" s="559"/>
      <c r="F499" s="559"/>
      <c r="G499" s="559"/>
      <c r="H499" s="559"/>
      <c r="I499" s="559"/>
      <c r="J499" s="559"/>
      <c r="K499" s="559"/>
      <c r="L499" s="559"/>
      <c r="M499" s="559"/>
      <c r="N499" s="559"/>
      <c r="O499" s="559"/>
      <c r="P499" s="559"/>
      <c r="Q499" s="559"/>
      <c r="R499" s="559"/>
      <c r="S499" s="559"/>
      <c r="T499" s="559"/>
      <c r="U499" s="559"/>
      <c r="V499" s="559"/>
      <c r="W499" s="559"/>
      <c r="X499" s="559"/>
      <c r="Y499" s="559"/>
      <c r="Z499" s="559"/>
      <c r="AA499" s="559"/>
      <c r="AB499" s="559"/>
      <c r="AC499" s="559"/>
      <c r="AD499" s="559"/>
      <c r="AE499" s="559"/>
    </row>
    <row r="500" spans="1:31" ht="18" customHeight="1" x14ac:dyDescent="0.35">
      <c r="A500" s="559"/>
      <c r="B500" s="559"/>
      <c r="C500" s="559"/>
      <c r="D500" s="559"/>
      <c r="E500" s="559"/>
      <c r="F500" s="559"/>
      <c r="G500" s="559"/>
      <c r="H500" s="559"/>
      <c r="I500" s="559"/>
      <c r="J500" s="559"/>
      <c r="K500" s="559"/>
      <c r="L500" s="559"/>
      <c r="M500" s="559"/>
      <c r="N500" s="559"/>
      <c r="O500" s="559"/>
      <c r="P500" s="559"/>
      <c r="Q500" s="559"/>
      <c r="R500" s="559"/>
      <c r="S500" s="559"/>
      <c r="T500" s="559"/>
      <c r="U500" s="559"/>
      <c r="V500" s="559"/>
      <c r="W500" s="559"/>
      <c r="X500" s="559"/>
      <c r="Y500" s="559"/>
      <c r="Z500" s="559"/>
      <c r="AA500" s="559"/>
      <c r="AB500" s="559"/>
      <c r="AC500" s="559"/>
      <c r="AD500" s="559"/>
      <c r="AE500" s="559"/>
    </row>
    <row r="501" spans="1:31" ht="18" customHeight="1" x14ac:dyDescent="0.35">
      <c r="A501" s="559"/>
      <c r="B501" s="559"/>
      <c r="C501" s="559"/>
      <c r="D501" s="559"/>
      <c r="E501" s="559"/>
      <c r="F501" s="559"/>
      <c r="G501" s="559"/>
      <c r="H501" s="559"/>
      <c r="I501" s="559"/>
      <c r="J501" s="559"/>
      <c r="K501" s="559"/>
      <c r="L501" s="559"/>
      <c r="M501" s="559"/>
      <c r="N501" s="559"/>
      <c r="O501" s="559"/>
      <c r="P501" s="559"/>
      <c r="Q501" s="559"/>
      <c r="R501" s="559"/>
      <c r="S501" s="559"/>
      <c r="T501" s="559"/>
      <c r="U501" s="559"/>
      <c r="V501" s="559"/>
      <c r="W501" s="559"/>
      <c r="X501" s="559"/>
      <c r="Y501" s="559"/>
      <c r="Z501" s="559"/>
      <c r="AA501" s="559"/>
      <c r="AB501" s="559"/>
      <c r="AC501" s="559"/>
      <c r="AD501" s="559"/>
      <c r="AE501" s="559"/>
    </row>
    <row r="502" spans="1:31" ht="18" customHeight="1" x14ac:dyDescent="0.35">
      <c r="A502" s="559"/>
      <c r="B502" s="559"/>
      <c r="C502" s="559"/>
      <c r="D502" s="559"/>
      <c r="E502" s="559"/>
      <c r="F502" s="559"/>
      <c r="G502" s="559"/>
      <c r="H502" s="559"/>
      <c r="I502" s="559"/>
      <c r="J502" s="559"/>
      <c r="K502" s="559"/>
      <c r="L502" s="559"/>
      <c r="M502" s="559"/>
      <c r="N502" s="559"/>
      <c r="O502" s="559"/>
      <c r="P502" s="559"/>
      <c r="Q502" s="559"/>
      <c r="R502" s="559"/>
      <c r="S502" s="559"/>
      <c r="T502" s="559"/>
      <c r="U502" s="559"/>
      <c r="V502" s="559"/>
      <c r="W502" s="559"/>
      <c r="X502" s="559"/>
      <c r="Y502" s="559"/>
      <c r="Z502" s="559"/>
      <c r="AA502" s="559"/>
      <c r="AB502" s="559"/>
      <c r="AC502" s="559"/>
      <c r="AD502" s="559"/>
      <c r="AE502" s="559"/>
    </row>
    <row r="503" spans="1:31" ht="18" customHeight="1" x14ac:dyDescent="0.35">
      <c r="A503" s="559"/>
      <c r="B503" s="559"/>
      <c r="C503" s="559"/>
      <c r="D503" s="559"/>
      <c r="E503" s="559"/>
      <c r="F503" s="559"/>
      <c r="G503" s="559"/>
      <c r="H503" s="559"/>
      <c r="I503" s="559"/>
      <c r="J503" s="559"/>
      <c r="K503" s="559"/>
      <c r="L503" s="559"/>
      <c r="M503" s="559"/>
      <c r="N503" s="559"/>
      <c r="O503" s="559"/>
      <c r="P503" s="559"/>
      <c r="Q503" s="559"/>
      <c r="R503" s="559"/>
      <c r="S503" s="559"/>
      <c r="T503" s="559"/>
      <c r="U503" s="559"/>
      <c r="V503" s="559"/>
      <c r="W503" s="559"/>
      <c r="X503" s="559"/>
      <c r="Y503" s="559"/>
      <c r="Z503" s="559"/>
      <c r="AA503" s="559"/>
      <c r="AB503" s="559"/>
      <c r="AC503" s="559"/>
      <c r="AD503" s="559"/>
      <c r="AE503" s="559"/>
    </row>
    <row r="504" spans="1:31" ht="18" customHeight="1" x14ac:dyDescent="0.35">
      <c r="A504" s="559"/>
      <c r="B504" s="559"/>
      <c r="C504" s="559"/>
      <c r="D504" s="559"/>
      <c r="E504" s="559"/>
      <c r="F504" s="559"/>
      <c r="G504" s="559"/>
      <c r="H504" s="559"/>
      <c r="I504" s="559"/>
      <c r="J504" s="559"/>
      <c r="K504" s="559"/>
      <c r="L504" s="559"/>
      <c r="M504" s="559"/>
      <c r="N504" s="559"/>
      <c r="O504" s="559"/>
      <c r="P504" s="559"/>
      <c r="Q504" s="559"/>
      <c r="R504" s="559"/>
      <c r="S504" s="559"/>
      <c r="T504" s="559"/>
      <c r="U504" s="559"/>
      <c r="V504" s="559"/>
      <c r="W504" s="559"/>
      <c r="X504" s="559"/>
      <c r="Y504" s="559"/>
      <c r="Z504" s="559"/>
      <c r="AA504" s="559"/>
      <c r="AB504" s="559"/>
      <c r="AC504" s="559"/>
      <c r="AD504" s="559"/>
      <c r="AE504" s="559"/>
    </row>
    <row r="505" spans="1:31" ht="18" customHeight="1" x14ac:dyDescent="0.35">
      <c r="A505" s="559"/>
      <c r="B505" s="559"/>
      <c r="C505" s="559"/>
      <c r="D505" s="559"/>
      <c r="E505" s="559"/>
      <c r="F505" s="559"/>
      <c r="G505" s="559"/>
      <c r="H505" s="559"/>
      <c r="I505" s="559"/>
      <c r="J505" s="559"/>
      <c r="K505" s="559"/>
      <c r="L505" s="559"/>
      <c r="M505" s="559"/>
      <c r="N505" s="559"/>
      <c r="O505" s="559"/>
      <c r="P505" s="559"/>
      <c r="Q505" s="559"/>
      <c r="R505" s="559"/>
      <c r="S505" s="559"/>
      <c r="T505" s="559"/>
      <c r="U505" s="559"/>
      <c r="V505" s="559"/>
      <c r="W505" s="559"/>
      <c r="X505" s="559"/>
      <c r="Y505" s="559"/>
      <c r="Z505" s="559"/>
      <c r="AA505" s="559"/>
      <c r="AB505" s="559"/>
      <c r="AC505" s="559"/>
      <c r="AD505" s="559"/>
      <c r="AE505" s="559"/>
    </row>
    <row r="506" spans="1:31" ht="18" customHeight="1" x14ac:dyDescent="0.35">
      <c r="A506" s="559"/>
      <c r="B506" s="559"/>
      <c r="C506" s="559"/>
      <c r="D506" s="559"/>
      <c r="E506" s="559"/>
      <c r="F506" s="559"/>
      <c r="G506" s="559"/>
      <c r="H506" s="559"/>
      <c r="I506" s="559"/>
      <c r="J506" s="559"/>
      <c r="K506" s="559"/>
      <c r="L506" s="559"/>
      <c r="M506" s="559"/>
      <c r="N506" s="559"/>
      <c r="O506" s="559"/>
      <c r="P506" s="559"/>
      <c r="Q506" s="559"/>
      <c r="R506" s="559"/>
      <c r="S506" s="559"/>
      <c r="T506" s="559"/>
      <c r="U506" s="559"/>
      <c r="V506" s="559"/>
      <c r="W506" s="559"/>
      <c r="X506" s="559"/>
      <c r="Y506" s="559"/>
      <c r="Z506" s="559"/>
      <c r="AA506" s="559"/>
      <c r="AB506" s="559"/>
      <c r="AC506" s="559"/>
      <c r="AD506" s="559"/>
      <c r="AE506" s="559"/>
    </row>
    <row r="507" spans="1:31" ht="18" customHeight="1" x14ac:dyDescent="0.35">
      <c r="A507" s="559"/>
      <c r="B507" s="559"/>
      <c r="C507" s="559"/>
      <c r="D507" s="559"/>
      <c r="E507" s="559"/>
      <c r="F507" s="559"/>
      <c r="G507" s="559"/>
      <c r="H507" s="559"/>
      <c r="I507" s="559"/>
      <c r="J507" s="559"/>
      <c r="K507" s="559"/>
      <c r="L507" s="559"/>
      <c r="M507" s="559"/>
      <c r="N507" s="559"/>
      <c r="O507" s="559"/>
      <c r="P507" s="559"/>
      <c r="Q507" s="559"/>
      <c r="R507" s="559"/>
      <c r="S507" s="559"/>
      <c r="T507" s="559"/>
      <c r="U507" s="559"/>
      <c r="V507" s="559"/>
      <c r="W507" s="559"/>
      <c r="X507" s="559"/>
      <c r="Y507" s="559"/>
      <c r="Z507" s="559"/>
      <c r="AA507" s="559"/>
      <c r="AB507" s="559"/>
      <c r="AC507" s="559"/>
      <c r="AD507" s="559"/>
      <c r="AE507" s="559"/>
    </row>
    <row r="508" spans="1:31" ht="18" customHeight="1" x14ac:dyDescent="0.35">
      <c r="A508" s="559"/>
      <c r="B508" s="559"/>
      <c r="C508" s="559"/>
      <c r="D508" s="559"/>
      <c r="E508" s="559"/>
      <c r="F508" s="559"/>
      <c r="G508" s="559"/>
      <c r="H508" s="559"/>
      <c r="I508" s="559"/>
      <c r="J508" s="559"/>
      <c r="K508" s="559"/>
      <c r="L508" s="559"/>
      <c r="M508" s="559"/>
      <c r="N508" s="559"/>
      <c r="O508" s="559"/>
      <c r="P508" s="559"/>
      <c r="Q508" s="559"/>
      <c r="R508" s="559"/>
      <c r="S508" s="559"/>
      <c r="T508" s="559"/>
      <c r="U508" s="559"/>
      <c r="V508" s="559"/>
      <c r="W508" s="559"/>
      <c r="X508" s="559"/>
      <c r="Y508" s="559"/>
      <c r="Z508" s="559"/>
      <c r="AA508" s="559"/>
      <c r="AB508" s="559"/>
      <c r="AC508" s="559"/>
      <c r="AD508" s="559"/>
      <c r="AE508" s="559"/>
    </row>
    <row r="509" spans="1:31" ht="18" customHeight="1" x14ac:dyDescent="0.35">
      <c r="A509" s="559"/>
      <c r="B509" s="559"/>
      <c r="C509" s="559"/>
      <c r="D509" s="559"/>
      <c r="E509" s="559"/>
      <c r="F509" s="559"/>
      <c r="G509" s="559"/>
      <c r="H509" s="559"/>
      <c r="I509" s="559"/>
      <c r="J509" s="559"/>
      <c r="K509" s="559"/>
      <c r="L509" s="559"/>
      <c r="M509" s="559"/>
      <c r="N509" s="559"/>
      <c r="O509" s="559"/>
      <c r="P509" s="559"/>
      <c r="Q509" s="559"/>
      <c r="R509" s="559"/>
      <c r="S509" s="559"/>
      <c r="T509" s="559"/>
      <c r="U509" s="559"/>
      <c r="V509" s="559"/>
      <c r="W509" s="559"/>
      <c r="X509" s="559"/>
      <c r="Y509" s="559"/>
      <c r="Z509" s="559"/>
      <c r="AA509" s="559"/>
      <c r="AB509" s="559"/>
      <c r="AC509" s="559"/>
      <c r="AD509" s="559"/>
      <c r="AE509" s="559"/>
    </row>
    <row r="510" spans="1:31" ht="18" customHeight="1" x14ac:dyDescent="0.35">
      <c r="A510" s="559"/>
      <c r="B510" s="559"/>
      <c r="C510" s="559"/>
      <c r="D510" s="559"/>
      <c r="E510" s="559"/>
      <c r="F510" s="559"/>
      <c r="G510" s="559"/>
      <c r="H510" s="559"/>
      <c r="I510" s="559"/>
      <c r="J510" s="559"/>
      <c r="K510" s="559"/>
      <c r="L510" s="559"/>
      <c r="M510" s="559"/>
      <c r="N510" s="559"/>
      <c r="O510" s="559"/>
      <c r="P510" s="559"/>
      <c r="Q510" s="559"/>
      <c r="R510" s="559"/>
      <c r="S510" s="559"/>
      <c r="T510" s="559"/>
      <c r="U510" s="559"/>
      <c r="V510" s="559"/>
      <c r="W510" s="559"/>
      <c r="X510" s="559"/>
      <c r="Y510" s="559"/>
      <c r="Z510" s="559"/>
      <c r="AA510" s="559"/>
      <c r="AB510" s="559"/>
      <c r="AC510" s="559"/>
      <c r="AD510" s="559"/>
      <c r="AE510" s="559"/>
    </row>
    <row r="511" spans="1:31" ht="18" customHeight="1" x14ac:dyDescent="0.35">
      <c r="A511" s="559"/>
      <c r="B511" s="559"/>
      <c r="C511" s="559"/>
      <c r="D511" s="559"/>
      <c r="E511" s="559"/>
      <c r="F511" s="559"/>
      <c r="G511" s="559"/>
      <c r="H511" s="559"/>
      <c r="I511" s="559"/>
      <c r="J511" s="559"/>
      <c r="K511" s="559"/>
      <c r="L511" s="559"/>
      <c r="M511" s="559"/>
      <c r="N511" s="559"/>
      <c r="O511" s="559"/>
      <c r="P511" s="559"/>
      <c r="Q511" s="559"/>
      <c r="R511" s="559"/>
      <c r="S511" s="559"/>
      <c r="T511" s="559"/>
      <c r="U511" s="559"/>
      <c r="V511" s="559"/>
      <c r="W511" s="559"/>
      <c r="X511" s="559"/>
      <c r="Y511" s="559"/>
      <c r="Z511" s="559"/>
      <c r="AA511" s="559"/>
      <c r="AB511" s="559"/>
      <c r="AC511" s="559"/>
      <c r="AD511" s="559"/>
      <c r="AE511" s="559"/>
    </row>
    <row r="512" spans="1:31" ht="18" customHeight="1" x14ac:dyDescent="0.35">
      <c r="A512" s="559"/>
      <c r="B512" s="559"/>
      <c r="C512" s="559"/>
      <c r="D512" s="559"/>
      <c r="E512" s="559"/>
      <c r="F512" s="559"/>
      <c r="G512" s="559"/>
      <c r="H512" s="559"/>
      <c r="I512" s="559"/>
      <c r="J512" s="559"/>
      <c r="K512" s="559"/>
      <c r="L512" s="559"/>
      <c r="M512" s="559"/>
      <c r="N512" s="559"/>
      <c r="O512" s="559"/>
      <c r="P512" s="559"/>
      <c r="Q512" s="559"/>
      <c r="R512" s="559"/>
      <c r="S512" s="559"/>
      <c r="T512" s="559"/>
      <c r="U512" s="559"/>
      <c r="V512" s="559"/>
      <c r="W512" s="559"/>
      <c r="X512" s="559"/>
      <c r="Y512" s="559"/>
      <c r="Z512" s="559"/>
      <c r="AA512" s="559"/>
      <c r="AB512" s="559"/>
      <c r="AC512" s="559"/>
      <c r="AD512" s="559"/>
      <c r="AE512" s="559"/>
    </row>
    <row r="513" spans="1:31" ht="18" customHeight="1" x14ac:dyDescent="0.35">
      <c r="A513" s="559"/>
      <c r="B513" s="559"/>
      <c r="C513" s="559"/>
      <c r="D513" s="559"/>
      <c r="E513" s="559"/>
      <c r="F513" s="559"/>
      <c r="G513" s="559"/>
      <c r="H513" s="559"/>
      <c r="I513" s="559"/>
      <c r="J513" s="559"/>
      <c r="K513" s="559"/>
      <c r="L513" s="559"/>
      <c r="M513" s="559"/>
      <c r="N513" s="559"/>
      <c r="O513" s="559"/>
      <c r="P513" s="559"/>
      <c r="Q513" s="559"/>
      <c r="R513" s="559"/>
      <c r="S513" s="559"/>
      <c r="T513" s="559"/>
      <c r="U513" s="559"/>
      <c r="V513" s="559"/>
      <c r="W513" s="559"/>
      <c r="X513" s="559"/>
      <c r="Y513" s="559"/>
      <c r="Z513" s="559"/>
      <c r="AA513" s="559"/>
      <c r="AB513" s="559"/>
      <c r="AC513" s="559"/>
      <c r="AD513" s="559"/>
      <c r="AE513" s="559"/>
    </row>
    <row r="514" spans="1:31" ht="18" customHeight="1" x14ac:dyDescent="0.35">
      <c r="A514" s="559"/>
      <c r="B514" s="559"/>
      <c r="C514" s="559"/>
      <c r="D514" s="559"/>
      <c r="E514" s="559"/>
      <c r="F514" s="559"/>
      <c r="G514" s="559"/>
      <c r="H514" s="559"/>
      <c r="I514" s="559"/>
      <c r="J514" s="559"/>
      <c r="K514" s="559"/>
      <c r="L514" s="559"/>
      <c r="M514" s="559"/>
      <c r="N514" s="559"/>
      <c r="O514" s="559"/>
      <c r="P514" s="559"/>
      <c r="Q514" s="559"/>
      <c r="R514" s="559"/>
      <c r="S514" s="559"/>
      <c r="T514" s="559"/>
      <c r="U514" s="559"/>
      <c r="V514" s="559"/>
      <c r="W514" s="559"/>
      <c r="X514" s="559"/>
      <c r="Y514" s="559"/>
      <c r="Z514" s="559"/>
      <c r="AA514" s="559"/>
      <c r="AB514" s="559"/>
      <c r="AC514" s="559"/>
      <c r="AD514" s="559"/>
      <c r="AE514" s="559"/>
    </row>
    <row r="515" spans="1:31" ht="18" customHeight="1" x14ac:dyDescent="0.35">
      <c r="A515" s="559"/>
      <c r="B515" s="559"/>
      <c r="C515" s="559"/>
      <c r="D515" s="559"/>
      <c r="E515" s="559"/>
      <c r="F515" s="559"/>
      <c r="G515" s="559"/>
      <c r="H515" s="559"/>
      <c r="I515" s="559"/>
      <c r="J515" s="559"/>
      <c r="K515" s="559"/>
      <c r="L515" s="559"/>
      <c r="M515" s="559"/>
      <c r="N515" s="559"/>
      <c r="O515" s="559"/>
      <c r="P515" s="559"/>
      <c r="Q515" s="559"/>
      <c r="R515" s="559"/>
      <c r="S515" s="559"/>
      <c r="T515" s="559"/>
      <c r="U515" s="559"/>
      <c r="V515" s="559"/>
      <c r="W515" s="559"/>
      <c r="X515" s="559"/>
      <c r="Y515" s="559"/>
      <c r="Z515" s="559"/>
      <c r="AA515" s="559"/>
      <c r="AB515" s="559"/>
      <c r="AC515" s="559"/>
      <c r="AD515" s="559"/>
      <c r="AE515" s="559"/>
    </row>
    <row r="516" spans="1:31" ht="18" customHeight="1" x14ac:dyDescent="0.35">
      <c r="A516" s="559"/>
      <c r="B516" s="559"/>
      <c r="C516" s="559"/>
      <c r="D516" s="559"/>
      <c r="E516" s="559"/>
      <c r="F516" s="559"/>
      <c r="G516" s="559"/>
      <c r="H516" s="559"/>
      <c r="I516" s="559"/>
      <c r="J516" s="559"/>
      <c r="K516" s="559"/>
      <c r="L516" s="559"/>
      <c r="M516" s="559"/>
      <c r="N516" s="559"/>
      <c r="O516" s="559"/>
      <c r="P516" s="559"/>
      <c r="Q516" s="559"/>
      <c r="R516" s="559"/>
      <c r="S516" s="559"/>
      <c r="T516" s="559"/>
      <c r="U516" s="559"/>
      <c r="V516" s="559"/>
      <c r="W516" s="559"/>
      <c r="X516" s="559"/>
      <c r="Y516" s="559"/>
      <c r="Z516" s="559"/>
      <c r="AA516" s="559"/>
      <c r="AB516" s="559"/>
      <c r="AC516" s="559"/>
      <c r="AD516" s="559"/>
      <c r="AE516" s="559"/>
    </row>
    <row r="517" spans="1:31" ht="18" customHeight="1" x14ac:dyDescent="0.35">
      <c r="A517" s="559"/>
      <c r="B517" s="559"/>
      <c r="C517" s="559"/>
      <c r="D517" s="559"/>
      <c r="E517" s="559"/>
      <c r="F517" s="559"/>
      <c r="G517" s="559"/>
      <c r="H517" s="559"/>
      <c r="I517" s="559"/>
      <c r="J517" s="559"/>
      <c r="K517" s="559"/>
      <c r="L517" s="559"/>
      <c r="M517" s="559"/>
      <c r="N517" s="559"/>
      <c r="O517" s="559"/>
      <c r="P517" s="559"/>
      <c r="Q517" s="559"/>
      <c r="R517" s="559"/>
      <c r="S517" s="559"/>
      <c r="T517" s="559"/>
      <c r="U517" s="559"/>
      <c r="V517" s="559"/>
      <c r="W517" s="559"/>
      <c r="X517" s="559"/>
      <c r="Y517" s="559"/>
      <c r="Z517" s="559"/>
      <c r="AA517" s="559"/>
      <c r="AB517" s="559"/>
      <c r="AC517" s="559"/>
      <c r="AD517" s="559"/>
      <c r="AE517" s="559"/>
    </row>
    <row r="518" spans="1:31" ht="18" customHeight="1" x14ac:dyDescent="0.35">
      <c r="A518" s="559"/>
      <c r="B518" s="559"/>
      <c r="C518" s="559"/>
      <c r="D518" s="559"/>
      <c r="E518" s="559"/>
      <c r="F518" s="559"/>
      <c r="G518" s="559"/>
      <c r="H518" s="559"/>
      <c r="I518" s="559"/>
      <c r="J518" s="559"/>
      <c r="K518" s="559"/>
      <c r="L518" s="559"/>
      <c r="M518" s="559"/>
      <c r="N518" s="559"/>
      <c r="O518" s="559"/>
      <c r="P518" s="559"/>
      <c r="Q518" s="559"/>
      <c r="R518" s="559"/>
      <c r="S518" s="559"/>
      <c r="T518" s="559"/>
      <c r="U518" s="559"/>
      <c r="V518" s="559"/>
      <c r="W518" s="559"/>
      <c r="X518" s="559"/>
      <c r="Y518" s="559"/>
      <c r="Z518" s="559"/>
      <c r="AA518" s="559"/>
      <c r="AB518" s="559"/>
      <c r="AC518" s="559"/>
      <c r="AD518" s="559"/>
      <c r="AE518" s="559"/>
    </row>
    <row r="519" spans="1:31" ht="18" customHeight="1" x14ac:dyDescent="0.35">
      <c r="A519" s="559"/>
      <c r="B519" s="559"/>
      <c r="C519" s="559"/>
      <c r="D519" s="559"/>
      <c r="E519" s="559"/>
      <c r="F519" s="559"/>
      <c r="G519" s="559"/>
      <c r="H519" s="559"/>
      <c r="I519" s="559"/>
      <c r="J519" s="559"/>
      <c r="K519" s="559"/>
      <c r="L519" s="559"/>
      <c r="M519" s="559"/>
      <c r="N519" s="559"/>
      <c r="O519" s="559"/>
      <c r="P519" s="559"/>
      <c r="Q519" s="559"/>
      <c r="R519" s="559"/>
      <c r="S519" s="559"/>
      <c r="T519" s="559"/>
      <c r="U519" s="559"/>
      <c r="V519" s="559"/>
      <c r="W519" s="559"/>
      <c r="X519" s="559"/>
      <c r="Y519" s="559"/>
      <c r="Z519" s="559"/>
      <c r="AA519" s="559"/>
      <c r="AB519" s="559"/>
      <c r="AC519" s="559"/>
      <c r="AD519" s="559"/>
      <c r="AE519" s="559"/>
    </row>
    <row r="520" spans="1:31" ht="18" customHeight="1" x14ac:dyDescent="0.35">
      <c r="A520" s="559"/>
      <c r="B520" s="559"/>
      <c r="C520" s="559"/>
      <c r="D520" s="559"/>
      <c r="E520" s="559"/>
      <c r="F520" s="559"/>
      <c r="G520" s="559"/>
      <c r="H520" s="559"/>
      <c r="I520" s="559"/>
      <c r="J520" s="559"/>
      <c r="K520" s="559"/>
      <c r="L520" s="559"/>
      <c r="M520" s="559"/>
      <c r="N520" s="559"/>
      <c r="O520" s="559"/>
      <c r="P520" s="559"/>
      <c r="Q520" s="559"/>
      <c r="R520" s="559"/>
      <c r="S520" s="559"/>
      <c r="T520" s="559"/>
      <c r="U520" s="559"/>
      <c r="V520" s="559"/>
      <c r="W520" s="559"/>
      <c r="X520" s="559"/>
      <c r="Y520" s="559"/>
      <c r="Z520" s="559"/>
      <c r="AA520" s="559"/>
      <c r="AB520" s="559"/>
      <c r="AC520" s="559"/>
      <c r="AD520" s="559"/>
      <c r="AE520" s="559"/>
    </row>
    <row r="521" spans="1:31" ht="18" customHeight="1" x14ac:dyDescent="0.35">
      <c r="A521" s="559"/>
      <c r="B521" s="559"/>
      <c r="C521" s="559"/>
      <c r="D521" s="559"/>
      <c r="E521" s="559"/>
      <c r="F521" s="559"/>
      <c r="G521" s="559"/>
      <c r="H521" s="559"/>
      <c r="I521" s="559"/>
      <c r="J521" s="559"/>
      <c r="K521" s="559"/>
      <c r="L521" s="559"/>
      <c r="M521" s="559"/>
      <c r="N521" s="559"/>
      <c r="O521" s="559"/>
      <c r="P521" s="559"/>
      <c r="Q521" s="559"/>
      <c r="R521" s="559"/>
      <c r="S521" s="559"/>
      <c r="T521" s="559"/>
      <c r="U521" s="559"/>
      <c r="V521" s="559"/>
      <c r="W521" s="559"/>
      <c r="X521" s="559"/>
      <c r="Y521" s="559"/>
      <c r="Z521" s="559"/>
      <c r="AA521" s="559"/>
      <c r="AB521" s="559"/>
      <c r="AC521" s="559"/>
      <c r="AD521" s="559"/>
      <c r="AE521" s="559"/>
    </row>
    <row r="522" spans="1:31" ht="18" customHeight="1" x14ac:dyDescent="0.35">
      <c r="A522" s="559"/>
      <c r="B522" s="559"/>
      <c r="C522" s="559"/>
      <c r="D522" s="559"/>
      <c r="E522" s="559"/>
      <c r="F522" s="559"/>
      <c r="G522" s="559"/>
      <c r="H522" s="559"/>
      <c r="I522" s="559"/>
      <c r="J522" s="559"/>
      <c r="K522" s="559"/>
      <c r="L522" s="559"/>
      <c r="M522" s="559"/>
      <c r="N522" s="559"/>
      <c r="O522" s="559"/>
      <c r="P522" s="559"/>
      <c r="Q522" s="559"/>
      <c r="R522" s="559"/>
      <c r="S522" s="559"/>
      <c r="T522" s="559"/>
      <c r="U522" s="559"/>
      <c r="V522" s="559"/>
      <c r="W522" s="559"/>
      <c r="X522" s="559"/>
      <c r="Y522" s="559"/>
      <c r="Z522" s="559"/>
      <c r="AA522" s="559"/>
      <c r="AB522" s="559"/>
      <c r="AC522" s="559"/>
      <c r="AD522" s="559"/>
      <c r="AE522" s="559"/>
    </row>
    <row r="523" spans="1:31" ht="18" customHeight="1" x14ac:dyDescent="0.35">
      <c r="A523" s="559"/>
      <c r="B523" s="559"/>
      <c r="C523" s="559"/>
      <c r="D523" s="559"/>
      <c r="E523" s="559"/>
      <c r="F523" s="559"/>
      <c r="G523" s="559"/>
      <c r="H523" s="559"/>
      <c r="I523" s="559"/>
      <c r="J523" s="559"/>
      <c r="K523" s="559"/>
      <c r="L523" s="559"/>
      <c r="M523" s="559"/>
      <c r="N523" s="559"/>
      <c r="O523" s="559"/>
      <c r="P523" s="559"/>
      <c r="Q523" s="559"/>
      <c r="R523" s="559"/>
      <c r="S523" s="559"/>
      <c r="T523" s="559"/>
      <c r="U523" s="559"/>
      <c r="V523" s="559"/>
      <c r="W523" s="559"/>
      <c r="X523" s="559"/>
      <c r="Y523" s="559"/>
      <c r="Z523" s="559"/>
      <c r="AA523" s="559"/>
      <c r="AB523" s="559"/>
      <c r="AC523" s="559"/>
      <c r="AD523" s="559"/>
      <c r="AE523" s="559"/>
    </row>
    <row r="524" spans="1:31" ht="18" customHeight="1" x14ac:dyDescent="0.35">
      <c r="A524" s="559"/>
      <c r="B524" s="559"/>
      <c r="C524" s="559"/>
      <c r="D524" s="559"/>
      <c r="E524" s="559"/>
      <c r="F524" s="559"/>
      <c r="G524" s="559"/>
      <c r="H524" s="559"/>
      <c r="I524" s="559"/>
      <c r="J524" s="559"/>
      <c r="K524" s="559"/>
      <c r="L524" s="559"/>
      <c r="M524" s="559"/>
      <c r="N524" s="559"/>
      <c r="O524" s="559"/>
      <c r="P524" s="559"/>
      <c r="Q524" s="559"/>
      <c r="R524" s="559"/>
      <c r="S524" s="559"/>
      <c r="T524" s="559"/>
      <c r="U524" s="559"/>
      <c r="V524" s="559"/>
      <c r="W524" s="559"/>
      <c r="X524" s="559"/>
      <c r="Y524" s="559"/>
      <c r="Z524" s="559"/>
      <c r="AA524" s="559"/>
      <c r="AB524" s="559"/>
      <c r="AC524" s="559"/>
      <c r="AD524" s="559"/>
      <c r="AE524" s="559"/>
    </row>
    <row r="525" spans="1:31" ht="18" customHeight="1" x14ac:dyDescent="0.35">
      <c r="A525" s="559"/>
      <c r="B525" s="559"/>
      <c r="C525" s="559"/>
      <c r="D525" s="559"/>
      <c r="E525" s="559"/>
      <c r="F525" s="559"/>
      <c r="G525" s="559"/>
      <c r="H525" s="559"/>
      <c r="I525" s="559"/>
      <c r="J525" s="559"/>
      <c r="K525" s="559"/>
      <c r="L525" s="559"/>
      <c r="M525" s="559"/>
      <c r="N525" s="559"/>
      <c r="O525" s="559"/>
      <c r="P525" s="559"/>
      <c r="Q525" s="559"/>
      <c r="R525" s="559"/>
      <c r="S525" s="559"/>
      <c r="T525" s="559"/>
      <c r="U525" s="559"/>
      <c r="V525" s="559"/>
      <c r="W525" s="559"/>
      <c r="X525" s="559"/>
      <c r="Y525" s="559"/>
      <c r="Z525" s="559"/>
      <c r="AA525" s="559"/>
      <c r="AB525" s="559"/>
      <c r="AC525" s="559"/>
      <c r="AD525" s="559"/>
      <c r="AE525" s="559"/>
    </row>
    <row r="526" spans="1:31" ht="18" customHeight="1" x14ac:dyDescent="0.35">
      <c r="A526" s="559"/>
      <c r="B526" s="559"/>
      <c r="C526" s="559"/>
      <c r="D526" s="559"/>
      <c r="E526" s="559"/>
      <c r="F526" s="559"/>
      <c r="G526" s="559"/>
      <c r="H526" s="559"/>
      <c r="I526" s="559"/>
      <c r="J526" s="559"/>
      <c r="K526" s="559"/>
      <c r="L526" s="559"/>
      <c r="M526" s="559"/>
      <c r="N526" s="559"/>
      <c r="O526" s="559"/>
      <c r="P526" s="559"/>
      <c r="Q526" s="559"/>
      <c r="R526" s="559"/>
      <c r="S526" s="559"/>
      <c r="T526" s="559"/>
      <c r="U526" s="559"/>
      <c r="V526" s="559"/>
      <c r="W526" s="559"/>
      <c r="X526" s="559"/>
      <c r="Y526" s="559"/>
      <c r="Z526" s="559"/>
      <c r="AA526" s="559"/>
      <c r="AB526" s="559"/>
      <c r="AC526" s="559"/>
      <c r="AD526" s="559"/>
      <c r="AE526" s="559"/>
    </row>
    <row r="527" spans="1:31" ht="18" customHeight="1" x14ac:dyDescent="0.35">
      <c r="A527" s="559"/>
      <c r="B527" s="559"/>
      <c r="C527" s="559"/>
      <c r="D527" s="559"/>
      <c r="E527" s="559"/>
      <c r="F527" s="559"/>
      <c r="G527" s="559"/>
      <c r="H527" s="559"/>
      <c r="I527" s="559"/>
      <c r="J527" s="559"/>
      <c r="K527" s="559"/>
      <c r="L527" s="559"/>
      <c r="M527" s="559"/>
      <c r="N527" s="559"/>
      <c r="O527" s="559"/>
      <c r="P527" s="559"/>
      <c r="Q527" s="559"/>
      <c r="R527" s="559"/>
      <c r="S527" s="559"/>
      <c r="T527" s="559"/>
      <c r="U527" s="559"/>
      <c r="V527" s="559"/>
      <c r="W527" s="559"/>
      <c r="X527" s="559"/>
      <c r="Y527" s="559"/>
      <c r="Z527" s="559"/>
      <c r="AA527" s="559"/>
      <c r="AB527" s="559"/>
      <c r="AC527" s="559"/>
      <c r="AD527" s="559"/>
      <c r="AE527" s="559"/>
    </row>
    <row r="528" spans="1:31" ht="18" customHeight="1" x14ac:dyDescent="0.35">
      <c r="A528" s="559"/>
      <c r="B528" s="559"/>
      <c r="C528" s="559"/>
      <c r="D528" s="559"/>
      <c r="E528" s="559"/>
      <c r="F528" s="559"/>
      <c r="G528" s="559"/>
      <c r="H528" s="559"/>
      <c r="I528" s="559"/>
      <c r="J528" s="559"/>
      <c r="K528" s="559"/>
      <c r="L528" s="559"/>
      <c r="M528" s="559"/>
      <c r="N528" s="559"/>
      <c r="O528" s="559"/>
      <c r="P528" s="559"/>
      <c r="Q528" s="559"/>
      <c r="R528" s="559"/>
      <c r="S528" s="559"/>
      <c r="T528" s="559"/>
      <c r="U528" s="559"/>
      <c r="V528" s="559"/>
      <c r="W528" s="559"/>
      <c r="X528" s="559"/>
      <c r="Y528" s="559"/>
      <c r="Z528" s="559"/>
      <c r="AA528" s="559"/>
      <c r="AB528" s="559"/>
      <c r="AC528" s="559"/>
      <c r="AD528" s="559"/>
      <c r="AE528" s="559"/>
    </row>
    <row r="529" spans="1:31" ht="18" customHeight="1" x14ac:dyDescent="0.35">
      <c r="A529" s="559"/>
      <c r="B529" s="559"/>
      <c r="C529" s="559"/>
      <c r="D529" s="559"/>
      <c r="E529" s="559"/>
      <c r="F529" s="559"/>
      <c r="G529" s="559"/>
      <c r="H529" s="559"/>
      <c r="I529" s="559"/>
      <c r="J529" s="559"/>
      <c r="K529" s="559"/>
      <c r="L529" s="559"/>
      <c r="M529" s="559"/>
      <c r="N529" s="559"/>
      <c r="O529" s="559"/>
      <c r="P529" s="559"/>
      <c r="Q529" s="559"/>
      <c r="R529" s="559"/>
      <c r="S529" s="559"/>
      <c r="T529" s="559"/>
      <c r="U529" s="559"/>
      <c r="V529" s="559"/>
      <c r="W529" s="559"/>
      <c r="X529" s="559"/>
      <c r="Y529" s="559"/>
      <c r="Z529" s="559"/>
      <c r="AA529" s="559"/>
      <c r="AB529" s="559"/>
      <c r="AC529" s="559"/>
      <c r="AD529" s="559"/>
      <c r="AE529" s="559"/>
    </row>
    <row r="530" spans="1:31" ht="18" customHeight="1" x14ac:dyDescent="0.35">
      <c r="A530" s="559"/>
      <c r="B530" s="559"/>
      <c r="C530" s="559"/>
      <c r="D530" s="559"/>
      <c r="E530" s="559"/>
      <c r="F530" s="559"/>
      <c r="G530" s="559"/>
      <c r="H530" s="559"/>
      <c r="I530" s="559"/>
      <c r="J530" s="559"/>
      <c r="K530" s="559"/>
      <c r="L530" s="559"/>
      <c r="M530" s="559"/>
      <c r="N530" s="559"/>
      <c r="O530" s="559"/>
      <c r="P530" s="559"/>
      <c r="Q530" s="559"/>
      <c r="R530" s="559"/>
      <c r="S530" s="559"/>
      <c r="T530" s="559"/>
      <c r="U530" s="559"/>
      <c r="V530" s="559"/>
      <c r="W530" s="559"/>
      <c r="X530" s="559"/>
      <c r="Y530" s="559"/>
      <c r="Z530" s="559"/>
      <c r="AA530" s="559"/>
      <c r="AB530" s="559"/>
      <c r="AC530" s="559"/>
      <c r="AD530" s="559"/>
      <c r="AE530" s="559"/>
    </row>
    <row r="531" spans="1:31" ht="18" customHeight="1" x14ac:dyDescent="0.35">
      <c r="A531" s="559"/>
      <c r="B531" s="559"/>
      <c r="C531" s="559"/>
      <c r="D531" s="559"/>
      <c r="E531" s="559"/>
      <c r="F531" s="559"/>
      <c r="G531" s="559"/>
      <c r="H531" s="559"/>
      <c r="I531" s="559"/>
      <c r="J531" s="559"/>
      <c r="K531" s="559"/>
      <c r="L531" s="559"/>
      <c r="M531" s="559"/>
      <c r="N531" s="559"/>
      <c r="O531" s="559"/>
      <c r="P531" s="559"/>
      <c r="Q531" s="559"/>
      <c r="R531" s="559"/>
      <c r="S531" s="559"/>
      <c r="T531" s="559"/>
      <c r="U531" s="559"/>
      <c r="V531" s="559"/>
      <c r="W531" s="559"/>
      <c r="X531" s="559"/>
      <c r="Y531" s="559"/>
      <c r="Z531" s="559"/>
      <c r="AA531" s="559"/>
      <c r="AB531" s="559"/>
      <c r="AC531" s="559"/>
      <c r="AD531" s="559"/>
      <c r="AE531" s="559"/>
    </row>
    <row r="532" spans="1:31" ht="18" customHeight="1" x14ac:dyDescent="0.35">
      <c r="A532" s="559"/>
      <c r="B532" s="559"/>
      <c r="C532" s="559"/>
      <c r="D532" s="559"/>
      <c r="E532" s="559"/>
      <c r="F532" s="559"/>
      <c r="G532" s="559"/>
      <c r="H532" s="559"/>
      <c r="I532" s="559"/>
      <c r="J532" s="559"/>
      <c r="K532" s="559"/>
      <c r="L532" s="559"/>
      <c r="M532" s="559"/>
      <c r="N532" s="559"/>
      <c r="O532" s="559"/>
      <c r="P532" s="559"/>
      <c r="Q532" s="559"/>
      <c r="R532" s="559"/>
      <c r="S532" s="559"/>
      <c r="T532" s="559"/>
      <c r="U532" s="559"/>
      <c r="V532" s="559"/>
      <c r="W532" s="559"/>
      <c r="X532" s="559"/>
      <c r="Y532" s="559"/>
      <c r="Z532" s="559"/>
      <c r="AA532" s="559"/>
      <c r="AB532" s="559"/>
      <c r="AC532" s="559"/>
      <c r="AD532" s="559"/>
      <c r="AE532" s="559"/>
    </row>
    <row r="533" spans="1:31" ht="18" customHeight="1" x14ac:dyDescent="0.35">
      <c r="A533" s="559"/>
      <c r="B533" s="559"/>
      <c r="C533" s="559"/>
      <c r="D533" s="559"/>
      <c r="E533" s="559"/>
      <c r="F533" s="559"/>
      <c r="G533" s="559"/>
      <c r="H533" s="559"/>
      <c r="I533" s="559"/>
      <c r="J533" s="559"/>
      <c r="K533" s="559"/>
      <c r="L533" s="559"/>
      <c r="M533" s="559"/>
      <c r="N533" s="559"/>
      <c r="O533" s="559"/>
      <c r="P533" s="559"/>
      <c r="Q533" s="559"/>
      <c r="R533" s="559"/>
      <c r="S533" s="559"/>
      <c r="T533" s="559"/>
      <c r="U533" s="559"/>
      <c r="V533" s="559"/>
      <c r="W533" s="559"/>
      <c r="X533" s="559"/>
      <c r="Y533" s="559"/>
      <c r="Z533" s="559"/>
      <c r="AA533" s="559"/>
      <c r="AB533" s="559"/>
      <c r="AC533" s="559"/>
      <c r="AD533" s="559"/>
      <c r="AE533" s="559"/>
    </row>
    <row r="534" spans="1:31" ht="18" customHeight="1" x14ac:dyDescent="0.35">
      <c r="A534" s="559"/>
      <c r="B534" s="559"/>
      <c r="C534" s="559"/>
      <c r="D534" s="559"/>
      <c r="E534" s="559"/>
      <c r="F534" s="559"/>
      <c r="G534" s="559"/>
      <c r="H534" s="559"/>
      <c r="I534" s="559"/>
      <c r="J534" s="559"/>
      <c r="K534" s="559"/>
      <c r="L534" s="559"/>
      <c r="M534" s="559"/>
      <c r="N534" s="559"/>
      <c r="O534" s="559"/>
      <c r="P534" s="559"/>
      <c r="Q534" s="559"/>
      <c r="R534" s="559"/>
      <c r="S534" s="559"/>
      <c r="T534" s="559"/>
      <c r="U534" s="559"/>
      <c r="V534" s="559"/>
      <c r="W534" s="559"/>
      <c r="X534" s="559"/>
      <c r="Y534" s="559"/>
      <c r="Z534" s="559"/>
      <c r="AA534" s="559"/>
      <c r="AB534" s="559"/>
      <c r="AC534" s="559"/>
      <c r="AD534" s="559"/>
      <c r="AE534" s="559"/>
    </row>
    <row r="535" spans="1:31" ht="18" customHeight="1" x14ac:dyDescent="0.35">
      <c r="A535" s="559"/>
      <c r="B535" s="559"/>
      <c r="C535" s="559"/>
      <c r="D535" s="559"/>
      <c r="E535" s="559"/>
      <c r="F535" s="559"/>
      <c r="G535" s="559"/>
      <c r="H535" s="559"/>
      <c r="I535" s="559"/>
      <c r="J535" s="559"/>
      <c r="K535" s="559"/>
      <c r="L535" s="559"/>
      <c r="M535" s="559"/>
      <c r="N535" s="559"/>
      <c r="O535" s="559"/>
      <c r="P535" s="559"/>
      <c r="Q535" s="559"/>
      <c r="R535" s="559"/>
      <c r="S535" s="559"/>
      <c r="T535" s="559"/>
      <c r="U535" s="559"/>
      <c r="V535" s="559"/>
      <c r="W535" s="559"/>
      <c r="X535" s="559"/>
      <c r="Y535" s="559"/>
      <c r="Z535" s="559"/>
      <c r="AA535" s="559"/>
      <c r="AB535" s="559"/>
      <c r="AC535" s="559"/>
      <c r="AD535" s="559"/>
      <c r="AE535" s="559"/>
    </row>
    <row r="536" spans="1:31" ht="18" customHeight="1" x14ac:dyDescent="0.35">
      <c r="A536" s="559"/>
      <c r="B536" s="559"/>
      <c r="C536" s="559"/>
      <c r="D536" s="559"/>
      <c r="E536" s="559"/>
      <c r="F536" s="559"/>
      <c r="G536" s="559"/>
      <c r="H536" s="559"/>
      <c r="I536" s="559"/>
      <c r="J536" s="559"/>
      <c r="K536" s="559"/>
      <c r="L536" s="559"/>
      <c r="M536" s="559"/>
      <c r="N536" s="559"/>
      <c r="O536" s="559"/>
      <c r="P536" s="559"/>
      <c r="Q536" s="559"/>
      <c r="R536" s="559"/>
      <c r="S536" s="559"/>
      <c r="T536" s="559"/>
      <c r="U536" s="559"/>
      <c r="V536" s="559"/>
      <c r="W536" s="559"/>
      <c r="X536" s="559"/>
      <c r="Y536" s="559"/>
      <c r="Z536" s="559"/>
      <c r="AA536" s="559"/>
      <c r="AB536" s="559"/>
      <c r="AC536" s="559"/>
      <c r="AD536" s="559"/>
      <c r="AE536" s="559"/>
    </row>
    <row r="537" spans="1:31" ht="18" customHeight="1" x14ac:dyDescent="0.35">
      <c r="A537" s="559"/>
      <c r="B537" s="559"/>
      <c r="C537" s="559"/>
      <c r="D537" s="559"/>
      <c r="E537" s="559"/>
      <c r="F537" s="559"/>
      <c r="G537" s="559"/>
      <c r="H537" s="559"/>
      <c r="I537" s="559"/>
      <c r="J537" s="559"/>
      <c r="K537" s="559"/>
      <c r="L537" s="559"/>
      <c r="M537" s="559"/>
      <c r="N537" s="559"/>
      <c r="O537" s="559"/>
      <c r="P537" s="559"/>
      <c r="Q537" s="559"/>
      <c r="R537" s="559"/>
      <c r="S537" s="559"/>
      <c r="T537" s="559"/>
      <c r="U537" s="559"/>
      <c r="V537" s="559"/>
      <c r="W537" s="559"/>
      <c r="X537" s="559"/>
      <c r="Y537" s="559"/>
      <c r="Z537" s="559"/>
      <c r="AA537" s="559"/>
      <c r="AB537" s="559"/>
      <c r="AC537" s="559"/>
      <c r="AD537" s="559"/>
      <c r="AE537" s="559"/>
    </row>
    <row r="538" spans="1:31" ht="18" customHeight="1" x14ac:dyDescent="0.35">
      <c r="A538" s="559"/>
      <c r="B538" s="559"/>
      <c r="C538" s="559"/>
      <c r="D538" s="559"/>
      <c r="E538" s="559"/>
      <c r="F538" s="559"/>
      <c r="G538" s="559"/>
      <c r="H538" s="559"/>
      <c r="I538" s="559"/>
      <c r="J538" s="559"/>
      <c r="K538" s="559"/>
      <c r="L538" s="559"/>
      <c r="M538" s="559"/>
      <c r="N538" s="559"/>
      <c r="O538" s="559"/>
      <c r="P538" s="559"/>
      <c r="Q538" s="559"/>
      <c r="R538" s="559"/>
      <c r="S538" s="559"/>
      <c r="T538" s="559"/>
      <c r="U538" s="559"/>
      <c r="V538" s="559"/>
      <c r="W538" s="559"/>
      <c r="X538" s="559"/>
      <c r="Y538" s="559"/>
      <c r="Z538" s="559"/>
      <c r="AA538" s="559"/>
      <c r="AB538" s="559"/>
      <c r="AC538" s="559"/>
      <c r="AD538" s="559"/>
      <c r="AE538" s="559"/>
    </row>
    <row r="539" spans="1:31" ht="18" customHeight="1" x14ac:dyDescent="0.35">
      <c r="A539" s="559"/>
      <c r="B539" s="559"/>
      <c r="C539" s="559"/>
      <c r="D539" s="559"/>
      <c r="E539" s="559"/>
      <c r="F539" s="559"/>
      <c r="G539" s="559"/>
      <c r="H539" s="559"/>
      <c r="I539" s="559"/>
      <c r="J539" s="559"/>
      <c r="K539" s="559"/>
      <c r="L539" s="559"/>
      <c r="M539" s="559"/>
      <c r="N539" s="559"/>
      <c r="O539" s="559"/>
      <c r="P539" s="559"/>
      <c r="Q539" s="559"/>
      <c r="R539" s="559"/>
      <c r="S539" s="559"/>
      <c r="T539" s="559"/>
      <c r="U539" s="559"/>
      <c r="V539" s="559"/>
      <c r="W539" s="559"/>
      <c r="X539" s="559"/>
      <c r="Y539" s="559"/>
      <c r="Z539" s="559"/>
      <c r="AA539" s="559"/>
      <c r="AB539" s="559"/>
      <c r="AC539" s="559"/>
      <c r="AD539" s="559"/>
      <c r="AE539" s="559"/>
    </row>
    <row r="540" spans="1:31" ht="18" customHeight="1" x14ac:dyDescent="0.35">
      <c r="A540" s="559"/>
      <c r="B540" s="559"/>
      <c r="C540" s="559"/>
      <c r="D540" s="559"/>
      <c r="E540" s="559"/>
      <c r="F540" s="559"/>
      <c r="G540" s="559"/>
      <c r="H540" s="559"/>
      <c r="I540" s="559"/>
      <c r="J540" s="559"/>
      <c r="K540" s="559"/>
      <c r="L540" s="559"/>
      <c r="M540" s="559"/>
      <c r="N540" s="559"/>
      <c r="O540" s="559"/>
      <c r="P540" s="559"/>
      <c r="Q540" s="559"/>
      <c r="R540" s="559"/>
      <c r="S540" s="559"/>
      <c r="T540" s="559"/>
      <c r="U540" s="559"/>
      <c r="V540" s="559"/>
      <c r="W540" s="559"/>
      <c r="X540" s="559"/>
      <c r="Y540" s="559"/>
      <c r="Z540" s="559"/>
      <c r="AA540" s="559"/>
      <c r="AB540" s="559"/>
      <c r="AC540" s="559"/>
      <c r="AD540" s="559"/>
      <c r="AE540" s="559"/>
    </row>
    <row r="541" spans="1:31" ht="18" customHeight="1" x14ac:dyDescent="0.35">
      <c r="A541" s="559"/>
      <c r="B541" s="559"/>
      <c r="C541" s="559"/>
      <c r="D541" s="559"/>
      <c r="E541" s="559"/>
      <c r="F541" s="559"/>
      <c r="G541" s="559"/>
      <c r="H541" s="559"/>
      <c r="I541" s="559"/>
      <c r="J541" s="559"/>
      <c r="K541" s="559"/>
      <c r="L541" s="559"/>
      <c r="M541" s="559"/>
      <c r="N541" s="559"/>
      <c r="O541" s="559"/>
      <c r="P541" s="559"/>
      <c r="Q541" s="559"/>
      <c r="R541" s="559"/>
      <c r="S541" s="559"/>
      <c r="T541" s="559"/>
      <c r="U541" s="559"/>
      <c r="V541" s="559"/>
      <c r="W541" s="559"/>
      <c r="X541" s="559"/>
      <c r="Y541" s="559"/>
      <c r="Z541" s="559"/>
      <c r="AA541" s="559"/>
      <c r="AB541" s="559"/>
      <c r="AC541" s="559"/>
      <c r="AD541" s="559"/>
      <c r="AE541" s="559"/>
    </row>
    <row r="542" spans="1:31" ht="18" customHeight="1" x14ac:dyDescent="0.35">
      <c r="A542" s="559"/>
      <c r="B542" s="559"/>
      <c r="C542" s="559"/>
      <c r="D542" s="559"/>
      <c r="E542" s="559"/>
      <c r="F542" s="559"/>
      <c r="G542" s="559"/>
      <c r="H542" s="559"/>
      <c r="I542" s="559"/>
      <c r="J542" s="559"/>
      <c r="K542" s="559"/>
      <c r="L542" s="559"/>
      <c r="M542" s="559"/>
      <c r="N542" s="559"/>
      <c r="O542" s="559"/>
      <c r="P542" s="559"/>
      <c r="Q542" s="559"/>
      <c r="R542" s="559"/>
      <c r="S542" s="559"/>
      <c r="T542" s="559"/>
      <c r="U542" s="559"/>
      <c r="V542" s="559"/>
      <c r="W542" s="559"/>
      <c r="X542" s="559"/>
      <c r="Y542" s="559"/>
      <c r="Z542" s="559"/>
      <c r="AA542" s="559"/>
      <c r="AB542" s="559"/>
      <c r="AC542" s="559"/>
      <c r="AD542" s="559"/>
      <c r="AE542" s="559"/>
    </row>
    <row r="543" spans="1:31" ht="18" customHeight="1" x14ac:dyDescent="0.35">
      <c r="A543" s="559"/>
      <c r="B543" s="559"/>
      <c r="C543" s="559"/>
      <c r="D543" s="559"/>
      <c r="E543" s="559"/>
      <c r="F543" s="559"/>
      <c r="G543" s="559"/>
      <c r="H543" s="559"/>
      <c r="I543" s="559"/>
      <c r="J543" s="559"/>
      <c r="K543" s="559"/>
      <c r="L543" s="559"/>
      <c r="M543" s="559"/>
      <c r="N543" s="559"/>
      <c r="O543" s="559"/>
      <c r="P543" s="559"/>
      <c r="Q543" s="559"/>
      <c r="R543" s="559"/>
      <c r="S543" s="559"/>
      <c r="T543" s="559"/>
      <c r="U543" s="559"/>
      <c r="V543" s="559"/>
      <c r="W543" s="559"/>
      <c r="X543" s="559"/>
      <c r="Y543" s="559"/>
      <c r="Z543" s="559"/>
      <c r="AA543" s="559"/>
      <c r="AB543" s="559"/>
      <c r="AC543" s="559"/>
      <c r="AD543" s="559"/>
      <c r="AE543" s="559"/>
    </row>
    <row r="544" spans="1:31" ht="18" customHeight="1" x14ac:dyDescent="0.35">
      <c r="A544" s="559"/>
      <c r="B544" s="559"/>
      <c r="C544" s="559"/>
      <c r="D544" s="559"/>
      <c r="E544" s="559"/>
      <c r="F544" s="559"/>
      <c r="G544" s="559"/>
      <c r="H544" s="559"/>
      <c r="I544" s="559"/>
      <c r="J544" s="559"/>
      <c r="K544" s="559"/>
      <c r="L544" s="559"/>
      <c r="M544" s="559"/>
      <c r="N544" s="559"/>
      <c r="O544" s="559"/>
      <c r="P544" s="559"/>
      <c r="Q544" s="559"/>
      <c r="R544" s="559"/>
      <c r="S544" s="559"/>
      <c r="T544" s="559"/>
      <c r="U544" s="559"/>
      <c r="V544" s="559"/>
      <c r="W544" s="559"/>
      <c r="X544" s="559"/>
      <c r="Y544" s="559"/>
      <c r="Z544" s="559"/>
      <c r="AA544" s="559"/>
      <c r="AB544" s="559"/>
      <c r="AC544" s="559"/>
      <c r="AD544" s="559"/>
      <c r="AE544" s="559"/>
    </row>
    <row r="545" spans="1:31" ht="18" customHeight="1" x14ac:dyDescent="0.35">
      <c r="A545" s="559"/>
      <c r="B545" s="559"/>
      <c r="C545" s="559"/>
      <c r="D545" s="559"/>
      <c r="E545" s="559"/>
      <c r="F545" s="559"/>
      <c r="G545" s="559"/>
      <c r="H545" s="559"/>
      <c r="I545" s="559"/>
      <c r="J545" s="559"/>
      <c r="K545" s="559"/>
      <c r="L545" s="559"/>
      <c r="M545" s="559"/>
      <c r="N545" s="559"/>
      <c r="O545" s="559"/>
      <c r="P545" s="559"/>
      <c r="Q545" s="559"/>
      <c r="R545" s="559"/>
      <c r="S545" s="559"/>
      <c r="T545" s="559"/>
      <c r="U545" s="559"/>
      <c r="V545" s="559"/>
      <c r="W545" s="559"/>
      <c r="X545" s="559"/>
      <c r="Y545" s="559"/>
      <c r="Z545" s="559"/>
      <c r="AA545" s="559"/>
      <c r="AB545" s="559"/>
      <c r="AC545" s="559"/>
      <c r="AD545" s="559"/>
      <c r="AE545" s="559"/>
    </row>
    <row r="546" spans="1:31" ht="18" customHeight="1" x14ac:dyDescent="0.35">
      <c r="A546" s="559"/>
      <c r="B546" s="559"/>
      <c r="C546" s="559"/>
      <c r="D546" s="559"/>
      <c r="E546" s="559"/>
      <c r="F546" s="559"/>
      <c r="G546" s="559"/>
      <c r="H546" s="559"/>
      <c r="I546" s="559"/>
      <c r="J546" s="559"/>
      <c r="K546" s="559"/>
      <c r="L546" s="559"/>
      <c r="M546" s="559"/>
      <c r="N546" s="559"/>
      <c r="O546" s="559"/>
      <c r="P546" s="559"/>
      <c r="Q546" s="559"/>
      <c r="R546" s="559"/>
      <c r="S546" s="559"/>
      <c r="T546" s="559"/>
      <c r="U546" s="559"/>
      <c r="V546" s="559"/>
      <c r="W546" s="559"/>
      <c r="X546" s="559"/>
      <c r="Y546" s="559"/>
      <c r="Z546" s="559"/>
      <c r="AA546" s="559"/>
      <c r="AB546" s="559"/>
      <c r="AC546" s="559"/>
      <c r="AD546" s="559"/>
      <c r="AE546" s="559"/>
    </row>
    <row r="547" spans="1:31" ht="18" customHeight="1" x14ac:dyDescent="0.35">
      <c r="A547" s="559"/>
      <c r="B547" s="559"/>
      <c r="C547" s="559"/>
      <c r="D547" s="559"/>
      <c r="E547" s="559"/>
      <c r="F547" s="559"/>
      <c r="G547" s="559"/>
      <c r="H547" s="559"/>
      <c r="I547" s="559"/>
      <c r="J547" s="559"/>
      <c r="K547" s="559"/>
      <c r="L547" s="559"/>
      <c r="M547" s="559"/>
      <c r="N547" s="559"/>
      <c r="O547" s="559"/>
      <c r="P547" s="559"/>
      <c r="Q547" s="559"/>
      <c r="R547" s="559"/>
      <c r="S547" s="559"/>
      <c r="T547" s="559"/>
      <c r="U547" s="559"/>
      <c r="V547" s="559"/>
      <c r="W547" s="559"/>
      <c r="X547" s="559"/>
      <c r="Y547" s="559"/>
      <c r="Z547" s="559"/>
      <c r="AA547" s="559"/>
      <c r="AB547" s="559"/>
      <c r="AC547" s="559"/>
      <c r="AD547" s="559"/>
      <c r="AE547" s="559"/>
    </row>
    <row r="548" spans="1:31" ht="18" customHeight="1" x14ac:dyDescent="0.35">
      <c r="A548" s="559"/>
      <c r="B548" s="559"/>
      <c r="C548" s="559"/>
      <c r="D548" s="559"/>
      <c r="E548" s="559"/>
      <c r="F548" s="559"/>
      <c r="G548" s="559"/>
      <c r="H548" s="559"/>
      <c r="I548" s="559"/>
      <c r="J548" s="559"/>
      <c r="K548" s="559"/>
      <c r="L548" s="559"/>
      <c r="M548" s="559"/>
      <c r="N548" s="559"/>
      <c r="O548" s="559"/>
      <c r="P548" s="559"/>
      <c r="Q548" s="559"/>
      <c r="R548" s="559"/>
      <c r="S548" s="559"/>
      <c r="T548" s="559"/>
      <c r="U548" s="559"/>
      <c r="V548" s="559"/>
      <c r="W548" s="559"/>
      <c r="X548" s="559"/>
      <c r="Y548" s="559"/>
      <c r="Z548" s="559"/>
      <c r="AA548" s="559"/>
      <c r="AB548" s="559"/>
      <c r="AC548" s="559"/>
      <c r="AD548" s="559"/>
      <c r="AE548" s="559"/>
    </row>
    <row r="549" spans="1:31" ht="18" customHeight="1" x14ac:dyDescent="0.35">
      <c r="A549" s="559"/>
      <c r="B549" s="559"/>
      <c r="C549" s="559"/>
      <c r="D549" s="559"/>
      <c r="E549" s="559"/>
      <c r="F549" s="559"/>
      <c r="G549" s="559"/>
      <c r="H549" s="559"/>
      <c r="I549" s="559"/>
      <c r="J549" s="559"/>
      <c r="K549" s="559"/>
      <c r="L549" s="559"/>
      <c r="M549" s="559"/>
      <c r="N549" s="559"/>
      <c r="O549" s="559"/>
      <c r="P549" s="559"/>
      <c r="Q549" s="559"/>
      <c r="R549" s="559"/>
      <c r="S549" s="559"/>
      <c r="T549" s="559"/>
      <c r="U549" s="559"/>
      <c r="V549" s="559"/>
      <c r="W549" s="559"/>
      <c r="X549" s="559"/>
      <c r="Y549" s="559"/>
      <c r="Z549" s="559"/>
      <c r="AA549" s="559"/>
      <c r="AB549" s="559"/>
      <c r="AC549" s="559"/>
      <c r="AD549" s="559"/>
      <c r="AE549" s="559"/>
    </row>
    <row r="550" spans="1:31" ht="18" customHeight="1" x14ac:dyDescent="0.35">
      <c r="A550" s="559"/>
      <c r="B550" s="559"/>
      <c r="C550" s="559"/>
      <c r="D550" s="559"/>
      <c r="E550" s="559"/>
      <c r="F550" s="559"/>
      <c r="G550" s="559"/>
      <c r="H550" s="559"/>
      <c r="I550" s="559"/>
      <c r="J550" s="559"/>
      <c r="K550" s="559"/>
      <c r="L550" s="559"/>
      <c r="M550" s="559"/>
      <c r="N550" s="559"/>
      <c r="O550" s="559"/>
      <c r="P550" s="559"/>
      <c r="Q550" s="559"/>
      <c r="R550" s="559"/>
      <c r="S550" s="559"/>
      <c r="T550" s="559"/>
      <c r="U550" s="559"/>
      <c r="V550" s="559"/>
      <c r="W550" s="559"/>
      <c r="X550" s="559"/>
      <c r="Y550" s="559"/>
      <c r="Z550" s="559"/>
      <c r="AA550" s="559"/>
      <c r="AB550" s="559"/>
      <c r="AC550" s="559"/>
      <c r="AD550" s="559"/>
      <c r="AE550" s="559"/>
    </row>
    <row r="551" spans="1:31" ht="18" customHeight="1" x14ac:dyDescent="0.35">
      <c r="A551" s="559"/>
      <c r="B551" s="559"/>
      <c r="C551" s="559"/>
      <c r="D551" s="559"/>
      <c r="E551" s="559"/>
      <c r="F551" s="559"/>
      <c r="G551" s="559"/>
      <c r="H551" s="559"/>
      <c r="I551" s="559"/>
      <c r="J551" s="559"/>
      <c r="K551" s="559"/>
      <c r="L551" s="559"/>
      <c r="M551" s="559"/>
      <c r="N551" s="559"/>
      <c r="O551" s="559"/>
      <c r="P551" s="559"/>
      <c r="Q551" s="559"/>
      <c r="R551" s="559"/>
      <c r="S551" s="559"/>
      <c r="T551" s="559"/>
      <c r="U551" s="559"/>
      <c r="V551" s="559"/>
      <c r="W551" s="559"/>
      <c r="X551" s="559"/>
      <c r="Y551" s="559"/>
      <c r="Z551" s="559"/>
      <c r="AA551" s="559"/>
      <c r="AB551" s="559"/>
      <c r="AC551" s="559"/>
      <c r="AD551" s="559"/>
      <c r="AE551" s="559"/>
    </row>
    <row r="552" spans="1:31" ht="18" customHeight="1" x14ac:dyDescent="0.35">
      <c r="A552" s="559"/>
      <c r="B552" s="559"/>
      <c r="C552" s="559"/>
      <c r="D552" s="559"/>
      <c r="E552" s="559"/>
      <c r="F552" s="559"/>
      <c r="G552" s="559"/>
      <c r="H552" s="559"/>
      <c r="I552" s="559"/>
      <c r="J552" s="559"/>
      <c r="K552" s="559"/>
      <c r="L552" s="559"/>
      <c r="M552" s="559"/>
      <c r="N552" s="559"/>
      <c r="O552" s="559"/>
      <c r="P552" s="559"/>
      <c r="Q552" s="559"/>
      <c r="R552" s="559"/>
      <c r="S552" s="559"/>
      <c r="T552" s="559"/>
      <c r="U552" s="559"/>
      <c r="V552" s="559"/>
      <c r="W552" s="559"/>
      <c r="X552" s="559"/>
      <c r="Y552" s="559"/>
      <c r="Z552" s="559"/>
      <c r="AA552" s="559"/>
      <c r="AB552" s="559"/>
      <c r="AC552" s="559"/>
      <c r="AD552" s="559"/>
      <c r="AE552" s="559"/>
    </row>
    <row r="553" spans="1:31" ht="18" customHeight="1" x14ac:dyDescent="0.35">
      <c r="A553" s="559"/>
      <c r="B553" s="559"/>
      <c r="C553" s="559"/>
      <c r="D553" s="559"/>
      <c r="E553" s="559"/>
      <c r="F553" s="559"/>
      <c r="G553" s="559"/>
      <c r="H553" s="559"/>
      <c r="I553" s="559"/>
      <c r="J553" s="559"/>
      <c r="K553" s="559"/>
      <c r="L553" s="559"/>
      <c r="M553" s="559"/>
      <c r="N553" s="559"/>
      <c r="O553" s="559"/>
      <c r="P553" s="559"/>
      <c r="Q553" s="559"/>
      <c r="R553" s="559"/>
      <c r="S553" s="559"/>
      <c r="T553" s="559"/>
      <c r="U553" s="559"/>
      <c r="V553" s="559"/>
      <c r="W553" s="559"/>
      <c r="X553" s="559"/>
      <c r="Y553" s="559"/>
      <c r="Z553" s="559"/>
      <c r="AA553" s="559"/>
      <c r="AB553" s="559"/>
      <c r="AC553" s="559"/>
      <c r="AD553" s="559"/>
      <c r="AE553" s="559"/>
    </row>
    <row r="554" spans="1:31" ht="18" customHeight="1" x14ac:dyDescent="0.35">
      <c r="A554" s="559"/>
      <c r="B554" s="559"/>
      <c r="C554" s="559"/>
      <c r="D554" s="559"/>
      <c r="E554" s="559"/>
      <c r="F554" s="559"/>
      <c r="G554" s="559"/>
      <c r="H554" s="559"/>
      <c r="I554" s="559"/>
      <c r="J554" s="559"/>
      <c r="K554" s="559"/>
      <c r="L554" s="559"/>
      <c r="M554" s="559"/>
      <c r="N554" s="559"/>
      <c r="O554" s="559"/>
      <c r="P554" s="559"/>
      <c r="Q554" s="559"/>
      <c r="R554" s="559"/>
      <c r="S554" s="559"/>
      <c r="T554" s="559"/>
      <c r="U554" s="559"/>
      <c r="V554" s="559"/>
      <c r="W554" s="559"/>
      <c r="X554" s="559"/>
      <c r="Y554" s="559"/>
      <c r="Z554" s="559"/>
      <c r="AA554" s="559"/>
      <c r="AB554" s="559"/>
      <c r="AC554" s="559"/>
      <c r="AD554" s="559"/>
      <c r="AE554" s="559"/>
    </row>
    <row r="555" spans="1:31" ht="18" customHeight="1" x14ac:dyDescent="0.35">
      <c r="A555" s="559"/>
      <c r="B555" s="559"/>
      <c r="C555" s="559"/>
      <c r="D555" s="559"/>
      <c r="E555" s="559"/>
      <c r="F555" s="559"/>
      <c r="G555" s="559"/>
      <c r="H555" s="559"/>
      <c r="I555" s="559"/>
      <c r="J555" s="559"/>
      <c r="K555" s="559"/>
      <c r="L555" s="559"/>
      <c r="M555" s="559"/>
      <c r="N555" s="559"/>
      <c r="O555" s="559"/>
      <c r="P555" s="559"/>
      <c r="Q555" s="559"/>
      <c r="R555" s="559"/>
      <c r="S555" s="559"/>
      <c r="T555" s="559"/>
      <c r="U555" s="559"/>
      <c r="V555" s="559"/>
      <c r="W555" s="559"/>
      <c r="X555" s="559"/>
      <c r="Y555" s="559"/>
      <c r="Z555" s="559"/>
      <c r="AA555" s="559"/>
      <c r="AB555" s="559"/>
      <c r="AC555" s="559"/>
      <c r="AD555" s="559"/>
      <c r="AE555" s="559"/>
    </row>
    <row r="556" spans="1:31" ht="18" customHeight="1" x14ac:dyDescent="0.35">
      <c r="A556" s="559"/>
      <c r="B556" s="559"/>
      <c r="C556" s="559"/>
      <c r="D556" s="559"/>
      <c r="E556" s="559"/>
      <c r="F556" s="559"/>
      <c r="G556" s="559"/>
      <c r="H556" s="559"/>
      <c r="I556" s="559"/>
      <c r="J556" s="559"/>
      <c r="K556" s="559"/>
      <c r="L556" s="559"/>
      <c r="M556" s="559"/>
      <c r="N556" s="559"/>
      <c r="O556" s="559"/>
      <c r="P556" s="559"/>
      <c r="Q556" s="559"/>
      <c r="R556" s="559"/>
      <c r="S556" s="559"/>
      <c r="T556" s="559"/>
      <c r="U556" s="559"/>
      <c r="V556" s="559"/>
      <c r="W556" s="559"/>
      <c r="X556" s="559"/>
      <c r="Y556" s="559"/>
      <c r="Z556" s="559"/>
      <c r="AA556" s="559"/>
      <c r="AB556" s="559"/>
      <c r="AC556" s="559"/>
      <c r="AD556" s="559"/>
      <c r="AE556" s="559"/>
    </row>
    <row r="557" spans="1:31" ht="18" customHeight="1" x14ac:dyDescent="0.35">
      <c r="A557" s="559"/>
      <c r="B557" s="559"/>
      <c r="C557" s="559"/>
      <c r="D557" s="559"/>
      <c r="E557" s="559"/>
      <c r="F557" s="559"/>
      <c r="G557" s="559"/>
      <c r="H557" s="559"/>
      <c r="I557" s="559"/>
      <c r="J557" s="559"/>
      <c r="K557" s="559"/>
      <c r="L557" s="559"/>
      <c r="M557" s="559"/>
      <c r="N557" s="559"/>
      <c r="O557" s="559"/>
      <c r="P557" s="559"/>
      <c r="Q557" s="559"/>
      <c r="R557" s="559"/>
      <c r="S557" s="559"/>
      <c r="T557" s="559"/>
      <c r="U557" s="559"/>
      <c r="V557" s="559"/>
      <c r="W557" s="559"/>
      <c r="X557" s="559"/>
      <c r="Y557" s="559"/>
      <c r="Z557" s="559"/>
      <c r="AA557" s="559"/>
      <c r="AB557" s="559"/>
      <c r="AC557" s="559"/>
      <c r="AD557" s="559"/>
      <c r="AE557" s="559"/>
    </row>
    <row r="558" spans="1:31" ht="18" customHeight="1" x14ac:dyDescent="0.35">
      <c r="A558" s="559"/>
      <c r="B558" s="559"/>
      <c r="C558" s="559"/>
      <c r="D558" s="559"/>
      <c r="E558" s="559"/>
      <c r="F558" s="559"/>
      <c r="G558" s="559"/>
      <c r="H558" s="559"/>
      <c r="I558" s="559"/>
      <c r="J558" s="559"/>
      <c r="K558" s="559"/>
      <c r="L558" s="559"/>
      <c r="M558" s="559"/>
      <c r="N558" s="559"/>
      <c r="O558" s="559"/>
      <c r="P558" s="559"/>
      <c r="Q558" s="559"/>
      <c r="R558" s="559"/>
      <c r="S558" s="559"/>
      <c r="T558" s="559"/>
      <c r="U558" s="559"/>
      <c r="V558" s="559"/>
      <c r="W558" s="559"/>
      <c r="X558" s="559"/>
      <c r="Y558" s="559"/>
      <c r="Z558" s="559"/>
      <c r="AA558" s="559"/>
      <c r="AB558" s="559"/>
      <c r="AC558" s="559"/>
      <c r="AD558" s="559"/>
      <c r="AE558" s="559"/>
    </row>
    <row r="559" spans="1:31" ht="18" customHeight="1" x14ac:dyDescent="0.35">
      <c r="A559" s="559"/>
      <c r="B559" s="559"/>
      <c r="C559" s="559"/>
      <c r="D559" s="559"/>
      <c r="E559" s="559"/>
      <c r="F559" s="559"/>
      <c r="G559" s="559"/>
      <c r="H559" s="559"/>
      <c r="I559" s="559"/>
      <c r="J559" s="559"/>
      <c r="K559" s="559"/>
      <c r="L559" s="559"/>
      <c r="M559" s="559"/>
      <c r="N559" s="559"/>
      <c r="O559" s="559"/>
      <c r="P559" s="559"/>
      <c r="Q559" s="559"/>
      <c r="R559" s="559"/>
      <c r="S559" s="559"/>
      <c r="T559" s="559"/>
      <c r="U559" s="559"/>
      <c r="V559" s="559"/>
      <c r="W559" s="559"/>
      <c r="X559" s="559"/>
      <c r="Y559" s="559"/>
      <c r="Z559" s="559"/>
      <c r="AA559" s="559"/>
      <c r="AB559" s="559"/>
      <c r="AC559" s="559"/>
      <c r="AD559" s="559"/>
      <c r="AE559" s="559"/>
    </row>
    <row r="560" spans="1:31" ht="18" customHeight="1" x14ac:dyDescent="0.35">
      <c r="A560" s="559"/>
      <c r="B560" s="559"/>
      <c r="C560" s="559"/>
      <c r="D560" s="559"/>
      <c r="E560" s="559"/>
      <c r="F560" s="559"/>
      <c r="G560" s="559"/>
      <c r="H560" s="559"/>
      <c r="I560" s="559"/>
      <c r="J560" s="559"/>
      <c r="K560" s="559"/>
      <c r="L560" s="559"/>
      <c r="M560" s="559"/>
      <c r="N560" s="559"/>
      <c r="O560" s="559"/>
      <c r="P560" s="559"/>
      <c r="Q560" s="559"/>
      <c r="R560" s="559"/>
      <c r="S560" s="559"/>
      <c r="T560" s="559"/>
      <c r="U560" s="559"/>
      <c r="V560" s="559"/>
      <c r="W560" s="559"/>
      <c r="X560" s="559"/>
      <c r="Y560" s="559"/>
      <c r="Z560" s="559"/>
      <c r="AA560" s="559"/>
      <c r="AB560" s="559"/>
      <c r="AC560" s="559"/>
      <c r="AD560" s="559"/>
      <c r="AE560" s="559"/>
    </row>
    <row r="561" spans="1:31" ht="18" customHeight="1" x14ac:dyDescent="0.35">
      <c r="A561" s="559"/>
      <c r="B561" s="559"/>
      <c r="C561" s="559"/>
      <c r="D561" s="559"/>
      <c r="E561" s="559"/>
      <c r="F561" s="559"/>
      <c r="G561" s="559"/>
      <c r="H561" s="559"/>
      <c r="I561" s="559"/>
      <c r="J561" s="559"/>
      <c r="K561" s="559"/>
      <c r="L561" s="559"/>
      <c r="M561" s="559"/>
      <c r="N561" s="559"/>
      <c r="O561" s="559"/>
      <c r="P561" s="559"/>
      <c r="Q561" s="559"/>
      <c r="R561" s="559"/>
      <c r="S561" s="559"/>
      <c r="T561" s="559"/>
      <c r="U561" s="559"/>
      <c r="V561" s="559"/>
      <c r="W561" s="559"/>
      <c r="X561" s="559"/>
      <c r="Y561" s="559"/>
      <c r="Z561" s="559"/>
      <c r="AA561" s="559"/>
      <c r="AB561" s="559"/>
      <c r="AC561" s="559"/>
      <c r="AD561" s="559"/>
      <c r="AE561" s="559"/>
    </row>
    <row r="562" spans="1:31" ht="18" customHeight="1" x14ac:dyDescent="0.35">
      <c r="A562" s="559"/>
      <c r="B562" s="559"/>
      <c r="C562" s="559"/>
      <c r="D562" s="559"/>
      <c r="E562" s="559"/>
      <c r="F562" s="559"/>
      <c r="G562" s="559"/>
      <c r="H562" s="559"/>
      <c r="I562" s="559"/>
      <c r="J562" s="559"/>
      <c r="K562" s="559"/>
      <c r="L562" s="559"/>
      <c r="M562" s="559"/>
      <c r="N562" s="559"/>
      <c r="O562" s="559"/>
      <c r="P562" s="559"/>
      <c r="Q562" s="559"/>
      <c r="R562" s="559"/>
      <c r="S562" s="559"/>
      <c r="T562" s="559"/>
      <c r="U562" s="559"/>
      <c r="V562" s="559"/>
      <c r="W562" s="559"/>
      <c r="X562" s="559"/>
      <c r="Y562" s="559"/>
      <c r="Z562" s="559"/>
      <c r="AA562" s="559"/>
      <c r="AB562" s="559"/>
      <c r="AC562" s="559"/>
      <c r="AD562" s="559"/>
      <c r="AE562" s="559"/>
    </row>
    <row r="563" spans="1:31" ht="18" customHeight="1" x14ac:dyDescent="0.35">
      <c r="A563" s="559"/>
      <c r="B563" s="559"/>
      <c r="C563" s="559"/>
      <c r="D563" s="559"/>
      <c r="E563" s="559"/>
      <c r="F563" s="559"/>
      <c r="G563" s="559"/>
      <c r="H563" s="559"/>
      <c r="I563" s="559"/>
      <c r="J563" s="559"/>
      <c r="K563" s="559"/>
      <c r="L563" s="559"/>
      <c r="M563" s="559"/>
      <c r="N563" s="559"/>
      <c r="O563" s="559"/>
      <c r="P563" s="559"/>
      <c r="Q563" s="559"/>
      <c r="R563" s="559"/>
      <c r="S563" s="559"/>
      <c r="T563" s="559"/>
      <c r="U563" s="559"/>
      <c r="V563" s="559"/>
      <c r="W563" s="559"/>
      <c r="X563" s="559"/>
      <c r="Y563" s="559"/>
      <c r="Z563" s="559"/>
      <c r="AA563" s="559"/>
      <c r="AB563" s="559"/>
      <c r="AC563" s="559"/>
      <c r="AD563" s="559"/>
      <c r="AE563" s="559"/>
    </row>
    <row r="564" spans="1:31" ht="18" customHeight="1" x14ac:dyDescent="0.35">
      <c r="A564" s="559"/>
      <c r="B564" s="559"/>
      <c r="C564" s="559"/>
      <c r="D564" s="559"/>
      <c r="E564" s="559"/>
      <c r="F564" s="559"/>
      <c r="G564" s="559"/>
      <c r="H564" s="559"/>
      <c r="I564" s="559"/>
      <c r="J564" s="559"/>
      <c r="K564" s="559"/>
      <c r="L564" s="559"/>
      <c r="M564" s="559"/>
      <c r="N564" s="559"/>
      <c r="O564" s="559"/>
      <c r="P564" s="559"/>
      <c r="Q564" s="559"/>
      <c r="R564" s="559"/>
      <c r="S564" s="559"/>
      <c r="T564" s="559"/>
      <c r="U564" s="559"/>
      <c r="V564" s="559"/>
      <c r="W564" s="559"/>
      <c r="X564" s="559"/>
      <c r="Y564" s="559"/>
      <c r="Z564" s="559"/>
      <c r="AA564" s="559"/>
      <c r="AB564" s="559"/>
      <c r="AC564" s="559"/>
      <c r="AD564" s="559"/>
      <c r="AE564" s="559"/>
    </row>
    <row r="565" spans="1:31" ht="18" customHeight="1" x14ac:dyDescent="0.35">
      <c r="A565" s="559"/>
      <c r="B565" s="559"/>
      <c r="C565" s="559"/>
      <c r="D565" s="559"/>
      <c r="E565" s="559"/>
      <c r="F565" s="559"/>
      <c r="G565" s="559"/>
      <c r="H565" s="559"/>
      <c r="I565" s="559"/>
      <c r="J565" s="559"/>
      <c r="K565" s="559"/>
      <c r="L565" s="559"/>
      <c r="M565" s="559"/>
      <c r="N565" s="559"/>
      <c r="O565" s="559"/>
      <c r="P565" s="559"/>
      <c r="Q565" s="559"/>
      <c r="R565" s="559"/>
      <c r="S565" s="559"/>
      <c r="T565" s="559"/>
      <c r="U565" s="559"/>
      <c r="V565" s="559"/>
      <c r="W565" s="559"/>
      <c r="X565" s="559"/>
      <c r="Y565" s="559"/>
      <c r="Z565" s="559"/>
      <c r="AA565" s="559"/>
      <c r="AB565" s="559"/>
      <c r="AC565" s="559"/>
      <c r="AD565" s="559"/>
      <c r="AE565" s="559"/>
    </row>
    <row r="566" spans="1:31" ht="18" customHeight="1" x14ac:dyDescent="0.35">
      <c r="A566" s="559"/>
      <c r="B566" s="559"/>
      <c r="C566" s="559"/>
      <c r="D566" s="559"/>
      <c r="E566" s="559"/>
      <c r="F566" s="559"/>
      <c r="G566" s="559"/>
      <c r="H566" s="559"/>
      <c r="I566" s="559"/>
      <c r="J566" s="559"/>
      <c r="K566" s="559"/>
      <c r="L566" s="559"/>
      <c r="M566" s="559"/>
      <c r="N566" s="559"/>
      <c r="O566" s="559"/>
      <c r="P566" s="559"/>
      <c r="Q566" s="559"/>
      <c r="R566" s="559"/>
      <c r="S566" s="559"/>
      <c r="T566" s="559"/>
      <c r="U566" s="559"/>
      <c r="V566" s="559"/>
      <c r="W566" s="559"/>
      <c r="X566" s="559"/>
      <c r="Y566" s="559"/>
      <c r="Z566" s="559"/>
      <c r="AA566" s="559"/>
      <c r="AB566" s="559"/>
      <c r="AC566" s="559"/>
      <c r="AD566" s="559"/>
      <c r="AE566" s="559"/>
    </row>
    <row r="567" spans="1:31" ht="18" customHeight="1" x14ac:dyDescent="0.35">
      <c r="A567" s="559"/>
      <c r="B567" s="559"/>
      <c r="C567" s="559"/>
      <c r="D567" s="559"/>
      <c r="E567" s="559"/>
      <c r="F567" s="559"/>
      <c r="G567" s="559"/>
      <c r="H567" s="559"/>
      <c r="I567" s="559"/>
      <c r="J567" s="559"/>
      <c r="K567" s="559"/>
      <c r="L567" s="559"/>
      <c r="M567" s="559"/>
      <c r="N567" s="559"/>
      <c r="O567" s="559"/>
      <c r="P567" s="559"/>
      <c r="Q567" s="559"/>
      <c r="R567" s="559"/>
      <c r="S567" s="559"/>
      <c r="T567" s="559"/>
      <c r="U567" s="559"/>
      <c r="V567" s="559"/>
      <c r="W567" s="559"/>
      <c r="X567" s="559"/>
      <c r="Y567" s="559"/>
      <c r="Z567" s="559"/>
      <c r="AA567" s="559"/>
      <c r="AB567" s="559"/>
      <c r="AC567" s="559"/>
      <c r="AD567" s="559"/>
      <c r="AE567" s="559"/>
    </row>
    <row r="568" spans="1:31" ht="18" customHeight="1" x14ac:dyDescent="0.35">
      <c r="A568" s="559"/>
      <c r="B568" s="559"/>
      <c r="C568" s="559"/>
      <c r="D568" s="559"/>
      <c r="E568" s="559"/>
      <c r="F568" s="559"/>
      <c r="G568" s="559"/>
      <c r="H568" s="559"/>
      <c r="I568" s="559"/>
      <c r="J568" s="559"/>
      <c r="K568" s="559"/>
      <c r="L568" s="559"/>
      <c r="M568" s="559"/>
      <c r="N568" s="559"/>
      <c r="O568" s="559"/>
      <c r="P568" s="559"/>
      <c r="Q568" s="559"/>
      <c r="R568" s="559"/>
      <c r="S568" s="559"/>
      <c r="T568" s="559"/>
      <c r="U568" s="559"/>
      <c r="V568" s="559"/>
      <c r="W568" s="559"/>
      <c r="X568" s="559"/>
      <c r="Y568" s="559"/>
      <c r="Z568" s="559"/>
      <c r="AA568" s="559"/>
      <c r="AB568" s="559"/>
      <c r="AC568" s="559"/>
      <c r="AD568" s="559"/>
      <c r="AE568" s="559"/>
    </row>
    <row r="569" spans="1:31" ht="18" customHeight="1" x14ac:dyDescent="0.35">
      <c r="A569" s="559"/>
      <c r="B569" s="559"/>
      <c r="C569" s="559"/>
      <c r="D569" s="559"/>
      <c r="E569" s="559"/>
      <c r="F569" s="559"/>
      <c r="G569" s="559"/>
      <c r="H569" s="559"/>
      <c r="I569" s="559"/>
      <c r="J569" s="559"/>
      <c r="K569" s="559"/>
      <c r="L569" s="559"/>
      <c r="M569" s="559"/>
      <c r="N569" s="559"/>
      <c r="O569" s="559"/>
      <c r="P569" s="559"/>
      <c r="Q569" s="559"/>
      <c r="R569" s="559"/>
      <c r="S569" s="559"/>
      <c r="T569" s="559"/>
      <c r="U569" s="559"/>
      <c r="V569" s="559"/>
      <c r="W569" s="559"/>
      <c r="X569" s="559"/>
      <c r="Y569" s="559"/>
      <c r="Z569" s="559"/>
      <c r="AA569" s="559"/>
      <c r="AB569" s="559"/>
      <c r="AC569" s="559"/>
      <c r="AD569" s="559"/>
      <c r="AE569" s="559"/>
    </row>
    <row r="570" spans="1:31" ht="18" customHeight="1" x14ac:dyDescent="0.35">
      <c r="A570" s="559"/>
      <c r="B570" s="559"/>
      <c r="C570" s="559"/>
      <c r="D570" s="559"/>
      <c r="E570" s="559"/>
      <c r="F570" s="559"/>
      <c r="G570" s="559"/>
      <c r="H570" s="559"/>
      <c r="I570" s="559"/>
      <c r="J570" s="559"/>
      <c r="K570" s="559"/>
      <c r="L570" s="559"/>
      <c r="M570" s="559"/>
      <c r="N570" s="559"/>
      <c r="O570" s="559"/>
      <c r="P570" s="559"/>
      <c r="Q570" s="559"/>
      <c r="R570" s="559"/>
      <c r="S570" s="559"/>
      <c r="T570" s="559"/>
      <c r="U570" s="559"/>
      <c r="V570" s="559"/>
      <c r="W570" s="559"/>
      <c r="X570" s="559"/>
      <c r="Y570" s="559"/>
      <c r="Z570" s="559"/>
      <c r="AA570" s="559"/>
      <c r="AB570" s="559"/>
      <c r="AC570" s="559"/>
      <c r="AD570" s="559"/>
      <c r="AE570" s="559"/>
    </row>
    <row r="571" spans="1:31" ht="18" customHeight="1" x14ac:dyDescent="0.35">
      <c r="A571" s="559"/>
      <c r="B571" s="559"/>
      <c r="C571" s="559"/>
      <c r="D571" s="559"/>
      <c r="E571" s="559"/>
      <c r="F571" s="559"/>
      <c r="G571" s="559"/>
      <c r="H571" s="559"/>
      <c r="I571" s="559"/>
      <c r="J571" s="559"/>
      <c r="K571" s="559"/>
      <c r="L571" s="559"/>
      <c r="M571" s="559"/>
      <c r="N571" s="559"/>
      <c r="O571" s="559"/>
      <c r="P571" s="559"/>
      <c r="Q571" s="559"/>
      <c r="R571" s="559"/>
      <c r="S571" s="559"/>
      <c r="T571" s="559"/>
      <c r="U571" s="559"/>
      <c r="V571" s="559"/>
      <c r="W571" s="559"/>
      <c r="X571" s="559"/>
      <c r="Y571" s="559"/>
      <c r="Z571" s="559"/>
      <c r="AA571" s="559"/>
      <c r="AB571" s="559"/>
      <c r="AC571" s="559"/>
      <c r="AD571" s="559"/>
      <c r="AE571" s="559"/>
    </row>
    <row r="572" spans="1:31" ht="18" customHeight="1" x14ac:dyDescent="0.35">
      <c r="A572" s="559"/>
      <c r="B572" s="559"/>
      <c r="C572" s="559"/>
      <c r="D572" s="559"/>
      <c r="E572" s="559"/>
      <c r="F572" s="559"/>
      <c r="G572" s="559"/>
      <c r="H572" s="559"/>
      <c r="I572" s="559"/>
      <c r="J572" s="559"/>
      <c r="K572" s="559"/>
      <c r="L572" s="559"/>
      <c r="M572" s="559"/>
      <c r="N572" s="559"/>
      <c r="O572" s="559"/>
      <c r="P572" s="559"/>
      <c r="Q572" s="559"/>
      <c r="R572" s="559"/>
      <c r="S572" s="559"/>
      <c r="T572" s="559"/>
      <c r="U572" s="559"/>
      <c r="V572" s="559"/>
      <c r="W572" s="559"/>
      <c r="X572" s="559"/>
      <c r="Y572" s="559"/>
      <c r="Z572" s="559"/>
      <c r="AA572" s="559"/>
      <c r="AB572" s="559"/>
      <c r="AC572" s="559"/>
      <c r="AD572" s="559"/>
      <c r="AE572" s="559"/>
    </row>
    <row r="573" spans="1:31" ht="18" customHeight="1" x14ac:dyDescent="0.35">
      <c r="A573" s="559"/>
      <c r="B573" s="559"/>
      <c r="C573" s="559"/>
      <c r="D573" s="559"/>
      <c r="E573" s="559"/>
      <c r="F573" s="559"/>
      <c r="G573" s="559"/>
      <c r="H573" s="559"/>
      <c r="I573" s="559"/>
      <c r="J573" s="559"/>
      <c r="K573" s="559"/>
      <c r="L573" s="559"/>
      <c r="M573" s="559"/>
      <c r="N573" s="559"/>
      <c r="O573" s="559"/>
      <c r="P573" s="559"/>
      <c r="Q573" s="559"/>
      <c r="R573" s="559"/>
      <c r="S573" s="559"/>
      <c r="T573" s="559"/>
      <c r="U573" s="559"/>
      <c r="V573" s="559"/>
      <c r="W573" s="559"/>
      <c r="X573" s="559"/>
      <c r="Y573" s="559"/>
      <c r="Z573" s="559"/>
      <c r="AA573" s="559"/>
      <c r="AB573" s="559"/>
      <c r="AC573" s="559"/>
      <c r="AD573" s="559"/>
      <c r="AE573" s="559"/>
    </row>
    <row r="574" spans="1:31" ht="18" customHeight="1" x14ac:dyDescent="0.35">
      <c r="A574" s="559"/>
      <c r="B574" s="559"/>
      <c r="C574" s="559"/>
      <c r="D574" s="559"/>
      <c r="E574" s="559"/>
      <c r="F574" s="559"/>
      <c r="G574" s="559"/>
      <c r="H574" s="559"/>
      <c r="I574" s="559"/>
      <c r="J574" s="559"/>
      <c r="K574" s="559"/>
      <c r="L574" s="559"/>
      <c r="M574" s="559"/>
      <c r="N574" s="559"/>
      <c r="O574" s="559"/>
      <c r="P574" s="559"/>
      <c r="Q574" s="559"/>
      <c r="R574" s="559"/>
      <c r="S574" s="559"/>
      <c r="T574" s="559"/>
      <c r="U574" s="559"/>
      <c r="V574" s="559"/>
      <c r="W574" s="559"/>
      <c r="X574" s="559"/>
      <c r="Y574" s="559"/>
      <c r="Z574" s="559"/>
      <c r="AA574" s="559"/>
      <c r="AB574" s="559"/>
      <c r="AC574" s="559"/>
      <c r="AD574" s="559"/>
      <c r="AE574" s="559"/>
    </row>
    <row r="575" spans="1:31" ht="18" customHeight="1" x14ac:dyDescent="0.35">
      <c r="A575" s="559"/>
      <c r="B575" s="559"/>
      <c r="C575" s="559"/>
      <c r="D575" s="559"/>
      <c r="E575" s="559"/>
      <c r="F575" s="559"/>
      <c r="G575" s="559"/>
      <c r="H575" s="559"/>
      <c r="I575" s="559"/>
      <c r="J575" s="559"/>
      <c r="K575" s="559"/>
      <c r="L575" s="559"/>
      <c r="M575" s="559"/>
      <c r="N575" s="559"/>
      <c r="O575" s="559"/>
      <c r="P575" s="559"/>
      <c r="Q575" s="559"/>
      <c r="R575" s="559"/>
      <c r="S575" s="559"/>
      <c r="T575" s="559"/>
      <c r="U575" s="559"/>
      <c r="V575" s="559"/>
      <c r="W575" s="559"/>
      <c r="X575" s="559"/>
      <c r="Y575" s="559"/>
      <c r="Z575" s="559"/>
      <c r="AA575" s="559"/>
      <c r="AB575" s="559"/>
      <c r="AC575" s="559"/>
      <c r="AD575" s="559"/>
      <c r="AE575" s="559"/>
    </row>
    <row r="576" spans="1:31" ht="18" customHeight="1" x14ac:dyDescent="0.35">
      <c r="A576" s="559"/>
      <c r="B576" s="559"/>
      <c r="C576" s="559"/>
      <c r="D576" s="559"/>
      <c r="E576" s="559"/>
      <c r="F576" s="559"/>
      <c r="G576" s="559"/>
      <c r="H576" s="559"/>
      <c r="I576" s="559"/>
      <c r="J576" s="559"/>
      <c r="K576" s="559"/>
      <c r="L576" s="559"/>
      <c r="M576" s="559"/>
      <c r="N576" s="559"/>
      <c r="O576" s="559"/>
      <c r="P576" s="559"/>
      <c r="Q576" s="559"/>
      <c r="R576" s="559"/>
      <c r="S576" s="559"/>
      <c r="T576" s="559"/>
      <c r="U576" s="559"/>
      <c r="V576" s="559"/>
      <c r="W576" s="559"/>
      <c r="X576" s="559"/>
      <c r="Y576" s="559"/>
      <c r="Z576" s="559"/>
      <c r="AA576" s="559"/>
      <c r="AB576" s="559"/>
      <c r="AC576" s="559"/>
      <c r="AD576" s="559"/>
      <c r="AE576" s="559"/>
    </row>
    <row r="577" spans="1:31" ht="18" customHeight="1" x14ac:dyDescent="0.35">
      <c r="A577" s="559"/>
      <c r="B577" s="559"/>
      <c r="C577" s="559"/>
      <c r="D577" s="559"/>
      <c r="E577" s="559"/>
      <c r="F577" s="559"/>
      <c r="G577" s="559"/>
      <c r="H577" s="559"/>
      <c r="I577" s="559"/>
      <c r="J577" s="559"/>
      <c r="K577" s="559"/>
      <c r="L577" s="559"/>
      <c r="M577" s="559"/>
      <c r="N577" s="559"/>
      <c r="O577" s="559"/>
      <c r="P577" s="559"/>
      <c r="Q577" s="559"/>
      <c r="R577" s="559"/>
      <c r="S577" s="559"/>
      <c r="T577" s="559"/>
      <c r="U577" s="559"/>
      <c r="V577" s="559"/>
      <c r="W577" s="559"/>
      <c r="X577" s="559"/>
      <c r="Y577" s="559"/>
      <c r="Z577" s="559"/>
      <c r="AA577" s="559"/>
      <c r="AB577" s="559"/>
      <c r="AC577" s="559"/>
      <c r="AD577" s="559"/>
      <c r="AE577" s="559"/>
    </row>
    <row r="578" spans="1:31" ht="18" customHeight="1" x14ac:dyDescent="0.35">
      <c r="A578" s="559"/>
      <c r="B578" s="559"/>
      <c r="C578" s="559"/>
      <c r="D578" s="559"/>
      <c r="E578" s="559"/>
      <c r="F578" s="559"/>
      <c r="G578" s="559"/>
      <c r="H578" s="559"/>
      <c r="I578" s="559"/>
      <c r="J578" s="559"/>
      <c r="K578" s="559"/>
      <c r="L578" s="559"/>
      <c r="M578" s="559"/>
      <c r="N578" s="559"/>
      <c r="O578" s="559"/>
      <c r="P578" s="559"/>
      <c r="Q578" s="559"/>
      <c r="R578" s="559"/>
      <c r="S578" s="559"/>
      <c r="T578" s="559"/>
      <c r="U578" s="559"/>
      <c r="V578" s="559"/>
      <c r="W578" s="559"/>
      <c r="X578" s="559"/>
      <c r="Y578" s="559"/>
      <c r="Z578" s="559"/>
      <c r="AA578" s="559"/>
      <c r="AB578" s="559"/>
      <c r="AC578" s="559"/>
      <c r="AD578" s="559"/>
      <c r="AE578" s="559"/>
    </row>
    <row r="579" spans="1:31" ht="18" customHeight="1" x14ac:dyDescent="0.35">
      <c r="A579" s="559"/>
      <c r="B579" s="559"/>
      <c r="C579" s="559"/>
      <c r="D579" s="559"/>
      <c r="E579" s="559"/>
      <c r="F579" s="559"/>
      <c r="G579" s="559"/>
      <c r="H579" s="559"/>
      <c r="I579" s="559"/>
      <c r="J579" s="559"/>
      <c r="K579" s="559"/>
      <c r="L579" s="559"/>
      <c r="M579" s="559"/>
      <c r="N579" s="559"/>
      <c r="O579" s="559"/>
      <c r="P579" s="559"/>
      <c r="Q579" s="559"/>
      <c r="R579" s="559"/>
      <c r="S579" s="559"/>
      <c r="T579" s="559"/>
      <c r="U579" s="559"/>
      <c r="V579" s="559"/>
      <c r="W579" s="559"/>
      <c r="X579" s="559"/>
      <c r="Y579" s="559"/>
      <c r="Z579" s="559"/>
      <c r="AA579" s="559"/>
      <c r="AB579" s="559"/>
      <c r="AC579" s="559"/>
      <c r="AD579" s="559"/>
      <c r="AE579" s="559"/>
    </row>
    <row r="580" spans="1:31" ht="18" customHeight="1" x14ac:dyDescent="0.35">
      <c r="A580" s="559"/>
      <c r="B580" s="559"/>
      <c r="C580" s="559"/>
      <c r="D580" s="559"/>
      <c r="E580" s="559"/>
      <c r="F580" s="559"/>
      <c r="G580" s="559"/>
      <c r="H580" s="559"/>
      <c r="I580" s="559"/>
      <c r="J580" s="559"/>
      <c r="K580" s="559"/>
      <c r="L580" s="559"/>
      <c r="M580" s="559"/>
      <c r="N580" s="559"/>
      <c r="O580" s="559"/>
      <c r="P580" s="559"/>
      <c r="Q580" s="559"/>
      <c r="R580" s="559"/>
      <c r="S580" s="559"/>
      <c r="T580" s="559"/>
      <c r="U580" s="559"/>
      <c r="V580" s="559"/>
      <c r="W580" s="559"/>
      <c r="X580" s="559"/>
      <c r="Y580" s="559"/>
      <c r="Z580" s="559"/>
      <c r="AA580" s="559"/>
      <c r="AB580" s="559"/>
      <c r="AC580" s="559"/>
      <c r="AD580" s="559"/>
      <c r="AE580" s="559"/>
    </row>
    <row r="581" spans="1:31" ht="18" customHeight="1" x14ac:dyDescent="0.35">
      <c r="A581" s="559"/>
      <c r="B581" s="559"/>
      <c r="C581" s="559"/>
      <c r="D581" s="559"/>
      <c r="E581" s="559"/>
      <c r="F581" s="559"/>
      <c r="G581" s="559"/>
      <c r="H581" s="559"/>
      <c r="I581" s="559"/>
      <c r="J581" s="559"/>
      <c r="K581" s="559"/>
      <c r="L581" s="559"/>
      <c r="M581" s="559"/>
      <c r="N581" s="559"/>
      <c r="O581" s="559"/>
      <c r="P581" s="559"/>
      <c r="Q581" s="559"/>
      <c r="R581" s="559"/>
      <c r="S581" s="559"/>
      <c r="T581" s="559"/>
      <c r="U581" s="559"/>
      <c r="V581" s="559"/>
      <c r="W581" s="559"/>
      <c r="X581" s="559"/>
      <c r="Y581" s="559"/>
      <c r="Z581" s="559"/>
      <c r="AA581" s="559"/>
      <c r="AB581" s="559"/>
      <c r="AC581" s="559"/>
      <c r="AD581" s="559"/>
      <c r="AE581" s="559"/>
    </row>
    <row r="582" spans="1:31" ht="18" customHeight="1" x14ac:dyDescent="0.35">
      <c r="A582" s="559"/>
      <c r="B582" s="559"/>
      <c r="C582" s="559"/>
      <c r="D582" s="559"/>
      <c r="E582" s="559"/>
      <c r="F582" s="559"/>
      <c r="G582" s="559"/>
      <c r="H582" s="559"/>
      <c r="I582" s="559"/>
      <c r="J582" s="559"/>
      <c r="K582" s="559"/>
      <c r="L582" s="559"/>
      <c r="M582" s="559"/>
      <c r="N582" s="559"/>
      <c r="O582" s="559"/>
      <c r="P582" s="559"/>
      <c r="Q582" s="559"/>
      <c r="R582" s="559"/>
      <c r="S582" s="559"/>
      <c r="T582" s="559"/>
      <c r="U582" s="559"/>
      <c r="V582" s="559"/>
      <c r="W582" s="559"/>
      <c r="X582" s="559"/>
      <c r="Y582" s="559"/>
      <c r="Z582" s="559"/>
      <c r="AA582" s="559"/>
      <c r="AB582" s="559"/>
      <c r="AC582" s="559"/>
      <c r="AD582" s="559"/>
      <c r="AE582" s="559"/>
    </row>
    <row r="583" spans="1:31" ht="18" customHeight="1" x14ac:dyDescent="0.35">
      <c r="A583" s="559"/>
      <c r="B583" s="559"/>
      <c r="C583" s="559"/>
      <c r="D583" s="559"/>
      <c r="E583" s="559"/>
      <c r="F583" s="559"/>
      <c r="G583" s="559"/>
      <c r="H583" s="559"/>
      <c r="I583" s="559"/>
      <c r="J583" s="559"/>
      <c r="K583" s="559"/>
      <c r="L583" s="559"/>
      <c r="M583" s="559"/>
      <c r="N583" s="559"/>
      <c r="O583" s="559"/>
      <c r="P583" s="559"/>
      <c r="Q583" s="559"/>
      <c r="R583" s="559"/>
      <c r="S583" s="559"/>
      <c r="T583" s="559"/>
      <c r="U583" s="559"/>
      <c r="V583" s="559"/>
      <c r="W583" s="559"/>
      <c r="X583" s="559"/>
      <c r="Y583" s="559"/>
      <c r="Z583" s="559"/>
      <c r="AA583" s="559"/>
      <c r="AB583" s="559"/>
      <c r="AC583" s="559"/>
      <c r="AD583" s="559"/>
      <c r="AE583" s="559"/>
    </row>
    <row r="584" spans="1:31" ht="18" customHeight="1" x14ac:dyDescent="0.35">
      <c r="A584" s="559"/>
      <c r="B584" s="559"/>
      <c r="C584" s="559"/>
      <c r="D584" s="559"/>
      <c r="E584" s="559"/>
      <c r="F584" s="559"/>
      <c r="G584" s="559"/>
      <c r="H584" s="559"/>
      <c r="I584" s="559"/>
      <c r="J584" s="559"/>
      <c r="K584" s="559"/>
      <c r="L584" s="559"/>
      <c r="M584" s="559"/>
      <c r="N584" s="559"/>
      <c r="O584" s="559"/>
      <c r="P584" s="559"/>
      <c r="Q584" s="559"/>
      <c r="R584" s="559"/>
      <c r="S584" s="559"/>
      <c r="T584" s="559"/>
      <c r="U584" s="559"/>
      <c r="V584" s="559"/>
      <c r="W584" s="559"/>
      <c r="X584" s="559"/>
      <c r="Y584" s="559"/>
      <c r="Z584" s="559"/>
      <c r="AA584" s="559"/>
      <c r="AB584" s="559"/>
      <c r="AC584" s="559"/>
      <c r="AD584" s="559"/>
      <c r="AE584" s="559"/>
    </row>
    <row r="585" spans="1:31" ht="18" customHeight="1" x14ac:dyDescent="0.35">
      <c r="A585" s="559"/>
      <c r="B585" s="559"/>
      <c r="C585" s="559"/>
      <c r="D585" s="559"/>
      <c r="E585" s="559"/>
      <c r="F585" s="559"/>
      <c r="G585" s="559"/>
      <c r="H585" s="559"/>
      <c r="I585" s="559"/>
      <c r="J585" s="559"/>
      <c r="K585" s="559"/>
      <c r="L585" s="559"/>
      <c r="M585" s="559"/>
      <c r="N585" s="559"/>
      <c r="O585" s="559"/>
      <c r="P585" s="559"/>
      <c r="Q585" s="559"/>
      <c r="R585" s="559"/>
      <c r="S585" s="559"/>
      <c r="T585" s="559"/>
      <c r="U585" s="559"/>
      <c r="V585" s="559"/>
      <c r="W585" s="559"/>
      <c r="X585" s="559"/>
      <c r="Y585" s="559"/>
      <c r="Z585" s="559"/>
      <c r="AA585" s="559"/>
      <c r="AB585" s="559"/>
      <c r="AC585" s="559"/>
      <c r="AD585" s="559"/>
      <c r="AE585" s="559"/>
    </row>
    <row r="586" spans="1:31" ht="18" customHeight="1" x14ac:dyDescent="0.35">
      <c r="A586" s="559"/>
      <c r="B586" s="559"/>
      <c r="C586" s="559"/>
      <c r="D586" s="559"/>
      <c r="E586" s="559"/>
      <c r="F586" s="559"/>
      <c r="G586" s="559"/>
      <c r="H586" s="559"/>
      <c r="I586" s="559"/>
      <c r="J586" s="559"/>
      <c r="K586" s="559"/>
      <c r="L586" s="559"/>
      <c r="M586" s="559"/>
      <c r="N586" s="559"/>
      <c r="O586" s="559"/>
      <c r="P586" s="559"/>
      <c r="Q586" s="559"/>
      <c r="R586" s="559"/>
      <c r="S586" s="559"/>
      <c r="T586" s="559"/>
      <c r="U586" s="559"/>
      <c r="V586" s="559"/>
      <c r="W586" s="559"/>
      <c r="X586" s="559"/>
      <c r="Y586" s="559"/>
      <c r="Z586" s="559"/>
      <c r="AA586" s="559"/>
      <c r="AB586" s="559"/>
      <c r="AC586" s="559"/>
      <c r="AD586" s="559"/>
      <c r="AE586" s="559"/>
    </row>
    <row r="587" spans="1:31" ht="18" customHeight="1" x14ac:dyDescent="0.35">
      <c r="A587" s="559"/>
      <c r="B587" s="559"/>
      <c r="C587" s="559"/>
      <c r="D587" s="559"/>
      <c r="E587" s="559"/>
      <c r="F587" s="559"/>
      <c r="G587" s="559"/>
      <c r="H587" s="559"/>
      <c r="I587" s="559"/>
      <c r="J587" s="559"/>
      <c r="K587" s="559"/>
      <c r="L587" s="559"/>
      <c r="M587" s="559"/>
      <c r="N587" s="559"/>
      <c r="O587" s="559"/>
      <c r="P587" s="559"/>
      <c r="Q587" s="559"/>
      <c r="R587" s="559"/>
      <c r="S587" s="559"/>
      <c r="T587" s="559"/>
      <c r="U587" s="559"/>
      <c r="V587" s="559"/>
      <c r="W587" s="559"/>
      <c r="X587" s="559"/>
      <c r="Y587" s="559"/>
      <c r="Z587" s="559"/>
      <c r="AA587" s="559"/>
      <c r="AB587" s="559"/>
      <c r="AC587" s="559"/>
      <c r="AD587" s="559"/>
      <c r="AE587" s="559"/>
    </row>
    <row r="588" spans="1:31" ht="18" customHeight="1" x14ac:dyDescent="0.35">
      <c r="A588" s="559"/>
      <c r="B588" s="559"/>
      <c r="C588" s="559"/>
      <c r="D588" s="559"/>
      <c r="E588" s="559"/>
      <c r="F588" s="559"/>
      <c r="G588" s="559"/>
      <c r="H588" s="559"/>
      <c r="I588" s="559"/>
      <c r="J588" s="559"/>
      <c r="K588" s="559"/>
      <c r="L588" s="559"/>
      <c r="M588" s="559"/>
      <c r="N588" s="559"/>
      <c r="O588" s="559"/>
      <c r="P588" s="559"/>
      <c r="Q588" s="559"/>
      <c r="R588" s="559"/>
      <c r="S588" s="559"/>
      <c r="T588" s="559"/>
      <c r="U588" s="559"/>
      <c r="V588" s="559"/>
      <c r="W588" s="559"/>
      <c r="X588" s="559"/>
      <c r="Y588" s="559"/>
      <c r="Z588" s="559"/>
      <c r="AA588" s="559"/>
      <c r="AB588" s="559"/>
      <c r="AC588" s="559"/>
      <c r="AD588" s="559"/>
      <c r="AE588" s="559"/>
    </row>
    <row r="589" spans="1:31" ht="18" customHeight="1" x14ac:dyDescent="0.35">
      <c r="A589" s="559"/>
      <c r="B589" s="559"/>
      <c r="C589" s="559"/>
      <c r="D589" s="559"/>
      <c r="E589" s="559"/>
      <c r="F589" s="559"/>
      <c r="G589" s="559"/>
      <c r="H589" s="559"/>
      <c r="I589" s="559"/>
      <c r="J589" s="559"/>
      <c r="K589" s="559"/>
      <c r="L589" s="559"/>
      <c r="M589" s="559"/>
      <c r="N589" s="559"/>
      <c r="O589" s="559"/>
      <c r="P589" s="559"/>
      <c r="Q589" s="559"/>
      <c r="R589" s="559"/>
      <c r="S589" s="559"/>
      <c r="T589" s="559"/>
      <c r="U589" s="559"/>
      <c r="V589" s="559"/>
      <c r="W589" s="559"/>
      <c r="X589" s="559"/>
      <c r="Y589" s="559"/>
      <c r="Z589" s="559"/>
      <c r="AA589" s="559"/>
      <c r="AB589" s="559"/>
      <c r="AC589" s="559"/>
      <c r="AD589" s="559"/>
      <c r="AE589" s="559"/>
    </row>
    <row r="590" spans="1:31" ht="18" customHeight="1" x14ac:dyDescent="0.35">
      <c r="A590" s="559"/>
      <c r="B590" s="559"/>
      <c r="C590" s="559"/>
      <c r="D590" s="559"/>
      <c r="E590" s="559"/>
      <c r="F590" s="559"/>
      <c r="G590" s="559"/>
      <c r="H590" s="559"/>
      <c r="I590" s="559"/>
      <c r="J590" s="559"/>
      <c r="K590" s="559"/>
      <c r="L590" s="559"/>
      <c r="M590" s="559"/>
      <c r="N590" s="559"/>
      <c r="O590" s="559"/>
      <c r="P590" s="559"/>
      <c r="Q590" s="559"/>
      <c r="R590" s="559"/>
      <c r="S590" s="559"/>
      <c r="T590" s="559"/>
      <c r="U590" s="559"/>
      <c r="V590" s="559"/>
      <c r="W590" s="559"/>
      <c r="X590" s="559"/>
      <c r="Y590" s="559"/>
      <c r="Z590" s="559"/>
      <c r="AA590" s="559"/>
      <c r="AB590" s="559"/>
      <c r="AC590" s="559"/>
      <c r="AD590" s="559"/>
      <c r="AE590" s="559"/>
    </row>
    <row r="591" spans="1:31" ht="18" customHeight="1" x14ac:dyDescent="0.35">
      <c r="A591" s="559"/>
      <c r="B591" s="559"/>
      <c r="C591" s="559"/>
      <c r="D591" s="559"/>
      <c r="E591" s="559"/>
      <c r="F591" s="559"/>
      <c r="G591" s="559"/>
      <c r="H591" s="559"/>
      <c r="I591" s="559"/>
      <c r="J591" s="559"/>
      <c r="K591" s="559"/>
      <c r="L591" s="559"/>
      <c r="M591" s="559"/>
      <c r="N591" s="559"/>
      <c r="O591" s="559"/>
      <c r="P591" s="559"/>
      <c r="Q591" s="559"/>
      <c r="R591" s="559"/>
      <c r="S591" s="559"/>
      <c r="T591" s="559"/>
      <c r="U591" s="559"/>
      <c r="V591" s="559"/>
      <c r="W591" s="559"/>
      <c r="X591" s="559"/>
      <c r="Y591" s="559"/>
      <c r="Z591" s="559"/>
      <c r="AA591" s="559"/>
      <c r="AB591" s="559"/>
      <c r="AC591" s="559"/>
      <c r="AD591" s="559"/>
      <c r="AE591" s="559"/>
    </row>
    <row r="592" spans="1:31" ht="18" customHeight="1" x14ac:dyDescent="0.35">
      <c r="A592" s="559"/>
      <c r="B592" s="559"/>
      <c r="C592" s="559"/>
      <c r="D592" s="559"/>
      <c r="E592" s="559"/>
      <c r="F592" s="559"/>
      <c r="G592" s="559"/>
      <c r="H592" s="559"/>
      <c r="I592" s="559"/>
      <c r="J592" s="559"/>
      <c r="K592" s="559"/>
      <c r="L592" s="559"/>
      <c r="M592" s="559"/>
      <c r="N592" s="559"/>
      <c r="O592" s="559"/>
      <c r="P592" s="559"/>
      <c r="Q592" s="559"/>
      <c r="R592" s="559"/>
      <c r="S592" s="559"/>
      <c r="T592" s="559"/>
      <c r="U592" s="559"/>
      <c r="V592" s="559"/>
      <c r="W592" s="559"/>
      <c r="X592" s="559"/>
      <c r="Y592" s="559"/>
      <c r="Z592" s="559"/>
      <c r="AA592" s="559"/>
      <c r="AB592" s="559"/>
      <c r="AC592" s="559"/>
      <c r="AD592" s="559"/>
      <c r="AE592" s="559"/>
    </row>
    <row r="593" spans="1:31" ht="18" customHeight="1" x14ac:dyDescent="0.35">
      <c r="A593" s="559"/>
      <c r="B593" s="559"/>
      <c r="C593" s="559"/>
      <c r="D593" s="559"/>
      <c r="E593" s="559"/>
      <c r="F593" s="559"/>
      <c r="G593" s="559"/>
      <c r="H593" s="559"/>
      <c r="I593" s="559"/>
      <c r="J593" s="559"/>
      <c r="K593" s="559"/>
      <c r="L593" s="559"/>
      <c r="M593" s="559"/>
      <c r="N593" s="559"/>
      <c r="O593" s="559"/>
      <c r="P593" s="559"/>
      <c r="Q593" s="559"/>
      <c r="R593" s="559"/>
      <c r="S593" s="559"/>
      <c r="T593" s="559"/>
      <c r="U593" s="559"/>
      <c r="V593" s="559"/>
      <c r="W593" s="559"/>
      <c r="X593" s="559"/>
      <c r="Y593" s="559"/>
      <c r="Z593" s="559"/>
      <c r="AA593" s="559"/>
      <c r="AB593" s="559"/>
      <c r="AC593" s="559"/>
      <c r="AD593" s="559"/>
      <c r="AE593" s="559"/>
    </row>
    <row r="594" spans="1:31" ht="18" customHeight="1" x14ac:dyDescent="0.35">
      <c r="A594" s="559"/>
      <c r="B594" s="559"/>
      <c r="C594" s="559"/>
      <c r="D594" s="559"/>
      <c r="E594" s="559"/>
      <c r="F594" s="559"/>
      <c r="G594" s="559"/>
      <c r="H594" s="559"/>
      <c r="I594" s="559"/>
      <c r="J594" s="559"/>
      <c r="K594" s="559"/>
      <c r="L594" s="559"/>
      <c r="M594" s="559"/>
      <c r="N594" s="559"/>
      <c r="O594" s="559"/>
      <c r="P594" s="559"/>
      <c r="Q594" s="559"/>
      <c r="R594" s="559"/>
      <c r="S594" s="559"/>
      <c r="T594" s="559"/>
      <c r="U594" s="559"/>
      <c r="V594" s="559"/>
      <c r="W594" s="559"/>
      <c r="X594" s="559"/>
      <c r="Y594" s="559"/>
      <c r="Z594" s="559"/>
      <c r="AA594" s="559"/>
      <c r="AB594" s="559"/>
      <c r="AC594" s="559"/>
      <c r="AD594" s="559"/>
      <c r="AE594" s="559"/>
    </row>
    <row r="595" spans="1:31" ht="18" customHeight="1" x14ac:dyDescent="0.35">
      <c r="A595" s="559"/>
      <c r="B595" s="559"/>
      <c r="C595" s="559"/>
      <c r="D595" s="559"/>
      <c r="E595" s="559"/>
      <c r="F595" s="559"/>
      <c r="G595" s="559"/>
      <c r="H595" s="559"/>
      <c r="I595" s="559"/>
      <c r="J595" s="559"/>
      <c r="K595" s="559"/>
      <c r="L595" s="559"/>
      <c r="M595" s="559"/>
      <c r="N595" s="559"/>
      <c r="O595" s="559"/>
      <c r="P595" s="559"/>
      <c r="Q595" s="559"/>
      <c r="R595" s="559"/>
      <c r="S595" s="559"/>
      <c r="T595" s="559"/>
      <c r="U595" s="559"/>
      <c r="V595" s="559"/>
      <c r="W595" s="559"/>
      <c r="X595" s="559"/>
      <c r="Y595" s="559"/>
      <c r="Z595" s="559"/>
      <c r="AA595" s="559"/>
      <c r="AB595" s="559"/>
      <c r="AC595" s="559"/>
      <c r="AD595" s="559"/>
      <c r="AE595" s="559"/>
    </row>
    <row r="596" spans="1:31" ht="18" customHeight="1" x14ac:dyDescent="0.35">
      <c r="A596" s="559"/>
      <c r="B596" s="559"/>
      <c r="C596" s="559"/>
      <c r="D596" s="559"/>
      <c r="E596" s="559"/>
      <c r="F596" s="559"/>
      <c r="G596" s="559"/>
      <c r="H596" s="559"/>
      <c r="I596" s="559"/>
      <c r="J596" s="559"/>
      <c r="K596" s="559"/>
      <c r="L596" s="559"/>
      <c r="M596" s="559"/>
      <c r="N596" s="559"/>
      <c r="O596" s="559"/>
      <c r="P596" s="559"/>
      <c r="Q596" s="559"/>
      <c r="R596" s="559"/>
      <c r="S596" s="559"/>
      <c r="T596" s="559"/>
      <c r="U596" s="559"/>
      <c r="V596" s="559"/>
      <c r="W596" s="559"/>
      <c r="X596" s="559"/>
      <c r="Y596" s="559"/>
      <c r="Z596" s="559"/>
      <c r="AA596" s="559"/>
      <c r="AB596" s="559"/>
      <c r="AC596" s="559"/>
      <c r="AD596" s="559"/>
      <c r="AE596" s="559"/>
    </row>
    <row r="597" spans="1:31" ht="18" customHeight="1" x14ac:dyDescent="0.35">
      <c r="A597" s="559"/>
      <c r="B597" s="559"/>
      <c r="C597" s="559"/>
      <c r="D597" s="559"/>
      <c r="E597" s="559"/>
      <c r="F597" s="559"/>
      <c r="G597" s="559"/>
      <c r="H597" s="559"/>
      <c r="I597" s="559"/>
      <c r="J597" s="559"/>
      <c r="K597" s="559"/>
      <c r="L597" s="559"/>
      <c r="M597" s="559"/>
      <c r="N597" s="559"/>
      <c r="O597" s="559"/>
      <c r="P597" s="559"/>
      <c r="Q597" s="559"/>
      <c r="R597" s="559"/>
      <c r="S597" s="559"/>
      <c r="T597" s="559"/>
      <c r="U597" s="559"/>
      <c r="V597" s="559"/>
      <c r="W597" s="559"/>
      <c r="X597" s="559"/>
      <c r="Y597" s="559"/>
      <c r="Z597" s="559"/>
      <c r="AA597" s="559"/>
      <c r="AB597" s="559"/>
      <c r="AC597" s="559"/>
      <c r="AD597" s="559"/>
      <c r="AE597" s="559"/>
    </row>
    <row r="598" spans="1:31" ht="18" customHeight="1" x14ac:dyDescent="0.35">
      <c r="A598" s="559"/>
      <c r="B598" s="559"/>
      <c r="C598" s="559"/>
      <c r="D598" s="559"/>
      <c r="E598" s="559"/>
      <c r="F598" s="559"/>
      <c r="G598" s="559"/>
      <c r="H598" s="559"/>
      <c r="I598" s="559"/>
      <c r="J598" s="559"/>
      <c r="K598" s="559"/>
      <c r="L598" s="559"/>
      <c r="M598" s="559"/>
      <c r="N598" s="559"/>
      <c r="O598" s="559"/>
      <c r="P598" s="559"/>
      <c r="Q598" s="559"/>
      <c r="R598" s="559"/>
      <c r="S598" s="559"/>
      <c r="T598" s="559"/>
      <c r="U598" s="559"/>
      <c r="V598" s="559"/>
      <c r="W598" s="559"/>
      <c r="X598" s="559"/>
      <c r="Y598" s="559"/>
      <c r="Z598" s="559"/>
      <c r="AA598" s="559"/>
      <c r="AB598" s="559"/>
      <c r="AC598" s="559"/>
      <c r="AD598" s="559"/>
      <c r="AE598" s="559"/>
    </row>
    <row r="599" spans="1:31" ht="18" customHeight="1" x14ac:dyDescent="0.35">
      <c r="A599" s="559"/>
      <c r="B599" s="559"/>
      <c r="C599" s="559"/>
      <c r="D599" s="559"/>
      <c r="E599" s="559"/>
      <c r="F599" s="559"/>
      <c r="G599" s="559"/>
      <c r="H599" s="559"/>
      <c r="I599" s="559"/>
      <c r="J599" s="559"/>
      <c r="K599" s="559"/>
      <c r="L599" s="559"/>
      <c r="M599" s="559"/>
      <c r="N599" s="559"/>
      <c r="O599" s="559"/>
      <c r="P599" s="559"/>
      <c r="Q599" s="559"/>
      <c r="R599" s="559"/>
      <c r="S599" s="559"/>
      <c r="T599" s="559"/>
      <c r="U599" s="559"/>
      <c r="V599" s="559"/>
      <c r="W599" s="559"/>
      <c r="X599" s="559"/>
      <c r="Y599" s="559"/>
      <c r="Z599" s="559"/>
      <c r="AA599" s="559"/>
      <c r="AB599" s="559"/>
      <c r="AC599" s="559"/>
      <c r="AD599" s="559"/>
      <c r="AE599" s="559"/>
    </row>
    <row r="600" spans="1:31" ht="18" customHeight="1" x14ac:dyDescent="0.35">
      <c r="A600" s="559"/>
      <c r="B600" s="559"/>
      <c r="C600" s="559"/>
      <c r="D600" s="559"/>
      <c r="E600" s="559"/>
      <c r="F600" s="559"/>
      <c r="G600" s="559"/>
      <c r="H600" s="559"/>
      <c r="I600" s="559"/>
      <c r="J600" s="559"/>
      <c r="K600" s="559"/>
      <c r="L600" s="559"/>
      <c r="M600" s="559"/>
      <c r="N600" s="559"/>
      <c r="O600" s="559"/>
      <c r="P600" s="559"/>
      <c r="Q600" s="559"/>
      <c r="R600" s="559"/>
      <c r="S600" s="559"/>
      <c r="T600" s="559"/>
      <c r="U600" s="559"/>
      <c r="V600" s="559"/>
      <c r="W600" s="559"/>
      <c r="X600" s="559"/>
      <c r="Y600" s="559"/>
      <c r="Z600" s="559"/>
      <c r="AA600" s="559"/>
      <c r="AB600" s="559"/>
      <c r="AC600" s="559"/>
      <c r="AD600" s="559"/>
      <c r="AE600" s="559"/>
    </row>
    <row r="601" spans="1:31" ht="18" customHeight="1" x14ac:dyDescent="0.35">
      <c r="A601" s="559"/>
      <c r="B601" s="559"/>
      <c r="C601" s="559"/>
      <c r="D601" s="559"/>
      <c r="E601" s="559"/>
      <c r="F601" s="559"/>
      <c r="G601" s="559"/>
      <c r="H601" s="559"/>
      <c r="I601" s="559"/>
      <c r="J601" s="559"/>
      <c r="K601" s="559"/>
      <c r="L601" s="559"/>
      <c r="M601" s="559"/>
      <c r="N601" s="559"/>
      <c r="O601" s="559"/>
      <c r="P601" s="559"/>
      <c r="Q601" s="559"/>
      <c r="R601" s="559"/>
      <c r="S601" s="559"/>
      <c r="T601" s="559"/>
      <c r="U601" s="559"/>
      <c r="V601" s="559"/>
      <c r="W601" s="559"/>
      <c r="X601" s="559"/>
      <c r="Y601" s="559"/>
      <c r="Z601" s="559"/>
      <c r="AA601" s="559"/>
      <c r="AB601" s="559"/>
      <c r="AC601" s="559"/>
      <c r="AD601" s="559"/>
      <c r="AE601" s="559"/>
    </row>
    <row r="602" spans="1:31" ht="18" customHeight="1" x14ac:dyDescent="0.35">
      <c r="A602" s="559"/>
      <c r="B602" s="559"/>
      <c r="C602" s="559"/>
      <c r="D602" s="559"/>
      <c r="E602" s="559"/>
      <c r="F602" s="559"/>
      <c r="G602" s="559"/>
      <c r="H602" s="559"/>
      <c r="I602" s="559"/>
      <c r="J602" s="559"/>
      <c r="K602" s="559"/>
      <c r="L602" s="559"/>
      <c r="M602" s="559"/>
      <c r="N602" s="559"/>
      <c r="O602" s="559"/>
      <c r="P602" s="559"/>
      <c r="Q602" s="559"/>
      <c r="R602" s="559"/>
      <c r="S602" s="559"/>
      <c r="T602" s="559"/>
      <c r="U602" s="559"/>
      <c r="V602" s="559"/>
      <c r="W602" s="559"/>
      <c r="X602" s="559"/>
      <c r="Y602" s="559"/>
      <c r="Z602" s="559"/>
      <c r="AA602" s="559"/>
      <c r="AB602" s="559"/>
      <c r="AC602" s="559"/>
      <c r="AD602" s="559"/>
      <c r="AE602" s="559"/>
    </row>
    <row r="603" spans="1:31" ht="18" customHeight="1" x14ac:dyDescent="0.35">
      <c r="A603" s="559"/>
      <c r="B603" s="559"/>
      <c r="C603" s="559"/>
      <c r="D603" s="559"/>
      <c r="E603" s="559"/>
      <c r="F603" s="559"/>
      <c r="G603" s="559"/>
      <c r="H603" s="559"/>
      <c r="I603" s="559"/>
      <c r="J603" s="559"/>
      <c r="K603" s="559"/>
      <c r="L603" s="559"/>
      <c r="M603" s="559"/>
      <c r="N603" s="559"/>
      <c r="O603" s="559"/>
      <c r="P603" s="559"/>
      <c r="Q603" s="559"/>
      <c r="R603" s="559"/>
      <c r="S603" s="559"/>
      <c r="T603" s="559"/>
      <c r="U603" s="559"/>
      <c r="V603" s="559"/>
      <c r="W603" s="559"/>
      <c r="X603" s="559"/>
      <c r="Y603" s="559"/>
      <c r="Z603" s="559"/>
      <c r="AA603" s="559"/>
      <c r="AB603" s="559"/>
      <c r="AC603" s="559"/>
      <c r="AD603" s="559"/>
      <c r="AE603" s="559"/>
    </row>
    <row r="604" spans="1:31" ht="18" customHeight="1" x14ac:dyDescent="0.35">
      <c r="A604" s="559"/>
      <c r="B604" s="559"/>
      <c r="C604" s="559"/>
      <c r="D604" s="559"/>
      <c r="E604" s="559"/>
      <c r="F604" s="559"/>
      <c r="G604" s="559"/>
      <c r="H604" s="559"/>
      <c r="I604" s="559"/>
      <c r="J604" s="559"/>
      <c r="K604" s="559"/>
      <c r="L604" s="559"/>
      <c r="M604" s="559"/>
      <c r="N604" s="559"/>
      <c r="O604" s="559"/>
      <c r="P604" s="559"/>
      <c r="Q604" s="559"/>
      <c r="R604" s="559"/>
      <c r="S604" s="559"/>
      <c r="T604" s="559"/>
      <c r="U604" s="559"/>
      <c r="V604" s="559"/>
      <c r="W604" s="559"/>
      <c r="X604" s="559"/>
      <c r="Y604" s="559"/>
      <c r="Z604" s="559"/>
      <c r="AA604" s="559"/>
      <c r="AB604" s="559"/>
      <c r="AC604" s="559"/>
      <c r="AD604" s="559"/>
      <c r="AE604" s="559"/>
    </row>
    <row r="605" spans="1:31" ht="18" customHeight="1" x14ac:dyDescent="0.35">
      <c r="A605" s="559"/>
      <c r="B605" s="559"/>
      <c r="C605" s="559"/>
      <c r="D605" s="559"/>
      <c r="E605" s="559"/>
      <c r="F605" s="559"/>
      <c r="G605" s="559"/>
      <c r="H605" s="559"/>
      <c r="I605" s="559"/>
      <c r="J605" s="559"/>
      <c r="K605" s="559"/>
      <c r="L605" s="559"/>
      <c r="M605" s="559"/>
      <c r="N605" s="559"/>
      <c r="O605" s="559"/>
      <c r="P605" s="559"/>
      <c r="Q605" s="559"/>
      <c r="R605" s="559"/>
      <c r="S605" s="559"/>
      <c r="T605" s="559"/>
      <c r="U605" s="559"/>
      <c r="V605" s="559"/>
      <c r="W605" s="559"/>
      <c r="X605" s="559"/>
      <c r="Y605" s="559"/>
      <c r="Z605" s="559"/>
      <c r="AA605" s="559"/>
      <c r="AB605" s="559"/>
      <c r="AC605" s="559"/>
      <c r="AD605" s="559"/>
      <c r="AE605" s="559"/>
    </row>
    <row r="606" spans="1:31" ht="18" customHeight="1" x14ac:dyDescent="0.35">
      <c r="A606" s="559"/>
      <c r="B606" s="559"/>
      <c r="C606" s="559"/>
      <c r="D606" s="559"/>
      <c r="E606" s="559"/>
      <c r="F606" s="559"/>
      <c r="G606" s="559"/>
      <c r="H606" s="559"/>
      <c r="I606" s="559"/>
      <c r="J606" s="559"/>
      <c r="K606" s="559"/>
      <c r="L606" s="559"/>
      <c r="M606" s="559"/>
      <c r="N606" s="559"/>
      <c r="O606" s="559"/>
      <c r="P606" s="559"/>
      <c r="Q606" s="559"/>
      <c r="R606" s="559"/>
      <c r="S606" s="559"/>
      <c r="T606" s="559"/>
      <c r="U606" s="559"/>
      <c r="V606" s="559"/>
      <c r="W606" s="559"/>
      <c r="X606" s="559"/>
      <c r="Y606" s="559"/>
      <c r="Z606" s="559"/>
      <c r="AA606" s="559"/>
      <c r="AB606" s="559"/>
      <c r="AC606" s="559"/>
      <c r="AD606" s="559"/>
      <c r="AE606" s="559"/>
    </row>
    <row r="607" spans="1:31" ht="18" customHeight="1" x14ac:dyDescent="0.35">
      <c r="A607" s="559"/>
      <c r="B607" s="559"/>
      <c r="C607" s="559"/>
      <c r="D607" s="559"/>
      <c r="E607" s="559"/>
      <c r="F607" s="559"/>
      <c r="G607" s="559"/>
      <c r="H607" s="559"/>
      <c r="I607" s="559"/>
      <c r="J607" s="559"/>
      <c r="K607" s="559"/>
      <c r="L607" s="559"/>
      <c r="M607" s="559"/>
      <c r="N607" s="559"/>
      <c r="O607" s="559"/>
      <c r="P607" s="559"/>
      <c r="Q607" s="559"/>
      <c r="R607" s="559"/>
      <c r="S607" s="559"/>
      <c r="T607" s="559"/>
      <c r="U607" s="559"/>
      <c r="V607" s="559"/>
      <c r="W607" s="559"/>
      <c r="X607" s="559"/>
      <c r="Y607" s="559"/>
      <c r="Z607" s="559"/>
      <c r="AA607" s="559"/>
      <c r="AB607" s="559"/>
      <c r="AC607" s="559"/>
      <c r="AD607" s="559"/>
      <c r="AE607" s="559"/>
    </row>
    <row r="608" spans="1:31" ht="18" customHeight="1" x14ac:dyDescent="0.35">
      <c r="A608" s="559"/>
      <c r="B608" s="559"/>
      <c r="C608" s="559"/>
      <c r="D608" s="559"/>
      <c r="E608" s="559"/>
      <c r="F608" s="559"/>
      <c r="G608" s="559"/>
      <c r="H608" s="559"/>
      <c r="I608" s="559"/>
      <c r="J608" s="559"/>
      <c r="K608" s="559"/>
      <c r="L608" s="559"/>
      <c r="M608" s="559"/>
      <c r="N608" s="559"/>
      <c r="O608" s="559"/>
      <c r="P608" s="559"/>
      <c r="Q608" s="559"/>
      <c r="R608" s="559"/>
      <c r="S608" s="559"/>
      <c r="T608" s="559"/>
      <c r="U608" s="559"/>
      <c r="V608" s="559"/>
      <c r="W608" s="559"/>
      <c r="X608" s="559"/>
      <c r="Y608" s="559"/>
      <c r="Z608" s="559"/>
      <c r="AA608" s="559"/>
      <c r="AB608" s="559"/>
      <c r="AC608" s="559"/>
      <c r="AD608" s="559"/>
      <c r="AE608" s="559"/>
    </row>
    <row r="609" spans="1:31" ht="18" customHeight="1" x14ac:dyDescent="0.35">
      <c r="A609" s="559"/>
      <c r="B609" s="559"/>
      <c r="C609" s="559"/>
      <c r="D609" s="559"/>
      <c r="E609" s="559"/>
      <c r="F609" s="559"/>
      <c r="G609" s="559"/>
      <c r="H609" s="559"/>
      <c r="I609" s="559"/>
      <c r="J609" s="559"/>
      <c r="K609" s="559"/>
      <c r="L609" s="559"/>
      <c r="M609" s="559"/>
      <c r="N609" s="559"/>
      <c r="O609" s="559"/>
      <c r="P609" s="559"/>
      <c r="Q609" s="559"/>
      <c r="R609" s="559"/>
      <c r="S609" s="559"/>
      <c r="T609" s="559"/>
      <c r="U609" s="559"/>
      <c r="V609" s="559"/>
      <c r="W609" s="559"/>
      <c r="X609" s="559"/>
      <c r="Y609" s="559"/>
      <c r="Z609" s="559"/>
      <c r="AA609" s="559"/>
      <c r="AB609" s="559"/>
      <c r="AC609" s="559"/>
      <c r="AD609" s="559"/>
      <c r="AE609" s="559"/>
    </row>
    <row r="610" spans="1:31" ht="18" customHeight="1" x14ac:dyDescent="0.35">
      <c r="A610" s="559"/>
      <c r="B610" s="559"/>
      <c r="C610" s="559"/>
      <c r="D610" s="559"/>
      <c r="E610" s="559"/>
      <c r="F610" s="559"/>
      <c r="G610" s="559"/>
      <c r="H610" s="559"/>
      <c r="I610" s="559"/>
      <c r="J610" s="559"/>
      <c r="K610" s="559"/>
      <c r="L610" s="559"/>
      <c r="M610" s="559"/>
      <c r="N610" s="559"/>
      <c r="O610" s="559"/>
      <c r="P610" s="559"/>
      <c r="Q610" s="559"/>
      <c r="R610" s="559"/>
      <c r="S610" s="559"/>
      <c r="T610" s="559"/>
      <c r="U610" s="559"/>
      <c r="V610" s="559"/>
      <c r="W610" s="559"/>
      <c r="X610" s="559"/>
      <c r="Y610" s="559"/>
      <c r="Z610" s="559"/>
      <c r="AA610" s="559"/>
      <c r="AB610" s="559"/>
      <c r="AC610" s="559"/>
      <c r="AD610" s="559"/>
      <c r="AE610" s="559"/>
    </row>
    <row r="611" spans="1:31" ht="18" customHeight="1" x14ac:dyDescent="0.35">
      <c r="A611" s="559"/>
      <c r="B611" s="559"/>
      <c r="C611" s="559"/>
      <c r="D611" s="559"/>
      <c r="E611" s="559"/>
      <c r="F611" s="559"/>
      <c r="G611" s="559"/>
      <c r="H611" s="559"/>
      <c r="I611" s="559"/>
      <c r="J611" s="559"/>
      <c r="K611" s="559"/>
      <c r="L611" s="559"/>
      <c r="M611" s="559"/>
      <c r="N611" s="559"/>
      <c r="O611" s="559"/>
      <c r="P611" s="559"/>
      <c r="Q611" s="559"/>
      <c r="R611" s="559"/>
      <c r="S611" s="559"/>
      <c r="T611" s="559"/>
      <c r="U611" s="559"/>
      <c r="V611" s="559"/>
      <c r="W611" s="559"/>
      <c r="X611" s="559"/>
      <c r="Y611" s="559"/>
      <c r="Z611" s="559"/>
      <c r="AA611" s="559"/>
      <c r="AB611" s="559"/>
      <c r="AC611" s="559"/>
      <c r="AD611" s="559"/>
      <c r="AE611" s="559"/>
    </row>
    <row r="612" spans="1:31" ht="18" customHeight="1" x14ac:dyDescent="0.35">
      <c r="A612" s="559"/>
      <c r="B612" s="559"/>
      <c r="C612" s="559"/>
      <c r="D612" s="559"/>
      <c r="E612" s="559"/>
      <c r="F612" s="559"/>
      <c r="G612" s="559"/>
      <c r="H612" s="559"/>
      <c r="I612" s="559"/>
      <c r="J612" s="559"/>
      <c r="K612" s="559"/>
      <c r="L612" s="559"/>
      <c r="M612" s="559"/>
      <c r="N612" s="559"/>
      <c r="O612" s="559"/>
      <c r="P612" s="559"/>
      <c r="Q612" s="559"/>
      <c r="R612" s="559"/>
      <c r="S612" s="559"/>
      <c r="T612" s="559"/>
      <c r="U612" s="559"/>
      <c r="V612" s="559"/>
      <c r="W612" s="559"/>
      <c r="X612" s="559"/>
      <c r="Y612" s="559"/>
      <c r="Z612" s="559"/>
      <c r="AA612" s="559"/>
      <c r="AB612" s="559"/>
      <c r="AC612" s="559"/>
      <c r="AD612" s="559"/>
      <c r="AE612" s="559"/>
    </row>
    <row r="613" spans="1:31" ht="18" customHeight="1" x14ac:dyDescent="0.35">
      <c r="A613" s="559"/>
      <c r="B613" s="559"/>
      <c r="C613" s="559"/>
      <c r="D613" s="559"/>
      <c r="E613" s="559"/>
      <c r="F613" s="559"/>
      <c r="G613" s="559"/>
      <c r="H613" s="559"/>
      <c r="I613" s="559"/>
      <c r="J613" s="559"/>
      <c r="K613" s="559"/>
      <c r="L613" s="559"/>
      <c r="M613" s="559"/>
      <c r="N613" s="559"/>
      <c r="O613" s="559"/>
      <c r="P613" s="559"/>
      <c r="Q613" s="559"/>
      <c r="R613" s="559"/>
      <c r="S613" s="559"/>
      <c r="T613" s="559"/>
      <c r="U613" s="559"/>
      <c r="V613" s="559"/>
      <c r="W613" s="559"/>
      <c r="X613" s="559"/>
      <c r="Y613" s="559"/>
      <c r="Z613" s="559"/>
      <c r="AA613" s="559"/>
      <c r="AB613" s="559"/>
      <c r="AC613" s="559"/>
      <c r="AD613" s="559"/>
      <c r="AE613" s="559"/>
    </row>
    <row r="614" spans="1:31" ht="18" customHeight="1" x14ac:dyDescent="0.35">
      <c r="A614" s="559"/>
      <c r="B614" s="559"/>
      <c r="C614" s="559"/>
      <c r="D614" s="559"/>
      <c r="E614" s="559"/>
      <c r="F614" s="559"/>
      <c r="G614" s="559"/>
      <c r="H614" s="559"/>
      <c r="I614" s="559"/>
      <c r="J614" s="559"/>
      <c r="K614" s="559"/>
      <c r="L614" s="559"/>
      <c r="M614" s="559"/>
      <c r="N614" s="559"/>
      <c r="O614" s="559"/>
      <c r="P614" s="559"/>
      <c r="Q614" s="559"/>
      <c r="R614" s="559"/>
      <c r="S614" s="559"/>
      <c r="T614" s="559"/>
      <c r="U614" s="559"/>
      <c r="V614" s="559"/>
      <c r="W614" s="559"/>
      <c r="X614" s="559"/>
      <c r="Y614" s="559"/>
      <c r="Z614" s="559"/>
      <c r="AA614" s="559"/>
      <c r="AB614" s="559"/>
      <c r="AC614" s="559"/>
      <c r="AD614" s="559"/>
      <c r="AE614" s="559"/>
    </row>
    <row r="615" spans="1:31" ht="18" customHeight="1" x14ac:dyDescent="0.35">
      <c r="A615" s="559"/>
      <c r="B615" s="559"/>
      <c r="C615" s="559"/>
      <c r="D615" s="559"/>
      <c r="E615" s="559"/>
      <c r="F615" s="559"/>
      <c r="G615" s="559"/>
      <c r="H615" s="559"/>
      <c r="I615" s="559"/>
      <c r="J615" s="559"/>
      <c r="K615" s="559"/>
      <c r="L615" s="559"/>
      <c r="M615" s="559"/>
      <c r="N615" s="559"/>
      <c r="O615" s="559"/>
      <c r="P615" s="559"/>
      <c r="Q615" s="559"/>
      <c r="R615" s="559"/>
      <c r="S615" s="559"/>
      <c r="T615" s="559"/>
      <c r="U615" s="559"/>
      <c r="V615" s="559"/>
      <c r="W615" s="559"/>
      <c r="X615" s="559"/>
      <c r="Y615" s="559"/>
      <c r="Z615" s="559"/>
      <c r="AA615" s="559"/>
      <c r="AB615" s="559"/>
      <c r="AC615" s="559"/>
      <c r="AD615" s="559"/>
      <c r="AE615" s="559"/>
    </row>
    <row r="616" spans="1:31" ht="18" customHeight="1" x14ac:dyDescent="0.35">
      <c r="A616" s="559"/>
      <c r="B616" s="559"/>
      <c r="C616" s="559"/>
      <c r="D616" s="559"/>
      <c r="E616" s="559"/>
      <c r="F616" s="559"/>
      <c r="G616" s="559"/>
      <c r="H616" s="559"/>
      <c r="I616" s="559"/>
      <c r="J616" s="559"/>
      <c r="K616" s="559"/>
      <c r="L616" s="559"/>
      <c r="M616" s="559"/>
      <c r="N616" s="559"/>
      <c r="O616" s="559"/>
      <c r="P616" s="559"/>
      <c r="Q616" s="559"/>
      <c r="R616" s="559"/>
      <c r="S616" s="559"/>
      <c r="T616" s="559"/>
      <c r="U616" s="559"/>
      <c r="V616" s="559"/>
      <c r="W616" s="559"/>
      <c r="X616" s="559"/>
      <c r="Y616" s="559"/>
      <c r="Z616" s="559"/>
      <c r="AA616" s="559"/>
      <c r="AB616" s="559"/>
      <c r="AC616" s="559"/>
      <c r="AD616" s="559"/>
      <c r="AE616" s="559"/>
    </row>
    <row r="617" spans="1:31" ht="18" customHeight="1" x14ac:dyDescent="0.35">
      <c r="A617" s="559"/>
      <c r="B617" s="559"/>
      <c r="C617" s="559"/>
      <c r="D617" s="559"/>
      <c r="E617" s="559"/>
      <c r="F617" s="559"/>
      <c r="G617" s="559"/>
      <c r="H617" s="559"/>
      <c r="I617" s="559"/>
      <c r="J617" s="559"/>
      <c r="K617" s="559"/>
      <c r="L617" s="559"/>
      <c r="M617" s="559"/>
      <c r="N617" s="559"/>
      <c r="O617" s="559"/>
      <c r="P617" s="559"/>
      <c r="Q617" s="559"/>
      <c r="R617" s="559"/>
      <c r="S617" s="559"/>
      <c r="T617" s="559"/>
      <c r="U617" s="559"/>
      <c r="V617" s="559"/>
      <c r="W617" s="559"/>
      <c r="X617" s="559"/>
      <c r="Y617" s="559"/>
      <c r="Z617" s="559"/>
      <c r="AA617" s="559"/>
      <c r="AB617" s="559"/>
      <c r="AC617" s="559"/>
      <c r="AD617" s="559"/>
      <c r="AE617" s="559"/>
    </row>
    <row r="618" spans="1:31" ht="18" customHeight="1" x14ac:dyDescent="0.35">
      <c r="A618" s="559"/>
      <c r="B618" s="559"/>
      <c r="C618" s="559"/>
      <c r="D618" s="559"/>
      <c r="E618" s="559"/>
      <c r="F618" s="559"/>
      <c r="G618" s="559"/>
      <c r="H618" s="559"/>
      <c r="I618" s="559"/>
      <c r="J618" s="559"/>
      <c r="K618" s="559"/>
      <c r="L618" s="559"/>
      <c r="M618" s="559"/>
      <c r="N618" s="559"/>
      <c r="O618" s="559"/>
      <c r="P618" s="559"/>
      <c r="Q618" s="559"/>
      <c r="R618" s="559"/>
      <c r="S618" s="559"/>
      <c r="T618" s="559"/>
      <c r="U618" s="559"/>
      <c r="V618" s="559"/>
      <c r="W618" s="559"/>
      <c r="X618" s="559"/>
      <c r="Y618" s="559"/>
      <c r="Z618" s="559"/>
      <c r="AA618" s="559"/>
      <c r="AB618" s="559"/>
      <c r="AC618" s="559"/>
      <c r="AD618" s="559"/>
      <c r="AE618" s="559"/>
    </row>
    <row r="619" spans="1:31" ht="18" customHeight="1" x14ac:dyDescent="0.35">
      <c r="A619" s="559"/>
      <c r="B619" s="559"/>
      <c r="C619" s="559"/>
      <c r="D619" s="559"/>
      <c r="E619" s="559"/>
      <c r="F619" s="559"/>
      <c r="G619" s="559"/>
      <c r="H619" s="559"/>
      <c r="I619" s="559"/>
      <c r="J619" s="559"/>
      <c r="K619" s="559"/>
      <c r="L619" s="559"/>
      <c r="M619" s="559"/>
      <c r="N619" s="559"/>
      <c r="O619" s="559"/>
      <c r="P619" s="559"/>
      <c r="Q619" s="559"/>
      <c r="R619" s="559"/>
      <c r="S619" s="559"/>
      <c r="T619" s="559"/>
      <c r="U619" s="559"/>
      <c r="V619" s="559"/>
      <c r="W619" s="559"/>
      <c r="X619" s="559"/>
      <c r="Y619" s="559"/>
      <c r="Z619" s="559"/>
      <c r="AA619" s="559"/>
      <c r="AB619" s="559"/>
      <c r="AC619" s="559"/>
      <c r="AD619" s="559"/>
      <c r="AE619" s="559"/>
    </row>
    <row r="620" spans="1:31" ht="18" customHeight="1" x14ac:dyDescent="0.35">
      <c r="A620" s="559"/>
      <c r="B620" s="559"/>
      <c r="C620" s="559"/>
      <c r="D620" s="559"/>
      <c r="E620" s="559"/>
      <c r="F620" s="559"/>
      <c r="G620" s="559"/>
      <c r="H620" s="559"/>
      <c r="I620" s="559"/>
      <c r="J620" s="559"/>
      <c r="K620" s="559"/>
      <c r="L620" s="559"/>
      <c r="M620" s="559"/>
      <c r="N620" s="559"/>
      <c r="O620" s="559"/>
      <c r="P620" s="559"/>
      <c r="Q620" s="559"/>
      <c r="R620" s="559"/>
      <c r="S620" s="559"/>
      <c r="T620" s="559"/>
      <c r="U620" s="559"/>
      <c r="V620" s="559"/>
      <c r="W620" s="559"/>
      <c r="X620" s="559"/>
      <c r="Y620" s="559"/>
      <c r="Z620" s="559"/>
      <c r="AA620" s="559"/>
      <c r="AB620" s="559"/>
      <c r="AC620" s="559"/>
      <c r="AD620" s="559"/>
      <c r="AE620" s="559"/>
    </row>
    <row r="621" spans="1:31" ht="18" customHeight="1" x14ac:dyDescent="0.35">
      <c r="A621" s="559"/>
      <c r="B621" s="559"/>
      <c r="C621" s="559"/>
      <c r="D621" s="559"/>
      <c r="E621" s="559"/>
      <c r="F621" s="559"/>
      <c r="G621" s="559"/>
      <c r="H621" s="559"/>
      <c r="I621" s="559"/>
      <c r="J621" s="559"/>
      <c r="K621" s="559"/>
      <c r="L621" s="559"/>
      <c r="M621" s="559"/>
      <c r="N621" s="559"/>
      <c r="O621" s="559"/>
      <c r="P621" s="559"/>
      <c r="Q621" s="559"/>
      <c r="R621" s="559"/>
      <c r="S621" s="559"/>
      <c r="T621" s="559"/>
      <c r="U621" s="559"/>
      <c r="V621" s="559"/>
      <c r="W621" s="559"/>
      <c r="X621" s="559"/>
      <c r="Y621" s="559"/>
      <c r="Z621" s="559"/>
      <c r="AA621" s="559"/>
      <c r="AB621" s="559"/>
      <c r="AC621" s="559"/>
      <c r="AD621" s="559"/>
      <c r="AE621" s="559"/>
    </row>
    <row r="622" spans="1:31" ht="18" customHeight="1" x14ac:dyDescent="0.35">
      <c r="A622" s="559"/>
      <c r="B622" s="559"/>
      <c r="C622" s="559"/>
      <c r="D622" s="559"/>
      <c r="E622" s="559"/>
      <c r="F622" s="559"/>
      <c r="G622" s="559"/>
      <c r="H622" s="559"/>
      <c r="I622" s="559"/>
      <c r="J622" s="559"/>
      <c r="K622" s="559"/>
      <c r="L622" s="559"/>
      <c r="M622" s="559"/>
      <c r="N622" s="559"/>
      <c r="O622" s="559"/>
      <c r="P622" s="559"/>
      <c r="Q622" s="559"/>
      <c r="R622" s="559"/>
      <c r="S622" s="559"/>
      <c r="T622" s="559"/>
      <c r="U622" s="559"/>
      <c r="V622" s="559"/>
      <c r="W622" s="559"/>
      <c r="X622" s="559"/>
      <c r="Y622" s="559"/>
      <c r="Z622" s="559"/>
      <c r="AA622" s="559"/>
      <c r="AB622" s="559"/>
      <c r="AC622" s="559"/>
      <c r="AD622" s="559"/>
      <c r="AE622" s="559"/>
    </row>
    <row r="623" spans="1:31" ht="18" customHeight="1" x14ac:dyDescent="0.35">
      <c r="A623" s="559"/>
      <c r="B623" s="559"/>
      <c r="C623" s="559"/>
      <c r="D623" s="559"/>
      <c r="E623" s="559"/>
      <c r="F623" s="559"/>
      <c r="G623" s="559"/>
      <c r="H623" s="559"/>
      <c r="I623" s="559"/>
      <c r="J623" s="559"/>
      <c r="K623" s="559"/>
      <c r="L623" s="559"/>
      <c r="M623" s="559"/>
      <c r="N623" s="559"/>
      <c r="O623" s="559"/>
      <c r="P623" s="559"/>
      <c r="Q623" s="559"/>
      <c r="R623" s="559"/>
      <c r="S623" s="559"/>
      <c r="T623" s="559"/>
      <c r="U623" s="559"/>
      <c r="V623" s="559"/>
      <c r="W623" s="559"/>
      <c r="X623" s="559"/>
      <c r="Y623" s="559"/>
      <c r="Z623" s="559"/>
      <c r="AA623" s="559"/>
      <c r="AB623" s="559"/>
      <c r="AC623" s="559"/>
      <c r="AD623" s="559"/>
      <c r="AE623" s="559"/>
    </row>
    <row r="624" spans="1:31" ht="18" customHeight="1" x14ac:dyDescent="0.35">
      <c r="A624" s="559"/>
      <c r="B624" s="559"/>
      <c r="C624" s="559"/>
      <c r="D624" s="559"/>
      <c r="E624" s="559"/>
      <c r="F624" s="559"/>
      <c r="G624" s="559"/>
      <c r="H624" s="559"/>
      <c r="I624" s="559"/>
      <c r="J624" s="559"/>
      <c r="K624" s="559"/>
      <c r="L624" s="559"/>
      <c r="M624" s="559"/>
      <c r="N624" s="559"/>
      <c r="O624" s="559"/>
      <c r="P624" s="559"/>
      <c r="Q624" s="559"/>
      <c r="R624" s="559"/>
      <c r="S624" s="559"/>
      <c r="T624" s="559"/>
      <c r="U624" s="559"/>
      <c r="V624" s="559"/>
      <c r="W624" s="559"/>
      <c r="X624" s="559"/>
      <c r="Y624" s="559"/>
      <c r="Z624" s="559"/>
      <c r="AA624" s="559"/>
      <c r="AB624" s="559"/>
      <c r="AC624" s="559"/>
      <c r="AD624" s="559"/>
      <c r="AE624" s="559"/>
    </row>
    <row r="625" spans="1:31" ht="18" customHeight="1" x14ac:dyDescent="0.35">
      <c r="A625" s="559"/>
      <c r="B625" s="559"/>
      <c r="C625" s="559"/>
      <c r="D625" s="559"/>
      <c r="E625" s="559"/>
      <c r="F625" s="559"/>
      <c r="G625" s="559"/>
      <c r="H625" s="559"/>
      <c r="I625" s="559"/>
      <c r="J625" s="559"/>
      <c r="K625" s="559"/>
      <c r="L625" s="559"/>
      <c r="M625" s="559"/>
      <c r="N625" s="559"/>
      <c r="O625" s="559"/>
      <c r="P625" s="559"/>
      <c r="Q625" s="559"/>
      <c r="R625" s="559"/>
      <c r="S625" s="559"/>
      <c r="T625" s="559"/>
      <c r="U625" s="559"/>
      <c r="V625" s="559"/>
      <c r="W625" s="559"/>
      <c r="X625" s="559"/>
      <c r="Y625" s="559"/>
      <c r="Z625" s="559"/>
      <c r="AA625" s="559"/>
      <c r="AB625" s="559"/>
      <c r="AC625" s="559"/>
      <c r="AD625" s="559"/>
      <c r="AE625" s="559"/>
    </row>
    <row r="626" spans="1:31" ht="18" customHeight="1" x14ac:dyDescent="0.35">
      <c r="A626" s="559"/>
      <c r="B626" s="559"/>
      <c r="C626" s="559"/>
      <c r="D626" s="559"/>
      <c r="E626" s="559"/>
      <c r="F626" s="559"/>
      <c r="G626" s="559"/>
      <c r="H626" s="559"/>
      <c r="I626" s="559"/>
      <c r="J626" s="559"/>
      <c r="K626" s="559"/>
      <c r="L626" s="559"/>
      <c r="M626" s="559"/>
      <c r="N626" s="559"/>
      <c r="O626" s="559"/>
      <c r="P626" s="559"/>
      <c r="Q626" s="559"/>
      <c r="R626" s="559"/>
      <c r="S626" s="559"/>
      <c r="T626" s="559"/>
      <c r="U626" s="559"/>
      <c r="V626" s="559"/>
      <c r="W626" s="559"/>
      <c r="X626" s="559"/>
      <c r="Y626" s="559"/>
      <c r="Z626" s="559"/>
      <c r="AA626" s="559"/>
      <c r="AB626" s="559"/>
      <c r="AC626" s="559"/>
      <c r="AD626" s="559"/>
      <c r="AE626" s="559"/>
    </row>
    <row r="627" spans="1:31" ht="18" customHeight="1" x14ac:dyDescent="0.35">
      <c r="A627" s="559"/>
      <c r="B627" s="559"/>
      <c r="C627" s="559"/>
      <c r="D627" s="559"/>
      <c r="E627" s="559"/>
      <c r="F627" s="559"/>
      <c r="G627" s="559"/>
      <c r="H627" s="559"/>
      <c r="I627" s="559"/>
      <c r="J627" s="559"/>
      <c r="K627" s="559"/>
      <c r="L627" s="559"/>
      <c r="M627" s="559"/>
      <c r="N627" s="559"/>
      <c r="O627" s="559"/>
      <c r="P627" s="559"/>
      <c r="Q627" s="559"/>
      <c r="R627" s="559"/>
      <c r="S627" s="559"/>
      <c r="T627" s="559"/>
      <c r="U627" s="559"/>
      <c r="V627" s="559"/>
      <c r="W627" s="559"/>
      <c r="X627" s="559"/>
      <c r="Y627" s="559"/>
      <c r="Z627" s="559"/>
      <c r="AA627" s="559"/>
      <c r="AB627" s="559"/>
      <c r="AC627" s="559"/>
      <c r="AD627" s="559"/>
      <c r="AE627" s="559"/>
    </row>
    <row r="628" spans="1:31" ht="18" customHeight="1" x14ac:dyDescent="0.35">
      <c r="A628" s="559"/>
      <c r="B628" s="559"/>
      <c r="C628" s="559"/>
      <c r="D628" s="559"/>
      <c r="E628" s="559"/>
      <c r="F628" s="559"/>
      <c r="G628" s="559"/>
      <c r="H628" s="559"/>
      <c r="I628" s="559"/>
      <c r="J628" s="559"/>
      <c r="K628" s="559"/>
      <c r="L628" s="559"/>
      <c r="M628" s="559"/>
      <c r="N628" s="559"/>
      <c r="O628" s="559"/>
      <c r="P628" s="559"/>
      <c r="Q628" s="559"/>
      <c r="R628" s="559"/>
      <c r="S628" s="559"/>
      <c r="T628" s="559"/>
      <c r="U628" s="559"/>
      <c r="V628" s="559"/>
      <c r="W628" s="559"/>
      <c r="X628" s="559"/>
      <c r="Y628" s="559"/>
      <c r="Z628" s="559"/>
      <c r="AA628" s="559"/>
      <c r="AB628" s="559"/>
      <c r="AC628" s="559"/>
      <c r="AD628" s="559"/>
      <c r="AE628" s="559"/>
    </row>
    <row r="629" spans="1:31" ht="18" customHeight="1" x14ac:dyDescent="0.35">
      <c r="A629" s="559"/>
      <c r="B629" s="559"/>
      <c r="C629" s="559"/>
      <c r="D629" s="559"/>
      <c r="E629" s="559"/>
      <c r="F629" s="559"/>
      <c r="G629" s="559"/>
      <c r="H629" s="559"/>
      <c r="I629" s="559"/>
      <c r="J629" s="559"/>
      <c r="K629" s="559"/>
      <c r="L629" s="559"/>
      <c r="M629" s="559"/>
      <c r="N629" s="559"/>
      <c r="O629" s="559"/>
      <c r="P629" s="559"/>
      <c r="Q629" s="559"/>
      <c r="R629" s="559"/>
      <c r="S629" s="559"/>
      <c r="T629" s="559"/>
      <c r="U629" s="559"/>
      <c r="V629" s="559"/>
      <c r="W629" s="559"/>
      <c r="X629" s="559"/>
      <c r="Y629" s="559"/>
      <c r="Z629" s="559"/>
      <c r="AA629" s="559"/>
      <c r="AB629" s="559"/>
      <c r="AC629" s="559"/>
      <c r="AD629" s="559"/>
      <c r="AE629" s="559"/>
    </row>
    <row r="630" spans="1:31" ht="18" customHeight="1" x14ac:dyDescent="0.35">
      <c r="A630" s="559"/>
      <c r="B630" s="559"/>
      <c r="C630" s="559"/>
      <c r="D630" s="559"/>
      <c r="E630" s="559"/>
      <c r="F630" s="559"/>
      <c r="G630" s="559"/>
      <c r="H630" s="559"/>
      <c r="I630" s="559"/>
      <c r="J630" s="559"/>
      <c r="K630" s="559"/>
      <c r="L630" s="559"/>
      <c r="M630" s="559"/>
      <c r="N630" s="559"/>
      <c r="O630" s="559"/>
      <c r="P630" s="559"/>
      <c r="Q630" s="559"/>
      <c r="R630" s="559"/>
      <c r="S630" s="559"/>
      <c r="T630" s="559"/>
      <c r="U630" s="559"/>
      <c r="V630" s="559"/>
      <c r="W630" s="559"/>
      <c r="X630" s="559"/>
      <c r="Y630" s="559"/>
      <c r="Z630" s="559"/>
      <c r="AA630" s="559"/>
      <c r="AB630" s="559"/>
      <c r="AC630" s="559"/>
      <c r="AD630" s="559"/>
      <c r="AE630" s="559"/>
    </row>
    <row r="631" spans="1:31" ht="18" customHeight="1" x14ac:dyDescent="0.35">
      <c r="A631" s="559"/>
      <c r="B631" s="559"/>
      <c r="C631" s="559"/>
      <c r="D631" s="559"/>
      <c r="E631" s="559"/>
      <c r="F631" s="559"/>
      <c r="G631" s="559"/>
      <c r="H631" s="559"/>
      <c r="I631" s="559"/>
      <c r="J631" s="559"/>
      <c r="K631" s="559"/>
      <c r="L631" s="559"/>
      <c r="M631" s="559"/>
      <c r="N631" s="559"/>
      <c r="O631" s="559"/>
      <c r="P631" s="559"/>
      <c r="Q631" s="559"/>
      <c r="R631" s="559"/>
      <c r="S631" s="559"/>
      <c r="T631" s="559"/>
      <c r="U631" s="559"/>
      <c r="V631" s="559"/>
      <c r="W631" s="559"/>
      <c r="X631" s="559"/>
      <c r="Y631" s="559"/>
      <c r="Z631" s="559"/>
      <c r="AA631" s="559"/>
      <c r="AB631" s="559"/>
      <c r="AC631" s="559"/>
      <c r="AD631" s="559"/>
      <c r="AE631" s="559"/>
    </row>
    <row r="632" spans="1:31" ht="18" customHeight="1" x14ac:dyDescent="0.35">
      <c r="A632" s="559"/>
      <c r="B632" s="559"/>
      <c r="C632" s="559"/>
      <c r="D632" s="559"/>
      <c r="E632" s="559"/>
      <c r="F632" s="559"/>
      <c r="G632" s="559"/>
      <c r="H632" s="559"/>
      <c r="I632" s="559"/>
      <c r="J632" s="559"/>
      <c r="K632" s="559"/>
      <c r="L632" s="559"/>
      <c r="M632" s="559"/>
      <c r="N632" s="559"/>
      <c r="O632" s="559"/>
      <c r="P632" s="559"/>
      <c r="Q632" s="559"/>
      <c r="R632" s="559"/>
      <c r="S632" s="559"/>
      <c r="T632" s="559"/>
      <c r="U632" s="559"/>
      <c r="V632" s="559"/>
      <c r="W632" s="559"/>
      <c r="X632" s="559"/>
      <c r="Y632" s="559"/>
      <c r="Z632" s="559"/>
      <c r="AA632" s="559"/>
      <c r="AB632" s="559"/>
      <c r="AC632" s="559"/>
      <c r="AD632" s="559"/>
      <c r="AE632" s="559"/>
    </row>
    <row r="633" spans="1:31" ht="18" customHeight="1" x14ac:dyDescent="0.35">
      <c r="A633" s="559"/>
      <c r="B633" s="559"/>
      <c r="C633" s="559"/>
      <c r="D633" s="559"/>
      <c r="E633" s="559"/>
      <c r="F633" s="559"/>
      <c r="G633" s="559"/>
      <c r="H633" s="559"/>
      <c r="I633" s="559"/>
      <c r="J633" s="559"/>
      <c r="K633" s="559"/>
      <c r="L633" s="559"/>
      <c r="M633" s="559"/>
      <c r="N633" s="559"/>
      <c r="O633" s="559"/>
      <c r="P633" s="559"/>
      <c r="Q633" s="559"/>
      <c r="R633" s="559"/>
      <c r="S633" s="559"/>
      <c r="T633" s="559"/>
      <c r="U633" s="559"/>
      <c r="V633" s="559"/>
      <c r="W633" s="559"/>
      <c r="X633" s="559"/>
      <c r="Y633" s="559"/>
      <c r="Z633" s="559"/>
      <c r="AA633" s="559"/>
      <c r="AB633" s="559"/>
      <c r="AC633" s="559"/>
      <c r="AD633" s="559"/>
      <c r="AE633" s="559"/>
    </row>
    <row r="634" spans="1:31" ht="18" customHeight="1" x14ac:dyDescent="0.35">
      <c r="A634" s="559"/>
      <c r="B634" s="559"/>
      <c r="C634" s="559"/>
      <c r="D634" s="559"/>
      <c r="E634" s="559"/>
      <c r="F634" s="559"/>
      <c r="G634" s="559"/>
      <c r="H634" s="559"/>
      <c r="I634" s="559"/>
      <c r="J634" s="559"/>
      <c r="K634" s="559"/>
      <c r="L634" s="559"/>
      <c r="M634" s="559"/>
      <c r="N634" s="559"/>
      <c r="O634" s="559"/>
      <c r="P634" s="559"/>
      <c r="Q634" s="559"/>
      <c r="R634" s="559"/>
      <c r="S634" s="559"/>
      <c r="T634" s="559"/>
      <c r="U634" s="559"/>
      <c r="V634" s="559"/>
      <c r="W634" s="559"/>
      <c r="X634" s="559"/>
      <c r="Y634" s="559"/>
      <c r="Z634" s="559"/>
      <c r="AA634" s="559"/>
      <c r="AB634" s="559"/>
      <c r="AC634" s="559"/>
      <c r="AD634" s="559"/>
      <c r="AE634" s="559"/>
    </row>
    <row r="635" spans="1:31" ht="18" customHeight="1" x14ac:dyDescent="0.35">
      <c r="A635" s="559"/>
      <c r="B635" s="559"/>
      <c r="C635" s="559"/>
      <c r="D635" s="559"/>
      <c r="E635" s="559"/>
      <c r="F635" s="559"/>
      <c r="G635" s="559"/>
      <c r="H635" s="559"/>
      <c r="I635" s="559"/>
      <c r="J635" s="559"/>
      <c r="K635" s="559"/>
      <c r="L635" s="559"/>
      <c r="M635" s="559"/>
      <c r="N635" s="559"/>
      <c r="O635" s="559"/>
      <c r="P635" s="559"/>
      <c r="Q635" s="559"/>
      <c r="R635" s="559"/>
      <c r="S635" s="559"/>
      <c r="T635" s="559"/>
      <c r="U635" s="559"/>
      <c r="V635" s="559"/>
      <c r="W635" s="559"/>
      <c r="X635" s="559"/>
      <c r="Y635" s="559"/>
      <c r="Z635" s="559"/>
      <c r="AA635" s="559"/>
      <c r="AB635" s="559"/>
      <c r="AC635" s="559"/>
      <c r="AD635" s="559"/>
      <c r="AE635" s="559"/>
    </row>
    <row r="636" spans="1:31" ht="18" customHeight="1" x14ac:dyDescent="0.35">
      <c r="A636" s="559"/>
      <c r="B636" s="559"/>
      <c r="C636" s="559"/>
      <c r="D636" s="559"/>
      <c r="E636" s="559"/>
      <c r="F636" s="559"/>
      <c r="G636" s="559"/>
      <c r="H636" s="559"/>
      <c r="I636" s="559"/>
      <c r="J636" s="559"/>
      <c r="K636" s="559"/>
      <c r="L636" s="559"/>
      <c r="M636" s="559"/>
      <c r="N636" s="559"/>
      <c r="O636" s="559"/>
      <c r="P636" s="559"/>
      <c r="Q636" s="559"/>
      <c r="R636" s="559"/>
      <c r="S636" s="559"/>
      <c r="T636" s="559"/>
      <c r="U636" s="559"/>
      <c r="V636" s="559"/>
      <c r="W636" s="559"/>
      <c r="X636" s="559"/>
      <c r="Y636" s="559"/>
      <c r="Z636" s="559"/>
      <c r="AA636" s="559"/>
      <c r="AB636" s="559"/>
      <c r="AC636" s="559"/>
      <c r="AD636" s="559"/>
      <c r="AE636" s="559"/>
    </row>
    <row r="637" spans="1:31" ht="18" customHeight="1" x14ac:dyDescent="0.35">
      <c r="A637" s="559"/>
      <c r="B637" s="559"/>
      <c r="C637" s="559"/>
      <c r="D637" s="559"/>
      <c r="E637" s="559"/>
      <c r="F637" s="559"/>
      <c r="G637" s="559"/>
      <c r="H637" s="559"/>
      <c r="I637" s="559"/>
      <c r="J637" s="559"/>
      <c r="K637" s="559"/>
      <c r="L637" s="559"/>
      <c r="M637" s="559"/>
      <c r="N637" s="559"/>
      <c r="O637" s="559"/>
      <c r="P637" s="559"/>
      <c r="Q637" s="559"/>
      <c r="R637" s="559"/>
      <c r="S637" s="559"/>
      <c r="T637" s="559"/>
      <c r="U637" s="559"/>
      <c r="V637" s="559"/>
      <c r="W637" s="559"/>
      <c r="X637" s="559"/>
      <c r="Y637" s="559"/>
      <c r="Z637" s="559"/>
      <c r="AA637" s="559"/>
      <c r="AB637" s="559"/>
      <c r="AC637" s="559"/>
      <c r="AD637" s="559"/>
      <c r="AE637" s="559"/>
    </row>
    <row r="638" spans="1:31" ht="18" customHeight="1" x14ac:dyDescent="0.35">
      <c r="A638" s="559"/>
      <c r="B638" s="559"/>
      <c r="C638" s="559"/>
      <c r="D638" s="559"/>
      <c r="E638" s="559"/>
      <c r="F638" s="559"/>
      <c r="G638" s="559"/>
      <c r="H638" s="559"/>
      <c r="I638" s="559"/>
      <c r="J638" s="559"/>
      <c r="K638" s="559"/>
      <c r="L638" s="559"/>
      <c r="M638" s="559"/>
      <c r="N638" s="559"/>
      <c r="O638" s="559"/>
      <c r="P638" s="559"/>
      <c r="Q638" s="559"/>
      <c r="R638" s="559"/>
      <c r="S638" s="559"/>
      <c r="T638" s="559"/>
      <c r="U638" s="559"/>
      <c r="V638" s="559"/>
      <c r="W638" s="559"/>
      <c r="X638" s="559"/>
      <c r="Y638" s="559"/>
      <c r="Z638" s="559"/>
      <c r="AA638" s="559"/>
      <c r="AB638" s="559"/>
      <c r="AC638" s="559"/>
      <c r="AD638" s="559"/>
      <c r="AE638" s="559"/>
    </row>
    <row r="639" spans="1:31" ht="18" customHeight="1" x14ac:dyDescent="0.35">
      <c r="A639" s="559"/>
      <c r="B639" s="559"/>
      <c r="C639" s="559"/>
      <c r="D639" s="559"/>
      <c r="E639" s="559"/>
      <c r="F639" s="559"/>
      <c r="G639" s="559"/>
      <c r="H639" s="559"/>
      <c r="I639" s="559"/>
      <c r="J639" s="559"/>
      <c r="K639" s="559"/>
      <c r="L639" s="559"/>
      <c r="M639" s="559"/>
      <c r="N639" s="559"/>
      <c r="O639" s="559"/>
      <c r="P639" s="559"/>
      <c r="Q639" s="559"/>
      <c r="R639" s="559"/>
      <c r="S639" s="559"/>
      <c r="T639" s="559"/>
      <c r="U639" s="559"/>
      <c r="V639" s="559"/>
      <c r="W639" s="559"/>
      <c r="X639" s="559"/>
      <c r="Y639" s="559"/>
      <c r="Z639" s="559"/>
      <c r="AA639" s="559"/>
      <c r="AB639" s="559"/>
      <c r="AC639" s="559"/>
      <c r="AD639" s="559"/>
      <c r="AE639" s="559"/>
    </row>
    <row r="640" spans="1:31" ht="18" customHeight="1" x14ac:dyDescent="0.35">
      <c r="A640" s="559"/>
      <c r="B640" s="559"/>
      <c r="C640" s="559"/>
      <c r="D640" s="559"/>
      <c r="E640" s="559"/>
      <c r="F640" s="559"/>
      <c r="G640" s="559"/>
      <c r="H640" s="559"/>
      <c r="I640" s="559"/>
      <c r="J640" s="559"/>
      <c r="K640" s="559"/>
      <c r="L640" s="559"/>
      <c r="M640" s="559"/>
      <c r="N640" s="559"/>
      <c r="O640" s="559"/>
      <c r="P640" s="559"/>
      <c r="Q640" s="559"/>
      <c r="R640" s="559"/>
      <c r="S640" s="559"/>
      <c r="T640" s="559"/>
      <c r="U640" s="559"/>
      <c r="V640" s="559"/>
      <c r="W640" s="559"/>
      <c r="X640" s="559"/>
      <c r="Y640" s="559"/>
      <c r="Z640" s="559"/>
      <c r="AA640" s="559"/>
      <c r="AB640" s="559"/>
      <c r="AC640" s="559"/>
      <c r="AD640" s="559"/>
      <c r="AE640" s="559"/>
    </row>
    <row r="641" spans="1:31" ht="18" customHeight="1" x14ac:dyDescent="0.35">
      <c r="A641" s="559"/>
      <c r="B641" s="559"/>
      <c r="C641" s="559"/>
      <c r="D641" s="559"/>
      <c r="E641" s="559"/>
      <c r="F641" s="559"/>
      <c r="G641" s="559"/>
      <c r="H641" s="559"/>
      <c r="I641" s="559"/>
      <c r="J641" s="559"/>
      <c r="K641" s="559"/>
      <c r="L641" s="559"/>
      <c r="M641" s="559"/>
      <c r="N641" s="559"/>
      <c r="O641" s="559"/>
      <c r="P641" s="559"/>
      <c r="Q641" s="559"/>
      <c r="R641" s="559"/>
      <c r="S641" s="559"/>
      <c r="T641" s="559"/>
      <c r="U641" s="559"/>
      <c r="V641" s="559"/>
      <c r="W641" s="559"/>
      <c r="X641" s="559"/>
      <c r="Y641" s="559"/>
      <c r="Z641" s="559"/>
      <c r="AA641" s="559"/>
      <c r="AB641" s="559"/>
      <c r="AC641" s="559"/>
      <c r="AD641" s="559"/>
      <c r="AE641" s="559"/>
    </row>
    <row r="642" spans="1:31" ht="18" customHeight="1" x14ac:dyDescent="0.35">
      <c r="A642" s="559"/>
      <c r="B642" s="559"/>
      <c r="C642" s="559"/>
      <c r="D642" s="559"/>
      <c r="E642" s="559"/>
      <c r="F642" s="559"/>
      <c r="G642" s="559"/>
      <c r="H642" s="559"/>
      <c r="I642" s="559"/>
      <c r="J642" s="559"/>
      <c r="K642" s="559"/>
      <c r="L642" s="559"/>
      <c r="M642" s="559"/>
      <c r="N642" s="559"/>
      <c r="O642" s="559"/>
      <c r="P642" s="559"/>
      <c r="Q642" s="559"/>
      <c r="R642" s="559"/>
      <c r="S642" s="559"/>
      <c r="T642" s="559"/>
      <c r="U642" s="559"/>
      <c r="V642" s="559"/>
      <c r="W642" s="559"/>
      <c r="X642" s="559"/>
      <c r="Y642" s="559"/>
      <c r="Z642" s="559"/>
      <c r="AA642" s="559"/>
      <c r="AB642" s="559"/>
      <c r="AC642" s="559"/>
      <c r="AD642" s="559"/>
      <c r="AE642" s="559"/>
    </row>
    <row r="643" spans="1:31" ht="18" customHeight="1" x14ac:dyDescent="0.35">
      <c r="A643" s="559"/>
      <c r="B643" s="559"/>
      <c r="C643" s="559"/>
      <c r="D643" s="559"/>
      <c r="E643" s="559"/>
      <c r="F643" s="559"/>
      <c r="G643" s="559"/>
      <c r="H643" s="559"/>
      <c r="I643" s="559"/>
      <c r="J643" s="559"/>
      <c r="K643" s="559"/>
      <c r="L643" s="559"/>
      <c r="M643" s="559"/>
      <c r="N643" s="559"/>
      <c r="O643" s="559"/>
      <c r="P643" s="559"/>
      <c r="Q643" s="559"/>
      <c r="R643" s="559"/>
      <c r="S643" s="559"/>
      <c r="T643" s="559"/>
      <c r="U643" s="559"/>
      <c r="V643" s="559"/>
      <c r="W643" s="559"/>
      <c r="X643" s="559"/>
      <c r="Y643" s="559"/>
      <c r="Z643" s="559"/>
      <c r="AA643" s="559"/>
      <c r="AB643" s="559"/>
      <c r="AC643" s="559"/>
      <c r="AD643" s="559"/>
      <c r="AE643" s="559"/>
    </row>
    <row r="644" spans="1:31" ht="18" customHeight="1" x14ac:dyDescent="0.35">
      <c r="A644" s="559"/>
      <c r="B644" s="559"/>
      <c r="C644" s="559"/>
      <c r="D644" s="559"/>
      <c r="E644" s="559"/>
      <c r="F644" s="559"/>
      <c r="G644" s="559"/>
      <c r="H644" s="559"/>
      <c r="I644" s="559"/>
      <c r="J644" s="559"/>
      <c r="K644" s="559"/>
      <c r="L644" s="559"/>
      <c r="M644" s="559"/>
      <c r="N644" s="559"/>
      <c r="O644" s="559"/>
      <c r="P644" s="559"/>
      <c r="Q644" s="559"/>
      <c r="R644" s="559"/>
      <c r="S644" s="559"/>
      <c r="T644" s="559"/>
      <c r="U644" s="559"/>
      <c r="V644" s="559"/>
      <c r="W644" s="559"/>
      <c r="X644" s="559"/>
      <c r="Y644" s="559"/>
      <c r="Z644" s="559"/>
      <c r="AA644" s="559"/>
      <c r="AB644" s="559"/>
      <c r="AC644" s="559"/>
      <c r="AD644" s="559"/>
      <c r="AE644" s="559"/>
    </row>
    <row r="645" spans="1:31" ht="18" customHeight="1" x14ac:dyDescent="0.35">
      <c r="A645" s="559"/>
      <c r="B645" s="559"/>
      <c r="C645" s="559"/>
      <c r="D645" s="559"/>
      <c r="E645" s="559"/>
      <c r="F645" s="559"/>
      <c r="G645" s="559"/>
      <c r="H645" s="559"/>
      <c r="I645" s="559"/>
      <c r="J645" s="559"/>
      <c r="K645" s="559"/>
      <c r="L645" s="559"/>
      <c r="M645" s="559"/>
      <c r="N645" s="559"/>
      <c r="O645" s="559"/>
      <c r="P645" s="559"/>
      <c r="Q645" s="559"/>
      <c r="R645" s="559"/>
      <c r="S645" s="559"/>
      <c r="T645" s="559"/>
      <c r="U645" s="559"/>
      <c r="V645" s="559"/>
      <c r="W645" s="559"/>
      <c r="X645" s="559"/>
      <c r="Y645" s="559"/>
      <c r="Z645" s="559"/>
      <c r="AA645" s="559"/>
      <c r="AB645" s="559"/>
      <c r="AC645" s="559"/>
      <c r="AD645" s="559"/>
      <c r="AE645" s="559"/>
    </row>
    <row r="646" spans="1:31" ht="18" customHeight="1" x14ac:dyDescent="0.35">
      <c r="A646" s="559"/>
      <c r="B646" s="559"/>
      <c r="C646" s="559"/>
      <c r="D646" s="559"/>
      <c r="E646" s="559"/>
      <c r="F646" s="559"/>
      <c r="G646" s="559"/>
      <c r="H646" s="559"/>
      <c r="I646" s="559"/>
      <c r="J646" s="559"/>
      <c r="K646" s="559"/>
      <c r="L646" s="559"/>
      <c r="M646" s="559"/>
      <c r="N646" s="559"/>
      <c r="O646" s="559"/>
      <c r="P646" s="559"/>
      <c r="Q646" s="559"/>
      <c r="R646" s="559"/>
      <c r="S646" s="559"/>
      <c r="T646" s="559"/>
      <c r="U646" s="559"/>
      <c r="V646" s="559"/>
      <c r="W646" s="559"/>
      <c r="X646" s="559"/>
      <c r="Y646" s="559"/>
      <c r="Z646" s="559"/>
      <c r="AA646" s="559"/>
      <c r="AB646" s="559"/>
      <c r="AC646" s="559"/>
      <c r="AD646" s="559"/>
      <c r="AE646" s="559"/>
    </row>
    <row r="647" spans="1:31" ht="18" customHeight="1" x14ac:dyDescent="0.35">
      <c r="A647" s="559"/>
      <c r="B647" s="559"/>
      <c r="C647" s="559"/>
      <c r="D647" s="559"/>
      <c r="E647" s="559"/>
      <c r="F647" s="559"/>
      <c r="G647" s="559"/>
      <c r="H647" s="559"/>
      <c r="I647" s="559"/>
      <c r="J647" s="559"/>
      <c r="K647" s="559"/>
      <c r="L647" s="559"/>
      <c r="M647" s="559"/>
      <c r="N647" s="559"/>
      <c r="O647" s="559"/>
      <c r="P647" s="559"/>
      <c r="Q647" s="559"/>
      <c r="R647" s="559"/>
      <c r="S647" s="559"/>
      <c r="T647" s="559"/>
      <c r="U647" s="559"/>
      <c r="V647" s="559"/>
      <c r="W647" s="559"/>
      <c r="X647" s="559"/>
      <c r="Y647" s="559"/>
      <c r="Z647" s="559"/>
      <c r="AA647" s="559"/>
      <c r="AB647" s="559"/>
      <c r="AC647" s="559"/>
      <c r="AD647" s="559"/>
      <c r="AE647" s="559"/>
    </row>
    <row r="648" spans="1:31" ht="18" customHeight="1" x14ac:dyDescent="0.35">
      <c r="A648" s="559"/>
      <c r="B648" s="559"/>
      <c r="C648" s="559"/>
      <c r="D648" s="559"/>
      <c r="E648" s="559"/>
      <c r="F648" s="559"/>
      <c r="G648" s="559"/>
      <c r="H648" s="559"/>
      <c r="I648" s="559"/>
      <c r="J648" s="559"/>
      <c r="K648" s="559"/>
      <c r="L648" s="559"/>
      <c r="M648" s="559"/>
      <c r="N648" s="559"/>
      <c r="O648" s="559"/>
      <c r="P648" s="559"/>
      <c r="Q648" s="559"/>
      <c r="R648" s="559"/>
      <c r="S648" s="559"/>
      <c r="T648" s="559"/>
      <c r="U648" s="559"/>
      <c r="V648" s="559"/>
      <c r="W648" s="559"/>
      <c r="X648" s="559"/>
      <c r="Y648" s="559"/>
      <c r="Z648" s="559"/>
      <c r="AA648" s="559"/>
      <c r="AB648" s="559"/>
      <c r="AC648" s="559"/>
      <c r="AD648" s="559"/>
      <c r="AE648" s="559"/>
    </row>
    <row r="649" spans="1:31" ht="18" customHeight="1" x14ac:dyDescent="0.35">
      <c r="A649" s="559"/>
      <c r="B649" s="559"/>
      <c r="C649" s="559"/>
      <c r="D649" s="559"/>
      <c r="E649" s="559"/>
      <c r="F649" s="559"/>
      <c r="G649" s="559"/>
      <c r="H649" s="559"/>
      <c r="I649" s="559"/>
      <c r="J649" s="559"/>
      <c r="K649" s="559"/>
      <c r="L649" s="559"/>
      <c r="M649" s="559"/>
      <c r="N649" s="559"/>
      <c r="O649" s="559"/>
      <c r="P649" s="559"/>
      <c r="Q649" s="559"/>
      <c r="R649" s="559"/>
      <c r="S649" s="559"/>
      <c r="T649" s="559"/>
      <c r="U649" s="559"/>
      <c r="V649" s="559"/>
      <c r="W649" s="559"/>
      <c r="X649" s="559"/>
      <c r="Y649" s="559"/>
      <c r="Z649" s="559"/>
      <c r="AA649" s="559"/>
      <c r="AB649" s="559"/>
      <c r="AC649" s="559"/>
      <c r="AD649" s="559"/>
      <c r="AE649" s="559"/>
    </row>
    <row r="650" spans="1:31" ht="18" customHeight="1" x14ac:dyDescent="0.35">
      <c r="A650" s="559"/>
      <c r="B650" s="559"/>
      <c r="C650" s="559"/>
      <c r="D650" s="559"/>
      <c r="E650" s="559"/>
      <c r="F650" s="559"/>
      <c r="G650" s="559"/>
      <c r="H650" s="559"/>
      <c r="I650" s="559"/>
      <c r="J650" s="559"/>
      <c r="K650" s="559"/>
      <c r="L650" s="559"/>
      <c r="M650" s="559"/>
      <c r="N650" s="559"/>
      <c r="O650" s="559"/>
      <c r="P650" s="559"/>
      <c r="Q650" s="559"/>
      <c r="R650" s="559"/>
      <c r="S650" s="559"/>
      <c r="T650" s="559"/>
      <c r="U650" s="559"/>
      <c r="V650" s="559"/>
      <c r="W650" s="559"/>
      <c r="X650" s="559"/>
      <c r="Y650" s="559"/>
      <c r="Z650" s="559"/>
      <c r="AA650" s="559"/>
      <c r="AB650" s="559"/>
      <c r="AC650" s="559"/>
      <c r="AD650" s="559"/>
      <c r="AE650" s="559"/>
    </row>
    <row r="651" spans="1:31" ht="18" customHeight="1" x14ac:dyDescent="0.35">
      <c r="A651" s="559"/>
      <c r="B651" s="559"/>
      <c r="C651" s="559"/>
      <c r="D651" s="559"/>
      <c r="E651" s="559"/>
      <c r="F651" s="559"/>
      <c r="G651" s="559"/>
      <c r="H651" s="559"/>
      <c r="I651" s="559"/>
      <c r="J651" s="559"/>
      <c r="K651" s="559"/>
      <c r="L651" s="559"/>
      <c r="M651" s="559"/>
      <c r="N651" s="559"/>
      <c r="O651" s="559"/>
      <c r="P651" s="559"/>
      <c r="Q651" s="559"/>
      <c r="R651" s="559"/>
      <c r="S651" s="559"/>
      <c r="T651" s="559"/>
      <c r="U651" s="559"/>
      <c r="V651" s="559"/>
      <c r="W651" s="559"/>
      <c r="X651" s="559"/>
      <c r="Y651" s="559"/>
      <c r="Z651" s="559"/>
      <c r="AA651" s="559"/>
      <c r="AB651" s="559"/>
      <c r="AC651" s="559"/>
      <c r="AD651" s="559"/>
      <c r="AE651" s="559"/>
    </row>
    <row r="652" spans="1:31" ht="18" customHeight="1" x14ac:dyDescent="0.35">
      <c r="A652" s="559"/>
      <c r="B652" s="559"/>
      <c r="C652" s="559"/>
      <c r="D652" s="559"/>
      <c r="E652" s="559"/>
      <c r="F652" s="559"/>
      <c r="G652" s="559"/>
      <c r="H652" s="559"/>
      <c r="I652" s="559"/>
      <c r="J652" s="559"/>
      <c r="K652" s="559"/>
      <c r="L652" s="559"/>
      <c r="M652" s="559"/>
      <c r="N652" s="559"/>
      <c r="O652" s="559"/>
      <c r="P652" s="559"/>
      <c r="Q652" s="559"/>
      <c r="R652" s="559"/>
      <c r="S652" s="559"/>
      <c r="T652" s="559"/>
      <c r="U652" s="559"/>
      <c r="V652" s="559"/>
      <c r="W652" s="559"/>
      <c r="X652" s="559"/>
      <c r="Y652" s="559"/>
      <c r="Z652" s="559"/>
      <c r="AA652" s="559"/>
      <c r="AB652" s="559"/>
      <c r="AC652" s="559"/>
      <c r="AD652" s="559"/>
      <c r="AE652" s="559"/>
    </row>
    <row r="653" spans="1:31" ht="18" customHeight="1" x14ac:dyDescent="0.35">
      <c r="A653" s="559"/>
      <c r="B653" s="559"/>
      <c r="C653" s="559"/>
      <c r="D653" s="559"/>
      <c r="E653" s="559"/>
      <c r="F653" s="559"/>
      <c r="G653" s="559"/>
      <c r="H653" s="559"/>
      <c r="I653" s="559"/>
      <c r="J653" s="559"/>
      <c r="K653" s="559"/>
      <c r="L653" s="559"/>
      <c r="M653" s="559"/>
      <c r="N653" s="559"/>
      <c r="O653" s="559"/>
      <c r="P653" s="559"/>
      <c r="Q653" s="559"/>
      <c r="R653" s="559"/>
      <c r="S653" s="559"/>
      <c r="T653" s="559"/>
      <c r="U653" s="559"/>
      <c r="V653" s="559"/>
      <c r="W653" s="559"/>
      <c r="X653" s="559"/>
      <c r="Y653" s="559"/>
      <c r="Z653" s="559"/>
      <c r="AA653" s="559"/>
      <c r="AB653" s="559"/>
      <c r="AC653" s="559"/>
      <c r="AD653" s="559"/>
      <c r="AE653" s="559"/>
    </row>
    <row r="654" spans="1:31" ht="18" customHeight="1" x14ac:dyDescent="0.35">
      <c r="A654" s="559"/>
      <c r="B654" s="559"/>
      <c r="C654" s="559"/>
      <c r="D654" s="559"/>
      <c r="E654" s="559"/>
      <c r="F654" s="559"/>
      <c r="G654" s="559"/>
      <c r="H654" s="559"/>
      <c r="I654" s="559"/>
      <c r="J654" s="559"/>
      <c r="K654" s="559"/>
      <c r="L654" s="559"/>
      <c r="M654" s="559"/>
      <c r="N654" s="559"/>
      <c r="O654" s="559"/>
      <c r="P654" s="559"/>
      <c r="Q654" s="559"/>
      <c r="R654" s="559"/>
      <c r="S654" s="559"/>
      <c r="T654" s="559"/>
      <c r="U654" s="559"/>
      <c r="V654" s="559"/>
      <c r="W654" s="559"/>
      <c r="X654" s="559"/>
      <c r="Y654" s="559"/>
      <c r="Z654" s="559"/>
      <c r="AA654" s="559"/>
      <c r="AB654" s="559"/>
      <c r="AC654" s="559"/>
      <c r="AD654" s="559"/>
      <c r="AE654" s="559"/>
    </row>
    <row r="655" spans="1:31" ht="18" customHeight="1" x14ac:dyDescent="0.35">
      <c r="A655" s="559"/>
      <c r="B655" s="559"/>
      <c r="C655" s="559"/>
      <c r="D655" s="559"/>
      <c r="E655" s="559"/>
      <c r="F655" s="559"/>
      <c r="G655" s="559"/>
      <c r="H655" s="559"/>
      <c r="I655" s="559"/>
      <c r="J655" s="559"/>
      <c r="K655" s="559"/>
      <c r="L655" s="559"/>
      <c r="M655" s="559"/>
      <c r="N655" s="559"/>
      <c r="O655" s="559"/>
      <c r="P655" s="559"/>
      <c r="Q655" s="559"/>
      <c r="R655" s="559"/>
      <c r="S655" s="559"/>
      <c r="T655" s="559"/>
      <c r="U655" s="559"/>
      <c r="V655" s="559"/>
      <c r="W655" s="559"/>
      <c r="X655" s="559"/>
      <c r="Y655" s="559"/>
      <c r="Z655" s="559"/>
      <c r="AA655" s="559"/>
      <c r="AB655" s="559"/>
      <c r="AC655" s="559"/>
      <c r="AD655" s="559"/>
      <c r="AE655" s="559"/>
    </row>
    <row r="656" spans="1:31" ht="18" customHeight="1" x14ac:dyDescent="0.35">
      <c r="A656" s="559"/>
      <c r="B656" s="559"/>
      <c r="C656" s="559"/>
      <c r="D656" s="559"/>
      <c r="E656" s="559"/>
      <c r="F656" s="559"/>
      <c r="G656" s="559"/>
      <c r="H656" s="559"/>
      <c r="I656" s="559"/>
      <c r="J656" s="559"/>
      <c r="K656" s="559"/>
      <c r="L656" s="559"/>
      <c r="M656" s="559"/>
      <c r="N656" s="559"/>
      <c r="O656" s="559"/>
      <c r="P656" s="559"/>
      <c r="Q656" s="559"/>
      <c r="R656" s="559"/>
      <c r="S656" s="559"/>
      <c r="T656" s="559"/>
      <c r="U656" s="559"/>
      <c r="V656" s="559"/>
      <c r="W656" s="559"/>
      <c r="X656" s="559"/>
      <c r="Y656" s="559"/>
      <c r="Z656" s="559"/>
      <c r="AA656" s="559"/>
      <c r="AB656" s="559"/>
      <c r="AC656" s="559"/>
      <c r="AD656" s="559"/>
      <c r="AE656" s="559"/>
    </row>
    <row r="657" spans="1:31" ht="18" customHeight="1" x14ac:dyDescent="0.35">
      <c r="A657" s="559"/>
      <c r="B657" s="559"/>
      <c r="C657" s="559"/>
      <c r="D657" s="559"/>
      <c r="E657" s="559"/>
      <c r="F657" s="559"/>
      <c r="G657" s="559"/>
      <c r="H657" s="559"/>
      <c r="I657" s="559"/>
      <c r="J657" s="559"/>
      <c r="K657" s="559"/>
      <c r="L657" s="559"/>
      <c r="M657" s="559"/>
      <c r="N657" s="559"/>
      <c r="O657" s="559"/>
      <c r="P657" s="559"/>
      <c r="Q657" s="559"/>
      <c r="R657" s="559"/>
      <c r="S657" s="559"/>
      <c r="T657" s="559"/>
      <c r="U657" s="559"/>
      <c r="V657" s="559"/>
      <c r="W657" s="559"/>
      <c r="X657" s="559"/>
      <c r="Y657" s="559"/>
      <c r="Z657" s="559"/>
      <c r="AA657" s="559"/>
      <c r="AB657" s="559"/>
      <c r="AC657" s="559"/>
      <c r="AD657" s="559"/>
      <c r="AE657" s="559"/>
    </row>
    <row r="658" spans="1:31" ht="18" customHeight="1" x14ac:dyDescent="0.35">
      <c r="A658" s="559"/>
      <c r="B658" s="559"/>
      <c r="C658" s="559"/>
      <c r="D658" s="559"/>
      <c r="E658" s="559"/>
      <c r="F658" s="559"/>
      <c r="G658" s="559"/>
      <c r="H658" s="559"/>
      <c r="I658" s="559"/>
      <c r="J658" s="559"/>
      <c r="K658" s="559"/>
      <c r="L658" s="559"/>
      <c r="M658" s="559"/>
      <c r="N658" s="559"/>
      <c r="O658" s="559"/>
      <c r="P658" s="559"/>
      <c r="Q658" s="559"/>
      <c r="R658" s="559"/>
      <c r="S658" s="559"/>
      <c r="T658" s="559"/>
      <c r="U658" s="559"/>
      <c r="V658" s="559"/>
      <c r="W658" s="559"/>
      <c r="X658" s="559"/>
      <c r="Y658" s="559"/>
      <c r="Z658" s="559"/>
      <c r="AA658" s="559"/>
      <c r="AB658" s="559"/>
      <c r="AC658" s="559"/>
      <c r="AD658" s="559"/>
      <c r="AE658" s="559"/>
    </row>
    <row r="659" spans="1:31" ht="18" customHeight="1" x14ac:dyDescent="0.35">
      <c r="A659" s="559"/>
      <c r="B659" s="559"/>
      <c r="C659" s="559"/>
      <c r="D659" s="559"/>
      <c r="E659" s="559"/>
      <c r="F659" s="559"/>
      <c r="G659" s="559"/>
      <c r="H659" s="559"/>
      <c r="I659" s="559"/>
      <c r="J659" s="559"/>
      <c r="K659" s="559"/>
      <c r="L659" s="559"/>
      <c r="M659" s="559"/>
      <c r="N659" s="559"/>
      <c r="O659" s="559"/>
      <c r="P659" s="559"/>
      <c r="Q659" s="559"/>
      <c r="R659" s="559"/>
      <c r="S659" s="559"/>
      <c r="T659" s="559"/>
      <c r="U659" s="559"/>
      <c r="V659" s="559"/>
      <c r="W659" s="559"/>
      <c r="X659" s="559"/>
      <c r="Y659" s="559"/>
      <c r="Z659" s="559"/>
      <c r="AA659" s="559"/>
      <c r="AB659" s="559"/>
      <c r="AC659" s="559"/>
      <c r="AD659" s="559"/>
      <c r="AE659" s="559"/>
    </row>
    <row r="660" spans="1:31" ht="18" customHeight="1" x14ac:dyDescent="0.35">
      <c r="A660" s="559"/>
      <c r="B660" s="559"/>
      <c r="C660" s="559"/>
      <c r="D660" s="559"/>
      <c r="E660" s="559"/>
      <c r="F660" s="559"/>
      <c r="G660" s="559"/>
      <c r="H660" s="559"/>
      <c r="I660" s="559"/>
      <c r="J660" s="559"/>
      <c r="K660" s="559"/>
      <c r="L660" s="559"/>
      <c r="M660" s="559"/>
      <c r="N660" s="559"/>
      <c r="O660" s="559"/>
      <c r="P660" s="559"/>
      <c r="Q660" s="559"/>
      <c r="R660" s="559"/>
      <c r="S660" s="559"/>
      <c r="T660" s="559"/>
      <c r="U660" s="559"/>
      <c r="V660" s="559"/>
      <c r="W660" s="559"/>
      <c r="X660" s="559"/>
      <c r="Y660" s="559"/>
      <c r="Z660" s="559"/>
      <c r="AA660" s="559"/>
      <c r="AB660" s="559"/>
      <c r="AC660" s="559"/>
      <c r="AD660" s="559"/>
      <c r="AE660" s="559"/>
    </row>
    <row r="661" spans="1:31" ht="18" customHeight="1" x14ac:dyDescent="0.35">
      <c r="A661" s="559"/>
      <c r="B661" s="559"/>
      <c r="C661" s="559"/>
      <c r="D661" s="559"/>
      <c r="E661" s="559"/>
      <c r="F661" s="559"/>
      <c r="G661" s="559"/>
      <c r="H661" s="559"/>
      <c r="I661" s="559"/>
      <c r="J661" s="559"/>
      <c r="K661" s="559"/>
      <c r="L661" s="559"/>
      <c r="M661" s="559"/>
      <c r="N661" s="559"/>
      <c r="O661" s="559"/>
      <c r="P661" s="559"/>
      <c r="Q661" s="559"/>
      <c r="R661" s="559"/>
      <c r="S661" s="559"/>
      <c r="T661" s="559"/>
      <c r="U661" s="559"/>
      <c r="V661" s="559"/>
      <c r="W661" s="559"/>
      <c r="X661" s="559"/>
      <c r="Y661" s="559"/>
      <c r="Z661" s="559"/>
      <c r="AA661" s="559"/>
      <c r="AB661" s="559"/>
      <c r="AC661" s="559"/>
      <c r="AD661" s="559"/>
      <c r="AE661" s="559"/>
    </row>
    <row r="662" spans="1:31" ht="18" customHeight="1" x14ac:dyDescent="0.35">
      <c r="A662" s="559"/>
      <c r="B662" s="559"/>
      <c r="C662" s="559"/>
      <c r="D662" s="559"/>
      <c r="E662" s="559"/>
      <c r="F662" s="559"/>
      <c r="G662" s="559"/>
      <c r="H662" s="559"/>
      <c r="I662" s="559"/>
      <c r="J662" s="559"/>
      <c r="K662" s="559"/>
      <c r="L662" s="559"/>
      <c r="M662" s="559"/>
      <c r="N662" s="559"/>
      <c r="O662" s="559"/>
      <c r="P662" s="559"/>
      <c r="Q662" s="559"/>
      <c r="R662" s="559"/>
      <c r="S662" s="559"/>
      <c r="T662" s="559"/>
      <c r="U662" s="559"/>
      <c r="V662" s="559"/>
      <c r="W662" s="559"/>
      <c r="X662" s="559"/>
      <c r="Y662" s="559"/>
      <c r="Z662" s="559"/>
      <c r="AA662" s="559"/>
      <c r="AB662" s="559"/>
      <c r="AC662" s="559"/>
      <c r="AD662" s="559"/>
      <c r="AE662" s="559"/>
    </row>
    <row r="663" spans="1:31" ht="18" customHeight="1" x14ac:dyDescent="0.35">
      <c r="A663" s="559"/>
      <c r="B663" s="559"/>
      <c r="C663" s="559"/>
      <c r="D663" s="559"/>
      <c r="E663" s="559"/>
      <c r="F663" s="559"/>
      <c r="G663" s="559"/>
      <c r="H663" s="559"/>
      <c r="I663" s="559"/>
      <c r="J663" s="559"/>
      <c r="K663" s="559"/>
      <c r="L663" s="559"/>
      <c r="M663" s="559"/>
      <c r="N663" s="559"/>
      <c r="O663" s="559"/>
      <c r="P663" s="559"/>
      <c r="Q663" s="559"/>
      <c r="R663" s="559"/>
      <c r="S663" s="559"/>
      <c r="T663" s="559"/>
      <c r="U663" s="559"/>
      <c r="V663" s="559"/>
      <c r="W663" s="559"/>
      <c r="X663" s="559"/>
      <c r="Y663" s="559"/>
      <c r="Z663" s="559"/>
      <c r="AA663" s="559"/>
      <c r="AB663" s="559"/>
      <c r="AC663" s="559"/>
      <c r="AD663" s="559"/>
      <c r="AE663" s="559"/>
    </row>
    <row r="664" spans="1:31" ht="18" customHeight="1" x14ac:dyDescent="0.35">
      <c r="A664" s="559"/>
      <c r="B664" s="559"/>
      <c r="C664" s="559"/>
      <c r="D664" s="559"/>
      <c r="E664" s="559"/>
      <c r="F664" s="559"/>
      <c r="G664" s="559"/>
      <c r="H664" s="559"/>
      <c r="I664" s="559"/>
      <c r="J664" s="559"/>
      <c r="K664" s="559"/>
      <c r="L664" s="559"/>
      <c r="M664" s="559"/>
      <c r="N664" s="559"/>
      <c r="O664" s="559"/>
      <c r="P664" s="559"/>
      <c r="Q664" s="559"/>
      <c r="R664" s="559"/>
      <c r="S664" s="559"/>
      <c r="T664" s="559"/>
      <c r="U664" s="559"/>
      <c r="V664" s="559"/>
      <c r="W664" s="559"/>
      <c r="X664" s="559"/>
      <c r="Y664" s="559"/>
      <c r="Z664" s="559"/>
      <c r="AA664" s="559"/>
      <c r="AB664" s="559"/>
      <c r="AC664" s="559"/>
      <c r="AD664" s="559"/>
      <c r="AE664" s="559"/>
    </row>
    <row r="665" spans="1:31" ht="18" customHeight="1" x14ac:dyDescent="0.35">
      <c r="A665" s="559"/>
      <c r="B665" s="559"/>
      <c r="C665" s="559"/>
      <c r="D665" s="559"/>
      <c r="E665" s="559"/>
      <c r="F665" s="559"/>
      <c r="G665" s="559"/>
      <c r="H665" s="559"/>
      <c r="I665" s="559"/>
      <c r="J665" s="559"/>
      <c r="K665" s="559"/>
      <c r="L665" s="559"/>
      <c r="M665" s="559"/>
      <c r="N665" s="559"/>
      <c r="O665" s="559"/>
      <c r="P665" s="559"/>
      <c r="Q665" s="559"/>
      <c r="R665" s="559"/>
      <c r="S665" s="559"/>
      <c r="T665" s="559"/>
      <c r="U665" s="559"/>
      <c r="V665" s="559"/>
      <c r="W665" s="559"/>
      <c r="X665" s="559"/>
      <c r="Y665" s="559"/>
      <c r="Z665" s="559"/>
      <c r="AA665" s="559"/>
      <c r="AB665" s="559"/>
      <c r="AC665" s="559"/>
      <c r="AD665" s="559"/>
      <c r="AE665" s="559"/>
    </row>
    <row r="666" spans="1:31" ht="18" customHeight="1" x14ac:dyDescent="0.35">
      <c r="A666" s="559"/>
      <c r="B666" s="559"/>
      <c r="C666" s="559"/>
      <c r="D666" s="559"/>
      <c r="E666" s="559"/>
      <c r="F666" s="559"/>
      <c r="G666" s="559"/>
      <c r="H666" s="559"/>
      <c r="I666" s="559"/>
      <c r="J666" s="559"/>
      <c r="K666" s="559"/>
      <c r="L666" s="559"/>
      <c r="M666" s="559"/>
      <c r="N666" s="559"/>
      <c r="O666" s="559"/>
      <c r="P666" s="559"/>
      <c r="Q666" s="559"/>
      <c r="R666" s="559"/>
      <c r="S666" s="559"/>
      <c r="T666" s="559"/>
      <c r="U666" s="559"/>
      <c r="V666" s="559"/>
      <c r="W666" s="559"/>
      <c r="X666" s="559"/>
      <c r="Y666" s="559"/>
      <c r="Z666" s="559"/>
      <c r="AA666" s="559"/>
      <c r="AB666" s="559"/>
      <c r="AC666" s="559"/>
      <c r="AD666" s="559"/>
      <c r="AE666" s="559"/>
    </row>
    <row r="667" spans="1:31" ht="18" customHeight="1" x14ac:dyDescent="0.35">
      <c r="A667" s="559"/>
      <c r="B667" s="559"/>
      <c r="C667" s="559"/>
      <c r="D667" s="559"/>
      <c r="E667" s="559"/>
      <c r="F667" s="559"/>
      <c r="G667" s="559"/>
      <c r="H667" s="559"/>
      <c r="I667" s="559"/>
      <c r="J667" s="559"/>
      <c r="K667" s="559"/>
      <c r="L667" s="559"/>
      <c r="M667" s="559"/>
      <c r="N667" s="559"/>
      <c r="O667" s="559"/>
      <c r="P667" s="559"/>
      <c r="Q667" s="559"/>
      <c r="R667" s="559"/>
      <c r="S667" s="559"/>
      <c r="T667" s="559"/>
      <c r="U667" s="559"/>
      <c r="V667" s="559"/>
      <c r="W667" s="559"/>
      <c r="X667" s="559"/>
      <c r="Y667" s="559"/>
      <c r="Z667" s="559"/>
      <c r="AA667" s="559"/>
      <c r="AB667" s="559"/>
      <c r="AC667" s="559"/>
      <c r="AD667" s="559"/>
      <c r="AE667" s="559"/>
    </row>
    <row r="668" spans="1:31" ht="18" customHeight="1" x14ac:dyDescent="0.35">
      <c r="A668" s="559"/>
      <c r="B668" s="559"/>
      <c r="C668" s="559"/>
      <c r="D668" s="559"/>
      <c r="E668" s="559"/>
      <c r="F668" s="559"/>
      <c r="G668" s="559"/>
      <c r="H668" s="559"/>
      <c r="I668" s="559"/>
      <c r="J668" s="559"/>
      <c r="K668" s="559"/>
      <c r="L668" s="559"/>
      <c r="M668" s="559"/>
      <c r="N668" s="559"/>
      <c r="O668" s="559"/>
      <c r="P668" s="559"/>
      <c r="Q668" s="559"/>
      <c r="R668" s="559"/>
      <c r="S668" s="559"/>
      <c r="T668" s="559"/>
      <c r="U668" s="559"/>
      <c r="V668" s="559"/>
      <c r="W668" s="559"/>
      <c r="X668" s="559"/>
      <c r="Y668" s="559"/>
      <c r="Z668" s="559"/>
      <c r="AA668" s="559"/>
      <c r="AB668" s="559"/>
      <c r="AC668" s="559"/>
      <c r="AD668" s="559"/>
      <c r="AE668" s="559"/>
    </row>
    <row r="669" spans="1:31" ht="18" customHeight="1" x14ac:dyDescent="0.35">
      <c r="A669" s="559"/>
      <c r="B669" s="559"/>
      <c r="C669" s="559"/>
      <c r="D669" s="559"/>
      <c r="E669" s="559"/>
      <c r="F669" s="559"/>
      <c r="G669" s="559"/>
      <c r="H669" s="559"/>
      <c r="I669" s="559"/>
      <c r="J669" s="559"/>
      <c r="K669" s="559"/>
      <c r="L669" s="559"/>
      <c r="M669" s="559"/>
      <c r="N669" s="559"/>
      <c r="O669" s="559"/>
      <c r="P669" s="559"/>
      <c r="Q669" s="559"/>
      <c r="R669" s="559"/>
      <c r="S669" s="559"/>
      <c r="T669" s="559"/>
      <c r="U669" s="559"/>
      <c r="V669" s="559"/>
      <c r="W669" s="559"/>
      <c r="X669" s="559"/>
      <c r="Y669" s="559"/>
      <c r="Z669" s="559"/>
      <c r="AA669" s="559"/>
      <c r="AB669" s="559"/>
      <c r="AC669" s="559"/>
      <c r="AD669" s="559"/>
      <c r="AE669" s="559"/>
    </row>
    <row r="670" spans="1:31" ht="18" customHeight="1" x14ac:dyDescent="0.35">
      <c r="A670" s="559"/>
      <c r="B670" s="559"/>
      <c r="C670" s="559"/>
      <c r="D670" s="559"/>
      <c r="E670" s="559"/>
      <c r="F670" s="559"/>
      <c r="G670" s="559"/>
      <c r="H670" s="559"/>
      <c r="I670" s="559"/>
      <c r="J670" s="559"/>
      <c r="K670" s="559"/>
      <c r="L670" s="559"/>
      <c r="M670" s="559"/>
      <c r="N670" s="559"/>
      <c r="O670" s="559"/>
      <c r="P670" s="559"/>
      <c r="Q670" s="559"/>
      <c r="R670" s="559"/>
      <c r="S670" s="559"/>
      <c r="T670" s="559"/>
      <c r="U670" s="559"/>
      <c r="V670" s="559"/>
      <c r="W670" s="559"/>
      <c r="X670" s="559"/>
      <c r="Y670" s="559"/>
      <c r="Z670" s="559"/>
      <c r="AA670" s="559"/>
      <c r="AB670" s="559"/>
      <c r="AC670" s="559"/>
      <c r="AD670" s="559"/>
      <c r="AE670" s="559"/>
    </row>
    <row r="671" spans="1:31" ht="18" customHeight="1" x14ac:dyDescent="0.35">
      <c r="A671" s="559"/>
      <c r="B671" s="559"/>
      <c r="C671" s="559"/>
      <c r="D671" s="559"/>
      <c r="E671" s="559"/>
      <c r="F671" s="559"/>
      <c r="G671" s="559"/>
      <c r="H671" s="559"/>
      <c r="I671" s="559"/>
      <c r="J671" s="559"/>
      <c r="K671" s="559"/>
      <c r="L671" s="559"/>
      <c r="M671" s="559"/>
      <c r="N671" s="559"/>
      <c r="O671" s="559"/>
      <c r="P671" s="559"/>
      <c r="Q671" s="559"/>
      <c r="R671" s="559"/>
      <c r="S671" s="559"/>
      <c r="T671" s="559"/>
      <c r="U671" s="559"/>
      <c r="V671" s="559"/>
      <c r="W671" s="559"/>
      <c r="X671" s="559"/>
      <c r="Y671" s="559"/>
      <c r="Z671" s="559"/>
      <c r="AA671" s="559"/>
      <c r="AB671" s="559"/>
      <c r="AC671" s="559"/>
      <c r="AD671" s="559"/>
      <c r="AE671" s="559"/>
    </row>
    <row r="672" spans="1:31" ht="18" customHeight="1" x14ac:dyDescent="0.35">
      <c r="A672" s="559"/>
      <c r="B672" s="559"/>
      <c r="C672" s="559"/>
      <c r="D672" s="559"/>
      <c r="E672" s="559"/>
      <c r="F672" s="559"/>
      <c r="G672" s="559"/>
      <c r="H672" s="559"/>
      <c r="I672" s="559"/>
      <c r="J672" s="559"/>
      <c r="K672" s="559"/>
      <c r="L672" s="559"/>
      <c r="M672" s="559"/>
      <c r="N672" s="559"/>
      <c r="O672" s="559"/>
      <c r="P672" s="559"/>
      <c r="Q672" s="559"/>
      <c r="R672" s="559"/>
      <c r="S672" s="559"/>
      <c r="T672" s="559"/>
      <c r="U672" s="559"/>
      <c r="V672" s="559"/>
      <c r="W672" s="559"/>
      <c r="X672" s="559"/>
      <c r="Y672" s="559"/>
      <c r="Z672" s="559"/>
      <c r="AA672" s="559"/>
      <c r="AB672" s="559"/>
      <c r="AC672" s="559"/>
      <c r="AD672" s="559"/>
      <c r="AE672" s="559"/>
    </row>
    <row r="673" spans="1:31" ht="18" customHeight="1" x14ac:dyDescent="0.35">
      <c r="A673" s="559"/>
      <c r="B673" s="559"/>
      <c r="C673" s="559"/>
      <c r="D673" s="559"/>
      <c r="E673" s="559"/>
      <c r="F673" s="559"/>
      <c r="G673" s="559"/>
      <c r="H673" s="559"/>
      <c r="I673" s="559"/>
      <c r="J673" s="559"/>
      <c r="K673" s="559"/>
      <c r="L673" s="559"/>
      <c r="M673" s="559"/>
      <c r="N673" s="559"/>
      <c r="O673" s="559"/>
      <c r="P673" s="559"/>
      <c r="Q673" s="559"/>
      <c r="R673" s="559"/>
      <c r="S673" s="559"/>
      <c r="T673" s="559"/>
      <c r="U673" s="559"/>
      <c r="V673" s="559"/>
      <c r="W673" s="559"/>
      <c r="X673" s="559"/>
      <c r="Y673" s="559"/>
      <c r="Z673" s="559"/>
      <c r="AA673" s="559"/>
      <c r="AB673" s="559"/>
      <c r="AC673" s="559"/>
      <c r="AD673" s="559"/>
      <c r="AE673" s="559"/>
    </row>
    <row r="674" spans="1:31" ht="18" customHeight="1" x14ac:dyDescent="0.35">
      <c r="A674" s="559"/>
      <c r="B674" s="559"/>
      <c r="C674" s="559"/>
      <c r="D674" s="559"/>
      <c r="E674" s="559"/>
      <c r="F674" s="559"/>
      <c r="G674" s="559"/>
      <c r="H674" s="559"/>
      <c r="I674" s="559"/>
      <c r="J674" s="559"/>
      <c r="K674" s="559"/>
      <c r="L674" s="559"/>
      <c r="M674" s="559"/>
      <c r="N674" s="559"/>
      <c r="O674" s="559"/>
      <c r="P674" s="559"/>
      <c r="Q674" s="559"/>
      <c r="R674" s="559"/>
      <c r="S674" s="559"/>
      <c r="T674" s="559"/>
      <c r="U674" s="559"/>
      <c r="V674" s="559"/>
      <c r="W674" s="559"/>
      <c r="X674" s="559"/>
      <c r="Y674" s="559"/>
      <c r="Z674" s="559"/>
      <c r="AA674" s="559"/>
      <c r="AB674" s="559"/>
      <c r="AC674" s="559"/>
      <c r="AD674" s="559"/>
      <c r="AE674" s="559"/>
    </row>
    <row r="675" spans="1:31" ht="18" customHeight="1" x14ac:dyDescent="0.35">
      <c r="A675" s="559"/>
      <c r="B675" s="559"/>
      <c r="C675" s="559"/>
      <c r="D675" s="559"/>
      <c r="E675" s="559"/>
      <c r="F675" s="559"/>
      <c r="G675" s="559"/>
      <c r="H675" s="559"/>
      <c r="I675" s="559"/>
      <c r="J675" s="559"/>
      <c r="K675" s="559"/>
      <c r="L675" s="559"/>
      <c r="M675" s="559"/>
      <c r="N675" s="559"/>
      <c r="O675" s="559"/>
      <c r="P675" s="559"/>
      <c r="Q675" s="559"/>
      <c r="R675" s="559"/>
      <c r="S675" s="559"/>
      <c r="T675" s="559"/>
      <c r="U675" s="559"/>
      <c r="V675" s="559"/>
      <c r="W675" s="559"/>
      <c r="X675" s="559"/>
      <c r="Y675" s="559"/>
      <c r="Z675" s="559"/>
      <c r="AA675" s="559"/>
      <c r="AB675" s="559"/>
      <c r="AC675" s="559"/>
      <c r="AD675" s="559"/>
      <c r="AE675" s="559"/>
    </row>
    <row r="676" spans="1:31" ht="18" customHeight="1" x14ac:dyDescent="0.35">
      <c r="A676" s="559"/>
      <c r="B676" s="559"/>
      <c r="C676" s="559"/>
      <c r="D676" s="559"/>
      <c r="E676" s="559"/>
      <c r="F676" s="559"/>
      <c r="G676" s="559"/>
      <c r="H676" s="559"/>
      <c r="I676" s="559"/>
      <c r="J676" s="559"/>
      <c r="K676" s="559"/>
      <c r="L676" s="559"/>
      <c r="M676" s="559"/>
      <c r="N676" s="559"/>
      <c r="O676" s="559"/>
      <c r="P676" s="559"/>
      <c r="Q676" s="559"/>
      <c r="R676" s="559"/>
      <c r="S676" s="559"/>
      <c r="T676" s="559"/>
      <c r="U676" s="559"/>
      <c r="V676" s="559"/>
      <c r="W676" s="559"/>
      <c r="X676" s="559"/>
      <c r="Y676" s="559"/>
      <c r="Z676" s="559"/>
      <c r="AA676" s="559"/>
      <c r="AB676" s="559"/>
      <c r="AC676" s="559"/>
      <c r="AD676" s="559"/>
      <c r="AE676" s="559"/>
    </row>
    <row r="677" spans="1:31" ht="18" customHeight="1" x14ac:dyDescent="0.35">
      <c r="A677" s="559"/>
      <c r="B677" s="559"/>
      <c r="C677" s="559"/>
      <c r="D677" s="559"/>
      <c r="E677" s="559"/>
      <c r="F677" s="559"/>
      <c r="G677" s="559"/>
      <c r="H677" s="559"/>
      <c r="I677" s="559"/>
      <c r="J677" s="559"/>
      <c r="K677" s="559"/>
      <c r="L677" s="559"/>
      <c r="M677" s="559"/>
      <c r="N677" s="559"/>
      <c r="O677" s="559"/>
      <c r="P677" s="559"/>
      <c r="Q677" s="559"/>
      <c r="R677" s="559"/>
      <c r="S677" s="559"/>
      <c r="T677" s="559"/>
      <c r="U677" s="559"/>
      <c r="V677" s="559"/>
      <c r="W677" s="559"/>
      <c r="X677" s="559"/>
      <c r="Y677" s="559"/>
      <c r="Z677" s="559"/>
      <c r="AA677" s="559"/>
      <c r="AB677" s="559"/>
      <c r="AC677" s="559"/>
      <c r="AD677" s="559"/>
      <c r="AE677" s="559"/>
    </row>
    <row r="678" spans="1:31" ht="18" customHeight="1" x14ac:dyDescent="0.35">
      <c r="A678" s="559"/>
      <c r="B678" s="559"/>
      <c r="C678" s="559"/>
      <c r="D678" s="559"/>
      <c r="E678" s="559"/>
      <c r="F678" s="559"/>
      <c r="G678" s="559"/>
      <c r="H678" s="559"/>
      <c r="I678" s="559"/>
      <c r="J678" s="559"/>
      <c r="K678" s="559"/>
      <c r="L678" s="559"/>
      <c r="M678" s="559"/>
      <c r="N678" s="559"/>
      <c r="O678" s="559"/>
      <c r="P678" s="559"/>
      <c r="Q678" s="559"/>
      <c r="R678" s="559"/>
      <c r="S678" s="559"/>
      <c r="T678" s="559"/>
      <c r="U678" s="559"/>
      <c r="V678" s="559"/>
      <c r="W678" s="559"/>
      <c r="X678" s="559"/>
      <c r="Y678" s="559"/>
      <c r="Z678" s="559"/>
      <c r="AA678" s="559"/>
      <c r="AB678" s="559"/>
      <c r="AC678" s="559"/>
      <c r="AD678" s="559"/>
      <c r="AE678" s="559"/>
    </row>
    <row r="679" spans="1:31" ht="18" customHeight="1" x14ac:dyDescent="0.35">
      <c r="A679" s="559"/>
      <c r="B679" s="559"/>
      <c r="C679" s="559"/>
      <c r="D679" s="559"/>
      <c r="E679" s="559"/>
      <c r="F679" s="559"/>
      <c r="G679" s="559"/>
      <c r="H679" s="559"/>
      <c r="I679" s="559"/>
      <c r="J679" s="559"/>
      <c r="K679" s="559"/>
      <c r="L679" s="559"/>
      <c r="M679" s="559"/>
      <c r="N679" s="559"/>
      <c r="O679" s="559"/>
      <c r="P679" s="559"/>
      <c r="Q679" s="559"/>
      <c r="R679" s="559"/>
      <c r="S679" s="559"/>
      <c r="T679" s="559"/>
      <c r="U679" s="559"/>
      <c r="V679" s="559"/>
      <c r="W679" s="559"/>
      <c r="X679" s="559"/>
      <c r="Y679" s="559"/>
      <c r="Z679" s="559"/>
      <c r="AA679" s="559"/>
      <c r="AB679" s="559"/>
      <c r="AC679" s="559"/>
      <c r="AD679" s="559"/>
      <c r="AE679" s="559"/>
    </row>
    <row r="680" spans="1:31" ht="18" customHeight="1" x14ac:dyDescent="0.35">
      <c r="A680" s="559"/>
      <c r="B680" s="559"/>
      <c r="C680" s="559"/>
      <c r="D680" s="559"/>
      <c r="E680" s="559"/>
      <c r="F680" s="559"/>
      <c r="G680" s="559"/>
      <c r="H680" s="559"/>
      <c r="I680" s="559"/>
      <c r="J680" s="559"/>
      <c r="K680" s="559"/>
      <c r="L680" s="559"/>
      <c r="M680" s="559"/>
      <c r="N680" s="559"/>
      <c r="O680" s="559"/>
      <c r="P680" s="559"/>
      <c r="Q680" s="559"/>
      <c r="R680" s="559"/>
      <c r="S680" s="559"/>
      <c r="T680" s="559"/>
      <c r="U680" s="559"/>
      <c r="V680" s="559"/>
      <c r="W680" s="559"/>
      <c r="X680" s="559"/>
      <c r="Y680" s="559"/>
      <c r="Z680" s="559"/>
      <c r="AA680" s="559"/>
      <c r="AB680" s="559"/>
      <c r="AC680" s="559"/>
      <c r="AD680" s="559"/>
      <c r="AE680" s="559"/>
    </row>
    <row r="681" spans="1:31" ht="18" customHeight="1" x14ac:dyDescent="0.35">
      <c r="A681" s="559"/>
      <c r="B681" s="559"/>
      <c r="C681" s="559"/>
      <c r="D681" s="559"/>
      <c r="E681" s="559"/>
      <c r="F681" s="559"/>
      <c r="G681" s="559"/>
      <c r="H681" s="559"/>
      <c r="I681" s="559"/>
      <c r="J681" s="559"/>
      <c r="K681" s="559"/>
      <c r="L681" s="559"/>
      <c r="M681" s="559"/>
      <c r="N681" s="559"/>
      <c r="O681" s="559"/>
      <c r="P681" s="559"/>
      <c r="Q681" s="559"/>
      <c r="R681" s="559"/>
      <c r="S681" s="559"/>
      <c r="T681" s="559"/>
      <c r="U681" s="559"/>
      <c r="V681" s="559"/>
      <c r="W681" s="559"/>
      <c r="X681" s="559"/>
      <c r="Y681" s="559"/>
      <c r="Z681" s="559"/>
      <c r="AA681" s="559"/>
      <c r="AB681" s="559"/>
      <c r="AC681" s="559"/>
      <c r="AD681" s="559"/>
      <c r="AE681" s="559"/>
    </row>
    <row r="682" spans="1:31" ht="18" customHeight="1" x14ac:dyDescent="0.35">
      <c r="A682" s="559"/>
      <c r="B682" s="559"/>
      <c r="C682" s="559"/>
      <c r="D682" s="559"/>
      <c r="E682" s="559"/>
      <c r="F682" s="559"/>
      <c r="G682" s="559"/>
      <c r="H682" s="559"/>
      <c r="I682" s="559"/>
      <c r="J682" s="559"/>
      <c r="K682" s="559"/>
      <c r="L682" s="559"/>
      <c r="M682" s="559"/>
      <c r="N682" s="559"/>
      <c r="O682" s="559"/>
      <c r="P682" s="559"/>
      <c r="Q682" s="559"/>
      <c r="R682" s="559"/>
      <c r="S682" s="559"/>
      <c r="T682" s="559"/>
      <c r="U682" s="559"/>
      <c r="V682" s="559"/>
      <c r="W682" s="559"/>
      <c r="X682" s="559"/>
      <c r="Y682" s="559"/>
      <c r="Z682" s="559"/>
      <c r="AA682" s="559"/>
      <c r="AB682" s="559"/>
      <c r="AC682" s="559"/>
      <c r="AD682" s="559"/>
      <c r="AE682" s="559"/>
    </row>
    <row r="683" spans="1:31" ht="18" customHeight="1" x14ac:dyDescent="0.35">
      <c r="A683" s="559"/>
      <c r="B683" s="559"/>
      <c r="C683" s="559"/>
      <c r="D683" s="559"/>
      <c r="E683" s="559"/>
      <c r="F683" s="559"/>
      <c r="G683" s="559"/>
      <c r="H683" s="559"/>
      <c r="I683" s="559"/>
      <c r="J683" s="559"/>
      <c r="K683" s="559"/>
      <c r="L683" s="559"/>
      <c r="M683" s="559"/>
      <c r="N683" s="559"/>
      <c r="O683" s="559"/>
      <c r="P683" s="559"/>
      <c r="Q683" s="559"/>
      <c r="R683" s="559"/>
      <c r="S683" s="559"/>
      <c r="T683" s="559"/>
      <c r="U683" s="559"/>
      <c r="V683" s="559"/>
      <c r="W683" s="559"/>
      <c r="X683" s="559"/>
      <c r="Y683" s="559"/>
      <c r="Z683" s="559"/>
      <c r="AA683" s="559"/>
      <c r="AB683" s="559"/>
      <c r="AC683" s="559"/>
      <c r="AD683" s="559"/>
      <c r="AE683" s="559"/>
    </row>
    <row r="684" spans="1:31" ht="18" customHeight="1" x14ac:dyDescent="0.35">
      <c r="A684" s="559"/>
      <c r="B684" s="559"/>
      <c r="C684" s="559"/>
      <c r="D684" s="559"/>
      <c r="E684" s="559"/>
      <c r="F684" s="559"/>
      <c r="G684" s="559"/>
      <c r="H684" s="559"/>
      <c r="I684" s="559"/>
      <c r="J684" s="559"/>
      <c r="K684" s="559"/>
      <c r="L684" s="559"/>
      <c r="M684" s="559"/>
      <c r="N684" s="559"/>
      <c r="O684" s="559"/>
      <c r="P684" s="559"/>
      <c r="Q684" s="559"/>
      <c r="R684" s="559"/>
      <c r="S684" s="559"/>
      <c r="T684" s="559"/>
      <c r="U684" s="559"/>
      <c r="V684" s="559"/>
      <c r="W684" s="559"/>
      <c r="X684" s="559"/>
      <c r="Y684" s="559"/>
      <c r="Z684" s="559"/>
      <c r="AA684" s="559"/>
      <c r="AB684" s="559"/>
      <c r="AC684" s="559"/>
      <c r="AD684" s="559"/>
      <c r="AE684" s="559"/>
    </row>
    <row r="685" spans="1:31" ht="18" customHeight="1" x14ac:dyDescent="0.35">
      <c r="A685" s="559"/>
      <c r="B685" s="559"/>
      <c r="C685" s="559"/>
      <c r="D685" s="559"/>
      <c r="E685" s="559"/>
      <c r="F685" s="559"/>
      <c r="G685" s="559"/>
      <c r="H685" s="559"/>
      <c r="I685" s="559"/>
      <c r="J685" s="559"/>
      <c r="K685" s="559"/>
      <c r="L685" s="559"/>
      <c r="M685" s="559"/>
      <c r="N685" s="559"/>
      <c r="O685" s="559"/>
      <c r="P685" s="559"/>
      <c r="Q685" s="559"/>
      <c r="R685" s="559"/>
      <c r="S685" s="559"/>
      <c r="T685" s="559"/>
      <c r="U685" s="559"/>
      <c r="V685" s="559"/>
      <c r="W685" s="559"/>
      <c r="X685" s="559"/>
      <c r="Y685" s="559"/>
      <c r="Z685" s="559"/>
      <c r="AA685" s="559"/>
      <c r="AB685" s="559"/>
      <c r="AC685" s="559"/>
      <c r="AD685" s="559"/>
      <c r="AE685" s="559"/>
    </row>
    <row r="686" spans="1:31" ht="18" customHeight="1" x14ac:dyDescent="0.35">
      <c r="A686" s="559"/>
      <c r="B686" s="559"/>
      <c r="C686" s="559"/>
      <c r="D686" s="559"/>
      <c r="E686" s="559"/>
      <c r="F686" s="559"/>
      <c r="G686" s="559"/>
      <c r="H686" s="559"/>
      <c r="I686" s="559"/>
      <c r="J686" s="559"/>
      <c r="K686" s="559"/>
      <c r="L686" s="559"/>
      <c r="M686" s="559"/>
      <c r="N686" s="559"/>
      <c r="O686" s="559"/>
      <c r="P686" s="559"/>
      <c r="Q686" s="559"/>
      <c r="R686" s="559"/>
      <c r="S686" s="559"/>
      <c r="T686" s="559"/>
      <c r="U686" s="559"/>
      <c r="V686" s="559"/>
      <c r="W686" s="559"/>
      <c r="X686" s="559"/>
      <c r="Y686" s="559"/>
      <c r="Z686" s="559"/>
      <c r="AA686" s="559"/>
      <c r="AB686" s="559"/>
      <c r="AC686" s="559"/>
      <c r="AD686" s="559"/>
      <c r="AE686" s="559"/>
    </row>
    <row r="687" spans="1:31" ht="18" customHeight="1" x14ac:dyDescent="0.35">
      <c r="A687" s="559"/>
      <c r="B687" s="559"/>
      <c r="C687" s="559"/>
      <c r="D687" s="559"/>
      <c r="E687" s="559"/>
      <c r="F687" s="559"/>
      <c r="G687" s="559"/>
      <c r="H687" s="559"/>
      <c r="I687" s="559"/>
      <c r="J687" s="559"/>
      <c r="K687" s="559"/>
      <c r="L687" s="559"/>
      <c r="M687" s="559"/>
      <c r="N687" s="559"/>
      <c r="O687" s="559"/>
      <c r="P687" s="559"/>
      <c r="Q687" s="559"/>
      <c r="R687" s="559"/>
      <c r="S687" s="559"/>
      <c r="T687" s="559"/>
      <c r="U687" s="559"/>
      <c r="V687" s="559"/>
      <c r="W687" s="559"/>
      <c r="X687" s="559"/>
      <c r="Y687" s="559"/>
      <c r="Z687" s="559"/>
      <c r="AA687" s="559"/>
      <c r="AB687" s="559"/>
      <c r="AC687" s="559"/>
      <c r="AD687" s="559"/>
      <c r="AE687" s="559"/>
    </row>
    <row r="688" spans="1:31" ht="18" customHeight="1" x14ac:dyDescent="0.35">
      <c r="A688" s="559"/>
      <c r="B688" s="559"/>
      <c r="C688" s="559"/>
      <c r="D688" s="559"/>
      <c r="E688" s="559"/>
      <c r="F688" s="559"/>
      <c r="G688" s="559"/>
      <c r="H688" s="559"/>
      <c r="I688" s="559"/>
      <c r="J688" s="559"/>
      <c r="K688" s="559"/>
      <c r="L688" s="559"/>
      <c r="M688" s="559"/>
      <c r="N688" s="559"/>
      <c r="O688" s="559"/>
      <c r="P688" s="559"/>
      <c r="Q688" s="559"/>
      <c r="R688" s="559"/>
      <c r="S688" s="559"/>
      <c r="T688" s="559"/>
      <c r="U688" s="559"/>
      <c r="V688" s="559"/>
      <c r="W688" s="559"/>
      <c r="X688" s="559"/>
      <c r="Y688" s="559"/>
      <c r="Z688" s="559"/>
      <c r="AA688" s="559"/>
      <c r="AB688" s="559"/>
      <c r="AC688" s="559"/>
      <c r="AD688" s="559"/>
      <c r="AE688" s="559"/>
    </row>
    <row r="689" spans="1:31" ht="18" customHeight="1" x14ac:dyDescent="0.35">
      <c r="A689" s="559"/>
      <c r="B689" s="559"/>
      <c r="C689" s="559"/>
      <c r="D689" s="559"/>
      <c r="E689" s="559"/>
      <c r="F689" s="559"/>
      <c r="G689" s="559"/>
      <c r="H689" s="559"/>
      <c r="I689" s="559"/>
      <c r="J689" s="559"/>
      <c r="K689" s="559"/>
      <c r="L689" s="559"/>
      <c r="M689" s="559"/>
      <c r="N689" s="559"/>
      <c r="O689" s="559"/>
      <c r="P689" s="559"/>
      <c r="Q689" s="559"/>
      <c r="R689" s="559"/>
      <c r="S689" s="559"/>
      <c r="T689" s="559"/>
      <c r="U689" s="559"/>
      <c r="V689" s="559"/>
      <c r="W689" s="559"/>
      <c r="X689" s="559"/>
      <c r="Y689" s="559"/>
      <c r="Z689" s="559"/>
      <c r="AA689" s="559"/>
      <c r="AB689" s="559"/>
      <c r="AC689" s="559"/>
      <c r="AD689" s="559"/>
      <c r="AE689" s="559"/>
    </row>
    <row r="690" spans="1:31" ht="18" customHeight="1" x14ac:dyDescent="0.35">
      <c r="A690" s="559"/>
      <c r="B690" s="559"/>
      <c r="C690" s="559"/>
      <c r="D690" s="559"/>
      <c r="E690" s="559"/>
      <c r="F690" s="559"/>
      <c r="G690" s="559"/>
      <c r="H690" s="559"/>
      <c r="I690" s="559"/>
      <c r="J690" s="559"/>
      <c r="K690" s="559"/>
      <c r="L690" s="559"/>
      <c r="M690" s="559"/>
      <c r="N690" s="559"/>
      <c r="O690" s="559"/>
      <c r="P690" s="559"/>
      <c r="Q690" s="559"/>
      <c r="R690" s="559"/>
      <c r="S690" s="559"/>
      <c r="T690" s="559"/>
      <c r="U690" s="559"/>
      <c r="V690" s="559"/>
      <c r="W690" s="559"/>
      <c r="X690" s="559"/>
      <c r="Y690" s="559"/>
      <c r="Z690" s="559"/>
      <c r="AA690" s="559"/>
      <c r="AB690" s="559"/>
      <c r="AC690" s="559"/>
      <c r="AD690" s="559"/>
      <c r="AE690" s="559"/>
    </row>
    <row r="691" spans="1:31" ht="18" customHeight="1" x14ac:dyDescent="0.35">
      <c r="A691" s="559"/>
      <c r="B691" s="559"/>
      <c r="C691" s="559"/>
      <c r="D691" s="559"/>
      <c r="E691" s="559"/>
      <c r="F691" s="559"/>
      <c r="G691" s="559"/>
      <c r="H691" s="559"/>
      <c r="I691" s="559"/>
      <c r="J691" s="559"/>
      <c r="K691" s="559"/>
      <c r="L691" s="559"/>
      <c r="M691" s="559"/>
      <c r="N691" s="559"/>
      <c r="O691" s="559"/>
      <c r="P691" s="559"/>
      <c r="Q691" s="559"/>
      <c r="R691" s="559"/>
      <c r="S691" s="559"/>
      <c r="T691" s="559"/>
      <c r="U691" s="559"/>
      <c r="V691" s="559"/>
      <c r="W691" s="559"/>
      <c r="X691" s="559"/>
      <c r="Y691" s="559"/>
      <c r="Z691" s="559"/>
      <c r="AA691" s="559"/>
      <c r="AB691" s="559"/>
      <c r="AC691" s="559"/>
      <c r="AD691" s="559"/>
      <c r="AE691" s="559"/>
    </row>
    <row r="692" spans="1:31" ht="18" customHeight="1" x14ac:dyDescent="0.35">
      <c r="A692" s="559"/>
      <c r="B692" s="559"/>
      <c r="C692" s="559"/>
      <c r="D692" s="559"/>
      <c r="E692" s="559"/>
      <c r="F692" s="559"/>
      <c r="G692" s="559"/>
      <c r="H692" s="559"/>
      <c r="I692" s="559"/>
      <c r="J692" s="559"/>
      <c r="K692" s="559"/>
      <c r="L692" s="559"/>
      <c r="M692" s="559"/>
      <c r="N692" s="559"/>
      <c r="O692" s="559"/>
      <c r="P692" s="559"/>
      <c r="Q692" s="559"/>
      <c r="R692" s="559"/>
      <c r="S692" s="559"/>
      <c r="T692" s="559"/>
      <c r="U692" s="559"/>
      <c r="V692" s="559"/>
      <c r="W692" s="559"/>
      <c r="X692" s="559"/>
      <c r="Y692" s="559"/>
      <c r="Z692" s="559"/>
      <c r="AA692" s="559"/>
      <c r="AB692" s="559"/>
      <c r="AC692" s="559"/>
      <c r="AD692" s="559"/>
      <c r="AE692" s="559"/>
    </row>
    <row r="693" spans="1:31" ht="18" customHeight="1" x14ac:dyDescent="0.35">
      <c r="A693" s="559"/>
      <c r="B693" s="559"/>
      <c r="C693" s="559"/>
      <c r="D693" s="559"/>
      <c r="E693" s="559"/>
      <c r="F693" s="559"/>
      <c r="G693" s="559"/>
      <c r="H693" s="559"/>
      <c r="I693" s="559"/>
      <c r="J693" s="559"/>
      <c r="K693" s="559"/>
      <c r="L693" s="559"/>
      <c r="M693" s="559"/>
      <c r="N693" s="559"/>
      <c r="O693" s="559"/>
      <c r="P693" s="559"/>
      <c r="Q693" s="559"/>
      <c r="R693" s="559"/>
      <c r="S693" s="559"/>
      <c r="T693" s="559"/>
      <c r="U693" s="559"/>
      <c r="V693" s="559"/>
      <c r="W693" s="559"/>
      <c r="X693" s="559"/>
      <c r="Y693" s="559"/>
      <c r="Z693" s="559"/>
      <c r="AA693" s="559"/>
      <c r="AB693" s="559"/>
      <c r="AC693" s="559"/>
      <c r="AD693" s="559"/>
      <c r="AE693" s="559"/>
    </row>
    <row r="694" spans="1:31" ht="18" customHeight="1" x14ac:dyDescent="0.35">
      <c r="A694" s="559"/>
      <c r="B694" s="559"/>
      <c r="C694" s="559"/>
      <c r="D694" s="559"/>
      <c r="E694" s="559"/>
      <c r="F694" s="559"/>
      <c r="G694" s="559"/>
      <c r="H694" s="559"/>
      <c r="I694" s="559"/>
      <c r="J694" s="559"/>
      <c r="K694" s="559"/>
      <c r="L694" s="559"/>
      <c r="M694" s="559"/>
      <c r="N694" s="559"/>
      <c r="O694" s="559"/>
      <c r="P694" s="559"/>
      <c r="Q694" s="559"/>
      <c r="R694" s="559"/>
      <c r="S694" s="559"/>
      <c r="T694" s="559"/>
      <c r="U694" s="559"/>
      <c r="V694" s="559"/>
      <c r="W694" s="559"/>
      <c r="X694" s="559"/>
      <c r="Y694" s="559"/>
      <c r="Z694" s="559"/>
      <c r="AA694" s="559"/>
      <c r="AB694" s="559"/>
      <c r="AC694" s="559"/>
      <c r="AD694" s="559"/>
      <c r="AE694" s="559"/>
    </row>
    <row r="695" spans="1:31" ht="18" customHeight="1" x14ac:dyDescent="0.35">
      <c r="A695" s="559"/>
      <c r="B695" s="559"/>
      <c r="C695" s="559"/>
      <c r="D695" s="559"/>
      <c r="E695" s="559"/>
      <c r="F695" s="559"/>
      <c r="G695" s="559"/>
      <c r="H695" s="559"/>
      <c r="I695" s="559"/>
      <c r="J695" s="559"/>
      <c r="K695" s="559"/>
      <c r="L695" s="559"/>
      <c r="M695" s="559"/>
      <c r="N695" s="559"/>
      <c r="O695" s="559"/>
      <c r="P695" s="559"/>
      <c r="Q695" s="559"/>
      <c r="R695" s="559"/>
      <c r="S695" s="559"/>
      <c r="T695" s="559"/>
      <c r="U695" s="559"/>
      <c r="V695" s="559"/>
      <c r="W695" s="559"/>
      <c r="X695" s="559"/>
      <c r="Y695" s="559"/>
      <c r="Z695" s="559"/>
      <c r="AA695" s="559"/>
      <c r="AB695" s="559"/>
      <c r="AC695" s="559"/>
      <c r="AD695" s="559"/>
      <c r="AE695" s="559"/>
    </row>
    <row r="696" spans="1:31" ht="18" customHeight="1" x14ac:dyDescent="0.35">
      <c r="A696" s="559"/>
      <c r="B696" s="559"/>
      <c r="C696" s="559"/>
      <c r="D696" s="559"/>
      <c r="E696" s="559"/>
      <c r="F696" s="559"/>
      <c r="G696" s="559"/>
      <c r="H696" s="559"/>
      <c r="I696" s="559"/>
      <c r="J696" s="559"/>
      <c r="K696" s="559"/>
      <c r="L696" s="559"/>
      <c r="M696" s="559"/>
      <c r="N696" s="559"/>
      <c r="O696" s="559"/>
      <c r="P696" s="559"/>
      <c r="Q696" s="559"/>
      <c r="R696" s="559"/>
      <c r="S696" s="559"/>
      <c r="T696" s="559"/>
      <c r="U696" s="559"/>
      <c r="V696" s="559"/>
      <c r="W696" s="559"/>
      <c r="X696" s="559"/>
      <c r="Y696" s="559"/>
      <c r="Z696" s="559"/>
      <c r="AA696" s="559"/>
      <c r="AB696" s="559"/>
      <c r="AC696" s="559"/>
      <c r="AD696" s="559"/>
      <c r="AE696" s="559"/>
    </row>
    <row r="697" spans="1:31" ht="18" customHeight="1" x14ac:dyDescent="0.35">
      <c r="A697" s="559"/>
      <c r="B697" s="559"/>
      <c r="C697" s="559"/>
      <c r="D697" s="559"/>
      <c r="E697" s="559"/>
      <c r="F697" s="559"/>
      <c r="G697" s="559"/>
      <c r="H697" s="559"/>
      <c r="I697" s="559"/>
      <c r="J697" s="559"/>
      <c r="K697" s="559"/>
      <c r="L697" s="559"/>
      <c r="M697" s="559"/>
      <c r="N697" s="559"/>
      <c r="O697" s="559"/>
      <c r="P697" s="559"/>
      <c r="Q697" s="559"/>
      <c r="R697" s="559"/>
      <c r="S697" s="559"/>
      <c r="T697" s="559"/>
      <c r="U697" s="559"/>
      <c r="V697" s="559"/>
      <c r="W697" s="559"/>
      <c r="X697" s="559"/>
      <c r="Y697" s="559"/>
      <c r="Z697" s="559"/>
      <c r="AA697" s="559"/>
      <c r="AB697" s="559"/>
      <c r="AC697" s="559"/>
      <c r="AD697" s="559"/>
      <c r="AE697" s="559"/>
    </row>
    <row r="698" spans="1:31" ht="18" customHeight="1" x14ac:dyDescent="0.35">
      <c r="A698" s="559"/>
      <c r="B698" s="559"/>
      <c r="C698" s="559"/>
      <c r="D698" s="559"/>
      <c r="E698" s="559"/>
      <c r="F698" s="559"/>
      <c r="G698" s="559"/>
      <c r="H698" s="559"/>
      <c r="I698" s="559"/>
      <c r="J698" s="559"/>
      <c r="K698" s="559"/>
      <c r="L698" s="559"/>
      <c r="M698" s="559"/>
      <c r="N698" s="559"/>
      <c r="O698" s="559"/>
      <c r="P698" s="559"/>
      <c r="Q698" s="559"/>
      <c r="R698" s="559"/>
      <c r="S698" s="559"/>
      <c r="T698" s="559"/>
      <c r="U698" s="559"/>
      <c r="V698" s="559"/>
      <c r="W698" s="559"/>
      <c r="X698" s="559"/>
      <c r="Y698" s="559"/>
      <c r="Z698" s="559"/>
      <c r="AA698" s="559"/>
      <c r="AB698" s="559"/>
      <c r="AC698" s="559"/>
      <c r="AD698" s="559"/>
      <c r="AE698" s="559"/>
    </row>
    <row r="699" spans="1:31" ht="18" customHeight="1" x14ac:dyDescent="0.35">
      <c r="A699" s="559"/>
      <c r="B699" s="559"/>
      <c r="C699" s="559"/>
      <c r="D699" s="559"/>
      <c r="E699" s="559"/>
      <c r="F699" s="559"/>
      <c r="G699" s="559"/>
      <c r="H699" s="559"/>
      <c r="I699" s="559"/>
      <c r="J699" s="559"/>
      <c r="K699" s="559"/>
      <c r="L699" s="559"/>
      <c r="M699" s="559"/>
      <c r="N699" s="559"/>
      <c r="O699" s="559"/>
      <c r="P699" s="559"/>
      <c r="Q699" s="559"/>
      <c r="R699" s="559"/>
      <c r="S699" s="559"/>
      <c r="T699" s="559"/>
      <c r="U699" s="559"/>
      <c r="V699" s="559"/>
      <c r="W699" s="559"/>
      <c r="X699" s="559"/>
      <c r="Y699" s="559"/>
      <c r="Z699" s="559"/>
      <c r="AA699" s="559"/>
      <c r="AB699" s="559"/>
      <c r="AC699" s="559"/>
      <c r="AD699" s="559"/>
      <c r="AE699" s="559"/>
    </row>
    <row r="700" spans="1:31" ht="18" customHeight="1" x14ac:dyDescent="0.35">
      <c r="A700" s="559"/>
      <c r="B700" s="559"/>
      <c r="C700" s="559"/>
      <c r="D700" s="559"/>
      <c r="E700" s="559"/>
      <c r="F700" s="559"/>
      <c r="G700" s="559"/>
      <c r="H700" s="559"/>
      <c r="I700" s="559"/>
      <c r="J700" s="559"/>
      <c r="K700" s="559"/>
      <c r="L700" s="559"/>
      <c r="M700" s="559"/>
      <c r="N700" s="559"/>
      <c r="O700" s="559"/>
      <c r="P700" s="559"/>
      <c r="Q700" s="559"/>
      <c r="R700" s="559"/>
      <c r="S700" s="559"/>
      <c r="T700" s="559"/>
      <c r="U700" s="559"/>
      <c r="V700" s="559"/>
      <c r="W700" s="559"/>
      <c r="X700" s="559"/>
      <c r="Y700" s="559"/>
      <c r="Z700" s="559"/>
      <c r="AA700" s="559"/>
      <c r="AB700" s="559"/>
      <c r="AC700" s="559"/>
      <c r="AD700" s="559"/>
      <c r="AE700" s="559"/>
    </row>
    <row r="701" spans="1:31" ht="18" customHeight="1" x14ac:dyDescent="0.35">
      <c r="A701" s="559"/>
      <c r="B701" s="559"/>
      <c r="C701" s="559"/>
      <c r="D701" s="559"/>
      <c r="E701" s="559"/>
      <c r="F701" s="559"/>
      <c r="G701" s="559"/>
      <c r="H701" s="559"/>
      <c r="I701" s="559"/>
      <c r="J701" s="559"/>
      <c r="K701" s="559"/>
      <c r="L701" s="559"/>
      <c r="M701" s="559"/>
      <c r="N701" s="559"/>
      <c r="O701" s="559"/>
      <c r="P701" s="559"/>
      <c r="Q701" s="559"/>
      <c r="R701" s="559"/>
      <c r="S701" s="559"/>
      <c r="T701" s="559"/>
      <c r="U701" s="559"/>
      <c r="V701" s="559"/>
      <c r="W701" s="559"/>
      <c r="X701" s="559"/>
      <c r="Y701" s="559"/>
      <c r="Z701" s="559"/>
      <c r="AA701" s="559"/>
      <c r="AB701" s="559"/>
      <c r="AC701" s="559"/>
      <c r="AD701" s="559"/>
      <c r="AE701" s="559"/>
    </row>
    <row r="702" spans="1:31" ht="18" customHeight="1" x14ac:dyDescent="0.35">
      <c r="A702" s="559"/>
      <c r="B702" s="559"/>
      <c r="C702" s="559"/>
      <c r="D702" s="559"/>
      <c r="E702" s="559"/>
      <c r="F702" s="559"/>
      <c r="G702" s="559"/>
      <c r="H702" s="559"/>
      <c r="I702" s="559"/>
      <c r="J702" s="559"/>
      <c r="K702" s="559"/>
      <c r="L702" s="559"/>
      <c r="M702" s="559"/>
      <c r="N702" s="559"/>
      <c r="O702" s="559"/>
      <c r="P702" s="559"/>
      <c r="Q702" s="559"/>
      <c r="R702" s="559"/>
      <c r="S702" s="559"/>
      <c r="T702" s="559"/>
      <c r="U702" s="559"/>
      <c r="V702" s="559"/>
      <c r="W702" s="559"/>
      <c r="X702" s="559"/>
      <c r="Y702" s="559"/>
      <c r="Z702" s="559"/>
      <c r="AA702" s="559"/>
      <c r="AB702" s="559"/>
      <c r="AC702" s="559"/>
      <c r="AD702" s="559"/>
      <c r="AE702" s="559"/>
    </row>
    <row r="703" spans="1:31" ht="18" customHeight="1" x14ac:dyDescent="0.35">
      <c r="A703" s="559"/>
      <c r="B703" s="559"/>
      <c r="C703" s="559"/>
      <c r="D703" s="559"/>
      <c r="E703" s="559"/>
      <c r="F703" s="559"/>
      <c r="G703" s="559"/>
      <c r="H703" s="559"/>
      <c r="I703" s="559"/>
      <c r="J703" s="559"/>
      <c r="K703" s="559"/>
      <c r="L703" s="559"/>
      <c r="M703" s="559"/>
      <c r="N703" s="559"/>
      <c r="O703" s="559"/>
      <c r="P703" s="559"/>
      <c r="Q703" s="559"/>
      <c r="R703" s="559"/>
      <c r="S703" s="559"/>
      <c r="T703" s="559"/>
      <c r="U703" s="559"/>
      <c r="V703" s="559"/>
      <c r="W703" s="559"/>
      <c r="X703" s="559"/>
      <c r="Y703" s="559"/>
      <c r="Z703" s="559"/>
      <c r="AA703" s="559"/>
      <c r="AB703" s="559"/>
      <c r="AC703" s="559"/>
      <c r="AD703" s="559"/>
      <c r="AE703" s="559"/>
    </row>
    <row r="704" spans="1:31" ht="18" customHeight="1" x14ac:dyDescent="0.35">
      <c r="A704" s="559"/>
      <c r="B704" s="559"/>
      <c r="C704" s="559"/>
      <c r="D704" s="559"/>
      <c r="E704" s="559"/>
      <c r="F704" s="559"/>
      <c r="G704" s="559"/>
      <c r="H704" s="559"/>
      <c r="I704" s="559"/>
      <c r="J704" s="559"/>
      <c r="K704" s="559"/>
      <c r="L704" s="559"/>
      <c r="M704" s="559"/>
      <c r="N704" s="559"/>
      <c r="O704" s="559"/>
      <c r="P704" s="559"/>
      <c r="Q704" s="559"/>
      <c r="R704" s="559"/>
      <c r="S704" s="559"/>
      <c r="T704" s="559"/>
      <c r="U704" s="559"/>
      <c r="V704" s="559"/>
      <c r="W704" s="559"/>
      <c r="X704" s="559"/>
      <c r="Y704" s="559"/>
      <c r="Z704" s="559"/>
      <c r="AA704" s="559"/>
      <c r="AB704" s="559"/>
      <c r="AC704" s="559"/>
      <c r="AD704" s="559"/>
      <c r="AE704" s="559"/>
    </row>
    <row r="705" spans="1:31" ht="18" customHeight="1" x14ac:dyDescent="0.35">
      <c r="A705" s="559"/>
      <c r="B705" s="559"/>
      <c r="C705" s="559"/>
      <c r="D705" s="559"/>
      <c r="E705" s="559"/>
      <c r="F705" s="559"/>
      <c r="G705" s="559"/>
      <c r="H705" s="559"/>
      <c r="I705" s="559"/>
      <c r="J705" s="559"/>
      <c r="K705" s="559"/>
      <c r="L705" s="559"/>
      <c r="M705" s="559"/>
      <c r="N705" s="559"/>
      <c r="O705" s="559"/>
      <c r="P705" s="559"/>
      <c r="Q705" s="559"/>
      <c r="R705" s="559"/>
      <c r="S705" s="559"/>
      <c r="T705" s="559"/>
      <c r="U705" s="559"/>
      <c r="V705" s="559"/>
      <c r="W705" s="559"/>
      <c r="X705" s="559"/>
      <c r="Y705" s="559"/>
      <c r="Z705" s="559"/>
      <c r="AA705" s="559"/>
      <c r="AB705" s="559"/>
      <c r="AC705" s="559"/>
      <c r="AD705" s="559"/>
      <c r="AE705" s="559"/>
    </row>
    <row r="706" spans="1:31" ht="18" customHeight="1" x14ac:dyDescent="0.35">
      <c r="A706" s="559"/>
      <c r="B706" s="559"/>
      <c r="C706" s="559"/>
      <c r="D706" s="559"/>
      <c r="E706" s="559"/>
      <c r="F706" s="559"/>
      <c r="G706" s="559"/>
      <c r="H706" s="559"/>
      <c r="I706" s="559"/>
      <c r="J706" s="559"/>
      <c r="K706" s="559"/>
      <c r="L706" s="559"/>
      <c r="M706" s="559"/>
      <c r="N706" s="559"/>
      <c r="O706" s="559"/>
      <c r="P706" s="559"/>
      <c r="Q706" s="559"/>
      <c r="R706" s="559"/>
      <c r="S706" s="559"/>
      <c r="T706" s="559"/>
      <c r="U706" s="559"/>
      <c r="V706" s="559"/>
      <c r="W706" s="559"/>
      <c r="X706" s="559"/>
      <c r="Y706" s="559"/>
      <c r="Z706" s="559"/>
      <c r="AA706" s="559"/>
      <c r="AB706" s="559"/>
      <c r="AC706" s="559"/>
      <c r="AD706" s="559"/>
      <c r="AE706" s="559"/>
    </row>
    <row r="707" spans="1:31" ht="18" customHeight="1" x14ac:dyDescent="0.35">
      <c r="A707" s="559"/>
      <c r="B707" s="559"/>
      <c r="C707" s="559"/>
      <c r="D707" s="559"/>
      <c r="E707" s="559"/>
      <c r="F707" s="559"/>
      <c r="G707" s="559"/>
      <c r="H707" s="559"/>
      <c r="I707" s="559"/>
      <c r="J707" s="559"/>
      <c r="K707" s="559"/>
      <c r="L707" s="559"/>
      <c r="M707" s="559"/>
      <c r="N707" s="559"/>
      <c r="O707" s="559"/>
      <c r="P707" s="559"/>
      <c r="Q707" s="559"/>
      <c r="R707" s="559"/>
      <c r="S707" s="559"/>
      <c r="T707" s="559"/>
      <c r="U707" s="559"/>
      <c r="V707" s="559"/>
      <c r="W707" s="559"/>
      <c r="X707" s="559"/>
      <c r="Y707" s="559"/>
      <c r="Z707" s="559"/>
      <c r="AA707" s="559"/>
      <c r="AB707" s="559"/>
      <c r="AC707" s="559"/>
      <c r="AD707" s="559"/>
      <c r="AE707" s="559"/>
    </row>
    <row r="708" spans="1:31" ht="18" customHeight="1" x14ac:dyDescent="0.35">
      <c r="A708" s="559"/>
      <c r="B708" s="559"/>
      <c r="C708" s="559"/>
      <c r="D708" s="559"/>
      <c r="E708" s="559"/>
      <c r="F708" s="559"/>
      <c r="G708" s="559"/>
      <c r="H708" s="559"/>
      <c r="I708" s="559"/>
      <c r="J708" s="559"/>
      <c r="K708" s="559"/>
      <c r="L708" s="559"/>
      <c r="M708" s="559"/>
      <c r="N708" s="559"/>
      <c r="O708" s="559"/>
      <c r="P708" s="559"/>
      <c r="Q708" s="559"/>
      <c r="R708" s="559"/>
      <c r="S708" s="559"/>
      <c r="T708" s="559"/>
      <c r="U708" s="559"/>
      <c r="V708" s="559"/>
      <c r="W708" s="559"/>
      <c r="X708" s="559"/>
      <c r="Y708" s="559"/>
      <c r="Z708" s="559"/>
      <c r="AA708" s="559"/>
      <c r="AB708" s="559"/>
      <c r="AC708" s="559"/>
      <c r="AD708" s="559"/>
      <c r="AE708" s="559"/>
    </row>
    <row r="709" spans="1:31" ht="18" customHeight="1" x14ac:dyDescent="0.35">
      <c r="A709" s="559"/>
      <c r="B709" s="559"/>
      <c r="C709" s="559"/>
      <c r="D709" s="559"/>
      <c r="E709" s="559"/>
      <c r="F709" s="559"/>
      <c r="G709" s="559"/>
      <c r="H709" s="559"/>
      <c r="I709" s="559"/>
      <c r="J709" s="559"/>
      <c r="K709" s="559"/>
      <c r="L709" s="559"/>
      <c r="M709" s="559"/>
      <c r="N709" s="559"/>
      <c r="O709" s="559"/>
      <c r="P709" s="559"/>
      <c r="Q709" s="559"/>
      <c r="R709" s="559"/>
      <c r="S709" s="559"/>
      <c r="T709" s="559"/>
      <c r="U709" s="559"/>
      <c r="V709" s="559"/>
      <c r="W709" s="559"/>
      <c r="X709" s="559"/>
      <c r="Y709" s="559"/>
      <c r="Z709" s="559"/>
      <c r="AA709" s="559"/>
      <c r="AB709" s="559"/>
      <c r="AC709" s="559"/>
      <c r="AD709" s="559"/>
      <c r="AE709" s="559"/>
    </row>
    <row r="710" spans="1:31" ht="18" customHeight="1" x14ac:dyDescent="0.35">
      <c r="A710" s="559"/>
      <c r="B710" s="559"/>
      <c r="C710" s="559"/>
      <c r="D710" s="559"/>
      <c r="E710" s="559"/>
      <c r="F710" s="559"/>
      <c r="G710" s="559"/>
      <c r="H710" s="559"/>
      <c r="I710" s="559"/>
      <c r="J710" s="559"/>
      <c r="K710" s="559"/>
      <c r="L710" s="559"/>
      <c r="M710" s="559"/>
      <c r="N710" s="559"/>
      <c r="O710" s="559"/>
      <c r="P710" s="559"/>
      <c r="Q710" s="559"/>
      <c r="R710" s="559"/>
      <c r="S710" s="559"/>
      <c r="T710" s="559"/>
      <c r="U710" s="559"/>
      <c r="V710" s="559"/>
      <c r="W710" s="559"/>
      <c r="X710" s="559"/>
      <c r="Y710" s="559"/>
      <c r="Z710" s="559"/>
      <c r="AA710" s="559"/>
      <c r="AB710" s="559"/>
      <c r="AC710" s="559"/>
      <c r="AD710" s="559"/>
      <c r="AE710" s="559"/>
    </row>
    <row r="711" spans="1:31" ht="18" customHeight="1" x14ac:dyDescent="0.35">
      <c r="A711" s="559"/>
      <c r="B711" s="559"/>
      <c r="C711" s="559"/>
      <c r="D711" s="559"/>
      <c r="E711" s="559"/>
      <c r="F711" s="559"/>
      <c r="G711" s="559"/>
      <c r="H711" s="559"/>
      <c r="I711" s="559"/>
      <c r="J711" s="559"/>
      <c r="K711" s="559"/>
      <c r="L711" s="559"/>
      <c r="M711" s="559"/>
      <c r="N711" s="559"/>
      <c r="O711" s="559"/>
      <c r="P711" s="559"/>
      <c r="Q711" s="559"/>
      <c r="R711" s="559"/>
      <c r="S711" s="559"/>
      <c r="T711" s="559"/>
      <c r="U711" s="559"/>
      <c r="V711" s="559"/>
      <c r="W711" s="559"/>
      <c r="X711" s="559"/>
      <c r="Y711" s="559"/>
      <c r="Z711" s="559"/>
      <c r="AA711" s="559"/>
      <c r="AB711" s="559"/>
      <c r="AC711" s="559"/>
      <c r="AD711" s="559"/>
      <c r="AE711" s="559"/>
    </row>
    <row r="712" spans="1:31" ht="18" customHeight="1" x14ac:dyDescent="0.35">
      <c r="A712" s="559"/>
      <c r="B712" s="559"/>
      <c r="C712" s="559"/>
      <c r="D712" s="559"/>
      <c r="E712" s="559"/>
      <c r="F712" s="559"/>
      <c r="G712" s="559"/>
      <c r="H712" s="559"/>
      <c r="I712" s="559"/>
      <c r="J712" s="559"/>
      <c r="K712" s="559"/>
      <c r="L712" s="559"/>
      <c r="M712" s="559"/>
      <c r="N712" s="559"/>
      <c r="O712" s="559"/>
      <c r="P712" s="559"/>
      <c r="Q712" s="559"/>
      <c r="R712" s="559"/>
      <c r="S712" s="559"/>
      <c r="T712" s="559"/>
      <c r="U712" s="559"/>
      <c r="V712" s="559"/>
      <c r="W712" s="559"/>
      <c r="X712" s="559"/>
      <c r="Y712" s="559"/>
      <c r="Z712" s="559"/>
      <c r="AA712" s="559"/>
      <c r="AB712" s="559"/>
      <c r="AC712" s="559"/>
      <c r="AD712" s="559"/>
      <c r="AE712" s="559"/>
    </row>
    <row r="713" spans="1:31" ht="18" customHeight="1" x14ac:dyDescent="0.35">
      <c r="A713" s="559"/>
      <c r="B713" s="559"/>
      <c r="C713" s="559"/>
      <c r="D713" s="559"/>
      <c r="E713" s="559"/>
      <c r="F713" s="559"/>
      <c r="G713" s="559"/>
      <c r="H713" s="559"/>
      <c r="I713" s="559"/>
      <c r="J713" s="559"/>
      <c r="K713" s="559"/>
      <c r="L713" s="559"/>
      <c r="M713" s="559"/>
      <c r="N713" s="559"/>
      <c r="O713" s="559"/>
      <c r="P713" s="559"/>
      <c r="Q713" s="559"/>
      <c r="R713" s="559"/>
      <c r="S713" s="559"/>
      <c r="T713" s="559"/>
      <c r="U713" s="559"/>
      <c r="V713" s="559"/>
      <c r="W713" s="559"/>
      <c r="X713" s="559"/>
      <c r="Y713" s="559"/>
      <c r="Z713" s="559"/>
      <c r="AA713" s="559"/>
      <c r="AB713" s="559"/>
      <c r="AC713" s="559"/>
      <c r="AD713" s="559"/>
      <c r="AE713" s="559"/>
    </row>
    <row r="714" spans="1:31" ht="18" customHeight="1" x14ac:dyDescent="0.35">
      <c r="A714" s="559"/>
      <c r="B714" s="559"/>
      <c r="C714" s="559"/>
      <c r="D714" s="559"/>
      <c r="E714" s="559"/>
      <c r="F714" s="559"/>
      <c r="G714" s="559"/>
      <c r="H714" s="559"/>
      <c r="I714" s="559"/>
      <c r="J714" s="559"/>
      <c r="K714" s="559"/>
      <c r="L714" s="559"/>
      <c r="M714" s="559"/>
      <c r="N714" s="559"/>
      <c r="O714" s="559"/>
      <c r="P714" s="559"/>
      <c r="Q714" s="559"/>
      <c r="R714" s="559"/>
      <c r="S714" s="559"/>
      <c r="T714" s="559"/>
      <c r="U714" s="559"/>
      <c r="V714" s="559"/>
      <c r="W714" s="559"/>
      <c r="X714" s="559"/>
      <c r="Y714" s="559"/>
      <c r="Z714" s="559"/>
      <c r="AA714" s="559"/>
      <c r="AB714" s="559"/>
      <c r="AC714" s="559"/>
      <c r="AD714" s="559"/>
      <c r="AE714" s="559"/>
    </row>
    <row r="715" spans="1:31" ht="18" customHeight="1" x14ac:dyDescent="0.35">
      <c r="A715" s="559"/>
      <c r="B715" s="559"/>
      <c r="C715" s="559"/>
      <c r="D715" s="559"/>
      <c r="E715" s="559"/>
      <c r="F715" s="559"/>
      <c r="G715" s="559"/>
      <c r="H715" s="559"/>
      <c r="I715" s="559"/>
      <c r="J715" s="559"/>
      <c r="K715" s="559"/>
      <c r="L715" s="559"/>
      <c r="M715" s="559"/>
      <c r="N715" s="559"/>
      <c r="O715" s="559"/>
      <c r="P715" s="559"/>
      <c r="Q715" s="559"/>
      <c r="R715" s="559"/>
      <c r="S715" s="559"/>
      <c r="T715" s="559"/>
      <c r="U715" s="559"/>
      <c r="V715" s="559"/>
      <c r="W715" s="559"/>
      <c r="X715" s="559"/>
      <c r="Y715" s="559"/>
      <c r="Z715" s="559"/>
      <c r="AA715" s="559"/>
      <c r="AB715" s="559"/>
      <c r="AC715" s="559"/>
      <c r="AD715" s="559"/>
      <c r="AE715" s="559"/>
    </row>
    <row r="716" spans="1:31" ht="18" customHeight="1" x14ac:dyDescent="0.35">
      <c r="A716" s="559"/>
      <c r="B716" s="559"/>
      <c r="C716" s="559"/>
      <c r="D716" s="559"/>
      <c r="E716" s="559"/>
      <c r="F716" s="559"/>
      <c r="G716" s="559"/>
      <c r="H716" s="559"/>
      <c r="I716" s="559"/>
      <c r="J716" s="559"/>
      <c r="K716" s="559"/>
      <c r="L716" s="559"/>
      <c r="M716" s="559"/>
      <c r="N716" s="559"/>
      <c r="O716" s="559"/>
      <c r="P716" s="559"/>
      <c r="Q716" s="559"/>
      <c r="R716" s="559"/>
      <c r="S716" s="559"/>
      <c r="T716" s="559"/>
      <c r="U716" s="559"/>
      <c r="V716" s="559"/>
      <c r="W716" s="559"/>
      <c r="X716" s="559"/>
      <c r="Y716" s="559"/>
      <c r="Z716" s="559"/>
      <c r="AA716" s="559"/>
      <c r="AB716" s="559"/>
      <c r="AC716" s="559"/>
      <c r="AD716" s="559"/>
      <c r="AE716" s="559"/>
    </row>
    <row r="717" spans="1:31" ht="18" customHeight="1" x14ac:dyDescent="0.35">
      <c r="A717" s="559"/>
      <c r="B717" s="559"/>
      <c r="C717" s="559"/>
      <c r="D717" s="559"/>
      <c r="E717" s="559"/>
      <c r="F717" s="559"/>
      <c r="G717" s="559"/>
      <c r="H717" s="559"/>
      <c r="I717" s="559"/>
      <c r="J717" s="559"/>
      <c r="K717" s="559"/>
      <c r="L717" s="559"/>
      <c r="M717" s="559"/>
      <c r="N717" s="559"/>
      <c r="O717" s="559"/>
      <c r="P717" s="559"/>
      <c r="Q717" s="559"/>
      <c r="R717" s="559"/>
      <c r="S717" s="559"/>
      <c r="T717" s="559"/>
      <c r="U717" s="559"/>
      <c r="V717" s="559"/>
      <c r="W717" s="559"/>
      <c r="X717" s="559"/>
      <c r="Y717" s="559"/>
      <c r="Z717" s="559"/>
      <c r="AA717" s="559"/>
      <c r="AB717" s="559"/>
      <c r="AC717" s="559"/>
      <c r="AD717" s="559"/>
      <c r="AE717" s="559"/>
    </row>
    <row r="718" spans="1:31" ht="18" customHeight="1" x14ac:dyDescent="0.35">
      <c r="A718" s="559"/>
      <c r="B718" s="559"/>
      <c r="C718" s="559"/>
      <c r="D718" s="559"/>
      <c r="E718" s="559"/>
      <c r="F718" s="559"/>
      <c r="G718" s="559"/>
      <c r="H718" s="559"/>
      <c r="I718" s="559"/>
      <c r="J718" s="559"/>
      <c r="K718" s="559"/>
      <c r="L718" s="559"/>
      <c r="M718" s="559"/>
      <c r="N718" s="559"/>
      <c r="O718" s="559"/>
      <c r="P718" s="559"/>
      <c r="Q718" s="559"/>
      <c r="R718" s="559"/>
      <c r="S718" s="559"/>
      <c r="T718" s="559"/>
      <c r="U718" s="559"/>
      <c r="V718" s="559"/>
      <c r="W718" s="559"/>
      <c r="X718" s="559"/>
      <c r="Y718" s="559"/>
      <c r="Z718" s="559"/>
      <c r="AA718" s="559"/>
      <c r="AB718" s="559"/>
      <c r="AC718" s="559"/>
      <c r="AD718" s="559"/>
      <c r="AE718" s="559"/>
    </row>
    <row r="719" spans="1:31" ht="18" customHeight="1" x14ac:dyDescent="0.35">
      <c r="A719" s="559"/>
      <c r="B719" s="559"/>
      <c r="C719" s="559"/>
      <c r="D719" s="559"/>
      <c r="E719" s="559"/>
      <c r="F719" s="559"/>
      <c r="G719" s="559"/>
      <c r="H719" s="559"/>
      <c r="I719" s="559"/>
      <c r="J719" s="559"/>
      <c r="K719" s="559"/>
      <c r="L719" s="559"/>
      <c r="M719" s="559"/>
      <c r="N719" s="559"/>
      <c r="O719" s="559"/>
      <c r="P719" s="559"/>
      <c r="Q719" s="559"/>
      <c r="R719" s="559"/>
      <c r="S719" s="559"/>
      <c r="T719" s="559"/>
      <c r="U719" s="559"/>
      <c r="V719" s="559"/>
      <c r="W719" s="559"/>
      <c r="X719" s="559"/>
      <c r="Y719" s="559"/>
      <c r="Z719" s="559"/>
      <c r="AA719" s="559"/>
      <c r="AB719" s="559"/>
      <c r="AC719" s="559"/>
      <c r="AD719" s="559"/>
      <c r="AE719" s="559"/>
    </row>
    <row r="720" spans="1:31" ht="18" customHeight="1" x14ac:dyDescent="0.35">
      <c r="A720" s="559"/>
      <c r="B720" s="559"/>
      <c r="C720" s="559"/>
      <c r="D720" s="559"/>
      <c r="E720" s="559"/>
      <c r="F720" s="559"/>
      <c r="G720" s="559"/>
      <c r="H720" s="559"/>
      <c r="I720" s="559"/>
      <c r="J720" s="559"/>
      <c r="K720" s="559"/>
      <c r="L720" s="559"/>
      <c r="M720" s="559"/>
      <c r="N720" s="559"/>
      <c r="O720" s="559"/>
      <c r="P720" s="559"/>
      <c r="Q720" s="559"/>
      <c r="R720" s="559"/>
      <c r="S720" s="559"/>
      <c r="T720" s="559"/>
      <c r="U720" s="559"/>
      <c r="V720" s="559"/>
      <c r="W720" s="559"/>
      <c r="X720" s="559"/>
      <c r="Y720" s="559"/>
      <c r="Z720" s="559"/>
      <c r="AA720" s="559"/>
      <c r="AB720" s="559"/>
      <c r="AC720" s="559"/>
      <c r="AD720" s="559"/>
      <c r="AE720" s="559"/>
    </row>
    <row r="721" spans="1:31" ht="18" customHeight="1" x14ac:dyDescent="0.35">
      <c r="A721" s="559"/>
      <c r="B721" s="559"/>
      <c r="C721" s="559"/>
      <c r="D721" s="559"/>
      <c r="E721" s="559"/>
      <c r="F721" s="559"/>
      <c r="G721" s="559"/>
      <c r="H721" s="559"/>
      <c r="I721" s="559"/>
      <c r="J721" s="559"/>
      <c r="K721" s="559"/>
      <c r="L721" s="559"/>
      <c r="M721" s="559"/>
      <c r="N721" s="559"/>
      <c r="O721" s="559"/>
      <c r="P721" s="559"/>
      <c r="Q721" s="559"/>
      <c r="R721" s="559"/>
      <c r="S721" s="559"/>
      <c r="T721" s="559"/>
      <c r="U721" s="559"/>
      <c r="V721" s="559"/>
      <c r="W721" s="559"/>
      <c r="X721" s="559"/>
      <c r="Y721" s="559"/>
      <c r="Z721" s="559"/>
      <c r="AA721" s="559"/>
      <c r="AB721" s="559"/>
      <c r="AC721" s="559"/>
      <c r="AD721" s="559"/>
      <c r="AE721" s="559"/>
    </row>
    <row r="722" spans="1:31" ht="18" customHeight="1" x14ac:dyDescent="0.35">
      <c r="A722" s="559"/>
      <c r="B722" s="559"/>
      <c r="C722" s="559"/>
      <c r="D722" s="559"/>
      <c r="E722" s="559"/>
      <c r="F722" s="559"/>
      <c r="G722" s="559"/>
      <c r="H722" s="559"/>
      <c r="I722" s="559"/>
      <c r="J722" s="559"/>
      <c r="K722" s="559"/>
      <c r="L722" s="559"/>
      <c r="M722" s="559"/>
      <c r="N722" s="559"/>
      <c r="O722" s="559"/>
      <c r="P722" s="559"/>
      <c r="Q722" s="559"/>
      <c r="R722" s="559"/>
      <c r="S722" s="559"/>
      <c r="T722" s="559"/>
      <c r="U722" s="559"/>
      <c r="V722" s="559"/>
      <c r="W722" s="559"/>
      <c r="X722" s="559"/>
      <c r="Y722" s="559"/>
      <c r="Z722" s="559"/>
      <c r="AA722" s="559"/>
      <c r="AB722" s="559"/>
      <c r="AC722" s="559"/>
      <c r="AD722" s="559"/>
      <c r="AE722" s="559"/>
    </row>
    <row r="723" spans="1:31" ht="18" customHeight="1" x14ac:dyDescent="0.35">
      <c r="A723" s="559"/>
      <c r="B723" s="559"/>
      <c r="C723" s="559"/>
      <c r="D723" s="559"/>
      <c r="E723" s="559"/>
      <c r="F723" s="559"/>
      <c r="G723" s="559"/>
      <c r="H723" s="559"/>
      <c r="I723" s="559"/>
      <c r="J723" s="559"/>
      <c r="K723" s="559"/>
      <c r="L723" s="559"/>
      <c r="M723" s="559"/>
      <c r="N723" s="559"/>
      <c r="O723" s="559"/>
      <c r="P723" s="559"/>
      <c r="Q723" s="559"/>
      <c r="R723" s="559"/>
      <c r="S723" s="559"/>
      <c r="T723" s="559"/>
      <c r="U723" s="559"/>
      <c r="V723" s="559"/>
      <c r="W723" s="559"/>
      <c r="X723" s="559"/>
      <c r="Y723" s="559"/>
      <c r="Z723" s="559"/>
      <c r="AA723" s="559"/>
      <c r="AB723" s="559"/>
      <c r="AC723" s="559"/>
      <c r="AD723" s="559"/>
      <c r="AE723" s="559"/>
    </row>
    <row r="724" spans="1:31" ht="18" customHeight="1" x14ac:dyDescent="0.35">
      <c r="A724" s="559"/>
      <c r="B724" s="559"/>
      <c r="C724" s="559"/>
      <c r="D724" s="559"/>
      <c r="E724" s="559"/>
      <c r="F724" s="559"/>
      <c r="G724" s="559"/>
      <c r="H724" s="559"/>
      <c r="I724" s="559"/>
      <c r="J724" s="559"/>
      <c r="K724" s="559"/>
      <c r="L724" s="559"/>
      <c r="M724" s="559"/>
      <c r="N724" s="559"/>
      <c r="O724" s="559"/>
      <c r="P724" s="559"/>
      <c r="Q724" s="559"/>
      <c r="R724" s="559"/>
      <c r="S724" s="559"/>
      <c r="T724" s="559"/>
      <c r="U724" s="559"/>
      <c r="V724" s="559"/>
      <c r="W724" s="559"/>
      <c r="X724" s="559"/>
      <c r="Y724" s="559"/>
      <c r="Z724" s="559"/>
      <c r="AA724" s="559"/>
      <c r="AB724" s="559"/>
      <c r="AC724" s="559"/>
      <c r="AD724" s="559"/>
      <c r="AE724" s="559"/>
    </row>
    <row r="725" spans="1:31" ht="18" customHeight="1" x14ac:dyDescent="0.35">
      <c r="A725" s="559"/>
      <c r="B725" s="559"/>
      <c r="C725" s="559"/>
      <c r="D725" s="559"/>
      <c r="E725" s="559"/>
      <c r="F725" s="559"/>
      <c r="G725" s="559"/>
      <c r="H725" s="559"/>
      <c r="I725" s="559"/>
      <c r="J725" s="559"/>
      <c r="K725" s="559"/>
      <c r="L725" s="559"/>
      <c r="M725" s="559"/>
      <c r="N725" s="559"/>
      <c r="O725" s="559"/>
      <c r="P725" s="559"/>
      <c r="Q725" s="559"/>
      <c r="R725" s="559"/>
      <c r="S725" s="559"/>
      <c r="T725" s="559"/>
      <c r="U725" s="559"/>
      <c r="V725" s="559"/>
      <c r="W725" s="559"/>
      <c r="X725" s="559"/>
      <c r="Y725" s="559"/>
      <c r="Z725" s="559"/>
      <c r="AA725" s="559"/>
      <c r="AB725" s="559"/>
      <c r="AC725" s="559"/>
      <c r="AD725" s="559"/>
      <c r="AE725" s="559"/>
    </row>
    <row r="726" spans="1:31" ht="18" customHeight="1" x14ac:dyDescent="0.35">
      <c r="A726" s="559"/>
      <c r="B726" s="559"/>
      <c r="C726" s="559"/>
      <c r="D726" s="559"/>
      <c r="E726" s="559"/>
      <c r="F726" s="559"/>
      <c r="G726" s="559"/>
      <c r="H726" s="559"/>
      <c r="I726" s="559"/>
      <c r="J726" s="559"/>
      <c r="K726" s="559"/>
      <c r="L726" s="559"/>
      <c r="M726" s="559"/>
      <c r="N726" s="559"/>
      <c r="O726" s="559"/>
      <c r="P726" s="559"/>
      <c r="Q726" s="559"/>
      <c r="R726" s="559"/>
      <c r="S726" s="559"/>
      <c r="T726" s="559"/>
      <c r="U726" s="559"/>
      <c r="V726" s="559"/>
      <c r="W726" s="559"/>
      <c r="X726" s="559"/>
      <c r="Y726" s="559"/>
      <c r="Z726" s="559"/>
      <c r="AA726" s="559"/>
      <c r="AB726" s="559"/>
      <c r="AC726" s="559"/>
      <c r="AD726" s="559"/>
      <c r="AE726" s="559"/>
    </row>
    <row r="727" spans="1:31" ht="18" customHeight="1" x14ac:dyDescent="0.35">
      <c r="A727" s="559"/>
      <c r="B727" s="559"/>
      <c r="C727" s="559"/>
      <c r="D727" s="559"/>
      <c r="E727" s="559"/>
      <c r="F727" s="559"/>
      <c r="G727" s="559"/>
      <c r="H727" s="559"/>
      <c r="I727" s="559"/>
      <c r="J727" s="559"/>
      <c r="K727" s="559"/>
      <c r="L727" s="559"/>
      <c r="M727" s="559"/>
      <c r="N727" s="559"/>
      <c r="O727" s="559"/>
      <c r="P727" s="559"/>
      <c r="Q727" s="559"/>
      <c r="R727" s="559"/>
      <c r="S727" s="559"/>
      <c r="T727" s="559"/>
      <c r="U727" s="559"/>
      <c r="V727" s="559"/>
      <c r="W727" s="559"/>
      <c r="X727" s="559"/>
      <c r="Y727" s="559"/>
      <c r="Z727" s="559"/>
      <c r="AA727" s="559"/>
      <c r="AB727" s="559"/>
      <c r="AC727" s="559"/>
      <c r="AD727" s="559"/>
      <c r="AE727" s="559"/>
    </row>
    <row r="728" spans="1:31" ht="18" customHeight="1" x14ac:dyDescent="0.35">
      <c r="A728" s="559"/>
      <c r="B728" s="559"/>
      <c r="C728" s="559"/>
      <c r="D728" s="559"/>
      <c r="E728" s="559"/>
      <c r="F728" s="559"/>
      <c r="G728" s="559"/>
      <c r="H728" s="559"/>
      <c r="I728" s="559"/>
      <c r="J728" s="559"/>
      <c r="K728" s="559"/>
      <c r="L728" s="559"/>
      <c r="M728" s="559"/>
      <c r="N728" s="559"/>
      <c r="O728" s="559"/>
      <c r="P728" s="559"/>
      <c r="Q728" s="559"/>
      <c r="R728" s="559"/>
      <c r="S728" s="559"/>
      <c r="T728" s="559"/>
      <c r="U728" s="559"/>
      <c r="V728" s="559"/>
      <c r="W728" s="559"/>
      <c r="X728" s="559"/>
      <c r="Y728" s="559"/>
      <c r="Z728" s="559"/>
      <c r="AA728" s="559"/>
      <c r="AB728" s="559"/>
      <c r="AC728" s="559"/>
      <c r="AD728" s="559"/>
      <c r="AE728" s="559"/>
    </row>
    <row r="729" spans="1:31" ht="18" customHeight="1" x14ac:dyDescent="0.35">
      <c r="A729" s="559"/>
      <c r="B729" s="559"/>
      <c r="C729" s="559"/>
      <c r="D729" s="559"/>
      <c r="E729" s="559"/>
      <c r="F729" s="559"/>
      <c r="G729" s="559"/>
      <c r="H729" s="559"/>
      <c r="I729" s="559"/>
      <c r="J729" s="559"/>
      <c r="K729" s="559"/>
      <c r="L729" s="559"/>
      <c r="M729" s="559"/>
      <c r="N729" s="559"/>
      <c r="O729" s="559"/>
      <c r="P729" s="559"/>
      <c r="Q729" s="559"/>
      <c r="R729" s="559"/>
      <c r="S729" s="559"/>
      <c r="T729" s="559"/>
      <c r="U729" s="559"/>
      <c r="V729" s="559"/>
      <c r="W729" s="559"/>
      <c r="X729" s="559"/>
      <c r="Y729" s="559"/>
      <c r="Z729" s="559"/>
      <c r="AA729" s="559"/>
      <c r="AB729" s="559"/>
      <c r="AC729" s="559"/>
      <c r="AD729" s="559"/>
      <c r="AE729" s="559"/>
    </row>
    <row r="730" spans="1:31" ht="18" customHeight="1" x14ac:dyDescent="0.35">
      <c r="A730" s="559"/>
      <c r="B730" s="559"/>
      <c r="C730" s="559"/>
      <c r="D730" s="559"/>
      <c r="E730" s="559"/>
      <c r="F730" s="559"/>
      <c r="G730" s="559"/>
      <c r="H730" s="559"/>
      <c r="I730" s="559"/>
      <c r="J730" s="559"/>
      <c r="K730" s="559"/>
      <c r="L730" s="559"/>
      <c r="M730" s="559"/>
      <c r="N730" s="559"/>
      <c r="O730" s="559"/>
      <c r="P730" s="559"/>
      <c r="Q730" s="559"/>
      <c r="R730" s="559"/>
      <c r="S730" s="559"/>
      <c r="T730" s="559"/>
      <c r="U730" s="559"/>
      <c r="V730" s="559"/>
      <c r="W730" s="559"/>
      <c r="X730" s="559"/>
      <c r="Y730" s="559"/>
      <c r="Z730" s="559"/>
      <c r="AA730" s="559"/>
      <c r="AB730" s="559"/>
      <c r="AC730" s="559"/>
      <c r="AD730" s="559"/>
      <c r="AE730" s="559"/>
    </row>
    <row r="731" spans="1:31" ht="18" customHeight="1" x14ac:dyDescent="0.35">
      <c r="A731" s="559"/>
      <c r="B731" s="559"/>
      <c r="C731" s="559"/>
      <c r="D731" s="559"/>
      <c r="E731" s="559"/>
      <c r="F731" s="559"/>
      <c r="G731" s="559"/>
      <c r="H731" s="559"/>
      <c r="I731" s="559"/>
      <c r="J731" s="559"/>
      <c r="K731" s="559"/>
      <c r="L731" s="559"/>
      <c r="M731" s="559"/>
      <c r="N731" s="559"/>
      <c r="O731" s="559"/>
      <c r="P731" s="559"/>
      <c r="Q731" s="559"/>
      <c r="R731" s="559"/>
      <c r="S731" s="559"/>
      <c r="T731" s="559"/>
      <c r="U731" s="559"/>
      <c r="V731" s="559"/>
      <c r="W731" s="559"/>
      <c r="X731" s="559"/>
      <c r="Y731" s="559"/>
      <c r="Z731" s="559"/>
      <c r="AA731" s="559"/>
      <c r="AB731" s="559"/>
      <c r="AC731" s="559"/>
      <c r="AD731" s="559"/>
      <c r="AE731" s="559"/>
    </row>
    <row r="732" spans="1:31" ht="18" customHeight="1" x14ac:dyDescent="0.35">
      <c r="A732" s="559"/>
      <c r="B732" s="559"/>
      <c r="C732" s="559"/>
      <c r="D732" s="559"/>
      <c r="E732" s="559"/>
      <c r="F732" s="559"/>
      <c r="G732" s="559"/>
      <c r="H732" s="559"/>
      <c r="I732" s="559"/>
      <c r="J732" s="559"/>
      <c r="K732" s="559"/>
      <c r="L732" s="559"/>
      <c r="M732" s="559"/>
      <c r="N732" s="559"/>
      <c r="O732" s="559"/>
      <c r="P732" s="559"/>
      <c r="Q732" s="559"/>
      <c r="R732" s="559"/>
      <c r="S732" s="559"/>
      <c r="T732" s="559"/>
      <c r="U732" s="559"/>
      <c r="V732" s="559"/>
      <c r="W732" s="559"/>
      <c r="X732" s="559"/>
      <c r="Y732" s="559"/>
      <c r="Z732" s="559"/>
      <c r="AA732" s="559"/>
      <c r="AB732" s="559"/>
      <c r="AC732" s="559"/>
      <c r="AD732" s="559"/>
      <c r="AE732" s="559"/>
    </row>
    <row r="733" spans="1:31" ht="18" customHeight="1" x14ac:dyDescent="0.35">
      <c r="A733" s="559"/>
      <c r="B733" s="559"/>
      <c r="C733" s="559"/>
      <c r="D733" s="559"/>
      <c r="E733" s="559"/>
      <c r="F733" s="559"/>
      <c r="G733" s="559"/>
      <c r="H733" s="559"/>
      <c r="I733" s="559"/>
      <c r="J733" s="559"/>
      <c r="K733" s="559"/>
      <c r="L733" s="559"/>
      <c r="M733" s="559"/>
      <c r="N733" s="559"/>
      <c r="O733" s="559"/>
      <c r="P733" s="559"/>
      <c r="Q733" s="559"/>
      <c r="R733" s="559"/>
      <c r="S733" s="559"/>
      <c r="T733" s="559"/>
      <c r="U733" s="559"/>
      <c r="V733" s="559"/>
      <c r="W733" s="559"/>
      <c r="X733" s="559"/>
      <c r="Y733" s="559"/>
      <c r="Z733" s="559"/>
      <c r="AA733" s="559"/>
      <c r="AB733" s="559"/>
      <c r="AC733" s="559"/>
      <c r="AD733" s="559"/>
      <c r="AE733" s="559"/>
    </row>
    <row r="734" spans="1:31" ht="18" customHeight="1" x14ac:dyDescent="0.35">
      <c r="A734" s="559"/>
      <c r="B734" s="559"/>
      <c r="C734" s="559"/>
      <c r="D734" s="559"/>
      <c r="E734" s="559"/>
      <c r="F734" s="559"/>
      <c r="G734" s="559"/>
      <c r="H734" s="559"/>
      <c r="I734" s="559"/>
      <c r="J734" s="559"/>
      <c r="K734" s="559"/>
      <c r="L734" s="559"/>
      <c r="M734" s="559"/>
      <c r="N734" s="559"/>
      <c r="O734" s="559"/>
      <c r="P734" s="559"/>
      <c r="Q734" s="559"/>
      <c r="R734" s="559"/>
      <c r="S734" s="559"/>
      <c r="T734" s="559"/>
      <c r="U734" s="559"/>
      <c r="V734" s="559"/>
      <c r="W734" s="559"/>
      <c r="X734" s="559"/>
      <c r="Y734" s="559"/>
      <c r="Z734" s="559"/>
      <c r="AA734" s="559"/>
      <c r="AB734" s="559"/>
      <c r="AC734" s="559"/>
      <c r="AD734" s="559"/>
      <c r="AE734" s="559"/>
    </row>
    <row r="735" spans="1:31" ht="18" customHeight="1" x14ac:dyDescent="0.35">
      <c r="A735" s="559"/>
      <c r="B735" s="559"/>
      <c r="C735" s="559"/>
      <c r="D735" s="559"/>
      <c r="E735" s="559"/>
      <c r="F735" s="559"/>
      <c r="G735" s="559"/>
      <c r="H735" s="559"/>
      <c r="I735" s="559"/>
      <c r="J735" s="559"/>
      <c r="K735" s="559"/>
      <c r="L735" s="559"/>
      <c r="M735" s="559"/>
      <c r="N735" s="559"/>
      <c r="O735" s="559"/>
      <c r="P735" s="559"/>
      <c r="Q735" s="559"/>
      <c r="R735" s="559"/>
      <c r="S735" s="559"/>
      <c r="T735" s="559"/>
      <c r="U735" s="559"/>
      <c r="V735" s="559"/>
      <c r="W735" s="559"/>
      <c r="X735" s="559"/>
      <c r="Y735" s="559"/>
      <c r="Z735" s="559"/>
      <c r="AA735" s="559"/>
      <c r="AB735" s="559"/>
      <c r="AC735" s="559"/>
      <c r="AD735" s="559"/>
      <c r="AE735" s="559"/>
    </row>
    <row r="736" spans="1:31" ht="18" customHeight="1" x14ac:dyDescent="0.35">
      <c r="A736" s="559"/>
      <c r="B736" s="559"/>
      <c r="C736" s="559"/>
      <c r="D736" s="559"/>
      <c r="E736" s="559"/>
      <c r="F736" s="559"/>
      <c r="G736" s="559"/>
      <c r="H736" s="559"/>
      <c r="I736" s="559"/>
      <c r="J736" s="559"/>
      <c r="K736" s="559"/>
      <c r="L736" s="559"/>
      <c r="M736" s="559"/>
      <c r="N736" s="559"/>
      <c r="O736" s="559"/>
      <c r="P736" s="559"/>
      <c r="Q736" s="559"/>
      <c r="R736" s="559"/>
      <c r="S736" s="559"/>
      <c r="T736" s="559"/>
      <c r="U736" s="559"/>
      <c r="V736" s="559"/>
      <c r="W736" s="559"/>
      <c r="X736" s="559"/>
      <c r="Y736" s="559"/>
      <c r="Z736" s="559"/>
      <c r="AA736" s="559"/>
      <c r="AB736" s="559"/>
      <c r="AC736" s="559"/>
      <c r="AD736" s="559"/>
      <c r="AE736" s="559"/>
    </row>
    <row r="737" spans="1:31" ht="18" customHeight="1" x14ac:dyDescent="0.35">
      <c r="A737" s="559"/>
      <c r="B737" s="559"/>
      <c r="C737" s="559"/>
      <c r="D737" s="559"/>
      <c r="E737" s="559"/>
      <c r="F737" s="559"/>
      <c r="G737" s="559"/>
      <c r="H737" s="559"/>
      <c r="I737" s="559"/>
      <c r="J737" s="559"/>
      <c r="K737" s="559"/>
      <c r="L737" s="559"/>
      <c r="M737" s="559"/>
      <c r="N737" s="559"/>
      <c r="O737" s="559"/>
      <c r="P737" s="559"/>
      <c r="Q737" s="559"/>
      <c r="R737" s="559"/>
      <c r="S737" s="559"/>
      <c r="T737" s="559"/>
      <c r="U737" s="559"/>
      <c r="V737" s="559"/>
      <c r="W737" s="559"/>
      <c r="X737" s="559"/>
      <c r="Y737" s="559"/>
      <c r="Z737" s="559"/>
      <c r="AA737" s="559"/>
      <c r="AB737" s="559"/>
      <c r="AC737" s="559"/>
      <c r="AD737" s="559"/>
      <c r="AE737" s="559"/>
    </row>
    <row r="738" spans="1:31" ht="18" customHeight="1" x14ac:dyDescent="0.35">
      <c r="A738" s="559"/>
      <c r="B738" s="559"/>
      <c r="C738" s="559"/>
      <c r="D738" s="559"/>
      <c r="E738" s="559"/>
      <c r="F738" s="559"/>
      <c r="G738" s="559"/>
      <c r="H738" s="559"/>
      <c r="I738" s="559"/>
      <c r="J738" s="559"/>
      <c r="K738" s="559"/>
      <c r="L738" s="559"/>
      <c r="M738" s="559"/>
      <c r="N738" s="559"/>
      <c r="O738" s="559"/>
      <c r="P738" s="559"/>
      <c r="Q738" s="559"/>
      <c r="R738" s="559"/>
      <c r="S738" s="559"/>
      <c r="T738" s="559"/>
      <c r="U738" s="559"/>
      <c r="V738" s="559"/>
      <c r="W738" s="559"/>
      <c r="X738" s="559"/>
      <c r="Y738" s="559"/>
      <c r="Z738" s="559"/>
      <c r="AA738" s="559"/>
      <c r="AB738" s="559"/>
      <c r="AC738" s="559"/>
      <c r="AD738" s="559"/>
      <c r="AE738" s="559"/>
    </row>
    <row r="739" spans="1:31" ht="18" customHeight="1" x14ac:dyDescent="0.35">
      <c r="A739" s="559"/>
      <c r="B739" s="559"/>
      <c r="C739" s="559"/>
      <c r="D739" s="559"/>
      <c r="E739" s="559"/>
      <c r="F739" s="559"/>
      <c r="G739" s="559"/>
      <c r="H739" s="559"/>
      <c r="I739" s="559"/>
      <c r="J739" s="559"/>
      <c r="K739" s="559"/>
      <c r="L739" s="559"/>
      <c r="M739" s="559"/>
      <c r="N739" s="559"/>
      <c r="O739" s="559"/>
      <c r="P739" s="559"/>
      <c r="Q739" s="559"/>
      <c r="R739" s="559"/>
      <c r="S739" s="559"/>
      <c r="T739" s="559"/>
      <c r="U739" s="559"/>
      <c r="V739" s="559"/>
      <c r="W739" s="559"/>
      <c r="X739" s="559"/>
      <c r="Y739" s="559"/>
      <c r="Z739" s="559"/>
      <c r="AA739" s="559"/>
      <c r="AB739" s="559"/>
      <c r="AC739" s="559"/>
      <c r="AD739" s="559"/>
      <c r="AE739" s="559"/>
    </row>
    <row r="740" spans="1:31" ht="18" customHeight="1" x14ac:dyDescent="0.35">
      <c r="A740" s="559"/>
      <c r="B740" s="559"/>
      <c r="C740" s="559"/>
      <c r="D740" s="559"/>
      <c r="E740" s="559"/>
      <c r="F740" s="559"/>
      <c r="G740" s="559"/>
      <c r="H740" s="559"/>
      <c r="I740" s="559"/>
      <c r="J740" s="559"/>
      <c r="K740" s="559"/>
      <c r="L740" s="559"/>
      <c r="M740" s="559"/>
      <c r="N740" s="559"/>
      <c r="O740" s="559"/>
      <c r="P740" s="559"/>
      <c r="Q740" s="559"/>
      <c r="R740" s="559"/>
      <c r="S740" s="559"/>
      <c r="T740" s="559"/>
      <c r="U740" s="559"/>
      <c r="V740" s="559"/>
      <c r="W740" s="559"/>
      <c r="X740" s="559"/>
      <c r="Y740" s="559"/>
      <c r="Z740" s="559"/>
      <c r="AA740" s="559"/>
      <c r="AB740" s="559"/>
      <c r="AC740" s="559"/>
      <c r="AD740" s="559"/>
      <c r="AE740" s="559"/>
    </row>
    <row r="741" spans="1:31" ht="18" customHeight="1" x14ac:dyDescent="0.35">
      <c r="A741" s="559"/>
      <c r="B741" s="559"/>
      <c r="C741" s="559"/>
      <c r="D741" s="559"/>
      <c r="E741" s="559"/>
      <c r="F741" s="559"/>
      <c r="G741" s="559"/>
      <c r="H741" s="559"/>
      <c r="I741" s="559"/>
      <c r="J741" s="559"/>
      <c r="K741" s="559"/>
      <c r="L741" s="559"/>
      <c r="M741" s="559"/>
      <c r="N741" s="559"/>
      <c r="O741" s="559"/>
      <c r="P741" s="559"/>
      <c r="Q741" s="559"/>
      <c r="R741" s="559"/>
      <c r="S741" s="559"/>
      <c r="T741" s="559"/>
      <c r="U741" s="559"/>
      <c r="V741" s="559"/>
      <c r="W741" s="559"/>
      <c r="X741" s="559"/>
      <c r="Y741" s="559"/>
      <c r="Z741" s="559"/>
      <c r="AA741" s="559"/>
      <c r="AB741" s="559"/>
      <c r="AC741" s="559"/>
      <c r="AD741" s="559"/>
      <c r="AE741" s="559"/>
    </row>
    <row r="742" spans="1:31" ht="18" customHeight="1" x14ac:dyDescent="0.35">
      <c r="A742" s="559"/>
      <c r="B742" s="559"/>
      <c r="C742" s="559"/>
      <c r="D742" s="559"/>
      <c r="E742" s="559"/>
      <c r="F742" s="559"/>
      <c r="G742" s="559"/>
      <c r="H742" s="559"/>
      <c r="I742" s="559"/>
      <c r="J742" s="559"/>
      <c r="K742" s="559"/>
      <c r="L742" s="559"/>
      <c r="M742" s="559"/>
      <c r="N742" s="559"/>
      <c r="O742" s="559"/>
      <c r="P742" s="559"/>
      <c r="Q742" s="559"/>
      <c r="R742" s="559"/>
      <c r="S742" s="559"/>
      <c r="T742" s="559"/>
      <c r="U742" s="559"/>
      <c r="V742" s="559"/>
      <c r="W742" s="559"/>
      <c r="X742" s="559"/>
      <c r="Y742" s="559"/>
      <c r="Z742" s="559"/>
      <c r="AA742" s="559"/>
      <c r="AB742" s="559"/>
      <c r="AC742" s="559"/>
      <c r="AD742" s="559"/>
      <c r="AE742" s="559"/>
    </row>
    <row r="743" spans="1:31" ht="18" customHeight="1" x14ac:dyDescent="0.35">
      <c r="A743" s="559"/>
      <c r="B743" s="559"/>
      <c r="C743" s="559"/>
      <c r="D743" s="559"/>
      <c r="E743" s="559"/>
      <c r="F743" s="559"/>
      <c r="G743" s="559"/>
      <c r="H743" s="559"/>
      <c r="I743" s="559"/>
      <c r="J743" s="559"/>
      <c r="K743" s="559"/>
      <c r="L743" s="559"/>
      <c r="M743" s="559"/>
      <c r="N743" s="559"/>
      <c r="O743" s="559"/>
      <c r="P743" s="559"/>
      <c r="Q743" s="559"/>
      <c r="R743" s="559"/>
      <c r="S743" s="559"/>
      <c r="T743" s="559"/>
      <c r="U743" s="559"/>
      <c r="V743" s="559"/>
      <c r="W743" s="559"/>
      <c r="X743" s="559"/>
      <c r="Y743" s="559"/>
      <c r="Z743" s="559"/>
      <c r="AA743" s="559"/>
      <c r="AB743" s="559"/>
      <c r="AC743" s="559"/>
      <c r="AD743" s="559"/>
      <c r="AE743" s="559"/>
    </row>
    <row r="744" spans="1:31" ht="18" customHeight="1" x14ac:dyDescent="0.35">
      <c r="A744" s="559"/>
      <c r="B744" s="559"/>
      <c r="C744" s="559"/>
      <c r="D744" s="559"/>
      <c r="E744" s="559"/>
      <c r="F744" s="559"/>
      <c r="G744" s="559"/>
      <c r="H744" s="559"/>
      <c r="I744" s="559"/>
      <c r="J744" s="559"/>
      <c r="K744" s="559"/>
      <c r="L744" s="559"/>
      <c r="M744" s="559"/>
      <c r="N744" s="559"/>
      <c r="O744" s="559"/>
      <c r="P744" s="559"/>
      <c r="Q744" s="559"/>
      <c r="R744" s="559"/>
      <c r="S744" s="559"/>
      <c r="T744" s="559"/>
      <c r="U744" s="559"/>
      <c r="V744" s="559"/>
      <c r="W744" s="559"/>
      <c r="X744" s="559"/>
      <c r="Y744" s="559"/>
      <c r="Z744" s="559"/>
      <c r="AA744" s="559"/>
      <c r="AB744" s="559"/>
      <c r="AC744" s="559"/>
      <c r="AD744" s="559"/>
      <c r="AE744" s="559"/>
    </row>
    <row r="745" spans="1:31" ht="18" customHeight="1" x14ac:dyDescent="0.35">
      <c r="A745" s="559"/>
      <c r="B745" s="559"/>
      <c r="C745" s="559"/>
      <c r="D745" s="559"/>
      <c r="E745" s="559"/>
      <c r="F745" s="559"/>
      <c r="G745" s="559"/>
      <c r="H745" s="559"/>
      <c r="I745" s="559"/>
      <c r="J745" s="559"/>
      <c r="K745" s="559"/>
      <c r="L745" s="559"/>
      <c r="M745" s="559"/>
      <c r="N745" s="559"/>
      <c r="O745" s="559"/>
      <c r="P745" s="559"/>
      <c r="Q745" s="559"/>
      <c r="R745" s="559"/>
      <c r="S745" s="559"/>
      <c r="T745" s="559"/>
      <c r="U745" s="559"/>
      <c r="V745" s="559"/>
      <c r="W745" s="559"/>
      <c r="X745" s="559"/>
      <c r="Y745" s="559"/>
      <c r="Z745" s="559"/>
      <c r="AA745" s="559"/>
      <c r="AB745" s="559"/>
      <c r="AC745" s="559"/>
      <c r="AD745" s="559"/>
      <c r="AE745" s="559"/>
    </row>
    <row r="746" spans="1:31" ht="18" customHeight="1" x14ac:dyDescent="0.35">
      <c r="A746" s="559"/>
      <c r="B746" s="559"/>
      <c r="C746" s="559"/>
      <c r="D746" s="559"/>
      <c r="E746" s="559"/>
      <c r="F746" s="559"/>
      <c r="G746" s="559"/>
      <c r="H746" s="559"/>
      <c r="I746" s="559"/>
      <c r="J746" s="559"/>
      <c r="K746" s="559"/>
      <c r="L746" s="559"/>
      <c r="M746" s="559"/>
      <c r="N746" s="559"/>
      <c r="O746" s="559"/>
      <c r="P746" s="559"/>
      <c r="Q746" s="559"/>
      <c r="R746" s="559"/>
      <c r="S746" s="559"/>
      <c r="T746" s="559"/>
      <c r="U746" s="559"/>
      <c r="V746" s="559"/>
      <c r="W746" s="559"/>
      <c r="X746" s="559"/>
      <c r="Y746" s="559"/>
      <c r="Z746" s="559"/>
      <c r="AA746" s="559"/>
      <c r="AB746" s="559"/>
      <c r="AC746" s="559"/>
      <c r="AD746" s="559"/>
      <c r="AE746" s="559"/>
    </row>
    <row r="747" spans="1:31" ht="18" customHeight="1" x14ac:dyDescent="0.35">
      <c r="A747" s="559"/>
      <c r="B747" s="559"/>
      <c r="C747" s="559"/>
      <c r="D747" s="559"/>
      <c r="E747" s="559"/>
      <c r="F747" s="559"/>
      <c r="G747" s="559"/>
      <c r="H747" s="559"/>
      <c r="I747" s="559"/>
      <c r="J747" s="559"/>
      <c r="K747" s="559"/>
      <c r="L747" s="559"/>
      <c r="M747" s="559"/>
      <c r="N747" s="559"/>
      <c r="O747" s="559"/>
      <c r="P747" s="559"/>
      <c r="Q747" s="559"/>
      <c r="R747" s="559"/>
      <c r="S747" s="559"/>
      <c r="T747" s="559"/>
      <c r="U747" s="559"/>
      <c r="V747" s="559"/>
      <c r="W747" s="559"/>
      <c r="X747" s="559"/>
      <c r="Y747" s="559"/>
      <c r="Z747" s="559"/>
      <c r="AA747" s="559"/>
      <c r="AB747" s="559"/>
      <c r="AC747" s="559"/>
      <c r="AD747" s="559"/>
      <c r="AE747" s="559"/>
    </row>
    <row r="748" spans="1:31" ht="18" customHeight="1" x14ac:dyDescent="0.35">
      <c r="A748" s="559"/>
      <c r="B748" s="559"/>
      <c r="C748" s="559"/>
      <c r="D748" s="559"/>
      <c r="E748" s="559"/>
      <c r="F748" s="559"/>
      <c r="G748" s="559"/>
      <c r="H748" s="559"/>
      <c r="I748" s="559"/>
      <c r="J748" s="559"/>
      <c r="K748" s="559"/>
      <c r="L748" s="559"/>
      <c r="M748" s="559"/>
      <c r="N748" s="559"/>
      <c r="O748" s="559"/>
      <c r="P748" s="559"/>
      <c r="Q748" s="559"/>
      <c r="R748" s="559"/>
      <c r="S748" s="559"/>
      <c r="T748" s="559"/>
      <c r="U748" s="559"/>
      <c r="V748" s="559"/>
      <c r="W748" s="559"/>
      <c r="X748" s="559"/>
      <c r="Y748" s="559"/>
      <c r="Z748" s="559"/>
      <c r="AA748" s="559"/>
      <c r="AB748" s="559"/>
      <c r="AC748" s="559"/>
      <c r="AD748" s="559"/>
      <c r="AE748" s="559"/>
    </row>
    <row r="749" spans="1:31" ht="18" customHeight="1" x14ac:dyDescent="0.35">
      <c r="A749" s="559"/>
      <c r="B749" s="559"/>
      <c r="C749" s="559"/>
      <c r="D749" s="559"/>
      <c r="E749" s="559"/>
      <c r="F749" s="559"/>
      <c r="G749" s="559"/>
      <c r="H749" s="559"/>
      <c r="I749" s="559"/>
      <c r="J749" s="559"/>
      <c r="K749" s="559"/>
      <c r="L749" s="559"/>
      <c r="M749" s="559"/>
      <c r="N749" s="559"/>
      <c r="O749" s="559"/>
      <c r="P749" s="559"/>
      <c r="Q749" s="559"/>
      <c r="R749" s="559"/>
      <c r="S749" s="559"/>
      <c r="T749" s="559"/>
      <c r="U749" s="559"/>
      <c r="V749" s="559"/>
      <c r="W749" s="559"/>
      <c r="X749" s="559"/>
      <c r="Y749" s="559"/>
      <c r="Z749" s="559"/>
      <c r="AA749" s="559"/>
      <c r="AB749" s="559"/>
      <c r="AC749" s="559"/>
      <c r="AD749" s="559"/>
      <c r="AE749" s="559"/>
    </row>
    <row r="750" spans="1:31" ht="18" customHeight="1" x14ac:dyDescent="0.35">
      <c r="A750" s="559"/>
      <c r="B750" s="559"/>
      <c r="C750" s="559"/>
      <c r="D750" s="559"/>
      <c r="E750" s="559"/>
      <c r="F750" s="559"/>
      <c r="G750" s="559"/>
      <c r="H750" s="559"/>
      <c r="I750" s="559"/>
      <c r="J750" s="559"/>
      <c r="K750" s="559"/>
      <c r="L750" s="559"/>
      <c r="M750" s="559"/>
      <c r="N750" s="559"/>
      <c r="O750" s="559"/>
      <c r="P750" s="559"/>
      <c r="Q750" s="559"/>
      <c r="R750" s="559"/>
      <c r="S750" s="559"/>
      <c r="T750" s="559"/>
      <c r="U750" s="559"/>
      <c r="V750" s="559"/>
      <c r="W750" s="559"/>
      <c r="X750" s="559"/>
      <c r="Y750" s="559"/>
      <c r="Z750" s="559"/>
      <c r="AA750" s="559"/>
      <c r="AB750" s="559"/>
      <c r="AC750" s="559"/>
      <c r="AD750" s="559"/>
      <c r="AE750" s="559"/>
    </row>
    <row r="751" spans="1:31" ht="18" customHeight="1" x14ac:dyDescent="0.35">
      <c r="A751" s="559"/>
      <c r="B751" s="559"/>
      <c r="C751" s="559"/>
      <c r="D751" s="559"/>
      <c r="E751" s="559"/>
      <c r="F751" s="559"/>
      <c r="G751" s="559"/>
      <c r="H751" s="559"/>
      <c r="I751" s="559"/>
      <c r="J751" s="559"/>
      <c r="K751" s="559"/>
      <c r="L751" s="559"/>
      <c r="M751" s="559"/>
      <c r="N751" s="559"/>
      <c r="O751" s="559"/>
      <c r="P751" s="559"/>
      <c r="Q751" s="559"/>
      <c r="R751" s="559"/>
      <c r="S751" s="559"/>
      <c r="T751" s="559"/>
      <c r="U751" s="559"/>
      <c r="V751" s="559"/>
      <c r="W751" s="559"/>
      <c r="X751" s="559"/>
      <c r="Y751" s="559"/>
      <c r="Z751" s="559"/>
      <c r="AA751" s="559"/>
      <c r="AB751" s="559"/>
      <c r="AC751" s="559"/>
      <c r="AD751" s="559"/>
      <c r="AE751" s="559"/>
    </row>
    <row r="752" spans="1:31" ht="18" customHeight="1" x14ac:dyDescent="0.35">
      <c r="A752" s="559"/>
      <c r="B752" s="559"/>
      <c r="C752" s="559"/>
      <c r="D752" s="559"/>
      <c r="E752" s="559"/>
      <c r="F752" s="559"/>
      <c r="G752" s="559"/>
      <c r="H752" s="559"/>
      <c r="I752" s="559"/>
      <c r="J752" s="559"/>
      <c r="K752" s="559"/>
      <c r="L752" s="559"/>
      <c r="M752" s="559"/>
      <c r="N752" s="559"/>
      <c r="O752" s="559"/>
      <c r="P752" s="559"/>
      <c r="Q752" s="559"/>
      <c r="R752" s="559"/>
      <c r="S752" s="559"/>
      <c r="T752" s="559"/>
      <c r="U752" s="559"/>
      <c r="V752" s="559"/>
      <c r="W752" s="559"/>
      <c r="X752" s="559"/>
      <c r="Y752" s="559"/>
      <c r="Z752" s="559"/>
      <c r="AA752" s="559"/>
      <c r="AB752" s="559"/>
      <c r="AC752" s="559"/>
      <c r="AD752" s="559"/>
      <c r="AE752" s="559"/>
    </row>
    <row r="753" spans="1:31" ht="18" customHeight="1" x14ac:dyDescent="0.35">
      <c r="A753" s="559"/>
      <c r="B753" s="559"/>
      <c r="C753" s="559"/>
      <c r="D753" s="559"/>
      <c r="E753" s="559"/>
      <c r="F753" s="559"/>
      <c r="G753" s="559"/>
      <c r="H753" s="559"/>
      <c r="I753" s="559"/>
      <c r="J753" s="559"/>
      <c r="K753" s="559"/>
      <c r="L753" s="559"/>
      <c r="M753" s="559"/>
      <c r="N753" s="559"/>
      <c r="O753" s="559"/>
      <c r="P753" s="559"/>
      <c r="Q753" s="559"/>
      <c r="R753" s="559"/>
      <c r="S753" s="559"/>
      <c r="T753" s="559"/>
      <c r="U753" s="559"/>
      <c r="V753" s="559"/>
      <c r="W753" s="559"/>
      <c r="X753" s="559"/>
      <c r="Y753" s="559"/>
      <c r="Z753" s="559"/>
      <c r="AA753" s="559"/>
      <c r="AB753" s="559"/>
      <c r="AC753" s="559"/>
      <c r="AD753" s="559"/>
      <c r="AE753" s="559"/>
    </row>
    <row r="754" spans="1:31" ht="18" customHeight="1" x14ac:dyDescent="0.35">
      <c r="A754" s="559"/>
      <c r="B754" s="559"/>
      <c r="C754" s="559"/>
      <c r="D754" s="559"/>
      <c r="E754" s="559"/>
      <c r="F754" s="559"/>
      <c r="G754" s="559"/>
      <c r="H754" s="559"/>
      <c r="I754" s="559"/>
      <c r="J754" s="559"/>
      <c r="K754" s="559"/>
      <c r="L754" s="559"/>
      <c r="M754" s="559"/>
      <c r="N754" s="559"/>
      <c r="O754" s="559"/>
      <c r="P754" s="559"/>
      <c r="Q754" s="559"/>
      <c r="R754" s="559"/>
      <c r="S754" s="559"/>
      <c r="T754" s="559"/>
      <c r="U754" s="559"/>
      <c r="V754" s="559"/>
      <c r="W754" s="559"/>
      <c r="X754" s="559"/>
      <c r="Y754" s="559"/>
      <c r="Z754" s="559"/>
      <c r="AA754" s="559"/>
      <c r="AB754" s="559"/>
      <c r="AC754" s="559"/>
      <c r="AD754" s="559"/>
      <c r="AE754" s="559"/>
    </row>
    <row r="755" spans="1:31" ht="18" customHeight="1" x14ac:dyDescent="0.35">
      <c r="A755" s="559"/>
      <c r="B755" s="559"/>
      <c r="C755" s="559"/>
      <c r="D755" s="559"/>
      <c r="E755" s="559"/>
      <c r="F755" s="559"/>
      <c r="G755" s="559"/>
      <c r="H755" s="559"/>
      <c r="I755" s="559"/>
      <c r="J755" s="559"/>
      <c r="K755" s="559"/>
      <c r="L755" s="559"/>
      <c r="M755" s="559"/>
      <c r="N755" s="559"/>
      <c r="O755" s="559"/>
      <c r="P755" s="559"/>
      <c r="Q755" s="559"/>
      <c r="R755" s="559"/>
      <c r="S755" s="559"/>
      <c r="T755" s="559"/>
      <c r="U755" s="559"/>
      <c r="V755" s="559"/>
      <c r="W755" s="559"/>
      <c r="X755" s="559"/>
      <c r="Y755" s="559"/>
      <c r="Z755" s="559"/>
      <c r="AA755" s="559"/>
      <c r="AB755" s="559"/>
      <c r="AC755" s="559"/>
      <c r="AD755" s="559"/>
      <c r="AE755" s="559"/>
    </row>
    <row r="756" spans="1:31" ht="18" customHeight="1" x14ac:dyDescent="0.35">
      <c r="A756" s="559"/>
      <c r="B756" s="559"/>
      <c r="C756" s="559"/>
      <c r="D756" s="559"/>
      <c r="E756" s="559"/>
      <c r="F756" s="559"/>
      <c r="G756" s="559"/>
      <c r="H756" s="559"/>
      <c r="I756" s="559"/>
      <c r="J756" s="559"/>
      <c r="K756" s="559"/>
      <c r="L756" s="559"/>
      <c r="M756" s="559"/>
      <c r="N756" s="559"/>
      <c r="O756" s="559"/>
      <c r="P756" s="559"/>
      <c r="Q756" s="559"/>
      <c r="R756" s="559"/>
      <c r="S756" s="559"/>
      <c r="T756" s="559"/>
      <c r="U756" s="559"/>
      <c r="V756" s="559"/>
      <c r="W756" s="559"/>
      <c r="X756" s="559"/>
      <c r="Y756" s="559"/>
      <c r="Z756" s="559"/>
      <c r="AA756" s="559"/>
      <c r="AB756" s="559"/>
      <c r="AC756" s="559"/>
      <c r="AD756" s="559"/>
      <c r="AE756" s="559"/>
    </row>
    <row r="757" spans="1:31" ht="18" customHeight="1" x14ac:dyDescent="0.35">
      <c r="A757" s="559"/>
      <c r="B757" s="559"/>
      <c r="C757" s="559"/>
      <c r="D757" s="559"/>
      <c r="E757" s="559"/>
      <c r="F757" s="559"/>
      <c r="G757" s="559"/>
      <c r="H757" s="559"/>
      <c r="I757" s="559"/>
      <c r="J757" s="559"/>
      <c r="K757" s="559"/>
      <c r="L757" s="559"/>
      <c r="M757" s="559"/>
      <c r="N757" s="559"/>
      <c r="O757" s="559"/>
      <c r="P757" s="559"/>
      <c r="Q757" s="559"/>
      <c r="R757" s="559"/>
      <c r="S757" s="559"/>
      <c r="T757" s="559"/>
      <c r="U757" s="559"/>
      <c r="V757" s="559"/>
      <c r="W757" s="559"/>
      <c r="X757" s="559"/>
      <c r="Y757" s="559"/>
      <c r="Z757" s="559"/>
      <c r="AA757" s="559"/>
      <c r="AB757" s="559"/>
      <c r="AC757" s="559"/>
      <c r="AD757" s="559"/>
      <c r="AE757" s="559"/>
    </row>
    <row r="758" spans="1:31" ht="18" customHeight="1" x14ac:dyDescent="0.35">
      <c r="A758" s="559"/>
      <c r="B758" s="559"/>
      <c r="C758" s="559"/>
      <c r="D758" s="559"/>
      <c r="E758" s="559"/>
      <c r="F758" s="559"/>
      <c r="G758" s="559"/>
      <c r="H758" s="559"/>
      <c r="I758" s="559"/>
      <c r="J758" s="559"/>
      <c r="K758" s="559"/>
      <c r="L758" s="559"/>
      <c r="M758" s="559"/>
      <c r="N758" s="559"/>
      <c r="O758" s="559"/>
      <c r="P758" s="559"/>
      <c r="Q758" s="559"/>
      <c r="R758" s="559"/>
      <c r="S758" s="559"/>
      <c r="T758" s="559"/>
      <c r="U758" s="559"/>
      <c r="V758" s="559"/>
      <c r="W758" s="559"/>
      <c r="X758" s="559"/>
      <c r="Y758" s="559"/>
      <c r="Z758" s="559"/>
      <c r="AA758" s="559"/>
      <c r="AB758" s="559"/>
      <c r="AC758" s="559"/>
      <c r="AD758" s="559"/>
      <c r="AE758" s="559"/>
    </row>
    <row r="759" spans="1:31" ht="18" customHeight="1" x14ac:dyDescent="0.35">
      <c r="A759" s="559"/>
      <c r="B759" s="559"/>
      <c r="C759" s="559"/>
      <c r="D759" s="559"/>
      <c r="E759" s="559"/>
      <c r="F759" s="559"/>
      <c r="G759" s="559"/>
      <c r="H759" s="559"/>
      <c r="I759" s="559"/>
      <c r="J759" s="559"/>
      <c r="K759" s="559"/>
      <c r="L759" s="559"/>
      <c r="M759" s="559"/>
      <c r="N759" s="559"/>
      <c r="O759" s="559"/>
      <c r="P759" s="559"/>
      <c r="Q759" s="559"/>
      <c r="R759" s="559"/>
      <c r="S759" s="559"/>
      <c r="T759" s="559"/>
      <c r="U759" s="559"/>
      <c r="V759" s="559"/>
      <c r="W759" s="559"/>
      <c r="X759" s="559"/>
      <c r="Y759" s="559"/>
      <c r="Z759" s="559"/>
      <c r="AA759" s="559"/>
      <c r="AB759" s="559"/>
      <c r="AC759" s="559"/>
      <c r="AD759" s="559"/>
      <c r="AE759" s="559"/>
    </row>
    <row r="760" spans="1:31" ht="18" customHeight="1" x14ac:dyDescent="0.35">
      <c r="A760" s="559"/>
      <c r="B760" s="559"/>
      <c r="C760" s="559"/>
      <c r="D760" s="559"/>
      <c r="E760" s="559"/>
      <c r="F760" s="559"/>
      <c r="G760" s="559"/>
      <c r="H760" s="559"/>
      <c r="I760" s="559"/>
      <c r="J760" s="559"/>
      <c r="K760" s="559"/>
      <c r="L760" s="559"/>
      <c r="M760" s="559"/>
      <c r="N760" s="559"/>
      <c r="O760" s="559"/>
      <c r="P760" s="559"/>
      <c r="Q760" s="559"/>
      <c r="R760" s="559"/>
      <c r="S760" s="559"/>
      <c r="T760" s="559"/>
      <c r="U760" s="559"/>
      <c r="V760" s="559"/>
      <c r="W760" s="559"/>
      <c r="X760" s="559"/>
      <c r="Y760" s="559"/>
      <c r="Z760" s="559"/>
      <c r="AA760" s="559"/>
      <c r="AB760" s="559"/>
      <c r="AC760" s="559"/>
      <c r="AD760" s="559"/>
      <c r="AE760" s="559"/>
    </row>
    <row r="761" spans="1:31" ht="18" customHeight="1" x14ac:dyDescent="0.35">
      <c r="A761" s="559"/>
      <c r="B761" s="559"/>
      <c r="C761" s="559"/>
      <c r="D761" s="559"/>
      <c r="E761" s="559"/>
      <c r="F761" s="559"/>
      <c r="G761" s="559"/>
      <c r="H761" s="559"/>
      <c r="I761" s="559"/>
      <c r="J761" s="559"/>
      <c r="K761" s="559"/>
      <c r="L761" s="559"/>
      <c r="M761" s="559"/>
      <c r="N761" s="559"/>
      <c r="O761" s="559"/>
      <c r="P761" s="559"/>
      <c r="Q761" s="559"/>
      <c r="R761" s="559"/>
      <c r="S761" s="559"/>
      <c r="T761" s="559"/>
      <c r="U761" s="559"/>
      <c r="V761" s="559"/>
      <c r="W761" s="559"/>
      <c r="X761" s="559"/>
      <c r="Y761" s="559"/>
      <c r="Z761" s="559"/>
      <c r="AA761" s="559"/>
      <c r="AB761" s="559"/>
      <c r="AC761" s="559"/>
      <c r="AD761" s="559"/>
      <c r="AE761" s="559"/>
    </row>
    <row r="762" spans="1:31" ht="18" customHeight="1" x14ac:dyDescent="0.35">
      <c r="A762" s="559"/>
      <c r="B762" s="559"/>
      <c r="C762" s="559"/>
      <c r="D762" s="559"/>
      <c r="E762" s="559"/>
      <c r="F762" s="559"/>
      <c r="G762" s="559"/>
      <c r="H762" s="559"/>
      <c r="I762" s="559"/>
      <c r="J762" s="559"/>
      <c r="K762" s="559"/>
      <c r="L762" s="559"/>
      <c r="M762" s="559"/>
      <c r="N762" s="559"/>
      <c r="O762" s="559"/>
      <c r="P762" s="559"/>
      <c r="Q762" s="559"/>
      <c r="R762" s="559"/>
      <c r="S762" s="559"/>
      <c r="T762" s="559"/>
      <c r="U762" s="559"/>
      <c r="V762" s="559"/>
      <c r="W762" s="559"/>
      <c r="X762" s="559"/>
      <c r="Y762" s="559"/>
      <c r="Z762" s="559"/>
      <c r="AA762" s="559"/>
      <c r="AB762" s="559"/>
      <c r="AC762" s="559"/>
      <c r="AD762" s="559"/>
      <c r="AE762" s="559"/>
    </row>
    <row r="763" spans="1:31" ht="18" customHeight="1" x14ac:dyDescent="0.35">
      <c r="A763" s="559"/>
      <c r="B763" s="559"/>
      <c r="C763" s="559"/>
      <c r="D763" s="559"/>
      <c r="E763" s="559"/>
      <c r="F763" s="559"/>
      <c r="G763" s="559"/>
      <c r="H763" s="559"/>
      <c r="I763" s="559"/>
      <c r="J763" s="559"/>
      <c r="K763" s="559"/>
      <c r="L763" s="559"/>
      <c r="M763" s="559"/>
      <c r="N763" s="559"/>
      <c r="O763" s="559"/>
      <c r="P763" s="559"/>
      <c r="Q763" s="559"/>
      <c r="R763" s="559"/>
      <c r="S763" s="559"/>
      <c r="T763" s="559"/>
      <c r="U763" s="559"/>
      <c r="V763" s="559"/>
      <c r="W763" s="559"/>
      <c r="X763" s="559"/>
      <c r="Y763" s="559"/>
      <c r="Z763" s="559"/>
      <c r="AA763" s="559"/>
      <c r="AB763" s="559"/>
      <c r="AC763" s="559"/>
      <c r="AD763" s="559"/>
      <c r="AE763" s="559"/>
    </row>
    <row r="764" spans="1:31" ht="18" customHeight="1" x14ac:dyDescent="0.35">
      <c r="A764" s="559"/>
      <c r="B764" s="559"/>
      <c r="C764" s="559"/>
      <c r="D764" s="559"/>
      <c r="E764" s="559"/>
      <c r="F764" s="559"/>
      <c r="G764" s="559"/>
      <c r="H764" s="559"/>
      <c r="I764" s="559"/>
      <c r="J764" s="559"/>
      <c r="K764" s="559"/>
      <c r="L764" s="559"/>
      <c r="M764" s="559"/>
      <c r="N764" s="559"/>
      <c r="O764" s="559"/>
      <c r="P764" s="559"/>
      <c r="Q764" s="559"/>
      <c r="R764" s="559"/>
      <c r="S764" s="559"/>
      <c r="T764" s="559"/>
      <c r="U764" s="559"/>
      <c r="V764" s="559"/>
      <c r="W764" s="559"/>
      <c r="X764" s="559"/>
      <c r="Y764" s="559"/>
      <c r="Z764" s="559"/>
      <c r="AA764" s="559"/>
      <c r="AB764" s="559"/>
      <c r="AC764" s="559"/>
      <c r="AD764" s="559"/>
      <c r="AE764" s="559"/>
    </row>
    <row r="765" spans="1:31" ht="18" customHeight="1" x14ac:dyDescent="0.35">
      <c r="A765" s="559"/>
      <c r="B765" s="559"/>
      <c r="C765" s="559"/>
      <c r="D765" s="559"/>
      <c r="E765" s="559"/>
      <c r="F765" s="559"/>
      <c r="G765" s="559"/>
      <c r="H765" s="559"/>
      <c r="I765" s="559"/>
      <c r="J765" s="559"/>
      <c r="K765" s="559"/>
      <c r="L765" s="559"/>
      <c r="M765" s="559"/>
      <c r="N765" s="559"/>
      <c r="O765" s="559"/>
      <c r="P765" s="559"/>
      <c r="Q765" s="559"/>
      <c r="R765" s="559"/>
      <c r="S765" s="559"/>
      <c r="T765" s="559"/>
      <c r="U765" s="559"/>
      <c r="V765" s="559"/>
      <c r="W765" s="559"/>
      <c r="X765" s="559"/>
      <c r="Y765" s="559"/>
      <c r="Z765" s="559"/>
      <c r="AA765" s="559"/>
      <c r="AB765" s="559"/>
      <c r="AC765" s="559"/>
      <c r="AD765" s="559"/>
      <c r="AE765" s="559"/>
    </row>
    <row r="766" spans="1:31" ht="18" customHeight="1" x14ac:dyDescent="0.35">
      <c r="A766" s="559"/>
      <c r="B766" s="559"/>
      <c r="C766" s="559"/>
      <c r="D766" s="559"/>
      <c r="E766" s="559"/>
      <c r="F766" s="559"/>
      <c r="G766" s="559"/>
      <c r="H766" s="559"/>
      <c r="I766" s="559"/>
      <c r="J766" s="559"/>
      <c r="K766" s="559"/>
      <c r="L766" s="559"/>
      <c r="M766" s="559"/>
      <c r="N766" s="559"/>
      <c r="O766" s="559"/>
      <c r="P766" s="559"/>
      <c r="Q766" s="559"/>
      <c r="R766" s="559"/>
      <c r="S766" s="559"/>
      <c r="T766" s="559"/>
      <c r="U766" s="559"/>
      <c r="V766" s="559"/>
      <c r="W766" s="559"/>
      <c r="X766" s="559"/>
      <c r="Y766" s="559"/>
      <c r="Z766" s="559"/>
      <c r="AA766" s="559"/>
      <c r="AB766" s="559"/>
      <c r="AC766" s="559"/>
      <c r="AD766" s="559"/>
      <c r="AE766" s="559"/>
    </row>
    <row r="767" spans="1:31" ht="18" customHeight="1" x14ac:dyDescent="0.35">
      <c r="A767" s="559"/>
      <c r="B767" s="559"/>
      <c r="C767" s="559"/>
      <c r="D767" s="559"/>
      <c r="E767" s="559"/>
      <c r="F767" s="559"/>
      <c r="G767" s="559"/>
      <c r="H767" s="559"/>
      <c r="I767" s="559"/>
      <c r="J767" s="559"/>
      <c r="K767" s="559"/>
      <c r="L767" s="559"/>
      <c r="M767" s="559"/>
      <c r="N767" s="559"/>
      <c r="O767" s="559"/>
      <c r="P767" s="559"/>
      <c r="Q767" s="559"/>
      <c r="R767" s="559"/>
      <c r="S767" s="559"/>
      <c r="T767" s="559"/>
      <c r="U767" s="559"/>
      <c r="V767" s="559"/>
      <c r="W767" s="559"/>
      <c r="X767" s="559"/>
      <c r="Y767" s="559"/>
      <c r="Z767" s="559"/>
      <c r="AA767" s="559"/>
      <c r="AB767" s="559"/>
      <c r="AC767" s="559"/>
      <c r="AD767" s="559"/>
      <c r="AE767" s="559"/>
    </row>
    <row r="768" spans="1:31" ht="18" customHeight="1" x14ac:dyDescent="0.35">
      <c r="A768" s="559"/>
      <c r="B768" s="559"/>
      <c r="C768" s="559"/>
      <c r="D768" s="559"/>
      <c r="E768" s="559"/>
      <c r="F768" s="559"/>
      <c r="G768" s="559"/>
      <c r="H768" s="559"/>
      <c r="I768" s="559"/>
      <c r="J768" s="559"/>
      <c r="K768" s="559"/>
      <c r="L768" s="559"/>
      <c r="M768" s="559"/>
      <c r="N768" s="559"/>
      <c r="O768" s="559"/>
      <c r="P768" s="559"/>
      <c r="Q768" s="559"/>
      <c r="R768" s="559"/>
      <c r="S768" s="559"/>
      <c r="T768" s="559"/>
      <c r="U768" s="559"/>
      <c r="V768" s="559"/>
      <c r="W768" s="559"/>
      <c r="X768" s="559"/>
      <c r="Y768" s="559"/>
      <c r="Z768" s="559"/>
      <c r="AA768" s="559"/>
      <c r="AB768" s="559"/>
      <c r="AC768" s="559"/>
      <c r="AD768" s="559"/>
      <c r="AE768" s="559"/>
    </row>
    <row r="769" spans="1:31" ht="18" customHeight="1" x14ac:dyDescent="0.35">
      <c r="A769" s="559"/>
      <c r="B769" s="559"/>
      <c r="C769" s="559"/>
      <c r="D769" s="559"/>
      <c r="E769" s="559"/>
      <c r="F769" s="559"/>
      <c r="G769" s="559"/>
      <c r="H769" s="559"/>
      <c r="I769" s="559"/>
      <c r="J769" s="559"/>
      <c r="K769" s="559"/>
      <c r="L769" s="559"/>
      <c r="M769" s="559"/>
      <c r="N769" s="559"/>
      <c r="O769" s="559"/>
      <c r="P769" s="559"/>
      <c r="Q769" s="559"/>
      <c r="R769" s="559"/>
      <c r="S769" s="559"/>
      <c r="T769" s="559"/>
      <c r="U769" s="559"/>
      <c r="V769" s="559"/>
      <c r="W769" s="559"/>
      <c r="X769" s="559"/>
      <c r="Y769" s="559"/>
      <c r="Z769" s="559"/>
      <c r="AA769" s="559"/>
      <c r="AB769" s="559"/>
      <c r="AC769" s="559"/>
      <c r="AD769" s="559"/>
      <c r="AE769" s="559"/>
    </row>
    <row r="770" spans="1:31" ht="18" customHeight="1" x14ac:dyDescent="0.35">
      <c r="A770" s="559"/>
      <c r="B770" s="559"/>
      <c r="C770" s="559"/>
      <c r="D770" s="559"/>
      <c r="E770" s="559"/>
      <c r="F770" s="559"/>
      <c r="G770" s="559"/>
      <c r="H770" s="559"/>
      <c r="I770" s="559"/>
      <c r="J770" s="559"/>
      <c r="K770" s="559"/>
      <c r="L770" s="559"/>
      <c r="M770" s="559"/>
      <c r="N770" s="559"/>
      <c r="O770" s="559"/>
      <c r="P770" s="559"/>
      <c r="Q770" s="559"/>
      <c r="R770" s="559"/>
      <c r="S770" s="559"/>
      <c r="T770" s="559"/>
      <c r="U770" s="559"/>
      <c r="V770" s="559"/>
      <c r="W770" s="559"/>
      <c r="X770" s="559"/>
      <c r="Y770" s="559"/>
      <c r="Z770" s="559"/>
      <c r="AA770" s="559"/>
      <c r="AB770" s="559"/>
      <c r="AC770" s="559"/>
      <c r="AD770" s="559"/>
      <c r="AE770" s="559"/>
    </row>
    <row r="771" spans="1:31" ht="18" customHeight="1" x14ac:dyDescent="0.35">
      <c r="A771" s="559"/>
      <c r="B771" s="559"/>
      <c r="C771" s="559"/>
      <c r="D771" s="559"/>
      <c r="E771" s="559"/>
      <c r="F771" s="559"/>
      <c r="G771" s="559"/>
      <c r="H771" s="559"/>
      <c r="I771" s="559"/>
      <c r="J771" s="559"/>
      <c r="K771" s="559"/>
      <c r="L771" s="559"/>
      <c r="M771" s="559"/>
      <c r="N771" s="559"/>
      <c r="O771" s="559"/>
      <c r="P771" s="559"/>
      <c r="Q771" s="559"/>
      <c r="R771" s="559"/>
      <c r="S771" s="559"/>
      <c r="T771" s="559"/>
      <c r="U771" s="559"/>
      <c r="V771" s="559"/>
      <c r="W771" s="559"/>
      <c r="X771" s="559"/>
      <c r="Y771" s="559"/>
      <c r="Z771" s="559"/>
      <c r="AA771" s="559"/>
      <c r="AB771" s="559"/>
      <c r="AC771" s="559"/>
      <c r="AD771" s="559"/>
      <c r="AE771" s="559"/>
    </row>
    <row r="772" spans="1:31" ht="18" customHeight="1" x14ac:dyDescent="0.35">
      <c r="A772" s="559"/>
      <c r="B772" s="559"/>
      <c r="C772" s="559"/>
      <c r="D772" s="559"/>
      <c r="E772" s="559"/>
      <c r="F772" s="559"/>
      <c r="G772" s="559"/>
      <c r="H772" s="559"/>
      <c r="I772" s="559"/>
      <c r="J772" s="559"/>
      <c r="K772" s="559"/>
      <c r="L772" s="559"/>
      <c r="M772" s="559"/>
      <c r="N772" s="559"/>
      <c r="O772" s="559"/>
      <c r="P772" s="559"/>
      <c r="Q772" s="559"/>
      <c r="R772" s="559"/>
      <c r="S772" s="559"/>
      <c r="T772" s="559"/>
      <c r="U772" s="559"/>
      <c r="V772" s="559"/>
      <c r="W772" s="559"/>
      <c r="X772" s="559"/>
      <c r="Y772" s="559"/>
      <c r="Z772" s="559"/>
      <c r="AA772" s="559"/>
      <c r="AB772" s="559"/>
      <c r="AC772" s="559"/>
      <c r="AD772" s="559"/>
      <c r="AE772" s="559"/>
    </row>
    <row r="773" spans="1:31" ht="18" customHeight="1" x14ac:dyDescent="0.35">
      <c r="A773" s="559"/>
      <c r="B773" s="559"/>
      <c r="C773" s="559"/>
      <c r="D773" s="559"/>
      <c r="E773" s="559"/>
      <c r="F773" s="559"/>
      <c r="G773" s="559"/>
      <c r="H773" s="559"/>
      <c r="I773" s="559"/>
      <c r="J773" s="559"/>
      <c r="K773" s="559"/>
      <c r="L773" s="559"/>
      <c r="M773" s="559"/>
      <c r="N773" s="559"/>
      <c r="O773" s="559"/>
      <c r="P773" s="559"/>
      <c r="Q773" s="559"/>
      <c r="R773" s="559"/>
      <c r="S773" s="559"/>
      <c r="T773" s="559"/>
      <c r="U773" s="559"/>
      <c r="V773" s="559"/>
      <c r="W773" s="559"/>
      <c r="X773" s="559"/>
      <c r="Y773" s="559"/>
      <c r="Z773" s="559"/>
      <c r="AA773" s="559"/>
      <c r="AB773" s="559"/>
      <c r="AC773" s="559"/>
      <c r="AD773" s="559"/>
      <c r="AE773" s="559"/>
    </row>
    <row r="774" spans="1:31" ht="18" customHeight="1" x14ac:dyDescent="0.35">
      <c r="A774" s="559"/>
      <c r="B774" s="559"/>
      <c r="C774" s="559"/>
      <c r="D774" s="559"/>
      <c r="E774" s="559"/>
      <c r="F774" s="559"/>
      <c r="G774" s="559"/>
      <c r="H774" s="559"/>
      <c r="I774" s="559"/>
      <c r="J774" s="559"/>
      <c r="K774" s="559"/>
      <c r="L774" s="559"/>
      <c r="M774" s="559"/>
      <c r="N774" s="559"/>
      <c r="O774" s="559"/>
      <c r="P774" s="559"/>
      <c r="Q774" s="559"/>
      <c r="R774" s="559"/>
      <c r="S774" s="559"/>
      <c r="T774" s="559"/>
      <c r="U774" s="559"/>
      <c r="V774" s="559"/>
      <c r="W774" s="559"/>
      <c r="X774" s="559"/>
      <c r="Y774" s="559"/>
      <c r="Z774" s="559"/>
      <c r="AA774" s="559"/>
      <c r="AB774" s="559"/>
      <c r="AC774" s="559"/>
      <c r="AD774" s="559"/>
      <c r="AE774" s="559"/>
    </row>
    <row r="775" spans="1:31" ht="18" customHeight="1" x14ac:dyDescent="0.35">
      <c r="A775" s="559"/>
      <c r="B775" s="559"/>
      <c r="C775" s="559"/>
      <c r="D775" s="559"/>
      <c r="E775" s="559"/>
      <c r="F775" s="559"/>
      <c r="G775" s="559"/>
      <c r="H775" s="559"/>
      <c r="I775" s="559"/>
      <c r="J775" s="559"/>
      <c r="K775" s="559"/>
      <c r="L775" s="559"/>
      <c r="M775" s="559"/>
      <c r="N775" s="559"/>
      <c r="O775" s="559"/>
      <c r="P775" s="559"/>
      <c r="Q775" s="559"/>
      <c r="R775" s="559"/>
      <c r="S775" s="559"/>
      <c r="T775" s="559"/>
      <c r="U775" s="559"/>
      <c r="V775" s="559"/>
      <c r="W775" s="559"/>
      <c r="X775" s="559"/>
      <c r="Y775" s="559"/>
      <c r="Z775" s="559"/>
      <c r="AA775" s="559"/>
      <c r="AB775" s="559"/>
      <c r="AC775" s="559"/>
      <c r="AD775" s="559"/>
      <c r="AE775" s="559"/>
    </row>
    <row r="776" spans="1:31" ht="18" customHeight="1" x14ac:dyDescent="0.35">
      <c r="A776" s="559"/>
      <c r="B776" s="559"/>
      <c r="C776" s="559"/>
      <c r="D776" s="559"/>
      <c r="E776" s="559"/>
      <c r="F776" s="559"/>
      <c r="G776" s="559"/>
      <c r="H776" s="559"/>
      <c r="I776" s="559"/>
      <c r="J776" s="559"/>
      <c r="K776" s="559"/>
      <c r="L776" s="559"/>
      <c r="M776" s="559"/>
      <c r="N776" s="559"/>
      <c r="O776" s="559"/>
      <c r="P776" s="559"/>
      <c r="Q776" s="559"/>
      <c r="R776" s="559"/>
      <c r="S776" s="559"/>
      <c r="T776" s="559"/>
      <c r="U776" s="559"/>
      <c r="V776" s="559"/>
      <c r="W776" s="559"/>
      <c r="X776" s="559"/>
      <c r="Y776" s="559"/>
      <c r="Z776" s="559"/>
      <c r="AA776" s="559"/>
      <c r="AB776" s="559"/>
      <c r="AC776" s="559"/>
      <c r="AD776" s="559"/>
      <c r="AE776" s="559"/>
    </row>
    <row r="777" spans="1:31" ht="18" customHeight="1" x14ac:dyDescent="0.35">
      <c r="A777" s="559"/>
      <c r="B777" s="559"/>
      <c r="C777" s="559"/>
      <c r="D777" s="559"/>
      <c r="E777" s="559"/>
      <c r="F777" s="559"/>
      <c r="G777" s="559"/>
      <c r="H777" s="559"/>
      <c r="I777" s="559"/>
      <c r="J777" s="559"/>
      <c r="K777" s="559"/>
      <c r="L777" s="559"/>
      <c r="M777" s="559"/>
      <c r="N777" s="559"/>
      <c r="O777" s="559"/>
      <c r="P777" s="559"/>
      <c r="Q777" s="559"/>
      <c r="R777" s="559"/>
      <c r="S777" s="559"/>
      <c r="T777" s="559"/>
      <c r="U777" s="559"/>
      <c r="V777" s="559"/>
      <c r="W777" s="559"/>
      <c r="X777" s="559"/>
      <c r="Y777" s="559"/>
      <c r="Z777" s="559"/>
      <c r="AA777" s="559"/>
      <c r="AB777" s="559"/>
      <c r="AC777" s="559"/>
      <c r="AD777" s="559"/>
      <c r="AE777" s="559"/>
    </row>
    <row r="778" spans="1:31" ht="18" customHeight="1" x14ac:dyDescent="0.35">
      <c r="A778" s="559"/>
      <c r="B778" s="559"/>
      <c r="C778" s="559"/>
      <c r="D778" s="559"/>
      <c r="E778" s="559"/>
      <c r="F778" s="559"/>
      <c r="G778" s="559"/>
      <c r="H778" s="559"/>
      <c r="I778" s="559"/>
      <c r="J778" s="559"/>
      <c r="K778" s="559"/>
      <c r="L778" s="559"/>
      <c r="M778" s="559"/>
      <c r="N778" s="559"/>
      <c r="O778" s="559"/>
      <c r="P778" s="559"/>
      <c r="Q778" s="559"/>
      <c r="R778" s="559"/>
      <c r="S778" s="559"/>
      <c r="T778" s="559"/>
      <c r="U778" s="559"/>
      <c r="V778" s="559"/>
      <c r="W778" s="559"/>
      <c r="X778" s="559"/>
      <c r="Y778" s="559"/>
      <c r="Z778" s="559"/>
      <c r="AA778" s="559"/>
      <c r="AB778" s="559"/>
      <c r="AC778" s="559"/>
      <c r="AD778" s="559"/>
      <c r="AE778" s="559"/>
    </row>
    <row r="779" spans="1:31" ht="18" customHeight="1" x14ac:dyDescent="0.35">
      <c r="A779" s="559"/>
      <c r="B779" s="559"/>
      <c r="C779" s="559"/>
      <c r="D779" s="559"/>
      <c r="E779" s="559"/>
      <c r="F779" s="559"/>
      <c r="G779" s="559"/>
      <c r="H779" s="559"/>
      <c r="I779" s="559"/>
      <c r="J779" s="559"/>
      <c r="K779" s="559"/>
      <c r="L779" s="559"/>
      <c r="M779" s="559"/>
      <c r="N779" s="559"/>
      <c r="O779" s="559"/>
      <c r="P779" s="559"/>
      <c r="Q779" s="559"/>
      <c r="R779" s="559"/>
      <c r="S779" s="559"/>
      <c r="T779" s="559"/>
      <c r="U779" s="559"/>
      <c r="V779" s="559"/>
      <c r="W779" s="559"/>
      <c r="X779" s="559"/>
      <c r="Y779" s="559"/>
      <c r="Z779" s="559"/>
      <c r="AA779" s="559"/>
      <c r="AB779" s="559"/>
      <c r="AC779" s="559"/>
      <c r="AD779" s="559"/>
      <c r="AE779" s="559"/>
    </row>
    <row r="780" spans="1:31" ht="18" customHeight="1" x14ac:dyDescent="0.35">
      <c r="A780" s="559"/>
      <c r="B780" s="559"/>
      <c r="C780" s="559"/>
      <c r="D780" s="559"/>
      <c r="E780" s="559"/>
      <c r="F780" s="559"/>
      <c r="G780" s="559"/>
      <c r="H780" s="559"/>
      <c r="I780" s="559"/>
      <c r="J780" s="559"/>
      <c r="K780" s="559"/>
      <c r="L780" s="559"/>
      <c r="M780" s="559"/>
      <c r="N780" s="559"/>
      <c r="O780" s="559"/>
      <c r="P780" s="559"/>
      <c r="Q780" s="559"/>
      <c r="R780" s="559"/>
      <c r="S780" s="559"/>
      <c r="T780" s="559"/>
      <c r="U780" s="559"/>
      <c r="V780" s="559"/>
      <c r="W780" s="559"/>
      <c r="X780" s="559"/>
      <c r="Y780" s="559"/>
      <c r="Z780" s="559"/>
      <c r="AA780" s="559"/>
      <c r="AB780" s="559"/>
      <c r="AC780" s="559"/>
      <c r="AD780" s="559"/>
      <c r="AE780" s="559"/>
    </row>
    <row r="781" spans="1:31" ht="18" customHeight="1" x14ac:dyDescent="0.35">
      <c r="A781" s="559"/>
      <c r="B781" s="559"/>
      <c r="C781" s="559"/>
      <c r="D781" s="559"/>
      <c r="E781" s="559"/>
      <c r="F781" s="559"/>
      <c r="G781" s="559"/>
      <c r="H781" s="559"/>
      <c r="I781" s="559"/>
      <c r="J781" s="559"/>
      <c r="K781" s="559"/>
      <c r="L781" s="559"/>
      <c r="M781" s="559"/>
      <c r="N781" s="559"/>
      <c r="O781" s="559"/>
      <c r="P781" s="559"/>
      <c r="Q781" s="559"/>
      <c r="R781" s="559"/>
      <c r="S781" s="559"/>
      <c r="T781" s="559"/>
      <c r="U781" s="559"/>
      <c r="V781" s="559"/>
      <c r="W781" s="559"/>
      <c r="X781" s="559"/>
      <c r="Y781" s="559"/>
      <c r="Z781" s="559"/>
      <c r="AA781" s="559"/>
      <c r="AB781" s="559"/>
      <c r="AC781" s="559"/>
      <c r="AD781" s="559"/>
      <c r="AE781" s="559"/>
    </row>
    <row r="782" spans="1:31" ht="18" customHeight="1" x14ac:dyDescent="0.35">
      <c r="A782" s="559"/>
      <c r="B782" s="559"/>
      <c r="C782" s="559"/>
      <c r="D782" s="559"/>
      <c r="E782" s="559"/>
      <c r="F782" s="559"/>
      <c r="G782" s="559"/>
      <c r="H782" s="559"/>
      <c r="I782" s="559"/>
      <c r="J782" s="559"/>
      <c r="K782" s="559"/>
      <c r="L782" s="559"/>
      <c r="M782" s="559"/>
      <c r="N782" s="559"/>
      <c r="O782" s="559"/>
      <c r="P782" s="559"/>
      <c r="Q782" s="559"/>
      <c r="R782" s="559"/>
      <c r="S782" s="559"/>
      <c r="T782" s="559"/>
      <c r="U782" s="559"/>
      <c r="V782" s="559"/>
      <c r="W782" s="559"/>
      <c r="X782" s="559"/>
      <c r="Y782" s="559"/>
      <c r="Z782" s="559"/>
      <c r="AA782" s="559"/>
      <c r="AB782" s="559"/>
      <c r="AC782" s="559"/>
      <c r="AD782" s="559"/>
      <c r="AE782" s="559"/>
    </row>
    <row r="783" spans="1:31" ht="18" customHeight="1" x14ac:dyDescent="0.35">
      <c r="A783" s="559"/>
      <c r="B783" s="559"/>
      <c r="C783" s="559"/>
      <c r="D783" s="559"/>
      <c r="E783" s="559"/>
      <c r="F783" s="559"/>
      <c r="G783" s="559"/>
      <c r="H783" s="559"/>
      <c r="I783" s="559"/>
      <c r="J783" s="559"/>
      <c r="K783" s="559"/>
      <c r="L783" s="559"/>
      <c r="M783" s="559"/>
      <c r="N783" s="559"/>
      <c r="O783" s="559"/>
      <c r="P783" s="559"/>
      <c r="Q783" s="559"/>
      <c r="R783" s="559"/>
      <c r="S783" s="559"/>
      <c r="T783" s="559"/>
      <c r="U783" s="559"/>
      <c r="V783" s="559"/>
      <c r="W783" s="559"/>
      <c r="X783" s="559"/>
      <c r="Y783" s="559"/>
      <c r="Z783" s="559"/>
      <c r="AA783" s="559"/>
      <c r="AB783" s="559"/>
      <c r="AC783" s="559"/>
      <c r="AD783" s="559"/>
      <c r="AE783" s="559"/>
    </row>
    <row r="784" spans="1:31" ht="18" customHeight="1" x14ac:dyDescent="0.35">
      <c r="A784" s="559"/>
      <c r="B784" s="559"/>
      <c r="C784" s="559"/>
      <c r="D784" s="559"/>
      <c r="E784" s="559"/>
      <c r="F784" s="559"/>
      <c r="G784" s="559"/>
      <c r="H784" s="559"/>
      <c r="I784" s="559"/>
      <c r="J784" s="559"/>
      <c r="K784" s="559"/>
      <c r="L784" s="559"/>
      <c r="M784" s="559"/>
      <c r="N784" s="559"/>
      <c r="O784" s="559"/>
      <c r="P784" s="559"/>
      <c r="Q784" s="559"/>
      <c r="R784" s="559"/>
      <c r="S784" s="559"/>
      <c r="T784" s="559"/>
      <c r="U784" s="559"/>
      <c r="V784" s="559"/>
      <c r="W784" s="559"/>
      <c r="X784" s="559"/>
      <c r="Y784" s="559"/>
      <c r="Z784" s="559"/>
      <c r="AA784" s="559"/>
      <c r="AB784" s="559"/>
      <c r="AC784" s="559"/>
      <c r="AD784" s="559"/>
      <c r="AE784" s="559"/>
    </row>
    <row r="785" spans="1:31" ht="18" customHeight="1" x14ac:dyDescent="0.35">
      <c r="A785" s="559"/>
      <c r="B785" s="559"/>
      <c r="C785" s="559"/>
      <c r="D785" s="559"/>
      <c r="E785" s="559"/>
      <c r="F785" s="559"/>
      <c r="G785" s="559"/>
      <c r="H785" s="559"/>
      <c r="I785" s="559"/>
      <c r="J785" s="559"/>
      <c r="K785" s="559"/>
      <c r="L785" s="559"/>
      <c r="M785" s="559"/>
      <c r="N785" s="559"/>
      <c r="O785" s="559"/>
      <c r="P785" s="559"/>
      <c r="Q785" s="559"/>
      <c r="R785" s="559"/>
      <c r="S785" s="559"/>
      <c r="T785" s="559"/>
      <c r="U785" s="559"/>
      <c r="V785" s="559"/>
      <c r="W785" s="559"/>
      <c r="X785" s="559"/>
      <c r="Y785" s="559"/>
      <c r="Z785" s="559"/>
      <c r="AA785" s="559"/>
      <c r="AB785" s="559"/>
      <c r="AC785" s="559"/>
      <c r="AD785" s="559"/>
      <c r="AE785" s="559"/>
    </row>
    <row r="786" spans="1:31" ht="18" customHeight="1" x14ac:dyDescent="0.35">
      <c r="A786" s="559"/>
      <c r="B786" s="559"/>
      <c r="C786" s="559"/>
      <c r="D786" s="559"/>
      <c r="E786" s="559"/>
      <c r="F786" s="559"/>
      <c r="G786" s="559"/>
      <c r="H786" s="559"/>
      <c r="I786" s="559"/>
      <c r="J786" s="559"/>
      <c r="K786" s="559"/>
      <c r="L786" s="559"/>
      <c r="M786" s="559"/>
      <c r="N786" s="559"/>
      <c r="O786" s="559"/>
      <c r="P786" s="559"/>
      <c r="Q786" s="559"/>
      <c r="R786" s="559"/>
      <c r="S786" s="559"/>
      <c r="T786" s="559"/>
      <c r="U786" s="559"/>
      <c r="V786" s="559"/>
      <c r="W786" s="559"/>
      <c r="X786" s="559"/>
      <c r="Y786" s="559"/>
      <c r="Z786" s="559"/>
      <c r="AA786" s="559"/>
      <c r="AB786" s="559"/>
      <c r="AC786" s="559"/>
      <c r="AD786" s="559"/>
      <c r="AE786" s="559"/>
    </row>
    <row r="787" spans="1:31" ht="18" customHeight="1" x14ac:dyDescent="0.35">
      <c r="A787" s="559"/>
      <c r="B787" s="559"/>
      <c r="C787" s="559"/>
      <c r="D787" s="559"/>
      <c r="E787" s="559"/>
      <c r="F787" s="559"/>
      <c r="G787" s="559"/>
      <c r="H787" s="559"/>
      <c r="I787" s="559"/>
      <c r="J787" s="559"/>
      <c r="K787" s="559"/>
      <c r="L787" s="559"/>
      <c r="M787" s="559"/>
      <c r="N787" s="559"/>
      <c r="O787" s="559"/>
      <c r="P787" s="559"/>
      <c r="Q787" s="559"/>
      <c r="R787" s="559"/>
      <c r="S787" s="559"/>
      <c r="T787" s="559"/>
      <c r="U787" s="559"/>
      <c r="V787" s="559"/>
      <c r="W787" s="559"/>
      <c r="X787" s="559"/>
      <c r="Y787" s="559"/>
      <c r="Z787" s="559"/>
      <c r="AA787" s="559"/>
      <c r="AB787" s="559"/>
      <c r="AC787" s="559"/>
      <c r="AD787" s="559"/>
      <c r="AE787" s="559"/>
    </row>
    <row r="788" spans="1:31" ht="18" customHeight="1" x14ac:dyDescent="0.35">
      <c r="A788" s="559"/>
      <c r="B788" s="559"/>
      <c r="C788" s="559"/>
      <c r="D788" s="559"/>
      <c r="E788" s="559"/>
      <c r="F788" s="559"/>
      <c r="G788" s="559"/>
      <c r="H788" s="559"/>
      <c r="I788" s="559"/>
      <c r="J788" s="559"/>
      <c r="K788" s="559"/>
      <c r="L788" s="559"/>
      <c r="M788" s="559"/>
      <c r="N788" s="559"/>
      <c r="O788" s="559"/>
      <c r="P788" s="559"/>
      <c r="Q788" s="559"/>
      <c r="R788" s="559"/>
      <c r="S788" s="559"/>
      <c r="T788" s="559"/>
      <c r="U788" s="559"/>
      <c r="V788" s="559"/>
      <c r="W788" s="559"/>
      <c r="X788" s="559"/>
      <c r="Y788" s="559"/>
      <c r="Z788" s="559"/>
      <c r="AA788" s="559"/>
      <c r="AB788" s="559"/>
      <c r="AC788" s="559"/>
      <c r="AD788" s="559"/>
      <c r="AE788" s="559"/>
    </row>
    <row r="789" spans="1:31" ht="18" customHeight="1" x14ac:dyDescent="0.35">
      <c r="A789" s="559"/>
      <c r="B789" s="559"/>
      <c r="C789" s="559"/>
      <c r="D789" s="559"/>
      <c r="E789" s="559"/>
      <c r="F789" s="559"/>
      <c r="G789" s="559"/>
      <c r="H789" s="559"/>
      <c r="I789" s="559"/>
      <c r="J789" s="559"/>
      <c r="K789" s="559"/>
      <c r="L789" s="559"/>
      <c r="M789" s="559"/>
      <c r="N789" s="559"/>
      <c r="O789" s="559"/>
      <c r="P789" s="559"/>
      <c r="Q789" s="559"/>
      <c r="R789" s="559"/>
      <c r="S789" s="559"/>
      <c r="T789" s="559"/>
      <c r="U789" s="559"/>
      <c r="V789" s="559"/>
      <c r="W789" s="559"/>
      <c r="X789" s="559"/>
      <c r="Y789" s="559"/>
      <c r="Z789" s="559"/>
      <c r="AA789" s="559"/>
      <c r="AB789" s="559"/>
      <c r="AC789" s="559"/>
      <c r="AD789" s="559"/>
      <c r="AE789" s="559"/>
    </row>
    <row r="790" spans="1:31" ht="18" customHeight="1" x14ac:dyDescent="0.35">
      <c r="A790" s="559"/>
      <c r="B790" s="559"/>
      <c r="C790" s="559"/>
      <c r="D790" s="559"/>
      <c r="E790" s="559"/>
      <c r="F790" s="559"/>
      <c r="G790" s="559"/>
      <c r="H790" s="559"/>
      <c r="I790" s="559"/>
      <c r="J790" s="559"/>
      <c r="K790" s="559"/>
      <c r="L790" s="559"/>
      <c r="M790" s="559"/>
      <c r="N790" s="559"/>
      <c r="O790" s="559"/>
      <c r="P790" s="559"/>
      <c r="Q790" s="559"/>
      <c r="R790" s="559"/>
      <c r="S790" s="559"/>
      <c r="T790" s="559"/>
      <c r="U790" s="559"/>
      <c r="V790" s="559"/>
      <c r="W790" s="559"/>
      <c r="X790" s="559"/>
      <c r="Y790" s="559"/>
      <c r="Z790" s="559"/>
      <c r="AA790" s="559"/>
      <c r="AB790" s="559"/>
      <c r="AC790" s="559"/>
      <c r="AD790" s="559"/>
      <c r="AE790" s="559"/>
    </row>
    <row r="791" spans="1:31" ht="18" customHeight="1" x14ac:dyDescent="0.35">
      <c r="A791" s="559"/>
      <c r="B791" s="559"/>
      <c r="C791" s="559"/>
      <c r="D791" s="559"/>
      <c r="E791" s="559"/>
      <c r="F791" s="559"/>
      <c r="G791" s="559"/>
      <c r="H791" s="559"/>
      <c r="I791" s="559"/>
      <c r="J791" s="559"/>
      <c r="K791" s="559"/>
      <c r="L791" s="559"/>
      <c r="M791" s="559"/>
      <c r="N791" s="559"/>
      <c r="O791" s="559"/>
      <c r="P791" s="559"/>
      <c r="Q791" s="559"/>
      <c r="R791" s="559"/>
      <c r="S791" s="559"/>
      <c r="T791" s="559"/>
      <c r="U791" s="559"/>
      <c r="V791" s="559"/>
      <c r="W791" s="559"/>
      <c r="X791" s="559"/>
      <c r="Y791" s="559"/>
      <c r="Z791" s="559"/>
      <c r="AA791" s="559"/>
      <c r="AB791" s="559"/>
      <c r="AC791" s="559"/>
      <c r="AD791" s="559"/>
      <c r="AE791" s="559"/>
    </row>
    <row r="792" spans="1:31" ht="18" customHeight="1" x14ac:dyDescent="0.35">
      <c r="A792" s="559"/>
      <c r="B792" s="559"/>
      <c r="C792" s="559"/>
      <c r="D792" s="559"/>
      <c r="E792" s="559"/>
      <c r="F792" s="559"/>
      <c r="G792" s="559"/>
      <c r="H792" s="559"/>
      <c r="I792" s="559"/>
      <c r="J792" s="559"/>
      <c r="K792" s="559"/>
      <c r="L792" s="559"/>
      <c r="M792" s="559"/>
      <c r="N792" s="559"/>
      <c r="O792" s="559"/>
      <c r="P792" s="559"/>
      <c r="Q792" s="559"/>
      <c r="R792" s="559"/>
      <c r="S792" s="559"/>
      <c r="T792" s="559"/>
      <c r="U792" s="559"/>
      <c r="V792" s="559"/>
      <c r="W792" s="559"/>
      <c r="X792" s="559"/>
      <c r="Y792" s="559"/>
      <c r="Z792" s="559"/>
      <c r="AA792" s="559"/>
      <c r="AB792" s="559"/>
      <c r="AC792" s="559"/>
      <c r="AD792" s="559"/>
      <c r="AE792" s="559"/>
    </row>
    <row r="793" spans="1:31" ht="18" customHeight="1" x14ac:dyDescent="0.35">
      <c r="A793" s="559"/>
      <c r="B793" s="559"/>
      <c r="C793" s="559"/>
      <c r="D793" s="559"/>
      <c r="E793" s="559"/>
      <c r="F793" s="559"/>
      <c r="G793" s="559"/>
      <c r="H793" s="559"/>
      <c r="I793" s="559"/>
      <c r="J793" s="559"/>
      <c r="K793" s="559"/>
      <c r="L793" s="559"/>
      <c r="M793" s="559"/>
      <c r="N793" s="559"/>
      <c r="O793" s="559"/>
      <c r="P793" s="559"/>
      <c r="Q793" s="559"/>
      <c r="R793" s="559"/>
      <c r="S793" s="559"/>
      <c r="T793" s="559"/>
      <c r="U793" s="559"/>
      <c r="V793" s="559"/>
      <c r="W793" s="559"/>
      <c r="X793" s="559"/>
      <c r="Y793" s="559"/>
      <c r="Z793" s="559"/>
      <c r="AA793" s="559"/>
      <c r="AB793" s="559"/>
      <c r="AC793" s="559"/>
      <c r="AD793" s="559"/>
      <c r="AE793" s="559"/>
    </row>
    <row r="794" spans="1:31" ht="18" customHeight="1" x14ac:dyDescent="0.35">
      <c r="A794" s="559"/>
      <c r="B794" s="559"/>
      <c r="C794" s="559"/>
      <c r="D794" s="559"/>
      <c r="E794" s="559"/>
      <c r="F794" s="559"/>
      <c r="G794" s="559"/>
      <c r="H794" s="559"/>
      <c r="I794" s="559"/>
      <c r="J794" s="559"/>
      <c r="K794" s="559"/>
      <c r="L794" s="559"/>
      <c r="M794" s="559"/>
      <c r="N794" s="559"/>
      <c r="O794" s="559"/>
      <c r="P794" s="559"/>
      <c r="Q794" s="559"/>
      <c r="R794" s="559"/>
      <c r="S794" s="559"/>
      <c r="T794" s="559"/>
      <c r="U794" s="559"/>
      <c r="V794" s="559"/>
      <c r="W794" s="559"/>
      <c r="X794" s="559"/>
      <c r="Y794" s="559"/>
      <c r="Z794" s="559"/>
      <c r="AA794" s="559"/>
      <c r="AB794" s="559"/>
      <c r="AC794" s="559"/>
      <c r="AD794" s="559"/>
      <c r="AE794" s="559"/>
    </row>
    <row r="795" spans="1:31" ht="18" customHeight="1" x14ac:dyDescent="0.35">
      <c r="A795" s="559"/>
      <c r="B795" s="559"/>
      <c r="C795" s="559"/>
      <c r="D795" s="559"/>
      <c r="E795" s="559"/>
      <c r="F795" s="559"/>
      <c r="G795" s="559"/>
      <c r="H795" s="559"/>
      <c r="I795" s="559"/>
      <c r="J795" s="559"/>
      <c r="K795" s="559"/>
      <c r="L795" s="559"/>
      <c r="M795" s="559"/>
      <c r="N795" s="559"/>
      <c r="O795" s="559"/>
      <c r="P795" s="559"/>
      <c r="Q795" s="559"/>
      <c r="R795" s="559"/>
      <c r="S795" s="559"/>
      <c r="T795" s="559"/>
      <c r="U795" s="559"/>
      <c r="V795" s="559"/>
      <c r="W795" s="559"/>
      <c r="X795" s="559"/>
      <c r="Y795" s="559"/>
      <c r="Z795" s="559"/>
      <c r="AA795" s="559"/>
      <c r="AB795" s="559"/>
      <c r="AC795" s="559"/>
      <c r="AD795" s="559"/>
      <c r="AE795" s="559"/>
    </row>
    <row r="796" spans="1:31" ht="18" customHeight="1" x14ac:dyDescent="0.35">
      <c r="A796" s="559"/>
      <c r="B796" s="559"/>
      <c r="C796" s="559"/>
      <c r="D796" s="559"/>
      <c r="E796" s="559"/>
      <c r="F796" s="559"/>
      <c r="G796" s="559"/>
      <c r="H796" s="559"/>
      <c r="I796" s="559"/>
      <c r="J796" s="559"/>
      <c r="K796" s="559"/>
      <c r="L796" s="559"/>
      <c r="M796" s="559"/>
      <c r="N796" s="559"/>
      <c r="O796" s="559"/>
      <c r="P796" s="559"/>
      <c r="Q796" s="559"/>
      <c r="R796" s="559"/>
      <c r="S796" s="559"/>
      <c r="T796" s="559"/>
      <c r="U796" s="559"/>
      <c r="V796" s="559"/>
      <c r="W796" s="559"/>
      <c r="X796" s="559"/>
      <c r="Y796" s="559"/>
      <c r="Z796" s="559"/>
      <c r="AA796" s="559"/>
      <c r="AB796" s="559"/>
      <c r="AC796" s="559"/>
      <c r="AD796" s="559"/>
      <c r="AE796" s="559"/>
    </row>
    <row r="797" spans="1:31" ht="18" customHeight="1" x14ac:dyDescent="0.35">
      <c r="A797" s="559"/>
      <c r="B797" s="559"/>
      <c r="C797" s="559"/>
      <c r="D797" s="559"/>
      <c r="E797" s="559"/>
      <c r="F797" s="559"/>
      <c r="G797" s="559"/>
      <c r="H797" s="559"/>
      <c r="I797" s="559"/>
      <c r="J797" s="559"/>
      <c r="K797" s="559"/>
      <c r="L797" s="559"/>
      <c r="M797" s="559"/>
      <c r="N797" s="559"/>
      <c r="O797" s="559"/>
      <c r="P797" s="559"/>
      <c r="Q797" s="559"/>
      <c r="R797" s="559"/>
      <c r="S797" s="559"/>
      <c r="T797" s="559"/>
      <c r="U797" s="559"/>
      <c r="V797" s="559"/>
      <c r="W797" s="559"/>
      <c r="X797" s="559"/>
      <c r="Y797" s="559"/>
      <c r="Z797" s="559"/>
      <c r="AA797" s="559"/>
      <c r="AB797" s="559"/>
      <c r="AC797" s="559"/>
      <c r="AD797" s="559"/>
      <c r="AE797" s="559"/>
    </row>
    <row r="798" spans="1:31" ht="18" customHeight="1" x14ac:dyDescent="0.35">
      <c r="A798" s="559"/>
      <c r="B798" s="559"/>
      <c r="C798" s="559"/>
      <c r="D798" s="559"/>
      <c r="E798" s="559"/>
      <c r="F798" s="559"/>
      <c r="G798" s="559"/>
      <c r="H798" s="559"/>
      <c r="I798" s="559"/>
      <c r="J798" s="559"/>
      <c r="K798" s="559"/>
      <c r="L798" s="559"/>
      <c r="M798" s="559"/>
      <c r="N798" s="559"/>
      <c r="O798" s="559"/>
      <c r="P798" s="559"/>
      <c r="Q798" s="559"/>
      <c r="R798" s="559"/>
      <c r="S798" s="559"/>
      <c r="T798" s="559"/>
      <c r="U798" s="559"/>
      <c r="V798" s="559"/>
      <c r="W798" s="559"/>
      <c r="X798" s="559"/>
      <c r="Y798" s="559"/>
      <c r="Z798" s="559"/>
      <c r="AA798" s="559"/>
      <c r="AB798" s="559"/>
      <c r="AC798" s="559"/>
      <c r="AD798" s="559"/>
      <c r="AE798" s="559"/>
    </row>
    <row r="799" spans="1:31" ht="18" customHeight="1" x14ac:dyDescent="0.35">
      <c r="A799" s="559"/>
      <c r="B799" s="559"/>
      <c r="C799" s="559"/>
      <c r="D799" s="559"/>
      <c r="E799" s="559"/>
      <c r="F799" s="559"/>
      <c r="G799" s="559"/>
      <c r="H799" s="559"/>
      <c r="I799" s="559"/>
      <c r="J799" s="559"/>
      <c r="K799" s="559"/>
      <c r="L799" s="559"/>
      <c r="M799" s="559"/>
      <c r="N799" s="559"/>
      <c r="O799" s="559"/>
      <c r="P799" s="559"/>
      <c r="Q799" s="559"/>
      <c r="R799" s="559"/>
      <c r="S799" s="559"/>
      <c r="T799" s="559"/>
      <c r="U799" s="559"/>
      <c r="V799" s="559"/>
      <c r="W799" s="559"/>
      <c r="X799" s="559"/>
      <c r="Y799" s="559"/>
      <c r="Z799" s="559"/>
      <c r="AA799" s="559"/>
      <c r="AB799" s="559"/>
      <c r="AC799" s="559"/>
      <c r="AD799" s="559"/>
      <c r="AE799" s="559"/>
    </row>
    <row r="800" spans="1:31" ht="18" customHeight="1" x14ac:dyDescent="0.35">
      <c r="A800" s="559"/>
      <c r="B800" s="559"/>
      <c r="C800" s="559"/>
      <c r="D800" s="559"/>
      <c r="E800" s="559"/>
      <c r="F800" s="559"/>
      <c r="G800" s="559"/>
      <c r="H800" s="559"/>
      <c r="I800" s="559"/>
      <c r="J800" s="559"/>
      <c r="K800" s="559"/>
      <c r="L800" s="559"/>
      <c r="M800" s="559"/>
      <c r="N800" s="559"/>
      <c r="O800" s="559"/>
      <c r="P800" s="559"/>
      <c r="Q800" s="559"/>
      <c r="R800" s="559"/>
      <c r="S800" s="559"/>
      <c r="T800" s="559"/>
      <c r="U800" s="559"/>
      <c r="V800" s="559"/>
      <c r="W800" s="559"/>
      <c r="X800" s="559"/>
      <c r="Y800" s="559"/>
      <c r="Z800" s="559"/>
      <c r="AA800" s="559"/>
      <c r="AB800" s="559"/>
      <c r="AC800" s="559"/>
      <c r="AD800" s="559"/>
      <c r="AE800" s="559"/>
    </row>
    <row r="801" spans="1:31" ht="18" customHeight="1" x14ac:dyDescent="0.35">
      <c r="A801" s="559"/>
      <c r="B801" s="559"/>
      <c r="C801" s="559"/>
      <c r="D801" s="559"/>
      <c r="E801" s="559"/>
      <c r="F801" s="559"/>
      <c r="G801" s="559"/>
      <c r="H801" s="559"/>
      <c r="I801" s="559"/>
      <c r="J801" s="559"/>
      <c r="K801" s="559"/>
      <c r="L801" s="559"/>
      <c r="M801" s="559"/>
      <c r="N801" s="559"/>
      <c r="O801" s="559"/>
      <c r="P801" s="559"/>
      <c r="Q801" s="559"/>
      <c r="R801" s="559"/>
      <c r="S801" s="559"/>
      <c r="T801" s="559"/>
      <c r="U801" s="559"/>
      <c r="V801" s="559"/>
      <c r="W801" s="559"/>
      <c r="X801" s="559"/>
      <c r="Y801" s="559"/>
      <c r="Z801" s="559"/>
      <c r="AA801" s="559"/>
      <c r="AB801" s="559"/>
      <c r="AC801" s="559"/>
      <c r="AD801" s="559"/>
      <c r="AE801" s="559"/>
    </row>
    <row r="802" spans="1:31" ht="18" customHeight="1" x14ac:dyDescent="0.35">
      <c r="A802" s="559"/>
      <c r="B802" s="559"/>
      <c r="C802" s="559"/>
      <c r="D802" s="559"/>
      <c r="E802" s="559"/>
      <c r="F802" s="559"/>
      <c r="G802" s="559"/>
      <c r="H802" s="559"/>
      <c r="I802" s="559"/>
      <c r="J802" s="559"/>
      <c r="K802" s="559"/>
      <c r="L802" s="559"/>
      <c r="M802" s="559"/>
      <c r="N802" s="559"/>
      <c r="O802" s="559"/>
      <c r="P802" s="559"/>
      <c r="Q802" s="559"/>
      <c r="R802" s="559"/>
      <c r="S802" s="559"/>
      <c r="T802" s="559"/>
      <c r="U802" s="559"/>
      <c r="V802" s="559"/>
      <c r="W802" s="559"/>
      <c r="X802" s="559"/>
      <c r="Y802" s="559"/>
      <c r="Z802" s="559"/>
      <c r="AA802" s="559"/>
      <c r="AB802" s="559"/>
      <c r="AC802" s="559"/>
      <c r="AD802" s="559"/>
      <c r="AE802" s="559"/>
    </row>
    <row r="803" spans="1:31" ht="18" customHeight="1" x14ac:dyDescent="0.35">
      <c r="A803" s="559"/>
      <c r="B803" s="559"/>
      <c r="C803" s="559"/>
      <c r="D803" s="559"/>
      <c r="E803" s="559"/>
      <c r="F803" s="559"/>
      <c r="G803" s="559"/>
      <c r="H803" s="559"/>
      <c r="I803" s="559"/>
      <c r="J803" s="559"/>
      <c r="K803" s="559"/>
      <c r="L803" s="559"/>
      <c r="M803" s="559"/>
      <c r="N803" s="559"/>
      <c r="O803" s="559"/>
      <c r="P803" s="559"/>
      <c r="Q803" s="559"/>
      <c r="R803" s="559"/>
      <c r="S803" s="559"/>
      <c r="T803" s="559"/>
      <c r="U803" s="559"/>
      <c r="V803" s="559"/>
      <c r="W803" s="559"/>
      <c r="X803" s="559"/>
      <c r="Y803" s="559"/>
      <c r="Z803" s="559"/>
      <c r="AA803" s="559"/>
      <c r="AB803" s="559"/>
      <c r="AC803" s="559"/>
      <c r="AD803" s="559"/>
      <c r="AE803" s="559"/>
    </row>
    <row r="804" spans="1:31" ht="18" customHeight="1" x14ac:dyDescent="0.35">
      <c r="A804" s="559"/>
      <c r="B804" s="559"/>
      <c r="C804" s="559"/>
      <c r="D804" s="559"/>
      <c r="E804" s="559"/>
      <c r="F804" s="559"/>
      <c r="G804" s="559"/>
      <c r="H804" s="559"/>
      <c r="I804" s="559"/>
      <c r="J804" s="559"/>
      <c r="K804" s="559"/>
      <c r="L804" s="559"/>
      <c r="M804" s="559"/>
      <c r="N804" s="559"/>
      <c r="O804" s="559"/>
      <c r="P804" s="559"/>
      <c r="Q804" s="559"/>
      <c r="R804" s="559"/>
      <c r="S804" s="559"/>
      <c r="T804" s="559"/>
      <c r="U804" s="559"/>
      <c r="V804" s="559"/>
      <c r="W804" s="559"/>
      <c r="X804" s="559"/>
      <c r="Y804" s="559"/>
      <c r="Z804" s="559"/>
      <c r="AA804" s="559"/>
      <c r="AB804" s="559"/>
      <c r="AC804" s="559"/>
      <c r="AD804" s="559"/>
      <c r="AE804" s="559"/>
    </row>
    <row r="805" spans="1:31" ht="18" customHeight="1" x14ac:dyDescent="0.35">
      <c r="A805" s="559"/>
      <c r="B805" s="559"/>
      <c r="C805" s="559"/>
      <c r="D805" s="559"/>
      <c r="E805" s="559"/>
      <c r="F805" s="559"/>
      <c r="G805" s="559"/>
      <c r="H805" s="559"/>
      <c r="I805" s="559"/>
      <c r="J805" s="559"/>
      <c r="K805" s="559"/>
      <c r="L805" s="559"/>
      <c r="M805" s="559"/>
      <c r="N805" s="559"/>
      <c r="O805" s="559"/>
      <c r="P805" s="559"/>
      <c r="Q805" s="559"/>
      <c r="R805" s="559"/>
      <c r="S805" s="559"/>
      <c r="T805" s="559"/>
      <c r="U805" s="559"/>
      <c r="V805" s="559"/>
      <c r="W805" s="559"/>
      <c r="X805" s="559"/>
      <c r="Y805" s="559"/>
      <c r="Z805" s="559"/>
      <c r="AA805" s="559"/>
      <c r="AB805" s="559"/>
      <c r="AC805" s="559"/>
      <c r="AD805" s="559"/>
      <c r="AE805" s="559"/>
    </row>
    <row r="806" spans="1:31" ht="18" customHeight="1" x14ac:dyDescent="0.35">
      <c r="A806" s="559"/>
      <c r="B806" s="559"/>
      <c r="C806" s="559"/>
      <c r="D806" s="559"/>
      <c r="E806" s="559"/>
      <c r="F806" s="559"/>
      <c r="G806" s="559"/>
      <c r="H806" s="559"/>
      <c r="I806" s="559"/>
      <c r="J806" s="559"/>
      <c r="K806" s="559"/>
      <c r="L806" s="559"/>
      <c r="M806" s="559"/>
      <c r="N806" s="559"/>
      <c r="O806" s="559"/>
      <c r="P806" s="559"/>
      <c r="Q806" s="559"/>
      <c r="R806" s="559"/>
      <c r="S806" s="559"/>
      <c r="T806" s="559"/>
      <c r="U806" s="559"/>
      <c r="V806" s="559"/>
      <c r="W806" s="559"/>
      <c r="X806" s="559"/>
      <c r="Y806" s="559"/>
      <c r="Z806" s="559"/>
      <c r="AA806" s="559"/>
      <c r="AB806" s="559"/>
      <c r="AC806" s="559"/>
      <c r="AD806" s="559"/>
      <c r="AE806" s="559"/>
    </row>
    <row r="807" spans="1:31" ht="18" customHeight="1" x14ac:dyDescent="0.35">
      <c r="A807" s="559"/>
      <c r="B807" s="559"/>
      <c r="C807" s="559"/>
      <c r="D807" s="559"/>
      <c r="E807" s="559"/>
      <c r="F807" s="559"/>
      <c r="G807" s="559"/>
      <c r="H807" s="559"/>
      <c r="I807" s="559"/>
      <c r="J807" s="559"/>
      <c r="K807" s="559"/>
      <c r="L807" s="559"/>
      <c r="M807" s="559"/>
      <c r="N807" s="559"/>
      <c r="O807" s="559"/>
      <c r="P807" s="559"/>
      <c r="Q807" s="559"/>
      <c r="R807" s="559"/>
      <c r="S807" s="559"/>
      <c r="T807" s="559"/>
      <c r="U807" s="559"/>
      <c r="V807" s="559"/>
      <c r="W807" s="559"/>
      <c r="X807" s="559"/>
      <c r="Y807" s="559"/>
      <c r="Z807" s="559"/>
      <c r="AA807" s="559"/>
      <c r="AB807" s="559"/>
      <c r="AC807" s="559"/>
      <c r="AD807" s="559"/>
      <c r="AE807" s="559"/>
    </row>
    <row r="808" spans="1:31" ht="18" customHeight="1" x14ac:dyDescent="0.35">
      <c r="A808" s="559"/>
      <c r="B808" s="559"/>
      <c r="C808" s="559"/>
      <c r="D808" s="559"/>
      <c r="E808" s="559"/>
      <c r="F808" s="559"/>
      <c r="G808" s="559"/>
      <c r="H808" s="559"/>
      <c r="I808" s="559"/>
      <c r="J808" s="559"/>
      <c r="K808" s="559"/>
      <c r="L808" s="559"/>
      <c r="M808" s="559"/>
      <c r="N808" s="559"/>
      <c r="O808" s="559"/>
      <c r="P808" s="559"/>
      <c r="Q808" s="559"/>
      <c r="R808" s="559"/>
      <c r="S808" s="559"/>
      <c r="T808" s="559"/>
      <c r="U808" s="559"/>
      <c r="V808" s="559"/>
      <c r="W808" s="559"/>
      <c r="X808" s="559"/>
      <c r="Y808" s="559"/>
      <c r="Z808" s="559"/>
      <c r="AA808" s="559"/>
      <c r="AB808" s="559"/>
      <c r="AC808" s="559"/>
      <c r="AD808" s="559"/>
      <c r="AE808" s="559"/>
    </row>
    <row r="809" spans="1:31" ht="18" customHeight="1" x14ac:dyDescent="0.35">
      <c r="A809" s="559"/>
      <c r="B809" s="559"/>
      <c r="C809" s="559"/>
      <c r="D809" s="559"/>
      <c r="E809" s="559"/>
      <c r="F809" s="559"/>
      <c r="G809" s="559"/>
      <c r="H809" s="559"/>
      <c r="I809" s="559"/>
      <c r="J809" s="559"/>
      <c r="K809" s="559"/>
      <c r="L809" s="559"/>
      <c r="M809" s="559"/>
      <c r="N809" s="559"/>
      <c r="O809" s="559"/>
      <c r="P809" s="559"/>
      <c r="Q809" s="559"/>
      <c r="R809" s="559"/>
      <c r="S809" s="559"/>
      <c r="T809" s="559"/>
      <c r="U809" s="559"/>
      <c r="V809" s="559"/>
      <c r="W809" s="559"/>
      <c r="X809" s="559"/>
      <c r="Y809" s="559"/>
      <c r="Z809" s="559"/>
      <c r="AA809" s="559"/>
      <c r="AB809" s="559"/>
      <c r="AC809" s="559"/>
      <c r="AD809" s="559"/>
      <c r="AE809" s="559"/>
    </row>
    <row r="810" spans="1:31" ht="18" customHeight="1" x14ac:dyDescent="0.35">
      <c r="A810" s="559"/>
      <c r="B810" s="559"/>
      <c r="C810" s="559"/>
      <c r="D810" s="559"/>
      <c r="E810" s="559"/>
      <c r="F810" s="559"/>
      <c r="G810" s="559"/>
      <c r="H810" s="559"/>
      <c r="I810" s="559"/>
      <c r="J810" s="559"/>
      <c r="K810" s="559"/>
      <c r="L810" s="559"/>
      <c r="M810" s="559"/>
      <c r="N810" s="559"/>
      <c r="O810" s="559"/>
      <c r="P810" s="559"/>
      <c r="Q810" s="559"/>
      <c r="R810" s="559"/>
      <c r="S810" s="559"/>
      <c r="T810" s="559"/>
      <c r="U810" s="559"/>
      <c r="V810" s="559"/>
      <c r="W810" s="559"/>
      <c r="X810" s="559"/>
      <c r="Y810" s="559"/>
      <c r="Z810" s="559"/>
      <c r="AA810" s="559"/>
      <c r="AB810" s="559"/>
      <c r="AC810" s="559"/>
      <c r="AD810" s="559"/>
      <c r="AE810" s="559"/>
    </row>
    <row r="811" spans="1:31" ht="18" customHeight="1" x14ac:dyDescent="0.35">
      <c r="A811" s="559"/>
      <c r="B811" s="559"/>
      <c r="C811" s="559"/>
      <c r="D811" s="559"/>
      <c r="E811" s="559"/>
      <c r="F811" s="559"/>
      <c r="G811" s="559"/>
      <c r="H811" s="559"/>
      <c r="I811" s="559"/>
      <c r="J811" s="559"/>
      <c r="K811" s="559"/>
      <c r="L811" s="559"/>
      <c r="M811" s="559"/>
      <c r="N811" s="559"/>
      <c r="O811" s="559"/>
      <c r="P811" s="559"/>
      <c r="Q811" s="559"/>
      <c r="R811" s="559"/>
      <c r="S811" s="559"/>
      <c r="T811" s="559"/>
      <c r="U811" s="559"/>
      <c r="V811" s="559"/>
      <c r="W811" s="559"/>
      <c r="X811" s="559"/>
      <c r="Y811" s="559"/>
      <c r="Z811" s="559"/>
      <c r="AA811" s="559"/>
      <c r="AB811" s="559"/>
      <c r="AC811" s="559"/>
      <c r="AD811" s="559"/>
      <c r="AE811" s="559"/>
    </row>
    <row r="812" spans="1:31" ht="18" customHeight="1" x14ac:dyDescent="0.35">
      <c r="A812" s="559"/>
      <c r="B812" s="559"/>
      <c r="C812" s="559"/>
      <c r="D812" s="559"/>
      <c r="E812" s="559"/>
      <c r="F812" s="559"/>
      <c r="G812" s="559"/>
      <c r="H812" s="559"/>
      <c r="I812" s="559"/>
      <c r="J812" s="559"/>
      <c r="K812" s="559"/>
      <c r="L812" s="559"/>
      <c r="M812" s="559"/>
      <c r="N812" s="559"/>
      <c r="O812" s="559"/>
      <c r="P812" s="559"/>
      <c r="Q812" s="559"/>
      <c r="R812" s="559"/>
      <c r="S812" s="559"/>
      <c r="T812" s="559"/>
      <c r="U812" s="559"/>
      <c r="V812" s="559"/>
      <c r="W812" s="559"/>
      <c r="X812" s="559"/>
      <c r="Y812" s="559"/>
      <c r="Z812" s="559"/>
      <c r="AA812" s="559"/>
      <c r="AB812" s="559"/>
      <c r="AC812" s="559"/>
      <c r="AD812" s="559"/>
      <c r="AE812" s="559"/>
    </row>
    <row r="813" spans="1:31" ht="18" customHeight="1" x14ac:dyDescent="0.35">
      <c r="A813" s="559"/>
      <c r="B813" s="559"/>
      <c r="C813" s="559"/>
      <c r="D813" s="559"/>
      <c r="E813" s="559"/>
      <c r="F813" s="559"/>
      <c r="G813" s="559"/>
      <c r="H813" s="559"/>
      <c r="I813" s="559"/>
      <c r="J813" s="559"/>
      <c r="K813" s="559"/>
      <c r="L813" s="559"/>
      <c r="M813" s="559"/>
      <c r="N813" s="559"/>
      <c r="O813" s="559"/>
      <c r="P813" s="559"/>
      <c r="Q813" s="559"/>
      <c r="R813" s="559"/>
      <c r="S813" s="559"/>
      <c r="T813" s="559"/>
      <c r="U813" s="559"/>
      <c r="V813" s="559"/>
      <c r="W813" s="559"/>
      <c r="X813" s="559"/>
      <c r="Y813" s="559"/>
      <c r="Z813" s="559"/>
      <c r="AA813" s="559"/>
      <c r="AB813" s="559"/>
      <c r="AC813" s="559"/>
      <c r="AD813" s="559"/>
      <c r="AE813" s="559"/>
    </row>
    <row r="814" spans="1:31" ht="18" customHeight="1" x14ac:dyDescent="0.35">
      <c r="A814" s="559"/>
      <c r="B814" s="559"/>
      <c r="C814" s="559"/>
      <c r="D814" s="559"/>
      <c r="E814" s="559"/>
      <c r="F814" s="559"/>
      <c r="G814" s="559"/>
      <c r="H814" s="559"/>
      <c r="I814" s="559"/>
      <c r="J814" s="559"/>
      <c r="K814" s="559"/>
      <c r="L814" s="559"/>
      <c r="M814" s="559"/>
      <c r="N814" s="559"/>
      <c r="O814" s="559"/>
      <c r="P814" s="559"/>
      <c r="Q814" s="559"/>
      <c r="R814" s="559"/>
      <c r="S814" s="559"/>
      <c r="T814" s="559"/>
      <c r="U814" s="559"/>
      <c r="V814" s="559"/>
      <c r="W814" s="559"/>
      <c r="X814" s="559"/>
      <c r="Y814" s="559"/>
      <c r="Z814" s="559"/>
      <c r="AA814" s="559"/>
      <c r="AB814" s="559"/>
      <c r="AC814" s="559"/>
      <c r="AD814" s="559"/>
      <c r="AE814" s="559"/>
    </row>
    <row r="815" spans="1:31" ht="18" customHeight="1" x14ac:dyDescent="0.35">
      <c r="A815" s="559"/>
      <c r="B815" s="559"/>
      <c r="C815" s="559"/>
      <c r="D815" s="559"/>
      <c r="E815" s="559"/>
      <c r="F815" s="559"/>
      <c r="G815" s="559"/>
      <c r="H815" s="559"/>
      <c r="I815" s="559"/>
      <c r="J815" s="559"/>
      <c r="K815" s="559"/>
      <c r="L815" s="559"/>
      <c r="M815" s="559"/>
      <c r="N815" s="559"/>
      <c r="O815" s="559"/>
      <c r="P815" s="559"/>
      <c r="Q815" s="559"/>
      <c r="R815" s="559"/>
      <c r="S815" s="559"/>
      <c r="T815" s="559"/>
      <c r="U815" s="559"/>
      <c r="V815" s="559"/>
      <c r="W815" s="559"/>
      <c r="X815" s="559"/>
      <c r="Y815" s="559"/>
      <c r="Z815" s="559"/>
      <c r="AA815" s="559"/>
      <c r="AB815" s="559"/>
      <c r="AC815" s="559"/>
      <c r="AD815" s="559"/>
      <c r="AE815" s="559"/>
    </row>
    <row r="816" spans="1:31" ht="18" customHeight="1" x14ac:dyDescent="0.35">
      <c r="A816" s="559"/>
      <c r="B816" s="559"/>
      <c r="C816" s="559"/>
      <c r="D816" s="559"/>
      <c r="E816" s="559"/>
      <c r="F816" s="559"/>
      <c r="G816" s="559"/>
      <c r="H816" s="559"/>
      <c r="I816" s="559"/>
      <c r="J816" s="559"/>
      <c r="K816" s="559"/>
      <c r="L816" s="559"/>
      <c r="M816" s="559"/>
      <c r="N816" s="559"/>
      <c r="O816" s="559"/>
      <c r="P816" s="559"/>
      <c r="Q816" s="559"/>
      <c r="R816" s="559"/>
      <c r="S816" s="559"/>
      <c r="T816" s="559"/>
      <c r="U816" s="559"/>
      <c r="V816" s="559"/>
      <c r="W816" s="559"/>
      <c r="X816" s="559"/>
      <c r="Y816" s="559"/>
      <c r="Z816" s="559"/>
      <c r="AA816" s="559"/>
      <c r="AB816" s="559"/>
      <c r="AC816" s="559"/>
      <c r="AD816" s="559"/>
      <c r="AE816" s="559"/>
    </row>
    <row r="817" spans="1:31" ht="18" customHeight="1" x14ac:dyDescent="0.35">
      <c r="A817" s="559"/>
      <c r="B817" s="559"/>
      <c r="C817" s="559"/>
      <c r="D817" s="559"/>
      <c r="E817" s="559"/>
      <c r="F817" s="559"/>
      <c r="G817" s="559"/>
      <c r="H817" s="559"/>
      <c r="I817" s="559"/>
      <c r="J817" s="559"/>
      <c r="K817" s="559"/>
      <c r="L817" s="559"/>
      <c r="M817" s="559"/>
      <c r="N817" s="559"/>
      <c r="O817" s="559"/>
      <c r="P817" s="559"/>
      <c r="Q817" s="559"/>
      <c r="R817" s="559"/>
      <c r="S817" s="559"/>
      <c r="T817" s="559"/>
      <c r="U817" s="559"/>
      <c r="V817" s="559"/>
      <c r="W817" s="559"/>
      <c r="X817" s="559"/>
      <c r="Y817" s="559"/>
      <c r="Z817" s="559"/>
      <c r="AA817" s="559"/>
      <c r="AB817" s="559"/>
      <c r="AC817" s="559"/>
      <c r="AD817" s="559"/>
      <c r="AE817" s="559"/>
    </row>
    <row r="818" spans="1:31" ht="18" customHeight="1" x14ac:dyDescent="0.35">
      <c r="A818" s="559"/>
      <c r="B818" s="559"/>
      <c r="C818" s="559"/>
      <c r="D818" s="559"/>
      <c r="E818" s="559"/>
      <c r="F818" s="559"/>
      <c r="G818" s="559"/>
      <c r="H818" s="559"/>
      <c r="I818" s="559"/>
      <c r="J818" s="559"/>
      <c r="K818" s="559"/>
      <c r="L818" s="559"/>
      <c r="M818" s="559"/>
      <c r="N818" s="559"/>
      <c r="O818" s="559"/>
      <c r="P818" s="559"/>
      <c r="Q818" s="559"/>
      <c r="R818" s="559"/>
      <c r="S818" s="559"/>
      <c r="T818" s="559"/>
      <c r="U818" s="559"/>
      <c r="V818" s="559"/>
      <c r="W818" s="559"/>
      <c r="X818" s="559"/>
      <c r="Y818" s="559"/>
      <c r="Z818" s="559"/>
      <c r="AA818" s="559"/>
      <c r="AB818" s="559"/>
      <c r="AC818" s="559"/>
      <c r="AD818" s="559"/>
      <c r="AE818" s="559"/>
    </row>
    <row r="819" spans="1:31" ht="18" customHeight="1" x14ac:dyDescent="0.35">
      <c r="A819" s="559"/>
      <c r="B819" s="559"/>
      <c r="C819" s="559"/>
      <c r="D819" s="559"/>
      <c r="E819" s="559"/>
      <c r="F819" s="559"/>
      <c r="G819" s="559"/>
      <c r="H819" s="559"/>
      <c r="I819" s="559"/>
      <c r="J819" s="559"/>
      <c r="K819" s="559"/>
      <c r="L819" s="559"/>
      <c r="M819" s="559"/>
      <c r="N819" s="559"/>
      <c r="O819" s="559"/>
      <c r="P819" s="559"/>
      <c r="Q819" s="559"/>
      <c r="R819" s="559"/>
      <c r="S819" s="559"/>
      <c r="T819" s="559"/>
      <c r="U819" s="559"/>
      <c r="V819" s="559"/>
      <c r="W819" s="559"/>
      <c r="X819" s="559"/>
      <c r="Y819" s="559"/>
      <c r="Z819" s="559"/>
      <c r="AA819" s="559"/>
      <c r="AB819" s="559"/>
      <c r="AC819" s="559"/>
      <c r="AD819" s="559"/>
      <c r="AE819" s="559"/>
    </row>
    <row r="820" spans="1:31" ht="18" customHeight="1" x14ac:dyDescent="0.35">
      <c r="A820" s="559"/>
      <c r="B820" s="559"/>
      <c r="C820" s="559"/>
      <c r="D820" s="559"/>
      <c r="E820" s="559"/>
      <c r="F820" s="559"/>
      <c r="G820" s="559"/>
      <c r="H820" s="559"/>
      <c r="I820" s="559"/>
      <c r="J820" s="559"/>
      <c r="K820" s="559"/>
      <c r="L820" s="559"/>
      <c r="M820" s="559"/>
      <c r="N820" s="559"/>
      <c r="O820" s="559"/>
      <c r="P820" s="559"/>
      <c r="Q820" s="559"/>
      <c r="R820" s="559"/>
      <c r="S820" s="559"/>
      <c r="T820" s="559"/>
      <c r="U820" s="559"/>
      <c r="V820" s="559"/>
      <c r="W820" s="559"/>
      <c r="X820" s="559"/>
      <c r="Y820" s="559"/>
      <c r="Z820" s="559"/>
      <c r="AA820" s="559"/>
      <c r="AB820" s="559"/>
      <c r="AC820" s="559"/>
      <c r="AD820" s="559"/>
      <c r="AE820" s="559"/>
    </row>
    <row r="821" spans="1:31" ht="18" customHeight="1" x14ac:dyDescent="0.35">
      <c r="A821" s="559"/>
      <c r="B821" s="559"/>
      <c r="C821" s="559"/>
      <c r="D821" s="559"/>
      <c r="E821" s="559"/>
      <c r="F821" s="559"/>
      <c r="G821" s="559"/>
      <c r="H821" s="559"/>
      <c r="I821" s="559"/>
      <c r="J821" s="559"/>
      <c r="K821" s="559"/>
      <c r="L821" s="559"/>
      <c r="M821" s="559"/>
      <c r="N821" s="559"/>
      <c r="O821" s="559"/>
      <c r="P821" s="559"/>
      <c r="Q821" s="559"/>
      <c r="R821" s="559"/>
      <c r="S821" s="559"/>
      <c r="T821" s="559"/>
      <c r="U821" s="559"/>
      <c r="V821" s="559"/>
      <c r="W821" s="559"/>
      <c r="X821" s="559"/>
      <c r="Y821" s="559"/>
      <c r="Z821" s="559"/>
      <c r="AA821" s="559"/>
      <c r="AB821" s="559"/>
      <c r="AC821" s="559"/>
      <c r="AD821" s="559"/>
      <c r="AE821" s="559"/>
    </row>
    <row r="822" spans="1:31" ht="18" customHeight="1" x14ac:dyDescent="0.35">
      <c r="A822" s="559"/>
      <c r="B822" s="559"/>
      <c r="C822" s="559"/>
      <c r="D822" s="559"/>
      <c r="E822" s="559"/>
      <c r="F822" s="559"/>
      <c r="G822" s="559"/>
      <c r="H822" s="559"/>
      <c r="I822" s="559"/>
      <c r="J822" s="559"/>
      <c r="K822" s="559"/>
      <c r="L822" s="559"/>
      <c r="M822" s="559"/>
      <c r="N822" s="559"/>
      <c r="O822" s="559"/>
      <c r="P822" s="559"/>
      <c r="Q822" s="559"/>
      <c r="R822" s="559"/>
      <c r="S822" s="559"/>
      <c r="T822" s="559"/>
      <c r="U822" s="559"/>
      <c r="V822" s="559"/>
      <c r="W822" s="559"/>
      <c r="X822" s="559"/>
      <c r="Y822" s="559"/>
      <c r="Z822" s="559"/>
      <c r="AA822" s="559"/>
      <c r="AB822" s="559"/>
      <c r="AC822" s="559"/>
      <c r="AD822" s="559"/>
      <c r="AE822" s="559"/>
    </row>
    <row r="823" spans="1:31" ht="18" customHeight="1" x14ac:dyDescent="0.35">
      <c r="A823" s="559"/>
      <c r="B823" s="559"/>
      <c r="C823" s="559"/>
      <c r="D823" s="559"/>
      <c r="E823" s="559"/>
      <c r="F823" s="559"/>
      <c r="G823" s="559"/>
      <c r="H823" s="559"/>
      <c r="I823" s="559"/>
      <c r="J823" s="559"/>
      <c r="K823" s="559"/>
      <c r="L823" s="559"/>
      <c r="M823" s="559"/>
      <c r="N823" s="559"/>
      <c r="O823" s="559"/>
      <c r="P823" s="559"/>
      <c r="Q823" s="559"/>
      <c r="R823" s="559"/>
      <c r="S823" s="559"/>
      <c r="T823" s="559"/>
      <c r="U823" s="559"/>
      <c r="V823" s="559"/>
      <c r="W823" s="559"/>
      <c r="X823" s="559"/>
      <c r="Y823" s="559"/>
      <c r="Z823" s="559"/>
      <c r="AA823" s="559"/>
      <c r="AB823" s="559"/>
      <c r="AC823" s="559"/>
      <c r="AD823" s="559"/>
      <c r="AE823" s="559"/>
    </row>
    <row r="824" spans="1:31" ht="18" customHeight="1" x14ac:dyDescent="0.35">
      <c r="A824" s="559"/>
      <c r="B824" s="559"/>
      <c r="C824" s="559"/>
      <c r="D824" s="559"/>
      <c r="E824" s="559"/>
      <c r="F824" s="559"/>
      <c r="G824" s="559"/>
      <c r="H824" s="559"/>
      <c r="I824" s="559"/>
      <c r="J824" s="559"/>
      <c r="K824" s="559"/>
      <c r="L824" s="559"/>
      <c r="M824" s="559"/>
      <c r="N824" s="559"/>
      <c r="O824" s="559"/>
      <c r="P824" s="559"/>
      <c r="Q824" s="559"/>
      <c r="R824" s="559"/>
      <c r="S824" s="559"/>
      <c r="T824" s="559"/>
      <c r="U824" s="559"/>
      <c r="V824" s="559"/>
      <c r="W824" s="559"/>
      <c r="X824" s="559"/>
      <c r="Y824" s="559"/>
      <c r="Z824" s="559"/>
      <c r="AA824" s="559"/>
      <c r="AB824" s="559"/>
      <c r="AC824" s="559"/>
      <c r="AD824" s="559"/>
      <c r="AE824" s="559"/>
    </row>
    <row r="825" spans="1:31" ht="18" customHeight="1" x14ac:dyDescent="0.35">
      <c r="A825" s="559"/>
      <c r="B825" s="559"/>
      <c r="C825" s="559"/>
      <c r="D825" s="559"/>
      <c r="E825" s="559"/>
      <c r="F825" s="559"/>
      <c r="G825" s="559"/>
      <c r="H825" s="559"/>
      <c r="I825" s="559"/>
      <c r="J825" s="559"/>
      <c r="K825" s="559"/>
      <c r="L825" s="559"/>
      <c r="M825" s="559"/>
      <c r="N825" s="559"/>
      <c r="O825" s="559"/>
      <c r="P825" s="559"/>
      <c r="Q825" s="559"/>
      <c r="R825" s="559"/>
      <c r="S825" s="559"/>
      <c r="T825" s="559"/>
      <c r="U825" s="559"/>
      <c r="V825" s="559"/>
      <c r="W825" s="559"/>
      <c r="X825" s="559"/>
      <c r="Y825" s="559"/>
      <c r="Z825" s="559"/>
      <c r="AA825" s="559"/>
      <c r="AB825" s="559"/>
      <c r="AC825" s="559"/>
      <c r="AD825" s="559"/>
      <c r="AE825" s="559"/>
    </row>
    <row r="826" spans="1:31" ht="18" customHeight="1" x14ac:dyDescent="0.35">
      <c r="A826" s="559"/>
      <c r="B826" s="559"/>
      <c r="C826" s="559"/>
      <c r="D826" s="559"/>
      <c r="E826" s="559"/>
      <c r="F826" s="559"/>
      <c r="G826" s="559"/>
      <c r="H826" s="559"/>
      <c r="I826" s="559"/>
      <c r="J826" s="559"/>
      <c r="K826" s="559"/>
      <c r="L826" s="559"/>
      <c r="M826" s="559"/>
      <c r="N826" s="559"/>
      <c r="O826" s="559"/>
      <c r="P826" s="559"/>
      <c r="Q826" s="559"/>
      <c r="R826" s="559"/>
      <c r="S826" s="559"/>
      <c r="T826" s="559"/>
      <c r="U826" s="559"/>
      <c r="V826" s="559"/>
      <c r="W826" s="559"/>
      <c r="X826" s="559"/>
      <c r="Y826" s="559"/>
      <c r="Z826" s="559"/>
      <c r="AA826" s="559"/>
      <c r="AB826" s="559"/>
      <c r="AC826" s="559"/>
      <c r="AD826" s="559"/>
      <c r="AE826" s="559"/>
    </row>
    <row r="827" spans="1:31" ht="18" customHeight="1" x14ac:dyDescent="0.35">
      <c r="A827" s="559"/>
      <c r="B827" s="559"/>
      <c r="C827" s="559"/>
      <c r="D827" s="559"/>
      <c r="E827" s="559"/>
      <c r="F827" s="559"/>
      <c r="G827" s="559"/>
      <c r="H827" s="559"/>
      <c r="I827" s="559"/>
      <c r="J827" s="559"/>
      <c r="K827" s="559"/>
      <c r="L827" s="559"/>
      <c r="M827" s="559"/>
      <c r="N827" s="559"/>
      <c r="O827" s="559"/>
      <c r="P827" s="559"/>
      <c r="Q827" s="559"/>
      <c r="R827" s="559"/>
      <c r="S827" s="559"/>
      <c r="T827" s="559"/>
      <c r="U827" s="559"/>
      <c r="V827" s="559"/>
      <c r="W827" s="559"/>
      <c r="X827" s="559"/>
      <c r="Y827" s="559"/>
      <c r="Z827" s="559"/>
      <c r="AA827" s="559"/>
      <c r="AB827" s="559"/>
      <c r="AC827" s="559"/>
      <c r="AD827" s="559"/>
      <c r="AE827" s="559"/>
    </row>
    <row r="828" spans="1:31" ht="18" customHeight="1" x14ac:dyDescent="0.35">
      <c r="A828" s="559"/>
      <c r="B828" s="559"/>
      <c r="C828" s="559"/>
      <c r="D828" s="559"/>
      <c r="E828" s="559"/>
      <c r="F828" s="559"/>
      <c r="G828" s="559"/>
      <c r="H828" s="559"/>
      <c r="I828" s="559"/>
      <c r="J828" s="559"/>
      <c r="K828" s="559"/>
      <c r="L828" s="559"/>
      <c r="M828" s="559"/>
      <c r="N828" s="559"/>
      <c r="O828" s="559"/>
      <c r="P828" s="559"/>
      <c r="Q828" s="559"/>
      <c r="R828" s="559"/>
      <c r="S828" s="559"/>
      <c r="T828" s="559"/>
      <c r="U828" s="559"/>
      <c r="V828" s="559"/>
      <c r="W828" s="559"/>
      <c r="X828" s="559"/>
      <c r="Y828" s="559"/>
      <c r="Z828" s="559"/>
      <c r="AA828" s="559"/>
      <c r="AB828" s="559"/>
      <c r="AC828" s="559"/>
      <c r="AD828" s="559"/>
      <c r="AE828" s="559"/>
    </row>
    <row r="829" spans="1:31" ht="18" customHeight="1" x14ac:dyDescent="0.35">
      <c r="A829" s="559"/>
      <c r="B829" s="559"/>
      <c r="C829" s="559"/>
      <c r="D829" s="559"/>
      <c r="E829" s="559"/>
      <c r="F829" s="559"/>
      <c r="G829" s="559"/>
      <c r="H829" s="559"/>
      <c r="I829" s="559"/>
      <c r="J829" s="559"/>
      <c r="K829" s="559"/>
      <c r="L829" s="559"/>
      <c r="M829" s="559"/>
      <c r="N829" s="559"/>
      <c r="O829" s="559"/>
      <c r="P829" s="559"/>
      <c r="Q829" s="559"/>
      <c r="R829" s="559"/>
      <c r="S829" s="559"/>
      <c r="T829" s="559"/>
      <c r="U829" s="559"/>
      <c r="V829" s="559"/>
      <c r="W829" s="559"/>
      <c r="X829" s="559"/>
      <c r="Y829" s="559"/>
      <c r="Z829" s="559"/>
      <c r="AA829" s="559"/>
      <c r="AB829" s="559"/>
      <c r="AC829" s="559"/>
      <c r="AD829" s="559"/>
      <c r="AE829" s="559"/>
    </row>
    <row r="830" spans="1:31" ht="18" customHeight="1" x14ac:dyDescent="0.35">
      <c r="A830" s="559"/>
      <c r="B830" s="559"/>
      <c r="C830" s="559"/>
      <c r="D830" s="559"/>
      <c r="E830" s="559"/>
      <c r="F830" s="559"/>
      <c r="G830" s="559"/>
      <c r="H830" s="559"/>
      <c r="I830" s="559"/>
      <c r="J830" s="559"/>
      <c r="K830" s="559"/>
      <c r="L830" s="559"/>
      <c r="M830" s="559"/>
      <c r="N830" s="559"/>
      <c r="O830" s="559"/>
      <c r="P830" s="559"/>
      <c r="Q830" s="559"/>
      <c r="R830" s="559"/>
      <c r="S830" s="559"/>
      <c r="T830" s="559"/>
      <c r="U830" s="559"/>
      <c r="V830" s="559"/>
      <c r="W830" s="559"/>
      <c r="X830" s="559"/>
      <c r="Y830" s="559"/>
      <c r="Z830" s="559"/>
      <c r="AA830" s="559"/>
      <c r="AB830" s="559"/>
      <c r="AC830" s="559"/>
      <c r="AD830" s="559"/>
      <c r="AE830" s="559"/>
    </row>
    <row r="831" spans="1:31" ht="18" customHeight="1" x14ac:dyDescent="0.35">
      <c r="A831" s="559"/>
      <c r="B831" s="559"/>
      <c r="C831" s="559"/>
      <c r="D831" s="559"/>
      <c r="E831" s="559"/>
      <c r="F831" s="559"/>
      <c r="G831" s="559"/>
      <c r="H831" s="559"/>
      <c r="I831" s="559"/>
      <c r="J831" s="559"/>
      <c r="K831" s="559"/>
      <c r="L831" s="559"/>
      <c r="M831" s="559"/>
      <c r="N831" s="559"/>
      <c r="O831" s="559"/>
      <c r="P831" s="559"/>
      <c r="Q831" s="559"/>
      <c r="R831" s="559"/>
      <c r="S831" s="559"/>
      <c r="T831" s="559"/>
      <c r="U831" s="559"/>
      <c r="V831" s="559"/>
      <c r="W831" s="559"/>
      <c r="X831" s="559"/>
      <c r="Y831" s="559"/>
      <c r="Z831" s="559"/>
      <c r="AA831" s="559"/>
      <c r="AB831" s="559"/>
      <c r="AC831" s="559"/>
      <c r="AD831" s="559"/>
      <c r="AE831" s="559"/>
    </row>
    <row r="832" spans="1:31" ht="18" customHeight="1" x14ac:dyDescent="0.35">
      <c r="A832" s="559"/>
      <c r="B832" s="559"/>
      <c r="C832" s="559"/>
      <c r="D832" s="559"/>
      <c r="E832" s="559"/>
      <c r="F832" s="559"/>
      <c r="G832" s="559"/>
      <c r="H832" s="559"/>
      <c r="I832" s="559"/>
      <c r="J832" s="559"/>
      <c r="K832" s="559"/>
      <c r="L832" s="559"/>
      <c r="M832" s="559"/>
      <c r="N832" s="559"/>
      <c r="O832" s="559"/>
      <c r="P832" s="559"/>
      <c r="Q832" s="559"/>
      <c r="R832" s="559"/>
      <c r="S832" s="559"/>
      <c r="T832" s="559"/>
      <c r="U832" s="559"/>
      <c r="V832" s="559"/>
      <c r="W832" s="559"/>
      <c r="X832" s="559"/>
      <c r="Y832" s="559"/>
      <c r="Z832" s="559"/>
      <c r="AA832" s="559"/>
      <c r="AB832" s="559"/>
      <c r="AC832" s="559"/>
      <c r="AD832" s="559"/>
      <c r="AE832" s="559"/>
    </row>
    <row r="833" spans="1:31" ht="18" customHeight="1" x14ac:dyDescent="0.35">
      <c r="A833" s="559"/>
      <c r="B833" s="559"/>
      <c r="C833" s="559"/>
      <c r="D833" s="559"/>
      <c r="E833" s="559"/>
      <c r="F833" s="559"/>
      <c r="G833" s="559"/>
      <c r="H833" s="559"/>
      <c r="I833" s="559"/>
      <c r="J833" s="559"/>
      <c r="K833" s="559"/>
      <c r="L833" s="559"/>
      <c r="M833" s="559"/>
      <c r="N833" s="559"/>
      <c r="O833" s="559"/>
      <c r="P833" s="559"/>
      <c r="Q833" s="559"/>
      <c r="R833" s="559"/>
      <c r="S833" s="559"/>
      <c r="T833" s="559"/>
      <c r="U833" s="559"/>
      <c r="V833" s="559"/>
      <c r="W833" s="559"/>
      <c r="X833" s="559"/>
      <c r="Y833" s="559"/>
      <c r="Z833" s="559"/>
      <c r="AA833" s="559"/>
      <c r="AB833" s="559"/>
      <c r="AC833" s="559"/>
      <c r="AD833" s="559"/>
      <c r="AE833" s="559"/>
    </row>
    <row r="834" spans="1:31" ht="18" customHeight="1" x14ac:dyDescent="0.35">
      <c r="A834" s="559"/>
      <c r="B834" s="559"/>
      <c r="C834" s="559"/>
      <c r="D834" s="559"/>
      <c r="E834" s="559"/>
      <c r="F834" s="559"/>
      <c r="G834" s="559"/>
      <c r="H834" s="559"/>
      <c r="I834" s="559"/>
      <c r="J834" s="559"/>
      <c r="K834" s="559"/>
      <c r="L834" s="559"/>
      <c r="M834" s="559"/>
      <c r="N834" s="559"/>
      <c r="O834" s="559"/>
      <c r="P834" s="559"/>
      <c r="Q834" s="559"/>
      <c r="R834" s="559"/>
      <c r="S834" s="559"/>
      <c r="T834" s="559"/>
      <c r="U834" s="559"/>
      <c r="V834" s="559"/>
      <c r="W834" s="559"/>
      <c r="X834" s="559"/>
      <c r="Y834" s="559"/>
      <c r="Z834" s="559"/>
      <c r="AA834" s="559"/>
      <c r="AB834" s="559"/>
      <c r="AC834" s="559"/>
      <c r="AD834" s="559"/>
      <c r="AE834" s="559"/>
    </row>
    <row r="835" spans="1:31" ht="18" customHeight="1" x14ac:dyDescent="0.35">
      <c r="A835" s="559"/>
      <c r="B835" s="559"/>
      <c r="C835" s="559"/>
      <c r="D835" s="559"/>
      <c r="E835" s="559"/>
      <c r="F835" s="559"/>
      <c r="G835" s="559"/>
      <c r="H835" s="559"/>
      <c r="I835" s="559"/>
      <c r="J835" s="559"/>
      <c r="K835" s="559"/>
      <c r="L835" s="559"/>
      <c r="M835" s="559"/>
      <c r="N835" s="559"/>
      <c r="O835" s="559"/>
      <c r="P835" s="559"/>
      <c r="Q835" s="559"/>
      <c r="R835" s="559"/>
      <c r="S835" s="559"/>
      <c r="T835" s="559"/>
      <c r="U835" s="559"/>
      <c r="V835" s="559"/>
      <c r="W835" s="559"/>
      <c r="X835" s="559"/>
      <c r="Y835" s="559"/>
      <c r="Z835" s="559"/>
      <c r="AA835" s="559"/>
      <c r="AB835" s="559"/>
      <c r="AC835" s="559"/>
      <c r="AD835" s="559"/>
      <c r="AE835" s="559"/>
    </row>
    <row r="836" spans="1:31" ht="18" customHeight="1" x14ac:dyDescent="0.35">
      <c r="A836" s="559"/>
      <c r="B836" s="559"/>
      <c r="C836" s="559"/>
      <c r="D836" s="559"/>
      <c r="E836" s="559"/>
      <c r="F836" s="559"/>
      <c r="G836" s="559"/>
      <c r="H836" s="559"/>
      <c r="I836" s="559"/>
      <c r="J836" s="559"/>
      <c r="K836" s="559"/>
      <c r="L836" s="559"/>
      <c r="M836" s="559"/>
      <c r="N836" s="559"/>
      <c r="O836" s="559"/>
      <c r="P836" s="559"/>
      <c r="Q836" s="559"/>
      <c r="R836" s="559"/>
      <c r="S836" s="559"/>
      <c r="T836" s="559"/>
      <c r="U836" s="559"/>
      <c r="V836" s="559"/>
      <c r="W836" s="559"/>
      <c r="X836" s="559"/>
      <c r="Y836" s="559"/>
      <c r="Z836" s="559"/>
      <c r="AA836" s="559"/>
      <c r="AB836" s="559"/>
      <c r="AC836" s="559"/>
      <c r="AD836" s="559"/>
      <c r="AE836" s="559"/>
    </row>
    <row r="837" spans="1:31" ht="18" customHeight="1" x14ac:dyDescent="0.35">
      <c r="A837" s="559"/>
      <c r="B837" s="559"/>
      <c r="C837" s="559"/>
      <c r="D837" s="559"/>
      <c r="E837" s="559"/>
      <c r="F837" s="559"/>
      <c r="G837" s="559"/>
      <c r="H837" s="559"/>
      <c r="I837" s="559"/>
      <c r="J837" s="559"/>
      <c r="K837" s="559"/>
      <c r="L837" s="559"/>
      <c r="M837" s="559"/>
      <c r="N837" s="559"/>
      <c r="O837" s="559"/>
      <c r="P837" s="559"/>
      <c r="Q837" s="559"/>
      <c r="R837" s="559"/>
      <c r="S837" s="559"/>
      <c r="T837" s="559"/>
      <c r="U837" s="559"/>
      <c r="V837" s="559"/>
      <c r="W837" s="559"/>
      <c r="X837" s="559"/>
      <c r="Y837" s="559"/>
      <c r="Z837" s="559"/>
      <c r="AA837" s="559"/>
      <c r="AB837" s="559"/>
      <c r="AC837" s="559"/>
      <c r="AD837" s="559"/>
      <c r="AE837" s="559"/>
    </row>
    <row r="838" spans="1:31" ht="18" customHeight="1" x14ac:dyDescent="0.35">
      <c r="A838" s="559"/>
      <c r="B838" s="559"/>
      <c r="C838" s="559"/>
      <c r="D838" s="559"/>
      <c r="E838" s="559"/>
      <c r="F838" s="559"/>
      <c r="G838" s="559"/>
      <c r="H838" s="559"/>
      <c r="I838" s="559"/>
      <c r="J838" s="559"/>
      <c r="K838" s="559"/>
      <c r="L838" s="559"/>
      <c r="M838" s="559"/>
      <c r="N838" s="559"/>
      <c r="O838" s="559"/>
      <c r="P838" s="559"/>
      <c r="Q838" s="559"/>
      <c r="R838" s="559"/>
      <c r="S838" s="559"/>
      <c r="T838" s="559"/>
      <c r="U838" s="559"/>
      <c r="V838" s="559"/>
      <c r="W838" s="559"/>
      <c r="X838" s="559"/>
      <c r="Y838" s="559"/>
      <c r="Z838" s="559"/>
      <c r="AA838" s="559"/>
      <c r="AB838" s="559"/>
      <c r="AC838" s="559"/>
      <c r="AD838" s="559"/>
      <c r="AE838" s="559"/>
    </row>
    <row r="839" spans="1:31" ht="18" customHeight="1" x14ac:dyDescent="0.35">
      <c r="A839" s="559"/>
      <c r="B839" s="559"/>
      <c r="C839" s="559"/>
      <c r="D839" s="559"/>
      <c r="E839" s="559"/>
      <c r="F839" s="559"/>
      <c r="G839" s="559"/>
      <c r="H839" s="559"/>
      <c r="I839" s="559"/>
      <c r="J839" s="559"/>
      <c r="K839" s="559"/>
      <c r="L839" s="559"/>
      <c r="M839" s="559"/>
      <c r="N839" s="559"/>
      <c r="O839" s="559"/>
      <c r="P839" s="559"/>
      <c r="Q839" s="559"/>
      <c r="R839" s="559"/>
      <c r="S839" s="559"/>
      <c r="T839" s="559"/>
      <c r="U839" s="559"/>
      <c r="V839" s="559"/>
      <c r="W839" s="559"/>
      <c r="X839" s="559"/>
      <c r="Y839" s="559"/>
      <c r="Z839" s="559"/>
      <c r="AA839" s="559"/>
      <c r="AB839" s="559"/>
      <c r="AC839" s="559"/>
      <c r="AD839" s="559"/>
      <c r="AE839" s="559"/>
    </row>
    <row r="840" spans="1:31" ht="18" customHeight="1" x14ac:dyDescent="0.35">
      <c r="A840" s="559"/>
      <c r="B840" s="559"/>
      <c r="C840" s="559"/>
      <c r="D840" s="559"/>
      <c r="E840" s="559"/>
      <c r="F840" s="559"/>
      <c r="G840" s="559"/>
      <c r="H840" s="559"/>
      <c r="I840" s="559"/>
      <c r="J840" s="559"/>
      <c r="K840" s="559"/>
      <c r="L840" s="559"/>
      <c r="M840" s="559"/>
      <c r="N840" s="559"/>
      <c r="O840" s="559"/>
      <c r="P840" s="559"/>
      <c r="Q840" s="559"/>
      <c r="R840" s="559"/>
      <c r="S840" s="559"/>
      <c r="T840" s="559"/>
      <c r="U840" s="559"/>
      <c r="V840" s="559"/>
      <c r="W840" s="559"/>
      <c r="X840" s="559"/>
      <c r="Y840" s="559"/>
      <c r="Z840" s="559"/>
      <c r="AA840" s="559"/>
      <c r="AB840" s="559"/>
      <c r="AC840" s="559"/>
      <c r="AD840" s="559"/>
      <c r="AE840" s="559"/>
    </row>
    <row r="841" spans="1:31" ht="18" customHeight="1" x14ac:dyDescent="0.35">
      <c r="A841" s="559"/>
      <c r="B841" s="559"/>
      <c r="C841" s="559"/>
      <c r="D841" s="559"/>
      <c r="E841" s="559"/>
      <c r="F841" s="559"/>
      <c r="G841" s="559"/>
      <c r="H841" s="559"/>
      <c r="I841" s="559"/>
      <c r="J841" s="559"/>
      <c r="K841" s="559"/>
      <c r="L841" s="559"/>
      <c r="M841" s="559"/>
      <c r="N841" s="559"/>
      <c r="O841" s="559"/>
      <c r="P841" s="559"/>
      <c r="Q841" s="559"/>
      <c r="R841" s="559"/>
      <c r="S841" s="559"/>
      <c r="T841" s="559"/>
      <c r="U841" s="559"/>
      <c r="V841" s="559"/>
      <c r="W841" s="559"/>
      <c r="X841" s="559"/>
      <c r="Y841" s="559"/>
      <c r="Z841" s="559"/>
      <c r="AA841" s="559"/>
      <c r="AB841" s="559"/>
      <c r="AC841" s="559"/>
      <c r="AD841" s="559"/>
      <c r="AE841" s="559"/>
    </row>
    <row r="842" spans="1:31" ht="18" customHeight="1" x14ac:dyDescent="0.35">
      <c r="A842" s="559"/>
      <c r="B842" s="559"/>
      <c r="C842" s="559"/>
      <c r="D842" s="559"/>
      <c r="E842" s="559"/>
      <c r="F842" s="559"/>
      <c r="G842" s="559"/>
      <c r="H842" s="559"/>
      <c r="I842" s="559"/>
      <c r="J842" s="559"/>
      <c r="K842" s="559"/>
      <c r="L842" s="559"/>
      <c r="M842" s="559"/>
      <c r="N842" s="559"/>
      <c r="O842" s="559"/>
      <c r="P842" s="559"/>
      <c r="Q842" s="559"/>
      <c r="R842" s="559"/>
      <c r="S842" s="559"/>
      <c r="T842" s="559"/>
      <c r="U842" s="559"/>
      <c r="V842" s="559"/>
      <c r="W842" s="559"/>
      <c r="X842" s="559"/>
      <c r="Y842" s="559"/>
      <c r="Z842" s="559"/>
      <c r="AA842" s="559"/>
      <c r="AB842" s="559"/>
      <c r="AC842" s="559"/>
      <c r="AD842" s="559"/>
      <c r="AE842" s="559"/>
    </row>
    <row r="843" spans="1:31" ht="18" customHeight="1" x14ac:dyDescent="0.35">
      <c r="A843" s="559"/>
      <c r="B843" s="559"/>
      <c r="C843" s="559"/>
      <c r="D843" s="559"/>
      <c r="E843" s="559"/>
      <c r="F843" s="559"/>
      <c r="G843" s="559"/>
      <c r="H843" s="559"/>
      <c r="I843" s="559"/>
      <c r="J843" s="559"/>
      <c r="K843" s="559"/>
      <c r="L843" s="559"/>
      <c r="M843" s="559"/>
      <c r="N843" s="559"/>
      <c r="O843" s="559"/>
      <c r="P843" s="559"/>
      <c r="Q843" s="559"/>
      <c r="R843" s="559"/>
      <c r="S843" s="559"/>
      <c r="T843" s="559"/>
      <c r="U843" s="559"/>
      <c r="V843" s="559"/>
      <c r="W843" s="559"/>
      <c r="X843" s="559"/>
      <c r="Y843" s="559"/>
      <c r="Z843" s="559"/>
      <c r="AA843" s="559"/>
      <c r="AB843" s="559"/>
      <c r="AC843" s="559"/>
      <c r="AD843" s="559"/>
      <c r="AE843" s="559"/>
    </row>
    <row r="844" spans="1:31" ht="18" customHeight="1" x14ac:dyDescent="0.35">
      <c r="A844" s="559"/>
      <c r="B844" s="559"/>
      <c r="C844" s="559"/>
      <c r="D844" s="559"/>
      <c r="E844" s="559"/>
      <c r="F844" s="559"/>
      <c r="G844" s="559"/>
      <c r="H844" s="559"/>
      <c r="I844" s="559"/>
      <c r="J844" s="559"/>
      <c r="K844" s="559"/>
      <c r="L844" s="559"/>
      <c r="M844" s="559"/>
      <c r="N844" s="559"/>
      <c r="O844" s="559"/>
      <c r="P844" s="559"/>
      <c r="Q844" s="559"/>
      <c r="R844" s="559"/>
      <c r="S844" s="559"/>
      <c r="T844" s="559"/>
      <c r="U844" s="559"/>
      <c r="V844" s="559"/>
      <c r="W844" s="559"/>
      <c r="X844" s="559"/>
      <c r="Y844" s="559"/>
      <c r="Z844" s="559"/>
      <c r="AA844" s="559"/>
      <c r="AB844" s="559"/>
      <c r="AC844" s="559"/>
      <c r="AD844" s="559"/>
      <c r="AE844" s="559"/>
    </row>
    <row r="845" spans="1:31" ht="18" customHeight="1" x14ac:dyDescent="0.35">
      <c r="A845" s="559"/>
      <c r="B845" s="559"/>
      <c r="C845" s="559"/>
      <c r="D845" s="559"/>
      <c r="E845" s="559"/>
      <c r="F845" s="559"/>
      <c r="G845" s="559"/>
      <c r="H845" s="559"/>
      <c r="I845" s="559"/>
      <c r="J845" s="559"/>
      <c r="K845" s="559"/>
      <c r="L845" s="559"/>
      <c r="M845" s="559"/>
      <c r="N845" s="559"/>
      <c r="O845" s="559"/>
      <c r="P845" s="559"/>
      <c r="Q845" s="559"/>
      <c r="R845" s="559"/>
      <c r="S845" s="559"/>
      <c r="T845" s="559"/>
      <c r="U845" s="559"/>
      <c r="V845" s="559"/>
      <c r="W845" s="559"/>
      <c r="X845" s="559"/>
      <c r="Y845" s="559"/>
      <c r="Z845" s="559"/>
      <c r="AA845" s="559"/>
      <c r="AB845" s="559"/>
      <c r="AC845" s="559"/>
      <c r="AD845" s="559"/>
      <c r="AE845" s="559"/>
    </row>
    <row r="846" spans="1:31" ht="18" customHeight="1" x14ac:dyDescent="0.35">
      <c r="A846" s="559"/>
      <c r="B846" s="559"/>
      <c r="C846" s="559"/>
      <c r="D846" s="559"/>
      <c r="E846" s="559"/>
      <c r="F846" s="559"/>
      <c r="G846" s="559"/>
      <c r="H846" s="559"/>
      <c r="I846" s="559"/>
      <c r="J846" s="559"/>
      <c r="K846" s="559"/>
      <c r="L846" s="559"/>
      <c r="M846" s="559"/>
      <c r="N846" s="559"/>
      <c r="O846" s="559"/>
      <c r="P846" s="559"/>
      <c r="Q846" s="559"/>
      <c r="R846" s="559"/>
      <c r="S846" s="559"/>
      <c r="T846" s="559"/>
      <c r="U846" s="559"/>
      <c r="V846" s="559"/>
      <c r="W846" s="559"/>
      <c r="X846" s="559"/>
      <c r="Y846" s="559"/>
      <c r="Z846" s="559"/>
      <c r="AA846" s="559"/>
      <c r="AB846" s="559"/>
      <c r="AC846" s="559"/>
      <c r="AD846" s="559"/>
      <c r="AE846" s="559"/>
    </row>
    <row r="847" spans="1:31" ht="18" customHeight="1" x14ac:dyDescent="0.35">
      <c r="A847" s="559"/>
      <c r="B847" s="559"/>
      <c r="C847" s="559"/>
      <c r="D847" s="559"/>
      <c r="E847" s="559"/>
      <c r="F847" s="559"/>
      <c r="G847" s="559"/>
      <c r="H847" s="559"/>
      <c r="I847" s="559"/>
      <c r="J847" s="559"/>
      <c r="K847" s="559"/>
      <c r="L847" s="559"/>
      <c r="M847" s="559"/>
      <c r="N847" s="559"/>
      <c r="O847" s="559"/>
      <c r="P847" s="559"/>
      <c r="Q847" s="559"/>
      <c r="R847" s="559"/>
      <c r="S847" s="559"/>
      <c r="T847" s="559"/>
      <c r="U847" s="559"/>
      <c r="V847" s="559"/>
      <c r="W847" s="559"/>
      <c r="X847" s="559"/>
      <c r="Y847" s="559"/>
      <c r="Z847" s="559"/>
      <c r="AA847" s="559"/>
      <c r="AB847" s="559"/>
      <c r="AC847" s="559"/>
      <c r="AD847" s="559"/>
      <c r="AE847" s="559"/>
    </row>
    <row r="848" spans="1:31" ht="18" customHeight="1" x14ac:dyDescent="0.35">
      <c r="A848" s="559"/>
      <c r="B848" s="559"/>
      <c r="C848" s="559"/>
      <c r="D848" s="559"/>
      <c r="E848" s="559"/>
      <c r="F848" s="559"/>
      <c r="G848" s="559"/>
      <c r="H848" s="559"/>
      <c r="I848" s="559"/>
      <c r="J848" s="559"/>
      <c r="K848" s="559"/>
      <c r="L848" s="559"/>
      <c r="M848" s="559"/>
      <c r="N848" s="559"/>
      <c r="O848" s="559"/>
      <c r="P848" s="559"/>
      <c r="Q848" s="559"/>
      <c r="R848" s="559"/>
      <c r="S848" s="559"/>
      <c r="T848" s="559"/>
      <c r="U848" s="559"/>
      <c r="V848" s="559"/>
      <c r="W848" s="559"/>
      <c r="X848" s="559"/>
      <c r="Y848" s="559"/>
      <c r="Z848" s="559"/>
      <c r="AA848" s="559"/>
      <c r="AB848" s="559"/>
      <c r="AC848" s="559"/>
      <c r="AD848" s="559"/>
      <c r="AE848" s="559"/>
    </row>
    <row r="849" spans="1:31" ht="18" customHeight="1" x14ac:dyDescent="0.35">
      <c r="A849" s="559"/>
      <c r="B849" s="559"/>
      <c r="C849" s="559"/>
      <c r="D849" s="559"/>
      <c r="E849" s="559"/>
      <c r="F849" s="559"/>
      <c r="G849" s="559"/>
      <c r="H849" s="559"/>
      <c r="I849" s="559"/>
      <c r="J849" s="559"/>
      <c r="K849" s="559"/>
      <c r="L849" s="559"/>
      <c r="M849" s="559"/>
      <c r="N849" s="559"/>
      <c r="O849" s="559"/>
      <c r="P849" s="559"/>
      <c r="Q849" s="559"/>
      <c r="R849" s="559"/>
      <c r="S849" s="559"/>
      <c r="T849" s="559"/>
      <c r="U849" s="559"/>
      <c r="V849" s="559"/>
      <c r="W849" s="559"/>
      <c r="X849" s="559"/>
      <c r="Y849" s="559"/>
      <c r="Z849" s="559"/>
      <c r="AA849" s="559"/>
      <c r="AB849" s="559"/>
      <c r="AC849" s="559"/>
      <c r="AD849" s="559"/>
      <c r="AE849" s="559"/>
    </row>
    <row r="850" spans="1:31" ht="18" customHeight="1" x14ac:dyDescent="0.35">
      <c r="A850" s="559"/>
      <c r="B850" s="559"/>
      <c r="C850" s="559"/>
      <c r="D850" s="559"/>
      <c r="E850" s="559"/>
      <c r="F850" s="559"/>
      <c r="G850" s="559"/>
      <c r="H850" s="559"/>
      <c r="I850" s="559"/>
      <c r="J850" s="559"/>
      <c r="K850" s="559"/>
      <c r="L850" s="559"/>
      <c r="M850" s="559"/>
      <c r="N850" s="559"/>
      <c r="O850" s="559"/>
      <c r="P850" s="559"/>
      <c r="Q850" s="559"/>
      <c r="R850" s="559"/>
      <c r="S850" s="559"/>
      <c r="T850" s="559"/>
      <c r="U850" s="559"/>
      <c r="V850" s="559"/>
      <c r="W850" s="559"/>
      <c r="X850" s="559"/>
      <c r="Y850" s="559"/>
      <c r="Z850" s="559"/>
      <c r="AA850" s="559"/>
      <c r="AB850" s="559"/>
      <c r="AC850" s="559"/>
      <c r="AD850" s="559"/>
      <c r="AE850" s="559"/>
    </row>
    <row r="851" spans="1:31" ht="18" customHeight="1" x14ac:dyDescent="0.35">
      <c r="A851" s="559"/>
      <c r="B851" s="559"/>
      <c r="C851" s="559"/>
      <c r="D851" s="559"/>
      <c r="E851" s="559"/>
      <c r="F851" s="559"/>
      <c r="G851" s="559"/>
      <c r="H851" s="559"/>
      <c r="I851" s="559"/>
      <c r="J851" s="559"/>
      <c r="K851" s="559"/>
      <c r="L851" s="559"/>
      <c r="M851" s="559"/>
      <c r="N851" s="559"/>
      <c r="O851" s="559"/>
      <c r="P851" s="559"/>
      <c r="Q851" s="559"/>
      <c r="R851" s="559"/>
      <c r="S851" s="559"/>
      <c r="T851" s="559"/>
      <c r="U851" s="559"/>
      <c r="V851" s="559"/>
      <c r="W851" s="559"/>
      <c r="X851" s="559"/>
      <c r="Y851" s="559"/>
      <c r="Z851" s="559"/>
      <c r="AA851" s="559"/>
      <c r="AB851" s="559"/>
      <c r="AC851" s="559"/>
      <c r="AD851" s="559"/>
      <c r="AE851" s="559"/>
    </row>
    <row r="852" spans="1:31" ht="18" customHeight="1" x14ac:dyDescent="0.35">
      <c r="A852" s="559"/>
      <c r="B852" s="559"/>
      <c r="C852" s="559"/>
      <c r="D852" s="559"/>
      <c r="E852" s="559"/>
      <c r="F852" s="559"/>
      <c r="G852" s="559"/>
      <c r="H852" s="559"/>
      <c r="I852" s="559"/>
      <c r="J852" s="559"/>
      <c r="K852" s="559"/>
      <c r="L852" s="559"/>
      <c r="M852" s="559"/>
      <c r="N852" s="559"/>
      <c r="O852" s="559"/>
      <c r="P852" s="559"/>
      <c r="Q852" s="559"/>
      <c r="R852" s="559"/>
      <c r="S852" s="559"/>
      <c r="T852" s="559"/>
      <c r="U852" s="559"/>
      <c r="V852" s="559"/>
      <c r="W852" s="559"/>
      <c r="X852" s="559"/>
      <c r="Y852" s="559"/>
      <c r="Z852" s="559"/>
      <c r="AA852" s="559"/>
      <c r="AB852" s="559"/>
      <c r="AC852" s="559"/>
      <c r="AD852" s="559"/>
      <c r="AE852" s="559"/>
    </row>
    <row r="853" spans="1:31" ht="18" customHeight="1" x14ac:dyDescent="0.35">
      <c r="A853" s="559"/>
      <c r="B853" s="559"/>
      <c r="C853" s="559"/>
      <c r="D853" s="559"/>
      <c r="E853" s="559"/>
      <c r="F853" s="559"/>
      <c r="G853" s="559"/>
      <c r="H853" s="559"/>
      <c r="I853" s="559"/>
      <c r="J853" s="559"/>
      <c r="K853" s="559"/>
      <c r="L853" s="559"/>
      <c r="M853" s="559"/>
      <c r="N853" s="559"/>
      <c r="O853" s="559"/>
      <c r="P853" s="559"/>
      <c r="Q853" s="559"/>
      <c r="R853" s="559"/>
      <c r="S853" s="559"/>
      <c r="T853" s="559"/>
      <c r="U853" s="559"/>
      <c r="V853" s="559"/>
      <c r="W853" s="559"/>
      <c r="X853" s="559"/>
      <c r="Y853" s="559"/>
      <c r="Z853" s="559"/>
      <c r="AA853" s="559"/>
      <c r="AB853" s="559"/>
      <c r="AC853" s="559"/>
      <c r="AD853" s="559"/>
      <c r="AE853" s="559"/>
    </row>
    <row r="854" spans="1:31" ht="18" customHeight="1" x14ac:dyDescent="0.35">
      <c r="A854" s="559"/>
      <c r="B854" s="559"/>
      <c r="C854" s="559"/>
      <c r="D854" s="559"/>
      <c r="E854" s="559"/>
      <c r="F854" s="559"/>
      <c r="G854" s="559"/>
      <c r="H854" s="559"/>
      <c r="I854" s="559"/>
      <c r="J854" s="559"/>
      <c r="K854" s="559"/>
      <c r="L854" s="559"/>
      <c r="M854" s="559"/>
      <c r="N854" s="559"/>
      <c r="O854" s="559"/>
      <c r="P854" s="559"/>
      <c r="Q854" s="559"/>
      <c r="R854" s="559"/>
      <c r="S854" s="559"/>
      <c r="T854" s="559"/>
      <c r="U854" s="559"/>
      <c r="V854" s="559"/>
      <c r="W854" s="559"/>
      <c r="X854" s="559"/>
      <c r="Y854" s="559"/>
      <c r="Z854" s="559"/>
      <c r="AA854" s="559"/>
      <c r="AB854" s="559"/>
      <c r="AC854" s="559"/>
      <c r="AD854" s="559"/>
      <c r="AE854" s="559"/>
    </row>
    <row r="855" spans="1:31" ht="18" customHeight="1" x14ac:dyDescent="0.35">
      <c r="A855" s="559"/>
      <c r="B855" s="559"/>
      <c r="C855" s="559"/>
      <c r="D855" s="559"/>
      <c r="E855" s="559"/>
      <c r="F855" s="559"/>
      <c r="G855" s="559"/>
      <c r="H855" s="559"/>
      <c r="I855" s="559"/>
      <c r="J855" s="559"/>
      <c r="K855" s="559"/>
      <c r="L855" s="559"/>
      <c r="M855" s="559"/>
      <c r="N855" s="559"/>
      <c r="O855" s="559"/>
      <c r="P855" s="559"/>
      <c r="Q855" s="559"/>
      <c r="R855" s="559"/>
      <c r="S855" s="559"/>
      <c r="T855" s="559"/>
      <c r="U855" s="559"/>
      <c r="V855" s="559"/>
      <c r="W855" s="559"/>
      <c r="X855" s="559"/>
      <c r="Y855" s="559"/>
      <c r="Z855" s="559"/>
      <c r="AA855" s="559"/>
      <c r="AB855" s="559"/>
      <c r="AC855" s="559"/>
      <c r="AD855" s="559"/>
      <c r="AE855" s="559"/>
    </row>
    <row r="856" spans="1:31" ht="18" customHeight="1" x14ac:dyDescent="0.35">
      <c r="A856" s="559"/>
      <c r="B856" s="559"/>
      <c r="C856" s="559"/>
      <c r="D856" s="559"/>
      <c r="E856" s="559"/>
      <c r="F856" s="559"/>
      <c r="G856" s="559"/>
      <c r="H856" s="559"/>
      <c r="I856" s="559"/>
      <c r="J856" s="559"/>
      <c r="K856" s="559"/>
      <c r="L856" s="559"/>
      <c r="M856" s="559"/>
      <c r="N856" s="559"/>
      <c r="O856" s="559"/>
      <c r="P856" s="559"/>
      <c r="Q856" s="559"/>
      <c r="R856" s="559"/>
      <c r="S856" s="559"/>
      <c r="T856" s="559"/>
      <c r="U856" s="559"/>
      <c r="V856" s="559"/>
      <c r="W856" s="559"/>
      <c r="X856" s="559"/>
      <c r="Y856" s="559"/>
      <c r="Z856" s="559"/>
      <c r="AA856" s="559"/>
      <c r="AB856" s="559"/>
      <c r="AC856" s="559"/>
      <c r="AD856" s="559"/>
      <c r="AE856" s="559"/>
    </row>
    <row r="857" spans="1:31" ht="18" customHeight="1" x14ac:dyDescent="0.35">
      <c r="A857" s="559"/>
      <c r="B857" s="559"/>
      <c r="C857" s="559"/>
      <c r="D857" s="559"/>
      <c r="E857" s="559"/>
      <c r="F857" s="559"/>
      <c r="G857" s="559"/>
      <c r="H857" s="559"/>
      <c r="I857" s="559"/>
      <c r="J857" s="559"/>
      <c r="K857" s="559"/>
      <c r="L857" s="559"/>
      <c r="M857" s="559"/>
      <c r="N857" s="559"/>
      <c r="O857" s="559"/>
      <c r="P857" s="559"/>
      <c r="Q857" s="559"/>
      <c r="R857" s="559"/>
      <c r="S857" s="559"/>
      <c r="T857" s="559"/>
      <c r="U857" s="559"/>
      <c r="V857" s="559"/>
      <c r="W857" s="559"/>
      <c r="X857" s="559"/>
      <c r="Y857" s="559"/>
      <c r="Z857" s="559"/>
      <c r="AA857" s="559"/>
      <c r="AB857" s="559"/>
      <c r="AC857" s="559"/>
      <c r="AD857" s="559"/>
      <c r="AE857" s="559"/>
    </row>
    <row r="858" spans="1:31" ht="18" customHeight="1" x14ac:dyDescent="0.35">
      <c r="A858" s="559"/>
      <c r="B858" s="559"/>
      <c r="C858" s="559"/>
      <c r="D858" s="559"/>
      <c r="E858" s="559"/>
      <c r="F858" s="559"/>
      <c r="G858" s="559"/>
      <c r="H858" s="559"/>
      <c r="I858" s="559"/>
      <c r="J858" s="559"/>
      <c r="K858" s="559"/>
      <c r="L858" s="559"/>
      <c r="M858" s="559"/>
      <c r="N858" s="559"/>
      <c r="O858" s="559"/>
      <c r="P858" s="559"/>
      <c r="Q858" s="559"/>
      <c r="R858" s="559"/>
      <c r="S858" s="559"/>
      <c r="T858" s="559"/>
      <c r="U858" s="559"/>
      <c r="V858" s="559"/>
      <c r="W858" s="559"/>
      <c r="X858" s="559"/>
      <c r="Y858" s="559"/>
      <c r="Z858" s="559"/>
      <c r="AA858" s="559"/>
      <c r="AB858" s="559"/>
      <c r="AC858" s="559"/>
      <c r="AD858" s="559"/>
      <c r="AE858" s="559"/>
    </row>
    <row r="859" spans="1:31" ht="18" customHeight="1" x14ac:dyDescent="0.35">
      <c r="A859" s="559"/>
      <c r="B859" s="559"/>
      <c r="C859" s="559"/>
      <c r="D859" s="559"/>
      <c r="E859" s="559"/>
      <c r="F859" s="559"/>
      <c r="G859" s="559"/>
      <c r="H859" s="559"/>
      <c r="I859" s="559"/>
      <c r="J859" s="559"/>
      <c r="K859" s="559"/>
      <c r="L859" s="559"/>
      <c r="M859" s="559"/>
      <c r="N859" s="559"/>
      <c r="O859" s="559"/>
      <c r="P859" s="559"/>
      <c r="Q859" s="559"/>
      <c r="R859" s="559"/>
      <c r="S859" s="559"/>
      <c r="T859" s="559"/>
      <c r="U859" s="559"/>
      <c r="V859" s="559"/>
      <c r="W859" s="559"/>
      <c r="X859" s="559"/>
      <c r="Y859" s="559"/>
      <c r="Z859" s="559"/>
      <c r="AA859" s="559"/>
      <c r="AB859" s="559"/>
      <c r="AC859" s="559"/>
      <c r="AD859" s="559"/>
      <c r="AE859" s="559"/>
    </row>
    <row r="860" spans="1:31" ht="18" customHeight="1" x14ac:dyDescent="0.35">
      <c r="A860" s="559"/>
      <c r="B860" s="559"/>
      <c r="C860" s="559"/>
      <c r="D860" s="559"/>
      <c r="E860" s="559"/>
      <c r="F860" s="559"/>
      <c r="G860" s="559"/>
      <c r="H860" s="559"/>
      <c r="I860" s="559"/>
      <c r="J860" s="559"/>
      <c r="K860" s="559"/>
      <c r="L860" s="559"/>
      <c r="M860" s="559"/>
      <c r="N860" s="559"/>
      <c r="O860" s="559"/>
      <c r="P860" s="559"/>
      <c r="Q860" s="559"/>
      <c r="R860" s="559"/>
      <c r="S860" s="559"/>
      <c r="T860" s="559"/>
      <c r="U860" s="559"/>
      <c r="V860" s="559"/>
      <c r="W860" s="559"/>
      <c r="X860" s="559"/>
      <c r="Y860" s="559"/>
      <c r="Z860" s="559"/>
      <c r="AA860" s="559"/>
      <c r="AB860" s="559"/>
      <c r="AC860" s="559"/>
      <c r="AD860" s="559"/>
      <c r="AE860" s="559"/>
    </row>
    <row r="861" spans="1:31" ht="18" customHeight="1" x14ac:dyDescent="0.35">
      <c r="A861" s="559"/>
      <c r="B861" s="559"/>
      <c r="C861" s="559"/>
      <c r="D861" s="559"/>
      <c r="E861" s="559"/>
      <c r="F861" s="559"/>
      <c r="G861" s="559"/>
      <c r="H861" s="559"/>
      <c r="I861" s="559"/>
      <c r="J861" s="559"/>
      <c r="K861" s="559"/>
      <c r="L861" s="559"/>
      <c r="M861" s="559"/>
      <c r="N861" s="559"/>
      <c r="O861" s="559"/>
      <c r="P861" s="559"/>
      <c r="Q861" s="559"/>
      <c r="R861" s="559"/>
      <c r="S861" s="559"/>
      <c r="T861" s="559"/>
      <c r="U861" s="559"/>
      <c r="V861" s="559"/>
      <c r="W861" s="559"/>
      <c r="X861" s="559"/>
      <c r="Y861" s="559"/>
      <c r="Z861" s="559"/>
      <c r="AA861" s="559"/>
      <c r="AB861" s="559"/>
      <c r="AC861" s="559"/>
      <c r="AD861" s="559"/>
      <c r="AE861" s="559"/>
    </row>
    <row r="862" spans="1:31" ht="18" customHeight="1" x14ac:dyDescent="0.35">
      <c r="A862" s="559"/>
      <c r="B862" s="559"/>
      <c r="C862" s="559"/>
      <c r="D862" s="559"/>
      <c r="E862" s="559"/>
      <c r="F862" s="559"/>
      <c r="G862" s="559"/>
      <c r="H862" s="559"/>
      <c r="I862" s="559"/>
      <c r="J862" s="559"/>
      <c r="K862" s="559"/>
      <c r="L862" s="559"/>
      <c r="M862" s="559"/>
      <c r="N862" s="559"/>
      <c r="O862" s="559"/>
      <c r="P862" s="559"/>
      <c r="Q862" s="559"/>
      <c r="R862" s="559"/>
      <c r="S862" s="559"/>
      <c r="T862" s="559"/>
      <c r="U862" s="559"/>
      <c r="V862" s="559"/>
      <c r="W862" s="559"/>
      <c r="X862" s="559"/>
      <c r="Y862" s="559"/>
      <c r="Z862" s="559"/>
      <c r="AA862" s="559"/>
      <c r="AB862" s="559"/>
      <c r="AC862" s="559"/>
      <c r="AD862" s="559"/>
      <c r="AE862" s="559"/>
    </row>
    <row r="863" spans="1:31" ht="18" customHeight="1" x14ac:dyDescent="0.35">
      <c r="A863" s="559"/>
      <c r="B863" s="559"/>
      <c r="C863" s="559"/>
      <c r="D863" s="559"/>
      <c r="E863" s="559"/>
      <c r="F863" s="559"/>
      <c r="G863" s="559"/>
      <c r="H863" s="559"/>
      <c r="I863" s="559"/>
      <c r="J863" s="559"/>
      <c r="K863" s="559"/>
      <c r="L863" s="559"/>
      <c r="M863" s="559"/>
      <c r="N863" s="559"/>
      <c r="O863" s="559"/>
      <c r="P863" s="559"/>
      <c r="Q863" s="559"/>
      <c r="R863" s="559"/>
      <c r="S863" s="559"/>
      <c r="T863" s="559"/>
      <c r="U863" s="559"/>
      <c r="V863" s="559"/>
      <c r="W863" s="559"/>
      <c r="X863" s="559"/>
      <c r="Y863" s="559"/>
      <c r="Z863" s="559"/>
      <c r="AA863" s="559"/>
      <c r="AB863" s="559"/>
      <c r="AC863" s="559"/>
      <c r="AD863" s="559"/>
      <c r="AE863" s="559"/>
    </row>
    <row r="864" spans="1:31" ht="18" customHeight="1" x14ac:dyDescent="0.35">
      <c r="A864" s="559"/>
      <c r="B864" s="559"/>
      <c r="C864" s="559"/>
      <c r="D864" s="559"/>
      <c r="E864" s="559"/>
      <c r="F864" s="559"/>
      <c r="G864" s="559"/>
      <c r="H864" s="559"/>
      <c r="I864" s="559"/>
      <c r="J864" s="559"/>
      <c r="K864" s="559"/>
      <c r="L864" s="559"/>
      <c r="M864" s="559"/>
      <c r="N864" s="559"/>
      <c r="O864" s="559"/>
      <c r="P864" s="559"/>
      <c r="Q864" s="559"/>
      <c r="R864" s="559"/>
      <c r="S864" s="559"/>
      <c r="T864" s="559"/>
      <c r="U864" s="559"/>
      <c r="V864" s="559"/>
      <c r="W864" s="559"/>
      <c r="X864" s="559"/>
      <c r="Y864" s="559"/>
      <c r="Z864" s="559"/>
      <c r="AA864" s="559"/>
      <c r="AB864" s="559"/>
      <c r="AC864" s="559"/>
      <c r="AD864" s="559"/>
      <c r="AE864" s="559"/>
    </row>
    <row r="865" spans="1:31" ht="18" customHeight="1" x14ac:dyDescent="0.35">
      <c r="A865" s="559"/>
      <c r="B865" s="559"/>
      <c r="C865" s="559"/>
      <c r="D865" s="559"/>
      <c r="E865" s="559"/>
      <c r="F865" s="559"/>
      <c r="G865" s="559"/>
      <c r="H865" s="559"/>
      <c r="I865" s="559"/>
      <c r="J865" s="559"/>
      <c r="K865" s="559"/>
      <c r="L865" s="559"/>
      <c r="M865" s="559"/>
      <c r="N865" s="559"/>
      <c r="O865" s="559"/>
      <c r="P865" s="559"/>
      <c r="Q865" s="559"/>
      <c r="R865" s="559"/>
      <c r="S865" s="559"/>
      <c r="T865" s="559"/>
      <c r="U865" s="559"/>
      <c r="V865" s="559"/>
      <c r="W865" s="559"/>
      <c r="X865" s="559"/>
      <c r="Y865" s="559"/>
      <c r="Z865" s="559"/>
      <c r="AA865" s="559"/>
      <c r="AB865" s="559"/>
      <c r="AC865" s="559"/>
      <c r="AD865" s="559"/>
      <c r="AE865" s="559"/>
    </row>
    <row r="866" spans="1:31" ht="18" customHeight="1" x14ac:dyDescent="0.35">
      <c r="A866" s="559"/>
      <c r="B866" s="559"/>
      <c r="C866" s="559"/>
      <c r="D866" s="559"/>
      <c r="E866" s="559"/>
      <c r="F866" s="559"/>
      <c r="G866" s="559"/>
      <c r="H866" s="559"/>
      <c r="I866" s="559"/>
      <c r="J866" s="559"/>
      <c r="K866" s="559"/>
      <c r="L866" s="559"/>
      <c r="M866" s="559"/>
      <c r="N866" s="559"/>
      <c r="O866" s="559"/>
      <c r="P866" s="559"/>
      <c r="Q866" s="559"/>
      <c r="R866" s="559"/>
      <c r="S866" s="559"/>
      <c r="T866" s="559"/>
      <c r="U866" s="559"/>
      <c r="V866" s="559"/>
      <c r="W866" s="559"/>
      <c r="X866" s="559"/>
      <c r="Y866" s="559"/>
      <c r="Z866" s="559"/>
      <c r="AA866" s="559"/>
      <c r="AB866" s="559"/>
      <c r="AC866" s="559"/>
      <c r="AD866" s="559"/>
      <c r="AE866" s="559"/>
    </row>
    <row r="867" spans="1:31" ht="18" customHeight="1" x14ac:dyDescent="0.35">
      <c r="A867" s="559"/>
      <c r="B867" s="559"/>
      <c r="C867" s="559"/>
      <c r="D867" s="559"/>
      <c r="E867" s="559"/>
      <c r="F867" s="559"/>
      <c r="G867" s="559"/>
      <c r="H867" s="559"/>
      <c r="I867" s="559"/>
      <c r="J867" s="559"/>
      <c r="K867" s="559"/>
      <c r="L867" s="559"/>
      <c r="M867" s="559"/>
      <c r="N867" s="559"/>
      <c r="O867" s="559"/>
      <c r="P867" s="559"/>
      <c r="Q867" s="559"/>
      <c r="R867" s="559"/>
      <c r="S867" s="559"/>
      <c r="T867" s="559"/>
      <c r="U867" s="559"/>
      <c r="V867" s="559"/>
      <c r="W867" s="559"/>
      <c r="X867" s="559"/>
      <c r="Y867" s="559"/>
      <c r="Z867" s="559"/>
      <c r="AA867" s="559"/>
      <c r="AB867" s="559"/>
      <c r="AC867" s="559"/>
      <c r="AD867" s="559"/>
      <c r="AE867" s="559"/>
    </row>
    <row r="868" spans="1:31" ht="18" customHeight="1" x14ac:dyDescent="0.35">
      <c r="A868" s="559"/>
      <c r="B868" s="559"/>
      <c r="C868" s="559"/>
      <c r="D868" s="559"/>
      <c r="E868" s="559"/>
      <c r="F868" s="559"/>
      <c r="G868" s="559"/>
      <c r="H868" s="559"/>
      <c r="I868" s="559"/>
      <c r="J868" s="559"/>
      <c r="K868" s="559"/>
      <c r="L868" s="559"/>
      <c r="M868" s="559"/>
      <c r="N868" s="559"/>
      <c r="O868" s="559"/>
      <c r="P868" s="559"/>
      <c r="Q868" s="559"/>
      <c r="R868" s="559"/>
      <c r="S868" s="559"/>
      <c r="T868" s="559"/>
      <c r="U868" s="559"/>
      <c r="V868" s="559"/>
      <c r="W868" s="559"/>
      <c r="X868" s="559"/>
      <c r="Y868" s="559"/>
      <c r="Z868" s="559"/>
      <c r="AA868" s="559"/>
      <c r="AB868" s="559"/>
      <c r="AC868" s="559"/>
      <c r="AD868" s="559"/>
      <c r="AE868" s="559"/>
    </row>
    <row r="869" spans="1:31" ht="18" customHeight="1" x14ac:dyDescent="0.35">
      <c r="A869" s="559"/>
      <c r="B869" s="559"/>
      <c r="C869" s="559"/>
      <c r="D869" s="559"/>
      <c r="E869" s="559"/>
      <c r="F869" s="559"/>
      <c r="G869" s="559"/>
      <c r="H869" s="559"/>
      <c r="I869" s="559"/>
      <c r="J869" s="559"/>
      <c r="K869" s="559"/>
      <c r="L869" s="559"/>
      <c r="M869" s="559"/>
      <c r="N869" s="559"/>
      <c r="O869" s="559"/>
      <c r="P869" s="559"/>
      <c r="Q869" s="559"/>
      <c r="R869" s="559"/>
      <c r="S869" s="559"/>
      <c r="T869" s="559"/>
      <c r="U869" s="559"/>
      <c r="V869" s="559"/>
      <c r="W869" s="559"/>
      <c r="X869" s="559"/>
      <c r="Y869" s="559"/>
      <c r="Z869" s="559"/>
      <c r="AA869" s="559"/>
      <c r="AB869" s="559"/>
      <c r="AC869" s="559"/>
      <c r="AD869" s="559"/>
      <c r="AE869" s="559"/>
    </row>
    <row r="870" spans="1:31" ht="18" customHeight="1" x14ac:dyDescent="0.35">
      <c r="A870" s="559"/>
      <c r="B870" s="559"/>
      <c r="C870" s="559"/>
      <c r="D870" s="559"/>
      <c r="E870" s="559"/>
      <c r="F870" s="559"/>
      <c r="G870" s="559"/>
      <c r="H870" s="559"/>
      <c r="I870" s="559"/>
      <c r="J870" s="559"/>
      <c r="K870" s="559"/>
      <c r="L870" s="559"/>
      <c r="M870" s="559"/>
      <c r="N870" s="559"/>
      <c r="O870" s="559"/>
      <c r="P870" s="559"/>
      <c r="Q870" s="559"/>
      <c r="R870" s="559"/>
      <c r="S870" s="559"/>
      <c r="T870" s="559"/>
      <c r="U870" s="559"/>
      <c r="V870" s="559"/>
      <c r="W870" s="559"/>
      <c r="X870" s="559"/>
      <c r="Y870" s="559"/>
      <c r="Z870" s="559"/>
      <c r="AA870" s="559"/>
      <c r="AB870" s="559"/>
      <c r="AC870" s="559"/>
      <c r="AD870" s="559"/>
      <c r="AE870" s="559"/>
    </row>
    <row r="871" spans="1:31" ht="18" customHeight="1" x14ac:dyDescent="0.35">
      <c r="A871" s="559"/>
      <c r="B871" s="559"/>
      <c r="C871" s="559"/>
      <c r="D871" s="559"/>
      <c r="E871" s="559"/>
      <c r="F871" s="559"/>
      <c r="G871" s="559"/>
      <c r="H871" s="559"/>
      <c r="I871" s="559"/>
      <c r="J871" s="559"/>
      <c r="K871" s="559"/>
      <c r="L871" s="559"/>
      <c r="M871" s="559"/>
      <c r="N871" s="559"/>
      <c r="O871" s="559"/>
      <c r="P871" s="559"/>
      <c r="Q871" s="559"/>
      <c r="R871" s="559"/>
      <c r="S871" s="559"/>
      <c r="T871" s="559"/>
      <c r="U871" s="559"/>
      <c r="V871" s="559"/>
      <c r="W871" s="559"/>
      <c r="X871" s="559"/>
      <c r="Y871" s="559"/>
      <c r="Z871" s="559"/>
      <c r="AA871" s="559"/>
      <c r="AB871" s="559"/>
      <c r="AC871" s="559"/>
      <c r="AD871" s="559"/>
      <c r="AE871" s="559"/>
    </row>
    <row r="872" spans="1:31" ht="18" customHeight="1" x14ac:dyDescent="0.35">
      <c r="A872" s="559"/>
      <c r="B872" s="559"/>
      <c r="C872" s="559"/>
      <c r="D872" s="559"/>
      <c r="E872" s="559"/>
      <c r="F872" s="559"/>
      <c r="G872" s="559"/>
      <c r="H872" s="559"/>
      <c r="I872" s="559"/>
      <c r="J872" s="559"/>
      <c r="K872" s="559"/>
      <c r="L872" s="559"/>
      <c r="M872" s="559"/>
      <c r="N872" s="559"/>
      <c r="O872" s="559"/>
      <c r="P872" s="559"/>
      <c r="Q872" s="559"/>
      <c r="R872" s="559"/>
      <c r="S872" s="559"/>
      <c r="T872" s="559"/>
      <c r="U872" s="559"/>
      <c r="V872" s="559"/>
      <c r="W872" s="559"/>
      <c r="X872" s="559"/>
      <c r="Y872" s="559"/>
      <c r="Z872" s="559"/>
      <c r="AA872" s="559"/>
      <c r="AB872" s="559"/>
      <c r="AC872" s="559"/>
      <c r="AD872" s="559"/>
      <c r="AE872" s="559"/>
    </row>
    <row r="873" spans="1:31" ht="18" customHeight="1" x14ac:dyDescent="0.35">
      <c r="A873" s="559"/>
      <c r="B873" s="559"/>
      <c r="C873" s="559"/>
      <c r="D873" s="559"/>
      <c r="E873" s="559"/>
      <c r="F873" s="559"/>
      <c r="G873" s="559"/>
      <c r="H873" s="559"/>
      <c r="I873" s="559"/>
      <c r="J873" s="559"/>
      <c r="K873" s="559"/>
      <c r="L873" s="559"/>
      <c r="M873" s="559"/>
      <c r="N873" s="559"/>
      <c r="O873" s="559"/>
      <c r="P873" s="559"/>
      <c r="Q873" s="559"/>
      <c r="R873" s="559"/>
      <c r="S873" s="559"/>
      <c r="T873" s="559"/>
      <c r="U873" s="559"/>
      <c r="V873" s="559"/>
      <c r="W873" s="559"/>
      <c r="X873" s="559"/>
      <c r="Y873" s="559"/>
      <c r="Z873" s="559"/>
      <c r="AA873" s="559"/>
      <c r="AB873" s="559"/>
      <c r="AC873" s="559"/>
      <c r="AD873" s="559"/>
      <c r="AE873" s="559"/>
    </row>
    <row r="874" spans="1:31" ht="18" customHeight="1" x14ac:dyDescent="0.35">
      <c r="A874" s="559"/>
      <c r="B874" s="559"/>
      <c r="C874" s="559"/>
      <c r="D874" s="559"/>
      <c r="E874" s="559"/>
      <c r="F874" s="559"/>
      <c r="G874" s="559"/>
      <c r="H874" s="559"/>
      <c r="I874" s="559"/>
      <c r="J874" s="559"/>
      <c r="K874" s="559"/>
      <c r="L874" s="559"/>
      <c r="M874" s="559"/>
      <c r="N874" s="559"/>
      <c r="O874" s="559"/>
      <c r="P874" s="559"/>
      <c r="Q874" s="559"/>
      <c r="R874" s="559"/>
      <c r="S874" s="559"/>
      <c r="T874" s="559"/>
      <c r="U874" s="559"/>
      <c r="V874" s="559"/>
      <c r="W874" s="559"/>
      <c r="X874" s="559"/>
      <c r="Y874" s="559"/>
      <c r="Z874" s="559"/>
      <c r="AA874" s="559"/>
      <c r="AB874" s="559"/>
      <c r="AC874" s="559"/>
      <c r="AD874" s="559"/>
      <c r="AE874" s="559"/>
    </row>
    <row r="875" spans="1:31" ht="18" customHeight="1" x14ac:dyDescent="0.35">
      <c r="A875" s="559"/>
      <c r="B875" s="559"/>
      <c r="C875" s="559"/>
      <c r="D875" s="559"/>
      <c r="E875" s="559"/>
      <c r="F875" s="559"/>
      <c r="G875" s="559"/>
      <c r="H875" s="559"/>
      <c r="I875" s="559"/>
      <c r="J875" s="559"/>
      <c r="K875" s="559"/>
      <c r="L875" s="559"/>
      <c r="M875" s="559"/>
      <c r="N875" s="559"/>
      <c r="O875" s="559"/>
      <c r="P875" s="559"/>
      <c r="Q875" s="559"/>
      <c r="R875" s="559"/>
      <c r="S875" s="559"/>
      <c r="T875" s="559"/>
      <c r="U875" s="559"/>
      <c r="V875" s="559"/>
      <c r="W875" s="559"/>
      <c r="X875" s="559"/>
      <c r="Y875" s="559"/>
      <c r="Z875" s="559"/>
      <c r="AA875" s="559"/>
      <c r="AB875" s="559"/>
      <c r="AC875" s="559"/>
      <c r="AD875" s="559"/>
      <c r="AE875" s="559"/>
    </row>
    <row r="876" spans="1:31" ht="18" customHeight="1" x14ac:dyDescent="0.35">
      <c r="A876" s="559"/>
      <c r="B876" s="559"/>
      <c r="C876" s="559"/>
      <c r="D876" s="559"/>
      <c r="E876" s="559"/>
      <c r="F876" s="559"/>
      <c r="G876" s="559"/>
      <c r="H876" s="559"/>
      <c r="I876" s="559"/>
      <c r="J876" s="559"/>
      <c r="K876" s="559"/>
      <c r="L876" s="559"/>
      <c r="M876" s="559"/>
      <c r="N876" s="559"/>
      <c r="O876" s="559"/>
      <c r="P876" s="559"/>
      <c r="Q876" s="559"/>
      <c r="R876" s="559"/>
      <c r="S876" s="559"/>
      <c r="T876" s="559"/>
      <c r="U876" s="559"/>
      <c r="V876" s="559"/>
      <c r="W876" s="559"/>
      <c r="X876" s="559"/>
      <c r="Y876" s="559"/>
      <c r="Z876" s="559"/>
      <c r="AA876" s="559"/>
      <c r="AB876" s="559"/>
      <c r="AC876" s="559"/>
      <c r="AD876" s="559"/>
      <c r="AE876" s="559"/>
    </row>
    <row r="877" spans="1:31" ht="18" customHeight="1" x14ac:dyDescent="0.35">
      <c r="A877" s="559"/>
      <c r="B877" s="559"/>
      <c r="C877" s="559"/>
      <c r="D877" s="559"/>
      <c r="E877" s="559"/>
      <c r="F877" s="559"/>
      <c r="G877" s="559"/>
      <c r="H877" s="559"/>
      <c r="I877" s="559"/>
      <c r="J877" s="559"/>
      <c r="K877" s="559"/>
      <c r="L877" s="559"/>
      <c r="M877" s="559"/>
      <c r="N877" s="559"/>
      <c r="O877" s="559"/>
      <c r="P877" s="559"/>
      <c r="Q877" s="559"/>
      <c r="R877" s="559"/>
      <c r="S877" s="559"/>
      <c r="T877" s="559"/>
      <c r="U877" s="559"/>
      <c r="V877" s="559"/>
      <c r="W877" s="559"/>
      <c r="X877" s="559"/>
      <c r="Y877" s="559"/>
      <c r="Z877" s="559"/>
      <c r="AA877" s="559"/>
      <c r="AB877" s="559"/>
      <c r="AC877" s="559"/>
      <c r="AD877" s="559"/>
      <c r="AE877" s="559"/>
    </row>
    <row r="878" spans="1:31" ht="18" customHeight="1" x14ac:dyDescent="0.35">
      <c r="A878" s="559"/>
      <c r="B878" s="559"/>
      <c r="C878" s="559"/>
      <c r="D878" s="559"/>
      <c r="E878" s="559"/>
      <c r="F878" s="559"/>
      <c r="G878" s="559"/>
      <c r="H878" s="559"/>
      <c r="I878" s="559"/>
      <c r="J878" s="559"/>
      <c r="K878" s="559"/>
      <c r="L878" s="559"/>
      <c r="M878" s="559"/>
      <c r="N878" s="559"/>
      <c r="O878" s="559"/>
      <c r="P878" s="559"/>
      <c r="Q878" s="559"/>
      <c r="R878" s="559"/>
      <c r="S878" s="559"/>
      <c r="T878" s="559"/>
      <c r="U878" s="559"/>
      <c r="V878" s="559"/>
      <c r="W878" s="559"/>
      <c r="X878" s="559"/>
      <c r="Y878" s="559"/>
      <c r="Z878" s="559"/>
      <c r="AA878" s="559"/>
      <c r="AB878" s="559"/>
      <c r="AC878" s="559"/>
      <c r="AD878" s="559"/>
      <c r="AE878" s="559"/>
    </row>
    <row r="879" spans="1:31" ht="18" customHeight="1" x14ac:dyDescent="0.35">
      <c r="A879" s="559"/>
      <c r="B879" s="559"/>
      <c r="C879" s="559"/>
      <c r="D879" s="559"/>
      <c r="E879" s="559"/>
      <c r="F879" s="559"/>
      <c r="G879" s="559"/>
      <c r="H879" s="559"/>
      <c r="I879" s="559"/>
      <c r="J879" s="559"/>
      <c r="K879" s="559"/>
      <c r="L879" s="559"/>
      <c r="M879" s="559"/>
      <c r="N879" s="559"/>
      <c r="O879" s="559"/>
      <c r="P879" s="559"/>
      <c r="Q879" s="559"/>
      <c r="R879" s="559"/>
      <c r="S879" s="559"/>
      <c r="T879" s="559"/>
      <c r="U879" s="559"/>
      <c r="V879" s="559"/>
      <c r="W879" s="559"/>
      <c r="X879" s="559"/>
      <c r="Y879" s="559"/>
      <c r="Z879" s="559"/>
      <c r="AA879" s="559"/>
      <c r="AB879" s="559"/>
      <c r="AC879" s="559"/>
      <c r="AD879" s="559"/>
      <c r="AE879" s="559"/>
    </row>
    <row r="880" spans="1:31" ht="18" customHeight="1" x14ac:dyDescent="0.35">
      <c r="A880" s="559"/>
      <c r="B880" s="559"/>
      <c r="C880" s="559"/>
      <c r="D880" s="559"/>
      <c r="E880" s="559"/>
      <c r="F880" s="559"/>
      <c r="G880" s="559"/>
      <c r="H880" s="559"/>
      <c r="I880" s="559"/>
      <c r="J880" s="559"/>
      <c r="K880" s="559"/>
      <c r="L880" s="559"/>
      <c r="M880" s="559"/>
      <c r="N880" s="559"/>
      <c r="O880" s="559"/>
      <c r="P880" s="559"/>
      <c r="Q880" s="559"/>
      <c r="R880" s="559"/>
      <c r="S880" s="559"/>
      <c r="T880" s="559"/>
      <c r="U880" s="559"/>
      <c r="V880" s="559"/>
      <c r="W880" s="559"/>
      <c r="X880" s="559"/>
      <c r="Y880" s="559"/>
      <c r="Z880" s="559"/>
      <c r="AA880" s="559"/>
      <c r="AB880" s="559"/>
      <c r="AC880" s="559"/>
      <c r="AD880" s="559"/>
      <c r="AE880" s="559"/>
    </row>
    <row r="881" spans="1:31" ht="18" customHeight="1" x14ac:dyDescent="0.35">
      <c r="A881" s="559"/>
      <c r="B881" s="559"/>
      <c r="C881" s="559"/>
      <c r="D881" s="559"/>
      <c r="E881" s="559"/>
      <c r="F881" s="559"/>
      <c r="G881" s="559"/>
      <c r="H881" s="559"/>
      <c r="I881" s="559"/>
      <c r="J881" s="559"/>
      <c r="K881" s="559"/>
      <c r="L881" s="559"/>
      <c r="M881" s="559"/>
      <c r="N881" s="559"/>
      <c r="O881" s="559"/>
      <c r="P881" s="559"/>
      <c r="Q881" s="559"/>
      <c r="R881" s="559"/>
      <c r="S881" s="559"/>
      <c r="T881" s="559"/>
      <c r="U881" s="559"/>
      <c r="V881" s="559"/>
      <c r="W881" s="559"/>
      <c r="X881" s="559"/>
      <c r="Y881" s="559"/>
      <c r="Z881" s="559"/>
      <c r="AA881" s="559"/>
      <c r="AB881" s="559"/>
      <c r="AC881" s="559"/>
      <c r="AD881" s="559"/>
      <c r="AE881" s="559"/>
    </row>
    <row r="882" spans="1:31" ht="18" customHeight="1" x14ac:dyDescent="0.35">
      <c r="A882" s="559"/>
      <c r="B882" s="559"/>
      <c r="C882" s="559"/>
      <c r="D882" s="559"/>
      <c r="E882" s="559"/>
      <c r="F882" s="559"/>
      <c r="G882" s="559"/>
      <c r="H882" s="559"/>
      <c r="I882" s="559"/>
      <c r="J882" s="559"/>
      <c r="K882" s="559"/>
      <c r="L882" s="559"/>
      <c r="M882" s="559"/>
      <c r="N882" s="559"/>
      <c r="O882" s="559"/>
      <c r="P882" s="559"/>
      <c r="Q882" s="559"/>
      <c r="R882" s="559"/>
      <c r="S882" s="559"/>
      <c r="T882" s="559"/>
      <c r="U882" s="559"/>
      <c r="V882" s="559"/>
      <c r="W882" s="559"/>
      <c r="X882" s="559"/>
      <c r="Y882" s="559"/>
      <c r="Z882" s="559"/>
      <c r="AA882" s="559"/>
      <c r="AB882" s="559"/>
      <c r="AC882" s="559"/>
      <c r="AD882" s="559"/>
      <c r="AE882" s="559"/>
    </row>
    <row r="883" spans="1:31" ht="18" customHeight="1" x14ac:dyDescent="0.35">
      <c r="A883" s="559"/>
      <c r="B883" s="559"/>
      <c r="C883" s="559"/>
      <c r="D883" s="559"/>
      <c r="E883" s="559"/>
      <c r="F883" s="559"/>
      <c r="G883" s="559"/>
      <c r="H883" s="559"/>
      <c r="I883" s="559"/>
      <c r="J883" s="559"/>
      <c r="K883" s="559"/>
      <c r="L883" s="559"/>
      <c r="M883" s="559"/>
      <c r="N883" s="559"/>
      <c r="O883" s="559"/>
      <c r="P883" s="559"/>
      <c r="Q883" s="559"/>
      <c r="R883" s="559"/>
      <c r="S883" s="559"/>
      <c r="T883" s="559"/>
      <c r="U883" s="559"/>
      <c r="V883" s="559"/>
      <c r="W883" s="559"/>
      <c r="X883" s="559"/>
      <c r="Y883" s="559"/>
      <c r="Z883" s="559"/>
      <c r="AA883" s="559"/>
      <c r="AB883" s="559"/>
      <c r="AC883" s="559"/>
      <c r="AD883" s="559"/>
      <c r="AE883" s="559"/>
    </row>
    <row r="884" spans="1:31" ht="18" customHeight="1" x14ac:dyDescent="0.35">
      <c r="A884" s="559"/>
      <c r="B884" s="559"/>
      <c r="C884" s="559"/>
      <c r="D884" s="559"/>
      <c r="E884" s="559"/>
      <c r="F884" s="559"/>
      <c r="G884" s="559"/>
      <c r="H884" s="559"/>
      <c r="I884" s="559"/>
      <c r="J884" s="559"/>
      <c r="K884" s="559"/>
      <c r="L884" s="559"/>
      <c r="M884" s="559"/>
      <c r="N884" s="559"/>
      <c r="O884" s="559"/>
      <c r="P884" s="559"/>
      <c r="Q884" s="559"/>
      <c r="R884" s="559"/>
      <c r="S884" s="559"/>
      <c r="T884" s="559"/>
      <c r="U884" s="559"/>
      <c r="V884" s="559"/>
      <c r="W884" s="559"/>
      <c r="X884" s="559"/>
      <c r="Y884" s="559"/>
      <c r="Z884" s="559"/>
      <c r="AA884" s="559"/>
      <c r="AB884" s="559"/>
      <c r="AC884" s="559"/>
      <c r="AD884" s="559"/>
      <c r="AE884" s="559"/>
    </row>
    <row r="885" spans="1:31" ht="18" customHeight="1" x14ac:dyDescent="0.35">
      <c r="A885" s="559"/>
      <c r="B885" s="559"/>
      <c r="C885" s="559"/>
      <c r="D885" s="559"/>
      <c r="E885" s="559"/>
      <c r="F885" s="559"/>
      <c r="G885" s="559"/>
      <c r="H885" s="559"/>
      <c r="I885" s="559"/>
      <c r="J885" s="559"/>
      <c r="K885" s="559"/>
      <c r="L885" s="559"/>
      <c r="M885" s="559"/>
      <c r="N885" s="559"/>
      <c r="O885" s="559"/>
      <c r="P885" s="559"/>
      <c r="Q885" s="559"/>
      <c r="R885" s="559"/>
      <c r="S885" s="559"/>
      <c r="T885" s="559"/>
      <c r="U885" s="559"/>
      <c r="V885" s="559"/>
      <c r="W885" s="559"/>
      <c r="X885" s="559"/>
      <c r="Y885" s="559"/>
      <c r="Z885" s="559"/>
      <c r="AA885" s="559"/>
      <c r="AB885" s="559"/>
      <c r="AC885" s="559"/>
      <c r="AD885" s="559"/>
      <c r="AE885" s="559"/>
    </row>
    <row r="886" spans="1:31" ht="18" customHeight="1" x14ac:dyDescent="0.35">
      <c r="A886" s="559"/>
      <c r="B886" s="559"/>
      <c r="C886" s="559"/>
      <c r="D886" s="559"/>
      <c r="E886" s="559"/>
      <c r="F886" s="559"/>
      <c r="G886" s="559"/>
      <c r="H886" s="559"/>
      <c r="I886" s="559"/>
      <c r="J886" s="559"/>
      <c r="K886" s="559"/>
      <c r="L886" s="559"/>
      <c r="M886" s="559"/>
      <c r="N886" s="559"/>
      <c r="O886" s="559"/>
      <c r="P886" s="559"/>
      <c r="Q886" s="559"/>
      <c r="R886" s="559"/>
      <c r="S886" s="559"/>
      <c r="T886" s="559"/>
      <c r="U886" s="559"/>
      <c r="V886" s="559"/>
      <c r="W886" s="559"/>
      <c r="X886" s="559"/>
      <c r="Y886" s="559"/>
      <c r="Z886" s="559"/>
      <c r="AA886" s="559"/>
      <c r="AB886" s="559"/>
      <c r="AC886" s="559"/>
      <c r="AD886" s="559"/>
      <c r="AE886" s="559"/>
    </row>
    <row r="887" spans="1:31" ht="18" customHeight="1" x14ac:dyDescent="0.35">
      <c r="A887" s="559"/>
      <c r="B887" s="559"/>
      <c r="C887" s="559"/>
      <c r="D887" s="559"/>
      <c r="E887" s="559"/>
      <c r="F887" s="559"/>
      <c r="G887" s="559"/>
      <c r="H887" s="559"/>
      <c r="I887" s="559"/>
      <c r="J887" s="559"/>
      <c r="K887" s="559"/>
      <c r="L887" s="559"/>
      <c r="M887" s="559"/>
      <c r="N887" s="559"/>
      <c r="O887" s="559"/>
      <c r="P887" s="559"/>
      <c r="Q887" s="559"/>
      <c r="R887" s="559"/>
      <c r="S887" s="559"/>
      <c r="T887" s="559"/>
      <c r="U887" s="559"/>
      <c r="V887" s="559"/>
      <c r="W887" s="559"/>
      <c r="X887" s="559"/>
      <c r="Y887" s="559"/>
      <c r="Z887" s="559"/>
      <c r="AA887" s="559"/>
      <c r="AB887" s="559"/>
      <c r="AC887" s="559"/>
      <c r="AD887" s="559"/>
      <c r="AE887" s="559"/>
    </row>
    <row r="888" spans="1:31" ht="18" customHeight="1" x14ac:dyDescent="0.35">
      <c r="A888" s="559"/>
      <c r="B888" s="559"/>
      <c r="C888" s="559"/>
      <c r="D888" s="559"/>
      <c r="E888" s="559"/>
      <c r="F888" s="559"/>
      <c r="G888" s="559"/>
      <c r="H888" s="559"/>
      <c r="I888" s="559"/>
      <c r="J888" s="559"/>
      <c r="K888" s="559"/>
      <c r="L888" s="559"/>
      <c r="M888" s="559"/>
      <c r="N888" s="559"/>
      <c r="O888" s="559"/>
      <c r="P888" s="559"/>
      <c r="Q888" s="559"/>
      <c r="R888" s="559"/>
      <c r="S888" s="559"/>
      <c r="T888" s="559"/>
      <c r="U888" s="559"/>
      <c r="V888" s="559"/>
      <c r="W888" s="559"/>
      <c r="X888" s="559"/>
      <c r="Y888" s="559"/>
      <c r="Z888" s="559"/>
      <c r="AA888" s="559"/>
      <c r="AB888" s="559"/>
      <c r="AC888" s="559"/>
      <c r="AD888" s="559"/>
      <c r="AE888" s="559"/>
    </row>
    <row r="889" spans="1:31" ht="18" customHeight="1" x14ac:dyDescent="0.35">
      <c r="A889" s="559"/>
      <c r="B889" s="559"/>
      <c r="C889" s="559"/>
      <c r="D889" s="559"/>
      <c r="E889" s="559"/>
      <c r="F889" s="559"/>
      <c r="G889" s="559"/>
      <c r="H889" s="559"/>
      <c r="I889" s="559"/>
      <c r="J889" s="559"/>
      <c r="K889" s="559"/>
      <c r="L889" s="559"/>
      <c r="M889" s="559"/>
      <c r="N889" s="559"/>
      <c r="O889" s="559"/>
      <c r="P889" s="559"/>
      <c r="Q889" s="559"/>
      <c r="R889" s="559"/>
      <c r="S889" s="559"/>
      <c r="T889" s="559"/>
      <c r="U889" s="559"/>
      <c r="V889" s="559"/>
      <c r="W889" s="559"/>
      <c r="X889" s="559"/>
      <c r="Y889" s="559"/>
      <c r="Z889" s="559"/>
      <c r="AA889" s="559"/>
      <c r="AB889" s="559"/>
      <c r="AC889" s="559"/>
      <c r="AD889" s="559"/>
      <c r="AE889" s="559"/>
    </row>
    <row r="890" spans="1:31" ht="18" customHeight="1" x14ac:dyDescent="0.35">
      <c r="A890" s="559"/>
      <c r="B890" s="559"/>
      <c r="C890" s="559"/>
      <c r="D890" s="559"/>
      <c r="E890" s="559"/>
      <c r="F890" s="559"/>
      <c r="G890" s="559"/>
      <c r="H890" s="559"/>
      <c r="I890" s="559"/>
      <c r="J890" s="559"/>
      <c r="K890" s="559"/>
      <c r="L890" s="559"/>
      <c r="M890" s="559"/>
      <c r="N890" s="559"/>
      <c r="O890" s="559"/>
      <c r="P890" s="559"/>
      <c r="Q890" s="559"/>
      <c r="R890" s="559"/>
      <c r="S890" s="559"/>
      <c r="T890" s="559"/>
      <c r="U890" s="559"/>
      <c r="V890" s="559"/>
      <c r="W890" s="559"/>
      <c r="X890" s="559"/>
      <c r="Y890" s="559"/>
      <c r="Z890" s="559"/>
      <c r="AA890" s="559"/>
      <c r="AB890" s="559"/>
      <c r="AC890" s="559"/>
      <c r="AD890" s="559"/>
      <c r="AE890" s="559"/>
    </row>
    <row r="891" spans="1:31" ht="18" customHeight="1" x14ac:dyDescent="0.35">
      <c r="A891" s="559"/>
      <c r="B891" s="559"/>
      <c r="C891" s="559"/>
      <c r="D891" s="559"/>
      <c r="E891" s="559"/>
      <c r="F891" s="559"/>
      <c r="G891" s="559"/>
      <c r="H891" s="559"/>
      <c r="I891" s="559"/>
      <c r="J891" s="559"/>
      <c r="K891" s="559"/>
      <c r="L891" s="559"/>
      <c r="M891" s="559"/>
      <c r="N891" s="559"/>
      <c r="O891" s="559"/>
      <c r="P891" s="559"/>
      <c r="Q891" s="559"/>
      <c r="R891" s="559"/>
      <c r="S891" s="559"/>
      <c r="T891" s="559"/>
      <c r="U891" s="559"/>
      <c r="V891" s="559"/>
      <c r="W891" s="559"/>
      <c r="X891" s="559"/>
      <c r="Y891" s="559"/>
      <c r="Z891" s="559"/>
      <c r="AA891" s="559"/>
      <c r="AB891" s="559"/>
      <c r="AC891" s="559"/>
      <c r="AD891" s="559"/>
      <c r="AE891" s="559"/>
    </row>
    <row r="892" spans="1:31" ht="18" customHeight="1" x14ac:dyDescent="0.35">
      <c r="A892" s="559"/>
      <c r="B892" s="559"/>
      <c r="C892" s="559"/>
      <c r="D892" s="559"/>
      <c r="E892" s="559"/>
      <c r="F892" s="559"/>
      <c r="G892" s="559"/>
      <c r="H892" s="559"/>
      <c r="I892" s="559"/>
      <c r="J892" s="559"/>
      <c r="K892" s="559"/>
      <c r="L892" s="559"/>
      <c r="M892" s="559"/>
      <c r="N892" s="559"/>
      <c r="O892" s="559"/>
      <c r="P892" s="559"/>
      <c r="Q892" s="559"/>
      <c r="R892" s="559"/>
      <c r="S892" s="559"/>
      <c r="T892" s="559"/>
      <c r="U892" s="559"/>
      <c r="V892" s="559"/>
      <c r="W892" s="559"/>
      <c r="X892" s="559"/>
      <c r="Y892" s="559"/>
      <c r="Z892" s="559"/>
      <c r="AA892" s="559"/>
      <c r="AB892" s="559"/>
      <c r="AC892" s="559"/>
      <c r="AD892" s="559"/>
      <c r="AE892" s="559"/>
    </row>
    <row r="893" spans="1:31" ht="18" customHeight="1" x14ac:dyDescent="0.35">
      <c r="A893" s="559"/>
      <c r="B893" s="559"/>
      <c r="C893" s="559"/>
      <c r="D893" s="559"/>
      <c r="E893" s="559"/>
      <c r="F893" s="559"/>
      <c r="G893" s="559"/>
      <c r="H893" s="559"/>
      <c r="I893" s="559"/>
      <c r="J893" s="559"/>
      <c r="K893" s="559"/>
      <c r="L893" s="559"/>
      <c r="M893" s="559"/>
      <c r="N893" s="559"/>
      <c r="O893" s="559"/>
      <c r="P893" s="559"/>
      <c r="Q893" s="559"/>
      <c r="R893" s="559"/>
      <c r="S893" s="559"/>
      <c r="T893" s="559"/>
      <c r="U893" s="559"/>
      <c r="V893" s="559"/>
      <c r="W893" s="559"/>
      <c r="X893" s="559"/>
      <c r="Y893" s="559"/>
      <c r="Z893" s="559"/>
      <c r="AA893" s="559"/>
      <c r="AB893" s="559"/>
      <c r="AC893" s="559"/>
      <c r="AD893" s="559"/>
      <c r="AE893" s="559"/>
    </row>
    <row r="894" spans="1:31" ht="18" customHeight="1" x14ac:dyDescent="0.35">
      <c r="A894" s="559"/>
      <c r="B894" s="559"/>
      <c r="C894" s="559"/>
      <c r="D894" s="559"/>
      <c r="E894" s="559"/>
      <c r="F894" s="559"/>
      <c r="G894" s="559"/>
      <c r="H894" s="559"/>
      <c r="I894" s="559"/>
      <c r="J894" s="559"/>
      <c r="K894" s="559"/>
      <c r="L894" s="559"/>
      <c r="M894" s="559"/>
      <c r="N894" s="559"/>
      <c r="O894" s="559"/>
      <c r="P894" s="559"/>
      <c r="Q894" s="559"/>
      <c r="R894" s="559"/>
      <c r="S894" s="559"/>
      <c r="T894" s="559"/>
      <c r="U894" s="559"/>
      <c r="V894" s="559"/>
      <c r="W894" s="559"/>
      <c r="X894" s="559"/>
      <c r="Y894" s="559"/>
      <c r="Z894" s="559"/>
      <c r="AA894" s="559"/>
      <c r="AB894" s="559"/>
      <c r="AC894" s="559"/>
      <c r="AD894" s="559"/>
      <c r="AE894" s="559"/>
    </row>
    <row r="895" spans="1:31" ht="18" customHeight="1" x14ac:dyDescent="0.35">
      <c r="A895" s="559"/>
      <c r="B895" s="559"/>
      <c r="C895" s="559"/>
      <c r="D895" s="559"/>
      <c r="E895" s="559"/>
      <c r="F895" s="559"/>
      <c r="G895" s="559"/>
      <c r="H895" s="559"/>
      <c r="I895" s="559"/>
      <c r="J895" s="559"/>
      <c r="K895" s="559"/>
      <c r="L895" s="559"/>
      <c r="M895" s="559"/>
      <c r="N895" s="559"/>
      <c r="O895" s="559"/>
      <c r="P895" s="559"/>
      <c r="Q895" s="559"/>
      <c r="R895" s="559"/>
      <c r="S895" s="559"/>
      <c r="T895" s="559"/>
      <c r="U895" s="559"/>
      <c r="V895" s="559"/>
      <c r="W895" s="559"/>
      <c r="X895" s="559"/>
      <c r="Y895" s="559"/>
      <c r="Z895" s="559"/>
      <c r="AA895" s="559"/>
      <c r="AB895" s="559"/>
      <c r="AC895" s="559"/>
      <c r="AD895" s="559"/>
      <c r="AE895" s="559"/>
    </row>
    <row r="896" spans="1:31" ht="18" customHeight="1" x14ac:dyDescent="0.35">
      <c r="A896" s="559"/>
      <c r="B896" s="559"/>
      <c r="C896" s="559"/>
      <c r="D896" s="559"/>
      <c r="E896" s="559"/>
      <c r="F896" s="559"/>
      <c r="G896" s="559"/>
      <c r="H896" s="559"/>
      <c r="I896" s="559"/>
      <c r="J896" s="559"/>
      <c r="K896" s="559"/>
      <c r="L896" s="559"/>
      <c r="M896" s="559"/>
      <c r="N896" s="559"/>
      <c r="O896" s="559"/>
      <c r="P896" s="559"/>
      <c r="Q896" s="559"/>
      <c r="R896" s="559"/>
      <c r="S896" s="559"/>
      <c r="T896" s="559"/>
      <c r="U896" s="559"/>
      <c r="V896" s="559"/>
      <c r="W896" s="559"/>
      <c r="X896" s="559"/>
      <c r="Y896" s="559"/>
      <c r="Z896" s="559"/>
      <c r="AA896" s="559"/>
      <c r="AB896" s="559"/>
      <c r="AC896" s="559"/>
      <c r="AD896" s="559"/>
      <c r="AE896" s="559"/>
    </row>
    <row r="897" spans="1:31" ht="18" customHeight="1" x14ac:dyDescent="0.35">
      <c r="A897" s="559"/>
      <c r="B897" s="559"/>
      <c r="C897" s="559"/>
      <c r="D897" s="559"/>
      <c r="E897" s="559"/>
      <c r="F897" s="559"/>
      <c r="G897" s="559"/>
      <c r="H897" s="559"/>
      <c r="I897" s="559"/>
      <c r="J897" s="559"/>
      <c r="K897" s="559"/>
      <c r="L897" s="559"/>
      <c r="M897" s="559"/>
      <c r="N897" s="559"/>
      <c r="O897" s="559"/>
      <c r="P897" s="559"/>
      <c r="Q897" s="559"/>
      <c r="R897" s="559"/>
      <c r="S897" s="559"/>
      <c r="T897" s="559"/>
      <c r="U897" s="559"/>
      <c r="V897" s="559"/>
      <c r="W897" s="559"/>
      <c r="X897" s="559"/>
      <c r="Y897" s="559"/>
      <c r="Z897" s="559"/>
      <c r="AA897" s="559"/>
      <c r="AB897" s="559"/>
      <c r="AC897" s="559"/>
      <c r="AD897" s="559"/>
      <c r="AE897" s="559"/>
    </row>
    <row r="898" spans="1:31" ht="18" customHeight="1" x14ac:dyDescent="0.35">
      <c r="A898" s="559"/>
      <c r="B898" s="559"/>
      <c r="C898" s="559"/>
      <c r="D898" s="559"/>
      <c r="E898" s="559"/>
      <c r="F898" s="559"/>
      <c r="G898" s="559"/>
      <c r="H898" s="559"/>
      <c r="I898" s="559"/>
      <c r="J898" s="559"/>
      <c r="K898" s="559"/>
      <c r="L898" s="559"/>
      <c r="M898" s="559"/>
      <c r="N898" s="559"/>
      <c r="O898" s="559"/>
      <c r="P898" s="559"/>
      <c r="Q898" s="559"/>
      <c r="R898" s="559"/>
      <c r="S898" s="559"/>
      <c r="T898" s="559"/>
      <c r="U898" s="559"/>
      <c r="V898" s="559"/>
      <c r="W898" s="559"/>
      <c r="X898" s="559"/>
      <c r="Y898" s="559"/>
      <c r="Z898" s="559"/>
      <c r="AA898" s="559"/>
      <c r="AB898" s="559"/>
      <c r="AC898" s="559"/>
      <c r="AD898" s="559"/>
      <c r="AE898" s="559"/>
    </row>
    <row r="899" spans="1:31" ht="18" customHeight="1" x14ac:dyDescent="0.35">
      <c r="A899" s="559"/>
      <c r="B899" s="559"/>
      <c r="C899" s="559"/>
      <c r="D899" s="559"/>
      <c r="E899" s="559"/>
      <c r="F899" s="559"/>
      <c r="G899" s="559"/>
      <c r="H899" s="559"/>
      <c r="I899" s="559"/>
      <c r="J899" s="559"/>
      <c r="K899" s="559"/>
      <c r="L899" s="559"/>
      <c r="M899" s="559"/>
      <c r="N899" s="559"/>
      <c r="O899" s="559"/>
      <c r="P899" s="559"/>
      <c r="Q899" s="559"/>
      <c r="R899" s="559"/>
      <c r="S899" s="559"/>
      <c r="T899" s="559"/>
      <c r="U899" s="559"/>
      <c r="V899" s="559"/>
      <c r="W899" s="559"/>
      <c r="X899" s="559"/>
      <c r="Y899" s="559"/>
      <c r="Z899" s="559"/>
      <c r="AA899" s="559"/>
      <c r="AB899" s="559"/>
      <c r="AC899" s="559"/>
      <c r="AD899" s="559"/>
      <c r="AE899" s="559"/>
    </row>
    <row r="900" spans="1:31" ht="18" customHeight="1" x14ac:dyDescent="0.35">
      <c r="A900" s="559"/>
      <c r="B900" s="559"/>
      <c r="C900" s="559"/>
      <c r="D900" s="559"/>
      <c r="E900" s="559"/>
      <c r="F900" s="559"/>
      <c r="G900" s="559"/>
      <c r="H900" s="559"/>
      <c r="I900" s="559"/>
      <c r="J900" s="559"/>
      <c r="K900" s="559"/>
      <c r="L900" s="559"/>
      <c r="M900" s="559"/>
      <c r="N900" s="559"/>
      <c r="O900" s="559"/>
      <c r="P900" s="559"/>
      <c r="Q900" s="559"/>
      <c r="R900" s="559"/>
      <c r="S900" s="559"/>
      <c r="T900" s="559"/>
      <c r="U900" s="559"/>
      <c r="V900" s="559"/>
      <c r="W900" s="559"/>
      <c r="X900" s="559"/>
      <c r="Y900" s="559"/>
      <c r="Z900" s="559"/>
      <c r="AA900" s="559"/>
      <c r="AB900" s="559"/>
      <c r="AC900" s="559"/>
      <c r="AD900" s="559"/>
      <c r="AE900" s="559"/>
    </row>
    <row r="901" spans="1:31" ht="18" customHeight="1" x14ac:dyDescent="0.35">
      <c r="A901" s="559"/>
      <c r="B901" s="559"/>
      <c r="C901" s="559"/>
      <c r="D901" s="559"/>
      <c r="E901" s="559"/>
      <c r="F901" s="559"/>
      <c r="G901" s="559"/>
      <c r="H901" s="559"/>
      <c r="I901" s="559"/>
      <c r="J901" s="559"/>
      <c r="K901" s="559"/>
      <c r="L901" s="559"/>
      <c r="M901" s="559"/>
      <c r="N901" s="559"/>
      <c r="O901" s="559"/>
      <c r="P901" s="559"/>
      <c r="Q901" s="559"/>
      <c r="R901" s="559"/>
      <c r="S901" s="559"/>
      <c r="T901" s="559"/>
      <c r="U901" s="559"/>
      <c r="V901" s="559"/>
      <c r="W901" s="559"/>
      <c r="X901" s="559"/>
      <c r="Y901" s="559"/>
      <c r="Z901" s="559"/>
      <c r="AA901" s="559"/>
      <c r="AB901" s="559"/>
      <c r="AC901" s="559"/>
      <c r="AD901" s="559"/>
      <c r="AE901" s="559"/>
    </row>
    <row r="902" spans="1:31" ht="18" customHeight="1" x14ac:dyDescent="0.35">
      <c r="A902" s="559"/>
      <c r="B902" s="559"/>
      <c r="C902" s="559"/>
      <c r="D902" s="559"/>
      <c r="E902" s="559"/>
      <c r="F902" s="559"/>
      <c r="G902" s="559"/>
      <c r="H902" s="559"/>
      <c r="I902" s="559"/>
      <c r="J902" s="559"/>
      <c r="K902" s="559"/>
      <c r="L902" s="559"/>
      <c r="M902" s="559"/>
      <c r="N902" s="559"/>
      <c r="O902" s="559"/>
      <c r="P902" s="559"/>
      <c r="Q902" s="559"/>
      <c r="R902" s="559"/>
      <c r="S902" s="559"/>
      <c r="T902" s="559"/>
      <c r="U902" s="559"/>
      <c r="V902" s="559"/>
      <c r="W902" s="559"/>
      <c r="X902" s="559"/>
      <c r="Y902" s="559"/>
      <c r="Z902" s="559"/>
      <c r="AA902" s="559"/>
      <c r="AB902" s="559"/>
      <c r="AC902" s="559"/>
      <c r="AD902" s="559"/>
      <c r="AE902" s="559"/>
    </row>
    <row r="903" spans="1:31" ht="18" customHeight="1" x14ac:dyDescent="0.35">
      <c r="A903" s="559"/>
      <c r="B903" s="559"/>
      <c r="C903" s="559"/>
      <c r="D903" s="559"/>
      <c r="E903" s="559"/>
      <c r="F903" s="559"/>
      <c r="G903" s="559"/>
      <c r="H903" s="559"/>
      <c r="I903" s="559"/>
      <c r="J903" s="559"/>
      <c r="K903" s="559"/>
      <c r="L903" s="559"/>
      <c r="M903" s="559"/>
      <c r="N903" s="559"/>
      <c r="O903" s="559"/>
      <c r="P903" s="559"/>
      <c r="Q903" s="559"/>
      <c r="R903" s="559"/>
      <c r="S903" s="559"/>
      <c r="T903" s="559"/>
      <c r="U903" s="559"/>
      <c r="V903" s="559"/>
      <c r="W903" s="559"/>
      <c r="X903" s="559"/>
      <c r="Y903" s="559"/>
      <c r="Z903" s="559"/>
      <c r="AA903" s="559"/>
      <c r="AB903" s="559"/>
      <c r="AC903" s="559"/>
      <c r="AD903" s="559"/>
      <c r="AE903" s="559"/>
    </row>
    <row r="904" spans="1:31" ht="18" customHeight="1" x14ac:dyDescent="0.35">
      <c r="A904" s="559"/>
      <c r="B904" s="559"/>
      <c r="C904" s="559"/>
      <c r="D904" s="559"/>
      <c r="E904" s="559"/>
      <c r="F904" s="559"/>
      <c r="G904" s="559"/>
      <c r="H904" s="559"/>
      <c r="I904" s="559"/>
      <c r="J904" s="559"/>
      <c r="K904" s="559"/>
      <c r="L904" s="559"/>
      <c r="M904" s="559"/>
      <c r="N904" s="559"/>
      <c r="O904" s="559"/>
      <c r="P904" s="559"/>
      <c r="Q904" s="559"/>
      <c r="R904" s="559"/>
      <c r="S904" s="559"/>
      <c r="T904" s="559"/>
      <c r="U904" s="559"/>
      <c r="V904" s="559"/>
      <c r="W904" s="559"/>
      <c r="X904" s="559"/>
      <c r="Y904" s="559"/>
      <c r="Z904" s="559"/>
      <c r="AA904" s="559"/>
      <c r="AB904" s="559"/>
      <c r="AC904" s="559"/>
      <c r="AD904" s="559"/>
      <c r="AE904" s="559"/>
    </row>
    <row r="905" spans="1:31" ht="18" customHeight="1" x14ac:dyDescent="0.35">
      <c r="A905" s="559"/>
      <c r="B905" s="559"/>
      <c r="C905" s="559"/>
      <c r="D905" s="559"/>
      <c r="E905" s="559"/>
      <c r="F905" s="559"/>
      <c r="G905" s="559"/>
      <c r="H905" s="559"/>
      <c r="I905" s="559"/>
      <c r="J905" s="559"/>
      <c r="K905" s="559"/>
      <c r="L905" s="559"/>
      <c r="M905" s="559"/>
      <c r="N905" s="559"/>
      <c r="O905" s="559"/>
      <c r="P905" s="559"/>
      <c r="Q905" s="559"/>
      <c r="R905" s="559"/>
      <c r="S905" s="559"/>
      <c r="T905" s="559"/>
      <c r="U905" s="559"/>
      <c r="V905" s="559"/>
      <c r="W905" s="559"/>
      <c r="X905" s="559"/>
      <c r="Y905" s="559"/>
      <c r="Z905" s="559"/>
      <c r="AA905" s="559"/>
      <c r="AB905" s="559"/>
      <c r="AC905" s="559"/>
      <c r="AD905" s="559"/>
      <c r="AE905" s="559"/>
    </row>
    <row r="906" spans="1:31" ht="18" customHeight="1" x14ac:dyDescent="0.35">
      <c r="A906" s="559"/>
      <c r="B906" s="559"/>
      <c r="C906" s="559"/>
      <c r="D906" s="559"/>
      <c r="E906" s="559"/>
      <c r="F906" s="559"/>
      <c r="G906" s="559"/>
      <c r="H906" s="559"/>
      <c r="I906" s="559"/>
      <c r="J906" s="559"/>
      <c r="K906" s="559"/>
      <c r="L906" s="559"/>
      <c r="M906" s="559"/>
      <c r="N906" s="559"/>
      <c r="O906" s="559"/>
      <c r="P906" s="559"/>
      <c r="Q906" s="559"/>
      <c r="R906" s="559"/>
      <c r="S906" s="559"/>
      <c r="T906" s="559"/>
      <c r="U906" s="559"/>
      <c r="V906" s="559"/>
      <c r="W906" s="559"/>
      <c r="X906" s="559"/>
      <c r="Y906" s="559"/>
      <c r="Z906" s="559"/>
      <c r="AA906" s="559"/>
      <c r="AB906" s="559"/>
      <c r="AC906" s="559"/>
      <c r="AD906" s="559"/>
      <c r="AE906" s="559"/>
    </row>
    <row r="907" spans="1:31" ht="18" customHeight="1" x14ac:dyDescent="0.35">
      <c r="A907" s="559"/>
      <c r="B907" s="559"/>
      <c r="C907" s="559"/>
      <c r="D907" s="559"/>
      <c r="E907" s="559"/>
      <c r="F907" s="559"/>
      <c r="G907" s="559"/>
      <c r="H907" s="559"/>
      <c r="I907" s="559"/>
      <c r="J907" s="559"/>
      <c r="K907" s="559"/>
      <c r="L907" s="559"/>
      <c r="M907" s="559"/>
      <c r="N907" s="559"/>
      <c r="O907" s="559"/>
      <c r="P907" s="559"/>
      <c r="Q907" s="559"/>
      <c r="R907" s="559"/>
      <c r="S907" s="559"/>
      <c r="T907" s="559"/>
      <c r="U907" s="559"/>
      <c r="V907" s="559"/>
      <c r="W907" s="559"/>
      <c r="X907" s="559"/>
      <c r="Y907" s="559"/>
      <c r="Z907" s="559"/>
      <c r="AA907" s="559"/>
      <c r="AB907" s="559"/>
      <c r="AC907" s="559"/>
      <c r="AD907" s="559"/>
      <c r="AE907" s="559"/>
    </row>
    <row r="908" spans="1:31" ht="18" customHeight="1" x14ac:dyDescent="0.35">
      <c r="A908" s="559"/>
      <c r="B908" s="559"/>
      <c r="C908" s="559"/>
      <c r="D908" s="559"/>
      <c r="E908" s="559"/>
      <c r="F908" s="559"/>
      <c r="G908" s="559"/>
      <c r="H908" s="559"/>
      <c r="I908" s="559"/>
      <c r="J908" s="559"/>
      <c r="K908" s="559"/>
      <c r="L908" s="559"/>
      <c r="M908" s="559"/>
      <c r="N908" s="559"/>
      <c r="O908" s="559"/>
      <c r="P908" s="559"/>
      <c r="Q908" s="559"/>
      <c r="R908" s="559"/>
      <c r="S908" s="559"/>
      <c r="T908" s="559"/>
      <c r="U908" s="559"/>
      <c r="V908" s="559"/>
      <c r="W908" s="559"/>
      <c r="X908" s="559"/>
      <c r="Y908" s="559"/>
      <c r="Z908" s="559"/>
      <c r="AA908" s="559"/>
      <c r="AB908" s="559"/>
      <c r="AC908" s="559"/>
      <c r="AD908" s="559"/>
      <c r="AE908" s="559"/>
    </row>
    <row r="909" spans="1:31" ht="18" customHeight="1" x14ac:dyDescent="0.35">
      <c r="A909" s="559"/>
      <c r="B909" s="559"/>
      <c r="C909" s="559"/>
      <c r="D909" s="559"/>
      <c r="E909" s="559"/>
      <c r="F909" s="559"/>
      <c r="G909" s="559"/>
      <c r="H909" s="559"/>
      <c r="I909" s="559"/>
      <c r="J909" s="559"/>
      <c r="K909" s="559"/>
      <c r="L909" s="559"/>
      <c r="M909" s="559"/>
      <c r="N909" s="559"/>
      <c r="O909" s="559"/>
      <c r="P909" s="559"/>
      <c r="Q909" s="559"/>
      <c r="R909" s="559"/>
      <c r="S909" s="559"/>
      <c r="T909" s="559"/>
      <c r="U909" s="559"/>
      <c r="V909" s="559"/>
      <c r="W909" s="559"/>
      <c r="X909" s="559"/>
      <c r="Y909" s="559"/>
      <c r="Z909" s="559"/>
      <c r="AA909" s="559"/>
      <c r="AB909" s="559"/>
      <c r="AC909" s="559"/>
      <c r="AD909" s="559"/>
      <c r="AE909" s="559"/>
    </row>
    <row r="910" spans="1:31" ht="18" customHeight="1" x14ac:dyDescent="0.35">
      <c r="A910" s="559"/>
      <c r="B910" s="559"/>
      <c r="C910" s="559"/>
      <c r="D910" s="559"/>
      <c r="E910" s="559"/>
      <c r="F910" s="559"/>
      <c r="G910" s="559"/>
      <c r="H910" s="559"/>
      <c r="I910" s="559"/>
      <c r="J910" s="559"/>
      <c r="K910" s="559"/>
      <c r="L910" s="559"/>
      <c r="M910" s="559"/>
      <c r="N910" s="559"/>
      <c r="O910" s="559"/>
      <c r="P910" s="559"/>
      <c r="Q910" s="559"/>
      <c r="R910" s="559"/>
      <c r="S910" s="559"/>
      <c r="T910" s="559"/>
      <c r="U910" s="559"/>
      <c r="V910" s="559"/>
      <c r="W910" s="559"/>
      <c r="X910" s="559"/>
      <c r="Y910" s="559"/>
      <c r="Z910" s="559"/>
      <c r="AA910" s="559"/>
      <c r="AB910" s="559"/>
      <c r="AC910" s="559"/>
      <c r="AD910" s="559"/>
      <c r="AE910" s="559"/>
    </row>
    <row r="911" spans="1:31" ht="18" customHeight="1" x14ac:dyDescent="0.35">
      <c r="A911" s="559"/>
      <c r="B911" s="559"/>
      <c r="C911" s="559"/>
      <c r="D911" s="559"/>
      <c r="E911" s="559"/>
      <c r="F911" s="559"/>
      <c r="G911" s="559"/>
      <c r="H911" s="559"/>
      <c r="I911" s="559"/>
      <c r="J911" s="559"/>
      <c r="K911" s="559"/>
      <c r="L911" s="559"/>
      <c r="M911" s="559"/>
      <c r="N911" s="559"/>
      <c r="O911" s="559"/>
      <c r="P911" s="559"/>
      <c r="Q911" s="559"/>
      <c r="R911" s="559"/>
      <c r="S911" s="559"/>
      <c r="T911" s="559"/>
      <c r="U911" s="559"/>
      <c r="V911" s="559"/>
      <c r="W911" s="559"/>
      <c r="X911" s="559"/>
      <c r="Y911" s="559"/>
      <c r="Z911" s="559"/>
      <c r="AA911" s="559"/>
      <c r="AB911" s="559"/>
      <c r="AC911" s="559"/>
      <c r="AD911" s="559"/>
      <c r="AE911" s="559"/>
    </row>
    <row r="912" spans="1:31" ht="18" customHeight="1" x14ac:dyDescent="0.35">
      <c r="A912" s="559"/>
      <c r="B912" s="559"/>
      <c r="C912" s="559"/>
      <c r="D912" s="559"/>
      <c r="E912" s="559"/>
      <c r="F912" s="559"/>
      <c r="G912" s="559"/>
      <c r="H912" s="559"/>
      <c r="I912" s="559"/>
      <c r="J912" s="559"/>
      <c r="K912" s="559"/>
      <c r="L912" s="559"/>
      <c r="M912" s="559"/>
      <c r="N912" s="559"/>
      <c r="O912" s="559"/>
      <c r="P912" s="559"/>
      <c r="Q912" s="559"/>
      <c r="R912" s="559"/>
      <c r="S912" s="559"/>
      <c r="T912" s="559"/>
      <c r="U912" s="559"/>
      <c r="V912" s="559"/>
      <c r="W912" s="559"/>
      <c r="X912" s="559"/>
      <c r="Y912" s="559"/>
      <c r="Z912" s="559"/>
      <c r="AA912" s="559"/>
      <c r="AB912" s="559"/>
      <c r="AC912" s="559"/>
      <c r="AD912" s="559"/>
      <c r="AE912" s="559"/>
    </row>
    <row r="913" spans="1:31" ht="18" customHeight="1" x14ac:dyDescent="0.35">
      <c r="A913" s="559"/>
      <c r="B913" s="559"/>
      <c r="C913" s="559"/>
      <c r="D913" s="559"/>
      <c r="E913" s="559"/>
      <c r="F913" s="559"/>
      <c r="G913" s="559"/>
      <c r="H913" s="559"/>
      <c r="I913" s="559"/>
      <c r="J913" s="559"/>
      <c r="K913" s="559"/>
      <c r="L913" s="559"/>
      <c r="M913" s="559"/>
      <c r="N913" s="559"/>
      <c r="O913" s="559"/>
      <c r="P913" s="559"/>
      <c r="Q913" s="559"/>
      <c r="R913" s="559"/>
      <c r="S913" s="559"/>
      <c r="T913" s="559"/>
      <c r="U913" s="559"/>
      <c r="V913" s="559"/>
      <c r="W913" s="559"/>
      <c r="X913" s="559"/>
      <c r="Y913" s="559"/>
      <c r="Z913" s="559"/>
      <c r="AA913" s="559"/>
      <c r="AB913" s="559"/>
      <c r="AC913" s="559"/>
      <c r="AD913" s="559"/>
      <c r="AE913" s="559"/>
    </row>
    <row r="914" spans="1:31" ht="18" customHeight="1" x14ac:dyDescent="0.35">
      <c r="A914" s="559"/>
      <c r="B914" s="559"/>
      <c r="C914" s="559"/>
      <c r="D914" s="559"/>
      <c r="E914" s="559"/>
      <c r="F914" s="559"/>
      <c r="G914" s="559"/>
      <c r="H914" s="559"/>
      <c r="I914" s="559"/>
      <c r="J914" s="559"/>
      <c r="K914" s="559"/>
      <c r="L914" s="559"/>
      <c r="M914" s="559"/>
      <c r="N914" s="559"/>
      <c r="O914" s="559"/>
      <c r="P914" s="559"/>
      <c r="Q914" s="559"/>
      <c r="R914" s="559"/>
      <c r="S914" s="559"/>
      <c r="T914" s="559"/>
      <c r="U914" s="559"/>
      <c r="V914" s="559"/>
      <c r="W914" s="559"/>
      <c r="X914" s="559"/>
      <c r="Y914" s="559"/>
      <c r="Z914" s="559"/>
      <c r="AA914" s="559"/>
      <c r="AB914" s="559"/>
      <c r="AC914" s="559"/>
      <c r="AD914" s="559"/>
      <c r="AE914" s="559"/>
    </row>
    <row r="915" spans="1:31" ht="18" customHeight="1" x14ac:dyDescent="0.35">
      <c r="A915" s="559"/>
      <c r="B915" s="559"/>
      <c r="C915" s="559"/>
      <c r="D915" s="559"/>
      <c r="E915" s="559"/>
      <c r="F915" s="559"/>
      <c r="G915" s="559"/>
      <c r="H915" s="559"/>
      <c r="I915" s="559"/>
      <c r="J915" s="559"/>
      <c r="K915" s="559"/>
      <c r="L915" s="559"/>
      <c r="M915" s="559"/>
      <c r="N915" s="559"/>
      <c r="O915" s="559"/>
      <c r="P915" s="559"/>
      <c r="Q915" s="559"/>
      <c r="R915" s="559"/>
      <c r="S915" s="559"/>
      <c r="T915" s="559"/>
      <c r="U915" s="559"/>
      <c r="V915" s="559"/>
      <c r="W915" s="559"/>
      <c r="X915" s="559"/>
      <c r="Y915" s="559"/>
      <c r="Z915" s="559"/>
      <c r="AA915" s="559"/>
      <c r="AB915" s="559"/>
      <c r="AC915" s="559"/>
      <c r="AD915" s="559"/>
      <c r="AE915" s="559"/>
    </row>
    <row r="916" spans="1:31" ht="18" customHeight="1" x14ac:dyDescent="0.35">
      <c r="A916" s="559"/>
      <c r="B916" s="559"/>
      <c r="C916" s="559"/>
      <c r="D916" s="559"/>
      <c r="E916" s="559"/>
      <c r="F916" s="559"/>
      <c r="G916" s="559"/>
      <c r="H916" s="559"/>
      <c r="I916" s="559"/>
      <c r="J916" s="559"/>
      <c r="K916" s="559"/>
      <c r="L916" s="559"/>
      <c r="M916" s="559"/>
      <c r="N916" s="559"/>
      <c r="O916" s="559"/>
      <c r="P916" s="559"/>
      <c r="Q916" s="559"/>
      <c r="R916" s="559"/>
      <c r="S916" s="559"/>
      <c r="T916" s="559"/>
      <c r="U916" s="559"/>
      <c r="V916" s="559"/>
      <c r="W916" s="559"/>
      <c r="X916" s="559"/>
      <c r="Y916" s="559"/>
      <c r="Z916" s="559"/>
      <c r="AA916" s="559"/>
      <c r="AB916" s="559"/>
      <c r="AC916" s="559"/>
      <c r="AD916" s="559"/>
      <c r="AE916" s="559"/>
    </row>
    <row r="917" spans="1:31" ht="18" customHeight="1" x14ac:dyDescent="0.35">
      <c r="A917" s="559"/>
      <c r="B917" s="559"/>
      <c r="C917" s="559"/>
      <c r="D917" s="559"/>
      <c r="E917" s="559"/>
      <c r="F917" s="559"/>
      <c r="G917" s="559"/>
      <c r="H917" s="559"/>
      <c r="I917" s="559"/>
      <c r="J917" s="559"/>
      <c r="K917" s="559"/>
      <c r="L917" s="559"/>
      <c r="M917" s="559"/>
      <c r="N917" s="559"/>
      <c r="O917" s="559"/>
      <c r="P917" s="559"/>
      <c r="Q917" s="559"/>
      <c r="R917" s="559"/>
      <c r="S917" s="559"/>
      <c r="T917" s="559"/>
      <c r="U917" s="559"/>
      <c r="V917" s="559"/>
      <c r="W917" s="559"/>
      <c r="X917" s="559"/>
      <c r="Y917" s="559"/>
      <c r="Z917" s="559"/>
      <c r="AA917" s="559"/>
      <c r="AB917" s="559"/>
      <c r="AC917" s="559"/>
      <c r="AD917" s="559"/>
      <c r="AE917" s="559"/>
    </row>
    <row r="918" spans="1:31" ht="18" customHeight="1" x14ac:dyDescent="0.35">
      <c r="A918" s="559"/>
      <c r="B918" s="559"/>
      <c r="C918" s="559"/>
      <c r="D918" s="559"/>
      <c r="E918" s="559"/>
      <c r="F918" s="559"/>
      <c r="G918" s="559"/>
      <c r="H918" s="559"/>
      <c r="I918" s="559"/>
      <c r="J918" s="559"/>
      <c r="K918" s="559"/>
      <c r="L918" s="559"/>
      <c r="M918" s="559"/>
      <c r="N918" s="559"/>
      <c r="O918" s="559"/>
      <c r="P918" s="559"/>
      <c r="Q918" s="559"/>
      <c r="R918" s="559"/>
      <c r="S918" s="559"/>
      <c r="T918" s="559"/>
      <c r="U918" s="559"/>
      <c r="V918" s="559"/>
      <c r="W918" s="559"/>
      <c r="X918" s="559"/>
      <c r="Y918" s="559"/>
      <c r="Z918" s="559"/>
      <c r="AA918" s="559"/>
      <c r="AB918" s="559"/>
      <c r="AC918" s="559"/>
      <c r="AD918" s="559"/>
      <c r="AE918" s="559"/>
    </row>
    <row r="919" spans="1:31" ht="18" customHeight="1" x14ac:dyDescent="0.35">
      <c r="A919" s="559"/>
      <c r="B919" s="559"/>
      <c r="C919" s="559"/>
      <c r="D919" s="559"/>
      <c r="E919" s="559"/>
      <c r="F919" s="559"/>
      <c r="G919" s="559"/>
      <c r="H919" s="559"/>
      <c r="I919" s="559"/>
      <c r="J919" s="559"/>
      <c r="K919" s="559"/>
      <c r="L919" s="559"/>
      <c r="M919" s="559"/>
      <c r="N919" s="559"/>
      <c r="O919" s="559"/>
      <c r="P919" s="559"/>
      <c r="Q919" s="559"/>
      <c r="R919" s="559"/>
      <c r="S919" s="559"/>
      <c r="T919" s="559"/>
      <c r="U919" s="559"/>
      <c r="V919" s="559"/>
      <c r="W919" s="559"/>
      <c r="X919" s="559"/>
      <c r="Y919" s="559"/>
      <c r="Z919" s="559"/>
      <c r="AA919" s="559"/>
      <c r="AB919" s="559"/>
      <c r="AC919" s="559"/>
      <c r="AD919" s="559"/>
      <c r="AE919" s="559"/>
    </row>
    <row r="920" spans="1:31" ht="18" customHeight="1" x14ac:dyDescent="0.35">
      <c r="A920" s="559"/>
      <c r="B920" s="559"/>
      <c r="C920" s="559"/>
      <c r="D920" s="559"/>
      <c r="E920" s="559"/>
      <c r="F920" s="559"/>
      <c r="G920" s="559"/>
      <c r="H920" s="559"/>
      <c r="I920" s="559"/>
      <c r="J920" s="559"/>
      <c r="K920" s="559"/>
      <c r="L920" s="559"/>
      <c r="M920" s="559"/>
      <c r="N920" s="559"/>
      <c r="O920" s="559"/>
      <c r="P920" s="559"/>
      <c r="Q920" s="559"/>
      <c r="R920" s="559"/>
      <c r="S920" s="559"/>
      <c r="T920" s="559"/>
      <c r="U920" s="559"/>
      <c r="V920" s="559"/>
      <c r="W920" s="559"/>
      <c r="X920" s="559"/>
      <c r="Y920" s="559"/>
      <c r="Z920" s="559"/>
      <c r="AA920" s="559"/>
      <c r="AB920" s="559"/>
      <c r="AC920" s="559"/>
      <c r="AD920" s="559"/>
      <c r="AE920" s="559"/>
    </row>
    <row r="921" spans="1:31" ht="18" customHeight="1" x14ac:dyDescent="0.35">
      <c r="A921" s="559"/>
      <c r="B921" s="559"/>
      <c r="C921" s="559"/>
      <c r="D921" s="559"/>
      <c r="E921" s="559"/>
      <c r="F921" s="559"/>
      <c r="G921" s="559"/>
      <c r="H921" s="559"/>
      <c r="I921" s="559"/>
      <c r="J921" s="559"/>
      <c r="K921" s="559"/>
      <c r="L921" s="559"/>
      <c r="M921" s="559"/>
      <c r="N921" s="559"/>
      <c r="O921" s="559"/>
      <c r="P921" s="559"/>
      <c r="Q921" s="559"/>
      <c r="R921" s="559"/>
      <c r="S921" s="559"/>
      <c r="T921" s="559"/>
      <c r="U921" s="559"/>
      <c r="V921" s="559"/>
      <c r="W921" s="559"/>
      <c r="X921" s="559"/>
      <c r="Y921" s="559"/>
      <c r="Z921" s="559"/>
      <c r="AA921" s="559"/>
      <c r="AB921" s="559"/>
      <c r="AC921" s="559"/>
      <c r="AD921" s="559"/>
      <c r="AE921" s="559"/>
    </row>
    <row r="922" spans="1:31" ht="18" customHeight="1" x14ac:dyDescent="0.35">
      <c r="A922" s="559"/>
      <c r="B922" s="559"/>
      <c r="C922" s="559"/>
      <c r="D922" s="559"/>
      <c r="E922" s="559"/>
      <c r="F922" s="559"/>
      <c r="G922" s="559"/>
      <c r="H922" s="559"/>
      <c r="I922" s="559"/>
      <c r="J922" s="559"/>
      <c r="K922" s="559"/>
      <c r="L922" s="559"/>
      <c r="M922" s="559"/>
      <c r="N922" s="559"/>
      <c r="O922" s="559"/>
      <c r="P922" s="559"/>
      <c r="Q922" s="559"/>
      <c r="R922" s="559"/>
      <c r="S922" s="559"/>
      <c r="T922" s="559"/>
      <c r="U922" s="559"/>
      <c r="V922" s="559"/>
      <c r="W922" s="559"/>
      <c r="X922" s="559"/>
      <c r="Y922" s="559"/>
      <c r="Z922" s="559"/>
      <c r="AA922" s="559"/>
      <c r="AB922" s="559"/>
      <c r="AC922" s="559"/>
      <c r="AD922" s="559"/>
      <c r="AE922" s="559"/>
    </row>
    <row r="923" spans="1:31" ht="18" customHeight="1" x14ac:dyDescent="0.35">
      <c r="A923" s="559"/>
      <c r="B923" s="559"/>
      <c r="C923" s="559"/>
      <c r="D923" s="559"/>
      <c r="E923" s="559"/>
      <c r="F923" s="559"/>
      <c r="G923" s="559"/>
      <c r="H923" s="559"/>
      <c r="I923" s="559"/>
      <c r="J923" s="559"/>
      <c r="K923" s="559"/>
      <c r="L923" s="559"/>
      <c r="M923" s="559"/>
      <c r="N923" s="559"/>
      <c r="O923" s="559"/>
      <c r="P923" s="559"/>
      <c r="Q923" s="559"/>
      <c r="R923" s="559"/>
      <c r="S923" s="559"/>
      <c r="T923" s="559"/>
      <c r="U923" s="559"/>
      <c r="V923" s="559"/>
      <c r="W923" s="559"/>
      <c r="X923" s="559"/>
      <c r="Y923" s="559"/>
      <c r="Z923" s="559"/>
      <c r="AA923" s="559"/>
      <c r="AB923" s="559"/>
      <c r="AC923" s="559"/>
      <c r="AD923" s="559"/>
      <c r="AE923" s="559"/>
    </row>
    <row r="924" spans="1:31" ht="18" customHeight="1" x14ac:dyDescent="0.35">
      <c r="A924" s="559"/>
      <c r="B924" s="559"/>
      <c r="C924" s="559"/>
      <c r="D924" s="559"/>
      <c r="E924" s="559"/>
      <c r="F924" s="559"/>
      <c r="G924" s="559"/>
      <c r="H924" s="559"/>
      <c r="I924" s="559"/>
      <c r="J924" s="559"/>
      <c r="K924" s="559"/>
      <c r="L924" s="559"/>
      <c r="M924" s="559"/>
      <c r="N924" s="559"/>
      <c r="O924" s="559"/>
      <c r="P924" s="559"/>
      <c r="Q924" s="559"/>
      <c r="R924" s="559"/>
      <c r="S924" s="559"/>
      <c r="T924" s="559"/>
      <c r="U924" s="559"/>
      <c r="V924" s="559"/>
      <c r="W924" s="559"/>
      <c r="X924" s="559"/>
      <c r="Y924" s="559"/>
      <c r="Z924" s="559"/>
      <c r="AA924" s="559"/>
      <c r="AB924" s="559"/>
      <c r="AC924" s="559"/>
      <c r="AD924" s="559"/>
      <c r="AE924" s="559"/>
    </row>
    <row r="925" spans="1:31" ht="18" customHeight="1" x14ac:dyDescent="0.35">
      <c r="A925" s="559"/>
      <c r="B925" s="559"/>
      <c r="C925" s="559"/>
      <c r="D925" s="559"/>
      <c r="E925" s="559"/>
      <c r="F925" s="559"/>
      <c r="G925" s="559"/>
      <c r="H925" s="559"/>
      <c r="I925" s="559"/>
      <c r="J925" s="559"/>
      <c r="K925" s="559"/>
      <c r="L925" s="559"/>
      <c r="M925" s="559"/>
      <c r="N925" s="559"/>
      <c r="O925" s="559"/>
      <c r="P925" s="559"/>
      <c r="Q925" s="559"/>
      <c r="R925" s="559"/>
      <c r="S925" s="559"/>
      <c r="T925" s="559"/>
      <c r="U925" s="559"/>
      <c r="V925" s="559"/>
      <c r="W925" s="559"/>
      <c r="X925" s="559"/>
      <c r="Y925" s="559"/>
      <c r="Z925" s="559"/>
      <c r="AA925" s="559"/>
      <c r="AB925" s="559"/>
      <c r="AC925" s="559"/>
      <c r="AD925" s="559"/>
      <c r="AE925" s="559"/>
    </row>
    <row r="926" spans="1:31" ht="18" customHeight="1" x14ac:dyDescent="0.35">
      <c r="A926" s="559"/>
      <c r="B926" s="559"/>
      <c r="C926" s="559"/>
      <c r="D926" s="559"/>
      <c r="E926" s="559"/>
      <c r="F926" s="559"/>
      <c r="G926" s="559"/>
      <c r="H926" s="559"/>
      <c r="I926" s="559"/>
      <c r="J926" s="559"/>
      <c r="K926" s="559"/>
      <c r="L926" s="559"/>
      <c r="M926" s="559"/>
      <c r="N926" s="559"/>
      <c r="O926" s="559"/>
      <c r="P926" s="559"/>
      <c r="Q926" s="559"/>
      <c r="R926" s="559"/>
      <c r="S926" s="559"/>
      <c r="T926" s="559"/>
      <c r="U926" s="559"/>
      <c r="V926" s="559"/>
      <c r="W926" s="559"/>
      <c r="X926" s="559"/>
      <c r="Y926" s="559"/>
      <c r="Z926" s="559"/>
      <c r="AA926" s="559"/>
      <c r="AB926" s="559"/>
      <c r="AC926" s="559"/>
      <c r="AD926" s="559"/>
      <c r="AE926" s="559"/>
    </row>
    <row r="927" spans="1:31" ht="18" customHeight="1" x14ac:dyDescent="0.35">
      <c r="A927" s="559"/>
      <c r="B927" s="559"/>
      <c r="C927" s="559"/>
      <c r="D927" s="559"/>
      <c r="E927" s="559"/>
      <c r="F927" s="559"/>
      <c r="G927" s="559"/>
      <c r="H927" s="559"/>
      <c r="I927" s="559"/>
      <c r="J927" s="559"/>
      <c r="K927" s="559"/>
      <c r="L927" s="559"/>
      <c r="M927" s="559"/>
      <c r="N927" s="559"/>
      <c r="O927" s="559"/>
      <c r="P927" s="559"/>
      <c r="Q927" s="559"/>
      <c r="R927" s="559"/>
      <c r="S927" s="559"/>
      <c r="T927" s="559"/>
      <c r="U927" s="559"/>
      <c r="V927" s="559"/>
      <c r="W927" s="559"/>
      <c r="X927" s="559"/>
      <c r="Y927" s="559"/>
      <c r="Z927" s="559"/>
      <c r="AA927" s="559"/>
      <c r="AB927" s="559"/>
      <c r="AC927" s="559"/>
      <c r="AD927" s="559"/>
      <c r="AE927" s="559"/>
    </row>
    <row r="928" spans="1:31" ht="18" customHeight="1" x14ac:dyDescent="0.35">
      <c r="A928" s="559"/>
      <c r="B928" s="559"/>
      <c r="C928" s="559"/>
      <c r="D928" s="559"/>
      <c r="E928" s="559"/>
      <c r="F928" s="559"/>
      <c r="G928" s="559"/>
      <c r="H928" s="559"/>
      <c r="I928" s="559"/>
      <c r="J928" s="559"/>
      <c r="K928" s="559"/>
      <c r="L928" s="559"/>
      <c r="M928" s="559"/>
      <c r="N928" s="559"/>
      <c r="O928" s="559"/>
      <c r="P928" s="559"/>
      <c r="Q928" s="559"/>
      <c r="R928" s="559"/>
      <c r="S928" s="559"/>
      <c r="T928" s="559"/>
      <c r="U928" s="559"/>
      <c r="V928" s="559"/>
      <c r="W928" s="559"/>
      <c r="X928" s="559"/>
      <c r="Y928" s="559"/>
      <c r="Z928" s="559"/>
      <c r="AA928" s="559"/>
      <c r="AB928" s="559"/>
      <c r="AC928" s="559"/>
      <c r="AD928" s="559"/>
      <c r="AE928" s="559"/>
    </row>
    <row r="929" spans="1:31" ht="18" customHeight="1" x14ac:dyDescent="0.35">
      <c r="A929" s="559"/>
      <c r="B929" s="559"/>
      <c r="C929" s="559"/>
      <c r="D929" s="559"/>
      <c r="E929" s="559"/>
      <c r="F929" s="559"/>
      <c r="G929" s="559"/>
      <c r="H929" s="559"/>
      <c r="I929" s="559"/>
      <c r="J929" s="559"/>
      <c r="K929" s="559"/>
      <c r="L929" s="559"/>
      <c r="M929" s="559"/>
      <c r="N929" s="559"/>
      <c r="O929" s="559"/>
      <c r="P929" s="559"/>
      <c r="Q929" s="559"/>
      <c r="R929" s="559"/>
      <c r="S929" s="559"/>
      <c r="T929" s="559"/>
      <c r="U929" s="559"/>
      <c r="V929" s="559"/>
      <c r="W929" s="559"/>
      <c r="X929" s="559"/>
      <c r="Y929" s="559"/>
      <c r="Z929" s="559"/>
      <c r="AA929" s="559"/>
      <c r="AB929" s="559"/>
      <c r="AC929" s="559"/>
      <c r="AD929" s="559"/>
      <c r="AE929" s="559"/>
    </row>
    <row r="930" spans="1:31" ht="18" customHeight="1" x14ac:dyDescent="0.35">
      <c r="A930" s="559"/>
      <c r="B930" s="559"/>
      <c r="C930" s="559"/>
      <c r="D930" s="559"/>
      <c r="E930" s="559"/>
      <c r="F930" s="559"/>
      <c r="G930" s="559"/>
      <c r="H930" s="559"/>
      <c r="I930" s="559"/>
      <c r="J930" s="559"/>
      <c r="K930" s="559"/>
      <c r="L930" s="559"/>
      <c r="M930" s="559"/>
      <c r="N930" s="559"/>
      <c r="O930" s="559"/>
      <c r="P930" s="559"/>
      <c r="Q930" s="559"/>
      <c r="R930" s="559"/>
      <c r="S930" s="559"/>
      <c r="T930" s="559"/>
      <c r="U930" s="559"/>
      <c r="V930" s="559"/>
      <c r="W930" s="559"/>
      <c r="X930" s="559"/>
      <c r="Y930" s="559"/>
      <c r="Z930" s="559"/>
      <c r="AA930" s="559"/>
      <c r="AB930" s="559"/>
      <c r="AC930" s="559"/>
      <c r="AD930" s="559"/>
      <c r="AE930" s="559"/>
    </row>
    <row r="931" spans="1:31" ht="18" customHeight="1" x14ac:dyDescent="0.35">
      <c r="A931" s="559"/>
      <c r="B931" s="559"/>
      <c r="C931" s="559"/>
      <c r="D931" s="559"/>
      <c r="E931" s="559"/>
      <c r="F931" s="559"/>
      <c r="G931" s="559"/>
      <c r="H931" s="559"/>
      <c r="I931" s="559"/>
      <c r="J931" s="559"/>
      <c r="K931" s="559"/>
      <c r="L931" s="559"/>
      <c r="M931" s="559"/>
      <c r="N931" s="559"/>
      <c r="O931" s="559"/>
      <c r="P931" s="559"/>
      <c r="Q931" s="559"/>
      <c r="R931" s="559"/>
      <c r="S931" s="559"/>
      <c r="T931" s="559"/>
      <c r="U931" s="559"/>
      <c r="V931" s="559"/>
      <c r="W931" s="559"/>
      <c r="X931" s="559"/>
      <c r="Y931" s="559"/>
      <c r="Z931" s="559"/>
      <c r="AA931" s="559"/>
      <c r="AB931" s="559"/>
      <c r="AC931" s="559"/>
      <c r="AD931" s="559"/>
      <c r="AE931" s="559"/>
    </row>
    <row r="932" spans="1:31" ht="18" customHeight="1" x14ac:dyDescent="0.35">
      <c r="A932" s="559"/>
      <c r="B932" s="559"/>
      <c r="C932" s="559"/>
      <c r="D932" s="559"/>
      <c r="E932" s="559"/>
      <c r="F932" s="559"/>
      <c r="G932" s="559"/>
      <c r="H932" s="559"/>
      <c r="I932" s="559"/>
      <c r="J932" s="559"/>
      <c r="K932" s="559"/>
      <c r="L932" s="559"/>
      <c r="M932" s="559"/>
      <c r="N932" s="559"/>
      <c r="O932" s="559"/>
      <c r="P932" s="559"/>
      <c r="Q932" s="559"/>
      <c r="R932" s="559"/>
      <c r="S932" s="559"/>
      <c r="T932" s="559"/>
      <c r="U932" s="559"/>
      <c r="V932" s="559"/>
      <c r="W932" s="559"/>
      <c r="X932" s="559"/>
      <c r="Y932" s="559"/>
      <c r="Z932" s="559"/>
      <c r="AA932" s="559"/>
      <c r="AB932" s="559"/>
      <c r="AC932" s="559"/>
      <c r="AD932" s="559"/>
      <c r="AE932" s="559"/>
    </row>
    <row r="933" spans="1:31" ht="18" customHeight="1" x14ac:dyDescent="0.35">
      <c r="A933" s="559"/>
      <c r="B933" s="559"/>
      <c r="C933" s="559"/>
      <c r="D933" s="559"/>
      <c r="E933" s="559"/>
      <c r="F933" s="559"/>
      <c r="G933" s="559"/>
      <c r="H933" s="559"/>
      <c r="I933" s="559"/>
      <c r="J933" s="559"/>
      <c r="K933" s="559"/>
      <c r="L933" s="559"/>
      <c r="M933" s="559"/>
      <c r="N933" s="559"/>
      <c r="O933" s="559"/>
      <c r="P933" s="559"/>
      <c r="Q933" s="559"/>
      <c r="R933" s="559"/>
      <c r="S933" s="559"/>
      <c r="T933" s="559"/>
      <c r="U933" s="559"/>
      <c r="V933" s="559"/>
      <c r="W933" s="559"/>
      <c r="X933" s="559"/>
      <c r="Y933" s="559"/>
      <c r="Z933" s="559"/>
      <c r="AA933" s="559"/>
      <c r="AB933" s="559"/>
      <c r="AC933" s="559"/>
      <c r="AD933" s="559"/>
      <c r="AE933" s="559"/>
    </row>
    <row r="934" spans="1:31" ht="18" customHeight="1" x14ac:dyDescent="0.35">
      <c r="A934" s="559"/>
      <c r="B934" s="559"/>
      <c r="C934" s="559"/>
      <c r="D934" s="559"/>
      <c r="E934" s="559"/>
      <c r="F934" s="559"/>
      <c r="G934" s="559"/>
      <c r="H934" s="559"/>
      <c r="I934" s="559"/>
      <c r="J934" s="559"/>
      <c r="K934" s="559"/>
      <c r="L934" s="559"/>
      <c r="M934" s="559"/>
      <c r="N934" s="559"/>
      <c r="O934" s="559"/>
      <c r="P934" s="559"/>
      <c r="Q934" s="559"/>
      <c r="R934" s="559"/>
      <c r="S934" s="559"/>
      <c r="T934" s="559"/>
      <c r="U934" s="559"/>
      <c r="V934" s="559"/>
      <c r="W934" s="559"/>
      <c r="X934" s="559"/>
      <c r="Y934" s="559"/>
      <c r="Z934" s="559"/>
      <c r="AA934" s="559"/>
      <c r="AB934" s="559"/>
      <c r="AC934" s="559"/>
      <c r="AD934" s="559"/>
      <c r="AE934" s="559"/>
    </row>
    <row r="935" spans="1:31" ht="18" customHeight="1" x14ac:dyDescent="0.35">
      <c r="A935" s="559"/>
      <c r="B935" s="559"/>
      <c r="C935" s="559"/>
      <c r="D935" s="559"/>
      <c r="E935" s="559"/>
      <c r="F935" s="559"/>
      <c r="G935" s="559"/>
      <c r="H935" s="559"/>
      <c r="I935" s="559"/>
      <c r="J935" s="559"/>
      <c r="K935" s="559"/>
      <c r="L935" s="559"/>
      <c r="M935" s="559"/>
      <c r="N935" s="559"/>
      <c r="O935" s="559"/>
      <c r="P935" s="559"/>
      <c r="Q935" s="559"/>
      <c r="R935" s="559"/>
      <c r="S935" s="559"/>
      <c r="T935" s="559"/>
      <c r="U935" s="559"/>
      <c r="V935" s="559"/>
      <c r="W935" s="559"/>
      <c r="X935" s="559"/>
      <c r="Y935" s="559"/>
      <c r="Z935" s="559"/>
      <c r="AA935" s="559"/>
      <c r="AB935" s="559"/>
      <c r="AC935" s="559"/>
      <c r="AD935" s="559"/>
      <c r="AE935" s="559"/>
    </row>
    <row r="936" spans="1:31" ht="18" customHeight="1" x14ac:dyDescent="0.35">
      <c r="A936" s="559"/>
      <c r="B936" s="559"/>
      <c r="C936" s="559"/>
      <c r="D936" s="559"/>
      <c r="E936" s="559"/>
      <c r="F936" s="559"/>
      <c r="G936" s="559"/>
      <c r="H936" s="559"/>
      <c r="I936" s="559"/>
      <c r="J936" s="559"/>
      <c r="K936" s="559"/>
      <c r="L936" s="559"/>
      <c r="M936" s="559"/>
      <c r="N936" s="559"/>
      <c r="O936" s="559"/>
      <c r="P936" s="559"/>
      <c r="Q936" s="559"/>
      <c r="R936" s="559"/>
      <c r="S936" s="559"/>
      <c r="T936" s="559"/>
      <c r="U936" s="559"/>
      <c r="V936" s="559"/>
      <c r="W936" s="559"/>
      <c r="X936" s="559"/>
      <c r="Y936" s="559"/>
      <c r="Z936" s="559"/>
      <c r="AA936" s="559"/>
      <c r="AB936" s="559"/>
      <c r="AC936" s="559"/>
      <c r="AD936" s="559"/>
      <c r="AE936" s="559"/>
    </row>
    <row r="937" spans="1:31" ht="18" customHeight="1" x14ac:dyDescent="0.35">
      <c r="A937" s="559"/>
      <c r="B937" s="559"/>
      <c r="C937" s="559"/>
      <c r="D937" s="559"/>
      <c r="E937" s="559"/>
      <c r="F937" s="559"/>
      <c r="G937" s="559"/>
      <c r="H937" s="559"/>
      <c r="I937" s="559"/>
      <c r="J937" s="559"/>
      <c r="K937" s="559"/>
      <c r="L937" s="559"/>
      <c r="M937" s="559"/>
      <c r="N937" s="559"/>
      <c r="O937" s="559"/>
      <c r="P937" s="559"/>
      <c r="Q937" s="559"/>
      <c r="R937" s="559"/>
      <c r="S937" s="559"/>
      <c r="T937" s="559"/>
      <c r="U937" s="559"/>
      <c r="V937" s="559"/>
      <c r="W937" s="559"/>
      <c r="X937" s="559"/>
      <c r="Y937" s="559"/>
      <c r="Z937" s="559"/>
      <c r="AA937" s="559"/>
      <c r="AB937" s="559"/>
      <c r="AC937" s="559"/>
      <c r="AD937" s="559"/>
      <c r="AE937" s="559"/>
    </row>
    <row r="938" spans="1:31" ht="18" customHeight="1" x14ac:dyDescent="0.35">
      <c r="A938" s="559"/>
      <c r="B938" s="559"/>
      <c r="C938" s="559"/>
      <c r="D938" s="559"/>
      <c r="E938" s="559"/>
      <c r="F938" s="559"/>
      <c r="G938" s="559"/>
      <c r="H938" s="559"/>
      <c r="I938" s="559"/>
      <c r="J938" s="559"/>
      <c r="K938" s="559"/>
      <c r="L938" s="559"/>
      <c r="M938" s="559"/>
      <c r="N938" s="559"/>
      <c r="O938" s="559"/>
      <c r="P938" s="559"/>
      <c r="Q938" s="559"/>
      <c r="R938" s="559"/>
      <c r="S938" s="559"/>
      <c r="T938" s="559"/>
      <c r="U938" s="559"/>
      <c r="V938" s="559"/>
      <c r="W938" s="559"/>
      <c r="X938" s="559"/>
      <c r="Y938" s="559"/>
      <c r="Z938" s="559"/>
      <c r="AA938" s="559"/>
      <c r="AB938" s="559"/>
      <c r="AC938" s="559"/>
      <c r="AD938" s="559"/>
      <c r="AE938" s="559"/>
    </row>
    <row r="939" spans="1:31" ht="18" customHeight="1" x14ac:dyDescent="0.35">
      <c r="A939" s="559"/>
      <c r="B939" s="559"/>
      <c r="C939" s="559"/>
      <c r="D939" s="559"/>
      <c r="E939" s="559"/>
      <c r="F939" s="559"/>
      <c r="G939" s="559"/>
      <c r="H939" s="559"/>
      <c r="I939" s="559"/>
      <c r="J939" s="559"/>
      <c r="K939" s="559"/>
      <c r="L939" s="559"/>
      <c r="M939" s="559"/>
      <c r="N939" s="559"/>
      <c r="O939" s="559"/>
      <c r="P939" s="559"/>
      <c r="Q939" s="559"/>
      <c r="R939" s="559"/>
      <c r="S939" s="559"/>
      <c r="T939" s="559"/>
      <c r="U939" s="559"/>
      <c r="V939" s="559"/>
      <c r="W939" s="559"/>
      <c r="X939" s="559"/>
      <c r="Y939" s="559"/>
      <c r="Z939" s="559"/>
      <c r="AA939" s="559"/>
      <c r="AB939" s="559"/>
      <c r="AC939" s="559"/>
      <c r="AD939" s="559"/>
      <c r="AE939" s="559"/>
    </row>
    <row r="940" spans="1:31" ht="18" customHeight="1" x14ac:dyDescent="0.35">
      <c r="A940" s="559"/>
      <c r="B940" s="559"/>
      <c r="C940" s="559"/>
      <c r="D940" s="559"/>
      <c r="E940" s="559"/>
      <c r="F940" s="559"/>
      <c r="G940" s="559"/>
      <c r="H940" s="559"/>
      <c r="I940" s="559"/>
      <c r="J940" s="559"/>
      <c r="K940" s="559"/>
      <c r="L940" s="559"/>
      <c r="M940" s="559"/>
      <c r="N940" s="559"/>
      <c r="O940" s="559"/>
      <c r="P940" s="559"/>
      <c r="Q940" s="559"/>
      <c r="R940" s="559"/>
      <c r="S940" s="559"/>
      <c r="T940" s="559"/>
      <c r="U940" s="559"/>
      <c r="V940" s="559"/>
      <c r="W940" s="559"/>
      <c r="X940" s="559"/>
      <c r="Y940" s="559"/>
      <c r="Z940" s="559"/>
      <c r="AA940" s="559"/>
      <c r="AB940" s="559"/>
      <c r="AC940" s="559"/>
      <c r="AD940" s="559"/>
      <c r="AE940" s="559"/>
    </row>
    <row r="941" spans="1:31" ht="18" customHeight="1" x14ac:dyDescent="0.35">
      <c r="A941" s="559"/>
      <c r="B941" s="559"/>
      <c r="C941" s="559"/>
      <c r="D941" s="559"/>
      <c r="E941" s="559"/>
      <c r="F941" s="559"/>
      <c r="G941" s="559"/>
      <c r="H941" s="559"/>
      <c r="I941" s="559"/>
      <c r="J941" s="559"/>
      <c r="K941" s="559"/>
      <c r="L941" s="559"/>
      <c r="M941" s="559"/>
      <c r="N941" s="559"/>
      <c r="O941" s="559"/>
      <c r="P941" s="559"/>
      <c r="Q941" s="559"/>
      <c r="R941" s="559"/>
      <c r="S941" s="559"/>
      <c r="T941" s="559"/>
      <c r="U941" s="559"/>
      <c r="V941" s="559"/>
      <c r="W941" s="559"/>
      <c r="X941" s="559"/>
      <c r="Y941" s="559"/>
      <c r="Z941" s="559"/>
      <c r="AA941" s="559"/>
      <c r="AB941" s="559"/>
      <c r="AC941" s="559"/>
      <c r="AD941" s="559"/>
      <c r="AE941" s="559"/>
    </row>
    <row r="942" spans="1:31" ht="18" customHeight="1" x14ac:dyDescent="0.35">
      <c r="A942" s="559"/>
      <c r="B942" s="559"/>
      <c r="C942" s="559"/>
      <c r="D942" s="559"/>
      <c r="E942" s="559"/>
      <c r="F942" s="559"/>
      <c r="G942" s="559"/>
      <c r="H942" s="559"/>
      <c r="I942" s="559"/>
      <c r="J942" s="559"/>
      <c r="K942" s="559"/>
      <c r="L942" s="559"/>
      <c r="M942" s="559"/>
      <c r="N942" s="559"/>
      <c r="O942" s="559"/>
      <c r="P942" s="559"/>
      <c r="Q942" s="559"/>
      <c r="R942" s="559"/>
      <c r="S942" s="559"/>
      <c r="T942" s="559"/>
      <c r="U942" s="559"/>
      <c r="V942" s="559"/>
      <c r="W942" s="559"/>
      <c r="X942" s="559"/>
      <c r="Y942" s="559"/>
      <c r="Z942" s="559"/>
      <c r="AA942" s="559"/>
      <c r="AB942" s="559"/>
      <c r="AC942" s="559"/>
      <c r="AD942" s="559"/>
      <c r="AE942" s="559"/>
    </row>
    <row r="943" spans="1:31" ht="18" customHeight="1" x14ac:dyDescent="0.35">
      <c r="A943" s="559"/>
      <c r="B943" s="559"/>
      <c r="C943" s="559"/>
      <c r="D943" s="559"/>
      <c r="E943" s="559"/>
      <c r="F943" s="559"/>
      <c r="G943" s="559"/>
      <c r="H943" s="559"/>
      <c r="I943" s="559"/>
      <c r="J943" s="559"/>
      <c r="K943" s="559"/>
      <c r="L943" s="559"/>
      <c r="M943" s="559"/>
      <c r="N943" s="559"/>
      <c r="O943" s="559"/>
      <c r="P943" s="559"/>
      <c r="Q943" s="559"/>
      <c r="R943" s="559"/>
      <c r="S943" s="559"/>
      <c r="T943" s="559"/>
      <c r="U943" s="559"/>
      <c r="V943" s="559"/>
      <c r="W943" s="559"/>
      <c r="X943" s="559"/>
      <c r="Y943" s="559"/>
      <c r="Z943" s="559"/>
      <c r="AA943" s="559"/>
      <c r="AB943" s="559"/>
      <c r="AC943" s="559"/>
      <c r="AD943" s="559"/>
      <c r="AE943" s="559"/>
    </row>
    <row r="944" spans="1:31" ht="18" customHeight="1" x14ac:dyDescent="0.35">
      <c r="A944" s="559"/>
      <c r="B944" s="559"/>
      <c r="C944" s="559"/>
      <c r="D944" s="559"/>
      <c r="E944" s="559"/>
      <c r="F944" s="559"/>
      <c r="G944" s="559"/>
      <c r="H944" s="559"/>
      <c r="I944" s="559"/>
      <c r="J944" s="559"/>
      <c r="K944" s="559"/>
      <c r="L944" s="559"/>
      <c r="M944" s="559"/>
      <c r="N944" s="559"/>
      <c r="O944" s="559"/>
      <c r="P944" s="559"/>
      <c r="Q944" s="559"/>
      <c r="R944" s="559"/>
      <c r="S944" s="559"/>
      <c r="T944" s="559"/>
      <c r="U944" s="559"/>
      <c r="V944" s="559"/>
      <c r="W944" s="559"/>
      <c r="X944" s="559"/>
      <c r="Y944" s="559"/>
      <c r="Z944" s="559"/>
      <c r="AA944" s="559"/>
      <c r="AB944" s="559"/>
      <c r="AC944" s="559"/>
      <c r="AD944" s="559"/>
      <c r="AE944" s="559"/>
    </row>
    <row r="945" spans="1:31" ht="18" customHeight="1" x14ac:dyDescent="0.35">
      <c r="A945" s="559"/>
      <c r="B945" s="559"/>
      <c r="C945" s="559"/>
      <c r="D945" s="559"/>
      <c r="E945" s="559"/>
      <c r="F945" s="559"/>
      <c r="G945" s="559"/>
      <c r="H945" s="559"/>
      <c r="I945" s="559"/>
      <c r="J945" s="559"/>
      <c r="K945" s="559"/>
      <c r="L945" s="559"/>
      <c r="M945" s="559"/>
      <c r="N945" s="559"/>
      <c r="O945" s="559"/>
      <c r="P945" s="559"/>
      <c r="Q945" s="559"/>
      <c r="R945" s="559"/>
      <c r="S945" s="559"/>
      <c r="T945" s="559"/>
      <c r="U945" s="559"/>
      <c r="V945" s="559"/>
      <c r="W945" s="559"/>
      <c r="X945" s="559"/>
      <c r="Y945" s="559"/>
      <c r="Z945" s="559"/>
      <c r="AA945" s="559"/>
      <c r="AB945" s="559"/>
      <c r="AC945" s="559"/>
      <c r="AD945" s="559"/>
      <c r="AE945" s="559"/>
    </row>
    <row r="946" spans="1:31" ht="18" customHeight="1" x14ac:dyDescent="0.35">
      <c r="A946" s="559"/>
      <c r="B946" s="559"/>
      <c r="C946" s="559"/>
      <c r="D946" s="559"/>
      <c r="E946" s="559"/>
      <c r="F946" s="559"/>
      <c r="G946" s="559"/>
      <c r="H946" s="559"/>
      <c r="I946" s="559"/>
      <c r="J946" s="559"/>
      <c r="K946" s="559"/>
      <c r="L946" s="559"/>
      <c r="M946" s="559"/>
      <c r="N946" s="559"/>
      <c r="O946" s="559"/>
      <c r="P946" s="559"/>
      <c r="Q946" s="559"/>
      <c r="R946" s="559"/>
      <c r="S946" s="559"/>
      <c r="T946" s="559"/>
      <c r="U946" s="559"/>
      <c r="V946" s="559"/>
      <c r="W946" s="559"/>
      <c r="X946" s="559"/>
      <c r="Y946" s="559"/>
      <c r="Z946" s="559"/>
      <c r="AA946" s="559"/>
      <c r="AB946" s="559"/>
      <c r="AC946" s="559"/>
      <c r="AD946" s="559"/>
      <c r="AE946" s="559"/>
    </row>
    <row r="947" spans="1:31" ht="18" customHeight="1" x14ac:dyDescent="0.35">
      <c r="A947" s="559"/>
      <c r="B947" s="559"/>
      <c r="C947" s="559"/>
      <c r="D947" s="559"/>
      <c r="E947" s="559"/>
      <c r="F947" s="559"/>
      <c r="G947" s="559"/>
      <c r="H947" s="559"/>
      <c r="I947" s="559"/>
      <c r="J947" s="559"/>
      <c r="K947" s="559"/>
      <c r="L947" s="559"/>
      <c r="M947" s="559"/>
      <c r="N947" s="559"/>
      <c r="O947" s="559"/>
      <c r="P947" s="559"/>
      <c r="Q947" s="559"/>
      <c r="R947" s="559"/>
      <c r="S947" s="559"/>
      <c r="T947" s="559"/>
      <c r="U947" s="559"/>
      <c r="V947" s="559"/>
      <c r="W947" s="559"/>
      <c r="X947" s="559"/>
      <c r="Y947" s="559"/>
      <c r="Z947" s="559"/>
      <c r="AA947" s="559"/>
      <c r="AB947" s="559"/>
      <c r="AC947" s="559"/>
      <c r="AD947" s="559"/>
      <c r="AE947" s="559"/>
    </row>
    <row r="948" spans="1:31" ht="18" customHeight="1" x14ac:dyDescent="0.35">
      <c r="A948" s="559"/>
      <c r="B948" s="559"/>
      <c r="C948" s="559"/>
      <c r="D948" s="559"/>
      <c r="E948" s="559"/>
      <c r="F948" s="559"/>
      <c r="G948" s="559"/>
      <c r="H948" s="559"/>
      <c r="I948" s="559"/>
      <c r="J948" s="559"/>
      <c r="K948" s="559"/>
      <c r="L948" s="559"/>
      <c r="M948" s="559"/>
      <c r="N948" s="559"/>
      <c r="O948" s="559"/>
      <c r="P948" s="559"/>
      <c r="Q948" s="559"/>
      <c r="R948" s="559"/>
      <c r="S948" s="559"/>
      <c r="T948" s="559"/>
      <c r="U948" s="559"/>
      <c r="V948" s="559"/>
      <c r="W948" s="559"/>
      <c r="X948" s="559"/>
      <c r="Y948" s="559"/>
      <c r="Z948" s="559"/>
      <c r="AA948" s="559"/>
      <c r="AB948" s="559"/>
      <c r="AC948" s="559"/>
      <c r="AD948" s="559"/>
      <c r="AE948" s="559"/>
    </row>
    <row r="949" spans="1:31" ht="18" customHeight="1" x14ac:dyDescent="0.35">
      <c r="A949" s="559"/>
      <c r="B949" s="559"/>
      <c r="C949" s="559"/>
      <c r="D949" s="559"/>
      <c r="E949" s="559"/>
      <c r="F949" s="559"/>
      <c r="G949" s="559"/>
      <c r="H949" s="559"/>
      <c r="I949" s="559"/>
      <c r="J949" s="559"/>
      <c r="K949" s="559"/>
      <c r="L949" s="559"/>
      <c r="M949" s="559"/>
      <c r="N949" s="559"/>
      <c r="O949" s="559"/>
      <c r="P949" s="559"/>
      <c r="Q949" s="559"/>
      <c r="R949" s="559"/>
      <c r="S949" s="559"/>
      <c r="T949" s="559"/>
      <c r="U949" s="559"/>
      <c r="V949" s="559"/>
      <c r="W949" s="559"/>
      <c r="X949" s="559"/>
      <c r="Y949" s="559"/>
      <c r="Z949" s="559"/>
      <c r="AA949" s="559"/>
      <c r="AB949" s="559"/>
      <c r="AC949" s="559"/>
      <c r="AD949" s="559"/>
      <c r="AE949" s="559"/>
    </row>
    <row r="950" spans="1:31" ht="18" customHeight="1" x14ac:dyDescent="0.35">
      <c r="A950" s="559"/>
      <c r="B950" s="559"/>
      <c r="C950" s="559"/>
      <c r="D950" s="559"/>
      <c r="E950" s="559"/>
      <c r="F950" s="559"/>
      <c r="G950" s="559"/>
      <c r="H950" s="559"/>
      <c r="I950" s="559"/>
      <c r="J950" s="559"/>
      <c r="K950" s="559"/>
      <c r="L950" s="559"/>
      <c r="M950" s="559"/>
      <c r="N950" s="559"/>
      <c r="O950" s="559"/>
      <c r="P950" s="559"/>
      <c r="Q950" s="559"/>
      <c r="R950" s="559"/>
      <c r="S950" s="559"/>
      <c r="T950" s="559"/>
      <c r="U950" s="559"/>
      <c r="V950" s="559"/>
      <c r="W950" s="559"/>
      <c r="X950" s="559"/>
      <c r="Y950" s="559"/>
      <c r="Z950" s="559"/>
      <c r="AA950" s="559"/>
      <c r="AB950" s="559"/>
      <c r="AC950" s="559"/>
      <c r="AD950" s="559"/>
      <c r="AE950" s="559"/>
    </row>
    <row r="951" spans="1:31" ht="18" customHeight="1" x14ac:dyDescent="0.35">
      <c r="A951" s="559"/>
      <c r="B951" s="559"/>
      <c r="C951" s="559"/>
      <c r="D951" s="559"/>
      <c r="E951" s="559"/>
      <c r="F951" s="559"/>
      <c r="G951" s="559"/>
      <c r="H951" s="559"/>
      <c r="I951" s="559"/>
      <c r="J951" s="559"/>
      <c r="K951" s="559"/>
      <c r="L951" s="559"/>
      <c r="M951" s="559"/>
      <c r="N951" s="559"/>
      <c r="O951" s="559"/>
      <c r="P951" s="559"/>
      <c r="Q951" s="559"/>
      <c r="R951" s="559"/>
      <c r="S951" s="559"/>
      <c r="T951" s="559"/>
      <c r="U951" s="559"/>
      <c r="V951" s="559"/>
      <c r="W951" s="559"/>
      <c r="X951" s="559"/>
      <c r="Y951" s="559"/>
      <c r="Z951" s="559"/>
      <c r="AA951" s="559"/>
      <c r="AB951" s="559"/>
      <c r="AC951" s="559"/>
      <c r="AD951" s="559"/>
      <c r="AE951" s="559"/>
    </row>
    <row r="952" spans="1:31" ht="18" customHeight="1" x14ac:dyDescent="0.35">
      <c r="A952" s="559"/>
      <c r="B952" s="559"/>
      <c r="C952" s="559"/>
      <c r="D952" s="559"/>
      <c r="E952" s="559"/>
      <c r="F952" s="559"/>
      <c r="G952" s="559"/>
      <c r="H952" s="559"/>
      <c r="I952" s="559"/>
      <c r="J952" s="559"/>
      <c r="K952" s="559"/>
      <c r="L952" s="559"/>
      <c r="M952" s="559"/>
      <c r="N952" s="559"/>
      <c r="O952" s="559"/>
      <c r="P952" s="559"/>
      <c r="Q952" s="559"/>
      <c r="R952" s="559"/>
      <c r="S952" s="559"/>
      <c r="T952" s="559"/>
      <c r="U952" s="559"/>
      <c r="V952" s="559"/>
      <c r="W952" s="559"/>
      <c r="X952" s="559"/>
      <c r="Y952" s="559"/>
      <c r="Z952" s="559"/>
      <c r="AA952" s="559"/>
      <c r="AB952" s="559"/>
      <c r="AC952" s="559"/>
      <c r="AD952" s="559"/>
      <c r="AE952" s="559"/>
    </row>
    <row r="953" spans="1:31" ht="18" customHeight="1" x14ac:dyDescent="0.35">
      <c r="A953" s="559"/>
      <c r="B953" s="559"/>
      <c r="C953" s="559"/>
      <c r="D953" s="559"/>
      <c r="E953" s="559"/>
      <c r="F953" s="559"/>
      <c r="G953" s="559"/>
      <c r="H953" s="559"/>
      <c r="I953" s="559"/>
      <c r="J953" s="559"/>
      <c r="K953" s="559"/>
      <c r="L953" s="559"/>
      <c r="M953" s="559"/>
      <c r="N953" s="559"/>
      <c r="O953" s="559"/>
      <c r="P953" s="559"/>
      <c r="Q953" s="559"/>
      <c r="R953" s="559"/>
      <c r="S953" s="559"/>
      <c r="T953" s="559"/>
      <c r="U953" s="559"/>
      <c r="V953" s="559"/>
      <c r="W953" s="559"/>
      <c r="X953" s="559"/>
      <c r="Y953" s="559"/>
      <c r="Z953" s="559"/>
      <c r="AA953" s="559"/>
      <c r="AB953" s="559"/>
      <c r="AC953" s="559"/>
      <c r="AD953" s="559"/>
      <c r="AE953" s="559"/>
    </row>
    <row r="954" spans="1:31" ht="18" customHeight="1" x14ac:dyDescent="0.35">
      <c r="A954" s="559"/>
      <c r="B954" s="559"/>
      <c r="C954" s="559"/>
      <c r="D954" s="559"/>
      <c r="E954" s="559"/>
      <c r="F954" s="559"/>
      <c r="G954" s="559"/>
      <c r="H954" s="559"/>
      <c r="I954" s="559"/>
      <c r="J954" s="559"/>
      <c r="K954" s="559"/>
      <c r="L954" s="559"/>
      <c r="M954" s="559"/>
      <c r="N954" s="559"/>
      <c r="O954" s="559"/>
      <c r="P954" s="559"/>
      <c r="Q954" s="559"/>
      <c r="R954" s="559"/>
      <c r="S954" s="559"/>
      <c r="T954" s="559"/>
      <c r="U954" s="559"/>
      <c r="V954" s="559"/>
      <c r="W954" s="559"/>
      <c r="X954" s="559"/>
      <c r="Y954" s="559"/>
      <c r="Z954" s="559"/>
      <c r="AA954" s="559"/>
      <c r="AB954" s="559"/>
      <c r="AC954" s="559"/>
      <c r="AD954" s="559"/>
      <c r="AE954" s="559"/>
    </row>
    <row r="955" spans="1:31" ht="18" customHeight="1" x14ac:dyDescent="0.35">
      <c r="A955" s="559"/>
      <c r="B955" s="559"/>
      <c r="C955" s="559"/>
      <c r="D955" s="559"/>
      <c r="E955" s="559"/>
      <c r="F955" s="559"/>
      <c r="G955" s="559"/>
      <c r="H955" s="559"/>
      <c r="I955" s="559"/>
      <c r="J955" s="559"/>
      <c r="K955" s="559"/>
      <c r="L955" s="559"/>
      <c r="M955" s="559"/>
      <c r="N955" s="559"/>
      <c r="O955" s="559"/>
      <c r="P955" s="559"/>
      <c r="Q955" s="559"/>
      <c r="R955" s="559"/>
      <c r="S955" s="559"/>
      <c r="T955" s="559"/>
      <c r="U955" s="559"/>
      <c r="V955" s="559"/>
      <c r="W955" s="559"/>
      <c r="X955" s="559"/>
      <c r="Y955" s="559"/>
      <c r="Z955" s="559"/>
      <c r="AA955" s="559"/>
      <c r="AB955" s="559"/>
      <c r="AC955" s="559"/>
      <c r="AD955" s="559"/>
      <c r="AE955" s="559"/>
    </row>
    <row r="956" spans="1:31" ht="18" customHeight="1" x14ac:dyDescent="0.35">
      <c r="A956" s="559"/>
      <c r="B956" s="559"/>
      <c r="C956" s="559"/>
      <c r="D956" s="559"/>
      <c r="E956" s="559"/>
      <c r="F956" s="559"/>
      <c r="G956" s="559"/>
      <c r="H956" s="559"/>
      <c r="I956" s="559"/>
      <c r="J956" s="559"/>
      <c r="K956" s="559"/>
      <c r="L956" s="559"/>
      <c r="M956" s="559"/>
      <c r="N956" s="559"/>
      <c r="O956" s="559"/>
      <c r="P956" s="559"/>
      <c r="Q956" s="559"/>
      <c r="R956" s="559"/>
      <c r="S956" s="559"/>
      <c r="T956" s="559"/>
      <c r="U956" s="559"/>
      <c r="V956" s="559"/>
      <c r="W956" s="559"/>
      <c r="X956" s="559"/>
      <c r="Y956" s="559"/>
      <c r="Z956" s="559"/>
      <c r="AA956" s="559"/>
      <c r="AB956" s="559"/>
      <c r="AC956" s="559"/>
      <c r="AD956" s="559"/>
      <c r="AE956" s="559"/>
    </row>
    <row r="957" spans="1:31" ht="18" customHeight="1" x14ac:dyDescent="0.35">
      <c r="A957" s="559"/>
      <c r="B957" s="559"/>
      <c r="C957" s="559"/>
      <c r="D957" s="559"/>
      <c r="E957" s="559"/>
      <c r="F957" s="559"/>
      <c r="G957" s="559"/>
      <c r="H957" s="559"/>
      <c r="I957" s="559"/>
      <c r="J957" s="559"/>
      <c r="K957" s="559"/>
      <c r="L957" s="559"/>
      <c r="M957" s="559"/>
      <c r="N957" s="559"/>
      <c r="O957" s="559"/>
      <c r="P957" s="559"/>
      <c r="Q957" s="559"/>
      <c r="R957" s="559"/>
      <c r="S957" s="559"/>
      <c r="T957" s="559"/>
      <c r="U957" s="559"/>
      <c r="V957" s="559"/>
      <c r="W957" s="559"/>
      <c r="X957" s="559"/>
      <c r="Y957" s="559"/>
      <c r="Z957" s="559"/>
      <c r="AA957" s="559"/>
      <c r="AB957" s="559"/>
      <c r="AC957" s="559"/>
      <c r="AD957" s="559"/>
      <c r="AE957" s="559"/>
    </row>
    <row r="958" spans="1:31" ht="18" customHeight="1" x14ac:dyDescent="0.35">
      <c r="A958" s="559"/>
      <c r="B958" s="559"/>
      <c r="C958" s="559"/>
      <c r="D958" s="559"/>
      <c r="E958" s="559"/>
      <c r="F958" s="559"/>
      <c r="G958" s="559"/>
      <c r="H958" s="559"/>
      <c r="I958" s="559"/>
      <c r="J958" s="559"/>
      <c r="K958" s="559"/>
      <c r="L958" s="559"/>
      <c r="M958" s="559"/>
      <c r="N958" s="559"/>
      <c r="O958" s="559"/>
      <c r="P958" s="559"/>
      <c r="Q958" s="559"/>
      <c r="R958" s="559"/>
      <c r="S958" s="559"/>
      <c r="T958" s="559"/>
      <c r="U958" s="559"/>
      <c r="V958" s="559"/>
      <c r="W958" s="559"/>
      <c r="X958" s="559"/>
      <c r="Y958" s="559"/>
      <c r="Z958" s="559"/>
      <c r="AA958" s="559"/>
      <c r="AB958" s="559"/>
      <c r="AC958" s="559"/>
      <c r="AD958" s="559"/>
      <c r="AE958" s="559"/>
    </row>
    <row r="959" spans="1:31" ht="18" customHeight="1" x14ac:dyDescent="0.35">
      <c r="A959" s="559"/>
      <c r="B959" s="559"/>
      <c r="C959" s="559"/>
      <c r="D959" s="559"/>
      <c r="E959" s="559"/>
      <c r="F959" s="559"/>
      <c r="G959" s="559"/>
      <c r="H959" s="559"/>
      <c r="I959" s="559"/>
      <c r="J959" s="559"/>
      <c r="K959" s="559"/>
      <c r="L959" s="559"/>
      <c r="M959" s="559"/>
      <c r="N959" s="559"/>
      <c r="O959" s="559"/>
      <c r="P959" s="559"/>
      <c r="Q959" s="559"/>
      <c r="R959" s="559"/>
      <c r="S959" s="559"/>
      <c r="T959" s="559"/>
      <c r="U959" s="559"/>
      <c r="V959" s="559"/>
      <c r="W959" s="559"/>
      <c r="X959" s="559"/>
      <c r="Y959" s="559"/>
      <c r="Z959" s="559"/>
      <c r="AA959" s="559"/>
      <c r="AB959" s="559"/>
      <c r="AC959" s="559"/>
      <c r="AD959" s="559"/>
      <c r="AE959" s="559"/>
    </row>
    <row r="960" spans="1:31" ht="18" customHeight="1" x14ac:dyDescent="0.35">
      <c r="A960" s="559"/>
      <c r="B960" s="559"/>
      <c r="C960" s="559"/>
      <c r="D960" s="559"/>
      <c r="E960" s="559"/>
      <c r="F960" s="559"/>
      <c r="G960" s="559"/>
      <c r="H960" s="559"/>
      <c r="I960" s="559"/>
      <c r="J960" s="559"/>
      <c r="K960" s="559"/>
      <c r="L960" s="559"/>
      <c r="M960" s="559"/>
      <c r="N960" s="559"/>
      <c r="O960" s="559"/>
      <c r="P960" s="559"/>
      <c r="Q960" s="559"/>
      <c r="R960" s="559"/>
      <c r="S960" s="559"/>
      <c r="T960" s="559"/>
      <c r="U960" s="559"/>
      <c r="V960" s="559"/>
      <c r="W960" s="559"/>
      <c r="X960" s="559"/>
      <c r="Y960" s="559"/>
      <c r="Z960" s="559"/>
      <c r="AA960" s="559"/>
      <c r="AB960" s="559"/>
      <c r="AC960" s="559"/>
      <c r="AD960" s="559"/>
      <c r="AE960" s="559"/>
    </row>
    <row r="961" spans="1:31" ht="18" customHeight="1" x14ac:dyDescent="0.35">
      <c r="A961" s="559"/>
      <c r="B961" s="559"/>
      <c r="C961" s="559"/>
      <c r="D961" s="559"/>
      <c r="E961" s="559"/>
      <c r="F961" s="559"/>
      <c r="G961" s="559"/>
      <c r="H961" s="559"/>
      <c r="I961" s="559"/>
      <c r="J961" s="559"/>
      <c r="K961" s="559"/>
      <c r="L961" s="559"/>
      <c r="M961" s="559"/>
      <c r="N961" s="559"/>
      <c r="O961" s="559"/>
      <c r="P961" s="559"/>
      <c r="Q961" s="559"/>
      <c r="R961" s="559"/>
      <c r="S961" s="559"/>
      <c r="T961" s="559"/>
      <c r="U961" s="559"/>
      <c r="V961" s="559"/>
      <c r="W961" s="559"/>
      <c r="X961" s="559"/>
      <c r="Y961" s="559"/>
      <c r="Z961" s="559"/>
      <c r="AA961" s="559"/>
      <c r="AB961" s="559"/>
      <c r="AC961" s="559"/>
      <c r="AD961" s="559"/>
      <c r="AE961" s="559"/>
    </row>
    <row r="962" spans="1:31" ht="18" customHeight="1" x14ac:dyDescent="0.35">
      <c r="A962" s="559"/>
      <c r="B962" s="559"/>
      <c r="C962" s="559"/>
      <c r="D962" s="559"/>
      <c r="E962" s="559"/>
      <c r="F962" s="559"/>
      <c r="G962" s="559"/>
      <c r="H962" s="559"/>
      <c r="I962" s="559"/>
      <c r="J962" s="559"/>
      <c r="K962" s="559"/>
      <c r="L962" s="559"/>
      <c r="M962" s="559"/>
      <c r="N962" s="559"/>
      <c r="O962" s="559"/>
      <c r="P962" s="559"/>
      <c r="Q962" s="559"/>
      <c r="R962" s="559"/>
      <c r="S962" s="559"/>
      <c r="T962" s="559"/>
      <c r="U962" s="559"/>
      <c r="V962" s="559"/>
      <c r="W962" s="559"/>
      <c r="X962" s="559"/>
      <c r="Y962" s="559"/>
      <c r="Z962" s="559"/>
      <c r="AA962" s="559"/>
      <c r="AB962" s="559"/>
      <c r="AC962" s="559"/>
      <c r="AD962" s="559"/>
      <c r="AE962" s="559"/>
    </row>
    <row r="963" spans="1:31" ht="18" customHeight="1" x14ac:dyDescent="0.35">
      <c r="A963" s="559"/>
      <c r="B963" s="559"/>
      <c r="C963" s="559"/>
      <c r="D963" s="559"/>
      <c r="E963" s="559"/>
      <c r="F963" s="559"/>
      <c r="G963" s="559"/>
      <c r="H963" s="559"/>
      <c r="I963" s="559"/>
      <c r="J963" s="559"/>
      <c r="K963" s="559"/>
      <c r="L963" s="559"/>
      <c r="M963" s="559"/>
      <c r="N963" s="559"/>
      <c r="O963" s="559"/>
      <c r="P963" s="559"/>
      <c r="Q963" s="559"/>
      <c r="R963" s="559"/>
      <c r="S963" s="559"/>
      <c r="T963" s="559"/>
      <c r="U963" s="559"/>
      <c r="V963" s="559"/>
      <c r="W963" s="559"/>
      <c r="X963" s="559"/>
      <c r="Y963" s="559"/>
      <c r="Z963" s="559"/>
      <c r="AA963" s="559"/>
      <c r="AB963" s="559"/>
      <c r="AC963" s="559"/>
      <c r="AD963" s="559"/>
      <c r="AE963" s="559"/>
    </row>
    <row r="964" spans="1:31" ht="18" customHeight="1" x14ac:dyDescent="0.35">
      <c r="A964" s="559"/>
      <c r="B964" s="559"/>
      <c r="C964" s="559"/>
      <c r="D964" s="559"/>
      <c r="E964" s="559"/>
      <c r="F964" s="559"/>
      <c r="G964" s="559"/>
      <c r="H964" s="559"/>
      <c r="I964" s="559"/>
      <c r="J964" s="559"/>
      <c r="K964" s="559"/>
      <c r="L964" s="559"/>
      <c r="M964" s="559"/>
      <c r="N964" s="559"/>
      <c r="O964" s="559"/>
      <c r="P964" s="559"/>
      <c r="Q964" s="559"/>
      <c r="R964" s="559"/>
      <c r="S964" s="559"/>
      <c r="T964" s="559"/>
      <c r="U964" s="559"/>
      <c r="V964" s="559"/>
      <c r="W964" s="559"/>
      <c r="X964" s="559"/>
      <c r="Y964" s="559"/>
      <c r="Z964" s="559"/>
      <c r="AA964" s="559"/>
      <c r="AB964" s="559"/>
      <c r="AC964" s="559"/>
      <c r="AD964" s="559"/>
      <c r="AE964" s="559"/>
    </row>
    <row r="965" spans="1:31" ht="18" customHeight="1" x14ac:dyDescent="0.35">
      <c r="A965" s="559"/>
      <c r="B965" s="559"/>
      <c r="C965" s="559"/>
      <c r="D965" s="559"/>
      <c r="E965" s="559"/>
      <c r="F965" s="559"/>
      <c r="G965" s="559"/>
      <c r="H965" s="559"/>
      <c r="I965" s="559"/>
      <c r="J965" s="559"/>
      <c r="K965" s="559"/>
      <c r="L965" s="559"/>
      <c r="M965" s="559"/>
      <c r="N965" s="559"/>
      <c r="O965" s="559"/>
      <c r="P965" s="559"/>
      <c r="Q965" s="559"/>
      <c r="R965" s="559"/>
      <c r="S965" s="559"/>
      <c r="T965" s="559"/>
      <c r="U965" s="559"/>
      <c r="V965" s="559"/>
      <c r="W965" s="559"/>
      <c r="X965" s="559"/>
      <c r="Y965" s="559"/>
      <c r="Z965" s="559"/>
      <c r="AA965" s="559"/>
      <c r="AB965" s="559"/>
      <c r="AC965" s="559"/>
      <c r="AD965" s="559"/>
      <c r="AE965" s="559"/>
    </row>
    <row r="966" spans="1:31" ht="18" customHeight="1" x14ac:dyDescent="0.35">
      <c r="A966" s="559"/>
      <c r="B966" s="559"/>
      <c r="C966" s="559"/>
      <c r="D966" s="559"/>
      <c r="E966" s="559"/>
      <c r="F966" s="559"/>
      <c r="G966" s="559"/>
      <c r="H966" s="559"/>
      <c r="I966" s="559"/>
      <c r="J966" s="559"/>
      <c r="K966" s="559"/>
      <c r="L966" s="559"/>
      <c r="M966" s="559"/>
      <c r="N966" s="559"/>
      <c r="O966" s="559"/>
      <c r="P966" s="559"/>
      <c r="Q966" s="559"/>
      <c r="R966" s="559"/>
      <c r="S966" s="559"/>
      <c r="T966" s="559"/>
      <c r="U966" s="559"/>
      <c r="V966" s="559"/>
      <c r="W966" s="559"/>
      <c r="X966" s="559"/>
      <c r="Y966" s="559"/>
      <c r="Z966" s="559"/>
      <c r="AA966" s="559"/>
      <c r="AB966" s="559"/>
      <c r="AC966" s="559"/>
      <c r="AD966" s="559"/>
      <c r="AE966" s="559"/>
    </row>
    <row r="967" spans="1:31" ht="18" customHeight="1" x14ac:dyDescent="0.35">
      <c r="A967" s="559"/>
      <c r="B967" s="559"/>
      <c r="C967" s="559"/>
      <c r="D967" s="559"/>
      <c r="E967" s="559"/>
      <c r="F967" s="559"/>
      <c r="G967" s="559"/>
      <c r="H967" s="559"/>
      <c r="I967" s="559"/>
      <c r="J967" s="559"/>
      <c r="K967" s="559"/>
      <c r="L967" s="559"/>
      <c r="M967" s="559"/>
      <c r="N967" s="559"/>
      <c r="O967" s="559"/>
      <c r="P967" s="559"/>
      <c r="Q967" s="559"/>
      <c r="R967" s="559"/>
      <c r="S967" s="559"/>
      <c r="T967" s="559"/>
      <c r="U967" s="559"/>
      <c r="V967" s="559"/>
      <c r="W967" s="559"/>
      <c r="X967" s="559"/>
      <c r="Y967" s="559"/>
      <c r="Z967" s="559"/>
      <c r="AA967" s="559"/>
      <c r="AB967" s="559"/>
      <c r="AC967" s="559"/>
      <c r="AD967" s="559"/>
      <c r="AE967" s="559"/>
    </row>
    <row r="968" spans="1:31" ht="18" customHeight="1" x14ac:dyDescent="0.35">
      <c r="A968" s="559"/>
      <c r="B968" s="559"/>
      <c r="C968" s="559"/>
      <c r="D968" s="559"/>
      <c r="E968" s="559"/>
      <c r="F968" s="559"/>
      <c r="G968" s="559"/>
      <c r="H968" s="559"/>
      <c r="I968" s="559"/>
      <c r="J968" s="559"/>
      <c r="K968" s="559"/>
      <c r="L968" s="559"/>
      <c r="M968" s="559"/>
      <c r="N968" s="559"/>
      <c r="O968" s="559"/>
      <c r="P968" s="559"/>
      <c r="Q968" s="559"/>
      <c r="R968" s="559"/>
      <c r="S968" s="559"/>
      <c r="T968" s="559"/>
      <c r="U968" s="559"/>
      <c r="V968" s="559"/>
      <c r="W968" s="559"/>
      <c r="X968" s="559"/>
      <c r="Y968" s="559"/>
      <c r="Z968" s="559"/>
      <c r="AA968" s="559"/>
      <c r="AB968" s="559"/>
      <c r="AC968" s="559"/>
      <c r="AD968" s="559"/>
      <c r="AE968" s="559"/>
    </row>
    <row r="969" spans="1:31" ht="18" customHeight="1" x14ac:dyDescent="0.35">
      <c r="A969" s="559"/>
      <c r="B969" s="559"/>
      <c r="C969" s="559"/>
      <c r="D969" s="559"/>
      <c r="E969" s="559"/>
      <c r="F969" s="559"/>
      <c r="G969" s="559"/>
      <c r="H969" s="559"/>
      <c r="I969" s="559"/>
      <c r="J969" s="559"/>
      <c r="K969" s="559"/>
      <c r="L969" s="559"/>
      <c r="M969" s="559"/>
      <c r="N969" s="559"/>
      <c r="O969" s="559"/>
      <c r="P969" s="559"/>
      <c r="Q969" s="559"/>
      <c r="R969" s="559"/>
      <c r="S969" s="559"/>
      <c r="T969" s="559"/>
      <c r="U969" s="559"/>
      <c r="V969" s="559"/>
      <c r="W969" s="559"/>
      <c r="X969" s="559"/>
      <c r="Y969" s="559"/>
      <c r="Z969" s="559"/>
      <c r="AA969" s="559"/>
      <c r="AB969" s="559"/>
      <c r="AC969" s="559"/>
      <c r="AD969" s="559"/>
      <c r="AE969" s="559"/>
    </row>
    <row r="970" spans="1:31" ht="18" customHeight="1" x14ac:dyDescent="0.35">
      <c r="A970" s="559"/>
      <c r="B970" s="559"/>
      <c r="C970" s="559"/>
      <c r="D970" s="559"/>
      <c r="E970" s="559"/>
      <c r="F970" s="559"/>
      <c r="G970" s="559"/>
      <c r="H970" s="559"/>
      <c r="I970" s="559"/>
      <c r="J970" s="559"/>
      <c r="K970" s="559"/>
      <c r="L970" s="559"/>
      <c r="M970" s="559"/>
      <c r="N970" s="559"/>
      <c r="O970" s="559"/>
      <c r="P970" s="559"/>
      <c r="Q970" s="559"/>
      <c r="R970" s="559"/>
      <c r="S970" s="559"/>
      <c r="T970" s="559"/>
      <c r="U970" s="559"/>
      <c r="V970" s="559"/>
      <c r="W970" s="559"/>
      <c r="X970" s="559"/>
      <c r="Y970" s="559"/>
      <c r="Z970" s="559"/>
      <c r="AA970" s="559"/>
      <c r="AB970" s="559"/>
      <c r="AC970" s="559"/>
      <c r="AD970" s="559"/>
      <c r="AE970" s="559"/>
    </row>
    <row r="971" spans="1:31" ht="18" customHeight="1" x14ac:dyDescent="0.35">
      <c r="A971" s="559"/>
      <c r="B971" s="559"/>
      <c r="C971" s="559"/>
      <c r="D971" s="559"/>
      <c r="E971" s="559"/>
      <c r="F971" s="559"/>
      <c r="G971" s="559"/>
      <c r="H971" s="559"/>
      <c r="I971" s="559"/>
      <c r="J971" s="559"/>
      <c r="K971" s="559"/>
      <c r="L971" s="559"/>
      <c r="M971" s="559"/>
      <c r="N971" s="559"/>
      <c r="O971" s="559"/>
      <c r="P971" s="559"/>
      <c r="Q971" s="559"/>
      <c r="R971" s="559"/>
      <c r="S971" s="559"/>
      <c r="T971" s="559"/>
      <c r="U971" s="559"/>
      <c r="V971" s="559"/>
      <c r="W971" s="559"/>
      <c r="X971" s="559"/>
      <c r="Y971" s="559"/>
      <c r="Z971" s="559"/>
      <c r="AA971" s="559"/>
      <c r="AB971" s="559"/>
      <c r="AC971" s="559"/>
      <c r="AD971" s="559"/>
      <c r="AE971" s="559"/>
    </row>
    <row r="972" spans="1:31" ht="18" customHeight="1" x14ac:dyDescent="0.35">
      <c r="A972" s="559"/>
      <c r="B972" s="559"/>
      <c r="C972" s="559"/>
      <c r="D972" s="559"/>
      <c r="E972" s="559"/>
      <c r="F972" s="559"/>
      <c r="G972" s="559"/>
      <c r="H972" s="559"/>
      <c r="I972" s="559"/>
      <c r="J972" s="559"/>
      <c r="K972" s="559"/>
      <c r="L972" s="559"/>
      <c r="M972" s="559"/>
      <c r="N972" s="559"/>
      <c r="O972" s="559"/>
      <c r="P972" s="559"/>
      <c r="Q972" s="559"/>
      <c r="R972" s="559"/>
      <c r="S972" s="559"/>
      <c r="T972" s="559"/>
      <c r="U972" s="559"/>
      <c r="V972" s="559"/>
      <c r="W972" s="559"/>
      <c r="X972" s="559"/>
      <c r="Y972" s="559"/>
      <c r="Z972" s="559"/>
      <c r="AA972" s="559"/>
      <c r="AB972" s="559"/>
      <c r="AC972" s="559"/>
      <c r="AD972" s="559"/>
      <c r="AE972" s="559"/>
    </row>
    <row r="973" spans="1:31" ht="18" customHeight="1" x14ac:dyDescent="0.35">
      <c r="A973" s="559"/>
      <c r="B973" s="559"/>
      <c r="C973" s="559"/>
      <c r="D973" s="559"/>
      <c r="E973" s="559"/>
      <c r="F973" s="559"/>
      <c r="G973" s="559"/>
      <c r="H973" s="559"/>
      <c r="I973" s="559"/>
      <c r="J973" s="559"/>
      <c r="K973" s="559"/>
      <c r="L973" s="559"/>
      <c r="M973" s="559"/>
      <c r="N973" s="559"/>
      <c r="O973" s="559"/>
      <c r="P973" s="559"/>
      <c r="Q973" s="559"/>
      <c r="R973" s="559"/>
      <c r="S973" s="559"/>
      <c r="T973" s="559"/>
      <c r="U973" s="559"/>
      <c r="V973" s="559"/>
      <c r="W973" s="559"/>
      <c r="X973" s="559"/>
      <c r="Y973" s="559"/>
      <c r="Z973" s="559"/>
      <c r="AA973" s="559"/>
      <c r="AB973" s="559"/>
      <c r="AC973" s="559"/>
      <c r="AD973" s="559"/>
      <c r="AE973" s="559"/>
    </row>
    <row r="974" spans="1:31" ht="18" customHeight="1" x14ac:dyDescent="0.35">
      <c r="A974" s="559"/>
      <c r="B974" s="559"/>
      <c r="C974" s="559"/>
      <c r="D974" s="559"/>
      <c r="E974" s="559"/>
      <c r="F974" s="559"/>
      <c r="G974" s="559"/>
      <c r="H974" s="559"/>
      <c r="I974" s="559"/>
      <c r="J974" s="559"/>
      <c r="K974" s="559"/>
      <c r="L974" s="559"/>
      <c r="M974" s="559"/>
      <c r="N974" s="559"/>
      <c r="O974" s="559"/>
      <c r="P974" s="559"/>
      <c r="Q974" s="559"/>
      <c r="R974" s="559"/>
      <c r="S974" s="559"/>
      <c r="T974" s="559"/>
      <c r="U974" s="559"/>
      <c r="V974" s="559"/>
      <c r="W974" s="559"/>
      <c r="X974" s="559"/>
      <c r="Y974" s="559"/>
      <c r="Z974" s="559"/>
      <c r="AA974" s="559"/>
      <c r="AB974" s="559"/>
      <c r="AC974" s="559"/>
      <c r="AD974" s="559"/>
      <c r="AE974" s="559"/>
    </row>
    <row r="975" spans="1:31" ht="18" customHeight="1" x14ac:dyDescent="0.35">
      <c r="A975" s="559"/>
      <c r="B975" s="559"/>
      <c r="C975" s="559"/>
      <c r="D975" s="559"/>
      <c r="E975" s="559"/>
      <c r="F975" s="559"/>
      <c r="G975" s="559"/>
      <c r="H975" s="559"/>
      <c r="I975" s="559"/>
      <c r="J975" s="559"/>
      <c r="K975" s="559"/>
      <c r="L975" s="559"/>
      <c r="M975" s="559"/>
      <c r="N975" s="559"/>
      <c r="O975" s="559"/>
      <c r="P975" s="559"/>
      <c r="Q975" s="559"/>
      <c r="R975" s="559"/>
      <c r="S975" s="559"/>
      <c r="T975" s="559"/>
      <c r="U975" s="559"/>
      <c r="V975" s="559"/>
      <c r="W975" s="559"/>
      <c r="X975" s="559"/>
      <c r="Y975" s="559"/>
      <c r="Z975" s="559"/>
      <c r="AA975" s="559"/>
      <c r="AB975" s="559"/>
      <c r="AC975" s="559"/>
      <c r="AD975" s="559"/>
      <c r="AE975" s="559"/>
    </row>
    <row r="976" spans="1:31" ht="18" customHeight="1" x14ac:dyDescent="0.35">
      <c r="A976" s="559"/>
      <c r="B976" s="559"/>
      <c r="C976" s="559"/>
      <c r="D976" s="559"/>
      <c r="E976" s="559"/>
      <c r="F976" s="559"/>
      <c r="G976" s="559"/>
      <c r="H976" s="559"/>
      <c r="I976" s="559"/>
      <c r="J976" s="559"/>
      <c r="K976" s="559"/>
      <c r="L976" s="559"/>
      <c r="M976" s="559"/>
      <c r="N976" s="559"/>
      <c r="O976" s="559"/>
      <c r="P976" s="559"/>
      <c r="Q976" s="559"/>
      <c r="R976" s="559"/>
      <c r="S976" s="559"/>
      <c r="T976" s="559"/>
      <c r="U976" s="559"/>
      <c r="V976" s="559"/>
      <c r="W976" s="559"/>
      <c r="X976" s="559"/>
      <c r="Y976" s="559"/>
      <c r="Z976" s="559"/>
      <c r="AA976" s="559"/>
      <c r="AB976" s="559"/>
      <c r="AC976" s="559"/>
      <c r="AD976" s="559"/>
      <c r="AE976" s="559"/>
    </row>
    <row r="977" spans="1:31" ht="18" customHeight="1" x14ac:dyDescent="0.35">
      <c r="A977" s="559"/>
      <c r="B977" s="559"/>
      <c r="C977" s="559"/>
      <c r="D977" s="559"/>
      <c r="E977" s="559"/>
      <c r="F977" s="559"/>
      <c r="G977" s="559"/>
      <c r="H977" s="559"/>
      <c r="I977" s="559"/>
      <c r="J977" s="559"/>
      <c r="K977" s="559"/>
      <c r="L977" s="559"/>
      <c r="M977" s="559"/>
      <c r="N977" s="559"/>
      <c r="O977" s="559"/>
      <c r="P977" s="559"/>
      <c r="Q977" s="559"/>
      <c r="R977" s="559"/>
      <c r="S977" s="559"/>
      <c r="T977" s="559"/>
      <c r="U977" s="559"/>
      <c r="V977" s="559"/>
      <c r="W977" s="559"/>
      <c r="X977" s="559"/>
      <c r="Y977" s="559"/>
      <c r="Z977" s="559"/>
      <c r="AA977" s="559"/>
      <c r="AB977" s="559"/>
      <c r="AC977" s="559"/>
      <c r="AD977" s="559"/>
      <c r="AE977" s="559"/>
    </row>
    <row r="978" spans="1:31" ht="18" customHeight="1" x14ac:dyDescent="0.35">
      <c r="A978" s="559"/>
      <c r="B978" s="559"/>
      <c r="C978" s="559"/>
      <c r="D978" s="559"/>
      <c r="E978" s="559"/>
      <c r="F978" s="559"/>
      <c r="G978" s="559"/>
      <c r="H978" s="559"/>
      <c r="I978" s="559"/>
      <c r="J978" s="559"/>
      <c r="K978" s="559"/>
      <c r="L978" s="559"/>
      <c r="M978" s="559"/>
      <c r="N978" s="559"/>
      <c r="O978" s="559"/>
      <c r="P978" s="559"/>
      <c r="Q978" s="559"/>
      <c r="R978" s="559"/>
      <c r="S978" s="559"/>
      <c r="T978" s="559"/>
      <c r="U978" s="559"/>
      <c r="V978" s="559"/>
      <c r="W978" s="559"/>
      <c r="X978" s="559"/>
      <c r="Y978" s="559"/>
      <c r="Z978" s="559"/>
      <c r="AA978" s="559"/>
      <c r="AB978" s="559"/>
      <c r="AC978" s="559"/>
      <c r="AD978" s="559"/>
      <c r="AE978" s="559"/>
    </row>
    <row r="979" spans="1:31" ht="18" customHeight="1" x14ac:dyDescent="0.35">
      <c r="A979" s="559"/>
      <c r="B979" s="559"/>
      <c r="C979" s="559"/>
      <c r="D979" s="559"/>
      <c r="E979" s="559"/>
      <c r="F979" s="559"/>
      <c r="G979" s="559"/>
      <c r="H979" s="559"/>
      <c r="I979" s="559"/>
      <c r="J979" s="559"/>
      <c r="K979" s="559"/>
      <c r="L979" s="559"/>
      <c r="M979" s="559"/>
      <c r="N979" s="559"/>
      <c r="O979" s="559"/>
      <c r="P979" s="559"/>
      <c r="Q979" s="559"/>
      <c r="R979" s="559"/>
      <c r="S979" s="559"/>
      <c r="T979" s="559"/>
      <c r="U979" s="559"/>
      <c r="V979" s="559"/>
      <c r="W979" s="559"/>
      <c r="X979" s="559"/>
      <c r="Y979" s="559"/>
      <c r="Z979" s="559"/>
      <c r="AA979" s="559"/>
      <c r="AB979" s="559"/>
      <c r="AC979" s="559"/>
      <c r="AD979" s="559"/>
      <c r="AE979" s="559"/>
    </row>
    <row r="980" spans="1:31" ht="18" customHeight="1" x14ac:dyDescent="0.35">
      <c r="A980" s="559"/>
      <c r="B980" s="559"/>
      <c r="C980" s="559"/>
      <c r="D980" s="559"/>
      <c r="E980" s="559"/>
      <c r="F980" s="559"/>
      <c r="G980" s="559"/>
      <c r="H980" s="559"/>
      <c r="I980" s="559"/>
      <c r="J980" s="559"/>
      <c r="K980" s="559"/>
      <c r="L980" s="559"/>
      <c r="M980" s="559"/>
      <c r="N980" s="559"/>
      <c r="O980" s="559"/>
      <c r="P980" s="559"/>
      <c r="Q980" s="559"/>
      <c r="R980" s="559"/>
      <c r="S980" s="559"/>
      <c r="T980" s="559"/>
      <c r="U980" s="559"/>
      <c r="V980" s="559"/>
      <c r="W980" s="559"/>
      <c r="X980" s="559"/>
      <c r="Y980" s="559"/>
      <c r="Z980" s="559"/>
      <c r="AA980" s="559"/>
      <c r="AB980" s="559"/>
      <c r="AC980" s="559"/>
      <c r="AD980" s="559"/>
      <c r="AE980" s="559"/>
    </row>
    <row r="981" spans="1:31" ht="18" customHeight="1" x14ac:dyDescent="0.35">
      <c r="A981" s="559"/>
      <c r="B981" s="559"/>
      <c r="C981" s="559"/>
      <c r="D981" s="559"/>
      <c r="E981" s="559"/>
      <c r="F981" s="559"/>
      <c r="G981" s="559"/>
      <c r="H981" s="559"/>
      <c r="I981" s="559"/>
      <c r="J981" s="559"/>
      <c r="K981" s="559"/>
      <c r="L981" s="559"/>
      <c r="M981" s="559"/>
      <c r="N981" s="559"/>
      <c r="O981" s="559"/>
      <c r="P981" s="559"/>
      <c r="Q981" s="559"/>
      <c r="R981" s="559"/>
      <c r="S981" s="559"/>
      <c r="T981" s="559"/>
      <c r="U981" s="559"/>
      <c r="V981" s="559"/>
      <c r="W981" s="559"/>
      <c r="X981" s="559"/>
      <c r="Y981" s="559"/>
      <c r="Z981" s="559"/>
      <c r="AA981" s="559"/>
      <c r="AB981" s="559"/>
      <c r="AC981" s="559"/>
      <c r="AD981" s="559"/>
      <c r="AE981" s="559"/>
    </row>
    <row r="982" spans="1:31" ht="18" customHeight="1" x14ac:dyDescent="0.35">
      <c r="A982" s="559"/>
      <c r="B982" s="559"/>
      <c r="C982" s="559"/>
      <c r="D982" s="559"/>
      <c r="E982" s="559"/>
      <c r="F982" s="559"/>
      <c r="G982" s="559"/>
      <c r="H982" s="559"/>
      <c r="I982" s="559"/>
      <c r="J982" s="559"/>
      <c r="K982" s="559"/>
      <c r="L982" s="559"/>
      <c r="M982" s="559"/>
      <c r="N982" s="559"/>
      <c r="O982" s="559"/>
      <c r="P982" s="559"/>
      <c r="Q982" s="559"/>
      <c r="R982" s="559"/>
      <c r="S982" s="559"/>
      <c r="T982" s="559"/>
      <c r="U982" s="559"/>
      <c r="V982" s="559"/>
      <c r="W982" s="559"/>
      <c r="X982" s="559"/>
      <c r="Y982" s="559"/>
      <c r="Z982" s="559"/>
      <c r="AA982" s="559"/>
      <c r="AB982" s="559"/>
      <c r="AC982" s="559"/>
      <c r="AD982" s="559"/>
      <c r="AE982" s="559"/>
    </row>
    <row r="983" spans="1:31" ht="18" customHeight="1" x14ac:dyDescent="0.35">
      <c r="A983" s="559"/>
      <c r="B983" s="559"/>
      <c r="C983" s="559"/>
      <c r="D983" s="559"/>
      <c r="E983" s="559"/>
      <c r="F983" s="559"/>
      <c r="G983" s="559"/>
      <c r="H983" s="559"/>
      <c r="I983" s="559"/>
      <c r="J983" s="559"/>
      <c r="K983" s="559"/>
      <c r="L983" s="559"/>
      <c r="M983" s="559"/>
      <c r="N983" s="559"/>
      <c r="O983" s="559"/>
      <c r="P983" s="559"/>
      <c r="Q983" s="559"/>
      <c r="R983" s="559"/>
      <c r="S983" s="559"/>
      <c r="T983" s="559"/>
      <c r="U983" s="559"/>
      <c r="V983" s="559"/>
      <c r="W983" s="559"/>
      <c r="X983" s="559"/>
      <c r="Y983" s="559"/>
      <c r="Z983" s="559"/>
      <c r="AA983" s="559"/>
      <c r="AB983" s="559"/>
      <c r="AC983" s="559"/>
      <c r="AD983" s="559"/>
      <c r="AE983" s="559"/>
    </row>
    <row r="984" spans="1:31" ht="18" customHeight="1" x14ac:dyDescent="0.35">
      <c r="A984" s="559"/>
      <c r="B984" s="559"/>
      <c r="C984" s="559"/>
      <c r="D984" s="559"/>
      <c r="E984" s="559"/>
      <c r="F984" s="559"/>
      <c r="G984" s="559"/>
      <c r="H984" s="559"/>
      <c r="I984" s="559"/>
      <c r="J984" s="559"/>
      <c r="K984" s="559"/>
      <c r="L984" s="559"/>
      <c r="M984" s="559"/>
      <c r="N984" s="559"/>
      <c r="O984" s="559"/>
      <c r="P984" s="559"/>
      <c r="Q984" s="559"/>
      <c r="R984" s="559"/>
      <c r="S984" s="559"/>
      <c r="T984" s="559"/>
      <c r="U984" s="559"/>
      <c r="V984" s="559"/>
      <c r="W984" s="559"/>
      <c r="X984" s="559"/>
      <c r="Y984" s="559"/>
      <c r="Z984" s="559"/>
      <c r="AA984" s="559"/>
      <c r="AB984" s="559"/>
      <c r="AC984" s="559"/>
      <c r="AD984" s="559"/>
      <c r="AE984" s="559"/>
    </row>
    <row r="985" spans="1:31" ht="18" customHeight="1" x14ac:dyDescent="0.35">
      <c r="A985" s="559"/>
      <c r="B985" s="559"/>
      <c r="C985" s="559"/>
      <c r="D985" s="559"/>
      <c r="E985" s="559"/>
      <c r="F985" s="559"/>
      <c r="G985" s="559"/>
      <c r="H985" s="559"/>
      <c r="I985" s="559"/>
      <c r="J985" s="559"/>
      <c r="K985" s="559"/>
      <c r="L985" s="559"/>
      <c r="M985" s="559"/>
      <c r="N985" s="559"/>
      <c r="O985" s="559"/>
      <c r="P985" s="559"/>
      <c r="Q985" s="559"/>
      <c r="R985" s="559"/>
      <c r="S985" s="559"/>
      <c r="T985" s="559"/>
      <c r="U985" s="559"/>
      <c r="V985" s="559"/>
      <c r="W985" s="559"/>
      <c r="X985" s="559"/>
      <c r="Y985" s="559"/>
      <c r="Z985" s="559"/>
      <c r="AA985" s="559"/>
      <c r="AB985" s="559"/>
      <c r="AC985" s="559"/>
      <c r="AD985" s="559"/>
      <c r="AE985" s="559"/>
    </row>
    <row r="986" spans="1:31" ht="18" customHeight="1" x14ac:dyDescent="0.35">
      <c r="A986" s="559"/>
      <c r="B986" s="559"/>
      <c r="C986" s="559"/>
      <c r="D986" s="559"/>
      <c r="E986" s="559"/>
      <c r="F986" s="559"/>
      <c r="G986" s="559"/>
      <c r="H986" s="559"/>
      <c r="I986" s="559"/>
      <c r="J986" s="559"/>
      <c r="K986" s="559"/>
      <c r="L986" s="559"/>
      <c r="M986" s="559"/>
      <c r="N986" s="559"/>
      <c r="O986" s="559"/>
      <c r="P986" s="559"/>
      <c r="Q986" s="559"/>
      <c r="R986" s="559"/>
      <c r="S986" s="559"/>
      <c r="T986" s="559"/>
      <c r="U986" s="559"/>
      <c r="V986" s="559"/>
      <c r="W986" s="559"/>
      <c r="X986" s="559"/>
      <c r="Y986" s="559"/>
      <c r="Z986" s="559"/>
      <c r="AA986" s="559"/>
      <c r="AB986" s="559"/>
      <c r="AC986" s="559"/>
      <c r="AD986" s="559"/>
      <c r="AE986" s="559"/>
    </row>
    <row r="987" spans="1:31" ht="18" customHeight="1" x14ac:dyDescent="0.35">
      <c r="A987" s="559"/>
      <c r="B987" s="559"/>
      <c r="C987" s="559"/>
      <c r="D987" s="559"/>
      <c r="E987" s="559"/>
      <c r="F987" s="559"/>
      <c r="G987" s="559"/>
      <c r="H987" s="559"/>
      <c r="I987" s="559"/>
      <c r="J987" s="559"/>
      <c r="K987" s="559"/>
      <c r="L987" s="559"/>
      <c r="M987" s="559"/>
      <c r="N987" s="559"/>
      <c r="O987" s="559"/>
      <c r="P987" s="559"/>
      <c r="Q987" s="559"/>
      <c r="R987" s="559"/>
      <c r="S987" s="559"/>
      <c r="T987" s="559"/>
      <c r="U987" s="559"/>
      <c r="V987" s="559"/>
      <c r="W987" s="559"/>
      <c r="X987" s="559"/>
      <c r="Y987" s="559"/>
      <c r="Z987" s="559"/>
      <c r="AA987" s="559"/>
      <c r="AB987" s="559"/>
      <c r="AC987" s="559"/>
      <c r="AD987" s="559"/>
      <c r="AE987" s="559"/>
    </row>
    <row r="988" spans="1:31" ht="18" customHeight="1" x14ac:dyDescent="0.35">
      <c r="A988" s="559"/>
      <c r="B988" s="559"/>
      <c r="C988" s="559"/>
      <c r="D988" s="559"/>
      <c r="E988" s="559"/>
      <c r="F988" s="559"/>
      <c r="G988" s="559"/>
      <c r="H988" s="559"/>
      <c r="I988" s="559"/>
      <c r="J988" s="559"/>
      <c r="K988" s="559"/>
      <c r="L988" s="559"/>
      <c r="M988" s="559"/>
      <c r="N988" s="559"/>
      <c r="O988" s="559"/>
      <c r="P988" s="559"/>
      <c r="Q988" s="559"/>
      <c r="R988" s="559"/>
      <c r="S988" s="559"/>
      <c r="T988" s="559"/>
      <c r="U988" s="559"/>
      <c r="V988" s="559"/>
      <c r="W988" s="559"/>
      <c r="X988" s="559"/>
      <c r="Y988" s="559"/>
      <c r="Z988" s="559"/>
      <c r="AA988" s="559"/>
      <c r="AB988" s="559"/>
      <c r="AC988" s="559"/>
      <c r="AD988" s="559"/>
      <c r="AE988" s="559"/>
    </row>
    <row r="989" spans="1:31" ht="18" customHeight="1" x14ac:dyDescent="0.35">
      <c r="A989" s="559"/>
      <c r="B989" s="559"/>
      <c r="C989" s="559"/>
      <c r="D989" s="559"/>
      <c r="E989" s="559"/>
      <c r="F989" s="559"/>
      <c r="G989" s="559"/>
      <c r="H989" s="559"/>
      <c r="I989" s="559"/>
      <c r="J989" s="559"/>
      <c r="K989" s="559"/>
      <c r="L989" s="559"/>
      <c r="M989" s="559"/>
      <c r="N989" s="559"/>
      <c r="O989" s="559"/>
      <c r="P989" s="559"/>
      <c r="Q989" s="559"/>
      <c r="R989" s="559"/>
      <c r="S989" s="559"/>
      <c r="T989" s="559"/>
      <c r="U989" s="559"/>
      <c r="V989" s="559"/>
      <c r="W989" s="559"/>
      <c r="X989" s="559"/>
      <c r="Y989" s="559"/>
      <c r="Z989" s="559"/>
      <c r="AA989" s="559"/>
      <c r="AB989" s="559"/>
      <c r="AC989" s="559"/>
      <c r="AD989" s="559"/>
      <c r="AE989" s="559"/>
    </row>
    <row r="990" spans="1:31" ht="18" customHeight="1" x14ac:dyDescent="0.35">
      <c r="A990" s="559"/>
      <c r="B990" s="559"/>
      <c r="C990" s="559"/>
      <c r="D990" s="559"/>
      <c r="E990" s="559"/>
      <c r="F990" s="559"/>
      <c r="G990" s="559"/>
      <c r="H990" s="559"/>
      <c r="I990" s="559"/>
      <c r="J990" s="559"/>
      <c r="K990" s="559"/>
      <c r="L990" s="559"/>
      <c r="M990" s="559"/>
      <c r="N990" s="559"/>
      <c r="O990" s="559"/>
      <c r="P990" s="559"/>
      <c r="Q990" s="559"/>
      <c r="R990" s="559"/>
      <c r="S990" s="559"/>
      <c r="T990" s="559"/>
      <c r="U990" s="559"/>
      <c r="V990" s="559"/>
      <c r="W990" s="559"/>
      <c r="X990" s="559"/>
      <c r="Y990" s="559"/>
      <c r="Z990" s="559"/>
      <c r="AA990" s="559"/>
      <c r="AB990" s="559"/>
      <c r="AC990" s="559"/>
      <c r="AD990" s="559"/>
      <c r="AE990" s="559"/>
    </row>
    <row r="991" spans="1:31" ht="18" customHeight="1" x14ac:dyDescent="0.35">
      <c r="A991" s="559"/>
      <c r="B991" s="559"/>
      <c r="C991" s="559"/>
      <c r="D991" s="559"/>
      <c r="E991" s="559"/>
      <c r="F991" s="559"/>
      <c r="G991" s="559"/>
      <c r="H991" s="559"/>
      <c r="I991" s="559"/>
      <c r="J991" s="559"/>
      <c r="K991" s="559"/>
      <c r="L991" s="559"/>
      <c r="M991" s="559"/>
      <c r="N991" s="559"/>
      <c r="O991" s="559"/>
      <c r="P991" s="559"/>
      <c r="Q991" s="559"/>
      <c r="R991" s="559"/>
      <c r="S991" s="559"/>
      <c r="T991" s="559"/>
      <c r="U991" s="559"/>
      <c r="V991" s="559"/>
      <c r="W991" s="559"/>
      <c r="X991" s="559"/>
      <c r="Y991" s="559"/>
      <c r="Z991" s="559"/>
      <c r="AA991" s="559"/>
      <c r="AB991" s="559"/>
      <c r="AC991" s="559"/>
      <c r="AD991" s="559"/>
      <c r="AE991" s="559"/>
    </row>
    <row r="992" spans="1:31" ht="18" customHeight="1" x14ac:dyDescent="0.35">
      <c r="A992" s="559"/>
      <c r="B992" s="559"/>
      <c r="C992" s="559"/>
      <c r="D992" s="559"/>
      <c r="E992" s="559"/>
      <c r="F992" s="559"/>
      <c r="G992" s="559"/>
      <c r="H992" s="559"/>
      <c r="I992" s="559"/>
      <c r="J992" s="559"/>
      <c r="K992" s="559"/>
      <c r="L992" s="559"/>
      <c r="M992" s="559"/>
      <c r="N992" s="559"/>
      <c r="O992" s="559"/>
      <c r="P992" s="559"/>
      <c r="Q992" s="559"/>
      <c r="R992" s="559"/>
      <c r="S992" s="559"/>
      <c r="T992" s="559"/>
      <c r="U992" s="559"/>
      <c r="V992" s="559"/>
      <c r="W992" s="559"/>
      <c r="X992" s="559"/>
      <c r="Y992" s="559"/>
      <c r="Z992" s="559"/>
      <c r="AA992" s="559"/>
      <c r="AB992" s="559"/>
      <c r="AC992" s="559"/>
      <c r="AD992" s="559"/>
      <c r="AE992" s="559"/>
    </row>
    <row r="993" spans="1:31" ht="18" customHeight="1" x14ac:dyDescent="0.35">
      <c r="A993" s="559"/>
      <c r="B993" s="559"/>
      <c r="C993" s="559"/>
      <c r="D993" s="559"/>
      <c r="E993" s="559"/>
      <c r="F993" s="559"/>
      <c r="G993" s="559"/>
      <c r="H993" s="559"/>
      <c r="I993" s="559"/>
      <c r="J993" s="559"/>
      <c r="K993" s="559"/>
      <c r="L993" s="559"/>
      <c r="M993" s="559"/>
      <c r="N993" s="559"/>
      <c r="O993" s="559"/>
      <c r="P993" s="559"/>
      <c r="Q993" s="559"/>
      <c r="R993" s="559"/>
      <c r="S993" s="559"/>
      <c r="T993" s="559"/>
      <c r="U993" s="559"/>
      <c r="V993" s="559"/>
      <c r="W993" s="559"/>
      <c r="X993" s="559"/>
      <c r="Y993" s="559"/>
      <c r="Z993" s="559"/>
      <c r="AA993" s="559"/>
      <c r="AB993" s="559"/>
      <c r="AC993" s="559"/>
      <c r="AD993" s="559"/>
      <c r="AE993" s="559"/>
    </row>
    <row r="994" spans="1:31" ht="18" customHeight="1" x14ac:dyDescent="0.35">
      <c r="A994" s="559"/>
      <c r="B994" s="559"/>
      <c r="C994" s="559"/>
      <c r="D994" s="559"/>
      <c r="E994" s="559"/>
      <c r="F994" s="559"/>
      <c r="G994" s="559"/>
      <c r="H994" s="559"/>
      <c r="I994" s="559"/>
      <c r="J994" s="559"/>
      <c r="K994" s="559"/>
      <c r="L994" s="559"/>
      <c r="M994" s="559"/>
      <c r="N994" s="559"/>
      <c r="O994" s="559"/>
      <c r="P994" s="559"/>
      <c r="Q994" s="559"/>
      <c r="R994" s="559"/>
      <c r="S994" s="559"/>
      <c r="T994" s="559"/>
      <c r="U994" s="559"/>
      <c r="V994" s="559"/>
      <c r="W994" s="559"/>
      <c r="X994" s="559"/>
      <c r="Y994" s="559"/>
      <c r="Z994" s="559"/>
      <c r="AA994" s="559"/>
      <c r="AB994" s="559"/>
      <c r="AC994" s="559"/>
      <c r="AD994" s="559"/>
      <c r="AE994" s="559"/>
    </row>
    <row r="995" spans="1:31" ht="18" customHeight="1" x14ac:dyDescent="0.35">
      <c r="A995" s="559"/>
      <c r="B995" s="559"/>
      <c r="C995" s="559"/>
      <c r="D995" s="559"/>
      <c r="E995" s="559"/>
      <c r="F995" s="559"/>
      <c r="G995" s="559"/>
      <c r="H995" s="559"/>
      <c r="I995" s="559"/>
      <c r="J995" s="559"/>
      <c r="K995" s="559"/>
      <c r="L995" s="559"/>
      <c r="M995" s="559"/>
      <c r="N995" s="559"/>
      <c r="O995" s="559"/>
      <c r="P995" s="559"/>
      <c r="Q995" s="559"/>
      <c r="R995" s="559"/>
      <c r="S995" s="559"/>
      <c r="T995" s="559"/>
      <c r="U995" s="559"/>
      <c r="V995" s="559"/>
      <c r="W995" s="559"/>
      <c r="X995" s="559"/>
      <c r="Y995" s="559"/>
      <c r="Z995" s="559"/>
      <c r="AA995" s="559"/>
      <c r="AB995" s="559"/>
      <c r="AC995" s="559"/>
      <c r="AD995" s="559"/>
      <c r="AE995" s="559"/>
    </row>
    <row r="996" spans="1:31" ht="18" customHeight="1" x14ac:dyDescent="0.35">
      <c r="A996" s="559"/>
      <c r="B996" s="559"/>
      <c r="C996" s="559"/>
      <c r="D996" s="559"/>
      <c r="E996" s="559"/>
      <c r="F996" s="559"/>
      <c r="G996" s="559"/>
      <c r="H996" s="559"/>
      <c r="I996" s="559"/>
      <c r="J996" s="559"/>
      <c r="K996" s="559"/>
      <c r="L996" s="559"/>
      <c r="M996" s="559"/>
      <c r="N996" s="559"/>
      <c r="O996" s="559"/>
      <c r="P996" s="559"/>
      <c r="Q996" s="559"/>
      <c r="R996" s="559"/>
      <c r="S996" s="559"/>
      <c r="T996" s="559"/>
      <c r="U996" s="559"/>
      <c r="V996" s="559"/>
      <c r="W996" s="559"/>
      <c r="X996" s="559"/>
      <c r="Y996" s="559"/>
      <c r="Z996" s="559"/>
      <c r="AA996" s="559"/>
      <c r="AB996" s="559"/>
      <c r="AC996" s="559"/>
      <c r="AD996" s="559"/>
      <c r="AE996" s="559"/>
    </row>
    <row r="997" spans="1:31" ht="18" customHeight="1" x14ac:dyDescent="0.35">
      <c r="A997" s="559"/>
      <c r="B997" s="559"/>
      <c r="C997" s="559"/>
      <c r="D997" s="559"/>
      <c r="E997" s="559"/>
      <c r="F997" s="559"/>
      <c r="G997" s="559"/>
      <c r="H997" s="559"/>
      <c r="I997" s="559"/>
      <c r="J997" s="559"/>
      <c r="K997" s="559"/>
      <c r="L997" s="559"/>
      <c r="M997" s="559"/>
      <c r="N997" s="559"/>
      <c r="O997" s="559"/>
      <c r="P997" s="559"/>
      <c r="Q997" s="559"/>
      <c r="R997" s="559"/>
      <c r="S997" s="559"/>
      <c r="T997" s="559"/>
      <c r="U997" s="559"/>
      <c r="V997" s="559"/>
      <c r="W997" s="559"/>
      <c r="X997" s="559"/>
      <c r="Y997" s="559"/>
      <c r="Z997" s="559"/>
      <c r="AA997" s="559"/>
      <c r="AB997" s="559"/>
      <c r="AC997" s="559"/>
      <c r="AD997" s="559"/>
      <c r="AE997" s="559"/>
    </row>
    <row r="998" spans="1:31" ht="18" customHeight="1" x14ac:dyDescent="0.35">
      <c r="A998" s="559"/>
      <c r="B998" s="559"/>
      <c r="C998" s="559"/>
      <c r="D998" s="559"/>
      <c r="E998" s="559"/>
      <c r="F998" s="559"/>
      <c r="G998" s="559"/>
      <c r="H998" s="559"/>
      <c r="I998" s="559"/>
      <c r="J998" s="559"/>
      <c r="K998" s="559"/>
      <c r="L998" s="559"/>
      <c r="M998" s="559"/>
      <c r="N998" s="559"/>
      <c r="O998" s="559"/>
      <c r="P998" s="559"/>
      <c r="Q998" s="559"/>
      <c r="R998" s="559"/>
      <c r="S998" s="559"/>
      <c r="T998" s="559"/>
      <c r="U998" s="559"/>
      <c r="V998" s="559"/>
      <c r="W998" s="559"/>
      <c r="X998" s="559"/>
      <c r="Y998" s="559"/>
      <c r="Z998" s="559"/>
      <c r="AA998" s="559"/>
      <c r="AB998" s="559"/>
      <c r="AC998" s="559"/>
      <c r="AD998" s="559"/>
      <c r="AE998" s="559"/>
    </row>
    <row r="999" spans="1:31" ht="18" customHeight="1" x14ac:dyDescent="0.35">
      <c r="A999" s="559"/>
      <c r="B999" s="559"/>
      <c r="C999" s="559"/>
      <c r="D999" s="559"/>
      <c r="E999" s="559"/>
      <c r="F999" s="559"/>
      <c r="G999" s="559"/>
      <c r="H999" s="559"/>
      <c r="I999" s="559"/>
      <c r="J999" s="559"/>
      <c r="K999" s="559"/>
      <c r="L999" s="559"/>
      <c r="M999" s="559"/>
      <c r="N999" s="559"/>
      <c r="O999" s="559"/>
      <c r="P999" s="559"/>
      <c r="Q999" s="559"/>
      <c r="R999" s="559"/>
      <c r="S999" s="559"/>
      <c r="T999" s="559"/>
      <c r="U999" s="559"/>
      <c r="V999" s="559"/>
      <c r="W999" s="559"/>
      <c r="X999" s="559"/>
      <c r="Y999" s="559"/>
      <c r="Z999" s="559"/>
      <c r="AA999" s="559"/>
      <c r="AB999" s="559"/>
      <c r="AC999" s="559"/>
      <c r="AD999" s="559"/>
      <c r="AE999" s="559"/>
    </row>
    <row r="1000" spans="1:31" ht="18" customHeight="1" x14ac:dyDescent="0.35">
      <c r="A1000" s="559"/>
      <c r="B1000" s="559"/>
      <c r="C1000" s="559"/>
      <c r="D1000" s="559"/>
      <c r="E1000" s="559"/>
      <c r="F1000" s="559"/>
      <c r="G1000" s="559"/>
      <c r="H1000" s="559"/>
      <c r="I1000" s="559"/>
      <c r="J1000" s="559"/>
      <c r="K1000" s="559"/>
      <c r="L1000" s="559"/>
      <c r="M1000" s="559"/>
      <c r="N1000" s="559"/>
      <c r="O1000" s="559"/>
      <c r="P1000" s="559"/>
      <c r="Q1000" s="559"/>
      <c r="R1000" s="559"/>
      <c r="S1000" s="559"/>
      <c r="T1000" s="559"/>
      <c r="U1000" s="559"/>
      <c r="V1000" s="559"/>
      <c r="W1000" s="559"/>
      <c r="X1000" s="559"/>
      <c r="Y1000" s="559"/>
      <c r="Z1000" s="559"/>
      <c r="AA1000" s="559"/>
      <c r="AB1000" s="559"/>
      <c r="AC1000" s="559"/>
      <c r="AD1000" s="559"/>
      <c r="AE1000" s="559"/>
    </row>
  </sheetData>
  <mergeCells count="18">
    <mergeCell ref="A1:H2"/>
    <mergeCell ref="A3:A4"/>
    <mergeCell ref="B3:C7"/>
    <mergeCell ref="J10:N15"/>
    <mergeCell ref="E13:G13"/>
    <mergeCell ref="E14:G14"/>
    <mergeCell ref="E16:G18"/>
    <mergeCell ref="B216:D216"/>
    <mergeCell ref="F216:H216"/>
    <mergeCell ref="I216:K216"/>
    <mergeCell ref="L216:N216"/>
    <mergeCell ref="F20:G20"/>
    <mergeCell ref="F21:G21"/>
    <mergeCell ref="D23:E23"/>
    <mergeCell ref="D26:E26"/>
    <mergeCell ref="D30:E30"/>
    <mergeCell ref="D33:E33"/>
    <mergeCell ref="B79:C79"/>
  </mergeCells>
  <conditionalFormatting sqref="C19">
    <cfRule type="beginsWith" dxfId="17" priority="1" operator="beginsWith" text="Boulons">
      <formula>LEFT((C19),LEN("Boulons"))=("Boulons")</formula>
    </cfRule>
  </conditionalFormatting>
  <conditionalFormatting sqref="D3">
    <cfRule type="endsWith" dxfId="16" priority="2" operator="endsWith" text="Boulons">
      <formula>RIGHT((D3),LEN("Boulons"))=("Boulons")</formula>
    </cfRule>
    <cfRule type="beginsWith" dxfId="15" priority="3" operator="beginsWith" text="Boulons">
      <formula>LEFT((D3),LEN("Boulons"))=("Boulons")</formula>
    </cfRule>
  </conditionalFormatting>
  <conditionalFormatting sqref="F19">
    <cfRule type="containsText" dxfId="14" priority="4" operator="containsText" text="Oui">
      <formula>NOT(ISERROR(SEARCH(("Oui"),(F19))))</formula>
    </cfRule>
  </conditionalFormatting>
  <dataValidations count="11">
    <dataValidation type="list" allowBlank="1" showErrorMessage="1" sqref="C15" xr:uid="{00000000-0002-0000-1100-000000000000}">
      <formula1>$A$173:$A$174</formula1>
    </dataValidation>
    <dataValidation type="list" allowBlank="1" showErrorMessage="1" sqref="C17" xr:uid="{00000000-0002-0000-1100-000001000000}">
      <formula1>$A$147:$A$153</formula1>
    </dataValidation>
    <dataValidation type="list" allowBlank="1" showErrorMessage="1" sqref="C13" xr:uid="{00000000-0002-0000-1100-000002000000}">
      <formula1>$A$170:$A$171</formula1>
    </dataValidation>
    <dataValidation type="list" allowBlank="1" showErrorMessage="1" sqref="C21" xr:uid="{00000000-0002-0000-1100-000003000000}">
      <formula1>$A$163:$A$164</formula1>
    </dataValidation>
    <dataValidation type="list" allowBlank="1" showErrorMessage="1" sqref="F15 F26 F33" xr:uid="{00000000-0002-0000-1100-000004000000}">
      <formula1>$A$204:$A$205</formula1>
    </dataValidation>
    <dataValidation type="list" allowBlank="1" showErrorMessage="1" sqref="C19" xr:uid="{00000000-0002-0000-1100-000005000000}">
      <formula1>$A$155:$A$156</formula1>
    </dataValidation>
    <dataValidation type="list" allowBlank="1" showErrorMessage="1" sqref="F19" xr:uid="{00000000-0002-0000-1100-000006000000}">
      <formula1>$A$167:$A$168</formula1>
    </dataValidation>
    <dataValidation type="list" allowBlank="1" showErrorMessage="1" sqref="F25 F27:F29" xr:uid="{00000000-0002-0000-1100-000007000000}">
      <formula1>$A$211:$A$212</formula1>
    </dataValidation>
    <dataValidation type="list" allowBlank="1" showErrorMessage="1" sqref="O19 F24 F31" xr:uid="{00000000-0002-0000-1100-000008000000}">
      <formula1>$A$210:$A$213</formula1>
    </dataValidation>
    <dataValidation type="list" allowBlank="1" showErrorMessage="1" sqref="F21" xr:uid="{00000000-0002-0000-1100-000009000000}">
      <formula1>$A$158:$A$160</formula1>
    </dataValidation>
    <dataValidation type="list" allowBlank="1" showErrorMessage="1" sqref="C26 C33" xr:uid="{00000000-0002-0000-1100-00000A000000}">
      <formula1>$A$139:$A$142</formula1>
    </dataValidation>
  </dataValidations>
  <pageMargins left="0.31496062992125984" right="0.11811023622047245" top="0.55118110236220474" bottom="0.55118110236220474" header="0" footer="0"/>
  <pageSetup paperSize="9" orientation="landscape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92D050"/>
    <pageSetUpPr fitToPage="1"/>
  </sheetPr>
  <dimension ref="A1:AG1000"/>
  <sheetViews>
    <sheetView workbookViewId="0"/>
  </sheetViews>
  <sheetFormatPr baseColWidth="10" defaultColWidth="14.44140625" defaultRowHeight="15" customHeight="1" x14ac:dyDescent="0.3"/>
  <cols>
    <col min="1" max="1" width="17" customWidth="1"/>
    <col min="2" max="2" width="40" customWidth="1"/>
    <col min="3" max="3" width="30.5546875" customWidth="1"/>
    <col min="4" max="4" width="17.88671875" customWidth="1"/>
    <col min="5" max="5" width="23.5546875" customWidth="1"/>
    <col min="6" max="6" width="27" customWidth="1"/>
    <col min="7" max="7" width="17" customWidth="1"/>
    <col min="8" max="8" width="15.44140625" customWidth="1"/>
    <col min="9" max="9" width="14.6640625" hidden="1" customWidth="1"/>
    <col min="10" max="10" width="11.44140625" hidden="1" customWidth="1"/>
    <col min="11" max="11" width="11.5546875" hidden="1" customWidth="1"/>
    <col min="12" max="13" width="12.88671875" hidden="1" customWidth="1"/>
    <col min="14" max="14" width="15.44140625" hidden="1" customWidth="1"/>
    <col min="15" max="15" width="14.5546875" hidden="1" customWidth="1"/>
    <col min="16" max="16" width="11.44140625" hidden="1" customWidth="1"/>
    <col min="17" max="17" width="12.109375" hidden="1" customWidth="1"/>
    <col min="18" max="19" width="11.44140625" hidden="1" customWidth="1"/>
    <col min="20" max="20" width="18.5546875" hidden="1" customWidth="1"/>
    <col min="21" max="23" width="11.44140625" hidden="1" customWidth="1"/>
    <col min="24" max="33" width="11.44140625" customWidth="1"/>
  </cols>
  <sheetData>
    <row r="1" spans="1:33" ht="18.75" customHeight="1" x14ac:dyDescent="0.35">
      <c r="A1" s="1084" t="s">
        <v>465</v>
      </c>
      <c r="B1" s="1085"/>
      <c r="C1" s="1085"/>
      <c r="D1" s="1085"/>
      <c r="E1" s="1085"/>
      <c r="F1" s="1085"/>
      <c r="G1" s="1086"/>
      <c r="H1" s="815"/>
      <c r="I1" s="559"/>
      <c r="J1" s="559"/>
      <c r="K1" s="559"/>
      <c r="L1" s="559"/>
      <c r="M1" s="559"/>
      <c r="N1" s="559"/>
      <c r="O1" s="559"/>
      <c r="P1" s="559"/>
      <c r="Q1" s="559"/>
      <c r="R1" s="559"/>
      <c r="S1" s="559"/>
      <c r="T1" s="559"/>
      <c r="U1" s="559"/>
      <c r="V1" s="559"/>
      <c r="W1" s="559"/>
      <c r="X1" s="559"/>
      <c r="Y1" s="559"/>
      <c r="Z1" s="559"/>
      <c r="AA1" s="559"/>
      <c r="AB1" s="559"/>
      <c r="AC1" s="559"/>
      <c r="AD1" s="559"/>
      <c r="AE1" s="559"/>
      <c r="AF1" s="559"/>
      <c r="AG1" s="559"/>
    </row>
    <row r="2" spans="1:33" ht="18.75" customHeight="1" x14ac:dyDescent="0.35">
      <c r="A2" s="1087"/>
      <c r="B2" s="1088"/>
      <c r="C2" s="1088"/>
      <c r="D2" s="1088"/>
      <c r="E2" s="1088"/>
      <c r="F2" s="1088"/>
      <c r="G2" s="1089"/>
      <c r="H2" s="815"/>
      <c r="I2" s="559"/>
      <c r="J2" s="559"/>
      <c r="K2" s="559"/>
      <c r="L2" s="559"/>
      <c r="M2" s="559"/>
      <c r="N2" s="559"/>
      <c r="O2" s="559"/>
      <c r="P2" s="559"/>
      <c r="Q2" s="559"/>
      <c r="R2" s="559"/>
      <c r="S2" s="559"/>
      <c r="T2" s="559"/>
      <c r="U2" s="559"/>
      <c r="V2" s="559"/>
      <c r="W2" s="559"/>
      <c r="X2" s="559"/>
      <c r="Y2" s="559"/>
      <c r="Z2" s="559"/>
      <c r="AA2" s="559"/>
      <c r="AB2" s="559"/>
      <c r="AC2" s="559"/>
      <c r="AD2" s="559"/>
      <c r="AE2" s="559"/>
      <c r="AF2" s="559"/>
      <c r="AG2" s="559"/>
    </row>
    <row r="3" spans="1:33" ht="42.75" customHeight="1" x14ac:dyDescent="0.35">
      <c r="A3" s="1188"/>
      <c r="B3" s="1189" t="str">
        <f>VLOOKUP($F$10,'Infos Clients'!$B$2:$G$10,2)</f>
        <v>#VALUE!</v>
      </c>
      <c r="C3" s="1086"/>
      <c r="D3" s="610"/>
      <c r="E3" s="610"/>
      <c r="F3" s="610"/>
      <c r="G3" s="610"/>
      <c r="H3" s="610"/>
      <c r="I3" s="559"/>
      <c r="J3" s="559"/>
      <c r="K3" s="559"/>
      <c r="L3" s="559"/>
      <c r="M3" s="559"/>
      <c r="N3" s="559"/>
      <c r="O3" s="559"/>
      <c r="P3" s="559"/>
      <c r="Q3" s="559"/>
      <c r="R3" s="559"/>
      <c r="S3" s="559"/>
      <c r="T3" s="559"/>
      <c r="U3" s="559"/>
      <c r="V3" s="559"/>
      <c r="W3" s="559"/>
      <c r="X3" s="559"/>
      <c r="Y3" s="559"/>
      <c r="Z3" s="559"/>
      <c r="AA3" s="559"/>
      <c r="AB3" s="559"/>
      <c r="AC3" s="559"/>
      <c r="AD3" s="559"/>
      <c r="AE3" s="559"/>
      <c r="AF3" s="559"/>
      <c r="AG3" s="559"/>
    </row>
    <row r="4" spans="1:33" ht="18" customHeight="1" x14ac:dyDescent="0.35">
      <c r="A4" s="1108"/>
      <c r="B4" s="1091"/>
      <c r="C4" s="1092"/>
      <c r="D4" s="563"/>
      <c r="E4" s="729"/>
      <c r="F4" s="610"/>
      <c r="G4" s="563"/>
      <c r="H4" s="729"/>
      <c r="I4" s="559"/>
      <c r="J4" s="559"/>
      <c r="K4" s="559"/>
      <c r="L4" s="559"/>
      <c r="M4" s="559"/>
      <c r="N4" s="559"/>
      <c r="O4" s="559"/>
      <c r="P4" s="559"/>
      <c r="Q4" s="559"/>
      <c r="R4" s="559"/>
      <c r="S4" s="559"/>
      <c r="T4" s="559"/>
      <c r="U4" s="559"/>
      <c r="V4" s="559"/>
      <c r="W4" s="559"/>
      <c r="X4" s="559"/>
      <c r="Y4" s="559"/>
      <c r="Z4" s="559"/>
      <c r="AA4" s="559"/>
      <c r="AB4" s="559"/>
      <c r="AC4" s="559"/>
      <c r="AD4" s="559"/>
      <c r="AE4" s="559"/>
      <c r="AF4" s="559"/>
      <c r="AG4" s="559"/>
    </row>
    <row r="5" spans="1:33" ht="18" customHeight="1" x14ac:dyDescent="0.35">
      <c r="A5" s="559"/>
      <c r="B5" s="1091"/>
      <c r="C5" s="1092"/>
      <c r="D5" s="559"/>
      <c r="E5" s="729"/>
      <c r="F5" s="730"/>
      <c r="G5" s="559"/>
      <c r="H5" s="729"/>
      <c r="I5" s="559"/>
      <c r="J5" s="559"/>
      <c r="K5" s="559"/>
      <c r="L5" s="559"/>
      <c r="M5" s="559"/>
      <c r="N5" s="559"/>
      <c r="O5" s="559"/>
      <c r="P5" s="559"/>
      <c r="Q5" s="559"/>
      <c r="R5" s="559"/>
      <c r="S5" s="559"/>
      <c r="T5" s="559"/>
      <c r="U5" s="559"/>
      <c r="V5" s="559"/>
      <c r="W5" s="559"/>
      <c r="X5" s="559"/>
      <c r="Y5" s="559"/>
      <c r="Z5" s="559"/>
      <c r="AA5" s="559"/>
      <c r="AB5" s="559"/>
      <c r="AC5" s="559"/>
      <c r="AD5" s="559"/>
      <c r="AE5" s="559"/>
      <c r="AF5" s="559"/>
      <c r="AG5" s="559"/>
    </row>
    <row r="6" spans="1:33" ht="18" customHeight="1" x14ac:dyDescent="0.35">
      <c r="A6" s="559"/>
      <c r="B6" s="1091"/>
      <c r="C6" s="1092"/>
      <c r="D6" s="563"/>
      <c r="E6" s="729"/>
      <c r="F6" s="610"/>
      <c r="G6" s="563"/>
      <c r="H6" s="729"/>
      <c r="I6" s="559"/>
      <c r="J6" s="559"/>
      <c r="K6" s="559"/>
      <c r="L6" s="559"/>
      <c r="M6" s="559"/>
      <c r="N6" s="559"/>
      <c r="O6" s="559"/>
      <c r="P6" s="559"/>
      <c r="Q6" s="559"/>
      <c r="R6" s="559"/>
      <c r="S6" s="559"/>
      <c r="T6" s="559"/>
      <c r="U6" s="559"/>
      <c r="V6" s="559"/>
      <c r="W6" s="559"/>
      <c r="X6" s="559"/>
      <c r="Y6" s="559"/>
      <c r="Z6" s="559"/>
      <c r="AA6" s="559"/>
      <c r="AB6" s="559"/>
      <c r="AC6" s="559"/>
      <c r="AD6" s="559"/>
      <c r="AE6" s="559"/>
      <c r="AF6" s="559"/>
      <c r="AG6" s="559"/>
    </row>
    <row r="7" spans="1:33" ht="18" customHeight="1" x14ac:dyDescent="0.35">
      <c r="A7" s="559"/>
      <c r="B7" s="1087"/>
      <c r="C7" s="1089"/>
      <c r="D7" s="559"/>
      <c r="E7" s="729"/>
      <c r="F7" s="730"/>
      <c r="G7" s="559"/>
      <c r="H7" s="729"/>
      <c r="I7" s="559"/>
      <c r="J7" s="559"/>
      <c r="K7" s="559"/>
      <c r="L7" s="559"/>
      <c r="M7" s="559"/>
      <c r="N7" s="559"/>
      <c r="O7" s="559"/>
      <c r="P7" s="559"/>
      <c r="Q7" s="559"/>
      <c r="R7" s="559"/>
      <c r="S7" s="559"/>
      <c r="T7" s="559"/>
      <c r="U7" s="559"/>
      <c r="V7" s="559"/>
      <c r="W7" s="559"/>
      <c r="X7" s="559"/>
      <c r="Y7" s="559"/>
      <c r="Z7" s="559"/>
      <c r="AA7" s="559"/>
      <c r="AB7" s="559"/>
      <c r="AC7" s="559"/>
      <c r="AD7" s="559"/>
      <c r="AE7" s="559"/>
      <c r="AF7" s="559"/>
      <c r="AG7" s="559"/>
    </row>
    <row r="8" spans="1:33" ht="18" customHeight="1" x14ac:dyDescent="0.35">
      <c r="A8" s="559"/>
      <c r="B8" s="559"/>
      <c r="C8" s="559"/>
      <c r="D8" s="559"/>
      <c r="E8" s="559"/>
      <c r="F8" s="559"/>
      <c r="G8" s="559"/>
      <c r="H8" s="559"/>
      <c r="I8" s="559"/>
      <c r="J8" s="559"/>
      <c r="K8" s="559"/>
      <c r="L8" s="559"/>
      <c r="M8" s="559"/>
      <c r="N8" s="559"/>
      <c r="O8" s="559"/>
      <c r="P8" s="559"/>
      <c r="Q8" s="559"/>
      <c r="R8" s="559"/>
      <c r="S8" s="559"/>
      <c r="T8" s="559"/>
      <c r="U8" s="559"/>
      <c r="V8" s="559"/>
      <c r="W8" s="559"/>
      <c r="X8" s="559"/>
      <c r="Y8" s="559"/>
      <c r="Z8" s="559"/>
      <c r="AA8" s="559"/>
      <c r="AB8" s="559"/>
      <c r="AC8" s="559"/>
      <c r="AD8" s="559"/>
      <c r="AE8" s="559"/>
      <c r="AF8" s="559"/>
      <c r="AG8" s="559"/>
    </row>
    <row r="9" spans="1:33" ht="18" customHeight="1" x14ac:dyDescent="0.35">
      <c r="A9" s="559"/>
      <c r="B9" s="559" t="s">
        <v>1</v>
      </c>
      <c r="C9" s="20"/>
      <c r="D9" s="559"/>
      <c r="E9" s="563" t="s">
        <v>2</v>
      </c>
      <c r="F9" s="22"/>
      <c r="G9" s="559"/>
      <c r="H9" s="559"/>
      <c r="I9" s="559"/>
      <c r="J9" s="559"/>
      <c r="K9" s="559"/>
      <c r="L9" s="559"/>
      <c r="M9" s="559"/>
      <c r="N9" s="559"/>
      <c r="O9" s="559"/>
      <c r="P9" s="559"/>
      <c r="Q9" s="559"/>
      <c r="R9" s="559"/>
      <c r="S9" s="559"/>
      <c r="T9" s="559"/>
      <c r="U9" s="559"/>
      <c r="V9" s="559"/>
      <c r="W9" s="559"/>
      <c r="X9" s="559"/>
      <c r="Y9" s="559"/>
      <c r="Z9" s="559"/>
      <c r="AA9" s="559"/>
      <c r="AB9" s="559"/>
      <c r="AC9" s="559"/>
      <c r="AD9" s="559"/>
      <c r="AE9" s="559"/>
      <c r="AF9" s="559"/>
      <c r="AG9" s="559"/>
    </row>
    <row r="10" spans="1:33" ht="18" customHeight="1" x14ac:dyDescent="0.35">
      <c r="A10" s="559"/>
      <c r="B10" s="559" t="s">
        <v>4</v>
      </c>
      <c r="C10" s="23"/>
      <c r="D10" s="559"/>
      <c r="E10" s="563" t="s">
        <v>5</v>
      </c>
      <c r="F10" s="569" t="s">
        <v>6</v>
      </c>
      <c r="G10" s="559"/>
      <c r="H10" s="570"/>
      <c r="I10" s="559"/>
      <c r="J10" s="559"/>
      <c r="K10" s="559"/>
      <c r="L10" s="559"/>
      <c r="M10" s="559"/>
      <c r="N10" s="559"/>
      <c r="O10" s="559"/>
      <c r="P10" s="559"/>
      <c r="Q10" s="559"/>
      <c r="R10" s="559"/>
      <c r="S10" s="559"/>
      <c r="T10" s="559"/>
      <c r="U10" s="559"/>
      <c r="V10" s="559"/>
      <c r="W10" s="559"/>
      <c r="X10" s="559"/>
      <c r="Y10" s="559"/>
      <c r="Z10" s="559"/>
      <c r="AA10" s="559"/>
      <c r="AB10" s="559"/>
      <c r="AC10" s="559"/>
      <c r="AD10" s="559"/>
      <c r="AE10" s="559"/>
      <c r="AF10" s="559"/>
      <c r="AG10" s="559"/>
    </row>
    <row r="11" spans="1:33" ht="18" customHeight="1" x14ac:dyDescent="0.35">
      <c r="A11" s="559"/>
      <c r="B11" s="559" t="s">
        <v>138</v>
      </c>
      <c r="C11" s="20"/>
      <c r="D11" s="559"/>
      <c r="E11" s="571" t="s">
        <v>8</v>
      </c>
      <c r="F11" s="25"/>
      <c r="G11" s="559"/>
      <c r="H11" s="559"/>
      <c r="I11" s="559"/>
      <c r="J11" s="559"/>
      <c r="K11" s="559"/>
      <c r="L11" s="559"/>
      <c r="M11" s="559"/>
      <c r="N11" s="559"/>
      <c r="O11" s="559"/>
      <c r="P11" s="559"/>
      <c r="Q11" s="559"/>
      <c r="R11" s="559"/>
      <c r="S11" s="559"/>
      <c r="T11" s="559"/>
      <c r="U11" s="559"/>
      <c r="V11" s="559"/>
      <c r="W11" s="559"/>
      <c r="X11" s="559"/>
      <c r="Y11" s="559"/>
      <c r="Z11" s="559"/>
      <c r="AA11" s="559"/>
      <c r="AB11" s="559"/>
      <c r="AC11" s="559"/>
      <c r="AD11" s="559"/>
      <c r="AE11" s="559"/>
      <c r="AF11" s="559"/>
      <c r="AG11" s="559"/>
    </row>
    <row r="12" spans="1:33" ht="18" customHeight="1" x14ac:dyDescent="0.35">
      <c r="A12" s="559"/>
      <c r="B12" s="559"/>
      <c r="C12" s="563"/>
      <c r="D12" s="559"/>
      <c r="E12" s="571"/>
      <c r="F12" s="559"/>
      <c r="G12" s="559"/>
      <c r="H12" s="559"/>
      <c r="I12" s="559"/>
      <c r="J12" s="559"/>
      <c r="K12" s="559"/>
      <c r="L12" s="559"/>
      <c r="M12" s="559"/>
      <c r="N12" s="559"/>
      <c r="O12" s="559"/>
      <c r="P12" s="559"/>
      <c r="Q12" s="559"/>
      <c r="R12" s="559"/>
      <c r="S12" s="559"/>
      <c r="T12" s="559"/>
      <c r="U12" s="559"/>
      <c r="V12" s="559"/>
      <c r="W12" s="559"/>
      <c r="X12" s="559"/>
      <c r="Y12" s="559"/>
      <c r="Z12" s="559"/>
      <c r="AA12" s="559"/>
      <c r="AB12" s="559"/>
      <c r="AC12" s="559"/>
      <c r="AD12" s="559"/>
      <c r="AE12" s="559"/>
      <c r="AF12" s="559"/>
      <c r="AG12" s="559"/>
    </row>
    <row r="13" spans="1:33" ht="18" customHeight="1" x14ac:dyDescent="0.35">
      <c r="A13" s="559"/>
      <c r="B13" s="573" t="s">
        <v>9</v>
      </c>
      <c r="C13" s="569" t="s">
        <v>61</v>
      </c>
      <c r="D13" s="559"/>
      <c r="E13" s="610"/>
      <c r="F13" s="563"/>
      <c r="G13" s="559"/>
      <c r="H13" s="559"/>
      <c r="I13" s="559"/>
      <c r="J13" s="559"/>
      <c r="K13" s="559"/>
      <c r="L13" s="559"/>
      <c r="M13" s="559"/>
      <c r="N13" s="559"/>
      <c r="O13" s="559"/>
      <c r="P13" s="559"/>
      <c r="Q13" s="559"/>
      <c r="R13" s="559"/>
      <c r="S13" s="559"/>
      <c r="T13" s="559"/>
      <c r="U13" s="559"/>
      <c r="V13" s="559"/>
      <c r="W13" s="559"/>
      <c r="X13" s="559"/>
      <c r="Y13" s="559"/>
      <c r="Z13" s="559"/>
      <c r="AA13" s="559"/>
      <c r="AB13" s="559"/>
      <c r="AC13" s="559"/>
      <c r="AD13" s="559"/>
      <c r="AE13" s="559"/>
      <c r="AF13" s="559"/>
      <c r="AG13" s="559"/>
    </row>
    <row r="14" spans="1:33" ht="20.25" customHeight="1" x14ac:dyDescent="0.35">
      <c r="A14" s="559"/>
      <c r="B14" s="573"/>
      <c r="C14" s="563"/>
      <c r="D14" s="559"/>
      <c r="E14" s="574"/>
      <c r="F14" s="573"/>
      <c r="G14" s="559"/>
      <c r="H14" s="559"/>
      <c r="I14" s="559"/>
      <c r="J14" s="559"/>
      <c r="K14" s="559"/>
      <c r="L14" s="559"/>
      <c r="M14" s="559"/>
      <c r="N14" s="559"/>
      <c r="O14" s="559"/>
      <c r="P14" s="559"/>
      <c r="Q14" s="559"/>
      <c r="R14" s="559"/>
      <c r="S14" s="559"/>
      <c r="T14" s="559"/>
      <c r="U14" s="559"/>
      <c r="V14" s="559"/>
      <c r="W14" s="559"/>
      <c r="X14" s="559"/>
      <c r="Y14" s="559"/>
      <c r="Z14" s="559"/>
      <c r="AA14" s="559"/>
      <c r="AB14" s="559"/>
      <c r="AC14" s="559"/>
      <c r="AD14" s="559"/>
      <c r="AE14" s="559"/>
      <c r="AF14" s="559"/>
      <c r="AG14" s="559"/>
    </row>
    <row r="15" spans="1:33" ht="18" customHeight="1" x14ac:dyDescent="0.4">
      <c r="A15" s="559"/>
      <c r="B15" s="573" t="s">
        <v>11</v>
      </c>
      <c r="C15" s="569" t="s">
        <v>12</v>
      </c>
      <c r="D15" s="559"/>
      <c r="E15" s="1167" t="s">
        <v>466</v>
      </c>
      <c r="F15" s="1100"/>
      <c r="G15" s="1101"/>
      <c r="H15" s="559"/>
      <c r="I15" s="559"/>
      <c r="J15" s="559"/>
      <c r="K15" s="559"/>
      <c r="L15" s="559"/>
      <c r="M15" s="559"/>
      <c r="N15" s="559"/>
      <c r="O15" s="559"/>
      <c r="P15" s="559"/>
      <c r="Q15" s="559"/>
      <c r="R15" s="559"/>
      <c r="S15" s="559"/>
      <c r="T15" s="559"/>
      <c r="U15" s="559"/>
      <c r="V15" s="559"/>
      <c r="W15" s="559"/>
      <c r="X15" s="559"/>
      <c r="Y15" s="559"/>
      <c r="Z15" s="559"/>
      <c r="AA15" s="559"/>
      <c r="AB15" s="559"/>
      <c r="AC15" s="559"/>
      <c r="AD15" s="559"/>
      <c r="AE15" s="559"/>
      <c r="AF15" s="559"/>
      <c r="AG15" s="559"/>
    </row>
    <row r="16" spans="1:33" ht="19.5" customHeight="1" x14ac:dyDescent="0.35">
      <c r="A16" s="559"/>
      <c r="B16" s="559"/>
      <c r="C16" s="563"/>
      <c r="D16" s="559"/>
      <c r="E16" s="1090" t="str">
        <f>VLOOKUP(F10,'[1]Infos Clients'!B2:E10,3)</f>
        <v>Valsem Scotch Marron, Styrofoam Armé,                         Carton Scotch Marron, Joint 19 mm</v>
      </c>
      <c r="F16" s="1085"/>
      <c r="G16" s="1086"/>
      <c r="H16" s="559"/>
      <c r="I16" s="559"/>
      <c r="J16" s="559"/>
      <c r="K16" s="559"/>
      <c r="L16" s="559"/>
      <c r="M16" s="559"/>
      <c r="N16" s="559"/>
      <c r="O16" s="559"/>
      <c r="P16" s="559"/>
      <c r="Q16" s="559"/>
      <c r="R16" s="559"/>
      <c r="S16" s="559"/>
      <c r="T16" s="559"/>
      <c r="U16" s="559"/>
      <c r="V16" s="559"/>
      <c r="W16" s="559"/>
      <c r="X16" s="559"/>
      <c r="Y16" s="559"/>
      <c r="Z16" s="559"/>
      <c r="AA16" s="559"/>
      <c r="AB16" s="559"/>
      <c r="AC16" s="559"/>
      <c r="AD16" s="559"/>
      <c r="AE16" s="559"/>
      <c r="AF16" s="559"/>
      <c r="AG16" s="559"/>
    </row>
    <row r="17" spans="1:33" ht="18" customHeight="1" x14ac:dyDescent="0.35">
      <c r="A17" s="559"/>
      <c r="B17" s="573"/>
      <c r="C17" s="563"/>
      <c r="D17" s="559"/>
      <c r="E17" s="1091"/>
      <c r="F17" s="1097"/>
      <c r="G17" s="1092"/>
      <c r="H17" s="559"/>
      <c r="I17" s="559"/>
      <c r="J17" s="559"/>
      <c r="K17" s="559"/>
      <c r="L17" s="559"/>
      <c r="M17" s="559"/>
      <c r="N17" s="559"/>
      <c r="O17" s="559"/>
      <c r="P17" s="559"/>
      <c r="Q17" s="559"/>
      <c r="R17" s="559"/>
      <c r="S17" s="559"/>
      <c r="T17" s="559"/>
      <c r="U17" s="559"/>
      <c r="V17" s="559"/>
      <c r="W17" s="559"/>
      <c r="X17" s="559"/>
      <c r="Y17" s="559"/>
      <c r="Z17" s="559"/>
      <c r="AA17" s="559"/>
      <c r="AB17" s="559"/>
      <c r="AC17" s="559"/>
      <c r="AD17" s="559"/>
      <c r="AE17" s="559"/>
      <c r="AF17" s="559"/>
      <c r="AG17" s="559"/>
    </row>
    <row r="18" spans="1:33" ht="18" customHeight="1" x14ac:dyDescent="0.35">
      <c r="A18" s="559"/>
      <c r="B18" s="559"/>
      <c r="C18" s="563"/>
      <c r="D18" s="559"/>
      <c r="E18" s="1087"/>
      <c r="F18" s="1088"/>
      <c r="G18" s="1089"/>
      <c r="H18" s="559"/>
      <c r="I18" s="559"/>
      <c r="J18" s="559"/>
      <c r="K18" s="559"/>
      <c r="L18" s="559"/>
      <c r="M18" s="559"/>
      <c r="N18" s="559"/>
      <c r="O18" s="559"/>
      <c r="P18" s="559"/>
      <c r="Q18" s="559"/>
      <c r="R18" s="559"/>
      <c r="S18" s="559"/>
      <c r="T18" s="559"/>
      <c r="U18" s="559"/>
      <c r="V18" s="559"/>
      <c r="W18" s="559"/>
      <c r="X18" s="559"/>
      <c r="Y18" s="559"/>
      <c r="Z18" s="559"/>
      <c r="AA18" s="559"/>
      <c r="AB18" s="559"/>
      <c r="AC18" s="559"/>
      <c r="AD18" s="559"/>
      <c r="AE18" s="559"/>
      <c r="AF18" s="559"/>
      <c r="AG18" s="559"/>
    </row>
    <row r="19" spans="1:33" ht="18" customHeight="1" x14ac:dyDescent="0.35">
      <c r="A19" s="559"/>
      <c r="B19" s="573" t="s">
        <v>17</v>
      </c>
      <c r="C19" s="569" t="s">
        <v>18</v>
      </c>
      <c r="D19" s="1197" t="s">
        <v>301</v>
      </c>
      <c r="E19" s="1170"/>
      <c r="F19" s="577" t="str">
        <f>VLOOKUP($C$27,$A$101:$T$105,20)</f>
        <v>GC + Couvercle</v>
      </c>
      <c r="G19" s="559"/>
      <c r="H19" s="559"/>
      <c r="I19" s="559"/>
      <c r="J19" s="559"/>
      <c r="K19" s="559"/>
      <c r="L19" s="559"/>
      <c r="M19" s="559"/>
      <c r="N19" s="559"/>
      <c r="O19" s="559"/>
      <c r="P19" s="559"/>
      <c r="Q19" s="559"/>
      <c r="R19" s="559"/>
      <c r="S19" s="559"/>
      <c r="T19" s="559"/>
      <c r="U19" s="559"/>
      <c r="V19" s="559"/>
      <c r="W19" s="559"/>
      <c r="X19" s="559"/>
      <c r="Y19" s="559"/>
      <c r="Z19" s="559"/>
      <c r="AA19" s="559"/>
      <c r="AB19" s="559"/>
      <c r="AC19" s="559"/>
      <c r="AD19" s="559"/>
      <c r="AE19" s="559"/>
      <c r="AF19" s="559"/>
      <c r="AG19" s="559"/>
    </row>
    <row r="20" spans="1:33" ht="18" customHeight="1" x14ac:dyDescent="0.35">
      <c r="A20" s="559"/>
      <c r="B20" s="559"/>
      <c r="C20" s="563"/>
      <c r="D20" s="559"/>
      <c r="E20" s="573"/>
      <c r="F20" s="1168"/>
      <c r="G20" s="1101"/>
      <c r="H20" s="559"/>
      <c r="I20" s="559"/>
      <c r="J20" s="559"/>
      <c r="K20" s="559"/>
      <c r="L20" s="559"/>
      <c r="M20" s="559"/>
      <c r="N20" s="559"/>
      <c r="O20" s="559"/>
      <c r="P20" s="559"/>
      <c r="Q20" s="559"/>
      <c r="R20" s="559"/>
      <c r="S20" s="559"/>
      <c r="T20" s="559"/>
      <c r="U20" s="559"/>
      <c r="V20" s="559"/>
      <c r="W20" s="559"/>
      <c r="X20" s="559"/>
      <c r="Y20" s="559"/>
      <c r="Z20" s="559"/>
      <c r="AA20" s="559"/>
      <c r="AB20" s="559"/>
      <c r="AC20" s="559"/>
      <c r="AD20" s="559"/>
      <c r="AE20" s="559"/>
      <c r="AF20" s="559"/>
      <c r="AG20" s="559"/>
    </row>
    <row r="21" spans="1:33" ht="18" customHeight="1" x14ac:dyDescent="0.35">
      <c r="A21" s="559"/>
      <c r="B21" s="573" t="s">
        <v>21</v>
      </c>
      <c r="C21" s="569" t="str">
        <f>IF(F21="Skis","Bois","Non")</f>
        <v>Non</v>
      </c>
      <c r="D21" s="559"/>
      <c r="E21" s="574" t="s">
        <v>24</v>
      </c>
      <c r="F21" s="1157" t="s">
        <v>136</v>
      </c>
      <c r="G21" s="1158"/>
      <c r="H21" s="559"/>
      <c r="I21" s="559"/>
      <c r="J21" s="559"/>
      <c r="K21" s="559"/>
      <c r="L21" s="559"/>
      <c r="M21" s="559"/>
      <c r="N21" s="559"/>
      <c r="O21" s="559"/>
      <c r="P21" s="559"/>
      <c r="Q21" s="559"/>
      <c r="R21" s="559"/>
      <c r="S21" s="559"/>
      <c r="T21" s="559"/>
      <c r="U21" s="559"/>
      <c r="V21" s="559"/>
      <c r="W21" s="559"/>
      <c r="X21" s="559"/>
      <c r="Y21" s="559"/>
      <c r="Z21" s="559"/>
      <c r="AA21" s="559"/>
      <c r="AB21" s="559"/>
      <c r="AC21" s="559"/>
      <c r="AD21" s="559"/>
      <c r="AE21" s="559"/>
      <c r="AF21" s="559"/>
      <c r="AG21" s="559"/>
    </row>
    <row r="22" spans="1:33" ht="18" customHeight="1" x14ac:dyDescent="0.35">
      <c r="A22" s="559"/>
      <c r="B22" s="573"/>
      <c r="C22" s="559"/>
      <c r="D22" s="559"/>
      <c r="E22" s="571"/>
      <c r="F22" s="571"/>
      <c r="G22" s="571"/>
      <c r="H22" s="559"/>
      <c r="I22" s="559"/>
      <c r="J22" s="559"/>
      <c r="K22" s="559"/>
      <c r="L22" s="559"/>
      <c r="M22" s="559"/>
      <c r="N22" s="559"/>
      <c r="O22" s="559"/>
      <c r="P22" s="559"/>
      <c r="Q22" s="559"/>
      <c r="R22" s="559"/>
      <c r="S22" s="559"/>
      <c r="T22" s="559"/>
      <c r="U22" s="559"/>
      <c r="V22" s="559"/>
      <c r="W22" s="559"/>
      <c r="X22" s="559"/>
      <c r="Y22" s="559"/>
      <c r="Z22" s="559"/>
      <c r="AA22" s="559"/>
      <c r="AB22" s="559"/>
      <c r="AC22" s="559"/>
      <c r="AD22" s="559"/>
      <c r="AE22" s="559"/>
      <c r="AF22" s="559"/>
      <c r="AG22" s="559"/>
    </row>
    <row r="23" spans="1:33" ht="18" customHeight="1" x14ac:dyDescent="0.35">
      <c r="A23" s="559"/>
      <c r="B23" s="573"/>
      <c r="C23" s="559"/>
      <c r="D23" s="559"/>
      <c r="E23" s="571"/>
      <c r="F23" s="571"/>
      <c r="G23" s="571"/>
      <c r="H23" s="559"/>
      <c r="I23" s="559"/>
      <c r="J23" s="559"/>
      <c r="K23" s="559"/>
      <c r="L23" s="559"/>
      <c r="M23" s="559"/>
      <c r="N23" s="559"/>
      <c r="O23" s="559"/>
      <c r="P23" s="559"/>
      <c r="Q23" s="559"/>
      <c r="R23" s="559"/>
      <c r="S23" s="559"/>
      <c r="T23" s="559"/>
      <c r="U23" s="559"/>
      <c r="V23" s="559"/>
      <c r="W23" s="559"/>
      <c r="X23" s="559"/>
      <c r="Y23" s="559"/>
      <c r="Z23" s="559"/>
      <c r="AA23" s="559"/>
      <c r="AB23" s="559"/>
      <c r="AC23" s="559"/>
      <c r="AD23" s="559"/>
      <c r="AE23" s="559"/>
      <c r="AF23" s="559"/>
      <c r="AG23" s="559"/>
    </row>
    <row r="24" spans="1:33" ht="18" customHeight="1" x14ac:dyDescent="0.35">
      <c r="A24" s="559"/>
      <c r="B24" s="559"/>
      <c r="C24" s="579" t="s">
        <v>28</v>
      </c>
      <c r="D24" s="579" t="s">
        <v>29</v>
      </c>
      <c r="E24" s="579" t="s">
        <v>30</v>
      </c>
      <c r="F24" s="559"/>
      <c r="G24" s="559"/>
      <c r="H24" s="559"/>
      <c r="I24" s="559"/>
      <c r="J24" s="559"/>
      <c r="K24" s="559"/>
      <c r="L24" s="559"/>
      <c r="M24" s="559"/>
      <c r="N24" s="559"/>
      <c r="O24" s="559"/>
      <c r="P24" s="559"/>
      <c r="Q24" s="559"/>
      <c r="R24" s="559"/>
      <c r="S24" s="559"/>
      <c r="T24" s="559"/>
      <c r="U24" s="559"/>
      <c r="V24" s="559"/>
      <c r="W24" s="559"/>
      <c r="X24" s="559"/>
      <c r="Y24" s="559"/>
      <c r="Z24" s="559"/>
      <c r="AA24" s="559"/>
      <c r="AB24" s="559"/>
      <c r="AC24" s="559"/>
      <c r="AD24" s="559"/>
      <c r="AE24" s="559"/>
      <c r="AF24" s="559"/>
      <c r="AG24" s="559"/>
    </row>
    <row r="25" spans="1:33" ht="18" customHeight="1" x14ac:dyDescent="0.35">
      <c r="A25" s="559"/>
      <c r="B25" s="573" t="s">
        <v>303</v>
      </c>
      <c r="C25" s="581"/>
      <c r="D25" s="581"/>
      <c r="E25" s="581"/>
      <c r="F25" s="559"/>
      <c r="G25" s="559"/>
      <c r="H25" s="559"/>
      <c r="I25" s="559"/>
      <c r="J25" s="559" t="s">
        <v>142</v>
      </c>
      <c r="K25" s="559"/>
      <c r="L25" s="559"/>
      <c r="M25" s="559">
        <f>C25+VLOOKUP($C$27,$A$101:$S$105,2)</f>
        <v>0</v>
      </c>
      <c r="N25" s="559">
        <f>D25+VLOOKUP($C$27,$A$101:$S$105,3)</f>
        <v>0</v>
      </c>
      <c r="O25" s="559"/>
      <c r="P25" s="559"/>
      <c r="Q25" s="559"/>
      <c r="R25" s="559"/>
      <c r="S25" s="559"/>
      <c r="T25" s="559"/>
      <c r="U25" s="559"/>
      <c r="V25" s="559"/>
      <c r="W25" s="559"/>
      <c r="X25" s="559"/>
      <c r="Y25" s="559"/>
      <c r="Z25" s="559"/>
      <c r="AA25" s="559"/>
      <c r="AB25" s="559"/>
      <c r="AC25" s="559"/>
      <c r="AD25" s="559"/>
      <c r="AE25" s="559"/>
      <c r="AF25" s="559"/>
      <c r="AG25" s="559"/>
    </row>
    <row r="26" spans="1:33" ht="18" customHeight="1" x14ac:dyDescent="0.35">
      <c r="A26" s="559"/>
      <c r="B26" s="559"/>
      <c r="C26" s="559"/>
      <c r="D26" s="559"/>
      <c r="E26" s="559"/>
      <c r="F26" s="559"/>
      <c r="G26" s="559"/>
      <c r="H26" s="559"/>
      <c r="I26" s="559"/>
      <c r="J26" s="559"/>
      <c r="K26" s="559"/>
      <c r="L26" s="559"/>
      <c r="M26" s="559"/>
      <c r="N26" s="559"/>
      <c r="O26" s="559"/>
      <c r="P26" s="559"/>
      <c r="Q26" s="559"/>
      <c r="R26" s="559"/>
      <c r="S26" s="559"/>
      <c r="T26" s="559"/>
      <c r="U26" s="559"/>
      <c r="V26" s="559"/>
      <c r="W26" s="559"/>
      <c r="X26" s="559"/>
      <c r="Y26" s="559"/>
      <c r="Z26" s="559"/>
      <c r="AA26" s="559"/>
      <c r="AB26" s="559"/>
      <c r="AC26" s="559"/>
      <c r="AD26" s="559"/>
      <c r="AE26" s="559"/>
      <c r="AF26" s="559"/>
      <c r="AG26" s="559"/>
    </row>
    <row r="27" spans="1:33" ht="18" customHeight="1" x14ac:dyDescent="0.35">
      <c r="A27" s="559"/>
      <c r="B27" s="582" t="s">
        <v>31</v>
      </c>
      <c r="C27" s="583" t="s">
        <v>16</v>
      </c>
      <c r="D27" s="1171">
        <f>VLOOKUP(C27,'[2]Objet 1'!$A$140:$M$154,13)</f>
        <v>0</v>
      </c>
      <c r="E27" s="1172"/>
      <c r="F27" s="181">
        <v>4</v>
      </c>
      <c r="G27" s="584"/>
      <c r="H27" s="559"/>
      <c r="I27" s="559"/>
      <c r="J27" s="559"/>
      <c r="K27" s="559"/>
      <c r="L27" s="559"/>
      <c r="M27" s="559"/>
      <c r="N27" s="559"/>
      <c r="O27" s="559"/>
      <c r="P27" s="559"/>
      <c r="Q27" s="559"/>
      <c r="R27" s="559"/>
      <c r="S27" s="559"/>
      <c r="T27" s="559"/>
      <c r="U27" s="559"/>
      <c r="V27" s="559"/>
      <c r="W27" s="559"/>
      <c r="X27" s="559"/>
      <c r="Y27" s="559"/>
      <c r="Z27" s="559"/>
      <c r="AA27" s="559"/>
      <c r="AB27" s="559"/>
      <c r="AC27" s="559"/>
      <c r="AD27" s="559"/>
      <c r="AE27" s="559"/>
      <c r="AF27" s="559"/>
      <c r="AG27" s="559"/>
    </row>
    <row r="28" spans="1:33" ht="18" customHeight="1" x14ac:dyDescent="0.35">
      <c r="A28" s="559"/>
      <c r="B28" s="585"/>
      <c r="C28" s="586"/>
      <c r="D28" s="1171">
        <f>IF(C27="Mousse à ras + Guillotines verticales","Hauteur mousse à ras",0)</f>
        <v>0</v>
      </c>
      <c r="E28" s="1172"/>
      <c r="F28" s="579"/>
      <c r="G28" s="559"/>
      <c r="H28" s="559"/>
      <c r="I28" s="559"/>
      <c r="J28" s="559"/>
      <c r="K28" s="559"/>
      <c r="L28" s="559"/>
      <c r="M28" s="559"/>
      <c r="N28" s="559"/>
      <c r="O28" s="559"/>
      <c r="P28" s="559"/>
      <c r="Q28" s="559"/>
      <c r="R28" s="559"/>
      <c r="S28" s="559"/>
      <c r="T28" s="559"/>
      <c r="U28" s="559"/>
      <c r="V28" s="559"/>
      <c r="W28" s="559"/>
      <c r="X28" s="559"/>
      <c r="Y28" s="559"/>
      <c r="Z28" s="559"/>
      <c r="AA28" s="559"/>
      <c r="AB28" s="559"/>
      <c r="AC28" s="559"/>
      <c r="AD28" s="559"/>
      <c r="AE28" s="559"/>
      <c r="AF28" s="559"/>
      <c r="AG28" s="559"/>
    </row>
    <row r="29" spans="1:33" ht="18" customHeight="1" x14ac:dyDescent="0.35">
      <c r="A29" s="559"/>
      <c r="B29" s="587" t="s">
        <v>306</v>
      </c>
      <c r="C29" s="588" t="s">
        <v>16</v>
      </c>
      <c r="D29" s="590"/>
      <c r="E29" s="589"/>
      <c r="F29" s="589"/>
      <c r="G29" s="589"/>
      <c r="H29" s="559"/>
      <c r="I29" s="559"/>
      <c r="J29" s="559"/>
      <c r="K29" s="559"/>
      <c r="L29" s="559"/>
      <c r="M29" s="559"/>
      <c r="N29" s="559"/>
      <c r="O29" s="559"/>
      <c r="P29" s="559"/>
      <c r="Q29" s="559"/>
      <c r="R29" s="559"/>
      <c r="S29" s="559"/>
      <c r="T29" s="559"/>
      <c r="U29" s="559"/>
      <c r="V29" s="559"/>
      <c r="W29" s="559"/>
      <c r="X29" s="559"/>
      <c r="Y29" s="559"/>
      <c r="Z29" s="559"/>
      <c r="AA29" s="559"/>
      <c r="AB29" s="559"/>
      <c r="AC29" s="559"/>
      <c r="AD29" s="559"/>
      <c r="AE29" s="559"/>
      <c r="AF29" s="559"/>
      <c r="AG29" s="559"/>
    </row>
    <row r="30" spans="1:33" ht="18" customHeight="1" x14ac:dyDescent="0.35">
      <c r="A30" s="559"/>
      <c r="B30" s="587" t="s">
        <v>308</v>
      </c>
      <c r="C30" s="588" t="s">
        <v>16</v>
      </c>
      <c r="D30" s="590"/>
      <c r="E30" s="591"/>
      <c r="F30" s="592"/>
      <c r="G30" s="589"/>
      <c r="H30" s="559"/>
      <c r="I30" s="559"/>
      <c r="J30" s="559"/>
      <c r="K30" s="559"/>
      <c r="L30" s="559"/>
      <c r="M30" s="559"/>
      <c r="N30" s="559"/>
      <c r="O30" s="559"/>
      <c r="P30" s="559"/>
      <c r="Q30" s="559"/>
      <c r="R30" s="559"/>
      <c r="S30" s="559"/>
      <c r="T30" s="559"/>
      <c r="U30" s="559"/>
      <c r="V30" s="559"/>
      <c r="W30" s="559"/>
      <c r="X30" s="559"/>
      <c r="Y30" s="559"/>
      <c r="Z30" s="559"/>
      <c r="AA30" s="559"/>
      <c r="AB30" s="559"/>
      <c r="AC30" s="559"/>
      <c r="AD30" s="559"/>
      <c r="AE30" s="559"/>
      <c r="AF30" s="559"/>
      <c r="AG30" s="559"/>
    </row>
    <row r="31" spans="1:33" ht="18" customHeight="1" x14ac:dyDescent="0.35">
      <c r="A31" s="559"/>
      <c r="B31" s="573"/>
      <c r="C31" s="593"/>
      <c r="D31" s="571"/>
      <c r="E31" s="594"/>
      <c r="F31" s="595"/>
      <c r="G31" s="559"/>
      <c r="H31" s="559"/>
      <c r="I31" s="559"/>
      <c r="J31" s="559"/>
      <c r="K31" s="559"/>
      <c r="L31" s="559"/>
      <c r="M31" s="559"/>
      <c r="N31" s="559"/>
      <c r="O31" s="559"/>
      <c r="P31" s="559"/>
      <c r="Q31" s="559"/>
      <c r="R31" s="559"/>
      <c r="S31" s="559"/>
      <c r="T31" s="559"/>
      <c r="U31" s="559"/>
      <c r="V31" s="559"/>
      <c r="W31" s="559"/>
      <c r="X31" s="559"/>
      <c r="Y31" s="559"/>
      <c r="Z31" s="559"/>
      <c r="AA31" s="559"/>
      <c r="AB31" s="559"/>
      <c r="AC31" s="559"/>
      <c r="AD31" s="559"/>
      <c r="AE31" s="559"/>
      <c r="AF31" s="559"/>
      <c r="AG31" s="559"/>
    </row>
    <row r="32" spans="1:33" ht="18" customHeight="1" x14ac:dyDescent="0.35">
      <c r="A32" s="559"/>
      <c r="B32" s="559"/>
      <c r="C32" s="559"/>
      <c r="D32" s="559"/>
      <c r="E32" s="559"/>
      <c r="F32" s="559"/>
      <c r="G32" s="559"/>
      <c r="H32" s="559"/>
      <c r="I32" s="559"/>
      <c r="J32" s="559"/>
      <c r="K32" s="559"/>
      <c r="L32" s="559"/>
      <c r="M32" s="559"/>
      <c r="N32" s="559"/>
      <c r="O32" s="559"/>
      <c r="P32" s="559"/>
      <c r="Q32" s="559"/>
      <c r="R32" s="559"/>
      <c r="S32" s="559"/>
      <c r="T32" s="559"/>
      <c r="U32" s="559"/>
      <c r="V32" s="559"/>
      <c r="W32" s="559"/>
      <c r="X32" s="559"/>
      <c r="Y32" s="559"/>
      <c r="Z32" s="559"/>
      <c r="AA32" s="559"/>
      <c r="AB32" s="559"/>
      <c r="AC32" s="559"/>
      <c r="AD32" s="559"/>
      <c r="AE32" s="559"/>
      <c r="AF32" s="559"/>
      <c r="AG32" s="559"/>
    </row>
    <row r="33" spans="1:33" ht="18" customHeight="1" x14ac:dyDescent="0.35">
      <c r="A33" s="559"/>
      <c r="B33" s="606" t="s">
        <v>42</v>
      </c>
      <c r="C33" s="607">
        <f>C25+VLOOKUP($C$27,$A$101:$T$105,2)</f>
        <v>0</v>
      </c>
      <c r="D33" s="607">
        <f>D25+VLOOKUP($C$27,$A$101:$T$105,3)</f>
        <v>0</v>
      </c>
      <c r="E33" s="608">
        <f>E25+VLOOKUP($C$27,$A$101:$T$105,4)+VLOOKUP('Claire-Voie'!Plateau,A140:C146,2)+VLOOKUP('Claire-Voie'!Base,A149:C161,3)</f>
        <v>0</v>
      </c>
      <c r="F33" s="559"/>
      <c r="G33" s="559"/>
      <c r="H33" s="559"/>
      <c r="I33" s="559"/>
      <c r="J33" s="559"/>
      <c r="K33" s="559"/>
      <c r="L33" s="559"/>
      <c r="M33" s="559"/>
      <c r="N33" s="559"/>
      <c r="O33" s="559"/>
      <c r="P33" s="559"/>
      <c r="Q33" s="559"/>
      <c r="R33" s="559"/>
      <c r="S33" s="559"/>
      <c r="T33" s="559"/>
      <c r="U33" s="559"/>
      <c r="V33" s="559"/>
      <c r="W33" s="559"/>
      <c r="X33" s="559"/>
      <c r="Y33" s="559"/>
      <c r="Z33" s="559"/>
      <c r="AA33" s="559"/>
      <c r="AB33" s="559"/>
      <c r="AC33" s="559"/>
      <c r="AD33" s="559"/>
      <c r="AE33" s="559"/>
      <c r="AF33" s="559"/>
      <c r="AG33" s="559"/>
    </row>
    <row r="34" spans="1:33" ht="18" customHeight="1" x14ac:dyDescent="0.35">
      <c r="A34" s="559"/>
      <c r="B34" s="573"/>
      <c r="C34" s="573"/>
      <c r="D34" s="573"/>
      <c r="E34" s="573"/>
      <c r="F34" s="559"/>
      <c r="G34" s="609" t="s">
        <v>256</v>
      </c>
      <c r="H34" s="610"/>
      <c r="I34" s="559"/>
      <c r="J34" s="559"/>
      <c r="K34" s="559"/>
      <c r="L34" s="559"/>
      <c r="M34" s="559"/>
      <c r="N34" s="559"/>
      <c r="O34" s="559"/>
      <c r="P34" s="559"/>
      <c r="Q34" s="559"/>
      <c r="R34" s="559"/>
      <c r="S34" s="559"/>
      <c r="T34" s="559"/>
      <c r="U34" s="559"/>
      <c r="V34" s="559"/>
      <c r="W34" s="559"/>
      <c r="X34" s="559"/>
      <c r="Y34" s="559"/>
      <c r="Z34" s="559"/>
      <c r="AA34" s="559"/>
      <c r="AB34" s="559"/>
      <c r="AC34" s="559"/>
      <c r="AD34" s="559"/>
      <c r="AE34" s="559"/>
      <c r="AF34" s="559"/>
      <c r="AG34" s="559"/>
    </row>
    <row r="35" spans="1:33" ht="18" customHeight="1" x14ac:dyDescent="0.35">
      <c r="A35" s="559"/>
      <c r="B35" s="606" t="s">
        <v>44</v>
      </c>
      <c r="C35" s="611">
        <f t="shared" ref="C35:D35" si="0">C33+8.4</f>
        <v>8.4</v>
      </c>
      <c r="D35" s="611">
        <f t="shared" si="0"/>
        <v>8.4</v>
      </c>
      <c r="E35" s="612">
        <f>E33+1.5+4.2+2.1+VLOOKUP(F21,A119:B121,2)</f>
        <v>17.8</v>
      </c>
      <c r="F35" s="559"/>
      <c r="G35" s="613">
        <f>C89</f>
        <v>0</v>
      </c>
      <c r="H35" s="614"/>
      <c r="I35" s="559"/>
      <c r="J35" s="559"/>
      <c r="K35" s="559"/>
      <c r="L35" s="559"/>
      <c r="M35" s="559"/>
      <c r="N35" s="559"/>
      <c r="O35" s="559"/>
      <c r="P35" s="559"/>
      <c r="Q35" s="559"/>
      <c r="R35" s="559"/>
      <c r="S35" s="559"/>
      <c r="T35" s="559"/>
      <c r="U35" s="559"/>
      <c r="V35" s="559"/>
      <c r="W35" s="559"/>
      <c r="X35" s="559"/>
      <c r="Y35" s="559"/>
      <c r="Z35" s="559"/>
      <c r="AA35" s="559"/>
      <c r="AB35" s="559"/>
      <c r="AC35" s="559"/>
      <c r="AD35" s="559"/>
      <c r="AE35" s="559"/>
      <c r="AF35" s="559"/>
      <c r="AG35" s="559"/>
    </row>
    <row r="36" spans="1:33" ht="18" customHeight="1" x14ac:dyDescent="0.35">
      <c r="A36" s="559"/>
      <c r="B36" s="573"/>
      <c r="C36" s="573"/>
      <c r="D36" s="573"/>
      <c r="E36" s="573"/>
      <c r="F36" s="559"/>
      <c r="G36" s="559"/>
      <c r="H36" s="559"/>
      <c r="I36" s="559"/>
      <c r="J36" s="559"/>
      <c r="K36" s="559"/>
      <c r="L36" s="559"/>
      <c r="M36" s="559"/>
      <c r="N36" s="559"/>
      <c r="O36" s="559"/>
      <c r="P36" s="559"/>
      <c r="Q36" s="559"/>
      <c r="R36" s="559"/>
      <c r="S36" s="559"/>
      <c r="T36" s="559"/>
      <c r="U36" s="559"/>
      <c r="V36" s="559"/>
      <c r="W36" s="559"/>
      <c r="X36" s="559"/>
      <c r="Y36" s="559"/>
      <c r="Z36" s="559"/>
      <c r="AA36" s="559"/>
      <c r="AB36" s="559"/>
      <c r="AC36" s="559"/>
      <c r="AD36" s="559"/>
      <c r="AE36" s="559"/>
      <c r="AF36" s="559"/>
      <c r="AG36" s="559"/>
    </row>
    <row r="37" spans="1:33" ht="18" customHeight="1" x14ac:dyDescent="0.35">
      <c r="A37" s="559"/>
      <c r="B37" s="615" t="s">
        <v>45</v>
      </c>
      <c r="C37" s="616">
        <f>Q81</f>
        <v>0</v>
      </c>
      <c r="D37" s="608" t="s">
        <v>46</v>
      </c>
      <c r="E37" s="573"/>
      <c r="F37" s="559"/>
      <c r="G37" s="559"/>
      <c r="H37" s="559"/>
      <c r="I37" s="559"/>
      <c r="J37" s="559"/>
      <c r="K37" s="559"/>
      <c r="L37" s="559"/>
      <c r="M37" s="559"/>
      <c r="N37" s="559"/>
      <c r="O37" s="559"/>
      <c r="P37" s="559"/>
      <c r="Q37" s="559"/>
      <c r="R37" s="559"/>
      <c r="S37" s="559"/>
      <c r="T37" s="559"/>
      <c r="U37" s="559"/>
      <c r="V37" s="559"/>
      <c r="W37" s="559"/>
      <c r="X37" s="559"/>
      <c r="Y37" s="559"/>
      <c r="Z37" s="559"/>
      <c r="AA37" s="559"/>
      <c r="AB37" s="559"/>
      <c r="AC37" s="559"/>
      <c r="AD37" s="559"/>
      <c r="AE37" s="559"/>
      <c r="AF37" s="559"/>
      <c r="AG37" s="559"/>
    </row>
    <row r="38" spans="1:33" ht="18" hidden="1" customHeight="1" x14ac:dyDescent="0.35">
      <c r="A38" s="559"/>
      <c r="B38" s="617" t="s">
        <v>48</v>
      </c>
      <c r="C38" s="618">
        <f>D83</f>
        <v>0</v>
      </c>
      <c r="D38" s="619" t="s">
        <v>49</v>
      </c>
      <c r="E38" s="573"/>
      <c r="F38" s="559"/>
      <c r="G38" s="559"/>
      <c r="H38" s="559"/>
      <c r="I38" s="559"/>
      <c r="J38" s="559"/>
      <c r="K38" s="559"/>
      <c r="L38" s="559"/>
      <c r="M38" s="559"/>
      <c r="N38" s="559"/>
      <c r="O38" s="559"/>
      <c r="P38" s="559"/>
      <c r="Q38" s="559"/>
      <c r="R38" s="559"/>
      <c r="S38" s="559"/>
      <c r="T38" s="559"/>
      <c r="U38" s="559"/>
      <c r="V38" s="559"/>
      <c r="W38" s="559"/>
      <c r="X38" s="559"/>
      <c r="Y38" s="559"/>
      <c r="Z38" s="559"/>
      <c r="AA38" s="559"/>
      <c r="AB38" s="559"/>
      <c r="AC38" s="559"/>
      <c r="AD38" s="559"/>
      <c r="AE38" s="559"/>
      <c r="AF38" s="559"/>
      <c r="AG38" s="559"/>
    </row>
    <row r="39" spans="1:33" ht="18" hidden="1" customHeight="1" x14ac:dyDescent="0.35">
      <c r="A39" s="559"/>
      <c r="B39" s="559"/>
      <c r="C39" s="614"/>
      <c r="D39" s="559"/>
      <c r="E39" s="559"/>
      <c r="F39" s="559"/>
      <c r="G39" s="559"/>
      <c r="H39" s="559"/>
      <c r="I39" s="559"/>
      <c r="J39" s="559"/>
      <c r="K39" s="559"/>
      <c r="L39" s="559"/>
      <c r="M39" s="559"/>
      <c r="N39" s="559"/>
      <c r="O39" s="559"/>
      <c r="P39" s="559"/>
      <c r="Q39" s="559"/>
      <c r="R39" s="559"/>
      <c r="S39" s="559"/>
      <c r="T39" s="559"/>
      <c r="U39" s="559"/>
      <c r="V39" s="559"/>
      <c r="W39" s="559"/>
      <c r="X39" s="559"/>
      <c r="Y39" s="559"/>
      <c r="Z39" s="559"/>
      <c r="AA39" s="559"/>
      <c r="AB39" s="559"/>
      <c r="AC39" s="559"/>
      <c r="AD39" s="559"/>
      <c r="AE39" s="559"/>
      <c r="AF39" s="559"/>
      <c r="AG39" s="559"/>
    </row>
    <row r="40" spans="1:33" ht="18" hidden="1" customHeight="1" x14ac:dyDescent="0.35">
      <c r="A40" s="559"/>
      <c r="B40" s="559"/>
      <c r="C40" s="559"/>
      <c r="D40" s="559"/>
      <c r="E40" s="559"/>
      <c r="F40" s="559" t="s">
        <v>34</v>
      </c>
      <c r="G40" s="559"/>
      <c r="H40" s="559"/>
      <c r="I40" s="559"/>
      <c r="J40" s="559"/>
      <c r="K40" s="559"/>
      <c r="L40" s="559"/>
      <c r="M40" s="559"/>
      <c r="N40" s="559"/>
      <c r="O40" s="559"/>
      <c r="P40" s="559"/>
      <c r="Q40" s="559" t="s">
        <v>157</v>
      </c>
      <c r="R40" s="559"/>
      <c r="S40" s="559"/>
      <c r="T40" s="559"/>
      <c r="U40" s="559"/>
      <c r="V40" s="559"/>
      <c r="W40" s="559"/>
      <c r="X40" s="559"/>
      <c r="Y40" s="559"/>
      <c r="Z40" s="559"/>
      <c r="AA40" s="559"/>
      <c r="AB40" s="559"/>
      <c r="AC40" s="559"/>
      <c r="AD40" s="559"/>
      <c r="AE40" s="559"/>
      <c r="AF40" s="559"/>
      <c r="AG40" s="559"/>
    </row>
    <row r="41" spans="1:33" ht="18" hidden="1" customHeight="1" x14ac:dyDescent="0.35">
      <c r="A41" s="620" t="s">
        <v>53</v>
      </c>
      <c r="B41" s="621" t="str">
        <f>C13</f>
        <v>Barres 21 R4F</v>
      </c>
      <c r="C41" s="621">
        <v>9.4</v>
      </c>
      <c r="D41" s="621">
        <f>E33+3.6</f>
        <v>3.6</v>
      </c>
      <c r="E41" s="622" t="str">
        <f t="shared" ref="E41:E44" si="1">B41</f>
        <v>Barres 21 R4F</v>
      </c>
      <c r="F41" s="623">
        <f>ROUNDUP(H41+1,0)*2</f>
        <v>4</v>
      </c>
      <c r="G41" s="559"/>
      <c r="H41" s="559">
        <f>((C25+4.2)/20)/2</f>
        <v>0.10500000000000001</v>
      </c>
      <c r="I41" s="559"/>
      <c r="J41" s="624">
        <f t="shared" ref="J41:J44" si="2">IF(C41=0,0,(C41/100)*(D41/100)*F41)</f>
        <v>1.3536000000000001E-2</v>
      </c>
      <c r="K41" s="624">
        <f t="shared" ref="K41:K44" si="3">J41/0.8</f>
        <v>1.6920000000000001E-2</v>
      </c>
      <c r="L41" s="625" t="s">
        <v>663</v>
      </c>
      <c r="M41" s="625" t="e">
        <f t="shared" ref="M41:M44" si="4">L41*K41-IF($F$15="Non",K41*0.75,0)</f>
        <v>#VALUE!</v>
      </c>
      <c r="N41" s="626">
        <f t="shared" ref="N41:N42" si="5">IF(J41=0,0,1+(11*J41))</f>
        <v>1.1488959999999999</v>
      </c>
      <c r="O41" s="625">
        <f t="shared" ref="O41:O44" si="6">N41*'Claire-Voie'!MinuteMO</f>
        <v>0.97656159999999992</v>
      </c>
      <c r="P41" s="559"/>
      <c r="Q41" s="627" t="s">
        <v>663</v>
      </c>
      <c r="R41" s="559"/>
      <c r="S41" s="559"/>
      <c r="T41" s="559"/>
      <c r="U41" s="559"/>
      <c r="V41" s="559"/>
      <c r="W41" s="559"/>
      <c r="X41" s="559"/>
      <c r="Y41" s="559"/>
      <c r="Z41" s="559"/>
      <c r="AA41" s="559"/>
      <c r="AB41" s="559"/>
      <c r="AC41" s="559"/>
      <c r="AD41" s="559"/>
      <c r="AE41" s="559"/>
      <c r="AF41" s="559"/>
      <c r="AG41" s="559"/>
    </row>
    <row r="42" spans="1:33" ht="18" hidden="1" customHeight="1" x14ac:dyDescent="0.35">
      <c r="A42" s="620" t="s">
        <v>175</v>
      </c>
      <c r="B42" s="621" t="str">
        <f t="shared" ref="B42:C42" si="7">B41</f>
        <v>Barres 21 R4F</v>
      </c>
      <c r="C42" s="621">
        <f t="shared" si="7"/>
        <v>9.4</v>
      </c>
      <c r="D42" s="621">
        <f>D33+4.2+4.2</f>
        <v>8.4</v>
      </c>
      <c r="E42" s="622" t="str">
        <f t="shared" si="1"/>
        <v>Barres 21 R4F</v>
      </c>
      <c r="F42" s="623">
        <f>F41/2</f>
        <v>2</v>
      </c>
      <c r="G42" s="559"/>
      <c r="H42" s="559"/>
      <c r="I42" s="559"/>
      <c r="J42" s="624">
        <f t="shared" si="2"/>
        <v>1.5792E-2</v>
      </c>
      <c r="K42" s="624">
        <f t="shared" si="3"/>
        <v>1.9740000000000001E-2</v>
      </c>
      <c r="L42" s="625" t="s">
        <v>663</v>
      </c>
      <c r="M42" s="625" t="e">
        <f t="shared" si="4"/>
        <v>#VALUE!</v>
      </c>
      <c r="N42" s="626">
        <f t="shared" si="5"/>
        <v>1.1737120000000001</v>
      </c>
      <c r="O42" s="625">
        <f t="shared" si="6"/>
        <v>0.99765520000000008</v>
      </c>
      <c r="P42" s="559"/>
      <c r="Q42" s="627" t="s">
        <v>663</v>
      </c>
      <c r="R42" s="559"/>
      <c r="S42" s="559"/>
      <c r="T42" s="559"/>
      <c r="U42" s="559"/>
      <c r="V42" s="559"/>
      <c r="W42" s="559"/>
      <c r="X42" s="559"/>
      <c r="Y42" s="559"/>
      <c r="Z42" s="559"/>
      <c r="AA42" s="559"/>
      <c r="AB42" s="559"/>
      <c r="AC42" s="559"/>
      <c r="AD42" s="559"/>
      <c r="AE42" s="559"/>
      <c r="AF42" s="559"/>
      <c r="AG42" s="559"/>
    </row>
    <row r="43" spans="1:33" ht="18" hidden="1" customHeight="1" x14ac:dyDescent="0.35">
      <c r="A43" s="620" t="s">
        <v>176</v>
      </c>
      <c r="B43" s="621" t="s">
        <v>10</v>
      </c>
      <c r="C43" s="621">
        <f t="shared" ref="C43:D43" si="8">C33</f>
        <v>0</v>
      </c>
      <c r="D43" s="621">
        <f t="shared" si="8"/>
        <v>0</v>
      </c>
      <c r="E43" s="622" t="str">
        <f t="shared" si="1"/>
        <v>Peuplier 15 mm</v>
      </c>
      <c r="F43" s="623">
        <v>1</v>
      </c>
      <c r="G43" s="559"/>
      <c r="H43" s="559"/>
      <c r="I43" s="559"/>
      <c r="J43" s="624">
        <f t="shared" si="2"/>
        <v>0</v>
      </c>
      <c r="K43" s="624">
        <f t="shared" si="3"/>
        <v>0</v>
      </c>
      <c r="L43" s="625" t="s">
        <v>663</v>
      </c>
      <c r="M43" s="625" t="e">
        <f t="shared" si="4"/>
        <v>#VALUE!</v>
      </c>
      <c r="N43" s="626">
        <f>IF(J43=0,0,IF($F$15="Oui",(7.0924*J43)+15,(6.0924*J43)+10))</f>
        <v>0</v>
      </c>
      <c r="O43" s="625">
        <f t="shared" si="6"/>
        <v>0</v>
      </c>
      <c r="P43" s="559"/>
      <c r="Q43" s="627">
        <v>0</v>
      </c>
      <c r="R43" s="559"/>
      <c r="S43" s="559"/>
      <c r="T43" s="559"/>
      <c r="U43" s="559"/>
      <c r="V43" s="559"/>
      <c r="W43" s="559"/>
      <c r="X43" s="559"/>
      <c r="Y43" s="559"/>
      <c r="Z43" s="559"/>
      <c r="AA43" s="559"/>
      <c r="AB43" s="559"/>
      <c r="AC43" s="559"/>
      <c r="AD43" s="559"/>
      <c r="AE43" s="559"/>
      <c r="AF43" s="559"/>
      <c r="AG43" s="559"/>
    </row>
    <row r="44" spans="1:33" ht="18" hidden="1" customHeight="1" x14ac:dyDescent="0.35">
      <c r="A44" s="620" t="s">
        <v>55</v>
      </c>
      <c r="B44" s="621" t="str">
        <f>B42</f>
        <v>Barres 21 R4F</v>
      </c>
      <c r="C44" s="621">
        <v>9.4</v>
      </c>
      <c r="D44" s="621">
        <f>D41</f>
        <v>3.6</v>
      </c>
      <c r="E44" s="622" t="str">
        <f t="shared" si="1"/>
        <v>Barres 21 R4F</v>
      </c>
      <c r="F44" s="623">
        <f>ROUNDUP(H44+1,0)*2</f>
        <v>4</v>
      </c>
      <c r="G44" s="559"/>
      <c r="H44" s="559">
        <f>((D25+4.2)/20)/2</f>
        <v>0.10500000000000001</v>
      </c>
      <c r="I44" s="559"/>
      <c r="J44" s="624">
        <f t="shared" si="2"/>
        <v>1.3536000000000001E-2</v>
      </c>
      <c r="K44" s="624">
        <f t="shared" si="3"/>
        <v>1.6920000000000001E-2</v>
      </c>
      <c r="L44" s="625" t="s">
        <v>663</v>
      </c>
      <c r="M44" s="625" t="e">
        <f t="shared" si="4"/>
        <v>#VALUE!</v>
      </c>
      <c r="N44" s="626">
        <f>IF(J44=0,0,1+(11*J44))</f>
        <v>1.1488959999999999</v>
      </c>
      <c r="O44" s="625">
        <f t="shared" si="6"/>
        <v>0.97656159999999992</v>
      </c>
      <c r="P44" s="559"/>
      <c r="Q44" s="627" t="s">
        <v>663</v>
      </c>
      <c r="R44" s="559"/>
      <c r="S44" s="559"/>
      <c r="T44" s="559"/>
      <c r="U44" s="559"/>
      <c r="V44" s="559"/>
      <c r="W44" s="559"/>
      <c r="X44" s="559"/>
      <c r="Y44" s="559"/>
      <c r="Z44" s="559"/>
      <c r="AA44" s="559"/>
      <c r="AB44" s="559"/>
      <c r="AC44" s="559"/>
      <c r="AD44" s="559"/>
      <c r="AE44" s="559"/>
      <c r="AF44" s="559"/>
      <c r="AG44" s="559"/>
    </row>
    <row r="45" spans="1:33" ht="18" hidden="1" customHeight="1" x14ac:dyDescent="0.35">
      <c r="A45" s="559"/>
      <c r="B45" s="559"/>
      <c r="C45" s="559"/>
      <c r="D45" s="559"/>
      <c r="E45" s="559"/>
      <c r="F45" s="559"/>
      <c r="G45" s="559"/>
      <c r="H45" s="559"/>
      <c r="I45" s="559"/>
      <c r="J45" s="624"/>
      <c r="K45" s="624"/>
      <c r="L45" s="625"/>
      <c r="M45" s="625"/>
      <c r="N45" s="626"/>
      <c r="O45" s="625"/>
      <c r="P45" s="559"/>
      <c r="Q45" s="627">
        <v>0</v>
      </c>
      <c r="R45" s="559"/>
      <c r="S45" s="559"/>
      <c r="T45" s="559"/>
      <c r="U45" s="559"/>
      <c r="V45" s="559"/>
      <c r="W45" s="559"/>
      <c r="X45" s="559"/>
      <c r="Y45" s="559"/>
      <c r="Z45" s="559"/>
      <c r="AA45" s="559"/>
      <c r="AB45" s="559"/>
      <c r="AC45" s="559"/>
      <c r="AD45" s="559"/>
      <c r="AE45" s="559"/>
      <c r="AF45" s="559"/>
      <c r="AG45" s="559"/>
    </row>
    <row r="46" spans="1:33" ht="18" hidden="1" customHeight="1" x14ac:dyDescent="0.35">
      <c r="A46" s="559"/>
      <c r="B46" s="559"/>
      <c r="C46" s="559"/>
      <c r="D46" s="559"/>
      <c r="E46" s="559"/>
      <c r="F46" s="559"/>
      <c r="G46" s="559"/>
      <c r="H46" s="559"/>
      <c r="I46" s="559"/>
      <c r="J46" s="624"/>
      <c r="K46" s="624"/>
      <c r="L46" s="625"/>
      <c r="M46" s="625"/>
      <c r="N46" s="626"/>
      <c r="O46" s="625"/>
      <c r="P46" s="559"/>
      <c r="Q46" s="627">
        <v>0</v>
      </c>
      <c r="R46" s="559"/>
      <c r="S46" s="559"/>
      <c r="T46" s="559"/>
      <c r="U46" s="559"/>
      <c r="V46" s="559"/>
      <c r="W46" s="559"/>
      <c r="X46" s="559"/>
      <c r="Y46" s="559"/>
      <c r="Z46" s="559"/>
      <c r="AA46" s="559"/>
      <c r="AB46" s="559"/>
      <c r="AC46" s="559"/>
      <c r="AD46" s="559"/>
      <c r="AE46" s="559"/>
      <c r="AF46" s="559"/>
      <c r="AG46" s="559"/>
    </row>
    <row r="47" spans="1:33" ht="18" hidden="1" customHeight="1" x14ac:dyDescent="0.35">
      <c r="A47" s="573" t="s">
        <v>11</v>
      </c>
      <c r="B47" s="584" t="s">
        <v>56</v>
      </c>
      <c r="C47" s="621">
        <f>C33+8.4</f>
        <v>8.4</v>
      </c>
      <c r="D47" s="584">
        <f>IF(D41&gt;80,9.4,7)</f>
        <v>7</v>
      </c>
      <c r="E47" s="579" t="str">
        <f>IF($C$15="Pin raboté 4 faces","Barres 21 R4F","Barres 19 mm")</f>
        <v>Barres 21 R4F</v>
      </c>
      <c r="F47" s="584">
        <v>4</v>
      </c>
      <c r="G47" s="559"/>
      <c r="H47" s="559"/>
      <c r="I47" s="559"/>
      <c r="J47" s="624">
        <f>IF(C47=0,0,(C47/100)*(D47/100)*F47)</f>
        <v>2.3520000000000003E-2</v>
      </c>
      <c r="K47" s="624">
        <f>J47/0.8</f>
        <v>2.9400000000000003E-2</v>
      </c>
      <c r="L47" s="625" t="s">
        <v>663</v>
      </c>
      <c r="M47" s="625" t="e">
        <f>L47*K47</f>
        <v>#VALUE!</v>
      </c>
      <c r="N47" s="626">
        <f>IF(J47=0,0,1+(11*J47))</f>
        <v>1.2587200000000001</v>
      </c>
      <c r="O47" s="625">
        <f>N47*'Claire-Voie'!MinuteMO</f>
        <v>1.069912</v>
      </c>
      <c r="P47" s="559"/>
      <c r="Q47" s="627" t="s">
        <v>663</v>
      </c>
      <c r="R47" s="559"/>
      <c r="S47" s="559"/>
      <c r="T47" s="559"/>
      <c r="U47" s="559"/>
      <c r="V47" s="559"/>
      <c r="W47" s="559"/>
      <c r="X47" s="559"/>
      <c r="Y47" s="559"/>
      <c r="Z47" s="559"/>
      <c r="AA47" s="559"/>
      <c r="AB47" s="559"/>
      <c r="AC47" s="559"/>
      <c r="AD47" s="559"/>
      <c r="AE47" s="559"/>
      <c r="AF47" s="559"/>
      <c r="AG47" s="559"/>
    </row>
    <row r="48" spans="1:33" ht="18" hidden="1" customHeight="1" x14ac:dyDescent="0.35">
      <c r="A48" s="559"/>
      <c r="B48" s="584"/>
      <c r="C48" s="584"/>
      <c r="D48" s="584"/>
      <c r="E48" s="579"/>
      <c r="F48" s="584"/>
      <c r="G48" s="559"/>
      <c r="H48" s="559"/>
      <c r="I48" s="559"/>
      <c r="J48" s="624"/>
      <c r="K48" s="624"/>
      <c r="L48" s="625">
        <v>0</v>
      </c>
      <c r="M48" s="625"/>
      <c r="N48" s="626"/>
      <c r="O48" s="625"/>
      <c r="P48" s="559"/>
      <c r="Q48" s="627">
        <v>0</v>
      </c>
      <c r="R48" s="559"/>
      <c r="S48" s="559"/>
      <c r="T48" s="559"/>
      <c r="U48" s="559"/>
      <c r="V48" s="559"/>
      <c r="W48" s="559"/>
      <c r="X48" s="559"/>
      <c r="Y48" s="559"/>
      <c r="Z48" s="559"/>
      <c r="AA48" s="559"/>
      <c r="AB48" s="559"/>
      <c r="AC48" s="559"/>
      <c r="AD48" s="559"/>
      <c r="AE48" s="559"/>
      <c r="AF48" s="559"/>
      <c r="AG48" s="559"/>
    </row>
    <row r="49" spans="1:33" ht="18" hidden="1" customHeight="1" x14ac:dyDescent="0.35">
      <c r="A49" s="559"/>
      <c r="B49" s="584" t="s">
        <v>177</v>
      </c>
      <c r="C49" s="621">
        <f>C47</f>
        <v>8.4</v>
      </c>
      <c r="D49" s="584">
        <f>IF($D$33&lt;80,7,9.4)</f>
        <v>7</v>
      </c>
      <c r="E49" s="579" t="str">
        <f>IF($C$15="Pin raboté 4 faces","Barres 21 R4F","Barres 19 mm")</f>
        <v>Barres 21 R4F</v>
      </c>
      <c r="F49" s="584">
        <f>IF(D49&lt;14.4,2,4)</f>
        <v>2</v>
      </c>
      <c r="G49" s="559"/>
      <c r="H49" s="559"/>
      <c r="I49" s="559"/>
      <c r="J49" s="624">
        <f>IF(C49=0,0,(C49/100)*(D49/100)*F49)</f>
        <v>1.1760000000000001E-2</v>
      </c>
      <c r="K49" s="624">
        <f>J49/0.8</f>
        <v>1.4700000000000001E-2</v>
      </c>
      <c r="L49" s="625" t="s">
        <v>663</v>
      </c>
      <c r="M49" s="625" t="e">
        <f>L49*K49</f>
        <v>#VALUE!</v>
      </c>
      <c r="N49" s="626">
        <f>IF(J49=0,0,1+(11*J49))</f>
        <v>1.1293599999999999</v>
      </c>
      <c r="O49" s="625">
        <f>N49*'Claire-Voie'!MinuteMO</f>
        <v>0.95995599999999992</v>
      </c>
      <c r="P49" s="559"/>
      <c r="Q49" s="627" t="s">
        <v>663</v>
      </c>
      <c r="R49" s="559"/>
      <c r="S49" s="559"/>
      <c r="T49" s="559"/>
      <c r="U49" s="559"/>
      <c r="V49" s="559"/>
      <c r="W49" s="559"/>
      <c r="X49" s="559"/>
      <c r="Y49" s="559"/>
      <c r="Z49" s="559"/>
      <c r="AA49" s="559"/>
      <c r="AB49" s="559"/>
      <c r="AC49" s="559"/>
      <c r="AD49" s="559"/>
      <c r="AE49" s="559"/>
      <c r="AF49" s="559"/>
      <c r="AG49" s="559"/>
    </row>
    <row r="50" spans="1:33" ht="18" hidden="1" customHeight="1" x14ac:dyDescent="0.35">
      <c r="A50" s="559"/>
      <c r="B50" s="584"/>
      <c r="C50" s="621"/>
      <c r="D50" s="584"/>
      <c r="E50" s="579"/>
      <c r="F50" s="584"/>
      <c r="G50" s="559"/>
      <c r="H50" s="559"/>
      <c r="I50" s="559"/>
      <c r="J50" s="624"/>
      <c r="K50" s="624"/>
      <c r="L50" s="625">
        <v>0</v>
      </c>
      <c r="M50" s="625"/>
      <c r="N50" s="626"/>
      <c r="O50" s="625"/>
      <c r="P50" s="559"/>
      <c r="Q50" s="627">
        <v>0</v>
      </c>
      <c r="R50" s="559"/>
      <c r="S50" s="559"/>
      <c r="T50" s="559"/>
      <c r="U50" s="559"/>
      <c r="V50" s="559"/>
      <c r="W50" s="559"/>
      <c r="X50" s="559"/>
      <c r="Y50" s="559"/>
      <c r="Z50" s="559"/>
      <c r="AA50" s="559"/>
      <c r="AB50" s="559"/>
      <c r="AC50" s="559"/>
      <c r="AD50" s="559"/>
      <c r="AE50" s="559"/>
      <c r="AF50" s="559"/>
      <c r="AG50" s="559"/>
    </row>
    <row r="51" spans="1:33" ht="18" hidden="1" customHeight="1" x14ac:dyDescent="0.35">
      <c r="A51" s="559"/>
      <c r="B51" s="584" t="s">
        <v>179</v>
      </c>
      <c r="C51" s="621">
        <f>C33</f>
        <v>0</v>
      </c>
      <c r="D51" s="584">
        <v>7</v>
      </c>
      <c r="E51" s="579" t="str">
        <f t="shared" ref="E51:E52" si="9">IF($C$15="Pin raboté 4 faces","Barres 21 R4F","Barres 19 mm")</f>
        <v>Barres 21 R4F</v>
      </c>
      <c r="F51" s="584">
        <f>IF(D33&gt;70,3,2)</f>
        <v>2</v>
      </c>
      <c r="G51" s="559"/>
      <c r="H51" s="559"/>
      <c r="I51" s="559"/>
      <c r="J51" s="624">
        <f t="shared" ref="J51:J54" si="10">IF(C51=0,0,(C51/100)*(D51/100)*F51)</f>
        <v>0</v>
      </c>
      <c r="K51" s="624">
        <f t="shared" ref="K51:K54" si="11">J51/0.8</f>
        <v>0</v>
      </c>
      <c r="L51" s="625" t="s">
        <v>663</v>
      </c>
      <c r="M51" s="625" t="e">
        <f t="shared" ref="M51:M54" si="12">L51*K51</f>
        <v>#VALUE!</v>
      </c>
      <c r="N51" s="626">
        <f t="shared" ref="N51:N54" si="13">IF(J51=0,0,1+(11*J51))</f>
        <v>0</v>
      </c>
      <c r="O51" s="625">
        <f t="shared" ref="O51:O54" si="14">N51*'Claire-Voie'!MinuteMO</f>
        <v>0</v>
      </c>
      <c r="P51" s="559"/>
      <c r="Q51" s="627">
        <v>0</v>
      </c>
      <c r="R51" s="559"/>
      <c r="S51" s="559"/>
      <c r="T51" s="559"/>
      <c r="U51" s="559"/>
      <c r="V51" s="559"/>
      <c r="W51" s="559"/>
      <c r="X51" s="559"/>
      <c r="Y51" s="559"/>
      <c r="Z51" s="559"/>
      <c r="AA51" s="559"/>
      <c r="AB51" s="559"/>
      <c r="AC51" s="559"/>
      <c r="AD51" s="559"/>
      <c r="AE51" s="559"/>
      <c r="AF51" s="559"/>
      <c r="AG51" s="559"/>
    </row>
    <row r="52" spans="1:33" ht="18" hidden="1" customHeight="1" x14ac:dyDescent="0.35">
      <c r="A52" s="559"/>
      <c r="B52" s="584" t="s">
        <v>180</v>
      </c>
      <c r="C52" s="621">
        <f>(D33-(D51*F51))/(F51-1)</f>
        <v>-14</v>
      </c>
      <c r="D52" s="584">
        <v>7</v>
      </c>
      <c r="E52" s="579" t="str">
        <f t="shared" si="9"/>
        <v>Barres 21 R4F</v>
      </c>
      <c r="F52" s="584">
        <f>IF(F51=2,2,4)</f>
        <v>2</v>
      </c>
      <c r="G52" s="559"/>
      <c r="H52" s="559"/>
      <c r="I52" s="559"/>
      <c r="J52" s="624">
        <f t="shared" si="10"/>
        <v>-1.9600000000000003E-2</v>
      </c>
      <c r="K52" s="624">
        <f t="shared" si="11"/>
        <v>-2.4500000000000001E-2</v>
      </c>
      <c r="L52" s="625" t="s">
        <v>663</v>
      </c>
      <c r="M52" s="625" t="e">
        <f t="shared" si="12"/>
        <v>#VALUE!</v>
      </c>
      <c r="N52" s="626">
        <f t="shared" si="13"/>
        <v>0.78439999999999999</v>
      </c>
      <c r="O52" s="625">
        <f t="shared" si="14"/>
        <v>0.66674</v>
      </c>
      <c r="P52" s="559"/>
      <c r="Q52" s="627" t="s">
        <v>663</v>
      </c>
      <c r="R52" s="559"/>
      <c r="S52" s="559"/>
      <c r="T52" s="559"/>
      <c r="U52" s="559"/>
      <c r="V52" s="559"/>
      <c r="W52" s="559"/>
      <c r="X52" s="559"/>
      <c r="Y52" s="559"/>
      <c r="Z52" s="559"/>
      <c r="AA52" s="559"/>
      <c r="AB52" s="559"/>
      <c r="AC52" s="559"/>
      <c r="AD52" s="559"/>
      <c r="AE52" s="559"/>
      <c r="AF52" s="559"/>
      <c r="AG52" s="559"/>
    </row>
    <row r="53" spans="1:33" ht="18" hidden="1" customHeight="1" x14ac:dyDescent="0.35">
      <c r="A53" s="559"/>
      <c r="B53" s="584" t="str">
        <f>F21</f>
        <v>10 dessous en skis</v>
      </c>
      <c r="C53" s="621">
        <f>IF(B53="10 dessous en skis", (C47-70)/2,IF(B53="10 dessous en semelles",D42,C49-10))</f>
        <v>-30.8</v>
      </c>
      <c r="D53" s="584">
        <f>IF($F$10="BOVIS",9.4,7)</f>
        <v>7</v>
      </c>
      <c r="E53" s="579" t="str">
        <f>IF(B53="skis","Barres 21 R4F","Semelles R4F")</f>
        <v>Semelles R4F</v>
      </c>
      <c r="F53" s="584">
        <f>IF(B53="10 dessous en skis",6,IF(B53="10 dessous en semelles",2,2))</f>
        <v>6</v>
      </c>
      <c r="G53" s="559"/>
      <c r="H53" s="559"/>
      <c r="I53" s="559"/>
      <c r="J53" s="624">
        <f t="shared" si="10"/>
        <v>-0.12936000000000003</v>
      </c>
      <c r="K53" s="624">
        <f t="shared" si="11"/>
        <v>-0.16170000000000004</v>
      </c>
      <c r="L53" s="625" t="s">
        <v>663</v>
      </c>
      <c r="M53" s="625" t="e">
        <f t="shared" si="12"/>
        <v>#VALUE!</v>
      </c>
      <c r="N53" s="626">
        <f t="shared" si="13"/>
        <v>-0.42296000000000022</v>
      </c>
      <c r="O53" s="625">
        <f t="shared" si="14"/>
        <v>-0.35951600000000017</v>
      </c>
      <c r="P53" s="559"/>
      <c r="Q53" s="627" t="s">
        <v>663</v>
      </c>
      <c r="R53" s="559"/>
      <c r="S53" s="559"/>
      <c r="T53" s="559"/>
      <c r="U53" s="559"/>
      <c r="V53" s="559"/>
      <c r="W53" s="559"/>
      <c r="X53" s="559"/>
      <c r="Y53" s="559"/>
      <c r="Z53" s="559"/>
      <c r="AA53" s="559"/>
      <c r="AB53" s="559"/>
      <c r="AC53" s="559"/>
      <c r="AD53" s="559"/>
      <c r="AE53" s="559"/>
      <c r="AF53" s="559"/>
      <c r="AG53" s="559"/>
    </row>
    <row r="54" spans="1:33" ht="18" hidden="1" customHeight="1" x14ac:dyDescent="0.35">
      <c r="A54" s="559"/>
      <c r="B54" s="584" t="s">
        <v>59</v>
      </c>
      <c r="C54" s="621">
        <f>D33+4.2</f>
        <v>4.2</v>
      </c>
      <c r="D54" s="584">
        <f>IF(D33&lt;14.4,0,D47)</f>
        <v>0</v>
      </c>
      <c r="E54" s="579" t="str">
        <f>IF($C$15="Pin raboté 4 faces","Barres 21 R4F","Barres 19 mm")</f>
        <v>Barres 21 R4F</v>
      </c>
      <c r="F54" s="584">
        <f>IF(D33&lt;14.4,0,4)</f>
        <v>0</v>
      </c>
      <c r="G54" s="559"/>
      <c r="H54" s="559"/>
      <c r="I54" s="559"/>
      <c r="J54" s="624">
        <f t="shared" si="10"/>
        <v>0</v>
      </c>
      <c r="K54" s="624">
        <f t="shared" si="11"/>
        <v>0</v>
      </c>
      <c r="L54" s="625" t="s">
        <v>663</v>
      </c>
      <c r="M54" s="625" t="e">
        <f t="shared" si="12"/>
        <v>#VALUE!</v>
      </c>
      <c r="N54" s="626">
        <f t="shared" si="13"/>
        <v>0</v>
      </c>
      <c r="O54" s="625">
        <f t="shared" si="14"/>
        <v>0</v>
      </c>
      <c r="P54" s="559"/>
      <c r="Q54" s="627">
        <v>0</v>
      </c>
      <c r="R54" s="559"/>
      <c r="S54" s="559"/>
      <c r="T54" s="559"/>
      <c r="U54" s="559"/>
      <c r="V54" s="559"/>
      <c r="W54" s="559"/>
      <c r="X54" s="559"/>
      <c r="Y54" s="559"/>
      <c r="Z54" s="559"/>
      <c r="AA54" s="559"/>
      <c r="AB54" s="559"/>
      <c r="AC54" s="559"/>
      <c r="AD54" s="559"/>
      <c r="AE54" s="559"/>
      <c r="AF54" s="559"/>
      <c r="AG54" s="559"/>
    </row>
    <row r="55" spans="1:33" ht="18" hidden="1" customHeight="1" x14ac:dyDescent="0.35">
      <c r="A55" s="559"/>
      <c r="B55" s="584">
        <f>IF(C21="Bois","Poignées Bois",0)</f>
        <v>0</v>
      </c>
      <c r="C55" s="584">
        <f>IF(B55=0,0,D35)</f>
        <v>0</v>
      </c>
      <c r="D55" s="584">
        <f>IF(C55=0,0,7)</f>
        <v>0</v>
      </c>
      <c r="E55" s="579" t="s">
        <v>61</v>
      </c>
      <c r="F55" s="584">
        <f>IF(B55=0,0,2)</f>
        <v>0</v>
      </c>
      <c r="G55" s="559"/>
      <c r="H55" s="559"/>
      <c r="I55" s="559"/>
      <c r="J55" s="624"/>
      <c r="K55" s="624"/>
      <c r="L55" s="625" t="s">
        <v>663</v>
      </c>
      <c r="M55" s="625"/>
      <c r="N55" s="626"/>
      <c r="O55" s="625"/>
      <c r="P55" s="559"/>
      <c r="Q55" s="627">
        <v>0</v>
      </c>
      <c r="R55" s="559"/>
      <c r="S55" s="559"/>
      <c r="T55" s="559"/>
      <c r="U55" s="559"/>
      <c r="V55" s="559"/>
      <c r="W55" s="559"/>
      <c r="X55" s="559"/>
      <c r="Y55" s="559"/>
      <c r="Z55" s="559"/>
      <c r="AA55" s="559"/>
      <c r="AB55" s="559"/>
      <c r="AC55" s="559"/>
      <c r="AD55" s="559"/>
      <c r="AE55" s="559"/>
      <c r="AF55" s="559"/>
      <c r="AG55" s="559"/>
    </row>
    <row r="56" spans="1:33" ht="18" hidden="1" customHeight="1" x14ac:dyDescent="0.35">
      <c r="A56" s="559"/>
      <c r="B56" s="559"/>
      <c r="C56" s="559"/>
      <c r="D56" s="559"/>
      <c r="E56" s="559"/>
      <c r="F56" s="559"/>
      <c r="G56" s="559"/>
      <c r="H56" s="559"/>
      <c r="I56" s="559"/>
      <c r="J56" s="624"/>
      <c r="K56" s="624"/>
      <c r="L56" s="625"/>
      <c r="M56" s="625"/>
      <c r="N56" s="626"/>
      <c r="O56" s="625"/>
      <c r="P56" s="559"/>
      <c r="Q56" s="627">
        <v>0</v>
      </c>
      <c r="R56" s="559"/>
      <c r="S56" s="559"/>
      <c r="T56" s="559"/>
      <c r="U56" s="559"/>
      <c r="V56" s="559"/>
      <c r="W56" s="559"/>
      <c r="X56" s="559"/>
      <c r="Y56" s="559"/>
      <c r="Z56" s="559"/>
      <c r="AA56" s="559"/>
      <c r="AB56" s="559"/>
      <c r="AC56" s="559"/>
      <c r="AD56" s="559"/>
      <c r="AE56" s="559"/>
      <c r="AF56" s="559"/>
      <c r="AG56" s="559"/>
    </row>
    <row r="57" spans="1:33" ht="18" hidden="1" customHeight="1" x14ac:dyDescent="0.35">
      <c r="A57" s="559"/>
      <c r="B57" s="559"/>
      <c r="C57" s="559"/>
      <c r="D57" s="559"/>
      <c r="E57" s="559"/>
      <c r="F57" s="559"/>
      <c r="G57" s="559"/>
      <c r="H57" s="559"/>
      <c r="I57" s="559"/>
      <c r="J57" s="624"/>
      <c r="K57" s="624"/>
      <c r="L57" s="625"/>
      <c r="M57" s="625"/>
      <c r="N57" s="626"/>
      <c r="O57" s="625"/>
      <c r="P57" s="559"/>
      <c r="Q57" s="627">
        <v>0</v>
      </c>
      <c r="R57" s="559"/>
      <c r="S57" s="559"/>
      <c r="T57" s="559"/>
      <c r="U57" s="559"/>
      <c r="V57" s="559"/>
      <c r="W57" s="559"/>
      <c r="X57" s="559"/>
      <c r="Y57" s="559"/>
      <c r="Z57" s="559"/>
      <c r="AA57" s="559"/>
      <c r="AB57" s="559"/>
      <c r="AC57" s="559"/>
      <c r="AD57" s="559"/>
      <c r="AE57" s="559"/>
      <c r="AF57" s="559"/>
      <c r="AG57" s="559"/>
    </row>
    <row r="58" spans="1:33" ht="18" hidden="1" customHeight="1" x14ac:dyDescent="0.35">
      <c r="A58" s="559"/>
      <c r="B58" s="559" t="s">
        <v>467</v>
      </c>
      <c r="C58" s="559">
        <f t="shared" ref="C58:E58" si="15">C33</f>
        <v>0</v>
      </c>
      <c r="D58" s="559">
        <f t="shared" si="15"/>
        <v>0</v>
      </c>
      <c r="E58" s="559">
        <f t="shared" si="15"/>
        <v>0</v>
      </c>
      <c r="F58" s="559"/>
      <c r="G58" s="559"/>
      <c r="H58" s="559"/>
      <c r="I58" s="559"/>
      <c r="J58" s="624"/>
      <c r="K58" s="624"/>
      <c r="L58" s="625"/>
      <c r="M58" s="625"/>
      <c r="N58" s="626"/>
      <c r="O58" s="625"/>
      <c r="P58" s="559"/>
      <c r="Q58" s="627">
        <v>0</v>
      </c>
      <c r="R58" s="559"/>
      <c r="S58" s="559"/>
      <c r="T58" s="559"/>
      <c r="U58" s="559"/>
      <c r="V58" s="559"/>
      <c r="W58" s="559"/>
      <c r="X58" s="559"/>
      <c r="Y58" s="559"/>
      <c r="Z58" s="559"/>
      <c r="AA58" s="559"/>
      <c r="AB58" s="559"/>
      <c r="AC58" s="559"/>
      <c r="AD58" s="559"/>
      <c r="AE58" s="559"/>
      <c r="AF58" s="559"/>
      <c r="AG58" s="559"/>
    </row>
    <row r="59" spans="1:33" ht="18" hidden="1" customHeight="1" x14ac:dyDescent="0.35">
      <c r="A59" s="559"/>
      <c r="B59" s="559"/>
      <c r="C59" s="559"/>
      <c r="D59" s="559"/>
      <c r="E59" s="559"/>
      <c r="F59" s="559"/>
      <c r="G59" s="559"/>
      <c r="H59" s="559"/>
      <c r="I59" s="559"/>
      <c r="J59" s="624"/>
      <c r="K59" s="624"/>
      <c r="L59" s="625"/>
      <c r="M59" s="625"/>
      <c r="N59" s="626"/>
      <c r="O59" s="625"/>
      <c r="P59" s="559"/>
      <c r="Q59" s="627">
        <v>0</v>
      </c>
      <c r="R59" s="559"/>
      <c r="S59" s="559"/>
      <c r="T59" s="559"/>
      <c r="U59" s="559"/>
      <c r="V59" s="559"/>
      <c r="W59" s="559"/>
      <c r="X59" s="559"/>
      <c r="Y59" s="559"/>
      <c r="Z59" s="559"/>
      <c r="AA59" s="559"/>
      <c r="AB59" s="559"/>
      <c r="AC59" s="559"/>
      <c r="AD59" s="559"/>
      <c r="AE59" s="559"/>
      <c r="AF59" s="559"/>
      <c r="AG59" s="559"/>
    </row>
    <row r="60" spans="1:33" ht="18" hidden="1" customHeight="1" x14ac:dyDescent="0.35">
      <c r="A60" s="559"/>
      <c r="B60" s="560" t="s">
        <v>311</v>
      </c>
      <c r="C60" s="559"/>
      <c r="D60" s="559"/>
      <c r="E60" s="559"/>
      <c r="F60" s="559"/>
      <c r="G60" s="559"/>
      <c r="H60" s="559"/>
      <c r="I60" s="559"/>
      <c r="J60" s="624"/>
      <c r="K60" s="624"/>
      <c r="L60" s="625"/>
      <c r="M60" s="625"/>
      <c r="N60" s="626"/>
      <c r="O60" s="625"/>
      <c r="P60" s="559"/>
      <c r="Q60" s="627">
        <v>0</v>
      </c>
      <c r="R60" s="559"/>
      <c r="S60" s="559"/>
      <c r="T60" s="559"/>
      <c r="U60" s="559"/>
      <c r="V60" s="559"/>
      <c r="W60" s="559"/>
      <c r="X60" s="559"/>
      <c r="Y60" s="559"/>
      <c r="Z60" s="559"/>
      <c r="AA60" s="559"/>
      <c r="AB60" s="559"/>
      <c r="AC60" s="559"/>
      <c r="AD60" s="559"/>
      <c r="AE60" s="559"/>
      <c r="AF60" s="559"/>
      <c r="AG60" s="559"/>
    </row>
    <row r="61" spans="1:33" ht="18" hidden="1" customHeight="1" x14ac:dyDescent="0.35">
      <c r="A61" s="559"/>
      <c r="B61" s="629" t="str">
        <f>C27</f>
        <v>Aucun</v>
      </c>
      <c r="C61" s="622"/>
      <c r="D61" s="630" t="s">
        <v>28</v>
      </c>
      <c r="E61" s="630" t="s">
        <v>33</v>
      </c>
      <c r="F61" s="631" t="s">
        <v>34</v>
      </c>
      <c r="G61" s="559"/>
      <c r="H61" s="559"/>
      <c r="I61" s="559"/>
      <c r="J61" s="624"/>
      <c r="K61" s="624"/>
      <c r="L61" s="625"/>
      <c r="M61" s="625"/>
      <c r="N61" s="626"/>
      <c r="O61" s="625"/>
      <c r="P61" s="559"/>
      <c r="Q61" s="627">
        <v>0</v>
      </c>
      <c r="R61" s="559"/>
      <c r="S61" s="559"/>
      <c r="T61" s="559"/>
      <c r="U61" s="559"/>
      <c r="V61" s="559"/>
      <c r="W61" s="559"/>
      <c r="X61" s="559"/>
      <c r="Y61" s="559"/>
      <c r="Z61" s="559"/>
      <c r="AA61" s="559"/>
      <c r="AB61" s="559"/>
      <c r="AC61" s="559"/>
      <c r="AD61" s="559"/>
      <c r="AE61" s="559"/>
      <c r="AF61" s="559"/>
      <c r="AG61" s="559"/>
    </row>
    <row r="62" spans="1:33" ht="18" hidden="1" customHeight="1" x14ac:dyDescent="0.35">
      <c r="A62" s="559"/>
      <c r="B62" s="622" t="s">
        <v>22</v>
      </c>
      <c r="C62" s="584">
        <f>VLOOKUP($B$61,$A$196:$AG$200,2)</f>
        <v>0</v>
      </c>
      <c r="D62" s="631">
        <f>VLOOKUP($B$61,$A$196:$AG$200,3)</f>
        <v>0</v>
      </c>
      <c r="E62" s="631">
        <f>VLOOKUP($B$61,$A$196:$AG$200,4)</f>
        <v>0</v>
      </c>
      <c r="F62" s="631">
        <f>VLOOKUP($B$61,$A$196:$AG$200,5)</f>
        <v>0</v>
      </c>
      <c r="G62" s="559">
        <f t="shared" ref="G62:G64" si="16">IF(D62=0,0,"Barres 21 R4F")</f>
        <v>0</v>
      </c>
      <c r="H62" s="559"/>
      <c r="I62" s="559"/>
      <c r="J62" s="624">
        <f t="shared" ref="J62:J73" si="17">IF(D62=0,0,(D62/100)*(E62/100)*F62)</f>
        <v>0</v>
      </c>
      <c r="K62" s="624">
        <f t="shared" ref="K62:K73" si="18">J62/0.8</f>
        <v>0</v>
      </c>
      <c r="L62" s="625">
        <v>0</v>
      </c>
      <c r="M62" s="625">
        <f t="shared" ref="M62:M73" si="19">L62*K62</f>
        <v>0</v>
      </c>
      <c r="N62" s="626">
        <f t="shared" ref="N62:N64" si="20">IF(J62=0,0,2+(6*J62))</f>
        <v>0</v>
      </c>
      <c r="O62" s="625">
        <f t="shared" ref="O62:O73" si="21">N62*'Claire-Voie'!MinuteMO</f>
        <v>0</v>
      </c>
      <c r="P62" s="559"/>
      <c r="Q62" s="627">
        <v>0</v>
      </c>
      <c r="R62" s="559"/>
      <c r="S62" s="559"/>
      <c r="T62" s="559"/>
      <c r="U62" s="559"/>
      <c r="V62" s="559"/>
      <c r="W62" s="559"/>
      <c r="X62" s="559"/>
      <c r="Y62" s="559"/>
      <c r="Z62" s="559"/>
      <c r="AA62" s="559"/>
      <c r="AB62" s="559"/>
      <c r="AC62" s="559"/>
      <c r="AD62" s="559"/>
      <c r="AE62" s="559"/>
      <c r="AF62" s="559"/>
      <c r="AG62" s="559"/>
    </row>
    <row r="63" spans="1:33" ht="18" hidden="1" customHeight="1" x14ac:dyDescent="0.35">
      <c r="A63" s="559"/>
      <c r="B63" s="622"/>
      <c r="C63" s="584">
        <f>VLOOKUP($B$61,$A$196:$AG$200,6)</f>
        <v>0</v>
      </c>
      <c r="D63" s="631">
        <f>VLOOKUP($B$61,$A$196:$AG$200,7)</f>
        <v>0</v>
      </c>
      <c r="E63" s="631">
        <f>VLOOKUP($B$61,$A$196:$AG$200,8)</f>
        <v>0</v>
      </c>
      <c r="F63" s="631">
        <f>VLOOKUP($B$61,$A$196:$AG$200,9)</f>
        <v>0</v>
      </c>
      <c r="G63" s="559">
        <f t="shared" si="16"/>
        <v>0</v>
      </c>
      <c r="H63" s="559"/>
      <c r="I63" s="559"/>
      <c r="J63" s="624">
        <f t="shared" si="17"/>
        <v>0</v>
      </c>
      <c r="K63" s="624">
        <f t="shared" si="18"/>
        <v>0</v>
      </c>
      <c r="L63" s="625">
        <v>0</v>
      </c>
      <c r="M63" s="625">
        <f t="shared" si="19"/>
        <v>0</v>
      </c>
      <c r="N63" s="626">
        <f t="shared" si="20"/>
        <v>0</v>
      </c>
      <c r="O63" s="625">
        <f t="shared" si="21"/>
        <v>0</v>
      </c>
      <c r="P63" s="559"/>
      <c r="Q63" s="627">
        <v>0</v>
      </c>
      <c r="R63" s="559"/>
      <c r="S63" s="559"/>
      <c r="T63" s="559"/>
      <c r="U63" s="559"/>
      <c r="V63" s="559"/>
      <c r="W63" s="559"/>
      <c r="X63" s="559"/>
      <c r="Y63" s="559"/>
      <c r="Z63" s="559"/>
      <c r="AA63" s="559"/>
      <c r="AB63" s="559"/>
      <c r="AC63" s="559"/>
      <c r="AD63" s="559"/>
      <c r="AE63" s="559"/>
      <c r="AF63" s="559"/>
      <c r="AG63" s="559"/>
    </row>
    <row r="64" spans="1:33" ht="18" hidden="1" customHeight="1" x14ac:dyDescent="0.35">
      <c r="A64" s="559"/>
      <c r="B64" s="622"/>
      <c r="C64" s="584">
        <f>VLOOKUP($B$61,$A$196:$AG$200,10)</f>
        <v>0</v>
      </c>
      <c r="D64" s="631">
        <f>VLOOKUP($B$61,$A$196:$AG$200,11)</f>
        <v>0</v>
      </c>
      <c r="E64" s="631">
        <f>VLOOKUP($B$61,$A$196:$AG$200,12)</f>
        <v>0</v>
      </c>
      <c r="F64" s="631">
        <f>VLOOKUP($B$61,$A$196:$AG$200,13)</f>
        <v>0</v>
      </c>
      <c r="G64" s="559">
        <f t="shared" si="16"/>
        <v>0</v>
      </c>
      <c r="H64" s="559"/>
      <c r="I64" s="559"/>
      <c r="J64" s="624">
        <f t="shared" si="17"/>
        <v>0</v>
      </c>
      <c r="K64" s="624">
        <f t="shared" si="18"/>
        <v>0</v>
      </c>
      <c r="L64" s="625">
        <v>0</v>
      </c>
      <c r="M64" s="625">
        <f t="shared" si="19"/>
        <v>0</v>
      </c>
      <c r="N64" s="626">
        <f t="shared" si="20"/>
        <v>0</v>
      </c>
      <c r="O64" s="625">
        <f t="shared" si="21"/>
        <v>0</v>
      </c>
      <c r="P64" s="559"/>
      <c r="Q64" s="627">
        <v>0</v>
      </c>
      <c r="R64" s="559"/>
      <c r="S64" s="559"/>
      <c r="T64" s="559"/>
      <c r="U64" s="559"/>
      <c r="V64" s="559"/>
      <c r="W64" s="559"/>
      <c r="X64" s="559"/>
      <c r="Y64" s="559"/>
      <c r="Z64" s="559"/>
      <c r="AA64" s="559"/>
      <c r="AB64" s="559"/>
      <c r="AC64" s="559"/>
      <c r="AD64" s="559"/>
      <c r="AE64" s="559"/>
      <c r="AF64" s="559"/>
      <c r="AG64" s="559"/>
    </row>
    <row r="65" spans="1:33" ht="18" hidden="1" customHeight="1" x14ac:dyDescent="0.35">
      <c r="A65" s="559"/>
      <c r="B65" s="622" t="s">
        <v>80</v>
      </c>
      <c r="C65" s="584">
        <f>VLOOKUP($B$61,$A$196:$AG$200,14)</f>
        <v>0</v>
      </c>
      <c r="D65" s="631">
        <f>VLOOKUP($B$61,$A$196:$AG$200,15)</f>
        <v>0</v>
      </c>
      <c r="E65" s="631">
        <f>VLOOKUP($B$61,$A$196:$AG$200,16)</f>
        <v>0</v>
      </c>
      <c r="F65" s="631">
        <f>VLOOKUP($B$61,$A$196:$AG$200,17)</f>
        <v>0</v>
      </c>
      <c r="G65" s="559">
        <f t="shared" ref="G65:G72" si="22">C65</f>
        <v>0</v>
      </c>
      <c r="H65" s="559"/>
      <c r="I65" s="559"/>
      <c r="J65" s="624">
        <f t="shared" si="17"/>
        <v>0</v>
      </c>
      <c r="K65" s="624">
        <f t="shared" si="18"/>
        <v>0</v>
      </c>
      <c r="L65" s="625">
        <v>0</v>
      </c>
      <c r="M65" s="625">
        <f t="shared" si="19"/>
        <v>0</v>
      </c>
      <c r="N65" s="626">
        <f t="shared" ref="N65:N73" si="23">IF(J65=0,0,4.7283*J65+2)</f>
        <v>0</v>
      </c>
      <c r="O65" s="625">
        <f t="shared" si="21"/>
        <v>0</v>
      </c>
      <c r="P65" s="559"/>
      <c r="Q65" s="627">
        <v>0</v>
      </c>
      <c r="R65" s="559"/>
      <c r="S65" s="559"/>
      <c r="T65" s="559"/>
      <c r="U65" s="559"/>
      <c r="V65" s="559"/>
      <c r="W65" s="559"/>
      <c r="X65" s="559"/>
      <c r="Y65" s="559"/>
      <c r="Z65" s="559"/>
      <c r="AA65" s="559"/>
      <c r="AB65" s="559"/>
      <c r="AC65" s="559"/>
      <c r="AD65" s="559"/>
      <c r="AE65" s="559"/>
      <c r="AF65" s="559"/>
      <c r="AG65" s="559"/>
    </row>
    <row r="66" spans="1:33" ht="18" hidden="1" customHeight="1" x14ac:dyDescent="0.35">
      <c r="A66" s="559"/>
      <c r="B66" s="622">
        <f>IF(B61="Mousse à ras + Guillotines verticales","Bandes de Longueur",0)</f>
        <v>0</v>
      </c>
      <c r="C66" s="584">
        <f>VLOOKUP($B$61,$A$196:$AG$200,18)</f>
        <v>0</v>
      </c>
      <c r="D66" s="631">
        <f>VLOOKUP($B$61,$A$196:$AG$200,19)</f>
        <v>0</v>
      </c>
      <c r="E66" s="631">
        <f>VLOOKUP($B$61,$A$196:$AG$200,20)</f>
        <v>0</v>
      </c>
      <c r="F66" s="631">
        <f>VLOOKUP($B$61,$A$196:$AG$200,21)</f>
        <v>0</v>
      </c>
      <c r="G66" s="559">
        <f t="shared" si="22"/>
        <v>0</v>
      </c>
      <c r="H66" s="559"/>
      <c r="I66" s="559"/>
      <c r="J66" s="624">
        <f t="shared" si="17"/>
        <v>0</v>
      </c>
      <c r="K66" s="624">
        <f t="shared" si="18"/>
        <v>0</v>
      </c>
      <c r="L66" s="625">
        <v>0</v>
      </c>
      <c r="M66" s="625">
        <f t="shared" si="19"/>
        <v>0</v>
      </c>
      <c r="N66" s="626">
        <f t="shared" si="23"/>
        <v>0</v>
      </c>
      <c r="O66" s="625">
        <f t="shared" si="21"/>
        <v>0</v>
      </c>
      <c r="P66" s="559"/>
      <c r="Q66" s="627">
        <v>0</v>
      </c>
      <c r="R66" s="559"/>
      <c r="S66" s="559"/>
      <c r="T66" s="559"/>
      <c r="U66" s="559"/>
      <c r="V66" s="559"/>
      <c r="W66" s="559"/>
      <c r="X66" s="559"/>
      <c r="Y66" s="559"/>
      <c r="Z66" s="559"/>
      <c r="AA66" s="559"/>
      <c r="AB66" s="559"/>
      <c r="AC66" s="559"/>
      <c r="AD66" s="559"/>
      <c r="AE66" s="559"/>
      <c r="AF66" s="559"/>
      <c r="AG66" s="559"/>
    </row>
    <row r="67" spans="1:33" ht="18" hidden="1" customHeight="1" x14ac:dyDescent="0.35">
      <c r="A67" s="559"/>
      <c r="B67" s="622">
        <f>IF(B61="Mousse à ras + Guillotines verticales","Bandes de Largeur",0)</f>
        <v>0</v>
      </c>
      <c r="C67" s="584">
        <f>VLOOKUP($B$61,$A$196:$AG$200,28)</f>
        <v>0</v>
      </c>
      <c r="D67" s="631">
        <f>VLOOKUP($B$61,$A$196:$AG$200,29)</f>
        <v>0</v>
      </c>
      <c r="E67" s="631">
        <f>VLOOKUP($B$61,$A$196:$AG$200,30)</f>
        <v>0</v>
      </c>
      <c r="F67" s="631">
        <f>VLOOKUP($B$61,$A$196:$AG$200,31)</f>
        <v>0</v>
      </c>
      <c r="G67" s="559">
        <f t="shared" si="22"/>
        <v>0</v>
      </c>
      <c r="H67" s="559"/>
      <c r="I67" s="559"/>
      <c r="J67" s="624">
        <f t="shared" si="17"/>
        <v>0</v>
      </c>
      <c r="K67" s="624">
        <f t="shared" si="18"/>
        <v>0</v>
      </c>
      <c r="L67" s="625">
        <v>0</v>
      </c>
      <c r="M67" s="625">
        <f t="shared" si="19"/>
        <v>0</v>
      </c>
      <c r="N67" s="626">
        <f t="shared" si="23"/>
        <v>0</v>
      </c>
      <c r="O67" s="625">
        <f t="shared" si="21"/>
        <v>0</v>
      </c>
      <c r="P67" s="559"/>
      <c r="Q67" s="627">
        <v>0</v>
      </c>
      <c r="R67" s="559"/>
      <c r="S67" s="559"/>
      <c r="T67" s="559"/>
      <c r="U67" s="559"/>
      <c r="V67" s="559"/>
      <c r="W67" s="559"/>
      <c r="X67" s="559"/>
      <c r="Y67" s="559"/>
      <c r="Z67" s="559"/>
      <c r="AA67" s="559"/>
      <c r="AB67" s="559"/>
      <c r="AC67" s="559"/>
      <c r="AD67" s="559"/>
      <c r="AE67" s="559"/>
      <c r="AF67" s="559"/>
      <c r="AG67" s="559"/>
    </row>
    <row r="68" spans="1:33" ht="18" hidden="1" customHeight="1" x14ac:dyDescent="0.35">
      <c r="A68" s="559"/>
      <c r="B68" s="584"/>
      <c r="C68" s="584" t="str">
        <f>VLOOKUP($B$61,$A$196:$AG$200,22)</f>
        <v>Aucun</v>
      </c>
      <c r="D68" s="631">
        <f>VLOOKUP($B$61,$A$196:$AG$200,25)</f>
        <v>0</v>
      </c>
      <c r="E68" s="631">
        <f>VLOOKUP($B$61,$A$196:$AG$200,26)</f>
        <v>0</v>
      </c>
      <c r="F68" s="631">
        <f>IF(C68="Aucun",0,1)</f>
        <v>0</v>
      </c>
      <c r="G68" s="559" t="str">
        <f t="shared" si="22"/>
        <v>Aucun</v>
      </c>
      <c r="H68" s="559"/>
      <c r="I68" s="559"/>
      <c r="J68" s="624">
        <f t="shared" si="17"/>
        <v>0</v>
      </c>
      <c r="K68" s="624">
        <f t="shared" si="18"/>
        <v>0</v>
      </c>
      <c r="L68" s="625" t="s">
        <v>663</v>
      </c>
      <c r="M68" s="625" t="e">
        <f t="shared" si="19"/>
        <v>#VALUE!</v>
      </c>
      <c r="N68" s="626">
        <f t="shared" si="23"/>
        <v>0</v>
      </c>
      <c r="O68" s="625">
        <f t="shared" si="21"/>
        <v>0</v>
      </c>
      <c r="P68" s="559"/>
      <c r="Q68" s="627">
        <v>0</v>
      </c>
      <c r="R68" s="559"/>
      <c r="S68" s="559"/>
      <c r="T68" s="559"/>
      <c r="U68" s="559"/>
      <c r="V68" s="559"/>
      <c r="W68" s="559"/>
      <c r="X68" s="559"/>
      <c r="Y68" s="559"/>
      <c r="Z68" s="559"/>
      <c r="AA68" s="559"/>
      <c r="AB68" s="559"/>
      <c r="AC68" s="559"/>
      <c r="AD68" s="559"/>
      <c r="AE68" s="559"/>
      <c r="AF68" s="559"/>
      <c r="AG68" s="559"/>
    </row>
    <row r="69" spans="1:33" ht="18" hidden="1" customHeight="1" x14ac:dyDescent="0.35">
      <c r="A69" s="559"/>
      <c r="B69" s="584"/>
      <c r="C69" s="584"/>
      <c r="D69" s="631"/>
      <c r="E69" s="631"/>
      <c r="F69" s="631"/>
      <c r="G69" s="559">
        <f t="shared" si="22"/>
        <v>0</v>
      </c>
      <c r="H69" s="559"/>
      <c r="I69" s="559"/>
      <c r="J69" s="624">
        <f t="shared" si="17"/>
        <v>0</v>
      </c>
      <c r="K69" s="624">
        <f t="shared" si="18"/>
        <v>0</v>
      </c>
      <c r="L69" s="625">
        <v>0</v>
      </c>
      <c r="M69" s="625">
        <f t="shared" si="19"/>
        <v>0</v>
      </c>
      <c r="N69" s="626">
        <f t="shared" si="23"/>
        <v>0</v>
      </c>
      <c r="O69" s="625">
        <f t="shared" si="21"/>
        <v>0</v>
      </c>
      <c r="P69" s="559"/>
      <c r="Q69" s="627">
        <v>0</v>
      </c>
      <c r="R69" s="559"/>
      <c r="S69" s="559"/>
      <c r="T69" s="559"/>
      <c r="U69" s="559"/>
      <c r="V69" s="559"/>
      <c r="W69" s="559"/>
      <c r="X69" s="559"/>
      <c r="Y69" s="559"/>
      <c r="Z69" s="559"/>
      <c r="AA69" s="559"/>
      <c r="AB69" s="559"/>
      <c r="AC69" s="559"/>
      <c r="AD69" s="559"/>
      <c r="AE69" s="559"/>
      <c r="AF69" s="559"/>
      <c r="AG69" s="559"/>
    </row>
    <row r="70" spans="1:33" ht="18" hidden="1" customHeight="1" x14ac:dyDescent="0.35">
      <c r="A70" s="559"/>
      <c r="B70" s="584"/>
      <c r="C70" s="584"/>
      <c r="D70" s="630"/>
      <c r="E70" s="630"/>
      <c r="F70" s="631"/>
      <c r="G70" s="559">
        <f t="shared" si="22"/>
        <v>0</v>
      </c>
      <c r="H70" s="559"/>
      <c r="I70" s="559"/>
      <c r="J70" s="624">
        <f t="shared" si="17"/>
        <v>0</v>
      </c>
      <c r="K70" s="624">
        <f t="shared" si="18"/>
        <v>0</v>
      </c>
      <c r="L70" s="625">
        <v>0</v>
      </c>
      <c r="M70" s="625">
        <f t="shared" si="19"/>
        <v>0</v>
      </c>
      <c r="N70" s="626">
        <f t="shared" si="23"/>
        <v>0</v>
      </c>
      <c r="O70" s="625">
        <f t="shared" si="21"/>
        <v>0</v>
      </c>
      <c r="P70" s="559"/>
      <c r="Q70" s="627">
        <v>0</v>
      </c>
      <c r="R70" s="559"/>
      <c r="S70" s="559"/>
      <c r="T70" s="559"/>
      <c r="U70" s="559"/>
      <c r="V70" s="559"/>
      <c r="W70" s="559"/>
      <c r="X70" s="559"/>
      <c r="Y70" s="559"/>
      <c r="Z70" s="559"/>
      <c r="AA70" s="559"/>
      <c r="AB70" s="559"/>
      <c r="AC70" s="559"/>
      <c r="AD70" s="559"/>
      <c r="AE70" s="559"/>
      <c r="AF70" s="559"/>
      <c r="AG70" s="559"/>
    </row>
    <row r="71" spans="1:33" ht="18" hidden="1" customHeight="1" x14ac:dyDescent="0.35">
      <c r="A71" s="559"/>
      <c r="B71" s="584"/>
      <c r="C71" s="584"/>
      <c r="D71" s="630"/>
      <c r="E71" s="630"/>
      <c r="F71" s="631"/>
      <c r="G71" s="559">
        <f t="shared" si="22"/>
        <v>0</v>
      </c>
      <c r="H71" s="559"/>
      <c r="I71" s="559"/>
      <c r="J71" s="624">
        <f t="shared" si="17"/>
        <v>0</v>
      </c>
      <c r="K71" s="624">
        <f t="shared" si="18"/>
        <v>0</v>
      </c>
      <c r="L71" s="625">
        <v>0</v>
      </c>
      <c r="M71" s="625">
        <f t="shared" si="19"/>
        <v>0</v>
      </c>
      <c r="N71" s="626">
        <f t="shared" si="23"/>
        <v>0</v>
      </c>
      <c r="O71" s="625">
        <f t="shared" si="21"/>
        <v>0</v>
      </c>
      <c r="P71" s="559"/>
      <c r="Q71" s="627">
        <v>0</v>
      </c>
      <c r="R71" s="559"/>
      <c r="S71" s="559"/>
      <c r="T71" s="559"/>
      <c r="U71" s="559"/>
      <c r="V71" s="559"/>
      <c r="W71" s="559"/>
      <c r="X71" s="559"/>
      <c r="Y71" s="559"/>
      <c r="Z71" s="559"/>
      <c r="AA71" s="559"/>
      <c r="AB71" s="559"/>
      <c r="AC71" s="559"/>
      <c r="AD71" s="559"/>
      <c r="AE71" s="559"/>
      <c r="AF71" s="559"/>
      <c r="AG71" s="559"/>
    </row>
    <row r="72" spans="1:33" ht="18" hidden="1" customHeight="1" x14ac:dyDescent="0.35">
      <c r="A72" s="559"/>
      <c r="B72" s="584"/>
      <c r="C72" s="584"/>
      <c r="D72" s="630"/>
      <c r="E72" s="630"/>
      <c r="F72" s="631"/>
      <c r="G72" s="559">
        <f t="shared" si="22"/>
        <v>0</v>
      </c>
      <c r="H72" s="559"/>
      <c r="I72" s="559"/>
      <c r="J72" s="624">
        <f t="shared" si="17"/>
        <v>0</v>
      </c>
      <c r="K72" s="624">
        <f t="shared" si="18"/>
        <v>0</v>
      </c>
      <c r="L72" s="625">
        <v>0</v>
      </c>
      <c r="M72" s="625">
        <f t="shared" si="19"/>
        <v>0</v>
      </c>
      <c r="N72" s="626">
        <f t="shared" si="23"/>
        <v>0</v>
      </c>
      <c r="O72" s="625">
        <f t="shared" si="21"/>
        <v>0</v>
      </c>
      <c r="P72" s="559"/>
      <c r="Q72" s="627">
        <v>0</v>
      </c>
      <c r="R72" s="559"/>
      <c r="S72" s="559"/>
      <c r="T72" s="559"/>
      <c r="U72" s="559"/>
      <c r="V72" s="559"/>
      <c r="W72" s="559"/>
      <c r="X72" s="559"/>
      <c r="Y72" s="559"/>
      <c r="Z72" s="559"/>
      <c r="AA72" s="559"/>
      <c r="AB72" s="559"/>
      <c r="AC72" s="559"/>
      <c r="AD72" s="559"/>
      <c r="AE72" s="559"/>
      <c r="AF72" s="559"/>
      <c r="AG72" s="559"/>
    </row>
    <row r="73" spans="1:33" ht="18" hidden="1" customHeight="1" x14ac:dyDescent="0.35">
      <c r="A73" s="559"/>
      <c r="B73" s="579" t="s">
        <v>176</v>
      </c>
      <c r="C73" s="584" t="str">
        <f>'Claire-Voie'!Plateau</f>
        <v>Aucun</v>
      </c>
      <c r="D73" s="630">
        <f>IF($C$98="Aucun",0,IF(C27="Mousse à ras + Guillotines verticales",'Claire-Voie'!Dimensions_intérieures_Cp_15_longueur-10.3,'Claire-Voie'!Dimensions_intérieures_Cp_15_longueur-0.3))</f>
        <v>-0.3</v>
      </c>
      <c r="E73" s="630">
        <f>IF($C$98="Aucun",0,IF(C27="Mousse à ras + Guillotines verticales",'Claire-Voie'!Dimensions_intérieures_Cp_15_largeur-10.3,'Claire-Voie'!Dimensions_intérieures_Cp_15_largeur-0.3))</f>
        <v>-0.3</v>
      </c>
      <c r="F73" s="631">
        <f>IF(C73="Aucun",0,1)</f>
        <v>0</v>
      </c>
      <c r="G73" s="559"/>
      <c r="H73" s="559"/>
      <c r="I73" s="559"/>
      <c r="J73" s="624">
        <f t="shared" si="17"/>
        <v>0</v>
      </c>
      <c r="K73" s="624">
        <f t="shared" si="18"/>
        <v>0</v>
      </c>
      <c r="L73" s="625">
        <v>0</v>
      </c>
      <c r="M73" s="625">
        <f t="shared" si="19"/>
        <v>0</v>
      </c>
      <c r="N73" s="626">
        <f t="shared" si="23"/>
        <v>0</v>
      </c>
      <c r="O73" s="625">
        <f t="shared" si="21"/>
        <v>0</v>
      </c>
      <c r="P73" s="559"/>
      <c r="Q73" s="627">
        <v>0</v>
      </c>
      <c r="R73" s="559"/>
      <c r="S73" s="559"/>
      <c r="T73" s="559"/>
      <c r="U73" s="559"/>
      <c r="V73" s="559"/>
      <c r="W73" s="559"/>
      <c r="X73" s="559"/>
      <c r="Y73" s="559"/>
      <c r="Z73" s="559"/>
      <c r="AA73" s="559"/>
      <c r="AB73" s="559"/>
      <c r="AC73" s="559"/>
      <c r="AD73" s="559"/>
      <c r="AE73" s="559"/>
      <c r="AF73" s="559"/>
      <c r="AG73" s="559"/>
    </row>
    <row r="74" spans="1:33" ht="18" hidden="1" customHeight="1" x14ac:dyDescent="0.35">
      <c r="A74" s="559"/>
      <c r="B74" s="559"/>
      <c r="C74" s="632"/>
      <c r="D74" s="632"/>
      <c r="E74" s="632"/>
      <c r="F74" s="559"/>
      <c r="G74" s="559"/>
      <c r="H74" s="559"/>
      <c r="I74" s="559"/>
      <c r="J74" s="624"/>
      <c r="K74" s="624"/>
      <c r="L74" s="625">
        <v>0</v>
      </c>
      <c r="M74" s="625"/>
      <c r="N74" s="626"/>
      <c r="O74" s="625"/>
      <c r="P74" s="559"/>
      <c r="Q74" s="627">
        <v>0</v>
      </c>
      <c r="R74" s="559"/>
      <c r="S74" s="559"/>
      <c r="T74" s="559"/>
      <c r="U74" s="559"/>
      <c r="V74" s="559"/>
      <c r="W74" s="559"/>
      <c r="X74" s="559"/>
      <c r="Y74" s="559"/>
      <c r="Z74" s="559"/>
      <c r="AA74" s="559"/>
      <c r="AB74" s="559"/>
      <c r="AC74" s="559"/>
      <c r="AD74" s="559"/>
      <c r="AE74" s="559"/>
      <c r="AF74" s="559"/>
      <c r="AG74" s="559"/>
    </row>
    <row r="75" spans="1:33" ht="18" hidden="1" customHeight="1" x14ac:dyDescent="0.35">
      <c r="A75" s="559"/>
      <c r="B75" s="559"/>
      <c r="C75" s="632"/>
      <c r="D75" s="632"/>
      <c r="E75" s="632"/>
      <c r="F75" s="559"/>
      <c r="G75" s="559"/>
      <c r="H75" s="559"/>
      <c r="I75" s="559"/>
      <c r="J75" s="559"/>
      <c r="K75" s="559"/>
      <c r="L75" s="625"/>
      <c r="M75" s="625"/>
      <c r="N75" s="626"/>
      <c r="O75" s="625"/>
      <c r="P75" s="559"/>
      <c r="Q75" s="627">
        <v>0</v>
      </c>
      <c r="R75" s="559"/>
      <c r="S75" s="559"/>
      <c r="T75" s="559"/>
      <c r="U75" s="559"/>
      <c r="V75" s="559"/>
      <c r="W75" s="559"/>
      <c r="X75" s="559"/>
      <c r="Y75" s="559"/>
      <c r="Z75" s="559"/>
      <c r="AA75" s="559"/>
      <c r="AB75" s="559"/>
      <c r="AC75" s="559"/>
      <c r="AD75" s="559"/>
      <c r="AE75" s="559"/>
      <c r="AF75" s="559"/>
      <c r="AG75" s="559"/>
    </row>
    <row r="76" spans="1:33" ht="18" hidden="1" customHeight="1" x14ac:dyDescent="0.35">
      <c r="A76" s="559"/>
      <c r="B76" s="559"/>
      <c r="C76" s="559"/>
      <c r="D76" s="559"/>
      <c r="E76" s="559"/>
      <c r="F76" s="559"/>
      <c r="G76" s="559"/>
      <c r="H76" s="559"/>
      <c r="I76" s="559"/>
      <c r="J76" s="559"/>
      <c r="K76" s="559"/>
      <c r="L76" s="559"/>
      <c r="M76" s="559"/>
      <c r="N76" s="626"/>
      <c r="O76" s="559"/>
      <c r="P76" s="559"/>
      <c r="Q76" s="627">
        <v>0</v>
      </c>
      <c r="R76" s="559"/>
      <c r="S76" s="559"/>
      <c r="T76" s="559"/>
      <c r="U76" s="559"/>
      <c r="V76" s="559"/>
      <c r="W76" s="559"/>
      <c r="X76" s="559"/>
      <c r="Y76" s="559"/>
      <c r="Z76" s="559"/>
      <c r="AA76" s="559"/>
      <c r="AB76" s="559"/>
      <c r="AC76" s="559"/>
      <c r="AD76" s="559"/>
      <c r="AE76" s="559"/>
      <c r="AF76" s="559"/>
      <c r="AG76" s="559"/>
    </row>
    <row r="77" spans="1:33" ht="18" hidden="1" customHeight="1" x14ac:dyDescent="0.35">
      <c r="A77" s="559"/>
      <c r="B77" s="559"/>
      <c r="C77" s="559"/>
      <c r="D77" s="559"/>
      <c r="E77" s="559"/>
      <c r="F77" s="559"/>
      <c r="G77" s="559"/>
      <c r="H77" s="559"/>
      <c r="I77" s="559"/>
      <c r="J77" s="559"/>
      <c r="K77" s="559"/>
      <c r="L77" s="559"/>
      <c r="M77" s="559"/>
      <c r="N77" s="626"/>
      <c r="O77" s="559"/>
      <c r="P77" s="559"/>
      <c r="Q77" s="627">
        <v>0</v>
      </c>
      <c r="R77" s="559"/>
      <c r="S77" s="559"/>
      <c r="T77" s="559"/>
      <c r="U77" s="559"/>
      <c r="V77" s="559"/>
      <c r="W77" s="559"/>
      <c r="X77" s="559"/>
      <c r="Y77" s="559"/>
      <c r="Z77" s="559"/>
      <c r="AA77" s="559"/>
      <c r="AB77" s="559"/>
      <c r="AC77" s="559"/>
      <c r="AD77" s="559"/>
      <c r="AE77" s="559"/>
      <c r="AF77" s="559"/>
      <c r="AG77" s="559"/>
    </row>
    <row r="78" spans="1:33" ht="18" hidden="1" customHeight="1" x14ac:dyDescent="0.35">
      <c r="A78" s="559" t="s">
        <v>72</v>
      </c>
      <c r="B78" s="559" t="str">
        <f>C19</f>
        <v>Vis bois</v>
      </c>
      <c r="C78" s="559"/>
      <c r="D78" s="559"/>
      <c r="E78" s="559"/>
      <c r="F78" s="559"/>
      <c r="G78" s="559"/>
      <c r="H78" s="559"/>
      <c r="I78" s="559"/>
      <c r="J78" s="559"/>
      <c r="K78" s="559"/>
      <c r="L78" s="559"/>
      <c r="M78" s="625">
        <f>IF(B78="Vis bois",0,(D4*2+G4*2+D6*2+G6*2)*1.5)</f>
        <v>0</v>
      </c>
      <c r="N78" s="626">
        <f>IF(B78="Vis bois",0,60)</f>
        <v>0</v>
      </c>
      <c r="O78" s="625">
        <f>N78*'Claire-Voie'!MinuteMO</f>
        <v>0</v>
      </c>
      <c r="P78" s="559"/>
      <c r="Q78" s="627">
        <f>IF(J78=0,0,J78*VLOOKUP(E78,'[1]Prix Matiere'!A76:L130,12))</f>
        <v>0</v>
      </c>
      <c r="R78" s="559"/>
      <c r="S78" s="559"/>
      <c r="T78" s="559"/>
      <c r="U78" s="559"/>
      <c r="V78" s="559"/>
      <c r="W78" s="559"/>
      <c r="X78" s="559"/>
      <c r="Y78" s="559"/>
      <c r="Z78" s="559"/>
      <c r="AA78" s="559"/>
      <c r="AB78" s="559"/>
      <c r="AC78" s="559"/>
      <c r="AD78" s="559"/>
      <c r="AE78" s="559"/>
      <c r="AF78" s="559"/>
      <c r="AG78" s="559"/>
    </row>
    <row r="79" spans="1:33" ht="18" hidden="1" customHeight="1" x14ac:dyDescent="0.35">
      <c r="A79" s="559" t="s">
        <v>21</v>
      </c>
      <c r="B79" s="559" t="str">
        <f>C21</f>
        <v>Non</v>
      </c>
      <c r="C79" s="559"/>
      <c r="D79" s="559"/>
      <c r="E79" s="559"/>
      <c r="F79" s="559"/>
      <c r="G79" s="559"/>
      <c r="H79" s="559"/>
      <c r="I79" s="559"/>
      <c r="J79" s="559"/>
      <c r="K79" s="559"/>
      <c r="L79" s="559"/>
      <c r="M79" s="625"/>
      <c r="N79" s="626"/>
      <c r="O79" s="625"/>
      <c r="P79" s="559"/>
      <c r="Q79" s="559"/>
      <c r="R79" s="559"/>
      <c r="S79" s="559"/>
      <c r="T79" s="559"/>
      <c r="U79" s="559"/>
      <c r="V79" s="559"/>
      <c r="W79" s="559"/>
      <c r="X79" s="559"/>
      <c r="Y79" s="559"/>
      <c r="Z79" s="559"/>
      <c r="AA79" s="559"/>
      <c r="AB79" s="559"/>
      <c r="AC79" s="559"/>
      <c r="AD79" s="559"/>
      <c r="AE79" s="559"/>
      <c r="AF79" s="559"/>
      <c r="AG79" s="559"/>
    </row>
    <row r="80" spans="1:33" ht="18" hidden="1" customHeight="1" x14ac:dyDescent="0.35">
      <c r="A80" s="559"/>
      <c r="B80" s="559"/>
      <c r="C80" s="559"/>
      <c r="D80" s="559"/>
      <c r="E80" s="559"/>
      <c r="F80" s="559"/>
      <c r="G80" s="559"/>
      <c r="H80" s="559"/>
      <c r="I80" s="559"/>
      <c r="J80" s="559"/>
      <c r="K80" s="559"/>
      <c r="L80" s="559"/>
      <c r="M80" s="559"/>
      <c r="N80" s="626"/>
      <c r="O80" s="559"/>
      <c r="P80" s="559"/>
      <c r="Q80" s="559"/>
      <c r="R80" s="559"/>
      <c r="S80" s="559"/>
      <c r="T80" s="559"/>
      <c r="U80" s="559"/>
      <c r="V80" s="559"/>
      <c r="W80" s="559"/>
      <c r="X80" s="559"/>
      <c r="Y80" s="559"/>
      <c r="Z80" s="559"/>
      <c r="AA80" s="559"/>
      <c r="AB80" s="559"/>
      <c r="AC80" s="559"/>
      <c r="AD80" s="559"/>
      <c r="AE80" s="559"/>
      <c r="AF80" s="559"/>
      <c r="AG80" s="559"/>
    </row>
    <row r="81" spans="1:33" ht="18" hidden="1" customHeight="1" x14ac:dyDescent="0.35">
      <c r="A81" s="559"/>
      <c r="B81" s="559"/>
      <c r="C81" s="559"/>
      <c r="D81" s="559"/>
      <c r="E81" s="559"/>
      <c r="F81" s="559"/>
      <c r="G81" s="559"/>
      <c r="H81" s="559"/>
      <c r="I81" s="559"/>
      <c r="J81" s="559"/>
      <c r="K81" s="559"/>
      <c r="L81" s="614"/>
      <c r="M81" s="614" t="e">
        <f t="shared" ref="M81:O81" si="24">SUM(M41:M80)</f>
        <v>#VALUE!</v>
      </c>
      <c r="N81" s="638">
        <f t="shared" si="24"/>
        <v>6.2210239999999999</v>
      </c>
      <c r="O81" s="614">
        <f t="shared" si="24"/>
        <v>5.2878703999999992</v>
      </c>
      <c r="P81" s="559"/>
      <c r="Q81" s="627">
        <f>SUM(Q41:Q80)</f>
        <v>0</v>
      </c>
      <c r="R81" s="559"/>
      <c r="S81" s="559"/>
      <c r="T81" s="559"/>
      <c r="U81" s="559"/>
      <c r="V81" s="559"/>
      <c r="W81" s="559"/>
      <c r="X81" s="559"/>
      <c r="Y81" s="559"/>
      <c r="Z81" s="559"/>
      <c r="AA81" s="559"/>
      <c r="AB81" s="559"/>
      <c r="AC81" s="559"/>
      <c r="AD81" s="559"/>
      <c r="AE81" s="559"/>
      <c r="AF81" s="559"/>
      <c r="AG81" s="559"/>
    </row>
    <row r="82" spans="1:33" ht="18" hidden="1" customHeight="1" x14ac:dyDescent="0.35">
      <c r="A82" s="559"/>
      <c r="B82" s="639" t="s">
        <v>73</v>
      </c>
      <c r="C82" s="640">
        <f>IF($F$9=0,0,M81)</f>
        <v>0</v>
      </c>
      <c r="D82" s="641"/>
      <c r="E82" s="642" t="s">
        <v>74</v>
      </c>
      <c r="F82" s="643" t="str">
        <f>CONCATENATE(ROUNDUP(SUM(K41:K44),2)," m²")</f>
        <v>0,06 m²</v>
      </c>
      <c r="G82" s="644" t="e">
        <f>(SUM(M41:M44)+M73)</f>
        <v>#VALUE!</v>
      </c>
      <c r="H82" s="559"/>
      <c r="I82" s="559"/>
      <c r="J82" s="559"/>
      <c r="K82" s="559"/>
      <c r="L82" s="559"/>
      <c r="M82" s="559"/>
      <c r="N82" s="559"/>
      <c r="O82" s="559"/>
      <c r="P82" s="559"/>
      <c r="Q82" s="559"/>
      <c r="R82" s="559"/>
      <c r="S82" s="559"/>
      <c r="T82" s="559"/>
      <c r="U82" s="559"/>
      <c r="V82" s="559"/>
      <c r="W82" s="559"/>
      <c r="X82" s="559"/>
      <c r="Y82" s="559"/>
      <c r="Z82" s="559"/>
      <c r="AA82" s="559"/>
      <c r="AB82" s="559"/>
      <c r="AC82" s="559"/>
      <c r="AD82" s="559"/>
      <c r="AE82" s="559"/>
      <c r="AF82" s="559"/>
      <c r="AG82" s="559"/>
    </row>
    <row r="83" spans="1:33" ht="18" hidden="1" customHeight="1" x14ac:dyDescent="0.35">
      <c r="A83" s="559"/>
      <c r="B83" s="645" t="s">
        <v>75</v>
      </c>
      <c r="C83" s="625">
        <f>IF($F$9=0,0,O81)</f>
        <v>0</v>
      </c>
      <c r="D83" s="646">
        <f>IF($F$9=0,0,N81)</f>
        <v>0</v>
      </c>
      <c r="E83" s="647" t="s">
        <v>76</v>
      </c>
      <c r="F83" s="648" t="str">
        <f>CONCATENATE(ROUNDUP(SUM(K47:K55)+SUM(K62:K64),2)," m²")</f>
        <v>-0,15 m²</v>
      </c>
      <c r="G83" s="649" t="e">
        <f>(SUM(M47:M55)+SUM(M62:M64))</f>
        <v>#VALUE!</v>
      </c>
      <c r="H83" s="559"/>
      <c r="I83" s="559"/>
      <c r="J83" s="559"/>
      <c r="K83" s="559"/>
      <c r="L83" s="559"/>
      <c r="M83" s="559"/>
      <c r="N83" s="559"/>
      <c r="O83" s="559"/>
      <c r="P83" s="559"/>
      <c r="Q83" s="559"/>
      <c r="R83" s="559"/>
      <c r="S83" s="559"/>
      <c r="T83" s="559"/>
      <c r="U83" s="559"/>
      <c r="V83" s="559"/>
      <c r="W83" s="559"/>
      <c r="X83" s="559"/>
      <c r="Y83" s="559"/>
      <c r="Z83" s="559"/>
      <c r="AA83" s="559"/>
      <c r="AB83" s="559"/>
      <c r="AC83" s="559"/>
      <c r="AD83" s="559"/>
      <c r="AE83" s="559"/>
      <c r="AF83" s="559"/>
      <c r="AG83" s="559"/>
    </row>
    <row r="84" spans="1:33" ht="18" hidden="1" customHeight="1" x14ac:dyDescent="0.35">
      <c r="A84" s="559"/>
      <c r="B84" s="645" t="s">
        <v>77</v>
      </c>
      <c r="C84" s="625">
        <f>IF($F$9=0,0,((C82+C83)/'Claire-Voie'!Frais_Généraux)-(C82+C83))</f>
        <v>0</v>
      </c>
      <c r="D84" s="650"/>
      <c r="E84" s="647"/>
      <c r="F84" s="648"/>
      <c r="G84" s="649"/>
      <c r="H84" s="559"/>
      <c r="I84" s="559"/>
      <c r="J84" s="559"/>
      <c r="K84" s="559"/>
      <c r="L84" s="559"/>
      <c r="M84" s="559"/>
      <c r="N84" s="559"/>
      <c r="O84" s="559"/>
      <c r="P84" s="559"/>
      <c r="Q84" s="559"/>
      <c r="R84" s="559"/>
      <c r="S84" s="559"/>
      <c r="T84" s="559"/>
      <c r="U84" s="559"/>
      <c r="V84" s="559"/>
      <c r="W84" s="559"/>
      <c r="X84" s="559"/>
      <c r="Y84" s="559"/>
      <c r="Z84" s="559"/>
      <c r="AA84" s="559"/>
      <c r="AB84" s="559"/>
      <c r="AC84" s="559"/>
      <c r="AD84" s="559"/>
      <c r="AE84" s="559"/>
      <c r="AF84" s="559"/>
      <c r="AG84" s="559"/>
    </row>
    <row r="85" spans="1:33" ht="18" hidden="1" customHeight="1" x14ac:dyDescent="0.35">
      <c r="A85" s="559"/>
      <c r="B85" s="645" t="s">
        <v>79</v>
      </c>
      <c r="C85" s="625">
        <f>IF($F$9=0,0,SUM(C82:C84))</f>
        <v>0</v>
      </c>
      <c r="D85" s="650"/>
      <c r="E85" s="647" t="s">
        <v>80</v>
      </c>
      <c r="F85" s="648" t="str">
        <f>CONCATENATE(ROUNDUP(SUM(K65:K68),2)," m²")</f>
        <v>0 m²</v>
      </c>
      <c r="G85" s="649" t="e">
        <f>SUM(M65:M68)</f>
        <v>#VALUE!</v>
      </c>
      <c r="H85" s="559"/>
      <c r="I85" s="559"/>
      <c r="J85" s="559"/>
      <c r="K85" s="559"/>
      <c r="L85" s="559"/>
      <c r="M85" s="559"/>
      <c r="N85" s="559"/>
      <c r="O85" s="559"/>
      <c r="P85" s="559"/>
      <c r="Q85" s="559"/>
      <c r="R85" s="559"/>
      <c r="S85" s="559"/>
      <c r="T85" s="559"/>
      <c r="U85" s="559"/>
      <c r="V85" s="559"/>
      <c r="W85" s="559"/>
      <c r="X85" s="559"/>
      <c r="Y85" s="559"/>
      <c r="Z85" s="559"/>
      <c r="AA85" s="559"/>
      <c r="AB85" s="559"/>
      <c r="AC85" s="559"/>
      <c r="AD85" s="559"/>
      <c r="AE85" s="559"/>
      <c r="AF85" s="559"/>
      <c r="AG85" s="559"/>
    </row>
    <row r="86" spans="1:33" ht="18" hidden="1" customHeight="1" x14ac:dyDescent="0.35">
      <c r="A86" s="559"/>
      <c r="B86" s="645" t="s">
        <v>81</v>
      </c>
      <c r="C86" s="625">
        <f>IF($F$9=0,0,(C85/(1-'Claire-Voie'!Marge)-C85))</f>
        <v>0</v>
      </c>
      <c r="D86" s="651">
        <f>C85+C86</f>
        <v>0</v>
      </c>
      <c r="E86" s="647"/>
      <c r="F86" s="648"/>
      <c r="G86" s="652"/>
      <c r="H86" s="559"/>
      <c r="I86" s="559"/>
      <c r="J86" s="559"/>
      <c r="K86" s="559"/>
      <c r="L86" s="559"/>
      <c r="M86" s="559"/>
      <c r="N86" s="559"/>
      <c r="O86" s="559"/>
      <c r="P86" s="559"/>
      <c r="Q86" s="559"/>
      <c r="R86" s="559"/>
      <c r="S86" s="559"/>
      <c r="T86" s="559"/>
      <c r="U86" s="559"/>
      <c r="V86" s="559"/>
      <c r="W86" s="559"/>
      <c r="X86" s="559"/>
      <c r="Y86" s="559"/>
      <c r="Z86" s="559"/>
      <c r="AA86" s="559"/>
      <c r="AB86" s="559"/>
      <c r="AC86" s="559"/>
      <c r="AD86" s="559"/>
      <c r="AE86" s="559"/>
      <c r="AF86" s="559"/>
      <c r="AG86" s="559"/>
    </row>
    <row r="87" spans="1:33" ht="18" hidden="1" customHeight="1" x14ac:dyDescent="0.35">
      <c r="A87" s="559"/>
      <c r="B87" s="645" t="s">
        <v>83</v>
      </c>
      <c r="C87" s="625">
        <f>IF($F$10="BOVIS",((C85+C86)*(1+C88))-(C85+C86),((C85+C86)*(1+D87))-(C85+C86))</f>
        <v>0</v>
      </c>
      <c r="D87" s="22"/>
      <c r="E87" s="647"/>
      <c r="F87" s="648"/>
      <c r="G87" s="652"/>
      <c r="H87" s="559"/>
      <c r="I87" s="559"/>
      <c r="J87" s="559"/>
      <c r="K87" s="559"/>
      <c r="L87" s="559"/>
      <c r="M87" s="559"/>
      <c r="N87" s="559"/>
      <c r="O87" s="559"/>
      <c r="P87" s="559"/>
      <c r="Q87" s="559"/>
      <c r="R87" s="559"/>
      <c r="S87" s="559"/>
      <c r="T87" s="559"/>
      <c r="U87" s="559"/>
      <c r="V87" s="559"/>
      <c r="W87" s="559"/>
      <c r="X87" s="559"/>
      <c r="Y87" s="559"/>
      <c r="Z87" s="559"/>
      <c r="AA87" s="559"/>
      <c r="AB87" s="559"/>
      <c r="AC87" s="559"/>
      <c r="AD87" s="559"/>
      <c r="AE87" s="559"/>
      <c r="AF87" s="559"/>
      <c r="AG87" s="559"/>
    </row>
    <row r="88" spans="1:33" ht="18" hidden="1" customHeight="1" x14ac:dyDescent="0.35">
      <c r="A88" s="559"/>
      <c r="B88" s="645"/>
      <c r="C88" s="653">
        <f>IF($F$10="BOVIS",0.03,0)</f>
        <v>0</v>
      </c>
      <c r="D88" s="654"/>
      <c r="E88" s="647"/>
      <c r="F88" s="648"/>
      <c r="G88" s="652"/>
      <c r="H88" s="559"/>
      <c r="I88" s="559"/>
      <c r="J88" s="559"/>
      <c r="K88" s="559"/>
      <c r="L88" s="559"/>
      <c r="M88" s="559"/>
      <c r="N88" s="559"/>
      <c r="O88" s="559"/>
      <c r="P88" s="559"/>
      <c r="Q88" s="559"/>
      <c r="R88" s="559"/>
      <c r="S88" s="559"/>
      <c r="T88" s="559"/>
      <c r="U88" s="559"/>
      <c r="V88" s="559"/>
      <c r="W88" s="559"/>
      <c r="X88" s="559"/>
      <c r="Y88" s="559"/>
      <c r="Z88" s="559"/>
      <c r="AA88" s="559"/>
      <c r="AB88" s="559"/>
      <c r="AC88" s="559"/>
      <c r="AD88" s="559"/>
      <c r="AE88" s="559"/>
      <c r="AF88" s="559"/>
      <c r="AG88" s="559"/>
    </row>
    <row r="89" spans="1:33" ht="18" hidden="1" customHeight="1" x14ac:dyDescent="0.35">
      <c r="A89" s="559"/>
      <c r="B89" s="655" t="s">
        <v>84</v>
      </c>
      <c r="C89" s="656">
        <f>SUM(C85:C88)</f>
        <v>0</v>
      </c>
      <c r="D89" s="657"/>
      <c r="E89" s="658" t="s">
        <v>85</v>
      </c>
      <c r="F89" s="567"/>
      <c r="G89" s="659" t="e">
        <f>C82-SUM(G82:G86)</f>
        <v>#VALUE!</v>
      </c>
      <c r="H89" s="559"/>
      <c r="I89" s="559"/>
      <c r="J89" s="559"/>
      <c r="K89" s="559"/>
      <c r="L89" s="559"/>
      <c r="M89" s="559"/>
      <c r="N89" s="559"/>
      <c r="O89" s="559"/>
      <c r="P89" s="559"/>
      <c r="Q89" s="559"/>
      <c r="R89" s="559"/>
      <c r="S89" s="559"/>
      <c r="T89" s="559"/>
      <c r="U89" s="559"/>
      <c r="V89" s="559"/>
      <c r="W89" s="559"/>
      <c r="X89" s="559"/>
      <c r="Y89" s="559"/>
      <c r="Z89" s="559"/>
      <c r="AA89" s="559"/>
      <c r="AB89" s="559"/>
      <c r="AC89" s="559"/>
      <c r="AD89" s="559"/>
      <c r="AE89" s="559"/>
      <c r="AF89" s="559"/>
      <c r="AG89" s="559"/>
    </row>
    <row r="90" spans="1:33" ht="18" hidden="1" customHeight="1" x14ac:dyDescent="0.35">
      <c r="A90" s="559"/>
      <c r="B90" s="559"/>
      <c r="C90" s="559"/>
      <c r="D90" s="559"/>
      <c r="E90" s="559"/>
      <c r="F90" s="559"/>
      <c r="G90" s="559"/>
      <c r="H90" s="559"/>
      <c r="I90" s="559"/>
      <c r="J90" s="559"/>
      <c r="K90" s="559"/>
      <c r="L90" s="559"/>
      <c r="M90" s="559"/>
      <c r="N90" s="559"/>
      <c r="O90" s="559"/>
      <c r="P90" s="559"/>
      <c r="Q90" s="559"/>
      <c r="R90" s="559"/>
      <c r="S90" s="559"/>
      <c r="T90" s="559"/>
      <c r="U90" s="559"/>
      <c r="V90" s="559"/>
      <c r="W90" s="559"/>
      <c r="X90" s="559"/>
      <c r="Y90" s="559"/>
      <c r="Z90" s="559"/>
      <c r="AA90" s="559"/>
      <c r="AB90" s="559"/>
      <c r="AC90" s="559"/>
      <c r="AD90" s="559"/>
      <c r="AE90" s="559"/>
      <c r="AF90" s="559"/>
      <c r="AG90" s="559"/>
    </row>
    <row r="91" spans="1:33" ht="18" hidden="1" customHeight="1" x14ac:dyDescent="0.35">
      <c r="A91" s="559"/>
      <c r="B91" s="559"/>
      <c r="C91" s="559"/>
      <c r="D91" s="559"/>
      <c r="E91" s="559"/>
      <c r="F91" s="559"/>
      <c r="G91" s="559"/>
      <c r="H91" s="559"/>
      <c r="I91" s="559"/>
      <c r="J91" s="559"/>
      <c r="K91" s="559"/>
      <c r="L91" s="559"/>
      <c r="M91" s="559"/>
      <c r="N91" s="559"/>
      <c r="O91" s="559"/>
      <c r="P91" s="559"/>
      <c r="Q91" s="559"/>
      <c r="R91" s="559"/>
      <c r="S91" s="559"/>
      <c r="T91" s="559"/>
      <c r="U91" s="559"/>
      <c r="V91" s="559"/>
      <c r="W91" s="559"/>
      <c r="X91" s="559"/>
      <c r="Y91" s="559"/>
      <c r="Z91" s="559"/>
      <c r="AA91" s="559"/>
      <c r="AB91" s="559"/>
      <c r="AC91" s="559"/>
      <c r="AD91" s="559"/>
      <c r="AE91" s="559"/>
      <c r="AF91" s="559"/>
      <c r="AG91" s="559"/>
    </row>
    <row r="92" spans="1:33" ht="18" hidden="1" customHeight="1" x14ac:dyDescent="0.35">
      <c r="A92" s="559"/>
      <c r="B92" s="559"/>
      <c r="C92" s="559"/>
      <c r="D92" s="559"/>
      <c r="E92" s="559"/>
      <c r="F92" s="559"/>
      <c r="G92" s="559"/>
      <c r="H92" s="559"/>
      <c r="I92" s="559"/>
      <c r="J92" s="559"/>
      <c r="K92" s="559"/>
      <c r="L92" s="559"/>
      <c r="M92" s="559"/>
      <c r="N92" s="559"/>
      <c r="O92" s="559"/>
      <c r="P92" s="559"/>
      <c r="Q92" s="559"/>
      <c r="R92" s="559"/>
      <c r="S92" s="559"/>
      <c r="T92" s="559"/>
      <c r="U92" s="559"/>
      <c r="V92" s="559"/>
      <c r="W92" s="559"/>
      <c r="X92" s="559"/>
      <c r="Y92" s="559"/>
      <c r="Z92" s="559"/>
      <c r="AA92" s="559"/>
      <c r="AB92" s="559"/>
      <c r="AC92" s="559"/>
      <c r="AD92" s="559"/>
      <c r="AE92" s="559"/>
      <c r="AF92" s="559"/>
      <c r="AG92" s="559"/>
    </row>
    <row r="93" spans="1:33" ht="18" hidden="1" customHeight="1" x14ac:dyDescent="0.35">
      <c r="A93" s="559"/>
      <c r="B93" s="559"/>
      <c r="C93" s="559"/>
      <c r="D93" s="559"/>
      <c r="E93" s="559"/>
      <c r="F93" s="559"/>
      <c r="G93" s="559"/>
      <c r="H93" s="559"/>
      <c r="I93" s="559"/>
      <c r="J93" s="559"/>
      <c r="K93" s="559"/>
      <c r="L93" s="559"/>
      <c r="M93" s="559"/>
      <c r="N93" s="559"/>
      <c r="O93" s="559"/>
      <c r="P93" s="559"/>
      <c r="Q93" s="559"/>
      <c r="R93" s="559"/>
      <c r="S93" s="559"/>
      <c r="T93" s="559"/>
      <c r="U93" s="559"/>
      <c r="V93" s="559"/>
      <c r="W93" s="559"/>
      <c r="X93" s="559"/>
      <c r="Y93" s="559"/>
      <c r="Z93" s="559"/>
      <c r="AA93" s="559"/>
      <c r="AB93" s="559"/>
      <c r="AC93" s="559"/>
      <c r="AD93" s="559"/>
      <c r="AE93" s="559"/>
      <c r="AF93" s="559"/>
      <c r="AG93" s="559"/>
    </row>
    <row r="94" spans="1:33" ht="18" hidden="1" customHeight="1" x14ac:dyDescent="0.35">
      <c r="A94" s="559"/>
      <c r="B94" s="559"/>
      <c r="C94" s="559"/>
      <c r="D94" s="559"/>
      <c r="E94" s="559"/>
      <c r="F94" s="559"/>
      <c r="G94" s="559"/>
      <c r="H94" s="559"/>
      <c r="I94" s="559"/>
      <c r="J94" s="559"/>
      <c r="K94" s="559"/>
      <c r="L94" s="559"/>
      <c r="M94" s="559"/>
      <c r="N94" s="559"/>
      <c r="O94" s="559"/>
      <c r="P94" s="559"/>
      <c r="Q94" s="559"/>
      <c r="R94" s="559"/>
      <c r="S94" s="559"/>
      <c r="T94" s="559"/>
      <c r="U94" s="559"/>
      <c r="V94" s="559"/>
      <c r="W94" s="559"/>
      <c r="X94" s="559"/>
      <c r="Y94" s="559"/>
      <c r="Z94" s="559"/>
      <c r="AA94" s="559"/>
      <c r="AB94" s="559"/>
      <c r="AC94" s="559"/>
      <c r="AD94" s="559"/>
      <c r="AE94" s="559"/>
      <c r="AF94" s="559"/>
      <c r="AG94" s="559"/>
    </row>
    <row r="95" spans="1:33" ht="18" hidden="1" customHeight="1" x14ac:dyDescent="0.35">
      <c r="A95" s="559"/>
      <c r="B95" s="559"/>
      <c r="C95" s="559"/>
      <c r="D95" s="625"/>
      <c r="E95" s="559"/>
      <c r="F95" s="559"/>
      <c r="G95" s="559"/>
      <c r="H95" s="559"/>
      <c r="I95" s="559"/>
      <c r="J95" s="559"/>
      <c r="K95" s="559"/>
      <c r="L95" s="559"/>
      <c r="M95" s="559"/>
      <c r="N95" s="559"/>
      <c r="O95" s="559"/>
      <c r="P95" s="559"/>
      <c r="Q95" s="559"/>
      <c r="R95" s="559"/>
      <c r="S95" s="559"/>
      <c r="T95" s="559"/>
      <c r="U95" s="559"/>
      <c r="V95" s="559"/>
      <c r="W95" s="559"/>
      <c r="X95" s="559"/>
      <c r="Y95" s="559"/>
      <c r="Z95" s="559"/>
      <c r="AA95" s="559"/>
      <c r="AB95" s="559"/>
      <c r="AC95" s="559"/>
      <c r="AD95" s="559"/>
      <c r="AE95" s="559"/>
      <c r="AF95" s="559"/>
      <c r="AG95" s="559"/>
    </row>
    <row r="96" spans="1:33" ht="18" hidden="1" customHeight="1" x14ac:dyDescent="0.35">
      <c r="A96" s="559"/>
      <c r="B96" s="559"/>
      <c r="C96" s="559"/>
      <c r="D96" s="559"/>
      <c r="E96" s="559"/>
      <c r="F96" s="559"/>
      <c r="G96" s="559"/>
      <c r="H96" s="559"/>
      <c r="I96" s="559"/>
      <c r="J96" s="559"/>
      <c r="K96" s="559"/>
      <c r="L96" s="559"/>
      <c r="M96" s="559"/>
      <c r="N96" s="559"/>
      <c r="O96" s="559"/>
      <c r="P96" s="559"/>
      <c r="Q96" s="559"/>
      <c r="R96" s="559"/>
      <c r="S96" s="559"/>
      <c r="T96" s="559"/>
      <c r="U96" s="559"/>
      <c r="V96" s="559"/>
      <c r="W96" s="559"/>
      <c r="X96" s="559"/>
      <c r="Y96" s="559"/>
      <c r="Z96" s="559"/>
      <c r="AA96" s="559"/>
      <c r="AB96" s="559"/>
      <c r="AC96" s="559"/>
      <c r="AD96" s="559"/>
      <c r="AE96" s="559"/>
      <c r="AF96" s="559"/>
      <c r="AG96" s="559"/>
    </row>
    <row r="97" spans="1:33" ht="18" hidden="1" customHeight="1" x14ac:dyDescent="0.35">
      <c r="A97" s="559"/>
      <c r="B97" s="559"/>
      <c r="C97" s="559"/>
      <c r="D97" s="559"/>
      <c r="E97" s="559"/>
      <c r="F97" s="559"/>
      <c r="G97" s="559"/>
      <c r="H97" s="559"/>
      <c r="I97" s="559"/>
      <c r="J97" s="559"/>
      <c r="K97" s="559"/>
      <c r="L97" s="559"/>
      <c r="M97" s="559"/>
      <c r="N97" s="559"/>
      <c r="O97" s="559"/>
      <c r="P97" s="559"/>
      <c r="Q97" s="559"/>
      <c r="R97" s="559"/>
      <c r="S97" s="559"/>
      <c r="T97" s="559"/>
      <c r="U97" s="559"/>
      <c r="V97" s="559"/>
      <c r="W97" s="559"/>
      <c r="X97" s="559"/>
      <c r="Y97" s="559"/>
      <c r="Z97" s="559"/>
      <c r="AA97" s="559"/>
      <c r="AB97" s="559"/>
      <c r="AC97" s="559"/>
      <c r="AD97" s="559"/>
      <c r="AE97" s="559"/>
      <c r="AF97" s="559"/>
      <c r="AG97" s="559"/>
    </row>
    <row r="98" spans="1:33" ht="18" hidden="1" customHeight="1" x14ac:dyDescent="0.35">
      <c r="A98" s="559"/>
      <c r="B98" s="559"/>
      <c r="C98" s="559"/>
      <c r="D98" s="559"/>
      <c r="E98" s="559"/>
      <c r="F98" s="559"/>
      <c r="G98" s="559"/>
      <c r="H98" s="559"/>
      <c r="I98" s="559"/>
      <c r="J98" s="559"/>
      <c r="K98" s="559"/>
      <c r="L98" s="559"/>
      <c r="M98" s="559"/>
      <c r="N98" s="559"/>
      <c r="O98" s="559"/>
      <c r="P98" s="559"/>
      <c r="Q98" s="559"/>
      <c r="R98" s="559"/>
      <c r="S98" s="559"/>
      <c r="T98" s="559"/>
      <c r="U98" s="559"/>
      <c r="V98" s="559"/>
      <c r="W98" s="559"/>
      <c r="X98" s="559"/>
      <c r="Y98" s="559"/>
      <c r="Z98" s="559"/>
      <c r="AA98" s="559"/>
      <c r="AB98" s="559"/>
      <c r="AC98" s="559"/>
      <c r="AD98" s="559"/>
      <c r="AE98" s="559"/>
      <c r="AF98" s="559"/>
      <c r="AG98" s="559"/>
    </row>
    <row r="99" spans="1:33" ht="18" hidden="1" customHeight="1" x14ac:dyDescent="0.3">
      <c r="A99" s="663"/>
      <c r="B99" s="663" t="s">
        <v>114</v>
      </c>
      <c r="C99" s="663" t="s">
        <v>115</v>
      </c>
      <c r="D99" s="663" t="s">
        <v>116</v>
      </c>
      <c r="E99" s="663" t="s">
        <v>117</v>
      </c>
      <c r="F99" s="663" t="s">
        <v>118</v>
      </c>
      <c r="G99" s="663" t="s">
        <v>119</v>
      </c>
      <c r="H99" s="663" t="s">
        <v>120</v>
      </c>
      <c r="I99" s="663" t="s">
        <v>121</v>
      </c>
      <c r="J99" s="663" t="s">
        <v>122</v>
      </c>
      <c r="K99" s="663" t="s">
        <v>123</v>
      </c>
      <c r="L99" s="663" t="s">
        <v>82</v>
      </c>
      <c r="M99" s="663"/>
      <c r="N99" s="663"/>
      <c r="O99" s="663"/>
      <c r="P99" s="663"/>
      <c r="Q99" s="663"/>
      <c r="R99" s="663" t="s">
        <v>312</v>
      </c>
      <c r="S99" s="663"/>
      <c r="T99" s="663"/>
      <c r="U99" s="663"/>
      <c r="V99" s="663"/>
      <c r="W99" s="663"/>
      <c r="X99" s="663"/>
      <c r="Y99" s="663"/>
      <c r="Z99" s="663"/>
      <c r="AA99" s="663"/>
      <c r="AB99" s="663"/>
      <c r="AC99" s="663"/>
      <c r="AD99" s="663"/>
      <c r="AE99" s="663"/>
      <c r="AF99" s="663"/>
      <c r="AG99" s="663"/>
    </row>
    <row r="100" spans="1:33" ht="18" hidden="1" customHeight="1" x14ac:dyDescent="0.3">
      <c r="A100" s="663">
        <v>1</v>
      </c>
      <c r="B100" s="663">
        <v>2</v>
      </c>
      <c r="C100" s="663">
        <v>3</v>
      </c>
      <c r="D100" s="663">
        <v>4</v>
      </c>
      <c r="E100" s="663">
        <v>5</v>
      </c>
      <c r="F100" s="663">
        <v>6</v>
      </c>
      <c r="G100" s="663">
        <v>7</v>
      </c>
      <c r="H100" s="663">
        <v>8</v>
      </c>
      <c r="I100" s="663">
        <v>9</v>
      </c>
      <c r="J100" s="663">
        <v>10</v>
      </c>
      <c r="K100" s="663">
        <v>11</v>
      </c>
      <c r="L100" s="663">
        <v>12</v>
      </c>
      <c r="M100" s="663">
        <v>13</v>
      </c>
      <c r="N100" s="663">
        <v>14</v>
      </c>
      <c r="O100" s="663">
        <v>15</v>
      </c>
      <c r="P100" s="663">
        <v>16</v>
      </c>
      <c r="Q100" s="663">
        <v>17</v>
      </c>
      <c r="R100" s="663" t="s">
        <v>28</v>
      </c>
      <c r="S100" s="663" t="s">
        <v>313</v>
      </c>
      <c r="T100" s="663" t="s">
        <v>314</v>
      </c>
      <c r="U100" s="663"/>
      <c r="V100" s="663"/>
      <c r="W100" s="663"/>
      <c r="X100" s="663"/>
      <c r="Y100" s="663"/>
      <c r="Z100" s="663"/>
      <c r="AA100" s="663"/>
      <c r="AB100" s="663"/>
      <c r="AC100" s="663"/>
      <c r="AD100" s="663"/>
      <c r="AE100" s="663"/>
      <c r="AF100" s="663"/>
      <c r="AG100" s="663"/>
    </row>
    <row r="101" spans="1:33" ht="18" hidden="1" customHeight="1" x14ac:dyDescent="0.3">
      <c r="A101" s="663" t="s">
        <v>16</v>
      </c>
      <c r="B101" s="663">
        <v>0</v>
      </c>
      <c r="C101" s="663">
        <v>0</v>
      </c>
      <c r="D101" s="663">
        <v>0</v>
      </c>
      <c r="E101" s="663">
        <v>0</v>
      </c>
      <c r="F101" s="663">
        <v>0</v>
      </c>
      <c r="G101" s="663">
        <v>0</v>
      </c>
      <c r="H101" s="663">
        <v>0</v>
      </c>
      <c r="I101" s="663">
        <v>0</v>
      </c>
      <c r="J101" s="663">
        <v>0</v>
      </c>
      <c r="K101" s="663">
        <v>0</v>
      </c>
      <c r="L101" s="663">
        <v>0</v>
      </c>
      <c r="M101" s="663">
        <v>0</v>
      </c>
      <c r="N101" s="663">
        <v>0</v>
      </c>
      <c r="O101" s="663">
        <v>0</v>
      </c>
      <c r="P101" s="663">
        <v>0</v>
      </c>
      <c r="Q101" s="663">
        <v>0</v>
      </c>
      <c r="R101" s="663">
        <v>0</v>
      </c>
      <c r="S101" s="663">
        <v>0</v>
      </c>
      <c r="T101" s="663" t="s">
        <v>315</v>
      </c>
      <c r="U101" s="663"/>
      <c r="V101" s="663"/>
      <c r="W101" s="663"/>
      <c r="X101" s="663"/>
      <c r="Y101" s="663"/>
      <c r="Z101" s="663"/>
      <c r="AA101" s="663"/>
      <c r="AB101" s="663"/>
      <c r="AC101" s="663"/>
      <c r="AD101" s="663"/>
      <c r="AE101" s="663"/>
      <c r="AF101" s="663"/>
      <c r="AG101" s="663"/>
    </row>
    <row r="102" spans="1:33" ht="18" hidden="1" customHeight="1" x14ac:dyDescent="0.3">
      <c r="A102" s="663" t="s">
        <v>316</v>
      </c>
      <c r="B102" s="663">
        <v>20</v>
      </c>
      <c r="C102" s="663">
        <v>20</v>
      </c>
      <c r="D102" s="663">
        <v>14</v>
      </c>
      <c r="E102" s="663">
        <v>10</v>
      </c>
      <c r="F102" s="663">
        <v>0.2</v>
      </c>
      <c r="G102" s="663">
        <v>1</v>
      </c>
      <c r="H102" s="663" t="s">
        <v>37</v>
      </c>
      <c r="I102" s="663" t="s">
        <v>27</v>
      </c>
      <c r="J102" s="663">
        <v>-0.5</v>
      </c>
      <c r="K102" s="663">
        <v>1</v>
      </c>
      <c r="L102" s="663">
        <v>0</v>
      </c>
      <c r="M102" s="663" t="s">
        <v>317</v>
      </c>
      <c r="N102" s="663"/>
      <c r="O102" s="663">
        <v>1</v>
      </c>
      <c r="P102" s="663"/>
      <c r="Q102" s="663"/>
      <c r="R102" s="663">
        <v>1</v>
      </c>
      <c r="S102" s="663">
        <v>0</v>
      </c>
      <c r="T102" s="663" t="s">
        <v>315</v>
      </c>
      <c r="U102" s="663"/>
      <c r="V102" s="663"/>
      <c r="W102" s="663"/>
      <c r="X102" s="663"/>
      <c r="Y102" s="663"/>
      <c r="Z102" s="663"/>
      <c r="AA102" s="663"/>
      <c r="AB102" s="663"/>
      <c r="AC102" s="663"/>
      <c r="AD102" s="663"/>
      <c r="AE102" s="663"/>
      <c r="AF102" s="663"/>
      <c r="AG102" s="663"/>
    </row>
    <row r="103" spans="1:33" ht="18" hidden="1" customHeight="1" x14ac:dyDescent="0.3">
      <c r="A103" s="663" t="s">
        <v>319</v>
      </c>
      <c r="B103" s="663">
        <v>14</v>
      </c>
      <c r="C103" s="663">
        <v>14</v>
      </c>
      <c r="D103" s="663">
        <v>7</v>
      </c>
      <c r="E103" s="663">
        <v>10</v>
      </c>
      <c r="F103" s="663">
        <v>0.2</v>
      </c>
      <c r="G103" s="663">
        <v>1</v>
      </c>
      <c r="H103" s="663" t="s">
        <v>37</v>
      </c>
      <c r="I103" s="663" t="s">
        <v>27</v>
      </c>
      <c r="J103" s="663">
        <v>-0.5</v>
      </c>
      <c r="K103" s="663">
        <v>1</v>
      </c>
      <c r="L103" s="663">
        <v>0</v>
      </c>
      <c r="M103" s="663" t="s">
        <v>317</v>
      </c>
      <c r="N103" s="663"/>
      <c r="O103" s="663">
        <v>1</v>
      </c>
      <c r="P103" s="663"/>
      <c r="Q103" s="663"/>
      <c r="R103" s="663">
        <v>1</v>
      </c>
      <c r="S103" s="663">
        <v>1</v>
      </c>
      <c r="T103" s="663" t="s">
        <v>315</v>
      </c>
      <c r="U103" s="663"/>
      <c r="V103" s="663"/>
      <c r="W103" s="663"/>
      <c r="X103" s="663"/>
      <c r="Y103" s="663"/>
      <c r="Z103" s="663"/>
      <c r="AA103" s="663"/>
      <c r="AB103" s="663"/>
      <c r="AC103" s="663"/>
      <c r="AD103" s="663"/>
      <c r="AE103" s="663"/>
      <c r="AF103" s="663"/>
      <c r="AG103" s="663"/>
    </row>
    <row r="104" spans="1:33" ht="18" hidden="1" customHeight="1" x14ac:dyDescent="0.3">
      <c r="A104" s="663" t="s">
        <v>326</v>
      </c>
      <c r="B104" s="663">
        <v>14</v>
      </c>
      <c r="C104" s="663">
        <v>14</v>
      </c>
      <c r="D104" s="663">
        <v>7</v>
      </c>
      <c r="E104" s="663">
        <v>10.199999999999999</v>
      </c>
      <c r="F104" s="663">
        <v>0.2</v>
      </c>
      <c r="G104" s="663">
        <v>2</v>
      </c>
      <c r="H104" s="663" t="s">
        <v>37</v>
      </c>
      <c r="I104" s="663" t="s">
        <v>327</v>
      </c>
      <c r="J104" s="663">
        <v>-0.5</v>
      </c>
      <c r="K104" s="663">
        <v>1</v>
      </c>
      <c r="L104" s="663">
        <v>0</v>
      </c>
      <c r="M104" s="663" t="s">
        <v>317</v>
      </c>
      <c r="N104" s="663"/>
      <c r="O104" s="663">
        <v>4</v>
      </c>
      <c r="P104" s="663"/>
      <c r="Q104" s="663"/>
      <c r="R104" s="663">
        <v>1</v>
      </c>
      <c r="S104" s="663">
        <v>0</v>
      </c>
      <c r="T104" s="663" t="s">
        <v>315</v>
      </c>
      <c r="U104" s="663"/>
      <c r="V104" s="663"/>
      <c r="W104" s="663"/>
      <c r="X104" s="663"/>
      <c r="Y104" s="663"/>
      <c r="Z104" s="663"/>
      <c r="AA104" s="663"/>
      <c r="AB104" s="663"/>
      <c r="AC104" s="663"/>
      <c r="AD104" s="663"/>
      <c r="AE104" s="663"/>
      <c r="AF104" s="663"/>
      <c r="AG104" s="663"/>
    </row>
    <row r="105" spans="1:33" ht="18" hidden="1" customHeight="1" x14ac:dyDescent="0.3">
      <c r="A105" s="663" t="s">
        <v>328</v>
      </c>
      <c r="B105" s="663">
        <v>14</v>
      </c>
      <c r="C105" s="663">
        <v>14</v>
      </c>
      <c r="D105" s="663">
        <v>7</v>
      </c>
      <c r="E105" s="663">
        <v>10.199999999999999</v>
      </c>
      <c r="F105" s="663">
        <v>0.2</v>
      </c>
      <c r="G105" s="663">
        <v>2</v>
      </c>
      <c r="H105" s="663" t="s">
        <v>37</v>
      </c>
      <c r="I105" s="663" t="s">
        <v>327</v>
      </c>
      <c r="J105" s="663">
        <v>-0.5</v>
      </c>
      <c r="K105" s="663">
        <v>1</v>
      </c>
      <c r="L105" s="663">
        <v>0</v>
      </c>
      <c r="M105" s="663" t="s">
        <v>317</v>
      </c>
      <c r="N105" s="663"/>
      <c r="O105" s="663">
        <v>4</v>
      </c>
      <c r="P105" s="663"/>
      <c r="Q105" s="663"/>
      <c r="R105" s="663">
        <v>0</v>
      </c>
      <c r="S105" s="663">
        <v>1</v>
      </c>
      <c r="T105" s="663" t="s">
        <v>315</v>
      </c>
      <c r="U105" s="663"/>
      <c r="V105" s="663"/>
      <c r="W105" s="663"/>
      <c r="X105" s="663"/>
      <c r="Y105" s="663"/>
      <c r="Z105" s="663"/>
      <c r="AA105" s="663"/>
      <c r="AB105" s="663"/>
      <c r="AC105" s="663"/>
      <c r="AD105" s="663"/>
      <c r="AE105" s="663"/>
      <c r="AF105" s="663"/>
      <c r="AG105" s="663"/>
    </row>
    <row r="106" spans="1:33" ht="18" hidden="1" customHeight="1" x14ac:dyDescent="0.3">
      <c r="A106" s="663"/>
      <c r="B106" s="663"/>
      <c r="C106" s="663"/>
      <c r="D106" s="663"/>
      <c r="E106" s="663"/>
      <c r="F106" s="663"/>
      <c r="G106" s="663"/>
      <c r="H106" s="663"/>
      <c r="I106" s="663"/>
      <c r="J106" s="663"/>
      <c r="K106" s="663"/>
      <c r="L106" s="663"/>
      <c r="M106" s="663"/>
      <c r="N106" s="663"/>
      <c r="O106" s="663"/>
      <c r="P106" s="663"/>
      <c r="Q106" s="663"/>
      <c r="R106" s="663"/>
      <c r="S106" s="663"/>
      <c r="T106" s="663"/>
      <c r="U106" s="663"/>
      <c r="V106" s="663"/>
      <c r="W106" s="663"/>
      <c r="X106" s="663"/>
      <c r="Y106" s="663"/>
      <c r="Z106" s="663"/>
      <c r="AA106" s="663"/>
      <c r="AB106" s="663"/>
      <c r="AC106" s="663"/>
      <c r="AD106" s="663"/>
      <c r="AE106" s="663"/>
      <c r="AF106" s="663"/>
      <c r="AG106" s="663"/>
    </row>
    <row r="107" spans="1:33" ht="18" hidden="1" customHeight="1" x14ac:dyDescent="0.3">
      <c r="A107" s="663"/>
      <c r="B107" s="663"/>
      <c r="C107" s="663"/>
      <c r="D107" s="663"/>
      <c r="E107" s="663"/>
      <c r="F107" s="663"/>
      <c r="G107" s="663"/>
      <c r="H107" s="663"/>
      <c r="I107" s="663"/>
      <c r="J107" s="663"/>
      <c r="K107" s="663"/>
      <c r="L107" s="663"/>
      <c r="M107" s="663"/>
      <c r="N107" s="663"/>
      <c r="O107" s="663"/>
      <c r="P107" s="663"/>
      <c r="Q107" s="663"/>
      <c r="R107" s="663"/>
      <c r="S107" s="663"/>
      <c r="T107" s="663"/>
      <c r="U107" s="663"/>
      <c r="V107" s="663"/>
      <c r="W107" s="663"/>
      <c r="X107" s="663"/>
      <c r="Y107" s="663"/>
      <c r="Z107" s="663"/>
      <c r="AA107" s="663"/>
      <c r="AB107" s="663"/>
      <c r="AC107" s="663"/>
      <c r="AD107" s="663"/>
      <c r="AE107" s="663"/>
      <c r="AF107" s="663"/>
      <c r="AG107" s="663"/>
    </row>
    <row r="108" spans="1:33" ht="18" hidden="1" customHeight="1" x14ac:dyDescent="0.3">
      <c r="A108" s="663"/>
      <c r="B108" s="663"/>
      <c r="C108" s="663"/>
      <c r="D108" s="663"/>
      <c r="E108" s="663"/>
      <c r="F108" s="663"/>
      <c r="G108" s="663"/>
      <c r="H108" s="663"/>
      <c r="I108" s="663"/>
      <c r="J108" s="663"/>
      <c r="K108" s="663"/>
      <c r="L108" s="663"/>
      <c r="M108" s="663"/>
      <c r="N108" s="663"/>
      <c r="O108" s="663"/>
      <c r="P108" s="663"/>
      <c r="Q108" s="663"/>
      <c r="R108" s="663"/>
      <c r="S108" s="663"/>
      <c r="T108" s="663"/>
      <c r="U108" s="663"/>
      <c r="V108" s="663"/>
      <c r="W108" s="663"/>
      <c r="X108" s="663"/>
      <c r="Y108" s="663"/>
      <c r="Z108" s="663"/>
      <c r="AA108" s="663"/>
      <c r="AB108" s="663"/>
      <c r="AC108" s="663"/>
      <c r="AD108" s="663"/>
      <c r="AE108" s="663"/>
      <c r="AF108" s="663"/>
      <c r="AG108" s="663"/>
    </row>
    <row r="109" spans="1:33" ht="18" hidden="1" customHeight="1" x14ac:dyDescent="0.3">
      <c r="A109" s="663"/>
      <c r="B109" s="663"/>
      <c r="C109" s="663"/>
      <c r="D109" s="663"/>
      <c r="E109" s="663"/>
      <c r="F109" s="663"/>
      <c r="G109" s="663"/>
      <c r="H109" s="663"/>
      <c r="I109" s="663"/>
      <c r="J109" s="663"/>
      <c r="K109" s="663"/>
      <c r="L109" s="663"/>
      <c r="M109" s="663"/>
      <c r="N109" s="663"/>
      <c r="O109" s="663"/>
      <c r="P109" s="663"/>
      <c r="Q109" s="663"/>
      <c r="R109" s="663"/>
      <c r="S109" s="663"/>
      <c r="T109" s="663"/>
      <c r="U109" s="663"/>
      <c r="V109" s="663"/>
      <c r="W109" s="663"/>
      <c r="X109" s="663"/>
      <c r="Y109" s="663"/>
      <c r="Z109" s="663"/>
      <c r="AA109" s="663"/>
      <c r="AB109" s="663"/>
      <c r="AC109" s="663"/>
      <c r="AD109" s="663"/>
      <c r="AE109" s="663"/>
      <c r="AF109" s="663"/>
      <c r="AG109" s="663"/>
    </row>
    <row r="110" spans="1:33" ht="18" hidden="1" customHeight="1" x14ac:dyDescent="0.3">
      <c r="A110" s="663"/>
      <c r="B110" s="663"/>
      <c r="C110" s="663"/>
      <c r="D110" s="663"/>
      <c r="E110" s="663"/>
      <c r="F110" s="663"/>
      <c r="G110" s="663"/>
      <c r="H110" s="663"/>
      <c r="I110" s="663"/>
      <c r="J110" s="663"/>
      <c r="K110" s="663"/>
      <c r="L110" s="663"/>
      <c r="M110" s="663"/>
      <c r="N110" s="663"/>
      <c r="O110" s="663"/>
      <c r="P110" s="663"/>
      <c r="Q110" s="663"/>
      <c r="R110" s="663"/>
      <c r="S110" s="663"/>
      <c r="T110" s="663"/>
      <c r="U110" s="663"/>
      <c r="V110" s="663"/>
      <c r="W110" s="663"/>
      <c r="X110" s="663"/>
      <c r="Y110" s="663"/>
      <c r="Z110" s="663"/>
      <c r="AA110" s="663"/>
      <c r="AB110" s="663"/>
      <c r="AC110" s="663"/>
      <c r="AD110" s="663"/>
      <c r="AE110" s="663"/>
      <c r="AF110" s="663"/>
      <c r="AG110" s="663"/>
    </row>
    <row r="111" spans="1:33" ht="18" hidden="1" customHeight="1" x14ac:dyDescent="0.3">
      <c r="A111" s="663"/>
      <c r="B111" s="663"/>
      <c r="C111" s="663"/>
      <c r="D111" s="663"/>
      <c r="E111" s="663"/>
      <c r="F111" s="663"/>
      <c r="G111" s="663"/>
      <c r="H111" s="663"/>
      <c r="I111" s="663"/>
      <c r="J111" s="663"/>
      <c r="K111" s="663"/>
      <c r="L111" s="663"/>
      <c r="M111" s="663"/>
      <c r="N111" s="663"/>
      <c r="O111" s="663"/>
      <c r="P111" s="663"/>
      <c r="Q111" s="663"/>
      <c r="R111" s="663"/>
      <c r="S111" s="663"/>
      <c r="T111" s="663"/>
      <c r="U111" s="663"/>
      <c r="V111" s="663"/>
      <c r="W111" s="663"/>
      <c r="X111" s="663"/>
      <c r="Y111" s="663"/>
      <c r="Z111" s="663"/>
      <c r="AA111" s="663"/>
      <c r="AB111" s="663"/>
      <c r="AC111" s="663"/>
      <c r="AD111" s="663"/>
      <c r="AE111" s="663"/>
      <c r="AF111" s="663"/>
      <c r="AG111" s="663"/>
    </row>
    <row r="112" spans="1:33" ht="18" hidden="1" customHeight="1" x14ac:dyDescent="0.3">
      <c r="A112" s="663"/>
      <c r="B112" s="663"/>
      <c r="C112" s="663"/>
      <c r="D112" s="663"/>
      <c r="E112" s="663"/>
      <c r="F112" s="663"/>
      <c r="G112" s="663"/>
      <c r="H112" s="663"/>
      <c r="I112" s="663"/>
      <c r="J112" s="663"/>
      <c r="K112" s="663"/>
      <c r="L112" s="663"/>
      <c r="M112" s="663"/>
      <c r="N112" s="663"/>
      <c r="O112" s="663"/>
      <c r="P112" s="663"/>
      <c r="Q112" s="663"/>
      <c r="R112" s="663"/>
      <c r="S112" s="663"/>
      <c r="T112" s="663"/>
      <c r="U112" s="663"/>
      <c r="V112" s="663"/>
      <c r="W112" s="663"/>
      <c r="X112" s="663"/>
      <c r="Y112" s="663"/>
      <c r="Z112" s="663"/>
      <c r="AA112" s="663"/>
      <c r="AB112" s="663"/>
      <c r="AC112" s="663"/>
      <c r="AD112" s="663"/>
      <c r="AE112" s="663"/>
      <c r="AF112" s="663"/>
      <c r="AG112" s="663"/>
    </row>
    <row r="113" spans="1:33" ht="18" hidden="1" customHeight="1" x14ac:dyDescent="0.3">
      <c r="A113" s="663"/>
      <c r="B113" s="663"/>
      <c r="C113" s="663"/>
      <c r="D113" s="663"/>
      <c r="E113" s="663"/>
      <c r="F113" s="663"/>
      <c r="G113" s="663"/>
      <c r="H113" s="663"/>
      <c r="I113" s="663"/>
      <c r="J113" s="663"/>
      <c r="K113" s="663"/>
      <c r="L113" s="663"/>
      <c r="M113" s="663"/>
      <c r="N113" s="663"/>
      <c r="O113" s="663"/>
      <c r="P113" s="663"/>
      <c r="Q113" s="663"/>
      <c r="R113" s="663"/>
      <c r="S113" s="663"/>
      <c r="T113" s="663"/>
      <c r="U113" s="663"/>
      <c r="V113" s="663"/>
      <c r="W113" s="663"/>
      <c r="X113" s="663"/>
      <c r="Y113" s="663"/>
      <c r="Z113" s="663"/>
      <c r="AA113" s="663"/>
      <c r="AB113" s="663"/>
      <c r="AC113" s="663"/>
      <c r="AD113" s="663"/>
      <c r="AE113" s="663"/>
      <c r="AF113" s="663"/>
      <c r="AG113" s="663"/>
    </row>
    <row r="114" spans="1:33" ht="18" hidden="1" customHeight="1" x14ac:dyDescent="0.3">
      <c r="A114" s="663"/>
      <c r="B114" s="663"/>
      <c r="C114" s="663"/>
      <c r="D114" s="663"/>
      <c r="E114" s="663"/>
      <c r="F114" s="663"/>
      <c r="G114" s="663"/>
      <c r="H114" s="663"/>
      <c r="I114" s="663"/>
      <c r="J114" s="663"/>
      <c r="K114" s="663"/>
      <c r="L114" s="663"/>
      <c r="M114" s="663"/>
      <c r="N114" s="663"/>
      <c r="O114" s="663"/>
      <c r="P114" s="663"/>
      <c r="Q114" s="663"/>
      <c r="R114" s="663"/>
      <c r="S114" s="663"/>
      <c r="T114" s="663"/>
      <c r="U114" s="663"/>
      <c r="V114" s="663"/>
      <c r="W114" s="663"/>
      <c r="X114" s="663"/>
      <c r="Y114" s="663"/>
      <c r="Z114" s="663"/>
      <c r="AA114" s="663"/>
      <c r="AB114" s="663"/>
      <c r="AC114" s="663"/>
      <c r="AD114" s="663"/>
      <c r="AE114" s="663"/>
      <c r="AF114" s="663"/>
      <c r="AG114" s="663"/>
    </row>
    <row r="115" spans="1:33" ht="18" hidden="1" customHeight="1" x14ac:dyDescent="0.3">
      <c r="A115" s="660" t="s">
        <v>107</v>
      </c>
      <c r="B115" s="662">
        <v>1</v>
      </c>
      <c r="C115" s="663"/>
      <c r="D115" s="663"/>
      <c r="E115" s="663"/>
      <c r="F115" s="663"/>
      <c r="G115" s="663"/>
      <c r="H115" s="663"/>
      <c r="I115" s="663"/>
      <c r="J115" s="663"/>
      <c r="K115" s="663"/>
      <c r="L115" s="663"/>
      <c r="M115" s="663"/>
      <c r="N115" s="663"/>
      <c r="O115" s="663"/>
      <c r="P115" s="663"/>
      <c r="Q115" s="663"/>
      <c r="R115" s="663"/>
      <c r="S115" s="663"/>
      <c r="T115" s="663"/>
      <c r="U115" s="663"/>
      <c r="V115" s="663"/>
      <c r="W115" s="663"/>
      <c r="X115" s="663"/>
      <c r="Y115" s="663"/>
      <c r="Z115" s="663"/>
      <c r="AA115" s="663"/>
      <c r="AB115" s="663"/>
      <c r="AC115" s="663"/>
      <c r="AD115" s="663"/>
      <c r="AE115" s="663"/>
      <c r="AF115" s="663"/>
      <c r="AG115" s="663"/>
    </row>
    <row r="116" spans="1:33" ht="18" hidden="1" customHeight="1" x14ac:dyDescent="0.3">
      <c r="A116" s="666" t="s">
        <v>18</v>
      </c>
      <c r="B116" s="668">
        <v>0</v>
      </c>
      <c r="C116" s="663"/>
      <c r="D116" s="663"/>
      <c r="E116" s="663"/>
      <c r="F116" s="663"/>
      <c r="G116" s="663"/>
      <c r="H116" s="663"/>
      <c r="I116" s="663"/>
      <c r="J116" s="663"/>
      <c r="K116" s="663"/>
      <c r="L116" s="663"/>
      <c r="M116" s="663"/>
      <c r="N116" s="663"/>
      <c r="O116" s="663"/>
      <c r="P116" s="663"/>
      <c r="Q116" s="663"/>
      <c r="R116" s="663"/>
      <c r="S116" s="663"/>
      <c r="T116" s="663"/>
      <c r="U116" s="663"/>
      <c r="V116" s="663"/>
      <c r="W116" s="663"/>
      <c r="X116" s="663"/>
      <c r="Y116" s="663"/>
      <c r="Z116" s="663"/>
      <c r="AA116" s="663"/>
      <c r="AB116" s="663"/>
      <c r="AC116" s="663"/>
      <c r="AD116" s="663"/>
      <c r="AE116" s="663"/>
      <c r="AF116" s="663"/>
      <c r="AG116" s="663"/>
    </row>
    <row r="117" spans="1:33" ht="18" hidden="1" customHeight="1" x14ac:dyDescent="0.3">
      <c r="A117" s="663"/>
      <c r="B117" s="663"/>
      <c r="C117" s="663"/>
      <c r="D117" s="663"/>
      <c r="E117" s="663"/>
      <c r="F117" s="663"/>
      <c r="G117" s="663"/>
      <c r="H117" s="663"/>
      <c r="I117" s="663"/>
      <c r="J117" s="663"/>
      <c r="K117" s="663"/>
      <c r="L117" s="663"/>
      <c r="M117" s="663"/>
      <c r="N117" s="663"/>
      <c r="O117" s="663"/>
      <c r="P117" s="663"/>
      <c r="Q117" s="663"/>
      <c r="R117" s="663"/>
      <c r="S117" s="663"/>
      <c r="T117" s="663"/>
      <c r="U117" s="663"/>
      <c r="V117" s="663"/>
      <c r="W117" s="663"/>
      <c r="X117" s="663"/>
      <c r="Y117" s="663"/>
      <c r="Z117" s="663"/>
      <c r="AA117" s="663"/>
      <c r="AB117" s="663"/>
      <c r="AC117" s="663"/>
      <c r="AD117" s="663"/>
      <c r="AE117" s="663"/>
      <c r="AF117" s="663"/>
      <c r="AG117" s="663"/>
    </row>
    <row r="118" spans="1:33" ht="18" hidden="1" customHeight="1" x14ac:dyDescent="0.3">
      <c r="A118" s="663"/>
      <c r="B118" s="663"/>
      <c r="C118" s="663"/>
      <c r="D118" s="663"/>
      <c r="E118" s="663"/>
      <c r="F118" s="663"/>
      <c r="G118" s="663"/>
      <c r="H118" s="663"/>
      <c r="I118" s="663"/>
      <c r="J118" s="663"/>
      <c r="K118" s="663"/>
      <c r="L118" s="663"/>
      <c r="M118" s="663"/>
      <c r="N118" s="663"/>
      <c r="O118" s="663"/>
      <c r="P118" s="663"/>
      <c r="Q118" s="663"/>
      <c r="R118" s="663"/>
      <c r="S118" s="663"/>
      <c r="T118" s="663"/>
      <c r="U118" s="663"/>
      <c r="V118" s="663"/>
      <c r="W118" s="663"/>
      <c r="X118" s="663"/>
      <c r="Y118" s="663"/>
      <c r="Z118" s="663"/>
      <c r="AA118" s="663"/>
      <c r="AB118" s="663"/>
      <c r="AC118" s="663"/>
      <c r="AD118" s="663"/>
      <c r="AE118" s="663"/>
      <c r="AF118" s="663"/>
      <c r="AG118" s="663"/>
    </row>
    <row r="119" spans="1:33" ht="18" hidden="1" customHeight="1" x14ac:dyDescent="0.35">
      <c r="A119" s="660" t="s">
        <v>135</v>
      </c>
      <c r="B119" s="641">
        <v>10</v>
      </c>
      <c r="C119" s="663"/>
      <c r="D119" s="663"/>
      <c r="E119" s="663"/>
      <c r="F119" s="663"/>
      <c r="G119" s="663"/>
      <c r="H119" s="663"/>
      <c r="I119" s="663"/>
      <c r="J119" s="663"/>
      <c r="K119" s="663"/>
      <c r="L119" s="663"/>
      <c r="M119" s="663"/>
      <c r="N119" s="663"/>
      <c r="O119" s="663"/>
      <c r="P119" s="663"/>
      <c r="Q119" s="663"/>
      <c r="R119" s="663"/>
      <c r="S119" s="663"/>
      <c r="T119" s="663"/>
      <c r="U119" s="663"/>
      <c r="V119" s="663"/>
      <c r="W119" s="663"/>
      <c r="X119" s="663"/>
      <c r="Y119" s="663"/>
      <c r="Z119" s="663"/>
      <c r="AA119" s="663"/>
      <c r="AB119" s="663"/>
      <c r="AC119" s="663"/>
      <c r="AD119" s="663"/>
      <c r="AE119" s="663"/>
      <c r="AF119" s="663"/>
      <c r="AG119" s="663"/>
    </row>
    <row r="120" spans="1:33" ht="18" hidden="1" customHeight="1" x14ac:dyDescent="0.35">
      <c r="A120" s="664" t="s">
        <v>136</v>
      </c>
      <c r="B120" s="650">
        <v>10</v>
      </c>
      <c r="C120" s="663"/>
      <c r="D120" s="663"/>
      <c r="E120" s="663"/>
      <c r="F120" s="663"/>
      <c r="G120" s="663"/>
      <c r="H120" s="663"/>
      <c r="I120" s="663"/>
      <c r="J120" s="663"/>
      <c r="K120" s="663"/>
      <c r="L120" s="663"/>
      <c r="M120" s="663"/>
      <c r="N120" s="663"/>
      <c r="O120" s="663"/>
      <c r="P120" s="663"/>
      <c r="Q120" s="663"/>
      <c r="R120" s="663"/>
      <c r="S120" s="663"/>
      <c r="T120" s="663"/>
      <c r="U120" s="663"/>
      <c r="V120" s="663"/>
      <c r="W120" s="663"/>
      <c r="X120" s="663"/>
      <c r="Y120" s="663"/>
      <c r="Z120" s="663"/>
      <c r="AA120" s="663"/>
      <c r="AB120" s="663"/>
      <c r="AC120" s="663"/>
      <c r="AD120" s="663"/>
      <c r="AE120" s="663"/>
      <c r="AF120" s="663"/>
      <c r="AG120" s="663"/>
    </row>
    <row r="121" spans="1:33" ht="18" hidden="1" customHeight="1" x14ac:dyDescent="0.35">
      <c r="A121" s="666" t="s">
        <v>24</v>
      </c>
      <c r="B121" s="657">
        <v>2.1</v>
      </c>
      <c r="C121" s="663"/>
      <c r="D121" s="663"/>
      <c r="E121" s="663"/>
      <c r="F121" s="663"/>
      <c r="G121" s="663"/>
      <c r="H121" s="663"/>
      <c r="I121" s="663"/>
      <c r="J121" s="663"/>
      <c r="K121" s="663"/>
      <c r="L121" s="663"/>
      <c r="M121" s="663"/>
      <c r="N121" s="663"/>
      <c r="O121" s="663"/>
      <c r="P121" s="663"/>
      <c r="Q121" s="663"/>
      <c r="R121" s="663"/>
      <c r="S121" s="663"/>
      <c r="T121" s="663"/>
      <c r="U121" s="663"/>
      <c r="V121" s="663"/>
      <c r="W121" s="663"/>
      <c r="X121" s="663"/>
      <c r="Y121" s="663"/>
      <c r="Z121" s="663"/>
      <c r="AA121" s="663"/>
      <c r="AB121" s="663"/>
      <c r="AC121" s="663"/>
      <c r="AD121" s="663"/>
      <c r="AE121" s="663"/>
      <c r="AF121" s="663"/>
      <c r="AG121" s="663"/>
    </row>
    <row r="122" spans="1:33" ht="18" hidden="1" customHeight="1" x14ac:dyDescent="0.3">
      <c r="A122" s="663"/>
      <c r="B122" s="663"/>
      <c r="C122" s="663"/>
      <c r="D122" s="663"/>
      <c r="E122" s="663"/>
      <c r="F122" s="663"/>
      <c r="G122" s="663"/>
      <c r="H122" s="663"/>
      <c r="I122" s="663"/>
      <c r="J122" s="663"/>
      <c r="K122" s="663"/>
      <c r="L122" s="663"/>
      <c r="M122" s="663"/>
      <c r="N122" s="663"/>
      <c r="O122" s="663"/>
      <c r="P122" s="663"/>
      <c r="Q122" s="663"/>
      <c r="R122" s="663"/>
      <c r="S122" s="663"/>
      <c r="T122" s="663"/>
      <c r="U122" s="663"/>
      <c r="V122" s="663"/>
      <c r="W122" s="663"/>
      <c r="X122" s="663"/>
      <c r="Y122" s="663"/>
      <c r="Z122" s="663"/>
      <c r="AA122" s="663"/>
      <c r="AB122" s="663"/>
      <c r="AC122" s="663"/>
      <c r="AD122" s="663"/>
      <c r="AE122" s="663"/>
      <c r="AF122" s="663"/>
      <c r="AG122" s="663"/>
    </row>
    <row r="123" spans="1:33" ht="18" hidden="1" customHeight="1" x14ac:dyDescent="0.3">
      <c r="A123" s="663"/>
      <c r="B123" s="663"/>
      <c r="C123" s="663"/>
      <c r="D123" s="663"/>
      <c r="E123" s="663"/>
      <c r="F123" s="663"/>
      <c r="G123" s="663"/>
      <c r="H123" s="663"/>
      <c r="I123" s="663"/>
      <c r="J123" s="663"/>
      <c r="K123" s="663"/>
      <c r="L123" s="663"/>
      <c r="M123" s="663"/>
      <c r="N123" s="663"/>
      <c r="O123" s="663"/>
      <c r="P123" s="663"/>
      <c r="Q123" s="663"/>
      <c r="R123" s="663"/>
      <c r="S123" s="663"/>
      <c r="T123" s="663"/>
      <c r="U123" s="663"/>
      <c r="V123" s="663"/>
      <c r="W123" s="663"/>
      <c r="X123" s="663"/>
      <c r="Y123" s="663"/>
      <c r="Z123" s="663"/>
      <c r="AA123" s="663"/>
      <c r="AB123" s="663"/>
      <c r="AC123" s="663"/>
      <c r="AD123" s="663"/>
      <c r="AE123" s="663"/>
      <c r="AF123" s="663"/>
      <c r="AG123" s="663"/>
    </row>
    <row r="124" spans="1:33" ht="18" hidden="1" customHeight="1" x14ac:dyDescent="0.3">
      <c r="A124" s="672" t="s">
        <v>22</v>
      </c>
      <c r="B124" s="662">
        <v>4.2</v>
      </c>
      <c r="C124" s="663"/>
      <c r="D124" s="663"/>
      <c r="E124" s="663"/>
      <c r="F124" s="663"/>
      <c r="G124" s="663"/>
      <c r="H124" s="663"/>
      <c r="I124" s="663"/>
      <c r="J124" s="663"/>
      <c r="K124" s="663"/>
      <c r="L124" s="663"/>
      <c r="M124" s="663"/>
      <c r="N124" s="663"/>
      <c r="O124" s="663"/>
      <c r="P124" s="663"/>
      <c r="Q124" s="663"/>
      <c r="R124" s="663"/>
      <c r="S124" s="663"/>
      <c r="T124" s="663"/>
      <c r="U124" s="663"/>
      <c r="V124" s="663"/>
      <c r="W124" s="663"/>
      <c r="X124" s="663"/>
      <c r="Y124" s="663"/>
      <c r="Z124" s="663"/>
      <c r="AA124" s="663"/>
      <c r="AB124" s="663"/>
      <c r="AC124" s="663"/>
      <c r="AD124" s="663"/>
      <c r="AE124" s="663"/>
      <c r="AF124" s="663"/>
      <c r="AG124" s="663"/>
    </row>
    <row r="125" spans="1:33" ht="18" hidden="1" customHeight="1" x14ac:dyDescent="0.3">
      <c r="A125" s="673" t="s">
        <v>20</v>
      </c>
      <c r="B125" s="665">
        <v>0</v>
      </c>
      <c r="C125" s="663"/>
      <c r="D125" s="663"/>
      <c r="E125" s="663"/>
      <c r="F125" s="663"/>
      <c r="G125" s="663"/>
      <c r="H125" s="663"/>
      <c r="I125" s="663"/>
      <c r="J125" s="663"/>
      <c r="K125" s="663"/>
      <c r="L125" s="663"/>
      <c r="M125" s="663"/>
      <c r="N125" s="663"/>
      <c r="O125" s="663"/>
      <c r="P125" s="663"/>
      <c r="Q125" s="663"/>
      <c r="R125" s="663"/>
      <c r="S125" s="663"/>
      <c r="T125" s="663"/>
      <c r="U125" s="663"/>
      <c r="V125" s="663"/>
      <c r="W125" s="663"/>
      <c r="X125" s="663"/>
      <c r="Y125" s="663"/>
      <c r="Z125" s="663"/>
      <c r="AA125" s="663"/>
      <c r="AB125" s="663"/>
      <c r="AC125" s="663"/>
      <c r="AD125" s="663"/>
      <c r="AE125" s="663"/>
      <c r="AF125" s="663"/>
      <c r="AG125" s="663"/>
    </row>
    <row r="126" spans="1:33" ht="18" hidden="1" customHeight="1" x14ac:dyDescent="0.3">
      <c r="A126" s="674"/>
      <c r="B126" s="668"/>
      <c r="C126" s="663"/>
      <c r="D126" s="663"/>
      <c r="E126" s="663"/>
      <c r="F126" s="663"/>
      <c r="G126" s="663"/>
      <c r="H126" s="663"/>
      <c r="I126" s="663"/>
      <c r="J126" s="663"/>
      <c r="K126" s="663"/>
      <c r="L126" s="663"/>
      <c r="M126" s="663"/>
      <c r="N126" s="663"/>
      <c r="O126" s="663"/>
      <c r="P126" s="663"/>
      <c r="Q126" s="663"/>
      <c r="R126" s="663"/>
      <c r="S126" s="663"/>
      <c r="T126" s="663"/>
      <c r="U126" s="663"/>
      <c r="V126" s="663"/>
      <c r="W126" s="663"/>
      <c r="X126" s="663"/>
      <c r="Y126" s="663"/>
      <c r="Z126" s="663"/>
      <c r="AA126" s="663"/>
      <c r="AB126" s="663"/>
      <c r="AC126" s="663"/>
      <c r="AD126" s="663"/>
      <c r="AE126" s="663"/>
      <c r="AF126" s="663"/>
      <c r="AG126" s="663"/>
    </row>
    <row r="127" spans="1:33" ht="18" hidden="1" customHeight="1" x14ac:dyDescent="0.3">
      <c r="A127" s="663"/>
      <c r="B127" s="663"/>
      <c r="C127" s="663"/>
      <c r="D127" s="663"/>
      <c r="E127" s="663"/>
      <c r="F127" s="663"/>
      <c r="G127" s="663"/>
      <c r="H127" s="663"/>
      <c r="I127" s="663"/>
      <c r="J127" s="663"/>
      <c r="K127" s="663"/>
      <c r="L127" s="663"/>
      <c r="M127" s="663"/>
      <c r="N127" s="663"/>
      <c r="O127" s="663"/>
      <c r="P127" s="663"/>
      <c r="Q127" s="663"/>
      <c r="R127" s="663"/>
      <c r="S127" s="663"/>
      <c r="T127" s="663"/>
      <c r="U127" s="663"/>
      <c r="V127" s="663"/>
      <c r="W127" s="663"/>
      <c r="X127" s="663"/>
      <c r="Y127" s="663"/>
      <c r="Z127" s="663"/>
      <c r="AA127" s="663"/>
      <c r="AB127" s="663"/>
      <c r="AC127" s="663"/>
      <c r="AD127" s="663"/>
      <c r="AE127" s="663"/>
      <c r="AF127" s="663"/>
      <c r="AG127" s="663"/>
    </row>
    <row r="128" spans="1:33" ht="18" hidden="1" customHeight="1" x14ac:dyDescent="0.3">
      <c r="A128" s="672" t="s">
        <v>16</v>
      </c>
      <c r="B128" s="663"/>
      <c r="C128" s="663"/>
      <c r="D128" s="663"/>
      <c r="E128" s="663"/>
      <c r="F128" s="663"/>
      <c r="G128" s="663"/>
      <c r="H128" s="663"/>
      <c r="I128" s="663"/>
      <c r="J128" s="663"/>
      <c r="K128" s="663"/>
      <c r="L128" s="663"/>
      <c r="M128" s="663"/>
      <c r="N128" s="663"/>
      <c r="O128" s="663"/>
      <c r="P128" s="663"/>
      <c r="Q128" s="663"/>
      <c r="R128" s="663"/>
      <c r="S128" s="663"/>
      <c r="T128" s="663"/>
      <c r="U128" s="663"/>
      <c r="V128" s="663"/>
      <c r="W128" s="663"/>
      <c r="X128" s="663"/>
      <c r="Y128" s="663"/>
      <c r="Z128" s="663"/>
      <c r="AA128" s="663"/>
      <c r="AB128" s="663"/>
      <c r="AC128" s="663"/>
      <c r="AD128" s="663"/>
      <c r="AE128" s="663"/>
      <c r="AF128" s="663"/>
      <c r="AG128" s="663"/>
    </row>
    <row r="129" spans="1:33" ht="18" hidden="1" customHeight="1" x14ac:dyDescent="0.3">
      <c r="A129" s="673" t="s">
        <v>468</v>
      </c>
      <c r="B129" s="663"/>
      <c r="C129" s="663"/>
      <c r="D129" s="663"/>
      <c r="E129" s="663"/>
      <c r="F129" s="663"/>
      <c r="G129" s="663"/>
      <c r="H129" s="663"/>
      <c r="I129" s="663"/>
      <c r="J129" s="663"/>
      <c r="K129" s="663"/>
      <c r="L129" s="663"/>
      <c r="M129" s="663"/>
      <c r="N129" s="663"/>
      <c r="O129" s="663"/>
      <c r="P129" s="663"/>
      <c r="Q129" s="663"/>
      <c r="R129" s="663"/>
      <c r="S129" s="663"/>
      <c r="T129" s="663"/>
      <c r="U129" s="663"/>
      <c r="V129" s="663"/>
      <c r="W129" s="663"/>
      <c r="X129" s="663"/>
      <c r="Y129" s="663"/>
      <c r="Z129" s="663"/>
      <c r="AA129" s="663"/>
      <c r="AB129" s="663"/>
      <c r="AC129" s="663"/>
      <c r="AD129" s="663"/>
      <c r="AE129" s="663"/>
      <c r="AF129" s="663"/>
      <c r="AG129" s="663"/>
    </row>
    <row r="130" spans="1:33" ht="18" hidden="1" customHeight="1" x14ac:dyDescent="0.3">
      <c r="A130" s="663"/>
      <c r="B130" s="663"/>
      <c r="C130" s="663"/>
      <c r="D130" s="663"/>
      <c r="E130" s="663"/>
      <c r="F130" s="663"/>
      <c r="G130" s="663"/>
      <c r="H130" s="663"/>
      <c r="I130" s="663"/>
      <c r="J130" s="663"/>
      <c r="K130" s="663"/>
      <c r="L130" s="663"/>
      <c r="M130" s="663"/>
      <c r="N130" s="663"/>
      <c r="O130" s="663"/>
      <c r="P130" s="663"/>
      <c r="Q130" s="663"/>
      <c r="R130" s="663"/>
      <c r="S130" s="663"/>
      <c r="T130" s="663"/>
      <c r="U130" s="663"/>
      <c r="V130" s="663"/>
      <c r="W130" s="663"/>
      <c r="X130" s="663"/>
      <c r="Y130" s="663"/>
      <c r="Z130" s="663"/>
      <c r="AA130" s="663"/>
      <c r="AB130" s="663"/>
      <c r="AC130" s="663"/>
      <c r="AD130" s="663"/>
      <c r="AE130" s="663"/>
      <c r="AF130" s="663"/>
      <c r="AG130" s="663"/>
    </row>
    <row r="131" spans="1:33" ht="18" hidden="1" customHeight="1" x14ac:dyDescent="0.3">
      <c r="A131" s="663"/>
      <c r="B131" s="663"/>
      <c r="C131" s="663"/>
      <c r="D131" s="663"/>
      <c r="E131" s="663"/>
      <c r="F131" s="663"/>
      <c r="G131" s="663"/>
      <c r="H131" s="663"/>
      <c r="I131" s="663"/>
      <c r="J131" s="663"/>
      <c r="K131" s="663"/>
      <c r="L131" s="663"/>
      <c r="M131" s="663"/>
      <c r="N131" s="663"/>
      <c r="O131" s="663"/>
      <c r="P131" s="663"/>
      <c r="Q131" s="663"/>
      <c r="R131" s="663"/>
      <c r="S131" s="663"/>
      <c r="T131" s="663"/>
      <c r="U131" s="663"/>
      <c r="V131" s="663"/>
      <c r="W131" s="663"/>
      <c r="X131" s="663"/>
      <c r="Y131" s="663"/>
      <c r="Z131" s="663"/>
      <c r="AA131" s="663"/>
      <c r="AB131" s="663"/>
      <c r="AC131" s="663"/>
      <c r="AD131" s="663"/>
      <c r="AE131" s="663"/>
      <c r="AF131" s="663"/>
      <c r="AG131" s="663"/>
    </row>
    <row r="132" spans="1:33" ht="18" hidden="1" customHeight="1" x14ac:dyDescent="0.3">
      <c r="A132" s="663"/>
      <c r="B132" s="663"/>
      <c r="C132" s="663"/>
      <c r="D132" s="663"/>
      <c r="E132" s="663"/>
      <c r="F132" s="663"/>
      <c r="G132" s="663"/>
      <c r="H132" s="663"/>
      <c r="I132" s="663"/>
      <c r="J132" s="663"/>
      <c r="K132" s="663"/>
      <c r="L132" s="663"/>
      <c r="M132" s="663"/>
      <c r="N132" s="663"/>
      <c r="O132" s="663"/>
      <c r="P132" s="663"/>
      <c r="Q132" s="663"/>
      <c r="R132" s="663"/>
      <c r="S132" s="663"/>
      <c r="T132" s="663"/>
      <c r="U132" s="663"/>
      <c r="V132" s="663"/>
      <c r="W132" s="663"/>
      <c r="X132" s="663"/>
      <c r="Y132" s="663"/>
      <c r="Z132" s="663"/>
      <c r="AA132" s="663"/>
      <c r="AB132" s="663"/>
      <c r="AC132" s="663"/>
      <c r="AD132" s="663"/>
      <c r="AE132" s="663"/>
      <c r="AF132" s="663"/>
      <c r="AG132" s="663"/>
    </row>
    <row r="133" spans="1:33" ht="18" hidden="1" customHeight="1" x14ac:dyDescent="0.3">
      <c r="A133" s="663" t="s">
        <v>86</v>
      </c>
      <c r="B133" s="663" t="s">
        <v>86</v>
      </c>
      <c r="C133" s="663" t="s">
        <v>10</v>
      </c>
      <c r="D133" s="663">
        <v>1</v>
      </c>
      <c r="E133" s="663">
        <v>1.5</v>
      </c>
      <c r="F133" s="663"/>
      <c r="G133" s="663"/>
      <c r="H133" s="663"/>
      <c r="I133" s="663"/>
      <c r="J133" s="663"/>
      <c r="K133" s="663"/>
      <c r="L133" s="663"/>
      <c r="M133" s="663"/>
      <c r="N133" s="663"/>
      <c r="O133" s="663"/>
      <c r="P133" s="663"/>
      <c r="Q133" s="663"/>
      <c r="R133" s="663"/>
      <c r="S133" s="663"/>
      <c r="T133" s="663"/>
      <c r="U133" s="663"/>
      <c r="V133" s="663"/>
      <c r="W133" s="663"/>
      <c r="X133" s="663"/>
      <c r="Y133" s="663"/>
      <c r="Z133" s="663"/>
      <c r="AA133" s="663"/>
      <c r="AB133" s="663"/>
      <c r="AC133" s="663"/>
      <c r="AD133" s="663"/>
      <c r="AE133" s="663"/>
      <c r="AF133" s="663"/>
      <c r="AG133" s="663"/>
    </row>
    <row r="134" spans="1:33" ht="18" hidden="1" customHeight="1" x14ac:dyDescent="0.3">
      <c r="A134" s="663" t="s">
        <v>10</v>
      </c>
      <c r="B134" s="663" t="s">
        <v>10</v>
      </c>
      <c r="C134" s="663" t="s">
        <v>10</v>
      </c>
      <c r="D134" s="663">
        <v>1.5</v>
      </c>
      <c r="E134" s="663">
        <v>1.5</v>
      </c>
      <c r="F134" s="663"/>
      <c r="G134" s="663"/>
      <c r="H134" s="663"/>
      <c r="I134" s="663"/>
      <c r="J134" s="663"/>
      <c r="K134" s="663"/>
      <c r="L134" s="663"/>
      <c r="M134" s="663"/>
      <c r="N134" s="663"/>
      <c r="O134" s="663"/>
      <c r="P134" s="663"/>
      <c r="Q134" s="663"/>
      <c r="R134" s="663"/>
      <c r="S134" s="663"/>
      <c r="T134" s="663"/>
      <c r="U134" s="663"/>
      <c r="V134" s="663"/>
      <c r="W134" s="663"/>
      <c r="X134" s="663"/>
      <c r="Y134" s="663"/>
      <c r="Z134" s="663"/>
      <c r="AA134" s="663"/>
      <c r="AB134" s="663"/>
      <c r="AC134" s="663"/>
      <c r="AD134" s="663"/>
      <c r="AE134" s="663"/>
      <c r="AF134" s="663"/>
      <c r="AG134" s="663"/>
    </row>
    <row r="135" spans="1:33" ht="18" hidden="1" customHeight="1" x14ac:dyDescent="0.3">
      <c r="A135" s="663"/>
      <c r="B135" s="663"/>
      <c r="C135" s="663"/>
      <c r="D135" s="663"/>
      <c r="E135" s="663"/>
      <c r="F135" s="663"/>
      <c r="G135" s="663"/>
      <c r="H135" s="663"/>
      <c r="I135" s="663"/>
      <c r="J135" s="663"/>
      <c r="K135" s="663"/>
      <c r="L135" s="663"/>
      <c r="M135" s="663"/>
      <c r="N135" s="663"/>
      <c r="O135" s="663"/>
      <c r="P135" s="663"/>
      <c r="Q135" s="663"/>
      <c r="R135" s="663"/>
      <c r="S135" s="663"/>
      <c r="T135" s="663"/>
      <c r="U135" s="663"/>
      <c r="V135" s="663"/>
      <c r="W135" s="663"/>
      <c r="X135" s="663"/>
      <c r="Y135" s="663"/>
      <c r="Z135" s="663"/>
      <c r="AA135" s="663"/>
      <c r="AB135" s="663"/>
      <c r="AC135" s="663"/>
      <c r="AD135" s="663"/>
      <c r="AE135" s="663"/>
      <c r="AF135" s="663"/>
      <c r="AG135" s="663"/>
    </row>
    <row r="136" spans="1:33" ht="18" hidden="1" customHeight="1" x14ac:dyDescent="0.3">
      <c r="A136" s="663"/>
      <c r="B136" s="663"/>
      <c r="C136" s="663"/>
      <c r="D136" s="663"/>
      <c r="E136" s="663"/>
      <c r="F136" s="663"/>
      <c r="G136" s="663"/>
      <c r="H136" s="663"/>
      <c r="I136" s="663"/>
      <c r="J136" s="663"/>
      <c r="K136" s="663"/>
      <c r="L136" s="663"/>
      <c r="M136" s="663"/>
      <c r="N136" s="663"/>
      <c r="O136" s="663"/>
      <c r="P136" s="663"/>
      <c r="Q136" s="663"/>
      <c r="R136" s="663"/>
      <c r="S136" s="663"/>
      <c r="T136" s="663"/>
      <c r="U136" s="663"/>
      <c r="V136" s="663"/>
      <c r="W136" s="663"/>
      <c r="X136" s="663"/>
      <c r="Y136" s="663"/>
      <c r="Z136" s="663"/>
      <c r="AA136" s="663"/>
      <c r="AB136" s="663"/>
      <c r="AC136" s="663"/>
      <c r="AD136" s="663"/>
      <c r="AE136" s="663"/>
      <c r="AF136" s="663"/>
      <c r="AG136" s="663"/>
    </row>
    <row r="137" spans="1:33" ht="18" hidden="1" customHeight="1" x14ac:dyDescent="0.3">
      <c r="A137" s="663" t="s">
        <v>88</v>
      </c>
      <c r="B137" s="663" t="s">
        <v>89</v>
      </c>
      <c r="C137" s="663" t="s">
        <v>89</v>
      </c>
      <c r="D137" s="663">
        <v>1.9</v>
      </c>
      <c r="E137" s="663"/>
      <c r="F137" s="663"/>
      <c r="G137" s="663"/>
      <c r="H137" s="663"/>
      <c r="I137" s="663"/>
      <c r="J137" s="663"/>
      <c r="K137" s="663"/>
      <c r="L137" s="663"/>
      <c r="M137" s="663"/>
      <c r="N137" s="663"/>
      <c r="O137" s="663"/>
      <c r="P137" s="663"/>
      <c r="Q137" s="663"/>
      <c r="R137" s="663"/>
      <c r="S137" s="663"/>
      <c r="T137" s="663"/>
      <c r="U137" s="663"/>
      <c r="V137" s="663"/>
      <c r="W137" s="663"/>
      <c r="X137" s="663"/>
      <c r="Y137" s="663"/>
      <c r="Z137" s="663"/>
      <c r="AA137" s="663"/>
      <c r="AB137" s="663"/>
      <c r="AC137" s="663"/>
      <c r="AD137" s="663"/>
      <c r="AE137" s="663"/>
      <c r="AF137" s="663"/>
      <c r="AG137" s="663"/>
    </row>
    <row r="138" spans="1:33" ht="18" hidden="1" customHeight="1" x14ac:dyDescent="0.3">
      <c r="A138" s="663" t="s">
        <v>12</v>
      </c>
      <c r="B138" s="663" t="s">
        <v>90</v>
      </c>
      <c r="C138" s="663" t="s">
        <v>90</v>
      </c>
      <c r="D138" s="663">
        <v>2.1</v>
      </c>
      <c r="E138" s="663"/>
      <c r="F138" s="663"/>
      <c r="G138" s="663"/>
      <c r="H138" s="663"/>
      <c r="I138" s="663"/>
      <c r="J138" s="663"/>
      <c r="K138" s="663"/>
      <c r="L138" s="663"/>
      <c r="M138" s="663"/>
      <c r="N138" s="663"/>
      <c r="O138" s="663"/>
      <c r="P138" s="663"/>
      <c r="Q138" s="663"/>
      <c r="R138" s="663"/>
      <c r="S138" s="663"/>
      <c r="T138" s="663"/>
      <c r="U138" s="663"/>
      <c r="V138" s="663"/>
      <c r="W138" s="663"/>
      <c r="X138" s="663"/>
      <c r="Y138" s="663"/>
      <c r="Z138" s="663"/>
      <c r="AA138" s="663"/>
      <c r="AB138" s="663"/>
      <c r="AC138" s="663"/>
      <c r="AD138" s="663"/>
      <c r="AE138" s="663"/>
      <c r="AF138" s="663"/>
      <c r="AG138" s="663"/>
    </row>
    <row r="139" spans="1:33" ht="18" hidden="1" customHeight="1" x14ac:dyDescent="0.3">
      <c r="A139" s="663"/>
      <c r="B139" s="663"/>
      <c r="C139" s="663"/>
      <c r="D139" s="663"/>
      <c r="E139" s="663"/>
      <c r="F139" s="663"/>
      <c r="G139" s="663"/>
      <c r="H139" s="663"/>
      <c r="I139" s="663"/>
      <c r="J139" s="663"/>
      <c r="K139" s="663"/>
      <c r="L139" s="663"/>
      <c r="M139" s="663"/>
      <c r="N139" s="663"/>
      <c r="O139" s="663"/>
      <c r="P139" s="663"/>
      <c r="Q139" s="663"/>
      <c r="R139" s="663"/>
      <c r="S139" s="663"/>
      <c r="T139" s="663"/>
      <c r="U139" s="663"/>
      <c r="V139" s="663"/>
      <c r="W139" s="663"/>
      <c r="X139" s="663"/>
      <c r="Y139" s="663"/>
      <c r="Z139" s="663"/>
      <c r="AA139" s="663"/>
      <c r="AB139" s="663"/>
      <c r="AC139" s="663"/>
      <c r="AD139" s="663"/>
      <c r="AE139" s="663"/>
      <c r="AF139" s="663"/>
      <c r="AG139" s="663"/>
    </row>
    <row r="140" spans="1:33" ht="18" hidden="1" customHeight="1" x14ac:dyDescent="0.3">
      <c r="A140" s="660" t="s">
        <v>16</v>
      </c>
      <c r="B140" s="661">
        <v>0</v>
      </c>
      <c r="C140" s="662">
        <v>0</v>
      </c>
      <c r="D140" s="663"/>
      <c r="E140" s="663"/>
      <c r="F140" s="663"/>
      <c r="G140" s="663"/>
      <c r="H140" s="663"/>
      <c r="I140" s="663"/>
      <c r="J140" s="663"/>
      <c r="K140" s="663"/>
      <c r="L140" s="663"/>
      <c r="M140" s="663"/>
      <c r="N140" s="663"/>
      <c r="O140" s="663"/>
      <c r="P140" s="663"/>
      <c r="Q140" s="663"/>
      <c r="R140" s="663"/>
      <c r="S140" s="663"/>
      <c r="T140" s="663"/>
      <c r="U140" s="663"/>
      <c r="V140" s="663"/>
      <c r="W140" s="663"/>
      <c r="X140" s="663"/>
      <c r="Y140" s="663"/>
      <c r="Z140" s="663"/>
      <c r="AA140" s="663"/>
      <c r="AB140" s="663"/>
      <c r="AC140" s="663"/>
      <c r="AD140" s="663"/>
      <c r="AE140" s="663"/>
      <c r="AF140" s="663"/>
      <c r="AG140" s="663"/>
    </row>
    <row r="141" spans="1:33" ht="18" hidden="1" customHeight="1" x14ac:dyDescent="0.3">
      <c r="A141" s="664" t="s">
        <v>334</v>
      </c>
      <c r="B141" s="663">
        <v>0.7</v>
      </c>
      <c r="C141" s="665">
        <v>2</v>
      </c>
      <c r="D141" s="663">
        <v>1</v>
      </c>
      <c r="E141" s="663"/>
      <c r="F141" s="663"/>
      <c r="G141" s="663"/>
      <c r="H141" s="663"/>
      <c r="I141" s="663"/>
      <c r="J141" s="663"/>
      <c r="K141" s="663"/>
      <c r="L141" s="663"/>
      <c r="M141" s="663"/>
      <c r="N141" s="663"/>
      <c r="O141" s="663"/>
      <c r="P141" s="663"/>
      <c r="Q141" s="663"/>
      <c r="R141" s="663"/>
      <c r="S141" s="663"/>
      <c r="T141" s="663"/>
      <c r="U141" s="663"/>
      <c r="V141" s="663"/>
      <c r="W141" s="663"/>
      <c r="X141" s="663"/>
      <c r="Y141" s="663"/>
      <c r="Z141" s="663"/>
      <c r="AA141" s="663"/>
      <c r="AB141" s="663"/>
      <c r="AC141" s="663"/>
      <c r="AD141" s="663"/>
      <c r="AE141" s="663"/>
      <c r="AF141" s="663"/>
      <c r="AG141" s="663"/>
    </row>
    <row r="142" spans="1:33" ht="18" hidden="1" customHeight="1" x14ac:dyDescent="0.3">
      <c r="A142" s="664" t="s">
        <v>335</v>
      </c>
      <c r="B142" s="663">
        <v>1</v>
      </c>
      <c r="C142" s="665">
        <v>8</v>
      </c>
      <c r="D142" s="663">
        <v>5.3</v>
      </c>
      <c r="E142" s="663"/>
      <c r="F142" s="663"/>
      <c r="G142" s="663"/>
      <c r="H142" s="663"/>
      <c r="I142" s="663"/>
      <c r="J142" s="663"/>
      <c r="K142" s="663"/>
      <c r="L142" s="663"/>
      <c r="M142" s="663"/>
      <c r="N142" s="663"/>
      <c r="O142" s="663"/>
      <c r="P142" s="663"/>
      <c r="Q142" s="663"/>
      <c r="R142" s="663"/>
      <c r="S142" s="663"/>
      <c r="T142" s="663"/>
      <c r="U142" s="663"/>
      <c r="V142" s="663"/>
      <c r="W142" s="663"/>
      <c r="X142" s="663"/>
      <c r="Y142" s="663"/>
      <c r="Z142" s="663"/>
      <c r="AA142" s="663"/>
      <c r="AB142" s="663"/>
      <c r="AC142" s="663"/>
      <c r="AD142" s="663"/>
      <c r="AE142" s="663"/>
      <c r="AF142" s="663"/>
      <c r="AG142" s="663"/>
    </row>
    <row r="143" spans="1:33" ht="18" hidden="1" customHeight="1" x14ac:dyDescent="0.3">
      <c r="A143" s="664" t="s">
        <v>336</v>
      </c>
      <c r="B143" s="663">
        <f>1.5+2</f>
        <v>3.5</v>
      </c>
      <c r="C143" s="665">
        <v>19</v>
      </c>
      <c r="D143" s="663">
        <v>6.3</v>
      </c>
      <c r="E143" s="663"/>
      <c r="F143" s="663"/>
      <c r="G143" s="663"/>
      <c r="H143" s="663"/>
      <c r="I143" s="663"/>
      <c r="J143" s="663"/>
      <c r="K143" s="663"/>
      <c r="L143" s="663"/>
      <c r="M143" s="663"/>
      <c r="N143" s="663"/>
      <c r="O143" s="663"/>
      <c r="P143" s="663"/>
      <c r="Q143" s="663"/>
      <c r="R143" s="663"/>
      <c r="S143" s="663"/>
      <c r="T143" s="663"/>
      <c r="U143" s="663"/>
      <c r="V143" s="663"/>
      <c r="W143" s="663"/>
      <c r="X143" s="663"/>
      <c r="Y143" s="663"/>
      <c r="Z143" s="663"/>
      <c r="AA143" s="663"/>
      <c r="AB143" s="663"/>
      <c r="AC143" s="663"/>
      <c r="AD143" s="663"/>
      <c r="AE143" s="663"/>
      <c r="AF143" s="663"/>
      <c r="AG143" s="663"/>
    </row>
    <row r="144" spans="1:33" ht="18" hidden="1" customHeight="1" x14ac:dyDescent="0.3">
      <c r="A144" s="664" t="s">
        <v>337</v>
      </c>
      <c r="B144" s="663">
        <f>1.5+2+1</f>
        <v>4.5</v>
      </c>
      <c r="C144" s="665">
        <v>22</v>
      </c>
      <c r="D144" s="663">
        <v>6.5</v>
      </c>
      <c r="E144" s="663"/>
      <c r="F144" s="663"/>
      <c r="G144" s="663"/>
      <c r="H144" s="663"/>
      <c r="I144" s="663"/>
      <c r="J144" s="663"/>
      <c r="K144" s="663"/>
      <c r="L144" s="663"/>
      <c r="M144" s="663"/>
      <c r="N144" s="663"/>
      <c r="O144" s="663"/>
      <c r="P144" s="663"/>
      <c r="Q144" s="663"/>
      <c r="R144" s="663"/>
      <c r="S144" s="663"/>
      <c r="T144" s="663"/>
      <c r="U144" s="663"/>
      <c r="V144" s="663"/>
      <c r="W144" s="663"/>
      <c r="X144" s="663"/>
      <c r="Y144" s="663"/>
      <c r="Z144" s="663"/>
      <c r="AA144" s="663"/>
      <c r="AB144" s="663"/>
      <c r="AC144" s="663"/>
      <c r="AD144" s="663"/>
      <c r="AE144" s="663"/>
      <c r="AF144" s="663"/>
      <c r="AG144" s="663"/>
    </row>
    <row r="145" spans="1:33" ht="18" hidden="1" customHeight="1" x14ac:dyDescent="0.3">
      <c r="A145" s="664" t="s">
        <v>338</v>
      </c>
      <c r="B145" s="663">
        <v>1.5</v>
      </c>
      <c r="C145" s="665">
        <v>11</v>
      </c>
      <c r="D145" s="663">
        <v>5.95</v>
      </c>
      <c r="E145" s="663"/>
      <c r="F145" s="663"/>
      <c r="G145" s="663"/>
      <c r="H145" s="663"/>
      <c r="I145" s="663"/>
      <c r="J145" s="663"/>
      <c r="K145" s="663"/>
      <c r="L145" s="663"/>
      <c r="M145" s="663"/>
      <c r="N145" s="663"/>
      <c r="O145" s="663"/>
      <c r="P145" s="663"/>
      <c r="Q145" s="663"/>
      <c r="R145" s="663"/>
      <c r="S145" s="663"/>
      <c r="T145" s="663"/>
      <c r="U145" s="663"/>
      <c r="V145" s="663"/>
      <c r="W145" s="663"/>
      <c r="X145" s="663"/>
      <c r="Y145" s="663"/>
      <c r="Z145" s="663"/>
      <c r="AA145" s="663"/>
      <c r="AB145" s="663"/>
      <c r="AC145" s="663"/>
      <c r="AD145" s="663"/>
      <c r="AE145" s="663"/>
      <c r="AF145" s="663"/>
      <c r="AG145" s="663"/>
    </row>
    <row r="146" spans="1:33" ht="18" hidden="1" customHeight="1" x14ac:dyDescent="0.3">
      <c r="A146" s="664" t="s">
        <v>339</v>
      </c>
      <c r="B146" s="667">
        <v>2.5</v>
      </c>
      <c r="C146" s="668">
        <v>13</v>
      </c>
      <c r="D146" s="663">
        <v>6.1</v>
      </c>
      <c r="E146" s="663"/>
      <c r="F146" s="663"/>
      <c r="G146" s="663"/>
      <c r="H146" s="663"/>
      <c r="I146" s="663"/>
      <c r="J146" s="663"/>
      <c r="K146" s="663"/>
      <c r="L146" s="663"/>
      <c r="M146" s="663"/>
      <c r="N146" s="663"/>
      <c r="O146" s="663"/>
      <c r="P146" s="663"/>
      <c r="Q146" s="663"/>
      <c r="R146" s="663"/>
      <c r="S146" s="663"/>
      <c r="T146" s="663"/>
      <c r="U146" s="663"/>
      <c r="V146" s="663"/>
      <c r="W146" s="663"/>
      <c r="X146" s="663"/>
      <c r="Y146" s="663"/>
      <c r="Z146" s="663"/>
      <c r="AA146" s="663"/>
      <c r="AB146" s="663"/>
      <c r="AC146" s="663"/>
      <c r="AD146" s="663"/>
      <c r="AE146" s="663"/>
      <c r="AF146" s="663"/>
      <c r="AG146" s="663"/>
    </row>
    <row r="147" spans="1:33" ht="18" hidden="1" customHeight="1" x14ac:dyDescent="0.3">
      <c r="A147" s="663"/>
      <c r="B147" s="663"/>
      <c r="C147" s="663"/>
      <c r="D147" s="663"/>
      <c r="E147" s="663"/>
      <c r="F147" s="663"/>
      <c r="G147" s="663"/>
      <c r="H147" s="663"/>
      <c r="I147" s="663"/>
      <c r="J147" s="663"/>
      <c r="K147" s="663"/>
      <c r="L147" s="663"/>
      <c r="M147" s="663"/>
      <c r="N147" s="663"/>
      <c r="O147" s="663"/>
      <c r="P147" s="663"/>
      <c r="Q147" s="663"/>
      <c r="R147" s="663"/>
      <c r="S147" s="663"/>
      <c r="T147" s="663"/>
      <c r="U147" s="663"/>
      <c r="V147" s="663"/>
      <c r="W147" s="663"/>
      <c r="X147" s="663"/>
      <c r="Y147" s="663"/>
      <c r="Z147" s="663"/>
      <c r="AA147" s="663"/>
      <c r="AB147" s="663"/>
      <c r="AC147" s="663"/>
      <c r="AD147" s="663"/>
      <c r="AE147" s="663"/>
      <c r="AF147" s="663"/>
      <c r="AG147" s="663"/>
    </row>
    <row r="148" spans="1:33" ht="18" hidden="1" customHeight="1" x14ac:dyDescent="0.3">
      <c r="A148" s="663"/>
      <c r="B148" s="663"/>
      <c r="C148" s="663"/>
      <c r="D148" s="663"/>
      <c r="E148" s="663"/>
      <c r="F148" s="663"/>
      <c r="G148" s="663"/>
      <c r="H148" s="663"/>
      <c r="I148" s="663"/>
      <c r="J148" s="663"/>
      <c r="K148" s="663"/>
      <c r="L148" s="663"/>
      <c r="M148" s="663"/>
      <c r="N148" s="663"/>
      <c r="O148" s="663"/>
      <c r="P148" s="663"/>
      <c r="Q148" s="663"/>
      <c r="R148" s="663"/>
      <c r="S148" s="663"/>
      <c r="T148" s="663"/>
      <c r="U148" s="663"/>
      <c r="V148" s="663"/>
      <c r="W148" s="663"/>
      <c r="X148" s="663"/>
      <c r="Y148" s="663"/>
      <c r="Z148" s="663"/>
      <c r="AA148" s="663"/>
      <c r="AB148" s="663"/>
      <c r="AC148" s="663"/>
      <c r="AD148" s="663"/>
      <c r="AE148" s="663"/>
      <c r="AF148" s="663"/>
      <c r="AG148" s="663"/>
    </row>
    <row r="149" spans="1:33" ht="18" hidden="1" customHeight="1" x14ac:dyDescent="0.3">
      <c r="A149" s="663" t="s">
        <v>375</v>
      </c>
      <c r="B149" s="663">
        <v>1</v>
      </c>
      <c r="C149" s="663">
        <v>3</v>
      </c>
      <c r="D149" s="663"/>
      <c r="E149" s="663"/>
      <c r="F149" s="663"/>
      <c r="G149" s="663"/>
      <c r="H149" s="663"/>
      <c r="I149" s="663"/>
      <c r="J149" s="663"/>
      <c r="K149" s="663"/>
      <c r="L149" s="663"/>
      <c r="M149" s="663"/>
      <c r="N149" s="663"/>
      <c r="O149" s="663"/>
      <c r="P149" s="663"/>
      <c r="Q149" s="663"/>
      <c r="R149" s="663"/>
      <c r="S149" s="663"/>
      <c r="T149" s="663"/>
      <c r="U149" s="663"/>
      <c r="V149" s="663"/>
      <c r="W149" s="663"/>
      <c r="X149" s="663"/>
      <c r="Y149" s="663"/>
      <c r="Z149" s="663"/>
      <c r="AA149" s="663"/>
      <c r="AB149" s="663"/>
      <c r="AC149" s="663"/>
      <c r="AD149" s="663"/>
      <c r="AE149" s="663"/>
      <c r="AF149" s="663"/>
      <c r="AG149" s="663"/>
    </row>
    <row r="150" spans="1:33" ht="18" hidden="1" customHeight="1" x14ac:dyDescent="0.3">
      <c r="A150" s="663" t="s">
        <v>113</v>
      </c>
      <c r="B150" s="663">
        <v>1</v>
      </c>
      <c r="C150" s="663">
        <v>5</v>
      </c>
      <c r="D150" s="663"/>
      <c r="E150" s="663"/>
      <c r="F150" s="663"/>
      <c r="G150" s="663"/>
      <c r="H150" s="663"/>
      <c r="I150" s="663"/>
      <c r="J150" s="663"/>
      <c r="K150" s="663"/>
      <c r="L150" s="663"/>
      <c r="M150" s="663"/>
      <c r="N150" s="663"/>
      <c r="O150" s="663"/>
      <c r="P150" s="663"/>
      <c r="Q150" s="663"/>
      <c r="R150" s="663"/>
      <c r="S150" s="663"/>
      <c r="T150" s="663"/>
      <c r="U150" s="663"/>
      <c r="V150" s="663"/>
      <c r="W150" s="663"/>
      <c r="X150" s="663"/>
      <c r="Y150" s="663"/>
      <c r="Z150" s="663"/>
      <c r="AA150" s="663"/>
      <c r="AB150" s="663"/>
      <c r="AC150" s="663"/>
      <c r="AD150" s="663"/>
      <c r="AE150" s="663"/>
      <c r="AF150" s="663"/>
      <c r="AG150" s="663"/>
    </row>
    <row r="151" spans="1:33" ht="18" hidden="1" customHeight="1" x14ac:dyDescent="0.3">
      <c r="A151" s="663" t="s">
        <v>16</v>
      </c>
      <c r="B151" s="663"/>
      <c r="C151" s="663"/>
      <c r="D151" s="663"/>
      <c r="E151" s="663"/>
      <c r="F151" s="663"/>
      <c r="G151" s="663"/>
      <c r="H151" s="663"/>
      <c r="I151" s="663"/>
      <c r="J151" s="663"/>
      <c r="K151" s="663"/>
      <c r="L151" s="663"/>
      <c r="M151" s="663"/>
      <c r="N151" s="663"/>
      <c r="O151" s="663"/>
      <c r="P151" s="663"/>
      <c r="Q151" s="663"/>
      <c r="R151" s="663"/>
      <c r="S151" s="663"/>
      <c r="T151" s="663"/>
      <c r="U151" s="663"/>
      <c r="V151" s="663"/>
      <c r="W151" s="663"/>
      <c r="X151" s="663"/>
      <c r="Y151" s="663"/>
      <c r="Z151" s="663"/>
      <c r="AA151" s="663"/>
      <c r="AB151" s="663"/>
      <c r="AC151" s="663"/>
      <c r="AD151" s="663"/>
      <c r="AE151" s="663"/>
      <c r="AF151" s="663"/>
      <c r="AG151" s="663"/>
    </row>
    <row r="152" spans="1:33" ht="18" hidden="1" customHeight="1" x14ac:dyDescent="0.3">
      <c r="A152" s="663" t="s">
        <v>469</v>
      </c>
      <c r="B152" s="663">
        <v>2</v>
      </c>
      <c r="C152" s="663">
        <v>2.1</v>
      </c>
      <c r="D152" s="663"/>
      <c r="E152" s="663"/>
      <c r="F152" s="663"/>
      <c r="G152" s="663"/>
      <c r="H152" s="663"/>
      <c r="I152" s="663"/>
      <c r="J152" s="663"/>
      <c r="K152" s="663"/>
      <c r="L152" s="663"/>
      <c r="M152" s="663"/>
      <c r="N152" s="663"/>
      <c r="O152" s="663"/>
      <c r="P152" s="663"/>
      <c r="Q152" s="663"/>
      <c r="R152" s="663"/>
      <c r="S152" s="663"/>
      <c r="T152" s="663"/>
      <c r="U152" s="663"/>
      <c r="V152" s="663"/>
      <c r="W152" s="663"/>
      <c r="X152" s="663"/>
      <c r="Y152" s="663"/>
      <c r="Z152" s="663"/>
      <c r="AA152" s="663"/>
      <c r="AB152" s="663"/>
      <c r="AC152" s="663"/>
      <c r="AD152" s="663"/>
      <c r="AE152" s="663"/>
      <c r="AF152" s="663"/>
      <c r="AG152" s="663"/>
    </row>
    <row r="153" spans="1:33" ht="18" hidden="1" customHeight="1" x14ac:dyDescent="0.3">
      <c r="A153" s="663" t="s">
        <v>262</v>
      </c>
      <c r="B153" s="663">
        <v>1</v>
      </c>
      <c r="C153" s="663">
        <v>3</v>
      </c>
      <c r="D153" s="663"/>
      <c r="E153" s="663"/>
      <c r="F153" s="663"/>
      <c r="G153" s="663"/>
      <c r="H153" s="663"/>
      <c r="I153" s="663"/>
      <c r="J153" s="663"/>
      <c r="K153" s="663"/>
      <c r="L153" s="663"/>
      <c r="M153" s="663"/>
      <c r="N153" s="663"/>
      <c r="O153" s="663"/>
      <c r="P153" s="663"/>
      <c r="Q153" s="663"/>
      <c r="R153" s="663"/>
      <c r="S153" s="663"/>
      <c r="T153" s="663"/>
      <c r="U153" s="663"/>
      <c r="V153" s="663"/>
      <c r="W153" s="663"/>
      <c r="X153" s="663"/>
      <c r="Y153" s="663"/>
      <c r="Z153" s="663"/>
      <c r="AA153" s="663"/>
      <c r="AB153" s="663"/>
      <c r="AC153" s="663"/>
      <c r="AD153" s="663"/>
      <c r="AE153" s="663"/>
      <c r="AF153" s="663"/>
      <c r="AG153" s="663"/>
    </row>
    <row r="154" spans="1:33" ht="18" hidden="1" customHeight="1" x14ac:dyDescent="0.3">
      <c r="A154" s="663" t="s">
        <v>470</v>
      </c>
      <c r="B154" s="663">
        <v>1</v>
      </c>
      <c r="C154" s="663">
        <v>3</v>
      </c>
      <c r="D154" s="663"/>
      <c r="E154" s="663"/>
      <c r="F154" s="663"/>
      <c r="G154" s="663"/>
      <c r="H154" s="663"/>
      <c r="I154" s="663"/>
      <c r="J154" s="663"/>
      <c r="K154" s="663"/>
      <c r="L154" s="663"/>
      <c r="M154" s="663"/>
      <c r="N154" s="663"/>
      <c r="O154" s="663"/>
      <c r="P154" s="663"/>
      <c r="Q154" s="663"/>
      <c r="R154" s="663"/>
      <c r="S154" s="663"/>
      <c r="T154" s="663"/>
      <c r="U154" s="663"/>
      <c r="V154" s="663"/>
      <c r="W154" s="663"/>
      <c r="X154" s="663"/>
      <c r="Y154" s="663"/>
      <c r="Z154" s="663"/>
      <c r="AA154" s="663"/>
      <c r="AB154" s="663"/>
      <c r="AC154" s="663"/>
      <c r="AD154" s="663"/>
      <c r="AE154" s="663"/>
      <c r="AF154" s="663"/>
      <c r="AG154" s="663"/>
    </row>
    <row r="155" spans="1:33" ht="18" hidden="1" customHeight="1" x14ac:dyDescent="0.3">
      <c r="A155" s="663" t="s">
        <v>37</v>
      </c>
      <c r="B155" s="663">
        <v>1</v>
      </c>
      <c r="C155" s="663">
        <v>5</v>
      </c>
      <c r="D155" s="663"/>
      <c r="E155" s="663"/>
      <c r="F155" s="663"/>
      <c r="G155" s="663"/>
      <c r="H155" s="663"/>
      <c r="I155" s="663"/>
      <c r="J155" s="663"/>
      <c r="K155" s="663"/>
      <c r="L155" s="663"/>
      <c r="M155" s="663"/>
      <c r="N155" s="663"/>
      <c r="O155" s="663"/>
      <c r="P155" s="663"/>
      <c r="Q155" s="663"/>
      <c r="R155" s="663"/>
      <c r="S155" s="663"/>
      <c r="T155" s="663"/>
      <c r="U155" s="663"/>
      <c r="V155" s="663"/>
      <c r="W155" s="663"/>
      <c r="X155" s="663"/>
      <c r="Y155" s="663"/>
      <c r="Z155" s="663"/>
      <c r="AA155" s="663"/>
      <c r="AB155" s="663"/>
      <c r="AC155" s="663"/>
      <c r="AD155" s="663"/>
      <c r="AE155" s="663"/>
      <c r="AF155" s="663"/>
      <c r="AG155" s="663"/>
    </row>
    <row r="156" spans="1:33" ht="18" hidden="1" customHeight="1" x14ac:dyDescent="0.3">
      <c r="A156" s="663" t="s">
        <v>471</v>
      </c>
      <c r="B156" s="663">
        <v>1</v>
      </c>
      <c r="C156" s="663">
        <v>5</v>
      </c>
      <c r="D156" s="663"/>
      <c r="E156" s="663"/>
      <c r="F156" s="663"/>
      <c r="G156" s="663"/>
      <c r="H156" s="663"/>
      <c r="I156" s="663"/>
      <c r="J156" s="663"/>
      <c r="K156" s="663"/>
      <c r="L156" s="663"/>
      <c r="M156" s="663"/>
      <c r="N156" s="663"/>
      <c r="O156" s="663"/>
      <c r="P156" s="663"/>
      <c r="Q156" s="663"/>
      <c r="R156" s="663"/>
      <c r="S156" s="663"/>
      <c r="T156" s="663"/>
      <c r="U156" s="663"/>
      <c r="V156" s="663"/>
      <c r="W156" s="663"/>
      <c r="X156" s="663"/>
      <c r="Y156" s="663"/>
      <c r="Z156" s="663"/>
      <c r="AA156" s="663"/>
      <c r="AB156" s="663"/>
      <c r="AC156" s="663"/>
      <c r="AD156" s="663"/>
      <c r="AE156" s="663"/>
      <c r="AF156" s="663"/>
      <c r="AG156" s="663"/>
    </row>
    <row r="157" spans="1:33" ht="18" hidden="1" customHeight="1" x14ac:dyDescent="0.3">
      <c r="A157" s="663" t="s">
        <v>105</v>
      </c>
      <c r="B157" s="663">
        <v>1</v>
      </c>
      <c r="C157" s="663">
        <v>3</v>
      </c>
      <c r="D157" s="663"/>
      <c r="E157" s="663"/>
      <c r="F157" s="663"/>
      <c r="G157" s="663"/>
      <c r="H157" s="663"/>
      <c r="I157" s="663"/>
      <c r="J157" s="663"/>
      <c r="K157" s="663"/>
      <c r="L157" s="663"/>
      <c r="M157" s="663"/>
      <c r="N157" s="663"/>
      <c r="O157" s="663"/>
      <c r="P157" s="663"/>
      <c r="Q157" s="663"/>
      <c r="R157" s="663"/>
      <c r="S157" s="663"/>
      <c r="T157" s="663"/>
      <c r="U157" s="663"/>
      <c r="V157" s="663"/>
      <c r="W157" s="663"/>
      <c r="X157" s="663"/>
      <c r="Y157" s="663"/>
      <c r="Z157" s="663"/>
      <c r="AA157" s="663"/>
      <c r="AB157" s="663"/>
      <c r="AC157" s="663"/>
      <c r="AD157" s="663"/>
      <c r="AE157" s="663"/>
      <c r="AF157" s="663"/>
      <c r="AG157" s="663"/>
    </row>
    <row r="158" spans="1:33" ht="18" hidden="1" customHeight="1" x14ac:dyDescent="0.3">
      <c r="A158" s="663" t="s">
        <v>27</v>
      </c>
      <c r="B158" s="663">
        <v>1</v>
      </c>
      <c r="C158" s="663">
        <v>5</v>
      </c>
      <c r="D158" s="663"/>
      <c r="E158" s="663"/>
      <c r="F158" s="663"/>
      <c r="G158" s="663"/>
      <c r="H158" s="663"/>
      <c r="I158" s="663"/>
      <c r="J158" s="663"/>
      <c r="K158" s="663"/>
      <c r="L158" s="663"/>
      <c r="M158" s="663"/>
      <c r="N158" s="663"/>
      <c r="O158" s="663"/>
      <c r="P158" s="663"/>
      <c r="Q158" s="663"/>
      <c r="R158" s="663"/>
      <c r="S158" s="663"/>
      <c r="T158" s="663"/>
      <c r="U158" s="663"/>
      <c r="V158" s="663"/>
      <c r="W158" s="663"/>
      <c r="X158" s="663"/>
      <c r="Y158" s="663"/>
      <c r="Z158" s="663"/>
      <c r="AA158" s="663"/>
      <c r="AB158" s="663"/>
      <c r="AC158" s="663"/>
      <c r="AD158" s="663"/>
      <c r="AE158" s="663"/>
      <c r="AF158" s="663"/>
      <c r="AG158" s="663"/>
    </row>
    <row r="159" spans="1:33" ht="18" hidden="1" customHeight="1" x14ac:dyDescent="0.3">
      <c r="A159" s="663" t="s">
        <v>126</v>
      </c>
      <c r="B159" s="663">
        <v>1</v>
      </c>
      <c r="C159" s="663">
        <v>2.2999999999999998</v>
      </c>
      <c r="D159" s="663"/>
      <c r="E159" s="663"/>
      <c r="F159" s="663"/>
      <c r="G159" s="663"/>
      <c r="H159" s="663"/>
      <c r="I159" s="663"/>
      <c r="J159" s="663"/>
      <c r="K159" s="663"/>
      <c r="L159" s="663"/>
      <c r="M159" s="663"/>
      <c r="N159" s="663"/>
      <c r="O159" s="663"/>
      <c r="P159" s="663"/>
      <c r="Q159" s="663"/>
      <c r="R159" s="663"/>
      <c r="S159" s="663"/>
      <c r="T159" s="663"/>
      <c r="U159" s="663"/>
      <c r="V159" s="663"/>
      <c r="W159" s="663"/>
      <c r="X159" s="663"/>
      <c r="Y159" s="663"/>
      <c r="Z159" s="663"/>
      <c r="AA159" s="663"/>
      <c r="AB159" s="663"/>
      <c r="AC159" s="663"/>
      <c r="AD159" s="663"/>
      <c r="AE159" s="663"/>
      <c r="AF159" s="663"/>
      <c r="AG159" s="663"/>
    </row>
    <row r="160" spans="1:33" ht="18" hidden="1" customHeight="1" x14ac:dyDescent="0.3">
      <c r="A160" s="663" t="s">
        <v>128</v>
      </c>
      <c r="B160" s="663">
        <v>1</v>
      </c>
      <c r="C160" s="663">
        <v>3.3</v>
      </c>
      <c r="D160" s="663"/>
      <c r="E160" s="663"/>
      <c r="F160" s="663"/>
      <c r="G160" s="663"/>
      <c r="H160" s="663"/>
      <c r="I160" s="663"/>
      <c r="J160" s="663"/>
      <c r="K160" s="663"/>
      <c r="L160" s="663"/>
      <c r="M160" s="663"/>
      <c r="N160" s="663"/>
      <c r="O160" s="663"/>
      <c r="P160" s="663"/>
      <c r="Q160" s="663"/>
      <c r="R160" s="663"/>
      <c r="S160" s="663"/>
      <c r="T160" s="663"/>
      <c r="U160" s="663"/>
      <c r="V160" s="663"/>
      <c r="W160" s="663"/>
      <c r="X160" s="663"/>
      <c r="Y160" s="663"/>
      <c r="Z160" s="663"/>
      <c r="AA160" s="663"/>
      <c r="AB160" s="663"/>
      <c r="AC160" s="663"/>
      <c r="AD160" s="663"/>
      <c r="AE160" s="663"/>
      <c r="AF160" s="663"/>
      <c r="AG160" s="663"/>
    </row>
    <row r="161" spans="1:33" ht="18" hidden="1" customHeight="1" x14ac:dyDescent="0.3">
      <c r="A161" s="663" t="s">
        <v>203</v>
      </c>
      <c r="B161" s="663">
        <v>1</v>
      </c>
      <c r="C161" s="663">
        <v>5.3</v>
      </c>
      <c r="D161" s="663"/>
      <c r="E161" s="663"/>
      <c r="F161" s="663"/>
      <c r="G161" s="663"/>
      <c r="H161" s="663"/>
      <c r="I161" s="663"/>
      <c r="J161" s="663"/>
      <c r="K161" s="663"/>
      <c r="L161" s="663"/>
      <c r="M161" s="663"/>
      <c r="N161" s="663"/>
      <c r="O161" s="663"/>
      <c r="P161" s="663"/>
      <c r="Q161" s="663"/>
      <c r="R161" s="663"/>
      <c r="S161" s="663"/>
      <c r="T161" s="663"/>
      <c r="U161" s="663"/>
      <c r="V161" s="663"/>
      <c r="W161" s="663"/>
      <c r="X161" s="663"/>
      <c r="Y161" s="663"/>
      <c r="Z161" s="663"/>
      <c r="AA161" s="663"/>
      <c r="AB161" s="663"/>
      <c r="AC161" s="663"/>
      <c r="AD161" s="663"/>
      <c r="AE161" s="663"/>
      <c r="AF161" s="663"/>
      <c r="AG161" s="663"/>
    </row>
    <row r="162" spans="1:33" ht="18" hidden="1" customHeight="1" x14ac:dyDescent="0.3">
      <c r="A162" s="663"/>
      <c r="B162" s="663"/>
      <c r="C162" s="663"/>
      <c r="D162" s="663"/>
      <c r="E162" s="663"/>
      <c r="F162" s="663"/>
      <c r="G162" s="663"/>
      <c r="H162" s="663"/>
      <c r="I162" s="663"/>
      <c r="J162" s="663"/>
      <c r="K162" s="663"/>
      <c r="L162" s="663"/>
      <c r="M162" s="663"/>
      <c r="N162" s="663"/>
      <c r="O162" s="663"/>
      <c r="P162" s="663"/>
      <c r="Q162" s="663"/>
      <c r="R162" s="663"/>
      <c r="S162" s="663"/>
      <c r="T162" s="663"/>
      <c r="U162" s="663"/>
      <c r="V162" s="663"/>
      <c r="W162" s="663"/>
      <c r="X162" s="663"/>
      <c r="Y162" s="663"/>
      <c r="Z162" s="663"/>
      <c r="AA162" s="663"/>
      <c r="AB162" s="663"/>
      <c r="AC162" s="663"/>
      <c r="AD162" s="663"/>
      <c r="AE162" s="663"/>
      <c r="AF162" s="663"/>
      <c r="AG162" s="663"/>
    </row>
    <row r="163" spans="1:33" ht="18" hidden="1" customHeight="1" x14ac:dyDescent="0.3">
      <c r="A163" s="663" t="s">
        <v>472</v>
      </c>
      <c r="B163" s="663"/>
      <c r="C163" s="663"/>
      <c r="D163" s="663"/>
      <c r="E163" s="663"/>
      <c r="F163" s="663"/>
      <c r="G163" s="663"/>
      <c r="H163" s="663"/>
      <c r="I163" s="663"/>
      <c r="J163" s="663"/>
      <c r="K163" s="663"/>
      <c r="L163" s="663"/>
      <c r="M163" s="663"/>
      <c r="N163" s="663"/>
      <c r="O163" s="663"/>
      <c r="P163" s="663"/>
      <c r="Q163" s="663"/>
      <c r="R163" s="663"/>
      <c r="S163" s="663"/>
      <c r="T163" s="663"/>
      <c r="U163" s="663"/>
      <c r="V163" s="663"/>
      <c r="W163" s="663"/>
      <c r="X163" s="663"/>
      <c r="Y163" s="663"/>
      <c r="Z163" s="663"/>
      <c r="AA163" s="663"/>
      <c r="AB163" s="663"/>
      <c r="AC163" s="663"/>
      <c r="AD163" s="663"/>
      <c r="AE163" s="663"/>
      <c r="AF163" s="663"/>
      <c r="AG163" s="663"/>
    </row>
    <row r="164" spans="1:33" ht="18" hidden="1" customHeight="1" x14ac:dyDescent="0.3">
      <c r="A164" s="663" t="s">
        <v>473</v>
      </c>
      <c r="B164" s="663"/>
      <c r="C164" s="663"/>
      <c r="D164" s="663"/>
      <c r="E164" s="663"/>
      <c r="F164" s="663"/>
      <c r="G164" s="663"/>
      <c r="H164" s="663"/>
      <c r="I164" s="663"/>
      <c r="J164" s="663"/>
      <c r="K164" s="663"/>
      <c r="L164" s="663"/>
      <c r="M164" s="663"/>
      <c r="N164" s="663"/>
      <c r="O164" s="663"/>
      <c r="P164" s="663"/>
      <c r="Q164" s="663"/>
      <c r="R164" s="663"/>
      <c r="S164" s="663"/>
      <c r="T164" s="663"/>
      <c r="U164" s="663"/>
      <c r="V164" s="663"/>
      <c r="W164" s="663"/>
      <c r="X164" s="663"/>
      <c r="Y164" s="663"/>
      <c r="Z164" s="663"/>
      <c r="AA164" s="663"/>
      <c r="AB164" s="663"/>
      <c r="AC164" s="663"/>
      <c r="AD164" s="663"/>
      <c r="AE164" s="663"/>
      <c r="AF164" s="663"/>
      <c r="AG164" s="663"/>
    </row>
    <row r="165" spans="1:33" ht="18" hidden="1" customHeight="1" x14ac:dyDescent="0.3">
      <c r="A165" s="663" t="s">
        <v>474</v>
      </c>
      <c r="B165" s="663"/>
      <c r="C165" s="663"/>
      <c r="D165" s="663"/>
      <c r="E165" s="663"/>
      <c r="F165" s="663"/>
      <c r="G165" s="663"/>
      <c r="H165" s="663"/>
      <c r="I165" s="663"/>
      <c r="J165" s="663"/>
      <c r="K165" s="663"/>
      <c r="L165" s="663"/>
      <c r="M165" s="663"/>
      <c r="N165" s="663"/>
      <c r="O165" s="663"/>
      <c r="P165" s="663"/>
      <c r="Q165" s="663"/>
      <c r="R165" s="663"/>
      <c r="S165" s="663"/>
      <c r="T165" s="663"/>
      <c r="U165" s="663"/>
      <c r="V165" s="663"/>
      <c r="W165" s="663"/>
      <c r="X165" s="663"/>
      <c r="Y165" s="663"/>
      <c r="Z165" s="663"/>
      <c r="AA165" s="663"/>
      <c r="AB165" s="663"/>
      <c r="AC165" s="663"/>
      <c r="AD165" s="663"/>
      <c r="AE165" s="663"/>
      <c r="AF165" s="663"/>
      <c r="AG165" s="663"/>
    </row>
    <row r="166" spans="1:33" ht="18" hidden="1" customHeight="1" x14ac:dyDescent="0.3">
      <c r="A166" s="663" t="s">
        <v>475</v>
      </c>
      <c r="B166" s="663"/>
      <c r="C166" s="663"/>
      <c r="D166" s="663"/>
      <c r="E166" s="663"/>
      <c r="F166" s="663"/>
      <c r="G166" s="663"/>
      <c r="H166" s="663"/>
      <c r="I166" s="663"/>
      <c r="J166" s="663"/>
      <c r="K166" s="663"/>
      <c r="L166" s="663"/>
      <c r="M166" s="663"/>
      <c r="N166" s="663"/>
      <c r="O166" s="663"/>
      <c r="P166" s="663"/>
      <c r="Q166" s="663"/>
      <c r="R166" s="663"/>
      <c r="S166" s="663"/>
      <c r="T166" s="663"/>
      <c r="U166" s="663"/>
      <c r="V166" s="663"/>
      <c r="W166" s="663"/>
      <c r="X166" s="663"/>
      <c r="Y166" s="663"/>
      <c r="Z166" s="663"/>
      <c r="AA166" s="663"/>
      <c r="AB166" s="663"/>
      <c r="AC166" s="663"/>
      <c r="AD166" s="663"/>
      <c r="AE166" s="663"/>
      <c r="AF166" s="663"/>
      <c r="AG166" s="663"/>
    </row>
    <row r="167" spans="1:33" ht="18" hidden="1" customHeight="1" x14ac:dyDescent="0.3">
      <c r="A167" s="663"/>
      <c r="B167" s="663"/>
      <c r="C167" s="663"/>
      <c r="D167" s="663"/>
      <c r="E167" s="663"/>
      <c r="F167" s="663"/>
      <c r="G167" s="663"/>
      <c r="H167" s="663"/>
      <c r="I167" s="663"/>
      <c r="J167" s="663"/>
      <c r="K167" s="663"/>
      <c r="L167" s="663"/>
      <c r="M167" s="663"/>
      <c r="N167" s="663"/>
      <c r="O167" s="663"/>
      <c r="P167" s="663"/>
      <c r="Q167" s="663"/>
      <c r="R167" s="663"/>
      <c r="S167" s="663"/>
      <c r="T167" s="663"/>
      <c r="U167" s="663"/>
      <c r="V167" s="663"/>
      <c r="W167" s="663"/>
      <c r="X167" s="663"/>
      <c r="Y167" s="663"/>
      <c r="Z167" s="663"/>
      <c r="AA167" s="663"/>
      <c r="AB167" s="663"/>
      <c r="AC167" s="663"/>
      <c r="AD167" s="663"/>
      <c r="AE167" s="663"/>
      <c r="AF167" s="663"/>
      <c r="AG167" s="663"/>
    </row>
    <row r="168" spans="1:33" ht="18" hidden="1" customHeight="1" x14ac:dyDescent="0.35">
      <c r="A168" s="675" t="s">
        <v>16</v>
      </c>
      <c r="B168" s="663"/>
      <c r="C168" s="663"/>
      <c r="D168" s="663"/>
      <c r="E168" s="663"/>
      <c r="F168" s="663"/>
      <c r="G168" s="663"/>
      <c r="H168" s="663"/>
      <c r="I168" s="663"/>
      <c r="J168" s="663"/>
      <c r="K168" s="663"/>
      <c r="L168" s="663"/>
      <c r="M168" s="663"/>
      <c r="N168" s="663"/>
      <c r="O168" s="663"/>
      <c r="P168" s="663"/>
      <c r="Q168" s="663"/>
      <c r="R168" s="663"/>
      <c r="S168" s="663"/>
      <c r="T168" s="663"/>
      <c r="U168" s="663"/>
      <c r="V168" s="663"/>
      <c r="W168" s="663"/>
      <c r="X168" s="663"/>
      <c r="Y168" s="663"/>
      <c r="Z168" s="663"/>
      <c r="AA168" s="663"/>
      <c r="AB168" s="663"/>
      <c r="AC168" s="663"/>
      <c r="AD168" s="663"/>
      <c r="AE168" s="663"/>
      <c r="AF168" s="663"/>
      <c r="AG168" s="663"/>
    </row>
    <row r="169" spans="1:33" ht="18" hidden="1" customHeight="1" x14ac:dyDescent="0.35">
      <c r="A169" s="676" t="s">
        <v>345</v>
      </c>
      <c r="B169" s="663"/>
      <c r="C169" s="663"/>
      <c r="D169" s="663"/>
      <c r="E169" s="663"/>
      <c r="F169" s="663"/>
      <c r="G169" s="663"/>
      <c r="H169" s="663"/>
      <c r="I169" s="663"/>
      <c r="J169" s="663"/>
      <c r="K169" s="663"/>
      <c r="L169" s="663"/>
      <c r="M169" s="663"/>
      <c r="N169" s="663"/>
      <c r="O169" s="663"/>
      <c r="P169" s="663"/>
      <c r="Q169" s="663"/>
      <c r="R169" s="663"/>
      <c r="S169" s="663"/>
      <c r="T169" s="663"/>
      <c r="U169" s="663"/>
      <c r="V169" s="663"/>
      <c r="W169" s="663"/>
      <c r="X169" s="663"/>
      <c r="Y169" s="663"/>
      <c r="Z169" s="663"/>
      <c r="AA169" s="663"/>
      <c r="AB169" s="663"/>
      <c r="AC169" s="663"/>
      <c r="AD169" s="663"/>
      <c r="AE169" s="663"/>
      <c r="AF169" s="663"/>
      <c r="AG169" s="663"/>
    </row>
    <row r="170" spans="1:33" ht="18" hidden="1" customHeight="1" x14ac:dyDescent="0.35">
      <c r="A170" s="676" t="s">
        <v>346</v>
      </c>
      <c r="B170" s="663"/>
      <c r="C170" s="663"/>
      <c r="D170" s="663"/>
      <c r="E170" s="663"/>
      <c r="F170" s="663"/>
      <c r="G170" s="663"/>
      <c r="H170" s="663"/>
      <c r="I170" s="663"/>
      <c r="J170" s="663"/>
      <c r="K170" s="663"/>
      <c r="L170" s="663"/>
      <c r="M170" s="663"/>
      <c r="N170" s="663"/>
      <c r="O170" s="663"/>
      <c r="P170" s="663"/>
      <c r="Q170" s="663"/>
      <c r="R170" s="663"/>
      <c r="S170" s="663"/>
      <c r="T170" s="663"/>
      <c r="U170" s="663"/>
      <c r="V170" s="663"/>
      <c r="W170" s="663"/>
      <c r="X170" s="663"/>
      <c r="Y170" s="663"/>
      <c r="Z170" s="663"/>
      <c r="AA170" s="663"/>
      <c r="AB170" s="663"/>
      <c r="AC170" s="663"/>
      <c r="AD170" s="663"/>
      <c r="AE170" s="663"/>
      <c r="AF170" s="663"/>
      <c r="AG170" s="663"/>
    </row>
    <row r="171" spans="1:33" ht="18" hidden="1" customHeight="1" x14ac:dyDescent="0.35">
      <c r="A171" s="677" t="s">
        <v>23</v>
      </c>
      <c r="B171" s="663"/>
      <c r="C171" s="663"/>
      <c r="D171" s="663"/>
      <c r="E171" s="663"/>
      <c r="F171" s="663"/>
      <c r="G171" s="663"/>
      <c r="H171" s="663"/>
      <c r="I171" s="663"/>
      <c r="J171" s="663"/>
      <c r="K171" s="663"/>
      <c r="L171" s="663"/>
      <c r="M171" s="663"/>
      <c r="N171" s="663"/>
      <c r="O171" s="663"/>
      <c r="P171" s="663"/>
      <c r="Q171" s="663"/>
      <c r="R171" s="663"/>
      <c r="S171" s="663"/>
      <c r="T171" s="663"/>
      <c r="U171" s="663"/>
      <c r="V171" s="663"/>
      <c r="W171" s="663"/>
      <c r="X171" s="663"/>
      <c r="Y171" s="663"/>
      <c r="Z171" s="663"/>
      <c r="AA171" s="663"/>
      <c r="AB171" s="663"/>
      <c r="AC171" s="663"/>
      <c r="AD171" s="663"/>
      <c r="AE171" s="663"/>
      <c r="AF171" s="663"/>
      <c r="AG171" s="663"/>
    </row>
    <row r="172" spans="1:33" ht="18" hidden="1" customHeight="1" x14ac:dyDescent="0.35">
      <c r="A172" s="559"/>
      <c r="B172" s="663"/>
      <c r="C172" s="663"/>
      <c r="D172" s="663"/>
      <c r="E172" s="663"/>
      <c r="F172" s="663"/>
      <c r="G172" s="663"/>
      <c r="H172" s="663"/>
      <c r="I172" s="663"/>
      <c r="J172" s="663"/>
      <c r="K172" s="663"/>
      <c r="L172" s="663"/>
      <c r="M172" s="663"/>
      <c r="N172" s="663"/>
      <c r="O172" s="663"/>
      <c r="P172" s="663"/>
      <c r="Q172" s="663"/>
      <c r="R172" s="663"/>
      <c r="S172" s="663"/>
      <c r="T172" s="663"/>
      <c r="U172" s="663"/>
      <c r="V172" s="663"/>
      <c r="W172" s="663"/>
      <c r="X172" s="663"/>
      <c r="Y172" s="663"/>
      <c r="Z172" s="663"/>
      <c r="AA172" s="663"/>
      <c r="AB172" s="663"/>
      <c r="AC172" s="663"/>
      <c r="AD172" s="663"/>
      <c r="AE172" s="663"/>
      <c r="AF172" s="663"/>
      <c r="AG172" s="663"/>
    </row>
    <row r="173" spans="1:33" ht="18" hidden="1" customHeight="1" x14ac:dyDescent="0.3">
      <c r="A173" s="663" t="s">
        <v>290</v>
      </c>
      <c r="B173" s="663"/>
      <c r="C173" s="663"/>
      <c r="D173" s="663"/>
      <c r="E173" s="663"/>
      <c r="F173" s="663"/>
      <c r="G173" s="663"/>
      <c r="H173" s="663"/>
      <c r="I173" s="663"/>
      <c r="J173" s="663"/>
      <c r="K173" s="663"/>
      <c r="L173" s="663"/>
      <c r="M173" s="663"/>
      <c r="N173" s="663"/>
      <c r="O173" s="663"/>
      <c r="P173" s="663"/>
      <c r="Q173" s="663"/>
      <c r="R173" s="663"/>
      <c r="S173" s="663"/>
      <c r="T173" s="663"/>
      <c r="U173" s="663"/>
      <c r="V173" s="663"/>
      <c r="W173" s="663"/>
      <c r="X173" s="663"/>
      <c r="Y173" s="663"/>
      <c r="Z173" s="663"/>
      <c r="AA173" s="663"/>
      <c r="AB173" s="663"/>
      <c r="AC173" s="663"/>
      <c r="AD173" s="663"/>
      <c r="AE173" s="663"/>
      <c r="AF173" s="663"/>
      <c r="AG173" s="663"/>
    </row>
    <row r="174" spans="1:33" ht="18" hidden="1" customHeight="1" x14ac:dyDescent="0.3">
      <c r="A174" s="663" t="s">
        <v>305</v>
      </c>
      <c r="B174" s="663"/>
      <c r="C174" s="663"/>
      <c r="D174" s="663"/>
      <c r="E174" s="663"/>
      <c r="F174" s="663"/>
      <c r="G174" s="663"/>
      <c r="H174" s="663"/>
      <c r="I174" s="663"/>
      <c r="J174" s="663"/>
      <c r="K174" s="663"/>
      <c r="L174" s="663"/>
      <c r="M174" s="663"/>
      <c r="N174" s="663"/>
      <c r="O174" s="663"/>
      <c r="P174" s="663"/>
      <c r="Q174" s="663"/>
      <c r="R174" s="663"/>
      <c r="S174" s="663"/>
      <c r="T174" s="663"/>
      <c r="U174" s="663"/>
      <c r="V174" s="663"/>
      <c r="W174" s="663"/>
      <c r="X174" s="663"/>
      <c r="Y174" s="663"/>
      <c r="Z174" s="663"/>
      <c r="AA174" s="663"/>
      <c r="AB174" s="663"/>
      <c r="AC174" s="663"/>
      <c r="AD174" s="663"/>
      <c r="AE174" s="663"/>
      <c r="AF174" s="663"/>
      <c r="AG174" s="663"/>
    </row>
    <row r="175" spans="1:33" ht="18" hidden="1" customHeight="1" x14ac:dyDescent="0.3">
      <c r="A175" s="663" t="s">
        <v>347</v>
      </c>
      <c r="B175" s="663"/>
      <c r="C175" s="663"/>
      <c r="D175" s="663"/>
      <c r="E175" s="663"/>
      <c r="F175" s="663"/>
      <c r="G175" s="663"/>
      <c r="H175" s="663"/>
      <c r="I175" s="663"/>
      <c r="J175" s="663"/>
      <c r="K175" s="663"/>
      <c r="L175" s="663"/>
      <c r="M175" s="663"/>
      <c r="N175" s="663"/>
      <c r="O175" s="663"/>
      <c r="P175" s="663"/>
      <c r="Q175" s="663"/>
      <c r="R175" s="663"/>
      <c r="S175" s="663"/>
      <c r="T175" s="663"/>
      <c r="U175" s="663"/>
      <c r="V175" s="663"/>
      <c r="W175" s="663"/>
      <c r="X175" s="663"/>
      <c r="Y175" s="663"/>
      <c r="Z175" s="663"/>
      <c r="AA175" s="663"/>
      <c r="AB175" s="663"/>
      <c r="AC175" s="663"/>
      <c r="AD175" s="663"/>
      <c r="AE175" s="663"/>
      <c r="AF175" s="663"/>
      <c r="AG175" s="663"/>
    </row>
    <row r="176" spans="1:33" ht="18" hidden="1" customHeight="1" x14ac:dyDescent="0.3">
      <c r="A176" s="663"/>
      <c r="B176" s="663"/>
      <c r="C176" s="663"/>
      <c r="D176" s="663"/>
      <c r="E176" s="663"/>
      <c r="F176" s="663"/>
      <c r="G176" s="663"/>
      <c r="H176" s="663"/>
      <c r="I176" s="663"/>
      <c r="J176" s="663"/>
      <c r="K176" s="663"/>
      <c r="L176" s="663"/>
      <c r="M176" s="663"/>
      <c r="N176" s="663"/>
      <c r="O176" s="663"/>
      <c r="P176" s="663"/>
      <c r="Q176" s="663"/>
      <c r="R176" s="663"/>
      <c r="S176" s="663"/>
      <c r="T176" s="663"/>
      <c r="U176" s="663"/>
      <c r="V176" s="663"/>
      <c r="W176" s="663"/>
      <c r="X176" s="663"/>
      <c r="Y176" s="663"/>
      <c r="Z176" s="663"/>
      <c r="AA176" s="663"/>
      <c r="AB176" s="663"/>
      <c r="AC176" s="663"/>
      <c r="AD176" s="663"/>
      <c r="AE176" s="663"/>
      <c r="AF176" s="663"/>
      <c r="AG176" s="663"/>
    </row>
    <row r="177" spans="1:33" ht="18" hidden="1" customHeight="1" x14ac:dyDescent="0.3">
      <c r="A177" s="663"/>
      <c r="B177" s="663"/>
      <c r="C177" s="663"/>
      <c r="D177" s="663"/>
      <c r="E177" s="663"/>
      <c r="F177" s="663"/>
      <c r="G177" s="663"/>
      <c r="H177" s="663"/>
      <c r="I177" s="663"/>
      <c r="J177" s="663"/>
      <c r="K177" s="663"/>
      <c r="L177" s="663"/>
      <c r="M177" s="663"/>
      <c r="N177" s="663"/>
      <c r="O177" s="663"/>
      <c r="P177" s="663"/>
      <c r="Q177" s="663"/>
      <c r="R177" s="663"/>
      <c r="S177" s="663"/>
      <c r="T177" s="663"/>
      <c r="U177" s="663"/>
      <c r="V177" s="663"/>
      <c r="W177" s="663"/>
      <c r="X177" s="663"/>
      <c r="Y177" s="663"/>
      <c r="Z177" s="663"/>
      <c r="AA177" s="663"/>
      <c r="AB177" s="663"/>
      <c r="AC177" s="663"/>
      <c r="AD177" s="663"/>
      <c r="AE177" s="663"/>
      <c r="AF177" s="663"/>
      <c r="AG177" s="663"/>
    </row>
    <row r="178" spans="1:33" ht="18" hidden="1" customHeight="1" x14ac:dyDescent="0.3">
      <c r="A178" s="663"/>
      <c r="B178" s="663"/>
      <c r="C178" s="663"/>
      <c r="D178" s="663"/>
      <c r="E178" s="663"/>
      <c r="F178" s="663"/>
      <c r="G178" s="663"/>
      <c r="H178" s="663"/>
      <c r="I178" s="663"/>
      <c r="J178" s="663"/>
      <c r="K178" s="663"/>
      <c r="L178" s="663"/>
      <c r="M178" s="663"/>
      <c r="N178" s="663"/>
      <c r="O178" s="663"/>
      <c r="P178" s="663"/>
      <c r="Q178" s="663"/>
      <c r="R178" s="663"/>
      <c r="S178" s="663"/>
      <c r="T178" s="663"/>
      <c r="U178" s="663"/>
      <c r="V178" s="663"/>
      <c r="W178" s="663"/>
      <c r="X178" s="663"/>
      <c r="Y178" s="663"/>
      <c r="Z178" s="663"/>
      <c r="AA178" s="663"/>
      <c r="AB178" s="663"/>
      <c r="AC178" s="663"/>
      <c r="AD178" s="663"/>
      <c r="AE178" s="663"/>
      <c r="AF178" s="663"/>
      <c r="AG178" s="663"/>
    </row>
    <row r="179" spans="1:33" ht="18" hidden="1" customHeight="1" x14ac:dyDescent="0.3">
      <c r="A179" s="663">
        <v>1</v>
      </c>
      <c r="B179" s="663"/>
      <c r="C179" s="663"/>
      <c r="D179" s="663"/>
      <c r="E179" s="663"/>
      <c r="F179" s="663"/>
      <c r="G179" s="663"/>
      <c r="H179" s="663"/>
      <c r="I179" s="663"/>
      <c r="J179" s="663"/>
      <c r="K179" s="663"/>
      <c r="L179" s="663"/>
      <c r="M179" s="663"/>
      <c r="N179" s="663"/>
      <c r="O179" s="663"/>
      <c r="P179" s="663"/>
      <c r="Q179" s="663"/>
      <c r="R179" s="663"/>
      <c r="S179" s="663"/>
      <c r="T179" s="663"/>
      <c r="U179" s="663"/>
      <c r="V179" s="663"/>
      <c r="W179" s="663"/>
      <c r="X179" s="663"/>
      <c r="Y179" s="663"/>
      <c r="Z179" s="663"/>
      <c r="AA179" s="663"/>
      <c r="AB179" s="663"/>
      <c r="AC179" s="663"/>
      <c r="AD179" s="663"/>
      <c r="AE179" s="663"/>
      <c r="AF179" s="663"/>
      <c r="AG179" s="663"/>
    </row>
    <row r="180" spans="1:33" ht="18" hidden="1" customHeight="1" x14ac:dyDescent="0.3">
      <c r="A180" s="663">
        <v>2</v>
      </c>
      <c r="B180" s="663"/>
      <c r="C180" s="663"/>
      <c r="D180" s="663"/>
      <c r="E180" s="663"/>
      <c r="F180" s="663"/>
      <c r="G180" s="663"/>
      <c r="H180" s="663"/>
      <c r="I180" s="663"/>
      <c r="J180" s="663"/>
      <c r="K180" s="663"/>
      <c r="L180" s="663"/>
      <c r="M180" s="663"/>
      <c r="N180" s="663"/>
      <c r="O180" s="663"/>
      <c r="P180" s="663"/>
      <c r="Q180" s="663"/>
      <c r="R180" s="663"/>
      <c r="S180" s="663"/>
      <c r="T180" s="663"/>
      <c r="U180" s="663"/>
      <c r="V180" s="663"/>
      <c r="W180" s="663"/>
      <c r="X180" s="663"/>
      <c r="Y180" s="663"/>
      <c r="Z180" s="663"/>
      <c r="AA180" s="663"/>
      <c r="AB180" s="663"/>
      <c r="AC180" s="663"/>
      <c r="AD180" s="663"/>
      <c r="AE180" s="663"/>
      <c r="AF180" s="663"/>
      <c r="AG180" s="663"/>
    </row>
    <row r="181" spans="1:33" ht="18" hidden="1" customHeight="1" x14ac:dyDescent="0.3">
      <c r="A181" s="663">
        <v>3</v>
      </c>
      <c r="B181" s="663"/>
      <c r="C181" s="663"/>
      <c r="D181" s="663"/>
      <c r="E181" s="663"/>
      <c r="F181" s="663"/>
      <c r="G181" s="663"/>
      <c r="H181" s="663"/>
      <c r="I181" s="663"/>
      <c r="J181" s="663"/>
      <c r="K181" s="663"/>
      <c r="L181" s="663"/>
      <c r="M181" s="663"/>
      <c r="N181" s="663"/>
      <c r="O181" s="663"/>
      <c r="P181" s="663"/>
      <c r="Q181" s="663"/>
      <c r="R181" s="663"/>
      <c r="S181" s="663"/>
      <c r="T181" s="663"/>
      <c r="U181" s="663"/>
      <c r="V181" s="663"/>
      <c r="W181" s="663"/>
      <c r="X181" s="663"/>
      <c r="Y181" s="663"/>
      <c r="Z181" s="663"/>
      <c r="AA181" s="663"/>
      <c r="AB181" s="663"/>
      <c r="AC181" s="663"/>
      <c r="AD181" s="663"/>
      <c r="AE181" s="663"/>
      <c r="AF181" s="663"/>
      <c r="AG181" s="663"/>
    </row>
    <row r="182" spans="1:33" ht="18" hidden="1" customHeight="1" x14ac:dyDescent="0.3">
      <c r="A182" s="663">
        <v>4</v>
      </c>
      <c r="B182" s="663"/>
      <c r="C182" s="663"/>
      <c r="D182" s="663"/>
      <c r="E182" s="663"/>
      <c r="F182" s="663"/>
      <c r="G182" s="663"/>
      <c r="H182" s="663"/>
      <c r="I182" s="663"/>
      <c r="J182" s="663"/>
      <c r="K182" s="663"/>
      <c r="L182" s="663"/>
      <c r="M182" s="663"/>
      <c r="N182" s="663"/>
      <c r="O182" s="663"/>
      <c r="P182" s="663"/>
      <c r="Q182" s="663"/>
      <c r="R182" s="663"/>
      <c r="S182" s="663"/>
      <c r="T182" s="663"/>
      <c r="U182" s="663"/>
      <c r="V182" s="663"/>
      <c r="W182" s="663"/>
      <c r="X182" s="663"/>
      <c r="Y182" s="663"/>
      <c r="Z182" s="663"/>
      <c r="AA182" s="663"/>
      <c r="AB182" s="663"/>
      <c r="AC182" s="663"/>
      <c r="AD182" s="663"/>
      <c r="AE182" s="663"/>
      <c r="AF182" s="663"/>
      <c r="AG182" s="663"/>
    </row>
    <row r="183" spans="1:33" ht="18" hidden="1" customHeight="1" x14ac:dyDescent="0.3">
      <c r="A183" s="663">
        <v>5</v>
      </c>
      <c r="B183" s="663"/>
      <c r="C183" s="663"/>
      <c r="D183" s="663"/>
      <c r="E183" s="663"/>
      <c r="F183" s="663"/>
      <c r="G183" s="663"/>
      <c r="H183" s="663"/>
      <c r="I183" s="663"/>
      <c r="J183" s="663"/>
      <c r="K183" s="663"/>
      <c r="L183" s="663"/>
      <c r="M183" s="663"/>
      <c r="N183" s="663"/>
      <c r="O183" s="663"/>
      <c r="P183" s="663"/>
      <c r="Q183" s="663"/>
      <c r="R183" s="663"/>
      <c r="S183" s="663"/>
      <c r="T183" s="663"/>
      <c r="U183" s="663"/>
      <c r="V183" s="663"/>
      <c r="W183" s="663"/>
      <c r="X183" s="663"/>
      <c r="Y183" s="663"/>
      <c r="Z183" s="663"/>
      <c r="AA183" s="663"/>
      <c r="AB183" s="663"/>
      <c r="AC183" s="663"/>
      <c r="AD183" s="663"/>
      <c r="AE183" s="663"/>
      <c r="AF183" s="663"/>
      <c r="AG183" s="663"/>
    </row>
    <row r="184" spans="1:33" ht="18" hidden="1" customHeight="1" x14ac:dyDescent="0.3">
      <c r="A184" s="663">
        <v>6</v>
      </c>
      <c r="B184" s="663"/>
      <c r="C184" s="663"/>
      <c r="D184" s="663"/>
      <c r="E184" s="663"/>
      <c r="F184" s="663"/>
      <c r="G184" s="663"/>
      <c r="H184" s="663"/>
      <c r="I184" s="663"/>
      <c r="J184" s="663"/>
      <c r="K184" s="663"/>
      <c r="L184" s="663"/>
      <c r="M184" s="663"/>
      <c r="N184" s="663"/>
      <c r="O184" s="663"/>
      <c r="P184" s="663"/>
      <c r="Q184" s="663"/>
      <c r="R184" s="663"/>
      <c r="S184" s="663"/>
      <c r="T184" s="663"/>
      <c r="U184" s="663"/>
      <c r="V184" s="663"/>
      <c r="W184" s="663"/>
      <c r="X184" s="663"/>
      <c r="Y184" s="663"/>
      <c r="Z184" s="663"/>
      <c r="AA184" s="663"/>
      <c r="AB184" s="663"/>
      <c r="AC184" s="663"/>
      <c r="AD184" s="663"/>
      <c r="AE184" s="663"/>
      <c r="AF184" s="663"/>
      <c r="AG184" s="663"/>
    </row>
    <row r="185" spans="1:33" ht="18" hidden="1" customHeight="1" x14ac:dyDescent="0.3">
      <c r="A185" s="663"/>
      <c r="B185" s="663"/>
      <c r="C185" s="663"/>
      <c r="D185" s="663"/>
      <c r="E185" s="663"/>
      <c r="F185" s="663"/>
      <c r="G185" s="663"/>
      <c r="H185" s="663"/>
      <c r="I185" s="663"/>
      <c r="J185" s="663"/>
      <c r="K185" s="663"/>
      <c r="L185" s="663"/>
      <c r="M185" s="663"/>
      <c r="N185" s="663"/>
      <c r="O185" s="663"/>
      <c r="P185" s="663"/>
      <c r="Q185" s="663"/>
      <c r="R185" s="663"/>
      <c r="S185" s="663"/>
      <c r="T185" s="663"/>
      <c r="U185" s="663"/>
      <c r="V185" s="663"/>
      <c r="W185" s="663"/>
      <c r="X185" s="663"/>
      <c r="Y185" s="663"/>
      <c r="Z185" s="663"/>
      <c r="AA185" s="663"/>
      <c r="AB185" s="663"/>
      <c r="AC185" s="663"/>
      <c r="AD185" s="663"/>
      <c r="AE185" s="663"/>
      <c r="AF185" s="663"/>
      <c r="AG185" s="663"/>
    </row>
    <row r="186" spans="1:33" ht="18" hidden="1" customHeight="1" x14ac:dyDescent="0.3">
      <c r="A186" s="663"/>
      <c r="B186" s="663"/>
      <c r="C186" s="663"/>
      <c r="D186" s="663"/>
      <c r="E186" s="663"/>
      <c r="F186" s="663"/>
      <c r="G186" s="663"/>
      <c r="H186" s="663"/>
      <c r="I186" s="663"/>
      <c r="J186" s="663"/>
      <c r="K186" s="663"/>
      <c r="L186" s="663"/>
      <c r="M186" s="663"/>
      <c r="N186" s="663"/>
      <c r="O186" s="663"/>
      <c r="P186" s="663"/>
      <c r="Q186" s="663"/>
      <c r="R186" s="663"/>
      <c r="S186" s="663"/>
      <c r="T186" s="663"/>
      <c r="U186" s="663"/>
      <c r="V186" s="663"/>
      <c r="W186" s="663"/>
      <c r="X186" s="663"/>
      <c r="Y186" s="663"/>
      <c r="Z186" s="663"/>
      <c r="AA186" s="663"/>
      <c r="AB186" s="663"/>
      <c r="AC186" s="663"/>
      <c r="AD186" s="663"/>
      <c r="AE186" s="663"/>
      <c r="AF186" s="663"/>
      <c r="AG186" s="663"/>
    </row>
    <row r="187" spans="1:33" ht="18" hidden="1" customHeight="1" x14ac:dyDescent="0.3">
      <c r="A187" s="663"/>
      <c r="B187" s="663"/>
      <c r="C187" s="663"/>
      <c r="D187" s="663"/>
      <c r="E187" s="663"/>
      <c r="F187" s="663"/>
      <c r="G187" s="663"/>
      <c r="H187" s="663"/>
      <c r="I187" s="663"/>
      <c r="J187" s="663"/>
      <c r="K187" s="663"/>
      <c r="L187" s="663"/>
      <c r="M187" s="663"/>
      <c r="N187" s="663"/>
      <c r="O187" s="663"/>
      <c r="P187" s="663"/>
      <c r="Q187" s="663"/>
      <c r="R187" s="663"/>
      <c r="S187" s="663"/>
      <c r="T187" s="663"/>
      <c r="U187" s="663"/>
      <c r="V187" s="663"/>
      <c r="W187" s="663"/>
      <c r="X187" s="663"/>
      <c r="Y187" s="663"/>
      <c r="Z187" s="663"/>
      <c r="AA187" s="663"/>
      <c r="AB187" s="663"/>
      <c r="AC187" s="663"/>
      <c r="AD187" s="663"/>
      <c r="AE187" s="663"/>
      <c r="AF187" s="663"/>
      <c r="AG187" s="663"/>
    </row>
    <row r="188" spans="1:33" ht="18" hidden="1" customHeight="1" x14ac:dyDescent="0.3">
      <c r="A188" s="660" t="s">
        <v>20</v>
      </c>
      <c r="B188" s="661">
        <v>0</v>
      </c>
      <c r="C188" s="662">
        <v>0</v>
      </c>
      <c r="D188" s="663"/>
      <c r="E188" s="663"/>
      <c r="F188" s="663"/>
      <c r="G188" s="663"/>
      <c r="H188" s="663"/>
      <c r="I188" s="663"/>
      <c r="J188" s="663"/>
      <c r="K188" s="663"/>
      <c r="L188" s="663"/>
      <c r="M188" s="663"/>
      <c r="N188" s="663"/>
      <c r="O188" s="663"/>
      <c r="P188" s="663"/>
      <c r="Q188" s="663"/>
      <c r="R188" s="663"/>
      <c r="S188" s="663"/>
      <c r="T188" s="663"/>
      <c r="U188" s="663"/>
      <c r="V188" s="663"/>
      <c r="W188" s="663"/>
      <c r="X188" s="663"/>
      <c r="Y188" s="663"/>
      <c r="Z188" s="663"/>
      <c r="AA188" s="663"/>
      <c r="AB188" s="663"/>
      <c r="AC188" s="663"/>
      <c r="AD188" s="663"/>
      <c r="AE188" s="663"/>
      <c r="AF188" s="663"/>
      <c r="AG188" s="663"/>
    </row>
    <row r="189" spans="1:33" ht="18" hidden="1" customHeight="1" x14ac:dyDescent="0.3">
      <c r="A189" s="666" t="s">
        <v>14</v>
      </c>
      <c r="B189" s="667">
        <v>2.5</v>
      </c>
      <c r="C189" s="668">
        <v>1.5</v>
      </c>
      <c r="D189" s="663"/>
      <c r="E189" s="663"/>
      <c r="F189" s="663"/>
      <c r="G189" s="663"/>
      <c r="H189" s="663"/>
      <c r="I189" s="663"/>
      <c r="J189" s="663"/>
      <c r="K189" s="663"/>
      <c r="L189" s="663"/>
      <c r="M189" s="663"/>
      <c r="N189" s="663"/>
      <c r="O189" s="663"/>
      <c r="P189" s="663"/>
      <c r="Q189" s="663"/>
      <c r="R189" s="663"/>
      <c r="S189" s="663"/>
      <c r="T189" s="663"/>
      <c r="U189" s="663"/>
      <c r="V189" s="663"/>
      <c r="W189" s="663"/>
      <c r="X189" s="663"/>
      <c r="Y189" s="663"/>
      <c r="Z189" s="663"/>
      <c r="AA189" s="663"/>
      <c r="AB189" s="663"/>
      <c r="AC189" s="663"/>
      <c r="AD189" s="663"/>
      <c r="AE189" s="663"/>
      <c r="AF189" s="663"/>
      <c r="AG189" s="663"/>
    </row>
    <row r="190" spans="1:33" ht="18" hidden="1" customHeight="1" x14ac:dyDescent="0.3">
      <c r="A190" s="663"/>
      <c r="B190" s="663"/>
      <c r="C190" s="663"/>
      <c r="D190" s="663"/>
      <c r="E190" s="663"/>
      <c r="F190" s="663"/>
      <c r="G190" s="663"/>
      <c r="H190" s="663"/>
      <c r="I190" s="663"/>
      <c r="J190" s="663"/>
      <c r="K190" s="663"/>
      <c r="L190" s="663"/>
      <c r="M190" s="663"/>
      <c r="N190" s="663"/>
      <c r="O190" s="663"/>
      <c r="P190" s="663"/>
      <c r="Q190" s="663"/>
      <c r="R190" s="663"/>
      <c r="S190" s="663"/>
      <c r="T190" s="663"/>
      <c r="U190" s="663"/>
      <c r="V190" s="663"/>
      <c r="W190" s="663"/>
      <c r="X190" s="663"/>
      <c r="Y190" s="663"/>
      <c r="Z190" s="663"/>
      <c r="AA190" s="663"/>
      <c r="AB190" s="663"/>
      <c r="AC190" s="663"/>
      <c r="AD190" s="663"/>
      <c r="AE190" s="663"/>
      <c r="AF190" s="663"/>
      <c r="AG190" s="663"/>
    </row>
    <row r="191" spans="1:33" ht="18" hidden="1" customHeight="1" x14ac:dyDescent="0.3">
      <c r="A191" s="663" t="s">
        <v>133</v>
      </c>
      <c r="B191" s="663"/>
      <c r="C191" s="663"/>
      <c r="D191" s="663"/>
      <c r="E191" s="663"/>
      <c r="F191" s="663"/>
      <c r="G191" s="663"/>
      <c r="H191" s="663"/>
      <c r="I191" s="663"/>
      <c r="J191" s="663"/>
      <c r="K191" s="663"/>
      <c r="L191" s="663"/>
      <c r="M191" s="663"/>
      <c r="N191" s="663"/>
      <c r="O191" s="663"/>
      <c r="P191" s="663"/>
      <c r="Q191" s="663"/>
      <c r="R191" s="663"/>
      <c r="S191" s="663"/>
      <c r="T191" s="663"/>
      <c r="U191" s="663"/>
      <c r="V191" s="663"/>
      <c r="W191" s="663"/>
      <c r="X191" s="663"/>
      <c r="Y191" s="663"/>
      <c r="Z191" s="663"/>
      <c r="AA191" s="663"/>
      <c r="AB191" s="663"/>
      <c r="AC191" s="663"/>
      <c r="AD191" s="663"/>
      <c r="AE191" s="663"/>
      <c r="AF191" s="663"/>
      <c r="AG191" s="663"/>
    </row>
    <row r="192" spans="1:33" ht="18" hidden="1" customHeight="1" x14ac:dyDescent="0.3">
      <c r="A192" s="663" t="s">
        <v>134</v>
      </c>
      <c r="B192" s="663"/>
      <c r="C192" s="663"/>
      <c r="D192" s="663"/>
      <c r="E192" s="663"/>
      <c r="F192" s="663"/>
      <c r="G192" s="663"/>
      <c r="H192" s="663"/>
      <c r="I192" s="663"/>
      <c r="J192" s="663"/>
      <c r="K192" s="663"/>
      <c r="L192" s="663"/>
      <c r="M192" s="663"/>
      <c r="N192" s="663"/>
      <c r="O192" s="663"/>
      <c r="P192" s="663"/>
      <c r="Q192" s="663"/>
      <c r="R192" s="663"/>
      <c r="S192" s="663"/>
      <c r="T192" s="663"/>
      <c r="U192" s="663"/>
      <c r="V192" s="663"/>
      <c r="W192" s="663"/>
      <c r="X192" s="663"/>
      <c r="Y192" s="663"/>
      <c r="Z192" s="663"/>
      <c r="AA192" s="663"/>
      <c r="AB192" s="663"/>
      <c r="AC192" s="663"/>
      <c r="AD192" s="663"/>
      <c r="AE192" s="663"/>
      <c r="AF192" s="663"/>
      <c r="AG192" s="663"/>
    </row>
    <row r="193" spans="1:33" ht="18" hidden="1" customHeight="1" x14ac:dyDescent="0.3">
      <c r="A193" s="663"/>
      <c r="B193" s="663"/>
      <c r="C193" s="663"/>
      <c r="D193" s="663"/>
      <c r="E193" s="663"/>
      <c r="F193" s="663"/>
      <c r="G193" s="663"/>
      <c r="H193" s="663"/>
      <c r="I193" s="663"/>
      <c r="J193" s="663"/>
      <c r="K193" s="663"/>
      <c r="L193" s="663"/>
      <c r="M193" s="663"/>
      <c r="N193" s="663"/>
      <c r="O193" s="663"/>
      <c r="P193" s="663"/>
      <c r="Q193" s="663"/>
      <c r="R193" s="663"/>
      <c r="S193" s="663"/>
      <c r="T193" s="663"/>
      <c r="U193" s="663"/>
      <c r="V193" s="663"/>
      <c r="W193" s="663"/>
      <c r="X193" s="663"/>
      <c r="Y193" s="663"/>
      <c r="Z193" s="663"/>
      <c r="AA193" s="663"/>
      <c r="AB193" s="663"/>
      <c r="AC193" s="663"/>
      <c r="AD193" s="663"/>
      <c r="AE193" s="663"/>
      <c r="AF193" s="663"/>
      <c r="AG193" s="663"/>
    </row>
    <row r="194" spans="1:33" ht="18" hidden="1" customHeight="1" x14ac:dyDescent="0.3">
      <c r="A194" s="660">
        <v>1</v>
      </c>
      <c r="B194" s="661">
        <f t="shared" ref="B194:V194" si="25">A194+1</f>
        <v>2</v>
      </c>
      <c r="C194" s="661">
        <f t="shared" si="25"/>
        <v>3</v>
      </c>
      <c r="D194" s="661">
        <f t="shared" si="25"/>
        <v>4</v>
      </c>
      <c r="E194" s="661">
        <f t="shared" si="25"/>
        <v>5</v>
      </c>
      <c r="F194" s="661">
        <f t="shared" si="25"/>
        <v>6</v>
      </c>
      <c r="G194" s="661">
        <f t="shared" si="25"/>
        <v>7</v>
      </c>
      <c r="H194" s="661">
        <f t="shared" si="25"/>
        <v>8</v>
      </c>
      <c r="I194" s="661">
        <f t="shared" si="25"/>
        <v>9</v>
      </c>
      <c r="J194" s="661">
        <f t="shared" si="25"/>
        <v>10</v>
      </c>
      <c r="K194" s="661">
        <f t="shared" si="25"/>
        <v>11</v>
      </c>
      <c r="L194" s="661">
        <f t="shared" si="25"/>
        <v>12</v>
      </c>
      <c r="M194" s="661">
        <f t="shared" si="25"/>
        <v>13</v>
      </c>
      <c r="N194" s="661">
        <f t="shared" si="25"/>
        <v>14</v>
      </c>
      <c r="O194" s="661">
        <f t="shared" si="25"/>
        <v>15</v>
      </c>
      <c r="P194" s="661">
        <f t="shared" si="25"/>
        <v>16</v>
      </c>
      <c r="Q194" s="661">
        <f t="shared" si="25"/>
        <v>17</v>
      </c>
      <c r="R194" s="661">
        <f t="shared" si="25"/>
        <v>18</v>
      </c>
      <c r="S194" s="661">
        <f t="shared" si="25"/>
        <v>19</v>
      </c>
      <c r="T194" s="661">
        <f t="shared" si="25"/>
        <v>20</v>
      </c>
      <c r="U194" s="661">
        <f t="shared" si="25"/>
        <v>21</v>
      </c>
      <c r="V194" s="661">
        <f t="shared" si="25"/>
        <v>22</v>
      </c>
      <c r="W194" s="661">
        <v>23</v>
      </c>
      <c r="X194" s="661">
        <v>24</v>
      </c>
      <c r="Y194" s="661">
        <v>25</v>
      </c>
      <c r="Z194" s="661">
        <f t="shared" ref="Z194:AG194" si="26">Y194+1</f>
        <v>26</v>
      </c>
      <c r="AA194" s="661">
        <f t="shared" si="26"/>
        <v>27</v>
      </c>
      <c r="AB194" s="661">
        <f t="shared" si="26"/>
        <v>28</v>
      </c>
      <c r="AC194" s="661">
        <f t="shared" si="26"/>
        <v>29</v>
      </c>
      <c r="AD194" s="661">
        <f t="shared" si="26"/>
        <v>30</v>
      </c>
      <c r="AE194" s="661">
        <f t="shared" si="26"/>
        <v>31</v>
      </c>
      <c r="AF194" s="661">
        <f t="shared" si="26"/>
        <v>32</v>
      </c>
      <c r="AG194" s="662">
        <f t="shared" si="26"/>
        <v>33</v>
      </c>
    </row>
    <row r="195" spans="1:33" ht="18" hidden="1" customHeight="1" x14ac:dyDescent="0.3">
      <c r="A195" s="669"/>
      <c r="B195" s="670" t="s">
        <v>348</v>
      </c>
      <c r="C195" s="670" t="s">
        <v>28</v>
      </c>
      <c r="D195" s="670" t="s">
        <v>33</v>
      </c>
      <c r="E195" s="670" t="s">
        <v>34</v>
      </c>
      <c r="F195" s="670" t="s">
        <v>348</v>
      </c>
      <c r="G195" s="670" t="s">
        <v>28</v>
      </c>
      <c r="H195" s="670" t="s">
        <v>33</v>
      </c>
      <c r="I195" s="670" t="s">
        <v>34</v>
      </c>
      <c r="J195" s="670" t="s">
        <v>349</v>
      </c>
      <c r="K195" s="670" t="s">
        <v>28</v>
      </c>
      <c r="L195" s="670" t="s">
        <v>33</v>
      </c>
      <c r="M195" s="670" t="s">
        <v>34</v>
      </c>
      <c r="N195" s="670"/>
      <c r="O195" s="670" t="s">
        <v>28</v>
      </c>
      <c r="P195" s="670" t="s">
        <v>33</v>
      </c>
      <c r="Q195" s="670" t="s">
        <v>34</v>
      </c>
      <c r="R195" s="670"/>
      <c r="S195" s="670" t="s">
        <v>28</v>
      </c>
      <c r="T195" s="670" t="s">
        <v>33</v>
      </c>
      <c r="U195" s="670" t="s">
        <v>34</v>
      </c>
      <c r="V195" s="670" t="s">
        <v>308</v>
      </c>
      <c r="W195" s="670" t="s">
        <v>350</v>
      </c>
      <c r="X195" s="670" t="s">
        <v>351</v>
      </c>
      <c r="Y195" s="670" t="s">
        <v>28</v>
      </c>
      <c r="Z195" s="670" t="s">
        <v>33</v>
      </c>
      <c r="AA195" s="670" t="s">
        <v>269</v>
      </c>
      <c r="AB195" s="670"/>
      <c r="AC195" s="670" t="s">
        <v>28</v>
      </c>
      <c r="AD195" s="670" t="s">
        <v>33</v>
      </c>
      <c r="AE195" s="670" t="s">
        <v>34</v>
      </c>
      <c r="AF195" s="670"/>
      <c r="AG195" s="671"/>
    </row>
    <row r="196" spans="1:33" ht="18" hidden="1" customHeight="1" x14ac:dyDescent="0.3">
      <c r="A196" s="669" t="s">
        <v>16</v>
      </c>
      <c r="B196" s="670">
        <v>0</v>
      </c>
      <c r="C196" s="670">
        <v>0</v>
      </c>
      <c r="D196" s="670">
        <v>0</v>
      </c>
      <c r="E196" s="670">
        <v>0</v>
      </c>
      <c r="F196" s="670">
        <v>0</v>
      </c>
      <c r="G196" s="670">
        <v>0</v>
      </c>
      <c r="H196" s="670">
        <v>0</v>
      </c>
      <c r="I196" s="670">
        <v>0</v>
      </c>
      <c r="J196" s="670">
        <v>0</v>
      </c>
      <c r="K196" s="670">
        <v>0</v>
      </c>
      <c r="L196" s="670">
        <v>0</v>
      </c>
      <c r="M196" s="670">
        <v>0</v>
      </c>
      <c r="N196" s="670">
        <v>0</v>
      </c>
      <c r="O196" s="670">
        <v>0</v>
      </c>
      <c r="P196" s="670">
        <v>0</v>
      </c>
      <c r="Q196" s="670">
        <v>0</v>
      </c>
      <c r="R196" s="670">
        <v>0</v>
      </c>
      <c r="S196" s="670">
        <v>0</v>
      </c>
      <c r="T196" s="670">
        <v>0</v>
      </c>
      <c r="U196" s="670">
        <v>0</v>
      </c>
      <c r="V196" s="670" t="s">
        <v>16</v>
      </c>
      <c r="W196" s="670">
        <v>0</v>
      </c>
      <c r="X196" s="670">
        <v>0</v>
      </c>
      <c r="Y196" s="670">
        <v>0</v>
      </c>
      <c r="Z196" s="670">
        <v>0</v>
      </c>
      <c r="AA196" s="670">
        <v>0</v>
      </c>
      <c r="AB196" s="670">
        <v>0</v>
      </c>
      <c r="AC196" s="670">
        <v>0</v>
      </c>
      <c r="AD196" s="670">
        <v>0</v>
      </c>
      <c r="AE196" s="670">
        <v>0</v>
      </c>
      <c r="AF196" s="670">
        <v>0</v>
      </c>
      <c r="AG196" s="671">
        <v>0</v>
      </c>
    </row>
    <row r="197" spans="1:33" ht="18" hidden="1" customHeight="1" x14ac:dyDescent="0.3">
      <c r="A197" s="669" t="s">
        <v>316</v>
      </c>
      <c r="B197" s="670" t="s">
        <v>352</v>
      </c>
      <c r="C197" s="670">
        <f>'Claire-Voie'!Dimensions_intérieures_Cp_15_longueur</f>
        <v>0</v>
      </c>
      <c r="D197" s="670">
        <f>IF('Claire-Voie'!Dimensions_intérieures_CP_15_hauteur&lt;120,9.4,14.4)</f>
        <v>9.4</v>
      </c>
      <c r="E197" s="670">
        <f>'Claire-Voie'!nombre_de_calages*4</f>
        <v>16</v>
      </c>
      <c r="F197" s="670" t="s">
        <v>353</v>
      </c>
      <c r="G197" s="670">
        <f>'Claire-Voie'!Dimensions_intérieures_Cp_15_largeur</f>
        <v>0</v>
      </c>
      <c r="H197" s="670">
        <f>IF('Claire-Voie'!Dimensions_intérieures_CP_15_hauteur&lt;120,9.4,14.4)</f>
        <v>9.4</v>
      </c>
      <c r="I197" s="670">
        <f>'Claire-Voie'!nombre_de_calages*2</f>
        <v>8</v>
      </c>
      <c r="J197" s="670" t="s">
        <v>349</v>
      </c>
      <c r="K197" s="670">
        <f>'Claire-Voie'!Dimensions_intérieures_Cp_15_largeur</f>
        <v>0</v>
      </c>
      <c r="L197" s="670">
        <v>7</v>
      </c>
      <c r="M197" s="670">
        <f>'Claire-Voie'!nombre_de_calages*4</f>
        <v>16</v>
      </c>
      <c r="N197" s="670" t="s">
        <v>203</v>
      </c>
      <c r="O197" s="670">
        <f>'Claire-Voie'!Dimensions_intérieures_Cp_15_longueur</f>
        <v>0</v>
      </c>
      <c r="P197" s="670">
        <f>IF('Claire-Voie'!Dimensions_intérieures_CP_15_hauteur&lt;120,9.4,14.4)</f>
        <v>9.4</v>
      </c>
      <c r="Q197" s="670">
        <f>'Claire-Voie'!nombre_de_calages*2</f>
        <v>8</v>
      </c>
      <c r="R197" s="670" t="s">
        <v>203</v>
      </c>
      <c r="S197" s="670"/>
      <c r="T197" s="670"/>
      <c r="U197" s="670"/>
      <c r="V197" s="670" t="str">
        <f>'Claire-Voie'!Base</f>
        <v>Aucun</v>
      </c>
      <c r="W197" s="670">
        <v>5</v>
      </c>
      <c r="X197" s="670">
        <f>VLOOKUP('Claire-Voie'!Plateau,$A$140:$B$146,2)</f>
        <v>0</v>
      </c>
      <c r="Y197" s="670">
        <f>'Claire-Voie'!Dimensions_intérieures_Cp_15_longueur</f>
        <v>0</v>
      </c>
      <c r="Z197" s="670">
        <f>'Claire-Voie'!Dimensions_intérieures_Cp_15_largeur</f>
        <v>0</v>
      </c>
      <c r="AA197" s="670">
        <f t="shared" ref="AA197:AA200" si="27">W197+X197</f>
        <v>5</v>
      </c>
      <c r="AB197" s="670"/>
      <c r="AC197" s="670"/>
      <c r="AD197" s="670"/>
      <c r="AE197" s="670"/>
      <c r="AF197" s="670"/>
      <c r="AG197" s="671"/>
    </row>
    <row r="198" spans="1:33" ht="18" hidden="1" customHeight="1" x14ac:dyDescent="0.3">
      <c r="A198" s="669" t="s">
        <v>319</v>
      </c>
      <c r="B198" s="670" t="s">
        <v>352</v>
      </c>
      <c r="C198" s="670">
        <f>'Claire-Voie'!Dimensions_intérieures_Cp_15_longueur</f>
        <v>0</v>
      </c>
      <c r="D198" s="670">
        <f>IF('Claire-Voie'!Dimensions_intérieures_CP_15_hauteur&lt;120,9.4,14.4)</f>
        <v>9.4</v>
      </c>
      <c r="E198" s="670">
        <f>'Claire-Voie'!nombre_de_calages*2</f>
        <v>8</v>
      </c>
      <c r="F198" s="670" t="s">
        <v>353</v>
      </c>
      <c r="G198" s="670">
        <f>'Claire-Voie'!Dimensions_intérieures_Cp_15_largeur</f>
        <v>0</v>
      </c>
      <c r="H198" s="670">
        <f>IF('Claire-Voie'!Dimensions_intérieures_CP_15_hauteur&lt;120,9.4,14.4)</f>
        <v>9.4</v>
      </c>
      <c r="I198" s="670">
        <f>'Claire-Voie'!nombre_de_calages*2</f>
        <v>8</v>
      </c>
      <c r="J198" s="670"/>
      <c r="K198" s="670"/>
      <c r="L198" s="670"/>
      <c r="M198" s="670"/>
      <c r="N198" s="670" t="s">
        <v>203</v>
      </c>
      <c r="O198" s="670">
        <f>'Claire-Voie'!Dimensions_intérieures_Cp_15_longueur</f>
        <v>0</v>
      </c>
      <c r="P198" s="670">
        <f>IF('Claire-Voie'!Dimensions_intérieures_CP_15_hauteur&lt;120,9.4,14.4)</f>
        <v>9.4</v>
      </c>
      <c r="Q198" s="670">
        <f>'Claire-Voie'!nombre_de_calages*2</f>
        <v>8</v>
      </c>
      <c r="R198" s="670" t="s">
        <v>203</v>
      </c>
      <c r="S198" s="670">
        <f>'Claire-Voie'!Dimensions_intérieures_Cp_15_largeur</f>
        <v>0</v>
      </c>
      <c r="T198" s="670">
        <f>IF('Claire-Voie'!Dimensions_intérieures_CP_15_hauteur&lt;120,9.4,14.4)</f>
        <v>9.4</v>
      </c>
      <c r="U198" s="670">
        <f>'Claire-Voie'!nombre_de_calages*2</f>
        <v>8</v>
      </c>
      <c r="V198" s="670" t="str">
        <f>'Claire-Voie'!Base</f>
        <v>Aucun</v>
      </c>
      <c r="W198" s="670">
        <v>5</v>
      </c>
      <c r="X198" s="670">
        <f>VLOOKUP('Claire-Voie'!Plateau,$A$140:$B$146,2)</f>
        <v>0</v>
      </c>
      <c r="Y198" s="670">
        <f>'Claire-Voie'!Dimensions_intérieures_Cp_15_longueur</f>
        <v>0</v>
      </c>
      <c r="Z198" s="670">
        <f>'Claire-Voie'!Dimensions_intérieures_Cp_15_largeur</f>
        <v>0</v>
      </c>
      <c r="AA198" s="670">
        <f t="shared" si="27"/>
        <v>5</v>
      </c>
      <c r="AB198" s="670"/>
      <c r="AC198" s="670"/>
      <c r="AD198" s="670"/>
      <c r="AE198" s="670"/>
      <c r="AF198" s="670"/>
      <c r="AG198" s="671"/>
    </row>
    <row r="199" spans="1:33" ht="18" hidden="1" customHeight="1" x14ac:dyDescent="0.3">
      <c r="A199" s="669" t="s">
        <v>326</v>
      </c>
      <c r="B199" s="670" t="s">
        <v>354</v>
      </c>
      <c r="C199" s="670">
        <f>'Claire-Voie'!Dimensions_intérieures_Cp_15_longueur</f>
        <v>0</v>
      </c>
      <c r="D199" s="670">
        <f>IF('Claire-Voie'!Dimensions_intérieures_CP_15_hauteur&lt;120,9.4,14.4)</f>
        <v>9.4</v>
      </c>
      <c r="E199" s="670">
        <f>1</f>
        <v>1</v>
      </c>
      <c r="F199" s="670" t="s">
        <v>355</v>
      </c>
      <c r="G199" s="670">
        <f>'Claire-Voie'!Dimensions_intérieures_Cp_15_longueur</f>
        <v>0</v>
      </c>
      <c r="H199" s="670">
        <v>8</v>
      </c>
      <c r="I199" s="670">
        <f>'Claire-Voie'!nombre_de_calages*2</f>
        <v>8</v>
      </c>
      <c r="J199" s="670" t="s">
        <v>349</v>
      </c>
      <c r="K199" s="670">
        <f>'Claire-Voie'!Dimensions_intérieures_Cp_15_largeur</f>
        <v>0</v>
      </c>
      <c r="L199" s="670">
        <v>7</v>
      </c>
      <c r="M199" s="670">
        <f>'Claire-Voie'!nombre_de_calages*4</f>
        <v>16</v>
      </c>
      <c r="N199" s="670" t="s">
        <v>342</v>
      </c>
      <c r="O199" s="670">
        <f>'Claire-Voie'!Dimensions_intérieures_Cp_15_longueur</f>
        <v>0</v>
      </c>
      <c r="P199" s="670">
        <f>'Claire-Voie'!Dimensions_intérieures_Cp_15_largeur-4.2</f>
        <v>-4.2</v>
      </c>
      <c r="Q199" s="670">
        <f>'Claire-Voie'!nombre_de_calages</f>
        <v>4</v>
      </c>
      <c r="R199" s="670" t="s">
        <v>37</v>
      </c>
      <c r="S199" s="670">
        <f>'Claire-Voie'!Dimensions_intérieures_Cp_15_largeur</f>
        <v>0</v>
      </c>
      <c r="T199" s="670">
        <f>IF('Claire-Voie'!Dimensions_intérieures_CP_15_hauteur&lt;120,9.4,14.4)</f>
        <v>9.4</v>
      </c>
      <c r="U199" s="670">
        <f>1</f>
        <v>1</v>
      </c>
      <c r="V199" s="670" t="str">
        <f>'Claire-Voie'!Base</f>
        <v>Aucun</v>
      </c>
      <c r="W199" s="670">
        <v>5</v>
      </c>
      <c r="X199" s="670">
        <f>VLOOKUP('Claire-Voie'!Plateau,$A$140:$B$146,2)</f>
        <v>0</v>
      </c>
      <c r="Y199" s="670">
        <f>'Claire-Voie'!Dimensions_intérieures_Cp_15_longueur</f>
        <v>0</v>
      </c>
      <c r="Z199" s="670">
        <f>'Claire-Voie'!Dimensions_intérieures_Cp_15_largeur</f>
        <v>0</v>
      </c>
      <c r="AA199" s="670">
        <f t="shared" si="27"/>
        <v>5</v>
      </c>
      <c r="AB199" s="670"/>
      <c r="AC199" s="670"/>
      <c r="AD199" s="670"/>
      <c r="AE199" s="670"/>
      <c r="AF199" s="670"/>
      <c r="AG199" s="670"/>
    </row>
    <row r="200" spans="1:33" ht="18" hidden="1" customHeight="1" x14ac:dyDescent="0.3">
      <c r="A200" s="669" t="s">
        <v>328</v>
      </c>
      <c r="B200" s="670"/>
      <c r="C200" s="670"/>
      <c r="D200" s="670"/>
      <c r="E200" s="670"/>
      <c r="F200" s="670" t="s">
        <v>355</v>
      </c>
      <c r="G200" s="670">
        <f>'Claire-Voie'!Dimensions_intérieures_Cp_15_largeur</f>
        <v>0</v>
      </c>
      <c r="H200" s="670">
        <v>8</v>
      </c>
      <c r="I200" s="670">
        <f>'Claire-Voie'!nombre_de_calages</f>
        <v>4</v>
      </c>
      <c r="J200" s="670" t="s">
        <v>349</v>
      </c>
      <c r="K200" s="670">
        <f>'Claire-Voie'!Dimensions_intérieures_CP_15_hauteur-AA200</f>
        <v>-5</v>
      </c>
      <c r="L200" s="670">
        <v>7</v>
      </c>
      <c r="M200" s="670">
        <f>'Claire-Voie'!nombre_de_calages*4</f>
        <v>16</v>
      </c>
      <c r="N200" s="670" t="s">
        <v>342</v>
      </c>
      <c r="O200" s="670">
        <f>'Claire-Voie'!Dimensions_intérieures_Cp_15_largeur</f>
        <v>0</v>
      </c>
      <c r="P200" s="670">
        <f>'Claire-Voie'!Dimensions_intérieures_CP_15_hauteur-2.1-(AA200)</f>
        <v>-7.1</v>
      </c>
      <c r="Q200" s="670">
        <f>'Claire-Voie'!nombre_de_calages</f>
        <v>4</v>
      </c>
      <c r="R200" s="670"/>
      <c r="S200" s="670"/>
      <c r="T200" s="670"/>
      <c r="U200" s="670"/>
      <c r="V200" s="670" t="str">
        <f>'Claire-Voie'!Base</f>
        <v>Aucun</v>
      </c>
      <c r="W200" s="670">
        <v>5</v>
      </c>
      <c r="X200" s="670">
        <f>VLOOKUP('Claire-Voie'!Plateau,$A$140:$B$146,2)</f>
        <v>0</v>
      </c>
      <c r="Y200" s="670">
        <f>'Claire-Voie'!Dimensions_intérieures_Cp_15_longueur</f>
        <v>0</v>
      </c>
      <c r="Z200" s="670">
        <f>'Claire-Voie'!Dimensions_intérieures_Cp_15_largeur</f>
        <v>0</v>
      </c>
      <c r="AA200" s="670">
        <f t="shared" si="27"/>
        <v>5</v>
      </c>
      <c r="AB200" s="670"/>
      <c r="AC200" s="670"/>
      <c r="AD200" s="670"/>
      <c r="AE200" s="670"/>
      <c r="AF200" s="670"/>
      <c r="AG200" s="670"/>
    </row>
    <row r="201" spans="1:33" ht="18" hidden="1" customHeight="1" x14ac:dyDescent="0.35">
      <c r="A201" s="559"/>
      <c r="B201" s="559"/>
      <c r="C201" s="559"/>
      <c r="D201" s="559"/>
      <c r="E201" s="559"/>
      <c r="F201" s="559"/>
      <c r="G201" s="559"/>
      <c r="H201" s="559"/>
      <c r="I201" s="559"/>
      <c r="J201" s="559"/>
      <c r="K201" s="559"/>
      <c r="L201" s="559"/>
      <c r="M201" s="559"/>
      <c r="N201" s="559"/>
      <c r="O201" s="559"/>
      <c r="P201" s="559"/>
      <c r="Q201" s="559"/>
      <c r="R201" s="559"/>
      <c r="S201" s="559"/>
      <c r="T201" s="559"/>
      <c r="U201" s="559"/>
      <c r="V201" s="559"/>
      <c r="W201" s="559"/>
      <c r="X201" s="559"/>
      <c r="Y201" s="559"/>
      <c r="Z201" s="559"/>
      <c r="AA201" s="559"/>
      <c r="AB201" s="559"/>
      <c r="AC201" s="559"/>
      <c r="AD201" s="559"/>
      <c r="AE201" s="559"/>
      <c r="AF201" s="559"/>
      <c r="AG201" s="559"/>
    </row>
    <row r="202" spans="1:33" ht="18" hidden="1" customHeight="1" x14ac:dyDescent="0.35">
      <c r="A202" s="559"/>
      <c r="B202" s="559"/>
      <c r="C202" s="559"/>
      <c r="D202" s="559"/>
      <c r="E202" s="559"/>
      <c r="F202" s="559"/>
      <c r="G202" s="559"/>
      <c r="H202" s="559"/>
      <c r="I202" s="559"/>
      <c r="J202" s="559"/>
      <c r="K202" s="559"/>
      <c r="L202" s="559"/>
      <c r="M202" s="559"/>
      <c r="N202" s="559"/>
      <c r="O202" s="559"/>
      <c r="P202" s="559"/>
      <c r="Q202" s="559"/>
      <c r="R202" s="559"/>
      <c r="S202" s="559"/>
      <c r="T202" s="559"/>
      <c r="U202" s="559"/>
      <c r="V202" s="559"/>
      <c r="W202" s="559"/>
      <c r="X202" s="559"/>
      <c r="Y202" s="559"/>
      <c r="Z202" s="559"/>
      <c r="AA202" s="559"/>
      <c r="AB202" s="559"/>
      <c r="AC202" s="559"/>
      <c r="AD202" s="559"/>
      <c r="AE202" s="559"/>
      <c r="AF202" s="559"/>
      <c r="AG202" s="559"/>
    </row>
    <row r="203" spans="1:33" ht="18" hidden="1" customHeight="1" x14ac:dyDescent="0.35">
      <c r="A203" s="559"/>
      <c r="B203" s="559"/>
      <c r="C203" s="559"/>
      <c r="D203" s="559"/>
      <c r="E203" s="559"/>
      <c r="F203" s="559"/>
      <c r="G203" s="559"/>
      <c r="H203" s="559"/>
      <c r="I203" s="559"/>
      <c r="J203" s="559"/>
      <c r="K203" s="559"/>
      <c r="L203" s="559"/>
      <c r="M203" s="559"/>
      <c r="N203" s="559"/>
      <c r="O203" s="559"/>
      <c r="P203" s="559"/>
      <c r="Q203" s="559"/>
      <c r="R203" s="559"/>
      <c r="S203" s="559"/>
      <c r="T203" s="559"/>
      <c r="U203" s="559"/>
      <c r="V203" s="559"/>
      <c r="W203" s="559"/>
      <c r="X203" s="559"/>
      <c r="Y203" s="559"/>
      <c r="Z203" s="559"/>
      <c r="AA203" s="559"/>
      <c r="AB203" s="559"/>
      <c r="AC203" s="559"/>
      <c r="AD203" s="559"/>
      <c r="AE203" s="559"/>
      <c r="AF203" s="559"/>
      <c r="AG203" s="559"/>
    </row>
    <row r="204" spans="1:33" ht="18" hidden="1" customHeight="1" x14ac:dyDescent="0.35">
      <c r="A204" s="559"/>
      <c r="B204" s="559"/>
      <c r="C204" s="559"/>
      <c r="D204" s="559"/>
      <c r="E204" s="559"/>
      <c r="F204" s="559"/>
      <c r="G204" s="559"/>
      <c r="H204" s="559"/>
      <c r="I204" s="559"/>
      <c r="J204" s="559"/>
      <c r="K204" s="559"/>
      <c r="L204" s="559"/>
      <c r="M204" s="559"/>
      <c r="N204" s="559"/>
      <c r="O204" s="559"/>
      <c r="P204" s="559"/>
      <c r="Q204" s="559"/>
      <c r="R204" s="559"/>
      <c r="S204" s="559"/>
      <c r="T204" s="559"/>
      <c r="U204" s="559"/>
      <c r="V204" s="559"/>
      <c r="W204" s="559"/>
      <c r="X204" s="559"/>
      <c r="Y204" s="559"/>
      <c r="Z204" s="559"/>
      <c r="AA204" s="559"/>
      <c r="AB204" s="559"/>
      <c r="AC204" s="559"/>
      <c r="AD204" s="559"/>
      <c r="AE204" s="559"/>
      <c r="AF204" s="559"/>
      <c r="AG204" s="559"/>
    </row>
    <row r="205" spans="1:33" ht="18" hidden="1" customHeight="1" x14ac:dyDescent="0.35">
      <c r="A205" s="559"/>
      <c r="B205" s="559"/>
      <c r="C205" s="559"/>
      <c r="D205" s="559"/>
      <c r="E205" s="559"/>
      <c r="F205" s="559"/>
      <c r="G205" s="559"/>
      <c r="H205" s="559"/>
      <c r="I205" s="559"/>
      <c r="J205" s="559"/>
      <c r="K205" s="559"/>
      <c r="L205" s="559"/>
      <c r="M205" s="559"/>
      <c r="N205" s="559"/>
      <c r="O205" s="559"/>
      <c r="P205" s="559"/>
      <c r="Q205" s="559"/>
      <c r="R205" s="559"/>
      <c r="S205" s="559"/>
      <c r="T205" s="559"/>
      <c r="U205" s="559"/>
      <c r="V205" s="559"/>
      <c r="W205" s="559"/>
      <c r="X205" s="559"/>
      <c r="Y205" s="559"/>
      <c r="Z205" s="559"/>
      <c r="AA205" s="559"/>
      <c r="AB205" s="559"/>
      <c r="AC205" s="559"/>
      <c r="AD205" s="559"/>
      <c r="AE205" s="559"/>
      <c r="AF205" s="559"/>
      <c r="AG205" s="559"/>
    </row>
    <row r="206" spans="1:33" ht="18" hidden="1" customHeight="1" x14ac:dyDescent="0.35">
      <c r="A206" s="559"/>
      <c r="B206" s="559"/>
      <c r="C206" s="559"/>
      <c r="D206" s="559"/>
      <c r="E206" s="559"/>
      <c r="F206" s="559"/>
      <c r="G206" s="559"/>
      <c r="H206" s="559"/>
      <c r="I206" s="559"/>
      <c r="J206" s="559"/>
      <c r="K206" s="559"/>
      <c r="L206" s="559"/>
      <c r="M206" s="559"/>
      <c r="N206" s="559"/>
      <c r="O206" s="559"/>
      <c r="P206" s="559"/>
      <c r="Q206" s="559"/>
      <c r="R206" s="559"/>
      <c r="S206" s="559"/>
      <c r="T206" s="559"/>
      <c r="U206" s="559"/>
      <c r="V206" s="559"/>
      <c r="W206" s="559"/>
      <c r="X206" s="559"/>
      <c r="Y206" s="559"/>
      <c r="Z206" s="559"/>
      <c r="AA206" s="559"/>
      <c r="AB206" s="559"/>
      <c r="AC206" s="559"/>
      <c r="AD206" s="559"/>
      <c r="AE206" s="559"/>
      <c r="AF206" s="559"/>
      <c r="AG206" s="559"/>
    </row>
    <row r="207" spans="1:33" ht="18" hidden="1" customHeight="1" x14ac:dyDescent="0.35">
      <c r="A207" s="559"/>
      <c r="B207" s="559"/>
      <c r="C207" s="559"/>
      <c r="D207" s="559"/>
      <c r="E207" s="559"/>
      <c r="F207" s="559"/>
      <c r="G207" s="559"/>
      <c r="H207" s="559"/>
      <c r="I207" s="559"/>
      <c r="J207" s="559"/>
      <c r="K207" s="559"/>
      <c r="L207" s="559"/>
      <c r="M207" s="559"/>
      <c r="N207" s="559"/>
      <c r="O207" s="559"/>
      <c r="P207" s="559"/>
      <c r="Q207" s="559"/>
      <c r="R207" s="559"/>
      <c r="S207" s="559"/>
      <c r="T207" s="559"/>
      <c r="U207" s="559"/>
      <c r="V207" s="559"/>
      <c r="W207" s="559"/>
      <c r="X207" s="559"/>
      <c r="Y207" s="559"/>
      <c r="Z207" s="559"/>
      <c r="AA207" s="559"/>
      <c r="AB207" s="559"/>
      <c r="AC207" s="559"/>
      <c r="AD207" s="559"/>
      <c r="AE207" s="559"/>
      <c r="AF207" s="559"/>
      <c r="AG207" s="559"/>
    </row>
    <row r="208" spans="1:33" ht="18" hidden="1" customHeight="1" x14ac:dyDescent="0.35">
      <c r="A208" s="559"/>
      <c r="B208" s="559"/>
      <c r="C208" s="559"/>
      <c r="D208" s="559"/>
      <c r="E208" s="559"/>
      <c r="F208" s="559"/>
      <c r="G208" s="559"/>
      <c r="H208" s="559"/>
      <c r="I208" s="559"/>
      <c r="J208" s="559"/>
      <c r="K208" s="559"/>
      <c r="L208" s="559"/>
      <c r="M208" s="559"/>
      <c r="N208" s="559"/>
      <c r="O208" s="559"/>
      <c r="P208" s="559"/>
      <c r="Q208" s="559"/>
      <c r="R208" s="559"/>
      <c r="S208" s="559"/>
      <c r="T208" s="559"/>
      <c r="U208" s="559"/>
      <c r="V208" s="559"/>
      <c r="W208" s="559"/>
      <c r="X208" s="559"/>
      <c r="Y208" s="559"/>
      <c r="Z208" s="559"/>
      <c r="AA208" s="559"/>
      <c r="AB208" s="559"/>
      <c r="AC208" s="559"/>
      <c r="AD208" s="559"/>
      <c r="AE208" s="559"/>
      <c r="AF208" s="559"/>
      <c r="AG208" s="559"/>
    </row>
    <row r="209" spans="1:33" ht="18" hidden="1" customHeight="1" x14ac:dyDescent="0.35">
      <c r="A209" s="559"/>
      <c r="B209" s="559"/>
      <c r="C209" s="559"/>
      <c r="D209" s="559"/>
      <c r="E209" s="559"/>
      <c r="F209" s="559"/>
      <c r="G209" s="559"/>
      <c r="H209" s="559"/>
      <c r="I209" s="559"/>
      <c r="J209" s="559"/>
      <c r="K209" s="559"/>
      <c r="L209" s="559"/>
      <c r="M209" s="559"/>
      <c r="N209" s="559"/>
      <c r="O209" s="559"/>
      <c r="P209" s="559"/>
      <c r="Q209" s="559"/>
      <c r="R209" s="559"/>
      <c r="S209" s="559"/>
      <c r="T209" s="559"/>
      <c r="U209" s="559"/>
      <c r="V209" s="559"/>
      <c r="W209" s="559"/>
      <c r="X209" s="559"/>
      <c r="Y209" s="559"/>
      <c r="Z209" s="559"/>
      <c r="AA209" s="559"/>
      <c r="AB209" s="559"/>
      <c r="AC209" s="559"/>
      <c r="AD209" s="559"/>
      <c r="AE209" s="559"/>
      <c r="AF209" s="559"/>
      <c r="AG209" s="559"/>
    </row>
    <row r="210" spans="1:33" ht="18" hidden="1" customHeight="1" x14ac:dyDescent="0.35">
      <c r="A210" s="559"/>
      <c r="B210" s="559"/>
      <c r="C210" s="559"/>
      <c r="D210" s="559"/>
      <c r="E210" s="559"/>
      <c r="F210" s="559"/>
      <c r="G210" s="559"/>
      <c r="H210" s="559"/>
      <c r="I210" s="559"/>
      <c r="J210" s="559"/>
      <c r="K210" s="559"/>
      <c r="L210" s="559"/>
      <c r="M210" s="559"/>
      <c r="N210" s="559"/>
      <c r="O210" s="559"/>
      <c r="P210" s="559"/>
      <c r="Q210" s="559"/>
      <c r="R210" s="559"/>
      <c r="S210" s="559"/>
      <c r="T210" s="559"/>
      <c r="U210" s="559"/>
      <c r="V210" s="559"/>
      <c r="W210" s="559"/>
      <c r="X210" s="559"/>
      <c r="Y210" s="559"/>
      <c r="Z210" s="559"/>
      <c r="AA210" s="559"/>
      <c r="AB210" s="559"/>
      <c r="AC210" s="559"/>
      <c r="AD210" s="559"/>
      <c r="AE210" s="559"/>
      <c r="AF210" s="559"/>
      <c r="AG210" s="559"/>
    </row>
    <row r="211" spans="1:33" ht="18" hidden="1" customHeight="1" x14ac:dyDescent="0.35">
      <c r="A211" s="559"/>
      <c r="B211" s="559"/>
      <c r="C211" s="559"/>
      <c r="D211" s="559"/>
      <c r="E211" s="559"/>
      <c r="F211" s="559"/>
      <c r="G211" s="559"/>
      <c r="H211" s="559"/>
      <c r="I211" s="559"/>
      <c r="J211" s="559"/>
      <c r="K211" s="559"/>
      <c r="L211" s="559"/>
      <c r="M211" s="559"/>
      <c r="N211" s="559"/>
      <c r="O211" s="559"/>
      <c r="P211" s="559"/>
      <c r="Q211" s="559"/>
      <c r="R211" s="559"/>
      <c r="S211" s="559"/>
      <c r="T211" s="559"/>
      <c r="U211" s="559"/>
      <c r="V211" s="559"/>
      <c r="W211" s="559"/>
      <c r="X211" s="559"/>
      <c r="Y211" s="559"/>
      <c r="Z211" s="559"/>
      <c r="AA211" s="559"/>
      <c r="AB211" s="559"/>
      <c r="AC211" s="559"/>
      <c r="AD211" s="559"/>
      <c r="AE211" s="559"/>
      <c r="AF211" s="559"/>
      <c r="AG211" s="559"/>
    </row>
    <row r="212" spans="1:33" ht="18" hidden="1" customHeight="1" x14ac:dyDescent="0.35">
      <c r="A212" s="559"/>
      <c r="B212" s="559"/>
      <c r="C212" s="559"/>
      <c r="D212" s="559"/>
      <c r="E212" s="559"/>
      <c r="F212" s="559"/>
      <c r="G212" s="559"/>
      <c r="H212" s="559"/>
      <c r="I212" s="559"/>
      <c r="J212" s="559"/>
      <c r="K212" s="559"/>
      <c r="L212" s="559"/>
      <c r="M212" s="559"/>
      <c r="N212" s="559"/>
      <c r="O212" s="559"/>
      <c r="P212" s="559"/>
      <c r="Q212" s="559"/>
      <c r="R212" s="559"/>
      <c r="S212" s="559"/>
      <c r="T212" s="559"/>
      <c r="U212" s="559"/>
      <c r="V212" s="559"/>
      <c r="W212" s="559"/>
      <c r="X212" s="559"/>
      <c r="Y212" s="559"/>
      <c r="Z212" s="559"/>
      <c r="AA212" s="559"/>
      <c r="AB212" s="559"/>
      <c r="AC212" s="559"/>
      <c r="AD212" s="559"/>
      <c r="AE212" s="559"/>
      <c r="AF212" s="559"/>
      <c r="AG212" s="559"/>
    </row>
    <row r="213" spans="1:33" ht="18" hidden="1" customHeight="1" x14ac:dyDescent="0.35">
      <c r="A213" s="559"/>
      <c r="B213" s="559"/>
      <c r="C213" s="559"/>
      <c r="D213" s="559"/>
      <c r="E213" s="559"/>
      <c r="F213" s="559"/>
      <c r="G213" s="559"/>
      <c r="H213" s="559"/>
      <c r="I213" s="559"/>
      <c r="J213" s="559"/>
      <c r="K213" s="559"/>
      <c r="L213" s="559"/>
      <c r="M213" s="559"/>
      <c r="N213" s="559"/>
      <c r="O213" s="559"/>
      <c r="P213" s="559"/>
      <c r="Q213" s="559"/>
      <c r="R213" s="559"/>
      <c r="S213" s="559"/>
      <c r="T213" s="559"/>
      <c r="U213" s="559"/>
      <c r="V213" s="559"/>
      <c r="W213" s="559"/>
      <c r="X213" s="559"/>
      <c r="Y213" s="559"/>
      <c r="Z213" s="559"/>
      <c r="AA213" s="559"/>
      <c r="AB213" s="559"/>
      <c r="AC213" s="559"/>
      <c r="AD213" s="559"/>
      <c r="AE213" s="559"/>
      <c r="AF213" s="559"/>
      <c r="AG213" s="559"/>
    </row>
    <row r="214" spans="1:33" ht="18" hidden="1" customHeight="1" x14ac:dyDescent="0.35">
      <c r="A214" s="559"/>
      <c r="B214" s="559"/>
      <c r="C214" s="559"/>
      <c r="D214" s="559"/>
      <c r="E214" s="559"/>
      <c r="F214" s="559"/>
      <c r="G214" s="559"/>
      <c r="H214" s="559"/>
      <c r="I214" s="559"/>
      <c r="J214" s="559"/>
      <c r="K214" s="559"/>
      <c r="L214" s="559"/>
      <c r="M214" s="559"/>
      <c r="N214" s="559"/>
      <c r="O214" s="559"/>
      <c r="P214" s="559"/>
      <c r="Q214" s="559"/>
      <c r="R214" s="559"/>
      <c r="S214" s="559"/>
      <c r="T214" s="559"/>
      <c r="U214" s="559"/>
      <c r="V214" s="559"/>
      <c r="W214" s="559"/>
      <c r="X214" s="559"/>
      <c r="Y214" s="559"/>
      <c r="Z214" s="559"/>
      <c r="AA214" s="559"/>
      <c r="AB214" s="559"/>
      <c r="AC214" s="559"/>
      <c r="AD214" s="559"/>
      <c r="AE214" s="559"/>
      <c r="AF214" s="559"/>
      <c r="AG214" s="559"/>
    </row>
    <row r="215" spans="1:33" ht="18" hidden="1" customHeight="1" x14ac:dyDescent="0.35">
      <c r="A215" s="559"/>
      <c r="B215" s="559"/>
      <c r="C215" s="559"/>
      <c r="D215" s="559"/>
      <c r="E215" s="559"/>
      <c r="F215" s="559"/>
      <c r="G215" s="559"/>
      <c r="H215" s="559"/>
      <c r="I215" s="559"/>
      <c r="J215" s="559"/>
      <c r="K215" s="559"/>
      <c r="L215" s="559"/>
      <c r="M215" s="559"/>
      <c r="N215" s="559"/>
      <c r="O215" s="559"/>
      <c r="P215" s="559"/>
      <c r="Q215" s="559"/>
      <c r="R215" s="559"/>
      <c r="S215" s="559"/>
      <c r="T215" s="559"/>
      <c r="U215" s="559"/>
      <c r="V215" s="559"/>
      <c r="W215" s="559"/>
      <c r="X215" s="559"/>
      <c r="Y215" s="559"/>
      <c r="Z215" s="559"/>
      <c r="AA215" s="559"/>
      <c r="AB215" s="559"/>
      <c r="AC215" s="559"/>
      <c r="AD215" s="559"/>
      <c r="AE215" s="559"/>
      <c r="AF215" s="559"/>
      <c r="AG215" s="559"/>
    </row>
    <row r="216" spans="1:33" ht="18" hidden="1" customHeight="1" x14ac:dyDescent="0.35">
      <c r="A216" s="559"/>
      <c r="B216" s="559"/>
      <c r="C216" s="559"/>
      <c r="D216" s="559"/>
      <c r="E216" s="559"/>
      <c r="F216" s="559"/>
      <c r="G216" s="559"/>
      <c r="H216" s="559"/>
      <c r="I216" s="559"/>
      <c r="J216" s="559"/>
      <c r="K216" s="559"/>
      <c r="L216" s="559"/>
      <c r="M216" s="559"/>
      <c r="N216" s="559"/>
      <c r="O216" s="559"/>
      <c r="P216" s="559"/>
      <c r="Q216" s="559"/>
      <c r="R216" s="559"/>
      <c r="S216" s="559"/>
      <c r="T216" s="559"/>
      <c r="U216" s="559"/>
      <c r="V216" s="559"/>
      <c r="W216" s="559"/>
      <c r="X216" s="559"/>
      <c r="Y216" s="559"/>
      <c r="Z216" s="559"/>
      <c r="AA216" s="559"/>
      <c r="AB216" s="559"/>
      <c r="AC216" s="559"/>
      <c r="AD216" s="559"/>
      <c r="AE216" s="559"/>
      <c r="AF216" s="559"/>
      <c r="AG216" s="559"/>
    </row>
    <row r="217" spans="1:33" ht="18" hidden="1" customHeight="1" x14ac:dyDescent="0.35">
      <c r="A217" s="559"/>
      <c r="B217" s="559"/>
      <c r="C217" s="559"/>
      <c r="D217" s="559"/>
      <c r="E217" s="559"/>
      <c r="F217" s="559"/>
      <c r="G217" s="559"/>
      <c r="H217" s="559"/>
      <c r="I217" s="559"/>
      <c r="J217" s="559"/>
      <c r="K217" s="559"/>
      <c r="L217" s="559"/>
      <c r="M217" s="559"/>
      <c r="N217" s="559"/>
      <c r="O217" s="559"/>
      <c r="P217" s="559"/>
      <c r="Q217" s="559"/>
      <c r="R217" s="559"/>
      <c r="S217" s="559"/>
      <c r="T217" s="559"/>
      <c r="U217" s="559"/>
      <c r="V217" s="559"/>
      <c r="W217" s="559"/>
      <c r="X217" s="559"/>
      <c r="Y217" s="559"/>
      <c r="Z217" s="559"/>
      <c r="AA217" s="559"/>
      <c r="AB217" s="559"/>
      <c r="AC217" s="559"/>
      <c r="AD217" s="559"/>
      <c r="AE217" s="559"/>
      <c r="AF217" s="559"/>
      <c r="AG217" s="559"/>
    </row>
    <row r="218" spans="1:33" ht="18" hidden="1" customHeight="1" x14ac:dyDescent="0.35">
      <c r="A218" s="559"/>
      <c r="B218" s="559"/>
      <c r="C218" s="559"/>
      <c r="D218" s="559"/>
      <c r="E218" s="559"/>
      <c r="F218" s="559"/>
      <c r="G218" s="559"/>
      <c r="H218" s="559"/>
      <c r="I218" s="559"/>
      <c r="J218" s="559"/>
      <c r="K218" s="559"/>
      <c r="L218" s="559"/>
      <c r="M218" s="559"/>
      <c r="N218" s="559"/>
      <c r="O218" s="559"/>
      <c r="P218" s="559"/>
      <c r="Q218" s="559"/>
      <c r="R218" s="559"/>
      <c r="S218" s="559"/>
      <c r="T218" s="559"/>
      <c r="U218" s="559"/>
      <c r="V218" s="559"/>
      <c r="W218" s="559"/>
      <c r="X218" s="559"/>
      <c r="Y218" s="559"/>
      <c r="Z218" s="559"/>
      <c r="AA218" s="559"/>
      <c r="AB218" s="559"/>
      <c r="AC218" s="559"/>
      <c r="AD218" s="559"/>
      <c r="AE218" s="559"/>
      <c r="AF218" s="559"/>
      <c r="AG218" s="559"/>
    </row>
    <row r="219" spans="1:33" ht="18" hidden="1" customHeight="1" x14ac:dyDescent="0.35">
      <c r="A219" s="559"/>
      <c r="B219" s="559"/>
      <c r="C219" s="559"/>
      <c r="D219" s="559"/>
      <c r="E219" s="559"/>
      <c r="F219" s="559"/>
      <c r="G219" s="559"/>
      <c r="H219" s="559"/>
      <c r="I219" s="559"/>
      <c r="J219" s="559"/>
      <c r="K219" s="559"/>
      <c r="L219" s="559"/>
      <c r="M219" s="559"/>
      <c r="N219" s="559"/>
      <c r="O219" s="559"/>
      <c r="P219" s="559"/>
      <c r="Q219" s="559"/>
      <c r="R219" s="559"/>
      <c r="S219" s="559"/>
      <c r="T219" s="559"/>
      <c r="U219" s="559"/>
      <c r="V219" s="559"/>
      <c r="W219" s="559"/>
      <c r="X219" s="559"/>
      <c r="Y219" s="559"/>
      <c r="Z219" s="559"/>
      <c r="AA219" s="559"/>
      <c r="AB219" s="559"/>
      <c r="AC219" s="559"/>
      <c r="AD219" s="559"/>
      <c r="AE219" s="559"/>
      <c r="AF219" s="559"/>
      <c r="AG219" s="559"/>
    </row>
    <row r="220" spans="1:33" ht="18" hidden="1" customHeight="1" x14ac:dyDescent="0.35">
      <c r="A220" s="559"/>
      <c r="B220" s="559"/>
      <c r="C220" s="559"/>
      <c r="D220" s="559"/>
      <c r="E220" s="559"/>
      <c r="F220" s="559"/>
      <c r="G220" s="559"/>
      <c r="H220" s="559"/>
      <c r="I220" s="559"/>
      <c r="J220" s="559"/>
      <c r="K220" s="559"/>
      <c r="L220" s="559"/>
      <c r="M220" s="559"/>
      <c r="N220" s="559"/>
      <c r="O220" s="559"/>
      <c r="P220" s="559"/>
      <c r="Q220" s="559"/>
      <c r="R220" s="559"/>
      <c r="S220" s="559"/>
      <c r="T220" s="559"/>
      <c r="U220" s="559"/>
      <c r="V220" s="559"/>
      <c r="W220" s="559"/>
      <c r="X220" s="559"/>
      <c r="Y220" s="559"/>
      <c r="Z220" s="559"/>
      <c r="AA220" s="559"/>
      <c r="AB220" s="559"/>
      <c r="AC220" s="559"/>
      <c r="AD220" s="559"/>
      <c r="AE220" s="559"/>
      <c r="AF220" s="559"/>
      <c r="AG220" s="559"/>
    </row>
    <row r="221" spans="1:33" ht="18" hidden="1" customHeight="1" x14ac:dyDescent="0.35">
      <c r="A221" s="559"/>
      <c r="B221" s="559"/>
      <c r="C221" s="559"/>
      <c r="D221" s="559"/>
      <c r="E221" s="559"/>
      <c r="F221" s="559"/>
      <c r="G221" s="559"/>
      <c r="H221" s="559"/>
      <c r="I221" s="559"/>
      <c r="J221" s="559"/>
      <c r="K221" s="559"/>
      <c r="L221" s="559"/>
      <c r="M221" s="559"/>
      <c r="N221" s="559"/>
      <c r="O221" s="559"/>
      <c r="P221" s="559"/>
      <c r="Q221" s="559"/>
      <c r="R221" s="559"/>
      <c r="S221" s="559"/>
      <c r="T221" s="559"/>
      <c r="U221" s="559"/>
      <c r="V221" s="559"/>
      <c r="W221" s="559"/>
      <c r="X221" s="559"/>
      <c r="Y221" s="559"/>
      <c r="Z221" s="559"/>
      <c r="AA221" s="559"/>
      <c r="AB221" s="559"/>
      <c r="AC221" s="559"/>
      <c r="AD221" s="559"/>
      <c r="AE221" s="559"/>
      <c r="AF221" s="559"/>
      <c r="AG221" s="559"/>
    </row>
    <row r="222" spans="1:33" ht="18" hidden="1" customHeight="1" x14ac:dyDescent="0.35">
      <c r="A222" s="559"/>
      <c r="B222" s="559"/>
      <c r="C222" s="559"/>
      <c r="D222" s="559"/>
      <c r="E222" s="559"/>
      <c r="F222" s="559"/>
      <c r="G222" s="559"/>
      <c r="H222" s="559"/>
      <c r="I222" s="559"/>
      <c r="J222" s="559"/>
      <c r="K222" s="559"/>
      <c r="L222" s="559"/>
      <c r="M222" s="559"/>
      <c r="N222" s="559"/>
      <c r="O222" s="559"/>
      <c r="P222" s="559"/>
      <c r="Q222" s="559"/>
      <c r="R222" s="559"/>
      <c r="S222" s="559"/>
      <c r="T222" s="559"/>
      <c r="U222" s="559"/>
      <c r="V222" s="559"/>
      <c r="W222" s="559"/>
      <c r="X222" s="559"/>
      <c r="Y222" s="559"/>
      <c r="Z222" s="559"/>
      <c r="AA222" s="559"/>
      <c r="AB222" s="559"/>
      <c r="AC222" s="559"/>
      <c r="AD222" s="559"/>
      <c r="AE222" s="559"/>
      <c r="AF222" s="559"/>
      <c r="AG222" s="559"/>
    </row>
    <row r="223" spans="1:33" ht="18" hidden="1" customHeight="1" x14ac:dyDescent="0.35">
      <c r="A223" s="559"/>
      <c r="B223" s="559"/>
      <c r="C223" s="559"/>
      <c r="D223" s="559"/>
      <c r="E223" s="559"/>
      <c r="F223" s="559"/>
      <c r="G223" s="559"/>
      <c r="H223" s="559"/>
      <c r="I223" s="559"/>
      <c r="J223" s="559"/>
      <c r="K223" s="559"/>
      <c r="L223" s="559"/>
      <c r="M223" s="559"/>
      <c r="N223" s="559"/>
      <c r="O223" s="559"/>
      <c r="P223" s="559"/>
      <c r="Q223" s="559"/>
      <c r="R223" s="559"/>
      <c r="S223" s="559"/>
      <c r="T223" s="559"/>
      <c r="U223" s="559"/>
      <c r="V223" s="559"/>
      <c r="W223" s="559"/>
      <c r="X223" s="559"/>
      <c r="Y223" s="559"/>
      <c r="Z223" s="559"/>
      <c r="AA223" s="559"/>
      <c r="AB223" s="559"/>
      <c r="AC223" s="559"/>
      <c r="AD223" s="559"/>
      <c r="AE223" s="559"/>
      <c r="AF223" s="559"/>
      <c r="AG223" s="559"/>
    </row>
    <row r="224" spans="1:33" ht="18" hidden="1" customHeight="1" x14ac:dyDescent="0.35">
      <c r="A224" s="559"/>
      <c r="B224" s="559"/>
      <c r="C224" s="559"/>
      <c r="D224" s="559"/>
      <c r="E224" s="559"/>
      <c r="F224" s="559"/>
      <c r="G224" s="559"/>
      <c r="H224" s="559"/>
      <c r="I224" s="559"/>
      <c r="J224" s="559"/>
      <c r="K224" s="559"/>
      <c r="L224" s="559"/>
      <c r="M224" s="559"/>
      <c r="N224" s="559"/>
      <c r="O224" s="559"/>
      <c r="P224" s="559"/>
      <c r="Q224" s="559"/>
      <c r="R224" s="559"/>
      <c r="S224" s="559"/>
      <c r="T224" s="559"/>
      <c r="U224" s="559"/>
      <c r="V224" s="559"/>
      <c r="W224" s="559"/>
      <c r="X224" s="559"/>
      <c r="Y224" s="559"/>
      <c r="Z224" s="559"/>
      <c r="AA224" s="559"/>
      <c r="AB224" s="559"/>
      <c r="AC224" s="559"/>
      <c r="AD224" s="559"/>
      <c r="AE224" s="559"/>
      <c r="AF224" s="559"/>
      <c r="AG224" s="559"/>
    </row>
    <row r="225" spans="1:33" ht="18" hidden="1" customHeight="1" x14ac:dyDescent="0.35">
      <c r="A225" s="559"/>
      <c r="B225" s="559"/>
      <c r="C225" s="559"/>
      <c r="D225" s="559"/>
      <c r="E225" s="559"/>
      <c r="F225" s="559"/>
      <c r="G225" s="559"/>
      <c r="H225" s="559"/>
      <c r="I225" s="559"/>
      <c r="J225" s="559"/>
      <c r="K225" s="559"/>
      <c r="L225" s="559"/>
      <c r="M225" s="559"/>
      <c r="N225" s="559"/>
      <c r="O225" s="559"/>
      <c r="P225" s="559"/>
      <c r="Q225" s="559"/>
      <c r="R225" s="559"/>
      <c r="S225" s="559"/>
      <c r="T225" s="559"/>
      <c r="U225" s="559"/>
      <c r="V225" s="559"/>
      <c r="W225" s="559"/>
      <c r="X225" s="559"/>
      <c r="Y225" s="559"/>
      <c r="Z225" s="559"/>
      <c r="AA225" s="559"/>
      <c r="AB225" s="559"/>
      <c r="AC225" s="559"/>
      <c r="AD225" s="559"/>
      <c r="AE225" s="559"/>
      <c r="AF225" s="559"/>
      <c r="AG225" s="559"/>
    </row>
    <row r="226" spans="1:33" ht="18" hidden="1" customHeight="1" x14ac:dyDescent="0.35">
      <c r="A226" s="559"/>
      <c r="B226" s="559"/>
      <c r="C226" s="559"/>
      <c r="D226" s="559"/>
      <c r="E226" s="559"/>
      <c r="F226" s="559"/>
      <c r="G226" s="559"/>
      <c r="H226" s="559"/>
      <c r="I226" s="559"/>
      <c r="J226" s="559"/>
      <c r="K226" s="559"/>
      <c r="L226" s="559"/>
      <c r="M226" s="559"/>
      <c r="N226" s="559"/>
      <c r="O226" s="559"/>
      <c r="P226" s="559"/>
      <c r="Q226" s="559"/>
      <c r="R226" s="559"/>
      <c r="S226" s="559"/>
      <c r="T226" s="559"/>
      <c r="U226" s="559"/>
      <c r="V226" s="559"/>
      <c r="W226" s="559"/>
      <c r="X226" s="559"/>
      <c r="Y226" s="559"/>
      <c r="Z226" s="559"/>
      <c r="AA226" s="559"/>
      <c r="AB226" s="559"/>
      <c r="AC226" s="559"/>
      <c r="AD226" s="559"/>
      <c r="AE226" s="559"/>
      <c r="AF226" s="559"/>
      <c r="AG226" s="559"/>
    </row>
    <row r="227" spans="1:33" ht="18" hidden="1" customHeight="1" x14ac:dyDescent="0.35">
      <c r="A227" s="559"/>
      <c r="B227" s="559"/>
      <c r="C227" s="559"/>
      <c r="D227" s="559"/>
      <c r="E227" s="559"/>
      <c r="F227" s="559"/>
      <c r="G227" s="559"/>
      <c r="H227" s="559"/>
      <c r="I227" s="559"/>
      <c r="J227" s="559"/>
      <c r="K227" s="559"/>
      <c r="L227" s="559"/>
      <c r="M227" s="559"/>
      <c r="N227" s="559"/>
      <c r="O227" s="559"/>
      <c r="P227" s="559"/>
      <c r="Q227" s="559"/>
      <c r="R227" s="559"/>
      <c r="S227" s="559"/>
      <c r="T227" s="559"/>
      <c r="U227" s="559"/>
      <c r="V227" s="559"/>
      <c r="W227" s="559"/>
      <c r="X227" s="559"/>
      <c r="Y227" s="559"/>
      <c r="Z227" s="559"/>
      <c r="AA227" s="559"/>
      <c r="AB227" s="559"/>
      <c r="AC227" s="559"/>
      <c r="AD227" s="559"/>
      <c r="AE227" s="559"/>
      <c r="AF227" s="559"/>
      <c r="AG227" s="559"/>
    </row>
    <row r="228" spans="1:33" ht="18" hidden="1" customHeight="1" x14ac:dyDescent="0.35">
      <c r="A228" s="559"/>
      <c r="B228" s="559"/>
      <c r="C228" s="559"/>
      <c r="D228" s="559"/>
      <c r="E228" s="559"/>
      <c r="F228" s="559"/>
      <c r="G228" s="559"/>
      <c r="H228" s="559"/>
      <c r="I228" s="559"/>
      <c r="J228" s="559"/>
      <c r="K228" s="559"/>
      <c r="L228" s="559"/>
      <c r="M228" s="559"/>
      <c r="N228" s="559"/>
      <c r="O228" s="559"/>
      <c r="P228" s="559"/>
      <c r="Q228" s="559"/>
      <c r="R228" s="559"/>
      <c r="S228" s="559"/>
      <c r="T228" s="559"/>
      <c r="U228" s="559"/>
      <c r="V228" s="559"/>
      <c r="W228" s="559"/>
      <c r="X228" s="559"/>
      <c r="Y228" s="559"/>
      <c r="Z228" s="559"/>
      <c r="AA228" s="559"/>
      <c r="AB228" s="559"/>
      <c r="AC228" s="559"/>
      <c r="AD228" s="559"/>
      <c r="AE228" s="559"/>
      <c r="AF228" s="559"/>
      <c r="AG228" s="559"/>
    </row>
    <row r="229" spans="1:33" ht="18" hidden="1" customHeight="1" x14ac:dyDescent="0.35">
      <c r="A229" s="559"/>
      <c r="B229" s="559"/>
      <c r="C229" s="559"/>
      <c r="D229" s="559"/>
      <c r="E229" s="559"/>
      <c r="F229" s="559"/>
      <c r="G229" s="559"/>
      <c r="H229" s="559"/>
      <c r="I229" s="559"/>
      <c r="J229" s="559"/>
      <c r="K229" s="559"/>
      <c r="L229" s="559"/>
      <c r="M229" s="559"/>
      <c r="N229" s="559"/>
      <c r="O229" s="559"/>
      <c r="P229" s="559"/>
      <c r="Q229" s="559"/>
      <c r="R229" s="559"/>
      <c r="S229" s="559"/>
      <c r="T229" s="559"/>
      <c r="U229" s="559"/>
      <c r="V229" s="559"/>
      <c r="W229" s="559"/>
      <c r="X229" s="559"/>
      <c r="Y229" s="559"/>
      <c r="Z229" s="559"/>
      <c r="AA229" s="559"/>
      <c r="AB229" s="559"/>
      <c r="AC229" s="559"/>
      <c r="AD229" s="559"/>
      <c r="AE229" s="559"/>
      <c r="AF229" s="559"/>
      <c r="AG229" s="559"/>
    </row>
    <row r="230" spans="1:33" ht="18" hidden="1" customHeight="1" x14ac:dyDescent="0.35">
      <c r="A230" s="559"/>
      <c r="B230" s="559"/>
      <c r="C230" s="559"/>
      <c r="D230" s="559"/>
      <c r="E230" s="559"/>
      <c r="F230" s="559"/>
      <c r="G230" s="559"/>
      <c r="H230" s="559"/>
      <c r="I230" s="559"/>
      <c r="J230" s="559"/>
      <c r="K230" s="559"/>
      <c r="L230" s="559"/>
      <c r="M230" s="559"/>
      <c r="N230" s="559"/>
      <c r="O230" s="559"/>
      <c r="P230" s="559"/>
      <c r="Q230" s="559"/>
      <c r="R230" s="559"/>
      <c r="S230" s="559"/>
      <c r="T230" s="559"/>
      <c r="U230" s="559"/>
      <c r="V230" s="559"/>
      <c r="W230" s="559"/>
      <c r="X230" s="559"/>
      <c r="Y230" s="559"/>
      <c r="Z230" s="559"/>
      <c r="AA230" s="559"/>
      <c r="AB230" s="559"/>
      <c r="AC230" s="559"/>
      <c r="AD230" s="559"/>
      <c r="AE230" s="559"/>
      <c r="AF230" s="559"/>
      <c r="AG230" s="559"/>
    </row>
    <row r="231" spans="1:33" ht="18" hidden="1" customHeight="1" x14ac:dyDescent="0.35">
      <c r="A231" s="559"/>
      <c r="B231" s="559"/>
      <c r="C231" s="559"/>
      <c r="D231" s="559"/>
      <c r="E231" s="559"/>
      <c r="F231" s="559"/>
      <c r="G231" s="559"/>
      <c r="H231" s="559"/>
      <c r="I231" s="559"/>
      <c r="J231" s="559"/>
      <c r="K231" s="559"/>
      <c r="L231" s="559"/>
      <c r="M231" s="559"/>
      <c r="N231" s="559"/>
      <c r="O231" s="559"/>
      <c r="P231" s="559"/>
      <c r="Q231" s="559"/>
      <c r="R231" s="559"/>
      <c r="S231" s="559"/>
      <c r="T231" s="559"/>
      <c r="U231" s="559"/>
      <c r="V231" s="559"/>
      <c r="W231" s="559"/>
      <c r="X231" s="559"/>
      <c r="Y231" s="559"/>
      <c r="Z231" s="559"/>
      <c r="AA231" s="559"/>
      <c r="AB231" s="559"/>
      <c r="AC231" s="559"/>
      <c r="AD231" s="559"/>
      <c r="AE231" s="559"/>
      <c r="AF231" s="559"/>
      <c r="AG231" s="559"/>
    </row>
    <row r="232" spans="1:33" ht="18" hidden="1" customHeight="1" x14ac:dyDescent="0.35">
      <c r="A232" s="559"/>
      <c r="B232" s="559"/>
      <c r="C232" s="559"/>
      <c r="D232" s="559"/>
      <c r="E232" s="559"/>
      <c r="F232" s="559"/>
      <c r="G232" s="559"/>
      <c r="H232" s="559"/>
      <c r="I232" s="559"/>
      <c r="J232" s="559"/>
      <c r="K232" s="559"/>
      <c r="L232" s="559"/>
      <c r="M232" s="559"/>
      <c r="N232" s="559"/>
      <c r="O232" s="559"/>
      <c r="P232" s="559"/>
      <c r="Q232" s="559"/>
      <c r="R232" s="559"/>
      <c r="S232" s="559"/>
      <c r="T232" s="559"/>
      <c r="U232" s="559"/>
      <c r="V232" s="559"/>
      <c r="W232" s="559"/>
      <c r="X232" s="559"/>
      <c r="Y232" s="559"/>
      <c r="Z232" s="559"/>
      <c r="AA232" s="559"/>
      <c r="AB232" s="559"/>
      <c r="AC232" s="559"/>
      <c r="AD232" s="559"/>
      <c r="AE232" s="559"/>
      <c r="AF232" s="559"/>
      <c r="AG232" s="559"/>
    </row>
    <row r="233" spans="1:33" ht="18" hidden="1" customHeight="1" x14ac:dyDescent="0.35">
      <c r="A233" s="559"/>
      <c r="B233" s="559"/>
      <c r="C233" s="559"/>
      <c r="D233" s="559"/>
      <c r="E233" s="559"/>
      <c r="F233" s="559"/>
      <c r="G233" s="559"/>
      <c r="H233" s="559"/>
      <c r="I233" s="559"/>
      <c r="J233" s="559"/>
      <c r="K233" s="559"/>
      <c r="L233" s="559"/>
      <c r="M233" s="559"/>
      <c r="N233" s="559"/>
      <c r="O233" s="559"/>
      <c r="P233" s="559"/>
      <c r="Q233" s="559"/>
      <c r="R233" s="559"/>
      <c r="S233" s="559"/>
      <c r="T233" s="559"/>
      <c r="U233" s="559"/>
      <c r="V233" s="559"/>
      <c r="W233" s="559"/>
      <c r="X233" s="559"/>
      <c r="Y233" s="559"/>
      <c r="Z233" s="559"/>
      <c r="AA233" s="559"/>
      <c r="AB233" s="559"/>
      <c r="AC233" s="559"/>
      <c r="AD233" s="559"/>
      <c r="AE233" s="559"/>
      <c r="AF233" s="559"/>
      <c r="AG233" s="559"/>
    </row>
    <row r="234" spans="1:33" ht="18" hidden="1" customHeight="1" x14ac:dyDescent="0.35">
      <c r="A234" s="559"/>
      <c r="B234" s="559"/>
      <c r="C234" s="559"/>
      <c r="D234" s="559"/>
      <c r="E234" s="559"/>
      <c r="F234" s="559"/>
      <c r="G234" s="559"/>
      <c r="H234" s="559"/>
      <c r="I234" s="559"/>
      <c r="J234" s="559"/>
      <c r="K234" s="559"/>
      <c r="L234" s="559"/>
      <c r="M234" s="559"/>
      <c r="N234" s="559"/>
      <c r="O234" s="559"/>
      <c r="P234" s="559"/>
      <c r="Q234" s="559"/>
      <c r="R234" s="559"/>
      <c r="S234" s="559"/>
      <c r="T234" s="559"/>
      <c r="U234" s="559"/>
      <c r="V234" s="559"/>
      <c r="W234" s="559"/>
      <c r="X234" s="559"/>
      <c r="Y234" s="559"/>
      <c r="Z234" s="559"/>
      <c r="AA234" s="559"/>
      <c r="AB234" s="559"/>
      <c r="AC234" s="559"/>
      <c r="AD234" s="559"/>
      <c r="AE234" s="559"/>
      <c r="AF234" s="559"/>
      <c r="AG234" s="559"/>
    </row>
    <row r="235" spans="1:33" ht="18" hidden="1" customHeight="1" x14ac:dyDescent="0.35">
      <c r="A235" s="559"/>
      <c r="B235" s="559"/>
      <c r="C235" s="559"/>
      <c r="D235" s="559"/>
      <c r="E235" s="559"/>
      <c r="F235" s="559"/>
      <c r="G235" s="559"/>
      <c r="H235" s="559"/>
      <c r="I235" s="559"/>
      <c r="J235" s="559"/>
      <c r="K235" s="559"/>
      <c r="L235" s="559"/>
      <c r="M235" s="559"/>
      <c r="N235" s="559"/>
      <c r="O235" s="559"/>
      <c r="P235" s="559"/>
      <c r="Q235" s="559"/>
      <c r="R235" s="559"/>
      <c r="S235" s="559"/>
      <c r="T235" s="559"/>
      <c r="U235" s="559"/>
      <c r="V235" s="559"/>
      <c r="W235" s="559"/>
      <c r="X235" s="559"/>
      <c r="Y235" s="559"/>
      <c r="Z235" s="559"/>
      <c r="AA235" s="559"/>
      <c r="AB235" s="559"/>
      <c r="AC235" s="559"/>
      <c r="AD235" s="559"/>
      <c r="AE235" s="559"/>
      <c r="AF235" s="559"/>
      <c r="AG235" s="559"/>
    </row>
    <row r="236" spans="1:33" ht="18" hidden="1" customHeight="1" x14ac:dyDescent="0.35">
      <c r="A236" s="559"/>
      <c r="B236" s="559"/>
      <c r="C236" s="559"/>
      <c r="D236" s="559"/>
      <c r="E236" s="559"/>
      <c r="F236" s="559"/>
      <c r="G236" s="559"/>
      <c r="H236" s="559"/>
      <c r="I236" s="559"/>
      <c r="J236" s="559"/>
      <c r="K236" s="559"/>
      <c r="L236" s="559"/>
      <c r="M236" s="559"/>
      <c r="N236" s="559"/>
      <c r="O236" s="559"/>
      <c r="P236" s="559"/>
      <c r="Q236" s="559"/>
      <c r="R236" s="559"/>
      <c r="S236" s="559"/>
      <c r="T236" s="559"/>
      <c r="U236" s="559"/>
      <c r="V236" s="559"/>
      <c r="W236" s="559"/>
      <c r="X236" s="559"/>
      <c r="Y236" s="559"/>
      <c r="Z236" s="559"/>
      <c r="AA236" s="559"/>
      <c r="AB236" s="559"/>
      <c r="AC236" s="559"/>
      <c r="AD236" s="559"/>
      <c r="AE236" s="559"/>
      <c r="AF236" s="559"/>
      <c r="AG236" s="559"/>
    </row>
    <row r="237" spans="1:33" ht="18" hidden="1" customHeight="1" x14ac:dyDescent="0.35">
      <c r="A237" s="559"/>
      <c r="B237" s="559"/>
      <c r="C237" s="559"/>
      <c r="D237" s="559"/>
      <c r="E237" s="559"/>
      <c r="F237" s="559"/>
      <c r="G237" s="559"/>
      <c r="H237" s="559"/>
      <c r="I237" s="559"/>
      <c r="J237" s="559"/>
      <c r="K237" s="559"/>
      <c r="L237" s="559"/>
      <c r="M237" s="559"/>
      <c r="N237" s="559"/>
      <c r="O237" s="559"/>
      <c r="P237" s="559"/>
      <c r="Q237" s="559"/>
      <c r="R237" s="559"/>
      <c r="S237" s="559"/>
      <c r="T237" s="559"/>
      <c r="U237" s="559"/>
      <c r="V237" s="559"/>
      <c r="W237" s="559"/>
      <c r="X237" s="559"/>
      <c r="Y237" s="559"/>
      <c r="Z237" s="559"/>
      <c r="AA237" s="559"/>
      <c r="AB237" s="559"/>
      <c r="AC237" s="559"/>
      <c r="AD237" s="559"/>
      <c r="AE237" s="559"/>
      <c r="AF237" s="559"/>
      <c r="AG237" s="559"/>
    </row>
    <row r="238" spans="1:33" ht="18" hidden="1" customHeight="1" x14ac:dyDescent="0.35">
      <c r="A238" s="559"/>
      <c r="B238" s="559"/>
      <c r="C238" s="559"/>
      <c r="D238" s="559"/>
      <c r="E238" s="559"/>
      <c r="F238" s="559"/>
      <c r="G238" s="559"/>
      <c r="H238" s="559"/>
      <c r="I238" s="559"/>
      <c r="J238" s="559"/>
      <c r="K238" s="559"/>
      <c r="L238" s="559"/>
      <c r="M238" s="559"/>
      <c r="N238" s="559"/>
      <c r="O238" s="559"/>
      <c r="P238" s="559"/>
      <c r="Q238" s="559"/>
      <c r="R238" s="559"/>
      <c r="S238" s="559"/>
      <c r="T238" s="559"/>
      <c r="U238" s="559"/>
      <c r="V238" s="559"/>
      <c r="W238" s="559"/>
      <c r="X238" s="559"/>
      <c r="Y238" s="559"/>
      <c r="Z238" s="559"/>
      <c r="AA238" s="559"/>
      <c r="AB238" s="559"/>
      <c r="AC238" s="559"/>
      <c r="AD238" s="559"/>
      <c r="AE238" s="559"/>
      <c r="AF238" s="559"/>
      <c r="AG238" s="559"/>
    </row>
    <row r="239" spans="1:33" ht="18" hidden="1" customHeight="1" x14ac:dyDescent="0.35">
      <c r="A239" s="559"/>
      <c r="B239" s="559"/>
      <c r="C239" s="559"/>
      <c r="D239" s="559"/>
      <c r="E239" s="559"/>
      <c r="F239" s="559"/>
      <c r="G239" s="559"/>
      <c r="H239" s="559"/>
      <c r="I239" s="559"/>
      <c r="J239" s="559"/>
      <c r="K239" s="559"/>
      <c r="L239" s="559"/>
      <c r="M239" s="559"/>
      <c r="N239" s="559"/>
      <c r="O239" s="559"/>
      <c r="P239" s="559"/>
      <c r="Q239" s="559"/>
      <c r="R239" s="559"/>
      <c r="S239" s="559"/>
      <c r="T239" s="559"/>
      <c r="U239" s="559"/>
      <c r="V239" s="559"/>
      <c r="W239" s="559"/>
      <c r="X239" s="559"/>
      <c r="Y239" s="559"/>
      <c r="Z239" s="559"/>
      <c r="AA239" s="559"/>
      <c r="AB239" s="559"/>
      <c r="AC239" s="559"/>
      <c r="AD239" s="559"/>
      <c r="AE239" s="559"/>
      <c r="AF239" s="559"/>
      <c r="AG239" s="559"/>
    </row>
    <row r="240" spans="1:33" ht="18" hidden="1" customHeight="1" x14ac:dyDescent="0.35">
      <c r="A240" s="559"/>
      <c r="B240" s="559"/>
      <c r="C240" s="559"/>
      <c r="D240" s="559"/>
      <c r="E240" s="559"/>
      <c r="F240" s="559"/>
      <c r="G240" s="559"/>
      <c r="H240" s="559"/>
      <c r="I240" s="559"/>
      <c r="J240" s="559"/>
      <c r="K240" s="559"/>
      <c r="L240" s="559"/>
      <c r="M240" s="559"/>
      <c r="N240" s="559"/>
      <c r="O240" s="559"/>
      <c r="P240" s="559"/>
      <c r="Q240" s="559"/>
      <c r="R240" s="559"/>
      <c r="S240" s="559"/>
      <c r="T240" s="559"/>
      <c r="U240" s="559"/>
      <c r="V240" s="559"/>
      <c r="W240" s="559"/>
      <c r="X240" s="559"/>
      <c r="Y240" s="559"/>
      <c r="Z240" s="559"/>
      <c r="AA240" s="559"/>
      <c r="AB240" s="559"/>
      <c r="AC240" s="559"/>
      <c r="AD240" s="559"/>
      <c r="AE240" s="559"/>
      <c r="AF240" s="559"/>
      <c r="AG240" s="559"/>
    </row>
    <row r="241" spans="1:33" ht="18" hidden="1" customHeight="1" x14ac:dyDescent="0.35">
      <c r="A241" s="559"/>
      <c r="B241" s="559"/>
      <c r="C241" s="559"/>
      <c r="D241" s="559"/>
      <c r="E241" s="559"/>
      <c r="F241" s="559"/>
      <c r="G241" s="559"/>
      <c r="H241" s="559"/>
      <c r="I241" s="559"/>
      <c r="J241" s="559"/>
      <c r="K241" s="559"/>
      <c r="L241" s="559"/>
      <c r="M241" s="559"/>
      <c r="N241" s="559"/>
      <c r="O241" s="559"/>
      <c r="P241" s="559"/>
      <c r="Q241" s="559"/>
      <c r="R241" s="559"/>
      <c r="S241" s="559"/>
      <c r="T241" s="559"/>
      <c r="U241" s="559"/>
      <c r="V241" s="559"/>
      <c r="W241" s="559"/>
      <c r="X241" s="559"/>
      <c r="Y241" s="559"/>
      <c r="Z241" s="559"/>
      <c r="AA241" s="559"/>
      <c r="AB241" s="559"/>
      <c r="AC241" s="559"/>
      <c r="AD241" s="559"/>
      <c r="AE241" s="559"/>
      <c r="AF241" s="559"/>
      <c r="AG241" s="559"/>
    </row>
    <row r="242" spans="1:33" ht="18" hidden="1" customHeight="1" x14ac:dyDescent="0.35">
      <c r="A242" s="559"/>
      <c r="B242" s="559"/>
      <c r="C242" s="559"/>
      <c r="D242" s="559"/>
      <c r="E242" s="559"/>
      <c r="F242" s="559"/>
      <c r="G242" s="559"/>
      <c r="H242" s="559"/>
      <c r="I242" s="559"/>
      <c r="J242" s="559"/>
      <c r="K242" s="559"/>
      <c r="L242" s="559"/>
      <c r="M242" s="559"/>
      <c r="N242" s="559"/>
      <c r="O242" s="559"/>
      <c r="P242" s="559"/>
      <c r="Q242" s="559"/>
      <c r="R242" s="559"/>
      <c r="S242" s="559"/>
      <c r="T242" s="559"/>
      <c r="U242" s="559"/>
      <c r="V242" s="559"/>
      <c r="W242" s="559"/>
      <c r="X242" s="559"/>
      <c r="Y242" s="559"/>
      <c r="Z242" s="559"/>
      <c r="AA242" s="559"/>
      <c r="AB242" s="559"/>
      <c r="AC242" s="559"/>
      <c r="AD242" s="559"/>
      <c r="AE242" s="559"/>
      <c r="AF242" s="559"/>
      <c r="AG242" s="559"/>
    </row>
    <row r="243" spans="1:33" ht="18" hidden="1" customHeight="1" x14ac:dyDescent="0.35">
      <c r="A243" s="559"/>
      <c r="B243" s="559"/>
      <c r="C243" s="559"/>
      <c r="D243" s="559"/>
      <c r="E243" s="559"/>
      <c r="F243" s="559"/>
      <c r="G243" s="559"/>
      <c r="H243" s="559"/>
      <c r="I243" s="559"/>
      <c r="J243" s="559"/>
      <c r="K243" s="559"/>
      <c r="L243" s="559"/>
      <c r="M243" s="559"/>
      <c r="N243" s="559"/>
      <c r="O243" s="559"/>
      <c r="P243" s="559"/>
      <c r="Q243" s="559"/>
      <c r="R243" s="559"/>
      <c r="S243" s="559"/>
      <c r="T243" s="559"/>
      <c r="U243" s="559"/>
      <c r="V243" s="559"/>
      <c r="W243" s="559"/>
      <c r="X243" s="559"/>
      <c r="Y243" s="559"/>
      <c r="Z243" s="559"/>
      <c r="AA243" s="559"/>
      <c r="AB243" s="559"/>
      <c r="AC243" s="559"/>
      <c r="AD243" s="559"/>
      <c r="AE243" s="559"/>
      <c r="AF243" s="559"/>
      <c r="AG243" s="559"/>
    </row>
    <row r="244" spans="1:33" ht="18" hidden="1" customHeight="1" x14ac:dyDescent="0.35">
      <c r="A244" s="559"/>
      <c r="B244" s="559"/>
      <c r="C244" s="559"/>
      <c r="D244" s="559"/>
      <c r="E244" s="559"/>
      <c r="F244" s="559"/>
      <c r="G244" s="559"/>
      <c r="H244" s="559"/>
      <c r="I244" s="559"/>
      <c r="J244" s="559"/>
      <c r="K244" s="559"/>
      <c r="L244" s="559"/>
      <c r="M244" s="559"/>
      <c r="N244" s="559"/>
      <c r="O244" s="559"/>
      <c r="P244" s="559"/>
      <c r="Q244" s="559"/>
      <c r="R244" s="559"/>
      <c r="S244" s="559"/>
      <c r="T244" s="559"/>
      <c r="U244" s="559"/>
      <c r="V244" s="559"/>
      <c r="W244" s="559"/>
      <c r="X244" s="559"/>
      <c r="Y244" s="559"/>
      <c r="Z244" s="559"/>
      <c r="AA244" s="559"/>
      <c r="AB244" s="559"/>
      <c r="AC244" s="559"/>
      <c r="AD244" s="559"/>
      <c r="AE244" s="559"/>
      <c r="AF244" s="559"/>
      <c r="AG244" s="559"/>
    </row>
    <row r="245" spans="1:33" ht="18" hidden="1" customHeight="1" x14ac:dyDescent="0.35">
      <c r="A245" s="559"/>
      <c r="B245" s="559"/>
      <c r="C245" s="559"/>
      <c r="D245" s="559"/>
      <c r="E245" s="559"/>
      <c r="F245" s="559"/>
      <c r="G245" s="559"/>
      <c r="H245" s="559"/>
      <c r="I245" s="559"/>
      <c r="J245" s="559"/>
      <c r="K245" s="559"/>
      <c r="L245" s="559"/>
      <c r="M245" s="559"/>
      <c r="N245" s="559"/>
      <c r="O245" s="559"/>
      <c r="P245" s="559"/>
      <c r="Q245" s="559"/>
      <c r="R245" s="559"/>
      <c r="S245" s="559"/>
      <c r="T245" s="559"/>
      <c r="U245" s="559"/>
      <c r="V245" s="559"/>
      <c r="W245" s="559"/>
      <c r="X245" s="559"/>
      <c r="Y245" s="559"/>
      <c r="Z245" s="559"/>
      <c r="AA245" s="559"/>
      <c r="AB245" s="559"/>
      <c r="AC245" s="559"/>
      <c r="AD245" s="559"/>
      <c r="AE245" s="559"/>
      <c r="AF245" s="559"/>
      <c r="AG245" s="559"/>
    </row>
    <row r="246" spans="1:33" ht="18" hidden="1" customHeight="1" x14ac:dyDescent="0.35">
      <c r="A246" s="559"/>
      <c r="B246" s="559"/>
      <c r="C246" s="559"/>
      <c r="D246" s="559"/>
      <c r="E246" s="559"/>
      <c r="F246" s="559"/>
      <c r="G246" s="559"/>
      <c r="H246" s="559"/>
      <c r="I246" s="559"/>
      <c r="J246" s="559"/>
      <c r="K246" s="559"/>
      <c r="L246" s="559"/>
      <c r="M246" s="559"/>
      <c r="N246" s="559"/>
      <c r="O246" s="559"/>
      <c r="P246" s="559"/>
      <c r="Q246" s="559"/>
      <c r="R246" s="559"/>
      <c r="S246" s="559"/>
      <c r="T246" s="559"/>
      <c r="U246" s="559"/>
      <c r="V246" s="559"/>
      <c r="W246" s="559"/>
      <c r="X246" s="559"/>
      <c r="Y246" s="559"/>
      <c r="Z246" s="559"/>
      <c r="AA246" s="559"/>
      <c r="AB246" s="559"/>
      <c r="AC246" s="559"/>
      <c r="AD246" s="559"/>
      <c r="AE246" s="559"/>
      <c r="AF246" s="559"/>
      <c r="AG246" s="559"/>
    </row>
    <row r="247" spans="1:33" ht="18" hidden="1" customHeight="1" x14ac:dyDescent="0.35">
      <c r="A247" s="559"/>
      <c r="B247" s="559"/>
      <c r="C247" s="559"/>
      <c r="D247" s="559"/>
      <c r="E247" s="559"/>
      <c r="F247" s="559"/>
      <c r="G247" s="559"/>
      <c r="H247" s="559"/>
      <c r="I247" s="559"/>
      <c r="J247" s="559"/>
      <c r="K247" s="559"/>
      <c r="L247" s="559"/>
      <c r="M247" s="559"/>
      <c r="N247" s="559"/>
      <c r="O247" s="559"/>
      <c r="P247" s="559"/>
      <c r="Q247" s="559"/>
      <c r="R247" s="559"/>
      <c r="S247" s="559"/>
      <c r="T247" s="559"/>
      <c r="U247" s="559"/>
      <c r="V247" s="559"/>
      <c r="W247" s="559"/>
      <c r="X247" s="559"/>
      <c r="Y247" s="559"/>
      <c r="Z247" s="559"/>
      <c r="AA247" s="559"/>
      <c r="AB247" s="559"/>
      <c r="AC247" s="559"/>
      <c r="AD247" s="559"/>
      <c r="AE247" s="559"/>
      <c r="AF247" s="559"/>
      <c r="AG247" s="559"/>
    </row>
    <row r="248" spans="1:33" ht="18" hidden="1" customHeight="1" x14ac:dyDescent="0.35">
      <c r="A248" s="559"/>
      <c r="B248" s="559"/>
      <c r="C248" s="559"/>
      <c r="D248" s="559"/>
      <c r="E248" s="559"/>
      <c r="F248" s="559"/>
      <c r="G248" s="559"/>
      <c r="H248" s="559"/>
      <c r="I248" s="559"/>
      <c r="J248" s="559"/>
      <c r="K248" s="559"/>
      <c r="L248" s="559"/>
      <c r="M248" s="559"/>
      <c r="N248" s="559"/>
      <c r="O248" s="559"/>
      <c r="P248" s="559"/>
      <c r="Q248" s="559"/>
      <c r="R248" s="559"/>
      <c r="S248" s="559"/>
      <c r="T248" s="559"/>
      <c r="U248" s="559"/>
      <c r="V248" s="559"/>
      <c r="W248" s="559"/>
      <c r="X248" s="559"/>
      <c r="Y248" s="559"/>
      <c r="Z248" s="559"/>
      <c r="AA248" s="559"/>
      <c r="AB248" s="559"/>
      <c r="AC248" s="559"/>
      <c r="AD248" s="559"/>
      <c r="AE248" s="559"/>
      <c r="AF248" s="559"/>
      <c r="AG248" s="559"/>
    </row>
    <row r="249" spans="1:33" ht="18" hidden="1" customHeight="1" x14ac:dyDescent="0.35">
      <c r="A249" s="559"/>
      <c r="B249" s="559"/>
      <c r="C249" s="559"/>
      <c r="D249" s="559"/>
      <c r="E249" s="559"/>
      <c r="F249" s="559"/>
      <c r="G249" s="559"/>
      <c r="H249" s="559"/>
      <c r="I249" s="559"/>
      <c r="J249" s="559"/>
      <c r="K249" s="559"/>
      <c r="L249" s="559"/>
      <c r="M249" s="559"/>
      <c r="N249" s="559"/>
      <c r="O249" s="559"/>
      <c r="P249" s="559"/>
      <c r="Q249" s="559"/>
      <c r="R249" s="559"/>
      <c r="S249" s="559"/>
      <c r="T249" s="559"/>
      <c r="U249" s="559"/>
      <c r="V249" s="559"/>
      <c r="W249" s="559"/>
      <c r="X249" s="559"/>
      <c r="Y249" s="559"/>
      <c r="Z249" s="559"/>
      <c r="AA249" s="559"/>
      <c r="AB249" s="559"/>
      <c r="AC249" s="559"/>
      <c r="AD249" s="559"/>
      <c r="AE249" s="559"/>
      <c r="AF249" s="559"/>
      <c r="AG249" s="559"/>
    </row>
    <row r="250" spans="1:33" ht="18" hidden="1" customHeight="1" x14ac:dyDescent="0.35">
      <c r="A250" s="559"/>
      <c r="B250" s="559"/>
      <c r="C250" s="559"/>
      <c r="D250" s="559"/>
      <c r="E250" s="559"/>
      <c r="F250" s="559"/>
      <c r="G250" s="559"/>
      <c r="H250" s="559"/>
      <c r="I250" s="559"/>
      <c r="J250" s="559"/>
      <c r="K250" s="559"/>
      <c r="L250" s="559"/>
      <c r="M250" s="559"/>
      <c r="N250" s="559"/>
      <c r="O250" s="559"/>
      <c r="P250" s="559"/>
      <c r="Q250" s="559"/>
      <c r="R250" s="559"/>
      <c r="S250" s="559"/>
      <c r="T250" s="559"/>
      <c r="U250" s="559"/>
      <c r="V250" s="559"/>
      <c r="W250" s="559"/>
      <c r="X250" s="559"/>
      <c r="Y250" s="559"/>
      <c r="Z250" s="559"/>
      <c r="AA250" s="559"/>
      <c r="AB250" s="559"/>
      <c r="AC250" s="559"/>
      <c r="AD250" s="559"/>
      <c r="AE250" s="559"/>
      <c r="AF250" s="559"/>
      <c r="AG250" s="559"/>
    </row>
    <row r="251" spans="1:33" ht="18" hidden="1" customHeight="1" x14ac:dyDescent="0.35">
      <c r="A251" s="559"/>
      <c r="B251" s="559"/>
      <c r="C251" s="559"/>
      <c r="D251" s="559"/>
      <c r="E251" s="559"/>
      <c r="F251" s="559"/>
      <c r="G251" s="559"/>
      <c r="H251" s="559"/>
      <c r="I251" s="559"/>
      <c r="J251" s="559"/>
      <c r="K251" s="559"/>
      <c r="L251" s="559"/>
      <c r="M251" s="559"/>
      <c r="N251" s="559"/>
      <c r="O251" s="559"/>
      <c r="P251" s="559"/>
      <c r="Q251" s="559"/>
      <c r="R251" s="559"/>
      <c r="S251" s="559"/>
      <c r="T251" s="559"/>
      <c r="U251" s="559"/>
      <c r="V251" s="559"/>
      <c r="W251" s="559"/>
      <c r="X251" s="559"/>
      <c r="Y251" s="559"/>
      <c r="Z251" s="559"/>
      <c r="AA251" s="559"/>
      <c r="AB251" s="559"/>
      <c r="AC251" s="559"/>
      <c r="AD251" s="559"/>
      <c r="AE251" s="559"/>
      <c r="AF251" s="559"/>
      <c r="AG251" s="559"/>
    </row>
    <row r="252" spans="1:33" ht="18" hidden="1" customHeight="1" x14ac:dyDescent="0.35">
      <c r="A252" s="559"/>
      <c r="B252" s="559"/>
      <c r="C252" s="559"/>
      <c r="D252" s="559"/>
      <c r="E252" s="559"/>
      <c r="F252" s="559"/>
      <c r="G252" s="559"/>
      <c r="H252" s="559"/>
      <c r="I252" s="559"/>
      <c r="J252" s="559"/>
      <c r="K252" s="559"/>
      <c r="L252" s="559"/>
      <c r="M252" s="559"/>
      <c r="N252" s="559"/>
      <c r="O252" s="559"/>
      <c r="P252" s="559"/>
      <c r="Q252" s="559"/>
      <c r="R252" s="559"/>
      <c r="S252" s="559"/>
      <c r="T252" s="559"/>
      <c r="U252" s="559"/>
      <c r="V252" s="559"/>
      <c r="W252" s="559"/>
      <c r="X252" s="559"/>
      <c r="Y252" s="559"/>
      <c r="Z252" s="559"/>
      <c r="AA252" s="559"/>
      <c r="AB252" s="559"/>
      <c r="AC252" s="559"/>
      <c r="AD252" s="559"/>
      <c r="AE252" s="559"/>
      <c r="AF252" s="559"/>
      <c r="AG252" s="559"/>
    </row>
    <row r="253" spans="1:33" ht="18" hidden="1" customHeight="1" x14ac:dyDescent="0.35">
      <c r="A253" s="559"/>
      <c r="B253" s="559"/>
      <c r="C253" s="559"/>
      <c r="D253" s="559"/>
      <c r="E253" s="559"/>
      <c r="F253" s="559"/>
      <c r="G253" s="559"/>
      <c r="H253" s="559"/>
      <c r="I253" s="559"/>
      <c r="J253" s="559"/>
      <c r="K253" s="559"/>
      <c r="L253" s="559"/>
      <c r="M253" s="559"/>
      <c r="N253" s="559"/>
      <c r="O253" s="559"/>
      <c r="P253" s="559"/>
      <c r="Q253" s="559"/>
      <c r="R253" s="559"/>
      <c r="S253" s="559"/>
      <c r="T253" s="559"/>
      <c r="U253" s="559"/>
      <c r="V253" s="559"/>
      <c r="W253" s="559"/>
      <c r="X253" s="559"/>
      <c r="Y253" s="559"/>
      <c r="Z253" s="559"/>
      <c r="AA253" s="559"/>
      <c r="AB253" s="559"/>
      <c r="AC253" s="559"/>
      <c r="AD253" s="559"/>
      <c r="AE253" s="559"/>
      <c r="AF253" s="559"/>
      <c r="AG253" s="559"/>
    </row>
    <row r="254" spans="1:33" ht="18" hidden="1" customHeight="1" x14ac:dyDescent="0.35">
      <c r="A254" s="559"/>
      <c r="B254" s="559"/>
      <c r="C254" s="559"/>
      <c r="D254" s="559"/>
      <c r="E254" s="559"/>
      <c r="F254" s="559"/>
      <c r="G254" s="559"/>
      <c r="H254" s="559"/>
      <c r="I254" s="559"/>
      <c r="J254" s="559"/>
      <c r="K254" s="559"/>
      <c r="L254" s="559"/>
      <c r="M254" s="559"/>
      <c r="N254" s="559"/>
      <c r="O254" s="559"/>
      <c r="P254" s="559"/>
      <c r="Q254" s="559"/>
      <c r="R254" s="559"/>
      <c r="S254" s="559"/>
      <c r="T254" s="559"/>
      <c r="U254" s="559"/>
      <c r="V254" s="559"/>
      <c r="W254" s="559"/>
      <c r="X254" s="559"/>
      <c r="Y254" s="559"/>
      <c r="Z254" s="559"/>
      <c r="AA254" s="559"/>
      <c r="AB254" s="559"/>
      <c r="AC254" s="559"/>
      <c r="AD254" s="559"/>
      <c r="AE254" s="559"/>
      <c r="AF254" s="559"/>
      <c r="AG254" s="559"/>
    </row>
    <row r="255" spans="1:33" ht="18" hidden="1" customHeight="1" x14ac:dyDescent="0.35">
      <c r="A255" s="559"/>
      <c r="B255" s="559"/>
      <c r="C255" s="559"/>
      <c r="D255" s="559"/>
      <c r="E255" s="559"/>
      <c r="F255" s="559"/>
      <c r="G255" s="559"/>
      <c r="H255" s="559"/>
      <c r="I255" s="559"/>
      <c r="J255" s="559"/>
      <c r="K255" s="559"/>
      <c r="L255" s="559"/>
      <c r="M255" s="559"/>
      <c r="N255" s="559"/>
      <c r="O255" s="559"/>
      <c r="P255" s="559"/>
      <c r="Q255" s="559"/>
      <c r="R255" s="559"/>
      <c r="S255" s="559"/>
      <c r="T255" s="559"/>
      <c r="U255" s="559"/>
      <c r="V255" s="559"/>
      <c r="W255" s="559"/>
      <c r="X255" s="559"/>
      <c r="Y255" s="559"/>
      <c r="Z255" s="559"/>
      <c r="AA255" s="559"/>
      <c r="AB255" s="559"/>
      <c r="AC255" s="559"/>
      <c r="AD255" s="559"/>
      <c r="AE255" s="559"/>
      <c r="AF255" s="559"/>
      <c r="AG255" s="559"/>
    </row>
    <row r="256" spans="1:33" ht="18" hidden="1" customHeight="1" x14ac:dyDescent="0.35">
      <c r="A256" s="559"/>
      <c r="B256" s="559"/>
      <c r="C256" s="559"/>
      <c r="D256" s="559"/>
      <c r="E256" s="559"/>
      <c r="F256" s="559"/>
      <c r="G256" s="559"/>
      <c r="H256" s="559"/>
      <c r="I256" s="559"/>
      <c r="J256" s="559"/>
      <c r="K256" s="559"/>
      <c r="L256" s="559"/>
      <c r="M256" s="559"/>
      <c r="N256" s="559"/>
      <c r="O256" s="559"/>
      <c r="P256" s="559"/>
      <c r="Q256" s="559"/>
      <c r="R256" s="559"/>
      <c r="S256" s="559"/>
      <c r="T256" s="559"/>
      <c r="U256" s="559"/>
      <c r="V256" s="559"/>
      <c r="W256" s="559"/>
      <c r="X256" s="559"/>
      <c r="Y256" s="559"/>
      <c r="Z256" s="559"/>
      <c r="AA256" s="559"/>
      <c r="AB256" s="559"/>
      <c r="AC256" s="559"/>
      <c r="AD256" s="559"/>
      <c r="AE256" s="559"/>
      <c r="AF256" s="559"/>
      <c r="AG256" s="559"/>
    </row>
    <row r="257" spans="1:33" ht="18" hidden="1" customHeight="1" x14ac:dyDescent="0.35">
      <c r="A257" s="559"/>
      <c r="B257" s="559"/>
      <c r="C257" s="559"/>
      <c r="D257" s="559"/>
      <c r="E257" s="559"/>
      <c r="F257" s="559"/>
      <c r="G257" s="559"/>
      <c r="H257" s="559"/>
      <c r="I257" s="559"/>
      <c r="J257" s="559"/>
      <c r="K257" s="559"/>
      <c r="L257" s="559"/>
      <c r="M257" s="559"/>
      <c r="N257" s="559"/>
      <c r="O257" s="559"/>
      <c r="P257" s="559"/>
      <c r="Q257" s="559"/>
      <c r="R257" s="559"/>
      <c r="S257" s="559"/>
      <c r="T257" s="559"/>
      <c r="U257" s="559"/>
      <c r="V257" s="559"/>
      <c r="W257" s="559"/>
      <c r="X257" s="559"/>
      <c r="Y257" s="559"/>
      <c r="Z257" s="559"/>
      <c r="AA257" s="559"/>
      <c r="AB257" s="559"/>
      <c r="AC257" s="559"/>
      <c r="AD257" s="559"/>
      <c r="AE257" s="559"/>
      <c r="AF257" s="559"/>
      <c r="AG257" s="559"/>
    </row>
    <row r="258" spans="1:33" ht="18" hidden="1" customHeight="1" x14ac:dyDescent="0.35">
      <c r="A258" s="559"/>
      <c r="B258" s="559"/>
      <c r="C258" s="559"/>
      <c r="D258" s="559"/>
      <c r="E258" s="559"/>
      <c r="F258" s="559"/>
      <c r="G258" s="559"/>
      <c r="H258" s="559"/>
      <c r="I258" s="559"/>
      <c r="J258" s="559"/>
      <c r="K258" s="559"/>
      <c r="L258" s="559"/>
      <c r="M258" s="559"/>
      <c r="N258" s="559"/>
      <c r="O258" s="559"/>
      <c r="P258" s="559"/>
      <c r="Q258" s="559"/>
      <c r="R258" s="559"/>
      <c r="S258" s="559"/>
      <c r="T258" s="559"/>
      <c r="U258" s="559"/>
      <c r="V258" s="559"/>
      <c r="W258" s="559"/>
      <c r="X258" s="559"/>
      <c r="Y258" s="559"/>
      <c r="Z258" s="559"/>
      <c r="AA258" s="559"/>
      <c r="AB258" s="559"/>
      <c r="AC258" s="559"/>
      <c r="AD258" s="559"/>
      <c r="AE258" s="559"/>
      <c r="AF258" s="559"/>
      <c r="AG258" s="559"/>
    </row>
    <row r="259" spans="1:33" ht="18" hidden="1" customHeight="1" x14ac:dyDescent="0.35">
      <c r="A259" s="559"/>
      <c r="B259" s="559"/>
      <c r="C259" s="559"/>
      <c r="D259" s="559"/>
      <c r="E259" s="559"/>
      <c r="F259" s="559"/>
      <c r="G259" s="559"/>
      <c r="H259" s="559"/>
      <c r="I259" s="559"/>
      <c r="J259" s="559"/>
      <c r="K259" s="559"/>
      <c r="L259" s="559"/>
      <c r="M259" s="559"/>
      <c r="N259" s="559"/>
      <c r="O259" s="559"/>
      <c r="P259" s="559"/>
      <c r="Q259" s="559"/>
      <c r="R259" s="559"/>
      <c r="S259" s="559"/>
      <c r="T259" s="559"/>
      <c r="U259" s="559"/>
      <c r="V259" s="559"/>
      <c r="W259" s="559"/>
      <c r="X259" s="559"/>
      <c r="Y259" s="559"/>
      <c r="Z259" s="559"/>
      <c r="AA259" s="559"/>
      <c r="AB259" s="559"/>
      <c r="AC259" s="559"/>
      <c r="AD259" s="559"/>
      <c r="AE259" s="559"/>
      <c r="AF259" s="559"/>
      <c r="AG259" s="559"/>
    </row>
    <row r="260" spans="1:33" ht="18" hidden="1" customHeight="1" x14ac:dyDescent="0.35">
      <c r="A260" s="559"/>
      <c r="B260" s="559"/>
      <c r="C260" s="559"/>
      <c r="D260" s="559"/>
      <c r="E260" s="559"/>
      <c r="F260" s="559"/>
      <c r="G260" s="559"/>
      <c r="H260" s="559"/>
      <c r="I260" s="559"/>
      <c r="J260" s="559"/>
      <c r="K260" s="559"/>
      <c r="L260" s="559"/>
      <c r="M260" s="559"/>
      <c r="N260" s="559"/>
      <c r="O260" s="559"/>
      <c r="P260" s="559"/>
      <c r="Q260" s="559"/>
      <c r="R260" s="559"/>
      <c r="S260" s="559"/>
      <c r="T260" s="559"/>
      <c r="U260" s="559"/>
      <c r="V260" s="559"/>
      <c r="W260" s="559"/>
      <c r="X260" s="559"/>
      <c r="Y260" s="559"/>
      <c r="Z260" s="559"/>
      <c r="AA260" s="559"/>
      <c r="AB260" s="559"/>
      <c r="AC260" s="559"/>
      <c r="AD260" s="559"/>
      <c r="AE260" s="559"/>
      <c r="AF260" s="559"/>
      <c r="AG260" s="559"/>
    </row>
    <row r="261" spans="1:33" ht="18" hidden="1" customHeight="1" x14ac:dyDescent="0.35">
      <c r="A261" s="559"/>
      <c r="B261" s="559"/>
      <c r="C261" s="559"/>
      <c r="D261" s="559"/>
      <c r="E261" s="559"/>
      <c r="F261" s="559"/>
      <c r="G261" s="559"/>
      <c r="H261" s="559"/>
      <c r="I261" s="559"/>
      <c r="J261" s="559"/>
      <c r="K261" s="559"/>
      <c r="L261" s="559"/>
      <c r="M261" s="559"/>
      <c r="N261" s="559"/>
      <c r="O261" s="559"/>
      <c r="P261" s="559"/>
      <c r="Q261" s="559"/>
      <c r="R261" s="559"/>
      <c r="S261" s="559"/>
      <c r="T261" s="559"/>
      <c r="U261" s="559"/>
      <c r="V261" s="559"/>
      <c r="W261" s="559"/>
      <c r="X261" s="559"/>
      <c r="Y261" s="559"/>
      <c r="Z261" s="559"/>
      <c r="AA261" s="559"/>
      <c r="AB261" s="559"/>
      <c r="AC261" s="559"/>
      <c r="AD261" s="559"/>
      <c r="AE261" s="559"/>
      <c r="AF261" s="559"/>
      <c r="AG261" s="559"/>
    </row>
    <row r="262" spans="1:33" ht="18" hidden="1" customHeight="1" x14ac:dyDescent="0.35">
      <c r="A262" s="559"/>
      <c r="B262" s="559"/>
      <c r="C262" s="559"/>
      <c r="D262" s="559"/>
      <c r="E262" s="559"/>
      <c r="F262" s="559"/>
      <c r="G262" s="559"/>
      <c r="H262" s="559"/>
      <c r="I262" s="559"/>
      <c r="J262" s="559"/>
      <c r="K262" s="559"/>
      <c r="L262" s="559"/>
      <c r="M262" s="559"/>
      <c r="N262" s="559"/>
      <c r="O262" s="559"/>
      <c r="P262" s="559"/>
      <c r="Q262" s="559"/>
      <c r="R262" s="559"/>
      <c r="S262" s="559"/>
      <c r="T262" s="559"/>
      <c r="U262" s="559"/>
      <c r="V262" s="559"/>
      <c r="W262" s="559"/>
      <c r="X262" s="559"/>
      <c r="Y262" s="559"/>
      <c r="Z262" s="559"/>
      <c r="AA262" s="559"/>
      <c r="AB262" s="559"/>
      <c r="AC262" s="559"/>
      <c r="AD262" s="559"/>
      <c r="AE262" s="559"/>
      <c r="AF262" s="559"/>
      <c r="AG262" s="559"/>
    </row>
    <row r="263" spans="1:33" ht="18" hidden="1" customHeight="1" x14ac:dyDescent="0.35">
      <c r="A263" s="559"/>
      <c r="B263" s="559"/>
      <c r="C263" s="559"/>
      <c r="D263" s="559"/>
      <c r="E263" s="559"/>
      <c r="F263" s="559"/>
      <c r="G263" s="559"/>
      <c r="H263" s="559"/>
      <c r="I263" s="559"/>
      <c r="J263" s="559"/>
      <c r="K263" s="559"/>
      <c r="L263" s="559"/>
      <c r="M263" s="559"/>
      <c r="N263" s="559"/>
      <c r="O263" s="559"/>
      <c r="P263" s="559"/>
      <c r="Q263" s="559"/>
      <c r="R263" s="559"/>
      <c r="S263" s="559"/>
      <c r="T263" s="559"/>
      <c r="U263" s="559"/>
      <c r="V263" s="559"/>
      <c r="W263" s="559"/>
      <c r="X263" s="559"/>
      <c r="Y263" s="559"/>
      <c r="Z263" s="559"/>
      <c r="AA263" s="559"/>
      <c r="AB263" s="559"/>
      <c r="AC263" s="559"/>
      <c r="AD263" s="559"/>
      <c r="AE263" s="559"/>
      <c r="AF263" s="559"/>
      <c r="AG263" s="559"/>
    </row>
    <row r="264" spans="1:33" ht="18" hidden="1" customHeight="1" x14ac:dyDescent="0.35">
      <c r="A264" s="559"/>
      <c r="B264" s="559"/>
      <c r="C264" s="559"/>
      <c r="D264" s="559"/>
      <c r="E264" s="559"/>
      <c r="F264" s="559"/>
      <c r="G264" s="559"/>
      <c r="H264" s="559"/>
      <c r="I264" s="559"/>
      <c r="J264" s="559"/>
      <c r="K264" s="559"/>
      <c r="L264" s="559"/>
      <c r="M264" s="559"/>
      <c r="N264" s="559"/>
      <c r="O264" s="559"/>
      <c r="P264" s="559"/>
      <c r="Q264" s="559"/>
      <c r="R264" s="559"/>
      <c r="S264" s="559"/>
      <c r="T264" s="559"/>
      <c r="U264" s="559"/>
      <c r="V264" s="559"/>
      <c r="W264" s="559"/>
      <c r="X264" s="559"/>
      <c r="Y264" s="559"/>
      <c r="Z264" s="559"/>
      <c r="AA264" s="559"/>
      <c r="AB264" s="559"/>
      <c r="AC264" s="559"/>
      <c r="AD264" s="559"/>
      <c r="AE264" s="559"/>
      <c r="AF264" s="559"/>
      <c r="AG264" s="559"/>
    </row>
    <row r="265" spans="1:33" ht="18" hidden="1" customHeight="1" x14ac:dyDescent="0.35">
      <c r="A265" s="559"/>
      <c r="B265" s="559"/>
      <c r="C265" s="559"/>
      <c r="D265" s="559"/>
      <c r="E265" s="559"/>
      <c r="F265" s="559"/>
      <c r="G265" s="559"/>
      <c r="H265" s="559"/>
      <c r="I265" s="559"/>
      <c r="J265" s="559"/>
      <c r="K265" s="559"/>
      <c r="L265" s="559"/>
      <c r="M265" s="559"/>
      <c r="N265" s="559"/>
      <c r="O265" s="559"/>
      <c r="P265" s="559"/>
      <c r="Q265" s="559"/>
      <c r="R265" s="559"/>
      <c r="S265" s="559"/>
      <c r="T265" s="559"/>
      <c r="U265" s="559"/>
      <c r="V265" s="559"/>
      <c r="W265" s="559"/>
      <c r="X265" s="559"/>
      <c r="Y265" s="559"/>
      <c r="Z265" s="559"/>
      <c r="AA265" s="559"/>
      <c r="AB265" s="559"/>
      <c r="AC265" s="559"/>
      <c r="AD265" s="559"/>
      <c r="AE265" s="559"/>
      <c r="AF265" s="559"/>
      <c r="AG265" s="559"/>
    </row>
    <row r="266" spans="1:33" ht="18" hidden="1" customHeight="1" x14ac:dyDescent="0.35">
      <c r="A266" s="559"/>
      <c r="B266" s="559"/>
      <c r="C266" s="559"/>
      <c r="D266" s="559"/>
      <c r="E266" s="559"/>
      <c r="F266" s="559"/>
      <c r="G266" s="559"/>
      <c r="H266" s="559"/>
      <c r="I266" s="559"/>
      <c r="J266" s="559"/>
      <c r="K266" s="559"/>
      <c r="L266" s="559"/>
      <c r="M266" s="559"/>
      <c r="N266" s="559"/>
      <c r="O266" s="559"/>
      <c r="P266" s="559"/>
      <c r="Q266" s="559"/>
      <c r="R266" s="559"/>
      <c r="S266" s="559"/>
      <c r="T266" s="559"/>
      <c r="U266" s="559"/>
      <c r="V266" s="559"/>
      <c r="W266" s="559"/>
      <c r="X266" s="559"/>
      <c r="Y266" s="559"/>
      <c r="Z266" s="559"/>
      <c r="AA266" s="559"/>
      <c r="AB266" s="559"/>
      <c r="AC266" s="559"/>
      <c r="AD266" s="559"/>
      <c r="AE266" s="559"/>
      <c r="AF266" s="559"/>
      <c r="AG266" s="559"/>
    </row>
    <row r="267" spans="1:33" ht="18" hidden="1" customHeight="1" x14ac:dyDescent="0.35">
      <c r="A267" s="559"/>
      <c r="B267" s="559"/>
      <c r="C267" s="559"/>
      <c r="D267" s="559"/>
      <c r="E267" s="559"/>
      <c r="F267" s="559"/>
      <c r="G267" s="559"/>
      <c r="H267" s="559"/>
      <c r="I267" s="559"/>
      <c r="J267" s="559"/>
      <c r="K267" s="559"/>
      <c r="L267" s="559"/>
      <c r="M267" s="559"/>
      <c r="N267" s="559"/>
      <c r="O267" s="559"/>
      <c r="P267" s="559"/>
      <c r="Q267" s="559"/>
      <c r="R267" s="559"/>
      <c r="S267" s="559"/>
      <c r="T267" s="559"/>
      <c r="U267" s="559"/>
      <c r="V267" s="559"/>
      <c r="W267" s="559"/>
      <c r="X267" s="559"/>
      <c r="Y267" s="559"/>
      <c r="Z267" s="559"/>
      <c r="AA267" s="559"/>
      <c r="AB267" s="559"/>
      <c r="AC267" s="559"/>
      <c r="AD267" s="559"/>
      <c r="AE267" s="559"/>
      <c r="AF267" s="559"/>
      <c r="AG267" s="559"/>
    </row>
    <row r="268" spans="1:33" ht="18" hidden="1" customHeight="1" x14ac:dyDescent="0.35">
      <c r="A268" s="559"/>
      <c r="B268" s="559"/>
      <c r="C268" s="559"/>
      <c r="D268" s="559"/>
      <c r="E268" s="559"/>
      <c r="F268" s="559"/>
      <c r="G268" s="559"/>
      <c r="H268" s="559"/>
      <c r="I268" s="559"/>
      <c r="J268" s="559"/>
      <c r="K268" s="559"/>
      <c r="L268" s="559"/>
      <c r="M268" s="559"/>
      <c r="N268" s="559"/>
      <c r="O268" s="559"/>
      <c r="P268" s="559"/>
      <c r="Q268" s="559"/>
      <c r="R268" s="559"/>
      <c r="S268" s="559"/>
      <c r="T268" s="559"/>
      <c r="U268" s="559"/>
      <c r="V268" s="559"/>
      <c r="W268" s="559"/>
      <c r="X268" s="559"/>
      <c r="Y268" s="559"/>
      <c r="Z268" s="559"/>
      <c r="AA268" s="559"/>
      <c r="AB268" s="559"/>
      <c r="AC268" s="559"/>
      <c r="AD268" s="559"/>
      <c r="AE268" s="559"/>
      <c r="AF268" s="559"/>
      <c r="AG268" s="559"/>
    </row>
    <row r="269" spans="1:33" ht="18" hidden="1" customHeight="1" x14ac:dyDescent="0.35">
      <c r="A269" s="559"/>
      <c r="B269" s="559"/>
      <c r="C269" s="559"/>
      <c r="D269" s="559"/>
      <c r="E269" s="559"/>
      <c r="F269" s="559"/>
      <c r="G269" s="559"/>
      <c r="H269" s="559"/>
      <c r="I269" s="559"/>
      <c r="J269" s="559"/>
      <c r="K269" s="559"/>
      <c r="L269" s="559"/>
      <c r="M269" s="559"/>
      <c r="N269" s="559"/>
      <c r="O269" s="559"/>
      <c r="P269" s="559"/>
      <c r="Q269" s="559"/>
      <c r="R269" s="559"/>
      <c r="S269" s="559"/>
      <c r="T269" s="559"/>
      <c r="U269" s="559"/>
      <c r="V269" s="559"/>
      <c r="W269" s="559"/>
      <c r="X269" s="559"/>
      <c r="Y269" s="559"/>
      <c r="Z269" s="559"/>
      <c r="AA269" s="559"/>
      <c r="AB269" s="559"/>
      <c r="AC269" s="559"/>
      <c r="AD269" s="559"/>
      <c r="AE269" s="559"/>
      <c r="AF269" s="559"/>
      <c r="AG269" s="559"/>
    </row>
    <row r="270" spans="1:33" ht="18" hidden="1" customHeight="1" x14ac:dyDescent="0.35">
      <c r="A270" s="559"/>
      <c r="B270" s="559"/>
      <c r="C270" s="559"/>
      <c r="D270" s="559"/>
      <c r="E270" s="559"/>
      <c r="F270" s="559"/>
      <c r="G270" s="559"/>
      <c r="H270" s="559"/>
      <c r="I270" s="559"/>
      <c r="J270" s="559"/>
      <c r="K270" s="559"/>
      <c r="L270" s="559"/>
      <c r="M270" s="559"/>
      <c r="N270" s="559"/>
      <c r="O270" s="559"/>
      <c r="P270" s="559"/>
      <c r="Q270" s="559"/>
      <c r="R270" s="559"/>
      <c r="S270" s="559"/>
      <c r="T270" s="559"/>
      <c r="U270" s="559"/>
      <c r="V270" s="559"/>
      <c r="W270" s="559"/>
      <c r="X270" s="559"/>
      <c r="Y270" s="559"/>
      <c r="Z270" s="559"/>
      <c r="AA270" s="559"/>
      <c r="AB270" s="559"/>
      <c r="AC270" s="559"/>
      <c r="AD270" s="559"/>
      <c r="AE270" s="559"/>
      <c r="AF270" s="559"/>
      <c r="AG270" s="559"/>
    </row>
    <row r="271" spans="1:33" ht="18" hidden="1" customHeight="1" x14ac:dyDescent="0.35">
      <c r="A271" s="559"/>
      <c r="B271" s="559"/>
      <c r="C271" s="559"/>
      <c r="D271" s="559"/>
      <c r="E271" s="559"/>
      <c r="F271" s="559"/>
      <c r="G271" s="559"/>
      <c r="H271" s="559"/>
      <c r="I271" s="559"/>
      <c r="J271" s="559"/>
      <c r="K271" s="559"/>
      <c r="L271" s="559"/>
      <c r="M271" s="559"/>
      <c r="N271" s="559"/>
      <c r="O271" s="559"/>
      <c r="P271" s="559"/>
      <c r="Q271" s="559"/>
      <c r="R271" s="559"/>
      <c r="S271" s="559"/>
      <c r="T271" s="559"/>
      <c r="U271" s="559"/>
      <c r="V271" s="559"/>
      <c r="W271" s="559"/>
      <c r="X271" s="559"/>
      <c r="Y271" s="559"/>
      <c r="Z271" s="559"/>
      <c r="AA271" s="559"/>
      <c r="AB271" s="559"/>
      <c r="AC271" s="559"/>
      <c r="AD271" s="559"/>
      <c r="AE271" s="559"/>
      <c r="AF271" s="559"/>
      <c r="AG271" s="559"/>
    </row>
    <row r="272" spans="1:33" ht="18" hidden="1" customHeight="1" x14ac:dyDescent="0.35">
      <c r="A272" s="559"/>
      <c r="B272" s="559"/>
      <c r="C272" s="559"/>
      <c r="D272" s="559"/>
      <c r="E272" s="559"/>
      <c r="F272" s="559"/>
      <c r="G272" s="559"/>
      <c r="H272" s="559"/>
      <c r="I272" s="559"/>
      <c r="J272" s="559"/>
      <c r="K272" s="559"/>
      <c r="L272" s="559"/>
      <c r="M272" s="559"/>
      <c r="N272" s="559"/>
      <c r="O272" s="559"/>
      <c r="P272" s="559"/>
      <c r="Q272" s="559"/>
      <c r="R272" s="559"/>
      <c r="S272" s="559"/>
      <c r="T272" s="559"/>
      <c r="U272" s="559"/>
      <c r="V272" s="559"/>
      <c r="W272" s="559"/>
      <c r="X272" s="559"/>
      <c r="Y272" s="559"/>
      <c r="Z272" s="559"/>
      <c r="AA272" s="559"/>
      <c r="AB272" s="559"/>
      <c r="AC272" s="559"/>
      <c r="AD272" s="559"/>
      <c r="AE272" s="559"/>
      <c r="AF272" s="559"/>
      <c r="AG272" s="559"/>
    </row>
    <row r="273" spans="1:33" ht="18" hidden="1" customHeight="1" x14ac:dyDescent="0.35">
      <c r="A273" s="559"/>
      <c r="B273" s="559"/>
      <c r="C273" s="559"/>
      <c r="D273" s="559"/>
      <c r="E273" s="559"/>
      <c r="F273" s="559"/>
      <c r="G273" s="559"/>
      <c r="H273" s="559"/>
      <c r="I273" s="559"/>
      <c r="J273" s="559"/>
      <c r="K273" s="559"/>
      <c r="L273" s="559"/>
      <c r="M273" s="559"/>
      <c r="N273" s="559"/>
      <c r="O273" s="559"/>
      <c r="P273" s="559"/>
      <c r="Q273" s="559"/>
      <c r="R273" s="559"/>
      <c r="S273" s="559"/>
      <c r="T273" s="559"/>
      <c r="U273" s="559"/>
      <c r="V273" s="559"/>
      <c r="W273" s="559"/>
      <c r="X273" s="559"/>
      <c r="Y273" s="559"/>
      <c r="Z273" s="559"/>
      <c r="AA273" s="559"/>
      <c r="AB273" s="559"/>
      <c r="AC273" s="559"/>
      <c r="AD273" s="559"/>
      <c r="AE273" s="559"/>
      <c r="AF273" s="559"/>
      <c r="AG273" s="559"/>
    </row>
    <row r="274" spans="1:33" ht="18" hidden="1" customHeight="1" x14ac:dyDescent="0.35">
      <c r="A274" s="559"/>
      <c r="B274" s="559"/>
      <c r="C274" s="559"/>
      <c r="D274" s="559"/>
      <c r="E274" s="559"/>
      <c r="F274" s="559"/>
      <c r="G274" s="559"/>
      <c r="H274" s="559"/>
      <c r="I274" s="559"/>
      <c r="J274" s="559"/>
      <c r="K274" s="559"/>
      <c r="L274" s="559"/>
      <c r="M274" s="559"/>
      <c r="N274" s="559"/>
      <c r="O274" s="559"/>
      <c r="P274" s="559"/>
      <c r="Q274" s="559"/>
      <c r="R274" s="559"/>
      <c r="S274" s="559"/>
      <c r="T274" s="559"/>
      <c r="U274" s="559"/>
      <c r="V274" s="559"/>
      <c r="W274" s="559"/>
      <c r="X274" s="559"/>
      <c r="Y274" s="559"/>
      <c r="Z274" s="559"/>
      <c r="AA274" s="559"/>
      <c r="AB274" s="559"/>
      <c r="AC274" s="559"/>
      <c r="AD274" s="559"/>
      <c r="AE274" s="559"/>
      <c r="AF274" s="559"/>
      <c r="AG274" s="559"/>
    </row>
    <row r="275" spans="1:33" ht="18" hidden="1" customHeight="1" x14ac:dyDescent="0.35">
      <c r="A275" s="559"/>
      <c r="B275" s="559"/>
      <c r="C275" s="559"/>
      <c r="D275" s="559"/>
      <c r="E275" s="559"/>
      <c r="F275" s="559"/>
      <c r="G275" s="559"/>
      <c r="H275" s="559"/>
      <c r="I275" s="559"/>
      <c r="J275" s="559"/>
      <c r="K275" s="559"/>
      <c r="L275" s="559"/>
      <c r="M275" s="559"/>
      <c r="N275" s="559"/>
      <c r="O275" s="559"/>
      <c r="P275" s="559"/>
      <c r="Q275" s="559"/>
      <c r="R275" s="559"/>
      <c r="S275" s="559"/>
      <c r="T275" s="559"/>
      <c r="U275" s="559"/>
      <c r="V275" s="559"/>
      <c r="W275" s="559"/>
      <c r="X275" s="559"/>
      <c r="Y275" s="559"/>
      <c r="Z275" s="559"/>
      <c r="AA275" s="559"/>
      <c r="AB275" s="559"/>
      <c r="AC275" s="559"/>
      <c r="AD275" s="559"/>
      <c r="AE275" s="559"/>
      <c r="AF275" s="559"/>
      <c r="AG275" s="559"/>
    </row>
    <row r="276" spans="1:33" ht="18" hidden="1" customHeight="1" x14ac:dyDescent="0.35">
      <c r="A276" s="559"/>
      <c r="B276" s="559"/>
      <c r="C276" s="559"/>
      <c r="D276" s="559"/>
      <c r="E276" s="559"/>
      <c r="F276" s="559"/>
      <c r="G276" s="559"/>
      <c r="H276" s="559"/>
      <c r="I276" s="559"/>
      <c r="J276" s="559"/>
      <c r="K276" s="559"/>
      <c r="L276" s="559"/>
      <c r="M276" s="559"/>
      <c r="N276" s="559"/>
      <c r="O276" s="559"/>
      <c r="P276" s="559"/>
      <c r="Q276" s="559"/>
      <c r="R276" s="559"/>
      <c r="S276" s="559"/>
      <c r="T276" s="559"/>
      <c r="U276" s="559"/>
      <c r="V276" s="559"/>
      <c r="W276" s="559"/>
      <c r="X276" s="559"/>
      <c r="Y276" s="559"/>
      <c r="Z276" s="559"/>
      <c r="AA276" s="559"/>
      <c r="AB276" s="559"/>
      <c r="AC276" s="559"/>
      <c r="AD276" s="559"/>
      <c r="AE276" s="559"/>
      <c r="AF276" s="559"/>
      <c r="AG276" s="559"/>
    </row>
    <row r="277" spans="1:33" ht="18" hidden="1" customHeight="1" x14ac:dyDescent="0.35">
      <c r="A277" s="559"/>
      <c r="B277" s="559"/>
      <c r="C277" s="559"/>
      <c r="D277" s="559"/>
      <c r="E277" s="559"/>
      <c r="F277" s="559"/>
      <c r="G277" s="559"/>
      <c r="H277" s="559"/>
      <c r="I277" s="559"/>
      <c r="J277" s="559"/>
      <c r="K277" s="559"/>
      <c r="L277" s="559"/>
      <c r="M277" s="559"/>
      <c r="N277" s="559"/>
      <c r="O277" s="559"/>
      <c r="P277" s="559"/>
      <c r="Q277" s="559"/>
      <c r="R277" s="559"/>
      <c r="S277" s="559"/>
      <c r="T277" s="559"/>
      <c r="U277" s="559"/>
      <c r="V277" s="559"/>
      <c r="W277" s="559"/>
      <c r="X277" s="559"/>
      <c r="Y277" s="559"/>
      <c r="Z277" s="559"/>
      <c r="AA277" s="559"/>
      <c r="AB277" s="559"/>
      <c r="AC277" s="559"/>
      <c r="AD277" s="559"/>
      <c r="AE277" s="559"/>
      <c r="AF277" s="559"/>
      <c r="AG277" s="559"/>
    </row>
    <row r="278" spans="1:33" ht="18" hidden="1" customHeight="1" x14ac:dyDescent="0.35">
      <c r="A278" s="559"/>
      <c r="B278" s="559"/>
      <c r="C278" s="559"/>
      <c r="D278" s="559"/>
      <c r="E278" s="559"/>
      <c r="F278" s="559"/>
      <c r="G278" s="559"/>
      <c r="H278" s="559"/>
      <c r="I278" s="559"/>
      <c r="J278" s="559"/>
      <c r="K278" s="559"/>
      <c r="L278" s="559"/>
      <c r="M278" s="559"/>
      <c r="N278" s="559"/>
      <c r="O278" s="559"/>
      <c r="P278" s="559"/>
      <c r="Q278" s="559"/>
      <c r="R278" s="559"/>
      <c r="S278" s="559"/>
      <c r="T278" s="559"/>
      <c r="U278" s="559"/>
      <c r="V278" s="559"/>
      <c r="W278" s="559"/>
      <c r="X278" s="559"/>
      <c r="Y278" s="559"/>
      <c r="Z278" s="559"/>
      <c r="AA278" s="559"/>
      <c r="AB278" s="559"/>
      <c r="AC278" s="559"/>
      <c r="AD278" s="559"/>
      <c r="AE278" s="559"/>
      <c r="AF278" s="559"/>
      <c r="AG278" s="559"/>
    </row>
    <row r="279" spans="1:33" ht="18" hidden="1" customHeight="1" x14ac:dyDescent="0.35">
      <c r="A279" s="559"/>
      <c r="B279" s="559"/>
      <c r="C279" s="559"/>
      <c r="D279" s="559"/>
      <c r="E279" s="559"/>
      <c r="F279" s="559"/>
      <c r="G279" s="559"/>
      <c r="H279" s="559"/>
      <c r="I279" s="559"/>
      <c r="J279" s="559"/>
      <c r="K279" s="559"/>
      <c r="L279" s="559"/>
      <c r="M279" s="559"/>
      <c r="N279" s="559"/>
      <c r="O279" s="559"/>
      <c r="P279" s="559"/>
      <c r="Q279" s="559"/>
      <c r="R279" s="559"/>
      <c r="S279" s="559"/>
      <c r="T279" s="559"/>
      <c r="U279" s="559"/>
      <c r="V279" s="559"/>
      <c r="W279" s="559"/>
      <c r="X279" s="559"/>
      <c r="Y279" s="559"/>
      <c r="Z279" s="559"/>
      <c r="AA279" s="559"/>
      <c r="AB279" s="559"/>
      <c r="AC279" s="559"/>
      <c r="AD279" s="559"/>
      <c r="AE279" s="559"/>
      <c r="AF279" s="559"/>
      <c r="AG279" s="559"/>
    </row>
    <row r="280" spans="1:33" ht="18" hidden="1" customHeight="1" x14ac:dyDescent="0.35">
      <c r="A280" s="559"/>
      <c r="B280" s="559"/>
      <c r="C280" s="559"/>
      <c r="D280" s="559"/>
      <c r="E280" s="559"/>
      <c r="F280" s="559"/>
      <c r="G280" s="559"/>
      <c r="H280" s="559"/>
      <c r="I280" s="559"/>
      <c r="J280" s="559"/>
      <c r="K280" s="559"/>
      <c r="L280" s="559"/>
      <c r="M280" s="559"/>
      <c r="N280" s="559"/>
      <c r="O280" s="559"/>
      <c r="P280" s="559"/>
      <c r="Q280" s="559"/>
      <c r="R280" s="559"/>
      <c r="S280" s="559"/>
      <c r="T280" s="559"/>
      <c r="U280" s="559"/>
      <c r="V280" s="559"/>
      <c r="W280" s="559"/>
      <c r="X280" s="559"/>
      <c r="Y280" s="559"/>
      <c r="Z280" s="559"/>
      <c r="AA280" s="559"/>
      <c r="AB280" s="559"/>
      <c r="AC280" s="559"/>
      <c r="AD280" s="559"/>
      <c r="AE280" s="559"/>
      <c r="AF280" s="559"/>
      <c r="AG280" s="559"/>
    </row>
    <row r="281" spans="1:33" ht="18" hidden="1" customHeight="1" x14ac:dyDescent="0.35">
      <c r="A281" s="559"/>
      <c r="B281" s="559"/>
      <c r="C281" s="559"/>
      <c r="D281" s="559"/>
      <c r="E281" s="559"/>
      <c r="F281" s="559"/>
      <c r="G281" s="559"/>
      <c r="H281" s="559"/>
      <c r="I281" s="559"/>
      <c r="J281" s="559"/>
      <c r="K281" s="559"/>
      <c r="L281" s="559"/>
      <c r="M281" s="559"/>
      <c r="N281" s="559"/>
      <c r="O281" s="559"/>
      <c r="P281" s="559"/>
      <c r="Q281" s="559"/>
      <c r="R281" s="559"/>
      <c r="S281" s="559"/>
      <c r="T281" s="559"/>
      <c r="U281" s="559"/>
      <c r="V281" s="559"/>
      <c r="W281" s="559"/>
      <c r="X281" s="559"/>
      <c r="Y281" s="559"/>
      <c r="Z281" s="559"/>
      <c r="AA281" s="559"/>
      <c r="AB281" s="559"/>
      <c r="AC281" s="559"/>
      <c r="AD281" s="559"/>
      <c r="AE281" s="559"/>
      <c r="AF281" s="559"/>
      <c r="AG281" s="559"/>
    </row>
    <row r="282" spans="1:33" ht="18" hidden="1" customHeight="1" x14ac:dyDescent="0.35">
      <c r="A282" s="559"/>
      <c r="B282" s="559"/>
      <c r="C282" s="559"/>
      <c r="D282" s="559"/>
      <c r="E282" s="559"/>
      <c r="F282" s="559"/>
      <c r="G282" s="559"/>
      <c r="H282" s="559"/>
      <c r="I282" s="559"/>
      <c r="J282" s="559"/>
      <c r="K282" s="559"/>
      <c r="L282" s="559"/>
      <c r="M282" s="559"/>
      <c r="N282" s="559"/>
      <c r="O282" s="559"/>
      <c r="P282" s="559"/>
      <c r="Q282" s="559"/>
      <c r="R282" s="559"/>
      <c r="S282" s="559"/>
      <c r="T282" s="559"/>
      <c r="U282" s="559"/>
      <c r="V282" s="559"/>
      <c r="W282" s="559"/>
      <c r="X282" s="559"/>
      <c r="Y282" s="559"/>
      <c r="Z282" s="559"/>
      <c r="AA282" s="559"/>
      <c r="AB282" s="559"/>
      <c r="AC282" s="559"/>
      <c r="AD282" s="559"/>
      <c r="AE282" s="559"/>
      <c r="AF282" s="559"/>
      <c r="AG282" s="559"/>
    </row>
    <row r="283" spans="1:33" ht="18" hidden="1" customHeight="1" x14ac:dyDescent="0.35">
      <c r="A283" s="559"/>
      <c r="B283" s="559"/>
      <c r="C283" s="559"/>
      <c r="D283" s="559"/>
      <c r="E283" s="559"/>
      <c r="F283" s="559"/>
      <c r="G283" s="559"/>
      <c r="H283" s="559"/>
      <c r="I283" s="559"/>
      <c r="J283" s="559"/>
      <c r="K283" s="559"/>
      <c r="L283" s="559"/>
      <c r="M283" s="559"/>
      <c r="N283" s="559"/>
      <c r="O283" s="559"/>
      <c r="P283" s="559"/>
      <c r="Q283" s="559"/>
      <c r="R283" s="559"/>
      <c r="S283" s="559"/>
      <c r="T283" s="559"/>
      <c r="U283" s="559"/>
      <c r="V283" s="559"/>
      <c r="W283" s="559"/>
      <c r="X283" s="559"/>
      <c r="Y283" s="559"/>
      <c r="Z283" s="559"/>
      <c r="AA283" s="559"/>
      <c r="AB283" s="559"/>
      <c r="AC283" s="559"/>
      <c r="AD283" s="559"/>
      <c r="AE283" s="559"/>
      <c r="AF283" s="559"/>
      <c r="AG283" s="559"/>
    </row>
    <row r="284" spans="1:33" ht="18" hidden="1" customHeight="1" x14ac:dyDescent="0.35">
      <c r="A284" s="559"/>
      <c r="B284" s="559"/>
      <c r="C284" s="559"/>
      <c r="D284" s="559"/>
      <c r="E284" s="559"/>
      <c r="F284" s="559"/>
      <c r="G284" s="559"/>
      <c r="H284" s="559"/>
      <c r="I284" s="559"/>
      <c r="J284" s="559"/>
      <c r="K284" s="559"/>
      <c r="L284" s="559"/>
      <c r="M284" s="559"/>
      <c r="N284" s="559"/>
      <c r="O284" s="559"/>
      <c r="P284" s="559"/>
      <c r="Q284" s="559"/>
      <c r="R284" s="559"/>
      <c r="S284" s="559"/>
      <c r="T284" s="559"/>
      <c r="U284" s="559"/>
      <c r="V284" s="559"/>
      <c r="W284" s="559"/>
      <c r="X284" s="559"/>
      <c r="Y284" s="559"/>
      <c r="Z284" s="559"/>
      <c r="AA284" s="559"/>
      <c r="AB284" s="559"/>
      <c r="AC284" s="559"/>
      <c r="AD284" s="559"/>
      <c r="AE284" s="559"/>
      <c r="AF284" s="559"/>
      <c r="AG284" s="559"/>
    </row>
    <row r="285" spans="1:33" ht="18" hidden="1" customHeight="1" x14ac:dyDescent="0.35">
      <c r="A285" s="559"/>
      <c r="B285" s="559"/>
      <c r="C285" s="559"/>
      <c r="D285" s="559"/>
      <c r="E285" s="559"/>
      <c r="F285" s="559"/>
      <c r="G285" s="559"/>
      <c r="H285" s="559"/>
      <c r="I285" s="559"/>
      <c r="J285" s="559"/>
      <c r="K285" s="559"/>
      <c r="L285" s="559"/>
      <c r="M285" s="559"/>
      <c r="N285" s="559"/>
      <c r="O285" s="559"/>
      <c r="P285" s="559"/>
      <c r="Q285" s="559"/>
      <c r="R285" s="559"/>
      <c r="S285" s="559"/>
      <c r="T285" s="559"/>
      <c r="U285" s="559"/>
      <c r="V285" s="559"/>
      <c r="W285" s="559"/>
      <c r="X285" s="559"/>
      <c r="Y285" s="559"/>
      <c r="Z285" s="559"/>
      <c r="AA285" s="559"/>
      <c r="AB285" s="559"/>
      <c r="AC285" s="559"/>
      <c r="AD285" s="559"/>
      <c r="AE285" s="559"/>
      <c r="AF285" s="559"/>
      <c r="AG285" s="559"/>
    </row>
    <row r="286" spans="1:33" ht="18" hidden="1" customHeight="1" x14ac:dyDescent="0.35">
      <c r="A286" s="559"/>
      <c r="B286" s="559"/>
      <c r="C286" s="559"/>
      <c r="D286" s="559"/>
      <c r="E286" s="559"/>
      <c r="F286" s="559"/>
      <c r="G286" s="559"/>
      <c r="H286" s="559"/>
      <c r="I286" s="559"/>
      <c r="J286" s="559"/>
      <c r="K286" s="559"/>
      <c r="L286" s="559"/>
      <c r="M286" s="559"/>
      <c r="N286" s="559"/>
      <c r="O286" s="559"/>
      <c r="P286" s="559"/>
      <c r="Q286" s="559"/>
      <c r="R286" s="559"/>
      <c r="S286" s="559"/>
      <c r="T286" s="559"/>
      <c r="U286" s="559"/>
      <c r="V286" s="559"/>
      <c r="W286" s="559"/>
      <c r="X286" s="559"/>
      <c r="Y286" s="559"/>
      <c r="Z286" s="559"/>
      <c r="AA286" s="559"/>
      <c r="AB286" s="559"/>
      <c r="AC286" s="559"/>
      <c r="AD286" s="559"/>
      <c r="AE286" s="559"/>
      <c r="AF286" s="559"/>
      <c r="AG286" s="559"/>
    </row>
    <row r="287" spans="1:33" ht="18" hidden="1" customHeight="1" x14ac:dyDescent="0.35">
      <c r="A287" s="559"/>
      <c r="B287" s="559"/>
      <c r="C287" s="559"/>
      <c r="D287" s="559"/>
      <c r="E287" s="559"/>
      <c r="F287" s="559"/>
      <c r="G287" s="559"/>
      <c r="H287" s="559"/>
      <c r="I287" s="559"/>
      <c r="J287" s="559"/>
      <c r="K287" s="559"/>
      <c r="L287" s="559"/>
      <c r="M287" s="559"/>
      <c r="N287" s="559"/>
      <c r="O287" s="559"/>
      <c r="P287" s="559"/>
      <c r="Q287" s="559"/>
      <c r="R287" s="559"/>
      <c r="S287" s="559"/>
      <c r="T287" s="559"/>
      <c r="U287" s="559"/>
      <c r="V287" s="559"/>
      <c r="W287" s="559"/>
      <c r="X287" s="559"/>
      <c r="Y287" s="559"/>
      <c r="Z287" s="559"/>
      <c r="AA287" s="559"/>
      <c r="AB287" s="559"/>
      <c r="AC287" s="559"/>
      <c r="AD287" s="559"/>
      <c r="AE287" s="559"/>
      <c r="AF287" s="559"/>
      <c r="AG287" s="559"/>
    </row>
    <row r="288" spans="1:33" ht="18" hidden="1" customHeight="1" x14ac:dyDescent="0.35">
      <c r="A288" s="559"/>
      <c r="B288" s="559"/>
      <c r="C288" s="559"/>
      <c r="D288" s="559"/>
      <c r="E288" s="559"/>
      <c r="F288" s="559"/>
      <c r="G288" s="559"/>
      <c r="H288" s="559"/>
      <c r="I288" s="559"/>
      <c r="J288" s="559"/>
      <c r="K288" s="559"/>
      <c r="L288" s="559"/>
      <c r="M288" s="559"/>
      <c r="N288" s="559"/>
      <c r="O288" s="559"/>
      <c r="P288" s="559"/>
      <c r="Q288" s="559"/>
      <c r="R288" s="559"/>
      <c r="S288" s="559"/>
      <c r="T288" s="559"/>
      <c r="U288" s="559"/>
      <c r="V288" s="559"/>
      <c r="W288" s="559"/>
      <c r="X288" s="559"/>
      <c r="Y288" s="559"/>
      <c r="Z288" s="559"/>
      <c r="AA288" s="559"/>
      <c r="AB288" s="559"/>
      <c r="AC288" s="559"/>
      <c r="AD288" s="559"/>
      <c r="AE288" s="559"/>
      <c r="AF288" s="559"/>
      <c r="AG288" s="559"/>
    </row>
    <row r="289" spans="1:33" ht="18" hidden="1" customHeight="1" x14ac:dyDescent="0.35">
      <c r="A289" s="559"/>
      <c r="B289" s="559"/>
      <c r="C289" s="559"/>
      <c r="D289" s="559"/>
      <c r="E289" s="559"/>
      <c r="F289" s="559"/>
      <c r="G289" s="559"/>
      <c r="H289" s="559"/>
      <c r="I289" s="559"/>
      <c r="J289" s="559"/>
      <c r="K289" s="559"/>
      <c r="L289" s="559"/>
      <c r="M289" s="559"/>
      <c r="N289" s="559"/>
      <c r="O289" s="559"/>
      <c r="P289" s="559"/>
      <c r="Q289" s="559"/>
      <c r="R289" s="559"/>
      <c r="S289" s="559"/>
      <c r="T289" s="559"/>
      <c r="U289" s="559"/>
      <c r="V289" s="559"/>
      <c r="W289" s="559"/>
      <c r="X289" s="559"/>
      <c r="Y289" s="559"/>
      <c r="Z289" s="559"/>
      <c r="AA289" s="559"/>
      <c r="AB289" s="559"/>
      <c r="AC289" s="559"/>
      <c r="AD289" s="559"/>
      <c r="AE289" s="559"/>
      <c r="AF289" s="559"/>
      <c r="AG289" s="559"/>
    </row>
    <row r="290" spans="1:33" ht="18" hidden="1" customHeight="1" x14ac:dyDescent="0.35">
      <c r="A290" s="559"/>
      <c r="B290" s="559"/>
      <c r="C290" s="559"/>
      <c r="D290" s="559"/>
      <c r="E290" s="559"/>
      <c r="F290" s="559"/>
      <c r="G290" s="559"/>
      <c r="H290" s="559"/>
      <c r="I290" s="559"/>
      <c r="J290" s="559"/>
      <c r="K290" s="559"/>
      <c r="L290" s="559"/>
      <c r="M290" s="559"/>
      <c r="N290" s="559"/>
      <c r="O290" s="559"/>
      <c r="P290" s="559"/>
      <c r="Q290" s="559"/>
      <c r="R290" s="559"/>
      <c r="S290" s="559"/>
      <c r="T290" s="559"/>
      <c r="U290" s="559"/>
      <c r="V290" s="559"/>
      <c r="W290" s="559"/>
      <c r="X290" s="559"/>
      <c r="Y290" s="559"/>
      <c r="Z290" s="559"/>
      <c r="AA290" s="559"/>
      <c r="AB290" s="559"/>
      <c r="AC290" s="559"/>
      <c r="AD290" s="559"/>
      <c r="AE290" s="559"/>
      <c r="AF290" s="559"/>
      <c r="AG290" s="559"/>
    </row>
    <row r="291" spans="1:33" ht="18" hidden="1" customHeight="1" x14ac:dyDescent="0.35">
      <c r="A291" s="559"/>
      <c r="B291" s="559"/>
      <c r="C291" s="559"/>
      <c r="D291" s="559"/>
      <c r="E291" s="559"/>
      <c r="F291" s="559"/>
      <c r="G291" s="559"/>
      <c r="H291" s="559"/>
      <c r="I291" s="559"/>
      <c r="J291" s="559"/>
      <c r="K291" s="559"/>
      <c r="L291" s="559"/>
      <c r="M291" s="559"/>
      <c r="N291" s="559"/>
      <c r="O291" s="559"/>
      <c r="P291" s="559"/>
      <c r="Q291" s="559"/>
      <c r="R291" s="559"/>
      <c r="S291" s="559"/>
      <c r="T291" s="559"/>
      <c r="U291" s="559"/>
      <c r="V291" s="559"/>
      <c r="W291" s="559"/>
      <c r="X291" s="559"/>
      <c r="Y291" s="559"/>
      <c r="Z291" s="559"/>
      <c r="AA291" s="559"/>
      <c r="AB291" s="559"/>
      <c r="AC291" s="559"/>
      <c r="AD291" s="559"/>
      <c r="AE291" s="559"/>
      <c r="AF291" s="559"/>
      <c r="AG291" s="559"/>
    </row>
    <row r="292" spans="1:33" ht="18" hidden="1" customHeight="1" x14ac:dyDescent="0.35">
      <c r="A292" s="559"/>
      <c r="B292" s="559"/>
      <c r="C292" s="559"/>
      <c r="D292" s="559"/>
      <c r="E292" s="559"/>
      <c r="F292" s="559"/>
      <c r="G292" s="559"/>
      <c r="H292" s="559"/>
      <c r="I292" s="559"/>
      <c r="J292" s="559"/>
      <c r="K292" s="559"/>
      <c r="L292" s="559"/>
      <c r="M292" s="559"/>
      <c r="N292" s="559"/>
      <c r="O292" s="559"/>
      <c r="P292" s="559"/>
      <c r="Q292" s="559"/>
      <c r="R292" s="559"/>
      <c r="S292" s="559"/>
      <c r="T292" s="559"/>
      <c r="U292" s="559"/>
      <c r="V292" s="559"/>
      <c r="W292" s="559"/>
      <c r="X292" s="559"/>
      <c r="Y292" s="559"/>
      <c r="Z292" s="559"/>
      <c r="AA292" s="559"/>
      <c r="AB292" s="559"/>
      <c r="AC292" s="559"/>
      <c r="AD292" s="559"/>
      <c r="AE292" s="559"/>
      <c r="AF292" s="559"/>
      <c r="AG292" s="559"/>
    </row>
    <row r="293" spans="1:33" ht="18" hidden="1" customHeight="1" x14ac:dyDescent="0.35">
      <c r="A293" s="559"/>
      <c r="B293" s="559"/>
      <c r="C293" s="559"/>
      <c r="D293" s="559"/>
      <c r="E293" s="559"/>
      <c r="F293" s="559"/>
      <c r="G293" s="559"/>
      <c r="H293" s="559"/>
      <c r="I293" s="559"/>
      <c r="J293" s="559"/>
      <c r="K293" s="559"/>
      <c r="L293" s="559"/>
      <c r="M293" s="559"/>
      <c r="N293" s="559"/>
      <c r="O293" s="559"/>
      <c r="P293" s="559"/>
      <c r="Q293" s="559"/>
      <c r="R293" s="559"/>
      <c r="S293" s="559"/>
      <c r="T293" s="559"/>
      <c r="U293" s="559"/>
      <c r="V293" s="559"/>
      <c r="W293" s="559"/>
      <c r="X293" s="559"/>
      <c r="Y293" s="559"/>
      <c r="Z293" s="559"/>
      <c r="AA293" s="559"/>
      <c r="AB293" s="559"/>
      <c r="AC293" s="559"/>
      <c r="AD293" s="559"/>
      <c r="AE293" s="559"/>
      <c r="AF293" s="559"/>
      <c r="AG293" s="559"/>
    </row>
    <row r="294" spans="1:33" ht="18" hidden="1" customHeight="1" x14ac:dyDescent="0.35">
      <c r="A294" s="559"/>
      <c r="B294" s="559"/>
      <c r="C294" s="559"/>
      <c r="D294" s="559"/>
      <c r="E294" s="559"/>
      <c r="F294" s="559"/>
      <c r="G294" s="559"/>
      <c r="H294" s="559"/>
      <c r="I294" s="559"/>
      <c r="J294" s="559"/>
      <c r="K294" s="559"/>
      <c r="L294" s="559"/>
      <c r="M294" s="559"/>
      <c r="N294" s="559"/>
      <c r="O294" s="559"/>
      <c r="P294" s="559"/>
      <c r="Q294" s="559"/>
      <c r="R294" s="559"/>
      <c r="S294" s="559"/>
      <c r="T294" s="559"/>
      <c r="U294" s="559"/>
      <c r="V294" s="559"/>
      <c r="W294" s="559"/>
      <c r="X294" s="559"/>
      <c r="Y294" s="559"/>
      <c r="Z294" s="559"/>
      <c r="AA294" s="559"/>
      <c r="AB294" s="559"/>
      <c r="AC294" s="559"/>
      <c r="AD294" s="559"/>
      <c r="AE294" s="559"/>
      <c r="AF294" s="559"/>
      <c r="AG294" s="559"/>
    </row>
    <row r="295" spans="1:33" ht="18" hidden="1" customHeight="1" x14ac:dyDescent="0.35">
      <c r="A295" s="559"/>
      <c r="B295" s="559"/>
      <c r="C295" s="559"/>
      <c r="D295" s="559"/>
      <c r="E295" s="559"/>
      <c r="F295" s="559"/>
      <c r="G295" s="559"/>
      <c r="H295" s="559"/>
      <c r="I295" s="559"/>
      <c r="J295" s="559"/>
      <c r="K295" s="559"/>
      <c r="L295" s="559"/>
      <c r="M295" s="559"/>
      <c r="N295" s="559"/>
      <c r="O295" s="559"/>
      <c r="P295" s="559"/>
      <c r="Q295" s="559"/>
      <c r="R295" s="559"/>
      <c r="S295" s="559"/>
      <c r="T295" s="559"/>
      <c r="U295" s="559"/>
      <c r="V295" s="559"/>
      <c r="W295" s="559"/>
      <c r="X295" s="559"/>
      <c r="Y295" s="559"/>
      <c r="Z295" s="559"/>
      <c r="AA295" s="559"/>
      <c r="AB295" s="559"/>
      <c r="AC295" s="559"/>
      <c r="AD295" s="559"/>
      <c r="AE295" s="559"/>
      <c r="AF295" s="559"/>
      <c r="AG295" s="559"/>
    </row>
    <row r="296" spans="1:33" ht="18" hidden="1" customHeight="1" x14ac:dyDescent="0.35">
      <c r="A296" s="559"/>
      <c r="B296" s="559"/>
      <c r="C296" s="559"/>
      <c r="D296" s="559"/>
      <c r="E296" s="559"/>
      <c r="F296" s="559"/>
      <c r="G296" s="559"/>
      <c r="H296" s="559"/>
      <c r="I296" s="559"/>
      <c r="J296" s="559"/>
      <c r="K296" s="559"/>
      <c r="L296" s="559"/>
      <c r="M296" s="559"/>
      <c r="N296" s="559"/>
      <c r="O296" s="559"/>
      <c r="P296" s="559"/>
      <c r="Q296" s="559"/>
      <c r="R296" s="559"/>
      <c r="S296" s="559"/>
      <c r="T296" s="559"/>
      <c r="U296" s="559"/>
      <c r="V296" s="559"/>
      <c r="W296" s="559"/>
      <c r="X296" s="559"/>
      <c r="Y296" s="559"/>
      <c r="Z296" s="559"/>
      <c r="AA296" s="559"/>
      <c r="AB296" s="559"/>
      <c r="AC296" s="559"/>
      <c r="AD296" s="559"/>
      <c r="AE296" s="559"/>
      <c r="AF296" s="559"/>
      <c r="AG296" s="559"/>
    </row>
    <row r="297" spans="1:33" ht="18" hidden="1" customHeight="1" x14ac:dyDescent="0.35">
      <c r="A297" s="559"/>
      <c r="B297" s="559"/>
      <c r="C297" s="559"/>
      <c r="D297" s="559"/>
      <c r="E297" s="559"/>
      <c r="F297" s="559"/>
      <c r="G297" s="559"/>
      <c r="H297" s="559"/>
      <c r="I297" s="559"/>
      <c r="J297" s="559"/>
      <c r="K297" s="559"/>
      <c r="L297" s="559"/>
      <c r="M297" s="559"/>
      <c r="N297" s="559"/>
      <c r="O297" s="559"/>
      <c r="P297" s="559"/>
      <c r="Q297" s="559"/>
      <c r="R297" s="559"/>
      <c r="S297" s="559"/>
      <c r="T297" s="559"/>
      <c r="U297" s="559"/>
      <c r="V297" s="559"/>
      <c r="W297" s="559"/>
      <c r="X297" s="559"/>
      <c r="Y297" s="559"/>
      <c r="Z297" s="559"/>
      <c r="AA297" s="559"/>
      <c r="AB297" s="559"/>
      <c r="AC297" s="559"/>
      <c r="AD297" s="559"/>
      <c r="AE297" s="559"/>
      <c r="AF297" s="559"/>
      <c r="AG297" s="559"/>
    </row>
    <row r="298" spans="1:33" ht="18" hidden="1" customHeight="1" x14ac:dyDescent="0.35">
      <c r="A298" s="559"/>
      <c r="B298" s="559"/>
      <c r="C298" s="559"/>
      <c r="D298" s="559"/>
      <c r="E298" s="559"/>
      <c r="F298" s="559"/>
      <c r="G298" s="559"/>
      <c r="H298" s="559"/>
      <c r="I298" s="559"/>
      <c r="J298" s="559"/>
      <c r="K298" s="559"/>
      <c r="L298" s="559"/>
      <c r="M298" s="559"/>
      <c r="N298" s="559"/>
      <c r="O298" s="559"/>
      <c r="P298" s="559"/>
      <c r="Q298" s="559"/>
      <c r="R298" s="559"/>
      <c r="S298" s="559"/>
      <c r="T298" s="559"/>
      <c r="U298" s="559"/>
      <c r="V298" s="559"/>
      <c r="W298" s="559"/>
      <c r="X298" s="559"/>
      <c r="Y298" s="559"/>
      <c r="Z298" s="559"/>
      <c r="AA298" s="559"/>
      <c r="AB298" s="559"/>
      <c r="AC298" s="559"/>
      <c r="AD298" s="559"/>
      <c r="AE298" s="559"/>
      <c r="AF298" s="559"/>
      <c r="AG298" s="559"/>
    </row>
    <row r="299" spans="1:33" ht="18" hidden="1" customHeight="1" x14ac:dyDescent="0.35">
      <c r="A299" s="559"/>
      <c r="B299" s="559"/>
      <c r="C299" s="559"/>
      <c r="D299" s="559"/>
      <c r="E299" s="559"/>
      <c r="F299" s="559"/>
      <c r="G299" s="559"/>
      <c r="H299" s="559"/>
      <c r="I299" s="559"/>
      <c r="J299" s="559"/>
      <c r="K299" s="559"/>
      <c r="L299" s="559"/>
      <c r="M299" s="559"/>
      <c r="N299" s="559"/>
      <c r="O299" s="559"/>
      <c r="P299" s="559"/>
      <c r="Q299" s="559"/>
      <c r="R299" s="559"/>
      <c r="S299" s="559"/>
      <c r="T299" s="559"/>
      <c r="U299" s="559"/>
      <c r="V299" s="559"/>
      <c r="W299" s="559"/>
      <c r="X299" s="559"/>
      <c r="Y299" s="559"/>
      <c r="Z299" s="559"/>
      <c r="AA299" s="559"/>
      <c r="AB299" s="559"/>
      <c r="AC299" s="559"/>
      <c r="AD299" s="559"/>
      <c r="AE299" s="559"/>
      <c r="AF299" s="559"/>
      <c r="AG299" s="559"/>
    </row>
    <row r="300" spans="1:33" ht="18" hidden="1" customHeight="1" x14ac:dyDescent="0.35">
      <c r="A300" s="559"/>
      <c r="B300" s="559"/>
      <c r="C300" s="559"/>
      <c r="D300" s="559"/>
      <c r="E300" s="559"/>
      <c r="F300" s="559"/>
      <c r="G300" s="559"/>
      <c r="H300" s="559"/>
      <c r="I300" s="559"/>
      <c r="J300" s="559"/>
      <c r="K300" s="559"/>
      <c r="L300" s="559"/>
      <c r="M300" s="559"/>
      <c r="N300" s="559"/>
      <c r="O300" s="559"/>
      <c r="P300" s="559"/>
      <c r="Q300" s="559"/>
      <c r="R300" s="559"/>
      <c r="S300" s="559"/>
      <c r="T300" s="559"/>
      <c r="U300" s="559"/>
      <c r="V300" s="559"/>
      <c r="W300" s="559"/>
      <c r="X300" s="559"/>
      <c r="Y300" s="559"/>
      <c r="Z300" s="559"/>
      <c r="AA300" s="559"/>
      <c r="AB300" s="559"/>
      <c r="AC300" s="559"/>
      <c r="AD300" s="559"/>
      <c r="AE300" s="559"/>
      <c r="AF300" s="559"/>
      <c r="AG300" s="559"/>
    </row>
    <row r="301" spans="1:33" ht="18" hidden="1" customHeight="1" x14ac:dyDescent="0.35">
      <c r="A301" s="559"/>
      <c r="B301" s="559"/>
      <c r="C301" s="559"/>
      <c r="D301" s="559"/>
      <c r="E301" s="559"/>
      <c r="F301" s="559"/>
      <c r="G301" s="559"/>
      <c r="H301" s="559"/>
      <c r="I301" s="559"/>
      <c r="J301" s="559"/>
      <c r="K301" s="559"/>
      <c r="L301" s="559"/>
      <c r="M301" s="559"/>
      <c r="N301" s="559"/>
      <c r="O301" s="559"/>
      <c r="P301" s="559"/>
      <c r="Q301" s="559"/>
      <c r="R301" s="559"/>
      <c r="S301" s="559"/>
      <c r="T301" s="559"/>
      <c r="U301" s="559"/>
      <c r="V301" s="559"/>
      <c r="W301" s="559"/>
      <c r="X301" s="559"/>
      <c r="Y301" s="559"/>
      <c r="Z301" s="559"/>
      <c r="AA301" s="559"/>
      <c r="AB301" s="559"/>
      <c r="AC301" s="559"/>
      <c r="AD301" s="559"/>
      <c r="AE301" s="559"/>
      <c r="AF301" s="559"/>
      <c r="AG301" s="559"/>
    </row>
    <row r="302" spans="1:33" ht="18" hidden="1" customHeight="1" x14ac:dyDescent="0.35">
      <c r="A302" s="559"/>
      <c r="B302" s="559"/>
      <c r="C302" s="559"/>
      <c r="D302" s="559"/>
      <c r="E302" s="559"/>
      <c r="F302" s="559"/>
      <c r="G302" s="559"/>
      <c r="H302" s="559"/>
      <c r="I302" s="559"/>
      <c r="J302" s="559"/>
      <c r="K302" s="559"/>
      <c r="L302" s="559"/>
      <c r="M302" s="559"/>
      <c r="N302" s="559"/>
      <c r="O302" s="559"/>
      <c r="P302" s="559"/>
      <c r="Q302" s="559"/>
      <c r="R302" s="559"/>
      <c r="S302" s="559"/>
      <c r="T302" s="559"/>
      <c r="U302" s="559"/>
      <c r="V302" s="559"/>
      <c r="W302" s="559"/>
      <c r="X302" s="559"/>
      <c r="Y302" s="559"/>
      <c r="Z302" s="559"/>
      <c r="AA302" s="559"/>
      <c r="AB302" s="559"/>
      <c r="AC302" s="559"/>
      <c r="AD302" s="559"/>
      <c r="AE302" s="559"/>
      <c r="AF302" s="559"/>
      <c r="AG302" s="559"/>
    </row>
    <row r="303" spans="1:33" ht="18" hidden="1" customHeight="1" x14ac:dyDescent="0.35">
      <c r="A303" s="559"/>
      <c r="B303" s="559"/>
      <c r="C303" s="559"/>
      <c r="D303" s="559"/>
      <c r="E303" s="559"/>
      <c r="F303" s="559"/>
      <c r="G303" s="559"/>
      <c r="H303" s="559"/>
      <c r="I303" s="559"/>
      <c r="J303" s="559"/>
      <c r="K303" s="559"/>
      <c r="L303" s="559"/>
      <c r="M303" s="559"/>
      <c r="N303" s="559"/>
      <c r="O303" s="559"/>
      <c r="P303" s="559"/>
      <c r="Q303" s="559"/>
      <c r="R303" s="559"/>
      <c r="S303" s="559"/>
      <c r="T303" s="559"/>
      <c r="U303" s="559"/>
      <c r="V303" s="559"/>
      <c r="W303" s="559"/>
      <c r="X303" s="559"/>
      <c r="Y303" s="559"/>
      <c r="Z303" s="559"/>
      <c r="AA303" s="559"/>
      <c r="AB303" s="559"/>
      <c r="AC303" s="559"/>
      <c r="AD303" s="559"/>
      <c r="AE303" s="559"/>
      <c r="AF303" s="559"/>
      <c r="AG303" s="559"/>
    </row>
    <row r="304" spans="1:33" ht="18" hidden="1" customHeight="1" x14ac:dyDescent="0.35">
      <c r="A304" s="559"/>
      <c r="B304" s="559"/>
      <c r="C304" s="559"/>
      <c r="D304" s="559"/>
      <c r="E304" s="559"/>
      <c r="F304" s="559"/>
      <c r="G304" s="559"/>
      <c r="H304" s="559"/>
      <c r="I304" s="559"/>
      <c r="J304" s="559"/>
      <c r="K304" s="559"/>
      <c r="L304" s="559"/>
      <c r="M304" s="559"/>
      <c r="N304" s="559"/>
      <c r="O304" s="559"/>
      <c r="P304" s="559"/>
      <c r="Q304" s="559"/>
      <c r="R304" s="559"/>
      <c r="S304" s="559"/>
      <c r="T304" s="559"/>
      <c r="U304" s="559"/>
      <c r="V304" s="559"/>
      <c r="W304" s="559"/>
      <c r="X304" s="559"/>
      <c r="Y304" s="559"/>
      <c r="Z304" s="559"/>
      <c r="AA304" s="559"/>
      <c r="AB304" s="559"/>
      <c r="AC304" s="559"/>
      <c r="AD304" s="559"/>
      <c r="AE304" s="559"/>
      <c r="AF304" s="559"/>
      <c r="AG304" s="559"/>
    </row>
    <row r="305" spans="1:33" ht="18" hidden="1" customHeight="1" x14ac:dyDescent="0.35">
      <c r="A305" s="559"/>
      <c r="B305" s="559"/>
      <c r="C305" s="559"/>
      <c r="D305" s="559"/>
      <c r="E305" s="559"/>
      <c r="F305" s="559"/>
      <c r="G305" s="559"/>
      <c r="H305" s="559"/>
      <c r="I305" s="559"/>
      <c r="J305" s="559"/>
      <c r="K305" s="559"/>
      <c r="L305" s="559"/>
      <c r="M305" s="559"/>
      <c r="N305" s="559"/>
      <c r="O305" s="559"/>
      <c r="P305" s="559"/>
      <c r="Q305" s="559"/>
      <c r="R305" s="559"/>
      <c r="S305" s="559"/>
      <c r="T305" s="559"/>
      <c r="U305" s="559"/>
      <c r="V305" s="559"/>
      <c r="W305" s="559"/>
      <c r="X305" s="559"/>
      <c r="Y305" s="559"/>
      <c r="Z305" s="559"/>
      <c r="AA305" s="559"/>
      <c r="AB305" s="559"/>
      <c r="AC305" s="559"/>
      <c r="AD305" s="559"/>
      <c r="AE305" s="559"/>
      <c r="AF305" s="559"/>
      <c r="AG305" s="559"/>
    </row>
    <row r="306" spans="1:33" ht="18" hidden="1" customHeight="1" x14ac:dyDescent="0.35">
      <c r="A306" s="559"/>
      <c r="B306" s="559"/>
      <c r="C306" s="559"/>
      <c r="D306" s="559"/>
      <c r="E306" s="559"/>
      <c r="F306" s="559"/>
      <c r="G306" s="559"/>
      <c r="H306" s="559"/>
      <c r="I306" s="559"/>
      <c r="J306" s="559"/>
      <c r="K306" s="559"/>
      <c r="L306" s="559"/>
      <c r="M306" s="559"/>
      <c r="N306" s="559"/>
      <c r="O306" s="559"/>
      <c r="P306" s="559"/>
      <c r="Q306" s="559"/>
      <c r="R306" s="559"/>
      <c r="S306" s="559"/>
      <c r="T306" s="559"/>
      <c r="U306" s="559"/>
      <c r="V306" s="559"/>
      <c r="W306" s="559"/>
      <c r="X306" s="559"/>
      <c r="Y306" s="559"/>
      <c r="Z306" s="559"/>
      <c r="AA306" s="559"/>
      <c r="AB306" s="559"/>
      <c r="AC306" s="559"/>
      <c r="AD306" s="559"/>
      <c r="AE306" s="559"/>
      <c r="AF306" s="559"/>
      <c r="AG306" s="559"/>
    </row>
    <row r="307" spans="1:33" ht="18" hidden="1" customHeight="1" x14ac:dyDescent="0.35">
      <c r="A307" s="559"/>
      <c r="B307" s="559"/>
      <c r="C307" s="559"/>
      <c r="D307" s="559"/>
      <c r="E307" s="559"/>
      <c r="F307" s="559"/>
      <c r="G307" s="559"/>
      <c r="H307" s="559"/>
      <c r="I307" s="559"/>
      <c r="J307" s="559"/>
      <c r="K307" s="559"/>
      <c r="L307" s="559"/>
      <c r="M307" s="559"/>
      <c r="N307" s="559"/>
      <c r="O307" s="559"/>
      <c r="P307" s="559"/>
      <c r="Q307" s="559"/>
      <c r="R307" s="559"/>
      <c r="S307" s="559"/>
      <c r="T307" s="559"/>
      <c r="U307" s="559"/>
      <c r="V307" s="559"/>
      <c r="W307" s="559"/>
      <c r="X307" s="559"/>
      <c r="Y307" s="559"/>
      <c r="Z307" s="559"/>
      <c r="AA307" s="559"/>
      <c r="AB307" s="559"/>
      <c r="AC307" s="559"/>
      <c r="AD307" s="559"/>
      <c r="AE307" s="559"/>
      <c r="AF307" s="559"/>
      <c r="AG307" s="559"/>
    </row>
    <row r="308" spans="1:33" ht="18" hidden="1" customHeight="1" x14ac:dyDescent="0.35">
      <c r="A308" s="559"/>
      <c r="B308" s="559"/>
      <c r="C308" s="559"/>
      <c r="D308" s="559"/>
      <c r="E308" s="559"/>
      <c r="F308" s="559"/>
      <c r="G308" s="559"/>
      <c r="H308" s="559"/>
      <c r="I308" s="559"/>
      <c r="J308" s="559"/>
      <c r="K308" s="559"/>
      <c r="L308" s="559"/>
      <c r="M308" s="559"/>
      <c r="N308" s="559"/>
      <c r="O308" s="559"/>
      <c r="P308" s="559"/>
      <c r="Q308" s="559"/>
      <c r="R308" s="559"/>
      <c r="S308" s="559"/>
      <c r="T308" s="559"/>
      <c r="U308" s="559"/>
      <c r="V308" s="559"/>
      <c r="W308" s="559"/>
      <c r="X308" s="559"/>
      <c r="Y308" s="559"/>
      <c r="Z308" s="559"/>
      <c r="AA308" s="559"/>
      <c r="AB308" s="559"/>
      <c r="AC308" s="559"/>
      <c r="AD308" s="559"/>
      <c r="AE308" s="559"/>
      <c r="AF308" s="559"/>
      <c r="AG308" s="559"/>
    </row>
    <row r="309" spans="1:33" ht="18" hidden="1" customHeight="1" x14ac:dyDescent="0.35">
      <c r="A309" s="559"/>
      <c r="B309" s="559"/>
      <c r="C309" s="559"/>
      <c r="D309" s="559"/>
      <c r="E309" s="559"/>
      <c r="F309" s="559"/>
      <c r="G309" s="559"/>
      <c r="H309" s="559"/>
      <c r="I309" s="559"/>
      <c r="J309" s="559"/>
      <c r="K309" s="559"/>
      <c r="L309" s="559"/>
      <c r="M309" s="559"/>
      <c r="N309" s="559"/>
      <c r="O309" s="559"/>
      <c r="P309" s="559"/>
      <c r="Q309" s="559"/>
      <c r="R309" s="559"/>
      <c r="S309" s="559"/>
      <c r="T309" s="559"/>
      <c r="U309" s="559"/>
      <c r="V309" s="559"/>
      <c r="W309" s="559"/>
      <c r="X309" s="559"/>
      <c r="Y309" s="559"/>
      <c r="Z309" s="559"/>
      <c r="AA309" s="559"/>
      <c r="AB309" s="559"/>
      <c r="AC309" s="559"/>
      <c r="AD309" s="559"/>
      <c r="AE309" s="559"/>
      <c r="AF309" s="559"/>
      <c r="AG309" s="559"/>
    </row>
    <row r="310" spans="1:33" ht="18" hidden="1" customHeight="1" x14ac:dyDescent="0.35">
      <c r="A310" s="559"/>
      <c r="B310" s="559"/>
      <c r="C310" s="559"/>
      <c r="D310" s="559"/>
      <c r="E310" s="559"/>
      <c r="F310" s="559"/>
      <c r="G310" s="559"/>
      <c r="H310" s="559"/>
      <c r="I310" s="559"/>
      <c r="J310" s="559"/>
      <c r="K310" s="559"/>
      <c r="L310" s="559"/>
      <c r="M310" s="559"/>
      <c r="N310" s="559"/>
      <c r="O310" s="559"/>
      <c r="P310" s="559"/>
      <c r="Q310" s="559"/>
      <c r="R310" s="559"/>
      <c r="S310" s="559"/>
      <c r="T310" s="559"/>
      <c r="U310" s="559"/>
      <c r="V310" s="559"/>
      <c r="W310" s="559"/>
      <c r="X310" s="559"/>
      <c r="Y310" s="559"/>
      <c r="Z310" s="559"/>
      <c r="AA310" s="559"/>
      <c r="AB310" s="559"/>
      <c r="AC310" s="559"/>
      <c r="AD310" s="559"/>
      <c r="AE310" s="559"/>
      <c r="AF310" s="559"/>
      <c r="AG310" s="559"/>
    </row>
    <row r="311" spans="1:33" ht="18" hidden="1" customHeight="1" x14ac:dyDescent="0.35">
      <c r="A311" s="559"/>
      <c r="B311" s="559"/>
      <c r="C311" s="559"/>
      <c r="D311" s="559"/>
      <c r="E311" s="559"/>
      <c r="F311" s="559"/>
      <c r="G311" s="559"/>
      <c r="H311" s="559"/>
      <c r="I311" s="559"/>
      <c r="J311" s="559"/>
      <c r="K311" s="559"/>
      <c r="L311" s="559"/>
      <c r="M311" s="559"/>
      <c r="N311" s="559"/>
      <c r="O311" s="559"/>
      <c r="P311" s="559"/>
      <c r="Q311" s="559"/>
      <c r="R311" s="559"/>
      <c r="S311" s="559"/>
      <c r="T311" s="559"/>
      <c r="U311" s="559"/>
      <c r="V311" s="559"/>
      <c r="W311" s="559"/>
      <c r="X311" s="559"/>
      <c r="Y311" s="559"/>
      <c r="Z311" s="559"/>
      <c r="AA311" s="559"/>
      <c r="AB311" s="559"/>
      <c r="AC311" s="559"/>
      <c r="AD311" s="559"/>
      <c r="AE311" s="559"/>
      <c r="AF311" s="559"/>
      <c r="AG311" s="559"/>
    </row>
    <row r="312" spans="1:33" ht="18" hidden="1" customHeight="1" x14ac:dyDescent="0.35">
      <c r="A312" s="559"/>
      <c r="B312" s="559"/>
      <c r="C312" s="559"/>
      <c r="D312" s="559"/>
      <c r="E312" s="559"/>
      <c r="F312" s="559"/>
      <c r="G312" s="559"/>
      <c r="H312" s="559"/>
      <c r="I312" s="559"/>
      <c r="J312" s="559"/>
      <c r="K312" s="559"/>
      <c r="L312" s="559"/>
      <c r="M312" s="559"/>
      <c r="N312" s="559"/>
      <c r="O312" s="559"/>
      <c r="P312" s="559"/>
      <c r="Q312" s="559"/>
      <c r="R312" s="559"/>
      <c r="S312" s="559"/>
      <c r="T312" s="559"/>
      <c r="U312" s="559"/>
      <c r="V312" s="559"/>
      <c r="W312" s="559"/>
      <c r="X312" s="559"/>
      <c r="Y312" s="559"/>
      <c r="Z312" s="559"/>
      <c r="AA312" s="559"/>
      <c r="AB312" s="559"/>
      <c r="AC312" s="559"/>
      <c r="AD312" s="559"/>
      <c r="AE312" s="559"/>
      <c r="AF312" s="559"/>
      <c r="AG312" s="559"/>
    </row>
    <row r="313" spans="1:33" ht="18" hidden="1" customHeight="1" x14ac:dyDescent="0.35">
      <c r="A313" s="559"/>
      <c r="B313" s="559"/>
      <c r="C313" s="559"/>
      <c r="D313" s="559"/>
      <c r="E313" s="559"/>
      <c r="F313" s="559"/>
      <c r="G313" s="559"/>
      <c r="H313" s="559"/>
      <c r="I313" s="559"/>
      <c r="J313" s="559"/>
      <c r="K313" s="559"/>
      <c r="L313" s="559"/>
      <c r="M313" s="559"/>
      <c r="N313" s="559"/>
      <c r="O313" s="559"/>
      <c r="P313" s="559"/>
      <c r="Q313" s="559"/>
      <c r="R313" s="559"/>
      <c r="S313" s="559"/>
      <c r="T313" s="559"/>
      <c r="U313" s="559"/>
      <c r="V313" s="559"/>
      <c r="W313" s="559"/>
      <c r="X313" s="559"/>
      <c r="Y313" s="559"/>
      <c r="Z313" s="559"/>
      <c r="AA313" s="559"/>
      <c r="AB313" s="559"/>
      <c r="AC313" s="559"/>
      <c r="AD313" s="559"/>
      <c r="AE313" s="559"/>
      <c r="AF313" s="559"/>
      <c r="AG313" s="559"/>
    </row>
    <row r="314" spans="1:33" ht="18" hidden="1" customHeight="1" x14ac:dyDescent="0.35">
      <c r="A314" s="559"/>
      <c r="B314" s="559"/>
      <c r="C314" s="559"/>
      <c r="D314" s="559"/>
      <c r="E314" s="559"/>
      <c r="F314" s="559"/>
      <c r="G314" s="559"/>
      <c r="H314" s="559"/>
      <c r="I314" s="559"/>
      <c r="J314" s="559"/>
      <c r="K314" s="559"/>
      <c r="L314" s="559"/>
      <c r="M314" s="559"/>
      <c r="N314" s="559"/>
      <c r="O314" s="559"/>
      <c r="P314" s="559"/>
      <c r="Q314" s="559"/>
      <c r="R314" s="559"/>
      <c r="S314" s="559"/>
      <c r="T314" s="559"/>
      <c r="U314" s="559"/>
      <c r="V314" s="559"/>
      <c r="W314" s="559"/>
      <c r="X314" s="559"/>
      <c r="Y314" s="559"/>
      <c r="Z314" s="559"/>
      <c r="AA314" s="559"/>
      <c r="AB314" s="559"/>
      <c r="AC314" s="559"/>
      <c r="AD314" s="559"/>
      <c r="AE314" s="559"/>
      <c r="AF314" s="559"/>
      <c r="AG314" s="559"/>
    </row>
    <row r="315" spans="1:33" ht="18" hidden="1" customHeight="1" x14ac:dyDescent="0.35">
      <c r="A315" s="559"/>
      <c r="B315" s="559"/>
      <c r="C315" s="559"/>
      <c r="D315" s="559"/>
      <c r="E315" s="559"/>
      <c r="F315" s="559"/>
      <c r="G315" s="559"/>
      <c r="H315" s="559"/>
      <c r="I315" s="559"/>
      <c r="J315" s="559"/>
      <c r="K315" s="559"/>
      <c r="L315" s="559"/>
      <c r="M315" s="559"/>
      <c r="N315" s="559"/>
      <c r="O315" s="559"/>
      <c r="P315" s="559"/>
      <c r="Q315" s="559"/>
      <c r="R315" s="559"/>
      <c r="S315" s="559"/>
      <c r="T315" s="559"/>
      <c r="U315" s="559"/>
      <c r="V315" s="559"/>
      <c r="W315" s="559"/>
      <c r="X315" s="559"/>
      <c r="Y315" s="559"/>
      <c r="Z315" s="559"/>
      <c r="AA315" s="559"/>
      <c r="AB315" s="559"/>
      <c r="AC315" s="559"/>
      <c r="AD315" s="559"/>
      <c r="AE315" s="559"/>
      <c r="AF315" s="559"/>
      <c r="AG315" s="559"/>
    </row>
    <row r="316" spans="1:33" ht="18" hidden="1" customHeight="1" x14ac:dyDescent="0.35">
      <c r="A316" s="559"/>
      <c r="B316" s="559"/>
      <c r="C316" s="559"/>
      <c r="D316" s="559"/>
      <c r="E316" s="559"/>
      <c r="F316" s="559"/>
      <c r="G316" s="559"/>
      <c r="H316" s="559"/>
      <c r="I316" s="559"/>
      <c r="J316" s="559"/>
      <c r="K316" s="559"/>
      <c r="L316" s="559"/>
      <c r="M316" s="559"/>
      <c r="N316" s="559"/>
      <c r="O316" s="559"/>
      <c r="P316" s="559"/>
      <c r="Q316" s="559"/>
      <c r="R316" s="559"/>
      <c r="S316" s="559"/>
      <c r="T316" s="559"/>
      <c r="U316" s="559"/>
      <c r="V316" s="559"/>
      <c r="W316" s="559"/>
      <c r="X316" s="559"/>
      <c r="Y316" s="559"/>
      <c r="Z316" s="559"/>
      <c r="AA316" s="559"/>
      <c r="AB316" s="559"/>
      <c r="AC316" s="559"/>
      <c r="AD316" s="559"/>
      <c r="AE316" s="559"/>
      <c r="AF316" s="559"/>
      <c r="AG316" s="559"/>
    </row>
    <row r="317" spans="1:33" ht="18" hidden="1" customHeight="1" x14ac:dyDescent="0.35">
      <c r="A317" s="559"/>
      <c r="B317" s="559"/>
      <c r="C317" s="559"/>
      <c r="D317" s="559"/>
      <c r="E317" s="559"/>
      <c r="F317" s="559"/>
      <c r="G317" s="559"/>
      <c r="H317" s="559"/>
      <c r="I317" s="559"/>
      <c r="J317" s="559"/>
      <c r="K317" s="559"/>
      <c r="L317" s="559"/>
      <c r="M317" s="559"/>
      <c r="N317" s="559"/>
      <c r="O317" s="559"/>
      <c r="P317" s="559"/>
      <c r="Q317" s="559"/>
      <c r="R317" s="559"/>
      <c r="S317" s="559"/>
      <c r="T317" s="559"/>
      <c r="U317" s="559"/>
      <c r="V317" s="559"/>
      <c r="W317" s="559"/>
      <c r="X317" s="559"/>
      <c r="Y317" s="559"/>
      <c r="Z317" s="559"/>
      <c r="AA317" s="559"/>
      <c r="AB317" s="559"/>
      <c r="AC317" s="559"/>
      <c r="AD317" s="559"/>
      <c r="AE317" s="559"/>
      <c r="AF317" s="559"/>
      <c r="AG317" s="559"/>
    </row>
    <row r="318" spans="1:33" ht="18" hidden="1" customHeight="1" x14ac:dyDescent="0.35">
      <c r="A318" s="559"/>
      <c r="B318" s="559"/>
      <c r="C318" s="559"/>
      <c r="D318" s="559"/>
      <c r="E318" s="559"/>
      <c r="F318" s="559"/>
      <c r="G318" s="559"/>
      <c r="H318" s="559"/>
      <c r="I318" s="559"/>
      <c r="J318" s="559"/>
      <c r="K318" s="559"/>
      <c r="L318" s="559"/>
      <c r="M318" s="559"/>
      <c r="N318" s="559"/>
      <c r="O318" s="559"/>
      <c r="P318" s="559"/>
      <c r="Q318" s="559"/>
      <c r="R318" s="559"/>
      <c r="S318" s="559"/>
      <c r="T318" s="559"/>
      <c r="U318" s="559"/>
      <c r="V318" s="559"/>
      <c r="W318" s="559"/>
      <c r="X318" s="559"/>
      <c r="Y318" s="559"/>
      <c r="Z318" s="559"/>
      <c r="AA318" s="559"/>
      <c r="AB318" s="559"/>
      <c r="AC318" s="559"/>
      <c r="AD318" s="559"/>
      <c r="AE318" s="559"/>
      <c r="AF318" s="559"/>
      <c r="AG318" s="559"/>
    </row>
    <row r="319" spans="1:33" ht="18" hidden="1" customHeight="1" x14ac:dyDescent="0.35">
      <c r="A319" s="559"/>
      <c r="B319" s="559"/>
      <c r="C319" s="559"/>
      <c r="D319" s="559"/>
      <c r="E319" s="559"/>
      <c r="F319" s="559"/>
      <c r="G319" s="559"/>
      <c r="H319" s="559"/>
      <c r="I319" s="559"/>
      <c r="J319" s="559"/>
      <c r="K319" s="559"/>
      <c r="L319" s="559"/>
      <c r="M319" s="559"/>
      <c r="N319" s="559"/>
      <c r="O319" s="559"/>
      <c r="P319" s="559"/>
      <c r="Q319" s="559"/>
      <c r="R319" s="559"/>
      <c r="S319" s="559"/>
      <c r="T319" s="559"/>
      <c r="U319" s="559"/>
      <c r="V319" s="559"/>
      <c r="W319" s="559"/>
      <c r="X319" s="559"/>
      <c r="Y319" s="559"/>
      <c r="Z319" s="559"/>
      <c r="AA319" s="559"/>
      <c r="AB319" s="559"/>
      <c r="AC319" s="559"/>
      <c r="AD319" s="559"/>
      <c r="AE319" s="559"/>
      <c r="AF319" s="559"/>
      <c r="AG319" s="559"/>
    </row>
    <row r="320" spans="1:33" ht="18" hidden="1" customHeight="1" x14ac:dyDescent="0.35">
      <c r="A320" s="559"/>
      <c r="B320" s="559"/>
      <c r="C320" s="559"/>
      <c r="D320" s="559"/>
      <c r="E320" s="559"/>
      <c r="F320" s="559"/>
      <c r="G320" s="559"/>
      <c r="H320" s="559"/>
      <c r="I320" s="559"/>
      <c r="J320" s="559"/>
      <c r="K320" s="559"/>
      <c r="L320" s="559"/>
      <c r="M320" s="559"/>
      <c r="N320" s="559"/>
      <c r="O320" s="559"/>
      <c r="P320" s="559"/>
      <c r="Q320" s="559"/>
      <c r="R320" s="559"/>
      <c r="S320" s="559"/>
      <c r="T320" s="559"/>
      <c r="U320" s="559"/>
      <c r="V320" s="559"/>
      <c r="W320" s="559"/>
      <c r="X320" s="559"/>
      <c r="Y320" s="559"/>
      <c r="Z320" s="559"/>
      <c r="AA320" s="559"/>
      <c r="AB320" s="559"/>
      <c r="AC320" s="559"/>
      <c r="AD320" s="559"/>
      <c r="AE320" s="559"/>
      <c r="AF320" s="559"/>
      <c r="AG320" s="559"/>
    </row>
    <row r="321" spans="1:33" ht="18" hidden="1" customHeight="1" x14ac:dyDescent="0.35">
      <c r="A321" s="559"/>
      <c r="B321" s="559"/>
      <c r="C321" s="559"/>
      <c r="D321" s="559"/>
      <c r="E321" s="559"/>
      <c r="F321" s="559"/>
      <c r="G321" s="559"/>
      <c r="H321" s="559"/>
      <c r="I321" s="559"/>
      <c r="J321" s="559"/>
      <c r="K321" s="559"/>
      <c r="L321" s="559"/>
      <c r="M321" s="559"/>
      <c r="N321" s="559"/>
      <c r="O321" s="559"/>
      <c r="P321" s="559"/>
      <c r="Q321" s="559"/>
      <c r="R321" s="559"/>
      <c r="S321" s="559"/>
      <c r="T321" s="559"/>
      <c r="U321" s="559"/>
      <c r="V321" s="559"/>
      <c r="W321" s="559"/>
      <c r="X321" s="559"/>
      <c r="Y321" s="559"/>
      <c r="Z321" s="559"/>
      <c r="AA321" s="559"/>
      <c r="AB321" s="559"/>
      <c r="AC321" s="559"/>
      <c r="AD321" s="559"/>
      <c r="AE321" s="559"/>
      <c r="AF321" s="559"/>
      <c r="AG321" s="559"/>
    </row>
    <row r="322" spans="1:33" ht="18" hidden="1" customHeight="1" x14ac:dyDescent="0.35">
      <c r="A322" s="559"/>
      <c r="B322" s="559"/>
      <c r="C322" s="559"/>
      <c r="D322" s="559"/>
      <c r="E322" s="559"/>
      <c r="F322" s="559"/>
      <c r="G322" s="559"/>
      <c r="H322" s="559"/>
      <c r="I322" s="559"/>
      <c r="J322" s="559"/>
      <c r="K322" s="559"/>
      <c r="L322" s="559"/>
      <c r="M322" s="559"/>
      <c r="N322" s="559"/>
      <c r="O322" s="559"/>
      <c r="P322" s="559"/>
      <c r="Q322" s="559"/>
      <c r="R322" s="559"/>
      <c r="S322" s="559"/>
      <c r="T322" s="559"/>
      <c r="U322" s="559"/>
      <c r="V322" s="559"/>
      <c r="W322" s="559"/>
      <c r="X322" s="559"/>
      <c r="Y322" s="559"/>
      <c r="Z322" s="559"/>
      <c r="AA322" s="559"/>
      <c r="AB322" s="559"/>
      <c r="AC322" s="559"/>
      <c r="AD322" s="559"/>
      <c r="AE322" s="559"/>
      <c r="AF322" s="559"/>
      <c r="AG322" s="559"/>
    </row>
    <row r="323" spans="1:33" ht="18" hidden="1" customHeight="1" x14ac:dyDescent="0.35">
      <c r="A323" s="559"/>
      <c r="B323" s="559"/>
      <c r="C323" s="559"/>
      <c r="D323" s="559"/>
      <c r="E323" s="559"/>
      <c r="F323" s="559"/>
      <c r="G323" s="559"/>
      <c r="H323" s="559"/>
      <c r="I323" s="559"/>
      <c r="J323" s="559"/>
      <c r="K323" s="559"/>
      <c r="L323" s="559"/>
      <c r="M323" s="559"/>
      <c r="N323" s="559"/>
      <c r="O323" s="559"/>
      <c r="P323" s="559"/>
      <c r="Q323" s="559"/>
      <c r="R323" s="559"/>
      <c r="S323" s="559"/>
      <c r="T323" s="559"/>
      <c r="U323" s="559"/>
      <c r="V323" s="559"/>
      <c r="W323" s="559"/>
      <c r="X323" s="559"/>
      <c r="Y323" s="559"/>
      <c r="Z323" s="559"/>
      <c r="AA323" s="559"/>
      <c r="AB323" s="559"/>
      <c r="AC323" s="559"/>
      <c r="AD323" s="559"/>
      <c r="AE323" s="559"/>
      <c r="AF323" s="559"/>
      <c r="AG323" s="559"/>
    </row>
    <row r="324" spans="1:33" ht="18" hidden="1" customHeight="1" x14ac:dyDescent="0.35">
      <c r="A324" s="559"/>
      <c r="B324" s="559"/>
      <c r="C324" s="559"/>
      <c r="D324" s="559"/>
      <c r="E324" s="559"/>
      <c r="F324" s="559"/>
      <c r="G324" s="559"/>
      <c r="H324" s="559"/>
      <c r="I324" s="559"/>
      <c r="J324" s="559"/>
      <c r="K324" s="559"/>
      <c r="L324" s="559"/>
      <c r="M324" s="559"/>
      <c r="N324" s="559"/>
      <c r="O324" s="559"/>
      <c r="P324" s="559"/>
      <c r="Q324" s="559"/>
      <c r="R324" s="559"/>
      <c r="S324" s="559"/>
      <c r="T324" s="559"/>
      <c r="U324" s="559"/>
      <c r="V324" s="559"/>
      <c r="W324" s="559"/>
      <c r="X324" s="559"/>
      <c r="Y324" s="559"/>
      <c r="Z324" s="559"/>
      <c r="AA324" s="559"/>
      <c r="AB324" s="559"/>
      <c r="AC324" s="559"/>
      <c r="AD324" s="559"/>
      <c r="AE324" s="559"/>
      <c r="AF324" s="559"/>
      <c r="AG324" s="559"/>
    </row>
    <row r="325" spans="1:33" ht="18" hidden="1" customHeight="1" x14ac:dyDescent="0.35">
      <c r="A325" s="559"/>
      <c r="B325" s="559"/>
      <c r="C325" s="559"/>
      <c r="D325" s="559"/>
      <c r="E325" s="559"/>
      <c r="F325" s="559"/>
      <c r="G325" s="559"/>
      <c r="H325" s="559"/>
      <c r="I325" s="559"/>
      <c r="J325" s="559"/>
      <c r="K325" s="559"/>
      <c r="L325" s="559"/>
      <c r="M325" s="559"/>
      <c r="N325" s="559"/>
      <c r="O325" s="559"/>
      <c r="P325" s="559"/>
      <c r="Q325" s="559"/>
      <c r="R325" s="559"/>
      <c r="S325" s="559"/>
      <c r="T325" s="559"/>
      <c r="U325" s="559"/>
      <c r="V325" s="559"/>
      <c r="W325" s="559"/>
      <c r="X325" s="559"/>
      <c r="Y325" s="559"/>
      <c r="Z325" s="559"/>
      <c r="AA325" s="559"/>
      <c r="AB325" s="559"/>
      <c r="AC325" s="559"/>
      <c r="AD325" s="559"/>
      <c r="AE325" s="559"/>
      <c r="AF325" s="559"/>
      <c r="AG325" s="559"/>
    </row>
    <row r="326" spans="1:33" ht="18" hidden="1" customHeight="1" x14ac:dyDescent="0.35">
      <c r="A326" s="559"/>
      <c r="B326" s="559"/>
      <c r="C326" s="559"/>
      <c r="D326" s="559"/>
      <c r="E326" s="559"/>
      <c r="F326" s="559"/>
      <c r="G326" s="559"/>
      <c r="H326" s="559"/>
      <c r="I326" s="559"/>
      <c r="J326" s="559"/>
      <c r="K326" s="559"/>
      <c r="L326" s="559"/>
      <c r="M326" s="559"/>
      <c r="N326" s="559"/>
      <c r="O326" s="559"/>
      <c r="P326" s="559"/>
      <c r="Q326" s="559"/>
      <c r="R326" s="559"/>
      <c r="S326" s="559"/>
      <c r="T326" s="559"/>
      <c r="U326" s="559"/>
      <c r="V326" s="559"/>
      <c r="W326" s="559"/>
      <c r="X326" s="559"/>
      <c r="Y326" s="559"/>
      <c r="Z326" s="559"/>
      <c r="AA326" s="559"/>
      <c r="AB326" s="559"/>
      <c r="AC326" s="559"/>
      <c r="AD326" s="559"/>
      <c r="AE326" s="559"/>
      <c r="AF326" s="559"/>
      <c r="AG326" s="559"/>
    </row>
    <row r="327" spans="1:33" ht="18" hidden="1" customHeight="1" x14ac:dyDescent="0.35">
      <c r="A327" s="559"/>
      <c r="B327" s="559"/>
      <c r="C327" s="559"/>
      <c r="D327" s="559"/>
      <c r="E327" s="559"/>
      <c r="F327" s="559"/>
      <c r="G327" s="559"/>
      <c r="H327" s="559"/>
      <c r="I327" s="559"/>
      <c r="J327" s="559"/>
      <c r="K327" s="559"/>
      <c r="L327" s="559"/>
      <c r="M327" s="559"/>
      <c r="N327" s="559"/>
      <c r="O327" s="559"/>
      <c r="P327" s="559"/>
      <c r="Q327" s="559"/>
      <c r="R327" s="559"/>
      <c r="S327" s="559"/>
      <c r="T327" s="559"/>
      <c r="U327" s="559"/>
      <c r="V327" s="559"/>
      <c r="W327" s="559"/>
      <c r="X327" s="559"/>
      <c r="Y327" s="559"/>
      <c r="Z327" s="559"/>
      <c r="AA327" s="559"/>
      <c r="AB327" s="559"/>
      <c r="AC327" s="559"/>
      <c r="AD327" s="559"/>
      <c r="AE327" s="559"/>
      <c r="AF327" s="559"/>
      <c r="AG327" s="559"/>
    </row>
    <row r="328" spans="1:33" ht="18" hidden="1" customHeight="1" x14ac:dyDescent="0.35">
      <c r="A328" s="559"/>
      <c r="B328" s="559"/>
      <c r="C328" s="559"/>
      <c r="D328" s="559"/>
      <c r="E328" s="559"/>
      <c r="F328" s="559"/>
      <c r="G328" s="559"/>
      <c r="H328" s="559"/>
      <c r="I328" s="559"/>
      <c r="J328" s="559"/>
      <c r="K328" s="559"/>
      <c r="L328" s="559"/>
      <c r="M328" s="559"/>
      <c r="N328" s="559"/>
      <c r="O328" s="559"/>
      <c r="P328" s="559"/>
      <c r="Q328" s="559"/>
      <c r="R328" s="559"/>
      <c r="S328" s="559"/>
      <c r="T328" s="559"/>
      <c r="U328" s="559"/>
      <c r="V328" s="559"/>
      <c r="W328" s="559"/>
      <c r="X328" s="559"/>
      <c r="Y328" s="559"/>
      <c r="Z328" s="559"/>
      <c r="AA328" s="559"/>
      <c r="AB328" s="559"/>
      <c r="AC328" s="559"/>
      <c r="AD328" s="559"/>
      <c r="AE328" s="559"/>
      <c r="AF328" s="559"/>
      <c r="AG328" s="559"/>
    </row>
    <row r="329" spans="1:33" ht="18" hidden="1" customHeight="1" x14ac:dyDescent="0.35">
      <c r="A329" s="559"/>
      <c r="B329" s="559"/>
      <c r="C329" s="559"/>
      <c r="D329" s="559"/>
      <c r="E329" s="559"/>
      <c r="F329" s="559"/>
      <c r="G329" s="559"/>
      <c r="H329" s="559"/>
      <c r="I329" s="559"/>
      <c r="J329" s="559"/>
      <c r="K329" s="559"/>
      <c r="L329" s="559"/>
      <c r="M329" s="559"/>
      <c r="N329" s="559"/>
      <c r="O329" s="559"/>
      <c r="P329" s="559"/>
      <c r="Q329" s="559"/>
      <c r="R329" s="559"/>
      <c r="S329" s="559"/>
      <c r="T329" s="559"/>
      <c r="U329" s="559"/>
      <c r="V329" s="559"/>
      <c r="W329" s="559"/>
      <c r="X329" s="559"/>
      <c r="Y329" s="559"/>
      <c r="Z329" s="559"/>
      <c r="AA329" s="559"/>
      <c r="AB329" s="559"/>
      <c r="AC329" s="559"/>
      <c r="AD329" s="559"/>
      <c r="AE329" s="559"/>
      <c r="AF329" s="559"/>
      <c r="AG329" s="559"/>
    </row>
    <row r="330" spans="1:33" ht="18" hidden="1" customHeight="1" x14ac:dyDescent="0.35">
      <c r="A330" s="559"/>
      <c r="B330" s="559"/>
      <c r="C330" s="559"/>
      <c r="D330" s="559"/>
      <c r="E330" s="559"/>
      <c r="F330" s="559"/>
      <c r="G330" s="559"/>
      <c r="H330" s="559"/>
      <c r="I330" s="559"/>
      <c r="J330" s="559"/>
      <c r="K330" s="559"/>
      <c r="L330" s="559"/>
      <c r="M330" s="559"/>
      <c r="N330" s="559"/>
      <c r="O330" s="559"/>
      <c r="P330" s="559"/>
      <c r="Q330" s="559"/>
      <c r="R330" s="559"/>
      <c r="S330" s="559"/>
      <c r="T330" s="559"/>
      <c r="U330" s="559"/>
      <c r="V330" s="559"/>
      <c r="W330" s="559"/>
      <c r="X330" s="559"/>
      <c r="Y330" s="559"/>
      <c r="Z330" s="559"/>
      <c r="AA330" s="559"/>
      <c r="AB330" s="559"/>
      <c r="AC330" s="559"/>
      <c r="AD330" s="559"/>
      <c r="AE330" s="559"/>
      <c r="AF330" s="559"/>
      <c r="AG330" s="559"/>
    </row>
    <row r="331" spans="1:33" ht="18" hidden="1" customHeight="1" x14ac:dyDescent="0.35">
      <c r="A331" s="559"/>
      <c r="B331" s="559"/>
      <c r="C331" s="559"/>
      <c r="D331" s="559"/>
      <c r="E331" s="559"/>
      <c r="F331" s="559"/>
      <c r="G331" s="559"/>
      <c r="H331" s="559"/>
      <c r="I331" s="559"/>
      <c r="J331" s="559"/>
      <c r="K331" s="559"/>
      <c r="L331" s="559"/>
      <c r="M331" s="559"/>
      <c r="N331" s="559"/>
      <c r="O331" s="559"/>
      <c r="P331" s="559"/>
      <c r="Q331" s="559"/>
      <c r="R331" s="559"/>
      <c r="S331" s="559"/>
      <c r="T331" s="559"/>
      <c r="U331" s="559"/>
      <c r="V331" s="559"/>
      <c r="W331" s="559"/>
      <c r="X331" s="559"/>
      <c r="Y331" s="559"/>
      <c r="Z331" s="559"/>
      <c r="AA331" s="559"/>
      <c r="AB331" s="559"/>
      <c r="AC331" s="559"/>
      <c r="AD331" s="559"/>
      <c r="AE331" s="559"/>
      <c r="AF331" s="559"/>
      <c r="AG331" s="559"/>
    </row>
    <row r="332" spans="1:33" ht="18" hidden="1" customHeight="1" x14ac:dyDescent="0.35">
      <c r="A332" s="559"/>
      <c r="B332" s="559"/>
      <c r="C332" s="559"/>
      <c r="D332" s="559"/>
      <c r="E332" s="559"/>
      <c r="F332" s="559"/>
      <c r="G332" s="559"/>
      <c r="H332" s="559"/>
      <c r="I332" s="559"/>
      <c r="J332" s="559"/>
      <c r="K332" s="559"/>
      <c r="L332" s="559"/>
      <c r="M332" s="559"/>
      <c r="N332" s="559"/>
      <c r="O332" s="559"/>
      <c r="P332" s="559"/>
      <c r="Q332" s="559"/>
      <c r="R332" s="559"/>
      <c r="S332" s="559"/>
      <c r="T332" s="559"/>
      <c r="U332" s="559"/>
      <c r="V332" s="559"/>
      <c r="W332" s="559"/>
      <c r="X332" s="559"/>
      <c r="Y332" s="559"/>
      <c r="Z332" s="559"/>
      <c r="AA332" s="559"/>
      <c r="AB332" s="559"/>
      <c r="AC332" s="559"/>
      <c r="AD332" s="559"/>
      <c r="AE332" s="559"/>
      <c r="AF332" s="559"/>
      <c r="AG332" s="559"/>
    </row>
    <row r="333" spans="1:33" ht="18" hidden="1" customHeight="1" x14ac:dyDescent="0.35">
      <c r="A333" s="559"/>
      <c r="B333" s="559"/>
      <c r="C333" s="559"/>
      <c r="D333" s="559"/>
      <c r="E333" s="559"/>
      <c r="F333" s="559"/>
      <c r="G333" s="559"/>
      <c r="H333" s="559"/>
      <c r="I333" s="559"/>
      <c r="J333" s="559"/>
      <c r="K333" s="559"/>
      <c r="L333" s="559"/>
      <c r="M333" s="559"/>
      <c r="N333" s="559"/>
      <c r="O333" s="559"/>
      <c r="P333" s="559"/>
      <c r="Q333" s="559"/>
      <c r="R333" s="559"/>
      <c r="S333" s="559"/>
      <c r="T333" s="559"/>
      <c r="U333" s="559"/>
      <c r="V333" s="559"/>
      <c r="W333" s="559"/>
      <c r="X333" s="559"/>
      <c r="Y333" s="559"/>
      <c r="Z333" s="559"/>
      <c r="AA333" s="559"/>
      <c r="AB333" s="559"/>
      <c r="AC333" s="559"/>
      <c r="AD333" s="559"/>
      <c r="AE333" s="559"/>
      <c r="AF333" s="559"/>
      <c r="AG333" s="559"/>
    </row>
    <row r="334" spans="1:33" ht="18" hidden="1" customHeight="1" x14ac:dyDescent="0.35">
      <c r="A334" s="559"/>
      <c r="B334" s="559"/>
      <c r="C334" s="559"/>
      <c r="D334" s="559"/>
      <c r="E334" s="559"/>
      <c r="F334" s="559"/>
      <c r="G334" s="559"/>
      <c r="H334" s="559"/>
      <c r="I334" s="559"/>
      <c r="J334" s="559"/>
      <c r="K334" s="559"/>
      <c r="L334" s="559"/>
      <c r="M334" s="559"/>
      <c r="N334" s="559"/>
      <c r="O334" s="559"/>
      <c r="P334" s="559"/>
      <c r="Q334" s="559"/>
      <c r="R334" s="559"/>
      <c r="S334" s="559"/>
      <c r="T334" s="559"/>
      <c r="U334" s="559"/>
      <c r="V334" s="559"/>
      <c r="W334" s="559"/>
      <c r="X334" s="559"/>
      <c r="Y334" s="559"/>
      <c r="Z334" s="559"/>
      <c r="AA334" s="559"/>
      <c r="AB334" s="559"/>
      <c r="AC334" s="559"/>
      <c r="AD334" s="559"/>
      <c r="AE334" s="559"/>
      <c r="AF334" s="559"/>
      <c r="AG334" s="559"/>
    </row>
    <row r="335" spans="1:33" ht="18" hidden="1" customHeight="1" x14ac:dyDescent="0.35">
      <c r="A335" s="559"/>
      <c r="B335" s="559"/>
      <c r="C335" s="559"/>
      <c r="D335" s="559"/>
      <c r="E335" s="559"/>
      <c r="F335" s="559"/>
      <c r="G335" s="559"/>
      <c r="H335" s="559"/>
      <c r="I335" s="559"/>
      <c r="J335" s="559"/>
      <c r="K335" s="559"/>
      <c r="L335" s="559"/>
      <c r="M335" s="559"/>
      <c r="N335" s="559"/>
      <c r="O335" s="559"/>
      <c r="P335" s="559"/>
      <c r="Q335" s="559"/>
      <c r="R335" s="559"/>
      <c r="S335" s="559"/>
      <c r="T335" s="559"/>
      <c r="U335" s="559"/>
      <c r="V335" s="559"/>
      <c r="W335" s="559"/>
      <c r="X335" s="559"/>
      <c r="Y335" s="559"/>
      <c r="Z335" s="559"/>
      <c r="AA335" s="559"/>
      <c r="AB335" s="559"/>
      <c r="AC335" s="559"/>
      <c r="AD335" s="559"/>
      <c r="AE335" s="559"/>
      <c r="AF335" s="559"/>
      <c r="AG335" s="559"/>
    </row>
    <row r="336" spans="1:33" ht="18" hidden="1" customHeight="1" x14ac:dyDescent="0.35">
      <c r="A336" s="559"/>
      <c r="B336" s="559"/>
      <c r="C336" s="559"/>
      <c r="D336" s="559"/>
      <c r="E336" s="559"/>
      <c r="F336" s="559"/>
      <c r="G336" s="559"/>
      <c r="H336" s="559"/>
      <c r="I336" s="559"/>
      <c r="J336" s="559"/>
      <c r="K336" s="559"/>
      <c r="L336" s="559"/>
      <c r="M336" s="559"/>
      <c r="N336" s="559"/>
      <c r="O336" s="559"/>
      <c r="P336" s="559"/>
      <c r="Q336" s="559"/>
      <c r="R336" s="559"/>
      <c r="S336" s="559"/>
      <c r="T336" s="559"/>
      <c r="U336" s="559"/>
      <c r="V336" s="559"/>
      <c r="W336" s="559"/>
      <c r="X336" s="559"/>
      <c r="Y336" s="559"/>
      <c r="Z336" s="559"/>
      <c r="AA336" s="559"/>
      <c r="AB336" s="559"/>
      <c r="AC336" s="559"/>
      <c r="AD336" s="559"/>
      <c r="AE336" s="559"/>
      <c r="AF336" s="559"/>
      <c r="AG336" s="559"/>
    </row>
    <row r="337" spans="1:33" ht="18" hidden="1" customHeight="1" x14ac:dyDescent="0.35">
      <c r="A337" s="559"/>
      <c r="B337" s="559"/>
      <c r="C337" s="559"/>
      <c r="D337" s="559"/>
      <c r="E337" s="559"/>
      <c r="F337" s="559"/>
      <c r="G337" s="559"/>
      <c r="H337" s="559"/>
      <c r="I337" s="559"/>
      <c r="J337" s="559"/>
      <c r="K337" s="559"/>
      <c r="L337" s="559"/>
      <c r="M337" s="559"/>
      <c r="N337" s="559"/>
      <c r="O337" s="559"/>
      <c r="P337" s="559"/>
      <c r="Q337" s="559"/>
      <c r="R337" s="559"/>
      <c r="S337" s="559"/>
      <c r="T337" s="559"/>
      <c r="U337" s="559"/>
      <c r="V337" s="559"/>
      <c r="W337" s="559"/>
      <c r="X337" s="559"/>
      <c r="Y337" s="559"/>
      <c r="Z337" s="559"/>
      <c r="AA337" s="559"/>
      <c r="AB337" s="559"/>
      <c r="AC337" s="559"/>
      <c r="AD337" s="559"/>
      <c r="AE337" s="559"/>
      <c r="AF337" s="559"/>
      <c r="AG337" s="559"/>
    </row>
    <row r="338" spans="1:33" ht="18" hidden="1" customHeight="1" x14ac:dyDescent="0.35">
      <c r="A338" s="559"/>
      <c r="B338" s="559"/>
      <c r="C338" s="559"/>
      <c r="D338" s="559"/>
      <c r="E338" s="559"/>
      <c r="F338" s="559"/>
      <c r="G338" s="559"/>
      <c r="H338" s="559"/>
      <c r="I338" s="559"/>
      <c r="J338" s="559"/>
      <c r="K338" s="559"/>
      <c r="L338" s="559"/>
      <c r="M338" s="559"/>
      <c r="N338" s="559"/>
      <c r="O338" s="559"/>
      <c r="P338" s="559"/>
      <c r="Q338" s="559"/>
      <c r="R338" s="559"/>
      <c r="S338" s="559"/>
      <c r="T338" s="559"/>
      <c r="U338" s="559"/>
      <c r="V338" s="559"/>
      <c r="W338" s="559"/>
      <c r="X338" s="559"/>
      <c r="Y338" s="559"/>
      <c r="Z338" s="559"/>
      <c r="AA338" s="559"/>
      <c r="AB338" s="559"/>
      <c r="AC338" s="559"/>
      <c r="AD338" s="559"/>
      <c r="AE338" s="559"/>
      <c r="AF338" s="559"/>
      <c r="AG338" s="559"/>
    </row>
    <row r="339" spans="1:33" ht="18" hidden="1" customHeight="1" x14ac:dyDescent="0.35">
      <c r="A339" s="559"/>
      <c r="B339" s="559"/>
      <c r="C339" s="559"/>
      <c r="D339" s="559"/>
      <c r="E339" s="559"/>
      <c r="F339" s="559"/>
      <c r="G339" s="559"/>
      <c r="H339" s="559"/>
      <c r="I339" s="559"/>
      <c r="J339" s="559"/>
      <c r="K339" s="559"/>
      <c r="L339" s="559"/>
      <c r="M339" s="559"/>
      <c r="N339" s="559"/>
      <c r="O339" s="559"/>
      <c r="P339" s="559"/>
      <c r="Q339" s="559"/>
      <c r="R339" s="559"/>
      <c r="S339" s="559"/>
      <c r="T339" s="559"/>
      <c r="U339" s="559"/>
      <c r="V339" s="559"/>
      <c r="W339" s="559"/>
      <c r="X339" s="559"/>
      <c r="Y339" s="559"/>
      <c r="Z339" s="559"/>
      <c r="AA339" s="559"/>
      <c r="AB339" s="559"/>
      <c r="AC339" s="559"/>
      <c r="AD339" s="559"/>
      <c r="AE339" s="559"/>
      <c r="AF339" s="559"/>
      <c r="AG339" s="559"/>
    </row>
    <row r="340" spans="1:33" ht="18" hidden="1" customHeight="1" x14ac:dyDescent="0.35">
      <c r="A340" s="559"/>
      <c r="B340" s="559"/>
      <c r="C340" s="559"/>
      <c r="D340" s="559"/>
      <c r="E340" s="559"/>
      <c r="F340" s="559"/>
      <c r="G340" s="559"/>
      <c r="H340" s="559"/>
      <c r="I340" s="559"/>
      <c r="J340" s="559"/>
      <c r="K340" s="559"/>
      <c r="L340" s="559"/>
      <c r="M340" s="559"/>
      <c r="N340" s="559"/>
      <c r="O340" s="559"/>
      <c r="P340" s="559"/>
      <c r="Q340" s="559"/>
      <c r="R340" s="559"/>
      <c r="S340" s="559"/>
      <c r="T340" s="559"/>
      <c r="U340" s="559"/>
      <c r="V340" s="559"/>
      <c r="W340" s="559"/>
      <c r="X340" s="559"/>
      <c r="Y340" s="559"/>
      <c r="Z340" s="559"/>
      <c r="AA340" s="559"/>
      <c r="AB340" s="559"/>
      <c r="AC340" s="559"/>
      <c r="AD340" s="559"/>
      <c r="AE340" s="559"/>
      <c r="AF340" s="559"/>
      <c r="AG340" s="559"/>
    </row>
    <row r="341" spans="1:33" ht="18" hidden="1" customHeight="1" x14ac:dyDescent="0.35">
      <c r="A341" s="559"/>
      <c r="B341" s="559"/>
      <c r="C341" s="559"/>
      <c r="D341" s="559"/>
      <c r="E341" s="559"/>
      <c r="F341" s="559"/>
      <c r="G341" s="559"/>
      <c r="H341" s="559"/>
      <c r="I341" s="559"/>
      <c r="J341" s="559"/>
      <c r="K341" s="559"/>
      <c r="L341" s="559"/>
      <c r="M341" s="559"/>
      <c r="N341" s="559"/>
      <c r="O341" s="559"/>
      <c r="P341" s="559"/>
      <c r="Q341" s="559"/>
      <c r="R341" s="559"/>
      <c r="S341" s="559"/>
      <c r="T341" s="559"/>
      <c r="U341" s="559"/>
      <c r="V341" s="559"/>
      <c r="W341" s="559"/>
      <c r="X341" s="559"/>
      <c r="Y341" s="559"/>
      <c r="Z341" s="559"/>
      <c r="AA341" s="559"/>
      <c r="AB341" s="559"/>
      <c r="AC341" s="559"/>
      <c r="AD341" s="559"/>
      <c r="AE341" s="559"/>
      <c r="AF341" s="559"/>
      <c r="AG341" s="559"/>
    </row>
    <row r="342" spans="1:33" ht="18" hidden="1" customHeight="1" x14ac:dyDescent="0.35">
      <c r="A342" s="559"/>
      <c r="B342" s="559"/>
      <c r="C342" s="559"/>
      <c r="D342" s="559"/>
      <c r="E342" s="559"/>
      <c r="F342" s="559"/>
      <c r="G342" s="559"/>
      <c r="H342" s="559"/>
      <c r="I342" s="559"/>
      <c r="J342" s="559"/>
      <c r="K342" s="559"/>
      <c r="L342" s="559"/>
      <c r="M342" s="559"/>
      <c r="N342" s="559"/>
      <c r="O342" s="559"/>
      <c r="P342" s="559"/>
      <c r="Q342" s="559"/>
      <c r="R342" s="559"/>
      <c r="S342" s="559"/>
      <c r="T342" s="559"/>
      <c r="U342" s="559"/>
      <c r="V342" s="559"/>
      <c r="W342" s="559"/>
      <c r="X342" s="559"/>
      <c r="Y342" s="559"/>
      <c r="Z342" s="559"/>
      <c r="AA342" s="559"/>
      <c r="AB342" s="559"/>
      <c r="AC342" s="559"/>
      <c r="AD342" s="559"/>
      <c r="AE342" s="559"/>
      <c r="AF342" s="559"/>
      <c r="AG342" s="559"/>
    </row>
    <row r="343" spans="1:33" ht="18" hidden="1" customHeight="1" x14ac:dyDescent="0.35">
      <c r="A343" s="559"/>
      <c r="B343" s="559"/>
      <c r="C343" s="559"/>
      <c r="D343" s="559"/>
      <c r="E343" s="559"/>
      <c r="F343" s="559"/>
      <c r="G343" s="559"/>
      <c r="H343" s="559"/>
      <c r="I343" s="559"/>
      <c r="J343" s="559"/>
      <c r="K343" s="559"/>
      <c r="L343" s="559"/>
      <c r="M343" s="559"/>
      <c r="N343" s="559"/>
      <c r="O343" s="559"/>
      <c r="P343" s="559"/>
      <c r="Q343" s="559"/>
      <c r="R343" s="559"/>
      <c r="S343" s="559"/>
      <c r="T343" s="559"/>
      <c r="U343" s="559"/>
      <c r="V343" s="559"/>
      <c r="W343" s="559"/>
      <c r="X343" s="559"/>
      <c r="Y343" s="559"/>
      <c r="Z343" s="559"/>
      <c r="AA343" s="559"/>
      <c r="AB343" s="559"/>
      <c r="AC343" s="559"/>
      <c r="AD343" s="559"/>
      <c r="AE343" s="559"/>
      <c r="AF343" s="559"/>
      <c r="AG343" s="559"/>
    </row>
    <row r="344" spans="1:33" ht="18" hidden="1" customHeight="1" x14ac:dyDescent="0.35">
      <c r="A344" s="559"/>
      <c r="B344" s="559"/>
      <c r="C344" s="559"/>
      <c r="D344" s="559"/>
      <c r="E344" s="559"/>
      <c r="F344" s="559"/>
      <c r="G344" s="559"/>
      <c r="H344" s="559"/>
      <c r="I344" s="559"/>
      <c r="J344" s="559"/>
      <c r="K344" s="559"/>
      <c r="L344" s="559"/>
      <c r="M344" s="559"/>
      <c r="N344" s="559"/>
      <c r="O344" s="559"/>
      <c r="P344" s="559"/>
      <c r="Q344" s="559"/>
      <c r="R344" s="559"/>
      <c r="S344" s="559"/>
      <c r="T344" s="559"/>
      <c r="U344" s="559"/>
      <c r="V344" s="559"/>
      <c r="W344" s="559"/>
      <c r="X344" s="559"/>
      <c r="Y344" s="559"/>
      <c r="Z344" s="559"/>
      <c r="AA344" s="559"/>
      <c r="AB344" s="559"/>
      <c r="AC344" s="559"/>
      <c r="AD344" s="559"/>
      <c r="AE344" s="559"/>
      <c r="AF344" s="559"/>
      <c r="AG344" s="559"/>
    </row>
    <row r="345" spans="1:33" ht="18" hidden="1" customHeight="1" x14ac:dyDescent="0.35">
      <c r="A345" s="559"/>
      <c r="B345" s="559"/>
      <c r="C345" s="559"/>
      <c r="D345" s="559"/>
      <c r="E345" s="559"/>
      <c r="F345" s="559"/>
      <c r="G345" s="559"/>
      <c r="H345" s="559"/>
      <c r="I345" s="559"/>
      <c r="J345" s="559"/>
      <c r="K345" s="559"/>
      <c r="L345" s="559"/>
      <c r="M345" s="559"/>
      <c r="N345" s="559"/>
      <c r="O345" s="559"/>
      <c r="P345" s="559"/>
      <c r="Q345" s="559"/>
      <c r="R345" s="559"/>
      <c r="S345" s="559"/>
      <c r="T345" s="559"/>
      <c r="U345" s="559"/>
      <c r="V345" s="559"/>
      <c r="W345" s="559"/>
      <c r="X345" s="559"/>
      <c r="Y345" s="559"/>
      <c r="Z345" s="559"/>
      <c r="AA345" s="559"/>
      <c r="AB345" s="559"/>
      <c r="AC345" s="559"/>
      <c r="AD345" s="559"/>
      <c r="AE345" s="559"/>
      <c r="AF345" s="559"/>
      <c r="AG345" s="559"/>
    </row>
    <row r="346" spans="1:33" ht="18" hidden="1" customHeight="1" x14ac:dyDescent="0.35">
      <c r="A346" s="559"/>
      <c r="B346" s="559"/>
      <c r="C346" s="559"/>
      <c r="D346" s="559"/>
      <c r="E346" s="559"/>
      <c r="F346" s="559"/>
      <c r="G346" s="559"/>
      <c r="H346" s="559"/>
      <c r="I346" s="559"/>
      <c r="J346" s="559"/>
      <c r="K346" s="559"/>
      <c r="L346" s="559"/>
      <c r="M346" s="559"/>
      <c r="N346" s="559"/>
      <c r="O346" s="559"/>
      <c r="P346" s="559"/>
      <c r="Q346" s="559"/>
      <c r="R346" s="559"/>
      <c r="S346" s="559"/>
      <c r="T346" s="559"/>
      <c r="U346" s="559"/>
      <c r="V346" s="559"/>
      <c r="W346" s="559"/>
      <c r="X346" s="559"/>
      <c r="Y346" s="559"/>
      <c r="Z346" s="559"/>
      <c r="AA346" s="559"/>
      <c r="AB346" s="559"/>
      <c r="AC346" s="559"/>
      <c r="AD346" s="559"/>
      <c r="AE346" s="559"/>
      <c r="AF346" s="559"/>
      <c r="AG346" s="559"/>
    </row>
    <row r="347" spans="1:33" ht="18" hidden="1" customHeight="1" x14ac:dyDescent="0.35">
      <c r="A347" s="559"/>
      <c r="B347" s="559"/>
      <c r="C347" s="559"/>
      <c r="D347" s="559"/>
      <c r="E347" s="559"/>
      <c r="F347" s="559"/>
      <c r="G347" s="559"/>
      <c r="H347" s="559"/>
      <c r="I347" s="559"/>
      <c r="J347" s="559"/>
      <c r="K347" s="559"/>
      <c r="L347" s="559"/>
      <c r="M347" s="559"/>
      <c r="N347" s="559"/>
      <c r="O347" s="559"/>
      <c r="P347" s="559"/>
      <c r="Q347" s="559"/>
      <c r="R347" s="559"/>
      <c r="S347" s="559"/>
      <c r="T347" s="559"/>
      <c r="U347" s="559"/>
      <c r="V347" s="559"/>
      <c r="W347" s="559"/>
      <c r="X347" s="559"/>
      <c r="Y347" s="559"/>
      <c r="Z347" s="559"/>
      <c r="AA347" s="559"/>
      <c r="AB347" s="559"/>
      <c r="AC347" s="559"/>
      <c r="AD347" s="559"/>
      <c r="AE347" s="559"/>
      <c r="AF347" s="559"/>
      <c r="AG347" s="559"/>
    </row>
    <row r="348" spans="1:33" ht="18" hidden="1" customHeight="1" x14ac:dyDescent="0.35">
      <c r="A348" s="559"/>
      <c r="B348" s="559"/>
      <c r="C348" s="559"/>
      <c r="D348" s="559"/>
      <c r="E348" s="559"/>
      <c r="F348" s="559"/>
      <c r="G348" s="559"/>
      <c r="H348" s="559"/>
      <c r="I348" s="559"/>
      <c r="J348" s="559"/>
      <c r="K348" s="559"/>
      <c r="L348" s="559"/>
      <c r="M348" s="559"/>
      <c r="N348" s="559"/>
      <c r="O348" s="559"/>
      <c r="P348" s="559"/>
      <c r="Q348" s="559"/>
      <c r="R348" s="559"/>
      <c r="S348" s="559"/>
      <c r="T348" s="559"/>
      <c r="U348" s="559"/>
      <c r="V348" s="559"/>
      <c r="W348" s="559"/>
      <c r="X348" s="559"/>
      <c r="Y348" s="559"/>
      <c r="Z348" s="559"/>
      <c r="AA348" s="559"/>
      <c r="AB348" s="559"/>
      <c r="AC348" s="559"/>
      <c r="AD348" s="559"/>
      <c r="AE348" s="559"/>
      <c r="AF348" s="559"/>
      <c r="AG348" s="559"/>
    </row>
    <row r="349" spans="1:33" ht="18" hidden="1" customHeight="1" x14ac:dyDescent="0.35">
      <c r="A349" s="559"/>
      <c r="B349" s="559"/>
      <c r="C349" s="559"/>
      <c r="D349" s="559"/>
      <c r="E349" s="559"/>
      <c r="F349" s="559"/>
      <c r="G349" s="559"/>
      <c r="H349" s="559"/>
      <c r="I349" s="559"/>
      <c r="J349" s="559"/>
      <c r="K349" s="559"/>
      <c r="L349" s="559"/>
      <c r="M349" s="559"/>
      <c r="N349" s="559"/>
      <c r="O349" s="559"/>
      <c r="P349" s="559"/>
      <c r="Q349" s="559"/>
      <c r="R349" s="559"/>
      <c r="S349" s="559"/>
      <c r="T349" s="559"/>
      <c r="U349" s="559"/>
      <c r="V349" s="559"/>
      <c r="W349" s="559"/>
      <c r="X349" s="559"/>
      <c r="Y349" s="559"/>
      <c r="Z349" s="559"/>
      <c r="AA349" s="559"/>
      <c r="AB349" s="559"/>
      <c r="AC349" s="559"/>
      <c r="AD349" s="559"/>
      <c r="AE349" s="559"/>
      <c r="AF349" s="559"/>
      <c r="AG349" s="559"/>
    </row>
    <row r="350" spans="1:33" ht="18" hidden="1" customHeight="1" x14ac:dyDescent="0.35">
      <c r="A350" s="559"/>
      <c r="B350" s="559"/>
      <c r="C350" s="559"/>
      <c r="D350" s="559"/>
      <c r="E350" s="559"/>
      <c r="F350" s="559"/>
      <c r="G350" s="559"/>
      <c r="H350" s="559"/>
      <c r="I350" s="559"/>
      <c r="J350" s="559"/>
      <c r="K350" s="559"/>
      <c r="L350" s="559"/>
      <c r="M350" s="559"/>
      <c r="N350" s="559"/>
      <c r="O350" s="559"/>
      <c r="P350" s="559"/>
      <c r="Q350" s="559"/>
      <c r="R350" s="559"/>
      <c r="S350" s="559"/>
      <c r="T350" s="559"/>
      <c r="U350" s="559"/>
      <c r="V350" s="559"/>
      <c r="W350" s="559"/>
      <c r="X350" s="559"/>
      <c r="Y350" s="559"/>
      <c r="Z350" s="559"/>
      <c r="AA350" s="559"/>
      <c r="AB350" s="559"/>
      <c r="AC350" s="559"/>
      <c r="AD350" s="559"/>
      <c r="AE350" s="559"/>
      <c r="AF350" s="559"/>
      <c r="AG350" s="559"/>
    </row>
    <row r="351" spans="1:33" ht="18" hidden="1" customHeight="1" x14ac:dyDescent="0.35">
      <c r="A351" s="559"/>
      <c r="B351" s="559"/>
      <c r="C351" s="559"/>
      <c r="D351" s="559"/>
      <c r="E351" s="559"/>
      <c r="F351" s="559"/>
      <c r="G351" s="559"/>
      <c r="H351" s="559"/>
      <c r="I351" s="559"/>
      <c r="J351" s="559"/>
      <c r="K351" s="559"/>
      <c r="L351" s="559"/>
      <c r="M351" s="559"/>
      <c r="N351" s="559"/>
      <c r="O351" s="559"/>
      <c r="P351" s="559"/>
      <c r="Q351" s="559"/>
      <c r="R351" s="559"/>
      <c r="S351" s="559"/>
      <c r="T351" s="559"/>
      <c r="U351" s="559"/>
      <c r="V351" s="559"/>
      <c r="W351" s="559"/>
      <c r="X351" s="559"/>
      <c r="Y351" s="559"/>
      <c r="Z351" s="559"/>
      <c r="AA351" s="559"/>
      <c r="AB351" s="559"/>
      <c r="AC351" s="559"/>
      <c r="AD351" s="559"/>
      <c r="AE351" s="559"/>
      <c r="AF351" s="559"/>
      <c r="AG351" s="559"/>
    </row>
    <row r="352" spans="1:33" ht="18" hidden="1" customHeight="1" x14ac:dyDescent="0.35">
      <c r="A352" s="559"/>
      <c r="B352" s="559"/>
      <c r="C352" s="559"/>
      <c r="D352" s="559"/>
      <c r="E352" s="559"/>
      <c r="F352" s="559"/>
      <c r="G352" s="559"/>
      <c r="H352" s="559"/>
      <c r="I352" s="559"/>
      <c r="J352" s="559"/>
      <c r="K352" s="559"/>
      <c r="L352" s="559"/>
      <c r="M352" s="559"/>
      <c r="N352" s="559"/>
      <c r="O352" s="559"/>
      <c r="P352" s="559"/>
      <c r="Q352" s="559"/>
      <c r="R352" s="559"/>
      <c r="S352" s="559"/>
      <c r="T352" s="559"/>
      <c r="U352" s="559"/>
      <c r="V352" s="559"/>
      <c r="W352" s="559"/>
      <c r="X352" s="559"/>
      <c r="Y352" s="559"/>
      <c r="Z352" s="559"/>
      <c r="AA352" s="559"/>
      <c r="AB352" s="559"/>
      <c r="AC352" s="559"/>
      <c r="AD352" s="559"/>
      <c r="AE352" s="559"/>
      <c r="AF352" s="559"/>
      <c r="AG352" s="559"/>
    </row>
    <row r="353" spans="1:33" ht="18" hidden="1" customHeight="1" x14ac:dyDescent="0.35">
      <c r="A353" s="559"/>
      <c r="B353" s="559"/>
      <c r="C353" s="559"/>
      <c r="D353" s="559"/>
      <c r="E353" s="559"/>
      <c r="F353" s="559"/>
      <c r="G353" s="559"/>
      <c r="H353" s="559"/>
      <c r="I353" s="559"/>
      <c r="J353" s="559"/>
      <c r="K353" s="559"/>
      <c r="L353" s="559"/>
      <c r="M353" s="559"/>
      <c r="N353" s="559"/>
      <c r="O353" s="559"/>
      <c r="P353" s="559"/>
      <c r="Q353" s="559"/>
      <c r="R353" s="559"/>
      <c r="S353" s="559"/>
      <c r="T353" s="559"/>
      <c r="U353" s="559"/>
      <c r="V353" s="559"/>
      <c r="W353" s="559"/>
      <c r="X353" s="559"/>
      <c r="Y353" s="559"/>
      <c r="Z353" s="559"/>
      <c r="AA353" s="559"/>
      <c r="AB353" s="559"/>
      <c r="AC353" s="559"/>
      <c r="AD353" s="559"/>
      <c r="AE353" s="559"/>
      <c r="AF353" s="559"/>
      <c r="AG353" s="559"/>
    </row>
    <row r="354" spans="1:33" ht="18" hidden="1" customHeight="1" x14ac:dyDescent="0.35">
      <c r="A354" s="559"/>
      <c r="B354" s="559"/>
      <c r="C354" s="559"/>
      <c r="D354" s="559"/>
      <c r="E354" s="559"/>
      <c r="F354" s="559"/>
      <c r="G354" s="559"/>
      <c r="H354" s="559"/>
      <c r="I354" s="559"/>
      <c r="J354" s="559"/>
      <c r="K354" s="559"/>
      <c r="L354" s="559"/>
      <c r="M354" s="559"/>
      <c r="N354" s="559"/>
      <c r="O354" s="559"/>
      <c r="P354" s="559"/>
      <c r="Q354" s="559"/>
      <c r="R354" s="559"/>
      <c r="S354" s="559"/>
      <c r="T354" s="559"/>
      <c r="U354" s="559"/>
      <c r="V354" s="559"/>
      <c r="W354" s="559"/>
      <c r="X354" s="559"/>
      <c r="Y354" s="559"/>
      <c r="Z354" s="559"/>
      <c r="AA354" s="559"/>
      <c r="AB354" s="559"/>
      <c r="AC354" s="559"/>
      <c r="AD354" s="559"/>
      <c r="AE354" s="559"/>
      <c r="AF354" s="559"/>
      <c r="AG354" s="559"/>
    </row>
    <row r="355" spans="1:33" ht="18" hidden="1" customHeight="1" x14ac:dyDescent="0.35">
      <c r="A355" s="559"/>
      <c r="B355" s="559"/>
      <c r="C355" s="559"/>
      <c r="D355" s="559"/>
      <c r="E355" s="559"/>
      <c r="F355" s="559"/>
      <c r="G355" s="559"/>
      <c r="H355" s="559"/>
      <c r="I355" s="559"/>
      <c r="J355" s="559"/>
      <c r="K355" s="559"/>
      <c r="L355" s="559"/>
      <c r="M355" s="559"/>
      <c r="N355" s="559"/>
      <c r="O355" s="559"/>
      <c r="P355" s="559"/>
      <c r="Q355" s="559"/>
      <c r="R355" s="559"/>
      <c r="S355" s="559"/>
      <c r="T355" s="559"/>
      <c r="U355" s="559"/>
      <c r="V355" s="559"/>
      <c r="W355" s="559"/>
      <c r="X355" s="559"/>
      <c r="Y355" s="559"/>
      <c r="Z355" s="559"/>
      <c r="AA355" s="559"/>
      <c r="AB355" s="559"/>
      <c r="AC355" s="559"/>
      <c r="AD355" s="559"/>
      <c r="AE355" s="559"/>
      <c r="AF355" s="559"/>
      <c r="AG355" s="559"/>
    </row>
    <row r="356" spans="1:33" ht="18" hidden="1" customHeight="1" x14ac:dyDescent="0.35">
      <c r="A356" s="559"/>
      <c r="B356" s="559"/>
      <c r="C356" s="559"/>
      <c r="D356" s="559"/>
      <c r="E356" s="559"/>
      <c r="F356" s="559"/>
      <c r="G356" s="559"/>
      <c r="H356" s="559"/>
      <c r="I356" s="559"/>
      <c r="J356" s="559"/>
      <c r="K356" s="559"/>
      <c r="L356" s="559"/>
      <c r="M356" s="559"/>
      <c r="N356" s="559"/>
      <c r="O356" s="559"/>
      <c r="P356" s="559"/>
      <c r="Q356" s="559"/>
      <c r="R356" s="559"/>
      <c r="S356" s="559"/>
      <c r="T356" s="559"/>
      <c r="U356" s="559"/>
      <c r="V356" s="559"/>
      <c r="W356" s="559"/>
      <c r="X356" s="559"/>
      <c r="Y356" s="559"/>
      <c r="Z356" s="559"/>
      <c r="AA356" s="559"/>
      <c r="AB356" s="559"/>
      <c r="AC356" s="559"/>
      <c r="AD356" s="559"/>
      <c r="AE356" s="559"/>
      <c r="AF356" s="559"/>
      <c r="AG356" s="559"/>
    </row>
    <row r="357" spans="1:33" ht="18" customHeight="1" x14ac:dyDescent="0.35">
      <c r="A357" s="559"/>
      <c r="B357" s="559"/>
      <c r="C357" s="559"/>
      <c r="D357" s="559"/>
      <c r="E357" s="559"/>
      <c r="F357" s="559"/>
      <c r="G357" s="559"/>
      <c r="H357" s="559"/>
      <c r="I357" s="559"/>
      <c r="J357" s="559"/>
      <c r="K357" s="559"/>
      <c r="L357" s="559"/>
      <c r="M357" s="559"/>
      <c r="N357" s="559"/>
      <c r="O357" s="559"/>
      <c r="P357" s="559"/>
      <c r="Q357" s="559"/>
      <c r="R357" s="559"/>
      <c r="S357" s="559"/>
      <c r="T357" s="559"/>
      <c r="U357" s="559"/>
      <c r="V357" s="559"/>
      <c r="W357" s="559"/>
      <c r="X357" s="559"/>
      <c r="Y357" s="559"/>
      <c r="Z357" s="559"/>
      <c r="AA357" s="559"/>
      <c r="AB357" s="559"/>
      <c r="AC357" s="559"/>
      <c r="AD357" s="559"/>
      <c r="AE357" s="559"/>
      <c r="AF357" s="559"/>
      <c r="AG357" s="559"/>
    </row>
    <row r="358" spans="1:33" ht="18" customHeight="1" x14ac:dyDescent="0.35">
      <c r="A358" s="559"/>
      <c r="B358" s="559"/>
      <c r="C358" s="559"/>
      <c r="D358" s="559"/>
      <c r="E358" s="559"/>
      <c r="F358" s="559"/>
      <c r="G358" s="559"/>
      <c r="H358" s="559"/>
      <c r="I358" s="559"/>
      <c r="J358" s="559"/>
      <c r="K358" s="559"/>
      <c r="L358" s="559"/>
      <c r="M358" s="559"/>
      <c r="N358" s="559"/>
      <c r="O358" s="559"/>
      <c r="P358" s="559"/>
      <c r="Q358" s="559"/>
      <c r="R358" s="559"/>
      <c r="S358" s="559"/>
      <c r="T358" s="559"/>
      <c r="U358" s="559"/>
      <c r="V358" s="559"/>
      <c r="W358" s="559"/>
      <c r="X358" s="559"/>
      <c r="Y358" s="559"/>
      <c r="Z358" s="559"/>
      <c r="AA358" s="559"/>
      <c r="AB358" s="559"/>
      <c r="AC358" s="559"/>
      <c r="AD358" s="559"/>
      <c r="AE358" s="559"/>
      <c r="AF358" s="559"/>
      <c r="AG358" s="559"/>
    </row>
    <row r="359" spans="1:33" ht="18" customHeight="1" x14ac:dyDescent="0.35">
      <c r="A359" s="559"/>
      <c r="B359" s="559"/>
      <c r="C359" s="559"/>
      <c r="D359" s="559"/>
      <c r="E359" s="559"/>
      <c r="F359" s="559"/>
      <c r="G359" s="559"/>
      <c r="H359" s="559"/>
      <c r="I359" s="559"/>
      <c r="J359" s="559"/>
      <c r="K359" s="559"/>
      <c r="L359" s="559"/>
      <c r="M359" s="559"/>
      <c r="N359" s="559"/>
      <c r="O359" s="559"/>
      <c r="P359" s="559"/>
      <c r="Q359" s="559"/>
      <c r="R359" s="559"/>
      <c r="S359" s="559"/>
      <c r="T359" s="559"/>
      <c r="U359" s="559"/>
      <c r="V359" s="559"/>
      <c r="W359" s="559"/>
      <c r="X359" s="559"/>
      <c r="Y359" s="559"/>
      <c r="Z359" s="559"/>
      <c r="AA359" s="559"/>
      <c r="AB359" s="559"/>
      <c r="AC359" s="559"/>
      <c r="AD359" s="559"/>
      <c r="AE359" s="559"/>
      <c r="AF359" s="559"/>
      <c r="AG359" s="559"/>
    </row>
    <row r="360" spans="1:33" ht="18" customHeight="1" x14ac:dyDescent="0.35">
      <c r="A360" s="559"/>
      <c r="B360" s="559"/>
      <c r="C360" s="559"/>
      <c r="D360" s="559"/>
      <c r="E360" s="559"/>
      <c r="F360" s="559"/>
      <c r="G360" s="559"/>
      <c r="H360" s="559"/>
      <c r="I360" s="559"/>
      <c r="J360" s="559"/>
      <c r="K360" s="559"/>
      <c r="L360" s="559"/>
      <c r="M360" s="559"/>
      <c r="N360" s="559"/>
      <c r="O360" s="559"/>
      <c r="P360" s="559"/>
      <c r="Q360" s="559"/>
      <c r="R360" s="559"/>
      <c r="S360" s="559"/>
      <c r="T360" s="559"/>
      <c r="U360" s="559"/>
      <c r="V360" s="559"/>
      <c r="W360" s="559"/>
      <c r="X360" s="559"/>
      <c r="Y360" s="559"/>
      <c r="Z360" s="559"/>
      <c r="AA360" s="559"/>
      <c r="AB360" s="559"/>
      <c r="AC360" s="559"/>
      <c r="AD360" s="559"/>
      <c r="AE360" s="559"/>
      <c r="AF360" s="559"/>
      <c r="AG360" s="559"/>
    </row>
    <row r="361" spans="1:33" ht="18" customHeight="1" x14ac:dyDescent="0.35">
      <c r="A361" s="559"/>
      <c r="B361" s="559"/>
      <c r="C361" s="559"/>
      <c r="D361" s="559"/>
      <c r="E361" s="559"/>
      <c r="F361" s="559"/>
      <c r="G361" s="559"/>
      <c r="H361" s="559"/>
      <c r="I361" s="559"/>
      <c r="J361" s="559"/>
      <c r="K361" s="559"/>
      <c r="L361" s="559"/>
      <c r="M361" s="559"/>
      <c r="N361" s="559"/>
      <c r="O361" s="559"/>
      <c r="P361" s="559"/>
      <c r="Q361" s="559"/>
      <c r="R361" s="559"/>
      <c r="S361" s="559"/>
      <c r="T361" s="559"/>
      <c r="U361" s="559"/>
      <c r="V361" s="559"/>
      <c r="W361" s="559"/>
      <c r="X361" s="559"/>
      <c r="Y361" s="559"/>
      <c r="Z361" s="559"/>
      <c r="AA361" s="559"/>
      <c r="AB361" s="559"/>
      <c r="AC361" s="559"/>
      <c r="AD361" s="559"/>
      <c r="AE361" s="559"/>
      <c r="AF361" s="559"/>
      <c r="AG361" s="559"/>
    </row>
    <row r="362" spans="1:33" ht="18" customHeight="1" x14ac:dyDescent="0.35">
      <c r="A362" s="559"/>
      <c r="B362" s="559"/>
      <c r="C362" s="559"/>
      <c r="D362" s="559"/>
      <c r="E362" s="559"/>
      <c r="F362" s="559"/>
      <c r="G362" s="559"/>
      <c r="H362" s="559"/>
      <c r="I362" s="559"/>
      <c r="J362" s="559"/>
      <c r="K362" s="559"/>
      <c r="L362" s="559"/>
      <c r="M362" s="559"/>
      <c r="N362" s="559"/>
      <c r="O362" s="559"/>
      <c r="P362" s="559"/>
      <c r="Q362" s="559"/>
      <c r="R362" s="559"/>
      <c r="S362" s="559"/>
      <c r="T362" s="559"/>
      <c r="U362" s="559"/>
      <c r="V362" s="559"/>
      <c r="W362" s="559"/>
      <c r="X362" s="559"/>
      <c r="Y362" s="559"/>
      <c r="Z362" s="559"/>
      <c r="AA362" s="559"/>
      <c r="AB362" s="559"/>
      <c r="AC362" s="559"/>
      <c r="AD362" s="559"/>
      <c r="AE362" s="559"/>
      <c r="AF362" s="559"/>
      <c r="AG362" s="559"/>
    </row>
    <row r="363" spans="1:33" ht="18" customHeight="1" x14ac:dyDescent="0.35">
      <c r="A363" s="559"/>
      <c r="B363" s="559"/>
      <c r="C363" s="559"/>
      <c r="D363" s="559"/>
      <c r="E363" s="559"/>
      <c r="F363" s="559"/>
      <c r="G363" s="559"/>
      <c r="H363" s="559"/>
      <c r="I363" s="559"/>
      <c r="J363" s="559"/>
      <c r="K363" s="559"/>
      <c r="L363" s="559"/>
      <c r="M363" s="559"/>
      <c r="N363" s="559"/>
      <c r="O363" s="559"/>
      <c r="P363" s="559"/>
      <c r="Q363" s="559"/>
      <c r="R363" s="559"/>
      <c r="S363" s="559"/>
      <c r="T363" s="559"/>
      <c r="U363" s="559"/>
      <c r="V363" s="559"/>
      <c r="W363" s="559"/>
      <c r="X363" s="559"/>
      <c r="Y363" s="559"/>
      <c r="Z363" s="559"/>
      <c r="AA363" s="559"/>
      <c r="AB363" s="559"/>
      <c r="AC363" s="559"/>
      <c r="AD363" s="559"/>
      <c r="AE363" s="559"/>
      <c r="AF363" s="559"/>
      <c r="AG363" s="559"/>
    </row>
    <row r="364" spans="1:33" ht="18" customHeight="1" x14ac:dyDescent="0.35">
      <c r="A364" s="559"/>
      <c r="B364" s="559"/>
      <c r="C364" s="559"/>
      <c r="D364" s="559"/>
      <c r="E364" s="559"/>
      <c r="F364" s="559"/>
      <c r="G364" s="559"/>
      <c r="H364" s="559"/>
      <c r="I364" s="559"/>
      <c r="J364" s="559"/>
      <c r="K364" s="559"/>
      <c r="L364" s="559"/>
      <c r="M364" s="559"/>
      <c r="N364" s="559"/>
      <c r="O364" s="559"/>
      <c r="P364" s="559"/>
      <c r="Q364" s="559"/>
      <c r="R364" s="559"/>
      <c r="S364" s="559"/>
      <c r="T364" s="559"/>
      <c r="U364" s="559"/>
      <c r="V364" s="559"/>
      <c r="W364" s="559"/>
      <c r="X364" s="559"/>
      <c r="Y364" s="559"/>
      <c r="Z364" s="559"/>
      <c r="AA364" s="559"/>
      <c r="AB364" s="559"/>
      <c r="AC364" s="559"/>
      <c r="AD364" s="559"/>
      <c r="AE364" s="559"/>
      <c r="AF364" s="559"/>
      <c r="AG364" s="559"/>
    </row>
    <row r="365" spans="1:33" ht="18" customHeight="1" x14ac:dyDescent="0.35">
      <c r="A365" s="559"/>
      <c r="B365" s="559"/>
      <c r="C365" s="559"/>
      <c r="D365" s="559"/>
      <c r="E365" s="559"/>
      <c r="F365" s="559"/>
      <c r="G365" s="559"/>
      <c r="H365" s="559"/>
      <c r="I365" s="559"/>
      <c r="J365" s="559"/>
      <c r="K365" s="559"/>
      <c r="L365" s="559"/>
      <c r="M365" s="559"/>
      <c r="N365" s="559"/>
      <c r="O365" s="559"/>
      <c r="P365" s="559"/>
      <c r="Q365" s="559"/>
      <c r="R365" s="559"/>
      <c r="S365" s="559"/>
      <c r="T365" s="559"/>
      <c r="U365" s="559"/>
      <c r="V365" s="559"/>
      <c r="W365" s="559"/>
      <c r="X365" s="559"/>
      <c r="Y365" s="559"/>
      <c r="Z365" s="559"/>
      <c r="AA365" s="559"/>
      <c r="AB365" s="559"/>
      <c r="AC365" s="559"/>
      <c r="AD365" s="559"/>
      <c r="AE365" s="559"/>
      <c r="AF365" s="559"/>
      <c r="AG365" s="559"/>
    </row>
    <row r="366" spans="1:33" ht="18" customHeight="1" x14ac:dyDescent="0.35">
      <c r="A366" s="559"/>
      <c r="B366" s="559"/>
      <c r="C366" s="559"/>
      <c r="D366" s="559"/>
      <c r="E366" s="559"/>
      <c r="F366" s="559"/>
      <c r="G366" s="559"/>
      <c r="H366" s="559"/>
      <c r="I366" s="559"/>
      <c r="J366" s="559"/>
      <c r="K366" s="559"/>
      <c r="L366" s="559"/>
      <c r="M366" s="559"/>
      <c r="N366" s="559"/>
      <c r="O366" s="559"/>
      <c r="P366" s="559"/>
      <c r="Q366" s="559"/>
      <c r="R366" s="559"/>
      <c r="S366" s="559"/>
      <c r="T366" s="559"/>
      <c r="U366" s="559"/>
      <c r="V366" s="559"/>
      <c r="W366" s="559"/>
      <c r="X366" s="559"/>
      <c r="Y366" s="559"/>
      <c r="Z366" s="559"/>
      <c r="AA366" s="559"/>
      <c r="AB366" s="559"/>
      <c r="AC366" s="559"/>
      <c r="AD366" s="559"/>
      <c r="AE366" s="559"/>
      <c r="AF366" s="559"/>
      <c r="AG366" s="559"/>
    </row>
    <row r="367" spans="1:33" ht="18" customHeight="1" x14ac:dyDescent="0.35">
      <c r="A367" s="559"/>
      <c r="B367" s="559"/>
      <c r="C367" s="559"/>
      <c r="D367" s="559"/>
      <c r="E367" s="559"/>
      <c r="F367" s="559"/>
      <c r="G367" s="559"/>
      <c r="H367" s="559"/>
      <c r="I367" s="559"/>
      <c r="J367" s="559"/>
      <c r="K367" s="559"/>
      <c r="L367" s="559"/>
      <c r="M367" s="559"/>
      <c r="N367" s="559"/>
      <c r="O367" s="559"/>
      <c r="P367" s="559"/>
      <c r="Q367" s="559"/>
      <c r="R367" s="559"/>
      <c r="S367" s="559"/>
      <c r="T367" s="559"/>
      <c r="U367" s="559"/>
      <c r="V367" s="559"/>
      <c r="W367" s="559"/>
      <c r="X367" s="559"/>
      <c r="Y367" s="559"/>
      <c r="Z367" s="559"/>
      <c r="AA367" s="559"/>
      <c r="AB367" s="559"/>
      <c r="AC367" s="559"/>
      <c r="AD367" s="559"/>
      <c r="AE367" s="559"/>
      <c r="AF367" s="559"/>
      <c r="AG367" s="559"/>
    </row>
    <row r="368" spans="1:33" ht="18" customHeight="1" x14ac:dyDescent="0.35">
      <c r="A368" s="559"/>
      <c r="B368" s="559"/>
      <c r="C368" s="559"/>
      <c r="D368" s="559"/>
      <c r="E368" s="559"/>
      <c r="F368" s="559"/>
      <c r="G368" s="559"/>
      <c r="H368" s="559"/>
      <c r="I368" s="559"/>
      <c r="J368" s="559"/>
      <c r="K368" s="559"/>
      <c r="L368" s="559"/>
      <c r="M368" s="559"/>
      <c r="N368" s="559"/>
      <c r="O368" s="559"/>
      <c r="P368" s="559"/>
      <c r="Q368" s="559"/>
      <c r="R368" s="559"/>
      <c r="S368" s="559"/>
      <c r="T368" s="559"/>
      <c r="U368" s="559"/>
      <c r="V368" s="559"/>
      <c r="W368" s="559"/>
      <c r="X368" s="559"/>
      <c r="Y368" s="559"/>
      <c r="Z368" s="559"/>
      <c r="AA368" s="559"/>
      <c r="AB368" s="559"/>
      <c r="AC368" s="559"/>
      <c r="AD368" s="559"/>
      <c r="AE368" s="559"/>
      <c r="AF368" s="559"/>
      <c r="AG368" s="559"/>
    </row>
    <row r="369" spans="1:33" ht="18" customHeight="1" x14ac:dyDescent="0.35">
      <c r="A369" s="559"/>
      <c r="B369" s="559"/>
      <c r="C369" s="559"/>
      <c r="D369" s="559"/>
      <c r="E369" s="559"/>
      <c r="F369" s="559"/>
      <c r="G369" s="559"/>
      <c r="H369" s="559"/>
      <c r="I369" s="559"/>
      <c r="J369" s="559"/>
      <c r="K369" s="559"/>
      <c r="L369" s="559"/>
      <c r="M369" s="559"/>
      <c r="N369" s="559"/>
      <c r="O369" s="559"/>
      <c r="P369" s="559"/>
      <c r="Q369" s="559"/>
      <c r="R369" s="559"/>
      <c r="S369" s="559"/>
      <c r="T369" s="559"/>
      <c r="U369" s="559"/>
      <c r="V369" s="559"/>
      <c r="W369" s="559"/>
      <c r="X369" s="559"/>
      <c r="Y369" s="559"/>
      <c r="Z369" s="559"/>
      <c r="AA369" s="559"/>
      <c r="AB369" s="559"/>
      <c r="AC369" s="559"/>
      <c r="AD369" s="559"/>
      <c r="AE369" s="559"/>
      <c r="AF369" s="559"/>
      <c r="AG369" s="559"/>
    </row>
    <row r="370" spans="1:33" ht="18" customHeight="1" x14ac:dyDescent="0.35">
      <c r="A370" s="559"/>
      <c r="B370" s="559"/>
      <c r="C370" s="559"/>
      <c r="D370" s="559"/>
      <c r="E370" s="559"/>
      <c r="F370" s="559"/>
      <c r="G370" s="559"/>
      <c r="H370" s="559"/>
      <c r="I370" s="559"/>
      <c r="J370" s="559"/>
      <c r="K370" s="559"/>
      <c r="L370" s="559"/>
      <c r="M370" s="559"/>
      <c r="N370" s="559"/>
      <c r="O370" s="559"/>
      <c r="P370" s="559"/>
      <c r="Q370" s="559"/>
      <c r="R370" s="559"/>
      <c r="S370" s="559"/>
      <c r="T370" s="559"/>
      <c r="U370" s="559"/>
      <c r="V370" s="559"/>
      <c r="W370" s="559"/>
      <c r="X370" s="559"/>
      <c r="Y370" s="559"/>
      <c r="Z370" s="559"/>
      <c r="AA370" s="559"/>
      <c r="AB370" s="559"/>
      <c r="AC370" s="559"/>
      <c r="AD370" s="559"/>
      <c r="AE370" s="559"/>
      <c r="AF370" s="559"/>
      <c r="AG370" s="559"/>
    </row>
    <row r="371" spans="1:33" ht="18" customHeight="1" x14ac:dyDescent="0.35">
      <c r="A371" s="559"/>
      <c r="B371" s="559"/>
      <c r="C371" s="559"/>
      <c r="D371" s="559"/>
      <c r="E371" s="559"/>
      <c r="F371" s="559"/>
      <c r="G371" s="559"/>
      <c r="H371" s="559"/>
      <c r="I371" s="559"/>
      <c r="J371" s="559"/>
      <c r="K371" s="559"/>
      <c r="L371" s="559"/>
      <c r="M371" s="559"/>
      <c r="N371" s="559"/>
      <c r="O371" s="559"/>
      <c r="P371" s="559"/>
      <c r="Q371" s="559"/>
      <c r="R371" s="559"/>
      <c r="S371" s="559"/>
      <c r="T371" s="559"/>
      <c r="U371" s="559"/>
      <c r="V371" s="559"/>
      <c r="W371" s="559"/>
      <c r="X371" s="559"/>
      <c r="Y371" s="559"/>
      <c r="Z371" s="559"/>
      <c r="AA371" s="559"/>
      <c r="AB371" s="559"/>
      <c r="AC371" s="559"/>
      <c r="AD371" s="559"/>
      <c r="AE371" s="559"/>
      <c r="AF371" s="559"/>
      <c r="AG371" s="559"/>
    </row>
    <row r="372" spans="1:33" ht="18" customHeight="1" x14ac:dyDescent="0.35">
      <c r="A372" s="559"/>
      <c r="B372" s="559"/>
      <c r="C372" s="559"/>
      <c r="D372" s="559"/>
      <c r="E372" s="559"/>
      <c r="F372" s="559"/>
      <c r="G372" s="559"/>
      <c r="H372" s="559"/>
      <c r="I372" s="559"/>
      <c r="J372" s="559"/>
      <c r="K372" s="559"/>
      <c r="L372" s="559"/>
      <c r="M372" s="559"/>
      <c r="N372" s="559"/>
      <c r="O372" s="559"/>
      <c r="P372" s="559"/>
      <c r="Q372" s="559"/>
      <c r="R372" s="559"/>
      <c r="S372" s="559"/>
      <c r="T372" s="559"/>
      <c r="U372" s="559"/>
      <c r="V372" s="559"/>
      <c r="W372" s="559"/>
      <c r="X372" s="559"/>
      <c r="Y372" s="559"/>
      <c r="Z372" s="559"/>
      <c r="AA372" s="559"/>
      <c r="AB372" s="559"/>
      <c r="AC372" s="559"/>
      <c r="AD372" s="559"/>
      <c r="AE372" s="559"/>
      <c r="AF372" s="559"/>
      <c r="AG372" s="559"/>
    </row>
    <row r="373" spans="1:33" ht="18" customHeight="1" x14ac:dyDescent="0.35">
      <c r="A373" s="559"/>
      <c r="B373" s="559"/>
      <c r="C373" s="559"/>
      <c r="D373" s="559"/>
      <c r="E373" s="559"/>
      <c r="F373" s="559"/>
      <c r="G373" s="559"/>
      <c r="H373" s="559"/>
      <c r="I373" s="559"/>
      <c r="J373" s="559"/>
      <c r="K373" s="559"/>
      <c r="L373" s="559"/>
      <c r="M373" s="559"/>
      <c r="N373" s="559"/>
      <c r="O373" s="559"/>
      <c r="P373" s="559"/>
      <c r="Q373" s="559"/>
      <c r="R373" s="559"/>
      <c r="S373" s="559"/>
      <c r="T373" s="559"/>
      <c r="U373" s="559"/>
      <c r="V373" s="559"/>
      <c r="W373" s="559"/>
      <c r="X373" s="559"/>
      <c r="Y373" s="559"/>
      <c r="Z373" s="559"/>
      <c r="AA373" s="559"/>
      <c r="AB373" s="559"/>
      <c r="AC373" s="559"/>
      <c r="AD373" s="559"/>
      <c r="AE373" s="559"/>
      <c r="AF373" s="559"/>
      <c r="AG373" s="559"/>
    </row>
    <row r="374" spans="1:33" ht="18" customHeight="1" x14ac:dyDescent="0.35">
      <c r="A374" s="559"/>
      <c r="B374" s="559"/>
      <c r="C374" s="559"/>
      <c r="D374" s="559"/>
      <c r="E374" s="559"/>
      <c r="F374" s="559"/>
      <c r="G374" s="559"/>
      <c r="H374" s="559"/>
      <c r="I374" s="559"/>
      <c r="J374" s="559"/>
      <c r="K374" s="559"/>
      <c r="L374" s="559"/>
      <c r="M374" s="559"/>
      <c r="N374" s="559"/>
      <c r="O374" s="559"/>
      <c r="P374" s="559"/>
      <c r="Q374" s="559"/>
      <c r="R374" s="559"/>
      <c r="S374" s="559"/>
      <c r="T374" s="559"/>
      <c r="U374" s="559"/>
      <c r="V374" s="559"/>
      <c r="W374" s="559"/>
      <c r="X374" s="559"/>
      <c r="Y374" s="559"/>
      <c r="Z374" s="559"/>
      <c r="AA374" s="559"/>
      <c r="AB374" s="559"/>
      <c r="AC374" s="559"/>
      <c r="AD374" s="559"/>
      <c r="AE374" s="559"/>
      <c r="AF374" s="559"/>
      <c r="AG374" s="559"/>
    </row>
    <row r="375" spans="1:33" ht="18" customHeight="1" x14ac:dyDescent="0.35">
      <c r="A375" s="559"/>
      <c r="B375" s="559"/>
      <c r="C375" s="559"/>
      <c r="D375" s="559"/>
      <c r="E375" s="559"/>
      <c r="F375" s="559"/>
      <c r="G375" s="559"/>
      <c r="H375" s="559"/>
      <c r="I375" s="559"/>
      <c r="J375" s="559"/>
      <c r="K375" s="559"/>
      <c r="L375" s="559"/>
      <c r="M375" s="559"/>
      <c r="N375" s="559"/>
      <c r="O375" s="559"/>
      <c r="P375" s="559"/>
      <c r="Q375" s="559"/>
      <c r="R375" s="559"/>
      <c r="S375" s="559"/>
      <c r="T375" s="559"/>
      <c r="U375" s="559"/>
      <c r="V375" s="559"/>
      <c r="W375" s="559"/>
      <c r="X375" s="559"/>
      <c r="Y375" s="559"/>
      <c r="Z375" s="559"/>
      <c r="AA375" s="559"/>
      <c r="AB375" s="559"/>
      <c r="AC375" s="559"/>
      <c r="AD375" s="559"/>
      <c r="AE375" s="559"/>
      <c r="AF375" s="559"/>
      <c r="AG375" s="559"/>
    </row>
    <row r="376" spans="1:33" ht="18" customHeight="1" x14ac:dyDescent="0.35">
      <c r="A376" s="559"/>
      <c r="B376" s="559"/>
      <c r="C376" s="559"/>
      <c r="D376" s="559"/>
      <c r="E376" s="559"/>
      <c r="F376" s="559"/>
      <c r="G376" s="559"/>
      <c r="H376" s="559"/>
      <c r="I376" s="559"/>
      <c r="J376" s="559"/>
      <c r="K376" s="559"/>
      <c r="L376" s="559"/>
      <c r="M376" s="559"/>
      <c r="N376" s="559"/>
      <c r="O376" s="559"/>
      <c r="P376" s="559"/>
      <c r="Q376" s="559"/>
      <c r="R376" s="559"/>
      <c r="S376" s="559"/>
      <c r="T376" s="559"/>
      <c r="U376" s="559"/>
      <c r="V376" s="559"/>
      <c r="W376" s="559"/>
      <c r="X376" s="559"/>
      <c r="Y376" s="559"/>
      <c r="Z376" s="559"/>
      <c r="AA376" s="559"/>
      <c r="AB376" s="559"/>
      <c r="AC376" s="559"/>
      <c r="AD376" s="559"/>
      <c r="AE376" s="559"/>
      <c r="AF376" s="559"/>
      <c r="AG376" s="559"/>
    </row>
    <row r="377" spans="1:33" ht="18" customHeight="1" x14ac:dyDescent="0.35">
      <c r="A377" s="559"/>
      <c r="B377" s="559"/>
      <c r="C377" s="559"/>
      <c r="D377" s="559"/>
      <c r="E377" s="559"/>
      <c r="F377" s="559"/>
      <c r="G377" s="559"/>
      <c r="H377" s="559"/>
      <c r="I377" s="559"/>
      <c r="J377" s="559"/>
      <c r="K377" s="559"/>
      <c r="L377" s="559"/>
      <c r="M377" s="559"/>
      <c r="N377" s="559"/>
      <c r="O377" s="559"/>
      <c r="P377" s="559"/>
      <c r="Q377" s="559"/>
      <c r="R377" s="559"/>
      <c r="S377" s="559"/>
      <c r="T377" s="559"/>
      <c r="U377" s="559"/>
      <c r="V377" s="559"/>
      <c r="W377" s="559"/>
      <c r="X377" s="559"/>
      <c r="Y377" s="559"/>
      <c r="Z377" s="559"/>
      <c r="AA377" s="559"/>
      <c r="AB377" s="559"/>
      <c r="AC377" s="559"/>
      <c r="AD377" s="559"/>
      <c r="AE377" s="559"/>
      <c r="AF377" s="559"/>
      <c r="AG377" s="559"/>
    </row>
    <row r="378" spans="1:33" ht="18" customHeight="1" x14ac:dyDescent="0.35">
      <c r="A378" s="559"/>
      <c r="B378" s="559"/>
      <c r="C378" s="559"/>
      <c r="D378" s="559"/>
      <c r="E378" s="559"/>
      <c r="F378" s="559"/>
      <c r="G378" s="559"/>
      <c r="H378" s="559"/>
      <c r="I378" s="559"/>
      <c r="J378" s="559"/>
      <c r="K378" s="559"/>
      <c r="L378" s="559"/>
      <c r="M378" s="559"/>
      <c r="N378" s="559"/>
      <c r="O378" s="559"/>
      <c r="P378" s="559"/>
      <c r="Q378" s="559"/>
      <c r="R378" s="559"/>
      <c r="S378" s="559"/>
      <c r="T378" s="559"/>
      <c r="U378" s="559"/>
      <c r="V378" s="559"/>
      <c r="W378" s="559"/>
      <c r="X378" s="559"/>
      <c r="Y378" s="559"/>
      <c r="Z378" s="559"/>
      <c r="AA378" s="559"/>
      <c r="AB378" s="559"/>
      <c r="AC378" s="559"/>
      <c r="AD378" s="559"/>
      <c r="AE378" s="559"/>
      <c r="AF378" s="559"/>
      <c r="AG378" s="559"/>
    </row>
    <row r="379" spans="1:33" ht="18" customHeight="1" x14ac:dyDescent="0.35">
      <c r="A379" s="559"/>
      <c r="B379" s="559"/>
      <c r="C379" s="559"/>
      <c r="D379" s="559"/>
      <c r="E379" s="559"/>
      <c r="F379" s="559"/>
      <c r="G379" s="559"/>
      <c r="H379" s="559"/>
      <c r="I379" s="559"/>
      <c r="J379" s="559"/>
      <c r="K379" s="559"/>
      <c r="L379" s="559"/>
      <c r="M379" s="559"/>
      <c r="N379" s="559"/>
      <c r="O379" s="559"/>
      <c r="P379" s="559"/>
      <c r="Q379" s="559"/>
      <c r="R379" s="559"/>
      <c r="S379" s="559"/>
      <c r="T379" s="559"/>
      <c r="U379" s="559"/>
      <c r="V379" s="559"/>
      <c r="W379" s="559"/>
      <c r="X379" s="559"/>
      <c r="Y379" s="559"/>
      <c r="Z379" s="559"/>
      <c r="AA379" s="559"/>
      <c r="AB379" s="559"/>
      <c r="AC379" s="559"/>
      <c r="AD379" s="559"/>
      <c r="AE379" s="559"/>
      <c r="AF379" s="559"/>
      <c r="AG379" s="559"/>
    </row>
    <row r="380" spans="1:33" ht="18" customHeight="1" x14ac:dyDescent="0.35">
      <c r="A380" s="559"/>
      <c r="B380" s="559"/>
      <c r="C380" s="559"/>
      <c r="D380" s="559"/>
      <c r="E380" s="559"/>
      <c r="F380" s="559"/>
      <c r="G380" s="559"/>
      <c r="H380" s="559"/>
      <c r="I380" s="559"/>
      <c r="J380" s="559"/>
      <c r="K380" s="559"/>
      <c r="L380" s="559"/>
      <c r="M380" s="559"/>
      <c r="N380" s="559"/>
      <c r="O380" s="559"/>
      <c r="P380" s="559"/>
      <c r="Q380" s="559"/>
      <c r="R380" s="559"/>
      <c r="S380" s="559"/>
      <c r="T380" s="559"/>
      <c r="U380" s="559"/>
      <c r="V380" s="559"/>
      <c r="W380" s="559"/>
      <c r="X380" s="559"/>
      <c r="Y380" s="559"/>
      <c r="Z380" s="559"/>
      <c r="AA380" s="559"/>
      <c r="AB380" s="559"/>
      <c r="AC380" s="559"/>
      <c r="AD380" s="559"/>
      <c r="AE380" s="559"/>
      <c r="AF380" s="559"/>
      <c r="AG380" s="559"/>
    </row>
    <row r="381" spans="1:33" ht="18" customHeight="1" x14ac:dyDescent="0.35">
      <c r="A381" s="559"/>
      <c r="B381" s="559"/>
      <c r="C381" s="559"/>
      <c r="D381" s="559"/>
      <c r="E381" s="559"/>
      <c r="F381" s="559"/>
      <c r="G381" s="559"/>
      <c r="H381" s="559"/>
      <c r="I381" s="559"/>
      <c r="J381" s="559"/>
      <c r="K381" s="559"/>
      <c r="L381" s="559"/>
      <c r="M381" s="559"/>
      <c r="N381" s="559"/>
      <c r="O381" s="559"/>
      <c r="P381" s="559"/>
      <c r="Q381" s="559"/>
      <c r="R381" s="559"/>
      <c r="S381" s="559"/>
      <c r="T381" s="559"/>
      <c r="U381" s="559"/>
      <c r="V381" s="559"/>
      <c r="W381" s="559"/>
      <c r="X381" s="559"/>
      <c r="Y381" s="559"/>
      <c r="Z381" s="559"/>
      <c r="AA381" s="559"/>
      <c r="AB381" s="559"/>
      <c r="AC381" s="559"/>
      <c r="AD381" s="559"/>
      <c r="AE381" s="559"/>
      <c r="AF381" s="559"/>
      <c r="AG381" s="559"/>
    </row>
    <row r="382" spans="1:33" ht="18" customHeight="1" x14ac:dyDescent="0.35">
      <c r="A382" s="559"/>
      <c r="B382" s="559"/>
      <c r="C382" s="559"/>
      <c r="D382" s="559"/>
      <c r="E382" s="559"/>
      <c r="F382" s="559"/>
      <c r="G382" s="559"/>
      <c r="H382" s="559"/>
      <c r="I382" s="559"/>
      <c r="J382" s="559"/>
      <c r="K382" s="559"/>
      <c r="L382" s="559"/>
      <c r="M382" s="559"/>
      <c r="N382" s="559"/>
      <c r="O382" s="559"/>
      <c r="P382" s="559"/>
      <c r="Q382" s="559"/>
      <c r="R382" s="559"/>
      <c r="S382" s="559"/>
      <c r="T382" s="559"/>
      <c r="U382" s="559"/>
      <c r="V382" s="559"/>
      <c r="W382" s="559"/>
      <c r="X382" s="559"/>
      <c r="Y382" s="559"/>
      <c r="Z382" s="559"/>
      <c r="AA382" s="559"/>
      <c r="AB382" s="559"/>
      <c r="AC382" s="559"/>
      <c r="AD382" s="559"/>
      <c r="AE382" s="559"/>
      <c r="AF382" s="559"/>
      <c r="AG382" s="559"/>
    </row>
    <row r="383" spans="1:33" ht="18" customHeight="1" x14ac:dyDescent="0.35">
      <c r="A383" s="559"/>
      <c r="B383" s="559"/>
      <c r="C383" s="559"/>
      <c r="D383" s="559"/>
      <c r="E383" s="559"/>
      <c r="F383" s="559"/>
      <c r="G383" s="559"/>
      <c r="H383" s="559"/>
      <c r="I383" s="559"/>
      <c r="J383" s="559"/>
      <c r="K383" s="559"/>
      <c r="L383" s="559"/>
      <c r="M383" s="559"/>
      <c r="N383" s="559"/>
      <c r="O383" s="559"/>
      <c r="P383" s="559"/>
      <c r="Q383" s="559"/>
      <c r="R383" s="559"/>
      <c r="S383" s="559"/>
      <c r="T383" s="559"/>
      <c r="U383" s="559"/>
      <c r="V383" s="559"/>
      <c r="W383" s="559"/>
      <c r="X383" s="559"/>
      <c r="Y383" s="559"/>
      <c r="Z383" s="559"/>
      <c r="AA383" s="559"/>
      <c r="AB383" s="559"/>
      <c r="AC383" s="559"/>
      <c r="AD383" s="559"/>
      <c r="AE383" s="559"/>
      <c r="AF383" s="559"/>
      <c r="AG383" s="559"/>
    </row>
    <row r="384" spans="1:33" ht="18" customHeight="1" x14ac:dyDescent="0.35">
      <c r="A384" s="559"/>
      <c r="B384" s="559"/>
      <c r="C384" s="559"/>
      <c r="D384" s="559"/>
      <c r="E384" s="559"/>
      <c r="F384" s="559"/>
      <c r="G384" s="559"/>
      <c r="H384" s="559"/>
      <c r="I384" s="559"/>
      <c r="J384" s="559"/>
      <c r="K384" s="559"/>
      <c r="L384" s="559"/>
      <c r="M384" s="559"/>
      <c r="N384" s="559"/>
      <c r="O384" s="559"/>
      <c r="P384" s="559"/>
      <c r="Q384" s="559"/>
      <c r="R384" s="559"/>
      <c r="S384" s="559"/>
      <c r="T384" s="559"/>
      <c r="U384" s="559"/>
      <c r="V384" s="559"/>
      <c r="W384" s="559"/>
      <c r="X384" s="559"/>
      <c r="Y384" s="559"/>
      <c r="Z384" s="559"/>
      <c r="AA384" s="559"/>
      <c r="AB384" s="559"/>
      <c r="AC384" s="559"/>
      <c r="AD384" s="559"/>
      <c r="AE384" s="559"/>
      <c r="AF384" s="559"/>
      <c r="AG384" s="559"/>
    </row>
    <row r="385" spans="1:33" ht="18" customHeight="1" x14ac:dyDescent="0.35">
      <c r="A385" s="559"/>
      <c r="B385" s="559"/>
      <c r="C385" s="559"/>
      <c r="D385" s="559"/>
      <c r="E385" s="559"/>
      <c r="F385" s="559"/>
      <c r="G385" s="559"/>
      <c r="H385" s="559"/>
      <c r="I385" s="559"/>
      <c r="J385" s="559"/>
      <c r="K385" s="559"/>
      <c r="L385" s="559"/>
      <c r="M385" s="559"/>
      <c r="N385" s="559"/>
      <c r="O385" s="559"/>
      <c r="P385" s="559"/>
      <c r="Q385" s="559"/>
      <c r="R385" s="559"/>
      <c r="S385" s="559"/>
      <c r="T385" s="559"/>
      <c r="U385" s="559"/>
      <c r="V385" s="559"/>
      <c r="W385" s="559"/>
      <c r="X385" s="559"/>
      <c r="Y385" s="559"/>
      <c r="Z385" s="559"/>
      <c r="AA385" s="559"/>
      <c r="AB385" s="559"/>
      <c r="AC385" s="559"/>
      <c r="AD385" s="559"/>
      <c r="AE385" s="559"/>
      <c r="AF385" s="559"/>
      <c r="AG385" s="559"/>
    </row>
    <row r="386" spans="1:33" ht="18" customHeight="1" x14ac:dyDescent="0.35">
      <c r="A386" s="559"/>
      <c r="B386" s="559"/>
      <c r="C386" s="559"/>
      <c r="D386" s="559"/>
      <c r="E386" s="559"/>
      <c r="F386" s="559"/>
      <c r="G386" s="559"/>
      <c r="H386" s="559"/>
      <c r="I386" s="559"/>
      <c r="J386" s="559"/>
      <c r="K386" s="559"/>
      <c r="L386" s="559"/>
      <c r="M386" s="559"/>
      <c r="N386" s="559"/>
      <c r="O386" s="559"/>
      <c r="P386" s="559"/>
      <c r="Q386" s="559"/>
      <c r="R386" s="559"/>
      <c r="S386" s="559"/>
      <c r="T386" s="559"/>
      <c r="U386" s="559"/>
      <c r="V386" s="559"/>
      <c r="W386" s="559"/>
      <c r="X386" s="559"/>
      <c r="Y386" s="559"/>
      <c r="Z386" s="559"/>
      <c r="AA386" s="559"/>
      <c r="AB386" s="559"/>
      <c r="AC386" s="559"/>
      <c r="AD386" s="559"/>
      <c r="AE386" s="559"/>
      <c r="AF386" s="559"/>
      <c r="AG386" s="559"/>
    </row>
    <row r="387" spans="1:33" ht="18" customHeight="1" x14ac:dyDescent="0.35">
      <c r="A387" s="559"/>
      <c r="B387" s="559"/>
      <c r="C387" s="559"/>
      <c r="D387" s="559"/>
      <c r="E387" s="559"/>
      <c r="F387" s="559"/>
      <c r="G387" s="559"/>
      <c r="H387" s="559"/>
      <c r="I387" s="559"/>
      <c r="J387" s="559"/>
      <c r="K387" s="559"/>
      <c r="L387" s="559"/>
      <c r="M387" s="559"/>
      <c r="N387" s="559"/>
      <c r="O387" s="559"/>
      <c r="P387" s="559"/>
      <c r="Q387" s="559"/>
      <c r="R387" s="559"/>
      <c r="S387" s="559"/>
      <c r="T387" s="559"/>
      <c r="U387" s="559"/>
      <c r="V387" s="559"/>
      <c r="W387" s="559"/>
      <c r="X387" s="559"/>
      <c r="Y387" s="559"/>
      <c r="Z387" s="559"/>
      <c r="AA387" s="559"/>
      <c r="AB387" s="559"/>
      <c r="AC387" s="559"/>
      <c r="AD387" s="559"/>
      <c r="AE387" s="559"/>
      <c r="AF387" s="559"/>
      <c r="AG387" s="559"/>
    </row>
    <row r="388" spans="1:33" ht="18" customHeight="1" x14ac:dyDescent="0.35">
      <c r="A388" s="559"/>
      <c r="B388" s="559"/>
      <c r="C388" s="559"/>
      <c r="D388" s="559"/>
      <c r="E388" s="559"/>
      <c r="F388" s="559"/>
      <c r="G388" s="559"/>
      <c r="H388" s="559"/>
      <c r="I388" s="559"/>
      <c r="J388" s="559"/>
      <c r="K388" s="559"/>
      <c r="L388" s="559"/>
      <c r="M388" s="559"/>
      <c r="N388" s="559"/>
      <c r="O388" s="559"/>
      <c r="P388" s="559"/>
      <c r="Q388" s="559"/>
      <c r="R388" s="559"/>
      <c r="S388" s="559"/>
      <c r="T388" s="559"/>
      <c r="U388" s="559"/>
      <c r="V388" s="559"/>
      <c r="W388" s="559"/>
      <c r="X388" s="559"/>
      <c r="Y388" s="559"/>
      <c r="Z388" s="559"/>
      <c r="AA388" s="559"/>
      <c r="AB388" s="559"/>
      <c r="AC388" s="559"/>
      <c r="AD388" s="559"/>
      <c r="AE388" s="559"/>
      <c r="AF388" s="559"/>
      <c r="AG388" s="559"/>
    </row>
    <row r="389" spans="1:33" ht="18" customHeight="1" x14ac:dyDescent="0.35">
      <c r="A389" s="559"/>
      <c r="B389" s="559"/>
      <c r="C389" s="559"/>
      <c r="D389" s="559"/>
      <c r="E389" s="559"/>
      <c r="F389" s="559"/>
      <c r="G389" s="559"/>
      <c r="H389" s="559"/>
      <c r="I389" s="559"/>
      <c r="J389" s="559"/>
      <c r="K389" s="559"/>
      <c r="L389" s="559"/>
      <c r="M389" s="559"/>
      <c r="N389" s="559"/>
      <c r="O389" s="559"/>
      <c r="P389" s="559"/>
      <c r="Q389" s="559"/>
      <c r="R389" s="559"/>
      <c r="S389" s="559"/>
      <c r="T389" s="559"/>
      <c r="U389" s="559"/>
      <c r="V389" s="559"/>
      <c r="W389" s="559"/>
      <c r="X389" s="559"/>
      <c r="Y389" s="559"/>
      <c r="Z389" s="559"/>
      <c r="AA389" s="559"/>
      <c r="AB389" s="559"/>
      <c r="AC389" s="559"/>
      <c r="AD389" s="559"/>
      <c r="AE389" s="559"/>
      <c r="AF389" s="559"/>
      <c r="AG389" s="559"/>
    </row>
    <row r="390" spans="1:33" ht="18" customHeight="1" x14ac:dyDescent="0.35">
      <c r="A390" s="559"/>
      <c r="B390" s="559"/>
      <c r="C390" s="559"/>
      <c r="D390" s="559"/>
      <c r="E390" s="559"/>
      <c r="F390" s="559"/>
      <c r="G390" s="559"/>
      <c r="H390" s="559"/>
      <c r="I390" s="559"/>
      <c r="J390" s="559"/>
      <c r="K390" s="559"/>
      <c r="L390" s="559"/>
      <c r="M390" s="559"/>
      <c r="N390" s="559"/>
      <c r="O390" s="559"/>
      <c r="P390" s="559"/>
      <c r="Q390" s="559"/>
      <c r="R390" s="559"/>
      <c r="S390" s="559"/>
      <c r="T390" s="559"/>
      <c r="U390" s="559"/>
      <c r="V390" s="559"/>
      <c r="W390" s="559"/>
      <c r="X390" s="559"/>
      <c r="Y390" s="559"/>
      <c r="Z390" s="559"/>
      <c r="AA390" s="559"/>
      <c r="AB390" s="559"/>
      <c r="AC390" s="559"/>
      <c r="AD390" s="559"/>
      <c r="AE390" s="559"/>
      <c r="AF390" s="559"/>
      <c r="AG390" s="559"/>
    </row>
    <row r="391" spans="1:33" ht="18" customHeight="1" x14ac:dyDescent="0.35">
      <c r="A391" s="559"/>
      <c r="B391" s="559"/>
      <c r="C391" s="559"/>
      <c r="D391" s="559"/>
      <c r="E391" s="559"/>
      <c r="F391" s="559"/>
      <c r="G391" s="559"/>
      <c r="H391" s="559"/>
      <c r="I391" s="559"/>
      <c r="J391" s="559"/>
      <c r="K391" s="559"/>
      <c r="L391" s="559"/>
      <c r="M391" s="559"/>
      <c r="N391" s="559"/>
      <c r="O391" s="559"/>
      <c r="P391" s="559"/>
      <c r="Q391" s="559"/>
      <c r="R391" s="559"/>
      <c r="S391" s="559"/>
      <c r="T391" s="559"/>
      <c r="U391" s="559"/>
      <c r="V391" s="559"/>
      <c r="W391" s="559"/>
      <c r="X391" s="559"/>
      <c r="Y391" s="559"/>
      <c r="Z391" s="559"/>
      <c r="AA391" s="559"/>
      <c r="AB391" s="559"/>
      <c r="AC391" s="559"/>
      <c r="AD391" s="559"/>
      <c r="AE391" s="559"/>
      <c r="AF391" s="559"/>
      <c r="AG391" s="559"/>
    </row>
    <row r="392" spans="1:33" ht="18" customHeight="1" x14ac:dyDescent="0.35">
      <c r="A392" s="559"/>
      <c r="B392" s="559"/>
      <c r="C392" s="559"/>
      <c r="D392" s="559"/>
      <c r="E392" s="559"/>
      <c r="F392" s="559"/>
      <c r="G392" s="559"/>
      <c r="H392" s="559"/>
      <c r="I392" s="559"/>
      <c r="J392" s="559"/>
      <c r="K392" s="559"/>
      <c r="L392" s="559"/>
      <c r="M392" s="559"/>
      <c r="N392" s="559"/>
      <c r="O392" s="559"/>
      <c r="P392" s="559"/>
      <c r="Q392" s="559"/>
      <c r="R392" s="559"/>
      <c r="S392" s="559"/>
      <c r="T392" s="559"/>
      <c r="U392" s="559"/>
      <c r="V392" s="559"/>
      <c r="W392" s="559"/>
      <c r="X392" s="559"/>
      <c r="Y392" s="559"/>
      <c r="Z392" s="559"/>
      <c r="AA392" s="559"/>
      <c r="AB392" s="559"/>
      <c r="AC392" s="559"/>
      <c r="AD392" s="559"/>
      <c r="AE392" s="559"/>
      <c r="AF392" s="559"/>
      <c r="AG392" s="559"/>
    </row>
    <row r="393" spans="1:33" ht="18" customHeight="1" x14ac:dyDescent="0.35">
      <c r="A393" s="559"/>
      <c r="B393" s="559"/>
      <c r="C393" s="559"/>
      <c r="D393" s="559"/>
      <c r="E393" s="559"/>
      <c r="F393" s="559"/>
      <c r="G393" s="559"/>
      <c r="H393" s="559"/>
      <c r="I393" s="559"/>
      <c r="J393" s="559"/>
      <c r="K393" s="559"/>
      <c r="L393" s="559"/>
      <c r="M393" s="559"/>
      <c r="N393" s="559"/>
      <c r="O393" s="559"/>
      <c r="P393" s="559"/>
      <c r="Q393" s="559"/>
      <c r="R393" s="559"/>
      <c r="S393" s="559"/>
      <c r="T393" s="559"/>
      <c r="U393" s="559"/>
      <c r="V393" s="559"/>
      <c r="W393" s="559"/>
      <c r="X393" s="559"/>
      <c r="Y393" s="559"/>
      <c r="Z393" s="559"/>
      <c r="AA393" s="559"/>
      <c r="AB393" s="559"/>
      <c r="AC393" s="559"/>
      <c r="AD393" s="559"/>
      <c r="AE393" s="559"/>
      <c r="AF393" s="559"/>
      <c r="AG393" s="559"/>
    </row>
    <row r="394" spans="1:33" ht="18" customHeight="1" x14ac:dyDescent="0.35">
      <c r="A394" s="559"/>
      <c r="B394" s="559"/>
      <c r="C394" s="559"/>
      <c r="D394" s="559"/>
      <c r="E394" s="559"/>
      <c r="F394" s="559"/>
      <c r="G394" s="559"/>
      <c r="H394" s="559"/>
      <c r="I394" s="559"/>
      <c r="J394" s="559"/>
      <c r="K394" s="559"/>
      <c r="L394" s="559"/>
      <c r="M394" s="559"/>
      <c r="N394" s="559"/>
      <c r="O394" s="559"/>
      <c r="P394" s="559"/>
      <c r="Q394" s="559"/>
      <c r="R394" s="559"/>
      <c r="S394" s="559"/>
      <c r="T394" s="559"/>
      <c r="U394" s="559"/>
      <c r="V394" s="559"/>
      <c r="W394" s="559"/>
      <c r="X394" s="559"/>
      <c r="Y394" s="559"/>
      <c r="Z394" s="559"/>
      <c r="AA394" s="559"/>
      <c r="AB394" s="559"/>
      <c r="AC394" s="559"/>
      <c r="AD394" s="559"/>
      <c r="AE394" s="559"/>
      <c r="AF394" s="559"/>
      <c r="AG394" s="559"/>
    </row>
    <row r="395" spans="1:33" ht="18" customHeight="1" x14ac:dyDescent="0.35">
      <c r="A395" s="559"/>
      <c r="B395" s="559"/>
      <c r="C395" s="559"/>
      <c r="D395" s="559"/>
      <c r="E395" s="559"/>
      <c r="F395" s="559"/>
      <c r="G395" s="559"/>
      <c r="H395" s="559"/>
      <c r="I395" s="559"/>
      <c r="J395" s="559"/>
      <c r="K395" s="559"/>
      <c r="L395" s="559"/>
      <c r="M395" s="559"/>
      <c r="N395" s="559"/>
      <c r="O395" s="559"/>
      <c r="P395" s="559"/>
      <c r="Q395" s="559"/>
      <c r="R395" s="559"/>
      <c r="S395" s="559"/>
      <c r="T395" s="559"/>
      <c r="U395" s="559"/>
      <c r="V395" s="559"/>
      <c r="W395" s="559"/>
      <c r="X395" s="559"/>
      <c r="Y395" s="559"/>
      <c r="Z395" s="559"/>
      <c r="AA395" s="559"/>
      <c r="AB395" s="559"/>
      <c r="AC395" s="559"/>
      <c r="AD395" s="559"/>
      <c r="AE395" s="559"/>
      <c r="AF395" s="559"/>
      <c r="AG395" s="559"/>
    </row>
    <row r="396" spans="1:33" ht="18" customHeight="1" x14ac:dyDescent="0.35">
      <c r="A396" s="559"/>
      <c r="B396" s="559"/>
      <c r="C396" s="559"/>
      <c r="D396" s="559"/>
      <c r="E396" s="559"/>
      <c r="F396" s="559"/>
      <c r="G396" s="559"/>
      <c r="H396" s="559"/>
      <c r="I396" s="559"/>
      <c r="J396" s="559"/>
      <c r="K396" s="559"/>
      <c r="L396" s="559"/>
      <c r="M396" s="559"/>
      <c r="N396" s="559"/>
      <c r="O396" s="559"/>
      <c r="P396" s="559"/>
      <c r="Q396" s="559"/>
      <c r="R396" s="559"/>
      <c r="S396" s="559"/>
      <c r="T396" s="559"/>
      <c r="U396" s="559"/>
      <c r="V396" s="559"/>
      <c r="W396" s="559"/>
      <c r="X396" s="559"/>
      <c r="Y396" s="559"/>
      <c r="Z396" s="559"/>
      <c r="AA396" s="559"/>
      <c r="AB396" s="559"/>
      <c r="AC396" s="559"/>
      <c r="AD396" s="559"/>
      <c r="AE396" s="559"/>
      <c r="AF396" s="559"/>
      <c r="AG396" s="559"/>
    </row>
    <row r="397" spans="1:33" ht="18" customHeight="1" x14ac:dyDescent="0.35">
      <c r="A397" s="559"/>
      <c r="B397" s="559"/>
      <c r="C397" s="559"/>
      <c r="D397" s="559"/>
      <c r="E397" s="559"/>
      <c r="F397" s="559"/>
      <c r="G397" s="559"/>
      <c r="H397" s="559"/>
      <c r="I397" s="559"/>
      <c r="J397" s="559"/>
      <c r="K397" s="559"/>
      <c r="L397" s="559"/>
      <c r="M397" s="559"/>
      <c r="N397" s="559"/>
      <c r="O397" s="559"/>
      <c r="P397" s="559"/>
      <c r="Q397" s="559"/>
      <c r="R397" s="559"/>
      <c r="S397" s="559"/>
      <c r="T397" s="559"/>
      <c r="U397" s="559"/>
      <c r="V397" s="559"/>
      <c r="W397" s="559"/>
      <c r="X397" s="559"/>
      <c r="Y397" s="559"/>
      <c r="Z397" s="559"/>
      <c r="AA397" s="559"/>
      <c r="AB397" s="559"/>
      <c r="AC397" s="559"/>
      <c r="AD397" s="559"/>
      <c r="AE397" s="559"/>
      <c r="AF397" s="559"/>
      <c r="AG397" s="559"/>
    </row>
    <row r="398" spans="1:33" ht="18" customHeight="1" x14ac:dyDescent="0.35">
      <c r="A398" s="559"/>
      <c r="B398" s="559"/>
      <c r="C398" s="559"/>
      <c r="D398" s="559"/>
      <c r="E398" s="559"/>
      <c r="F398" s="559"/>
      <c r="G398" s="559"/>
      <c r="H398" s="559"/>
      <c r="I398" s="559"/>
      <c r="J398" s="559"/>
      <c r="K398" s="559"/>
      <c r="L398" s="559"/>
      <c r="M398" s="559"/>
      <c r="N398" s="559"/>
      <c r="O398" s="559"/>
      <c r="P398" s="559"/>
      <c r="Q398" s="559"/>
      <c r="R398" s="559"/>
      <c r="S398" s="559"/>
      <c r="T398" s="559"/>
      <c r="U398" s="559"/>
      <c r="V398" s="559"/>
      <c r="W398" s="559"/>
      <c r="X398" s="559"/>
      <c r="Y398" s="559"/>
      <c r="Z398" s="559"/>
      <c r="AA398" s="559"/>
      <c r="AB398" s="559"/>
      <c r="AC398" s="559"/>
      <c r="AD398" s="559"/>
      <c r="AE398" s="559"/>
      <c r="AF398" s="559"/>
      <c r="AG398" s="559"/>
    </row>
    <row r="399" spans="1:33" ht="18" customHeight="1" x14ac:dyDescent="0.35">
      <c r="A399" s="559"/>
      <c r="B399" s="559"/>
      <c r="C399" s="559"/>
      <c r="D399" s="559"/>
      <c r="E399" s="559"/>
      <c r="F399" s="559"/>
      <c r="G399" s="559"/>
      <c r="H399" s="559"/>
      <c r="I399" s="559"/>
      <c r="J399" s="559"/>
      <c r="K399" s="559"/>
      <c r="L399" s="559"/>
      <c r="M399" s="559"/>
      <c r="N399" s="559"/>
      <c r="O399" s="559"/>
      <c r="P399" s="559"/>
      <c r="Q399" s="559"/>
      <c r="R399" s="559"/>
      <c r="S399" s="559"/>
      <c r="T399" s="559"/>
      <c r="U399" s="559"/>
      <c r="V399" s="559"/>
      <c r="W399" s="559"/>
      <c r="X399" s="559"/>
      <c r="Y399" s="559"/>
      <c r="Z399" s="559"/>
      <c r="AA399" s="559"/>
      <c r="AB399" s="559"/>
      <c r="AC399" s="559"/>
      <c r="AD399" s="559"/>
      <c r="AE399" s="559"/>
      <c r="AF399" s="559"/>
      <c r="AG399" s="559"/>
    </row>
    <row r="400" spans="1:33" ht="18" customHeight="1" x14ac:dyDescent="0.35">
      <c r="A400" s="559"/>
      <c r="B400" s="559"/>
      <c r="C400" s="559"/>
      <c r="D400" s="559"/>
      <c r="E400" s="559"/>
      <c r="F400" s="559"/>
      <c r="G400" s="559"/>
      <c r="H400" s="559"/>
      <c r="I400" s="559"/>
      <c r="J400" s="559"/>
      <c r="K400" s="559"/>
      <c r="L400" s="559"/>
      <c r="M400" s="559"/>
      <c r="N400" s="559"/>
      <c r="O400" s="559"/>
      <c r="P400" s="559"/>
      <c r="Q400" s="559"/>
      <c r="R400" s="559"/>
      <c r="S400" s="559"/>
      <c r="T400" s="559"/>
      <c r="U400" s="559"/>
      <c r="V400" s="559"/>
      <c r="W400" s="559"/>
      <c r="X400" s="559"/>
      <c r="Y400" s="559"/>
      <c r="Z400" s="559"/>
      <c r="AA400" s="559"/>
      <c r="AB400" s="559"/>
      <c r="AC400" s="559"/>
      <c r="AD400" s="559"/>
      <c r="AE400" s="559"/>
      <c r="AF400" s="559"/>
      <c r="AG400" s="559"/>
    </row>
    <row r="401" spans="1:33" ht="18" customHeight="1" x14ac:dyDescent="0.35">
      <c r="A401" s="559"/>
      <c r="B401" s="559"/>
      <c r="C401" s="559"/>
      <c r="D401" s="559"/>
      <c r="E401" s="559"/>
      <c r="F401" s="559"/>
      <c r="G401" s="559"/>
      <c r="H401" s="559"/>
      <c r="I401" s="559"/>
      <c r="J401" s="559"/>
      <c r="K401" s="559"/>
      <c r="L401" s="559"/>
      <c r="M401" s="559"/>
      <c r="N401" s="559"/>
      <c r="O401" s="559"/>
      <c r="P401" s="559"/>
      <c r="Q401" s="559"/>
      <c r="R401" s="559"/>
      <c r="S401" s="559"/>
      <c r="T401" s="559"/>
      <c r="U401" s="559"/>
      <c r="V401" s="559"/>
      <c r="W401" s="559"/>
      <c r="X401" s="559"/>
      <c r="Y401" s="559"/>
      <c r="Z401" s="559"/>
      <c r="AA401" s="559"/>
      <c r="AB401" s="559"/>
      <c r="AC401" s="559"/>
      <c r="AD401" s="559"/>
      <c r="AE401" s="559"/>
      <c r="AF401" s="559"/>
      <c r="AG401" s="559"/>
    </row>
    <row r="402" spans="1:33" ht="18" customHeight="1" x14ac:dyDescent="0.35">
      <c r="A402" s="559"/>
      <c r="B402" s="559"/>
      <c r="C402" s="559"/>
      <c r="D402" s="559"/>
      <c r="E402" s="559"/>
      <c r="F402" s="559"/>
      <c r="G402" s="559"/>
      <c r="H402" s="559"/>
      <c r="I402" s="559"/>
      <c r="J402" s="559"/>
      <c r="K402" s="559"/>
      <c r="L402" s="559"/>
      <c r="M402" s="559"/>
      <c r="N402" s="559"/>
      <c r="O402" s="559"/>
      <c r="P402" s="559"/>
      <c r="Q402" s="559"/>
      <c r="R402" s="559"/>
      <c r="S402" s="559"/>
      <c r="T402" s="559"/>
      <c r="U402" s="559"/>
      <c r="V402" s="559"/>
      <c r="W402" s="559"/>
      <c r="X402" s="559"/>
      <c r="Y402" s="559"/>
      <c r="Z402" s="559"/>
      <c r="AA402" s="559"/>
      <c r="AB402" s="559"/>
      <c r="AC402" s="559"/>
      <c r="AD402" s="559"/>
      <c r="AE402" s="559"/>
      <c r="AF402" s="559"/>
      <c r="AG402" s="559"/>
    </row>
    <row r="403" spans="1:33" ht="18" customHeight="1" x14ac:dyDescent="0.35">
      <c r="A403" s="559"/>
      <c r="B403" s="559"/>
      <c r="C403" s="559"/>
      <c r="D403" s="559"/>
      <c r="E403" s="559"/>
      <c r="F403" s="559"/>
      <c r="G403" s="559"/>
      <c r="H403" s="559"/>
      <c r="I403" s="559"/>
      <c r="J403" s="559"/>
      <c r="K403" s="559"/>
      <c r="L403" s="559"/>
      <c r="M403" s="559"/>
      <c r="N403" s="559"/>
      <c r="O403" s="559"/>
      <c r="P403" s="559"/>
      <c r="Q403" s="559"/>
      <c r="R403" s="559"/>
      <c r="S403" s="559"/>
      <c r="T403" s="559"/>
      <c r="U403" s="559"/>
      <c r="V403" s="559"/>
      <c r="W403" s="559"/>
      <c r="X403" s="559"/>
      <c r="Y403" s="559"/>
      <c r="Z403" s="559"/>
      <c r="AA403" s="559"/>
      <c r="AB403" s="559"/>
      <c r="AC403" s="559"/>
      <c r="AD403" s="559"/>
      <c r="AE403" s="559"/>
      <c r="AF403" s="559"/>
      <c r="AG403" s="559"/>
    </row>
    <row r="404" spans="1:33" ht="18" customHeight="1" x14ac:dyDescent="0.35">
      <c r="A404" s="559"/>
      <c r="B404" s="559"/>
      <c r="C404" s="559"/>
      <c r="D404" s="559"/>
      <c r="E404" s="559"/>
      <c r="F404" s="559"/>
      <c r="G404" s="559"/>
      <c r="H404" s="559"/>
      <c r="I404" s="559"/>
      <c r="J404" s="559"/>
      <c r="K404" s="559"/>
      <c r="L404" s="559"/>
      <c r="M404" s="559"/>
      <c r="N404" s="559"/>
      <c r="O404" s="559"/>
      <c r="P404" s="559"/>
      <c r="Q404" s="559"/>
      <c r="R404" s="559"/>
      <c r="S404" s="559"/>
      <c r="T404" s="559"/>
      <c r="U404" s="559"/>
      <c r="V404" s="559"/>
      <c r="W404" s="559"/>
      <c r="X404" s="559"/>
      <c r="Y404" s="559"/>
      <c r="Z404" s="559"/>
      <c r="AA404" s="559"/>
      <c r="AB404" s="559"/>
      <c r="AC404" s="559"/>
      <c r="AD404" s="559"/>
      <c r="AE404" s="559"/>
      <c r="AF404" s="559"/>
      <c r="AG404" s="559"/>
    </row>
    <row r="405" spans="1:33" ht="18" customHeight="1" x14ac:dyDescent="0.35">
      <c r="A405" s="559"/>
      <c r="B405" s="559"/>
      <c r="C405" s="559"/>
      <c r="D405" s="559"/>
      <c r="E405" s="559"/>
      <c r="F405" s="559"/>
      <c r="G405" s="559"/>
      <c r="H405" s="559"/>
      <c r="I405" s="559"/>
      <c r="J405" s="559"/>
      <c r="K405" s="559"/>
      <c r="L405" s="559"/>
      <c r="M405" s="559"/>
      <c r="N405" s="559"/>
      <c r="O405" s="559"/>
      <c r="P405" s="559"/>
      <c r="Q405" s="559"/>
      <c r="R405" s="559"/>
      <c r="S405" s="559"/>
      <c r="T405" s="559"/>
      <c r="U405" s="559"/>
      <c r="V405" s="559"/>
      <c r="W405" s="559"/>
      <c r="X405" s="559"/>
      <c r="Y405" s="559"/>
      <c r="Z405" s="559"/>
      <c r="AA405" s="559"/>
      <c r="AB405" s="559"/>
      <c r="AC405" s="559"/>
      <c r="AD405" s="559"/>
      <c r="AE405" s="559"/>
      <c r="AF405" s="559"/>
      <c r="AG405" s="559"/>
    </row>
    <row r="406" spans="1:33" ht="18" customHeight="1" x14ac:dyDescent="0.35">
      <c r="A406" s="559"/>
      <c r="B406" s="559"/>
      <c r="C406" s="559"/>
      <c r="D406" s="559"/>
      <c r="E406" s="559"/>
      <c r="F406" s="559"/>
      <c r="G406" s="559"/>
      <c r="H406" s="559"/>
      <c r="I406" s="559"/>
      <c r="J406" s="559"/>
      <c r="K406" s="559"/>
      <c r="L406" s="559"/>
      <c r="M406" s="559"/>
      <c r="N406" s="559"/>
      <c r="O406" s="559"/>
      <c r="P406" s="559"/>
      <c r="Q406" s="559"/>
      <c r="R406" s="559"/>
      <c r="S406" s="559"/>
      <c r="T406" s="559"/>
      <c r="U406" s="559"/>
      <c r="V406" s="559"/>
      <c r="W406" s="559"/>
      <c r="X406" s="559"/>
      <c r="Y406" s="559"/>
      <c r="Z406" s="559"/>
      <c r="AA406" s="559"/>
      <c r="AB406" s="559"/>
      <c r="AC406" s="559"/>
      <c r="AD406" s="559"/>
      <c r="AE406" s="559"/>
      <c r="AF406" s="559"/>
      <c r="AG406" s="559"/>
    </row>
    <row r="407" spans="1:33" ht="18" customHeight="1" x14ac:dyDescent="0.35">
      <c r="A407" s="559"/>
      <c r="B407" s="559"/>
      <c r="C407" s="559"/>
      <c r="D407" s="559"/>
      <c r="E407" s="559"/>
      <c r="F407" s="559"/>
      <c r="G407" s="559"/>
      <c r="H407" s="559"/>
      <c r="I407" s="559"/>
      <c r="J407" s="559"/>
      <c r="K407" s="559"/>
      <c r="L407" s="559"/>
      <c r="M407" s="559"/>
      <c r="N407" s="559"/>
      <c r="O407" s="559"/>
      <c r="P407" s="559"/>
      <c r="Q407" s="559"/>
      <c r="R407" s="559"/>
      <c r="S407" s="559"/>
      <c r="T407" s="559"/>
      <c r="U407" s="559"/>
      <c r="V407" s="559"/>
      <c r="W407" s="559"/>
      <c r="X407" s="559"/>
      <c r="Y407" s="559"/>
      <c r="Z407" s="559"/>
      <c r="AA407" s="559"/>
      <c r="AB407" s="559"/>
      <c r="AC407" s="559"/>
      <c r="AD407" s="559"/>
      <c r="AE407" s="559"/>
      <c r="AF407" s="559"/>
      <c r="AG407" s="559"/>
    </row>
    <row r="408" spans="1:33" ht="18" customHeight="1" x14ac:dyDescent="0.35">
      <c r="A408" s="559"/>
      <c r="B408" s="559"/>
      <c r="C408" s="559"/>
      <c r="D408" s="559"/>
      <c r="E408" s="559"/>
      <c r="F408" s="559"/>
      <c r="G408" s="559"/>
      <c r="H408" s="559"/>
      <c r="I408" s="559"/>
      <c r="J408" s="559"/>
      <c r="K408" s="559"/>
      <c r="L408" s="559"/>
      <c r="M408" s="559"/>
      <c r="N408" s="559"/>
      <c r="O408" s="559"/>
      <c r="P408" s="559"/>
      <c r="Q408" s="559"/>
      <c r="R408" s="559"/>
      <c r="S408" s="559"/>
      <c r="T408" s="559"/>
      <c r="U408" s="559"/>
      <c r="V408" s="559"/>
      <c r="W408" s="559"/>
      <c r="X408" s="559"/>
      <c r="Y408" s="559"/>
      <c r="Z408" s="559"/>
      <c r="AA408" s="559"/>
      <c r="AB408" s="559"/>
      <c r="AC408" s="559"/>
      <c r="AD408" s="559"/>
      <c r="AE408" s="559"/>
      <c r="AF408" s="559"/>
      <c r="AG408" s="559"/>
    </row>
    <row r="409" spans="1:33" ht="18" customHeight="1" x14ac:dyDescent="0.35">
      <c r="A409" s="559"/>
      <c r="B409" s="559"/>
      <c r="C409" s="559"/>
      <c r="D409" s="559"/>
      <c r="E409" s="559"/>
      <c r="F409" s="559"/>
      <c r="G409" s="559"/>
      <c r="H409" s="559"/>
      <c r="I409" s="559"/>
      <c r="J409" s="559"/>
      <c r="K409" s="559"/>
      <c r="L409" s="559"/>
      <c r="M409" s="559"/>
      <c r="N409" s="559"/>
      <c r="O409" s="559"/>
      <c r="P409" s="559"/>
      <c r="Q409" s="559"/>
      <c r="R409" s="559"/>
      <c r="S409" s="559"/>
      <c r="T409" s="559"/>
      <c r="U409" s="559"/>
      <c r="V409" s="559"/>
      <c r="W409" s="559"/>
      <c r="X409" s="559"/>
      <c r="Y409" s="559"/>
      <c r="Z409" s="559"/>
      <c r="AA409" s="559"/>
      <c r="AB409" s="559"/>
      <c r="AC409" s="559"/>
      <c r="AD409" s="559"/>
      <c r="AE409" s="559"/>
      <c r="AF409" s="559"/>
      <c r="AG409" s="559"/>
    </row>
    <row r="410" spans="1:33" ht="18" customHeight="1" x14ac:dyDescent="0.35">
      <c r="A410" s="559"/>
      <c r="B410" s="559"/>
      <c r="C410" s="559"/>
      <c r="D410" s="559"/>
      <c r="E410" s="559"/>
      <c r="F410" s="559"/>
      <c r="G410" s="559"/>
      <c r="H410" s="559"/>
      <c r="I410" s="559"/>
      <c r="J410" s="559"/>
      <c r="K410" s="559"/>
      <c r="L410" s="559"/>
      <c r="M410" s="559"/>
      <c r="N410" s="559"/>
      <c r="O410" s="559"/>
      <c r="P410" s="559"/>
      <c r="Q410" s="559"/>
      <c r="R410" s="559"/>
      <c r="S410" s="559"/>
      <c r="T410" s="559"/>
      <c r="U410" s="559"/>
      <c r="V410" s="559"/>
      <c r="W410" s="559"/>
      <c r="X410" s="559"/>
      <c r="Y410" s="559"/>
      <c r="Z410" s="559"/>
      <c r="AA410" s="559"/>
      <c r="AB410" s="559"/>
      <c r="AC410" s="559"/>
      <c r="AD410" s="559"/>
      <c r="AE410" s="559"/>
      <c r="AF410" s="559"/>
      <c r="AG410" s="559"/>
    </row>
    <row r="411" spans="1:33" ht="18" customHeight="1" x14ac:dyDescent="0.35">
      <c r="A411" s="559"/>
      <c r="B411" s="559"/>
      <c r="C411" s="559"/>
      <c r="D411" s="559"/>
      <c r="E411" s="559"/>
      <c r="F411" s="559"/>
      <c r="G411" s="559"/>
      <c r="H411" s="559"/>
      <c r="I411" s="559"/>
      <c r="J411" s="559"/>
      <c r="K411" s="559"/>
      <c r="L411" s="559"/>
      <c r="M411" s="559"/>
      <c r="N411" s="559"/>
      <c r="O411" s="559"/>
      <c r="P411" s="559"/>
      <c r="Q411" s="559"/>
      <c r="R411" s="559"/>
      <c r="S411" s="559"/>
      <c r="T411" s="559"/>
      <c r="U411" s="559"/>
      <c r="V411" s="559"/>
      <c r="W411" s="559"/>
      <c r="X411" s="559"/>
      <c r="Y411" s="559"/>
      <c r="Z411" s="559"/>
      <c r="AA411" s="559"/>
      <c r="AB411" s="559"/>
      <c r="AC411" s="559"/>
      <c r="AD411" s="559"/>
      <c r="AE411" s="559"/>
      <c r="AF411" s="559"/>
      <c r="AG411" s="559"/>
    </row>
    <row r="412" spans="1:33" ht="18" customHeight="1" x14ac:dyDescent="0.35">
      <c r="A412" s="559"/>
      <c r="B412" s="559"/>
      <c r="C412" s="559"/>
      <c r="D412" s="559"/>
      <c r="E412" s="559"/>
      <c r="F412" s="559"/>
      <c r="G412" s="559"/>
      <c r="H412" s="559"/>
      <c r="I412" s="559"/>
      <c r="J412" s="559"/>
      <c r="K412" s="559"/>
      <c r="L412" s="559"/>
      <c r="M412" s="559"/>
      <c r="N412" s="559"/>
      <c r="O412" s="559"/>
      <c r="P412" s="559"/>
      <c r="Q412" s="559"/>
      <c r="R412" s="559"/>
      <c r="S412" s="559"/>
      <c r="T412" s="559"/>
      <c r="U412" s="559"/>
      <c r="V412" s="559"/>
      <c r="W412" s="559"/>
      <c r="X412" s="559"/>
      <c r="Y412" s="559"/>
      <c r="Z412" s="559"/>
      <c r="AA412" s="559"/>
      <c r="AB412" s="559"/>
      <c r="AC412" s="559"/>
      <c r="AD412" s="559"/>
      <c r="AE412" s="559"/>
      <c r="AF412" s="559"/>
      <c r="AG412" s="559"/>
    </row>
    <row r="413" spans="1:33" ht="18" customHeight="1" x14ac:dyDescent="0.35">
      <c r="A413" s="559"/>
      <c r="B413" s="559"/>
      <c r="C413" s="559"/>
      <c r="D413" s="559"/>
      <c r="E413" s="559"/>
      <c r="F413" s="559"/>
      <c r="G413" s="559"/>
      <c r="H413" s="559"/>
      <c r="I413" s="559"/>
      <c r="J413" s="559"/>
      <c r="K413" s="559"/>
      <c r="L413" s="559"/>
      <c r="M413" s="559"/>
      <c r="N413" s="559"/>
      <c r="O413" s="559"/>
      <c r="P413" s="559"/>
      <c r="Q413" s="559"/>
      <c r="R413" s="559"/>
      <c r="S413" s="559"/>
      <c r="T413" s="559"/>
      <c r="U413" s="559"/>
      <c r="V413" s="559"/>
      <c r="W413" s="559"/>
      <c r="X413" s="559"/>
      <c r="Y413" s="559"/>
      <c r="Z413" s="559"/>
      <c r="AA413" s="559"/>
      <c r="AB413" s="559"/>
      <c r="AC413" s="559"/>
      <c r="AD413" s="559"/>
      <c r="AE413" s="559"/>
      <c r="AF413" s="559"/>
      <c r="AG413" s="559"/>
    </row>
    <row r="414" spans="1:33" ht="18" customHeight="1" x14ac:dyDescent="0.35">
      <c r="A414" s="559"/>
      <c r="B414" s="559"/>
      <c r="C414" s="559"/>
      <c r="D414" s="559"/>
      <c r="E414" s="559"/>
      <c r="F414" s="559"/>
      <c r="G414" s="559"/>
      <c r="H414" s="559"/>
      <c r="I414" s="559"/>
      <c r="J414" s="559"/>
      <c r="K414" s="559"/>
      <c r="L414" s="559"/>
      <c r="M414" s="559"/>
      <c r="N414" s="559"/>
      <c r="O414" s="559"/>
      <c r="P414" s="559"/>
      <c r="Q414" s="559"/>
      <c r="R414" s="559"/>
      <c r="S414" s="559"/>
      <c r="T414" s="559"/>
      <c r="U414" s="559"/>
      <c r="V414" s="559"/>
      <c r="W414" s="559"/>
      <c r="X414" s="559"/>
      <c r="Y414" s="559"/>
      <c r="Z414" s="559"/>
      <c r="AA414" s="559"/>
      <c r="AB414" s="559"/>
      <c r="AC414" s="559"/>
      <c r="AD414" s="559"/>
      <c r="AE414" s="559"/>
      <c r="AF414" s="559"/>
      <c r="AG414" s="559"/>
    </row>
    <row r="415" spans="1:33" ht="18" customHeight="1" x14ac:dyDescent="0.35">
      <c r="A415" s="559"/>
      <c r="B415" s="559"/>
      <c r="C415" s="559"/>
      <c r="D415" s="559"/>
      <c r="E415" s="559"/>
      <c r="F415" s="559"/>
      <c r="G415" s="559"/>
      <c r="H415" s="559"/>
      <c r="I415" s="559"/>
      <c r="J415" s="559"/>
      <c r="K415" s="559"/>
      <c r="L415" s="559"/>
      <c r="M415" s="559"/>
      <c r="N415" s="559"/>
      <c r="O415" s="559"/>
      <c r="P415" s="559"/>
      <c r="Q415" s="559"/>
      <c r="R415" s="559"/>
      <c r="S415" s="559"/>
      <c r="T415" s="559"/>
      <c r="U415" s="559"/>
      <c r="V415" s="559"/>
      <c r="W415" s="559"/>
      <c r="X415" s="559"/>
      <c r="Y415" s="559"/>
      <c r="Z415" s="559"/>
      <c r="AA415" s="559"/>
      <c r="AB415" s="559"/>
      <c r="AC415" s="559"/>
      <c r="AD415" s="559"/>
      <c r="AE415" s="559"/>
      <c r="AF415" s="559"/>
      <c r="AG415" s="559"/>
    </row>
    <row r="416" spans="1:33" ht="18" customHeight="1" x14ac:dyDescent="0.35">
      <c r="A416" s="559"/>
      <c r="B416" s="559"/>
      <c r="C416" s="559"/>
      <c r="D416" s="559"/>
      <c r="E416" s="559"/>
      <c r="F416" s="559"/>
      <c r="G416" s="559"/>
      <c r="H416" s="559"/>
      <c r="I416" s="559"/>
      <c r="J416" s="559"/>
      <c r="K416" s="559"/>
      <c r="L416" s="559"/>
      <c r="M416" s="559"/>
      <c r="N416" s="559"/>
      <c r="O416" s="559"/>
      <c r="P416" s="559"/>
      <c r="Q416" s="559"/>
      <c r="R416" s="559"/>
      <c r="S416" s="559"/>
      <c r="T416" s="559"/>
      <c r="U416" s="559"/>
      <c r="V416" s="559"/>
      <c r="W416" s="559"/>
      <c r="X416" s="559"/>
      <c r="Y416" s="559"/>
      <c r="Z416" s="559"/>
      <c r="AA416" s="559"/>
      <c r="AB416" s="559"/>
      <c r="AC416" s="559"/>
      <c r="AD416" s="559"/>
      <c r="AE416" s="559"/>
      <c r="AF416" s="559"/>
      <c r="AG416" s="559"/>
    </row>
    <row r="417" spans="1:33" ht="18" customHeight="1" x14ac:dyDescent="0.35">
      <c r="A417" s="559"/>
      <c r="B417" s="559"/>
      <c r="C417" s="559"/>
      <c r="D417" s="559"/>
      <c r="E417" s="559"/>
      <c r="F417" s="559"/>
      <c r="G417" s="559"/>
      <c r="H417" s="559"/>
      <c r="I417" s="559"/>
      <c r="J417" s="559"/>
      <c r="K417" s="559"/>
      <c r="L417" s="559"/>
      <c r="M417" s="559"/>
      <c r="N417" s="559"/>
      <c r="O417" s="559"/>
      <c r="P417" s="559"/>
      <c r="Q417" s="559"/>
      <c r="R417" s="559"/>
      <c r="S417" s="559"/>
      <c r="T417" s="559"/>
      <c r="U417" s="559"/>
      <c r="V417" s="559"/>
      <c r="W417" s="559"/>
      <c r="X417" s="559"/>
      <c r="Y417" s="559"/>
      <c r="Z417" s="559"/>
      <c r="AA417" s="559"/>
      <c r="AB417" s="559"/>
      <c r="AC417" s="559"/>
      <c r="AD417" s="559"/>
      <c r="AE417" s="559"/>
      <c r="AF417" s="559"/>
      <c r="AG417" s="559"/>
    </row>
    <row r="418" spans="1:33" ht="18" customHeight="1" x14ac:dyDescent="0.35">
      <c r="A418" s="559"/>
      <c r="B418" s="559"/>
      <c r="C418" s="559"/>
      <c r="D418" s="559"/>
      <c r="E418" s="559"/>
      <c r="F418" s="559"/>
      <c r="G418" s="559"/>
      <c r="H418" s="559"/>
      <c r="I418" s="559"/>
      <c r="J418" s="559"/>
      <c r="K418" s="559"/>
      <c r="L418" s="559"/>
      <c r="M418" s="559"/>
      <c r="N418" s="559"/>
      <c r="O418" s="559"/>
      <c r="P418" s="559"/>
      <c r="Q418" s="559"/>
      <c r="R418" s="559"/>
      <c r="S418" s="559"/>
      <c r="T418" s="559"/>
      <c r="U418" s="559"/>
      <c r="V418" s="559"/>
      <c r="W418" s="559"/>
      <c r="X418" s="559"/>
      <c r="Y418" s="559"/>
      <c r="Z418" s="559"/>
      <c r="AA418" s="559"/>
      <c r="AB418" s="559"/>
      <c r="AC418" s="559"/>
      <c r="AD418" s="559"/>
      <c r="AE418" s="559"/>
      <c r="AF418" s="559"/>
      <c r="AG418" s="559"/>
    </row>
    <row r="419" spans="1:33" ht="18" customHeight="1" x14ac:dyDescent="0.35">
      <c r="A419" s="559"/>
      <c r="B419" s="559"/>
      <c r="C419" s="559"/>
      <c r="D419" s="559"/>
      <c r="E419" s="559"/>
      <c r="F419" s="559"/>
      <c r="G419" s="559"/>
      <c r="H419" s="559"/>
      <c r="I419" s="559"/>
      <c r="J419" s="559"/>
      <c r="K419" s="559"/>
      <c r="L419" s="559"/>
      <c r="M419" s="559"/>
      <c r="N419" s="559"/>
      <c r="O419" s="559"/>
      <c r="P419" s="559"/>
      <c r="Q419" s="559"/>
      <c r="R419" s="559"/>
      <c r="S419" s="559"/>
      <c r="T419" s="559"/>
      <c r="U419" s="559"/>
      <c r="V419" s="559"/>
      <c r="W419" s="559"/>
      <c r="X419" s="559"/>
      <c r="Y419" s="559"/>
      <c r="Z419" s="559"/>
      <c r="AA419" s="559"/>
      <c r="AB419" s="559"/>
      <c r="AC419" s="559"/>
      <c r="AD419" s="559"/>
      <c r="AE419" s="559"/>
      <c r="AF419" s="559"/>
      <c r="AG419" s="559"/>
    </row>
    <row r="420" spans="1:33" ht="18" customHeight="1" x14ac:dyDescent="0.35">
      <c r="A420" s="559"/>
      <c r="B420" s="559"/>
      <c r="C420" s="559"/>
      <c r="D420" s="559"/>
      <c r="E420" s="559"/>
      <c r="F420" s="559"/>
      <c r="G420" s="559"/>
      <c r="H420" s="559"/>
      <c r="I420" s="559"/>
      <c r="J420" s="559"/>
      <c r="K420" s="559"/>
      <c r="L420" s="559"/>
      <c r="M420" s="559"/>
      <c r="N420" s="559"/>
      <c r="O420" s="559"/>
      <c r="P420" s="559"/>
      <c r="Q420" s="559"/>
      <c r="R420" s="559"/>
      <c r="S420" s="559"/>
      <c r="T420" s="559"/>
      <c r="U420" s="559"/>
      <c r="V420" s="559"/>
      <c r="W420" s="559"/>
      <c r="X420" s="559"/>
      <c r="Y420" s="559"/>
      <c r="Z420" s="559"/>
      <c r="AA420" s="559"/>
      <c r="AB420" s="559"/>
      <c r="AC420" s="559"/>
      <c r="AD420" s="559"/>
      <c r="AE420" s="559"/>
      <c r="AF420" s="559"/>
      <c r="AG420" s="559"/>
    </row>
    <row r="421" spans="1:33" ht="18" customHeight="1" x14ac:dyDescent="0.35">
      <c r="A421" s="559"/>
      <c r="B421" s="559"/>
      <c r="C421" s="559"/>
      <c r="D421" s="559"/>
      <c r="E421" s="559"/>
      <c r="F421" s="559"/>
      <c r="G421" s="559"/>
      <c r="H421" s="559"/>
      <c r="I421" s="559"/>
      <c r="J421" s="559"/>
      <c r="K421" s="559"/>
      <c r="L421" s="559"/>
      <c r="M421" s="559"/>
      <c r="N421" s="559"/>
      <c r="O421" s="559"/>
      <c r="P421" s="559"/>
      <c r="Q421" s="559"/>
      <c r="R421" s="559"/>
      <c r="S421" s="559"/>
      <c r="T421" s="559"/>
      <c r="U421" s="559"/>
      <c r="V421" s="559"/>
      <c r="W421" s="559"/>
      <c r="X421" s="559"/>
      <c r="Y421" s="559"/>
      <c r="Z421" s="559"/>
      <c r="AA421" s="559"/>
      <c r="AB421" s="559"/>
      <c r="AC421" s="559"/>
      <c r="AD421" s="559"/>
      <c r="AE421" s="559"/>
      <c r="AF421" s="559"/>
      <c r="AG421" s="559"/>
    </row>
    <row r="422" spans="1:33" ht="18" customHeight="1" x14ac:dyDescent="0.35">
      <c r="A422" s="559"/>
      <c r="B422" s="559"/>
      <c r="C422" s="559"/>
      <c r="D422" s="559"/>
      <c r="E422" s="559"/>
      <c r="F422" s="559"/>
      <c r="G422" s="559"/>
      <c r="H422" s="559"/>
      <c r="I422" s="559"/>
      <c r="J422" s="559"/>
      <c r="K422" s="559"/>
      <c r="L422" s="559"/>
      <c r="M422" s="559"/>
      <c r="N422" s="559"/>
      <c r="O422" s="559"/>
      <c r="P422" s="559"/>
      <c r="Q422" s="559"/>
      <c r="R422" s="559"/>
      <c r="S422" s="559"/>
      <c r="T422" s="559"/>
      <c r="U422" s="559"/>
      <c r="V422" s="559"/>
      <c r="W422" s="559"/>
      <c r="X422" s="559"/>
      <c r="Y422" s="559"/>
      <c r="Z422" s="559"/>
      <c r="AA422" s="559"/>
      <c r="AB422" s="559"/>
      <c r="AC422" s="559"/>
      <c r="AD422" s="559"/>
      <c r="AE422" s="559"/>
      <c r="AF422" s="559"/>
      <c r="AG422" s="559"/>
    </row>
    <row r="423" spans="1:33" ht="18" customHeight="1" x14ac:dyDescent="0.35">
      <c r="A423" s="559"/>
      <c r="B423" s="559"/>
      <c r="C423" s="559"/>
      <c r="D423" s="559"/>
      <c r="E423" s="559"/>
      <c r="F423" s="559"/>
      <c r="G423" s="559"/>
      <c r="H423" s="559"/>
      <c r="I423" s="559"/>
      <c r="J423" s="559"/>
      <c r="K423" s="559"/>
      <c r="L423" s="559"/>
      <c r="M423" s="559"/>
      <c r="N423" s="559"/>
      <c r="O423" s="559"/>
      <c r="P423" s="559"/>
      <c r="Q423" s="559"/>
      <c r="R423" s="559"/>
      <c r="S423" s="559"/>
      <c r="T423" s="559"/>
      <c r="U423" s="559"/>
      <c r="V423" s="559"/>
      <c r="W423" s="559"/>
      <c r="X423" s="559"/>
      <c r="Y423" s="559"/>
      <c r="Z423" s="559"/>
      <c r="AA423" s="559"/>
      <c r="AB423" s="559"/>
      <c r="AC423" s="559"/>
      <c r="AD423" s="559"/>
      <c r="AE423" s="559"/>
      <c r="AF423" s="559"/>
      <c r="AG423" s="559"/>
    </row>
    <row r="424" spans="1:33" ht="18" customHeight="1" x14ac:dyDescent="0.35">
      <c r="A424" s="559"/>
      <c r="B424" s="559"/>
      <c r="C424" s="559"/>
      <c r="D424" s="559"/>
      <c r="E424" s="559"/>
      <c r="F424" s="559"/>
      <c r="G424" s="559"/>
      <c r="H424" s="559"/>
      <c r="I424" s="559"/>
      <c r="J424" s="559"/>
      <c r="K424" s="559"/>
      <c r="L424" s="559"/>
      <c r="M424" s="559"/>
      <c r="N424" s="559"/>
      <c r="O424" s="559"/>
      <c r="P424" s="559"/>
      <c r="Q424" s="559"/>
      <c r="R424" s="559"/>
      <c r="S424" s="559"/>
      <c r="T424" s="559"/>
      <c r="U424" s="559"/>
      <c r="V424" s="559"/>
      <c r="W424" s="559"/>
      <c r="X424" s="559"/>
      <c r="Y424" s="559"/>
      <c r="Z424" s="559"/>
      <c r="AA424" s="559"/>
      <c r="AB424" s="559"/>
      <c r="AC424" s="559"/>
      <c r="AD424" s="559"/>
      <c r="AE424" s="559"/>
      <c r="AF424" s="559"/>
      <c r="AG424" s="559"/>
    </row>
    <row r="425" spans="1:33" ht="18" customHeight="1" x14ac:dyDescent="0.35">
      <c r="A425" s="559"/>
      <c r="B425" s="559"/>
      <c r="C425" s="559"/>
      <c r="D425" s="559"/>
      <c r="E425" s="559"/>
      <c r="F425" s="559"/>
      <c r="G425" s="559"/>
      <c r="H425" s="559"/>
      <c r="I425" s="559"/>
      <c r="J425" s="559"/>
      <c r="K425" s="559"/>
      <c r="L425" s="559"/>
      <c r="M425" s="559"/>
      <c r="N425" s="559"/>
      <c r="O425" s="559"/>
      <c r="P425" s="559"/>
      <c r="Q425" s="559"/>
      <c r="R425" s="559"/>
      <c r="S425" s="559"/>
      <c r="T425" s="559"/>
      <c r="U425" s="559"/>
      <c r="V425" s="559"/>
      <c r="W425" s="559"/>
      <c r="X425" s="559"/>
      <c r="Y425" s="559"/>
      <c r="Z425" s="559"/>
      <c r="AA425" s="559"/>
      <c r="AB425" s="559"/>
      <c r="AC425" s="559"/>
      <c r="AD425" s="559"/>
      <c r="AE425" s="559"/>
      <c r="AF425" s="559"/>
      <c r="AG425" s="559"/>
    </row>
    <row r="426" spans="1:33" ht="18" customHeight="1" x14ac:dyDescent="0.35">
      <c r="A426" s="559"/>
      <c r="B426" s="559"/>
      <c r="C426" s="559"/>
      <c r="D426" s="559"/>
      <c r="E426" s="559"/>
      <c r="F426" s="559"/>
      <c r="G426" s="559"/>
      <c r="H426" s="559"/>
      <c r="I426" s="559"/>
      <c r="J426" s="559"/>
      <c r="K426" s="559"/>
      <c r="L426" s="559"/>
      <c r="M426" s="559"/>
      <c r="N426" s="559"/>
      <c r="O426" s="559"/>
      <c r="P426" s="559"/>
      <c r="Q426" s="559"/>
      <c r="R426" s="559"/>
      <c r="S426" s="559"/>
      <c r="T426" s="559"/>
      <c r="U426" s="559"/>
      <c r="V426" s="559"/>
      <c r="W426" s="559"/>
      <c r="X426" s="559"/>
      <c r="Y426" s="559"/>
      <c r="Z426" s="559"/>
      <c r="AA426" s="559"/>
      <c r="AB426" s="559"/>
      <c r="AC426" s="559"/>
      <c r="AD426" s="559"/>
      <c r="AE426" s="559"/>
      <c r="AF426" s="559"/>
      <c r="AG426" s="559"/>
    </row>
    <row r="427" spans="1:33" ht="18" customHeight="1" x14ac:dyDescent="0.35">
      <c r="A427" s="559"/>
      <c r="B427" s="559"/>
      <c r="C427" s="559"/>
      <c r="D427" s="559"/>
      <c r="E427" s="559"/>
      <c r="F427" s="559"/>
      <c r="G427" s="559"/>
      <c r="H427" s="559"/>
      <c r="I427" s="559"/>
      <c r="J427" s="559"/>
      <c r="K427" s="559"/>
      <c r="L427" s="559"/>
      <c r="M427" s="559"/>
      <c r="N427" s="559"/>
      <c r="O427" s="559"/>
      <c r="P427" s="559"/>
      <c r="Q427" s="559"/>
      <c r="R427" s="559"/>
      <c r="S427" s="559"/>
      <c r="T427" s="559"/>
      <c r="U427" s="559"/>
      <c r="V427" s="559"/>
      <c r="W427" s="559"/>
      <c r="X427" s="559"/>
      <c r="Y427" s="559"/>
      <c r="Z427" s="559"/>
      <c r="AA427" s="559"/>
      <c r="AB427" s="559"/>
      <c r="AC427" s="559"/>
      <c r="AD427" s="559"/>
      <c r="AE427" s="559"/>
      <c r="AF427" s="559"/>
      <c r="AG427" s="559"/>
    </row>
    <row r="428" spans="1:33" ht="18" customHeight="1" x14ac:dyDescent="0.35">
      <c r="A428" s="559"/>
      <c r="B428" s="559"/>
      <c r="C428" s="559"/>
      <c r="D428" s="559"/>
      <c r="E428" s="559"/>
      <c r="F428" s="559"/>
      <c r="G428" s="559"/>
      <c r="H428" s="559"/>
      <c r="I428" s="559"/>
      <c r="J428" s="559"/>
      <c r="K428" s="559"/>
      <c r="L428" s="559"/>
      <c r="M428" s="559"/>
      <c r="N428" s="559"/>
      <c r="O428" s="559"/>
      <c r="P428" s="559"/>
      <c r="Q428" s="559"/>
      <c r="R428" s="559"/>
      <c r="S428" s="559"/>
      <c r="T428" s="559"/>
      <c r="U428" s="559"/>
      <c r="V428" s="559"/>
      <c r="W428" s="559"/>
      <c r="X428" s="559"/>
      <c r="Y428" s="559"/>
      <c r="Z428" s="559"/>
      <c r="AA428" s="559"/>
      <c r="AB428" s="559"/>
      <c r="AC428" s="559"/>
      <c r="AD428" s="559"/>
      <c r="AE428" s="559"/>
      <c r="AF428" s="559"/>
      <c r="AG428" s="559"/>
    </row>
    <row r="429" spans="1:33" ht="18" customHeight="1" x14ac:dyDescent="0.35">
      <c r="A429" s="559"/>
      <c r="B429" s="559"/>
      <c r="C429" s="559"/>
      <c r="D429" s="559"/>
      <c r="E429" s="559"/>
      <c r="F429" s="559"/>
      <c r="G429" s="559"/>
      <c r="H429" s="559"/>
      <c r="I429" s="559"/>
      <c r="J429" s="559"/>
      <c r="K429" s="559"/>
      <c r="L429" s="559"/>
      <c r="M429" s="559"/>
      <c r="N429" s="559"/>
      <c r="O429" s="559"/>
      <c r="P429" s="559"/>
      <c r="Q429" s="559"/>
      <c r="R429" s="559"/>
      <c r="S429" s="559"/>
      <c r="T429" s="559"/>
      <c r="U429" s="559"/>
      <c r="V429" s="559"/>
      <c r="W429" s="559"/>
      <c r="X429" s="559"/>
      <c r="Y429" s="559"/>
      <c r="Z429" s="559"/>
      <c r="AA429" s="559"/>
      <c r="AB429" s="559"/>
      <c r="AC429" s="559"/>
      <c r="AD429" s="559"/>
      <c r="AE429" s="559"/>
      <c r="AF429" s="559"/>
      <c r="AG429" s="559"/>
    </row>
    <row r="430" spans="1:33" ht="18" customHeight="1" x14ac:dyDescent="0.35">
      <c r="A430" s="559"/>
      <c r="B430" s="559"/>
      <c r="C430" s="559"/>
      <c r="D430" s="559"/>
      <c r="E430" s="559"/>
      <c r="F430" s="559"/>
      <c r="G430" s="559"/>
      <c r="H430" s="559"/>
      <c r="I430" s="559"/>
      <c r="J430" s="559"/>
      <c r="K430" s="559"/>
      <c r="L430" s="559"/>
      <c r="M430" s="559"/>
      <c r="N430" s="559"/>
      <c r="O430" s="559"/>
      <c r="P430" s="559"/>
      <c r="Q430" s="559"/>
      <c r="R430" s="559"/>
      <c r="S430" s="559"/>
      <c r="T430" s="559"/>
      <c r="U430" s="559"/>
      <c r="V430" s="559"/>
      <c r="W430" s="559"/>
      <c r="X430" s="559"/>
      <c r="Y430" s="559"/>
      <c r="Z430" s="559"/>
      <c r="AA430" s="559"/>
      <c r="AB430" s="559"/>
      <c r="AC430" s="559"/>
      <c r="AD430" s="559"/>
      <c r="AE430" s="559"/>
      <c r="AF430" s="559"/>
      <c r="AG430" s="559"/>
    </row>
    <row r="431" spans="1:33" ht="18" customHeight="1" x14ac:dyDescent="0.35">
      <c r="A431" s="559"/>
      <c r="B431" s="559"/>
      <c r="C431" s="559"/>
      <c r="D431" s="559"/>
      <c r="E431" s="559"/>
      <c r="F431" s="559"/>
      <c r="G431" s="559"/>
      <c r="H431" s="559"/>
      <c r="I431" s="559"/>
      <c r="J431" s="559"/>
      <c r="K431" s="559"/>
      <c r="L431" s="559"/>
      <c r="M431" s="559"/>
      <c r="N431" s="559"/>
      <c r="O431" s="559"/>
      <c r="P431" s="559"/>
      <c r="Q431" s="559"/>
      <c r="R431" s="559"/>
      <c r="S431" s="559"/>
      <c r="T431" s="559"/>
      <c r="U431" s="559"/>
      <c r="V431" s="559"/>
      <c r="W431" s="559"/>
      <c r="X431" s="559"/>
      <c r="Y431" s="559"/>
      <c r="Z431" s="559"/>
      <c r="AA431" s="559"/>
      <c r="AB431" s="559"/>
      <c r="AC431" s="559"/>
      <c r="AD431" s="559"/>
      <c r="AE431" s="559"/>
      <c r="AF431" s="559"/>
      <c r="AG431" s="559"/>
    </row>
    <row r="432" spans="1:33" ht="18" customHeight="1" x14ac:dyDescent="0.35">
      <c r="A432" s="559"/>
      <c r="B432" s="559"/>
      <c r="C432" s="559"/>
      <c r="D432" s="559"/>
      <c r="E432" s="559"/>
      <c r="F432" s="559"/>
      <c r="G432" s="559"/>
      <c r="H432" s="559"/>
      <c r="I432" s="559"/>
      <c r="J432" s="559"/>
      <c r="K432" s="559"/>
      <c r="L432" s="559"/>
      <c r="M432" s="559"/>
      <c r="N432" s="559"/>
      <c r="O432" s="559"/>
      <c r="P432" s="559"/>
      <c r="Q432" s="559"/>
      <c r="R432" s="559"/>
      <c r="S432" s="559"/>
      <c r="T432" s="559"/>
      <c r="U432" s="559"/>
      <c r="V432" s="559"/>
      <c r="W432" s="559"/>
      <c r="X432" s="559"/>
      <c r="Y432" s="559"/>
      <c r="Z432" s="559"/>
      <c r="AA432" s="559"/>
      <c r="AB432" s="559"/>
      <c r="AC432" s="559"/>
      <c r="AD432" s="559"/>
      <c r="AE432" s="559"/>
      <c r="AF432" s="559"/>
      <c r="AG432" s="559"/>
    </row>
    <row r="433" spans="1:33" ht="18" customHeight="1" x14ac:dyDescent="0.35">
      <c r="A433" s="559"/>
      <c r="B433" s="559"/>
      <c r="C433" s="559"/>
      <c r="D433" s="559"/>
      <c r="E433" s="559"/>
      <c r="F433" s="559"/>
      <c r="G433" s="559"/>
      <c r="H433" s="559"/>
      <c r="I433" s="559"/>
      <c r="J433" s="559"/>
      <c r="K433" s="559"/>
      <c r="L433" s="559"/>
      <c r="M433" s="559"/>
      <c r="N433" s="559"/>
      <c r="O433" s="559"/>
      <c r="P433" s="559"/>
      <c r="Q433" s="559"/>
      <c r="R433" s="559"/>
      <c r="S433" s="559"/>
      <c r="T433" s="559"/>
      <c r="U433" s="559"/>
      <c r="V433" s="559"/>
      <c r="W433" s="559"/>
      <c r="X433" s="559"/>
      <c r="Y433" s="559"/>
      <c r="Z433" s="559"/>
      <c r="AA433" s="559"/>
      <c r="AB433" s="559"/>
      <c r="AC433" s="559"/>
      <c r="AD433" s="559"/>
      <c r="AE433" s="559"/>
      <c r="AF433" s="559"/>
      <c r="AG433" s="559"/>
    </row>
    <row r="434" spans="1:33" ht="18" customHeight="1" x14ac:dyDescent="0.35">
      <c r="A434" s="559"/>
      <c r="B434" s="559"/>
      <c r="C434" s="559"/>
      <c r="D434" s="559"/>
      <c r="E434" s="559"/>
      <c r="F434" s="559"/>
      <c r="G434" s="559"/>
      <c r="H434" s="559"/>
      <c r="I434" s="559"/>
      <c r="J434" s="559"/>
      <c r="K434" s="559"/>
      <c r="L434" s="559"/>
      <c r="M434" s="559"/>
      <c r="N434" s="559"/>
      <c r="O434" s="559"/>
      <c r="P434" s="559"/>
      <c r="Q434" s="559"/>
      <c r="R434" s="559"/>
      <c r="S434" s="559"/>
      <c r="T434" s="559"/>
      <c r="U434" s="559"/>
      <c r="V434" s="559"/>
      <c r="W434" s="559"/>
      <c r="X434" s="559"/>
      <c r="Y434" s="559"/>
      <c r="Z434" s="559"/>
      <c r="AA434" s="559"/>
      <c r="AB434" s="559"/>
      <c r="AC434" s="559"/>
      <c r="AD434" s="559"/>
      <c r="AE434" s="559"/>
      <c r="AF434" s="559"/>
      <c r="AG434" s="559"/>
    </row>
    <row r="435" spans="1:33" ht="18" customHeight="1" x14ac:dyDescent="0.35">
      <c r="A435" s="559"/>
      <c r="B435" s="559"/>
      <c r="C435" s="559"/>
      <c r="D435" s="559"/>
      <c r="E435" s="559"/>
      <c r="F435" s="559"/>
      <c r="G435" s="559"/>
      <c r="H435" s="559"/>
      <c r="I435" s="559"/>
      <c r="J435" s="559"/>
      <c r="K435" s="559"/>
      <c r="L435" s="559"/>
      <c r="M435" s="559"/>
      <c r="N435" s="559"/>
      <c r="O435" s="559"/>
      <c r="P435" s="559"/>
      <c r="Q435" s="559"/>
      <c r="R435" s="559"/>
      <c r="S435" s="559"/>
      <c r="T435" s="559"/>
      <c r="U435" s="559"/>
      <c r="V435" s="559"/>
      <c r="W435" s="559"/>
      <c r="X435" s="559"/>
      <c r="Y435" s="559"/>
      <c r="Z435" s="559"/>
      <c r="AA435" s="559"/>
      <c r="AB435" s="559"/>
      <c r="AC435" s="559"/>
      <c r="AD435" s="559"/>
      <c r="AE435" s="559"/>
      <c r="AF435" s="559"/>
      <c r="AG435" s="559"/>
    </row>
    <row r="436" spans="1:33" ht="18" customHeight="1" x14ac:dyDescent="0.35">
      <c r="A436" s="559"/>
      <c r="B436" s="559"/>
      <c r="C436" s="559"/>
      <c r="D436" s="559"/>
      <c r="E436" s="559"/>
      <c r="F436" s="559"/>
      <c r="G436" s="559"/>
      <c r="H436" s="559"/>
      <c r="I436" s="559"/>
      <c r="J436" s="559"/>
      <c r="K436" s="559"/>
      <c r="L436" s="559"/>
      <c r="M436" s="559"/>
      <c r="N436" s="559"/>
      <c r="O436" s="559"/>
      <c r="P436" s="559"/>
      <c r="Q436" s="559"/>
      <c r="R436" s="559"/>
      <c r="S436" s="559"/>
      <c r="T436" s="559"/>
      <c r="U436" s="559"/>
      <c r="V436" s="559"/>
      <c r="W436" s="559"/>
      <c r="X436" s="559"/>
      <c r="Y436" s="559"/>
      <c r="Z436" s="559"/>
      <c r="AA436" s="559"/>
      <c r="AB436" s="559"/>
      <c r="AC436" s="559"/>
      <c r="AD436" s="559"/>
      <c r="AE436" s="559"/>
      <c r="AF436" s="559"/>
      <c r="AG436" s="559"/>
    </row>
    <row r="437" spans="1:33" ht="18" customHeight="1" x14ac:dyDescent="0.35">
      <c r="A437" s="559"/>
      <c r="B437" s="559"/>
      <c r="C437" s="559"/>
      <c r="D437" s="559"/>
      <c r="E437" s="559"/>
      <c r="F437" s="559"/>
      <c r="G437" s="559"/>
      <c r="H437" s="559"/>
      <c r="I437" s="559"/>
      <c r="J437" s="559"/>
      <c r="K437" s="559"/>
      <c r="L437" s="559"/>
      <c r="M437" s="559"/>
      <c r="N437" s="559"/>
      <c r="O437" s="559"/>
      <c r="P437" s="559"/>
      <c r="Q437" s="559"/>
      <c r="R437" s="559"/>
      <c r="S437" s="559"/>
      <c r="T437" s="559"/>
      <c r="U437" s="559"/>
      <c r="V437" s="559"/>
      <c r="W437" s="559"/>
      <c r="X437" s="559"/>
      <c r="Y437" s="559"/>
      <c r="Z437" s="559"/>
      <c r="AA437" s="559"/>
      <c r="AB437" s="559"/>
      <c r="AC437" s="559"/>
      <c r="AD437" s="559"/>
      <c r="AE437" s="559"/>
      <c r="AF437" s="559"/>
      <c r="AG437" s="559"/>
    </row>
    <row r="438" spans="1:33" ht="18" customHeight="1" x14ac:dyDescent="0.35">
      <c r="A438" s="559"/>
      <c r="B438" s="559"/>
      <c r="C438" s="559"/>
      <c r="D438" s="559"/>
      <c r="E438" s="559"/>
      <c r="F438" s="559"/>
      <c r="G438" s="559"/>
      <c r="H438" s="559"/>
      <c r="I438" s="559"/>
      <c r="J438" s="559"/>
      <c r="K438" s="559"/>
      <c r="L438" s="559"/>
      <c r="M438" s="559"/>
      <c r="N438" s="559"/>
      <c r="O438" s="559"/>
      <c r="P438" s="559"/>
      <c r="Q438" s="559"/>
      <c r="R438" s="559"/>
      <c r="S438" s="559"/>
      <c r="T438" s="559"/>
      <c r="U438" s="559"/>
      <c r="V438" s="559"/>
      <c r="W438" s="559"/>
      <c r="X438" s="559"/>
      <c r="Y438" s="559"/>
      <c r="Z438" s="559"/>
      <c r="AA438" s="559"/>
      <c r="AB438" s="559"/>
      <c r="AC438" s="559"/>
      <c r="AD438" s="559"/>
      <c r="AE438" s="559"/>
      <c r="AF438" s="559"/>
      <c r="AG438" s="559"/>
    </row>
    <row r="439" spans="1:33" ht="18" customHeight="1" x14ac:dyDescent="0.35">
      <c r="A439" s="559"/>
      <c r="B439" s="559"/>
      <c r="C439" s="559"/>
      <c r="D439" s="559"/>
      <c r="E439" s="559"/>
      <c r="F439" s="559"/>
      <c r="G439" s="559"/>
      <c r="H439" s="559"/>
      <c r="I439" s="559"/>
      <c r="J439" s="559"/>
      <c r="K439" s="559"/>
      <c r="L439" s="559"/>
      <c r="M439" s="559"/>
      <c r="N439" s="559"/>
      <c r="O439" s="559"/>
      <c r="P439" s="559"/>
      <c r="Q439" s="559"/>
      <c r="R439" s="559"/>
      <c r="S439" s="559"/>
      <c r="T439" s="559"/>
      <c r="U439" s="559"/>
      <c r="V439" s="559"/>
      <c r="W439" s="559"/>
      <c r="X439" s="559"/>
      <c r="Y439" s="559"/>
      <c r="Z439" s="559"/>
      <c r="AA439" s="559"/>
      <c r="AB439" s="559"/>
      <c r="AC439" s="559"/>
      <c r="AD439" s="559"/>
      <c r="AE439" s="559"/>
      <c r="AF439" s="559"/>
      <c r="AG439" s="559"/>
    </row>
    <row r="440" spans="1:33" ht="18" customHeight="1" x14ac:dyDescent="0.35">
      <c r="A440" s="559"/>
      <c r="B440" s="559"/>
      <c r="C440" s="559"/>
      <c r="D440" s="559"/>
      <c r="E440" s="559"/>
      <c r="F440" s="559"/>
      <c r="G440" s="559"/>
      <c r="H440" s="559"/>
      <c r="I440" s="559"/>
      <c r="J440" s="559"/>
      <c r="K440" s="559"/>
      <c r="L440" s="559"/>
      <c r="M440" s="559"/>
      <c r="N440" s="559"/>
      <c r="O440" s="559"/>
      <c r="P440" s="559"/>
      <c r="Q440" s="559"/>
      <c r="R440" s="559"/>
      <c r="S440" s="559"/>
      <c r="T440" s="559"/>
      <c r="U440" s="559"/>
      <c r="V440" s="559"/>
      <c r="W440" s="559"/>
      <c r="X440" s="559"/>
      <c r="Y440" s="559"/>
      <c r="Z440" s="559"/>
      <c r="AA440" s="559"/>
      <c r="AB440" s="559"/>
      <c r="AC440" s="559"/>
      <c r="AD440" s="559"/>
      <c r="AE440" s="559"/>
      <c r="AF440" s="559"/>
      <c r="AG440" s="559"/>
    </row>
    <row r="441" spans="1:33" ht="18" customHeight="1" x14ac:dyDescent="0.35">
      <c r="A441" s="559"/>
      <c r="B441" s="559"/>
      <c r="C441" s="559"/>
      <c r="D441" s="559"/>
      <c r="E441" s="559"/>
      <c r="F441" s="559"/>
      <c r="G441" s="559"/>
      <c r="H441" s="559"/>
      <c r="I441" s="559"/>
      <c r="J441" s="559"/>
      <c r="K441" s="559"/>
      <c r="L441" s="559"/>
      <c r="M441" s="559"/>
      <c r="N441" s="559"/>
      <c r="O441" s="559"/>
      <c r="P441" s="559"/>
      <c r="Q441" s="559"/>
      <c r="R441" s="559"/>
      <c r="S441" s="559"/>
      <c r="T441" s="559"/>
      <c r="U441" s="559"/>
      <c r="V441" s="559"/>
      <c r="W441" s="559"/>
      <c r="X441" s="559"/>
      <c r="Y441" s="559"/>
      <c r="Z441" s="559"/>
      <c r="AA441" s="559"/>
      <c r="AB441" s="559"/>
      <c r="AC441" s="559"/>
      <c r="AD441" s="559"/>
      <c r="AE441" s="559"/>
      <c r="AF441" s="559"/>
      <c r="AG441" s="559"/>
    </row>
    <row r="442" spans="1:33" ht="18" customHeight="1" x14ac:dyDescent="0.35">
      <c r="A442" s="559"/>
      <c r="B442" s="559"/>
      <c r="C442" s="559"/>
      <c r="D442" s="559"/>
      <c r="E442" s="559"/>
      <c r="F442" s="559"/>
      <c r="G442" s="559"/>
      <c r="H442" s="559"/>
      <c r="I442" s="559"/>
      <c r="J442" s="559"/>
      <c r="K442" s="559"/>
      <c r="L442" s="559"/>
      <c r="M442" s="559"/>
      <c r="N442" s="559"/>
      <c r="O442" s="559"/>
      <c r="P442" s="559"/>
      <c r="Q442" s="559"/>
      <c r="R442" s="559"/>
      <c r="S442" s="559"/>
      <c r="T442" s="559"/>
      <c r="U442" s="559"/>
      <c r="V442" s="559"/>
      <c r="W442" s="559"/>
      <c r="X442" s="559"/>
      <c r="Y442" s="559"/>
      <c r="Z442" s="559"/>
      <c r="AA442" s="559"/>
      <c r="AB442" s="559"/>
      <c r="AC442" s="559"/>
      <c r="AD442" s="559"/>
      <c r="AE442" s="559"/>
      <c r="AF442" s="559"/>
      <c r="AG442" s="559"/>
    </row>
    <row r="443" spans="1:33" ht="18" customHeight="1" x14ac:dyDescent="0.35">
      <c r="A443" s="559"/>
      <c r="B443" s="559"/>
      <c r="C443" s="559"/>
      <c r="D443" s="559"/>
      <c r="E443" s="559"/>
      <c r="F443" s="559"/>
      <c r="G443" s="559"/>
      <c r="H443" s="559"/>
      <c r="I443" s="559"/>
      <c r="J443" s="559"/>
      <c r="K443" s="559"/>
      <c r="L443" s="559"/>
      <c r="M443" s="559"/>
      <c r="N443" s="559"/>
      <c r="O443" s="559"/>
      <c r="P443" s="559"/>
      <c r="Q443" s="559"/>
      <c r="R443" s="559"/>
      <c r="S443" s="559"/>
      <c r="T443" s="559"/>
      <c r="U443" s="559"/>
      <c r="V443" s="559"/>
      <c r="W443" s="559"/>
      <c r="X443" s="559"/>
      <c r="Y443" s="559"/>
      <c r="Z443" s="559"/>
      <c r="AA443" s="559"/>
      <c r="AB443" s="559"/>
      <c r="AC443" s="559"/>
      <c r="AD443" s="559"/>
      <c r="AE443" s="559"/>
      <c r="AF443" s="559"/>
      <c r="AG443" s="559"/>
    </row>
    <row r="444" spans="1:33" ht="18" customHeight="1" x14ac:dyDescent="0.35">
      <c r="A444" s="559"/>
      <c r="B444" s="559"/>
      <c r="C444" s="559"/>
      <c r="D444" s="559"/>
      <c r="E444" s="559"/>
      <c r="F444" s="559"/>
      <c r="G444" s="559"/>
      <c r="H444" s="559"/>
      <c r="I444" s="559"/>
      <c r="J444" s="559"/>
      <c r="K444" s="559"/>
      <c r="L444" s="559"/>
      <c r="M444" s="559"/>
      <c r="N444" s="559"/>
      <c r="O444" s="559"/>
      <c r="P444" s="559"/>
      <c r="Q444" s="559"/>
      <c r="R444" s="559"/>
      <c r="S444" s="559"/>
      <c r="T444" s="559"/>
      <c r="U444" s="559"/>
      <c r="V444" s="559"/>
      <c r="W444" s="559"/>
      <c r="X444" s="559"/>
      <c r="Y444" s="559"/>
      <c r="Z444" s="559"/>
      <c r="AA444" s="559"/>
      <c r="AB444" s="559"/>
      <c r="AC444" s="559"/>
      <c r="AD444" s="559"/>
      <c r="AE444" s="559"/>
      <c r="AF444" s="559"/>
      <c r="AG444" s="559"/>
    </row>
    <row r="445" spans="1:33" ht="18" customHeight="1" x14ac:dyDescent="0.35">
      <c r="A445" s="559"/>
      <c r="B445" s="559"/>
      <c r="C445" s="559"/>
      <c r="D445" s="559"/>
      <c r="E445" s="559"/>
      <c r="F445" s="559"/>
      <c r="G445" s="559"/>
      <c r="H445" s="559"/>
      <c r="I445" s="559"/>
      <c r="J445" s="559"/>
      <c r="K445" s="559"/>
      <c r="L445" s="559"/>
      <c r="M445" s="559"/>
      <c r="N445" s="559"/>
      <c r="O445" s="559"/>
      <c r="P445" s="559"/>
      <c r="Q445" s="559"/>
      <c r="R445" s="559"/>
      <c r="S445" s="559"/>
      <c r="T445" s="559"/>
      <c r="U445" s="559"/>
      <c r="V445" s="559"/>
      <c r="W445" s="559"/>
      <c r="X445" s="559"/>
      <c r="Y445" s="559"/>
      <c r="Z445" s="559"/>
      <c r="AA445" s="559"/>
      <c r="AB445" s="559"/>
      <c r="AC445" s="559"/>
      <c r="AD445" s="559"/>
      <c r="AE445" s="559"/>
      <c r="AF445" s="559"/>
      <c r="AG445" s="559"/>
    </row>
    <row r="446" spans="1:33" ht="18" customHeight="1" x14ac:dyDescent="0.35">
      <c r="A446" s="559"/>
      <c r="B446" s="559"/>
      <c r="C446" s="559"/>
      <c r="D446" s="559"/>
      <c r="E446" s="559"/>
      <c r="F446" s="559"/>
      <c r="G446" s="559"/>
      <c r="H446" s="559"/>
      <c r="I446" s="559"/>
      <c r="J446" s="559"/>
      <c r="K446" s="559"/>
      <c r="L446" s="559"/>
      <c r="M446" s="559"/>
      <c r="N446" s="559"/>
      <c r="O446" s="559"/>
      <c r="P446" s="559"/>
      <c r="Q446" s="559"/>
      <c r="R446" s="559"/>
      <c r="S446" s="559"/>
      <c r="T446" s="559"/>
      <c r="U446" s="559"/>
      <c r="V446" s="559"/>
      <c r="W446" s="559"/>
      <c r="X446" s="559"/>
      <c r="Y446" s="559"/>
      <c r="Z446" s="559"/>
      <c r="AA446" s="559"/>
      <c r="AB446" s="559"/>
      <c r="AC446" s="559"/>
      <c r="AD446" s="559"/>
      <c r="AE446" s="559"/>
      <c r="AF446" s="559"/>
      <c r="AG446" s="559"/>
    </row>
    <row r="447" spans="1:33" ht="18" customHeight="1" x14ac:dyDescent="0.35">
      <c r="A447" s="559"/>
      <c r="B447" s="559"/>
      <c r="C447" s="559"/>
      <c r="D447" s="559"/>
      <c r="E447" s="559"/>
      <c r="F447" s="559"/>
      <c r="G447" s="559"/>
      <c r="H447" s="559"/>
      <c r="I447" s="559"/>
      <c r="J447" s="559"/>
      <c r="K447" s="559"/>
      <c r="L447" s="559"/>
      <c r="M447" s="559"/>
      <c r="N447" s="559"/>
      <c r="O447" s="559"/>
      <c r="P447" s="559"/>
      <c r="Q447" s="559"/>
      <c r="R447" s="559"/>
      <c r="S447" s="559"/>
      <c r="T447" s="559"/>
      <c r="U447" s="559"/>
      <c r="V447" s="559"/>
      <c r="W447" s="559"/>
      <c r="X447" s="559"/>
      <c r="Y447" s="559"/>
      <c r="Z447" s="559"/>
      <c r="AA447" s="559"/>
      <c r="AB447" s="559"/>
      <c r="AC447" s="559"/>
      <c r="AD447" s="559"/>
      <c r="AE447" s="559"/>
      <c r="AF447" s="559"/>
      <c r="AG447" s="559"/>
    </row>
    <row r="448" spans="1:33" ht="18" customHeight="1" x14ac:dyDescent="0.35">
      <c r="A448" s="559"/>
      <c r="B448" s="559"/>
      <c r="C448" s="559"/>
      <c r="D448" s="559"/>
      <c r="E448" s="559"/>
      <c r="F448" s="559"/>
      <c r="G448" s="559"/>
      <c r="H448" s="559"/>
      <c r="I448" s="559"/>
      <c r="J448" s="559"/>
      <c r="K448" s="559"/>
      <c r="L448" s="559"/>
      <c r="M448" s="559"/>
      <c r="N448" s="559"/>
      <c r="O448" s="559"/>
      <c r="P448" s="559"/>
      <c r="Q448" s="559"/>
      <c r="R448" s="559"/>
      <c r="S448" s="559"/>
      <c r="T448" s="559"/>
      <c r="U448" s="559"/>
      <c r="V448" s="559"/>
      <c r="W448" s="559"/>
      <c r="X448" s="559"/>
      <c r="Y448" s="559"/>
      <c r="Z448" s="559"/>
      <c r="AA448" s="559"/>
      <c r="AB448" s="559"/>
      <c r="AC448" s="559"/>
      <c r="AD448" s="559"/>
      <c r="AE448" s="559"/>
      <c r="AF448" s="559"/>
      <c r="AG448" s="559"/>
    </row>
    <row r="449" spans="1:33" ht="18" customHeight="1" x14ac:dyDescent="0.35">
      <c r="A449" s="559"/>
      <c r="B449" s="559"/>
      <c r="C449" s="559"/>
      <c r="D449" s="559"/>
      <c r="E449" s="559"/>
      <c r="F449" s="559"/>
      <c r="G449" s="559"/>
      <c r="H449" s="559"/>
      <c r="I449" s="559"/>
      <c r="J449" s="559"/>
      <c r="K449" s="559"/>
      <c r="L449" s="559"/>
      <c r="M449" s="559"/>
      <c r="N449" s="559"/>
      <c r="O449" s="559"/>
      <c r="P449" s="559"/>
      <c r="Q449" s="559"/>
      <c r="R449" s="559"/>
      <c r="S449" s="559"/>
      <c r="T449" s="559"/>
      <c r="U449" s="559"/>
      <c r="V449" s="559"/>
      <c r="W449" s="559"/>
      <c r="X449" s="559"/>
      <c r="Y449" s="559"/>
      <c r="Z449" s="559"/>
      <c r="AA449" s="559"/>
      <c r="AB449" s="559"/>
      <c r="AC449" s="559"/>
      <c r="AD449" s="559"/>
      <c r="AE449" s="559"/>
      <c r="AF449" s="559"/>
      <c r="AG449" s="559"/>
    </row>
    <row r="450" spans="1:33" ht="18" customHeight="1" x14ac:dyDescent="0.35">
      <c r="A450" s="559"/>
      <c r="B450" s="559"/>
      <c r="C450" s="559"/>
      <c r="D450" s="559"/>
      <c r="E450" s="559"/>
      <c r="F450" s="559"/>
      <c r="G450" s="559"/>
      <c r="H450" s="559"/>
      <c r="I450" s="559"/>
      <c r="J450" s="559"/>
      <c r="K450" s="559"/>
      <c r="L450" s="559"/>
      <c r="M450" s="559"/>
      <c r="N450" s="559"/>
      <c r="O450" s="559"/>
      <c r="P450" s="559"/>
      <c r="Q450" s="559"/>
      <c r="R450" s="559"/>
      <c r="S450" s="559"/>
      <c r="T450" s="559"/>
      <c r="U450" s="559"/>
      <c r="V450" s="559"/>
      <c r="W450" s="559"/>
      <c r="X450" s="559"/>
      <c r="Y450" s="559"/>
      <c r="Z450" s="559"/>
      <c r="AA450" s="559"/>
      <c r="AB450" s="559"/>
      <c r="AC450" s="559"/>
      <c r="AD450" s="559"/>
      <c r="AE450" s="559"/>
      <c r="AF450" s="559"/>
      <c r="AG450" s="559"/>
    </row>
    <row r="451" spans="1:33" ht="18" customHeight="1" x14ac:dyDescent="0.35">
      <c r="A451" s="559"/>
      <c r="B451" s="559"/>
      <c r="C451" s="559"/>
      <c r="D451" s="559"/>
      <c r="E451" s="559"/>
      <c r="F451" s="559"/>
      <c r="G451" s="559"/>
      <c r="H451" s="559"/>
      <c r="I451" s="559"/>
      <c r="J451" s="559"/>
      <c r="K451" s="559"/>
      <c r="L451" s="559"/>
      <c r="M451" s="559"/>
      <c r="N451" s="559"/>
      <c r="O451" s="559"/>
      <c r="P451" s="559"/>
      <c r="Q451" s="559"/>
      <c r="R451" s="559"/>
      <c r="S451" s="559"/>
      <c r="T451" s="559"/>
      <c r="U451" s="559"/>
      <c r="V451" s="559"/>
      <c r="W451" s="559"/>
      <c r="X451" s="559"/>
      <c r="Y451" s="559"/>
      <c r="Z451" s="559"/>
      <c r="AA451" s="559"/>
      <c r="AB451" s="559"/>
      <c r="AC451" s="559"/>
      <c r="AD451" s="559"/>
      <c r="AE451" s="559"/>
      <c r="AF451" s="559"/>
      <c r="AG451" s="559"/>
    </row>
    <row r="452" spans="1:33" ht="18" customHeight="1" x14ac:dyDescent="0.35">
      <c r="A452" s="559"/>
      <c r="B452" s="559"/>
      <c r="C452" s="559"/>
      <c r="D452" s="559"/>
      <c r="E452" s="559"/>
      <c r="F452" s="559"/>
      <c r="G452" s="559"/>
      <c r="H452" s="559"/>
      <c r="I452" s="559"/>
      <c r="J452" s="559"/>
      <c r="K452" s="559"/>
      <c r="L452" s="559"/>
      <c r="M452" s="559"/>
      <c r="N452" s="559"/>
      <c r="O452" s="559"/>
      <c r="P452" s="559"/>
      <c r="Q452" s="559"/>
      <c r="R452" s="559"/>
      <c r="S452" s="559"/>
      <c r="T452" s="559"/>
      <c r="U452" s="559"/>
      <c r="V452" s="559"/>
      <c r="W452" s="559"/>
      <c r="X452" s="559"/>
      <c r="Y452" s="559"/>
      <c r="Z452" s="559"/>
      <c r="AA452" s="559"/>
      <c r="AB452" s="559"/>
      <c r="AC452" s="559"/>
      <c r="AD452" s="559"/>
      <c r="AE452" s="559"/>
      <c r="AF452" s="559"/>
      <c r="AG452" s="559"/>
    </row>
    <row r="453" spans="1:33" ht="18" customHeight="1" x14ac:dyDescent="0.35">
      <c r="A453" s="559"/>
      <c r="B453" s="559"/>
      <c r="C453" s="559"/>
      <c r="D453" s="559"/>
      <c r="E453" s="559"/>
      <c r="F453" s="559"/>
      <c r="G453" s="559"/>
      <c r="H453" s="559"/>
      <c r="I453" s="559"/>
      <c r="J453" s="559"/>
      <c r="K453" s="559"/>
      <c r="L453" s="559"/>
      <c r="M453" s="559"/>
      <c r="N453" s="559"/>
      <c r="O453" s="559"/>
      <c r="P453" s="559"/>
      <c r="Q453" s="559"/>
      <c r="R453" s="559"/>
      <c r="S453" s="559"/>
      <c r="T453" s="559"/>
      <c r="U453" s="559"/>
      <c r="V453" s="559"/>
      <c r="W453" s="559"/>
      <c r="X453" s="559"/>
      <c r="Y453" s="559"/>
      <c r="Z453" s="559"/>
      <c r="AA453" s="559"/>
      <c r="AB453" s="559"/>
      <c r="AC453" s="559"/>
      <c r="AD453" s="559"/>
      <c r="AE453" s="559"/>
      <c r="AF453" s="559"/>
      <c r="AG453" s="559"/>
    </row>
    <row r="454" spans="1:33" ht="18" customHeight="1" x14ac:dyDescent="0.35">
      <c r="A454" s="559"/>
      <c r="B454" s="559"/>
      <c r="C454" s="559"/>
      <c r="D454" s="559"/>
      <c r="E454" s="559"/>
      <c r="F454" s="559"/>
      <c r="G454" s="559"/>
      <c r="H454" s="559"/>
      <c r="I454" s="559"/>
      <c r="J454" s="559"/>
      <c r="K454" s="559"/>
      <c r="L454" s="559"/>
      <c r="M454" s="559"/>
      <c r="N454" s="559"/>
      <c r="O454" s="559"/>
      <c r="P454" s="559"/>
      <c r="Q454" s="559"/>
      <c r="R454" s="559"/>
      <c r="S454" s="559"/>
      <c r="T454" s="559"/>
      <c r="U454" s="559"/>
      <c r="V454" s="559"/>
      <c r="W454" s="559"/>
      <c r="X454" s="559"/>
      <c r="Y454" s="559"/>
      <c r="Z454" s="559"/>
      <c r="AA454" s="559"/>
      <c r="AB454" s="559"/>
      <c r="AC454" s="559"/>
      <c r="AD454" s="559"/>
      <c r="AE454" s="559"/>
      <c r="AF454" s="559"/>
      <c r="AG454" s="559"/>
    </row>
    <row r="455" spans="1:33" ht="18" customHeight="1" x14ac:dyDescent="0.35">
      <c r="A455" s="559"/>
      <c r="B455" s="559"/>
      <c r="C455" s="559"/>
      <c r="D455" s="559"/>
      <c r="E455" s="559"/>
      <c r="F455" s="559"/>
      <c r="G455" s="559"/>
      <c r="H455" s="559"/>
      <c r="I455" s="559"/>
      <c r="J455" s="559"/>
      <c r="K455" s="559"/>
      <c r="L455" s="559"/>
      <c r="M455" s="559"/>
      <c r="N455" s="559"/>
      <c r="O455" s="559"/>
      <c r="P455" s="559"/>
      <c r="Q455" s="559"/>
      <c r="R455" s="559"/>
      <c r="S455" s="559"/>
      <c r="T455" s="559"/>
      <c r="U455" s="559"/>
      <c r="V455" s="559"/>
      <c r="W455" s="559"/>
      <c r="X455" s="559"/>
      <c r="Y455" s="559"/>
      <c r="Z455" s="559"/>
      <c r="AA455" s="559"/>
      <c r="AB455" s="559"/>
      <c r="AC455" s="559"/>
      <c r="AD455" s="559"/>
      <c r="AE455" s="559"/>
      <c r="AF455" s="559"/>
      <c r="AG455" s="559"/>
    </row>
    <row r="456" spans="1:33" ht="18" customHeight="1" x14ac:dyDescent="0.35">
      <c r="A456" s="559"/>
      <c r="B456" s="559"/>
      <c r="C456" s="559"/>
      <c r="D456" s="559"/>
      <c r="E456" s="559"/>
      <c r="F456" s="559"/>
      <c r="G456" s="559"/>
      <c r="H456" s="559"/>
      <c r="I456" s="559"/>
      <c r="J456" s="559"/>
      <c r="K456" s="559"/>
      <c r="L456" s="559"/>
      <c r="M456" s="559"/>
      <c r="N456" s="559"/>
      <c r="O456" s="559"/>
      <c r="P456" s="559"/>
      <c r="Q456" s="559"/>
      <c r="R456" s="559"/>
      <c r="S456" s="559"/>
      <c r="T456" s="559"/>
      <c r="U456" s="559"/>
      <c r="V456" s="559"/>
      <c r="W456" s="559"/>
      <c r="X456" s="559"/>
      <c r="Y456" s="559"/>
      <c r="Z456" s="559"/>
      <c r="AA456" s="559"/>
      <c r="AB456" s="559"/>
      <c r="AC456" s="559"/>
      <c r="AD456" s="559"/>
      <c r="AE456" s="559"/>
      <c r="AF456" s="559"/>
      <c r="AG456" s="559"/>
    </row>
    <row r="457" spans="1:33" ht="18" customHeight="1" x14ac:dyDescent="0.35">
      <c r="A457" s="559"/>
      <c r="B457" s="559"/>
      <c r="C457" s="559"/>
      <c r="D457" s="559"/>
      <c r="E457" s="559"/>
      <c r="F457" s="559"/>
      <c r="G457" s="559"/>
      <c r="H457" s="559"/>
      <c r="I457" s="559"/>
      <c r="J457" s="559"/>
      <c r="K457" s="559"/>
      <c r="L457" s="559"/>
      <c r="M457" s="559"/>
      <c r="N457" s="559"/>
      <c r="O457" s="559"/>
      <c r="P457" s="559"/>
      <c r="Q457" s="559"/>
      <c r="R457" s="559"/>
      <c r="S457" s="559"/>
      <c r="T457" s="559"/>
      <c r="U457" s="559"/>
      <c r="V457" s="559"/>
      <c r="W457" s="559"/>
      <c r="X457" s="559"/>
      <c r="Y457" s="559"/>
      <c r="Z457" s="559"/>
      <c r="AA457" s="559"/>
      <c r="AB457" s="559"/>
      <c r="AC457" s="559"/>
      <c r="AD457" s="559"/>
      <c r="AE457" s="559"/>
      <c r="AF457" s="559"/>
      <c r="AG457" s="559"/>
    </row>
    <row r="458" spans="1:33" ht="18" customHeight="1" x14ac:dyDescent="0.35">
      <c r="A458" s="559"/>
      <c r="B458" s="559"/>
      <c r="C458" s="559"/>
      <c r="D458" s="559"/>
      <c r="E458" s="559"/>
      <c r="F458" s="559"/>
      <c r="G458" s="559"/>
      <c r="H458" s="559"/>
      <c r="I458" s="559"/>
      <c r="J458" s="559"/>
      <c r="K458" s="559"/>
      <c r="L458" s="559"/>
      <c r="M458" s="559"/>
      <c r="N458" s="559"/>
      <c r="O458" s="559"/>
      <c r="P458" s="559"/>
      <c r="Q458" s="559"/>
      <c r="R458" s="559"/>
      <c r="S458" s="559"/>
      <c r="T458" s="559"/>
      <c r="U458" s="559"/>
      <c r="V458" s="559"/>
      <c r="W458" s="559"/>
      <c r="X458" s="559"/>
      <c r="Y458" s="559"/>
      <c r="Z458" s="559"/>
      <c r="AA458" s="559"/>
      <c r="AB458" s="559"/>
      <c r="AC458" s="559"/>
      <c r="AD458" s="559"/>
      <c r="AE458" s="559"/>
      <c r="AF458" s="559"/>
      <c r="AG458" s="559"/>
    </row>
    <row r="459" spans="1:33" ht="18" customHeight="1" x14ac:dyDescent="0.35">
      <c r="A459" s="559"/>
      <c r="B459" s="559"/>
      <c r="C459" s="559"/>
      <c r="D459" s="559"/>
      <c r="E459" s="559"/>
      <c r="F459" s="559"/>
      <c r="G459" s="559"/>
      <c r="H459" s="559"/>
      <c r="I459" s="559"/>
      <c r="J459" s="559"/>
      <c r="K459" s="559"/>
      <c r="L459" s="559"/>
      <c r="M459" s="559"/>
      <c r="N459" s="559"/>
      <c r="O459" s="559"/>
      <c r="P459" s="559"/>
      <c r="Q459" s="559"/>
      <c r="R459" s="559"/>
      <c r="S459" s="559"/>
      <c r="T459" s="559"/>
      <c r="U459" s="559"/>
      <c r="V459" s="559"/>
      <c r="W459" s="559"/>
      <c r="X459" s="559"/>
      <c r="Y459" s="559"/>
      <c r="Z459" s="559"/>
      <c r="AA459" s="559"/>
      <c r="AB459" s="559"/>
      <c r="AC459" s="559"/>
      <c r="AD459" s="559"/>
      <c r="AE459" s="559"/>
      <c r="AF459" s="559"/>
      <c r="AG459" s="559"/>
    </row>
    <row r="460" spans="1:33" ht="18" customHeight="1" x14ac:dyDescent="0.35">
      <c r="A460" s="559"/>
      <c r="B460" s="559"/>
      <c r="C460" s="559"/>
      <c r="D460" s="559"/>
      <c r="E460" s="559"/>
      <c r="F460" s="559"/>
      <c r="G460" s="559"/>
      <c r="H460" s="559"/>
      <c r="I460" s="559"/>
      <c r="J460" s="559"/>
      <c r="K460" s="559"/>
      <c r="L460" s="559"/>
      <c r="M460" s="559"/>
      <c r="N460" s="559"/>
      <c r="O460" s="559"/>
      <c r="P460" s="559"/>
      <c r="Q460" s="559"/>
      <c r="R460" s="559"/>
      <c r="S460" s="559"/>
      <c r="T460" s="559"/>
      <c r="U460" s="559"/>
      <c r="V460" s="559"/>
      <c r="W460" s="559"/>
      <c r="X460" s="559"/>
      <c r="Y460" s="559"/>
      <c r="Z460" s="559"/>
      <c r="AA460" s="559"/>
      <c r="AB460" s="559"/>
      <c r="AC460" s="559"/>
      <c r="AD460" s="559"/>
      <c r="AE460" s="559"/>
      <c r="AF460" s="559"/>
      <c r="AG460" s="559"/>
    </row>
    <row r="461" spans="1:33" ht="18" customHeight="1" x14ac:dyDescent="0.35">
      <c r="A461" s="559"/>
      <c r="B461" s="559"/>
      <c r="C461" s="559"/>
      <c r="D461" s="559"/>
      <c r="E461" s="559"/>
      <c r="F461" s="559"/>
      <c r="G461" s="559"/>
      <c r="H461" s="559"/>
      <c r="I461" s="559"/>
      <c r="J461" s="559"/>
      <c r="K461" s="559"/>
      <c r="L461" s="559"/>
      <c r="M461" s="559"/>
      <c r="N461" s="559"/>
      <c r="O461" s="559"/>
      <c r="P461" s="559"/>
      <c r="Q461" s="559"/>
      <c r="R461" s="559"/>
      <c r="S461" s="559"/>
      <c r="T461" s="559"/>
      <c r="U461" s="559"/>
      <c r="V461" s="559"/>
      <c r="W461" s="559"/>
      <c r="X461" s="559"/>
      <c r="Y461" s="559"/>
      <c r="Z461" s="559"/>
      <c r="AA461" s="559"/>
      <c r="AB461" s="559"/>
      <c r="AC461" s="559"/>
      <c r="AD461" s="559"/>
      <c r="AE461" s="559"/>
      <c r="AF461" s="559"/>
      <c r="AG461" s="559"/>
    </row>
    <row r="462" spans="1:33" ht="18" customHeight="1" x14ac:dyDescent="0.35">
      <c r="A462" s="559"/>
      <c r="B462" s="559"/>
      <c r="C462" s="559"/>
      <c r="D462" s="559"/>
      <c r="E462" s="559"/>
      <c r="F462" s="559"/>
      <c r="G462" s="559"/>
      <c r="H462" s="559"/>
      <c r="I462" s="559"/>
      <c r="J462" s="559"/>
      <c r="K462" s="559"/>
      <c r="L462" s="559"/>
      <c r="M462" s="559"/>
      <c r="N462" s="559"/>
      <c r="O462" s="559"/>
      <c r="P462" s="559"/>
      <c r="Q462" s="559"/>
      <c r="R462" s="559"/>
      <c r="S462" s="559"/>
      <c r="T462" s="559"/>
      <c r="U462" s="559"/>
      <c r="V462" s="559"/>
      <c r="W462" s="559"/>
      <c r="X462" s="559"/>
      <c r="Y462" s="559"/>
      <c r="Z462" s="559"/>
      <c r="AA462" s="559"/>
      <c r="AB462" s="559"/>
      <c r="AC462" s="559"/>
      <c r="AD462" s="559"/>
      <c r="AE462" s="559"/>
      <c r="AF462" s="559"/>
      <c r="AG462" s="559"/>
    </row>
    <row r="463" spans="1:33" ht="18" customHeight="1" x14ac:dyDescent="0.35">
      <c r="A463" s="559"/>
      <c r="B463" s="559"/>
      <c r="C463" s="559"/>
      <c r="D463" s="559"/>
      <c r="E463" s="559"/>
      <c r="F463" s="559"/>
      <c r="G463" s="559"/>
      <c r="H463" s="559"/>
      <c r="I463" s="559"/>
      <c r="J463" s="559"/>
      <c r="K463" s="559"/>
      <c r="L463" s="559"/>
      <c r="M463" s="559"/>
      <c r="N463" s="559"/>
      <c r="O463" s="559"/>
      <c r="P463" s="559"/>
      <c r="Q463" s="559"/>
      <c r="R463" s="559"/>
      <c r="S463" s="559"/>
      <c r="T463" s="559"/>
      <c r="U463" s="559"/>
      <c r="V463" s="559"/>
      <c r="W463" s="559"/>
      <c r="X463" s="559"/>
      <c r="Y463" s="559"/>
      <c r="Z463" s="559"/>
      <c r="AA463" s="559"/>
      <c r="AB463" s="559"/>
      <c r="AC463" s="559"/>
      <c r="AD463" s="559"/>
      <c r="AE463" s="559"/>
      <c r="AF463" s="559"/>
      <c r="AG463" s="559"/>
    </row>
    <row r="464" spans="1:33" ht="18" customHeight="1" x14ac:dyDescent="0.35">
      <c r="A464" s="559"/>
      <c r="B464" s="559"/>
      <c r="C464" s="559"/>
      <c r="D464" s="559"/>
      <c r="E464" s="559"/>
      <c r="F464" s="559"/>
      <c r="G464" s="559"/>
      <c r="H464" s="559"/>
      <c r="I464" s="559"/>
      <c r="J464" s="559"/>
      <c r="K464" s="559"/>
      <c r="L464" s="559"/>
      <c r="M464" s="559"/>
      <c r="N464" s="559"/>
      <c r="O464" s="559"/>
      <c r="P464" s="559"/>
      <c r="Q464" s="559"/>
      <c r="R464" s="559"/>
      <c r="S464" s="559"/>
      <c r="T464" s="559"/>
      <c r="U464" s="559"/>
      <c r="V464" s="559"/>
      <c r="W464" s="559"/>
      <c r="X464" s="559"/>
      <c r="Y464" s="559"/>
      <c r="Z464" s="559"/>
      <c r="AA464" s="559"/>
      <c r="AB464" s="559"/>
      <c r="AC464" s="559"/>
      <c r="AD464" s="559"/>
      <c r="AE464" s="559"/>
      <c r="AF464" s="559"/>
      <c r="AG464" s="559"/>
    </row>
    <row r="465" spans="1:33" ht="18" customHeight="1" x14ac:dyDescent="0.35">
      <c r="A465" s="559"/>
      <c r="B465" s="559"/>
      <c r="C465" s="559"/>
      <c r="D465" s="559"/>
      <c r="E465" s="559"/>
      <c r="F465" s="559"/>
      <c r="G465" s="559"/>
      <c r="H465" s="559"/>
      <c r="I465" s="559"/>
      <c r="J465" s="559"/>
      <c r="K465" s="559"/>
      <c r="L465" s="559"/>
      <c r="M465" s="559"/>
      <c r="N465" s="559"/>
      <c r="O465" s="559"/>
      <c r="P465" s="559"/>
      <c r="Q465" s="559"/>
      <c r="R465" s="559"/>
      <c r="S465" s="559"/>
      <c r="T465" s="559"/>
      <c r="U465" s="559"/>
      <c r="V465" s="559"/>
      <c r="W465" s="559"/>
      <c r="X465" s="559"/>
      <c r="Y465" s="559"/>
      <c r="Z465" s="559"/>
      <c r="AA465" s="559"/>
      <c r="AB465" s="559"/>
      <c r="AC465" s="559"/>
      <c r="AD465" s="559"/>
      <c r="AE465" s="559"/>
      <c r="AF465" s="559"/>
      <c r="AG465" s="559"/>
    </row>
    <row r="466" spans="1:33" ht="18" customHeight="1" x14ac:dyDescent="0.35">
      <c r="A466" s="559"/>
      <c r="B466" s="559"/>
      <c r="C466" s="559"/>
      <c r="D466" s="559"/>
      <c r="E466" s="559"/>
      <c r="F466" s="559"/>
      <c r="G466" s="559"/>
      <c r="H466" s="559"/>
      <c r="I466" s="559"/>
      <c r="J466" s="559"/>
      <c r="K466" s="559"/>
      <c r="L466" s="559"/>
      <c r="M466" s="559"/>
      <c r="N466" s="559"/>
      <c r="O466" s="559"/>
      <c r="P466" s="559"/>
      <c r="Q466" s="559"/>
      <c r="R466" s="559"/>
      <c r="S466" s="559"/>
      <c r="T466" s="559"/>
      <c r="U466" s="559"/>
      <c r="V466" s="559"/>
      <c r="W466" s="559"/>
      <c r="X466" s="559"/>
      <c r="Y466" s="559"/>
      <c r="Z466" s="559"/>
      <c r="AA466" s="559"/>
      <c r="AB466" s="559"/>
      <c r="AC466" s="559"/>
      <c r="AD466" s="559"/>
      <c r="AE466" s="559"/>
      <c r="AF466" s="559"/>
      <c r="AG466" s="559"/>
    </row>
    <row r="467" spans="1:33" ht="18" customHeight="1" x14ac:dyDescent="0.35">
      <c r="A467" s="559"/>
      <c r="B467" s="559"/>
      <c r="C467" s="559"/>
      <c r="D467" s="559"/>
      <c r="E467" s="559"/>
      <c r="F467" s="559"/>
      <c r="G467" s="559"/>
      <c r="H467" s="559"/>
      <c r="I467" s="559"/>
      <c r="J467" s="559"/>
      <c r="K467" s="559"/>
      <c r="L467" s="559"/>
      <c r="M467" s="559"/>
      <c r="N467" s="559"/>
      <c r="O467" s="559"/>
      <c r="P467" s="559"/>
      <c r="Q467" s="559"/>
      <c r="R467" s="559"/>
      <c r="S467" s="559"/>
      <c r="T467" s="559"/>
      <c r="U467" s="559"/>
      <c r="V467" s="559"/>
      <c r="W467" s="559"/>
      <c r="X467" s="559"/>
      <c r="Y467" s="559"/>
      <c r="Z467" s="559"/>
      <c r="AA467" s="559"/>
      <c r="AB467" s="559"/>
      <c r="AC467" s="559"/>
      <c r="AD467" s="559"/>
      <c r="AE467" s="559"/>
      <c r="AF467" s="559"/>
      <c r="AG467" s="559"/>
    </row>
    <row r="468" spans="1:33" ht="18" customHeight="1" x14ac:dyDescent="0.35">
      <c r="A468" s="559"/>
      <c r="B468" s="559"/>
      <c r="C468" s="559"/>
      <c r="D468" s="559"/>
      <c r="E468" s="559"/>
      <c r="F468" s="559"/>
      <c r="G468" s="559"/>
      <c r="H468" s="559"/>
      <c r="I468" s="559"/>
      <c r="J468" s="559"/>
      <c r="K468" s="559"/>
      <c r="L468" s="559"/>
      <c r="M468" s="559"/>
      <c r="N468" s="559"/>
      <c r="O468" s="559"/>
      <c r="P468" s="559"/>
      <c r="Q468" s="559"/>
      <c r="R468" s="559"/>
      <c r="S468" s="559"/>
      <c r="T468" s="559"/>
      <c r="U468" s="559"/>
      <c r="V468" s="559"/>
      <c r="W468" s="559"/>
      <c r="X468" s="559"/>
      <c r="Y468" s="559"/>
      <c r="Z468" s="559"/>
      <c r="AA468" s="559"/>
      <c r="AB468" s="559"/>
      <c r="AC468" s="559"/>
      <c r="AD468" s="559"/>
      <c r="AE468" s="559"/>
      <c r="AF468" s="559"/>
      <c r="AG468" s="559"/>
    </row>
    <row r="469" spans="1:33" ht="18" customHeight="1" x14ac:dyDescent="0.35">
      <c r="A469" s="559"/>
      <c r="B469" s="559"/>
      <c r="C469" s="559"/>
      <c r="D469" s="559"/>
      <c r="E469" s="559"/>
      <c r="F469" s="559"/>
      <c r="G469" s="559"/>
      <c r="H469" s="559"/>
      <c r="I469" s="559"/>
      <c r="J469" s="559"/>
      <c r="K469" s="559"/>
      <c r="L469" s="559"/>
      <c r="M469" s="559"/>
      <c r="N469" s="559"/>
      <c r="O469" s="559"/>
      <c r="P469" s="559"/>
      <c r="Q469" s="559"/>
      <c r="R469" s="559"/>
      <c r="S469" s="559"/>
      <c r="T469" s="559"/>
      <c r="U469" s="559"/>
      <c r="V469" s="559"/>
      <c r="W469" s="559"/>
      <c r="X469" s="559"/>
      <c r="Y469" s="559"/>
      <c r="Z469" s="559"/>
      <c r="AA469" s="559"/>
      <c r="AB469" s="559"/>
      <c r="AC469" s="559"/>
      <c r="AD469" s="559"/>
      <c r="AE469" s="559"/>
      <c r="AF469" s="559"/>
      <c r="AG469" s="559"/>
    </row>
    <row r="470" spans="1:33" ht="18" customHeight="1" x14ac:dyDescent="0.35">
      <c r="A470" s="559"/>
      <c r="B470" s="559"/>
      <c r="C470" s="559"/>
      <c r="D470" s="559"/>
      <c r="E470" s="559"/>
      <c r="F470" s="559"/>
      <c r="G470" s="559"/>
      <c r="H470" s="559"/>
      <c r="I470" s="559"/>
      <c r="J470" s="559"/>
      <c r="K470" s="559"/>
      <c r="L470" s="559"/>
      <c r="M470" s="559"/>
      <c r="N470" s="559"/>
      <c r="O470" s="559"/>
      <c r="P470" s="559"/>
      <c r="Q470" s="559"/>
      <c r="R470" s="559"/>
      <c r="S470" s="559"/>
      <c r="T470" s="559"/>
      <c r="U470" s="559"/>
      <c r="V470" s="559"/>
      <c r="W470" s="559"/>
      <c r="X470" s="559"/>
      <c r="Y470" s="559"/>
      <c r="Z470" s="559"/>
      <c r="AA470" s="559"/>
      <c r="AB470" s="559"/>
      <c r="AC470" s="559"/>
      <c r="AD470" s="559"/>
      <c r="AE470" s="559"/>
      <c r="AF470" s="559"/>
      <c r="AG470" s="559"/>
    </row>
    <row r="471" spans="1:33" ht="18" customHeight="1" x14ac:dyDescent="0.35">
      <c r="A471" s="559"/>
      <c r="B471" s="559"/>
      <c r="C471" s="559"/>
      <c r="D471" s="559"/>
      <c r="E471" s="559"/>
      <c r="F471" s="559"/>
      <c r="G471" s="559"/>
      <c r="H471" s="559"/>
      <c r="I471" s="559"/>
      <c r="J471" s="559"/>
      <c r="K471" s="559"/>
      <c r="L471" s="559"/>
      <c r="M471" s="559"/>
      <c r="N471" s="559"/>
      <c r="O471" s="559"/>
      <c r="P471" s="559"/>
      <c r="Q471" s="559"/>
      <c r="R471" s="559"/>
      <c r="S471" s="559"/>
      <c r="T471" s="559"/>
      <c r="U471" s="559"/>
      <c r="V471" s="559"/>
      <c r="W471" s="559"/>
      <c r="X471" s="559"/>
      <c r="Y471" s="559"/>
      <c r="Z471" s="559"/>
      <c r="AA471" s="559"/>
      <c r="AB471" s="559"/>
      <c r="AC471" s="559"/>
      <c r="AD471" s="559"/>
      <c r="AE471" s="559"/>
      <c r="AF471" s="559"/>
      <c r="AG471" s="559"/>
    </row>
    <row r="472" spans="1:33" ht="18" customHeight="1" x14ac:dyDescent="0.35">
      <c r="A472" s="559"/>
      <c r="B472" s="559"/>
      <c r="C472" s="559"/>
      <c r="D472" s="559"/>
      <c r="E472" s="559"/>
      <c r="F472" s="559"/>
      <c r="G472" s="559"/>
      <c r="H472" s="559"/>
      <c r="I472" s="559"/>
      <c r="J472" s="559"/>
      <c r="K472" s="559"/>
      <c r="L472" s="559"/>
      <c r="M472" s="559"/>
      <c r="N472" s="559"/>
      <c r="O472" s="559"/>
      <c r="P472" s="559"/>
      <c r="Q472" s="559"/>
      <c r="R472" s="559"/>
      <c r="S472" s="559"/>
      <c r="T472" s="559"/>
      <c r="U472" s="559"/>
      <c r="V472" s="559"/>
      <c r="W472" s="559"/>
      <c r="X472" s="559"/>
      <c r="Y472" s="559"/>
      <c r="Z472" s="559"/>
      <c r="AA472" s="559"/>
      <c r="AB472" s="559"/>
      <c r="AC472" s="559"/>
      <c r="AD472" s="559"/>
      <c r="AE472" s="559"/>
      <c r="AF472" s="559"/>
      <c r="AG472" s="559"/>
    </row>
    <row r="473" spans="1:33" ht="18" customHeight="1" x14ac:dyDescent="0.35">
      <c r="A473" s="559"/>
      <c r="B473" s="559"/>
      <c r="C473" s="559"/>
      <c r="D473" s="559"/>
      <c r="E473" s="559"/>
      <c r="F473" s="559"/>
      <c r="G473" s="559"/>
      <c r="H473" s="559"/>
      <c r="I473" s="559"/>
      <c r="J473" s="559"/>
      <c r="K473" s="559"/>
      <c r="L473" s="559"/>
      <c r="M473" s="559"/>
      <c r="N473" s="559"/>
      <c r="O473" s="559"/>
      <c r="P473" s="559"/>
      <c r="Q473" s="559"/>
      <c r="R473" s="559"/>
      <c r="S473" s="559"/>
      <c r="T473" s="559"/>
      <c r="U473" s="559"/>
      <c r="V473" s="559"/>
      <c r="W473" s="559"/>
      <c r="X473" s="559"/>
      <c r="Y473" s="559"/>
      <c r="Z473" s="559"/>
      <c r="AA473" s="559"/>
      <c r="AB473" s="559"/>
      <c r="AC473" s="559"/>
      <c r="AD473" s="559"/>
      <c r="AE473" s="559"/>
      <c r="AF473" s="559"/>
      <c r="AG473" s="559"/>
    </row>
    <row r="474" spans="1:33" ht="18" customHeight="1" x14ac:dyDescent="0.35">
      <c r="A474" s="559"/>
      <c r="B474" s="559"/>
      <c r="C474" s="559"/>
      <c r="D474" s="559"/>
      <c r="E474" s="559"/>
      <c r="F474" s="559"/>
      <c r="G474" s="559"/>
      <c r="H474" s="559"/>
      <c r="I474" s="559"/>
      <c r="J474" s="559"/>
      <c r="K474" s="559"/>
      <c r="L474" s="559"/>
      <c r="M474" s="559"/>
      <c r="N474" s="559"/>
      <c r="O474" s="559"/>
      <c r="P474" s="559"/>
      <c r="Q474" s="559"/>
      <c r="R474" s="559"/>
      <c r="S474" s="559"/>
      <c r="T474" s="559"/>
      <c r="U474" s="559"/>
      <c r="V474" s="559"/>
      <c r="W474" s="559"/>
      <c r="X474" s="559"/>
      <c r="Y474" s="559"/>
      <c r="Z474" s="559"/>
      <c r="AA474" s="559"/>
      <c r="AB474" s="559"/>
      <c r="AC474" s="559"/>
      <c r="AD474" s="559"/>
      <c r="AE474" s="559"/>
      <c r="AF474" s="559"/>
      <c r="AG474" s="559"/>
    </row>
    <row r="475" spans="1:33" ht="18" customHeight="1" x14ac:dyDescent="0.35">
      <c r="A475" s="559"/>
      <c r="B475" s="559"/>
      <c r="C475" s="559"/>
      <c r="D475" s="559"/>
      <c r="E475" s="559"/>
      <c r="F475" s="559"/>
      <c r="G475" s="559"/>
      <c r="H475" s="559"/>
      <c r="I475" s="559"/>
      <c r="J475" s="559"/>
      <c r="K475" s="559"/>
      <c r="L475" s="559"/>
      <c r="M475" s="559"/>
      <c r="N475" s="559"/>
      <c r="O475" s="559"/>
      <c r="P475" s="559"/>
      <c r="Q475" s="559"/>
      <c r="R475" s="559"/>
      <c r="S475" s="559"/>
      <c r="T475" s="559"/>
      <c r="U475" s="559"/>
      <c r="V475" s="559"/>
      <c r="W475" s="559"/>
      <c r="X475" s="559"/>
      <c r="Y475" s="559"/>
      <c r="Z475" s="559"/>
      <c r="AA475" s="559"/>
      <c r="AB475" s="559"/>
      <c r="AC475" s="559"/>
      <c r="AD475" s="559"/>
      <c r="AE475" s="559"/>
      <c r="AF475" s="559"/>
      <c r="AG475" s="559"/>
    </row>
    <row r="476" spans="1:33" ht="18" customHeight="1" x14ac:dyDescent="0.35">
      <c r="A476" s="559"/>
      <c r="B476" s="559"/>
      <c r="C476" s="559"/>
      <c r="D476" s="559"/>
      <c r="E476" s="559"/>
      <c r="F476" s="559"/>
      <c r="G476" s="559"/>
      <c r="H476" s="559"/>
      <c r="I476" s="559"/>
      <c r="J476" s="559"/>
      <c r="K476" s="559"/>
      <c r="L476" s="559"/>
      <c r="M476" s="559"/>
      <c r="N476" s="559"/>
      <c r="O476" s="559"/>
      <c r="P476" s="559"/>
      <c r="Q476" s="559"/>
      <c r="R476" s="559"/>
      <c r="S476" s="559"/>
      <c r="T476" s="559"/>
      <c r="U476" s="559"/>
      <c r="V476" s="559"/>
      <c r="W476" s="559"/>
      <c r="X476" s="559"/>
      <c r="Y476" s="559"/>
      <c r="Z476" s="559"/>
      <c r="AA476" s="559"/>
      <c r="AB476" s="559"/>
      <c r="AC476" s="559"/>
      <c r="AD476" s="559"/>
      <c r="AE476" s="559"/>
      <c r="AF476" s="559"/>
      <c r="AG476" s="559"/>
    </row>
    <row r="477" spans="1:33" ht="18" customHeight="1" x14ac:dyDescent="0.35">
      <c r="A477" s="559"/>
      <c r="B477" s="559"/>
      <c r="C477" s="559"/>
      <c r="D477" s="559"/>
      <c r="E477" s="559"/>
      <c r="F477" s="559"/>
      <c r="G477" s="559"/>
      <c r="H477" s="559"/>
      <c r="I477" s="559"/>
      <c r="J477" s="559"/>
      <c r="K477" s="559"/>
      <c r="L477" s="559"/>
      <c r="M477" s="559"/>
      <c r="N477" s="559"/>
      <c r="O477" s="559"/>
      <c r="P477" s="559"/>
      <c r="Q477" s="559"/>
      <c r="R477" s="559"/>
      <c r="S477" s="559"/>
      <c r="T477" s="559"/>
      <c r="U477" s="559"/>
      <c r="V477" s="559"/>
      <c r="W477" s="559"/>
      <c r="X477" s="559"/>
      <c r="Y477" s="559"/>
      <c r="Z477" s="559"/>
      <c r="AA477" s="559"/>
      <c r="AB477" s="559"/>
      <c r="AC477" s="559"/>
      <c r="AD477" s="559"/>
      <c r="AE477" s="559"/>
      <c r="AF477" s="559"/>
      <c r="AG477" s="559"/>
    </row>
    <row r="478" spans="1:33" ht="18" customHeight="1" x14ac:dyDescent="0.35">
      <c r="A478" s="559"/>
      <c r="B478" s="559"/>
      <c r="C478" s="559"/>
      <c r="D478" s="559"/>
      <c r="E478" s="559"/>
      <c r="F478" s="559"/>
      <c r="G478" s="559"/>
      <c r="H478" s="559"/>
      <c r="I478" s="559"/>
      <c r="J478" s="559"/>
      <c r="K478" s="559"/>
      <c r="L478" s="559"/>
      <c r="M478" s="559"/>
      <c r="N478" s="559"/>
      <c r="O478" s="559"/>
      <c r="P478" s="559"/>
      <c r="Q478" s="559"/>
      <c r="R478" s="559"/>
      <c r="S478" s="559"/>
      <c r="T478" s="559"/>
      <c r="U478" s="559"/>
      <c r="V478" s="559"/>
      <c r="W478" s="559"/>
      <c r="X478" s="559"/>
      <c r="Y478" s="559"/>
      <c r="Z478" s="559"/>
      <c r="AA478" s="559"/>
      <c r="AB478" s="559"/>
      <c r="AC478" s="559"/>
      <c r="AD478" s="559"/>
      <c r="AE478" s="559"/>
      <c r="AF478" s="559"/>
      <c r="AG478" s="559"/>
    </row>
    <row r="479" spans="1:33" ht="18" customHeight="1" x14ac:dyDescent="0.35">
      <c r="A479" s="559"/>
      <c r="B479" s="559"/>
      <c r="C479" s="559"/>
      <c r="D479" s="559"/>
      <c r="E479" s="559"/>
      <c r="F479" s="559"/>
      <c r="G479" s="559"/>
      <c r="H479" s="559"/>
      <c r="I479" s="559"/>
      <c r="J479" s="559"/>
      <c r="K479" s="559"/>
      <c r="L479" s="559"/>
      <c r="M479" s="559"/>
      <c r="N479" s="559"/>
      <c r="O479" s="559"/>
      <c r="P479" s="559"/>
      <c r="Q479" s="559"/>
      <c r="R479" s="559"/>
      <c r="S479" s="559"/>
      <c r="T479" s="559"/>
      <c r="U479" s="559"/>
      <c r="V479" s="559"/>
      <c r="W479" s="559"/>
      <c r="X479" s="559"/>
      <c r="Y479" s="559"/>
      <c r="Z479" s="559"/>
      <c r="AA479" s="559"/>
      <c r="AB479" s="559"/>
      <c r="AC479" s="559"/>
      <c r="AD479" s="559"/>
      <c r="AE479" s="559"/>
      <c r="AF479" s="559"/>
      <c r="AG479" s="559"/>
    </row>
    <row r="480" spans="1:33" ht="18" customHeight="1" x14ac:dyDescent="0.35">
      <c r="A480" s="559"/>
      <c r="B480" s="559"/>
      <c r="C480" s="559"/>
      <c r="D480" s="559"/>
      <c r="E480" s="559"/>
      <c r="F480" s="559"/>
      <c r="G480" s="559"/>
      <c r="H480" s="559"/>
      <c r="I480" s="559"/>
      <c r="J480" s="559"/>
      <c r="K480" s="559"/>
      <c r="L480" s="559"/>
      <c r="M480" s="559"/>
      <c r="N480" s="559"/>
      <c r="O480" s="559"/>
      <c r="P480" s="559"/>
      <c r="Q480" s="559"/>
      <c r="R480" s="559"/>
      <c r="S480" s="559"/>
      <c r="T480" s="559"/>
      <c r="U480" s="559"/>
      <c r="V480" s="559"/>
      <c r="W480" s="559"/>
      <c r="X480" s="559"/>
      <c r="Y480" s="559"/>
      <c r="Z480" s="559"/>
      <c r="AA480" s="559"/>
      <c r="AB480" s="559"/>
      <c r="AC480" s="559"/>
      <c r="AD480" s="559"/>
      <c r="AE480" s="559"/>
      <c r="AF480" s="559"/>
      <c r="AG480" s="559"/>
    </row>
    <row r="481" spans="1:33" ht="18" customHeight="1" x14ac:dyDescent="0.35">
      <c r="A481" s="559"/>
      <c r="B481" s="559"/>
      <c r="C481" s="559"/>
      <c r="D481" s="559"/>
      <c r="E481" s="559"/>
      <c r="F481" s="559"/>
      <c r="G481" s="559"/>
      <c r="H481" s="559"/>
      <c r="I481" s="559"/>
      <c r="J481" s="559"/>
      <c r="K481" s="559"/>
      <c r="L481" s="559"/>
      <c r="M481" s="559"/>
      <c r="N481" s="559"/>
      <c r="O481" s="559"/>
      <c r="P481" s="559"/>
      <c r="Q481" s="559"/>
      <c r="R481" s="559"/>
      <c r="S481" s="559"/>
      <c r="T481" s="559"/>
      <c r="U481" s="559"/>
      <c r="V481" s="559"/>
      <c r="W481" s="559"/>
      <c r="X481" s="559"/>
      <c r="Y481" s="559"/>
      <c r="Z481" s="559"/>
      <c r="AA481" s="559"/>
      <c r="AB481" s="559"/>
      <c r="AC481" s="559"/>
      <c r="AD481" s="559"/>
      <c r="AE481" s="559"/>
      <c r="AF481" s="559"/>
      <c r="AG481" s="559"/>
    </row>
    <row r="482" spans="1:33" ht="18" customHeight="1" x14ac:dyDescent="0.35">
      <c r="A482" s="559"/>
      <c r="B482" s="559"/>
      <c r="C482" s="559"/>
      <c r="D482" s="559"/>
      <c r="E482" s="559"/>
      <c r="F482" s="559"/>
      <c r="G482" s="559"/>
      <c r="H482" s="559"/>
      <c r="I482" s="559"/>
      <c r="J482" s="559"/>
      <c r="K482" s="559"/>
      <c r="L482" s="559"/>
      <c r="M482" s="559"/>
      <c r="N482" s="559"/>
      <c r="O482" s="559"/>
      <c r="P482" s="559"/>
      <c r="Q482" s="559"/>
      <c r="R482" s="559"/>
      <c r="S482" s="559"/>
      <c r="T482" s="559"/>
      <c r="U482" s="559"/>
      <c r="V482" s="559"/>
      <c r="W482" s="559"/>
      <c r="X482" s="559"/>
      <c r="Y482" s="559"/>
      <c r="Z482" s="559"/>
      <c r="AA482" s="559"/>
      <c r="AB482" s="559"/>
      <c r="AC482" s="559"/>
      <c r="AD482" s="559"/>
      <c r="AE482" s="559"/>
      <c r="AF482" s="559"/>
      <c r="AG482" s="559"/>
    </row>
    <row r="483" spans="1:33" ht="18" customHeight="1" x14ac:dyDescent="0.35">
      <c r="A483" s="559"/>
      <c r="B483" s="559"/>
      <c r="C483" s="559"/>
      <c r="D483" s="559"/>
      <c r="E483" s="559"/>
      <c r="F483" s="559"/>
      <c r="G483" s="559"/>
      <c r="H483" s="559"/>
      <c r="I483" s="559"/>
      <c r="J483" s="559"/>
      <c r="K483" s="559"/>
      <c r="L483" s="559"/>
      <c r="M483" s="559"/>
      <c r="N483" s="559"/>
      <c r="O483" s="559"/>
      <c r="P483" s="559"/>
      <c r="Q483" s="559"/>
      <c r="R483" s="559"/>
      <c r="S483" s="559"/>
      <c r="T483" s="559"/>
      <c r="U483" s="559"/>
      <c r="V483" s="559"/>
      <c r="W483" s="559"/>
      <c r="X483" s="559"/>
      <c r="Y483" s="559"/>
      <c r="Z483" s="559"/>
      <c r="AA483" s="559"/>
      <c r="AB483" s="559"/>
      <c r="AC483" s="559"/>
      <c r="AD483" s="559"/>
      <c r="AE483" s="559"/>
      <c r="AF483" s="559"/>
      <c r="AG483" s="559"/>
    </row>
    <row r="484" spans="1:33" ht="18" customHeight="1" x14ac:dyDescent="0.35">
      <c r="A484" s="559"/>
      <c r="B484" s="559"/>
      <c r="C484" s="559"/>
      <c r="D484" s="559"/>
      <c r="E484" s="559"/>
      <c r="F484" s="559"/>
      <c r="G484" s="559"/>
      <c r="H484" s="559"/>
      <c r="I484" s="559"/>
      <c r="J484" s="559"/>
      <c r="K484" s="559"/>
      <c r="L484" s="559"/>
      <c r="M484" s="559"/>
      <c r="N484" s="559"/>
      <c r="O484" s="559"/>
      <c r="P484" s="559"/>
      <c r="Q484" s="559"/>
      <c r="R484" s="559"/>
      <c r="S484" s="559"/>
      <c r="T484" s="559"/>
      <c r="U484" s="559"/>
      <c r="V484" s="559"/>
      <c r="W484" s="559"/>
      <c r="X484" s="559"/>
      <c r="Y484" s="559"/>
      <c r="Z484" s="559"/>
      <c r="AA484" s="559"/>
      <c r="AB484" s="559"/>
      <c r="AC484" s="559"/>
      <c r="AD484" s="559"/>
      <c r="AE484" s="559"/>
      <c r="AF484" s="559"/>
      <c r="AG484" s="559"/>
    </row>
    <row r="485" spans="1:33" ht="18" customHeight="1" x14ac:dyDescent="0.35">
      <c r="A485" s="559"/>
      <c r="B485" s="559"/>
      <c r="C485" s="559"/>
      <c r="D485" s="559"/>
      <c r="E485" s="559"/>
      <c r="F485" s="559"/>
      <c r="G485" s="559"/>
      <c r="H485" s="559"/>
      <c r="I485" s="559"/>
      <c r="J485" s="559"/>
      <c r="K485" s="559"/>
      <c r="L485" s="559"/>
      <c r="M485" s="559"/>
      <c r="N485" s="559"/>
      <c r="O485" s="559"/>
      <c r="P485" s="559"/>
      <c r="Q485" s="559"/>
      <c r="R485" s="559"/>
      <c r="S485" s="559"/>
      <c r="T485" s="559"/>
      <c r="U485" s="559"/>
      <c r="V485" s="559"/>
      <c r="W485" s="559"/>
      <c r="X485" s="559"/>
      <c r="Y485" s="559"/>
      <c r="Z485" s="559"/>
      <c r="AA485" s="559"/>
      <c r="AB485" s="559"/>
      <c r="AC485" s="559"/>
      <c r="AD485" s="559"/>
      <c r="AE485" s="559"/>
      <c r="AF485" s="559"/>
      <c r="AG485" s="559"/>
    </row>
    <row r="486" spans="1:33" ht="18" customHeight="1" x14ac:dyDescent="0.35">
      <c r="A486" s="559"/>
      <c r="B486" s="559"/>
      <c r="C486" s="559"/>
      <c r="D486" s="559"/>
      <c r="E486" s="559"/>
      <c r="F486" s="559"/>
      <c r="G486" s="559"/>
      <c r="H486" s="559"/>
      <c r="I486" s="559"/>
      <c r="J486" s="559"/>
      <c r="K486" s="559"/>
      <c r="L486" s="559"/>
      <c r="M486" s="559"/>
      <c r="N486" s="559"/>
      <c r="O486" s="559"/>
      <c r="P486" s="559"/>
      <c r="Q486" s="559"/>
      <c r="R486" s="559"/>
      <c r="S486" s="559"/>
      <c r="T486" s="559"/>
      <c r="U486" s="559"/>
      <c r="V486" s="559"/>
      <c r="W486" s="559"/>
      <c r="X486" s="559"/>
      <c r="Y486" s="559"/>
      <c r="Z486" s="559"/>
      <c r="AA486" s="559"/>
      <c r="AB486" s="559"/>
      <c r="AC486" s="559"/>
      <c r="AD486" s="559"/>
      <c r="AE486" s="559"/>
      <c r="AF486" s="559"/>
      <c r="AG486" s="559"/>
    </row>
    <row r="487" spans="1:33" ht="18" customHeight="1" x14ac:dyDescent="0.35">
      <c r="A487" s="559"/>
      <c r="B487" s="559"/>
      <c r="C487" s="559"/>
      <c r="D487" s="559"/>
      <c r="E487" s="559"/>
      <c r="F487" s="559"/>
      <c r="G487" s="559"/>
      <c r="H487" s="559"/>
      <c r="I487" s="559"/>
      <c r="J487" s="559"/>
      <c r="K487" s="559"/>
      <c r="L487" s="559"/>
      <c r="M487" s="559"/>
      <c r="N487" s="559"/>
      <c r="O487" s="559"/>
      <c r="P487" s="559"/>
      <c r="Q487" s="559"/>
      <c r="R487" s="559"/>
      <c r="S487" s="559"/>
      <c r="T487" s="559"/>
      <c r="U487" s="559"/>
      <c r="V487" s="559"/>
      <c r="W487" s="559"/>
      <c r="X487" s="559"/>
      <c r="Y487" s="559"/>
      <c r="Z487" s="559"/>
      <c r="AA487" s="559"/>
      <c r="AB487" s="559"/>
      <c r="AC487" s="559"/>
      <c r="AD487" s="559"/>
      <c r="AE487" s="559"/>
      <c r="AF487" s="559"/>
      <c r="AG487" s="559"/>
    </row>
    <row r="488" spans="1:33" ht="18" customHeight="1" x14ac:dyDescent="0.35">
      <c r="A488" s="559"/>
      <c r="B488" s="559"/>
      <c r="C488" s="559"/>
      <c r="D488" s="559"/>
      <c r="E488" s="559"/>
      <c r="F488" s="559"/>
      <c r="G488" s="559"/>
      <c r="H488" s="559"/>
      <c r="I488" s="559"/>
      <c r="J488" s="559"/>
      <c r="K488" s="559"/>
      <c r="L488" s="559"/>
      <c r="M488" s="559"/>
      <c r="N488" s="559"/>
      <c r="O488" s="559"/>
      <c r="P488" s="559"/>
      <c r="Q488" s="559"/>
      <c r="R488" s="559"/>
      <c r="S488" s="559"/>
      <c r="T488" s="559"/>
      <c r="U488" s="559"/>
      <c r="V488" s="559"/>
      <c r="W488" s="559"/>
      <c r="X488" s="559"/>
      <c r="Y488" s="559"/>
      <c r="Z488" s="559"/>
      <c r="AA488" s="559"/>
      <c r="AB488" s="559"/>
      <c r="AC488" s="559"/>
      <c r="AD488" s="559"/>
      <c r="AE488" s="559"/>
      <c r="AF488" s="559"/>
      <c r="AG488" s="559"/>
    </row>
    <row r="489" spans="1:33" ht="18" customHeight="1" x14ac:dyDescent="0.35">
      <c r="A489" s="559"/>
      <c r="B489" s="559"/>
      <c r="C489" s="559"/>
      <c r="D489" s="559"/>
      <c r="E489" s="559"/>
      <c r="F489" s="559"/>
      <c r="G489" s="559"/>
      <c r="H489" s="559"/>
      <c r="I489" s="559"/>
      <c r="J489" s="559"/>
      <c r="K489" s="559"/>
      <c r="L489" s="559"/>
      <c r="M489" s="559"/>
      <c r="N489" s="559"/>
      <c r="O489" s="559"/>
      <c r="P489" s="559"/>
      <c r="Q489" s="559"/>
      <c r="R489" s="559"/>
      <c r="S489" s="559"/>
      <c r="T489" s="559"/>
      <c r="U489" s="559"/>
      <c r="V489" s="559"/>
      <c r="W489" s="559"/>
      <c r="X489" s="559"/>
      <c r="Y489" s="559"/>
      <c r="Z489" s="559"/>
      <c r="AA489" s="559"/>
      <c r="AB489" s="559"/>
      <c r="AC489" s="559"/>
      <c r="AD489" s="559"/>
      <c r="AE489" s="559"/>
      <c r="AF489" s="559"/>
      <c r="AG489" s="559"/>
    </row>
    <row r="490" spans="1:33" ht="18" customHeight="1" x14ac:dyDescent="0.35">
      <c r="A490" s="559"/>
      <c r="B490" s="559"/>
      <c r="C490" s="559"/>
      <c r="D490" s="559"/>
      <c r="E490" s="559"/>
      <c r="F490" s="559"/>
      <c r="G490" s="559"/>
      <c r="H490" s="559"/>
      <c r="I490" s="559"/>
      <c r="J490" s="559"/>
      <c r="K490" s="559"/>
      <c r="L490" s="559"/>
      <c r="M490" s="559"/>
      <c r="N490" s="559"/>
      <c r="O490" s="559"/>
      <c r="P490" s="559"/>
      <c r="Q490" s="559"/>
      <c r="R490" s="559"/>
      <c r="S490" s="559"/>
      <c r="T490" s="559"/>
      <c r="U490" s="559"/>
      <c r="V490" s="559"/>
      <c r="W490" s="559"/>
      <c r="X490" s="559"/>
      <c r="Y490" s="559"/>
      <c r="Z490" s="559"/>
      <c r="AA490" s="559"/>
      <c r="AB490" s="559"/>
      <c r="AC490" s="559"/>
      <c r="AD490" s="559"/>
      <c r="AE490" s="559"/>
      <c r="AF490" s="559"/>
      <c r="AG490" s="559"/>
    </row>
    <row r="491" spans="1:33" ht="18" customHeight="1" x14ac:dyDescent="0.35">
      <c r="A491" s="559"/>
      <c r="B491" s="559"/>
      <c r="C491" s="559"/>
      <c r="D491" s="559"/>
      <c r="E491" s="559"/>
      <c r="F491" s="559"/>
      <c r="G491" s="559"/>
      <c r="H491" s="559"/>
      <c r="I491" s="559"/>
      <c r="J491" s="559"/>
      <c r="K491" s="559"/>
      <c r="L491" s="559"/>
      <c r="M491" s="559"/>
      <c r="N491" s="559"/>
      <c r="O491" s="559"/>
      <c r="P491" s="559"/>
      <c r="Q491" s="559"/>
      <c r="R491" s="559"/>
      <c r="S491" s="559"/>
      <c r="T491" s="559"/>
      <c r="U491" s="559"/>
      <c r="V491" s="559"/>
      <c r="W491" s="559"/>
      <c r="X491" s="559"/>
      <c r="Y491" s="559"/>
      <c r="Z491" s="559"/>
      <c r="AA491" s="559"/>
      <c r="AB491" s="559"/>
      <c r="AC491" s="559"/>
      <c r="AD491" s="559"/>
      <c r="AE491" s="559"/>
      <c r="AF491" s="559"/>
      <c r="AG491" s="559"/>
    </row>
    <row r="492" spans="1:33" ht="18" customHeight="1" x14ac:dyDescent="0.35">
      <c r="A492" s="559"/>
      <c r="B492" s="559"/>
      <c r="C492" s="559"/>
      <c r="D492" s="559"/>
      <c r="E492" s="559"/>
      <c r="F492" s="559"/>
      <c r="G492" s="559"/>
      <c r="H492" s="559"/>
      <c r="I492" s="559"/>
      <c r="J492" s="559"/>
      <c r="K492" s="559"/>
      <c r="L492" s="559"/>
      <c r="M492" s="559"/>
      <c r="N492" s="559"/>
      <c r="O492" s="559"/>
      <c r="P492" s="559"/>
      <c r="Q492" s="559"/>
      <c r="R492" s="559"/>
      <c r="S492" s="559"/>
      <c r="T492" s="559"/>
      <c r="U492" s="559"/>
      <c r="V492" s="559"/>
      <c r="W492" s="559"/>
      <c r="X492" s="559"/>
      <c r="Y492" s="559"/>
      <c r="Z492" s="559"/>
      <c r="AA492" s="559"/>
      <c r="AB492" s="559"/>
      <c r="AC492" s="559"/>
      <c r="AD492" s="559"/>
      <c r="AE492" s="559"/>
      <c r="AF492" s="559"/>
      <c r="AG492" s="559"/>
    </row>
    <row r="493" spans="1:33" ht="18" customHeight="1" x14ac:dyDescent="0.35">
      <c r="A493" s="559"/>
      <c r="B493" s="559"/>
      <c r="C493" s="559"/>
      <c r="D493" s="559"/>
      <c r="E493" s="559"/>
      <c r="F493" s="559"/>
      <c r="G493" s="559"/>
      <c r="H493" s="559"/>
      <c r="I493" s="559"/>
      <c r="J493" s="559"/>
      <c r="K493" s="559"/>
      <c r="L493" s="559"/>
      <c r="M493" s="559"/>
      <c r="N493" s="559"/>
      <c r="O493" s="559"/>
      <c r="P493" s="559"/>
      <c r="Q493" s="559"/>
      <c r="R493" s="559"/>
      <c r="S493" s="559"/>
      <c r="T493" s="559"/>
      <c r="U493" s="559"/>
      <c r="V493" s="559"/>
      <c r="W493" s="559"/>
      <c r="X493" s="559"/>
      <c r="Y493" s="559"/>
      <c r="Z493" s="559"/>
      <c r="AA493" s="559"/>
      <c r="AB493" s="559"/>
      <c r="AC493" s="559"/>
      <c r="AD493" s="559"/>
      <c r="AE493" s="559"/>
      <c r="AF493" s="559"/>
      <c r="AG493" s="559"/>
    </row>
    <row r="494" spans="1:33" ht="18" customHeight="1" x14ac:dyDescent="0.35">
      <c r="A494" s="559"/>
      <c r="B494" s="559"/>
      <c r="C494" s="559"/>
      <c r="D494" s="559"/>
      <c r="E494" s="559"/>
      <c r="F494" s="559"/>
      <c r="G494" s="559"/>
      <c r="H494" s="559"/>
      <c r="I494" s="559"/>
      <c r="J494" s="559"/>
      <c r="K494" s="559"/>
      <c r="L494" s="559"/>
      <c r="M494" s="559"/>
      <c r="N494" s="559"/>
      <c r="O494" s="559"/>
      <c r="P494" s="559"/>
      <c r="Q494" s="559"/>
      <c r="R494" s="559"/>
      <c r="S494" s="559"/>
      <c r="T494" s="559"/>
      <c r="U494" s="559"/>
      <c r="V494" s="559"/>
      <c r="W494" s="559"/>
      <c r="X494" s="559"/>
      <c r="Y494" s="559"/>
      <c r="Z494" s="559"/>
      <c r="AA494" s="559"/>
      <c r="AB494" s="559"/>
      <c r="AC494" s="559"/>
      <c r="AD494" s="559"/>
      <c r="AE494" s="559"/>
      <c r="AF494" s="559"/>
      <c r="AG494" s="559"/>
    </row>
    <row r="495" spans="1:33" ht="18" customHeight="1" x14ac:dyDescent="0.35">
      <c r="A495" s="559"/>
      <c r="B495" s="559"/>
      <c r="C495" s="559"/>
      <c r="D495" s="559"/>
      <c r="E495" s="559"/>
      <c r="F495" s="559"/>
      <c r="G495" s="559"/>
      <c r="H495" s="559"/>
      <c r="I495" s="559"/>
      <c r="J495" s="559"/>
      <c r="K495" s="559"/>
      <c r="L495" s="559"/>
      <c r="M495" s="559"/>
      <c r="N495" s="559"/>
      <c r="O495" s="559"/>
      <c r="P495" s="559"/>
      <c r="Q495" s="559"/>
      <c r="R495" s="559"/>
      <c r="S495" s="559"/>
      <c r="T495" s="559"/>
      <c r="U495" s="559"/>
      <c r="V495" s="559"/>
      <c r="W495" s="559"/>
      <c r="X495" s="559"/>
      <c r="Y495" s="559"/>
      <c r="Z495" s="559"/>
      <c r="AA495" s="559"/>
      <c r="AB495" s="559"/>
      <c r="AC495" s="559"/>
      <c r="AD495" s="559"/>
      <c r="AE495" s="559"/>
      <c r="AF495" s="559"/>
      <c r="AG495" s="559"/>
    </row>
    <row r="496" spans="1:33" ht="18" customHeight="1" x14ac:dyDescent="0.35">
      <c r="A496" s="559"/>
      <c r="B496" s="559"/>
      <c r="C496" s="559"/>
      <c r="D496" s="559"/>
      <c r="E496" s="559"/>
      <c r="F496" s="559"/>
      <c r="G496" s="559"/>
      <c r="H496" s="559"/>
      <c r="I496" s="559"/>
      <c r="J496" s="559"/>
      <c r="K496" s="559"/>
      <c r="L496" s="559"/>
      <c r="M496" s="559"/>
      <c r="N496" s="559"/>
      <c r="O496" s="559"/>
      <c r="P496" s="559"/>
      <c r="Q496" s="559"/>
      <c r="R496" s="559"/>
      <c r="S496" s="559"/>
      <c r="T496" s="559"/>
      <c r="U496" s="559"/>
      <c r="V496" s="559"/>
      <c r="W496" s="559"/>
      <c r="X496" s="559"/>
      <c r="Y496" s="559"/>
      <c r="Z496" s="559"/>
      <c r="AA496" s="559"/>
      <c r="AB496" s="559"/>
      <c r="AC496" s="559"/>
      <c r="AD496" s="559"/>
      <c r="AE496" s="559"/>
      <c r="AF496" s="559"/>
      <c r="AG496" s="559"/>
    </row>
    <row r="497" spans="1:33" ht="18" customHeight="1" x14ac:dyDescent="0.35">
      <c r="A497" s="559"/>
      <c r="B497" s="559"/>
      <c r="C497" s="559"/>
      <c r="D497" s="559"/>
      <c r="E497" s="559"/>
      <c r="F497" s="559"/>
      <c r="G497" s="559"/>
      <c r="H497" s="559"/>
      <c r="I497" s="559"/>
      <c r="J497" s="559"/>
      <c r="K497" s="559"/>
      <c r="L497" s="559"/>
      <c r="M497" s="559"/>
      <c r="N497" s="559"/>
      <c r="O497" s="559"/>
      <c r="P497" s="559"/>
      <c r="Q497" s="559"/>
      <c r="R497" s="559"/>
      <c r="S497" s="559"/>
      <c r="T497" s="559"/>
      <c r="U497" s="559"/>
      <c r="V497" s="559"/>
      <c r="W497" s="559"/>
      <c r="X497" s="559"/>
      <c r="Y497" s="559"/>
      <c r="Z497" s="559"/>
      <c r="AA497" s="559"/>
      <c r="AB497" s="559"/>
      <c r="AC497" s="559"/>
      <c r="AD497" s="559"/>
      <c r="AE497" s="559"/>
      <c r="AF497" s="559"/>
      <c r="AG497" s="559"/>
    </row>
    <row r="498" spans="1:33" ht="18" customHeight="1" x14ac:dyDescent="0.35">
      <c r="A498" s="559"/>
      <c r="B498" s="559"/>
      <c r="C498" s="559"/>
      <c r="D498" s="559"/>
      <c r="E498" s="559"/>
      <c r="F498" s="559"/>
      <c r="G498" s="559"/>
      <c r="H498" s="559"/>
      <c r="I498" s="559"/>
      <c r="J498" s="559"/>
      <c r="K498" s="559"/>
      <c r="L498" s="559"/>
      <c r="M498" s="559"/>
      <c r="N498" s="559"/>
      <c r="O498" s="559"/>
      <c r="P498" s="559"/>
      <c r="Q498" s="559"/>
      <c r="R498" s="559"/>
      <c r="S498" s="559"/>
      <c r="T498" s="559"/>
      <c r="U498" s="559"/>
      <c r="V498" s="559"/>
      <c r="W498" s="559"/>
      <c r="X498" s="559"/>
      <c r="Y498" s="559"/>
      <c r="Z498" s="559"/>
      <c r="AA498" s="559"/>
      <c r="AB498" s="559"/>
      <c r="AC498" s="559"/>
      <c r="AD498" s="559"/>
      <c r="AE498" s="559"/>
      <c r="AF498" s="559"/>
      <c r="AG498" s="559"/>
    </row>
    <row r="499" spans="1:33" ht="18" customHeight="1" x14ac:dyDescent="0.35">
      <c r="A499" s="559"/>
      <c r="B499" s="559"/>
      <c r="C499" s="559"/>
      <c r="D499" s="559"/>
      <c r="E499" s="559"/>
      <c r="F499" s="559"/>
      <c r="G499" s="559"/>
      <c r="H499" s="559"/>
      <c r="I499" s="559"/>
      <c r="J499" s="559"/>
      <c r="K499" s="559"/>
      <c r="L499" s="559"/>
      <c r="M499" s="559"/>
      <c r="N499" s="559"/>
      <c r="O499" s="559"/>
      <c r="P499" s="559"/>
      <c r="Q499" s="559"/>
      <c r="R499" s="559"/>
      <c r="S499" s="559"/>
      <c r="T499" s="559"/>
      <c r="U499" s="559"/>
      <c r="V499" s="559"/>
      <c r="W499" s="559"/>
      <c r="X499" s="559"/>
      <c r="Y499" s="559"/>
      <c r="Z499" s="559"/>
      <c r="AA499" s="559"/>
      <c r="AB499" s="559"/>
      <c r="AC499" s="559"/>
      <c r="AD499" s="559"/>
      <c r="AE499" s="559"/>
      <c r="AF499" s="559"/>
      <c r="AG499" s="559"/>
    </row>
    <row r="500" spans="1:33" ht="18" customHeight="1" x14ac:dyDescent="0.35">
      <c r="A500" s="559"/>
      <c r="B500" s="559"/>
      <c r="C500" s="559"/>
      <c r="D500" s="559"/>
      <c r="E500" s="559"/>
      <c r="F500" s="559"/>
      <c r="G500" s="559"/>
      <c r="H500" s="559"/>
      <c r="I500" s="559"/>
      <c r="J500" s="559"/>
      <c r="K500" s="559"/>
      <c r="L500" s="559"/>
      <c r="M500" s="559"/>
      <c r="N500" s="559"/>
      <c r="O500" s="559"/>
      <c r="P500" s="559"/>
      <c r="Q500" s="559"/>
      <c r="R500" s="559"/>
      <c r="S500" s="559"/>
      <c r="T500" s="559"/>
      <c r="U500" s="559"/>
      <c r="V500" s="559"/>
      <c r="W500" s="559"/>
      <c r="X500" s="559"/>
      <c r="Y500" s="559"/>
      <c r="Z500" s="559"/>
      <c r="AA500" s="559"/>
      <c r="AB500" s="559"/>
      <c r="AC500" s="559"/>
      <c r="AD500" s="559"/>
      <c r="AE500" s="559"/>
      <c r="AF500" s="559"/>
      <c r="AG500" s="559"/>
    </row>
    <row r="501" spans="1:33" ht="18" customHeight="1" x14ac:dyDescent="0.35">
      <c r="A501" s="559"/>
      <c r="B501" s="559"/>
      <c r="C501" s="559"/>
      <c r="D501" s="559"/>
      <c r="E501" s="559"/>
      <c r="F501" s="559"/>
      <c r="G501" s="559"/>
      <c r="H501" s="559"/>
      <c r="I501" s="559"/>
      <c r="J501" s="559"/>
      <c r="K501" s="559"/>
      <c r="L501" s="559"/>
      <c r="M501" s="559"/>
      <c r="N501" s="559"/>
      <c r="O501" s="559"/>
      <c r="P501" s="559"/>
      <c r="Q501" s="559"/>
      <c r="R501" s="559"/>
      <c r="S501" s="559"/>
      <c r="T501" s="559"/>
      <c r="U501" s="559"/>
      <c r="V501" s="559"/>
      <c r="W501" s="559"/>
      <c r="X501" s="559"/>
      <c r="Y501" s="559"/>
      <c r="Z501" s="559"/>
      <c r="AA501" s="559"/>
      <c r="AB501" s="559"/>
      <c r="AC501" s="559"/>
      <c r="AD501" s="559"/>
      <c r="AE501" s="559"/>
      <c r="AF501" s="559"/>
      <c r="AG501" s="559"/>
    </row>
    <row r="502" spans="1:33" ht="18" customHeight="1" x14ac:dyDescent="0.35">
      <c r="A502" s="559"/>
      <c r="B502" s="559"/>
      <c r="C502" s="559"/>
      <c r="D502" s="559"/>
      <c r="E502" s="559"/>
      <c r="F502" s="559"/>
      <c r="G502" s="559"/>
      <c r="H502" s="559"/>
      <c r="I502" s="559"/>
      <c r="J502" s="559"/>
      <c r="K502" s="559"/>
      <c r="L502" s="559"/>
      <c r="M502" s="559"/>
      <c r="N502" s="559"/>
      <c r="O502" s="559"/>
      <c r="P502" s="559"/>
      <c r="Q502" s="559"/>
      <c r="R502" s="559"/>
      <c r="S502" s="559"/>
      <c r="T502" s="559"/>
      <c r="U502" s="559"/>
      <c r="V502" s="559"/>
      <c r="W502" s="559"/>
      <c r="X502" s="559"/>
      <c r="Y502" s="559"/>
      <c r="Z502" s="559"/>
      <c r="AA502" s="559"/>
      <c r="AB502" s="559"/>
      <c r="AC502" s="559"/>
      <c r="AD502" s="559"/>
      <c r="AE502" s="559"/>
      <c r="AF502" s="559"/>
      <c r="AG502" s="559"/>
    </row>
    <row r="503" spans="1:33" ht="18" customHeight="1" x14ac:dyDescent="0.35">
      <c r="A503" s="559"/>
      <c r="B503" s="559"/>
      <c r="C503" s="559"/>
      <c r="D503" s="559"/>
      <c r="E503" s="559"/>
      <c r="F503" s="559"/>
      <c r="G503" s="559"/>
      <c r="H503" s="559"/>
      <c r="I503" s="559"/>
      <c r="J503" s="559"/>
      <c r="K503" s="559"/>
      <c r="L503" s="559"/>
      <c r="M503" s="559"/>
      <c r="N503" s="559"/>
      <c r="O503" s="559"/>
      <c r="P503" s="559"/>
      <c r="Q503" s="559"/>
      <c r="R503" s="559"/>
      <c r="S503" s="559"/>
      <c r="T503" s="559"/>
      <c r="U503" s="559"/>
      <c r="V503" s="559"/>
      <c r="W503" s="559"/>
      <c r="X503" s="559"/>
      <c r="Y503" s="559"/>
      <c r="Z503" s="559"/>
      <c r="AA503" s="559"/>
      <c r="AB503" s="559"/>
      <c r="AC503" s="559"/>
      <c r="AD503" s="559"/>
      <c r="AE503" s="559"/>
      <c r="AF503" s="559"/>
      <c r="AG503" s="559"/>
    </row>
    <row r="504" spans="1:33" ht="18" customHeight="1" x14ac:dyDescent="0.35">
      <c r="A504" s="559"/>
      <c r="B504" s="559"/>
      <c r="C504" s="559"/>
      <c r="D504" s="559"/>
      <c r="E504" s="559"/>
      <c r="F504" s="559"/>
      <c r="G504" s="559"/>
      <c r="H504" s="559"/>
      <c r="I504" s="559"/>
      <c r="J504" s="559"/>
      <c r="K504" s="559"/>
      <c r="L504" s="559"/>
      <c r="M504" s="559"/>
      <c r="N504" s="559"/>
      <c r="O504" s="559"/>
      <c r="P504" s="559"/>
      <c r="Q504" s="559"/>
      <c r="R504" s="559"/>
      <c r="S504" s="559"/>
      <c r="T504" s="559"/>
      <c r="U504" s="559"/>
      <c r="V504" s="559"/>
      <c r="W504" s="559"/>
      <c r="X504" s="559"/>
      <c r="Y504" s="559"/>
      <c r="Z504" s="559"/>
      <c r="AA504" s="559"/>
      <c r="AB504" s="559"/>
      <c r="AC504" s="559"/>
      <c r="AD504" s="559"/>
      <c r="AE504" s="559"/>
      <c r="AF504" s="559"/>
      <c r="AG504" s="559"/>
    </row>
    <row r="505" spans="1:33" ht="18" customHeight="1" x14ac:dyDescent="0.35">
      <c r="A505" s="559"/>
      <c r="B505" s="559"/>
      <c r="C505" s="559"/>
      <c r="D505" s="559"/>
      <c r="E505" s="559"/>
      <c r="F505" s="559"/>
      <c r="G505" s="559"/>
      <c r="H505" s="559"/>
      <c r="I505" s="559"/>
      <c r="J505" s="559"/>
      <c r="K505" s="559"/>
      <c r="L505" s="559"/>
      <c r="M505" s="559"/>
      <c r="N505" s="559"/>
      <c r="O505" s="559"/>
      <c r="P505" s="559"/>
      <c r="Q505" s="559"/>
      <c r="R505" s="559"/>
      <c r="S505" s="559"/>
      <c r="T505" s="559"/>
      <c r="U505" s="559"/>
      <c r="V505" s="559"/>
      <c r="W505" s="559"/>
      <c r="X505" s="559"/>
      <c r="Y505" s="559"/>
      <c r="Z505" s="559"/>
      <c r="AA505" s="559"/>
      <c r="AB505" s="559"/>
      <c r="AC505" s="559"/>
      <c r="AD505" s="559"/>
      <c r="AE505" s="559"/>
      <c r="AF505" s="559"/>
      <c r="AG505" s="559"/>
    </row>
    <row r="506" spans="1:33" ht="18" customHeight="1" x14ac:dyDescent="0.35">
      <c r="A506" s="559"/>
      <c r="B506" s="559"/>
      <c r="C506" s="559"/>
      <c r="D506" s="559"/>
      <c r="E506" s="559"/>
      <c r="F506" s="559"/>
      <c r="G506" s="559"/>
      <c r="H506" s="559"/>
      <c r="I506" s="559"/>
      <c r="J506" s="559"/>
      <c r="K506" s="559"/>
      <c r="L506" s="559"/>
      <c r="M506" s="559"/>
      <c r="N506" s="559"/>
      <c r="O506" s="559"/>
      <c r="P506" s="559"/>
      <c r="Q506" s="559"/>
      <c r="R506" s="559"/>
      <c r="S506" s="559"/>
      <c r="T506" s="559"/>
      <c r="U506" s="559"/>
      <c r="V506" s="559"/>
      <c r="W506" s="559"/>
      <c r="X506" s="559"/>
      <c r="Y506" s="559"/>
      <c r="Z506" s="559"/>
      <c r="AA506" s="559"/>
      <c r="AB506" s="559"/>
      <c r="AC506" s="559"/>
      <c r="AD506" s="559"/>
      <c r="AE506" s="559"/>
      <c r="AF506" s="559"/>
      <c r="AG506" s="559"/>
    </row>
    <row r="507" spans="1:33" ht="18" customHeight="1" x14ac:dyDescent="0.35">
      <c r="A507" s="559"/>
      <c r="B507" s="559"/>
      <c r="C507" s="559"/>
      <c r="D507" s="559"/>
      <c r="E507" s="559"/>
      <c r="F507" s="559"/>
      <c r="G507" s="559"/>
      <c r="H507" s="559"/>
      <c r="I507" s="559"/>
      <c r="J507" s="559"/>
      <c r="K507" s="559"/>
      <c r="L507" s="559"/>
      <c r="M507" s="559"/>
      <c r="N507" s="559"/>
      <c r="O507" s="559"/>
      <c r="P507" s="559"/>
      <c r="Q507" s="559"/>
      <c r="R507" s="559"/>
      <c r="S507" s="559"/>
      <c r="T507" s="559"/>
      <c r="U507" s="559"/>
      <c r="V507" s="559"/>
      <c r="W507" s="559"/>
      <c r="X507" s="559"/>
      <c r="Y507" s="559"/>
      <c r="Z507" s="559"/>
      <c r="AA507" s="559"/>
      <c r="AB507" s="559"/>
      <c r="AC507" s="559"/>
      <c r="AD507" s="559"/>
      <c r="AE507" s="559"/>
      <c r="AF507" s="559"/>
      <c r="AG507" s="559"/>
    </row>
    <row r="508" spans="1:33" ht="18" customHeight="1" x14ac:dyDescent="0.35">
      <c r="A508" s="559"/>
      <c r="B508" s="559"/>
      <c r="C508" s="559"/>
      <c r="D508" s="559"/>
      <c r="E508" s="559"/>
      <c r="F508" s="559"/>
      <c r="G508" s="559"/>
      <c r="H508" s="559"/>
      <c r="I508" s="559"/>
      <c r="J508" s="559"/>
      <c r="K508" s="559"/>
      <c r="L508" s="559"/>
      <c r="M508" s="559"/>
      <c r="N508" s="559"/>
      <c r="O508" s="559"/>
      <c r="P508" s="559"/>
      <c r="Q508" s="559"/>
      <c r="R508" s="559"/>
      <c r="S508" s="559"/>
      <c r="T508" s="559"/>
      <c r="U508" s="559"/>
      <c r="V508" s="559"/>
      <c r="W508" s="559"/>
      <c r="X508" s="559"/>
      <c r="Y508" s="559"/>
      <c r="Z508" s="559"/>
      <c r="AA508" s="559"/>
      <c r="AB508" s="559"/>
      <c r="AC508" s="559"/>
      <c r="AD508" s="559"/>
      <c r="AE508" s="559"/>
      <c r="AF508" s="559"/>
      <c r="AG508" s="559"/>
    </row>
    <row r="509" spans="1:33" ht="18" customHeight="1" x14ac:dyDescent="0.35">
      <c r="A509" s="559"/>
      <c r="B509" s="559"/>
      <c r="C509" s="559"/>
      <c r="D509" s="559"/>
      <c r="E509" s="559"/>
      <c r="F509" s="559"/>
      <c r="G509" s="559"/>
      <c r="H509" s="559"/>
      <c r="I509" s="559"/>
      <c r="J509" s="559"/>
      <c r="K509" s="559"/>
      <c r="L509" s="559"/>
      <c r="M509" s="559"/>
      <c r="N509" s="559"/>
      <c r="O509" s="559"/>
      <c r="P509" s="559"/>
      <c r="Q509" s="559"/>
      <c r="R509" s="559"/>
      <c r="S509" s="559"/>
      <c r="T509" s="559"/>
      <c r="U509" s="559"/>
      <c r="V509" s="559"/>
      <c r="W509" s="559"/>
      <c r="X509" s="559"/>
      <c r="Y509" s="559"/>
      <c r="Z509" s="559"/>
      <c r="AA509" s="559"/>
      <c r="AB509" s="559"/>
      <c r="AC509" s="559"/>
      <c r="AD509" s="559"/>
      <c r="AE509" s="559"/>
      <c r="AF509" s="559"/>
      <c r="AG509" s="559"/>
    </row>
    <row r="510" spans="1:33" ht="18" customHeight="1" x14ac:dyDescent="0.35">
      <c r="A510" s="559"/>
      <c r="B510" s="559"/>
      <c r="C510" s="559"/>
      <c r="D510" s="559"/>
      <c r="E510" s="559"/>
      <c r="F510" s="559"/>
      <c r="G510" s="559"/>
      <c r="H510" s="559"/>
      <c r="I510" s="559"/>
      <c r="J510" s="559"/>
      <c r="K510" s="559"/>
      <c r="L510" s="559"/>
      <c r="M510" s="559"/>
      <c r="N510" s="559"/>
      <c r="O510" s="559"/>
      <c r="P510" s="559"/>
      <c r="Q510" s="559"/>
      <c r="R510" s="559"/>
      <c r="S510" s="559"/>
      <c r="T510" s="559"/>
      <c r="U510" s="559"/>
      <c r="V510" s="559"/>
      <c r="W510" s="559"/>
      <c r="X510" s="559"/>
      <c r="Y510" s="559"/>
      <c r="Z510" s="559"/>
      <c r="AA510" s="559"/>
      <c r="AB510" s="559"/>
      <c r="AC510" s="559"/>
      <c r="AD510" s="559"/>
      <c r="AE510" s="559"/>
      <c r="AF510" s="559"/>
      <c r="AG510" s="559"/>
    </row>
    <row r="511" spans="1:33" ht="18" customHeight="1" x14ac:dyDescent="0.35">
      <c r="A511" s="559"/>
      <c r="B511" s="559"/>
      <c r="C511" s="559"/>
      <c r="D511" s="559"/>
      <c r="E511" s="559"/>
      <c r="F511" s="559"/>
      <c r="G511" s="559"/>
      <c r="H511" s="559"/>
      <c r="I511" s="559"/>
      <c r="J511" s="559"/>
      <c r="K511" s="559"/>
      <c r="L511" s="559"/>
      <c r="M511" s="559"/>
      <c r="N511" s="559"/>
      <c r="O511" s="559"/>
      <c r="P511" s="559"/>
      <c r="Q511" s="559"/>
      <c r="R511" s="559"/>
      <c r="S511" s="559"/>
      <c r="T511" s="559"/>
      <c r="U511" s="559"/>
      <c r="V511" s="559"/>
      <c r="W511" s="559"/>
      <c r="X511" s="559"/>
      <c r="Y511" s="559"/>
      <c r="Z511" s="559"/>
      <c r="AA511" s="559"/>
      <c r="AB511" s="559"/>
      <c r="AC511" s="559"/>
      <c r="AD511" s="559"/>
      <c r="AE511" s="559"/>
      <c r="AF511" s="559"/>
      <c r="AG511" s="559"/>
    </row>
    <row r="512" spans="1:33" ht="18" customHeight="1" x14ac:dyDescent="0.35">
      <c r="A512" s="559"/>
      <c r="B512" s="559"/>
      <c r="C512" s="559"/>
      <c r="D512" s="559"/>
      <c r="E512" s="559"/>
      <c r="F512" s="559"/>
      <c r="G512" s="559"/>
      <c r="H512" s="559"/>
      <c r="I512" s="559"/>
      <c r="J512" s="559"/>
      <c r="K512" s="559"/>
      <c r="L512" s="559"/>
      <c r="M512" s="559"/>
      <c r="N512" s="559"/>
      <c r="O512" s="559"/>
      <c r="P512" s="559"/>
      <c r="Q512" s="559"/>
      <c r="R512" s="559"/>
      <c r="S512" s="559"/>
      <c r="T512" s="559"/>
      <c r="U512" s="559"/>
      <c r="V512" s="559"/>
      <c r="W512" s="559"/>
      <c r="X512" s="559"/>
      <c r="Y512" s="559"/>
      <c r="Z512" s="559"/>
      <c r="AA512" s="559"/>
      <c r="AB512" s="559"/>
      <c r="AC512" s="559"/>
      <c r="AD512" s="559"/>
      <c r="AE512" s="559"/>
      <c r="AF512" s="559"/>
      <c r="AG512" s="559"/>
    </row>
    <row r="513" spans="1:33" ht="18" customHeight="1" x14ac:dyDescent="0.35">
      <c r="A513" s="559"/>
      <c r="B513" s="559"/>
      <c r="C513" s="559"/>
      <c r="D513" s="559"/>
      <c r="E513" s="559"/>
      <c r="F513" s="559"/>
      <c r="G513" s="559"/>
      <c r="H513" s="559"/>
      <c r="I513" s="559"/>
      <c r="J513" s="559"/>
      <c r="K513" s="559"/>
      <c r="L513" s="559"/>
      <c r="M513" s="559"/>
      <c r="N513" s="559"/>
      <c r="O513" s="559"/>
      <c r="P513" s="559"/>
      <c r="Q513" s="559"/>
      <c r="R513" s="559"/>
      <c r="S513" s="559"/>
      <c r="T513" s="559"/>
      <c r="U513" s="559"/>
      <c r="V513" s="559"/>
      <c r="W513" s="559"/>
      <c r="X513" s="559"/>
      <c r="Y513" s="559"/>
      <c r="Z513" s="559"/>
      <c r="AA513" s="559"/>
      <c r="AB513" s="559"/>
      <c r="AC513" s="559"/>
      <c r="AD513" s="559"/>
      <c r="AE513" s="559"/>
      <c r="AF513" s="559"/>
      <c r="AG513" s="559"/>
    </row>
    <row r="514" spans="1:33" ht="18" customHeight="1" x14ac:dyDescent="0.35">
      <c r="A514" s="559"/>
      <c r="B514" s="559"/>
      <c r="C514" s="559"/>
      <c r="D514" s="559"/>
      <c r="E514" s="559"/>
      <c r="F514" s="559"/>
      <c r="G514" s="559"/>
      <c r="H514" s="559"/>
      <c r="I514" s="559"/>
      <c r="J514" s="559"/>
      <c r="K514" s="559"/>
      <c r="L514" s="559"/>
      <c r="M514" s="559"/>
      <c r="N514" s="559"/>
      <c r="O514" s="559"/>
      <c r="P514" s="559"/>
      <c r="Q514" s="559"/>
      <c r="R514" s="559"/>
      <c r="S514" s="559"/>
      <c r="T514" s="559"/>
      <c r="U514" s="559"/>
      <c r="V514" s="559"/>
      <c r="W514" s="559"/>
      <c r="X514" s="559"/>
      <c r="Y514" s="559"/>
      <c r="Z514" s="559"/>
      <c r="AA514" s="559"/>
      <c r="AB514" s="559"/>
      <c r="AC514" s="559"/>
      <c r="AD514" s="559"/>
      <c r="AE514" s="559"/>
      <c r="AF514" s="559"/>
      <c r="AG514" s="559"/>
    </row>
    <row r="515" spans="1:33" ht="18" customHeight="1" x14ac:dyDescent="0.35">
      <c r="A515" s="559"/>
      <c r="B515" s="559"/>
      <c r="C515" s="559"/>
      <c r="D515" s="559"/>
      <c r="E515" s="559"/>
      <c r="F515" s="559"/>
      <c r="G515" s="559"/>
      <c r="H515" s="559"/>
      <c r="I515" s="559"/>
      <c r="J515" s="559"/>
      <c r="K515" s="559"/>
      <c r="L515" s="559"/>
      <c r="M515" s="559"/>
      <c r="N515" s="559"/>
      <c r="O515" s="559"/>
      <c r="P515" s="559"/>
      <c r="Q515" s="559"/>
      <c r="R515" s="559"/>
      <c r="S515" s="559"/>
      <c r="T515" s="559"/>
      <c r="U515" s="559"/>
      <c r="V515" s="559"/>
      <c r="W515" s="559"/>
      <c r="X515" s="559"/>
      <c r="Y515" s="559"/>
      <c r="Z515" s="559"/>
      <c r="AA515" s="559"/>
      <c r="AB515" s="559"/>
      <c r="AC515" s="559"/>
      <c r="AD515" s="559"/>
      <c r="AE515" s="559"/>
      <c r="AF515" s="559"/>
      <c r="AG515" s="559"/>
    </row>
    <row r="516" spans="1:33" ht="18" customHeight="1" x14ac:dyDescent="0.35">
      <c r="A516" s="559"/>
      <c r="B516" s="559"/>
      <c r="C516" s="559"/>
      <c r="D516" s="559"/>
      <c r="E516" s="559"/>
      <c r="F516" s="559"/>
      <c r="G516" s="559"/>
      <c r="H516" s="559"/>
      <c r="I516" s="559"/>
      <c r="J516" s="559"/>
      <c r="K516" s="559"/>
      <c r="L516" s="559"/>
      <c r="M516" s="559"/>
      <c r="N516" s="559"/>
      <c r="O516" s="559"/>
      <c r="P516" s="559"/>
      <c r="Q516" s="559"/>
      <c r="R516" s="559"/>
      <c r="S516" s="559"/>
      <c r="T516" s="559"/>
      <c r="U516" s="559"/>
      <c r="V516" s="559"/>
      <c r="W516" s="559"/>
      <c r="X516" s="559"/>
      <c r="Y516" s="559"/>
      <c r="Z516" s="559"/>
      <c r="AA516" s="559"/>
      <c r="AB516" s="559"/>
      <c r="AC516" s="559"/>
      <c r="AD516" s="559"/>
      <c r="AE516" s="559"/>
      <c r="AF516" s="559"/>
      <c r="AG516" s="559"/>
    </row>
    <row r="517" spans="1:33" ht="18" customHeight="1" x14ac:dyDescent="0.35">
      <c r="A517" s="559"/>
      <c r="B517" s="559"/>
      <c r="C517" s="559"/>
      <c r="D517" s="559"/>
      <c r="E517" s="559"/>
      <c r="F517" s="559"/>
      <c r="G517" s="559"/>
      <c r="H517" s="559"/>
      <c r="I517" s="559"/>
      <c r="J517" s="559"/>
      <c r="K517" s="559"/>
      <c r="L517" s="559"/>
      <c r="M517" s="559"/>
      <c r="N517" s="559"/>
      <c r="O517" s="559"/>
      <c r="P517" s="559"/>
      <c r="Q517" s="559"/>
      <c r="R517" s="559"/>
      <c r="S517" s="559"/>
      <c r="T517" s="559"/>
      <c r="U517" s="559"/>
      <c r="V517" s="559"/>
      <c r="W517" s="559"/>
      <c r="X517" s="559"/>
      <c r="Y517" s="559"/>
      <c r="Z517" s="559"/>
      <c r="AA517" s="559"/>
      <c r="AB517" s="559"/>
      <c r="AC517" s="559"/>
      <c r="AD517" s="559"/>
      <c r="AE517" s="559"/>
      <c r="AF517" s="559"/>
      <c r="AG517" s="559"/>
    </row>
    <row r="518" spans="1:33" ht="18" customHeight="1" x14ac:dyDescent="0.35">
      <c r="A518" s="559"/>
      <c r="B518" s="559"/>
      <c r="C518" s="559"/>
      <c r="D518" s="559"/>
      <c r="E518" s="559"/>
      <c r="F518" s="559"/>
      <c r="G518" s="559"/>
      <c r="H518" s="559"/>
      <c r="I518" s="559"/>
      <c r="J518" s="559"/>
      <c r="K518" s="559"/>
      <c r="L518" s="559"/>
      <c r="M518" s="559"/>
      <c r="N518" s="559"/>
      <c r="O518" s="559"/>
      <c r="P518" s="559"/>
      <c r="Q518" s="559"/>
      <c r="R518" s="559"/>
      <c r="S518" s="559"/>
      <c r="T518" s="559"/>
      <c r="U518" s="559"/>
      <c r="V518" s="559"/>
      <c r="W518" s="559"/>
      <c r="X518" s="559"/>
      <c r="Y518" s="559"/>
      <c r="Z518" s="559"/>
      <c r="AA518" s="559"/>
      <c r="AB518" s="559"/>
      <c r="AC518" s="559"/>
      <c r="AD518" s="559"/>
      <c r="AE518" s="559"/>
      <c r="AF518" s="559"/>
      <c r="AG518" s="559"/>
    </row>
    <row r="519" spans="1:33" ht="18" customHeight="1" x14ac:dyDescent="0.35">
      <c r="A519" s="559"/>
      <c r="B519" s="559"/>
      <c r="C519" s="559"/>
      <c r="D519" s="559"/>
      <c r="E519" s="559"/>
      <c r="F519" s="559"/>
      <c r="G519" s="559"/>
      <c r="H519" s="559"/>
      <c r="I519" s="559"/>
      <c r="J519" s="559"/>
      <c r="K519" s="559"/>
      <c r="L519" s="559"/>
      <c r="M519" s="559"/>
      <c r="N519" s="559"/>
      <c r="O519" s="559"/>
      <c r="P519" s="559"/>
      <c r="Q519" s="559"/>
      <c r="R519" s="559"/>
      <c r="S519" s="559"/>
      <c r="T519" s="559"/>
      <c r="U519" s="559"/>
      <c r="V519" s="559"/>
      <c r="W519" s="559"/>
      <c r="X519" s="559"/>
      <c r="Y519" s="559"/>
      <c r="Z519" s="559"/>
      <c r="AA519" s="559"/>
      <c r="AB519" s="559"/>
      <c r="AC519" s="559"/>
      <c r="AD519" s="559"/>
      <c r="AE519" s="559"/>
      <c r="AF519" s="559"/>
      <c r="AG519" s="559"/>
    </row>
    <row r="520" spans="1:33" ht="18" customHeight="1" x14ac:dyDescent="0.35">
      <c r="A520" s="559"/>
      <c r="B520" s="559"/>
      <c r="C520" s="559"/>
      <c r="D520" s="559"/>
      <c r="E520" s="559"/>
      <c r="F520" s="559"/>
      <c r="G520" s="559"/>
      <c r="H520" s="559"/>
      <c r="I520" s="559"/>
      <c r="J520" s="559"/>
      <c r="K520" s="559"/>
      <c r="L520" s="559"/>
      <c r="M520" s="559"/>
      <c r="N520" s="559"/>
      <c r="O520" s="559"/>
      <c r="P520" s="559"/>
      <c r="Q520" s="559"/>
      <c r="R520" s="559"/>
      <c r="S520" s="559"/>
      <c r="T520" s="559"/>
      <c r="U520" s="559"/>
      <c r="V520" s="559"/>
      <c r="W520" s="559"/>
      <c r="X520" s="559"/>
      <c r="Y520" s="559"/>
      <c r="Z520" s="559"/>
      <c r="AA520" s="559"/>
      <c r="AB520" s="559"/>
      <c r="AC520" s="559"/>
      <c r="AD520" s="559"/>
      <c r="AE520" s="559"/>
      <c r="AF520" s="559"/>
      <c r="AG520" s="559"/>
    </row>
    <row r="521" spans="1:33" ht="18" customHeight="1" x14ac:dyDescent="0.35">
      <c r="A521" s="559"/>
      <c r="B521" s="559"/>
      <c r="C521" s="559"/>
      <c r="D521" s="559"/>
      <c r="E521" s="559"/>
      <c r="F521" s="559"/>
      <c r="G521" s="559"/>
      <c r="H521" s="559"/>
      <c r="I521" s="559"/>
      <c r="J521" s="559"/>
      <c r="K521" s="559"/>
      <c r="L521" s="559"/>
      <c r="M521" s="559"/>
      <c r="N521" s="559"/>
      <c r="O521" s="559"/>
      <c r="P521" s="559"/>
      <c r="Q521" s="559"/>
      <c r="R521" s="559"/>
      <c r="S521" s="559"/>
      <c r="T521" s="559"/>
      <c r="U521" s="559"/>
      <c r="V521" s="559"/>
      <c r="W521" s="559"/>
      <c r="X521" s="559"/>
      <c r="Y521" s="559"/>
      <c r="Z521" s="559"/>
      <c r="AA521" s="559"/>
      <c r="AB521" s="559"/>
      <c r="AC521" s="559"/>
      <c r="AD521" s="559"/>
      <c r="AE521" s="559"/>
      <c r="AF521" s="559"/>
      <c r="AG521" s="559"/>
    </row>
    <row r="522" spans="1:33" ht="18" customHeight="1" x14ac:dyDescent="0.35">
      <c r="A522" s="559"/>
      <c r="B522" s="559"/>
      <c r="C522" s="559"/>
      <c r="D522" s="559"/>
      <c r="E522" s="559"/>
      <c r="F522" s="559"/>
      <c r="G522" s="559"/>
      <c r="H522" s="559"/>
      <c r="I522" s="559"/>
      <c r="J522" s="559"/>
      <c r="K522" s="559"/>
      <c r="L522" s="559"/>
      <c r="M522" s="559"/>
      <c r="N522" s="559"/>
      <c r="O522" s="559"/>
      <c r="P522" s="559"/>
      <c r="Q522" s="559"/>
      <c r="R522" s="559"/>
      <c r="S522" s="559"/>
      <c r="T522" s="559"/>
      <c r="U522" s="559"/>
      <c r="V522" s="559"/>
      <c r="W522" s="559"/>
      <c r="X522" s="559"/>
      <c r="Y522" s="559"/>
      <c r="Z522" s="559"/>
      <c r="AA522" s="559"/>
      <c r="AB522" s="559"/>
      <c r="AC522" s="559"/>
      <c r="AD522" s="559"/>
      <c r="AE522" s="559"/>
      <c r="AF522" s="559"/>
      <c r="AG522" s="559"/>
    </row>
    <row r="523" spans="1:33" ht="18" customHeight="1" x14ac:dyDescent="0.35">
      <c r="A523" s="559"/>
      <c r="B523" s="559"/>
      <c r="C523" s="559"/>
      <c r="D523" s="559"/>
      <c r="E523" s="559"/>
      <c r="F523" s="559"/>
      <c r="G523" s="559"/>
      <c r="H523" s="559"/>
      <c r="I523" s="559"/>
      <c r="J523" s="559"/>
      <c r="K523" s="559"/>
      <c r="L523" s="559"/>
      <c r="M523" s="559"/>
      <c r="N523" s="559"/>
      <c r="O523" s="559"/>
      <c r="P523" s="559"/>
      <c r="Q523" s="559"/>
      <c r="R523" s="559"/>
      <c r="S523" s="559"/>
      <c r="T523" s="559"/>
      <c r="U523" s="559"/>
      <c r="V523" s="559"/>
      <c r="W523" s="559"/>
      <c r="X523" s="559"/>
      <c r="Y523" s="559"/>
      <c r="Z523" s="559"/>
      <c r="AA523" s="559"/>
      <c r="AB523" s="559"/>
      <c r="AC523" s="559"/>
      <c r="AD523" s="559"/>
      <c r="AE523" s="559"/>
      <c r="AF523" s="559"/>
      <c r="AG523" s="559"/>
    </row>
    <row r="524" spans="1:33" ht="18" customHeight="1" x14ac:dyDescent="0.35">
      <c r="A524" s="559"/>
      <c r="B524" s="559"/>
      <c r="C524" s="559"/>
      <c r="D524" s="559"/>
      <c r="E524" s="559"/>
      <c r="F524" s="559"/>
      <c r="G524" s="559"/>
      <c r="H524" s="559"/>
      <c r="I524" s="559"/>
      <c r="J524" s="559"/>
      <c r="K524" s="559"/>
      <c r="L524" s="559"/>
      <c r="M524" s="559"/>
      <c r="N524" s="559"/>
      <c r="O524" s="559"/>
      <c r="P524" s="559"/>
      <c r="Q524" s="559"/>
      <c r="R524" s="559"/>
      <c r="S524" s="559"/>
      <c r="T524" s="559"/>
      <c r="U524" s="559"/>
      <c r="V524" s="559"/>
      <c r="W524" s="559"/>
      <c r="X524" s="559"/>
      <c r="Y524" s="559"/>
      <c r="Z524" s="559"/>
      <c r="AA524" s="559"/>
      <c r="AB524" s="559"/>
      <c r="AC524" s="559"/>
      <c r="AD524" s="559"/>
      <c r="AE524" s="559"/>
      <c r="AF524" s="559"/>
      <c r="AG524" s="559"/>
    </row>
    <row r="525" spans="1:33" ht="18" customHeight="1" x14ac:dyDescent="0.35">
      <c r="A525" s="559"/>
      <c r="B525" s="559"/>
      <c r="C525" s="559"/>
      <c r="D525" s="559"/>
      <c r="E525" s="559"/>
      <c r="F525" s="559"/>
      <c r="G525" s="559"/>
      <c r="H525" s="559"/>
      <c r="I525" s="559"/>
      <c r="J525" s="559"/>
      <c r="K525" s="559"/>
      <c r="L525" s="559"/>
      <c r="M525" s="559"/>
      <c r="N525" s="559"/>
      <c r="O525" s="559"/>
      <c r="P525" s="559"/>
      <c r="Q525" s="559"/>
      <c r="R525" s="559"/>
      <c r="S525" s="559"/>
      <c r="T525" s="559"/>
      <c r="U525" s="559"/>
      <c r="V525" s="559"/>
      <c r="W525" s="559"/>
      <c r="X525" s="559"/>
      <c r="Y525" s="559"/>
      <c r="Z525" s="559"/>
      <c r="AA525" s="559"/>
      <c r="AB525" s="559"/>
      <c r="AC525" s="559"/>
      <c r="AD525" s="559"/>
      <c r="AE525" s="559"/>
      <c r="AF525" s="559"/>
      <c r="AG525" s="559"/>
    </row>
    <row r="526" spans="1:33" ht="18" customHeight="1" x14ac:dyDescent="0.35">
      <c r="A526" s="559"/>
      <c r="B526" s="559"/>
      <c r="C526" s="559"/>
      <c r="D526" s="559"/>
      <c r="E526" s="559"/>
      <c r="F526" s="559"/>
      <c r="G526" s="559"/>
      <c r="H526" s="559"/>
      <c r="I526" s="559"/>
      <c r="J526" s="559"/>
      <c r="K526" s="559"/>
      <c r="L526" s="559"/>
      <c r="M526" s="559"/>
      <c r="N526" s="559"/>
      <c r="O526" s="559"/>
      <c r="P526" s="559"/>
      <c r="Q526" s="559"/>
      <c r="R526" s="559"/>
      <c r="S526" s="559"/>
      <c r="T526" s="559"/>
      <c r="U526" s="559"/>
      <c r="V526" s="559"/>
      <c r="W526" s="559"/>
      <c r="X526" s="559"/>
      <c r="Y526" s="559"/>
      <c r="Z526" s="559"/>
      <c r="AA526" s="559"/>
      <c r="AB526" s="559"/>
      <c r="AC526" s="559"/>
      <c r="AD526" s="559"/>
      <c r="AE526" s="559"/>
      <c r="AF526" s="559"/>
      <c r="AG526" s="559"/>
    </row>
    <row r="527" spans="1:33" ht="18" customHeight="1" x14ac:dyDescent="0.35">
      <c r="A527" s="559"/>
      <c r="B527" s="559"/>
      <c r="C527" s="559"/>
      <c r="D527" s="559"/>
      <c r="E527" s="559"/>
      <c r="F527" s="559"/>
      <c r="G527" s="559"/>
      <c r="H527" s="559"/>
      <c r="I527" s="559"/>
      <c r="J527" s="559"/>
      <c r="K527" s="559"/>
      <c r="L527" s="559"/>
      <c r="M527" s="559"/>
      <c r="N527" s="559"/>
      <c r="O527" s="559"/>
      <c r="P527" s="559"/>
      <c r="Q527" s="559"/>
      <c r="R527" s="559"/>
      <c r="S527" s="559"/>
      <c r="T527" s="559"/>
      <c r="U527" s="559"/>
      <c r="V527" s="559"/>
      <c r="W527" s="559"/>
      <c r="X527" s="559"/>
      <c r="Y527" s="559"/>
      <c r="Z527" s="559"/>
      <c r="AA527" s="559"/>
      <c r="AB527" s="559"/>
      <c r="AC527" s="559"/>
      <c r="AD527" s="559"/>
      <c r="AE527" s="559"/>
      <c r="AF527" s="559"/>
      <c r="AG527" s="559"/>
    </row>
    <row r="528" spans="1:33" ht="18" customHeight="1" x14ac:dyDescent="0.35">
      <c r="A528" s="559"/>
      <c r="B528" s="559"/>
      <c r="C528" s="559"/>
      <c r="D528" s="559"/>
      <c r="E528" s="559"/>
      <c r="F528" s="559"/>
      <c r="G528" s="559"/>
      <c r="H528" s="559"/>
      <c r="I528" s="559"/>
      <c r="J528" s="559"/>
      <c r="K528" s="559"/>
      <c r="L528" s="559"/>
      <c r="M528" s="559"/>
      <c r="N528" s="559"/>
      <c r="O528" s="559"/>
      <c r="P528" s="559"/>
      <c r="Q528" s="559"/>
      <c r="R528" s="559"/>
      <c r="S528" s="559"/>
      <c r="T528" s="559"/>
      <c r="U528" s="559"/>
      <c r="V528" s="559"/>
      <c r="W528" s="559"/>
      <c r="X528" s="559"/>
      <c r="Y528" s="559"/>
      <c r="Z528" s="559"/>
      <c r="AA528" s="559"/>
      <c r="AB528" s="559"/>
      <c r="AC528" s="559"/>
      <c r="AD528" s="559"/>
      <c r="AE528" s="559"/>
      <c r="AF528" s="559"/>
      <c r="AG528" s="559"/>
    </row>
    <row r="529" spans="1:33" ht="18" customHeight="1" x14ac:dyDescent="0.35">
      <c r="A529" s="559"/>
      <c r="B529" s="559"/>
      <c r="C529" s="559"/>
      <c r="D529" s="559"/>
      <c r="E529" s="559"/>
      <c r="F529" s="559"/>
      <c r="G529" s="559"/>
      <c r="H529" s="559"/>
      <c r="I529" s="559"/>
      <c r="J529" s="559"/>
      <c r="K529" s="559"/>
      <c r="L529" s="559"/>
      <c r="M529" s="559"/>
      <c r="N529" s="559"/>
      <c r="O529" s="559"/>
      <c r="P529" s="559"/>
      <c r="Q529" s="559"/>
      <c r="R529" s="559"/>
      <c r="S529" s="559"/>
      <c r="T529" s="559"/>
      <c r="U529" s="559"/>
      <c r="V529" s="559"/>
      <c r="W529" s="559"/>
      <c r="X529" s="559"/>
      <c r="Y529" s="559"/>
      <c r="Z529" s="559"/>
      <c r="AA529" s="559"/>
      <c r="AB529" s="559"/>
      <c r="AC529" s="559"/>
      <c r="AD529" s="559"/>
      <c r="AE529" s="559"/>
      <c r="AF529" s="559"/>
      <c r="AG529" s="559"/>
    </row>
    <row r="530" spans="1:33" ht="18" customHeight="1" x14ac:dyDescent="0.35">
      <c r="A530" s="559"/>
      <c r="B530" s="559"/>
      <c r="C530" s="559"/>
      <c r="D530" s="559"/>
      <c r="E530" s="559"/>
      <c r="F530" s="559"/>
      <c r="G530" s="559"/>
      <c r="H530" s="559"/>
      <c r="I530" s="559"/>
      <c r="J530" s="559"/>
      <c r="K530" s="559"/>
      <c r="L530" s="559"/>
      <c r="M530" s="559"/>
      <c r="N530" s="559"/>
      <c r="O530" s="559"/>
      <c r="P530" s="559"/>
      <c r="Q530" s="559"/>
      <c r="R530" s="559"/>
      <c r="S530" s="559"/>
      <c r="T530" s="559"/>
      <c r="U530" s="559"/>
      <c r="V530" s="559"/>
      <c r="W530" s="559"/>
      <c r="X530" s="559"/>
      <c r="Y530" s="559"/>
      <c r="Z530" s="559"/>
      <c r="AA530" s="559"/>
      <c r="AB530" s="559"/>
      <c r="AC530" s="559"/>
      <c r="AD530" s="559"/>
      <c r="AE530" s="559"/>
      <c r="AF530" s="559"/>
      <c r="AG530" s="559"/>
    </row>
    <row r="531" spans="1:33" ht="18" customHeight="1" x14ac:dyDescent="0.35">
      <c r="A531" s="559"/>
      <c r="B531" s="559"/>
      <c r="C531" s="559"/>
      <c r="D531" s="559"/>
      <c r="E531" s="559"/>
      <c r="F531" s="559"/>
      <c r="G531" s="559"/>
      <c r="H531" s="559"/>
      <c r="I531" s="559"/>
      <c r="J531" s="559"/>
      <c r="K531" s="559"/>
      <c r="L531" s="559"/>
      <c r="M531" s="559"/>
      <c r="N531" s="559"/>
      <c r="O531" s="559"/>
      <c r="P531" s="559"/>
      <c r="Q531" s="559"/>
      <c r="R531" s="559"/>
      <c r="S531" s="559"/>
      <c r="T531" s="559"/>
      <c r="U531" s="559"/>
      <c r="V531" s="559"/>
      <c r="W531" s="559"/>
      <c r="X531" s="559"/>
      <c r="Y531" s="559"/>
      <c r="Z531" s="559"/>
      <c r="AA531" s="559"/>
      <c r="AB531" s="559"/>
      <c r="AC531" s="559"/>
      <c r="AD531" s="559"/>
      <c r="AE531" s="559"/>
      <c r="AF531" s="559"/>
      <c r="AG531" s="559"/>
    </row>
    <row r="532" spans="1:33" ht="18" customHeight="1" x14ac:dyDescent="0.35">
      <c r="A532" s="559"/>
      <c r="B532" s="559"/>
      <c r="C532" s="559"/>
      <c r="D532" s="559"/>
      <c r="E532" s="559"/>
      <c r="F532" s="559"/>
      <c r="G532" s="559"/>
      <c r="H532" s="559"/>
      <c r="I532" s="559"/>
      <c r="J532" s="559"/>
      <c r="K532" s="559"/>
      <c r="L532" s="559"/>
      <c r="M532" s="559"/>
      <c r="N532" s="559"/>
      <c r="O532" s="559"/>
      <c r="P532" s="559"/>
      <c r="Q532" s="559"/>
      <c r="R532" s="559"/>
      <c r="S532" s="559"/>
      <c r="T532" s="559"/>
      <c r="U532" s="559"/>
      <c r="V532" s="559"/>
      <c r="W532" s="559"/>
      <c r="X532" s="559"/>
      <c r="Y532" s="559"/>
      <c r="Z532" s="559"/>
      <c r="AA532" s="559"/>
      <c r="AB532" s="559"/>
      <c r="AC532" s="559"/>
      <c r="AD532" s="559"/>
      <c r="AE532" s="559"/>
      <c r="AF532" s="559"/>
      <c r="AG532" s="559"/>
    </row>
    <row r="533" spans="1:33" ht="18" customHeight="1" x14ac:dyDescent="0.35">
      <c r="A533" s="559"/>
      <c r="B533" s="559"/>
      <c r="C533" s="559"/>
      <c r="D533" s="559"/>
      <c r="E533" s="559"/>
      <c r="F533" s="559"/>
      <c r="G533" s="559"/>
      <c r="H533" s="559"/>
      <c r="I533" s="559"/>
      <c r="J533" s="559"/>
      <c r="K533" s="559"/>
      <c r="L533" s="559"/>
      <c r="M533" s="559"/>
      <c r="N533" s="559"/>
      <c r="O533" s="559"/>
      <c r="P533" s="559"/>
      <c r="Q533" s="559"/>
      <c r="R533" s="559"/>
      <c r="S533" s="559"/>
      <c r="T533" s="559"/>
      <c r="U533" s="559"/>
      <c r="V533" s="559"/>
      <c r="W533" s="559"/>
      <c r="X533" s="559"/>
      <c r="Y533" s="559"/>
      <c r="Z533" s="559"/>
      <c r="AA533" s="559"/>
      <c r="AB533" s="559"/>
      <c r="AC533" s="559"/>
      <c r="AD533" s="559"/>
      <c r="AE533" s="559"/>
      <c r="AF533" s="559"/>
      <c r="AG533" s="559"/>
    </row>
    <row r="534" spans="1:33" ht="18" customHeight="1" x14ac:dyDescent="0.35">
      <c r="A534" s="559"/>
      <c r="B534" s="559"/>
      <c r="C534" s="559"/>
      <c r="D534" s="559"/>
      <c r="E534" s="559"/>
      <c r="F534" s="559"/>
      <c r="G534" s="559"/>
      <c r="H534" s="559"/>
      <c r="I534" s="559"/>
      <c r="J534" s="559"/>
      <c r="K534" s="559"/>
      <c r="L534" s="559"/>
      <c r="M534" s="559"/>
      <c r="N534" s="559"/>
      <c r="O534" s="559"/>
      <c r="P534" s="559"/>
      <c r="Q534" s="559"/>
      <c r="R534" s="559"/>
      <c r="S534" s="559"/>
      <c r="T534" s="559"/>
      <c r="U534" s="559"/>
      <c r="V534" s="559"/>
      <c r="W534" s="559"/>
      <c r="X534" s="559"/>
      <c r="Y534" s="559"/>
      <c r="Z534" s="559"/>
      <c r="AA534" s="559"/>
      <c r="AB534" s="559"/>
      <c r="AC534" s="559"/>
      <c r="AD534" s="559"/>
      <c r="AE534" s="559"/>
      <c r="AF534" s="559"/>
      <c r="AG534" s="559"/>
    </row>
    <row r="535" spans="1:33" ht="18" customHeight="1" x14ac:dyDescent="0.35">
      <c r="A535" s="559"/>
      <c r="B535" s="559"/>
      <c r="C535" s="559"/>
      <c r="D535" s="559"/>
      <c r="E535" s="559"/>
      <c r="F535" s="559"/>
      <c r="G535" s="559"/>
      <c r="H535" s="559"/>
      <c r="I535" s="559"/>
      <c r="J535" s="559"/>
      <c r="K535" s="559"/>
      <c r="L535" s="559"/>
      <c r="M535" s="559"/>
      <c r="N535" s="559"/>
      <c r="O535" s="559"/>
      <c r="P535" s="559"/>
      <c r="Q535" s="559"/>
      <c r="R535" s="559"/>
      <c r="S535" s="559"/>
      <c r="T535" s="559"/>
      <c r="U535" s="559"/>
      <c r="V535" s="559"/>
      <c r="W535" s="559"/>
      <c r="X535" s="559"/>
      <c r="Y535" s="559"/>
      <c r="Z535" s="559"/>
      <c r="AA535" s="559"/>
      <c r="AB535" s="559"/>
      <c r="AC535" s="559"/>
      <c r="AD535" s="559"/>
      <c r="AE535" s="559"/>
      <c r="AF535" s="559"/>
      <c r="AG535" s="559"/>
    </row>
    <row r="536" spans="1:33" ht="18" customHeight="1" x14ac:dyDescent="0.35">
      <c r="A536" s="559"/>
      <c r="B536" s="559"/>
      <c r="C536" s="559"/>
      <c r="D536" s="559"/>
      <c r="E536" s="559"/>
      <c r="F536" s="559"/>
      <c r="G536" s="559"/>
      <c r="H536" s="559"/>
      <c r="I536" s="559"/>
      <c r="J536" s="559"/>
      <c r="K536" s="559"/>
      <c r="L536" s="559"/>
      <c r="M536" s="559"/>
      <c r="N536" s="559"/>
      <c r="O536" s="559"/>
      <c r="P536" s="559"/>
      <c r="Q536" s="559"/>
      <c r="R536" s="559"/>
      <c r="S536" s="559"/>
      <c r="T536" s="559"/>
      <c r="U536" s="559"/>
      <c r="V536" s="559"/>
      <c r="W536" s="559"/>
      <c r="X536" s="559"/>
      <c r="Y536" s="559"/>
      <c r="Z536" s="559"/>
      <c r="AA536" s="559"/>
      <c r="AB536" s="559"/>
      <c r="AC536" s="559"/>
      <c r="AD536" s="559"/>
      <c r="AE536" s="559"/>
      <c r="AF536" s="559"/>
      <c r="AG536" s="559"/>
    </row>
    <row r="537" spans="1:33" ht="18" customHeight="1" x14ac:dyDescent="0.35">
      <c r="A537" s="559"/>
      <c r="B537" s="559"/>
      <c r="C537" s="559"/>
      <c r="D537" s="559"/>
      <c r="E537" s="559"/>
      <c r="F537" s="559"/>
      <c r="G537" s="559"/>
      <c r="H537" s="559"/>
      <c r="I537" s="559"/>
      <c r="J537" s="559"/>
      <c r="K537" s="559"/>
      <c r="L537" s="559"/>
      <c r="M537" s="559"/>
      <c r="N537" s="559"/>
      <c r="O537" s="559"/>
      <c r="P537" s="559"/>
      <c r="Q537" s="559"/>
      <c r="R537" s="559"/>
      <c r="S537" s="559"/>
      <c r="T537" s="559"/>
      <c r="U537" s="559"/>
      <c r="V537" s="559"/>
      <c r="W537" s="559"/>
      <c r="X537" s="559"/>
      <c r="Y537" s="559"/>
      <c r="Z537" s="559"/>
      <c r="AA537" s="559"/>
      <c r="AB537" s="559"/>
      <c r="AC537" s="559"/>
      <c r="AD537" s="559"/>
      <c r="AE537" s="559"/>
      <c r="AF537" s="559"/>
      <c r="AG537" s="559"/>
    </row>
    <row r="538" spans="1:33" ht="18" customHeight="1" x14ac:dyDescent="0.35">
      <c r="A538" s="559"/>
      <c r="B538" s="559"/>
      <c r="C538" s="559"/>
      <c r="D538" s="559"/>
      <c r="E538" s="559"/>
      <c r="F538" s="559"/>
      <c r="G538" s="559"/>
      <c r="H538" s="559"/>
      <c r="I538" s="559"/>
      <c r="J538" s="559"/>
      <c r="K538" s="559"/>
      <c r="L538" s="559"/>
      <c r="M538" s="559"/>
      <c r="N538" s="559"/>
      <c r="O538" s="559"/>
      <c r="P538" s="559"/>
      <c r="Q538" s="559"/>
      <c r="R538" s="559"/>
      <c r="S538" s="559"/>
      <c r="T538" s="559"/>
      <c r="U538" s="559"/>
      <c r="V538" s="559"/>
      <c r="W538" s="559"/>
      <c r="X538" s="559"/>
      <c r="Y538" s="559"/>
      <c r="Z538" s="559"/>
      <c r="AA538" s="559"/>
      <c r="AB538" s="559"/>
      <c r="AC538" s="559"/>
      <c r="AD538" s="559"/>
      <c r="AE538" s="559"/>
      <c r="AF538" s="559"/>
      <c r="AG538" s="559"/>
    </row>
    <row r="539" spans="1:33" ht="18" customHeight="1" x14ac:dyDescent="0.35">
      <c r="A539" s="559"/>
      <c r="B539" s="559"/>
      <c r="C539" s="559"/>
      <c r="D539" s="559"/>
      <c r="E539" s="559"/>
      <c r="F539" s="559"/>
      <c r="G539" s="559"/>
      <c r="H539" s="559"/>
      <c r="I539" s="559"/>
      <c r="J539" s="559"/>
      <c r="K539" s="559"/>
      <c r="L539" s="559"/>
      <c r="M539" s="559"/>
      <c r="N539" s="559"/>
      <c r="O539" s="559"/>
      <c r="P539" s="559"/>
      <c r="Q539" s="559"/>
      <c r="R539" s="559"/>
      <c r="S539" s="559"/>
      <c r="T539" s="559"/>
      <c r="U539" s="559"/>
      <c r="V539" s="559"/>
      <c r="W539" s="559"/>
      <c r="X539" s="559"/>
      <c r="Y539" s="559"/>
      <c r="Z539" s="559"/>
      <c r="AA539" s="559"/>
      <c r="AB539" s="559"/>
      <c r="AC539" s="559"/>
      <c r="AD539" s="559"/>
      <c r="AE539" s="559"/>
      <c r="AF539" s="559"/>
      <c r="AG539" s="559"/>
    </row>
    <row r="540" spans="1:33" ht="18" customHeight="1" x14ac:dyDescent="0.35">
      <c r="A540" s="559"/>
      <c r="B540" s="559"/>
      <c r="C540" s="559"/>
      <c r="D540" s="559"/>
      <c r="E540" s="559"/>
      <c r="F540" s="559"/>
      <c r="G540" s="559"/>
      <c r="H540" s="559"/>
      <c r="I540" s="559"/>
      <c r="J540" s="559"/>
      <c r="K540" s="559"/>
      <c r="L540" s="559"/>
      <c r="M540" s="559"/>
      <c r="N540" s="559"/>
      <c r="O540" s="559"/>
      <c r="P540" s="559"/>
      <c r="Q540" s="559"/>
      <c r="R540" s="559"/>
      <c r="S540" s="559"/>
      <c r="T540" s="559"/>
      <c r="U540" s="559"/>
      <c r="V540" s="559"/>
      <c r="W540" s="559"/>
      <c r="X540" s="559"/>
      <c r="Y540" s="559"/>
      <c r="Z540" s="559"/>
      <c r="AA540" s="559"/>
      <c r="AB540" s="559"/>
      <c r="AC540" s="559"/>
      <c r="AD540" s="559"/>
      <c r="AE540" s="559"/>
      <c r="AF540" s="559"/>
      <c r="AG540" s="559"/>
    </row>
    <row r="541" spans="1:33" ht="18" customHeight="1" x14ac:dyDescent="0.35">
      <c r="A541" s="559"/>
      <c r="B541" s="559"/>
      <c r="C541" s="559"/>
      <c r="D541" s="559"/>
      <c r="E541" s="559"/>
      <c r="F541" s="559"/>
      <c r="G541" s="559"/>
      <c r="H541" s="559"/>
      <c r="I541" s="559"/>
      <c r="J541" s="559"/>
      <c r="K541" s="559"/>
      <c r="L541" s="559"/>
      <c r="M541" s="559"/>
      <c r="N541" s="559"/>
      <c r="O541" s="559"/>
      <c r="P541" s="559"/>
      <c r="Q541" s="559"/>
      <c r="R541" s="559"/>
      <c r="S541" s="559"/>
      <c r="T541" s="559"/>
      <c r="U541" s="559"/>
      <c r="V541" s="559"/>
      <c r="W541" s="559"/>
      <c r="X541" s="559"/>
      <c r="Y541" s="559"/>
      <c r="Z541" s="559"/>
      <c r="AA541" s="559"/>
      <c r="AB541" s="559"/>
      <c r="AC541" s="559"/>
      <c r="AD541" s="559"/>
      <c r="AE541" s="559"/>
      <c r="AF541" s="559"/>
      <c r="AG541" s="559"/>
    </row>
    <row r="542" spans="1:33" ht="18" customHeight="1" x14ac:dyDescent="0.35">
      <c r="A542" s="559"/>
      <c r="B542" s="559"/>
      <c r="C542" s="559"/>
      <c r="D542" s="559"/>
      <c r="E542" s="559"/>
      <c r="F542" s="559"/>
      <c r="G542" s="559"/>
      <c r="H542" s="559"/>
      <c r="I542" s="559"/>
      <c r="J542" s="559"/>
      <c r="K542" s="559"/>
      <c r="L542" s="559"/>
      <c r="M542" s="559"/>
      <c r="N542" s="559"/>
      <c r="O542" s="559"/>
      <c r="P542" s="559"/>
      <c r="Q542" s="559"/>
      <c r="R542" s="559"/>
      <c r="S542" s="559"/>
      <c r="T542" s="559"/>
      <c r="U542" s="559"/>
      <c r="V542" s="559"/>
      <c r="W542" s="559"/>
      <c r="X542" s="559"/>
      <c r="Y542" s="559"/>
      <c r="Z542" s="559"/>
      <c r="AA542" s="559"/>
      <c r="AB542" s="559"/>
      <c r="AC542" s="559"/>
      <c r="AD542" s="559"/>
      <c r="AE542" s="559"/>
      <c r="AF542" s="559"/>
      <c r="AG542" s="559"/>
    </row>
    <row r="543" spans="1:33" ht="18" customHeight="1" x14ac:dyDescent="0.35">
      <c r="A543" s="559"/>
      <c r="B543" s="559"/>
      <c r="C543" s="559"/>
      <c r="D543" s="559"/>
      <c r="E543" s="559"/>
      <c r="F543" s="559"/>
      <c r="G543" s="559"/>
      <c r="H543" s="559"/>
      <c r="I543" s="559"/>
      <c r="J543" s="559"/>
      <c r="K543" s="559"/>
      <c r="L543" s="559"/>
      <c r="M543" s="559"/>
      <c r="N543" s="559"/>
      <c r="O543" s="559"/>
      <c r="P543" s="559"/>
      <c r="Q543" s="559"/>
      <c r="R543" s="559"/>
      <c r="S543" s="559"/>
      <c r="T543" s="559"/>
      <c r="U543" s="559"/>
      <c r="V543" s="559"/>
      <c r="W543" s="559"/>
      <c r="X543" s="559"/>
      <c r="Y543" s="559"/>
      <c r="Z543" s="559"/>
      <c r="AA543" s="559"/>
      <c r="AB543" s="559"/>
      <c r="AC543" s="559"/>
      <c r="AD543" s="559"/>
      <c r="AE543" s="559"/>
      <c r="AF543" s="559"/>
      <c r="AG543" s="559"/>
    </row>
    <row r="544" spans="1:33" ht="18" customHeight="1" x14ac:dyDescent="0.35">
      <c r="A544" s="559"/>
      <c r="B544" s="559"/>
      <c r="C544" s="559"/>
      <c r="D544" s="559"/>
      <c r="E544" s="559"/>
      <c r="F544" s="559"/>
      <c r="G544" s="559"/>
      <c r="H544" s="559"/>
      <c r="I544" s="559"/>
      <c r="J544" s="559"/>
      <c r="K544" s="559"/>
      <c r="L544" s="559"/>
      <c r="M544" s="559"/>
      <c r="N544" s="559"/>
      <c r="O544" s="559"/>
      <c r="P544" s="559"/>
      <c r="Q544" s="559"/>
      <c r="R544" s="559"/>
      <c r="S544" s="559"/>
      <c r="T544" s="559"/>
      <c r="U544" s="559"/>
      <c r="V544" s="559"/>
      <c r="W544" s="559"/>
      <c r="X544" s="559"/>
      <c r="Y544" s="559"/>
      <c r="Z544" s="559"/>
      <c r="AA544" s="559"/>
      <c r="AB544" s="559"/>
      <c r="AC544" s="559"/>
      <c r="AD544" s="559"/>
      <c r="AE544" s="559"/>
      <c r="AF544" s="559"/>
      <c r="AG544" s="559"/>
    </row>
    <row r="545" spans="1:33" ht="18" customHeight="1" x14ac:dyDescent="0.35">
      <c r="A545" s="559"/>
      <c r="B545" s="559"/>
      <c r="C545" s="559"/>
      <c r="D545" s="559"/>
      <c r="E545" s="559"/>
      <c r="F545" s="559"/>
      <c r="G545" s="559"/>
      <c r="H545" s="559"/>
      <c r="I545" s="559"/>
      <c r="J545" s="559"/>
      <c r="K545" s="559"/>
      <c r="L545" s="559"/>
      <c r="M545" s="559"/>
      <c r="N545" s="559"/>
      <c r="O545" s="559"/>
      <c r="P545" s="559"/>
      <c r="Q545" s="559"/>
      <c r="R545" s="559"/>
      <c r="S545" s="559"/>
      <c r="T545" s="559"/>
      <c r="U545" s="559"/>
      <c r="V545" s="559"/>
      <c r="W545" s="559"/>
      <c r="X545" s="559"/>
      <c r="Y545" s="559"/>
      <c r="Z545" s="559"/>
      <c r="AA545" s="559"/>
      <c r="AB545" s="559"/>
      <c r="AC545" s="559"/>
      <c r="AD545" s="559"/>
      <c r="AE545" s="559"/>
      <c r="AF545" s="559"/>
      <c r="AG545" s="559"/>
    </row>
    <row r="546" spans="1:33" ht="18" customHeight="1" x14ac:dyDescent="0.35">
      <c r="A546" s="559"/>
      <c r="B546" s="559"/>
      <c r="C546" s="559"/>
      <c r="D546" s="559"/>
      <c r="E546" s="559"/>
      <c r="F546" s="559"/>
      <c r="G546" s="559"/>
      <c r="H546" s="559"/>
      <c r="I546" s="559"/>
      <c r="J546" s="559"/>
      <c r="K546" s="559"/>
      <c r="L546" s="559"/>
      <c r="M546" s="559"/>
      <c r="N546" s="559"/>
      <c r="O546" s="559"/>
      <c r="P546" s="559"/>
      <c r="Q546" s="559"/>
      <c r="R546" s="559"/>
      <c r="S546" s="559"/>
      <c r="T546" s="559"/>
      <c r="U546" s="559"/>
      <c r="V546" s="559"/>
      <c r="W546" s="559"/>
      <c r="X546" s="559"/>
      <c r="Y546" s="559"/>
      <c r="Z546" s="559"/>
      <c r="AA546" s="559"/>
      <c r="AB546" s="559"/>
      <c r="AC546" s="559"/>
      <c r="AD546" s="559"/>
      <c r="AE546" s="559"/>
      <c r="AF546" s="559"/>
      <c r="AG546" s="559"/>
    </row>
    <row r="547" spans="1:33" ht="18" customHeight="1" x14ac:dyDescent="0.35">
      <c r="A547" s="559"/>
      <c r="B547" s="559"/>
      <c r="C547" s="559"/>
      <c r="D547" s="559"/>
      <c r="E547" s="559"/>
      <c r="F547" s="559"/>
      <c r="G547" s="559"/>
      <c r="H547" s="559"/>
      <c r="I547" s="559"/>
      <c r="J547" s="559"/>
      <c r="K547" s="559"/>
      <c r="L547" s="559"/>
      <c r="M547" s="559"/>
      <c r="N547" s="559"/>
      <c r="O547" s="559"/>
      <c r="P547" s="559"/>
      <c r="Q547" s="559"/>
      <c r="R547" s="559"/>
      <c r="S547" s="559"/>
      <c r="T547" s="559"/>
      <c r="U547" s="559"/>
      <c r="V547" s="559"/>
      <c r="W547" s="559"/>
      <c r="X547" s="559"/>
      <c r="Y547" s="559"/>
      <c r="Z547" s="559"/>
      <c r="AA547" s="559"/>
      <c r="AB547" s="559"/>
      <c r="AC547" s="559"/>
      <c r="AD547" s="559"/>
      <c r="AE547" s="559"/>
      <c r="AF547" s="559"/>
      <c r="AG547" s="559"/>
    </row>
    <row r="548" spans="1:33" ht="18" customHeight="1" x14ac:dyDescent="0.35">
      <c r="A548" s="559"/>
      <c r="B548" s="559"/>
      <c r="C548" s="559"/>
      <c r="D548" s="559"/>
      <c r="E548" s="559"/>
      <c r="F548" s="559"/>
      <c r="G548" s="559"/>
      <c r="H548" s="559"/>
      <c r="I548" s="559"/>
      <c r="J548" s="559"/>
      <c r="K548" s="559"/>
      <c r="L548" s="559"/>
      <c r="M548" s="559"/>
      <c r="N548" s="559"/>
      <c r="O548" s="559"/>
      <c r="P548" s="559"/>
      <c r="Q548" s="559"/>
      <c r="R548" s="559"/>
      <c r="S548" s="559"/>
      <c r="T548" s="559"/>
      <c r="U548" s="559"/>
      <c r="V548" s="559"/>
      <c r="W548" s="559"/>
      <c r="X548" s="559"/>
      <c r="Y548" s="559"/>
      <c r="Z548" s="559"/>
      <c r="AA548" s="559"/>
      <c r="AB548" s="559"/>
      <c r="AC548" s="559"/>
      <c r="AD548" s="559"/>
      <c r="AE548" s="559"/>
      <c r="AF548" s="559"/>
      <c r="AG548" s="559"/>
    </row>
    <row r="549" spans="1:33" ht="18" customHeight="1" x14ac:dyDescent="0.35">
      <c r="A549" s="559"/>
      <c r="B549" s="559"/>
      <c r="C549" s="559"/>
      <c r="D549" s="559"/>
      <c r="E549" s="559"/>
      <c r="F549" s="559"/>
      <c r="G549" s="559"/>
      <c r="H549" s="559"/>
      <c r="I549" s="559"/>
      <c r="J549" s="559"/>
      <c r="K549" s="559"/>
      <c r="L549" s="559"/>
      <c r="M549" s="559"/>
      <c r="N549" s="559"/>
      <c r="O549" s="559"/>
      <c r="P549" s="559"/>
      <c r="Q549" s="559"/>
      <c r="R549" s="559"/>
      <c r="S549" s="559"/>
      <c r="T549" s="559"/>
      <c r="U549" s="559"/>
      <c r="V549" s="559"/>
      <c r="W549" s="559"/>
      <c r="X549" s="559"/>
      <c r="Y549" s="559"/>
      <c r="Z549" s="559"/>
      <c r="AA549" s="559"/>
      <c r="AB549" s="559"/>
      <c r="AC549" s="559"/>
      <c r="AD549" s="559"/>
      <c r="AE549" s="559"/>
      <c r="AF549" s="559"/>
      <c r="AG549" s="559"/>
    </row>
    <row r="550" spans="1:33" ht="18" customHeight="1" x14ac:dyDescent="0.35">
      <c r="A550" s="559"/>
      <c r="B550" s="559"/>
      <c r="C550" s="559"/>
      <c r="D550" s="559"/>
      <c r="E550" s="559"/>
      <c r="F550" s="559"/>
      <c r="G550" s="559"/>
      <c r="H550" s="559"/>
      <c r="I550" s="559"/>
      <c r="J550" s="559"/>
      <c r="K550" s="559"/>
      <c r="L550" s="559"/>
      <c r="M550" s="559"/>
      <c r="N550" s="559"/>
      <c r="O550" s="559"/>
      <c r="P550" s="559"/>
      <c r="Q550" s="559"/>
      <c r="R550" s="559"/>
      <c r="S550" s="559"/>
      <c r="T550" s="559"/>
      <c r="U550" s="559"/>
      <c r="V550" s="559"/>
      <c r="W550" s="559"/>
      <c r="X550" s="559"/>
      <c r="Y550" s="559"/>
      <c r="Z550" s="559"/>
      <c r="AA550" s="559"/>
      <c r="AB550" s="559"/>
      <c r="AC550" s="559"/>
      <c r="AD550" s="559"/>
      <c r="AE550" s="559"/>
      <c r="AF550" s="559"/>
      <c r="AG550" s="559"/>
    </row>
    <row r="551" spans="1:33" ht="18" customHeight="1" x14ac:dyDescent="0.35">
      <c r="A551" s="559"/>
      <c r="B551" s="559"/>
      <c r="C551" s="559"/>
      <c r="D551" s="559"/>
      <c r="E551" s="559"/>
      <c r="F551" s="559"/>
      <c r="G551" s="559"/>
      <c r="H551" s="559"/>
      <c r="I551" s="559"/>
      <c r="J551" s="559"/>
      <c r="K551" s="559"/>
      <c r="L551" s="559"/>
      <c r="M551" s="559"/>
      <c r="N551" s="559"/>
      <c r="O551" s="559"/>
      <c r="P551" s="559"/>
      <c r="Q551" s="559"/>
      <c r="R551" s="559"/>
      <c r="S551" s="559"/>
      <c r="T551" s="559"/>
      <c r="U551" s="559"/>
      <c r="V551" s="559"/>
      <c r="W551" s="559"/>
      <c r="X551" s="559"/>
      <c r="Y551" s="559"/>
      <c r="Z551" s="559"/>
      <c r="AA551" s="559"/>
      <c r="AB551" s="559"/>
      <c r="AC551" s="559"/>
      <c r="AD551" s="559"/>
      <c r="AE551" s="559"/>
      <c r="AF551" s="559"/>
      <c r="AG551" s="559"/>
    </row>
    <row r="552" spans="1:33" ht="18" customHeight="1" x14ac:dyDescent="0.35">
      <c r="A552" s="559"/>
      <c r="B552" s="559"/>
      <c r="C552" s="559"/>
      <c r="D552" s="559"/>
      <c r="E552" s="559"/>
      <c r="F552" s="559"/>
      <c r="G552" s="559"/>
      <c r="H552" s="559"/>
      <c r="I552" s="559"/>
      <c r="J552" s="559"/>
      <c r="K552" s="559"/>
      <c r="L552" s="559"/>
      <c r="M552" s="559"/>
      <c r="N552" s="559"/>
      <c r="O552" s="559"/>
      <c r="P552" s="559"/>
      <c r="Q552" s="559"/>
      <c r="R552" s="559"/>
      <c r="S552" s="559"/>
      <c r="T552" s="559"/>
      <c r="U552" s="559"/>
      <c r="V552" s="559"/>
      <c r="W552" s="559"/>
      <c r="X552" s="559"/>
      <c r="Y552" s="559"/>
      <c r="Z552" s="559"/>
      <c r="AA552" s="559"/>
      <c r="AB552" s="559"/>
      <c r="AC552" s="559"/>
      <c r="AD552" s="559"/>
      <c r="AE552" s="559"/>
      <c r="AF552" s="559"/>
      <c r="AG552" s="559"/>
    </row>
    <row r="553" spans="1:33" ht="18" customHeight="1" x14ac:dyDescent="0.35">
      <c r="A553" s="559"/>
      <c r="B553" s="559"/>
      <c r="C553" s="559"/>
      <c r="D553" s="559"/>
      <c r="E553" s="559"/>
      <c r="F553" s="559"/>
      <c r="G553" s="559"/>
      <c r="H553" s="559"/>
      <c r="I553" s="559"/>
      <c r="J553" s="559"/>
      <c r="K553" s="559"/>
      <c r="L553" s="559"/>
      <c r="M553" s="559"/>
      <c r="N553" s="559"/>
      <c r="O553" s="559"/>
      <c r="P553" s="559"/>
      <c r="Q553" s="559"/>
      <c r="R553" s="559"/>
      <c r="S553" s="559"/>
      <c r="T553" s="559"/>
      <c r="U553" s="559"/>
      <c r="V553" s="559"/>
      <c r="W553" s="559"/>
      <c r="X553" s="559"/>
      <c r="Y553" s="559"/>
      <c r="Z553" s="559"/>
      <c r="AA553" s="559"/>
      <c r="AB553" s="559"/>
      <c r="AC553" s="559"/>
      <c r="AD553" s="559"/>
      <c r="AE553" s="559"/>
      <c r="AF553" s="559"/>
      <c r="AG553" s="559"/>
    </row>
    <row r="554" spans="1:33" ht="18" customHeight="1" x14ac:dyDescent="0.35">
      <c r="A554" s="559"/>
      <c r="B554" s="559"/>
      <c r="C554" s="559"/>
      <c r="D554" s="559"/>
      <c r="E554" s="559"/>
      <c r="F554" s="559"/>
      <c r="G554" s="559"/>
      <c r="H554" s="559"/>
      <c r="I554" s="559"/>
      <c r="J554" s="559"/>
      <c r="K554" s="559"/>
      <c r="L554" s="559"/>
      <c r="M554" s="559"/>
      <c r="N554" s="559"/>
      <c r="O554" s="559"/>
      <c r="P554" s="559"/>
      <c r="Q554" s="559"/>
      <c r="R554" s="559"/>
      <c r="S554" s="559"/>
      <c r="T554" s="559"/>
      <c r="U554" s="559"/>
      <c r="V554" s="559"/>
      <c r="W554" s="559"/>
      <c r="X554" s="559"/>
      <c r="Y554" s="559"/>
      <c r="Z554" s="559"/>
      <c r="AA554" s="559"/>
      <c r="AB554" s="559"/>
      <c r="AC554" s="559"/>
      <c r="AD554" s="559"/>
      <c r="AE554" s="559"/>
      <c r="AF554" s="559"/>
      <c r="AG554" s="559"/>
    </row>
    <row r="555" spans="1:33" ht="18" customHeight="1" x14ac:dyDescent="0.35">
      <c r="A555" s="559"/>
      <c r="B555" s="559"/>
      <c r="C555" s="559"/>
      <c r="D555" s="559"/>
      <c r="E555" s="559"/>
      <c r="F555" s="559"/>
      <c r="G555" s="559"/>
      <c r="H555" s="559"/>
      <c r="I555" s="559"/>
      <c r="J555" s="559"/>
      <c r="K555" s="559"/>
      <c r="L555" s="559"/>
      <c r="M555" s="559"/>
      <c r="N555" s="559"/>
      <c r="O555" s="559"/>
      <c r="P555" s="559"/>
      <c r="Q555" s="559"/>
      <c r="R555" s="559"/>
      <c r="S555" s="559"/>
      <c r="T555" s="559"/>
      <c r="U555" s="559"/>
      <c r="V555" s="559"/>
      <c r="W555" s="559"/>
      <c r="X555" s="559"/>
      <c r="Y555" s="559"/>
      <c r="Z555" s="559"/>
      <c r="AA555" s="559"/>
      <c r="AB555" s="559"/>
      <c r="AC555" s="559"/>
      <c r="AD555" s="559"/>
      <c r="AE555" s="559"/>
      <c r="AF555" s="559"/>
      <c r="AG555" s="559"/>
    </row>
    <row r="556" spans="1:33" ht="18" customHeight="1" x14ac:dyDescent="0.35">
      <c r="A556" s="559"/>
      <c r="B556" s="559"/>
      <c r="C556" s="559"/>
      <c r="D556" s="559"/>
      <c r="E556" s="559"/>
      <c r="F556" s="559"/>
      <c r="G556" s="559"/>
      <c r="H556" s="559"/>
      <c r="I556" s="559"/>
      <c r="J556" s="559"/>
      <c r="K556" s="559"/>
      <c r="L556" s="559"/>
      <c r="M556" s="559"/>
      <c r="N556" s="559"/>
      <c r="O556" s="559"/>
      <c r="P556" s="559"/>
      <c r="Q556" s="559"/>
      <c r="R556" s="559"/>
      <c r="S556" s="559"/>
      <c r="T556" s="559"/>
      <c r="U556" s="559"/>
      <c r="V556" s="559"/>
      <c r="W556" s="559"/>
      <c r="X556" s="559"/>
      <c r="Y556" s="559"/>
      <c r="Z556" s="559"/>
      <c r="AA556" s="559"/>
      <c r="AB556" s="559"/>
      <c r="AC556" s="559"/>
      <c r="AD556" s="559"/>
      <c r="AE556" s="559"/>
      <c r="AF556" s="559"/>
      <c r="AG556" s="559"/>
    </row>
    <row r="557" spans="1:33" ht="18" customHeight="1" x14ac:dyDescent="0.35">
      <c r="A557" s="559"/>
      <c r="B557" s="559"/>
      <c r="C557" s="559"/>
      <c r="D557" s="559"/>
      <c r="E557" s="559"/>
      <c r="F557" s="559"/>
      <c r="G557" s="559"/>
      <c r="H557" s="559"/>
      <c r="I557" s="559"/>
      <c r="J557" s="559"/>
      <c r="K557" s="559"/>
      <c r="L557" s="559"/>
      <c r="M557" s="559"/>
      <c r="N557" s="559"/>
      <c r="O557" s="559"/>
      <c r="P557" s="559"/>
      <c r="Q557" s="559"/>
      <c r="R557" s="559"/>
      <c r="S557" s="559"/>
      <c r="T557" s="559"/>
      <c r="U557" s="559"/>
      <c r="V557" s="559"/>
      <c r="W557" s="559"/>
      <c r="X557" s="559"/>
      <c r="Y557" s="559"/>
      <c r="Z557" s="559"/>
      <c r="AA557" s="559"/>
      <c r="AB557" s="559"/>
      <c r="AC557" s="559"/>
      <c r="AD557" s="559"/>
      <c r="AE557" s="559"/>
      <c r="AF557" s="559"/>
      <c r="AG557" s="559"/>
    </row>
    <row r="558" spans="1:33" ht="18" customHeight="1" x14ac:dyDescent="0.35">
      <c r="A558" s="559"/>
      <c r="B558" s="559"/>
      <c r="C558" s="559"/>
      <c r="D558" s="559"/>
      <c r="E558" s="559"/>
      <c r="F558" s="559"/>
      <c r="G558" s="559"/>
      <c r="H558" s="559"/>
      <c r="I558" s="559"/>
      <c r="J558" s="559"/>
      <c r="K558" s="559"/>
      <c r="L558" s="559"/>
      <c r="M558" s="559"/>
      <c r="N558" s="559"/>
      <c r="O558" s="559"/>
      <c r="P558" s="559"/>
      <c r="Q558" s="559"/>
      <c r="R558" s="559"/>
      <c r="S558" s="559"/>
      <c r="T558" s="559"/>
      <c r="U558" s="559"/>
      <c r="V558" s="559"/>
      <c r="W558" s="559"/>
      <c r="X558" s="559"/>
      <c r="Y558" s="559"/>
      <c r="Z558" s="559"/>
      <c r="AA558" s="559"/>
      <c r="AB558" s="559"/>
      <c r="AC558" s="559"/>
      <c r="AD558" s="559"/>
      <c r="AE558" s="559"/>
      <c r="AF558" s="559"/>
      <c r="AG558" s="559"/>
    </row>
    <row r="559" spans="1:33" ht="18" customHeight="1" x14ac:dyDescent="0.35">
      <c r="A559" s="559"/>
      <c r="B559" s="559"/>
      <c r="C559" s="559"/>
      <c r="D559" s="559"/>
      <c r="E559" s="559"/>
      <c r="F559" s="559"/>
      <c r="G559" s="559"/>
      <c r="H559" s="559"/>
      <c r="I559" s="559"/>
      <c r="J559" s="559"/>
      <c r="K559" s="559"/>
      <c r="L559" s="559"/>
      <c r="M559" s="559"/>
      <c r="N559" s="559"/>
      <c r="O559" s="559"/>
      <c r="P559" s="559"/>
      <c r="Q559" s="559"/>
      <c r="R559" s="559"/>
      <c r="S559" s="559"/>
      <c r="T559" s="559"/>
      <c r="U559" s="559"/>
      <c r="V559" s="559"/>
      <c r="W559" s="559"/>
      <c r="X559" s="559"/>
      <c r="Y559" s="559"/>
      <c r="Z559" s="559"/>
      <c r="AA559" s="559"/>
      <c r="AB559" s="559"/>
      <c r="AC559" s="559"/>
      <c r="AD559" s="559"/>
      <c r="AE559" s="559"/>
      <c r="AF559" s="559"/>
      <c r="AG559" s="559"/>
    </row>
    <row r="560" spans="1:33" ht="18" customHeight="1" x14ac:dyDescent="0.35">
      <c r="A560" s="559"/>
      <c r="B560" s="559"/>
      <c r="C560" s="559"/>
      <c r="D560" s="559"/>
      <c r="E560" s="559"/>
      <c r="F560" s="559"/>
      <c r="G560" s="559"/>
      <c r="H560" s="559"/>
      <c r="I560" s="559"/>
      <c r="J560" s="559"/>
      <c r="K560" s="559"/>
      <c r="L560" s="559"/>
      <c r="M560" s="559"/>
      <c r="N560" s="559"/>
      <c r="O560" s="559"/>
      <c r="P560" s="559"/>
      <c r="Q560" s="559"/>
      <c r="R560" s="559"/>
      <c r="S560" s="559"/>
      <c r="T560" s="559"/>
      <c r="U560" s="559"/>
      <c r="V560" s="559"/>
      <c r="W560" s="559"/>
      <c r="X560" s="559"/>
      <c r="Y560" s="559"/>
      <c r="Z560" s="559"/>
      <c r="AA560" s="559"/>
      <c r="AB560" s="559"/>
      <c r="AC560" s="559"/>
      <c r="AD560" s="559"/>
      <c r="AE560" s="559"/>
      <c r="AF560" s="559"/>
      <c r="AG560" s="559"/>
    </row>
    <row r="561" spans="1:33" ht="18" customHeight="1" x14ac:dyDescent="0.35">
      <c r="A561" s="559"/>
      <c r="B561" s="559"/>
      <c r="C561" s="559"/>
      <c r="D561" s="559"/>
      <c r="E561" s="559"/>
      <c r="F561" s="559"/>
      <c r="G561" s="559"/>
      <c r="H561" s="559"/>
      <c r="I561" s="559"/>
      <c r="J561" s="559"/>
      <c r="K561" s="559"/>
      <c r="L561" s="559"/>
      <c r="M561" s="559"/>
      <c r="N561" s="559"/>
      <c r="O561" s="559"/>
      <c r="P561" s="559"/>
      <c r="Q561" s="559"/>
      <c r="R561" s="559"/>
      <c r="S561" s="559"/>
      <c r="T561" s="559"/>
      <c r="U561" s="559"/>
      <c r="V561" s="559"/>
      <c r="W561" s="559"/>
      <c r="X561" s="559"/>
      <c r="Y561" s="559"/>
      <c r="Z561" s="559"/>
      <c r="AA561" s="559"/>
      <c r="AB561" s="559"/>
      <c r="AC561" s="559"/>
      <c r="AD561" s="559"/>
      <c r="AE561" s="559"/>
      <c r="AF561" s="559"/>
      <c r="AG561" s="559"/>
    </row>
    <row r="562" spans="1:33" ht="18" customHeight="1" x14ac:dyDescent="0.35">
      <c r="A562" s="559"/>
      <c r="B562" s="559"/>
      <c r="C562" s="559"/>
      <c r="D562" s="559"/>
      <c r="E562" s="559"/>
      <c r="F562" s="559"/>
      <c r="G562" s="559"/>
      <c r="H562" s="559"/>
      <c r="I562" s="559"/>
      <c r="J562" s="559"/>
      <c r="K562" s="559"/>
      <c r="L562" s="559"/>
      <c r="M562" s="559"/>
      <c r="N562" s="559"/>
      <c r="O562" s="559"/>
      <c r="P562" s="559"/>
      <c r="Q562" s="559"/>
      <c r="R562" s="559"/>
      <c r="S562" s="559"/>
      <c r="T562" s="559"/>
      <c r="U562" s="559"/>
      <c r="V562" s="559"/>
      <c r="W562" s="559"/>
      <c r="X562" s="559"/>
      <c r="Y562" s="559"/>
      <c r="Z562" s="559"/>
      <c r="AA562" s="559"/>
      <c r="AB562" s="559"/>
      <c r="AC562" s="559"/>
      <c r="AD562" s="559"/>
      <c r="AE562" s="559"/>
      <c r="AF562" s="559"/>
      <c r="AG562" s="559"/>
    </row>
    <row r="563" spans="1:33" ht="18" customHeight="1" x14ac:dyDescent="0.35">
      <c r="A563" s="559"/>
      <c r="B563" s="559"/>
      <c r="C563" s="559"/>
      <c r="D563" s="559"/>
      <c r="E563" s="559"/>
      <c r="F563" s="559"/>
      <c r="G563" s="559"/>
      <c r="H563" s="559"/>
      <c r="I563" s="559"/>
      <c r="J563" s="559"/>
      <c r="K563" s="559"/>
      <c r="L563" s="559"/>
      <c r="M563" s="559"/>
      <c r="N563" s="559"/>
      <c r="O563" s="559"/>
      <c r="P563" s="559"/>
      <c r="Q563" s="559"/>
      <c r="R563" s="559"/>
      <c r="S563" s="559"/>
      <c r="T563" s="559"/>
      <c r="U563" s="559"/>
      <c r="V563" s="559"/>
      <c r="W563" s="559"/>
      <c r="X563" s="559"/>
      <c r="Y563" s="559"/>
      <c r="Z563" s="559"/>
      <c r="AA563" s="559"/>
      <c r="AB563" s="559"/>
      <c r="AC563" s="559"/>
      <c r="AD563" s="559"/>
      <c r="AE563" s="559"/>
      <c r="AF563" s="559"/>
      <c r="AG563" s="559"/>
    </row>
    <row r="564" spans="1:33" ht="18" customHeight="1" x14ac:dyDescent="0.35">
      <c r="A564" s="559"/>
      <c r="B564" s="559"/>
      <c r="C564" s="559"/>
      <c r="D564" s="559"/>
      <c r="E564" s="559"/>
      <c r="F564" s="559"/>
      <c r="G564" s="559"/>
      <c r="H564" s="559"/>
      <c r="I564" s="559"/>
      <c r="J564" s="559"/>
      <c r="K564" s="559"/>
      <c r="L564" s="559"/>
      <c r="M564" s="559"/>
      <c r="N564" s="559"/>
      <c r="O564" s="559"/>
      <c r="P564" s="559"/>
      <c r="Q564" s="559"/>
      <c r="R564" s="559"/>
      <c r="S564" s="559"/>
      <c r="T564" s="559"/>
      <c r="U564" s="559"/>
      <c r="V564" s="559"/>
      <c r="W564" s="559"/>
      <c r="X564" s="559"/>
      <c r="Y564" s="559"/>
      <c r="Z564" s="559"/>
      <c r="AA564" s="559"/>
      <c r="AB564" s="559"/>
      <c r="AC564" s="559"/>
      <c r="AD564" s="559"/>
      <c r="AE564" s="559"/>
      <c r="AF564" s="559"/>
      <c r="AG564" s="559"/>
    </row>
    <row r="565" spans="1:33" ht="18" customHeight="1" x14ac:dyDescent="0.35">
      <c r="A565" s="559"/>
      <c r="B565" s="559"/>
      <c r="C565" s="559"/>
      <c r="D565" s="559"/>
      <c r="E565" s="559"/>
      <c r="F565" s="559"/>
      <c r="G565" s="559"/>
      <c r="H565" s="559"/>
      <c r="I565" s="559"/>
      <c r="J565" s="559"/>
      <c r="K565" s="559"/>
      <c r="L565" s="559"/>
      <c r="M565" s="559"/>
      <c r="N565" s="559"/>
      <c r="O565" s="559"/>
      <c r="P565" s="559"/>
      <c r="Q565" s="559"/>
      <c r="R565" s="559"/>
      <c r="S565" s="559"/>
      <c r="T565" s="559"/>
      <c r="U565" s="559"/>
      <c r="V565" s="559"/>
      <c r="W565" s="559"/>
      <c r="X565" s="559"/>
      <c r="Y565" s="559"/>
      <c r="Z565" s="559"/>
      <c r="AA565" s="559"/>
      <c r="AB565" s="559"/>
      <c r="AC565" s="559"/>
      <c r="AD565" s="559"/>
      <c r="AE565" s="559"/>
      <c r="AF565" s="559"/>
      <c r="AG565" s="559"/>
    </row>
    <row r="566" spans="1:33" ht="18" customHeight="1" x14ac:dyDescent="0.35">
      <c r="A566" s="559"/>
      <c r="B566" s="559"/>
      <c r="C566" s="559"/>
      <c r="D566" s="559"/>
      <c r="E566" s="559"/>
      <c r="F566" s="559"/>
      <c r="G566" s="559"/>
      <c r="H566" s="559"/>
      <c r="I566" s="559"/>
      <c r="J566" s="559"/>
      <c r="K566" s="559"/>
      <c r="L566" s="559"/>
      <c r="M566" s="559"/>
      <c r="N566" s="559"/>
      <c r="O566" s="559"/>
      <c r="P566" s="559"/>
      <c r="Q566" s="559"/>
      <c r="R566" s="559"/>
      <c r="S566" s="559"/>
      <c r="T566" s="559"/>
      <c r="U566" s="559"/>
      <c r="V566" s="559"/>
      <c r="W566" s="559"/>
      <c r="X566" s="559"/>
      <c r="Y566" s="559"/>
      <c r="Z566" s="559"/>
      <c r="AA566" s="559"/>
      <c r="AB566" s="559"/>
      <c r="AC566" s="559"/>
      <c r="AD566" s="559"/>
      <c r="AE566" s="559"/>
      <c r="AF566" s="559"/>
      <c r="AG566" s="559"/>
    </row>
    <row r="567" spans="1:33" ht="18" customHeight="1" x14ac:dyDescent="0.35">
      <c r="A567" s="559"/>
      <c r="B567" s="559"/>
      <c r="C567" s="559"/>
      <c r="D567" s="559"/>
      <c r="E567" s="559"/>
      <c r="F567" s="559"/>
      <c r="G567" s="559"/>
      <c r="H567" s="559"/>
      <c r="I567" s="559"/>
      <c r="J567" s="559"/>
      <c r="K567" s="559"/>
      <c r="L567" s="559"/>
      <c r="M567" s="559"/>
      <c r="N567" s="559"/>
      <c r="O567" s="559"/>
      <c r="P567" s="559"/>
      <c r="Q567" s="559"/>
      <c r="R567" s="559"/>
      <c r="S567" s="559"/>
      <c r="T567" s="559"/>
      <c r="U567" s="559"/>
      <c r="V567" s="559"/>
      <c r="W567" s="559"/>
      <c r="X567" s="559"/>
      <c r="Y567" s="559"/>
      <c r="Z567" s="559"/>
      <c r="AA567" s="559"/>
      <c r="AB567" s="559"/>
      <c r="AC567" s="559"/>
      <c r="AD567" s="559"/>
      <c r="AE567" s="559"/>
      <c r="AF567" s="559"/>
      <c r="AG567" s="559"/>
    </row>
    <row r="568" spans="1:33" ht="18" customHeight="1" x14ac:dyDescent="0.35">
      <c r="A568" s="559"/>
      <c r="B568" s="559"/>
      <c r="C568" s="559"/>
      <c r="D568" s="559"/>
      <c r="E568" s="559"/>
      <c r="F568" s="559"/>
      <c r="G568" s="559"/>
      <c r="H568" s="559"/>
      <c r="I568" s="559"/>
      <c r="J568" s="559"/>
      <c r="K568" s="559"/>
      <c r="L568" s="559"/>
      <c r="M568" s="559"/>
      <c r="N568" s="559"/>
      <c r="O568" s="559"/>
      <c r="P568" s="559"/>
      <c r="Q568" s="559"/>
      <c r="R568" s="559"/>
      <c r="S568" s="559"/>
      <c r="T568" s="559"/>
      <c r="U568" s="559"/>
      <c r="V568" s="559"/>
      <c r="W568" s="559"/>
      <c r="X568" s="559"/>
      <c r="Y568" s="559"/>
      <c r="Z568" s="559"/>
      <c r="AA568" s="559"/>
      <c r="AB568" s="559"/>
      <c r="AC568" s="559"/>
      <c r="AD568" s="559"/>
      <c r="AE568" s="559"/>
      <c r="AF568" s="559"/>
      <c r="AG568" s="559"/>
    </row>
    <row r="569" spans="1:33" ht="18" customHeight="1" x14ac:dyDescent="0.35">
      <c r="A569" s="559"/>
      <c r="B569" s="559"/>
      <c r="C569" s="559"/>
      <c r="D569" s="559"/>
      <c r="E569" s="559"/>
      <c r="F569" s="559"/>
      <c r="G569" s="559"/>
      <c r="H569" s="559"/>
      <c r="I569" s="559"/>
      <c r="J569" s="559"/>
      <c r="K569" s="559"/>
      <c r="L569" s="559"/>
      <c r="M569" s="559"/>
      <c r="N569" s="559"/>
      <c r="O569" s="559"/>
      <c r="P569" s="559"/>
      <c r="Q569" s="559"/>
      <c r="R569" s="559"/>
      <c r="S569" s="559"/>
      <c r="T569" s="559"/>
      <c r="U569" s="559"/>
      <c r="V569" s="559"/>
      <c r="W569" s="559"/>
      <c r="X569" s="559"/>
      <c r="Y569" s="559"/>
      <c r="Z569" s="559"/>
      <c r="AA569" s="559"/>
      <c r="AB569" s="559"/>
      <c r="AC569" s="559"/>
      <c r="AD569" s="559"/>
      <c r="AE569" s="559"/>
      <c r="AF569" s="559"/>
      <c r="AG569" s="559"/>
    </row>
    <row r="570" spans="1:33" ht="18" customHeight="1" x14ac:dyDescent="0.35">
      <c r="A570" s="559"/>
      <c r="B570" s="559"/>
      <c r="C570" s="559"/>
      <c r="D570" s="559"/>
      <c r="E570" s="559"/>
      <c r="F570" s="559"/>
      <c r="G570" s="559"/>
      <c r="H570" s="559"/>
      <c r="I570" s="559"/>
      <c r="J570" s="559"/>
      <c r="K570" s="559"/>
      <c r="L570" s="559"/>
      <c r="M570" s="559"/>
      <c r="N570" s="559"/>
      <c r="O570" s="559"/>
      <c r="P570" s="559"/>
      <c r="Q570" s="559"/>
      <c r="R570" s="559"/>
      <c r="S570" s="559"/>
      <c r="T570" s="559"/>
      <c r="U570" s="559"/>
      <c r="V570" s="559"/>
      <c r="W570" s="559"/>
      <c r="X570" s="559"/>
      <c r="Y570" s="559"/>
      <c r="Z570" s="559"/>
      <c r="AA570" s="559"/>
      <c r="AB570" s="559"/>
      <c r="AC570" s="559"/>
      <c r="AD570" s="559"/>
      <c r="AE570" s="559"/>
      <c r="AF570" s="559"/>
      <c r="AG570" s="559"/>
    </row>
    <row r="571" spans="1:33" ht="18" customHeight="1" x14ac:dyDescent="0.35">
      <c r="A571" s="559"/>
      <c r="B571" s="559"/>
      <c r="C571" s="559"/>
      <c r="D571" s="559"/>
      <c r="E571" s="559"/>
      <c r="F571" s="559"/>
      <c r="G571" s="559"/>
      <c r="H571" s="559"/>
      <c r="I571" s="559"/>
      <c r="J571" s="559"/>
      <c r="K571" s="559"/>
      <c r="L571" s="559"/>
      <c r="M571" s="559"/>
      <c r="N571" s="559"/>
      <c r="O571" s="559"/>
      <c r="P571" s="559"/>
      <c r="Q571" s="559"/>
      <c r="R571" s="559"/>
      <c r="S571" s="559"/>
      <c r="T571" s="559"/>
      <c r="U571" s="559"/>
      <c r="V571" s="559"/>
      <c r="W571" s="559"/>
      <c r="X571" s="559"/>
      <c r="Y571" s="559"/>
      <c r="Z571" s="559"/>
      <c r="AA571" s="559"/>
      <c r="AB571" s="559"/>
      <c r="AC571" s="559"/>
      <c r="AD571" s="559"/>
      <c r="AE571" s="559"/>
      <c r="AF571" s="559"/>
      <c r="AG571" s="559"/>
    </row>
    <row r="572" spans="1:33" ht="18" customHeight="1" x14ac:dyDescent="0.35">
      <c r="A572" s="559"/>
      <c r="B572" s="559"/>
      <c r="C572" s="559"/>
      <c r="D572" s="559"/>
      <c r="E572" s="559"/>
      <c r="F572" s="559"/>
      <c r="G572" s="559"/>
      <c r="H572" s="559"/>
      <c r="I572" s="559"/>
      <c r="J572" s="559"/>
      <c r="K572" s="559"/>
      <c r="L572" s="559"/>
      <c r="M572" s="559"/>
      <c r="N572" s="559"/>
      <c r="O572" s="559"/>
      <c r="P572" s="559"/>
      <c r="Q572" s="559"/>
      <c r="R572" s="559"/>
      <c r="S572" s="559"/>
      <c r="T572" s="559"/>
      <c r="U572" s="559"/>
      <c r="V572" s="559"/>
      <c r="W572" s="559"/>
      <c r="X572" s="559"/>
      <c r="Y572" s="559"/>
      <c r="Z572" s="559"/>
      <c r="AA572" s="559"/>
      <c r="AB572" s="559"/>
      <c r="AC572" s="559"/>
      <c r="AD572" s="559"/>
      <c r="AE572" s="559"/>
      <c r="AF572" s="559"/>
      <c r="AG572" s="559"/>
    </row>
    <row r="573" spans="1:33" ht="18" customHeight="1" x14ac:dyDescent="0.35">
      <c r="A573" s="559"/>
      <c r="B573" s="559"/>
      <c r="C573" s="559"/>
      <c r="D573" s="559"/>
      <c r="E573" s="559"/>
      <c r="F573" s="559"/>
      <c r="G573" s="559"/>
      <c r="H573" s="559"/>
      <c r="I573" s="559"/>
      <c r="J573" s="559"/>
      <c r="K573" s="559"/>
      <c r="L573" s="559"/>
      <c r="M573" s="559"/>
      <c r="N573" s="559"/>
      <c r="O573" s="559"/>
      <c r="P573" s="559"/>
      <c r="Q573" s="559"/>
      <c r="R573" s="559"/>
      <c r="S573" s="559"/>
      <c r="T573" s="559"/>
      <c r="U573" s="559"/>
      <c r="V573" s="559"/>
      <c r="W573" s="559"/>
      <c r="X573" s="559"/>
      <c r="Y573" s="559"/>
      <c r="Z573" s="559"/>
      <c r="AA573" s="559"/>
      <c r="AB573" s="559"/>
      <c r="AC573" s="559"/>
      <c r="AD573" s="559"/>
      <c r="AE573" s="559"/>
      <c r="AF573" s="559"/>
      <c r="AG573" s="559"/>
    </row>
    <row r="574" spans="1:33" ht="18" customHeight="1" x14ac:dyDescent="0.35">
      <c r="A574" s="559"/>
      <c r="B574" s="559"/>
      <c r="C574" s="559"/>
      <c r="D574" s="559"/>
      <c r="E574" s="559"/>
      <c r="F574" s="559"/>
      <c r="G574" s="559"/>
      <c r="H574" s="559"/>
      <c r="I574" s="559"/>
      <c r="J574" s="559"/>
      <c r="K574" s="559"/>
      <c r="L574" s="559"/>
      <c r="M574" s="559"/>
      <c r="N574" s="559"/>
      <c r="O574" s="559"/>
      <c r="P574" s="559"/>
      <c r="Q574" s="559"/>
      <c r="R574" s="559"/>
      <c r="S574" s="559"/>
      <c r="T574" s="559"/>
      <c r="U574" s="559"/>
      <c r="V574" s="559"/>
      <c r="W574" s="559"/>
      <c r="X574" s="559"/>
      <c r="Y574" s="559"/>
      <c r="Z574" s="559"/>
      <c r="AA574" s="559"/>
      <c r="AB574" s="559"/>
      <c r="AC574" s="559"/>
      <c r="AD574" s="559"/>
      <c r="AE574" s="559"/>
      <c r="AF574" s="559"/>
      <c r="AG574" s="559"/>
    </row>
    <row r="575" spans="1:33" ht="18" customHeight="1" x14ac:dyDescent="0.35">
      <c r="A575" s="559"/>
      <c r="B575" s="559"/>
      <c r="C575" s="559"/>
      <c r="D575" s="559"/>
      <c r="E575" s="559"/>
      <c r="F575" s="559"/>
      <c r="G575" s="559"/>
      <c r="H575" s="559"/>
      <c r="I575" s="559"/>
      <c r="J575" s="559"/>
      <c r="K575" s="559"/>
      <c r="L575" s="559"/>
      <c r="M575" s="559"/>
      <c r="N575" s="559"/>
      <c r="O575" s="559"/>
      <c r="P575" s="559"/>
      <c r="Q575" s="559"/>
      <c r="R575" s="559"/>
      <c r="S575" s="559"/>
      <c r="T575" s="559"/>
      <c r="U575" s="559"/>
      <c r="V575" s="559"/>
      <c r="W575" s="559"/>
      <c r="X575" s="559"/>
      <c r="Y575" s="559"/>
      <c r="Z575" s="559"/>
      <c r="AA575" s="559"/>
      <c r="AB575" s="559"/>
      <c r="AC575" s="559"/>
      <c r="AD575" s="559"/>
      <c r="AE575" s="559"/>
      <c r="AF575" s="559"/>
      <c r="AG575" s="559"/>
    </row>
    <row r="576" spans="1:33" ht="18" customHeight="1" x14ac:dyDescent="0.35">
      <c r="A576" s="559"/>
      <c r="B576" s="559"/>
      <c r="C576" s="559"/>
      <c r="D576" s="559"/>
      <c r="E576" s="559"/>
      <c r="F576" s="559"/>
      <c r="G576" s="559"/>
      <c r="H576" s="559"/>
      <c r="I576" s="559"/>
      <c r="J576" s="559"/>
      <c r="K576" s="559"/>
      <c r="L576" s="559"/>
      <c r="M576" s="559"/>
      <c r="N576" s="559"/>
      <c r="O576" s="559"/>
      <c r="P576" s="559"/>
      <c r="Q576" s="559"/>
      <c r="R576" s="559"/>
      <c r="S576" s="559"/>
      <c r="T576" s="559"/>
      <c r="U576" s="559"/>
      <c r="V576" s="559"/>
      <c r="W576" s="559"/>
      <c r="X576" s="559"/>
      <c r="Y576" s="559"/>
      <c r="Z576" s="559"/>
      <c r="AA576" s="559"/>
      <c r="AB576" s="559"/>
      <c r="AC576" s="559"/>
      <c r="AD576" s="559"/>
      <c r="AE576" s="559"/>
      <c r="AF576" s="559"/>
      <c r="AG576" s="559"/>
    </row>
    <row r="577" spans="1:33" ht="18" customHeight="1" x14ac:dyDescent="0.35">
      <c r="A577" s="559"/>
      <c r="B577" s="559"/>
      <c r="C577" s="559"/>
      <c r="D577" s="559"/>
      <c r="E577" s="559"/>
      <c r="F577" s="559"/>
      <c r="G577" s="559"/>
      <c r="H577" s="559"/>
      <c r="I577" s="559"/>
      <c r="J577" s="559"/>
      <c r="K577" s="559"/>
      <c r="L577" s="559"/>
      <c r="M577" s="559"/>
      <c r="N577" s="559"/>
      <c r="O577" s="559"/>
      <c r="P577" s="559"/>
      <c r="Q577" s="559"/>
      <c r="R577" s="559"/>
      <c r="S577" s="559"/>
      <c r="T577" s="559"/>
      <c r="U577" s="559"/>
      <c r="V577" s="559"/>
      <c r="W577" s="559"/>
      <c r="X577" s="559"/>
      <c r="Y577" s="559"/>
      <c r="Z577" s="559"/>
      <c r="AA577" s="559"/>
      <c r="AB577" s="559"/>
      <c r="AC577" s="559"/>
      <c r="AD577" s="559"/>
      <c r="AE577" s="559"/>
      <c r="AF577" s="559"/>
      <c r="AG577" s="559"/>
    </row>
    <row r="578" spans="1:33" ht="18" customHeight="1" x14ac:dyDescent="0.35">
      <c r="A578" s="559"/>
      <c r="B578" s="559"/>
      <c r="C578" s="559"/>
      <c r="D578" s="559"/>
      <c r="E578" s="559"/>
      <c r="F578" s="559"/>
      <c r="G578" s="559"/>
      <c r="H578" s="559"/>
      <c r="I578" s="559"/>
      <c r="J578" s="559"/>
      <c r="K578" s="559"/>
      <c r="L578" s="559"/>
      <c r="M578" s="559"/>
      <c r="N578" s="559"/>
      <c r="O578" s="559"/>
      <c r="P578" s="559"/>
      <c r="Q578" s="559"/>
      <c r="R578" s="559"/>
      <c r="S578" s="559"/>
      <c r="T578" s="559"/>
      <c r="U578" s="559"/>
      <c r="V578" s="559"/>
      <c r="W578" s="559"/>
      <c r="X578" s="559"/>
      <c r="Y578" s="559"/>
      <c r="Z578" s="559"/>
      <c r="AA578" s="559"/>
      <c r="AB578" s="559"/>
      <c r="AC578" s="559"/>
      <c r="AD578" s="559"/>
      <c r="AE578" s="559"/>
      <c r="AF578" s="559"/>
      <c r="AG578" s="559"/>
    </row>
    <row r="579" spans="1:33" ht="18" customHeight="1" x14ac:dyDescent="0.35">
      <c r="A579" s="559"/>
      <c r="B579" s="559"/>
      <c r="C579" s="559"/>
      <c r="D579" s="559"/>
      <c r="E579" s="559"/>
      <c r="F579" s="559"/>
      <c r="G579" s="559"/>
      <c r="H579" s="559"/>
      <c r="I579" s="559"/>
      <c r="J579" s="559"/>
      <c r="K579" s="559"/>
      <c r="L579" s="559"/>
      <c r="M579" s="559"/>
      <c r="N579" s="559"/>
      <c r="O579" s="559"/>
      <c r="P579" s="559"/>
      <c r="Q579" s="559"/>
      <c r="R579" s="559"/>
      <c r="S579" s="559"/>
      <c r="T579" s="559"/>
      <c r="U579" s="559"/>
      <c r="V579" s="559"/>
      <c r="W579" s="559"/>
      <c r="X579" s="559"/>
      <c r="Y579" s="559"/>
      <c r="Z579" s="559"/>
      <c r="AA579" s="559"/>
      <c r="AB579" s="559"/>
      <c r="AC579" s="559"/>
      <c r="AD579" s="559"/>
      <c r="AE579" s="559"/>
      <c r="AF579" s="559"/>
      <c r="AG579" s="559"/>
    </row>
    <row r="580" spans="1:33" ht="18" customHeight="1" x14ac:dyDescent="0.35">
      <c r="A580" s="559"/>
      <c r="B580" s="559"/>
      <c r="C580" s="559"/>
      <c r="D580" s="559"/>
      <c r="E580" s="559"/>
      <c r="F580" s="559"/>
      <c r="G580" s="559"/>
      <c r="H580" s="559"/>
      <c r="I580" s="559"/>
      <c r="J580" s="559"/>
      <c r="K580" s="559"/>
      <c r="L580" s="559"/>
      <c r="M580" s="559"/>
      <c r="N580" s="559"/>
      <c r="O580" s="559"/>
      <c r="P580" s="559"/>
      <c r="Q580" s="559"/>
      <c r="R580" s="559"/>
      <c r="S580" s="559"/>
      <c r="T580" s="559"/>
      <c r="U580" s="559"/>
      <c r="V580" s="559"/>
      <c r="W580" s="559"/>
      <c r="X580" s="559"/>
      <c r="Y580" s="559"/>
      <c r="Z580" s="559"/>
      <c r="AA580" s="559"/>
      <c r="AB580" s="559"/>
      <c r="AC580" s="559"/>
      <c r="AD580" s="559"/>
      <c r="AE580" s="559"/>
      <c r="AF580" s="559"/>
      <c r="AG580" s="559"/>
    </row>
    <row r="581" spans="1:33" ht="18" customHeight="1" x14ac:dyDescent="0.35">
      <c r="A581" s="559"/>
      <c r="B581" s="559"/>
      <c r="C581" s="559"/>
      <c r="D581" s="559"/>
      <c r="E581" s="559"/>
      <c r="F581" s="559"/>
      <c r="G581" s="559"/>
      <c r="H581" s="559"/>
      <c r="I581" s="559"/>
      <c r="J581" s="559"/>
      <c r="K581" s="559"/>
      <c r="L581" s="559"/>
      <c r="M581" s="559"/>
      <c r="N581" s="559"/>
      <c r="O581" s="559"/>
      <c r="P581" s="559"/>
      <c r="Q581" s="559"/>
      <c r="R581" s="559"/>
      <c r="S581" s="559"/>
      <c r="T581" s="559"/>
      <c r="U581" s="559"/>
      <c r="V581" s="559"/>
      <c r="W581" s="559"/>
      <c r="X581" s="559"/>
      <c r="Y581" s="559"/>
      <c r="Z581" s="559"/>
      <c r="AA581" s="559"/>
      <c r="AB581" s="559"/>
      <c r="AC581" s="559"/>
      <c r="AD581" s="559"/>
      <c r="AE581" s="559"/>
      <c r="AF581" s="559"/>
      <c r="AG581" s="559"/>
    </row>
    <row r="582" spans="1:33" ht="18" customHeight="1" x14ac:dyDescent="0.35">
      <c r="A582" s="559"/>
      <c r="B582" s="559"/>
      <c r="C582" s="559"/>
      <c r="D582" s="559"/>
      <c r="E582" s="559"/>
      <c r="F582" s="559"/>
      <c r="G582" s="559"/>
      <c r="H582" s="559"/>
      <c r="I582" s="559"/>
      <c r="J582" s="559"/>
      <c r="K582" s="559"/>
      <c r="L582" s="559"/>
      <c r="M582" s="559"/>
      <c r="N582" s="559"/>
      <c r="O582" s="559"/>
      <c r="P582" s="559"/>
      <c r="Q582" s="559"/>
      <c r="R582" s="559"/>
      <c r="S582" s="559"/>
      <c r="T582" s="559"/>
      <c r="U582" s="559"/>
      <c r="V582" s="559"/>
      <c r="W582" s="559"/>
      <c r="X582" s="559"/>
      <c r="Y582" s="559"/>
      <c r="Z582" s="559"/>
      <c r="AA582" s="559"/>
      <c r="AB582" s="559"/>
      <c r="AC582" s="559"/>
      <c r="AD582" s="559"/>
      <c r="AE582" s="559"/>
      <c r="AF582" s="559"/>
      <c r="AG582" s="559"/>
    </row>
    <row r="583" spans="1:33" ht="18" customHeight="1" x14ac:dyDescent="0.35">
      <c r="A583" s="559"/>
      <c r="B583" s="559"/>
      <c r="C583" s="559"/>
      <c r="D583" s="559"/>
      <c r="E583" s="559"/>
      <c r="F583" s="559"/>
      <c r="G583" s="559"/>
      <c r="H583" s="559"/>
      <c r="I583" s="559"/>
      <c r="J583" s="559"/>
      <c r="K583" s="559"/>
      <c r="L583" s="559"/>
      <c r="M583" s="559"/>
      <c r="N583" s="559"/>
      <c r="O583" s="559"/>
      <c r="P583" s="559"/>
      <c r="Q583" s="559"/>
      <c r="R583" s="559"/>
      <c r="S583" s="559"/>
      <c r="T583" s="559"/>
      <c r="U583" s="559"/>
      <c r="V583" s="559"/>
      <c r="W583" s="559"/>
      <c r="X583" s="559"/>
      <c r="Y583" s="559"/>
      <c r="Z583" s="559"/>
      <c r="AA583" s="559"/>
      <c r="AB583" s="559"/>
      <c r="AC583" s="559"/>
      <c r="AD583" s="559"/>
      <c r="AE583" s="559"/>
      <c r="AF583" s="559"/>
      <c r="AG583" s="559"/>
    </row>
    <row r="584" spans="1:33" ht="18" customHeight="1" x14ac:dyDescent="0.35">
      <c r="A584" s="559"/>
      <c r="B584" s="559"/>
      <c r="C584" s="559"/>
      <c r="D584" s="559"/>
      <c r="E584" s="559"/>
      <c r="F584" s="559"/>
      <c r="G584" s="559"/>
      <c r="H584" s="559"/>
      <c r="I584" s="559"/>
      <c r="J584" s="559"/>
      <c r="K584" s="559"/>
      <c r="L584" s="559"/>
      <c r="M584" s="559"/>
      <c r="N584" s="559"/>
      <c r="O584" s="559"/>
      <c r="P584" s="559"/>
      <c r="Q584" s="559"/>
      <c r="R584" s="559"/>
      <c r="S584" s="559"/>
      <c r="T584" s="559"/>
      <c r="U584" s="559"/>
      <c r="V584" s="559"/>
      <c r="W584" s="559"/>
      <c r="X584" s="559"/>
      <c r="Y584" s="559"/>
      <c r="Z584" s="559"/>
      <c r="AA584" s="559"/>
      <c r="AB584" s="559"/>
      <c r="AC584" s="559"/>
      <c r="AD584" s="559"/>
      <c r="AE584" s="559"/>
      <c r="AF584" s="559"/>
      <c r="AG584" s="559"/>
    </row>
    <row r="585" spans="1:33" ht="18" customHeight="1" x14ac:dyDescent="0.35">
      <c r="A585" s="559"/>
      <c r="B585" s="559"/>
      <c r="C585" s="559"/>
      <c r="D585" s="559"/>
      <c r="E585" s="559"/>
      <c r="F585" s="559"/>
      <c r="G585" s="559"/>
      <c r="H585" s="559"/>
      <c r="I585" s="559"/>
      <c r="J585" s="559"/>
      <c r="K585" s="559"/>
      <c r="L585" s="559"/>
      <c r="M585" s="559"/>
      <c r="N585" s="559"/>
      <c r="O585" s="559"/>
      <c r="P585" s="559"/>
      <c r="Q585" s="559"/>
      <c r="R585" s="559"/>
      <c r="S585" s="559"/>
      <c r="T585" s="559"/>
      <c r="U585" s="559"/>
      <c r="V585" s="559"/>
      <c r="W585" s="559"/>
      <c r="X585" s="559"/>
      <c r="Y585" s="559"/>
      <c r="Z585" s="559"/>
      <c r="AA585" s="559"/>
      <c r="AB585" s="559"/>
      <c r="AC585" s="559"/>
      <c r="AD585" s="559"/>
      <c r="AE585" s="559"/>
      <c r="AF585" s="559"/>
      <c r="AG585" s="559"/>
    </row>
    <row r="586" spans="1:33" ht="18" customHeight="1" x14ac:dyDescent="0.35">
      <c r="A586" s="559"/>
      <c r="B586" s="559"/>
      <c r="C586" s="559"/>
      <c r="D586" s="559"/>
      <c r="E586" s="559"/>
      <c r="F586" s="559"/>
      <c r="G586" s="559"/>
      <c r="H586" s="559"/>
      <c r="I586" s="559"/>
      <c r="J586" s="559"/>
      <c r="K586" s="559"/>
      <c r="L586" s="559"/>
      <c r="M586" s="559"/>
      <c r="N586" s="559"/>
      <c r="O586" s="559"/>
      <c r="P586" s="559"/>
      <c r="Q586" s="559"/>
      <c r="R586" s="559"/>
      <c r="S586" s="559"/>
      <c r="T586" s="559"/>
      <c r="U586" s="559"/>
      <c r="V586" s="559"/>
      <c r="W586" s="559"/>
      <c r="X586" s="559"/>
      <c r="Y586" s="559"/>
      <c r="Z586" s="559"/>
      <c r="AA586" s="559"/>
      <c r="AB586" s="559"/>
      <c r="AC586" s="559"/>
      <c r="AD586" s="559"/>
      <c r="AE586" s="559"/>
      <c r="AF586" s="559"/>
      <c r="AG586" s="559"/>
    </row>
    <row r="587" spans="1:33" ht="18" customHeight="1" x14ac:dyDescent="0.35">
      <c r="A587" s="559"/>
      <c r="B587" s="559"/>
      <c r="C587" s="559"/>
      <c r="D587" s="559"/>
      <c r="E587" s="559"/>
      <c r="F587" s="559"/>
      <c r="G587" s="559"/>
      <c r="H587" s="559"/>
      <c r="I587" s="559"/>
      <c r="J587" s="559"/>
      <c r="K587" s="559"/>
      <c r="L587" s="559"/>
      <c r="M587" s="559"/>
      <c r="N587" s="559"/>
      <c r="O587" s="559"/>
      <c r="P587" s="559"/>
      <c r="Q587" s="559"/>
      <c r="R587" s="559"/>
      <c r="S587" s="559"/>
      <c r="T587" s="559"/>
      <c r="U587" s="559"/>
      <c r="V587" s="559"/>
      <c r="W587" s="559"/>
      <c r="X587" s="559"/>
      <c r="Y587" s="559"/>
      <c r="Z587" s="559"/>
      <c r="AA587" s="559"/>
      <c r="AB587" s="559"/>
      <c r="AC587" s="559"/>
      <c r="AD587" s="559"/>
      <c r="AE587" s="559"/>
      <c r="AF587" s="559"/>
      <c r="AG587" s="559"/>
    </row>
    <row r="588" spans="1:33" ht="18" customHeight="1" x14ac:dyDescent="0.35">
      <c r="A588" s="559"/>
      <c r="B588" s="559"/>
      <c r="C588" s="559"/>
      <c r="D588" s="559"/>
      <c r="E588" s="559"/>
      <c r="F588" s="559"/>
      <c r="G588" s="559"/>
      <c r="H588" s="559"/>
      <c r="I588" s="559"/>
      <c r="J588" s="559"/>
      <c r="K588" s="559"/>
      <c r="L588" s="559"/>
      <c r="M588" s="559"/>
      <c r="N588" s="559"/>
      <c r="O588" s="559"/>
      <c r="P588" s="559"/>
      <c r="Q588" s="559"/>
      <c r="R588" s="559"/>
      <c r="S588" s="559"/>
      <c r="T588" s="559"/>
      <c r="U588" s="559"/>
      <c r="V588" s="559"/>
      <c r="W588" s="559"/>
      <c r="X588" s="559"/>
      <c r="Y588" s="559"/>
      <c r="Z588" s="559"/>
      <c r="AA588" s="559"/>
      <c r="AB588" s="559"/>
      <c r="AC588" s="559"/>
      <c r="AD588" s="559"/>
      <c r="AE588" s="559"/>
      <c r="AF588" s="559"/>
      <c r="AG588" s="559"/>
    </row>
    <row r="589" spans="1:33" ht="18" customHeight="1" x14ac:dyDescent="0.35">
      <c r="A589" s="559"/>
      <c r="B589" s="559"/>
      <c r="C589" s="559"/>
      <c r="D589" s="559"/>
      <c r="E589" s="559"/>
      <c r="F589" s="559"/>
      <c r="G589" s="559"/>
      <c r="H589" s="559"/>
      <c r="I589" s="559"/>
      <c r="J589" s="559"/>
      <c r="K589" s="559"/>
      <c r="L589" s="559"/>
      <c r="M589" s="559"/>
      <c r="N589" s="559"/>
      <c r="O589" s="559"/>
      <c r="P589" s="559"/>
      <c r="Q589" s="559"/>
      <c r="R589" s="559"/>
      <c r="S589" s="559"/>
      <c r="T589" s="559"/>
      <c r="U589" s="559"/>
      <c r="V589" s="559"/>
      <c r="W589" s="559"/>
      <c r="X589" s="559"/>
      <c r="Y589" s="559"/>
      <c r="Z589" s="559"/>
      <c r="AA589" s="559"/>
      <c r="AB589" s="559"/>
      <c r="AC589" s="559"/>
      <c r="AD589" s="559"/>
      <c r="AE589" s="559"/>
      <c r="AF589" s="559"/>
      <c r="AG589" s="559"/>
    </row>
    <row r="590" spans="1:33" ht="18" customHeight="1" x14ac:dyDescent="0.35">
      <c r="A590" s="559"/>
      <c r="B590" s="559"/>
      <c r="C590" s="559"/>
      <c r="D590" s="559"/>
      <c r="E590" s="559"/>
      <c r="F590" s="559"/>
      <c r="G590" s="559"/>
      <c r="H590" s="559"/>
      <c r="I590" s="559"/>
      <c r="J590" s="559"/>
      <c r="K590" s="559"/>
      <c r="L590" s="559"/>
      <c r="M590" s="559"/>
      <c r="N590" s="559"/>
      <c r="O590" s="559"/>
      <c r="P590" s="559"/>
      <c r="Q590" s="559"/>
      <c r="R590" s="559"/>
      <c r="S590" s="559"/>
      <c r="T590" s="559"/>
      <c r="U590" s="559"/>
      <c r="V590" s="559"/>
      <c r="W590" s="559"/>
      <c r="X590" s="559"/>
      <c r="Y590" s="559"/>
      <c r="Z590" s="559"/>
      <c r="AA590" s="559"/>
      <c r="AB590" s="559"/>
      <c r="AC590" s="559"/>
      <c r="AD590" s="559"/>
      <c r="AE590" s="559"/>
      <c r="AF590" s="559"/>
      <c r="AG590" s="559"/>
    </row>
    <row r="591" spans="1:33" ht="18" customHeight="1" x14ac:dyDescent="0.35">
      <c r="A591" s="559"/>
      <c r="B591" s="559"/>
      <c r="C591" s="559"/>
      <c r="D591" s="559"/>
      <c r="E591" s="559"/>
      <c r="F591" s="559"/>
      <c r="G591" s="559"/>
      <c r="H591" s="559"/>
      <c r="I591" s="559"/>
      <c r="J591" s="559"/>
      <c r="K591" s="559"/>
      <c r="L591" s="559"/>
      <c r="M591" s="559"/>
      <c r="N591" s="559"/>
      <c r="O591" s="559"/>
      <c r="P591" s="559"/>
      <c r="Q591" s="559"/>
      <c r="R591" s="559"/>
      <c r="S591" s="559"/>
      <c r="T591" s="559"/>
      <c r="U591" s="559"/>
      <c r="V591" s="559"/>
      <c r="W591" s="559"/>
      <c r="X591" s="559"/>
      <c r="Y591" s="559"/>
      <c r="Z591" s="559"/>
      <c r="AA591" s="559"/>
      <c r="AB591" s="559"/>
      <c r="AC591" s="559"/>
      <c r="AD591" s="559"/>
      <c r="AE591" s="559"/>
      <c r="AF591" s="559"/>
      <c r="AG591" s="559"/>
    </row>
    <row r="592" spans="1:33" ht="18" customHeight="1" x14ac:dyDescent="0.35">
      <c r="A592" s="559"/>
      <c r="B592" s="559"/>
      <c r="C592" s="559"/>
      <c r="D592" s="559"/>
      <c r="E592" s="559"/>
      <c r="F592" s="559"/>
      <c r="G592" s="559"/>
      <c r="H592" s="559"/>
      <c r="I592" s="559"/>
      <c r="J592" s="559"/>
      <c r="K592" s="559"/>
      <c r="L592" s="559"/>
      <c r="M592" s="559"/>
      <c r="N592" s="559"/>
      <c r="O592" s="559"/>
      <c r="P592" s="559"/>
      <c r="Q592" s="559"/>
      <c r="R592" s="559"/>
      <c r="S592" s="559"/>
      <c r="T592" s="559"/>
      <c r="U592" s="559"/>
      <c r="V592" s="559"/>
      <c r="W592" s="559"/>
      <c r="X592" s="559"/>
      <c r="Y592" s="559"/>
      <c r="Z592" s="559"/>
      <c r="AA592" s="559"/>
      <c r="AB592" s="559"/>
      <c r="AC592" s="559"/>
      <c r="AD592" s="559"/>
      <c r="AE592" s="559"/>
      <c r="AF592" s="559"/>
      <c r="AG592" s="559"/>
    </row>
    <row r="593" spans="1:33" ht="18" customHeight="1" x14ac:dyDescent="0.35">
      <c r="A593" s="559"/>
      <c r="B593" s="559"/>
      <c r="C593" s="559"/>
      <c r="D593" s="559"/>
      <c r="E593" s="559"/>
      <c r="F593" s="559"/>
      <c r="G593" s="559"/>
      <c r="H593" s="559"/>
      <c r="I593" s="559"/>
      <c r="J593" s="559"/>
      <c r="K593" s="559"/>
      <c r="L593" s="559"/>
      <c r="M593" s="559"/>
      <c r="N593" s="559"/>
      <c r="O593" s="559"/>
      <c r="P593" s="559"/>
      <c r="Q593" s="559"/>
      <c r="R593" s="559"/>
      <c r="S593" s="559"/>
      <c r="T593" s="559"/>
      <c r="U593" s="559"/>
      <c r="V593" s="559"/>
      <c r="W593" s="559"/>
      <c r="X593" s="559"/>
      <c r="Y593" s="559"/>
      <c r="Z593" s="559"/>
      <c r="AA593" s="559"/>
      <c r="AB593" s="559"/>
      <c r="AC593" s="559"/>
      <c r="AD593" s="559"/>
      <c r="AE593" s="559"/>
      <c r="AF593" s="559"/>
      <c r="AG593" s="559"/>
    </row>
    <row r="594" spans="1:33" ht="18" customHeight="1" x14ac:dyDescent="0.35">
      <c r="A594" s="559"/>
      <c r="B594" s="559"/>
      <c r="C594" s="559"/>
      <c r="D594" s="559"/>
      <c r="E594" s="559"/>
      <c r="F594" s="559"/>
      <c r="G594" s="559"/>
      <c r="H594" s="559"/>
      <c r="I594" s="559"/>
      <c r="J594" s="559"/>
      <c r="K594" s="559"/>
      <c r="L594" s="559"/>
      <c r="M594" s="559"/>
      <c r="N594" s="559"/>
      <c r="O594" s="559"/>
      <c r="P594" s="559"/>
      <c r="Q594" s="559"/>
      <c r="R594" s="559"/>
      <c r="S594" s="559"/>
      <c r="T594" s="559"/>
      <c r="U594" s="559"/>
      <c r="V594" s="559"/>
      <c r="W594" s="559"/>
      <c r="X594" s="559"/>
      <c r="Y594" s="559"/>
      <c r="Z594" s="559"/>
      <c r="AA594" s="559"/>
      <c r="AB594" s="559"/>
      <c r="AC594" s="559"/>
      <c r="AD594" s="559"/>
      <c r="AE594" s="559"/>
      <c r="AF594" s="559"/>
      <c r="AG594" s="559"/>
    </row>
    <row r="595" spans="1:33" ht="18" customHeight="1" x14ac:dyDescent="0.35">
      <c r="A595" s="559"/>
      <c r="B595" s="559"/>
      <c r="C595" s="559"/>
      <c r="D595" s="559"/>
      <c r="E595" s="559"/>
      <c r="F595" s="559"/>
      <c r="G595" s="559"/>
      <c r="H595" s="559"/>
      <c r="I595" s="559"/>
      <c r="J595" s="559"/>
      <c r="K595" s="559"/>
      <c r="L595" s="559"/>
      <c r="M595" s="559"/>
      <c r="N595" s="559"/>
      <c r="O595" s="559"/>
      <c r="P595" s="559"/>
      <c r="Q595" s="559"/>
      <c r="R595" s="559"/>
      <c r="S595" s="559"/>
      <c r="T595" s="559"/>
      <c r="U595" s="559"/>
      <c r="V595" s="559"/>
      <c r="W595" s="559"/>
      <c r="X595" s="559"/>
      <c r="Y595" s="559"/>
      <c r="Z595" s="559"/>
      <c r="AA595" s="559"/>
      <c r="AB595" s="559"/>
      <c r="AC595" s="559"/>
      <c r="AD595" s="559"/>
      <c r="AE595" s="559"/>
      <c r="AF595" s="559"/>
      <c r="AG595" s="559"/>
    </row>
    <row r="596" spans="1:33" ht="18" customHeight="1" x14ac:dyDescent="0.35">
      <c r="A596" s="559"/>
      <c r="B596" s="559"/>
      <c r="C596" s="559"/>
      <c r="D596" s="559"/>
      <c r="E596" s="559"/>
      <c r="F596" s="559"/>
      <c r="G596" s="559"/>
      <c r="H596" s="559"/>
      <c r="I596" s="559"/>
      <c r="J596" s="559"/>
      <c r="K596" s="559"/>
      <c r="L596" s="559"/>
      <c r="M596" s="559"/>
      <c r="N596" s="559"/>
      <c r="O596" s="559"/>
      <c r="P596" s="559"/>
      <c r="Q596" s="559"/>
      <c r="R596" s="559"/>
      <c r="S596" s="559"/>
      <c r="T596" s="559"/>
      <c r="U596" s="559"/>
      <c r="V596" s="559"/>
      <c r="W596" s="559"/>
      <c r="X596" s="559"/>
      <c r="Y596" s="559"/>
      <c r="Z596" s="559"/>
      <c r="AA596" s="559"/>
      <c r="AB596" s="559"/>
      <c r="AC596" s="559"/>
      <c r="AD596" s="559"/>
      <c r="AE596" s="559"/>
      <c r="AF596" s="559"/>
      <c r="AG596" s="559"/>
    </row>
    <row r="597" spans="1:33" ht="18" customHeight="1" x14ac:dyDescent="0.35">
      <c r="A597" s="559"/>
      <c r="B597" s="559"/>
      <c r="C597" s="559"/>
      <c r="D597" s="559"/>
      <c r="E597" s="559"/>
      <c r="F597" s="559"/>
      <c r="G597" s="559"/>
      <c r="H597" s="559"/>
      <c r="I597" s="559"/>
      <c r="J597" s="559"/>
      <c r="K597" s="559"/>
      <c r="L597" s="559"/>
      <c r="M597" s="559"/>
      <c r="N597" s="559"/>
      <c r="O597" s="559"/>
      <c r="P597" s="559"/>
      <c r="Q597" s="559"/>
      <c r="R597" s="559"/>
      <c r="S597" s="559"/>
      <c r="T597" s="559"/>
      <c r="U597" s="559"/>
      <c r="V597" s="559"/>
      <c r="W597" s="559"/>
      <c r="X597" s="559"/>
      <c r="Y597" s="559"/>
      <c r="Z597" s="559"/>
      <c r="AA597" s="559"/>
      <c r="AB597" s="559"/>
      <c r="AC597" s="559"/>
      <c r="AD597" s="559"/>
      <c r="AE597" s="559"/>
      <c r="AF597" s="559"/>
      <c r="AG597" s="559"/>
    </row>
    <row r="598" spans="1:33" ht="18" customHeight="1" x14ac:dyDescent="0.35">
      <c r="A598" s="559"/>
      <c r="B598" s="559"/>
      <c r="C598" s="559"/>
      <c r="D598" s="559"/>
      <c r="E598" s="559"/>
      <c r="F598" s="559"/>
      <c r="G598" s="559"/>
      <c r="H598" s="559"/>
      <c r="I598" s="559"/>
      <c r="J598" s="559"/>
      <c r="K598" s="559"/>
      <c r="L598" s="559"/>
      <c r="M598" s="559"/>
      <c r="N598" s="559"/>
      <c r="O598" s="559"/>
      <c r="P598" s="559"/>
      <c r="Q598" s="559"/>
      <c r="R598" s="559"/>
      <c r="S598" s="559"/>
      <c r="T598" s="559"/>
      <c r="U598" s="559"/>
      <c r="V598" s="559"/>
      <c r="W598" s="559"/>
      <c r="X598" s="559"/>
      <c r="Y598" s="559"/>
      <c r="Z598" s="559"/>
      <c r="AA598" s="559"/>
      <c r="AB598" s="559"/>
      <c r="AC598" s="559"/>
      <c r="AD598" s="559"/>
      <c r="AE598" s="559"/>
      <c r="AF598" s="559"/>
      <c r="AG598" s="559"/>
    </row>
    <row r="599" spans="1:33" ht="18" customHeight="1" x14ac:dyDescent="0.35">
      <c r="A599" s="559"/>
      <c r="B599" s="559"/>
      <c r="C599" s="559"/>
      <c r="D599" s="559"/>
      <c r="E599" s="559"/>
      <c r="F599" s="559"/>
      <c r="G599" s="559"/>
      <c r="H599" s="559"/>
      <c r="I599" s="559"/>
      <c r="J599" s="559"/>
      <c r="K599" s="559"/>
      <c r="L599" s="559"/>
      <c r="M599" s="559"/>
      <c r="N599" s="559"/>
      <c r="O599" s="559"/>
      <c r="P599" s="559"/>
      <c r="Q599" s="559"/>
      <c r="R599" s="559"/>
      <c r="S599" s="559"/>
      <c r="T599" s="559"/>
      <c r="U599" s="559"/>
      <c r="V599" s="559"/>
      <c r="W599" s="559"/>
      <c r="X599" s="559"/>
      <c r="Y599" s="559"/>
      <c r="Z599" s="559"/>
      <c r="AA599" s="559"/>
      <c r="AB599" s="559"/>
      <c r="AC599" s="559"/>
      <c r="AD599" s="559"/>
      <c r="AE599" s="559"/>
      <c r="AF599" s="559"/>
      <c r="AG599" s="559"/>
    </row>
    <row r="600" spans="1:33" ht="18" customHeight="1" x14ac:dyDescent="0.35">
      <c r="A600" s="559"/>
      <c r="B600" s="559"/>
      <c r="C600" s="559"/>
      <c r="D600" s="559"/>
      <c r="E600" s="559"/>
      <c r="F600" s="559"/>
      <c r="G600" s="559"/>
      <c r="H600" s="559"/>
      <c r="I600" s="559"/>
      <c r="J600" s="559"/>
      <c r="K600" s="559"/>
      <c r="L600" s="559"/>
      <c r="M600" s="559"/>
      <c r="N600" s="559"/>
      <c r="O600" s="559"/>
      <c r="P600" s="559"/>
      <c r="Q600" s="559"/>
      <c r="R600" s="559"/>
      <c r="S600" s="559"/>
      <c r="T600" s="559"/>
      <c r="U600" s="559"/>
      <c r="V600" s="559"/>
      <c r="W600" s="559"/>
      <c r="X600" s="559"/>
      <c r="Y600" s="559"/>
      <c r="Z600" s="559"/>
      <c r="AA600" s="559"/>
      <c r="AB600" s="559"/>
      <c r="AC600" s="559"/>
      <c r="AD600" s="559"/>
      <c r="AE600" s="559"/>
      <c r="AF600" s="559"/>
      <c r="AG600" s="559"/>
    </row>
    <row r="601" spans="1:33" ht="18" customHeight="1" x14ac:dyDescent="0.35">
      <c r="A601" s="559"/>
      <c r="B601" s="559"/>
      <c r="C601" s="559"/>
      <c r="D601" s="559"/>
      <c r="E601" s="559"/>
      <c r="F601" s="559"/>
      <c r="G601" s="559"/>
      <c r="H601" s="559"/>
      <c r="I601" s="559"/>
      <c r="J601" s="559"/>
      <c r="K601" s="559"/>
      <c r="L601" s="559"/>
      <c r="M601" s="559"/>
      <c r="N601" s="559"/>
      <c r="O601" s="559"/>
      <c r="P601" s="559"/>
      <c r="Q601" s="559"/>
      <c r="R601" s="559"/>
      <c r="S601" s="559"/>
      <c r="T601" s="559"/>
      <c r="U601" s="559"/>
      <c r="V601" s="559"/>
      <c r="W601" s="559"/>
      <c r="X601" s="559"/>
      <c r="Y601" s="559"/>
      <c r="Z601" s="559"/>
      <c r="AA601" s="559"/>
      <c r="AB601" s="559"/>
      <c r="AC601" s="559"/>
      <c r="AD601" s="559"/>
      <c r="AE601" s="559"/>
      <c r="AF601" s="559"/>
      <c r="AG601" s="559"/>
    </row>
    <row r="602" spans="1:33" ht="18" customHeight="1" x14ac:dyDescent="0.35">
      <c r="A602" s="559"/>
      <c r="B602" s="559"/>
      <c r="C602" s="559"/>
      <c r="D602" s="559"/>
      <c r="E602" s="559"/>
      <c r="F602" s="559"/>
      <c r="G602" s="559"/>
      <c r="H602" s="559"/>
      <c r="I602" s="559"/>
      <c r="J602" s="559"/>
      <c r="K602" s="559"/>
      <c r="L602" s="559"/>
      <c r="M602" s="559"/>
      <c r="N602" s="559"/>
      <c r="O602" s="559"/>
      <c r="P602" s="559"/>
      <c r="Q602" s="559"/>
      <c r="R602" s="559"/>
      <c r="S602" s="559"/>
      <c r="T602" s="559"/>
      <c r="U602" s="559"/>
      <c r="V602" s="559"/>
      <c r="W602" s="559"/>
      <c r="X602" s="559"/>
      <c r="Y602" s="559"/>
      <c r="Z602" s="559"/>
      <c r="AA602" s="559"/>
      <c r="AB602" s="559"/>
      <c r="AC602" s="559"/>
      <c r="AD602" s="559"/>
      <c r="AE602" s="559"/>
      <c r="AF602" s="559"/>
      <c r="AG602" s="559"/>
    </row>
    <row r="603" spans="1:33" ht="18" customHeight="1" x14ac:dyDescent="0.35">
      <c r="A603" s="559"/>
      <c r="B603" s="559"/>
      <c r="C603" s="559"/>
      <c r="D603" s="559"/>
      <c r="E603" s="559"/>
      <c r="F603" s="559"/>
      <c r="G603" s="559"/>
      <c r="H603" s="559"/>
      <c r="I603" s="559"/>
      <c r="J603" s="559"/>
      <c r="K603" s="559"/>
      <c r="L603" s="559"/>
      <c r="M603" s="559"/>
      <c r="N603" s="559"/>
      <c r="O603" s="559"/>
      <c r="P603" s="559"/>
      <c r="Q603" s="559"/>
      <c r="R603" s="559"/>
      <c r="S603" s="559"/>
      <c r="T603" s="559"/>
      <c r="U603" s="559"/>
      <c r="V603" s="559"/>
      <c r="W603" s="559"/>
      <c r="X603" s="559"/>
      <c r="Y603" s="559"/>
      <c r="Z603" s="559"/>
      <c r="AA603" s="559"/>
      <c r="AB603" s="559"/>
      <c r="AC603" s="559"/>
      <c r="AD603" s="559"/>
      <c r="AE603" s="559"/>
      <c r="AF603" s="559"/>
      <c r="AG603" s="559"/>
    </row>
    <row r="604" spans="1:33" ht="18" customHeight="1" x14ac:dyDescent="0.35">
      <c r="A604" s="559"/>
      <c r="B604" s="559"/>
      <c r="C604" s="559"/>
      <c r="D604" s="559"/>
      <c r="E604" s="559"/>
      <c r="F604" s="559"/>
      <c r="G604" s="559"/>
      <c r="H604" s="559"/>
      <c r="I604" s="559"/>
      <c r="J604" s="559"/>
      <c r="K604" s="559"/>
      <c r="L604" s="559"/>
      <c r="M604" s="559"/>
      <c r="N604" s="559"/>
      <c r="O604" s="559"/>
      <c r="P604" s="559"/>
      <c r="Q604" s="559"/>
      <c r="R604" s="559"/>
      <c r="S604" s="559"/>
      <c r="T604" s="559"/>
      <c r="U604" s="559"/>
      <c r="V604" s="559"/>
      <c r="W604" s="559"/>
      <c r="X604" s="559"/>
      <c r="Y604" s="559"/>
      <c r="Z604" s="559"/>
      <c r="AA604" s="559"/>
      <c r="AB604" s="559"/>
      <c r="AC604" s="559"/>
      <c r="AD604" s="559"/>
      <c r="AE604" s="559"/>
      <c r="AF604" s="559"/>
      <c r="AG604" s="559"/>
    </row>
    <row r="605" spans="1:33" ht="18" customHeight="1" x14ac:dyDescent="0.35">
      <c r="A605" s="559"/>
      <c r="B605" s="559"/>
      <c r="C605" s="559"/>
      <c r="D605" s="559"/>
      <c r="E605" s="559"/>
      <c r="F605" s="559"/>
      <c r="G605" s="559"/>
      <c r="H605" s="559"/>
      <c r="I605" s="559"/>
      <c r="J605" s="559"/>
      <c r="K605" s="559"/>
      <c r="L605" s="559"/>
      <c r="M605" s="559"/>
      <c r="N605" s="559"/>
      <c r="O605" s="559"/>
      <c r="P605" s="559"/>
      <c r="Q605" s="559"/>
      <c r="R605" s="559"/>
      <c r="S605" s="559"/>
      <c r="T605" s="559"/>
      <c r="U605" s="559"/>
      <c r="V605" s="559"/>
      <c r="W605" s="559"/>
      <c r="X605" s="559"/>
      <c r="Y605" s="559"/>
      <c r="Z605" s="559"/>
      <c r="AA605" s="559"/>
      <c r="AB605" s="559"/>
      <c r="AC605" s="559"/>
      <c r="AD605" s="559"/>
      <c r="AE605" s="559"/>
      <c r="AF605" s="559"/>
      <c r="AG605" s="559"/>
    </row>
    <row r="606" spans="1:33" ht="18" customHeight="1" x14ac:dyDescent="0.35">
      <c r="A606" s="559"/>
      <c r="B606" s="559"/>
      <c r="C606" s="559"/>
      <c r="D606" s="559"/>
      <c r="E606" s="559"/>
      <c r="F606" s="559"/>
      <c r="G606" s="559"/>
      <c r="H606" s="559"/>
      <c r="I606" s="559"/>
      <c r="J606" s="559"/>
      <c r="K606" s="559"/>
      <c r="L606" s="559"/>
      <c r="M606" s="559"/>
      <c r="N606" s="559"/>
      <c r="O606" s="559"/>
      <c r="P606" s="559"/>
      <c r="Q606" s="559"/>
      <c r="R606" s="559"/>
      <c r="S606" s="559"/>
      <c r="T606" s="559"/>
      <c r="U606" s="559"/>
      <c r="V606" s="559"/>
      <c r="W606" s="559"/>
      <c r="X606" s="559"/>
      <c r="Y606" s="559"/>
      <c r="Z606" s="559"/>
      <c r="AA606" s="559"/>
      <c r="AB606" s="559"/>
      <c r="AC606" s="559"/>
      <c r="AD606" s="559"/>
      <c r="AE606" s="559"/>
      <c r="AF606" s="559"/>
      <c r="AG606" s="559"/>
    </row>
    <row r="607" spans="1:33" ht="18" customHeight="1" x14ac:dyDescent="0.35">
      <c r="A607" s="559"/>
      <c r="B607" s="559"/>
      <c r="C607" s="559"/>
      <c r="D607" s="559"/>
      <c r="E607" s="559"/>
      <c r="F607" s="559"/>
      <c r="G607" s="559"/>
      <c r="H607" s="559"/>
      <c r="I607" s="559"/>
      <c r="J607" s="559"/>
      <c r="K607" s="559"/>
      <c r="L607" s="559"/>
      <c r="M607" s="559"/>
      <c r="N607" s="559"/>
      <c r="O607" s="559"/>
      <c r="P607" s="559"/>
      <c r="Q607" s="559"/>
      <c r="R607" s="559"/>
      <c r="S607" s="559"/>
      <c r="T607" s="559"/>
      <c r="U607" s="559"/>
      <c r="V607" s="559"/>
      <c r="W607" s="559"/>
      <c r="X607" s="559"/>
      <c r="Y607" s="559"/>
      <c r="Z607" s="559"/>
      <c r="AA607" s="559"/>
      <c r="AB607" s="559"/>
      <c r="AC607" s="559"/>
      <c r="AD607" s="559"/>
      <c r="AE607" s="559"/>
      <c r="AF607" s="559"/>
      <c r="AG607" s="559"/>
    </row>
    <row r="608" spans="1:33" ht="18" customHeight="1" x14ac:dyDescent="0.35">
      <c r="A608" s="559"/>
      <c r="B608" s="559"/>
      <c r="C608" s="559"/>
      <c r="D608" s="559"/>
      <c r="E608" s="559"/>
      <c r="F608" s="559"/>
      <c r="G608" s="559"/>
      <c r="H608" s="559"/>
      <c r="I608" s="559"/>
      <c r="J608" s="559"/>
      <c r="K608" s="559"/>
      <c r="L608" s="559"/>
      <c r="M608" s="559"/>
      <c r="N608" s="559"/>
      <c r="O608" s="559"/>
      <c r="P608" s="559"/>
      <c r="Q608" s="559"/>
      <c r="R608" s="559"/>
      <c r="S608" s="559"/>
      <c r="T608" s="559"/>
      <c r="U608" s="559"/>
      <c r="V608" s="559"/>
      <c r="W608" s="559"/>
      <c r="X608" s="559"/>
      <c r="Y608" s="559"/>
      <c r="Z608" s="559"/>
      <c r="AA608" s="559"/>
      <c r="AB608" s="559"/>
      <c r="AC608" s="559"/>
      <c r="AD608" s="559"/>
      <c r="AE608" s="559"/>
      <c r="AF608" s="559"/>
      <c r="AG608" s="559"/>
    </row>
    <row r="609" spans="1:33" ht="18" customHeight="1" x14ac:dyDescent="0.35">
      <c r="A609" s="559"/>
      <c r="B609" s="559"/>
      <c r="C609" s="559"/>
      <c r="D609" s="559"/>
      <c r="E609" s="559"/>
      <c r="F609" s="559"/>
      <c r="G609" s="559"/>
      <c r="H609" s="559"/>
      <c r="I609" s="559"/>
      <c r="J609" s="559"/>
      <c r="K609" s="559"/>
      <c r="L609" s="559"/>
      <c r="M609" s="559"/>
      <c r="N609" s="559"/>
      <c r="O609" s="559"/>
      <c r="P609" s="559"/>
      <c r="Q609" s="559"/>
      <c r="R609" s="559"/>
      <c r="S609" s="559"/>
      <c r="T609" s="559"/>
      <c r="U609" s="559"/>
      <c r="V609" s="559"/>
      <c r="W609" s="559"/>
      <c r="X609" s="559"/>
      <c r="Y609" s="559"/>
      <c r="Z609" s="559"/>
      <c r="AA609" s="559"/>
      <c r="AB609" s="559"/>
      <c r="AC609" s="559"/>
      <c r="AD609" s="559"/>
      <c r="AE609" s="559"/>
      <c r="AF609" s="559"/>
      <c r="AG609" s="559"/>
    </row>
    <row r="610" spans="1:33" ht="18" customHeight="1" x14ac:dyDescent="0.35">
      <c r="A610" s="559"/>
      <c r="B610" s="559"/>
      <c r="C610" s="559"/>
      <c r="D610" s="559"/>
      <c r="E610" s="559"/>
      <c r="F610" s="559"/>
      <c r="G610" s="559"/>
      <c r="H610" s="559"/>
      <c r="I610" s="559"/>
      <c r="J610" s="559"/>
      <c r="K610" s="559"/>
      <c r="L610" s="559"/>
      <c r="M610" s="559"/>
      <c r="N610" s="559"/>
      <c r="O610" s="559"/>
      <c r="P610" s="559"/>
      <c r="Q610" s="559"/>
      <c r="R610" s="559"/>
      <c r="S610" s="559"/>
      <c r="T610" s="559"/>
      <c r="U610" s="559"/>
      <c r="V610" s="559"/>
      <c r="W610" s="559"/>
      <c r="X610" s="559"/>
      <c r="Y610" s="559"/>
      <c r="Z610" s="559"/>
      <c r="AA610" s="559"/>
      <c r="AB610" s="559"/>
      <c r="AC610" s="559"/>
      <c r="AD610" s="559"/>
      <c r="AE610" s="559"/>
      <c r="AF610" s="559"/>
      <c r="AG610" s="559"/>
    </row>
    <row r="611" spans="1:33" ht="18" customHeight="1" x14ac:dyDescent="0.35">
      <c r="A611" s="559"/>
      <c r="B611" s="559"/>
      <c r="C611" s="559"/>
      <c r="D611" s="559"/>
      <c r="E611" s="559"/>
      <c r="F611" s="559"/>
      <c r="G611" s="559"/>
      <c r="H611" s="559"/>
      <c r="I611" s="559"/>
      <c r="J611" s="559"/>
      <c r="K611" s="559"/>
      <c r="L611" s="559"/>
      <c r="M611" s="559"/>
      <c r="N611" s="559"/>
      <c r="O611" s="559"/>
      <c r="P611" s="559"/>
      <c r="Q611" s="559"/>
      <c r="R611" s="559"/>
      <c r="S611" s="559"/>
      <c r="T611" s="559"/>
      <c r="U611" s="559"/>
      <c r="V611" s="559"/>
      <c r="W611" s="559"/>
      <c r="X611" s="559"/>
      <c r="Y611" s="559"/>
      <c r="Z611" s="559"/>
      <c r="AA611" s="559"/>
      <c r="AB611" s="559"/>
      <c r="AC611" s="559"/>
      <c r="AD611" s="559"/>
      <c r="AE611" s="559"/>
      <c r="AF611" s="559"/>
      <c r="AG611" s="559"/>
    </row>
    <row r="612" spans="1:33" ht="18" customHeight="1" x14ac:dyDescent="0.35">
      <c r="A612" s="559"/>
      <c r="B612" s="559"/>
      <c r="C612" s="559"/>
      <c r="D612" s="559"/>
      <c r="E612" s="559"/>
      <c r="F612" s="559"/>
      <c r="G612" s="559"/>
      <c r="H612" s="559"/>
      <c r="I612" s="559"/>
      <c r="J612" s="559"/>
      <c r="K612" s="559"/>
      <c r="L612" s="559"/>
      <c r="M612" s="559"/>
      <c r="N612" s="559"/>
      <c r="O612" s="559"/>
      <c r="P612" s="559"/>
      <c r="Q612" s="559"/>
      <c r="R612" s="559"/>
      <c r="S612" s="559"/>
      <c r="T612" s="559"/>
      <c r="U612" s="559"/>
      <c r="V612" s="559"/>
      <c r="W612" s="559"/>
      <c r="X612" s="559"/>
      <c r="Y612" s="559"/>
      <c r="Z612" s="559"/>
      <c r="AA612" s="559"/>
      <c r="AB612" s="559"/>
      <c r="AC612" s="559"/>
      <c r="AD612" s="559"/>
      <c r="AE612" s="559"/>
      <c r="AF612" s="559"/>
      <c r="AG612" s="559"/>
    </row>
    <row r="613" spans="1:33" ht="18" customHeight="1" x14ac:dyDescent="0.35">
      <c r="A613" s="559"/>
      <c r="B613" s="559"/>
      <c r="C613" s="559"/>
      <c r="D613" s="559"/>
      <c r="E613" s="559"/>
      <c r="F613" s="559"/>
      <c r="G613" s="559"/>
      <c r="H613" s="559"/>
      <c r="I613" s="559"/>
      <c r="J613" s="559"/>
      <c r="K613" s="559"/>
      <c r="L613" s="559"/>
      <c r="M613" s="559"/>
      <c r="N613" s="559"/>
      <c r="O613" s="559"/>
      <c r="P613" s="559"/>
      <c r="Q613" s="559"/>
      <c r="R613" s="559"/>
      <c r="S613" s="559"/>
      <c r="T613" s="559"/>
      <c r="U613" s="559"/>
      <c r="V613" s="559"/>
      <c r="W613" s="559"/>
      <c r="X613" s="559"/>
      <c r="Y613" s="559"/>
      <c r="Z613" s="559"/>
      <c r="AA613" s="559"/>
      <c r="AB613" s="559"/>
      <c r="AC613" s="559"/>
      <c r="AD613" s="559"/>
      <c r="AE613" s="559"/>
      <c r="AF613" s="559"/>
      <c r="AG613" s="559"/>
    </row>
    <row r="614" spans="1:33" ht="18" customHeight="1" x14ac:dyDescent="0.35">
      <c r="A614" s="559"/>
      <c r="B614" s="559"/>
      <c r="C614" s="559"/>
      <c r="D614" s="559"/>
      <c r="E614" s="559"/>
      <c r="F614" s="559"/>
      <c r="G614" s="559"/>
      <c r="H614" s="559"/>
      <c r="I614" s="559"/>
      <c r="J614" s="559"/>
      <c r="K614" s="559"/>
      <c r="L614" s="559"/>
      <c r="M614" s="559"/>
      <c r="N614" s="559"/>
      <c r="O614" s="559"/>
      <c r="P614" s="559"/>
      <c r="Q614" s="559"/>
      <c r="R614" s="559"/>
      <c r="S614" s="559"/>
      <c r="T614" s="559"/>
      <c r="U614" s="559"/>
      <c r="V614" s="559"/>
      <c r="W614" s="559"/>
      <c r="X614" s="559"/>
      <c r="Y614" s="559"/>
      <c r="Z614" s="559"/>
      <c r="AA614" s="559"/>
      <c r="AB614" s="559"/>
      <c r="AC614" s="559"/>
      <c r="AD614" s="559"/>
      <c r="AE614" s="559"/>
      <c r="AF614" s="559"/>
      <c r="AG614" s="559"/>
    </row>
    <row r="615" spans="1:33" ht="18" customHeight="1" x14ac:dyDescent="0.35">
      <c r="A615" s="559"/>
      <c r="B615" s="559"/>
      <c r="C615" s="559"/>
      <c r="D615" s="559"/>
      <c r="E615" s="559"/>
      <c r="F615" s="559"/>
      <c r="G615" s="559"/>
      <c r="H615" s="559"/>
      <c r="I615" s="559"/>
      <c r="J615" s="559"/>
      <c r="K615" s="559"/>
      <c r="L615" s="559"/>
      <c r="M615" s="559"/>
      <c r="N615" s="559"/>
      <c r="O615" s="559"/>
      <c r="P615" s="559"/>
      <c r="Q615" s="559"/>
      <c r="R615" s="559"/>
      <c r="S615" s="559"/>
      <c r="T615" s="559"/>
      <c r="U615" s="559"/>
      <c r="V615" s="559"/>
      <c r="W615" s="559"/>
      <c r="X615" s="559"/>
      <c r="Y615" s="559"/>
      <c r="Z615" s="559"/>
      <c r="AA615" s="559"/>
      <c r="AB615" s="559"/>
      <c r="AC615" s="559"/>
      <c r="AD615" s="559"/>
      <c r="AE615" s="559"/>
      <c r="AF615" s="559"/>
      <c r="AG615" s="559"/>
    </row>
    <row r="616" spans="1:33" ht="18" customHeight="1" x14ac:dyDescent="0.35">
      <c r="A616" s="559"/>
      <c r="B616" s="559"/>
      <c r="C616" s="559"/>
      <c r="D616" s="559"/>
      <c r="E616" s="559"/>
      <c r="F616" s="559"/>
      <c r="G616" s="559"/>
      <c r="H616" s="559"/>
      <c r="I616" s="559"/>
      <c r="J616" s="559"/>
      <c r="K616" s="559"/>
      <c r="L616" s="559"/>
      <c r="M616" s="559"/>
      <c r="N616" s="559"/>
      <c r="O616" s="559"/>
      <c r="P616" s="559"/>
      <c r="Q616" s="559"/>
      <c r="R616" s="559"/>
      <c r="S616" s="559"/>
      <c r="T616" s="559"/>
      <c r="U616" s="559"/>
      <c r="V616" s="559"/>
      <c r="W616" s="559"/>
      <c r="X616" s="559"/>
      <c r="Y616" s="559"/>
      <c r="Z616" s="559"/>
      <c r="AA616" s="559"/>
      <c r="AB616" s="559"/>
      <c r="AC616" s="559"/>
      <c r="AD616" s="559"/>
      <c r="AE616" s="559"/>
      <c r="AF616" s="559"/>
      <c r="AG616" s="559"/>
    </row>
    <row r="617" spans="1:33" ht="18" customHeight="1" x14ac:dyDescent="0.35">
      <c r="A617" s="559"/>
      <c r="B617" s="559"/>
      <c r="C617" s="559"/>
      <c r="D617" s="559"/>
      <c r="E617" s="559"/>
      <c r="F617" s="559"/>
      <c r="G617" s="559"/>
      <c r="H617" s="559"/>
      <c r="I617" s="559"/>
      <c r="J617" s="559"/>
      <c r="K617" s="559"/>
      <c r="L617" s="559"/>
      <c r="M617" s="559"/>
      <c r="N617" s="559"/>
      <c r="O617" s="559"/>
      <c r="P617" s="559"/>
      <c r="Q617" s="559"/>
      <c r="R617" s="559"/>
      <c r="S617" s="559"/>
      <c r="T617" s="559"/>
      <c r="U617" s="559"/>
      <c r="V617" s="559"/>
      <c r="W617" s="559"/>
      <c r="X617" s="559"/>
      <c r="Y617" s="559"/>
      <c r="Z617" s="559"/>
      <c r="AA617" s="559"/>
      <c r="AB617" s="559"/>
      <c r="AC617" s="559"/>
      <c r="AD617" s="559"/>
      <c r="AE617" s="559"/>
      <c r="AF617" s="559"/>
      <c r="AG617" s="559"/>
    </row>
    <row r="618" spans="1:33" ht="18" customHeight="1" x14ac:dyDescent="0.35">
      <c r="A618" s="559"/>
      <c r="B618" s="559"/>
      <c r="C618" s="559"/>
      <c r="D618" s="559"/>
      <c r="E618" s="559"/>
      <c r="F618" s="559"/>
      <c r="G618" s="559"/>
      <c r="H618" s="559"/>
      <c r="I618" s="559"/>
      <c r="J618" s="559"/>
      <c r="K618" s="559"/>
      <c r="L618" s="559"/>
      <c r="M618" s="559"/>
      <c r="N618" s="559"/>
      <c r="O618" s="559"/>
      <c r="P618" s="559"/>
      <c r="Q618" s="559"/>
      <c r="R618" s="559"/>
      <c r="S618" s="559"/>
      <c r="T618" s="559"/>
      <c r="U618" s="559"/>
      <c r="V618" s="559"/>
      <c r="W618" s="559"/>
      <c r="X618" s="559"/>
      <c r="Y618" s="559"/>
      <c r="Z618" s="559"/>
      <c r="AA618" s="559"/>
      <c r="AB618" s="559"/>
      <c r="AC618" s="559"/>
      <c r="AD618" s="559"/>
      <c r="AE618" s="559"/>
      <c r="AF618" s="559"/>
      <c r="AG618" s="559"/>
    </row>
    <row r="619" spans="1:33" ht="18" customHeight="1" x14ac:dyDescent="0.35">
      <c r="A619" s="559"/>
      <c r="B619" s="559"/>
      <c r="C619" s="559"/>
      <c r="D619" s="559"/>
      <c r="E619" s="559"/>
      <c r="F619" s="559"/>
      <c r="G619" s="559"/>
      <c r="H619" s="559"/>
      <c r="I619" s="559"/>
      <c r="J619" s="559"/>
      <c r="K619" s="559"/>
      <c r="L619" s="559"/>
      <c r="M619" s="559"/>
      <c r="N619" s="559"/>
      <c r="O619" s="559"/>
      <c r="P619" s="559"/>
      <c r="Q619" s="559"/>
      <c r="R619" s="559"/>
      <c r="S619" s="559"/>
      <c r="T619" s="559"/>
      <c r="U619" s="559"/>
      <c r="V619" s="559"/>
      <c r="W619" s="559"/>
      <c r="X619" s="559"/>
      <c r="Y619" s="559"/>
      <c r="Z619" s="559"/>
      <c r="AA619" s="559"/>
      <c r="AB619" s="559"/>
      <c r="AC619" s="559"/>
      <c r="AD619" s="559"/>
      <c r="AE619" s="559"/>
      <c r="AF619" s="559"/>
      <c r="AG619" s="559"/>
    </row>
    <row r="620" spans="1:33" ht="18" customHeight="1" x14ac:dyDescent="0.35">
      <c r="A620" s="559"/>
      <c r="B620" s="559"/>
      <c r="C620" s="559"/>
      <c r="D620" s="559"/>
      <c r="E620" s="559"/>
      <c r="F620" s="559"/>
      <c r="G620" s="559"/>
      <c r="H620" s="559"/>
      <c r="I620" s="559"/>
      <c r="J620" s="559"/>
      <c r="K620" s="559"/>
      <c r="L620" s="559"/>
      <c r="M620" s="559"/>
      <c r="N620" s="559"/>
      <c r="O620" s="559"/>
      <c r="P620" s="559"/>
      <c r="Q620" s="559"/>
      <c r="R620" s="559"/>
      <c r="S620" s="559"/>
      <c r="T620" s="559"/>
      <c r="U620" s="559"/>
      <c r="V620" s="559"/>
      <c r="W620" s="559"/>
      <c r="X620" s="559"/>
      <c r="Y620" s="559"/>
      <c r="Z620" s="559"/>
      <c r="AA620" s="559"/>
      <c r="AB620" s="559"/>
      <c r="AC620" s="559"/>
      <c r="AD620" s="559"/>
      <c r="AE620" s="559"/>
      <c r="AF620" s="559"/>
      <c r="AG620" s="559"/>
    </row>
    <row r="621" spans="1:33" ht="18" customHeight="1" x14ac:dyDescent="0.35">
      <c r="A621" s="559"/>
      <c r="B621" s="559"/>
      <c r="C621" s="559"/>
      <c r="D621" s="559"/>
      <c r="E621" s="559"/>
      <c r="F621" s="559"/>
      <c r="G621" s="559"/>
      <c r="H621" s="559"/>
      <c r="I621" s="559"/>
      <c r="J621" s="559"/>
      <c r="K621" s="559"/>
      <c r="L621" s="559"/>
      <c r="M621" s="559"/>
      <c r="N621" s="559"/>
      <c r="O621" s="559"/>
      <c r="P621" s="559"/>
      <c r="Q621" s="559"/>
      <c r="R621" s="559"/>
      <c r="S621" s="559"/>
      <c r="T621" s="559"/>
      <c r="U621" s="559"/>
      <c r="V621" s="559"/>
      <c r="W621" s="559"/>
      <c r="X621" s="559"/>
      <c r="Y621" s="559"/>
      <c r="Z621" s="559"/>
      <c r="AA621" s="559"/>
      <c r="AB621" s="559"/>
      <c r="AC621" s="559"/>
      <c r="AD621" s="559"/>
      <c r="AE621" s="559"/>
      <c r="AF621" s="559"/>
      <c r="AG621" s="559"/>
    </row>
    <row r="622" spans="1:33" ht="18" customHeight="1" x14ac:dyDescent="0.35">
      <c r="A622" s="559"/>
      <c r="B622" s="559"/>
      <c r="C622" s="559"/>
      <c r="D622" s="559"/>
      <c r="E622" s="559"/>
      <c r="F622" s="559"/>
      <c r="G622" s="559"/>
      <c r="H622" s="559"/>
      <c r="I622" s="559"/>
      <c r="J622" s="559"/>
      <c r="K622" s="559"/>
      <c r="L622" s="559"/>
      <c r="M622" s="559"/>
      <c r="N622" s="559"/>
      <c r="O622" s="559"/>
      <c r="P622" s="559"/>
      <c r="Q622" s="559"/>
      <c r="R622" s="559"/>
      <c r="S622" s="559"/>
      <c r="T622" s="559"/>
      <c r="U622" s="559"/>
      <c r="V622" s="559"/>
      <c r="W622" s="559"/>
      <c r="X622" s="559"/>
      <c r="Y622" s="559"/>
      <c r="Z622" s="559"/>
      <c r="AA622" s="559"/>
      <c r="AB622" s="559"/>
      <c r="AC622" s="559"/>
      <c r="AD622" s="559"/>
      <c r="AE622" s="559"/>
      <c r="AF622" s="559"/>
      <c r="AG622" s="559"/>
    </row>
    <row r="623" spans="1:33" ht="18" customHeight="1" x14ac:dyDescent="0.35">
      <c r="A623" s="559"/>
      <c r="B623" s="559"/>
      <c r="C623" s="559"/>
      <c r="D623" s="559"/>
      <c r="E623" s="559"/>
      <c r="F623" s="559"/>
      <c r="G623" s="559"/>
      <c r="H623" s="559"/>
      <c r="I623" s="559"/>
      <c r="J623" s="559"/>
      <c r="K623" s="559"/>
      <c r="L623" s="559"/>
      <c r="M623" s="559"/>
      <c r="N623" s="559"/>
      <c r="O623" s="559"/>
      <c r="P623" s="559"/>
      <c r="Q623" s="559"/>
      <c r="R623" s="559"/>
      <c r="S623" s="559"/>
      <c r="T623" s="559"/>
      <c r="U623" s="559"/>
      <c r="V623" s="559"/>
      <c r="W623" s="559"/>
      <c r="X623" s="559"/>
      <c r="Y623" s="559"/>
      <c r="Z623" s="559"/>
      <c r="AA623" s="559"/>
      <c r="AB623" s="559"/>
      <c r="AC623" s="559"/>
      <c r="AD623" s="559"/>
      <c r="AE623" s="559"/>
      <c r="AF623" s="559"/>
      <c r="AG623" s="559"/>
    </row>
    <row r="624" spans="1:33" ht="18" customHeight="1" x14ac:dyDescent="0.35">
      <c r="A624" s="559"/>
      <c r="B624" s="559"/>
      <c r="C624" s="559"/>
      <c r="D624" s="559"/>
      <c r="E624" s="559"/>
      <c r="F624" s="559"/>
      <c r="G624" s="559"/>
      <c r="H624" s="559"/>
      <c r="I624" s="559"/>
      <c r="J624" s="559"/>
      <c r="K624" s="559"/>
      <c r="L624" s="559"/>
      <c r="M624" s="559"/>
      <c r="N624" s="559"/>
      <c r="O624" s="559"/>
      <c r="P624" s="559"/>
      <c r="Q624" s="559"/>
      <c r="R624" s="559"/>
      <c r="S624" s="559"/>
      <c r="T624" s="559"/>
      <c r="U624" s="559"/>
      <c r="V624" s="559"/>
      <c r="W624" s="559"/>
      <c r="X624" s="559"/>
      <c r="Y624" s="559"/>
      <c r="Z624" s="559"/>
      <c r="AA624" s="559"/>
      <c r="AB624" s="559"/>
      <c r="AC624" s="559"/>
      <c r="AD624" s="559"/>
      <c r="AE624" s="559"/>
      <c r="AF624" s="559"/>
      <c r="AG624" s="559"/>
    </row>
    <row r="625" spans="1:33" ht="18" customHeight="1" x14ac:dyDescent="0.35">
      <c r="A625" s="559"/>
      <c r="B625" s="559"/>
      <c r="C625" s="559"/>
      <c r="D625" s="559"/>
      <c r="E625" s="559"/>
      <c r="F625" s="559"/>
      <c r="G625" s="559"/>
      <c r="H625" s="559"/>
      <c r="I625" s="559"/>
      <c r="J625" s="559"/>
      <c r="K625" s="559"/>
      <c r="L625" s="559"/>
      <c r="M625" s="559"/>
      <c r="N625" s="559"/>
      <c r="O625" s="559"/>
      <c r="P625" s="559"/>
      <c r="Q625" s="559"/>
      <c r="R625" s="559"/>
      <c r="S625" s="559"/>
      <c r="T625" s="559"/>
      <c r="U625" s="559"/>
      <c r="V625" s="559"/>
      <c r="W625" s="559"/>
      <c r="X625" s="559"/>
      <c r="Y625" s="559"/>
      <c r="Z625" s="559"/>
      <c r="AA625" s="559"/>
      <c r="AB625" s="559"/>
      <c r="AC625" s="559"/>
      <c r="AD625" s="559"/>
      <c r="AE625" s="559"/>
      <c r="AF625" s="559"/>
      <c r="AG625" s="559"/>
    </row>
    <row r="626" spans="1:33" ht="18" customHeight="1" x14ac:dyDescent="0.35">
      <c r="A626" s="559"/>
      <c r="B626" s="559"/>
      <c r="C626" s="559"/>
      <c r="D626" s="559"/>
      <c r="E626" s="559"/>
      <c r="F626" s="559"/>
      <c r="G626" s="559"/>
      <c r="H626" s="559"/>
      <c r="I626" s="559"/>
      <c r="J626" s="559"/>
      <c r="K626" s="559"/>
      <c r="L626" s="559"/>
      <c r="M626" s="559"/>
      <c r="N626" s="559"/>
      <c r="O626" s="559"/>
      <c r="P626" s="559"/>
      <c r="Q626" s="559"/>
      <c r="R626" s="559"/>
      <c r="S626" s="559"/>
      <c r="T626" s="559"/>
      <c r="U626" s="559"/>
      <c r="V626" s="559"/>
      <c r="W626" s="559"/>
      <c r="X626" s="559"/>
      <c r="Y626" s="559"/>
      <c r="Z626" s="559"/>
      <c r="AA626" s="559"/>
      <c r="AB626" s="559"/>
      <c r="AC626" s="559"/>
      <c r="AD626" s="559"/>
      <c r="AE626" s="559"/>
      <c r="AF626" s="559"/>
      <c r="AG626" s="559"/>
    </row>
    <row r="627" spans="1:33" ht="18" customHeight="1" x14ac:dyDescent="0.35">
      <c r="A627" s="559"/>
      <c r="B627" s="559"/>
      <c r="C627" s="559"/>
      <c r="D627" s="559"/>
      <c r="E627" s="559"/>
      <c r="F627" s="559"/>
      <c r="G627" s="559"/>
      <c r="H627" s="559"/>
      <c r="I627" s="559"/>
      <c r="J627" s="559"/>
      <c r="K627" s="559"/>
      <c r="L627" s="559"/>
      <c r="M627" s="559"/>
      <c r="N627" s="559"/>
      <c r="O627" s="559"/>
      <c r="P627" s="559"/>
      <c r="Q627" s="559"/>
      <c r="R627" s="559"/>
      <c r="S627" s="559"/>
      <c r="T627" s="559"/>
      <c r="U627" s="559"/>
      <c r="V627" s="559"/>
      <c r="W627" s="559"/>
      <c r="X627" s="559"/>
      <c r="Y627" s="559"/>
      <c r="Z627" s="559"/>
      <c r="AA627" s="559"/>
      <c r="AB627" s="559"/>
      <c r="AC627" s="559"/>
      <c r="AD627" s="559"/>
      <c r="AE627" s="559"/>
      <c r="AF627" s="559"/>
      <c r="AG627" s="559"/>
    </row>
    <row r="628" spans="1:33" ht="18" customHeight="1" x14ac:dyDescent="0.35">
      <c r="A628" s="559"/>
      <c r="B628" s="559"/>
      <c r="C628" s="559"/>
      <c r="D628" s="559"/>
      <c r="E628" s="559"/>
      <c r="F628" s="559"/>
      <c r="G628" s="559"/>
      <c r="H628" s="559"/>
      <c r="I628" s="559"/>
      <c r="J628" s="559"/>
      <c r="K628" s="559"/>
      <c r="L628" s="559"/>
      <c r="M628" s="559"/>
      <c r="N628" s="559"/>
      <c r="O628" s="559"/>
      <c r="P628" s="559"/>
      <c r="Q628" s="559"/>
      <c r="R628" s="559"/>
      <c r="S628" s="559"/>
      <c r="T628" s="559"/>
      <c r="U628" s="559"/>
      <c r="V628" s="559"/>
      <c r="W628" s="559"/>
      <c r="X628" s="559"/>
      <c r="Y628" s="559"/>
      <c r="Z628" s="559"/>
      <c r="AA628" s="559"/>
      <c r="AB628" s="559"/>
      <c r="AC628" s="559"/>
      <c r="AD628" s="559"/>
      <c r="AE628" s="559"/>
      <c r="AF628" s="559"/>
      <c r="AG628" s="559"/>
    </row>
    <row r="629" spans="1:33" ht="18" customHeight="1" x14ac:dyDescent="0.35">
      <c r="A629" s="559"/>
      <c r="B629" s="559"/>
      <c r="C629" s="559"/>
      <c r="D629" s="559"/>
      <c r="E629" s="559"/>
      <c r="F629" s="559"/>
      <c r="G629" s="559"/>
      <c r="H629" s="559"/>
      <c r="I629" s="559"/>
      <c r="J629" s="559"/>
      <c r="K629" s="559"/>
      <c r="L629" s="559"/>
      <c r="M629" s="559"/>
      <c r="N629" s="559"/>
      <c r="O629" s="559"/>
      <c r="P629" s="559"/>
      <c r="Q629" s="559"/>
      <c r="R629" s="559"/>
      <c r="S629" s="559"/>
      <c r="T629" s="559"/>
      <c r="U629" s="559"/>
      <c r="V629" s="559"/>
      <c r="W629" s="559"/>
      <c r="X629" s="559"/>
      <c r="Y629" s="559"/>
      <c r="Z629" s="559"/>
      <c r="AA629" s="559"/>
      <c r="AB629" s="559"/>
      <c r="AC629" s="559"/>
      <c r="AD629" s="559"/>
      <c r="AE629" s="559"/>
      <c r="AF629" s="559"/>
      <c r="AG629" s="559"/>
    </row>
    <row r="630" spans="1:33" ht="18" customHeight="1" x14ac:dyDescent="0.35">
      <c r="A630" s="559"/>
      <c r="B630" s="559"/>
      <c r="C630" s="559"/>
      <c r="D630" s="559"/>
      <c r="E630" s="559"/>
      <c r="F630" s="559"/>
      <c r="G630" s="559"/>
      <c r="H630" s="559"/>
      <c r="I630" s="559"/>
      <c r="J630" s="559"/>
      <c r="K630" s="559"/>
      <c r="L630" s="559"/>
      <c r="M630" s="559"/>
      <c r="N630" s="559"/>
      <c r="O630" s="559"/>
      <c r="P630" s="559"/>
      <c r="Q630" s="559"/>
      <c r="R630" s="559"/>
      <c r="S630" s="559"/>
      <c r="T630" s="559"/>
      <c r="U630" s="559"/>
      <c r="V630" s="559"/>
      <c r="W630" s="559"/>
      <c r="X630" s="559"/>
      <c r="Y630" s="559"/>
      <c r="Z630" s="559"/>
      <c r="AA630" s="559"/>
      <c r="AB630" s="559"/>
      <c r="AC630" s="559"/>
      <c r="AD630" s="559"/>
      <c r="AE630" s="559"/>
      <c r="AF630" s="559"/>
      <c r="AG630" s="559"/>
    </row>
    <row r="631" spans="1:33" ht="18" customHeight="1" x14ac:dyDescent="0.35">
      <c r="A631" s="559"/>
      <c r="B631" s="559"/>
      <c r="C631" s="559"/>
      <c r="D631" s="559"/>
      <c r="E631" s="559"/>
      <c r="F631" s="559"/>
      <c r="G631" s="559"/>
      <c r="H631" s="559"/>
      <c r="I631" s="559"/>
      <c r="J631" s="559"/>
      <c r="K631" s="559"/>
      <c r="L631" s="559"/>
      <c r="M631" s="559"/>
      <c r="N631" s="559"/>
      <c r="O631" s="559"/>
      <c r="P631" s="559"/>
      <c r="Q631" s="559"/>
      <c r="R631" s="559"/>
      <c r="S631" s="559"/>
      <c r="T631" s="559"/>
      <c r="U631" s="559"/>
      <c r="V631" s="559"/>
      <c r="W631" s="559"/>
      <c r="X631" s="559"/>
      <c r="Y631" s="559"/>
      <c r="Z631" s="559"/>
      <c r="AA631" s="559"/>
      <c r="AB631" s="559"/>
      <c r="AC631" s="559"/>
      <c r="AD631" s="559"/>
      <c r="AE631" s="559"/>
      <c r="AF631" s="559"/>
      <c r="AG631" s="559"/>
    </row>
    <row r="632" spans="1:33" ht="18" customHeight="1" x14ac:dyDescent="0.35">
      <c r="A632" s="559"/>
      <c r="B632" s="559"/>
      <c r="C632" s="559"/>
      <c r="D632" s="559"/>
      <c r="E632" s="559"/>
      <c r="F632" s="559"/>
      <c r="G632" s="559"/>
      <c r="H632" s="559"/>
      <c r="I632" s="559"/>
      <c r="J632" s="559"/>
      <c r="K632" s="559"/>
      <c r="L632" s="559"/>
      <c r="M632" s="559"/>
      <c r="N632" s="559"/>
      <c r="O632" s="559"/>
      <c r="P632" s="559"/>
      <c r="Q632" s="559"/>
      <c r="R632" s="559"/>
      <c r="S632" s="559"/>
      <c r="T632" s="559"/>
      <c r="U632" s="559"/>
      <c r="V632" s="559"/>
      <c r="W632" s="559"/>
      <c r="X632" s="559"/>
      <c r="Y632" s="559"/>
      <c r="Z632" s="559"/>
      <c r="AA632" s="559"/>
      <c r="AB632" s="559"/>
      <c r="AC632" s="559"/>
      <c r="AD632" s="559"/>
      <c r="AE632" s="559"/>
      <c r="AF632" s="559"/>
      <c r="AG632" s="559"/>
    </row>
    <row r="633" spans="1:33" ht="18" customHeight="1" x14ac:dyDescent="0.35">
      <c r="A633" s="559"/>
      <c r="B633" s="559"/>
      <c r="C633" s="559"/>
      <c r="D633" s="559"/>
      <c r="E633" s="559"/>
      <c r="F633" s="559"/>
      <c r="G633" s="559"/>
      <c r="H633" s="559"/>
      <c r="I633" s="559"/>
      <c r="J633" s="559"/>
      <c r="K633" s="559"/>
      <c r="L633" s="559"/>
      <c r="M633" s="559"/>
      <c r="N633" s="559"/>
      <c r="O633" s="559"/>
      <c r="P633" s="559"/>
      <c r="Q633" s="559"/>
      <c r="R633" s="559"/>
      <c r="S633" s="559"/>
      <c r="T633" s="559"/>
      <c r="U633" s="559"/>
      <c r="V633" s="559"/>
      <c r="W633" s="559"/>
      <c r="X633" s="559"/>
      <c r="Y633" s="559"/>
      <c r="Z633" s="559"/>
      <c r="AA633" s="559"/>
      <c r="AB633" s="559"/>
      <c r="AC633" s="559"/>
      <c r="AD633" s="559"/>
      <c r="AE633" s="559"/>
      <c r="AF633" s="559"/>
      <c r="AG633" s="559"/>
    </row>
    <row r="634" spans="1:33" ht="18" customHeight="1" x14ac:dyDescent="0.35">
      <c r="A634" s="559"/>
      <c r="B634" s="559"/>
      <c r="C634" s="559"/>
      <c r="D634" s="559"/>
      <c r="E634" s="559"/>
      <c r="F634" s="559"/>
      <c r="G634" s="559"/>
      <c r="H634" s="559"/>
      <c r="I634" s="559"/>
      <c r="J634" s="559"/>
      <c r="K634" s="559"/>
      <c r="L634" s="559"/>
      <c r="M634" s="559"/>
      <c r="N634" s="559"/>
      <c r="O634" s="559"/>
      <c r="P634" s="559"/>
      <c r="Q634" s="559"/>
      <c r="R634" s="559"/>
      <c r="S634" s="559"/>
      <c r="T634" s="559"/>
      <c r="U634" s="559"/>
      <c r="V634" s="559"/>
      <c r="W634" s="559"/>
      <c r="X634" s="559"/>
      <c r="Y634" s="559"/>
      <c r="Z634" s="559"/>
      <c r="AA634" s="559"/>
      <c r="AB634" s="559"/>
      <c r="AC634" s="559"/>
      <c r="AD634" s="559"/>
      <c r="AE634" s="559"/>
      <c r="AF634" s="559"/>
      <c r="AG634" s="559"/>
    </row>
    <row r="635" spans="1:33" ht="18" customHeight="1" x14ac:dyDescent="0.35">
      <c r="A635" s="559"/>
      <c r="B635" s="559"/>
      <c r="C635" s="559"/>
      <c r="D635" s="559"/>
      <c r="E635" s="559"/>
      <c r="F635" s="559"/>
      <c r="G635" s="559"/>
      <c r="H635" s="559"/>
      <c r="I635" s="559"/>
      <c r="J635" s="559"/>
      <c r="K635" s="559"/>
      <c r="L635" s="559"/>
      <c r="M635" s="559"/>
      <c r="N635" s="559"/>
      <c r="O635" s="559"/>
      <c r="P635" s="559"/>
      <c r="Q635" s="559"/>
      <c r="R635" s="559"/>
      <c r="S635" s="559"/>
      <c r="T635" s="559"/>
      <c r="U635" s="559"/>
      <c r="V635" s="559"/>
      <c r="W635" s="559"/>
      <c r="X635" s="559"/>
      <c r="Y635" s="559"/>
      <c r="Z635" s="559"/>
      <c r="AA635" s="559"/>
      <c r="AB635" s="559"/>
      <c r="AC635" s="559"/>
      <c r="AD635" s="559"/>
      <c r="AE635" s="559"/>
      <c r="AF635" s="559"/>
      <c r="AG635" s="559"/>
    </row>
    <row r="636" spans="1:33" ht="18" customHeight="1" x14ac:dyDescent="0.35">
      <c r="A636" s="559"/>
      <c r="B636" s="559"/>
      <c r="C636" s="559"/>
      <c r="D636" s="559"/>
      <c r="E636" s="559"/>
      <c r="F636" s="559"/>
      <c r="G636" s="559"/>
      <c r="H636" s="559"/>
      <c r="I636" s="559"/>
      <c r="J636" s="559"/>
      <c r="K636" s="559"/>
      <c r="L636" s="559"/>
      <c r="M636" s="559"/>
      <c r="N636" s="559"/>
      <c r="O636" s="559"/>
      <c r="P636" s="559"/>
      <c r="Q636" s="559"/>
      <c r="R636" s="559"/>
      <c r="S636" s="559"/>
      <c r="T636" s="559"/>
      <c r="U636" s="559"/>
      <c r="V636" s="559"/>
      <c r="W636" s="559"/>
      <c r="X636" s="559"/>
      <c r="Y636" s="559"/>
      <c r="Z636" s="559"/>
      <c r="AA636" s="559"/>
      <c r="AB636" s="559"/>
      <c r="AC636" s="559"/>
      <c r="AD636" s="559"/>
      <c r="AE636" s="559"/>
      <c r="AF636" s="559"/>
      <c r="AG636" s="559"/>
    </row>
    <row r="637" spans="1:33" ht="18" customHeight="1" x14ac:dyDescent="0.35">
      <c r="A637" s="559"/>
      <c r="B637" s="559"/>
      <c r="C637" s="559"/>
      <c r="D637" s="559"/>
      <c r="E637" s="559"/>
      <c r="F637" s="559"/>
      <c r="G637" s="559"/>
      <c r="H637" s="559"/>
      <c r="I637" s="559"/>
      <c r="J637" s="559"/>
      <c r="K637" s="559"/>
      <c r="L637" s="559"/>
      <c r="M637" s="559"/>
      <c r="N637" s="559"/>
      <c r="O637" s="559"/>
      <c r="P637" s="559"/>
      <c r="Q637" s="559"/>
      <c r="R637" s="559"/>
      <c r="S637" s="559"/>
      <c r="T637" s="559"/>
      <c r="U637" s="559"/>
      <c r="V637" s="559"/>
      <c r="W637" s="559"/>
      <c r="X637" s="559"/>
      <c r="Y637" s="559"/>
      <c r="Z637" s="559"/>
      <c r="AA637" s="559"/>
      <c r="AB637" s="559"/>
      <c r="AC637" s="559"/>
      <c r="AD637" s="559"/>
      <c r="AE637" s="559"/>
      <c r="AF637" s="559"/>
      <c r="AG637" s="559"/>
    </row>
    <row r="638" spans="1:33" ht="18" customHeight="1" x14ac:dyDescent="0.35">
      <c r="A638" s="559"/>
      <c r="B638" s="559"/>
      <c r="C638" s="559"/>
      <c r="D638" s="559"/>
      <c r="E638" s="559"/>
      <c r="F638" s="559"/>
      <c r="G638" s="559"/>
      <c r="H638" s="559"/>
      <c r="I638" s="559"/>
      <c r="J638" s="559"/>
      <c r="K638" s="559"/>
      <c r="L638" s="559"/>
      <c r="M638" s="559"/>
      <c r="N638" s="559"/>
      <c r="O638" s="559"/>
      <c r="P638" s="559"/>
      <c r="Q638" s="559"/>
      <c r="R638" s="559"/>
      <c r="S638" s="559"/>
      <c r="T638" s="559"/>
      <c r="U638" s="559"/>
      <c r="V638" s="559"/>
      <c r="W638" s="559"/>
      <c r="X638" s="559"/>
      <c r="Y638" s="559"/>
      <c r="Z638" s="559"/>
      <c r="AA638" s="559"/>
      <c r="AB638" s="559"/>
      <c r="AC638" s="559"/>
      <c r="AD638" s="559"/>
      <c r="AE638" s="559"/>
      <c r="AF638" s="559"/>
      <c r="AG638" s="559"/>
    </row>
    <row r="639" spans="1:33" ht="18" customHeight="1" x14ac:dyDescent="0.35">
      <c r="A639" s="559"/>
      <c r="B639" s="559"/>
      <c r="C639" s="559"/>
      <c r="D639" s="559"/>
      <c r="E639" s="559"/>
      <c r="F639" s="559"/>
      <c r="G639" s="559"/>
      <c r="H639" s="559"/>
      <c r="I639" s="559"/>
      <c r="J639" s="559"/>
      <c r="K639" s="559"/>
      <c r="L639" s="559"/>
      <c r="M639" s="559"/>
      <c r="N639" s="559"/>
      <c r="O639" s="559"/>
      <c r="P639" s="559"/>
      <c r="Q639" s="559"/>
      <c r="R639" s="559"/>
      <c r="S639" s="559"/>
      <c r="T639" s="559"/>
      <c r="U639" s="559"/>
      <c r="V639" s="559"/>
      <c r="W639" s="559"/>
      <c r="X639" s="559"/>
      <c r="Y639" s="559"/>
      <c r="Z639" s="559"/>
      <c r="AA639" s="559"/>
      <c r="AB639" s="559"/>
      <c r="AC639" s="559"/>
      <c r="AD639" s="559"/>
      <c r="AE639" s="559"/>
      <c r="AF639" s="559"/>
      <c r="AG639" s="559"/>
    </row>
    <row r="640" spans="1:33" ht="18" customHeight="1" x14ac:dyDescent="0.35">
      <c r="A640" s="559"/>
      <c r="B640" s="559"/>
      <c r="C640" s="559"/>
      <c r="D640" s="559"/>
      <c r="E640" s="559"/>
      <c r="F640" s="559"/>
      <c r="G640" s="559"/>
      <c r="H640" s="559"/>
      <c r="I640" s="559"/>
      <c r="J640" s="559"/>
      <c r="K640" s="559"/>
      <c r="L640" s="559"/>
      <c r="M640" s="559"/>
      <c r="N640" s="559"/>
      <c r="O640" s="559"/>
      <c r="P640" s="559"/>
      <c r="Q640" s="559"/>
      <c r="R640" s="559"/>
      <c r="S640" s="559"/>
      <c r="T640" s="559"/>
      <c r="U640" s="559"/>
      <c r="V640" s="559"/>
      <c r="W640" s="559"/>
      <c r="X640" s="559"/>
      <c r="Y640" s="559"/>
      <c r="Z640" s="559"/>
      <c r="AA640" s="559"/>
      <c r="AB640" s="559"/>
      <c r="AC640" s="559"/>
      <c r="AD640" s="559"/>
      <c r="AE640" s="559"/>
      <c r="AF640" s="559"/>
      <c r="AG640" s="559"/>
    </row>
    <row r="641" spans="1:33" ht="18" customHeight="1" x14ac:dyDescent="0.35">
      <c r="A641" s="559"/>
      <c r="B641" s="559"/>
      <c r="C641" s="559"/>
      <c r="D641" s="559"/>
      <c r="E641" s="559"/>
      <c r="F641" s="559"/>
      <c r="G641" s="559"/>
      <c r="H641" s="559"/>
      <c r="I641" s="559"/>
      <c r="J641" s="559"/>
      <c r="K641" s="559"/>
      <c r="L641" s="559"/>
      <c r="M641" s="559"/>
      <c r="N641" s="559"/>
      <c r="O641" s="559"/>
      <c r="P641" s="559"/>
      <c r="Q641" s="559"/>
      <c r="R641" s="559"/>
      <c r="S641" s="559"/>
      <c r="T641" s="559"/>
      <c r="U641" s="559"/>
      <c r="V641" s="559"/>
      <c r="W641" s="559"/>
      <c r="X641" s="559"/>
      <c r="Y641" s="559"/>
      <c r="Z641" s="559"/>
      <c r="AA641" s="559"/>
      <c r="AB641" s="559"/>
      <c r="AC641" s="559"/>
      <c r="AD641" s="559"/>
      <c r="AE641" s="559"/>
      <c r="AF641" s="559"/>
      <c r="AG641" s="559"/>
    </row>
    <row r="642" spans="1:33" ht="18" customHeight="1" x14ac:dyDescent="0.35">
      <c r="A642" s="559"/>
      <c r="B642" s="559"/>
      <c r="C642" s="559"/>
      <c r="D642" s="559"/>
      <c r="E642" s="559"/>
      <c r="F642" s="559"/>
      <c r="G642" s="559"/>
      <c r="H642" s="559"/>
      <c r="I642" s="559"/>
      <c r="J642" s="559"/>
      <c r="K642" s="559"/>
      <c r="L642" s="559"/>
      <c r="M642" s="559"/>
      <c r="N642" s="559"/>
      <c r="O642" s="559"/>
      <c r="P642" s="559"/>
      <c r="Q642" s="559"/>
      <c r="R642" s="559"/>
      <c r="S642" s="559"/>
      <c r="T642" s="559"/>
      <c r="U642" s="559"/>
      <c r="V642" s="559"/>
      <c r="W642" s="559"/>
      <c r="X642" s="559"/>
      <c r="Y642" s="559"/>
      <c r="Z642" s="559"/>
      <c r="AA642" s="559"/>
      <c r="AB642" s="559"/>
      <c r="AC642" s="559"/>
      <c r="AD642" s="559"/>
      <c r="AE642" s="559"/>
      <c r="AF642" s="559"/>
      <c r="AG642" s="559"/>
    </row>
    <row r="643" spans="1:33" ht="18" customHeight="1" x14ac:dyDescent="0.35">
      <c r="A643" s="559"/>
      <c r="B643" s="559"/>
      <c r="C643" s="559"/>
      <c r="D643" s="559"/>
      <c r="E643" s="559"/>
      <c r="F643" s="559"/>
      <c r="G643" s="559"/>
      <c r="H643" s="559"/>
      <c r="I643" s="559"/>
      <c r="J643" s="559"/>
      <c r="K643" s="559"/>
      <c r="L643" s="559"/>
      <c r="M643" s="559"/>
      <c r="N643" s="559"/>
      <c r="O643" s="559"/>
      <c r="P643" s="559"/>
      <c r="Q643" s="559"/>
      <c r="R643" s="559"/>
      <c r="S643" s="559"/>
      <c r="T643" s="559"/>
      <c r="U643" s="559"/>
      <c r="V643" s="559"/>
      <c r="W643" s="559"/>
      <c r="X643" s="559"/>
      <c r="Y643" s="559"/>
      <c r="Z643" s="559"/>
      <c r="AA643" s="559"/>
      <c r="AB643" s="559"/>
      <c r="AC643" s="559"/>
      <c r="AD643" s="559"/>
      <c r="AE643" s="559"/>
      <c r="AF643" s="559"/>
      <c r="AG643" s="559"/>
    </row>
    <row r="644" spans="1:33" ht="18" customHeight="1" x14ac:dyDescent="0.35">
      <c r="A644" s="559"/>
      <c r="B644" s="559"/>
      <c r="C644" s="559"/>
      <c r="D644" s="559"/>
      <c r="E644" s="559"/>
      <c r="F644" s="559"/>
      <c r="G644" s="559"/>
      <c r="H644" s="559"/>
      <c r="I644" s="559"/>
      <c r="J644" s="559"/>
      <c r="K644" s="559"/>
      <c r="L644" s="559"/>
      <c r="M644" s="559"/>
      <c r="N644" s="559"/>
      <c r="O644" s="559"/>
      <c r="P644" s="559"/>
      <c r="Q644" s="559"/>
      <c r="R644" s="559"/>
      <c r="S644" s="559"/>
      <c r="T644" s="559"/>
      <c r="U644" s="559"/>
      <c r="V644" s="559"/>
      <c r="W644" s="559"/>
      <c r="X644" s="559"/>
      <c r="Y644" s="559"/>
      <c r="Z644" s="559"/>
      <c r="AA644" s="559"/>
      <c r="AB644" s="559"/>
      <c r="AC644" s="559"/>
      <c r="AD644" s="559"/>
      <c r="AE644" s="559"/>
      <c r="AF644" s="559"/>
      <c r="AG644" s="559"/>
    </row>
    <row r="645" spans="1:33" ht="18" customHeight="1" x14ac:dyDescent="0.35">
      <c r="A645" s="559"/>
      <c r="B645" s="559"/>
      <c r="C645" s="559"/>
      <c r="D645" s="559"/>
      <c r="E645" s="559"/>
      <c r="F645" s="559"/>
      <c r="G645" s="559"/>
      <c r="H645" s="559"/>
      <c r="I645" s="559"/>
      <c r="J645" s="559"/>
      <c r="K645" s="559"/>
      <c r="L645" s="559"/>
      <c r="M645" s="559"/>
      <c r="N645" s="559"/>
      <c r="O645" s="559"/>
      <c r="P645" s="559"/>
      <c r="Q645" s="559"/>
      <c r="R645" s="559"/>
      <c r="S645" s="559"/>
      <c r="T645" s="559"/>
      <c r="U645" s="559"/>
      <c r="V645" s="559"/>
      <c r="W645" s="559"/>
      <c r="X645" s="559"/>
      <c r="Y645" s="559"/>
      <c r="Z645" s="559"/>
      <c r="AA645" s="559"/>
      <c r="AB645" s="559"/>
      <c r="AC645" s="559"/>
      <c r="AD645" s="559"/>
      <c r="AE645" s="559"/>
      <c r="AF645" s="559"/>
      <c r="AG645" s="559"/>
    </row>
    <row r="646" spans="1:33" ht="18" customHeight="1" x14ac:dyDescent="0.35">
      <c r="A646" s="559"/>
      <c r="B646" s="559"/>
      <c r="C646" s="559"/>
      <c r="D646" s="559"/>
      <c r="E646" s="559"/>
      <c r="F646" s="559"/>
      <c r="G646" s="559"/>
      <c r="H646" s="559"/>
      <c r="I646" s="559"/>
      <c r="J646" s="559"/>
      <c r="K646" s="559"/>
      <c r="L646" s="559"/>
      <c r="M646" s="559"/>
      <c r="N646" s="559"/>
      <c r="O646" s="559"/>
      <c r="P646" s="559"/>
      <c r="Q646" s="559"/>
      <c r="R646" s="559"/>
      <c r="S646" s="559"/>
      <c r="T646" s="559"/>
      <c r="U646" s="559"/>
      <c r="V646" s="559"/>
      <c r="W646" s="559"/>
      <c r="X646" s="559"/>
      <c r="Y646" s="559"/>
      <c r="Z646" s="559"/>
      <c r="AA646" s="559"/>
      <c r="AB646" s="559"/>
      <c r="AC646" s="559"/>
      <c r="AD646" s="559"/>
      <c r="AE646" s="559"/>
      <c r="AF646" s="559"/>
      <c r="AG646" s="559"/>
    </row>
    <row r="647" spans="1:33" ht="18" customHeight="1" x14ac:dyDescent="0.35">
      <c r="A647" s="559"/>
      <c r="B647" s="559"/>
      <c r="C647" s="559"/>
      <c r="D647" s="559"/>
      <c r="E647" s="559"/>
      <c r="F647" s="559"/>
      <c r="G647" s="559"/>
      <c r="H647" s="559"/>
      <c r="I647" s="559"/>
      <c r="J647" s="559"/>
      <c r="K647" s="559"/>
      <c r="L647" s="559"/>
      <c r="M647" s="559"/>
      <c r="N647" s="559"/>
      <c r="O647" s="559"/>
      <c r="P647" s="559"/>
      <c r="Q647" s="559"/>
      <c r="R647" s="559"/>
      <c r="S647" s="559"/>
      <c r="T647" s="559"/>
      <c r="U647" s="559"/>
      <c r="V647" s="559"/>
      <c r="W647" s="559"/>
      <c r="X647" s="559"/>
      <c r="Y647" s="559"/>
      <c r="Z647" s="559"/>
      <c r="AA647" s="559"/>
      <c r="AB647" s="559"/>
      <c r="AC647" s="559"/>
      <c r="AD647" s="559"/>
      <c r="AE647" s="559"/>
      <c r="AF647" s="559"/>
      <c r="AG647" s="559"/>
    </row>
    <row r="648" spans="1:33" ht="18" customHeight="1" x14ac:dyDescent="0.35">
      <c r="A648" s="559"/>
      <c r="B648" s="559"/>
      <c r="C648" s="559"/>
      <c r="D648" s="559"/>
      <c r="E648" s="559"/>
      <c r="F648" s="559"/>
      <c r="G648" s="559"/>
      <c r="H648" s="559"/>
      <c r="I648" s="559"/>
      <c r="J648" s="559"/>
      <c r="K648" s="559"/>
      <c r="L648" s="559"/>
      <c r="M648" s="559"/>
      <c r="N648" s="559"/>
      <c r="O648" s="559"/>
      <c r="P648" s="559"/>
      <c r="Q648" s="559"/>
      <c r="R648" s="559"/>
      <c r="S648" s="559"/>
      <c r="T648" s="559"/>
      <c r="U648" s="559"/>
      <c r="V648" s="559"/>
      <c r="W648" s="559"/>
      <c r="X648" s="559"/>
      <c r="Y648" s="559"/>
      <c r="Z648" s="559"/>
      <c r="AA648" s="559"/>
      <c r="AB648" s="559"/>
      <c r="AC648" s="559"/>
      <c r="AD648" s="559"/>
      <c r="AE648" s="559"/>
      <c r="AF648" s="559"/>
      <c r="AG648" s="559"/>
    </row>
    <row r="649" spans="1:33" ht="18" customHeight="1" x14ac:dyDescent="0.35">
      <c r="A649" s="559"/>
      <c r="B649" s="559"/>
      <c r="C649" s="559"/>
      <c r="D649" s="559"/>
      <c r="E649" s="559"/>
      <c r="F649" s="559"/>
      <c r="G649" s="559"/>
      <c r="H649" s="559"/>
      <c r="I649" s="559"/>
      <c r="J649" s="559"/>
      <c r="K649" s="559"/>
      <c r="L649" s="559"/>
      <c r="M649" s="559"/>
      <c r="N649" s="559"/>
      <c r="O649" s="559"/>
      <c r="P649" s="559"/>
      <c r="Q649" s="559"/>
      <c r="R649" s="559"/>
      <c r="S649" s="559"/>
      <c r="T649" s="559"/>
      <c r="U649" s="559"/>
      <c r="V649" s="559"/>
      <c r="W649" s="559"/>
      <c r="X649" s="559"/>
      <c r="Y649" s="559"/>
      <c r="Z649" s="559"/>
      <c r="AA649" s="559"/>
      <c r="AB649" s="559"/>
      <c r="AC649" s="559"/>
      <c r="AD649" s="559"/>
      <c r="AE649" s="559"/>
      <c r="AF649" s="559"/>
      <c r="AG649" s="559"/>
    </row>
    <row r="650" spans="1:33" ht="18" customHeight="1" x14ac:dyDescent="0.35">
      <c r="A650" s="559"/>
      <c r="B650" s="559"/>
      <c r="C650" s="559"/>
      <c r="D650" s="559"/>
      <c r="E650" s="559"/>
      <c r="F650" s="559"/>
      <c r="G650" s="559"/>
      <c r="H650" s="559"/>
      <c r="I650" s="559"/>
      <c r="J650" s="559"/>
      <c r="K650" s="559"/>
      <c r="L650" s="559"/>
      <c r="M650" s="559"/>
      <c r="N650" s="559"/>
      <c r="O650" s="559"/>
      <c r="P650" s="559"/>
      <c r="Q650" s="559"/>
      <c r="R650" s="559"/>
      <c r="S650" s="559"/>
      <c r="T650" s="559"/>
      <c r="U650" s="559"/>
      <c r="V650" s="559"/>
      <c r="W650" s="559"/>
      <c r="X650" s="559"/>
      <c r="Y650" s="559"/>
      <c r="Z650" s="559"/>
      <c r="AA650" s="559"/>
      <c r="AB650" s="559"/>
      <c r="AC650" s="559"/>
      <c r="AD650" s="559"/>
      <c r="AE650" s="559"/>
      <c r="AF650" s="559"/>
      <c r="AG650" s="559"/>
    </row>
    <row r="651" spans="1:33" ht="18" customHeight="1" x14ac:dyDescent="0.35">
      <c r="A651" s="559"/>
      <c r="B651" s="559"/>
      <c r="C651" s="559"/>
      <c r="D651" s="559"/>
      <c r="E651" s="559"/>
      <c r="F651" s="559"/>
      <c r="G651" s="559"/>
      <c r="H651" s="559"/>
      <c r="I651" s="559"/>
      <c r="J651" s="559"/>
      <c r="K651" s="559"/>
      <c r="L651" s="559"/>
      <c r="M651" s="559"/>
      <c r="N651" s="559"/>
      <c r="O651" s="559"/>
      <c r="P651" s="559"/>
      <c r="Q651" s="559"/>
      <c r="R651" s="559"/>
      <c r="S651" s="559"/>
      <c r="T651" s="559"/>
      <c r="U651" s="559"/>
      <c r="V651" s="559"/>
      <c r="W651" s="559"/>
      <c r="X651" s="559"/>
      <c r="Y651" s="559"/>
      <c r="Z651" s="559"/>
      <c r="AA651" s="559"/>
      <c r="AB651" s="559"/>
      <c r="AC651" s="559"/>
      <c r="AD651" s="559"/>
      <c r="AE651" s="559"/>
      <c r="AF651" s="559"/>
      <c r="AG651" s="559"/>
    </row>
    <row r="652" spans="1:33" ht="18" customHeight="1" x14ac:dyDescent="0.35">
      <c r="A652" s="559"/>
      <c r="B652" s="559"/>
      <c r="C652" s="559"/>
      <c r="D652" s="559"/>
      <c r="E652" s="559"/>
      <c r="F652" s="559"/>
      <c r="G652" s="559"/>
      <c r="H652" s="559"/>
      <c r="I652" s="559"/>
      <c r="J652" s="559"/>
      <c r="K652" s="559"/>
      <c r="L652" s="559"/>
      <c r="M652" s="559"/>
      <c r="N652" s="559"/>
      <c r="O652" s="559"/>
      <c r="P652" s="559"/>
      <c r="Q652" s="559"/>
      <c r="R652" s="559"/>
      <c r="S652" s="559"/>
      <c r="T652" s="559"/>
      <c r="U652" s="559"/>
      <c r="V652" s="559"/>
      <c r="W652" s="559"/>
      <c r="X652" s="559"/>
      <c r="Y652" s="559"/>
      <c r="Z652" s="559"/>
      <c r="AA652" s="559"/>
      <c r="AB652" s="559"/>
      <c r="AC652" s="559"/>
      <c r="AD652" s="559"/>
      <c r="AE652" s="559"/>
      <c r="AF652" s="559"/>
      <c r="AG652" s="559"/>
    </row>
    <row r="653" spans="1:33" ht="18" customHeight="1" x14ac:dyDescent="0.35">
      <c r="A653" s="559"/>
      <c r="B653" s="559"/>
      <c r="C653" s="559"/>
      <c r="D653" s="559"/>
      <c r="E653" s="559"/>
      <c r="F653" s="559"/>
      <c r="G653" s="559"/>
      <c r="H653" s="559"/>
      <c r="I653" s="559"/>
      <c r="J653" s="559"/>
      <c r="K653" s="559"/>
      <c r="L653" s="559"/>
      <c r="M653" s="559"/>
      <c r="N653" s="559"/>
      <c r="O653" s="559"/>
      <c r="P653" s="559"/>
      <c r="Q653" s="559"/>
      <c r="R653" s="559"/>
      <c r="S653" s="559"/>
      <c r="T653" s="559"/>
      <c r="U653" s="559"/>
      <c r="V653" s="559"/>
      <c r="W653" s="559"/>
      <c r="X653" s="559"/>
      <c r="Y653" s="559"/>
      <c r="Z653" s="559"/>
      <c r="AA653" s="559"/>
      <c r="AB653" s="559"/>
      <c r="AC653" s="559"/>
      <c r="AD653" s="559"/>
      <c r="AE653" s="559"/>
      <c r="AF653" s="559"/>
      <c r="AG653" s="559"/>
    </row>
    <row r="654" spans="1:33" ht="18" customHeight="1" x14ac:dyDescent="0.35">
      <c r="A654" s="559"/>
      <c r="B654" s="559"/>
      <c r="C654" s="559"/>
      <c r="D654" s="559"/>
      <c r="E654" s="559"/>
      <c r="F654" s="559"/>
      <c r="G654" s="559"/>
      <c r="H654" s="559"/>
      <c r="I654" s="559"/>
      <c r="J654" s="559"/>
      <c r="K654" s="559"/>
      <c r="L654" s="559"/>
      <c r="M654" s="559"/>
      <c r="N654" s="559"/>
      <c r="O654" s="559"/>
      <c r="P654" s="559"/>
      <c r="Q654" s="559"/>
      <c r="R654" s="559"/>
      <c r="S654" s="559"/>
      <c r="T654" s="559"/>
      <c r="U654" s="559"/>
      <c r="V654" s="559"/>
      <c r="W654" s="559"/>
      <c r="X654" s="559"/>
      <c r="Y654" s="559"/>
      <c r="Z654" s="559"/>
      <c r="AA654" s="559"/>
      <c r="AB654" s="559"/>
      <c r="AC654" s="559"/>
      <c r="AD654" s="559"/>
      <c r="AE654" s="559"/>
      <c r="AF654" s="559"/>
      <c r="AG654" s="559"/>
    </row>
    <row r="655" spans="1:33" ht="18" customHeight="1" x14ac:dyDescent="0.35">
      <c r="A655" s="559"/>
      <c r="B655" s="559"/>
      <c r="C655" s="559"/>
      <c r="D655" s="559"/>
      <c r="E655" s="559"/>
      <c r="F655" s="559"/>
      <c r="G655" s="559"/>
      <c r="H655" s="559"/>
      <c r="I655" s="559"/>
      <c r="J655" s="559"/>
      <c r="K655" s="559"/>
      <c r="L655" s="559"/>
      <c r="M655" s="559"/>
      <c r="N655" s="559"/>
      <c r="O655" s="559"/>
      <c r="P655" s="559"/>
      <c r="Q655" s="559"/>
      <c r="R655" s="559"/>
      <c r="S655" s="559"/>
      <c r="T655" s="559"/>
      <c r="U655" s="559"/>
      <c r="V655" s="559"/>
      <c r="W655" s="559"/>
      <c r="X655" s="559"/>
      <c r="Y655" s="559"/>
      <c r="Z655" s="559"/>
      <c r="AA655" s="559"/>
      <c r="AB655" s="559"/>
      <c r="AC655" s="559"/>
      <c r="AD655" s="559"/>
      <c r="AE655" s="559"/>
      <c r="AF655" s="559"/>
      <c r="AG655" s="559"/>
    </row>
    <row r="656" spans="1:33" ht="18" customHeight="1" x14ac:dyDescent="0.35">
      <c r="A656" s="559"/>
      <c r="B656" s="559"/>
      <c r="C656" s="559"/>
      <c r="D656" s="559"/>
      <c r="E656" s="559"/>
      <c r="F656" s="559"/>
      <c r="G656" s="559"/>
      <c r="H656" s="559"/>
      <c r="I656" s="559"/>
      <c r="J656" s="559"/>
      <c r="K656" s="559"/>
      <c r="L656" s="559"/>
      <c r="M656" s="559"/>
      <c r="N656" s="559"/>
      <c r="O656" s="559"/>
      <c r="P656" s="559"/>
      <c r="Q656" s="559"/>
      <c r="R656" s="559"/>
      <c r="S656" s="559"/>
      <c r="T656" s="559"/>
      <c r="U656" s="559"/>
      <c r="V656" s="559"/>
      <c r="W656" s="559"/>
      <c r="X656" s="559"/>
      <c r="Y656" s="559"/>
      <c r="Z656" s="559"/>
      <c r="AA656" s="559"/>
      <c r="AB656" s="559"/>
      <c r="AC656" s="559"/>
      <c r="AD656" s="559"/>
      <c r="AE656" s="559"/>
      <c r="AF656" s="559"/>
      <c r="AG656" s="559"/>
    </row>
    <row r="657" spans="1:33" ht="18" customHeight="1" x14ac:dyDescent="0.35">
      <c r="A657" s="559"/>
      <c r="B657" s="559"/>
      <c r="C657" s="559"/>
      <c r="D657" s="559"/>
      <c r="E657" s="559"/>
      <c r="F657" s="559"/>
      <c r="G657" s="559"/>
      <c r="H657" s="559"/>
      <c r="I657" s="559"/>
      <c r="J657" s="559"/>
      <c r="K657" s="559"/>
      <c r="L657" s="559"/>
      <c r="M657" s="559"/>
      <c r="N657" s="559"/>
      <c r="O657" s="559"/>
      <c r="P657" s="559"/>
      <c r="Q657" s="559"/>
      <c r="R657" s="559"/>
      <c r="S657" s="559"/>
      <c r="T657" s="559"/>
      <c r="U657" s="559"/>
      <c r="V657" s="559"/>
      <c r="W657" s="559"/>
      <c r="X657" s="559"/>
      <c r="Y657" s="559"/>
      <c r="Z657" s="559"/>
      <c r="AA657" s="559"/>
      <c r="AB657" s="559"/>
      <c r="AC657" s="559"/>
      <c r="AD657" s="559"/>
      <c r="AE657" s="559"/>
      <c r="AF657" s="559"/>
      <c r="AG657" s="559"/>
    </row>
    <row r="658" spans="1:33" ht="18" customHeight="1" x14ac:dyDescent="0.35">
      <c r="A658" s="559"/>
      <c r="B658" s="559"/>
      <c r="C658" s="559"/>
      <c r="D658" s="559"/>
      <c r="E658" s="559"/>
      <c r="F658" s="559"/>
      <c r="G658" s="559"/>
      <c r="H658" s="559"/>
      <c r="I658" s="559"/>
      <c r="J658" s="559"/>
      <c r="K658" s="559"/>
      <c r="L658" s="559"/>
      <c r="M658" s="559"/>
      <c r="N658" s="559"/>
      <c r="O658" s="559"/>
      <c r="P658" s="559"/>
      <c r="Q658" s="559"/>
      <c r="R658" s="559"/>
      <c r="S658" s="559"/>
      <c r="T658" s="559"/>
      <c r="U658" s="559"/>
      <c r="V658" s="559"/>
      <c r="W658" s="559"/>
      <c r="X658" s="559"/>
      <c r="Y658" s="559"/>
      <c r="Z658" s="559"/>
      <c r="AA658" s="559"/>
      <c r="AB658" s="559"/>
      <c r="AC658" s="559"/>
      <c r="AD658" s="559"/>
      <c r="AE658" s="559"/>
      <c r="AF658" s="559"/>
      <c r="AG658" s="559"/>
    </row>
    <row r="659" spans="1:33" ht="18" customHeight="1" x14ac:dyDescent="0.35">
      <c r="A659" s="559"/>
      <c r="B659" s="559"/>
      <c r="C659" s="559"/>
      <c r="D659" s="559"/>
      <c r="E659" s="559"/>
      <c r="F659" s="559"/>
      <c r="G659" s="559"/>
      <c r="H659" s="559"/>
      <c r="I659" s="559"/>
      <c r="J659" s="559"/>
      <c r="K659" s="559"/>
      <c r="L659" s="559"/>
      <c r="M659" s="559"/>
      <c r="N659" s="559"/>
      <c r="O659" s="559"/>
      <c r="P659" s="559"/>
      <c r="Q659" s="559"/>
      <c r="R659" s="559"/>
      <c r="S659" s="559"/>
      <c r="T659" s="559"/>
      <c r="U659" s="559"/>
      <c r="V659" s="559"/>
      <c r="W659" s="559"/>
      <c r="X659" s="559"/>
      <c r="Y659" s="559"/>
      <c r="Z659" s="559"/>
      <c r="AA659" s="559"/>
      <c r="AB659" s="559"/>
      <c r="AC659" s="559"/>
      <c r="AD659" s="559"/>
      <c r="AE659" s="559"/>
      <c r="AF659" s="559"/>
      <c r="AG659" s="559"/>
    </row>
    <row r="660" spans="1:33" ht="18" customHeight="1" x14ac:dyDescent="0.35">
      <c r="A660" s="559"/>
      <c r="B660" s="559"/>
      <c r="C660" s="559"/>
      <c r="D660" s="559"/>
      <c r="E660" s="559"/>
      <c r="F660" s="559"/>
      <c r="G660" s="559"/>
      <c r="H660" s="559"/>
      <c r="I660" s="559"/>
      <c r="J660" s="559"/>
      <c r="K660" s="559"/>
      <c r="L660" s="559"/>
      <c r="M660" s="559"/>
      <c r="N660" s="559"/>
      <c r="O660" s="559"/>
      <c r="P660" s="559"/>
      <c r="Q660" s="559"/>
      <c r="R660" s="559"/>
      <c r="S660" s="559"/>
      <c r="T660" s="559"/>
      <c r="U660" s="559"/>
      <c r="V660" s="559"/>
      <c r="W660" s="559"/>
      <c r="X660" s="559"/>
      <c r="Y660" s="559"/>
      <c r="Z660" s="559"/>
      <c r="AA660" s="559"/>
      <c r="AB660" s="559"/>
      <c r="AC660" s="559"/>
      <c r="AD660" s="559"/>
      <c r="AE660" s="559"/>
      <c r="AF660" s="559"/>
      <c r="AG660" s="559"/>
    </row>
    <row r="661" spans="1:33" ht="18" customHeight="1" x14ac:dyDescent="0.35">
      <c r="A661" s="559"/>
      <c r="B661" s="559"/>
      <c r="C661" s="559"/>
      <c r="D661" s="559"/>
      <c r="E661" s="559"/>
      <c r="F661" s="559"/>
      <c r="G661" s="559"/>
      <c r="H661" s="559"/>
      <c r="I661" s="559"/>
      <c r="J661" s="559"/>
      <c r="K661" s="559"/>
      <c r="L661" s="559"/>
      <c r="M661" s="559"/>
      <c r="N661" s="559"/>
      <c r="O661" s="559"/>
      <c r="P661" s="559"/>
      <c r="Q661" s="559"/>
      <c r="R661" s="559"/>
      <c r="S661" s="559"/>
      <c r="T661" s="559"/>
      <c r="U661" s="559"/>
      <c r="V661" s="559"/>
      <c r="W661" s="559"/>
      <c r="X661" s="559"/>
      <c r="Y661" s="559"/>
      <c r="Z661" s="559"/>
      <c r="AA661" s="559"/>
      <c r="AB661" s="559"/>
      <c r="AC661" s="559"/>
      <c r="AD661" s="559"/>
      <c r="AE661" s="559"/>
      <c r="AF661" s="559"/>
      <c r="AG661" s="559"/>
    </row>
    <row r="662" spans="1:33" ht="18" customHeight="1" x14ac:dyDescent="0.35">
      <c r="A662" s="559"/>
      <c r="B662" s="559"/>
      <c r="C662" s="559"/>
      <c r="D662" s="559"/>
      <c r="E662" s="559"/>
      <c r="F662" s="559"/>
      <c r="G662" s="559"/>
      <c r="H662" s="559"/>
      <c r="I662" s="559"/>
      <c r="J662" s="559"/>
      <c r="K662" s="559"/>
      <c r="L662" s="559"/>
      <c r="M662" s="559"/>
      <c r="N662" s="559"/>
      <c r="O662" s="559"/>
      <c r="P662" s="559"/>
      <c r="Q662" s="559"/>
      <c r="R662" s="559"/>
      <c r="S662" s="559"/>
      <c r="T662" s="559"/>
      <c r="U662" s="559"/>
      <c r="V662" s="559"/>
      <c r="W662" s="559"/>
      <c r="X662" s="559"/>
      <c r="Y662" s="559"/>
      <c r="Z662" s="559"/>
      <c r="AA662" s="559"/>
      <c r="AB662" s="559"/>
      <c r="AC662" s="559"/>
      <c r="AD662" s="559"/>
      <c r="AE662" s="559"/>
      <c r="AF662" s="559"/>
      <c r="AG662" s="559"/>
    </row>
    <row r="663" spans="1:33" ht="18" customHeight="1" x14ac:dyDescent="0.35">
      <c r="A663" s="559"/>
      <c r="B663" s="559"/>
      <c r="C663" s="559"/>
      <c r="D663" s="559"/>
      <c r="E663" s="559"/>
      <c r="F663" s="559"/>
      <c r="G663" s="559"/>
      <c r="H663" s="559"/>
      <c r="I663" s="559"/>
      <c r="J663" s="559"/>
      <c r="K663" s="559"/>
      <c r="L663" s="559"/>
      <c r="M663" s="559"/>
      <c r="N663" s="559"/>
      <c r="O663" s="559"/>
      <c r="P663" s="559"/>
      <c r="Q663" s="559"/>
      <c r="R663" s="559"/>
      <c r="S663" s="559"/>
      <c r="T663" s="559"/>
      <c r="U663" s="559"/>
      <c r="V663" s="559"/>
      <c r="W663" s="559"/>
      <c r="X663" s="559"/>
      <c r="Y663" s="559"/>
      <c r="Z663" s="559"/>
      <c r="AA663" s="559"/>
      <c r="AB663" s="559"/>
      <c r="AC663" s="559"/>
      <c r="AD663" s="559"/>
      <c r="AE663" s="559"/>
      <c r="AF663" s="559"/>
      <c r="AG663" s="559"/>
    </row>
    <row r="664" spans="1:33" ht="18" customHeight="1" x14ac:dyDescent="0.35">
      <c r="A664" s="559"/>
      <c r="B664" s="559"/>
      <c r="C664" s="559"/>
      <c r="D664" s="559"/>
      <c r="E664" s="559"/>
      <c r="F664" s="559"/>
      <c r="G664" s="559"/>
      <c r="H664" s="559"/>
      <c r="I664" s="559"/>
      <c r="J664" s="559"/>
      <c r="K664" s="559"/>
      <c r="L664" s="559"/>
      <c r="M664" s="559"/>
      <c r="N664" s="559"/>
      <c r="O664" s="559"/>
      <c r="P664" s="559"/>
      <c r="Q664" s="559"/>
      <c r="R664" s="559"/>
      <c r="S664" s="559"/>
      <c r="T664" s="559"/>
      <c r="U664" s="559"/>
      <c r="V664" s="559"/>
      <c r="W664" s="559"/>
      <c r="X664" s="559"/>
      <c r="Y664" s="559"/>
      <c r="Z664" s="559"/>
      <c r="AA664" s="559"/>
      <c r="AB664" s="559"/>
      <c r="AC664" s="559"/>
      <c r="AD664" s="559"/>
      <c r="AE664" s="559"/>
      <c r="AF664" s="559"/>
      <c r="AG664" s="559"/>
    </row>
    <row r="665" spans="1:33" ht="18" customHeight="1" x14ac:dyDescent="0.35">
      <c r="A665" s="559"/>
      <c r="B665" s="559"/>
      <c r="C665" s="559"/>
      <c r="D665" s="559"/>
      <c r="E665" s="559"/>
      <c r="F665" s="559"/>
      <c r="G665" s="559"/>
      <c r="H665" s="559"/>
      <c r="I665" s="559"/>
      <c r="J665" s="559"/>
      <c r="K665" s="559"/>
      <c r="L665" s="559"/>
      <c r="M665" s="559"/>
      <c r="N665" s="559"/>
      <c r="O665" s="559"/>
      <c r="P665" s="559"/>
      <c r="Q665" s="559"/>
      <c r="R665" s="559"/>
      <c r="S665" s="559"/>
      <c r="T665" s="559"/>
      <c r="U665" s="559"/>
      <c r="V665" s="559"/>
      <c r="W665" s="559"/>
      <c r="X665" s="559"/>
      <c r="Y665" s="559"/>
      <c r="Z665" s="559"/>
      <c r="AA665" s="559"/>
      <c r="AB665" s="559"/>
      <c r="AC665" s="559"/>
      <c r="AD665" s="559"/>
      <c r="AE665" s="559"/>
      <c r="AF665" s="559"/>
      <c r="AG665" s="559"/>
    </row>
    <row r="666" spans="1:33" ht="18" customHeight="1" x14ac:dyDescent="0.35">
      <c r="A666" s="559"/>
      <c r="B666" s="559"/>
      <c r="C666" s="559"/>
      <c r="D666" s="559"/>
      <c r="E666" s="559"/>
      <c r="F666" s="559"/>
      <c r="G666" s="559"/>
      <c r="H666" s="559"/>
      <c r="I666" s="559"/>
      <c r="J666" s="559"/>
      <c r="K666" s="559"/>
      <c r="L666" s="559"/>
      <c r="M666" s="559"/>
      <c r="N666" s="559"/>
      <c r="O666" s="559"/>
      <c r="P666" s="559"/>
      <c r="Q666" s="559"/>
      <c r="R666" s="559"/>
      <c r="S666" s="559"/>
      <c r="T666" s="559"/>
      <c r="U666" s="559"/>
      <c r="V666" s="559"/>
      <c r="W666" s="559"/>
      <c r="X666" s="559"/>
      <c r="Y666" s="559"/>
      <c r="Z666" s="559"/>
      <c r="AA666" s="559"/>
      <c r="AB666" s="559"/>
      <c r="AC666" s="559"/>
      <c r="AD666" s="559"/>
      <c r="AE666" s="559"/>
      <c r="AF666" s="559"/>
      <c r="AG666" s="559"/>
    </row>
    <row r="667" spans="1:33" ht="18" customHeight="1" x14ac:dyDescent="0.35">
      <c r="A667" s="559"/>
      <c r="B667" s="559"/>
      <c r="C667" s="559"/>
      <c r="D667" s="559"/>
      <c r="E667" s="559"/>
      <c r="F667" s="559"/>
      <c r="G667" s="559"/>
      <c r="H667" s="559"/>
      <c r="I667" s="559"/>
      <c r="J667" s="559"/>
      <c r="K667" s="559"/>
      <c r="L667" s="559"/>
      <c r="M667" s="559"/>
      <c r="N667" s="559"/>
      <c r="O667" s="559"/>
      <c r="P667" s="559"/>
      <c r="Q667" s="559"/>
      <c r="R667" s="559"/>
      <c r="S667" s="559"/>
      <c r="T667" s="559"/>
      <c r="U667" s="559"/>
      <c r="V667" s="559"/>
      <c r="W667" s="559"/>
      <c r="X667" s="559"/>
      <c r="Y667" s="559"/>
      <c r="Z667" s="559"/>
      <c r="AA667" s="559"/>
      <c r="AB667" s="559"/>
      <c r="AC667" s="559"/>
      <c r="AD667" s="559"/>
      <c r="AE667" s="559"/>
      <c r="AF667" s="559"/>
      <c r="AG667" s="559"/>
    </row>
    <row r="668" spans="1:33" ht="18" customHeight="1" x14ac:dyDescent="0.35">
      <c r="A668" s="559"/>
      <c r="B668" s="559"/>
      <c r="C668" s="559"/>
      <c r="D668" s="559"/>
      <c r="E668" s="559"/>
      <c r="F668" s="559"/>
      <c r="G668" s="559"/>
      <c r="H668" s="559"/>
      <c r="I668" s="559"/>
      <c r="J668" s="559"/>
      <c r="K668" s="559"/>
      <c r="L668" s="559"/>
      <c r="M668" s="559"/>
      <c r="N668" s="559"/>
      <c r="O668" s="559"/>
      <c r="P668" s="559"/>
      <c r="Q668" s="559"/>
      <c r="R668" s="559"/>
      <c r="S668" s="559"/>
      <c r="T668" s="559"/>
      <c r="U668" s="559"/>
      <c r="V668" s="559"/>
      <c r="W668" s="559"/>
      <c r="X668" s="559"/>
      <c r="Y668" s="559"/>
      <c r="Z668" s="559"/>
      <c r="AA668" s="559"/>
      <c r="AB668" s="559"/>
      <c r="AC668" s="559"/>
      <c r="AD668" s="559"/>
      <c r="AE668" s="559"/>
      <c r="AF668" s="559"/>
      <c r="AG668" s="559"/>
    </row>
    <row r="669" spans="1:33" ht="18" customHeight="1" x14ac:dyDescent="0.35">
      <c r="A669" s="559"/>
      <c r="B669" s="559"/>
      <c r="C669" s="559"/>
      <c r="D669" s="559"/>
      <c r="E669" s="559"/>
      <c r="F669" s="559"/>
      <c r="G669" s="559"/>
      <c r="H669" s="559"/>
      <c r="I669" s="559"/>
      <c r="J669" s="559"/>
      <c r="K669" s="559"/>
      <c r="L669" s="559"/>
      <c r="M669" s="559"/>
      <c r="N669" s="559"/>
      <c r="O669" s="559"/>
      <c r="P669" s="559"/>
      <c r="Q669" s="559"/>
      <c r="R669" s="559"/>
      <c r="S669" s="559"/>
      <c r="T669" s="559"/>
      <c r="U669" s="559"/>
      <c r="V669" s="559"/>
      <c r="W669" s="559"/>
      <c r="X669" s="559"/>
      <c r="Y669" s="559"/>
      <c r="Z669" s="559"/>
      <c r="AA669" s="559"/>
      <c r="AB669" s="559"/>
      <c r="AC669" s="559"/>
      <c r="AD669" s="559"/>
      <c r="AE669" s="559"/>
      <c r="AF669" s="559"/>
      <c r="AG669" s="559"/>
    </row>
    <row r="670" spans="1:33" ht="18" customHeight="1" x14ac:dyDescent="0.35">
      <c r="A670" s="559"/>
      <c r="B670" s="559"/>
      <c r="C670" s="559"/>
      <c r="D670" s="559"/>
      <c r="E670" s="559"/>
      <c r="F670" s="559"/>
      <c r="G670" s="559"/>
      <c r="H670" s="559"/>
      <c r="I670" s="559"/>
      <c r="J670" s="559"/>
      <c r="K670" s="559"/>
      <c r="L670" s="559"/>
      <c r="M670" s="559"/>
      <c r="N670" s="559"/>
      <c r="O670" s="559"/>
      <c r="P670" s="559"/>
      <c r="Q670" s="559"/>
      <c r="R670" s="559"/>
      <c r="S670" s="559"/>
      <c r="T670" s="559"/>
      <c r="U670" s="559"/>
      <c r="V670" s="559"/>
      <c r="W670" s="559"/>
      <c r="X670" s="559"/>
      <c r="Y670" s="559"/>
      <c r="Z670" s="559"/>
      <c r="AA670" s="559"/>
      <c r="AB670" s="559"/>
      <c r="AC670" s="559"/>
      <c r="AD670" s="559"/>
      <c r="AE670" s="559"/>
      <c r="AF670" s="559"/>
      <c r="AG670" s="559"/>
    </row>
    <row r="671" spans="1:33" ht="18" customHeight="1" x14ac:dyDescent="0.35">
      <c r="A671" s="559"/>
      <c r="B671" s="559"/>
      <c r="C671" s="559"/>
      <c r="D671" s="559"/>
      <c r="E671" s="559"/>
      <c r="F671" s="559"/>
      <c r="G671" s="559"/>
      <c r="H671" s="559"/>
      <c r="I671" s="559"/>
      <c r="J671" s="559"/>
      <c r="K671" s="559"/>
      <c r="L671" s="559"/>
      <c r="M671" s="559"/>
      <c r="N671" s="559"/>
      <c r="O671" s="559"/>
      <c r="P671" s="559"/>
      <c r="Q671" s="559"/>
      <c r="R671" s="559"/>
      <c r="S671" s="559"/>
      <c r="T671" s="559"/>
      <c r="U671" s="559"/>
      <c r="V671" s="559"/>
      <c r="W671" s="559"/>
      <c r="X671" s="559"/>
      <c r="Y671" s="559"/>
      <c r="Z671" s="559"/>
      <c r="AA671" s="559"/>
      <c r="AB671" s="559"/>
      <c r="AC671" s="559"/>
      <c r="AD671" s="559"/>
      <c r="AE671" s="559"/>
      <c r="AF671" s="559"/>
      <c r="AG671" s="559"/>
    </row>
    <row r="672" spans="1:33" ht="18" customHeight="1" x14ac:dyDescent="0.35">
      <c r="A672" s="559"/>
      <c r="B672" s="559"/>
      <c r="C672" s="559"/>
      <c r="D672" s="559"/>
      <c r="E672" s="559"/>
      <c r="F672" s="559"/>
      <c r="G672" s="559"/>
      <c r="H672" s="559"/>
      <c r="I672" s="559"/>
      <c r="J672" s="559"/>
      <c r="K672" s="559"/>
      <c r="L672" s="559"/>
      <c r="M672" s="559"/>
      <c r="N672" s="559"/>
      <c r="O672" s="559"/>
      <c r="P672" s="559"/>
      <c r="Q672" s="559"/>
      <c r="R672" s="559"/>
      <c r="S672" s="559"/>
      <c r="T672" s="559"/>
      <c r="U672" s="559"/>
      <c r="V672" s="559"/>
      <c r="W672" s="559"/>
      <c r="X672" s="559"/>
      <c r="Y672" s="559"/>
      <c r="Z672" s="559"/>
      <c r="AA672" s="559"/>
      <c r="AB672" s="559"/>
      <c r="AC672" s="559"/>
      <c r="AD672" s="559"/>
      <c r="AE672" s="559"/>
      <c r="AF672" s="559"/>
      <c r="AG672" s="559"/>
    </row>
    <row r="673" spans="1:33" ht="18" customHeight="1" x14ac:dyDescent="0.35">
      <c r="A673" s="559"/>
      <c r="B673" s="559"/>
      <c r="C673" s="559"/>
      <c r="D673" s="559"/>
      <c r="E673" s="559"/>
      <c r="F673" s="559"/>
      <c r="G673" s="559"/>
      <c r="H673" s="559"/>
      <c r="I673" s="559"/>
      <c r="J673" s="559"/>
      <c r="K673" s="559"/>
      <c r="L673" s="559"/>
      <c r="M673" s="559"/>
      <c r="N673" s="559"/>
      <c r="O673" s="559"/>
      <c r="P673" s="559"/>
      <c r="Q673" s="559"/>
      <c r="R673" s="559"/>
      <c r="S673" s="559"/>
      <c r="T673" s="559"/>
      <c r="U673" s="559"/>
      <c r="V673" s="559"/>
      <c r="W673" s="559"/>
      <c r="X673" s="559"/>
      <c r="Y673" s="559"/>
      <c r="Z673" s="559"/>
      <c r="AA673" s="559"/>
      <c r="AB673" s="559"/>
      <c r="AC673" s="559"/>
      <c r="AD673" s="559"/>
      <c r="AE673" s="559"/>
      <c r="AF673" s="559"/>
      <c r="AG673" s="559"/>
    </row>
    <row r="674" spans="1:33" ht="18" customHeight="1" x14ac:dyDescent="0.35">
      <c r="A674" s="559"/>
      <c r="B674" s="559"/>
      <c r="C674" s="559"/>
      <c r="D674" s="559"/>
      <c r="E674" s="559"/>
      <c r="F674" s="559"/>
      <c r="G674" s="559"/>
      <c r="H674" s="559"/>
      <c r="I674" s="559"/>
      <c r="J674" s="559"/>
      <c r="K674" s="559"/>
      <c r="L674" s="559"/>
      <c r="M674" s="559"/>
      <c r="N674" s="559"/>
      <c r="O674" s="559"/>
      <c r="P674" s="559"/>
      <c r="Q674" s="559"/>
      <c r="R674" s="559"/>
      <c r="S674" s="559"/>
      <c r="T674" s="559"/>
      <c r="U674" s="559"/>
      <c r="V674" s="559"/>
      <c r="W674" s="559"/>
      <c r="X674" s="559"/>
      <c r="Y674" s="559"/>
      <c r="Z674" s="559"/>
      <c r="AA674" s="559"/>
      <c r="AB674" s="559"/>
      <c r="AC674" s="559"/>
      <c r="AD674" s="559"/>
      <c r="AE674" s="559"/>
      <c r="AF674" s="559"/>
      <c r="AG674" s="559"/>
    </row>
    <row r="675" spans="1:33" ht="18" customHeight="1" x14ac:dyDescent="0.35">
      <c r="A675" s="559"/>
      <c r="B675" s="559"/>
      <c r="C675" s="559"/>
      <c r="D675" s="559"/>
      <c r="E675" s="559"/>
      <c r="F675" s="559"/>
      <c r="G675" s="559"/>
      <c r="H675" s="559"/>
      <c r="I675" s="559"/>
      <c r="J675" s="559"/>
      <c r="K675" s="559"/>
      <c r="L675" s="559"/>
      <c r="M675" s="559"/>
      <c r="N675" s="559"/>
      <c r="O675" s="559"/>
      <c r="P675" s="559"/>
      <c r="Q675" s="559"/>
      <c r="R675" s="559"/>
      <c r="S675" s="559"/>
      <c r="T675" s="559"/>
      <c r="U675" s="559"/>
      <c r="V675" s="559"/>
      <c r="W675" s="559"/>
      <c r="X675" s="559"/>
      <c r="Y675" s="559"/>
      <c r="Z675" s="559"/>
      <c r="AA675" s="559"/>
      <c r="AB675" s="559"/>
      <c r="AC675" s="559"/>
      <c r="AD675" s="559"/>
      <c r="AE675" s="559"/>
      <c r="AF675" s="559"/>
      <c r="AG675" s="559"/>
    </row>
    <row r="676" spans="1:33" ht="18" customHeight="1" x14ac:dyDescent="0.35">
      <c r="A676" s="559"/>
      <c r="B676" s="559"/>
      <c r="C676" s="559"/>
      <c r="D676" s="559"/>
      <c r="E676" s="559"/>
      <c r="F676" s="559"/>
      <c r="G676" s="559"/>
      <c r="H676" s="559"/>
      <c r="I676" s="559"/>
      <c r="J676" s="559"/>
      <c r="K676" s="559"/>
      <c r="L676" s="559"/>
      <c r="M676" s="559"/>
      <c r="N676" s="559"/>
      <c r="O676" s="559"/>
      <c r="P676" s="559"/>
      <c r="Q676" s="559"/>
      <c r="R676" s="559"/>
      <c r="S676" s="559"/>
      <c r="T676" s="559"/>
      <c r="U676" s="559"/>
      <c r="V676" s="559"/>
      <c r="W676" s="559"/>
      <c r="X676" s="559"/>
      <c r="Y676" s="559"/>
      <c r="Z676" s="559"/>
      <c r="AA676" s="559"/>
      <c r="AB676" s="559"/>
      <c r="AC676" s="559"/>
      <c r="AD676" s="559"/>
      <c r="AE676" s="559"/>
      <c r="AF676" s="559"/>
      <c r="AG676" s="559"/>
    </row>
    <row r="677" spans="1:33" ht="18" customHeight="1" x14ac:dyDescent="0.35">
      <c r="A677" s="559"/>
      <c r="B677" s="559"/>
      <c r="C677" s="559"/>
      <c r="D677" s="559"/>
      <c r="E677" s="559"/>
      <c r="F677" s="559"/>
      <c r="G677" s="559"/>
      <c r="H677" s="559"/>
      <c r="I677" s="559"/>
      <c r="J677" s="559"/>
      <c r="K677" s="559"/>
      <c r="L677" s="559"/>
      <c r="M677" s="559"/>
      <c r="N677" s="559"/>
      <c r="O677" s="559"/>
      <c r="P677" s="559"/>
      <c r="Q677" s="559"/>
      <c r="R677" s="559"/>
      <c r="S677" s="559"/>
      <c r="T677" s="559"/>
      <c r="U677" s="559"/>
      <c r="V677" s="559"/>
      <c r="W677" s="559"/>
      <c r="X677" s="559"/>
      <c r="Y677" s="559"/>
      <c r="Z677" s="559"/>
      <c r="AA677" s="559"/>
      <c r="AB677" s="559"/>
      <c r="AC677" s="559"/>
      <c r="AD677" s="559"/>
      <c r="AE677" s="559"/>
      <c r="AF677" s="559"/>
      <c r="AG677" s="559"/>
    </row>
    <row r="678" spans="1:33" ht="18" customHeight="1" x14ac:dyDescent="0.35">
      <c r="A678" s="559"/>
      <c r="B678" s="559"/>
      <c r="C678" s="559"/>
      <c r="D678" s="559"/>
      <c r="E678" s="559"/>
      <c r="F678" s="559"/>
      <c r="G678" s="559"/>
      <c r="H678" s="559"/>
      <c r="I678" s="559"/>
      <c r="J678" s="559"/>
      <c r="K678" s="559"/>
      <c r="L678" s="559"/>
      <c r="M678" s="559"/>
      <c r="N678" s="559"/>
      <c r="O678" s="559"/>
      <c r="P678" s="559"/>
      <c r="Q678" s="559"/>
      <c r="R678" s="559"/>
      <c r="S678" s="559"/>
      <c r="T678" s="559"/>
      <c r="U678" s="559"/>
      <c r="V678" s="559"/>
      <c r="W678" s="559"/>
      <c r="X678" s="559"/>
      <c r="Y678" s="559"/>
      <c r="Z678" s="559"/>
      <c r="AA678" s="559"/>
      <c r="AB678" s="559"/>
      <c r="AC678" s="559"/>
      <c r="AD678" s="559"/>
      <c r="AE678" s="559"/>
      <c r="AF678" s="559"/>
      <c r="AG678" s="559"/>
    </row>
    <row r="679" spans="1:33" ht="18" customHeight="1" x14ac:dyDescent="0.35">
      <c r="A679" s="559"/>
      <c r="B679" s="559"/>
      <c r="C679" s="559"/>
      <c r="D679" s="559"/>
      <c r="E679" s="559"/>
      <c r="F679" s="559"/>
      <c r="G679" s="559"/>
      <c r="H679" s="559"/>
      <c r="I679" s="559"/>
      <c r="J679" s="559"/>
      <c r="K679" s="559"/>
      <c r="L679" s="559"/>
      <c r="M679" s="559"/>
      <c r="N679" s="559"/>
      <c r="O679" s="559"/>
      <c r="P679" s="559"/>
      <c r="Q679" s="559"/>
      <c r="R679" s="559"/>
      <c r="S679" s="559"/>
      <c r="T679" s="559"/>
      <c r="U679" s="559"/>
      <c r="V679" s="559"/>
      <c r="W679" s="559"/>
      <c r="X679" s="559"/>
      <c r="Y679" s="559"/>
      <c r="Z679" s="559"/>
      <c r="AA679" s="559"/>
      <c r="AB679" s="559"/>
      <c r="AC679" s="559"/>
      <c r="AD679" s="559"/>
      <c r="AE679" s="559"/>
      <c r="AF679" s="559"/>
      <c r="AG679" s="559"/>
    </row>
    <row r="680" spans="1:33" ht="18" customHeight="1" x14ac:dyDescent="0.35">
      <c r="A680" s="559"/>
      <c r="B680" s="559"/>
      <c r="C680" s="559"/>
      <c r="D680" s="559"/>
      <c r="E680" s="559"/>
      <c r="F680" s="559"/>
      <c r="G680" s="559"/>
      <c r="H680" s="559"/>
      <c r="I680" s="559"/>
      <c r="J680" s="559"/>
      <c r="K680" s="559"/>
      <c r="L680" s="559"/>
      <c r="M680" s="559"/>
      <c r="N680" s="559"/>
      <c r="O680" s="559"/>
      <c r="P680" s="559"/>
      <c r="Q680" s="559"/>
      <c r="R680" s="559"/>
      <c r="S680" s="559"/>
      <c r="T680" s="559"/>
      <c r="U680" s="559"/>
      <c r="V680" s="559"/>
      <c r="W680" s="559"/>
      <c r="X680" s="559"/>
      <c r="Y680" s="559"/>
      <c r="Z680" s="559"/>
      <c r="AA680" s="559"/>
      <c r="AB680" s="559"/>
      <c r="AC680" s="559"/>
      <c r="AD680" s="559"/>
      <c r="AE680" s="559"/>
      <c r="AF680" s="559"/>
      <c r="AG680" s="559"/>
    </row>
    <row r="681" spans="1:33" ht="18" customHeight="1" x14ac:dyDescent="0.35">
      <c r="A681" s="559"/>
      <c r="B681" s="559"/>
      <c r="C681" s="559"/>
      <c r="D681" s="559"/>
      <c r="E681" s="559"/>
      <c r="F681" s="559"/>
      <c r="G681" s="559"/>
      <c r="H681" s="559"/>
      <c r="I681" s="559"/>
      <c r="J681" s="559"/>
      <c r="K681" s="559"/>
      <c r="L681" s="559"/>
      <c r="M681" s="559"/>
      <c r="N681" s="559"/>
      <c r="O681" s="559"/>
      <c r="P681" s="559"/>
      <c r="Q681" s="559"/>
      <c r="R681" s="559"/>
      <c r="S681" s="559"/>
      <c r="T681" s="559"/>
      <c r="U681" s="559"/>
      <c r="V681" s="559"/>
      <c r="W681" s="559"/>
      <c r="X681" s="559"/>
      <c r="Y681" s="559"/>
      <c r="Z681" s="559"/>
      <c r="AA681" s="559"/>
      <c r="AB681" s="559"/>
      <c r="AC681" s="559"/>
      <c r="AD681" s="559"/>
      <c r="AE681" s="559"/>
      <c r="AF681" s="559"/>
      <c r="AG681" s="559"/>
    </row>
    <row r="682" spans="1:33" ht="18" customHeight="1" x14ac:dyDescent="0.35">
      <c r="A682" s="559"/>
      <c r="B682" s="559"/>
      <c r="C682" s="559"/>
      <c r="D682" s="559"/>
      <c r="E682" s="559"/>
      <c r="F682" s="559"/>
      <c r="G682" s="559"/>
      <c r="H682" s="559"/>
      <c r="I682" s="559"/>
      <c r="J682" s="559"/>
      <c r="K682" s="559"/>
      <c r="L682" s="559"/>
      <c r="M682" s="559"/>
      <c r="N682" s="559"/>
      <c r="O682" s="559"/>
      <c r="P682" s="559"/>
      <c r="Q682" s="559"/>
      <c r="R682" s="559"/>
      <c r="S682" s="559"/>
      <c r="T682" s="559"/>
      <c r="U682" s="559"/>
      <c r="V682" s="559"/>
      <c r="W682" s="559"/>
      <c r="X682" s="559"/>
      <c r="Y682" s="559"/>
      <c r="Z682" s="559"/>
      <c r="AA682" s="559"/>
      <c r="AB682" s="559"/>
      <c r="AC682" s="559"/>
      <c r="AD682" s="559"/>
      <c r="AE682" s="559"/>
      <c r="AF682" s="559"/>
      <c r="AG682" s="559"/>
    </row>
    <row r="683" spans="1:33" ht="18" customHeight="1" x14ac:dyDescent="0.35">
      <c r="A683" s="559"/>
      <c r="B683" s="559"/>
      <c r="C683" s="559"/>
      <c r="D683" s="559"/>
      <c r="E683" s="559"/>
      <c r="F683" s="559"/>
      <c r="G683" s="559"/>
      <c r="H683" s="559"/>
      <c r="I683" s="559"/>
      <c r="J683" s="559"/>
      <c r="K683" s="559"/>
      <c r="L683" s="559"/>
      <c r="M683" s="559"/>
      <c r="N683" s="559"/>
      <c r="O683" s="559"/>
      <c r="P683" s="559"/>
      <c r="Q683" s="559"/>
      <c r="R683" s="559"/>
      <c r="S683" s="559"/>
      <c r="T683" s="559"/>
      <c r="U683" s="559"/>
      <c r="V683" s="559"/>
      <c r="W683" s="559"/>
      <c r="X683" s="559"/>
      <c r="Y683" s="559"/>
      <c r="Z683" s="559"/>
      <c r="AA683" s="559"/>
      <c r="AB683" s="559"/>
      <c r="AC683" s="559"/>
      <c r="AD683" s="559"/>
      <c r="AE683" s="559"/>
      <c r="AF683" s="559"/>
      <c r="AG683" s="559"/>
    </row>
    <row r="684" spans="1:33" ht="18" customHeight="1" x14ac:dyDescent="0.35">
      <c r="A684" s="559"/>
      <c r="B684" s="559"/>
      <c r="C684" s="559"/>
      <c r="D684" s="559"/>
      <c r="E684" s="559"/>
      <c r="F684" s="559"/>
      <c r="G684" s="559"/>
      <c r="H684" s="559"/>
      <c r="I684" s="559"/>
      <c r="J684" s="559"/>
      <c r="K684" s="559"/>
      <c r="L684" s="559"/>
      <c r="M684" s="559"/>
      <c r="N684" s="559"/>
      <c r="O684" s="559"/>
      <c r="P684" s="559"/>
      <c r="Q684" s="559"/>
      <c r="R684" s="559"/>
      <c r="S684" s="559"/>
      <c r="T684" s="559"/>
      <c r="U684" s="559"/>
      <c r="V684" s="559"/>
      <c r="W684" s="559"/>
      <c r="X684" s="559"/>
      <c r="Y684" s="559"/>
      <c r="Z684" s="559"/>
      <c r="AA684" s="559"/>
      <c r="AB684" s="559"/>
      <c r="AC684" s="559"/>
      <c r="AD684" s="559"/>
      <c r="AE684" s="559"/>
      <c r="AF684" s="559"/>
      <c r="AG684" s="559"/>
    </row>
    <row r="685" spans="1:33" ht="18" customHeight="1" x14ac:dyDescent="0.35">
      <c r="A685" s="559"/>
      <c r="B685" s="559"/>
      <c r="C685" s="559"/>
      <c r="D685" s="559"/>
      <c r="E685" s="559"/>
      <c r="F685" s="559"/>
      <c r="G685" s="559"/>
      <c r="H685" s="559"/>
      <c r="I685" s="559"/>
      <c r="J685" s="559"/>
      <c r="K685" s="559"/>
      <c r="L685" s="559"/>
      <c r="M685" s="559"/>
      <c r="N685" s="559"/>
      <c r="O685" s="559"/>
      <c r="P685" s="559"/>
      <c r="Q685" s="559"/>
      <c r="R685" s="559"/>
      <c r="S685" s="559"/>
      <c r="T685" s="559"/>
      <c r="U685" s="559"/>
      <c r="V685" s="559"/>
      <c r="W685" s="559"/>
      <c r="X685" s="559"/>
      <c r="Y685" s="559"/>
      <c r="Z685" s="559"/>
      <c r="AA685" s="559"/>
      <c r="AB685" s="559"/>
      <c r="AC685" s="559"/>
      <c r="AD685" s="559"/>
      <c r="AE685" s="559"/>
      <c r="AF685" s="559"/>
      <c r="AG685" s="559"/>
    </row>
    <row r="686" spans="1:33" ht="18" customHeight="1" x14ac:dyDescent="0.35">
      <c r="A686" s="559"/>
      <c r="B686" s="559"/>
      <c r="C686" s="559"/>
      <c r="D686" s="559"/>
      <c r="E686" s="559"/>
      <c r="F686" s="559"/>
      <c r="G686" s="559"/>
      <c r="H686" s="559"/>
      <c r="I686" s="559"/>
      <c r="J686" s="559"/>
      <c r="K686" s="559"/>
      <c r="L686" s="559"/>
      <c r="M686" s="559"/>
      <c r="N686" s="559"/>
      <c r="O686" s="559"/>
      <c r="P686" s="559"/>
      <c r="Q686" s="559"/>
      <c r="R686" s="559"/>
      <c r="S686" s="559"/>
      <c r="T686" s="559"/>
      <c r="U686" s="559"/>
      <c r="V686" s="559"/>
      <c r="W686" s="559"/>
      <c r="X686" s="559"/>
      <c r="Y686" s="559"/>
      <c r="Z686" s="559"/>
      <c r="AA686" s="559"/>
      <c r="AB686" s="559"/>
      <c r="AC686" s="559"/>
      <c r="AD686" s="559"/>
      <c r="AE686" s="559"/>
      <c r="AF686" s="559"/>
      <c r="AG686" s="559"/>
    </row>
    <row r="687" spans="1:33" ht="18" customHeight="1" x14ac:dyDescent="0.35">
      <c r="A687" s="559"/>
      <c r="B687" s="559"/>
      <c r="C687" s="559"/>
      <c r="D687" s="559"/>
      <c r="E687" s="559"/>
      <c r="F687" s="559"/>
      <c r="G687" s="559"/>
      <c r="H687" s="559"/>
      <c r="I687" s="559"/>
      <c r="J687" s="559"/>
      <c r="K687" s="559"/>
      <c r="L687" s="559"/>
      <c r="M687" s="559"/>
      <c r="N687" s="559"/>
      <c r="O687" s="559"/>
      <c r="P687" s="559"/>
      <c r="Q687" s="559"/>
      <c r="R687" s="559"/>
      <c r="S687" s="559"/>
      <c r="T687" s="559"/>
      <c r="U687" s="559"/>
      <c r="V687" s="559"/>
      <c r="W687" s="559"/>
      <c r="X687" s="559"/>
      <c r="Y687" s="559"/>
      <c r="Z687" s="559"/>
      <c r="AA687" s="559"/>
      <c r="AB687" s="559"/>
      <c r="AC687" s="559"/>
      <c r="AD687" s="559"/>
      <c r="AE687" s="559"/>
      <c r="AF687" s="559"/>
      <c r="AG687" s="559"/>
    </row>
    <row r="688" spans="1:33" ht="18" customHeight="1" x14ac:dyDescent="0.35">
      <c r="A688" s="559"/>
      <c r="B688" s="559"/>
      <c r="C688" s="559"/>
      <c r="D688" s="559"/>
      <c r="E688" s="559"/>
      <c r="F688" s="559"/>
      <c r="G688" s="559"/>
      <c r="H688" s="559"/>
      <c r="I688" s="559"/>
      <c r="J688" s="559"/>
      <c r="K688" s="559"/>
      <c r="L688" s="559"/>
      <c r="M688" s="559"/>
      <c r="N688" s="559"/>
      <c r="O688" s="559"/>
      <c r="P688" s="559"/>
      <c r="Q688" s="559"/>
      <c r="R688" s="559"/>
      <c r="S688" s="559"/>
      <c r="T688" s="559"/>
      <c r="U688" s="559"/>
      <c r="V688" s="559"/>
      <c r="W688" s="559"/>
      <c r="X688" s="559"/>
      <c r="Y688" s="559"/>
      <c r="Z688" s="559"/>
      <c r="AA688" s="559"/>
      <c r="AB688" s="559"/>
      <c r="AC688" s="559"/>
      <c r="AD688" s="559"/>
      <c r="AE688" s="559"/>
      <c r="AF688" s="559"/>
      <c r="AG688" s="559"/>
    </row>
    <row r="689" spans="1:33" ht="18" customHeight="1" x14ac:dyDescent="0.35">
      <c r="A689" s="559"/>
      <c r="B689" s="559"/>
      <c r="C689" s="559"/>
      <c r="D689" s="559"/>
      <c r="E689" s="559"/>
      <c r="F689" s="559"/>
      <c r="G689" s="559"/>
      <c r="H689" s="559"/>
      <c r="I689" s="559"/>
      <c r="J689" s="559"/>
      <c r="K689" s="559"/>
      <c r="L689" s="559"/>
      <c r="M689" s="559"/>
      <c r="N689" s="559"/>
      <c r="O689" s="559"/>
      <c r="P689" s="559"/>
      <c r="Q689" s="559"/>
      <c r="R689" s="559"/>
      <c r="S689" s="559"/>
      <c r="T689" s="559"/>
      <c r="U689" s="559"/>
      <c r="V689" s="559"/>
      <c r="W689" s="559"/>
      <c r="X689" s="559"/>
      <c r="Y689" s="559"/>
      <c r="Z689" s="559"/>
      <c r="AA689" s="559"/>
      <c r="AB689" s="559"/>
      <c r="AC689" s="559"/>
      <c r="AD689" s="559"/>
      <c r="AE689" s="559"/>
      <c r="AF689" s="559"/>
      <c r="AG689" s="559"/>
    </row>
    <row r="690" spans="1:33" ht="18" customHeight="1" x14ac:dyDescent="0.35">
      <c r="A690" s="559"/>
      <c r="B690" s="559"/>
      <c r="C690" s="559"/>
      <c r="D690" s="559"/>
      <c r="E690" s="559"/>
      <c r="F690" s="559"/>
      <c r="G690" s="559"/>
      <c r="H690" s="559"/>
      <c r="I690" s="559"/>
      <c r="J690" s="559"/>
      <c r="K690" s="559"/>
      <c r="L690" s="559"/>
      <c r="M690" s="559"/>
      <c r="N690" s="559"/>
      <c r="O690" s="559"/>
      <c r="P690" s="559"/>
      <c r="Q690" s="559"/>
      <c r="R690" s="559"/>
      <c r="S690" s="559"/>
      <c r="T690" s="559"/>
      <c r="U690" s="559"/>
      <c r="V690" s="559"/>
      <c r="W690" s="559"/>
      <c r="X690" s="559"/>
      <c r="Y690" s="559"/>
      <c r="Z690" s="559"/>
      <c r="AA690" s="559"/>
      <c r="AB690" s="559"/>
      <c r="AC690" s="559"/>
      <c r="AD690" s="559"/>
      <c r="AE690" s="559"/>
      <c r="AF690" s="559"/>
      <c r="AG690" s="559"/>
    </row>
    <row r="691" spans="1:33" ht="18" customHeight="1" x14ac:dyDescent="0.35">
      <c r="A691" s="559"/>
      <c r="B691" s="559"/>
      <c r="C691" s="559"/>
      <c r="D691" s="559"/>
      <c r="E691" s="559"/>
      <c r="F691" s="559"/>
      <c r="G691" s="559"/>
      <c r="H691" s="559"/>
      <c r="I691" s="559"/>
      <c r="J691" s="559"/>
      <c r="K691" s="559"/>
      <c r="L691" s="559"/>
      <c r="M691" s="559"/>
      <c r="N691" s="559"/>
      <c r="O691" s="559"/>
      <c r="P691" s="559"/>
      <c r="Q691" s="559"/>
      <c r="R691" s="559"/>
      <c r="S691" s="559"/>
      <c r="T691" s="559"/>
      <c r="U691" s="559"/>
      <c r="V691" s="559"/>
      <c r="W691" s="559"/>
      <c r="X691" s="559"/>
      <c r="Y691" s="559"/>
      <c r="Z691" s="559"/>
      <c r="AA691" s="559"/>
      <c r="AB691" s="559"/>
      <c r="AC691" s="559"/>
      <c r="AD691" s="559"/>
      <c r="AE691" s="559"/>
      <c r="AF691" s="559"/>
      <c r="AG691" s="559"/>
    </row>
    <row r="692" spans="1:33" ht="18" customHeight="1" x14ac:dyDescent="0.35">
      <c r="A692" s="559"/>
      <c r="B692" s="559"/>
      <c r="C692" s="559"/>
      <c r="D692" s="559"/>
      <c r="E692" s="559"/>
      <c r="F692" s="559"/>
      <c r="G692" s="559"/>
      <c r="H692" s="559"/>
      <c r="I692" s="559"/>
      <c r="J692" s="559"/>
      <c r="K692" s="559"/>
      <c r="L692" s="559"/>
      <c r="M692" s="559"/>
      <c r="N692" s="559"/>
      <c r="O692" s="559"/>
      <c r="P692" s="559"/>
      <c r="Q692" s="559"/>
      <c r="R692" s="559"/>
      <c r="S692" s="559"/>
      <c r="T692" s="559"/>
      <c r="U692" s="559"/>
      <c r="V692" s="559"/>
      <c r="W692" s="559"/>
      <c r="X692" s="559"/>
      <c r="Y692" s="559"/>
      <c r="Z692" s="559"/>
      <c r="AA692" s="559"/>
      <c r="AB692" s="559"/>
      <c r="AC692" s="559"/>
      <c r="AD692" s="559"/>
      <c r="AE692" s="559"/>
      <c r="AF692" s="559"/>
      <c r="AG692" s="559"/>
    </row>
    <row r="693" spans="1:33" ht="18" customHeight="1" x14ac:dyDescent="0.35">
      <c r="A693" s="559"/>
      <c r="B693" s="559"/>
      <c r="C693" s="559"/>
      <c r="D693" s="559"/>
      <c r="E693" s="559"/>
      <c r="F693" s="559"/>
      <c r="G693" s="559"/>
      <c r="H693" s="559"/>
      <c r="I693" s="559"/>
      <c r="J693" s="559"/>
      <c r="K693" s="559"/>
      <c r="L693" s="559"/>
      <c r="M693" s="559"/>
      <c r="N693" s="559"/>
      <c r="O693" s="559"/>
      <c r="P693" s="559"/>
      <c r="Q693" s="559"/>
      <c r="R693" s="559"/>
      <c r="S693" s="559"/>
      <c r="T693" s="559"/>
      <c r="U693" s="559"/>
      <c r="V693" s="559"/>
      <c r="W693" s="559"/>
      <c r="X693" s="559"/>
      <c r="Y693" s="559"/>
      <c r="Z693" s="559"/>
      <c r="AA693" s="559"/>
      <c r="AB693" s="559"/>
      <c r="AC693" s="559"/>
      <c r="AD693" s="559"/>
      <c r="AE693" s="559"/>
      <c r="AF693" s="559"/>
      <c r="AG693" s="559"/>
    </row>
    <row r="694" spans="1:33" ht="18" customHeight="1" x14ac:dyDescent="0.35">
      <c r="A694" s="559"/>
      <c r="B694" s="559"/>
      <c r="C694" s="559"/>
      <c r="D694" s="559"/>
      <c r="E694" s="559"/>
      <c r="F694" s="559"/>
      <c r="G694" s="559"/>
      <c r="H694" s="559"/>
      <c r="I694" s="559"/>
      <c r="J694" s="559"/>
      <c r="K694" s="559"/>
      <c r="L694" s="559"/>
      <c r="M694" s="559"/>
      <c r="N694" s="559"/>
      <c r="O694" s="559"/>
      <c r="P694" s="559"/>
      <c r="Q694" s="559"/>
      <c r="R694" s="559"/>
      <c r="S694" s="559"/>
      <c r="T694" s="559"/>
      <c r="U694" s="559"/>
      <c r="V694" s="559"/>
      <c r="W694" s="559"/>
      <c r="X694" s="559"/>
      <c r="Y694" s="559"/>
      <c r="Z694" s="559"/>
      <c r="AA694" s="559"/>
      <c r="AB694" s="559"/>
      <c r="AC694" s="559"/>
      <c r="AD694" s="559"/>
      <c r="AE694" s="559"/>
      <c r="AF694" s="559"/>
      <c r="AG694" s="559"/>
    </row>
    <row r="695" spans="1:33" ht="18" customHeight="1" x14ac:dyDescent="0.35">
      <c r="A695" s="559"/>
      <c r="B695" s="559"/>
      <c r="C695" s="559"/>
      <c r="D695" s="559"/>
      <c r="E695" s="559"/>
      <c r="F695" s="559"/>
      <c r="G695" s="559"/>
      <c r="H695" s="559"/>
      <c r="I695" s="559"/>
      <c r="J695" s="559"/>
      <c r="K695" s="559"/>
      <c r="L695" s="559"/>
      <c r="M695" s="559"/>
      <c r="N695" s="559"/>
      <c r="O695" s="559"/>
      <c r="P695" s="559"/>
      <c r="Q695" s="559"/>
      <c r="R695" s="559"/>
      <c r="S695" s="559"/>
      <c r="T695" s="559"/>
      <c r="U695" s="559"/>
      <c r="V695" s="559"/>
      <c r="W695" s="559"/>
      <c r="X695" s="559"/>
      <c r="Y695" s="559"/>
      <c r="Z695" s="559"/>
      <c r="AA695" s="559"/>
      <c r="AB695" s="559"/>
      <c r="AC695" s="559"/>
      <c r="AD695" s="559"/>
      <c r="AE695" s="559"/>
      <c r="AF695" s="559"/>
      <c r="AG695" s="559"/>
    </row>
    <row r="696" spans="1:33" ht="18" customHeight="1" x14ac:dyDescent="0.35">
      <c r="A696" s="559"/>
      <c r="B696" s="559"/>
      <c r="C696" s="559"/>
      <c r="D696" s="559"/>
      <c r="E696" s="559"/>
      <c r="F696" s="559"/>
      <c r="G696" s="559"/>
      <c r="H696" s="559"/>
      <c r="I696" s="559"/>
      <c r="J696" s="559"/>
      <c r="K696" s="559"/>
      <c r="L696" s="559"/>
      <c r="M696" s="559"/>
      <c r="N696" s="559"/>
      <c r="O696" s="559"/>
      <c r="P696" s="559"/>
      <c r="Q696" s="559"/>
      <c r="R696" s="559"/>
      <c r="S696" s="559"/>
      <c r="T696" s="559"/>
      <c r="U696" s="559"/>
      <c r="V696" s="559"/>
      <c r="W696" s="559"/>
      <c r="X696" s="559"/>
      <c r="Y696" s="559"/>
      <c r="Z696" s="559"/>
      <c r="AA696" s="559"/>
      <c r="AB696" s="559"/>
      <c r="AC696" s="559"/>
      <c r="AD696" s="559"/>
      <c r="AE696" s="559"/>
      <c r="AF696" s="559"/>
      <c r="AG696" s="559"/>
    </row>
    <row r="697" spans="1:33" ht="18" customHeight="1" x14ac:dyDescent="0.35">
      <c r="A697" s="559"/>
      <c r="B697" s="559"/>
      <c r="C697" s="559"/>
      <c r="D697" s="559"/>
      <c r="E697" s="559"/>
      <c r="F697" s="559"/>
      <c r="G697" s="559"/>
      <c r="H697" s="559"/>
      <c r="I697" s="559"/>
      <c r="J697" s="559"/>
      <c r="K697" s="559"/>
      <c r="L697" s="559"/>
      <c r="M697" s="559"/>
      <c r="N697" s="559"/>
      <c r="O697" s="559"/>
      <c r="P697" s="559"/>
      <c r="Q697" s="559"/>
      <c r="R697" s="559"/>
      <c r="S697" s="559"/>
      <c r="T697" s="559"/>
      <c r="U697" s="559"/>
      <c r="V697" s="559"/>
      <c r="W697" s="559"/>
      <c r="X697" s="559"/>
      <c r="Y697" s="559"/>
      <c r="Z697" s="559"/>
      <c r="AA697" s="559"/>
      <c r="AB697" s="559"/>
      <c r="AC697" s="559"/>
      <c r="AD697" s="559"/>
      <c r="AE697" s="559"/>
      <c r="AF697" s="559"/>
      <c r="AG697" s="559"/>
    </row>
    <row r="698" spans="1:33" ht="18" customHeight="1" x14ac:dyDescent="0.35">
      <c r="A698" s="559"/>
      <c r="B698" s="559"/>
      <c r="C698" s="559"/>
      <c r="D698" s="559"/>
      <c r="E698" s="559"/>
      <c r="F698" s="559"/>
      <c r="G698" s="559"/>
      <c r="H698" s="559"/>
      <c r="I698" s="559"/>
      <c r="J698" s="559"/>
      <c r="K698" s="559"/>
      <c r="L698" s="559"/>
      <c r="M698" s="559"/>
      <c r="N698" s="559"/>
      <c r="O698" s="559"/>
      <c r="P698" s="559"/>
      <c r="Q698" s="559"/>
      <c r="R698" s="559"/>
      <c r="S698" s="559"/>
      <c r="T698" s="559"/>
      <c r="U698" s="559"/>
      <c r="V698" s="559"/>
      <c r="W698" s="559"/>
      <c r="X698" s="559"/>
      <c r="Y698" s="559"/>
      <c r="Z698" s="559"/>
      <c r="AA698" s="559"/>
      <c r="AB698" s="559"/>
      <c r="AC698" s="559"/>
      <c r="AD698" s="559"/>
      <c r="AE698" s="559"/>
      <c r="AF698" s="559"/>
      <c r="AG698" s="559"/>
    </row>
    <row r="699" spans="1:33" ht="18" customHeight="1" x14ac:dyDescent="0.35">
      <c r="A699" s="559"/>
      <c r="B699" s="559"/>
      <c r="C699" s="559"/>
      <c r="D699" s="559"/>
      <c r="E699" s="559"/>
      <c r="F699" s="559"/>
      <c r="G699" s="559"/>
      <c r="H699" s="559"/>
      <c r="I699" s="559"/>
      <c r="J699" s="559"/>
      <c r="K699" s="559"/>
      <c r="L699" s="559"/>
      <c r="M699" s="559"/>
      <c r="N699" s="559"/>
      <c r="O699" s="559"/>
      <c r="P699" s="559"/>
      <c r="Q699" s="559"/>
      <c r="R699" s="559"/>
      <c r="S699" s="559"/>
      <c r="T699" s="559"/>
      <c r="U699" s="559"/>
      <c r="V699" s="559"/>
      <c r="W699" s="559"/>
      <c r="X699" s="559"/>
      <c r="Y699" s="559"/>
      <c r="Z699" s="559"/>
      <c r="AA699" s="559"/>
      <c r="AB699" s="559"/>
      <c r="AC699" s="559"/>
      <c r="AD699" s="559"/>
      <c r="AE699" s="559"/>
      <c r="AF699" s="559"/>
      <c r="AG699" s="559"/>
    </row>
    <row r="700" spans="1:33" ht="18" customHeight="1" x14ac:dyDescent="0.35">
      <c r="A700" s="559"/>
      <c r="B700" s="559"/>
      <c r="C700" s="559"/>
      <c r="D700" s="559"/>
      <c r="E700" s="559"/>
      <c r="F700" s="559"/>
      <c r="G700" s="559"/>
      <c r="H700" s="559"/>
      <c r="I700" s="559"/>
      <c r="J700" s="559"/>
      <c r="K700" s="559"/>
      <c r="L700" s="559"/>
      <c r="M700" s="559"/>
      <c r="N700" s="559"/>
      <c r="O700" s="559"/>
      <c r="P700" s="559"/>
      <c r="Q700" s="559"/>
      <c r="R700" s="559"/>
      <c r="S700" s="559"/>
      <c r="T700" s="559"/>
      <c r="U700" s="559"/>
      <c r="V700" s="559"/>
      <c r="W700" s="559"/>
      <c r="X700" s="559"/>
      <c r="Y700" s="559"/>
      <c r="Z700" s="559"/>
      <c r="AA700" s="559"/>
      <c r="AB700" s="559"/>
      <c r="AC700" s="559"/>
      <c r="AD700" s="559"/>
      <c r="AE700" s="559"/>
      <c r="AF700" s="559"/>
      <c r="AG700" s="559"/>
    </row>
    <row r="701" spans="1:33" ht="18" customHeight="1" x14ac:dyDescent="0.35">
      <c r="A701" s="559"/>
      <c r="B701" s="559"/>
      <c r="C701" s="559"/>
      <c r="D701" s="559"/>
      <c r="E701" s="559"/>
      <c r="F701" s="559"/>
      <c r="G701" s="559"/>
      <c r="H701" s="559"/>
      <c r="I701" s="559"/>
      <c r="J701" s="559"/>
      <c r="K701" s="559"/>
      <c r="L701" s="559"/>
      <c r="M701" s="559"/>
      <c r="N701" s="559"/>
      <c r="O701" s="559"/>
      <c r="P701" s="559"/>
      <c r="Q701" s="559"/>
      <c r="R701" s="559"/>
      <c r="S701" s="559"/>
      <c r="T701" s="559"/>
      <c r="U701" s="559"/>
      <c r="V701" s="559"/>
      <c r="W701" s="559"/>
      <c r="X701" s="559"/>
      <c r="Y701" s="559"/>
      <c r="Z701" s="559"/>
      <c r="AA701" s="559"/>
      <c r="AB701" s="559"/>
      <c r="AC701" s="559"/>
      <c r="AD701" s="559"/>
      <c r="AE701" s="559"/>
      <c r="AF701" s="559"/>
      <c r="AG701" s="559"/>
    </row>
    <row r="702" spans="1:33" ht="18" customHeight="1" x14ac:dyDescent="0.35">
      <c r="A702" s="559"/>
      <c r="B702" s="559"/>
      <c r="C702" s="559"/>
      <c r="D702" s="559"/>
      <c r="E702" s="559"/>
      <c r="F702" s="559"/>
      <c r="G702" s="559"/>
      <c r="H702" s="559"/>
      <c r="I702" s="559"/>
      <c r="J702" s="559"/>
      <c r="K702" s="559"/>
      <c r="L702" s="559"/>
      <c r="M702" s="559"/>
      <c r="N702" s="559"/>
      <c r="O702" s="559"/>
      <c r="P702" s="559"/>
      <c r="Q702" s="559"/>
      <c r="R702" s="559"/>
      <c r="S702" s="559"/>
      <c r="T702" s="559"/>
      <c r="U702" s="559"/>
      <c r="V702" s="559"/>
      <c r="W702" s="559"/>
      <c r="X702" s="559"/>
      <c r="Y702" s="559"/>
      <c r="Z702" s="559"/>
      <c r="AA702" s="559"/>
      <c r="AB702" s="559"/>
      <c r="AC702" s="559"/>
      <c r="AD702" s="559"/>
      <c r="AE702" s="559"/>
      <c r="AF702" s="559"/>
      <c r="AG702" s="559"/>
    </row>
    <row r="703" spans="1:33" ht="18" customHeight="1" x14ac:dyDescent="0.35">
      <c r="A703" s="559"/>
      <c r="B703" s="559"/>
      <c r="C703" s="559"/>
      <c r="D703" s="559"/>
      <c r="E703" s="559"/>
      <c r="F703" s="559"/>
      <c r="G703" s="559"/>
      <c r="H703" s="559"/>
      <c r="I703" s="559"/>
      <c r="J703" s="559"/>
      <c r="K703" s="559"/>
      <c r="L703" s="559"/>
      <c r="M703" s="559"/>
      <c r="N703" s="559"/>
      <c r="O703" s="559"/>
      <c r="P703" s="559"/>
      <c r="Q703" s="559"/>
      <c r="R703" s="559"/>
      <c r="S703" s="559"/>
      <c r="T703" s="559"/>
      <c r="U703" s="559"/>
      <c r="V703" s="559"/>
      <c r="W703" s="559"/>
      <c r="X703" s="559"/>
      <c r="Y703" s="559"/>
      <c r="Z703" s="559"/>
      <c r="AA703" s="559"/>
      <c r="AB703" s="559"/>
      <c r="AC703" s="559"/>
      <c r="AD703" s="559"/>
      <c r="AE703" s="559"/>
      <c r="AF703" s="559"/>
      <c r="AG703" s="559"/>
    </row>
    <row r="704" spans="1:33" ht="18" customHeight="1" x14ac:dyDescent="0.35">
      <c r="A704" s="559"/>
      <c r="B704" s="559"/>
      <c r="C704" s="559"/>
      <c r="D704" s="559"/>
      <c r="E704" s="559"/>
      <c r="F704" s="559"/>
      <c r="G704" s="559"/>
      <c r="H704" s="559"/>
      <c r="I704" s="559"/>
      <c r="J704" s="559"/>
      <c r="K704" s="559"/>
      <c r="L704" s="559"/>
      <c r="M704" s="559"/>
      <c r="N704" s="559"/>
      <c r="O704" s="559"/>
      <c r="P704" s="559"/>
      <c r="Q704" s="559"/>
      <c r="R704" s="559"/>
      <c r="S704" s="559"/>
      <c r="T704" s="559"/>
      <c r="U704" s="559"/>
      <c r="V704" s="559"/>
      <c r="W704" s="559"/>
      <c r="X704" s="559"/>
      <c r="Y704" s="559"/>
      <c r="Z704" s="559"/>
      <c r="AA704" s="559"/>
      <c r="AB704" s="559"/>
      <c r="AC704" s="559"/>
      <c r="AD704" s="559"/>
      <c r="AE704" s="559"/>
      <c r="AF704" s="559"/>
      <c r="AG704" s="559"/>
    </row>
    <row r="705" spans="1:33" ht="18" customHeight="1" x14ac:dyDescent="0.35">
      <c r="A705" s="559"/>
      <c r="B705" s="559"/>
      <c r="C705" s="559"/>
      <c r="D705" s="559"/>
      <c r="E705" s="559"/>
      <c r="F705" s="559"/>
      <c r="G705" s="559"/>
      <c r="H705" s="559"/>
      <c r="I705" s="559"/>
      <c r="J705" s="559"/>
      <c r="K705" s="559"/>
      <c r="L705" s="559"/>
      <c r="M705" s="559"/>
      <c r="N705" s="559"/>
      <c r="O705" s="559"/>
      <c r="P705" s="559"/>
      <c r="Q705" s="559"/>
      <c r="R705" s="559"/>
      <c r="S705" s="559"/>
      <c r="T705" s="559"/>
      <c r="U705" s="559"/>
      <c r="V705" s="559"/>
      <c r="W705" s="559"/>
      <c r="X705" s="559"/>
      <c r="Y705" s="559"/>
      <c r="Z705" s="559"/>
      <c r="AA705" s="559"/>
      <c r="AB705" s="559"/>
      <c r="AC705" s="559"/>
      <c r="AD705" s="559"/>
      <c r="AE705" s="559"/>
      <c r="AF705" s="559"/>
      <c r="AG705" s="559"/>
    </row>
    <row r="706" spans="1:33" ht="18" customHeight="1" x14ac:dyDescent="0.35">
      <c r="A706" s="559"/>
      <c r="B706" s="559"/>
      <c r="C706" s="559"/>
      <c r="D706" s="559"/>
      <c r="E706" s="559"/>
      <c r="F706" s="559"/>
      <c r="G706" s="559"/>
      <c r="H706" s="559"/>
      <c r="I706" s="559"/>
      <c r="J706" s="559"/>
      <c r="K706" s="559"/>
      <c r="L706" s="559"/>
      <c r="M706" s="559"/>
      <c r="N706" s="559"/>
      <c r="O706" s="559"/>
      <c r="P706" s="559"/>
      <c r="Q706" s="559"/>
      <c r="R706" s="559"/>
      <c r="S706" s="559"/>
      <c r="T706" s="559"/>
      <c r="U706" s="559"/>
      <c r="V706" s="559"/>
      <c r="W706" s="559"/>
      <c r="X706" s="559"/>
      <c r="Y706" s="559"/>
      <c r="Z706" s="559"/>
      <c r="AA706" s="559"/>
      <c r="AB706" s="559"/>
      <c r="AC706" s="559"/>
      <c r="AD706" s="559"/>
      <c r="AE706" s="559"/>
      <c r="AF706" s="559"/>
      <c r="AG706" s="559"/>
    </row>
    <row r="707" spans="1:33" ht="18" customHeight="1" x14ac:dyDescent="0.35">
      <c r="A707" s="559"/>
      <c r="B707" s="559"/>
      <c r="C707" s="559"/>
      <c r="D707" s="559"/>
      <c r="E707" s="559"/>
      <c r="F707" s="559"/>
      <c r="G707" s="559"/>
      <c r="H707" s="559"/>
      <c r="I707" s="559"/>
      <c r="J707" s="559"/>
      <c r="K707" s="559"/>
      <c r="L707" s="559"/>
      <c r="M707" s="559"/>
      <c r="N707" s="559"/>
      <c r="O707" s="559"/>
      <c r="P707" s="559"/>
      <c r="Q707" s="559"/>
      <c r="R707" s="559"/>
      <c r="S707" s="559"/>
      <c r="T707" s="559"/>
      <c r="U707" s="559"/>
      <c r="V707" s="559"/>
      <c r="W707" s="559"/>
      <c r="X707" s="559"/>
      <c r="Y707" s="559"/>
      <c r="Z707" s="559"/>
      <c r="AA707" s="559"/>
      <c r="AB707" s="559"/>
      <c r="AC707" s="559"/>
      <c r="AD707" s="559"/>
      <c r="AE707" s="559"/>
      <c r="AF707" s="559"/>
      <c r="AG707" s="559"/>
    </row>
    <row r="708" spans="1:33" ht="18" customHeight="1" x14ac:dyDescent="0.35">
      <c r="A708" s="559"/>
      <c r="B708" s="559"/>
      <c r="C708" s="559"/>
      <c r="D708" s="559"/>
      <c r="E708" s="559"/>
      <c r="F708" s="559"/>
      <c r="G708" s="559"/>
      <c r="H708" s="559"/>
      <c r="I708" s="559"/>
      <c r="J708" s="559"/>
      <c r="K708" s="559"/>
      <c r="L708" s="559"/>
      <c r="M708" s="559"/>
      <c r="N708" s="559"/>
      <c r="O708" s="559"/>
      <c r="P708" s="559"/>
      <c r="Q708" s="559"/>
      <c r="R708" s="559"/>
      <c r="S708" s="559"/>
      <c r="T708" s="559"/>
      <c r="U708" s="559"/>
      <c r="V708" s="559"/>
      <c r="W708" s="559"/>
      <c r="X708" s="559"/>
      <c r="Y708" s="559"/>
      <c r="Z708" s="559"/>
      <c r="AA708" s="559"/>
      <c r="AB708" s="559"/>
      <c r="AC708" s="559"/>
      <c r="AD708" s="559"/>
      <c r="AE708" s="559"/>
      <c r="AF708" s="559"/>
      <c r="AG708" s="559"/>
    </row>
    <row r="709" spans="1:33" ht="18" customHeight="1" x14ac:dyDescent="0.35">
      <c r="A709" s="559"/>
      <c r="B709" s="559"/>
      <c r="C709" s="559"/>
      <c r="D709" s="559"/>
      <c r="E709" s="559"/>
      <c r="F709" s="559"/>
      <c r="G709" s="559"/>
      <c r="H709" s="559"/>
      <c r="I709" s="559"/>
      <c r="J709" s="559"/>
      <c r="K709" s="559"/>
      <c r="L709" s="559"/>
      <c r="M709" s="559"/>
      <c r="N709" s="559"/>
      <c r="O709" s="559"/>
      <c r="P709" s="559"/>
      <c r="Q709" s="559"/>
      <c r="R709" s="559"/>
      <c r="S709" s="559"/>
      <c r="T709" s="559"/>
      <c r="U709" s="559"/>
      <c r="V709" s="559"/>
      <c r="W709" s="559"/>
      <c r="X709" s="559"/>
      <c r="Y709" s="559"/>
      <c r="Z709" s="559"/>
      <c r="AA709" s="559"/>
      <c r="AB709" s="559"/>
      <c r="AC709" s="559"/>
      <c r="AD709" s="559"/>
      <c r="AE709" s="559"/>
      <c r="AF709" s="559"/>
      <c r="AG709" s="559"/>
    </row>
    <row r="710" spans="1:33" ht="18" customHeight="1" x14ac:dyDescent="0.35">
      <c r="A710" s="559"/>
      <c r="B710" s="559"/>
      <c r="C710" s="559"/>
      <c r="D710" s="559"/>
      <c r="E710" s="559"/>
      <c r="F710" s="559"/>
      <c r="G710" s="559"/>
      <c r="H710" s="559"/>
      <c r="I710" s="559"/>
      <c r="J710" s="559"/>
      <c r="K710" s="559"/>
      <c r="L710" s="559"/>
      <c r="M710" s="559"/>
      <c r="N710" s="559"/>
      <c r="O710" s="559"/>
      <c r="P710" s="559"/>
      <c r="Q710" s="559"/>
      <c r="R710" s="559"/>
      <c r="S710" s="559"/>
      <c r="T710" s="559"/>
      <c r="U710" s="559"/>
      <c r="V710" s="559"/>
      <c r="W710" s="559"/>
      <c r="X710" s="559"/>
      <c r="Y710" s="559"/>
      <c r="Z710" s="559"/>
      <c r="AA710" s="559"/>
      <c r="AB710" s="559"/>
      <c r="AC710" s="559"/>
      <c r="AD710" s="559"/>
      <c r="AE710" s="559"/>
      <c r="AF710" s="559"/>
      <c r="AG710" s="559"/>
    </row>
    <row r="711" spans="1:33" ht="18" customHeight="1" x14ac:dyDescent="0.35">
      <c r="A711" s="559"/>
      <c r="B711" s="559"/>
      <c r="C711" s="559"/>
      <c r="D711" s="559"/>
      <c r="E711" s="559"/>
      <c r="F711" s="559"/>
      <c r="G711" s="559"/>
      <c r="H711" s="559"/>
      <c r="I711" s="559"/>
      <c r="J711" s="559"/>
      <c r="K711" s="559"/>
      <c r="L711" s="559"/>
      <c r="M711" s="559"/>
      <c r="N711" s="559"/>
      <c r="O711" s="559"/>
      <c r="P711" s="559"/>
      <c r="Q711" s="559"/>
      <c r="R711" s="559"/>
      <c r="S711" s="559"/>
      <c r="T711" s="559"/>
      <c r="U711" s="559"/>
      <c r="V711" s="559"/>
      <c r="W711" s="559"/>
      <c r="X711" s="559"/>
      <c r="Y711" s="559"/>
      <c r="Z711" s="559"/>
      <c r="AA711" s="559"/>
      <c r="AB711" s="559"/>
      <c r="AC711" s="559"/>
      <c r="AD711" s="559"/>
      <c r="AE711" s="559"/>
      <c r="AF711" s="559"/>
      <c r="AG711" s="559"/>
    </row>
    <row r="712" spans="1:33" ht="18" customHeight="1" x14ac:dyDescent="0.35">
      <c r="A712" s="559"/>
      <c r="B712" s="559"/>
      <c r="C712" s="559"/>
      <c r="D712" s="559"/>
      <c r="E712" s="559"/>
      <c r="F712" s="559"/>
      <c r="G712" s="559"/>
      <c r="H712" s="559"/>
      <c r="I712" s="559"/>
      <c r="J712" s="559"/>
      <c r="K712" s="559"/>
      <c r="L712" s="559"/>
      <c r="M712" s="559"/>
      <c r="N712" s="559"/>
      <c r="O712" s="559"/>
      <c r="P712" s="559"/>
      <c r="Q712" s="559"/>
      <c r="R712" s="559"/>
      <c r="S712" s="559"/>
      <c r="T712" s="559"/>
      <c r="U712" s="559"/>
      <c r="V712" s="559"/>
      <c r="W712" s="559"/>
      <c r="X712" s="559"/>
      <c r="Y712" s="559"/>
      <c r="Z712" s="559"/>
      <c r="AA712" s="559"/>
      <c r="AB712" s="559"/>
      <c r="AC712" s="559"/>
      <c r="AD712" s="559"/>
      <c r="AE712" s="559"/>
      <c r="AF712" s="559"/>
      <c r="AG712" s="559"/>
    </row>
    <row r="713" spans="1:33" ht="18" customHeight="1" x14ac:dyDescent="0.35">
      <c r="A713" s="559"/>
      <c r="B713" s="559"/>
      <c r="C713" s="559"/>
      <c r="D713" s="559"/>
      <c r="E713" s="559"/>
      <c r="F713" s="559"/>
      <c r="G713" s="559"/>
      <c r="H713" s="559"/>
      <c r="I713" s="559"/>
      <c r="J713" s="559"/>
      <c r="K713" s="559"/>
      <c r="L713" s="559"/>
      <c r="M713" s="559"/>
      <c r="N713" s="559"/>
      <c r="O713" s="559"/>
      <c r="P713" s="559"/>
      <c r="Q713" s="559"/>
      <c r="R713" s="559"/>
      <c r="S713" s="559"/>
      <c r="T713" s="559"/>
      <c r="U713" s="559"/>
      <c r="V713" s="559"/>
      <c r="W713" s="559"/>
      <c r="X713" s="559"/>
      <c r="Y713" s="559"/>
      <c r="Z713" s="559"/>
      <c r="AA713" s="559"/>
      <c r="AB713" s="559"/>
      <c r="AC713" s="559"/>
      <c r="AD713" s="559"/>
      <c r="AE713" s="559"/>
      <c r="AF713" s="559"/>
      <c r="AG713" s="559"/>
    </row>
    <row r="714" spans="1:33" ht="18" customHeight="1" x14ac:dyDescent="0.35">
      <c r="A714" s="559"/>
      <c r="B714" s="559"/>
      <c r="C714" s="559"/>
      <c r="D714" s="559"/>
      <c r="E714" s="559"/>
      <c r="F714" s="559"/>
      <c r="G714" s="559"/>
      <c r="H714" s="559"/>
      <c r="I714" s="559"/>
      <c r="J714" s="559"/>
      <c r="K714" s="559"/>
      <c r="L714" s="559"/>
      <c r="M714" s="559"/>
      <c r="N714" s="559"/>
      <c r="O714" s="559"/>
      <c r="P714" s="559"/>
      <c r="Q714" s="559"/>
      <c r="R714" s="559"/>
      <c r="S714" s="559"/>
      <c r="T714" s="559"/>
      <c r="U714" s="559"/>
      <c r="V714" s="559"/>
      <c r="W714" s="559"/>
      <c r="X714" s="559"/>
      <c r="Y714" s="559"/>
      <c r="Z714" s="559"/>
      <c r="AA714" s="559"/>
      <c r="AB714" s="559"/>
      <c r="AC714" s="559"/>
      <c r="AD714" s="559"/>
      <c r="AE714" s="559"/>
      <c r="AF714" s="559"/>
      <c r="AG714" s="559"/>
    </row>
    <row r="715" spans="1:33" ht="18" customHeight="1" x14ac:dyDescent="0.35">
      <c r="A715" s="559"/>
      <c r="B715" s="559"/>
      <c r="C715" s="559"/>
      <c r="D715" s="559"/>
      <c r="E715" s="559"/>
      <c r="F715" s="559"/>
      <c r="G715" s="559"/>
      <c r="H715" s="559"/>
      <c r="I715" s="559"/>
      <c r="J715" s="559"/>
      <c r="K715" s="559"/>
      <c r="L715" s="559"/>
      <c r="M715" s="559"/>
      <c r="N715" s="559"/>
      <c r="O715" s="559"/>
      <c r="P715" s="559"/>
      <c r="Q715" s="559"/>
      <c r="R715" s="559"/>
      <c r="S715" s="559"/>
      <c r="T715" s="559"/>
      <c r="U715" s="559"/>
      <c r="V715" s="559"/>
      <c r="W715" s="559"/>
      <c r="X715" s="559"/>
      <c r="Y715" s="559"/>
      <c r="Z715" s="559"/>
      <c r="AA715" s="559"/>
      <c r="AB715" s="559"/>
      <c r="AC715" s="559"/>
      <c r="AD715" s="559"/>
      <c r="AE715" s="559"/>
      <c r="AF715" s="559"/>
      <c r="AG715" s="559"/>
    </row>
    <row r="716" spans="1:33" ht="18" customHeight="1" x14ac:dyDescent="0.35">
      <c r="A716" s="559"/>
      <c r="B716" s="559"/>
      <c r="C716" s="559"/>
      <c r="D716" s="559"/>
      <c r="E716" s="559"/>
      <c r="F716" s="559"/>
      <c r="G716" s="559"/>
      <c r="H716" s="559"/>
      <c r="I716" s="559"/>
      <c r="J716" s="559"/>
      <c r="K716" s="559"/>
      <c r="L716" s="559"/>
      <c r="M716" s="559"/>
      <c r="N716" s="559"/>
      <c r="O716" s="559"/>
      <c r="P716" s="559"/>
      <c r="Q716" s="559"/>
      <c r="R716" s="559"/>
      <c r="S716" s="559"/>
      <c r="T716" s="559"/>
      <c r="U716" s="559"/>
      <c r="V716" s="559"/>
      <c r="W716" s="559"/>
      <c r="X716" s="559"/>
      <c r="Y716" s="559"/>
      <c r="Z716" s="559"/>
      <c r="AA716" s="559"/>
      <c r="AB716" s="559"/>
      <c r="AC716" s="559"/>
      <c r="AD716" s="559"/>
      <c r="AE716" s="559"/>
      <c r="AF716" s="559"/>
      <c r="AG716" s="559"/>
    </row>
    <row r="717" spans="1:33" ht="18" customHeight="1" x14ac:dyDescent="0.35">
      <c r="A717" s="559"/>
      <c r="B717" s="559"/>
      <c r="C717" s="559"/>
      <c r="D717" s="559"/>
      <c r="E717" s="559"/>
      <c r="F717" s="559"/>
      <c r="G717" s="559"/>
      <c r="H717" s="559"/>
      <c r="I717" s="559"/>
      <c r="J717" s="559"/>
      <c r="K717" s="559"/>
      <c r="L717" s="559"/>
      <c r="M717" s="559"/>
      <c r="N717" s="559"/>
      <c r="O717" s="559"/>
      <c r="P717" s="559"/>
      <c r="Q717" s="559"/>
      <c r="R717" s="559"/>
      <c r="S717" s="559"/>
      <c r="T717" s="559"/>
      <c r="U717" s="559"/>
      <c r="V717" s="559"/>
      <c r="W717" s="559"/>
      <c r="X717" s="559"/>
      <c r="Y717" s="559"/>
      <c r="Z717" s="559"/>
      <c r="AA717" s="559"/>
      <c r="AB717" s="559"/>
      <c r="AC717" s="559"/>
      <c r="AD717" s="559"/>
      <c r="AE717" s="559"/>
      <c r="AF717" s="559"/>
      <c r="AG717" s="559"/>
    </row>
    <row r="718" spans="1:33" ht="18" customHeight="1" x14ac:dyDescent="0.35">
      <c r="A718" s="559"/>
      <c r="B718" s="559"/>
      <c r="C718" s="559"/>
      <c r="D718" s="559"/>
      <c r="E718" s="559"/>
      <c r="F718" s="559"/>
      <c r="G718" s="559"/>
      <c r="H718" s="559"/>
      <c r="I718" s="559"/>
      <c r="J718" s="559"/>
      <c r="K718" s="559"/>
      <c r="L718" s="559"/>
      <c r="M718" s="559"/>
      <c r="N718" s="559"/>
      <c r="O718" s="559"/>
      <c r="P718" s="559"/>
      <c r="Q718" s="559"/>
      <c r="R718" s="559"/>
      <c r="S718" s="559"/>
      <c r="T718" s="559"/>
      <c r="U718" s="559"/>
      <c r="V718" s="559"/>
      <c r="W718" s="559"/>
      <c r="X718" s="559"/>
      <c r="Y718" s="559"/>
      <c r="Z718" s="559"/>
      <c r="AA718" s="559"/>
      <c r="AB718" s="559"/>
      <c r="AC718" s="559"/>
      <c r="AD718" s="559"/>
      <c r="AE718" s="559"/>
      <c r="AF718" s="559"/>
      <c r="AG718" s="559"/>
    </row>
    <row r="719" spans="1:33" ht="18" customHeight="1" x14ac:dyDescent="0.35">
      <c r="A719" s="559"/>
      <c r="B719" s="559"/>
      <c r="C719" s="559"/>
      <c r="D719" s="559"/>
      <c r="E719" s="559"/>
      <c r="F719" s="559"/>
      <c r="G719" s="559"/>
      <c r="H719" s="559"/>
      <c r="I719" s="559"/>
      <c r="J719" s="559"/>
      <c r="K719" s="559"/>
      <c r="L719" s="559"/>
      <c r="M719" s="559"/>
      <c r="N719" s="559"/>
      <c r="O719" s="559"/>
      <c r="P719" s="559"/>
      <c r="Q719" s="559"/>
      <c r="R719" s="559"/>
      <c r="S719" s="559"/>
      <c r="T719" s="559"/>
      <c r="U719" s="559"/>
      <c r="V719" s="559"/>
      <c r="W719" s="559"/>
      <c r="X719" s="559"/>
      <c r="Y719" s="559"/>
      <c r="Z719" s="559"/>
      <c r="AA719" s="559"/>
      <c r="AB719" s="559"/>
      <c r="AC719" s="559"/>
      <c r="AD719" s="559"/>
      <c r="AE719" s="559"/>
      <c r="AF719" s="559"/>
      <c r="AG719" s="559"/>
    </row>
    <row r="720" spans="1:33" ht="18" customHeight="1" x14ac:dyDescent="0.35">
      <c r="A720" s="559"/>
      <c r="B720" s="559"/>
      <c r="C720" s="559"/>
      <c r="D720" s="559"/>
      <c r="E720" s="559"/>
      <c r="F720" s="559"/>
      <c r="G720" s="559"/>
      <c r="H720" s="559"/>
      <c r="I720" s="559"/>
      <c r="J720" s="559"/>
      <c r="K720" s="559"/>
      <c r="L720" s="559"/>
      <c r="M720" s="559"/>
      <c r="N720" s="559"/>
      <c r="O720" s="559"/>
      <c r="P720" s="559"/>
      <c r="Q720" s="559"/>
      <c r="R720" s="559"/>
      <c r="S720" s="559"/>
      <c r="T720" s="559"/>
      <c r="U720" s="559"/>
      <c r="V720" s="559"/>
      <c r="W720" s="559"/>
      <c r="X720" s="559"/>
      <c r="Y720" s="559"/>
      <c r="Z720" s="559"/>
      <c r="AA720" s="559"/>
      <c r="AB720" s="559"/>
      <c r="AC720" s="559"/>
      <c r="AD720" s="559"/>
      <c r="AE720" s="559"/>
      <c r="AF720" s="559"/>
      <c r="AG720" s="559"/>
    </row>
    <row r="721" spans="1:33" ht="18" customHeight="1" x14ac:dyDescent="0.35">
      <c r="A721" s="559"/>
      <c r="B721" s="559"/>
      <c r="C721" s="559"/>
      <c r="D721" s="559"/>
      <c r="E721" s="559"/>
      <c r="F721" s="559"/>
      <c r="G721" s="559"/>
      <c r="H721" s="559"/>
      <c r="I721" s="559"/>
      <c r="J721" s="559"/>
      <c r="K721" s="559"/>
      <c r="L721" s="559"/>
      <c r="M721" s="559"/>
      <c r="N721" s="559"/>
      <c r="O721" s="559"/>
      <c r="P721" s="559"/>
      <c r="Q721" s="559"/>
      <c r="R721" s="559"/>
      <c r="S721" s="559"/>
      <c r="T721" s="559"/>
      <c r="U721" s="559"/>
      <c r="V721" s="559"/>
      <c r="W721" s="559"/>
      <c r="X721" s="559"/>
      <c r="Y721" s="559"/>
      <c r="Z721" s="559"/>
      <c r="AA721" s="559"/>
      <c r="AB721" s="559"/>
      <c r="AC721" s="559"/>
      <c r="AD721" s="559"/>
      <c r="AE721" s="559"/>
      <c r="AF721" s="559"/>
      <c r="AG721" s="559"/>
    </row>
    <row r="722" spans="1:33" ht="18" customHeight="1" x14ac:dyDescent="0.35">
      <c r="A722" s="559"/>
      <c r="B722" s="559"/>
      <c r="C722" s="559"/>
      <c r="D722" s="559"/>
      <c r="E722" s="559"/>
      <c r="F722" s="559"/>
      <c r="G722" s="559"/>
      <c r="H722" s="559"/>
      <c r="I722" s="559"/>
      <c r="J722" s="559"/>
      <c r="K722" s="559"/>
      <c r="L722" s="559"/>
      <c r="M722" s="559"/>
      <c r="N722" s="559"/>
      <c r="O722" s="559"/>
      <c r="P722" s="559"/>
      <c r="Q722" s="559"/>
      <c r="R722" s="559"/>
      <c r="S722" s="559"/>
      <c r="T722" s="559"/>
      <c r="U722" s="559"/>
      <c r="V722" s="559"/>
      <c r="W722" s="559"/>
      <c r="X722" s="559"/>
      <c r="Y722" s="559"/>
      <c r="Z722" s="559"/>
      <c r="AA722" s="559"/>
      <c r="AB722" s="559"/>
      <c r="AC722" s="559"/>
      <c r="AD722" s="559"/>
      <c r="AE722" s="559"/>
      <c r="AF722" s="559"/>
      <c r="AG722" s="559"/>
    </row>
    <row r="723" spans="1:33" ht="18" customHeight="1" x14ac:dyDescent="0.35">
      <c r="A723" s="559"/>
      <c r="B723" s="559"/>
      <c r="C723" s="559"/>
      <c r="D723" s="559"/>
      <c r="E723" s="559"/>
      <c r="F723" s="559"/>
      <c r="G723" s="559"/>
      <c r="H723" s="559"/>
      <c r="I723" s="559"/>
      <c r="J723" s="559"/>
      <c r="K723" s="559"/>
      <c r="L723" s="559"/>
      <c r="M723" s="559"/>
      <c r="N723" s="559"/>
      <c r="O723" s="559"/>
      <c r="P723" s="559"/>
      <c r="Q723" s="559"/>
      <c r="R723" s="559"/>
      <c r="S723" s="559"/>
      <c r="T723" s="559"/>
      <c r="U723" s="559"/>
      <c r="V723" s="559"/>
      <c r="W723" s="559"/>
      <c r="X723" s="559"/>
      <c r="Y723" s="559"/>
      <c r="Z723" s="559"/>
      <c r="AA723" s="559"/>
      <c r="AB723" s="559"/>
      <c r="AC723" s="559"/>
      <c r="AD723" s="559"/>
      <c r="AE723" s="559"/>
      <c r="AF723" s="559"/>
      <c r="AG723" s="559"/>
    </row>
    <row r="724" spans="1:33" ht="18" customHeight="1" x14ac:dyDescent="0.35">
      <c r="A724" s="559"/>
      <c r="B724" s="559"/>
      <c r="C724" s="559"/>
      <c r="D724" s="559"/>
      <c r="E724" s="559"/>
      <c r="F724" s="559"/>
      <c r="G724" s="559"/>
      <c r="H724" s="559"/>
      <c r="I724" s="559"/>
      <c r="J724" s="559"/>
      <c r="K724" s="559"/>
      <c r="L724" s="559"/>
      <c r="M724" s="559"/>
      <c r="N724" s="559"/>
      <c r="O724" s="559"/>
      <c r="P724" s="559"/>
      <c r="Q724" s="559"/>
      <c r="R724" s="559"/>
      <c r="S724" s="559"/>
      <c r="T724" s="559"/>
      <c r="U724" s="559"/>
      <c r="V724" s="559"/>
      <c r="W724" s="559"/>
      <c r="X724" s="559"/>
      <c r="Y724" s="559"/>
      <c r="Z724" s="559"/>
      <c r="AA724" s="559"/>
      <c r="AB724" s="559"/>
      <c r="AC724" s="559"/>
      <c r="AD724" s="559"/>
      <c r="AE724" s="559"/>
      <c r="AF724" s="559"/>
      <c r="AG724" s="559"/>
    </row>
    <row r="725" spans="1:33" ht="18" customHeight="1" x14ac:dyDescent="0.35">
      <c r="A725" s="559"/>
      <c r="B725" s="559"/>
      <c r="C725" s="559"/>
      <c r="D725" s="559"/>
      <c r="E725" s="559"/>
      <c r="F725" s="559"/>
      <c r="G725" s="559"/>
      <c r="H725" s="559"/>
      <c r="I725" s="559"/>
      <c r="J725" s="559"/>
      <c r="K725" s="559"/>
      <c r="L725" s="559"/>
      <c r="M725" s="559"/>
      <c r="N725" s="559"/>
      <c r="O725" s="559"/>
      <c r="P725" s="559"/>
      <c r="Q725" s="559"/>
      <c r="R725" s="559"/>
      <c r="S725" s="559"/>
      <c r="T725" s="559"/>
      <c r="U725" s="559"/>
      <c r="V725" s="559"/>
      <c r="W725" s="559"/>
      <c r="X725" s="559"/>
      <c r="Y725" s="559"/>
      <c r="Z725" s="559"/>
      <c r="AA725" s="559"/>
      <c r="AB725" s="559"/>
      <c r="AC725" s="559"/>
      <c r="AD725" s="559"/>
      <c r="AE725" s="559"/>
      <c r="AF725" s="559"/>
      <c r="AG725" s="559"/>
    </row>
    <row r="726" spans="1:33" ht="18" customHeight="1" x14ac:dyDescent="0.35">
      <c r="A726" s="559"/>
      <c r="B726" s="559"/>
      <c r="C726" s="559"/>
      <c r="D726" s="559"/>
      <c r="E726" s="559"/>
      <c r="F726" s="559"/>
      <c r="G726" s="559"/>
      <c r="H726" s="559"/>
      <c r="I726" s="559"/>
      <c r="J726" s="559"/>
      <c r="K726" s="559"/>
      <c r="L726" s="559"/>
      <c r="M726" s="559"/>
      <c r="N726" s="559"/>
      <c r="O726" s="559"/>
      <c r="P726" s="559"/>
      <c r="Q726" s="559"/>
      <c r="R726" s="559"/>
      <c r="S726" s="559"/>
      <c r="T726" s="559"/>
      <c r="U726" s="559"/>
      <c r="V726" s="559"/>
      <c r="W726" s="559"/>
      <c r="X726" s="559"/>
      <c r="Y726" s="559"/>
      <c r="Z726" s="559"/>
      <c r="AA726" s="559"/>
      <c r="AB726" s="559"/>
      <c r="AC726" s="559"/>
      <c r="AD726" s="559"/>
      <c r="AE726" s="559"/>
      <c r="AF726" s="559"/>
      <c r="AG726" s="559"/>
    </row>
    <row r="727" spans="1:33" ht="18" customHeight="1" x14ac:dyDescent="0.35">
      <c r="A727" s="559"/>
      <c r="B727" s="559"/>
      <c r="C727" s="559"/>
      <c r="D727" s="559"/>
      <c r="E727" s="559"/>
      <c r="F727" s="559"/>
      <c r="G727" s="559"/>
      <c r="H727" s="559"/>
      <c r="I727" s="559"/>
      <c r="J727" s="559"/>
      <c r="K727" s="559"/>
      <c r="L727" s="559"/>
      <c r="M727" s="559"/>
      <c r="N727" s="559"/>
      <c r="O727" s="559"/>
      <c r="P727" s="559"/>
      <c r="Q727" s="559"/>
      <c r="R727" s="559"/>
      <c r="S727" s="559"/>
      <c r="T727" s="559"/>
      <c r="U727" s="559"/>
      <c r="V727" s="559"/>
      <c r="W727" s="559"/>
      <c r="X727" s="559"/>
      <c r="Y727" s="559"/>
      <c r="Z727" s="559"/>
      <c r="AA727" s="559"/>
      <c r="AB727" s="559"/>
      <c r="AC727" s="559"/>
      <c r="AD727" s="559"/>
      <c r="AE727" s="559"/>
      <c r="AF727" s="559"/>
      <c r="AG727" s="559"/>
    </row>
    <row r="728" spans="1:33" ht="18" customHeight="1" x14ac:dyDescent="0.35">
      <c r="A728" s="559"/>
      <c r="B728" s="559"/>
      <c r="C728" s="559"/>
      <c r="D728" s="559"/>
      <c r="E728" s="559"/>
      <c r="F728" s="559"/>
      <c r="G728" s="559"/>
      <c r="H728" s="559"/>
      <c r="I728" s="559"/>
      <c r="J728" s="559"/>
      <c r="K728" s="559"/>
      <c r="L728" s="559"/>
      <c r="M728" s="559"/>
      <c r="N728" s="559"/>
      <c r="O728" s="559"/>
      <c r="P728" s="559"/>
      <c r="Q728" s="559"/>
      <c r="R728" s="559"/>
      <c r="S728" s="559"/>
      <c r="T728" s="559"/>
      <c r="U728" s="559"/>
      <c r="V728" s="559"/>
      <c r="W728" s="559"/>
      <c r="X728" s="559"/>
      <c r="Y728" s="559"/>
      <c r="Z728" s="559"/>
      <c r="AA728" s="559"/>
      <c r="AB728" s="559"/>
      <c r="AC728" s="559"/>
      <c r="AD728" s="559"/>
      <c r="AE728" s="559"/>
      <c r="AF728" s="559"/>
      <c r="AG728" s="559"/>
    </row>
    <row r="729" spans="1:33" ht="18" customHeight="1" x14ac:dyDescent="0.35">
      <c r="A729" s="559"/>
      <c r="B729" s="559"/>
      <c r="C729" s="559"/>
      <c r="D729" s="559"/>
      <c r="E729" s="559"/>
      <c r="F729" s="559"/>
      <c r="G729" s="559"/>
      <c r="H729" s="559"/>
      <c r="I729" s="559"/>
      <c r="J729" s="559"/>
      <c r="K729" s="559"/>
      <c r="L729" s="559"/>
      <c r="M729" s="559"/>
      <c r="N729" s="559"/>
      <c r="O729" s="559"/>
      <c r="P729" s="559"/>
      <c r="Q729" s="559"/>
      <c r="R729" s="559"/>
      <c r="S729" s="559"/>
      <c r="T729" s="559"/>
      <c r="U729" s="559"/>
      <c r="V729" s="559"/>
      <c r="W729" s="559"/>
      <c r="X729" s="559"/>
      <c r="Y729" s="559"/>
      <c r="Z729" s="559"/>
      <c r="AA729" s="559"/>
      <c r="AB729" s="559"/>
      <c r="AC729" s="559"/>
      <c r="AD729" s="559"/>
      <c r="AE729" s="559"/>
      <c r="AF729" s="559"/>
      <c r="AG729" s="559"/>
    </row>
    <row r="730" spans="1:33" ht="18" customHeight="1" x14ac:dyDescent="0.35">
      <c r="A730" s="559"/>
      <c r="B730" s="559"/>
      <c r="C730" s="559"/>
      <c r="D730" s="559"/>
      <c r="E730" s="559"/>
      <c r="F730" s="559"/>
      <c r="G730" s="559"/>
      <c r="H730" s="559"/>
      <c r="I730" s="559"/>
      <c r="J730" s="559"/>
      <c r="K730" s="559"/>
      <c r="L730" s="559"/>
      <c r="M730" s="559"/>
      <c r="N730" s="559"/>
      <c r="O730" s="559"/>
      <c r="P730" s="559"/>
      <c r="Q730" s="559"/>
      <c r="R730" s="559"/>
      <c r="S730" s="559"/>
      <c r="T730" s="559"/>
      <c r="U730" s="559"/>
      <c r="V730" s="559"/>
      <c r="W730" s="559"/>
      <c r="X730" s="559"/>
      <c r="Y730" s="559"/>
      <c r="Z730" s="559"/>
      <c r="AA730" s="559"/>
      <c r="AB730" s="559"/>
      <c r="AC730" s="559"/>
      <c r="AD730" s="559"/>
      <c r="AE730" s="559"/>
      <c r="AF730" s="559"/>
      <c r="AG730" s="559"/>
    </row>
    <row r="731" spans="1:33" ht="18" customHeight="1" x14ac:dyDescent="0.35">
      <c r="A731" s="559"/>
      <c r="B731" s="559"/>
      <c r="C731" s="559"/>
      <c r="D731" s="559"/>
      <c r="E731" s="559"/>
      <c r="F731" s="559"/>
      <c r="G731" s="559"/>
      <c r="H731" s="559"/>
      <c r="I731" s="559"/>
      <c r="J731" s="559"/>
      <c r="K731" s="559"/>
      <c r="L731" s="559"/>
      <c r="M731" s="559"/>
      <c r="N731" s="559"/>
      <c r="O731" s="559"/>
      <c r="P731" s="559"/>
      <c r="Q731" s="559"/>
      <c r="R731" s="559"/>
      <c r="S731" s="559"/>
      <c r="T731" s="559"/>
      <c r="U731" s="559"/>
      <c r="V731" s="559"/>
      <c r="W731" s="559"/>
      <c r="X731" s="559"/>
      <c r="Y731" s="559"/>
      <c r="Z731" s="559"/>
      <c r="AA731" s="559"/>
      <c r="AB731" s="559"/>
      <c r="AC731" s="559"/>
      <c r="AD731" s="559"/>
      <c r="AE731" s="559"/>
      <c r="AF731" s="559"/>
      <c r="AG731" s="559"/>
    </row>
    <row r="732" spans="1:33" ht="18" customHeight="1" x14ac:dyDescent="0.35">
      <c r="A732" s="559"/>
      <c r="B732" s="559"/>
      <c r="C732" s="559"/>
      <c r="D732" s="559"/>
      <c r="E732" s="559"/>
      <c r="F732" s="559"/>
      <c r="G732" s="559"/>
      <c r="H732" s="559"/>
      <c r="I732" s="559"/>
      <c r="J732" s="559"/>
      <c r="K732" s="559"/>
      <c r="L732" s="559"/>
      <c r="M732" s="559"/>
      <c r="N732" s="559"/>
      <c r="O732" s="559"/>
      <c r="P732" s="559"/>
      <c r="Q732" s="559"/>
      <c r="R732" s="559"/>
      <c r="S732" s="559"/>
      <c r="T732" s="559"/>
      <c r="U732" s="559"/>
      <c r="V732" s="559"/>
      <c r="W732" s="559"/>
      <c r="X732" s="559"/>
      <c r="Y732" s="559"/>
      <c r="Z732" s="559"/>
      <c r="AA732" s="559"/>
      <c r="AB732" s="559"/>
      <c r="AC732" s="559"/>
      <c r="AD732" s="559"/>
      <c r="AE732" s="559"/>
      <c r="AF732" s="559"/>
      <c r="AG732" s="559"/>
    </row>
    <row r="733" spans="1:33" ht="18" customHeight="1" x14ac:dyDescent="0.35">
      <c r="A733" s="559"/>
      <c r="B733" s="559"/>
      <c r="C733" s="559"/>
      <c r="D733" s="559"/>
      <c r="E733" s="559"/>
      <c r="F733" s="559"/>
      <c r="G733" s="559"/>
      <c r="H733" s="559"/>
      <c r="I733" s="559"/>
      <c r="J733" s="559"/>
      <c r="K733" s="559"/>
      <c r="L733" s="559"/>
      <c r="M733" s="559"/>
      <c r="N733" s="559"/>
      <c r="O733" s="559"/>
      <c r="P733" s="559"/>
      <c r="Q733" s="559"/>
      <c r="R733" s="559"/>
      <c r="S733" s="559"/>
      <c r="T733" s="559"/>
      <c r="U733" s="559"/>
      <c r="V733" s="559"/>
      <c r="W733" s="559"/>
      <c r="X733" s="559"/>
      <c r="Y733" s="559"/>
      <c r="Z733" s="559"/>
      <c r="AA733" s="559"/>
      <c r="AB733" s="559"/>
      <c r="AC733" s="559"/>
      <c r="AD733" s="559"/>
      <c r="AE733" s="559"/>
      <c r="AF733" s="559"/>
      <c r="AG733" s="559"/>
    </row>
    <row r="734" spans="1:33" ht="18" customHeight="1" x14ac:dyDescent="0.35">
      <c r="A734" s="559"/>
      <c r="B734" s="559"/>
      <c r="C734" s="559"/>
      <c r="D734" s="559"/>
      <c r="E734" s="559"/>
      <c r="F734" s="559"/>
      <c r="G734" s="559"/>
      <c r="H734" s="559"/>
      <c r="I734" s="559"/>
      <c r="J734" s="559"/>
      <c r="K734" s="559"/>
      <c r="L734" s="559"/>
      <c r="M734" s="559"/>
      <c r="N734" s="559"/>
      <c r="O734" s="559"/>
      <c r="P734" s="559"/>
      <c r="Q734" s="559"/>
      <c r="R734" s="559"/>
      <c r="S734" s="559"/>
      <c r="T734" s="559"/>
      <c r="U734" s="559"/>
      <c r="V734" s="559"/>
      <c r="W734" s="559"/>
      <c r="X734" s="559"/>
      <c r="Y734" s="559"/>
      <c r="Z734" s="559"/>
      <c r="AA734" s="559"/>
      <c r="AB734" s="559"/>
      <c r="AC734" s="559"/>
      <c r="AD734" s="559"/>
      <c r="AE734" s="559"/>
      <c r="AF734" s="559"/>
      <c r="AG734" s="559"/>
    </row>
    <row r="735" spans="1:33" ht="18" customHeight="1" x14ac:dyDescent="0.35">
      <c r="A735" s="559"/>
      <c r="B735" s="559"/>
      <c r="C735" s="559"/>
      <c r="D735" s="559"/>
      <c r="E735" s="559"/>
      <c r="F735" s="559"/>
      <c r="G735" s="559"/>
      <c r="H735" s="559"/>
      <c r="I735" s="559"/>
      <c r="J735" s="559"/>
      <c r="K735" s="559"/>
      <c r="L735" s="559"/>
      <c r="M735" s="559"/>
      <c r="N735" s="559"/>
      <c r="O735" s="559"/>
      <c r="P735" s="559"/>
      <c r="Q735" s="559"/>
      <c r="R735" s="559"/>
      <c r="S735" s="559"/>
      <c r="T735" s="559"/>
      <c r="U735" s="559"/>
      <c r="V735" s="559"/>
      <c r="W735" s="559"/>
      <c r="X735" s="559"/>
      <c r="Y735" s="559"/>
      <c r="Z735" s="559"/>
      <c r="AA735" s="559"/>
      <c r="AB735" s="559"/>
      <c r="AC735" s="559"/>
      <c r="AD735" s="559"/>
      <c r="AE735" s="559"/>
      <c r="AF735" s="559"/>
      <c r="AG735" s="559"/>
    </row>
    <row r="736" spans="1:33" ht="18" customHeight="1" x14ac:dyDescent="0.35">
      <c r="A736" s="559"/>
      <c r="B736" s="559"/>
      <c r="C736" s="559"/>
      <c r="D736" s="559"/>
      <c r="E736" s="559"/>
      <c r="F736" s="559"/>
      <c r="G736" s="559"/>
      <c r="H736" s="559"/>
      <c r="I736" s="559"/>
      <c r="J736" s="559"/>
      <c r="K736" s="559"/>
      <c r="L736" s="559"/>
      <c r="M736" s="559"/>
      <c r="N736" s="559"/>
      <c r="O736" s="559"/>
      <c r="P736" s="559"/>
      <c r="Q736" s="559"/>
      <c r="R736" s="559"/>
      <c r="S736" s="559"/>
      <c r="T736" s="559"/>
      <c r="U736" s="559"/>
      <c r="V736" s="559"/>
      <c r="W736" s="559"/>
      <c r="X736" s="559"/>
      <c r="Y736" s="559"/>
      <c r="Z736" s="559"/>
      <c r="AA736" s="559"/>
      <c r="AB736" s="559"/>
      <c r="AC736" s="559"/>
      <c r="AD736" s="559"/>
      <c r="AE736" s="559"/>
      <c r="AF736" s="559"/>
      <c r="AG736" s="559"/>
    </row>
    <row r="737" spans="1:33" ht="18" customHeight="1" x14ac:dyDescent="0.35">
      <c r="A737" s="559"/>
      <c r="B737" s="559"/>
      <c r="C737" s="559"/>
      <c r="D737" s="559"/>
      <c r="E737" s="559"/>
      <c r="F737" s="559"/>
      <c r="G737" s="559"/>
      <c r="H737" s="559"/>
      <c r="I737" s="559"/>
      <c r="J737" s="559"/>
      <c r="K737" s="559"/>
      <c r="L737" s="559"/>
      <c r="M737" s="559"/>
      <c r="N737" s="559"/>
      <c r="O737" s="559"/>
      <c r="P737" s="559"/>
      <c r="Q737" s="559"/>
      <c r="R737" s="559"/>
      <c r="S737" s="559"/>
      <c r="T737" s="559"/>
      <c r="U737" s="559"/>
      <c r="V737" s="559"/>
      <c r="W737" s="559"/>
      <c r="X737" s="559"/>
      <c r="Y737" s="559"/>
      <c r="Z737" s="559"/>
      <c r="AA737" s="559"/>
      <c r="AB737" s="559"/>
      <c r="AC737" s="559"/>
      <c r="AD737" s="559"/>
      <c r="AE737" s="559"/>
      <c r="AF737" s="559"/>
      <c r="AG737" s="559"/>
    </row>
    <row r="738" spans="1:33" ht="18" customHeight="1" x14ac:dyDescent="0.35">
      <c r="A738" s="559"/>
      <c r="B738" s="559"/>
      <c r="C738" s="559"/>
      <c r="D738" s="559"/>
      <c r="E738" s="559"/>
      <c r="F738" s="559"/>
      <c r="G738" s="559"/>
      <c r="H738" s="559"/>
      <c r="I738" s="559"/>
      <c r="J738" s="559"/>
      <c r="K738" s="559"/>
      <c r="L738" s="559"/>
      <c r="M738" s="559"/>
      <c r="N738" s="559"/>
      <c r="O738" s="559"/>
      <c r="P738" s="559"/>
      <c r="Q738" s="559"/>
      <c r="R738" s="559"/>
      <c r="S738" s="559"/>
      <c r="T738" s="559"/>
      <c r="U738" s="559"/>
      <c r="V738" s="559"/>
      <c r="W738" s="559"/>
      <c r="X738" s="559"/>
      <c r="Y738" s="559"/>
      <c r="Z738" s="559"/>
      <c r="AA738" s="559"/>
      <c r="AB738" s="559"/>
      <c r="AC738" s="559"/>
      <c r="AD738" s="559"/>
      <c r="AE738" s="559"/>
      <c r="AF738" s="559"/>
      <c r="AG738" s="559"/>
    </row>
    <row r="739" spans="1:33" ht="18" customHeight="1" x14ac:dyDescent="0.35">
      <c r="A739" s="559"/>
      <c r="B739" s="559"/>
      <c r="C739" s="559"/>
      <c r="D739" s="559"/>
      <c r="E739" s="559"/>
      <c r="F739" s="559"/>
      <c r="G739" s="559"/>
      <c r="H739" s="559"/>
      <c r="I739" s="559"/>
      <c r="J739" s="559"/>
      <c r="K739" s="559"/>
      <c r="L739" s="559"/>
      <c r="M739" s="559"/>
      <c r="N739" s="559"/>
      <c r="O739" s="559"/>
      <c r="P739" s="559"/>
      <c r="Q739" s="559"/>
      <c r="R739" s="559"/>
      <c r="S739" s="559"/>
      <c r="T739" s="559"/>
      <c r="U739" s="559"/>
      <c r="V739" s="559"/>
      <c r="W739" s="559"/>
      <c r="X739" s="559"/>
      <c r="Y739" s="559"/>
      <c r="Z739" s="559"/>
      <c r="AA739" s="559"/>
      <c r="AB739" s="559"/>
      <c r="AC739" s="559"/>
      <c r="AD739" s="559"/>
      <c r="AE739" s="559"/>
      <c r="AF739" s="559"/>
      <c r="AG739" s="559"/>
    </row>
    <row r="740" spans="1:33" ht="18" customHeight="1" x14ac:dyDescent="0.35">
      <c r="A740" s="559"/>
      <c r="B740" s="559"/>
      <c r="C740" s="559"/>
      <c r="D740" s="559"/>
      <c r="E740" s="559"/>
      <c r="F740" s="559"/>
      <c r="G740" s="559"/>
      <c r="H740" s="559"/>
      <c r="I740" s="559"/>
      <c r="J740" s="559"/>
      <c r="K740" s="559"/>
      <c r="L740" s="559"/>
      <c r="M740" s="559"/>
      <c r="N740" s="559"/>
      <c r="O740" s="559"/>
      <c r="P740" s="559"/>
      <c r="Q740" s="559"/>
      <c r="R740" s="559"/>
      <c r="S740" s="559"/>
      <c r="T740" s="559"/>
      <c r="U740" s="559"/>
      <c r="V740" s="559"/>
      <c r="W740" s="559"/>
      <c r="X740" s="559"/>
      <c r="Y740" s="559"/>
      <c r="Z740" s="559"/>
      <c r="AA740" s="559"/>
      <c r="AB740" s="559"/>
      <c r="AC740" s="559"/>
      <c r="AD740" s="559"/>
      <c r="AE740" s="559"/>
      <c r="AF740" s="559"/>
      <c r="AG740" s="559"/>
    </row>
    <row r="741" spans="1:33" ht="18" customHeight="1" x14ac:dyDescent="0.35">
      <c r="A741" s="559"/>
      <c r="B741" s="559"/>
      <c r="C741" s="559"/>
      <c r="D741" s="559"/>
      <c r="E741" s="559"/>
      <c r="F741" s="559"/>
      <c r="G741" s="559"/>
      <c r="H741" s="559"/>
      <c r="I741" s="559"/>
      <c r="J741" s="559"/>
      <c r="K741" s="559"/>
      <c r="L741" s="559"/>
      <c r="M741" s="559"/>
      <c r="N741" s="559"/>
      <c r="O741" s="559"/>
      <c r="P741" s="559"/>
      <c r="Q741" s="559"/>
      <c r="R741" s="559"/>
      <c r="S741" s="559"/>
      <c r="T741" s="559"/>
      <c r="U741" s="559"/>
      <c r="V741" s="559"/>
      <c r="W741" s="559"/>
      <c r="X741" s="559"/>
      <c r="Y741" s="559"/>
      <c r="Z741" s="559"/>
      <c r="AA741" s="559"/>
      <c r="AB741" s="559"/>
      <c r="AC741" s="559"/>
      <c r="AD741" s="559"/>
      <c r="AE741" s="559"/>
      <c r="AF741" s="559"/>
      <c r="AG741" s="559"/>
    </row>
    <row r="742" spans="1:33" ht="18" customHeight="1" x14ac:dyDescent="0.35">
      <c r="A742" s="559"/>
      <c r="B742" s="559"/>
      <c r="C742" s="559"/>
      <c r="D742" s="559"/>
      <c r="E742" s="559"/>
      <c r="F742" s="559"/>
      <c r="G742" s="559"/>
      <c r="H742" s="559"/>
      <c r="I742" s="559"/>
      <c r="J742" s="559"/>
      <c r="K742" s="559"/>
      <c r="L742" s="559"/>
      <c r="M742" s="559"/>
      <c r="N742" s="559"/>
      <c r="O742" s="559"/>
      <c r="P742" s="559"/>
      <c r="Q742" s="559"/>
      <c r="R742" s="559"/>
      <c r="S742" s="559"/>
      <c r="T742" s="559"/>
      <c r="U742" s="559"/>
      <c r="V742" s="559"/>
      <c r="W742" s="559"/>
      <c r="X742" s="559"/>
      <c r="Y742" s="559"/>
      <c r="Z742" s="559"/>
      <c r="AA742" s="559"/>
      <c r="AB742" s="559"/>
      <c r="AC742" s="559"/>
      <c r="AD742" s="559"/>
      <c r="AE742" s="559"/>
      <c r="AF742" s="559"/>
      <c r="AG742" s="559"/>
    </row>
    <row r="743" spans="1:33" ht="18" customHeight="1" x14ac:dyDescent="0.35">
      <c r="A743" s="559"/>
      <c r="B743" s="559"/>
      <c r="C743" s="559"/>
      <c r="D743" s="559"/>
      <c r="E743" s="559"/>
      <c r="F743" s="559"/>
      <c r="G743" s="559"/>
      <c r="H743" s="559"/>
      <c r="I743" s="559"/>
      <c r="J743" s="559"/>
      <c r="K743" s="559"/>
      <c r="L743" s="559"/>
      <c r="M743" s="559"/>
      <c r="N743" s="559"/>
      <c r="O743" s="559"/>
      <c r="P743" s="559"/>
      <c r="Q743" s="559"/>
      <c r="R743" s="559"/>
      <c r="S743" s="559"/>
      <c r="T743" s="559"/>
      <c r="U743" s="559"/>
      <c r="V743" s="559"/>
      <c r="W743" s="559"/>
      <c r="X743" s="559"/>
      <c r="Y743" s="559"/>
      <c r="Z743" s="559"/>
      <c r="AA743" s="559"/>
      <c r="AB743" s="559"/>
      <c r="AC743" s="559"/>
      <c r="AD743" s="559"/>
      <c r="AE743" s="559"/>
      <c r="AF743" s="559"/>
      <c r="AG743" s="559"/>
    </row>
    <row r="744" spans="1:33" ht="18" customHeight="1" x14ac:dyDescent="0.35">
      <c r="A744" s="559"/>
      <c r="B744" s="559"/>
      <c r="C744" s="559"/>
      <c r="D744" s="559"/>
      <c r="E744" s="559"/>
      <c r="F744" s="559"/>
      <c r="G744" s="559"/>
      <c r="H744" s="559"/>
      <c r="I744" s="559"/>
      <c r="J744" s="559"/>
      <c r="K744" s="559"/>
      <c r="L744" s="559"/>
      <c r="M744" s="559"/>
      <c r="N744" s="559"/>
      <c r="O744" s="559"/>
      <c r="P744" s="559"/>
      <c r="Q744" s="559"/>
      <c r="R744" s="559"/>
      <c r="S744" s="559"/>
      <c r="T744" s="559"/>
      <c r="U744" s="559"/>
      <c r="V744" s="559"/>
      <c r="W744" s="559"/>
      <c r="X744" s="559"/>
      <c r="Y744" s="559"/>
      <c r="Z744" s="559"/>
      <c r="AA744" s="559"/>
      <c r="AB744" s="559"/>
      <c r="AC744" s="559"/>
      <c r="AD744" s="559"/>
      <c r="AE744" s="559"/>
      <c r="AF744" s="559"/>
      <c r="AG744" s="559"/>
    </row>
    <row r="745" spans="1:33" ht="18" customHeight="1" x14ac:dyDescent="0.35">
      <c r="A745" s="559"/>
      <c r="B745" s="559"/>
      <c r="C745" s="559"/>
      <c r="D745" s="559"/>
      <c r="E745" s="559"/>
      <c r="F745" s="559"/>
      <c r="G745" s="559"/>
      <c r="H745" s="559"/>
      <c r="I745" s="559"/>
      <c r="J745" s="559"/>
      <c r="K745" s="559"/>
      <c r="L745" s="559"/>
      <c r="M745" s="559"/>
      <c r="N745" s="559"/>
      <c r="O745" s="559"/>
      <c r="P745" s="559"/>
      <c r="Q745" s="559"/>
      <c r="R745" s="559"/>
      <c r="S745" s="559"/>
      <c r="T745" s="559"/>
      <c r="U745" s="559"/>
      <c r="V745" s="559"/>
      <c r="W745" s="559"/>
      <c r="X745" s="559"/>
      <c r="Y745" s="559"/>
      <c r="Z745" s="559"/>
      <c r="AA745" s="559"/>
      <c r="AB745" s="559"/>
      <c r="AC745" s="559"/>
      <c r="AD745" s="559"/>
      <c r="AE745" s="559"/>
      <c r="AF745" s="559"/>
      <c r="AG745" s="559"/>
    </row>
    <row r="746" spans="1:33" ht="18" customHeight="1" x14ac:dyDescent="0.35">
      <c r="A746" s="559"/>
      <c r="B746" s="559"/>
      <c r="C746" s="559"/>
      <c r="D746" s="559"/>
      <c r="E746" s="559"/>
      <c r="F746" s="559"/>
      <c r="G746" s="559"/>
      <c r="H746" s="559"/>
      <c r="I746" s="559"/>
      <c r="J746" s="559"/>
      <c r="K746" s="559"/>
      <c r="L746" s="559"/>
      <c r="M746" s="559"/>
      <c r="N746" s="559"/>
      <c r="O746" s="559"/>
      <c r="P746" s="559"/>
      <c r="Q746" s="559"/>
      <c r="R746" s="559"/>
      <c r="S746" s="559"/>
      <c r="T746" s="559"/>
      <c r="U746" s="559"/>
      <c r="V746" s="559"/>
      <c r="W746" s="559"/>
      <c r="X746" s="559"/>
      <c r="Y746" s="559"/>
      <c r="Z746" s="559"/>
      <c r="AA746" s="559"/>
      <c r="AB746" s="559"/>
      <c r="AC746" s="559"/>
      <c r="AD746" s="559"/>
      <c r="AE746" s="559"/>
      <c r="AF746" s="559"/>
      <c r="AG746" s="559"/>
    </row>
    <row r="747" spans="1:33" ht="18" customHeight="1" x14ac:dyDescent="0.35">
      <c r="A747" s="559"/>
      <c r="B747" s="559"/>
      <c r="C747" s="559"/>
      <c r="D747" s="559"/>
      <c r="E747" s="559"/>
      <c r="F747" s="559"/>
      <c r="G747" s="559"/>
      <c r="H747" s="559"/>
      <c r="I747" s="559"/>
      <c r="J747" s="559"/>
      <c r="K747" s="559"/>
      <c r="L747" s="559"/>
      <c r="M747" s="559"/>
      <c r="N747" s="559"/>
      <c r="O747" s="559"/>
      <c r="P747" s="559"/>
      <c r="Q747" s="559"/>
      <c r="R747" s="559"/>
      <c r="S747" s="559"/>
      <c r="T747" s="559"/>
      <c r="U747" s="559"/>
      <c r="V747" s="559"/>
      <c r="W747" s="559"/>
      <c r="X747" s="559"/>
      <c r="Y747" s="559"/>
      <c r="Z747" s="559"/>
      <c r="AA747" s="559"/>
      <c r="AB747" s="559"/>
      <c r="AC747" s="559"/>
      <c r="AD747" s="559"/>
      <c r="AE747" s="559"/>
      <c r="AF747" s="559"/>
      <c r="AG747" s="559"/>
    </row>
    <row r="748" spans="1:33" ht="18" customHeight="1" x14ac:dyDescent="0.35">
      <c r="A748" s="559"/>
      <c r="B748" s="559"/>
      <c r="C748" s="559"/>
      <c r="D748" s="559"/>
      <c r="E748" s="559"/>
      <c r="F748" s="559"/>
      <c r="G748" s="559"/>
      <c r="H748" s="559"/>
      <c r="I748" s="559"/>
      <c r="J748" s="559"/>
      <c r="K748" s="559"/>
      <c r="L748" s="559"/>
      <c r="M748" s="559"/>
      <c r="N748" s="559"/>
      <c r="O748" s="559"/>
      <c r="P748" s="559"/>
      <c r="Q748" s="559"/>
      <c r="R748" s="559"/>
      <c r="S748" s="559"/>
      <c r="T748" s="559"/>
      <c r="U748" s="559"/>
      <c r="V748" s="559"/>
      <c r="W748" s="559"/>
      <c r="X748" s="559"/>
      <c r="Y748" s="559"/>
      <c r="Z748" s="559"/>
      <c r="AA748" s="559"/>
      <c r="AB748" s="559"/>
      <c r="AC748" s="559"/>
      <c r="AD748" s="559"/>
      <c r="AE748" s="559"/>
      <c r="AF748" s="559"/>
      <c r="AG748" s="559"/>
    </row>
    <row r="749" spans="1:33" ht="18" customHeight="1" x14ac:dyDescent="0.35">
      <c r="A749" s="559"/>
      <c r="B749" s="559"/>
      <c r="C749" s="559"/>
      <c r="D749" s="559"/>
      <c r="E749" s="559"/>
      <c r="F749" s="559"/>
      <c r="G749" s="559"/>
      <c r="H749" s="559"/>
      <c r="I749" s="559"/>
      <c r="J749" s="559"/>
      <c r="K749" s="559"/>
      <c r="L749" s="559"/>
      <c r="M749" s="559"/>
      <c r="N749" s="559"/>
      <c r="O749" s="559"/>
      <c r="P749" s="559"/>
      <c r="Q749" s="559"/>
      <c r="R749" s="559"/>
      <c r="S749" s="559"/>
      <c r="T749" s="559"/>
      <c r="U749" s="559"/>
      <c r="V749" s="559"/>
      <c r="W749" s="559"/>
      <c r="X749" s="559"/>
      <c r="Y749" s="559"/>
      <c r="Z749" s="559"/>
      <c r="AA749" s="559"/>
      <c r="AB749" s="559"/>
      <c r="AC749" s="559"/>
      <c r="AD749" s="559"/>
      <c r="AE749" s="559"/>
      <c r="AF749" s="559"/>
      <c r="AG749" s="559"/>
    </row>
    <row r="750" spans="1:33" ht="18" customHeight="1" x14ac:dyDescent="0.35">
      <c r="A750" s="559"/>
      <c r="B750" s="559"/>
      <c r="C750" s="559"/>
      <c r="D750" s="559"/>
      <c r="E750" s="559"/>
      <c r="F750" s="559"/>
      <c r="G750" s="559"/>
      <c r="H750" s="559"/>
      <c r="I750" s="559"/>
      <c r="J750" s="559"/>
      <c r="K750" s="559"/>
      <c r="L750" s="559"/>
      <c r="M750" s="559"/>
      <c r="N750" s="559"/>
      <c r="O750" s="559"/>
      <c r="P750" s="559"/>
      <c r="Q750" s="559"/>
      <c r="R750" s="559"/>
      <c r="S750" s="559"/>
      <c r="T750" s="559"/>
      <c r="U750" s="559"/>
      <c r="V750" s="559"/>
      <c r="W750" s="559"/>
      <c r="X750" s="559"/>
      <c r="Y750" s="559"/>
      <c r="Z750" s="559"/>
      <c r="AA750" s="559"/>
      <c r="AB750" s="559"/>
      <c r="AC750" s="559"/>
      <c r="AD750" s="559"/>
      <c r="AE750" s="559"/>
      <c r="AF750" s="559"/>
      <c r="AG750" s="559"/>
    </row>
    <row r="751" spans="1:33" ht="18" customHeight="1" x14ac:dyDescent="0.35">
      <c r="A751" s="559"/>
      <c r="B751" s="559"/>
      <c r="C751" s="559"/>
      <c r="D751" s="559"/>
      <c r="E751" s="559"/>
      <c r="F751" s="559"/>
      <c r="G751" s="559"/>
      <c r="H751" s="559"/>
      <c r="I751" s="559"/>
      <c r="J751" s="559"/>
      <c r="K751" s="559"/>
      <c r="L751" s="559"/>
      <c r="M751" s="559"/>
      <c r="N751" s="559"/>
      <c r="O751" s="559"/>
      <c r="P751" s="559"/>
      <c r="Q751" s="559"/>
      <c r="R751" s="559"/>
      <c r="S751" s="559"/>
      <c r="T751" s="559"/>
      <c r="U751" s="559"/>
      <c r="V751" s="559"/>
      <c r="W751" s="559"/>
      <c r="X751" s="559"/>
      <c r="Y751" s="559"/>
      <c r="Z751" s="559"/>
      <c r="AA751" s="559"/>
      <c r="AB751" s="559"/>
      <c r="AC751" s="559"/>
      <c r="AD751" s="559"/>
      <c r="AE751" s="559"/>
      <c r="AF751" s="559"/>
      <c r="AG751" s="559"/>
    </row>
    <row r="752" spans="1:33" ht="18" customHeight="1" x14ac:dyDescent="0.35">
      <c r="A752" s="559"/>
      <c r="B752" s="559"/>
      <c r="C752" s="559"/>
      <c r="D752" s="559"/>
      <c r="E752" s="559"/>
      <c r="F752" s="559"/>
      <c r="G752" s="559"/>
      <c r="H752" s="559"/>
      <c r="I752" s="559"/>
      <c r="J752" s="559"/>
      <c r="K752" s="559"/>
      <c r="L752" s="559"/>
      <c r="M752" s="559"/>
      <c r="N752" s="559"/>
      <c r="O752" s="559"/>
      <c r="P752" s="559"/>
      <c r="Q752" s="559"/>
      <c r="R752" s="559"/>
      <c r="S752" s="559"/>
      <c r="T752" s="559"/>
      <c r="U752" s="559"/>
      <c r="V752" s="559"/>
      <c r="W752" s="559"/>
      <c r="X752" s="559"/>
      <c r="Y752" s="559"/>
      <c r="Z752" s="559"/>
      <c r="AA752" s="559"/>
      <c r="AB752" s="559"/>
      <c r="AC752" s="559"/>
      <c r="AD752" s="559"/>
      <c r="AE752" s="559"/>
      <c r="AF752" s="559"/>
      <c r="AG752" s="559"/>
    </row>
    <row r="753" spans="1:33" ht="18" customHeight="1" x14ac:dyDescent="0.35">
      <c r="A753" s="559"/>
      <c r="B753" s="559"/>
      <c r="C753" s="559"/>
      <c r="D753" s="559"/>
      <c r="E753" s="559"/>
      <c r="F753" s="559"/>
      <c r="G753" s="559"/>
      <c r="H753" s="559"/>
      <c r="I753" s="559"/>
      <c r="J753" s="559"/>
      <c r="K753" s="559"/>
      <c r="L753" s="559"/>
      <c r="M753" s="559"/>
      <c r="N753" s="559"/>
      <c r="O753" s="559"/>
      <c r="P753" s="559"/>
      <c r="Q753" s="559"/>
      <c r="R753" s="559"/>
      <c r="S753" s="559"/>
      <c r="T753" s="559"/>
      <c r="U753" s="559"/>
      <c r="V753" s="559"/>
      <c r="W753" s="559"/>
      <c r="X753" s="559"/>
      <c r="Y753" s="559"/>
      <c r="Z753" s="559"/>
      <c r="AA753" s="559"/>
      <c r="AB753" s="559"/>
      <c r="AC753" s="559"/>
      <c r="AD753" s="559"/>
      <c r="AE753" s="559"/>
      <c r="AF753" s="559"/>
      <c r="AG753" s="559"/>
    </row>
    <row r="754" spans="1:33" ht="18" customHeight="1" x14ac:dyDescent="0.35">
      <c r="A754" s="559"/>
      <c r="B754" s="559"/>
      <c r="C754" s="559"/>
      <c r="D754" s="559"/>
      <c r="E754" s="559"/>
      <c r="F754" s="559"/>
      <c r="G754" s="559"/>
      <c r="H754" s="559"/>
      <c r="I754" s="559"/>
      <c r="J754" s="559"/>
      <c r="K754" s="559"/>
      <c r="L754" s="559"/>
      <c r="M754" s="559"/>
      <c r="N754" s="559"/>
      <c r="O754" s="559"/>
      <c r="P754" s="559"/>
      <c r="Q754" s="559"/>
      <c r="R754" s="559"/>
      <c r="S754" s="559"/>
      <c r="T754" s="559"/>
      <c r="U754" s="559"/>
      <c r="V754" s="559"/>
      <c r="W754" s="559"/>
      <c r="X754" s="559"/>
      <c r="Y754" s="559"/>
      <c r="Z754" s="559"/>
      <c r="AA754" s="559"/>
      <c r="AB754" s="559"/>
      <c r="AC754" s="559"/>
      <c r="AD754" s="559"/>
      <c r="AE754" s="559"/>
      <c r="AF754" s="559"/>
      <c r="AG754" s="559"/>
    </row>
    <row r="755" spans="1:33" ht="18" customHeight="1" x14ac:dyDescent="0.35">
      <c r="A755" s="559"/>
      <c r="B755" s="559"/>
      <c r="C755" s="559"/>
      <c r="D755" s="559"/>
      <c r="E755" s="559"/>
      <c r="F755" s="559"/>
      <c r="G755" s="559"/>
      <c r="H755" s="559"/>
      <c r="I755" s="559"/>
      <c r="J755" s="559"/>
      <c r="K755" s="559"/>
      <c r="L755" s="559"/>
      <c r="M755" s="559"/>
      <c r="N755" s="559"/>
      <c r="O755" s="559"/>
      <c r="P755" s="559"/>
      <c r="Q755" s="559"/>
      <c r="R755" s="559"/>
      <c r="S755" s="559"/>
      <c r="T755" s="559"/>
      <c r="U755" s="559"/>
      <c r="V755" s="559"/>
      <c r="W755" s="559"/>
      <c r="X755" s="559"/>
      <c r="Y755" s="559"/>
      <c r="Z755" s="559"/>
      <c r="AA755" s="559"/>
      <c r="AB755" s="559"/>
      <c r="AC755" s="559"/>
      <c r="AD755" s="559"/>
      <c r="AE755" s="559"/>
      <c r="AF755" s="559"/>
      <c r="AG755" s="559"/>
    </row>
    <row r="756" spans="1:33" ht="18" customHeight="1" x14ac:dyDescent="0.35">
      <c r="A756" s="559"/>
      <c r="B756" s="559"/>
      <c r="C756" s="559"/>
      <c r="D756" s="559"/>
      <c r="E756" s="559"/>
      <c r="F756" s="559"/>
      <c r="G756" s="559"/>
      <c r="H756" s="559"/>
      <c r="I756" s="559"/>
      <c r="J756" s="559"/>
      <c r="K756" s="559"/>
      <c r="L756" s="559"/>
      <c r="M756" s="559"/>
      <c r="N756" s="559"/>
      <c r="O756" s="559"/>
      <c r="P756" s="559"/>
      <c r="Q756" s="559"/>
      <c r="R756" s="559"/>
      <c r="S756" s="559"/>
      <c r="T756" s="559"/>
      <c r="U756" s="559"/>
      <c r="V756" s="559"/>
      <c r="W756" s="559"/>
      <c r="X756" s="559"/>
      <c r="Y756" s="559"/>
      <c r="Z756" s="559"/>
      <c r="AA756" s="559"/>
      <c r="AB756" s="559"/>
      <c r="AC756" s="559"/>
      <c r="AD756" s="559"/>
      <c r="AE756" s="559"/>
      <c r="AF756" s="559"/>
      <c r="AG756" s="559"/>
    </row>
    <row r="757" spans="1:33" ht="18" customHeight="1" x14ac:dyDescent="0.35">
      <c r="A757" s="559"/>
      <c r="B757" s="559"/>
      <c r="C757" s="559"/>
      <c r="D757" s="559"/>
      <c r="E757" s="559"/>
      <c r="F757" s="559"/>
      <c r="G757" s="559"/>
      <c r="H757" s="559"/>
      <c r="I757" s="559"/>
      <c r="J757" s="559"/>
      <c r="K757" s="559"/>
      <c r="L757" s="559"/>
      <c r="M757" s="559"/>
      <c r="N757" s="559"/>
      <c r="O757" s="559"/>
      <c r="P757" s="559"/>
      <c r="Q757" s="559"/>
      <c r="R757" s="559"/>
      <c r="S757" s="559"/>
      <c r="T757" s="559"/>
      <c r="U757" s="559"/>
      <c r="V757" s="559"/>
      <c r="W757" s="559"/>
      <c r="X757" s="559"/>
      <c r="Y757" s="559"/>
      <c r="Z757" s="559"/>
      <c r="AA757" s="559"/>
      <c r="AB757" s="559"/>
      <c r="AC757" s="559"/>
      <c r="AD757" s="559"/>
      <c r="AE757" s="559"/>
      <c r="AF757" s="559"/>
      <c r="AG757" s="559"/>
    </row>
    <row r="758" spans="1:33" ht="18" customHeight="1" x14ac:dyDescent="0.35">
      <c r="A758" s="559"/>
      <c r="B758" s="559"/>
      <c r="C758" s="559"/>
      <c r="D758" s="559"/>
      <c r="E758" s="559"/>
      <c r="F758" s="559"/>
      <c r="G758" s="559"/>
      <c r="H758" s="559"/>
      <c r="I758" s="559"/>
      <c r="J758" s="559"/>
      <c r="K758" s="559"/>
      <c r="L758" s="559"/>
      <c r="M758" s="559"/>
      <c r="N758" s="559"/>
      <c r="O758" s="559"/>
      <c r="P758" s="559"/>
      <c r="Q758" s="559"/>
      <c r="R758" s="559"/>
      <c r="S758" s="559"/>
      <c r="T758" s="559"/>
      <c r="U758" s="559"/>
      <c r="V758" s="559"/>
      <c r="W758" s="559"/>
      <c r="X758" s="559"/>
      <c r="Y758" s="559"/>
      <c r="Z758" s="559"/>
      <c r="AA758" s="559"/>
      <c r="AB758" s="559"/>
      <c r="AC758" s="559"/>
      <c r="AD758" s="559"/>
      <c r="AE758" s="559"/>
      <c r="AF758" s="559"/>
      <c r="AG758" s="559"/>
    </row>
    <row r="759" spans="1:33" ht="18" customHeight="1" x14ac:dyDescent="0.35">
      <c r="A759" s="559"/>
      <c r="B759" s="559"/>
      <c r="C759" s="559"/>
      <c r="D759" s="559"/>
      <c r="E759" s="559"/>
      <c r="F759" s="559"/>
      <c r="G759" s="559"/>
      <c r="H759" s="559"/>
      <c r="I759" s="559"/>
      <c r="J759" s="559"/>
      <c r="K759" s="559"/>
      <c r="L759" s="559"/>
      <c r="M759" s="559"/>
      <c r="N759" s="559"/>
      <c r="O759" s="559"/>
      <c r="P759" s="559"/>
      <c r="Q759" s="559"/>
      <c r="R759" s="559"/>
      <c r="S759" s="559"/>
      <c r="T759" s="559"/>
      <c r="U759" s="559"/>
      <c r="V759" s="559"/>
      <c r="W759" s="559"/>
      <c r="X759" s="559"/>
      <c r="Y759" s="559"/>
      <c r="Z759" s="559"/>
      <c r="AA759" s="559"/>
      <c r="AB759" s="559"/>
      <c r="AC759" s="559"/>
      <c r="AD759" s="559"/>
      <c r="AE759" s="559"/>
      <c r="AF759" s="559"/>
      <c r="AG759" s="559"/>
    </row>
    <row r="760" spans="1:33" ht="18" customHeight="1" x14ac:dyDescent="0.35">
      <c r="A760" s="559"/>
      <c r="B760" s="559"/>
      <c r="C760" s="559"/>
      <c r="D760" s="559"/>
      <c r="E760" s="559"/>
      <c r="F760" s="559"/>
      <c r="G760" s="559"/>
      <c r="H760" s="559"/>
      <c r="I760" s="559"/>
      <c r="J760" s="559"/>
      <c r="K760" s="559"/>
      <c r="L760" s="559"/>
      <c r="M760" s="559"/>
      <c r="N760" s="559"/>
      <c r="O760" s="559"/>
      <c r="P760" s="559"/>
      <c r="Q760" s="559"/>
      <c r="R760" s="559"/>
      <c r="S760" s="559"/>
      <c r="T760" s="559"/>
      <c r="U760" s="559"/>
      <c r="V760" s="559"/>
      <c r="W760" s="559"/>
      <c r="X760" s="559"/>
      <c r="Y760" s="559"/>
      <c r="Z760" s="559"/>
      <c r="AA760" s="559"/>
      <c r="AB760" s="559"/>
      <c r="AC760" s="559"/>
      <c r="AD760" s="559"/>
      <c r="AE760" s="559"/>
      <c r="AF760" s="559"/>
      <c r="AG760" s="559"/>
    </row>
    <row r="761" spans="1:33" ht="18" customHeight="1" x14ac:dyDescent="0.35">
      <c r="A761" s="559"/>
      <c r="B761" s="559"/>
      <c r="C761" s="559"/>
      <c r="D761" s="559"/>
      <c r="E761" s="559"/>
      <c r="F761" s="559"/>
      <c r="G761" s="559"/>
      <c r="H761" s="559"/>
      <c r="I761" s="559"/>
      <c r="J761" s="559"/>
      <c r="K761" s="559"/>
      <c r="L761" s="559"/>
      <c r="M761" s="559"/>
      <c r="N761" s="559"/>
      <c r="O761" s="559"/>
      <c r="P761" s="559"/>
      <c r="Q761" s="559"/>
      <c r="R761" s="559"/>
      <c r="S761" s="559"/>
      <c r="T761" s="559"/>
      <c r="U761" s="559"/>
      <c r="V761" s="559"/>
      <c r="W761" s="559"/>
      <c r="X761" s="559"/>
      <c r="Y761" s="559"/>
      <c r="Z761" s="559"/>
      <c r="AA761" s="559"/>
      <c r="AB761" s="559"/>
      <c r="AC761" s="559"/>
      <c r="AD761" s="559"/>
      <c r="AE761" s="559"/>
      <c r="AF761" s="559"/>
      <c r="AG761" s="559"/>
    </row>
    <row r="762" spans="1:33" ht="18" customHeight="1" x14ac:dyDescent="0.35">
      <c r="A762" s="559"/>
      <c r="B762" s="559"/>
      <c r="C762" s="559"/>
      <c r="D762" s="559"/>
      <c r="E762" s="559"/>
      <c r="F762" s="559"/>
      <c r="G762" s="559"/>
      <c r="H762" s="559"/>
      <c r="I762" s="559"/>
      <c r="J762" s="559"/>
      <c r="K762" s="559"/>
      <c r="L762" s="559"/>
      <c r="M762" s="559"/>
      <c r="N762" s="559"/>
      <c r="O762" s="559"/>
      <c r="P762" s="559"/>
      <c r="Q762" s="559"/>
      <c r="R762" s="559"/>
      <c r="S762" s="559"/>
      <c r="T762" s="559"/>
      <c r="U762" s="559"/>
      <c r="V762" s="559"/>
      <c r="W762" s="559"/>
      <c r="X762" s="559"/>
      <c r="Y762" s="559"/>
      <c r="Z762" s="559"/>
      <c r="AA762" s="559"/>
      <c r="AB762" s="559"/>
      <c r="AC762" s="559"/>
      <c r="AD762" s="559"/>
      <c r="AE762" s="559"/>
      <c r="AF762" s="559"/>
      <c r="AG762" s="559"/>
    </row>
    <row r="763" spans="1:33" ht="18" customHeight="1" x14ac:dyDescent="0.35">
      <c r="A763" s="559"/>
      <c r="B763" s="559"/>
      <c r="C763" s="559"/>
      <c r="D763" s="559"/>
      <c r="E763" s="559"/>
      <c r="F763" s="559"/>
      <c r="G763" s="559"/>
      <c r="H763" s="559"/>
      <c r="I763" s="559"/>
      <c r="J763" s="559"/>
      <c r="K763" s="559"/>
      <c r="L763" s="559"/>
      <c r="M763" s="559"/>
      <c r="N763" s="559"/>
      <c r="O763" s="559"/>
      <c r="P763" s="559"/>
      <c r="Q763" s="559"/>
      <c r="R763" s="559"/>
      <c r="S763" s="559"/>
      <c r="T763" s="559"/>
      <c r="U763" s="559"/>
      <c r="V763" s="559"/>
      <c r="W763" s="559"/>
      <c r="X763" s="559"/>
      <c r="Y763" s="559"/>
      <c r="Z763" s="559"/>
      <c r="AA763" s="559"/>
      <c r="AB763" s="559"/>
      <c r="AC763" s="559"/>
      <c r="AD763" s="559"/>
      <c r="AE763" s="559"/>
      <c r="AF763" s="559"/>
      <c r="AG763" s="559"/>
    </row>
    <row r="764" spans="1:33" ht="18" customHeight="1" x14ac:dyDescent="0.35">
      <c r="A764" s="559"/>
      <c r="B764" s="559"/>
      <c r="C764" s="559"/>
      <c r="D764" s="559"/>
      <c r="E764" s="559"/>
      <c r="F764" s="559"/>
      <c r="G764" s="559"/>
      <c r="H764" s="559"/>
      <c r="I764" s="559"/>
      <c r="J764" s="559"/>
      <c r="K764" s="559"/>
      <c r="L764" s="559"/>
      <c r="M764" s="559"/>
      <c r="N764" s="559"/>
      <c r="O764" s="559"/>
      <c r="P764" s="559"/>
      <c r="Q764" s="559"/>
      <c r="R764" s="559"/>
      <c r="S764" s="559"/>
      <c r="T764" s="559"/>
      <c r="U764" s="559"/>
      <c r="V764" s="559"/>
      <c r="W764" s="559"/>
      <c r="X764" s="559"/>
      <c r="Y764" s="559"/>
      <c r="Z764" s="559"/>
      <c r="AA764" s="559"/>
      <c r="AB764" s="559"/>
      <c r="AC764" s="559"/>
      <c r="AD764" s="559"/>
      <c r="AE764" s="559"/>
      <c r="AF764" s="559"/>
      <c r="AG764" s="559"/>
    </row>
    <row r="765" spans="1:33" ht="18" customHeight="1" x14ac:dyDescent="0.35">
      <c r="A765" s="559"/>
      <c r="B765" s="559"/>
      <c r="C765" s="559"/>
      <c r="D765" s="559"/>
      <c r="E765" s="559"/>
      <c r="F765" s="559"/>
      <c r="G765" s="559"/>
      <c r="H765" s="559"/>
      <c r="I765" s="559"/>
      <c r="J765" s="559"/>
      <c r="K765" s="559"/>
      <c r="L765" s="559"/>
      <c r="M765" s="559"/>
      <c r="N765" s="559"/>
      <c r="O765" s="559"/>
      <c r="P765" s="559"/>
      <c r="Q765" s="559"/>
      <c r="R765" s="559"/>
      <c r="S765" s="559"/>
      <c r="T765" s="559"/>
      <c r="U765" s="559"/>
      <c r="V765" s="559"/>
      <c r="W765" s="559"/>
      <c r="X765" s="559"/>
      <c r="Y765" s="559"/>
      <c r="Z765" s="559"/>
      <c r="AA765" s="559"/>
      <c r="AB765" s="559"/>
      <c r="AC765" s="559"/>
      <c r="AD765" s="559"/>
      <c r="AE765" s="559"/>
      <c r="AF765" s="559"/>
      <c r="AG765" s="559"/>
    </row>
    <row r="766" spans="1:33" ht="18" customHeight="1" x14ac:dyDescent="0.35">
      <c r="A766" s="559"/>
      <c r="B766" s="559"/>
      <c r="C766" s="559"/>
      <c r="D766" s="559"/>
      <c r="E766" s="559"/>
      <c r="F766" s="559"/>
      <c r="G766" s="559"/>
      <c r="H766" s="559"/>
      <c r="I766" s="559"/>
      <c r="J766" s="559"/>
      <c r="K766" s="559"/>
      <c r="L766" s="559"/>
      <c r="M766" s="559"/>
      <c r="N766" s="559"/>
      <c r="O766" s="559"/>
      <c r="P766" s="559"/>
      <c r="Q766" s="559"/>
      <c r="R766" s="559"/>
      <c r="S766" s="559"/>
      <c r="T766" s="559"/>
      <c r="U766" s="559"/>
      <c r="V766" s="559"/>
      <c r="W766" s="559"/>
      <c r="X766" s="559"/>
      <c r="Y766" s="559"/>
      <c r="Z766" s="559"/>
      <c r="AA766" s="559"/>
      <c r="AB766" s="559"/>
      <c r="AC766" s="559"/>
      <c r="AD766" s="559"/>
      <c r="AE766" s="559"/>
      <c r="AF766" s="559"/>
      <c r="AG766" s="559"/>
    </row>
    <row r="767" spans="1:33" ht="18" customHeight="1" x14ac:dyDescent="0.35">
      <c r="A767" s="559"/>
      <c r="B767" s="559"/>
      <c r="C767" s="559"/>
      <c r="D767" s="559"/>
      <c r="E767" s="559"/>
      <c r="F767" s="559"/>
      <c r="G767" s="559"/>
      <c r="H767" s="559"/>
      <c r="I767" s="559"/>
      <c r="J767" s="559"/>
      <c r="K767" s="559"/>
      <c r="L767" s="559"/>
      <c r="M767" s="559"/>
      <c r="N767" s="559"/>
      <c r="O767" s="559"/>
      <c r="P767" s="559"/>
      <c r="Q767" s="559"/>
      <c r="R767" s="559"/>
      <c r="S767" s="559"/>
      <c r="T767" s="559"/>
      <c r="U767" s="559"/>
      <c r="V767" s="559"/>
      <c r="W767" s="559"/>
      <c r="X767" s="559"/>
      <c r="Y767" s="559"/>
      <c r="Z767" s="559"/>
      <c r="AA767" s="559"/>
      <c r="AB767" s="559"/>
      <c r="AC767" s="559"/>
      <c r="AD767" s="559"/>
      <c r="AE767" s="559"/>
      <c r="AF767" s="559"/>
      <c r="AG767" s="559"/>
    </row>
    <row r="768" spans="1:33" ht="18" customHeight="1" x14ac:dyDescent="0.35">
      <c r="A768" s="559"/>
      <c r="B768" s="559"/>
      <c r="C768" s="559"/>
      <c r="D768" s="559"/>
      <c r="E768" s="559"/>
      <c r="F768" s="559"/>
      <c r="G768" s="559"/>
      <c r="H768" s="559"/>
      <c r="I768" s="559"/>
      <c r="J768" s="559"/>
      <c r="K768" s="559"/>
      <c r="L768" s="559"/>
      <c r="M768" s="559"/>
      <c r="N768" s="559"/>
      <c r="O768" s="559"/>
      <c r="P768" s="559"/>
      <c r="Q768" s="559"/>
      <c r="R768" s="559"/>
      <c r="S768" s="559"/>
      <c r="T768" s="559"/>
      <c r="U768" s="559"/>
      <c r="V768" s="559"/>
      <c r="W768" s="559"/>
      <c r="X768" s="559"/>
      <c r="Y768" s="559"/>
      <c r="Z768" s="559"/>
      <c r="AA768" s="559"/>
      <c r="AB768" s="559"/>
      <c r="AC768" s="559"/>
      <c r="AD768" s="559"/>
      <c r="AE768" s="559"/>
      <c r="AF768" s="559"/>
      <c r="AG768" s="559"/>
    </row>
    <row r="769" spans="1:33" ht="18" customHeight="1" x14ac:dyDescent="0.35">
      <c r="A769" s="559"/>
      <c r="B769" s="559"/>
      <c r="C769" s="559"/>
      <c r="D769" s="559"/>
      <c r="E769" s="559"/>
      <c r="F769" s="559"/>
      <c r="G769" s="559"/>
      <c r="H769" s="559"/>
      <c r="I769" s="559"/>
      <c r="J769" s="559"/>
      <c r="K769" s="559"/>
      <c r="L769" s="559"/>
      <c r="M769" s="559"/>
      <c r="N769" s="559"/>
      <c r="O769" s="559"/>
      <c r="P769" s="559"/>
      <c r="Q769" s="559"/>
      <c r="R769" s="559"/>
      <c r="S769" s="559"/>
      <c r="T769" s="559"/>
      <c r="U769" s="559"/>
      <c r="V769" s="559"/>
      <c r="W769" s="559"/>
      <c r="X769" s="559"/>
      <c r="Y769" s="559"/>
      <c r="Z769" s="559"/>
      <c r="AA769" s="559"/>
      <c r="AB769" s="559"/>
      <c r="AC769" s="559"/>
      <c r="AD769" s="559"/>
      <c r="AE769" s="559"/>
      <c r="AF769" s="559"/>
      <c r="AG769" s="559"/>
    </row>
    <row r="770" spans="1:33" ht="18" customHeight="1" x14ac:dyDescent="0.35">
      <c r="A770" s="559"/>
      <c r="B770" s="559"/>
      <c r="C770" s="559"/>
      <c r="D770" s="559"/>
      <c r="E770" s="559"/>
      <c r="F770" s="559"/>
      <c r="G770" s="559"/>
      <c r="H770" s="559"/>
      <c r="I770" s="559"/>
      <c r="J770" s="559"/>
      <c r="K770" s="559"/>
      <c r="L770" s="559"/>
      <c r="M770" s="559"/>
      <c r="N770" s="559"/>
      <c r="O770" s="559"/>
      <c r="P770" s="559"/>
      <c r="Q770" s="559"/>
      <c r="R770" s="559"/>
      <c r="S770" s="559"/>
      <c r="T770" s="559"/>
      <c r="U770" s="559"/>
      <c r="V770" s="559"/>
      <c r="W770" s="559"/>
      <c r="X770" s="559"/>
      <c r="Y770" s="559"/>
      <c r="Z770" s="559"/>
      <c r="AA770" s="559"/>
      <c r="AB770" s="559"/>
      <c r="AC770" s="559"/>
      <c r="AD770" s="559"/>
      <c r="AE770" s="559"/>
      <c r="AF770" s="559"/>
      <c r="AG770" s="559"/>
    </row>
    <row r="771" spans="1:33" ht="18" customHeight="1" x14ac:dyDescent="0.35">
      <c r="A771" s="559"/>
      <c r="B771" s="559"/>
      <c r="C771" s="559"/>
      <c r="D771" s="559"/>
      <c r="E771" s="559"/>
      <c r="F771" s="559"/>
      <c r="G771" s="559"/>
      <c r="H771" s="559"/>
      <c r="I771" s="559"/>
      <c r="J771" s="559"/>
      <c r="K771" s="559"/>
      <c r="L771" s="559"/>
      <c r="M771" s="559"/>
      <c r="N771" s="559"/>
      <c r="O771" s="559"/>
      <c r="P771" s="559"/>
      <c r="Q771" s="559"/>
      <c r="R771" s="559"/>
      <c r="S771" s="559"/>
      <c r="T771" s="559"/>
      <c r="U771" s="559"/>
      <c r="V771" s="559"/>
      <c r="W771" s="559"/>
      <c r="X771" s="559"/>
      <c r="Y771" s="559"/>
      <c r="Z771" s="559"/>
      <c r="AA771" s="559"/>
      <c r="AB771" s="559"/>
      <c r="AC771" s="559"/>
      <c r="AD771" s="559"/>
      <c r="AE771" s="559"/>
      <c r="AF771" s="559"/>
      <c r="AG771" s="559"/>
    </row>
    <row r="772" spans="1:33" ht="18" customHeight="1" x14ac:dyDescent="0.35">
      <c r="A772" s="559"/>
      <c r="B772" s="559"/>
      <c r="C772" s="559"/>
      <c r="D772" s="559"/>
      <c r="E772" s="559"/>
      <c r="F772" s="559"/>
      <c r="G772" s="559"/>
      <c r="H772" s="559"/>
      <c r="I772" s="559"/>
      <c r="J772" s="559"/>
      <c r="K772" s="559"/>
      <c r="L772" s="559"/>
      <c r="M772" s="559"/>
      <c r="N772" s="559"/>
      <c r="O772" s="559"/>
      <c r="P772" s="559"/>
      <c r="Q772" s="559"/>
      <c r="R772" s="559"/>
      <c r="S772" s="559"/>
      <c r="T772" s="559"/>
      <c r="U772" s="559"/>
      <c r="V772" s="559"/>
      <c r="W772" s="559"/>
      <c r="X772" s="559"/>
      <c r="Y772" s="559"/>
      <c r="Z772" s="559"/>
      <c r="AA772" s="559"/>
      <c r="AB772" s="559"/>
      <c r="AC772" s="559"/>
      <c r="AD772" s="559"/>
      <c r="AE772" s="559"/>
      <c r="AF772" s="559"/>
      <c r="AG772" s="559"/>
    </row>
    <row r="773" spans="1:33" ht="18" customHeight="1" x14ac:dyDescent="0.35">
      <c r="A773" s="559"/>
      <c r="B773" s="559"/>
      <c r="C773" s="559"/>
      <c r="D773" s="559"/>
      <c r="E773" s="559"/>
      <c r="F773" s="559"/>
      <c r="G773" s="559"/>
      <c r="H773" s="559"/>
      <c r="I773" s="559"/>
      <c r="J773" s="559"/>
      <c r="K773" s="559"/>
      <c r="L773" s="559"/>
      <c r="M773" s="559"/>
      <c r="N773" s="559"/>
      <c r="O773" s="559"/>
      <c r="P773" s="559"/>
      <c r="Q773" s="559"/>
      <c r="R773" s="559"/>
      <c r="S773" s="559"/>
      <c r="T773" s="559"/>
      <c r="U773" s="559"/>
      <c r="V773" s="559"/>
      <c r="W773" s="559"/>
      <c r="X773" s="559"/>
      <c r="Y773" s="559"/>
      <c r="Z773" s="559"/>
      <c r="AA773" s="559"/>
      <c r="AB773" s="559"/>
      <c r="AC773" s="559"/>
      <c r="AD773" s="559"/>
      <c r="AE773" s="559"/>
      <c r="AF773" s="559"/>
      <c r="AG773" s="559"/>
    </row>
    <row r="774" spans="1:33" ht="18" customHeight="1" x14ac:dyDescent="0.35">
      <c r="A774" s="559"/>
      <c r="B774" s="559"/>
      <c r="C774" s="559"/>
      <c r="D774" s="559"/>
      <c r="E774" s="559"/>
      <c r="F774" s="559"/>
      <c r="G774" s="559"/>
      <c r="H774" s="559"/>
      <c r="I774" s="559"/>
      <c r="J774" s="559"/>
      <c r="K774" s="559"/>
      <c r="L774" s="559"/>
      <c r="M774" s="559"/>
      <c r="N774" s="559"/>
      <c r="O774" s="559"/>
      <c r="P774" s="559"/>
      <c r="Q774" s="559"/>
      <c r="R774" s="559"/>
      <c r="S774" s="559"/>
      <c r="T774" s="559"/>
      <c r="U774" s="559"/>
      <c r="V774" s="559"/>
      <c r="W774" s="559"/>
      <c r="X774" s="559"/>
      <c r="Y774" s="559"/>
      <c r="Z774" s="559"/>
      <c r="AA774" s="559"/>
      <c r="AB774" s="559"/>
      <c r="AC774" s="559"/>
      <c r="AD774" s="559"/>
      <c r="AE774" s="559"/>
      <c r="AF774" s="559"/>
      <c r="AG774" s="559"/>
    </row>
    <row r="775" spans="1:33" ht="18" customHeight="1" x14ac:dyDescent="0.35">
      <c r="A775" s="559"/>
      <c r="B775" s="559"/>
      <c r="C775" s="559"/>
      <c r="D775" s="559"/>
      <c r="E775" s="559"/>
      <c r="F775" s="559"/>
      <c r="G775" s="559"/>
      <c r="H775" s="559"/>
      <c r="I775" s="559"/>
      <c r="J775" s="559"/>
      <c r="K775" s="559"/>
      <c r="L775" s="559"/>
      <c r="M775" s="559"/>
      <c r="N775" s="559"/>
      <c r="O775" s="559"/>
      <c r="P775" s="559"/>
      <c r="Q775" s="559"/>
      <c r="R775" s="559"/>
      <c r="S775" s="559"/>
      <c r="T775" s="559"/>
      <c r="U775" s="559"/>
      <c r="V775" s="559"/>
      <c r="W775" s="559"/>
      <c r="X775" s="559"/>
      <c r="Y775" s="559"/>
      <c r="Z775" s="559"/>
      <c r="AA775" s="559"/>
      <c r="AB775" s="559"/>
      <c r="AC775" s="559"/>
      <c r="AD775" s="559"/>
      <c r="AE775" s="559"/>
      <c r="AF775" s="559"/>
      <c r="AG775" s="559"/>
    </row>
    <row r="776" spans="1:33" ht="18" customHeight="1" x14ac:dyDescent="0.35">
      <c r="A776" s="559"/>
      <c r="B776" s="559"/>
      <c r="C776" s="559"/>
      <c r="D776" s="559"/>
      <c r="E776" s="559"/>
      <c r="F776" s="559"/>
      <c r="G776" s="559"/>
      <c r="H776" s="559"/>
      <c r="I776" s="559"/>
      <c r="J776" s="559"/>
      <c r="K776" s="559"/>
      <c r="L776" s="559"/>
      <c r="M776" s="559"/>
      <c r="N776" s="559"/>
      <c r="O776" s="559"/>
      <c r="P776" s="559"/>
      <c r="Q776" s="559"/>
      <c r="R776" s="559"/>
      <c r="S776" s="559"/>
      <c r="T776" s="559"/>
      <c r="U776" s="559"/>
      <c r="V776" s="559"/>
      <c r="W776" s="559"/>
      <c r="X776" s="559"/>
      <c r="Y776" s="559"/>
      <c r="Z776" s="559"/>
      <c r="AA776" s="559"/>
      <c r="AB776" s="559"/>
      <c r="AC776" s="559"/>
      <c r="AD776" s="559"/>
      <c r="AE776" s="559"/>
      <c r="AF776" s="559"/>
      <c r="AG776" s="559"/>
    </row>
    <row r="777" spans="1:33" ht="18" customHeight="1" x14ac:dyDescent="0.35">
      <c r="A777" s="559"/>
      <c r="B777" s="559"/>
      <c r="C777" s="559"/>
      <c r="D777" s="559"/>
      <c r="E777" s="559"/>
      <c r="F777" s="559"/>
      <c r="G777" s="559"/>
      <c r="H777" s="559"/>
      <c r="I777" s="559"/>
      <c r="J777" s="559"/>
      <c r="K777" s="559"/>
      <c r="L777" s="559"/>
      <c r="M777" s="559"/>
      <c r="N777" s="559"/>
      <c r="O777" s="559"/>
      <c r="P777" s="559"/>
      <c r="Q777" s="559"/>
      <c r="R777" s="559"/>
      <c r="S777" s="559"/>
      <c r="T777" s="559"/>
      <c r="U777" s="559"/>
      <c r="V777" s="559"/>
      <c r="W777" s="559"/>
      <c r="X777" s="559"/>
      <c r="Y777" s="559"/>
      <c r="Z777" s="559"/>
      <c r="AA777" s="559"/>
      <c r="AB777" s="559"/>
      <c r="AC777" s="559"/>
      <c r="AD777" s="559"/>
      <c r="AE777" s="559"/>
      <c r="AF777" s="559"/>
      <c r="AG777" s="559"/>
    </row>
    <row r="778" spans="1:33" ht="18" customHeight="1" x14ac:dyDescent="0.35">
      <c r="A778" s="559"/>
      <c r="B778" s="559"/>
      <c r="C778" s="559"/>
      <c r="D778" s="559"/>
      <c r="E778" s="559"/>
      <c r="F778" s="559"/>
      <c r="G778" s="559"/>
      <c r="H778" s="559"/>
      <c r="I778" s="559"/>
      <c r="J778" s="559"/>
      <c r="K778" s="559"/>
      <c r="L778" s="559"/>
      <c r="M778" s="559"/>
      <c r="N778" s="559"/>
      <c r="O778" s="559"/>
      <c r="P778" s="559"/>
      <c r="Q778" s="559"/>
      <c r="R778" s="559"/>
      <c r="S778" s="559"/>
      <c r="T778" s="559"/>
      <c r="U778" s="559"/>
      <c r="V778" s="559"/>
      <c r="W778" s="559"/>
      <c r="X778" s="559"/>
      <c r="Y778" s="559"/>
      <c r="Z778" s="559"/>
      <c r="AA778" s="559"/>
      <c r="AB778" s="559"/>
      <c r="AC778" s="559"/>
      <c r="AD778" s="559"/>
      <c r="AE778" s="559"/>
      <c r="AF778" s="559"/>
      <c r="AG778" s="559"/>
    </row>
    <row r="779" spans="1:33" ht="18" customHeight="1" x14ac:dyDescent="0.35">
      <c r="A779" s="559"/>
      <c r="B779" s="559"/>
      <c r="C779" s="559"/>
      <c r="D779" s="559"/>
      <c r="E779" s="559"/>
      <c r="F779" s="559"/>
      <c r="G779" s="559"/>
      <c r="H779" s="559"/>
      <c r="I779" s="559"/>
      <c r="J779" s="559"/>
      <c r="K779" s="559"/>
      <c r="L779" s="559"/>
      <c r="M779" s="559"/>
      <c r="N779" s="559"/>
      <c r="O779" s="559"/>
      <c r="P779" s="559"/>
      <c r="Q779" s="559"/>
      <c r="R779" s="559"/>
      <c r="S779" s="559"/>
      <c r="T779" s="559"/>
      <c r="U779" s="559"/>
      <c r="V779" s="559"/>
      <c r="W779" s="559"/>
      <c r="X779" s="559"/>
      <c r="Y779" s="559"/>
      <c r="Z779" s="559"/>
      <c r="AA779" s="559"/>
      <c r="AB779" s="559"/>
      <c r="AC779" s="559"/>
      <c r="AD779" s="559"/>
      <c r="AE779" s="559"/>
      <c r="AF779" s="559"/>
      <c r="AG779" s="559"/>
    </row>
    <row r="780" spans="1:33" ht="18" customHeight="1" x14ac:dyDescent="0.35">
      <c r="A780" s="559"/>
      <c r="B780" s="559"/>
      <c r="C780" s="559"/>
      <c r="D780" s="559"/>
      <c r="E780" s="559"/>
      <c r="F780" s="559"/>
      <c r="G780" s="559"/>
      <c r="H780" s="559"/>
      <c r="I780" s="559"/>
      <c r="J780" s="559"/>
      <c r="K780" s="559"/>
      <c r="L780" s="559"/>
      <c r="M780" s="559"/>
      <c r="N780" s="559"/>
      <c r="O780" s="559"/>
      <c r="P780" s="559"/>
      <c r="Q780" s="559"/>
      <c r="R780" s="559"/>
      <c r="S780" s="559"/>
      <c r="T780" s="559"/>
      <c r="U780" s="559"/>
      <c r="V780" s="559"/>
      <c r="W780" s="559"/>
      <c r="X780" s="559"/>
      <c r="Y780" s="559"/>
      <c r="Z780" s="559"/>
      <c r="AA780" s="559"/>
      <c r="AB780" s="559"/>
      <c r="AC780" s="559"/>
      <c r="AD780" s="559"/>
      <c r="AE780" s="559"/>
      <c r="AF780" s="559"/>
      <c r="AG780" s="559"/>
    </row>
    <row r="781" spans="1:33" ht="18" customHeight="1" x14ac:dyDescent="0.35">
      <c r="A781" s="559"/>
      <c r="B781" s="559"/>
      <c r="C781" s="559"/>
      <c r="D781" s="559"/>
      <c r="E781" s="559"/>
      <c r="F781" s="559"/>
      <c r="G781" s="559"/>
      <c r="H781" s="559"/>
      <c r="I781" s="559"/>
      <c r="J781" s="559"/>
      <c r="K781" s="559"/>
      <c r="L781" s="559"/>
      <c r="M781" s="559"/>
      <c r="N781" s="559"/>
      <c r="O781" s="559"/>
      <c r="P781" s="559"/>
      <c r="Q781" s="559"/>
      <c r="R781" s="559"/>
      <c r="S781" s="559"/>
      <c r="T781" s="559"/>
      <c r="U781" s="559"/>
      <c r="V781" s="559"/>
      <c r="W781" s="559"/>
      <c r="X781" s="559"/>
      <c r="Y781" s="559"/>
      <c r="Z781" s="559"/>
      <c r="AA781" s="559"/>
      <c r="AB781" s="559"/>
      <c r="AC781" s="559"/>
      <c r="AD781" s="559"/>
      <c r="AE781" s="559"/>
      <c r="AF781" s="559"/>
      <c r="AG781" s="559"/>
    </row>
    <row r="782" spans="1:33" ht="18" customHeight="1" x14ac:dyDescent="0.35">
      <c r="A782" s="559"/>
      <c r="B782" s="559"/>
      <c r="C782" s="559"/>
      <c r="D782" s="559"/>
      <c r="E782" s="559"/>
      <c r="F782" s="559"/>
      <c r="G782" s="559"/>
      <c r="H782" s="559"/>
      <c r="I782" s="559"/>
      <c r="J782" s="559"/>
      <c r="K782" s="559"/>
      <c r="L782" s="559"/>
      <c r="M782" s="559"/>
      <c r="N782" s="559"/>
      <c r="O782" s="559"/>
      <c r="P782" s="559"/>
      <c r="Q782" s="559"/>
      <c r="R782" s="559"/>
      <c r="S782" s="559"/>
      <c r="T782" s="559"/>
      <c r="U782" s="559"/>
      <c r="V782" s="559"/>
      <c r="W782" s="559"/>
      <c r="X782" s="559"/>
      <c r="Y782" s="559"/>
      <c r="Z782" s="559"/>
      <c r="AA782" s="559"/>
      <c r="AB782" s="559"/>
      <c r="AC782" s="559"/>
      <c r="AD782" s="559"/>
      <c r="AE782" s="559"/>
      <c r="AF782" s="559"/>
      <c r="AG782" s="559"/>
    </row>
    <row r="783" spans="1:33" ht="18" customHeight="1" x14ac:dyDescent="0.35">
      <c r="A783" s="559"/>
      <c r="B783" s="559"/>
      <c r="C783" s="559"/>
      <c r="D783" s="559"/>
      <c r="E783" s="559"/>
      <c r="F783" s="559"/>
      <c r="G783" s="559"/>
      <c r="H783" s="559"/>
      <c r="I783" s="559"/>
      <c r="J783" s="559"/>
      <c r="K783" s="559"/>
      <c r="L783" s="559"/>
      <c r="M783" s="559"/>
      <c r="N783" s="559"/>
      <c r="O783" s="559"/>
      <c r="P783" s="559"/>
      <c r="Q783" s="559"/>
      <c r="R783" s="559"/>
      <c r="S783" s="559"/>
      <c r="T783" s="559"/>
      <c r="U783" s="559"/>
      <c r="V783" s="559"/>
      <c r="W783" s="559"/>
      <c r="X783" s="559"/>
      <c r="Y783" s="559"/>
      <c r="Z783" s="559"/>
      <c r="AA783" s="559"/>
      <c r="AB783" s="559"/>
      <c r="AC783" s="559"/>
      <c r="AD783" s="559"/>
      <c r="AE783" s="559"/>
      <c r="AF783" s="559"/>
      <c r="AG783" s="559"/>
    </row>
    <row r="784" spans="1:33" ht="18" customHeight="1" x14ac:dyDescent="0.35">
      <c r="A784" s="559"/>
      <c r="B784" s="559"/>
      <c r="C784" s="559"/>
      <c r="D784" s="559"/>
      <c r="E784" s="559"/>
      <c r="F784" s="559"/>
      <c r="G784" s="559"/>
      <c r="H784" s="559"/>
      <c r="I784" s="559"/>
      <c r="J784" s="559"/>
      <c r="K784" s="559"/>
      <c r="L784" s="559"/>
      <c r="M784" s="559"/>
      <c r="N784" s="559"/>
      <c r="O784" s="559"/>
      <c r="P784" s="559"/>
      <c r="Q784" s="559"/>
      <c r="R784" s="559"/>
      <c r="S784" s="559"/>
      <c r="T784" s="559"/>
      <c r="U784" s="559"/>
      <c r="V784" s="559"/>
      <c r="W784" s="559"/>
      <c r="X784" s="559"/>
      <c r="Y784" s="559"/>
      <c r="Z784" s="559"/>
      <c r="AA784" s="559"/>
      <c r="AB784" s="559"/>
      <c r="AC784" s="559"/>
      <c r="AD784" s="559"/>
      <c r="AE784" s="559"/>
      <c r="AF784" s="559"/>
      <c r="AG784" s="559"/>
    </row>
    <row r="785" spans="1:33" ht="18" customHeight="1" x14ac:dyDescent="0.35">
      <c r="A785" s="559"/>
      <c r="B785" s="559"/>
      <c r="C785" s="559"/>
      <c r="D785" s="559"/>
      <c r="E785" s="559"/>
      <c r="F785" s="559"/>
      <c r="G785" s="559"/>
      <c r="H785" s="559"/>
      <c r="I785" s="559"/>
      <c r="J785" s="559"/>
      <c r="K785" s="559"/>
      <c r="L785" s="559"/>
      <c r="M785" s="559"/>
      <c r="N785" s="559"/>
      <c r="O785" s="559"/>
      <c r="P785" s="559"/>
      <c r="Q785" s="559"/>
      <c r="R785" s="559"/>
      <c r="S785" s="559"/>
      <c r="T785" s="559"/>
      <c r="U785" s="559"/>
      <c r="V785" s="559"/>
      <c r="W785" s="559"/>
      <c r="X785" s="559"/>
      <c r="Y785" s="559"/>
      <c r="Z785" s="559"/>
      <c r="AA785" s="559"/>
      <c r="AB785" s="559"/>
      <c r="AC785" s="559"/>
      <c r="AD785" s="559"/>
      <c r="AE785" s="559"/>
      <c r="AF785" s="559"/>
      <c r="AG785" s="559"/>
    </row>
    <row r="786" spans="1:33" ht="18" customHeight="1" x14ac:dyDescent="0.35">
      <c r="A786" s="559"/>
      <c r="B786" s="559"/>
      <c r="C786" s="559"/>
      <c r="D786" s="559"/>
      <c r="E786" s="559"/>
      <c r="F786" s="559"/>
      <c r="G786" s="559"/>
      <c r="H786" s="559"/>
      <c r="I786" s="559"/>
      <c r="J786" s="559"/>
      <c r="K786" s="559"/>
      <c r="L786" s="559"/>
      <c r="M786" s="559"/>
      <c r="N786" s="559"/>
      <c r="O786" s="559"/>
      <c r="P786" s="559"/>
      <c r="Q786" s="559"/>
      <c r="R786" s="559"/>
      <c r="S786" s="559"/>
      <c r="T786" s="559"/>
      <c r="U786" s="559"/>
      <c r="V786" s="559"/>
      <c r="W786" s="559"/>
      <c r="X786" s="559"/>
      <c r="Y786" s="559"/>
      <c r="Z786" s="559"/>
      <c r="AA786" s="559"/>
      <c r="AB786" s="559"/>
      <c r="AC786" s="559"/>
      <c r="AD786" s="559"/>
      <c r="AE786" s="559"/>
      <c r="AF786" s="559"/>
      <c r="AG786" s="559"/>
    </row>
    <row r="787" spans="1:33" ht="18" customHeight="1" x14ac:dyDescent="0.35">
      <c r="A787" s="559"/>
      <c r="B787" s="559"/>
      <c r="C787" s="559"/>
      <c r="D787" s="559"/>
      <c r="E787" s="559"/>
      <c r="F787" s="559"/>
      <c r="G787" s="559"/>
      <c r="H787" s="559"/>
      <c r="I787" s="559"/>
      <c r="J787" s="559"/>
      <c r="K787" s="559"/>
      <c r="L787" s="559"/>
      <c r="M787" s="559"/>
      <c r="N787" s="559"/>
      <c r="O787" s="559"/>
      <c r="P787" s="559"/>
      <c r="Q787" s="559"/>
      <c r="R787" s="559"/>
      <c r="S787" s="559"/>
      <c r="T787" s="559"/>
      <c r="U787" s="559"/>
      <c r="V787" s="559"/>
      <c r="W787" s="559"/>
      <c r="X787" s="559"/>
      <c r="Y787" s="559"/>
      <c r="Z787" s="559"/>
      <c r="AA787" s="559"/>
      <c r="AB787" s="559"/>
      <c r="AC787" s="559"/>
      <c r="AD787" s="559"/>
      <c r="AE787" s="559"/>
      <c r="AF787" s="559"/>
      <c r="AG787" s="559"/>
    </row>
    <row r="788" spans="1:33" ht="18" customHeight="1" x14ac:dyDescent="0.35">
      <c r="A788" s="559"/>
      <c r="B788" s="559"/>
      <c r="C788" s="559"/>
      <c r="D788" s="559"/>
      <c r="E788" s="559"/>
      <c r="F788" s="559"/>
      <c r="G788" s="559"/>
      <c r="H788" s="559"/>
      <c r="I788" s="559"/>
      <c r="J788" s="559"/>
      <c r="K788" s="559"/>
      <c r="L788" s="559"/>
      <c r="M788" s="559"/>
      <c r="N788" s="559"/>
      <c r="O788" s="559"/>
      <c r="P788" s="559"/>
      <c r="Q788" s="559"/>
      <c r="R788" s="559"/>
      <c r="S788" s="559"/>
      <c r="T788" s="559"/>
      <c r="U788" s="559"/>
      <c r="V788" s="559"/>
      <c r="W788" s="559"/>
      <c r="X788" s="559"/>
      <c r="Y788" s="559"/>
      <c r="Z788" s="559"/>
      <c r="AA788" s="559"/>
      <c r="AB788" s="559"/>
      <c r="AC788" s="559"/>
      <c r="AD788" s="559"/>
      <c r="AE788" s="559"/>
      <c r="AF788" s="559"/>
      <c r="AG788" s="559"/>
    </row>
    <row r="789" spans="1:33" ht="18" customHeight="1" x14ac:dyDescent="0.35">
      <c r="A789" s="559"/>
      <c r="B789" s="559"/>
      <c r="C789" s="559"/>
      <c r="D789" s="559"/>
      <c r="E789" s="559"/>
      <c r="F789" s="559"/>
      <c r="G789" s="559"/>
      <c r="H789" s="559"/>
      <c r="I789" s="559"/>
      <c r="J789" s="559"/>
      <c r="K789" s="559"/>
      <c r="L789" s="559"/>
      <c r="M789" s="559"/>
      <c r="N789" s="559"/>
      <c r="O789" s="559"/>
      <c r="P789" s="559"/>
      <c r="Q789" s="559"/>
      <c r="R789" s="559"/>
      <c r="S789" s="559"/>
      <c r="T789" s="559"/>
      <c r="U789" s="559"/>
      <c r="V789" s="559"/>
      <c r="W789" s="559"/>
      <c r="X789" s="559"/>
      <c r="Y789" s="559"/>
      <c r="Z789" s="559"/>
      <c r="AA789" s="559"/>
      <c r="AB789" s="559"/>
      <c r="AC789" s="559"/>
      <c r="AD789" s="559"/>
      <c r="AE789" s="559"/>
      <c r="AF789" s="559"/>
      <c r="AG789" s="559"/>
    </row>
    <row r="790" spans="1:33" ht="18" customHeight="1" x14ac:dyDescent="0.35">
      <c r="A790" s="559"/>
      <c r="B790" s="559"/>
      <c r="C790" s="559"/>
      <c r="D790" s="559"/>
      <c r="E790" s="559"/>
      <c r="F790" s="559"/>
      <c r="G790" s="559"/>
      <c r="H790" s="559"/>
      <c r="I790" s="559"/>
      <c r="J790" s="559"/>
      <c r="K790" s="559"/>
      <c r="L790" s="559"/>
      <c r="M790" s="559"/>
      <c r="N790" s="559"/>
      <c r="O790" s="559"/>
      <c r="P790" s="559"/>
      <c r="Q790" s="559"/>
      <c r="R790" s="559"/>
      <c r="S790" s="559"/>
      <c r="T790" s="559"/>
      <c r="U790" s="559"/>
      <c r="V790" s="559"/>
      <c r="W790" s="559"/>
      <c r="X790" s="559"/>
      <c r="Y790" s="559"/>
      <c r="Z790" s="559"/>
      <c r="AA790" s="559"/>
      <c r="AB790" s="559"/>
      <c r="AC790" s="559"/>
      <c r="AD790" s="559"/>
      <c r="AE790" s="559"/>
      <c r="AF790" s="559"/>
      <c r="AG790" s="559"/>
    </row>
    <row r="791" spans="1:33" ht="18" customHeight="1" x14ac:dyDescent="0.35">
      <c r="A791" s="559"/>
      <c r="B791" s="559"/>
      <c r="C791" s="559"/>
      <c r="D791" s="559"/>
      <c r="E791" s="559"/>
      <c r="F791" s="559"/>
      <c r="G791" s="559"/>
      <c r="H791" s="559"/>
      <c r="I791" s="559"/>
      <c r="J791" s="559"/>
      <c r="K791" s="559"/>
      <c r="L791" s="559"/>
      <c r="M791" s="559"/>
      <c r="N791" s="559"/>
      <c r="O791" s="559"/>
      <c r="P791" s="559"/>
      <c r="Q791" s="559"/>
      <c r="R791" s="559"/>
      <c r="S791" s="559"/>
      <c r="T791" s="559"/>
      <c r="U791" s="559"/>
      <c r="V791" s="559"/>
      <c r="W791" s="559"/>
      <c r="X791" s="559"/>
      <c r="Y791" s="559"/>
      <c r="Z791" s="559"/>
      <c r="AA791" s="559"/>
      <c r="AB791" s="559"/>
      <c r="AC791" s="559"/>
      <c r="AD791" s="559"/>
      <c r="AE791" s="559"/>
      <c r="AF791" s="559"/>
      <c r="AG791" s="559"/>
    </row>
    <row r="792" spans="1:33" ht="18" customHeight="1" x14ac:dyDescent="0.35">
      <c r="A792" s="559"/>
      <c r="B792" s="559"/>
      <c r="C792" s="559"/>
      <c r="D792" s="559"/>
      <c r="E792" s="559"/>
      <c r="F792" s="559"/>
      <c r="G792" s="559"/>
      <c r="H792" s="559"/>
      <c r="I792" s="559"/>
      <c r="J792" s="559"/>
      <c r="K792" s="559"/>
      <c r="L792" s="559"/>
      <c r="M792" s="559"/>
      <c r="N792" s="559"/>
      <c r="O792" s="559"/>
      <c r="P792" s="559"/>
      <c r="Q792" s="559"/>
      <c r="R792" s="559"/>
      <c r="S792" s="559"/>
      <c r="T792" s="559"/>
      <c r="U792" s="559"/>
      <c r="V792" s="559"/>
      <c r="W792" s="559"/>
      <c r="X792" s="559"/>
      <c r="Y792" s="559"/>
      <c r="Z792" s="559"/>
      <c r="AA792" s="559"/>
      <c r="AB792" s="559"/>
      <c r="AC792" s="559"/>
      <c r="AD792" s="559"/>
      <c r="AE792" s="559"/>
      <c r="AF792" s="559"/>
      <c r="AG792" s="559"/>
    </row>
    <row r="793" spans="1:33" ht="18" customHeight="1" x14ac:dyDescent="0.35">
      <c r="A793" s="559"/>
      <c r="B793" s="559"/>
      <c r="C793" s="559"/>
      <c r="D793" s="559"/>
      <c r="E793" s="559"/>
      <c r="F793" s="559"/>
      <c r="G793" s="559"/>
      <c r="H793" s="559"/>
      <c r="I793" s="559"/>
      <c r="J793" s="559"/>
      <c r="K793" s="559"/>
      <c r="L793" s="559"/>
      <c r="M793" s="559"/>
      <c r="N793" s="559"/>
      <c r="O793" s="559"/>
      <c r="P793" s="559"/>
      <c r="Q793" s="559"/>
      <c r="R793" s="559"/>
      <c r="S793" s="559"/>
      <c r="T793" s="559"/>
      <c r="U793" s="559"/>
      <c r="V793" s="559"/>
      <c r="W793" s="559"/>
      <c r="X793" s="559"/>
      <c r="Y793" s="559"/>
      <c r="Z793" s="559"/>
      <c r="AA793" s="559"/>
      <c r="AB793" s="559"/>
      <c r="AC793" s="559"/>
      <c r="AD793" s="559"/>
      <c r="AE793" s="559"/>
      <c r="AF793" s="559"/>
      <c r="AG793" s="559"/>
    </row>
    <row r="794" spans="1:33" ht="18" customHeight="1" x14ac:dyDescent="0.35">
      <c r="A794" s="559"/>
      <c r="B794" s="559"/>
      <c r="C794" s="559"/>
      <c r="D794" s="559"/>
      <c r="E794" s="559"/>
      <c r="F794" s="559"/>
      <c r="G794" s="559"/>
      <c r="H794" s="559"/>
      <c r="I794" s="559"/>
      <c r="J794" s="559"/>
      <c r="K794" s="559"/>
      <c r="L794" s="559"/>
      <c r="M794" s="559"/>
      <c r="N794" s="559"/>
      <c r="O794" s="559"/>
      <c r="P794" s="559"/>
      <c r="Q794" s="559"/>
      <c r="R794" s="559"/>
      <c r="S794" s="559"/>
      <c r="T794" s="559"/>
      <c r="U794" s="559"/>
      <c r="V794" s="559"/>
      <c r="W794" s="559"/>
      <c r="X794" s="559"/>
      <c r="Y794" s="559"/>
      <c r="Z794" s="559"/>
      <c r="AA794" s="559"/>
      <c r="AB794" s="559"/>
      <c r="AC794" s="559"/>
      <c r="AD794" s="559"/>
      <c r="AE794" s="559"/>
      <c r="AF794" s="559"/>
      <c r="AG794" s="559"/>
    </row>
    <row r="795" spans="1:33" ht="18" customHeight="1" x14ac:dyDescent="0.35">
      <c r="A795" s="559"/>
      <c r="B795" s="559"/>
      <c r="C795" s="559"/>
      <c r="D795" s="559"/>
      <c r="E795" s="559"/>
      <c r="F795" s="559"/>
      <c r="G795" s="559"/>
      <c r="H795" s="559"/>
      <c r="I795" s="559"/>
      <c r="J795" s="559"/>
      <c r="K795" s="559"/>
      <c r="L795" s="559"/>
      <c r="M795" s="559"/>
      <c r="N795" s="559"/>
      <c r="O795" s="559"/>
      <c r="P795" s="559"/>
      <c r="Q795" s="559"/>
      <c r="R795" s="559"/>
      <c r="S795" s="559"/>
      <c r="T795" s="559"/>
      <c r="U795" s="559"/>
      <c r="V795" s="559"/>
      <c r="W795" s="559"/>
      <c r="X795" s="559"/>
      <c r="Y795" s="559"/>
      <c r="Z795" s="559"/>
      <c r="AA795" s="559"/>
      <c r="AB795" s="559"/>
      <c r="AC795" s="559"/>
      <c r="AD795" s="559"/>
      <c r="AE795" s="559"/>
      <c r="AF795" s="559"/>
      <c r="AG795" s="559"/>
    </row>
    <row r="796" spans="1:33" ht="18" customHeight="1" x14ac:dyDescent="0.35">
      <c r="A796" s="559"/>
      <c r="B796" s="559"/>
      <c r="C796" s="559"/>
      <c r="D796" s="559"/>
      <c r="E796" s="559"/>
      <c r="F796" s="559"/>
      <c r="G796" s="559"/>
      <c r="H796" s="559"/>
      <c r="I796" s="559"/>
      <c r="J796" s="559"/>
      <c r="K796" s="559"/>
      <c r="L796" s="559"/>
      <c r="M796" s="559"/>
      <c r="N796" s="559"/>
      <c r="O796" s="559"/>
      <c r="P796" s="559"/>
      <c r="Q796" s="559"/>
      <c r="R796" s="559"/>
      <c r="S796" s="559"/>
      <c r="T796" s="559"/>
      <c r="U796" s="559"/>
      <c r="V796" s="559"/>
      <c r="W796" s="559"/>
      <c r="X796" s="559"/>
      <c r="Y796" s="559"/>
      <c r="Z796" s="559"/>
      <c r="AA796" s="559"/>
      <c r="AB796" s="559"/>
      <c r="AC796" s="559"/>
      <c r="AD796" s="559"/>
      <c r="AE796" s="559"/>
      <c r="AF796" s="559"/>
      <c r="AG796" s="559"/>
    </row>
    <row r="797" spans="1:33" ht="18" customHeight="1" x14ac:dyDescent="0.35">
      <c r="A797" s="559"/>
      <c r="B797" s="559"/>
      <c r="C797" s="559"/>
      <c r="D797" s="559"/>
      <c r="E797" s="559"/>
      <c r="F797" s="559"/>
      <c r="G797" s="559"/>
      <c r="H797" s="559"/>
      <c r="I797" s="559"/>
      <c r="J797" s="559"/>
      <c r="K797" s="559"/>
      <c r="L797" s="559"/>
      <c r="M797" s="559"/>
      <c r="N797" s="559"/>
      <c r="O797" s="559"/>
      <c r="P797" s="559"/>
      <c r="Q797" s="559"/>
      <c r="R797" s="559"/>
      <c r="S797" s="559"/>
      <c r="T797" s="559"/>
      <c r="U797" s="559"/>
      <c r="V797" s="559"/>
      <c r="W797" s="559"/>
      <c r="X797" s="559"/>
      <c r="Y797" s="559"/>
      <c r="Z797" s="559"/>
      <c r="AA797" s="559"/>
      <c r="AB797" s="559"/>
      <c r="AC797" s="559"/>
      <c r="AD797" s="559"/>
      <c r="AE797" s="559"/>
      <c r="AF797" s="559"/>
      <c r="AG797" s="559"/>
    </row>
    <row r="798" spans="1:33" ht="18" customHeight="1" x14ac:dyDescent="0.35">
      <c r="A798" s="559"/>
      <c r="B798" s="559"/>
      <c r="C798" s="559"/>
      <c r="D798" s="559"/>
      <c r="E798" s="559"/>
      <c r="F798" s="559"/>
      <c r="G798" s="559"/>
      <c r="H798" s="559"/>
      <c r="I798" s="559"/>
      <c r="J798" s="559"/>
      <c r="K798" s="559"/>
      <c r="L798" s="559"/>
      <c r="M798" s="559"/>
      <c r="N798" s="559"/>
      <c r="O798" s="559"/>
      <c r="P798" s="559"/>
      <c r="Q798" s="559"/>
      <c r="R798" s="559"/>
      <c r="S798" s="559"/>
      <c r="T798" s="559"/>
      <c r="U798" s="559"/>
      <c r="V798" s="559"/>
      <c r="W798" s="559"/>
      <c r="X798" s="559"/>
      <c r="Y798" s="559"/>
      <c r="Z798" s="559"/>
      <c r="AA798" s="559"/>
      <c r="AB798" s="559"/>
      <c r="AC798" s="559"/>
      <c r="AD798" s="559"/>
      <c r="AE798" s="559"/>
      <c r="AF798" s="559"/>
      <c r="AG798" s="559"/>
    </row>
    <row r="799" spans="1:33" ht="18" customHeight="1" x14ac:dyDescent="0.35">
      <c r="A799" s="559"/>
      <c r="B799" s="559"/>
      <c r="C799" s="559"/>
      <c r="D799" s="559"/>
      <c r="E799" s="559"/>
      <c r="F799" s="559"/>
      <c r="G799" s="559"/>
      <c r="H799" s="559"/>
      <c r="I799" s="559"/>
      <c r="J799" s="559"/>
      <c r="K799" s="559"/>
      <c r="L799" s="559"/>
      <c r="M799" s="559"/>
      <c r="N799" s="559"/>
      <c r="O799" s="559"/>
      <c r="P799" s="559"/>
      <c r="Q799" s="559"/>
      <c r="R799" s="559"/>
      <c r="S799" s="559"/>
      <c r="T799" s="559"/>
      <c r="U799" s="559"/>
      <c r="V799" s="559"/>
      <c r="W799" s="559"/>
      <c r="X799" s="559"/>
      <c r="Y799" s="559"/>
      <c r="Z799" s="559"/>
      <c r="AA799" s="559"/>
      <c r="AB799" s="559"/>
      <c r="AC799" s="559"/>
      <c r="AD799" s="559"/>
      <c r="AE799" s="559"/>
      <c r="AF799" s="559"/>
      <c r="AG799" s="559"/>
    </row>
    <row r="800" spans="1:33" ht="18" customHeight="1" x14ac:dyDescent="0.35">
      <c r="A800" s="559"/>
      <c r="B800" s="559"/>
      <c r="C800" s="559"/>
      <c r="D800" s="559"/>
      <c r="E800" s="559"/>
      <c r="F800" s="559"/>
      <c r="G800" s="559"/>
      <c r="H800" s="559"/>
      <c r="I800" s="559"/>
      <c r="J800" s="559"/>
      <c r="K800" s="559"/>
      <c r="L800" s="559"/>
      <c r="M800" s="559"/>
      <c r="N800" s="559"/>
      <c r="O800" s="559"/>
      <c r="P800" s="559"/>
      <c r="Q800" s="559"/>
      <c r="R800" s="559"/>
      <c r="S800" s="559"/>
      <c r="T800" s="559"/>
      <c r="U800" s="559"/>
      <c r="V800" s="559"/>
      <c r="W800" s="559"/>
      <c r="X800" s="559"/>
      <c r="Y800" s="559"/>
      <c r="Z800" s="559"/>
      <c r="AA800" s="559"/>
      <c r="AB800" s="559"/>
      <c r="AC800" s="559"/>
      <c r="AD800" s="559"/>
      <c r="AE800" s="559"/>
      <c r="AF800" s="559"/>
      <c r="AG800" s="559"/>
    </row>
    <row r="801" spans="1:33" ht="18" customHeight="1" x14ac:dyDescent="0.35">
      <c r="A801" s="559"/>
      <c r="B801" s="559"/>
      <c r="C801" s="559"/>
      <c r="D801" s="559"/>
      <c r="E801" s="559"/>
      <c r="F801" s="559"/>
      <c r="G801" s="559"/>
      <c r="H801" s="559"/>
      <c r="I801" s="559"/>
      <c r="J801" s="559"/>
      <c r="K801" s="559"/>
      <c r="L801" s="559"/>
      <c r="M801" s="559"/>
      <c r="N801" s="559"/>
      <c r="O801" s="559"/>
      <c r="P801" s="559"/>
      <c r="Q801" s="559"/>
      <c r="R801" s="559"/>
      <c r="S801" s="559"/>
      <c r="T801" s="559"/>
      <c r="U801" s="559"/>
      <c r="V801" s="559"/>
      <c r="W801" s="559"/>
      <c r="X801" s="559"/>
      <c r="Y801" s="559"/>
      <c r="Z801" s="559"/>
      <c r="AA801" s="559"/>
      <c r="AB801" s="559"/>
      <c r="AC801" s="559"/>
      <c r="AD801" s="559"/>
      <c r="AE801" s="559"/>
      <c r="AF801" s="559"/>
      <c r="AG801" s="559"/>
    </row>
    <row r="802" spans="1:33" ht="18" customHeight="1" x14ac:dyDescent="0.35">
      <c r="A802" s="559"/>
      <c r="B802" s="559"/>
      <c r="C802" s="559"/>
      <c r="D802" s="559"/>
      <c r="E802" s="559"/>
      <c r="F802" s="559"/>
      <c r="G802" s="559"/>
      <c r="H802" s="559"/>
      <c r="I802" s="559"/>
      <c r="J802" s="559"/>
      <c r="K802" s="559"/>
      <c r="L802" s="559"/>
      <c r="M802" s="559"/>
      <c r="N802" s="559"/>
      <c r="O802" s="559"/>
      <c r="P802" s="559"/>
      <c r="Q802" s="559"/>
      <c r="R802" s="559"/>
      <c r="S802" s="559"/>
      <c r="T802" s="559"/>
      <c r="U802" s="559"/>
      <c r="V802" s="559"/>
      <c r="W802" s="559"/>
      <c r="X802" s="559"/>
      <c r="Y802" s="559"/>
      <c r="Z802" s="559"/>
      <c r="AA802" s="559"/>
      <c r="AB802" s="559"/>
      <c r="AC802" s="559"/>
      <c r="AD802" s="559"/>
      <c r="AE802" s="559"/>
      <c r="AF802" s="559"/>
      <c r="AG802" s="559"/>
    </row>
    <row r="803" spans="1:33" ht="18" customHeight="1" x14ac:dyDescent="0.35">
      <c r="A803" s="559"/>
      <c r="B803" s="559"/>
      <c r="C803" s="559"/>
      <c r="D803" s="559"/>
      <c r="E803" s="559"/>
      <c r="F803" s="559"/>
      <c r="G803" s="559"/>
      <c r="H803" s="559"/>
      <c r="I803" s="559"/>
      <c r="J803" s="559"/>
      <c r="K803" s="559"/>
      <c r="L803" s="559"/>
      <c r="M803" s="559"/>
      <c r="N803" s="559"/>
      <c r="O803" s="559"/>
      <c r="P803" s="559"/>
      <c r="Q803" s="559"/>
      <c r="R803" s="559"/>
      <c r="S803" s="559"/>
      <c r="T803" s="559"/>
      <c r="U803" s="559"/>
      <c r="V803" s="559"/>
      <c r="W803" s="559"/>
      <c r="X803" s="559"/>
      <c r="Y803" s="559"/>
      <c r="Z803" s="559"/>
      <c r="AA803" s="559"/>
      <c r="AB803" s="559"/>
      <c r="AC803" s="559"/>
      <c r="AD803" s="559"/>
      <c r="AE803" s="559"/>
      <c r="AF803" s="559"/>
      <c r="AG803" s="559"/>
    </row>
    <row r="804" spans="1:33" ht="18" customHeight="1" x14ac:dyDescent="0.35">
      <c r="A804" s="559"/>
      <c r="B804" s="559"/>
      <c r="C804" s="559"/>
      <c r="D804" s="559"/>
      <c r="E804" s="559"/>
      <c r="F804" s="559"/>
      <c r="G804" s="559"/>
      <c r="H804" s="559"/>
      <c r="I804" s="559"/>
      <c r="J804" s="559"/>
      <c r="K804" s="559"/>
      <c r="L804" s="559"/>
      <c r="M804" s="559"/>
      <c r="N804" s="559"/>
      <c r="O804" s="559"/>
      <c r="P804" s="559"/>
      <c r="Q804" s="559"/>
      <c r="R804" s="559"/>
      <c r="S804" s="559"/>
      <c r="T804" s="559"/>
      <c r="U804" s="559"/>
      <c r="V804" s="559"/>
      <c r="W804" s="559"/>
      <c r="X804" s="559"/>
      <c r="Y804" s="559"/>
      <c r="Z804" s="559"/>
      <c r="AA804" s="559"/>
      <c r="AB804" s="559"/>
      <c r="AC804" s="559"/>
      <c r="AD804" s="559"/>
      <c r="AE804" s="559"/>
      <c r="AF804" s="559"/>
      <c r="AG804" s="559"/>
    </row>
    <row r="805" spans="1:33" ht="18" customHeight="1" x14ac:dyDescent="0.35">
      <c r="A805" s="559"/>
      <c r="B805" s="559"/>
      <c r="C805" s="559"/>
      <c r="D805" s="559"/>
      <c r="E805" s="559"/>
      <c r="F805" s="559"/>
      <c r="G805" s="559"/>
      <c r="H805" s="559"/>
      <c r="I805" s="559"/>
      <c r="J805" s="559"/>
      <c r="K805" s="559"/>
      <c r="L805" s="559"/>
      <c r="M805" s="559"/>
      <c r="N805" s="559"/>
      <c r="O805" s="559"/>
      <c r="P805" s="559"/>
      <c r="Q805" s="559"/>
      <c r="R805" s="559"/>
      <c r="S805" s="559"/>
      <c r="T805" s="559"/>
      <c r="U805" s="559"/>
      <c r="V805" s="559"/>
      <c r="W805" s="559"/>
      <c r="X805" s="559"/>
      <c r="Y805" s="559"/>
      <c r="Z805" s="559"/>
      <c r="AA805" s="559"/>
      <c r="AB805" s="559"/>
      <c r="AC805" s="559"/>
      <c r="AD805" s="559"/>
      <c r="AE805" s="559"/>
      <c r="AF805" s="559"/>
      <c r="AG805" s="559"/>
    </row>
    <row r="806" spans="1:33" ht="18" customHeight="1" x14ac:dyDescent="0.35">
      <c r="A806" s="559"/>
      <c r="B806" s="559"/>
      <c r="C806" s="559"/>
      <c r="D806" s="559"/>
      <c r="E806" s="559"/>
      <c r="F806" s="559"/>
      <c r="G806" s="559"/>
      <c r="H806" s="559"/>
      <c r="I806" s="559"/>
      <c r="J806" s="559"/>
      <c r="K806" s="559"/>
      <c r="L806" s="559"/>
      <c r="M806" s="559"/>
      <c r="N806" s="559"/>
      <c r="O806" s="559"/>
      <c r="P806" s="559"/>
      <c r="Q806" s="559"/>
      <c r="R806" s="559"/>
      <c r="S806" s="559"/>
      <c r="T806" s="559"/>
      <c r="U806" s="559"/>
      <c r="V806" s="559"/>
      <c r="W806" s="559"/>
      <c r="X806" s="559"/>
      <c r="Y806" s="559"/>
      <c r="Z806" s="559"/>
      <c r="AA806" s="559"/>
      <c r="AB806" s="559"/>
      <c r="AC806" s="559"/>
      <c r="AD806" s="559"/>
      <c r="AE806" s="559"/>
      <c r="AF806" s="559"/>
      <c r="AG806" s="559"/>
    </row>
    <row r="807" spans="1:33" ht="18" customHeight="1" x14ac:dyDescent="0.35">
      <c r="A807" s="559"/>
      <c r="B807" s="559"/>
      <c r="C807" s="559"/>
      <c r="D807" s="559"/>
      <c r="E807" s="559"/>
      <c r="F807" s="559"/>
      <c r="G807" s="559"/>
      <c r="H807" s="559"/>
      <c r="I807" s="559"/>
      <c r="J807" s="559"/>
      <c r="K807" s="559"/>
      <c r="L807" s="559"/>
      <c r="M807" s="559"/>
      <c r="N807" s="559"/>
      <c r="O807" s="559"/>
      <c r="P807" s="559"/>
      <c r="Q807" s="559"/>
      <c r="R807" s="559"/>
      <c r="S807" s="559"/>
      <c r="T807" s="559"/>
      <c r="U807" s="559"/>
      <c r="V807" s="559"/>
      <c r="W807" s="559"/>
      <c r="X807" s="559"/>
      <c r="Y807" s="559"/>
      <c r="Z807" s="559"/>
      <c r="AA807" s="559"/>
      <c r="AB807" s="559"/>
      <c r="AC807" s="559"/>
      <c r="AD807" s="559"/>
      <c r="AE807" s="559"/>
      <c r="AF807" s="559"/>
      <c r="AG807" s="559"/>
    </row>
    <row r="808" spans="1:33" ht="18" customHeight="1" x14ac:dyDescent="0.35">
      <c r="A808" s="559"/>
      <c r="B808" s="559"/>
      <c r="C808" s="559"/>
      <c r="D808" s="559"/>
      <c r="E808" s="559"/>
      <c r="F808" s="559"/>
      <c r="G808" s="559"/>
      <c r="H808" s="559"/>
      <c r="I808" s="559"/>
      <c r="J808" s="559"/>
      <c r="K808" s="559"/>
      <c r="L808" s="559"/>
      <c r="M808" s="559"/>
      <c r="N808" s="559"/>
      <c r="O808" s="559"/>
      <c r="P808" s="559"/>
      <c r="Q808" s="559"/>
      <c r="R808" s="559"/>
      <c r="S808" s="559"/>
      <c r="T808" s="559"/>
      <c r="U808" s="559"/>
      <c r="V808" s="559"/>
      <c r="W808" s="559"/>
      <c r="X808" s="559"/>
      <c r="Y808" s="559"/>
      <c r="Z808" s="559"/>
      <c r="AA808" s="559"/>
      <c r="AB808" s="559"/>
      <c r="AC808" s="559"/>
      <c r="AD808" s="559"/>
      <c r="AE808" s="559"/>
      <c r="AF808" s="559"/>
      <c r="AG808" s="559"/>
    </row>
    <row r="809" spans="1:33" ht="18" customHeight="1" x14ac:dyDescent="0.35">
      <c r="A809" s="559"/>
      <c r="B809" s="559"/>
      <c r="C809" s="559"/>
      <c r="D809" s="559"/>
      <c r="E809" s="559"/>
      <c r="F809" s="559"/>
      <c r="G809" s="559"/>
      <c r="H809" s="559"/>
      <c r="I809" s="559"/>
      <c r="J809" s="559"/>
      <c r="K809" s="559"/>
      <c r="L809" s="559"/>
      <c r="M809" s="559"/>
      <c r="N809" s="559"/>
      <c r="O809" s="559"/>
      <c r="P809" s="559"/>
      <c r="Q809" s="559"/>
      <c r="R809" s="559"/>
      <c r="S809" s="559"/>
      <c r="T809" s="559"/>
      <c r="U809" s="559"/>
      <c r="V809" s="559"/>
      <c r="W809" s="559"/>
      <c r="X809" s="559"/>
      <c r="Y809" s="559"/>
      <c r="Z809" s="559"/>
      <c r="AA809" s="559"/>
      <c r="AB809" s="559"/>
      <c r="AC809" s="559"/>
      <c r="AD809" s="559"/>
      <c r="AE809" s="559"/>
      <c r="AF809" s="559"/>
      <c r="AG809" s="559"/>
    </row>
    <row r="810" spans="1:33" ht="18" customHeight="1" x14ac:dyDescent="0.35">
      <c r="A810" s="559"/>
      <c r="B810" s="559"/>
      <c r="C810" s="559"/>
      <c r="D810" s="559"/>
      <c r="E810" s="559"/>
      <c r="F810" s="559"/>
      <c r="G810" s="559"/>
      <c r="H810" s="559"/>
      <c r="I810" s="559"/>
      <c r="J810" s="559"/>
      <c r="K810" s="559"/>
      <c r="L810" s="559"/>
      <c r="M810" s="559"/>
      <c r="N810" s="559"/>
      <c r="O810" s="559"/>
      <c r="P810" s="559"/>
      <c r="Q810" s="559"/>
      <c r="R810" s="559"/>
      <c r="S810" s="559"/>
      <c r="T810" s="559"/>
      <c r="U810" s="559"/>
      <c r="V810" s="559"/>
      <c r="W810" s="559"/>
      <c r="X810" s="559"/>
      <c r="Y810" s="559"/>
      <c r="Z810" s="559"/>
      <c r="AA810" s="559"/>
      <c r="AB810" s="559"/>
      <c r="AC810" s="559"/>
      <c r="AD810" s="559"/>
      <c r="AE810" s="559"/>
      <c r="AF810" s="559"/>
      <c r="AG810" s="559"/>
    </row>
    <row r="811" spans="1:33" ht="18" customHeight="1" x14ac:dyDescent="0.35">
      <c r="A811" s="559"/>
      <c r="B811" s="559"/>
      <c r="C811" s="559"/>
      <c r="D811" s="559"/>
      <c r="E811" s="559"/>
      <c r="F811" s="559"/>
      <c r="G811" s="559"/>
      <c r="H811" s="559"/>
      <c r="I811" s="559"/>
      <c r="J811" s="559"/>
      <c r="K811" s="559"/>
      <c r="L811" s="559"/>
      <c r="M811" s="559"/>
      <c r="N811" s="559"/>
      <c r="O811" s="559"/>
      <c r="P811" s="559"/>
      <c r="Q811" s="559"/>
      <c r="R811" s="559"/>
      <c r="S811" s="559"/>
      <c r="T811" s="559"/>
      <c r="U811" s="559"/>
      <c r="V811" s="559"/>
      <c r="W811" s="559"/>
      <c r="X811" s="559"/>
      <c r="Y811" s="559"/>
      <c r="Z811" s="559"/>
      <c r="AA811" s="559"/>
      <c r="AB811" s="559"/>
      <c r="AC811" s="559"/>
      <c r="AD811" s="559"/>
      <c r="AE811" s="559"/>
      <c r="AF811" s="559"/>
      <c r="AG811" s="559"/>
    </row>
    <row r="812" spans="1:33" ht="18" customHeight="1" x14ac:dyDescent="0.35">
      <c r="A812" s="559"/>
      <c r="B812" s="559"/>
      <c r="C812" s="559"/>
      <c r="D812" s="559"/>
      <c r="E812" s="559"/>
      <c r="F812" s="559"/>
      <c r="G812" s="559"/>
      <c r="H812" s="559"/>
      <c r="I812" s="559"/>
      <c r="J812" s="559"/>
      <c r="K812" s="559"/>
      <c r="L812" s="559"/>
      <c r="M812" s="559"/>
      <c r="N812" s="559"/>
      <c r="O812" s="559"/>
      <c r="P812" s="559"/>
      <c r="Q812" s="559"/>
      <c r="R812" s="559"/>
      <c r="S812" s="559"/>
      <c r="T812" s="559"/>
      <c r="U812" s="559"/>
      <c r="V812" s="559"/>
      <c r="W812" s="559"/>
      <c r="X812" s="559"/>
      <c r="Y812" s="559"/>
      <c r="Z812" s="559"/>
      <c r="AA812" s="559"/>
      <c r="AB812" s="559"/>
      <c r="AC812" s="559"/>
      <c r="AD812" s="559"/>
      <c r="AE812" s="559"/>
      <c r="AF812" s="559"/>
      <c r="AG812" s="559"/>
    </row>
    <row r="813" spans="1:33" ht="18" customHeight="1" x14ac:dyDescent="0.35">
      <c r="A813" s="559"/>
      <c r="B813" s="559"/>
      <c r="C813" s="559"/>
      <c r="D813" s="559"/>
      <c r="E813" s="559"/>
      <c r="F813" s="559"/>
      <c r="G813" s="559"/>
      <c r="H813" s="559"/>
      <c r="I813" s="559"/>
      <c r="J813" s="559"/>
      <c r="K813" s="559"/>
      <c r="L813" s="559"/>
      <c r="M813" s="559"/>
      <c r="N813" s="559"/>
      <c r="O813" s="559"/>
      <c r="P813" s="559"/>
      <c r="Q813" s="559"/>
      <c r="R813" s="559"/>
      <c r="S813" s="559"/>
      <c r="T813" s="559"/>
      <c r="U813" s="559"/>
      <c r="V813" s="559"/>
      <c r="W813" s="559"/>
      <c r="X813" s="559"/>
      <c r="Y813" s="559"/>
      <c r="Z813" s="559"/>
      <c r="AA813" s="559"/>
      <c r="AB813" s="559"/>
      <c r="AC813" s="559"/>
      <c r="AD813" s="559"/>
      <c r="AE813" s="559"/>
      <c r="AF813" s="559"/>
      <c r="AG813" s="559"/>
    </row>
    <row r="814" spans="1:33" ht="18" customHeight="1" x14ac:dyDescent="0.35">
      <c r="A814" s="559"/>
      <c r="B814" s="559"/>
      <c r="C814" s="559"/>
      <c r="D814" s="559"/>
      <c r="E814" s="559"/>
      <c r="F814" s="559"/>
      <c r="G814" s="559"/>
      <c r="H814" s="559"/>
      <c r="I814" s="559"/>
      <c r="J814" s="559"/>
      <c r="K814" s="559"/>
      <c r="L814" s="559"/>
      <c r="M814" s="559"/>
      <c r="N814" s="559"/>
      <c r="O814" s="559"/>
      <c r="P814" s="559"/>
      <c r="Q814" s="559"/>
      <c r="R814" s="559"/>
      <c r="S814" s="559"/>
      <c r="T814" s="559"/>
      <c r="U814" s="559"/>
      <c r="V814" s="559"/>
      <c r="W814" s="559"/>
      <c r="X814" s="559"/>
      <c r="Y814" s="559"/>
      <c r="Z814" s="559"/>
      <c r="AA814" s="559"/>
      <c r="AB814" s="559"/>
      <c r="AC814" s="559"/>
      <c r="AD814" s="559"/>
      <c r="AE814" s="559"/>
      <c r="AF814" s="559"/>
      <c r="AG814" s="559"/>
    </row>
    <row r="815" spans="1:33" ht="18" customHeight="1" x14ac:dyDescent="0.35">
      <c r="A815" s="559"/>
      <c r="B815" s="559"/>
      <c r="C815" s="559"/>
      <c r="D815" s="559"/>
      <c r="E815" s="559"/>
      <c r="F815" s="559"/>
      <c r="G815" s="559"/>
      <c r="H815" s="559"/>
      <c r="I815" s="559"/>
      <c r="J815" s="559"/>
      <c r="K815" s="559"/>
      <c r="L815" s="559"/>
      <c r="M815" s="559"/>
      <c r="N815" s="559"/>
      <c r="O815" s="559"/>
      <c r="P815" s="559"/>
      <c r="Q815" s="559"/>
      <c r="R815" s="559"/>
      <c r="S815" s="559"/>
      <c r="T815" s="559"/>
      <c r="U815" s="559"/>
      <c r="V815" s="559"/>
      <c r="W815" s="559"/>
      <c r="X815" s="559"/>
      <c r="Y815" s="559"/>
      <c r="Z815" s="559"/>
      <c r="AA815" s="559"/>
      <c r="AB815" s="559"/>
      <c r="AC815" s="559"/>
      <c r="AD815" s="559"/>
      <c r="AE815" s="559"/>
      <c r="AF815" s="559"/>
      <c r="AG815" s="559"/>
    </row>
    <row r="816" spans="1:33" ht="18" customHeight="1" x14ac:dyDescent="0.35">
      <c r="A816" s="559"/>
      <c r="B816" s="559"/>
      <c r="C816" s="559"/>
      <c r="D816" s="559"/>
      <c r="E816" s="559"/>
      <c r="F816" s="559"/>
      <c r="G816" s="559"/>
      <c r="H816" s="559"/>
      <c r="I816" s="559"/>
      <c r="J816" s="559"/>
      <c r="K816" s="559"/>
      <c r="L816" s="559"/>
      <c r="M816" s="559"/>
      <c r="N816" s="559"/>
      <c r="O816" s="559"/>
      <c r="P816" s="559"/>
      <c r="Q816" s="559"/>
      <c r="R816" s="559"/>
      <c r="S816" s="559"/>
      <c r="T816" s="559"/>
      <c r="U816" s="559"/>
      <c r="V816" s="559"/>
      <c r="W816" s="559"/>
      <c r="X816" s="559"/>
      <c r="Y816" s="559"/>
      <c r="Z816" s="559"/>
      <c r="AA816" s="559"/>
      <c r="AB816" s="559"/>
      <c r="AC816" s="559"/>
      <c r="AD816" s="559"/>
      <c r="AE816" s="559"/>
      <c r="AF816" s="559"/>
      <c r="AG816" s="559"/>
    </row>
    <row r="817" spans="1:33" ht="18" customHeight="1" x14ac:dyDescent="0.35">
      <c r="A817" s="559"/>
      <c r="B817" s="559"/>
      <c r="C817" s="559"/>
      <c r="D817" s="559"/>
      <c r="E817" s="559"/>
      <c r="F817" s="559"/>
      <c r="G817" s="559"/>
      <c r="H817" s="559"/>
      <c r="I817" s="559"/>
      <c r="J817" s="559"/>
      <c r="K817" s="559"/>
      <c r="L817" s="559"/>
      <c r="M817" s="559"/>
      <c r="N817" s="559"/>
      <c r="O817" s="559"/>
      <c r="P817" s="559"/>
      <c r="Q817" s="559"/>
      <c r="R817" s="559"/>
      <c r="S817" s="559"/>
      <c r="T817" s="559"/>
      <c r="U817" s="559"/>
      <c r="V817" s="559"/>
      <c r="W817" s="559"/>
      <c r="X817" s="559"/>
      <c r="Y817" s="559"/>
      <c r="Z817" s="559"/>
      <c r="AA817" s="559"/>
      <c r="AB817" s="559"/>
      <c r="AC817" s="559"/>
      <c r="AD817" s="559"/>
      <c r="AE817" s="559"/>
      <c r="AF817" s="559"/>
      <c r="AG817" s="559"/>
    </row>
    <row r="818" spans="1:33" ht="18" customHeight="1" x14ac:dyDescent="0.35">
      <c r="A818" s="559"/>
      <c r="B818" s="559"/>
      <c r="C818" s="559"/>
      <c r="D818" s="559"/>
      <c r="E818" s="559"/>
      <c r="F818" s="559"/>
      <c r="G818" s="559"/>
      <c r="H818" s="559"/>
      <c r="I818" s="559"/>
      <c r="J818" s="559"/>
      <c r="K818" s="559"/>
      <c r="L818" s="559"/>
      <c r="M818" s="559"/>
      <c r="N818" s="559"/>
      <c r="O818" s="559"/>
      <c r="P818" s="559"/>
      <c r="Q818" s="559"/>
      <c r="R818" s="559"/>
      <c r="S818" s="559"/>
      <c r="T818" s="559"/>
      <c r="U818" s="559"/>
      <c r="V818" s="559"/>
      <c r="W818" s="559"/>
      <c r="X818" s="559"/>
      <c r="Y818" s="559"/>
      <c r="Z818" s="559"/>
      <c r="AA818" s="559"/>
      <c r="AB818" s="559"/>
      <c r="AC818" s="559"/>
      <c r="AD818" s="559"/>
      <c r="AE818" s="559"/>
      <c r="AF818" s="559"/>
      <c r="AG818" s="559"/>
    </row>
    <row r="819" spans="1:33" ht="18" customHeight="1" x14ac:dyDescent="0.35">
      <c r="A819" s="559"/>
      <c r="B819" s="559"/>
      <c r="C819" s="559"/>
      <c r="D819" s="559"/>
      <c r="E819" s="559"/>
      <c r="F819" s="559"/>
      <c r="G819" s="559"/>
      <c r="H819" s="559"/>
      <c r="I819" s="559"/>
      <c r="J819" s="559"/>
      <c r="K819" s="559"/>
      <c r="L819" s="559"/>
      <c r="M819" s="559"/>
      <c r="N819" s="559"/>
      <c r="O819" s="559"/>
      <c r="P819" s="559"/>
      <c r="Q819" s="559"/>
      <c r="R819" s="559"/>
      <c r="S819" s="559"/>
      <c r="T819" s="559"/>
      <c r="U819" s="559"/>
      <c r="V819" s="559"/>
      <c r="W819" s="559"/>
      <c r="X819" s="559"/>
      <c r="Y819" s="559"/>
      <c r="Z819" s="559"/>
      <c r="AA819" s="559"/>
      <c r="AB819" s="559"/>
      <c r="AC819" s="559"/>
      <c r="AD819" s="559"/>
      <c r="AE819" s="559"/>
      <c r="AF819" s="559"/>
      <c r="AG819" s="559"/>
    </row>
    <row r="820" spans="1:33" ht="18" customHeight="1" x14ac:dyDescent="0.35">
      <c r="A820" s="559"/>
      <c r="B820" s="559"/>
      <c r="C820" s="559"/>
      <c r="D820" s="559"/>
      <c r="E820" s="559"/>
      <c r="F820" s="559"/>
      <c r="G820" s="559"/>
      <c r="H820" s="559"/>
      <c r="I820" s="559"/>
      <c r="J820" s="559"/>
      <c r="K820" s="559"/>
      <c r="L820" s="559"/>
      <c r="M820" s="559"/>
      <c r="N820" s="559"/>
      <c r="O820" s="559"/>
      <c r="P820" s="559"/>
      <c r="Q820" s="559"/>
      <c r="R820" s="559"/>
      <c r="S820" s="559"/>
      <c r="T820" s="559"/>
      <c r="U820" s="559"/>
      <c r="V820" s="559"/>
      <c r="W820" s="559"/>
      <c r="X820" s="559"/>
      <c r="Y820" s="559"/>
      <c r="Z820" s="559"/>
      <c r="AA820" s="559"/>
      <c r="AB820" s="559"/>
      <c r="AC820" s="559"/>
      <c r="AD820" s="559"/>
      <c r="AE820" s="559"/>
      <c r="AF820" s="559"/>
      <c r="AG820" s="559"/>
    </row>
    <row r="821" spans="1:33" ht="18" customHeight="1" x14ac:dyDescent="0.35">
      <c r="A821" s="559"/>
      <c r="B821" s="559"/>
      <c r="C821" s="559"/>
      <c r="D821" s="559"/>
      <c r="E821" s="559"/>
      <c r="F821" s="559"/>
      <c r="G821" s="559"/>
      <c r="H821" s="559"/>
      <c r="I821" s="559"/>
      <c r="J821" s="559"/>
      <c r="K821" s="559"/>
      <c r="L821" s="559"/>
      <c r="M821" s="559"/>
      <c r="N821" s="559"/>
      <c r="O821" s="559"/>
      <c r="P821" s="559"/>
      <c r="Q821" s="559"/>
      <c r="R821" s="559"/>
      <c r="S821" s="559"/>
      <c r="T821" s="559"/>
      <c r="U821" s="559"/>
      <c r="V821" s="559"/>
      <c r="W821" s="559"/>
      <c r="X821" s="559"/>
      <c r="Y821" s="559"/>
      <c r="Z821" s="559"/>
      <c r="AA821" s="559"/>
      <c r="AB821" s="559"/>
      <c r="AC821" s="559"/>
      <c r="AD821" s="559"/>
      <c r="AE821" s="559"/>
      <c r="AF821" s="559"/>
      <c r="AG821" s="559"/>
    </row>
    <row r="822" spans="1:33" ht="18" customHeight="1" x14ac:dyDescent="0.35">
      <c r="A822" s="559"/>
      <c r="B822" s="559"/>
      <c r="C822" s="559"/>
      <c r="D822" s="559"/>
      <c r="E822" s="559"/>
      <c r="F822" s="559"/>
      <c r="G822" s="559"/>
      <c r="H822" s="559"/>
      <c r="I822" s="559"/>
      <c r="J822" s="559"/>
      <c r="K822" s="559"/>
      <c r="L822" s="559"/>
      <c r="M822" s="559"/>
      <c r="N822" s="559"/>
      <c r="O822" s="559"/>
      <c r="P822" s="559"/>
      <c r="Q822" s="559"/>
      <c r="R822" s="559"/>
      <c r="S822" s="559"/>
      <c r="T822" s="559"/>
      <c r="U822" s="559"/>
      <c r="V822" s="559"/>
      <c r="W822" s="559"/>
      <c r="X822" s="559"/>
      <c r="Y822" s="559"/>
      <c r="Z822" s="559"/>
      <c r="AA822" s="559"/>
      <c r="AB822" s="559"/>
      <c r="AC822" s="559"/>
      <c r="AD822" s="559"/>
      <c r="AE822" s="559"/>
      <c r="AF822" s="559"/>
      <c r="AG822" s="559"/>
    </row>
    <row r="823" spans="1:33" ht="18" customHeight="1" x14ac:dyDescent="0.35">
      <c r="A823" s="559"/>
      <c r="B823" s="559"/>
      <c r="C823" s="559"/>
      <c r="D823" s="559"/>
      <c r="E823" s="559"/>
      <c r="F823" s="559"/>
      <c r="G823" s="559"/>
      <c r="H823" s="559"/>
      <c r="I823" s="559"/>
      <c r="J823" s="559"/>
      <c r="K823" s="559"/>
      <c r="L823" s="559"/>
      <c r="M823" s="559"/>
      <c r="N823" s="559"/>
      <c r="O823" s="559"/>
      <c r="P823" s="559"/>
      <c r="Q823" s="559"/>
      <c r="R823" s="559"/>
      <c r="S823" s="559"/>
      <c r="T823" s="559"/>
      <c r="U823" s="559"/>
      <c r="V823" s="559"/>
      <c r="W823" s="559"/>
      <c r="X823" s="559"/>
      <c r="Y823" s="559"/>
      <c r="Z823" s="559"/>
      <c r="AA823" s="559"/>
      <c r="AB823" s="559"/>
      <c r="AC823" s="559"/>
      <c r="AD823" s="559"/>
      <c r="AE823" s="559"/>
      <c r="AF823" s="559"/>
      <c r="AG823" s="559"/>
    </row>
    <row r="824" spans="1:33" ht="18" customHeight="1" x14ac:dyDescent="0.35">
      <c r="A824" s="559"/>
      <c r="B824" s="559"/>
      <c r="C824" s="559"/>
      <c r="D824" s="559"/>
      <c r="E824" s="559"/>
      <c r="F824" s="559"/>
      <c r="G824" s="559"/>
      <c r="H824" s="559"/>
      <c r="I824" s="559"/>
      <c r="J824" s="559"/>
      <c r="K824" s="559"/>
      <c r="L824" s="559"/>
      <c r="M824" s="559"/>
      <c r="N824" s="559"/>
      <c r="O824" s="559"/>
      <c r="P824" s="559"/>
      <c r="Q824" s="559"/>
      <c r="R824" s="559"/>
      <c r="S824" s="559"/>
      <c r="T824" s="559"/>
      <c r="U824" s="559"/>
      <c r="V824" s="559"/>
      <c r="W824" s="559"/>
      <c r="X824" s="559"/>
      <c r="Y824" s="559"/>
      <c r="Z824" s="559"/>
      <c r="AA824" s="559"/>
      <c r="AB824" s="559"/>
      <c r="AC824" s="559"/>
      <c r="AD824" s="559"/>
      <c r="AE824" s="559"/>
      <c r="AF824" s="559"/>
      <c r="AG824" s="559"/>
    </row>
    <row r="825" spans="1:33" ht="18" customHeight="1" x14ac:dyDescent="0.35">
      <c r="A825" s="559"/>
      <c r="B825" s="559"/>
      <c r="C825" s="559"/>
      <c r="D825" s="559"/>
      <c r="E825" s="559"/>
      <c r="F825" s="559"/>
      <c r="G825" s="559"/>
      <c r="H825" s="559"/>
      <c r="I825" s="559"/>
      <c r="J825" s="559"/>
      <c r="K825" s="559"/>
      <c r="L825" s="559"/>
      <c r="M825" s="559"/>
      <c r="N825" s="559"/>
      <c r="O825" s="559"/>
      <c r="P825" s="559"/>
      <c r="Q825" s="559"/>
      <c r="R825" s="559"/>
      <c r="S825" s="559"/>
      <c r="T825" s="559"/>
      <c r="U825" s="559"/>
      <c r="V825" s="559"/>
      <c r="W825" s="559"/>
      <c r="X825" s="559"/>
      <c r="Y825" s="559"/>
      <c r="Z825" s="559"/>
      <c r="AA825" s="559"/>
      <c r="AB825" s="559"/>
      <c r="AC825" s="559"/>
      <c r="AD825" s="559"/>
      <c r="AE825" s="559"/>
      <c r="AF825" s="559"/>
      <c r="AG825" s="559"/>
    </row>
    <row r="826" spans="1:33" ht="18" customHeight="1" x14ac:dyDescent="0.35">
      <c r="A826" s="559"/>
      <c r="B826" s="559"/>
      <c r="C826" s="559"/>
      <c r="D826" s="559"/>
      <c r="E826" s="559"/>
      <c r="F826" s="559"/>
      <c r="G826" s="559"/>
      <c r="H826" s="559"/>
      <c r="I826" s="559"/>
      <c r="J826" s="559"/>
      <c r="K826" s="559"/>
      <c r="L826" s="559"/>
      <c r="M826" s="559"/>
      <c r="N826" s="559"/>
      <c r="O826" s="559"/>
      <c r="P826" s="559"/>
      <c r="Q826" s="559"/>
      <c r="R826" s="559"/>
      <c r="S826" s="559"/>
      <c r="T826" s="559"/>
      <c r="U826" s="559"/>
      <c r="V826" s="559"/>
      <c r="W826" s="559"/>
      <c r="X826" s="559"/>
      <c r="Y826" s="559"/>
      <c r="Z826" s="559"/>
      <c r="AA826" s="559"/>
      <c r="AB826" s="559"/>
      <c r="AC826" s="559"/>
      <c r="AD826" s="559"/>
      <c r="AE826" s="559"/>
      <c r="AF826" s="559"/>
      <c r="AG826" s="559"/>
    </row>
    <row r="827" spans="1:33" ht="18" customHeight="1" x14ac:dyDescent="0.35">
      <c r="A827" s="559"/>
      <c r="B827" s="559"/>
      <c r="C827" s="559"/>
      <c r="D827" s="559"/>
      <c r="E827" s="559"/>
      <c r="F827" s="559"/>
      <c r="G827" s="559"/>
      <c r="H827" s="559"/>
      <c r="I827" s="559"/>
      <c r="J827" s="559"/>
      <c r="K827" s="559"/>
      <c r="L827" s="559"/>
      <c r="M827" s="559"/>
      <c r="N827" s="559"/>
      <c r="O827" s="559"/>
      <c r="P827" s="559"/>
      <c r="Q827" s="559"/>
      <c r="R827" s="559"/>
      <c r="S827" s="559"/>
      <c r="T827" s="559"/>
      <c r="U827" s="559"/>
      <c r="V827" s="559"/>
      <c r="W827" s="559"/>
      <c r="X827" s="559"/>
      <c r="Y827" s="559"/>
      <c r="Z827" s="559"/>
      <c r="AA827" s="559"/>
      <c r="AB827" s="559"/>
      <c r="AC827" s="559"/>
      <c r="AD827" s="559"/>
      <c r="AE827" s="559"/>
      <c r="AF827" s="559"/>
      <c r="AG827" s="559"/>
    </row>
    <row r="828" spans="1:33" ht="18" customHeight="1" x14ac:dyDescent="0.35">
      <c r="A828" s="559"/>
      <c r="B828" s="559"/>
      <c r="C828" s="559"/>
      <c r="D828" s="559"/>
      <c r="E828" s="559"/>
      <c r="F828" s="559"/>
      <c r="G828" s="559"/>
      <c r="H828" s="559"/>
      <c r="I828" s="559"/>
      <c r="J828" s="559"/>
      <c r="K828" s="559"/>
      <c r="L828" s="559"/>
      <c r="M828" s="559"/>
      <c r="N828" s="559"/>
      <c r="O828" s="559"/>
      <c r="P828" s="559"/>
      <c r="Q828" s="559"/>
      <c r="R828" s="559"/>
      <c r="S828" s="559"/>
      <c r="T828" s="559"/>
      <c r="U828" s="559"/>
      <c r="V828" s="559"/>
      <c r="W828" s="559"/>
      <c r="X828" s="559"/>
      <c r="Y828" s="559"/>
      <c r="Z828" s="559"/>
      <c r="AA828" s="559"/>
      <c r="AB828" s="559"/>
      <c r="AC828" s="559"/>
      <c r="AD828" s="559"/>
      <c r="AE828" s="559"/>
      <c r="AF828" s="559"/>
      <c r="AG828" s="559"/>
    </row>
    <row r="829" spans="1:33" ht="18" customHeight="1" x14ac:dyDescent="0.35">
      <c r="A829" s="559"/>
      <c r="B829" s="559"/>
      <c r="C829" s="559"/>
      <c r="D829" s="559"/>
      <c r="E829" s="559"/>
      <c r="F829" s="559"/>
      <c r="G829" s="559"/>
      <c r="H829" s="559"/>
      <c r="I829" s="559"/>
      <c r="J829" s="559"/>
      <c r="K829" s="559"/>
      <c r="L829" s="559"/>
      <c r="M829" s="559"/>
      <c r="N829" s="559"/>
      <c r="O829" s="559"/>
      <c r="P829" s="559"/>
      <c r="Q829" s="559"/>
      <c r="R829" s="559"/>
      <c r="S829" s="559"/>
      <c r="T829" s="559"/>
      <c r="U829" s="559"/>
      <c r="V829" s="559"/>
      <c r="W829" s="559"/>
      <c r="X829" s="559"/>
      <c r="Y829" s="559"/>
      <c r="Z829" s="559"/>
      <c r="AA829" s="559"/>
      <c r="AB829" s="559"/>
      <c r="AC829" s="559"/>
      <c r="AD829" s="559"/>
      <c r="AE829" s="559"/>
      <c r="AF829" s="559"/>
      <c r="AG829" s="559"/>
    </row>
    <row r="830" spans="1:33" ht="18" customHeight="1" x14ac:dyDescent="0.35">
      <c r="A830" s="559"/>
      <c r="B830" s="559"/>
      <c r="C830" s="559"/>
      <c r="D830" s="559"/>
      <c r="E830" s="559"/>
      <c r="F830" s="559"/>
      <c r="G830" s="559"/>
      <c r="H830" s="559"/>
      <c r="I830" s="559"/>
      <c r="J830" s="559"/>
      <c r="K830" s="559"/>
      <c r="L830" s="559"/>
      <c r="M830" s="559"/>
      <c r="N830" s="559"/>
      <c r="O830" s="559"/>
      <c r="P830" s="559"/>
      <c r="Q830" s="559"/>
      <c r="R830" s="559"/>
      <c r="S830" s="559"/>
      <c r="T830" s="559"/>
      <c r="U830" s="559"/>
      <c r="V830" s="559"/>
      <c r="W830" s="559"/>
      <c r="X830" s="559"/>
      <c r="Y830" s="559"/>
      <c r="Z830" s="559"/>
      <c r="AA830" s="559"/>
      <c r="AB830" s="559"/>
      <c r="AC830" s="559"/>
      <c r="AD830" s="559"/>
      <c r="AE830" s="559"/>
      <c r="AF830" s="559"/>
      <c r="AG830" s="559"/>
    </row>
    <row r="831" spans="1:33" ht="18" customHeight="1" x14ac:dyDescent="0.35">
      <c r="A831" s="559"/>
      <c r="B831" s="559"/>
      <c r="C831" s="559"/>
      <c r="D831" s="559"/>
      <c r="E831" s="559"/>
      <c r="F831" s="559"/>
      <c r="G831" s="559"/>
      <c r="H831" s="559"/>
      <c r="I831" s="559"/>
      <c r="J831" s="559"/>
      <c r="K831" s="559"/>
      <c r="L831" s="559"/>
      <c r="M831" s="559"/>
      <c r="N831" s="559"/>
      <c r="O831" s="559"/>
      <c r="P831" s="559"/>
      <c r="Q831" s="559"/>
      <c r="R831" s="559"/>
      <c r="S831" s="559"/>
      <c r="T831" s="559"/>
      <c r="U831" s="559"/>
      <c r="V831" s="559"/>
      <c r="W831" s="559"/>
      <c r="X831" s="559"/>
      <c r="Y831" s="559"/>
      <c r="Z831" s="559"/>
      <c r="AA831" s="559"/>
      <c r="AB831" s="559"/>
      <c r="AC831" s="559"/>
      <c r="AD831" s="559"/>
      <c r="AE831" s="559"/>
      <c r="AF831" s="559"/>
      <c r="AG831" s="559"/>
    </row>
    <row r="832" spans="1:33" ht="18" customHeight="1" x14ac:dyDescent="0.35">
      <c r="A832" s="559"/>
      <c r="B832" s="559"/>
      <c r="C832" s="559"/>
      <c r="D832" s="559"/>
      <c r="E832" s="559"/>
      <c r="F832" s="559"/>
      <c r="G832" s="559"/>
      <c r="H832" s="559"/>
      <c r="I832" s="559"/>
      <c r="J832" s="559"/>
      <c r="K832" s="559"/>
      <c r="L832" s="559"/>
      <c r="M832" s="559"/>
      <c r="N832" s="559"/>
      <c r="O832" s="559"/>
      <c r="P832" s="559"/>
      <c r="Q832" s="559"/>
      <c r="R832" s="559"/>
      <c r="S832" s="559"/>
      <c r="T832" s="559"/>
      <c r="U832" s="559"/>
      <c r="V832" s="559"/>
      <c r="W832" s="559"/>
      <c r="X832" s="559"/>
      <c r="Y832" s="559"/>
      <c r="Z832" s="559"/>
      <c r="AA832" s="559"/>
      <c r="AB832" s="559"/>
      <c r="AC832" s="559"/>
      <c r="AD832" s="559"/>
      <c r="AE832" s="559"/>
      <c r="AF832" s="559"/>
      <c r="AG832" s="559"/>
    </row>
    <row r="833" spans="1:33" ht="18" customHeight="1" x14ac:dyDescent="0.35">
      <c r="A833" s="559"/>
      <c r="B833" s="559"/>
      <c r="C833" s="559"/>
      <c r="D833" s="559"/>
      <c r="E833" s="559"/>
      <c r="F833" s="559"/>
      <c r="G833" s="559"/>
      <c r="H833" s="559"/>
      <c r="I833" s="559"/>
      <c r="J833" s="559"/>
      <c r="K833" s="559"/>
      <c r="L833" s="559"/>
      <c r="M833" s="559"/>
      <c r="N833" s="559"/>
      <c r="O833" s="559"/>
      <c r="P833" s="559"/>
      <c r="Q833" s="559"/>
      <c r="R833" s="559"/>
      <c r="S833" s="559"/>
      <c r="T833" s="559"/>
      <c r="U833" s="559"/>
      <c r="V833" s="559"/>
      <c r="W833" s="559"/>
      <c r="X833" s="559"/>
      <c r="Y833" s="559"/>
      <c r="Z833" s="559"/>
      <c r="AA833" s="559"/>
      <c r="AB833" s="559"/>
      <c r="AC833" s="559"/>
      <c r="AD833" s="559"/>
      <c r="AE833" s="559"/>
      <c r="AF833" s="559"/>
      <c r="AG833" s="559"/>
    </row>
    <row r="834" spans="1:33" ht="18" customHeight="1" x14ac:dyDescent="0.35">
      <c r="A834" s="559"/>
      <c r="B834" s="559"/>
      <c r="C834" s="559"/>
      <c r="D834" s="559"/>
      <c r="E834" s="559"/>
      <c r="F834" s="559"/>
      <c r="G834" s="559"/>
      <c r="H834" s="559"/>
      <c r="I834" s="559"/>
      <c r="J834" s="559"/>
      <c r="K834" s="559"/>
      <c r="L834" s="559"/>
      <c r="M834" s="559"/>
      <c r="N834" s="559"/>
      <c r="O834" s="559"/>
      <c r="P834" s="559"/>
      <c r="Q834" s="559"/>
      <c r="R834" s="559"/>
      <c r="S834" s="559"/>
      <c r="T834" s="559"/>
      <c r="U834" s="559"/>
      <c r="V834" s="559"/>
      <c r="W834" s="559"/>
      <c r="X834" s="559"/>
      <c r="Y834" s="559"/>
      <c r="Z834" s="559"/>
      <c r="AA834" s="559"/>
      <c r="AB834" s="559"/>
      <c r="AC834" s="559"/>
      <c r="AD834" s="559"/>
      <c r="AE834" s="559"/>
      <c r="AF834" s="559"/>
      <c r="AG834" s="559"/>
    </row>
    <row r="835" spans="1:33" ht="18" customHeight="1" x14ac:dyDescent="0.35">
      <c r="A835" s="559"/>
      <c r="B835" s="559"/>
      <c r="C835" s="559"/>
      <c r="D835" s="559"/>
      <c r="E835" s="559"/>
      <c r="F835" s="559"/>
      <c r="G835" s="559"/>
      <c r="H835" s="559"/>
      <c r="I835" s="559"/>
      <c r="J835" s="559"/>
      <c r="K835" s="559"/>
      <c r="L835" s="559"/>
      <c r="M835" s="559"/>
      <c r="N835" s="559"/>
      <c r="O835" s="559"/>
      <c r="P835" s="559"/>
      <c r="Q835" s="559"/>
      <c r="R835" s="559"/>
      <c r="S835" s="559"/>
      <c r="T835" s="559"/>
      <c r="U835" s="559"/>
      <c r="V835" s="559"/>
      <c r="W835" s="559"/>
      <c r="X835" s="559"/>
      <c r="Y835" s="559"/>
      <c r="Z835" s="559"/>
      <c r="AA835" s="559"/>
      <c r="AB835" s="559"/>
      <c r="AC835" s="559"/>
      <c r="AD835" s="559"/>
      <c r="AE835" s="559"/>
      <c r="AF835" s="559"/>
      <c r="AG835" s="559"/>
    </row>
    <row r="836" spans="1:33" ht="18" customHeight="1" x14ac:dyDescent="0.35">
      <c r="A836" s="559"/>
      <c r="B836" s="559"/>
      <c r="C836" s="559"/>
      <c r="D836" s="559"/>
      <c r="E836" s="559"/>
      <c r="F836" s="559"/>
      <c r="G836" s="559"/>
      <c r="H836" s="559"/>
      <c r="I836" s="559"/>
      <c r="J836" s="559"/>
      <c r="K836" s="559"/>
      <c r="L836" s="559"/>
      <c r="M836" s="559"/>
      <c r="N836" s="559"/>
      <c r="O836" s="559"/>
      <c r="P836" s="559"/>
      <c r="Q836" s="559"/>
      <c r="R836" s="559"/>
      <c r="S836" s="559"/>
      <c r="T836" s="559"/>
      <c r="U836" s="559"/>
      <c r="V836" s="559"/>
      <c r="W836" s="559"/>
      <c r="X836" s="559"/>
      <c r="Y836" s="559"/>
      <c r="Z836" s="559"/>
      <c r="AA836" s="559"/>
      <c r="AB836" s="559"/>
      <c r="AC836" s="559"/>
      <c r="AD836" s="559"/>
      <c r="AE836" s="559"/>
      <c r="AF836" s="559"/>
      <c r="AG836" s="559"/>
    </row>
    <row r="837" spans="1:33" ht="18" customHeight="1" x14ac:dyDescent="0.35">
      <c r="A837" s="559"/>
      <c r="B837" s="559"/>
      <c r="C837" s="559"/>
      <c r="D837" s="559"/>
      <c r="E837" s="559"/>
      <c r="F837" s="559"/>
      <c r="G837" s="559"/>
      <c r="H837" s="559"/>
      <c r="I837" s="559"/>
      <c r="J837" s="559"/>
      <c r="K837" s="559"/>
      <c r="L837" s="559"/>
      <c r="M837" s="559"/>
      <c r="N837" s="559"/>
      <c r="O837" s="559"/>
      <c r="P837" s="559"/>
      <c r="Q837" s="559"/>
      <c r="R837" s="559"/>
      <c r="S837" s="559"/>
      <c r="T837" s="559"/>
      <c r="U837" s="559"/>
      <c r="V837" s="559"/>
      <c r="W837" s="559"/>
      <c r="X837" s="559"/>
      <c r="Y837" s="559"/>
      <c r="Z837" s="559"/>
      <c r="AA837" s="559"/>
      <c r="AB837" s="559"/>
      <c r="AC837" s="559"/>
      <c r="AD837" s="559"/>
      <c r="AE837" s="559"/>
      <c r="AF837" s="559"/>
      <c r="AG837" s="559"/>
    </row>
    <row r="838" spans="1:33" ht="18" customHeight="1" x14ac:dyDescent="0.35">
      <c r="A838" s="559"/>
      <c r="B838" s="559"/>
      <c r="C838" s="559"/>
      <c r="D838" s="559"/>
      <c r="E838" s="559"/>
      <c r="F838" s="559"/>
      <c r="G838" s="559"/>
      <c r="H838" s="559"/>
      <c r="I838" s="559"/>
      <c r="J838" s="559"/>
      <c r="K838" s="559"/>
      <c r="L838" s="559"/>
      <c r="M838" s="559"/>
      <c r="N838" s="559"/>
      <c r="O838" s="559"/>
      <c r="P838" s="559"/>
      <c r="Q838" s="559"/>
      <c r="R838" s="559"/>
      <c r="S838" s="559"/>
      <c r="T838" s="559"/>
      <c r="U838" s="559"/>
      <c r="V838" s="559"/>
      <c r="W838" s="559"/>
      <c r="X838" s="559"/>
      <c r="Y838" s="559"/>
      <c r="Z838" s="559"/>
      <c r="AA838" s="559"/>
      <c r="AB838" s="559"/>
      <c r="AC838" s="559"/>
      <c r="AD838" s="559"/>
      <c r="AE838" s="559"/>
      <c r="AF838" s="559"/>
      <c r="AG838" s="559"/>
    </row>
    <row r="839" spans="1:33" ht="18" customHeight="1" x14ac:dyDescent="0.35">
      <c r="A839" s="559"/>
      <c r="B839" s="559"/>
      <c r="C839" s="559"/>
      <c r="D839" s="559"/>
      <c r="E839" s="559"/>
      <c r="F839" s="559"/>
      <c r="G839" s="559"/>
      <c r="H839" s="559"/>
      <c r="I839" s="559"/>
      <c r="J839" s="559"/>
      <c r="K839" s="559"/>
      <c r="L839" s="559"/>
      <c r="M839" s="559"/>
      <c r="N839" s="559"/>
      <c r="O839" s="559"/>
      <c r="P839" s="559"/>
      <c r="Q839" s="559"/>
      <c r="R839" s="559"/>
      <c r="S839" s="559"/>
      <c r="T839" s="559"/>
      <c r="U839" s="559"/>
      <c r="V839" s="559"/>
      <c r="W839" s="559"/>
      <c r="X839" s="559"/>
      <c r="Y839" s="559"/>
      <c r="Z839" s="559"/>
      <c r="AA839" s="559"/>
      <c r="AB839" s="559"/>
      <c r="AC839" s="559"/>
      <c r="AD839" s="559"/>
      <c r="AE839" s="559"/>
      <c r="AF839" s="559"/>
      <c r="AG839" s="559"/>
    </row>
    <row r="840" spans="1:33" ht="18" customHeight="1" x14ac:dyDescent="0.35">
      <c r="A840" s="559"/>
      <c r="B840" s="559"/>
      <c r="C840" s="559"/>
      <c r="D840" s="559"/>
      <c r="E840" s="559"/>
      <c r="F840" s="559"/>
      <c r="G840" s="559"/>
      <c r="H840" s="559"/>
      <c r="I840" s="559"/>
      <c r="J840" s="559"/>
      <c r="K840" s="559"/>
      <c r="L840" s="559"/>
      <c r="M840" s="559"/>
      <c r="N840" s="559"/>
      <c r="O840" s="559"/>
      <c r="P840" s="559"/>
      <c r="Q840" s="559"/>
      <c r="R840" s="559"/>
      <c r="S840" s="559"/>
      <c r="T840" s="559"/>
      <c r="U840" s="559"/>
      <c r="V840" s="559"/>
      <c r="W840" s="559"/>
      <c r="X840" s="559"/>
      <c r="Y840" s="559"/>
      <c r="Z840" s="559"/>
      <c r="AA840" s="559"/>
      <c r="AB840" s="559"/>
      <c r="AC840" s="559"/>
      <c r="AD840" s="559"/>
      <c r="AE840" s="559"/>
      <c r="AF840" s="559"/>
      <c r="AG840" s="559"/>
    </row>
    <row r="841" spans="1:33" ht="18" customHeight="1" x14ac:dyDescent="0.35">
      <c r="A841" s="559"/>
      <c r="B841" s="559"/>
      <c r="C841" s="559"/>
      <c r="D841" s="559"/>
      <c r="E841" s="559"/>
      <c r="F841" s="559"/>
      <c r="G841" s="559"/>
      <c r="H841" s="559"/>
      <c r="I841" s="559"/>
      <c r="J841" s="559"/>
      <c r="K841" s="559"/>
      <c r="L841" s="559"/>
      <c r="M841" s="559"/>
      <c r="N841" s="559"/>
      <c r="O841" s="559"/>
      <c r="P841" s="559"/>
      <c r="Q841" s="559"/>
      <c r="R841" s="559"/>
      <c r="S841" s="559"/>
      <c r="T841" s="559"/>
      <c r="U841" s="559"/>
      <c r="V841" s="559"/>
      <c r="W841" s="559"/>
      <c r="X841" s="559"/>
      <c r="Y841" s="559"/>
      <c r="Z841" s="559"/>
      <c r="AA841" s="559"/>
      <c r="AB841" s="559"/>
      <c r="AC841" s="559"/>
      <c r="AD841" s="559"/>
      <c r="AE841" s="559"/>
      <c r="AF841" s="559"/>
      <c r="AG841" s="559"/>
    </row>
    <row r="842" spans="1:33" ht="18" customHeight="1" x14ac:dyDescent="0.35">
      <c r="A842" s="559"/>
      <c r="B842" s="559"/>
      <c r="C842" s="559"/>
      <c r="D842" s="559"/>
      <c r="E842" s="559"/>
      <c r="F842" s="559"/>
      <c r="G842" s="559"/>
      <c r="H842" s="559"/>
      <c r="I842" s="559"/>
      <c r="J842" s="559"/>
      <c r="K842" s="559"/>
      <c r="L842" s="559"/>
      <c r="M842" s="559"/>
      <c r="N842" s="559"/>
      <c r="O842" s="559"/>
      <c r="P842" s="559"/>
      <c r="Q842" s="559"/>
      <c r="R842" s="559"/>
      <c r="S842" s="559"/>
      <c r="T842" s="559"/>
      <c r="U842" s="559"/>
      <c r="V842" s="559"/>
      <c r="W842" s="559"/>
      <c r="X842" s="559"/>
      <c r="Y842" s="559"/>
      <c r="Z842" s="559"/>
      <c r="AA842" s="559"/>
      <c r="AB842" s="559"/>
      <c r="AC842" s="559"/>
      <c r="AD842" s="559"/>
      <c r="AE842" s="559"/>
      <c r="AF842" s="559"/>
      <c r="AG842" s="559"/>
    </row>
    <row r="843" spans="1:33" ht="18" customHeight="1" x14ac:dyDescent="0.35">
      <c r="A843" s="559"/>
      <c r="B843" s="559"/>
      <c r="C843" s="559"/>
      <c r="D843" s="559"/>
      <c r="E843" s="559"/>
      <c r="F843" s="559"/>
      <c r="G843" s="559"/>
      <c r="H843" s="559"/>
      <c r="I843" s="559"/>
      <c r="J843" s="559"/>
      <c r="K843" s="559"/>
      <c r="L843" s="559"/>
      <c r="M843" s="559"/>
      <c r="N843" s="559"/>
      <c r="O843" s="559"/>
      <c r="P843" s="559"/>
      <c r="Q843" s="559"/>
      <c r="R843" s="559"/>
      <c r="S843" s="559"/>
      <c r="T843" s="559"/>
      <c r="U843" s="559"/>
      <c r="V843" s="559"/>
      <c r="W843" s="559"/>
      <c r="X843" s="559"/>
      <c r="Y843" s="559"/>
      <c r="Z843" s="559"/>
      <c r="AA843" s="559"/>
      <c r="AB843" s="559"/>
      <c r="AC843" s="559"/>
      <c r="AD843" s="559"/>
      <c r="AE843" s="559"/>
      <c r="AF843" s="559"/>
      <c r="AG843" s="559"/>
    </row>
    <row r="844" spans="1:33" ht="18" customHeight="1" x14ac:dyDescent="0.35">
      <c r="A844" s="559"/>
      <c r="B844" s="559"/>
      <c r="C844" s="559"/>
      <c r="D844" s="559"/>
      <c r="E844" s="559"/>
      <c r="F844" s="559"/>
      <c r="G844" s="559"/>
      <c r="H844" s="559"/>
      <c r="I844" s="559"/>
      <c r="J844" s="559"/>
      <c r="K844" s="559"/>
      <c r="L844" s="559"/>
      <c r="M844" s="559"/>
      <c r="N844" s="559"/>
      <c r="O844" s="559"/>
      <c r="P844" s="559"/>
      <c r="Q844" s="559"/>
      <c r="R844" s="559"/>
      <c r="S844" s="559"/>
      <c r="T844" s="559"/>
      <c r="U844" s="559"/>
      <c r="V844" s="559"/>
      <c r="W844" s="559"/>
      <c r="X844" s="559"/>
      <c r="Y844" s="559"/>
      <c r="Z844" s="559"/>
      <c r="AA844" s="559"/>
      <c r="AB844" s="559"/>
      <c r="AC844" s="559"/>
      <c r="AD844" s="559"/>
      <c r="AE844" s="559"/>
      <c r="AF844" s="559"/>
      <c r="AG844" s="559"/>
    </row>
    <row r="845" spans="1:33" ht="18" customHeight="1" x14ac:dyDescent="0.35">
      <c r="A845" s="559"/>
      <c r="B845" s="559"/>
      <c r="C845" s="559"/>
      <c r="D845" s="559"/>
      <c r="E845" s="559"/>
      <c r="F845" s="559"/>
      <c r="G845" s="559"/>
      <c r="H845" s="559"/>
      <c r="I845" s="559"/>
      <c r="J845" s="559"/>
      <c r="K845" s="559"/>
      <c r="L845" s="559"/>
      <c r="M845" s="559"/>
      <c r="N845" s="559"/>
      <c r="O845" s="559"/>
      <c r="P845" s="559"/>
      <c r="Q845" s="559"/>
      <c r="R845" s="559"/>
      <c r="S845" s="559"/>
      <c r="T845" s="559"/>
      <c r="U845" s="559"/>
      <c r="V845" s="559"/>
      <c r="W845" s="559"/>
      <c r="X845" s="559"/>
      <c r="Y845" s="559"/>
      <c r="Z845" s="559"/>
      <c r="AA845" s="559"/>
      <c r="AB845" s="559"/>
      <c r="AC845" s="559"/>
      <c r="AD845" s="559"/>
      <c r="AE845" s="559"/>
      <c r="AF845" s="559"/>
      <c r="AG845" s="559"/>
    </row>
    <row r="846" spans="1:33" ht="18" customHeight="1" x14ac:dyDescent="0.35">
      <c r="A846" s="559"/>
      <c r="B846" s="559"/>
      <c r="C846" s="559"/>
      <c r="D846" s="559"/>
      <c r="E846" s="559"/>
      <c r="F846" s="559"/>
      <c r="G846" s="559"/>
      <c r="H846" s="559"/>
      <c r="I846" s="559"/>
      <c r="J846" s="559"/>
      <c r="K846" s="559"/>
      <c r="L846" s="559"/>
      <c r="M846" s="559"/>
      <c r="N846" s="559"/>
      <c r="O846" s="559"/>
      <c r="P846" s="559"/>
      <c r="Q846" s="559"/>
      <c r="R846" s="559"/>
      <c r="S846" s="559"/>
      <c r="T846" s="559"/>
      <c r="U846" s="559"/>
      <c r="V846" s="559"/>
      <c r="W846" s="559"/>
      <c r="X846" s="559"/>
      <c r="Y846" s="559"/>
      <c r="Z846" s="559"/>
      <c r="AA846" s="559"/>
      <c r="AB846" s="559"/>
      <c r="AC846" s="559"/>
      <c r="AD846" s="559"/>
      <c r="AE846" s="559"/>
      <c r="AF846" s="559"/>
      <c r="AG846" s="559"/>
    </row>
    <row r="847" spans="1:33" ht="18" customHeight="1" x14ac:dyDescent="0.35">
      <c r="A847" s="559"/>
      <c r="B847" s="559"/>
      <c r="C847" s="559"/>
      <c r="D847" s="559"/>
      <c r="E847" s="559"/>
      <c r="F847" s="559"/>
      <c r="G847" s="559"/>
      <c r="H847" s="559"/>
      <c r="I847" s="559"/>
      <c r="J847" s="559"/>
      <c r="K847" s="559"/>
      <c r="L847" s="559"/>
      <c r="M847" s="559"/>
      <c r="N847" s="559"/>
      <c r="O847" s="559"/>
      <c r="P847" s="559"/>
      <c r="Q847" s="559"/>
      <c r="R847" s="559"/>
      <c r="S847" s="559"/>
      <c r="T847" s="559"/>
      <c r="U847" s="559"/>
      <c r="V847" s="559"/>
      <c r="W847" s="559"/>
      <c r="X847" s="559"/>
      <c r="Y847" s="559"/>
      <c r="Z847" s="559"/>
      <c r="AA847" s="559"/>
      <c r="AB847" s="559"/>
      <c r="AC847" s="559"/>
      <c r="AD847" s="559"/>
      <c r="AE847" s="559"/>
      <c r="AF847" s="559"/>
      <c r="AG847" s="559"/>
    </row>
    <row r="848" spans="1:33" ht="18" customHeight="1" x14ac:dyDescent="0.35">
      <c r="A848" s="559"/>
      <c r="B848" s="559"/>
      <c r="C848" s="559"/>
      <c r="D848" s="559"/>
      <c r="E848" s="559"/>
      <c r="F848" s="559"/>
      <c r="G848" s="559"/>
      <c r="H848" s="559"/>
      <c r="I848" s="559"/>
      <c r="J848" s="559"/>
      <c r="K848" s="559"/>
      <c r="L848" s="559"/>
      <c r="M848" s="559"/>
      <c r="N848" s="559"/>
      <c r="O848" s="559"/>
      <c r="P848" s="559"/>
      <c r="Q848" s="559"/>
      <c r="R848" s="559"/>
      <c r="S848" s="559"/>
      <c r="T848" s="559"/>
      <c r="U848" s="559"/>
      <c r="V848" s="559"/>
      <c r="W848" s="559"/>
      <c r="X848" s="559"/>
      <c r="Y848" s="559"/>
      <c r="Z848" s="559"/>
      <c r="AA848" s="559"/>
      <c r="AB848" s="559"/>
      <c r="AC848" s="559"/>
      <c r="AD848" s="559"/>
      <c r="AE848" s="559"/>
      <c r="AF848" s="559"/>
      <c r="AG848" s="559"/>
    </row>
    <row r="849" spans="1:33" ht="18" customHeight="1" x14ac:dyDescent="0.35">
      <c r="A849" s="559"/>
      <c r="B849" s="559"/>
      <c r="C849" s="559"/>
      <c r="D849" s="559"/>
      <c r="E849" s="559"/>
      <c r="F849" s="559"/>
      <c r="G849" s="559"/>
      <c r="H849" s="559"/>
      <c r="I849" s="559"/>
      <c r="J849" s="559"/>
      <c r="K849" s="559"/>
      <c r="L849" s="559"/>
      <c r="M849" s="559"/>
      <c r="N849" s="559"/>
      <c r="O849" s="559"/>
      <c r="P849" s="559"/>
      <c r="Q849" s="559"/>
      <c r="R849" s="559"/>
      <c r="S849" s="559"/>
      <c r="T849" s="559"/>
      <c r="U849" s="559"/>
      <c r="V849" s="559"/>
      <c r="W849" s="559"/>
      <c r="X849" s="559"/>
      <c r="Y849" s="559"/>
      <c r="Z849" s="559"/>
      <c r="AA849" s="559"/>
      <c r="AB849" s="559"/>
      <c r="AC849" s="559"/>
      <c r="AD849" s="559"/>
      <c r="AE849" s="559"/>
      <c r="AF849" s="559"/>
      <c r="AG849" s="559"/>
    </row>
    <row r="850" spans="1:33" ht="18" customHeight="1" x14ac:dyDescent="0.35">
      <c r="A850" s="559"/>
      <c r="B850" s="559"/>
      <c r="C850" s="559"/>
      <c r="D850" s="559"/>
      <c r="E850" s="559"/>
      <c r="F850" s="559"/>
      <c r="G850" s="559"/>
      <c r="H850" s="559"/>
      <c r="I850" s="559"/>
      <c r="J850" s="559"/>
      <c r="K850" s="559"/>
      <c r="L850" s="559"/>
      <c r="M850" s="559"/>
      <c r="N850" s="559"/>
      <c r="O850" s="559"/>
      <c r="P850" s="559"/>
      <c r="Q850" s="559"/>
      <c r="R850" s="559"/>
      <c r="S850" s="559"/>
      <c r="T850" s="559"/>
      <c r="U850" s="559"/>
      <c r="V850" s="559"/>
      <c r="W850" s="559"/>
      <c r="X850" s="559"/>
      <c r="Y850" s="559"/>
      <c r="Z850" s="559"/>
      <c r="AA850" s="559"/>
      <c r="AB850" s="559"/>
      <c r="AC850" s="559"/>
      <c r="AD850" s="559"/>
      <c r="AE850" s="559"/>
      <c r="AF850" s="559"/>
      <c r="AG850" s="559"/>
    </row>
    <row r="851" spans="1:33" ht="18" customHeight="1" x14ac:dyDescent="0.35">
      <c r="A851" s="559"/>
      <c r="B851" s="559"/>
      <c r="C851" s="559"/>
      <c r="D851" s="559"/>
      <c r="E851" s="559"/>
      <c r="F851" s="559"/>
      <c r="G851" s="559"/>
      <c r="H851" s="559"/>
      <c r="I851" s="559"/>
      <c r="J851" s="559"/>
      <c r="K851" s="559"/>
      <c r="L851" s="559"/>
      <c r="M851" s="559"/>
      <c r="N851" s="559"/>
      <c r="O851" s="559"/>
      <c r="P851" s="559"/>
      <c r="Q851" s="559"/>
      <c r="R851" s="559"/>
      <c r="S851" s="559"/>
      <c r="T851" s="559"/>
      <c r="U851" s="559"/>
      <c r="V851" s="559"/>
      <c r="W851" s="559"/>
      <c r="X851" s="559"/>
      <c r="Y851" s="559"/>
      <c r="Z851" s="559"/>
      <c r="AA851" s="559"/>
      <c r="AB851" s="559"/>
      <c r="AC851" s="559"/>
      <c r="AD851" s="559"/>
      <c r="AE851" s="559"/>
      <c r="AF851" s="559"/>
      <c r="AG851" s="559"/>
    </row>
    <row r="852" spans="1:33" ht="18" customHeight="1" x14ac:dyDescent="0.35">
      <c r="A852" s="559"/>
      <c r="B852" s="559"/>
      <c r="C852" s="559"/>
      <c r="D852" s="559"/>
      <c r="E852" s="559"/>
      <c r="F852" s="559"/>
      <c r="G852" s="559"/>
      <c r="H852" s="559"/>
      <c r="I852" s="559"/>
      <c r="J852" s="559"/>
      <c r="K852" s="559"/>
      <c r="L852" s="559"/>
      <c r="M852" s="559"/>
      <c r="N852" s="559"/>
      <c r="O852" s="559"/>
      <c r="P852" s="559"/>
      <c r="Q852" s="559"/>
      <c r="R852" s="559"/>
      <c r="S852" s="559"/>
      <c r="T852" s="559"/>
      <c r="U852" s="559"/>
      <c r="V852" s="559"/>
      <c r="W852" s="559"/>
      <c r="X852" s="559"/>
      <c r="Y852" s="559"/>
      <c r="Z852" s="559"/>
      <c r="AA852" s="559"/>
      <c r="AB852" s="559"/>
      <c r="AC852" s="559"/>
      <c r="AD852" s="559"/>
      <c r="AE852" s="559"/>
      <c r="AF852" s="559"/>
      <c r="AG852" s="559"/>
    </row>
    <row r="853" spans="1:33" ht="18" customHeight="1" x14ac:dyDescent="0.35">
      <c r="A853" s="559"/>
      <c r="B853" s="559"/>
      <c r="C853" s="559"/>
      <c r="D853" s="559"/>
      <c r="E853" s="559"/>
      <c r="F853" s="559"/>
      <c r="G853" s="559"/>
      <c r="H853" s="559"/>
      <c r="I853" s="559"/>
      <c r="J853" s="559"/>
      <c r="K853" s="559"/>
      <c r="L853" s="559"/>
      <c r="M853" s="559"/>
      <c r="N853" s="559"/>
      <c r="O853" s="559"/>
      <c r="P853" s="559"/>
      <c r="Q853" s="559"/>
      <c r="R853" s="559"/>
      <c r="S853" s="559"/>
      <c r="T853" s="559"/>
      <c r="U853" s="559"/>
      <c r="V853" s="559"/>
      <c r="W853" s="559"/>
      <c r="X853" s="559"/>
      <c r="Y853" s="559"/>
      <c r="Z853" s="559"/>
      <c r="AA853" s="559"/>
      <c r="AB853" s="559"/>
      <c r="AC853" s="559"/>
      <c r="AD853" s="559"/>
      <c r="AE853" s="559"/>
      <c r="AF853" s="559"/>
      <c r="AG853" s="559"/>
    </row>
    <row r="854" spans="1:33" ht="18" customHeight="1" x14ac:dyDescent="0.35">
      <c r="A854" s="559"/>
      <c r="B854" s="559"/>
      <c r="C854" s="559"/>
      <c r="D854" s="559"/>
      <c r="E854" s="559"/>
      <c r="F854" s="559"/>
      <c r="G854" s="559"/>
      <c r="H854" s="559"/>
      <c r="I854" s="559"/>
      <c r="J854" s="559"/>
      <c r="K854" s="559"/>
      <c r="L854" s="559"/>
      <c r="M854" s="559"/>
      <c r="N854" s="559"/>
      <c r="O854" s="559"/>
      <c r="P854" s="559"/>
      <c r="Q854" s="559"/>
      <c r="R854" s="559"/>
      <c r="S854" s="559"/>
      <c r="T854" s="559"/>
      <c r="U854" s="559"/>
      <c r="V854" s="559"/>
      <c r="W854" s="559"/>
      <c r="X854" s="559"/>
      <c r="Y854" s="559"/>
      <c r="Z854" s="559"/>
      <c r="AA854" s="559"/>
      <c r="AB854" s="559"/>
      <c r="AC854" s="559"/>
      <c r="AD854" s="559"/>
      <c r="AE854" s="559"/>
      <c r="AF854" s="559"/>
      <c r="AG854" s="559"/>
    </row>
    <row r="855" spans="1:33" ht="18" customHeight="1" x14ac:dyDescent="0.35">
      <c r="A855" s="559"/>
      <c r="B855" s="559"/>
      <c r="C855" s="559"/>
      <c r="D855" s="559"/>
      <c r="E855" s="559"/>
      <c r="F855" s="559"/>
      <c r="G855" s="559"/>
      <c r="H855" s="559"/>
      <c r="I855" s="559"/>
      <c r="J855" s="559"/>
      <c r="K855" s="559"/>
      <c r="L855" s="559"/>
      <c r="M855" s="559"/>
      <c r="N855" s="559"/>
      <c r="O855" s="559"/>
      <c r="P855" s="559"/>
      <c r="Q855" s="559"/>
      <c r="R855" s="559"/>
      <c r="S855" s="559"/>
      <c r="T855" s="559"/>
      <c r="U855" s="559"/>
      <c r="V855" s="559"/>
      <c r="W855" s="559"/>
      <c r="X855" s="559"/>
      <c r="Y855" s="559"/>
      <c r="Z855" s="559"/>
      <c r="AA855" s="559"/>
      <c r="AB855" s="559"/>
      <c r="AC855" s="559"/>
      <c r="AD855" s="559"/>
      <c r="AE855" s="559"/>
      <c r="AF855" s="559"/>
      <c r="AG855" s="559"/>
    </row>
    <row r="856" spans="1:33" ht="18" customHeight="1" x14ac:dyDescent="0.35">
      <c r="A856" s="559"/>
      <c r="B856" s="559"/>
      <c r="C856" s="559"/>
      <c r="D856" s="559"/>
      <c r="E856" s="559"/>
      <c r="F856" s="559"/>
      <c r="G856" s="559"/>
      <c r="H856" s="559"/>
      <c r="I856" s="559"/>
      <c r="J856" s="559"/>
      <c r="K856" s="559"/>
      <c r="L856" s="559"/>
      <c r="M856" s="559"/>
      <c r="N856" s="559"/>
      <c r="O856" s="559"/>
      <c r="P856" s="559"/>
      <c r="Q856" s="559"/>
      <c r="R856" s="559"/>
      <c r="S856" s="559"/>
      <c r="T856" s="559"/>
      <c r="U856" s="559"/>
      <c r="V856" s="559"/>
      <c r="W856" s="559"/>
      <c r="X856" s="559"/>
      <c r="Y856" s="559"/>
      <c r="Z856" s="559"/>
      <c r="AA856" s="559"/>
      <c r="AB856" s="559"/>
      <c r="AC856" s="559"/>
      <c r="AD856" s="559"/>
      <c r="AE856" s="559"/>
      <c r="AF856" s="559"/>
      <c r="AG856" s="559"/>
    </row>
    <row r="857" spans="1:33" ht="18" customHeight="1" x14ac:dyDescent="0.35">
      <c r="A857" s="559"/>
      <c r="B857" s="559"/>
      <c r="C857" s="559"/>
      <c r="D857" s="559"/>
      <c r="E857" s="559"/>
      <c r="F857" s="559"/>
      <c r="G857" s="559"/>
      <c r="H857" s="559"/>
      <c r="I857" s="559"/>
      <c r="J857" s="559"/>
      <c r="K857" s="559"/>
      <c r="L857" s="559"/>
      <c r="M857" s="559"/>
      <c r="N857" s="559"/>
      <c r="O857" s="559"/>
      <c r="P857" s="559"/>
      <c r="Q857" s="559"/>
      <c r="R857" s="559"/>
      <c r="S857" s="559"/>
      <c r="T857" s="559"/>
      <c r="U857" s="559"/>
      <c r="V857" s="559"/>
      <c r="W857" s="559"/>
      <c r="X857" s="559"/>
      <c r="Y857" s="559"/>
      <c r="Z857" s="559"/>
      <c r="AA857" s="559"/>
      <c r="AB857" s="559"/>
      <c r="AC857" s="559"/>
      <c r="AD857" s="559"/>
      <c r="AE857" s="559"/>
      <c r="AF857" s="559"/>
      <c r="AG857" s="559"/>
    </row>
    <row r="858" spans="1:33" ht="18" customHeight="1" x14ac:dyDescent="0.35">
      <c r="A858" s="559"/>
      <c r="B858" s="559"/>
      <c r="C858" s="559"/>
      <c r="D858" s="559"/>
      <c r="E858" s="559"/>
      <c r="F858" s="559"/>
      <c r="G858" s="559"/>
      <c r="H858" s="559"/>
      <c r="I858" s="559"/>
      <c r="J858" s="559"/>
      <c r="K858" s="559"/>
      <c r="L858" s="559"/>
      <c r="M858" s="559"/>
      <c r="N858" s="559"/>
      <c r="O858" s="559"/>
      <c r="P858" s="559"/>
      <c r="Q858" s="559"/>
      <c r="R858" s="559"/>
      <c r="S858" s="559"/>
      <c r="T858" s="559"/>
      <c r="U858" s="559"/>
      <c r="V858" s="559"/>
      <c r="W858" s="559"/>
      <c r="X858" s="559"/>
      <c r="Y858" s="559"/>
      <c r="Z858" s="559"/>
      <c r="AA858" s="559"/>
      <c r="AB858" s="559"/>
      <c r="AC858" s="559"/>
      <c r="AD858" s="559"/>
      <c r="AE858" s="559"/>
      <c r="AF858" s="559"/>
      <c r="AG858" s="559"/>
    </row>
    <row r="859" spans="1:33" ht="18" customHeight="1" x14ac:dyDescent="0.35">
      <c r="A859" s="559"/>
      <c r="B859" s="559"/>
      <c r="C859" s="559"/>
      <c r="D859" s="559"/>
      <c r="E859" s="559"/>
      <c r="F859" s="559"/>
      <c r="G859" s="559"/>
      <c r="H859" s="559"/>
      <c r="I859" s="559"/>
      <c r="J859" s="559"/>
      <c r="K859" s="559"/>
      <c r="L859" s="559"/>
      <c r="M859" s="559"/>
      <c r="N859" s="559"/>
      <c r="O859" s="559"/>
      <c r="P859" s="559"/>
      <c r="Q859" s="559"/>
      <c r="R859" s="559"/>
      <c r="S859" s="559"/>
      <c r="T859" s="559"/>
      <c r="U859" s="559"/>
      <c r="V859" s="559"/>
      <c r="W859" s="559"/>
      <c r="X859" s="559"/>
      <c r="Y859" s="559"/>
      <c r="Z859" s="559"/>
      <c r="AA859" s="559"/>
      <c r="AB859" s="559"/>
      <c r="AC859" s="559"/>
      <c r="AD859" s="559"/>
      <c r="AE859" s="559"/>
      <c r="AF859" s="559"/>
      <c r="AG859" s="559"/>
    </row>
    <row r="860" spans="1:33" ht="18" customHeight="1" x14ac:dyDescent="0.35">
      <c r="A860" s="559"/>
      <c r="B860" s="559"/>
      <c r="C860" s="559"/>
      <c r="D860" s="559"/>
      <c r="E860" s="559"/>
      <c r="F860" s="559"/>
      <c r="G860" s="559"/>
      <c r="H860" s="559"/>
      <c r="I860" s="559"/>
      <c r="J860" s="559"/>
      <c r="K860" s="559"/>
      <c r="L860" s="559"/>
      <c r="M860" s="559"/>
      <c r="N860" s="559"/>
      <c r="O860" s="559"/>
      <c r="P860" s="559"/>
      <c r="Q860" s="559"/>
      <c r="R860" s="559"/>
      <c r="S860" s="559"/>
      <c r="T860" s="559"/>
      <c r="U860" s="559"/>
      <c r="V860" s="559"/>
      <c r="W860" s="559"/>
      <c r="X860" s="559"/>
      <c r="Y860" s="559"/>
      <c r="Z860" s="559"/>
      <c r="AA860" s="559"/>
      <c r="AB860" s="559"/>
      <c r="AC860" s="559"/>
      <c r="AD860" s="559"/>
      <c r="AE860" s="559"/>
      <c r="AF860" s="559"/>
      <c r="AG860" s="559"/>
    </row>
    <row r="861" spans="1:33" ht="18" customHeight="1" x14ac:dyDescent="0.35">
      <c r="A861" s="559"/>
      <c r="B861" s="559"/>
      <c r="C861" s="559"/>
      <c r="D861" s="559"/>
      <c r="E861" s="559"/>
      <c r="F861" s="559"/>
      <c r="G861" s="559"/>
      <c r="H861" s="559"/>
      <c r="I861" s="559"/>
      <c r="J861" s="559"/>
      <c r="K861" s="559"/>
      <c r="L861" s="559"/>
      <c r="M861" s="559"/>
      <c r="N861" s="559"/>
      <c r="O861" s="559"/>
      <c r="P861" s="559"/>
      <c r="Q861" s="559"/>
      <c r="R861" s="559"/>
      <c r="S861" s="559"/>
      <c r="T861" s="559"/>
      <c r="U861" s="559"/>
      <c r="V861" s="559"/>
      <c r="W861" s="559"/>
      <c r="X861" s="559"/>
      <c r="Y861" s="559"/>
      <c r="Z861" s="559"/>
      <c r="AA861" s="559"/>
      <c r="AB861" s="559"/>
      <c r="AC861" s="559"/>
      <c r="AD861" s="559"/>
      <c r="AE861" s="559"/>
      <c r="AF861" s="559"/>
      <c r="AG861" s="559"/>
    </row>
    <row r="862" spans="1:33" ht="18" customHeight="1" x14ac:dyDescent="0.35">
      <c r="A862" s="559"/>
      <c r="B862" s="559"/>
      <c r="C862" s="559"/>
      <c r="D862" s="559"/>
      <c r="E862" s="559"/>
      <c r="F862" s="559"/>
      <c r="G862" s="559"/>
      <c r="H862" s="559"/>
      <c r="I862" s="559"/>
      <c r="J862" s="559"/>
      <c r="K862" s="559"/>
      <c r="L862" s="559"/>
      <c r="M862" s="559"/>
      <c r="N862" s="559"/>
      <c r="O862" s="559"/>
      <c r="P862" s="559"/>
      <c r="Q862" s="559"/>
      <c r="R862" s="559"/>
      <c r="S862" s="559"/>
      <c r="T862" s="559"/>
      <c r="U862" s="559"/>
      <c r="V862" s="559"/>
      <c r="W862" s="559"/>
      <c r="X862" s="559"/>
      <c r="Y862" s="559"/>
      <c r="Z862" s="559"/>
      <c r="AA862" s="559"/>
      <c r="AB862" s="559"/>
      <c r="AC862" s="559"/>
      <c r="AD862" s="559"/>
      <c r="AE862" s="559"/>
      <c r="AF862" s="559"/>
      <c r="AG862" s="559"/>
    </row>
    <row r="863" spans="1:33" ht="18" customHeight="1" x14ac:dyDescent="0.35">
      <c r="A863" s="559"/>
      <c r="B863" s="559"/>
      <c r="C863" s="559"/>
      <c r="D863" s="559"/>
      <c r="E863" s="559"/>
      <c r="F863" s="559"/>
      <c r="G863" s="559"/>
      <c r="H863" s="559"/>
      <c r="I863" s="559"/>
      <c r="J863" s="559"/>
      <c r="K863" s="559"/>
      <c r="L863" s="559"/>
      <c r="M863" s="559"/>
      <c r="N863" s="559"/>
      <c r="O863" s="559"/>
      <c r="P863" s="559"/>
      <c r="Q863" s="559"/>
      <c r="R863" s="559"/>
      <c r="S863" s="559"/>
      <c r="T863" s="559"/>
      <c r="U863" s="559"/>
      <c r="V863" s="559"/>
      <c r="W863" s="559"/>
      <c r="X863" s="559"/>
      <c r="Y863" s="559"/>
      <c r="Z863" s="559"/>
      <c r="AA863" s="559"/>
      <c r="AB863" s="559"/>
      <c r="AC863" s="559"/>
      <c r="AD863" s="559"/>
      <c r="AE863" s="559"/>
      <c r="AF863" s="559"/>
      <c r="AG863" s="559"/>
    </row>
    <row r="864" spans="1:33" ht="18" customHeight="1" x14ac:dyDescent="0.35">
      <c r="A864" s="559"/>
      <c r="B864" s="559"/>
      <c r="C864" s="559"/>
      <c r="D864" s="559"/>
      <c r="E864" s="559"/>
      <c r="F864" s="559"/>
      <c r="G864" s="559"/>
      <c r="H864" s="559"/>
      <c r="I864" s="559"/>
      <c r="J864" s="559"/>
      <c r="K864" s="559"/>
      <c r="L864" s="559"/>
      <c r="M864" s="559"/>
      <c r="N864" s="559"/>
      <c r="O864" s="559"/>
      <c r="P864" s="559"/>
      <c r="Q864" s="559"/>
      <c r="R864" s="559"/>
      <c r="S864" s="559"/>
      <c r="T864" s="559"/>
      <c r="U864" s="559"/>
      <c r="V864" s="559"/>
      <c r="W864" s="559"/>
      <c r="X864" s="559"/>
      <c r="Y864" s="559"/>
      <c r="Z864" s="559"/>
      <c r="AA864" s="559"/>
      <c r="AB864" s="559"/>
      <c r="AC864" s="559"/>
      <c r="AD864" s="559"/>
      <c r="AE864" s="559"/>
      <c r="AF864" s="559"/>
      <c r="AG864" s="559"/>
    </row>
    <row r="865" spans="1:33" ht="18" customHeight="1" x14ac:dyDescent="0.35">
      <c r="A865" s="559"/>
      <c r="B865" s="559"/>
      <c r="C865" s="559"/>
      <c r="D865" s="559"/>
      <c r="E865" s="559"/>
      <c r="F865" s="559"/>
      <c r="G865" s="559"/>
      <c r="H865" s="559"/>
      <c r="I865" s="559"/>
      <c r="J865" s="559"/>
      <c r="K865" s="559"/>
      <c r="L865" s="559"/>
      <c r="M865" s="559"/>
      <c r="N865" s="559"/>
      <c r="O865" s="559"/>
      <c r="P865" s="559"/>
      <c r="Q865" s="559"/>
      <c r="R865" s="559"/>
      <c r="S865" s="559"/>
      <c r="T865" s="559"/>
      <c r="U865" s="559"/>
      <c r="V865" s="559"/>
      <c r="W865" s="559"/>
      <c r="X865" s="559"/>
      <c r="Y865" s="559"/>
      <c r="Z865" s="559"/>
      <c r="AA865" s="559"/>
      <c r="AB865" s="559"/>
      <c r="AC865" s="559"/>
      <c r="AD865" s="559"/>
      <c r="AE865" s="559"/>
      <c r="AF865" s="559"/>
      <c r="AG865" s="559"/>
    </row>
    <row r="866" spans="1:33" ht="18" customHeight="1" x14ac:dyDescent="0.35">
      <c r="A866" s="559"/>
      <c r="B866" s="559"/>
      <c r="C866" s="559"/>
      <c r="D866" s="559"/>
      <c r="E866" s="559"/>
      <c r="F866" s="559"/>
      <c r="G866" s="559"/>
      <c r="H866" s="559"/>
      <c r="I866" s="559"/>
      <c r="J866" s="559"/>
      <c r="K866" s="559"/>
      <c r="L866" s="559"/>
      <c r="M866" s="559"/>
      <c r="N866" s="559"/>
      <c r="O866" s="559"/>
      <c r="P866" s="559"/>
      <c r="Q866" s="559"/>
      <c r="R866" s="559"/>
      <c r="S866" s="559"/>
      <c r="T866" s="559"/>
      <c r="U866" s="559"/>
      <c r="V866" s="559"/>
      <c r="W866" s="559"/>
      <c r="X866" s="559"/>
      <c r="Y866" s="559"/>
      <c r="Z866" s="559"/>
      <c r="AA866" s="559"/>
      <c r="AB866" s="559"/>
      <c r="AC866" s="559"/>
      <c r="AD866" s="559"/>
      <c r="AE866" s="559"/>
      <c r="AF866" s="559"/>
      <c r="AG866" s="559"/>
    </row>
    <row r="867" spans="1:33" ht="18" customHeight="1" x14ac:dyDescent="0.35">
      <c r="A867" s="559"/>
      <c r="B867" s="559"/>
      <c r="C867" s="559"/>
      <c r="D867" s="559"/>
      <c r="E867" s="559"/>
      <c r="F867" s="559"/>
      <c r="G867" s="559"/>
      <c r="H867" s="559"/>
      <c r="I867" s="559"/>
      <c r="J867" s="559"/>
      <c r="K867" s="559"/>
      <c r="L867" s="559"/>
      <c r="M867" s="559"/>
      <c r="N867" s="559"/>
      <c r="O867" s="559"/>
      <c r="P867" s="559"/>
      <c r="Q867" s="559"/>
      <c r="R867" s="559"/>
      <c r="S867" s="559"/>
      <c r="T867" s="559"/>
      <c r="U867" s="559"/>
      <c r="V867" s="559"/>
      <c r="W867" s="559"/>
      <c r="X867" s="559"/>
      <c r="Y867" s="559"/>
      <c r="Z867" s="559"/>
      <c r="AA867" s="559"/>
      <c r="AB867" s="559"/>
      <c r="AC867" s="559"/>
      <c r="AD867" s="559"/>
      <c r="AE867" s="559"/>
      <c r="AF867" s="559"/>
      <c r="AG867" s="559"/>
    </row>
    <row r="868" spans="1:33" ht="18" customHeight="1" x14ac:dyDescent="0.35">
      <c r="A868" s="559"/>
      <c r="B868" s="559"/>
      <c r="C868" s="559"/>
      <c r="D868" s="559"/>
      <c r="E868" s="559"/>
      <c r="F868" s="559"/>
      <c r="G868" s="559"/>
      <c r="H868" s="559"/>
      <c r="I868" s="559"/>
      <c r="J868" s="559"/>
      <c r="K868" s="559"/>
      <c r="L868" s="559"/>
      <c r="M868" s="559"/>
      <c r="N868" s="559"/>
      <c r="O868" s="559"/>
      <c r="P868" s="559"/>
      <c r="Q868" s="559"/>
      <c r="R868" s="559"/>
      <c r="S868" s="559"/>
      <c r="T868" s="559"/>
      <c r="U868" s="559"/>
      <c r="V868" s="559"/>
      <c r="W868" s="559"/>
      <c r="X868" s="559"/>
      <c r="Y868" s="559"/>
      <c r="Z868" s="559"/>
      <c r="AA868" s="559"/>
      <c r="AB868" s="559"/>
      <c r="AC868" s="559"/>
      <c r="AD868" s="559"/>
      <c r="AE868" s="559"/>
      <c r="AF868" s="559"/>
      <c r="AG868" s="559"/>
    </row>
    <row r="869" spans="1:33" ht="18" customHeight="1" x14ac:dyDescent="0.35">
      <c r="A869" s="559"/>
      <c r="B869" s="559"/>
      <c r="C869" s="559"/>
      <c r="D869" s="559"/>
      <c r="E869" s="559"/>
      <c r="F869" s="559"/>
      <c r="G869" s="559"/>
      <c r="H869" s="559"/>
      <c r="I869" s="559"/>
      <c r="J869" s="559"/>
      <c r="K869" s="559"/>
      <c r="L869" s="559"/>
      <c r="M869" s="559"/>
      <c r="N869" s="559"/>
      <c r="O869" s="559"/>
      <c r="P869" s="559"/>
      <c r="Q869" s="559"/>
      <c r="R869" s="559"/>
      <c r="S869" s="559"/>
      <c r="T869" s="559"/>
      <c r="U869" s="559"/>
      <c r="V869" s="559"/>
      <c r="W869" s="559"/>
      <c r="X869" s="559"/>
      <c r="Y869" s="559"/>
      <c r="Z869" s="559"/>
      <c r="AA869" s="559"/>
      <c r="AB869" s="559"/>
      <c r="AC869" s="559"/>
      <c r="AD869" s="559"/>
      <c r="AE869" s="559"/>
      <c r="AF869" s="559"/>
      <c r="AG869" s="559"/>
    </row>
    <row r="870" spans="1:33" ht="18" customHeight="1" x14ac:dyDescent="0.35">
      <c r="A870" s="559"/>
      <c r="B870" s="559"/>
      <c r="C870" s="559"/>
      <c r="D870" s="559"/>
      <c r="E870" s="559"/>
      <c r="F870" s="559"/>
      <c r="G870" s="559"/>
      <c r="H870" s="559"/>
      <c r="I870" s="559"/>
      <c r="J870" s="559"/>
      <c r="K870" s="559"/>
      <c r="L870" s="559"/>
      <c r="M870" s="559"/>
      <c r="N870" s="559"/>
      <c r="O870" s="559"/>
      <c r="P870" s="559"/>
      <c r="Q870" s="559"/>
      <c r="R870" s="559"/>
      <c r="S870" s="559"/>
      <c r="T870" s="559"/>
      <c r="U870" s="559"/>
      <c r="V870" s="559"/>
      <c r="W870" s="559"/>
      <c r="X870" s="559"/>
      <c r="Y870" s="559"/>
      <c r="Z870" s="559"/>
      <c r="AA870" s="559"/>
      <c r="AB870" s="559"/>
      <c r="AC870" s="559"/>
      <c r="AD870" s="559"/>
      <c r="AE870" s="559"/>
      <c r="AF870" s="559"/>
      <c r="AG870" s="559"/>
    </row>
    <row r="871" spans="1:33" ht="18" customHeight="1" x14ac:dyDescent="0.35">
      <c r="A871" s="559"/>
      <c r="B871" s="559"/>
      <c r="C871" s="559"/>
      <c r="D871" s="559"/>
      <c r="E871" s="559"/>
      <c r="F871" s="559"/>
      <c r="G871" s="559"/>
      <c r="H871" s="559"/>
      <c r="I871" s="559"/>
      <c r="J871" s="559"/>
      <c r="K871" s="559"/>
      <c r="L871" s="559"/>
      <c r="M871" s="559"/>
      <c r="N871" s="559"/>
      <c r="O871" s="559"/>
      <c r="P871" s="559"/>
      <c r="Q871" s="559"/>
      <c r="R871" s="559"/>
      <c r="S871" s="559"/>
      <c r="T871" s="559"/>
      <c r="U871" s="559"/>
      <c r="V871" s="559"/>
      <c r="W871" s="559"/>
      <c r="X871" s="559"/>
      <c r="Y871" s="559"/>
      <c r="Z871" s="559"/>
      <c r="AA871" s="559"/>
      <c r="AB871" s="559"/>
      <c r="AC871" s="559"/>
      <c r="AD871" s="559"/>
      <c r="AE871" s="559"/>
      <c r="AF871" s="559"/>
      <c r="AG871" s="559"/>
    </row>
    <row r="872" spans="1:33" ht="18" customHeight="1" x14ac:dyDescent="0.35">
      <c r="A872" s="559"/>
      <c r="B872" s="559"/>
      <c r="C872" s="559"/>
      <c r="D872" s="559"/>
      <c r="E872" s="559"/>
      <c r="F872" s="559"/>
      <c r="G872" s="559"/>
      <c r="H872" s="559"/>
      <c r="I872" s="559"/>
      <c r="J872" s="559"/>
      <c r="K872" s="559"/>
      <c r="L872" s="559"/>
      <c r="M872" s="559"/>
      <c r="N872" s="559"/>
      <c r="O872" s="559"/>
      <c r="P872" s="559"/>
      <c r="Q872" s="559"/>
      <c r="R872" s="559"/>
      <c r="S872" s="559"/>
      <c r="T872" s="559"/>
      <c r="U872" s="559"/>
      <c r="V872" s="559"/>
      <c r="W872" s="559"/>
      <c r="X872" s="559"/>
      <c r="Y872" s="559"/>
      <c r="Z872" s="559"/>
      <c r="AA872" s="559"/>
      <c r="AB872" s="559"/>
      <c r="AC872" s="559"/>
      <c r="AD872" s="559"/>
      <c r="AE872" s="559"/>
      <c r="AF872" s="559"/>
      <c r="AG872" s="559"/>
    </row>
    <row r="873" spans="1:33" ht="18" customHeight="1" x14ac:dyDescent="0.35">
      <c r="A873" s="559"/>
      <c r="B873" s="559"/>
      <c r="C873" s="559"/>
      <c r="D873" s="559"/>
      <c r="E873" s="559"/>
      <c r="F873" s="559"/>
      <c r="G873" s="559"/>
      <c r="H873" s="559"/>
      <c r="I873" s="559"/>
      <c r="J873" s="559"/>
      <c r="K873" s="559"/>
      <c r="L873" s="559"/>
      <c r="M873" s="559"/>
      <c r="N873" s="559"/>
      <c r="O873" s="559"/>
      <c r="P873" s="559"/>
      <c r="Q873" s="559"/>
      <c r="R873" s="559"/>
      <c r="S873" s="559"/>
      <c r="T873" s="559"/>
      <c r="U873" s="559"/>
      <c r="V873" s="559"/>
      <c r="W873" s="559"/>
      <c r="X873" s="559"/>
      <c r="Y873" s="559"/>
      <c r="Z873" s="559"/>
      <c r="AA873" s="559"/>
      <c r="AB873" s="559"/>
      <c r="AC873" s="559"/>
      <c r="AD873" s="559"/>
      <c r="AE873" s="559"/>
      <c r="AF873" s="559"/>
      <c r="AG873" s="559"/>
    </row>
    <row r="874" spans="1:33" ht="18" customHeight="1" x14ac:dyDescent="0.35">
      <c r="A874" s="559"/>
      <c r="B874" s="559"/>
      <c r="C874" s="559"/>
      <c r="D874" s="559"/>
      <c r="E874" s="559"/>
      <c r="F874" s="559"/>
      <c r="G874" s="559"/>
      <c r="H874" s="559"/>
      <c r="I874" s="559"/>
      <c r="J874" s="559"/>
      <c r="K874" s="559"/>
      <c r="L874" s="559"/>
      <c r="M874" s="559"/>
      <c r="N874" s="559"/>
      <c r="O874" s="559"/>
      <c r="P874" s="559"/>
      <c r="Q874" s="559"/>
      <c r="R874" s="559"/>
      <c r="S874" s="559"/>
      <c r="T874" s="559"/>
      <c r="U874" s="559"/>
      <c r="V874" s="559"/>
      <c r="W874" s="559"/>
      <c r="X874" s="559"/>
      <c r="Y874" s="559"/>
      <c r="Z874" s="559"/>
      <c r="AA874" s="559"/>
      <c r="AB874" s="559"/>
      <c r="AC874" s="559"/>
      <c r="AD874" s="559"/>
      <c r="AE874" s="559"/>
      <c r="AF874" s="559"/>
      <c r="AG874" s="559"/>
    </row>
    <row r="875" spans="1:33" ht="18" customHeight="1" x14ac:dyDescent="0.35">
      <c r="A875" s="559"/>
      <c r="B875" s="559"/>
      <c r="C875" s="559"/>
      <c r="D875" s="559"/>
      <c r="E875" s="559"/>
      <c r="F875" s="559"/>
      <c r="G875" s="559"/>
      <c r="H875" s="559"/>
      <c r="I875" s="559"/>
      <c r="J875" s="559"/>
      <c r="K875" s="559"/>
      <c r="L875" s="559"/>
      <c r="M875" s="559"/>
      <c r="N875" s="559"/>
      <c r="O875" s="559"/>
      <c r="P875" s="559"/>
      <c r="Q875" s="559"/>
      <c r="R875" s="559"/>
      <c r="S875" s="559"/>
      <c r="T875" s="559"/>
      <c r="U875" s="559"/>
      <c r="V875" s="559"/>
      <c r="W875" s="559"/>
      <c r="X875" s="559"/>
      <c r="Y875" s="559"/>
      <c r="Z875" s="559"/>
      <c r="AA875" s="559"/>
      <c r="AB875" s="559"/>
      <c r="AC875" s="559"/>
      <c r="AD875" s="559"/>
      <c r="AE875" s="559"/>
      <c r="AF875" s="559"/>
      <c r="AG875" s="559"/>
    </row>
    <row r="876" spans="1:33" ht="18" customHeight="1" x14ac:dyDescent="0.35">
      <c r="A876" s="559"/>
      <c r="B876" s="559"/>
      <c r="C876" s="559"/>
      <c r="D876" s="559"/>
      <c r="E876" s="559"/>
      <c r="F876" s="559"/>
      <c r="G876" s="559"/>
      <c r="H876" s="559"/>
      <c r="I876" s="559"/>
      <c r="J876" s="559"/>
      <c r="K876" s="559"/>
      <c r="L876" s="559"/>
      <c r="M876" s="559"/>
      <c r="N876" s="559"/>
      <c r="O876" s="559"/>
      <c r="P876" s="559"/>
      <c r="Q876" s="559"/>
      <c r="R876" s="559"/>
      <c r="S876" s="559"/>
      <c r="T876" s="559"/>
      <c r="U876" s="559"/>
      <c r="V876" s="559"/>
      <c r="W876" s="559"/>
      <c r="X876" s="559"/>
      <c r="Y876" s="559"/>
      <c r="Z876" s="559"/>
      <c r="AA876" s="559"/>
      <c r="AB876" s="559"/>
      <c r="AC876" s="559"/>
      <c r="AD876" s="559"/>
      <c r="AE876" s="559"/>
      <c r="AF876" s="559"/>
      <c r="AG876" s="559"/>
    </row>
    <row r="877" spans="1:33" ht="18" customHeight="1" x14ac:dyDescent="0.35">
      <c r="A877" s="559"/>
      <c r="B877" s="559"/>
      <c r="C877" s="559"/>
      <c r="D877" s="559"/>
      <c r="E877" s="559"/>
      <c r="F877" s="559"/>
      <c r="G877" s="559"/>
      <c r="H877" s="559"/>
      <c r="I877" s="559"/>
      <c r="J877" s="559"/>
      <c r="K877" s="559"/>
      <c r="L877" s="559"/>
      <c r="M877" s="559"/>
      <c r="N877" s="559"/>
      <c r="O877" s="559"/>
      <c r="P877" s="559"/>
      <c r="Q877" s="559"/>
      <c r="R877" s="559"/>
      <c r="S877" s="559"/>
      <c r="T877" s="559"/>
      <c r="U877" s="559"/>
      <c r="V877" s="559"/>
      <c r="W877" s="559"/>
      <c r="X877" s="559"/>
      <c r="Y877" s="559"/>
      <c r="Z877" s="559"/>
      <c r="AA877" s="559"/>
      <c r="AB877" s="559"/>
      <c r="AC877" s="559"/>
      <c r="AD877" s="559"/>
      <c r="AE877" s="559"/>
      <c r="AF877" s="559"/>
      <c r="AG877" s="559"/>
    </row>
    <row r="878" spans="1:33" ht="18" customHeight="1" x14ac:dyDescent="0.35">
      <c r="A878" s="559"/>
      <c r="B878" s="559"/>
      <c r="C878" s="559"/>
      <c r="D878" s="559"/>
      <c r="E878" s="559"/>
      <c r="F878" s="559"/>
      <c r="G878" s="559"/>
      <c r="H878" s="559"/>
      <c r="I878" s="559"/>
      <c r="J878" s="559"/>
      <c r="K878" s="559"/>
      <c r="L878" s="559"/>
      <c r="M878" s="559"/>
      <c r="N878" s="559"/>
      <c r="O878" s="559"/>
      <c r="P878" s="559"/>
      <c r="Q878" s="559"/>
      <c r="R878" s="559"/>
      <c r="S878" s="559"/>
      <c r="T878" s="559"/>
      <c r="U878" s="559"/>
      <c r="V878" s="559"/>
      <c r="W878" s="559"/>
      <c r="X878" s="559"/>
      <c r="Y878" s="559"/>
      <c r="Z878" s="559"/>
      <c r="AA878" s="559"/>
      <c r="AB878" s="559"/>
      <c r="AC878" s="559"/>
      <c r="AD878" s="559"/>
      <c r="AE878" s="559"/>
      <c r="AF878" s="559"/>
      <c r="AG878" s="559"/>
    </row>
    <row r="879" spans="1:33" ht="18" customHeight="1" x14ac:dyDescent="0.35">
      <c r="A879" s="559"/>
      <c r="B879" s="559"/>
      <c r="C879" s="559"/>
      <c r="D879" s="559"/>
      <c r="E879" s="559"/>
      <c r="F879" s="559"/>
      <c r="G879" s="559"/>
      <c r="H879" s="559"/>
      <c r="I879" s="559"/>
      <c r="J879" s="559"/>
      <c r="K879" s="559"/>
      <c r="L879" s="559"/>
      <c r="M879" s="559"/>
      <c r="N879" s="559"/>
      <c r="O879" s="559"/>
      <c r="P879" s="559"/>
      <c r="Q879" s="559"/>
      <c r="R879" s="559"/>
      <c r="S879" s="559"/>
      <c r="T879" s="559"/>
      <c r="U879" s="559"/>
      <c r="V879" s="559"/>
      <c r="W879" s="559"/>
      <c r="X879" s="559"/>
      <c r="Y879" s="559"/>
      <c r="Z879" s="559"/>
      <c r="AA879" s="559"/>
      <c r="AB879" s="559"/>
      <c r="AC879" s="559"/>
      <c r="AD879" s="559"/>
      <c r="AE879" s="559"/>
      <c r="AF879" s="559"/>
      <c r="AG879" s="559"/>
    </row>
    <row r="880" spans="1:33" ht="18" customHeight="1" x14ac:dyDescent="0.35">
      <c r="A880" s="559"/>
      <c r="B880" s="559"/>
      <c r="C880" s="559"/>
      <c r="D880" s="559"/>
      <c r="E880" s="559"/>
      <c r="F880" s="559"/>
      <c r="G880" s="559"/>
      <c r="H880" s="559"/>
      <c r="I880" s="559"/>
      <c r="J880" s="559"/>
      <c r="K880" s="559"/>
      <c r="L880" s="559"/>
      <c r="M880" s="559"/>
      <c r="N880" s="559"/>
      <c r="O880" s="559"/>
      <c r="P880" s="559"/>
      <c r="Q880" s="559"/>
      <c r="R880" s="559"/>
      <c r="S880" s="559"/>
      <c r="T880" s="559"/>
      <c r="U880" s="559"/>
      <c r="V880" s="559"/>
      <c r="W880" s="559"/>
      <c r="X880" s="559"/>
      <c r="Y880" s="559"/>
      <c r="Z880" s="559"/>
      <c r="AA880" s="559"/>
      <c r="AB880" s="559"/>
      <c r="AC880" s="559"/>
      <c r="AD880" s="559"/>
      <c r="AE880" s="559"/>
      <c r="AF880" s="559"/>
      <c r="AG880" s="559"/>
    </row>
    <row r="881" spans="1:33" ht="18" customHeight="1" x14ac:dyDescent="0.35">
      <c r="A881" s="559"/>
      <c r="B881" s="559"/>
      <c r="C881" s="559"/>
      <c r="D881" s="559"/>
      <c r="E881" s="559"/>
      <c r="F881" s="559"/>
      <c r="G881" s="559"/>
      <c r="H881" s="559"/>
      <c r="I881" s="559"/>
      <c r="J881" s="559"/>
      <c r="K881" s="559"/>
      <c r="L881" s="559"/>
      <c r="M881" s="559"/>
      <c r="N881" s="559"/>
      <c r="O881" s="559"/>
      <c r="P881" s="559"/>
      <c r="Q881" s="559"/>
      <c r="R881" s="559"/>
      <c r="S881" s="559"/>
      <c r="T881" s="559"/>
      <c r="U881" s="559"/>
      <c r="V881" s="559"/>
      <c r="W881" s="559"/>
      <c r="X881" s="559"/>
      <c r="Y881" s="559"/>
      <c r="Z881" s="559"/>
      <c r="AA881" s="559"/>
      <c r="AB881" s="559"/>
      <c r="AC881" s="559"/>
      <c r="AD881" s="559"/>
      <c r="AE881" s="559"/>
      <c r="AF881" s="559"/>
      <c r="AG881" s="559"/>
    </row>
    <row r="882" spans="1:33" ht="18" customHeight="1" x14ac:dyDescent="0.35">
      <c r="A882" s="559"/>
      <c r="B882" s="559"/>
      <c r="C882" s="559"/>
      <c r="D882" s="559"/>
      <c r="E882" s="559"/>
      <c r="F882" s="559"/>
      <c r="G882" s="559"/>
      <c r="H882" s="559"/>
      <c r="I882" s="559"/>
      <c r="J882" s="559"/>
      <c r="K882" s="559"/>
      <c r="L882" s="559"/>
      <c r="M882" s="559"/>
      <c r="N882" s="559"/>
      <c r="O882" s="559"/>
      <c r="P882" s="559"/>
      <c r="Q882" s="559"/>
      <c r="R882" s="559"/>
      <c r="S882" s="559"/>
      <c r="T882" s="559"/>
      <c r="U882" s="559"/>
      <c r="V882" s="559"/>
      <c r="W882" s="559"/>
      <c r="X882" s="559"/>
      <c r="Y882" s="559"/>
      <c r="Z882" s="559"/>
      <c r="AA882" s="559"/>
      <c r="AB882" s="559"/>
      <c r="AC882" s="559"/>
      <c r="AD882" s="559"/>
      <c r="AE882" s="559"/>
      <c r="AF882" s="559"/>
      <c r="AG882" s="559"/>
    </row>
    <row r="883" spans="1:33" ht="18" customHeight="1" x14ac:dyDescent="0.35">
      <c r="A883" s="559"/>
      <c r="B883" s="559"/>
      <c r="C883" s="559"/>
      <c r="D883" s="559"/>
      <c r="E883" s="559"/>
      <c r="F883" s="559"/>
      <c r="G883" s="559"/>
      <c r="H883" s="559"/>
      <c r="I883" s="559"/>
      <c r="J883" s="559"/>
      <c r="K883" s="559"/>
      <c r="L883" s="559"/>
      <c r="M883" s="559"/>
      <c r="N883" s="559"/>
      <c r="O883" s="559"/>
      <c r="P883" s="559"/>
      <c r="Q883" s="559"/>
      <c r="R883" s="559"/>
      <c r="S883" s="559"/>
      <c r="T883" s="559"/>
      <c r="U883" s="559"/>
      <c r="V883" s="559"/>
      <c r="W883" s="559"/>
      <c r="X883" s="559"/>
      <c r="Y883" s="559"/>
      <c r="Z883" s="559"/>
      <c r="AA883" s="559"/>
      <c r="AB883" s="559"/>
      <c r="AC883" s="559"/>
      <c r="AD883" s="559"/>
      <c r="AE883" s="559"/>
      <c r="AF883" s="559"/>
      <c r="AG883" s="559"/>
    </row>
    <row r="884" spans="1:33" ht="18" customHeight="1" x14ac:dyDescent="0.35">
      <c r="A884" s="559"/>
      <c r="B884" s="559"/>
      <c r="C884" s="559"/>
      <c r="D884" s="559"/>
      <c r="E884" s="559"/>
      <c r="F884" s="559"/>
      <c r="G884" s="559"/>
      <c r="H884" s="559"/>
      <c r="I884" s="559"/>
      <c r="J884" s="559"/>
      <c r="K884" s="559"/>
      <c r="L884" s="559"/>
      <c r="M884" s="559"/>
      <c r="N884" s="559"/>
      <c r="O884" s="559"/>
      <c r="P884" s="559"/>
      <c r="Q884" s="559"/>
      <c r="R884" s="559"/>
      <c r="S884" s="559"/>
      <c r="T884" s="559"/>
      <c r="U884" s="559"/>
      <c r="V884" s="559"/>
      <c r="W884" s="559"/>
      <c r="X884" s="559"/>
      <c r="Y884" s="559"/>
      <c r="Z884" s="559"/>
      <c r="AA884" s="559"/>
      <c r="AB884" s="559"/>
      <c r="AC884" s="559"/>
      <c r="AD884" s="559"/>
      <c r="AE884" s="559"/>
      <c r="AF884" s="559"/>
      <c r="AG884" s="559"/>
    </row>
    <row r="885" spans="1:33" ht="18" customHeight="1" x14ac:dyDescent="0.35">
      <c r="A885" s="559"/>
      <c r="B885" s="559"/>
      <c r="C885" s="559"/>
      <c r="D885" s="559"/>
      <c r="E885" s="559"/>
      <c r="F885" s="559"/>
      <c r="G885" s="559"/>
      <c r="H885" s="559"/>
      <c r="I885" s="559"/>
      <c r="J885" s="559"/>
      <c r="K885" s="559"/>
      <c r="L885" s="559"/>
      <c r="M885" s="559"/>
      <c r="N885" s="559"/>
      <c r="O885" s="559"/>
      <c r="P885" s="559"/>
      <c r="Q885" s="559"/>
      <c r="R885" s="559"/>
      <c r="S885" s="559"/>
      <c r="T885" s="559"/>
      <c r="U885" s="559"/>
      <c r="V885" s="559"/>
      <c r="W885" s="559"/>
      <c r="X885" s="559"/>
      <c r="Y885" s="559"/>
      <c r="Z885" s="559"/>
      <c r="AA885" s="559"/>
      <c r="AB885" s="559"/>
      <c r="AC885" s="559"/>
      <c r="AD885" s="559"/>
      <c r="AE885" s="559"/>
      <c r="AF885" s="559"/>
      <c r="AG885" s="559"/>
    </row>
    <row r="886" spans="1:33" ht="18" customHeight="1" x14ac:dyDescent="0.35">
      <c r="A886" s="559"/>
      <c r="B886" s="559"/>
      <c r="C886" s="559"/>
      <c r="D886" s="559"/>
      <c r="E886" s="559"/>
      <c r="F886" s="559"/>
      <c r="G886" s="559"/>
      <c r="H886" s="559"/>
      <c r="I886" s="559"/>
      <c r="J886" s="559"/>
      <c r="K886" s="559"/>
      <c r="L886" s="559"/>
      <c r="M886" s="559"/>
      <c r="N886" s="559"/>
      <c r="O886" s="559"/>
      <c r="P886" s="559"/>
      <c r="Q886" s="559"/>
      <c r="R886" s="559"/>
      <c r="S886" s="559"/>
      <c r="T886" s="559"/>
      <c r="U886" s="559"/>
      <c r="V886" s="559"/>
      <c r="W886" s="559"/>
      <c r="X886" s="559"/>
      <c r="Y886" s="559"/>
      <c r="Z886" s="559"/>
      <c r="AA886" s="559"/>
      <c r="AB886" s="559"/>
      <c r="AC886" s="559"/>
      <c r="AD886" s="559"/>
      <c r="AE886" s="559"/>
      <c r="AF886" s="559"/>
      <c r="AG886" s="559"/>
    </row>
    <row r="887" spans="1:33" ht="18" customHeight="1" x14ac:dyDescent="0.35">
      <c r="A887" s="559"/>
      <c r="B887" s="559"/>
      <c r="C887" s="559"/>
      <c r="D887" s="559"/>
      <c r="E887" s="559"/>
      <c r="F887" s="559"/>
      <c r="G887" s="559"/>
      <c r="H887" s="559"/>
      <c r="I887" s="559"/>
      <c r="J887" s="559"/>
      <c r="K887" s="559"/>
      <c r="L887" s="559"/>
      <c r="M887" s="559"/>
      <c r="N887" s="559"/>
      <c r="O887" s="559"/>
      <c r="P887" s="559"/>
      <c r="Q887" s="559"/>
      <c r="R887" s="559"/>
      <c r="S887" s="559"/>
      <c r="T887" s="559"/>
      <c r="U887" s="559"/>
      <c r="V887" s="559"/>
      <c r="W887" s="559"/>
      <c r="X887" s="559"/>
      <c r="Y887" s="559"/>
      <c r="Z887" s="559"/>
      <c r="AA887" s="559"/>
      <c r="AB887" s="559"/>
      <c r="AC887" s="559"/>
      <c r="AD887" s="559"/>
      <c r="AE887" s="559"/>
      <c r="AF887" s="559"/>
      <c r="AG887" s="559"/>
    </row>
    <row r="888" spans="1:33" ht="18" customHeight="1" x14ac:dyDescent="0.35">
      <c r="A888" s="559"/>
      <c r="B888" s="559"/>
      <c r="C888" s="559"/>
      <c r="D888" s="559"/>
      <c r="E888" s="559"/>
      <c r="F888" s="559"/>
      <c r="G888" s="559"/>
      <c r="H888" s="559"/>
      <c r="I888" s="559"/>
      <c r="J888" s="559"/>
      <c r="K888" s="559"/>
      <c r="L888" s="559"/>
      <c r="M888" s="559"/>
      <c r="N888" s="559"/>
      <c r="O888" s="559"/>
      <c r="P888" s="559"/>
      <c r="Q888" s="559"/>
      <c r="R888" s="559"/>
      <c r="S888" s="559"/>
      <c r="T888" s="559"/>
      <c r="U888" s="559"/>
      <c r="V888" s="559"/>
      <c r="W888" s="559"/>
      <c r="X888" s="559"/>
      <c r="Y888" s="559"/>
      <c r="Z888" s="559"/>
      <c r="AA888" s="559"/>
      <c r="AB888" s="559"/>
      <c r="AC888" s="559"/>
      <c r="AD888" s="559"/>
      <c r="AE888" s="559"/>
      <c r="AF888" s="559"/>
      <c r="AG888" s="559"/>
    </row>
    <row r="889" spans="1:33" ht="18" customHeight="1" x14ac:dyDescent="0.35">
      <c r="A889" s="559"/>
      <c r="B889" s="559"/>
      <c r="C889" s="559"/>
      <c r="D889" s="559"/>
      <c r="E889" s="559"/>
      <c r="F889" s="559"/>
      <c r="G889" s="559"/>
      <c r="H889" s="559"/>
      <c r="I889" s="559"/>
      <c r="J889" s="559"/>
      <c r="K889" s="559"/>
      <c r="L889" s="559"/>
      <c r="M889" s="559"/>
      <c r="N889" s="559"/>
      <c r="O889" s="559"/>
      <c r="P889" s="559"/>
      <c r="Q889" s="559"/>
      <c r="R889" s="559"/>
      <c r="S889" s="559"/>
      <c r="T889" s="559"/>
      <c r="U889" s="559"/>
      <c r="V889" s="559"/>
      <c r="W889" s="559"/>
      <c r="X889" s="559"/>
      <c r="Y889" s="559"/>
      <c r="Z889" s="559"/>
      <c r="AA889" s="559"/>
      <c r="AB889" s="559"/>
      <c r="AC889" s="559"/>
      <c r="AD889" s="559"/>
      <c r="AE889" s="559"/>
      <c r="AF889" s="559"/>
      <c r="AG889" s="559"/>
    </row>
    <row r="890" spans="1:33" ht="18" customHeight="1" x14ac:dyDescent="0.35">
      <c r="A890" s="559"/>
      <c r="B890" s="559"/>
      <c r="C890" s="559"/>
      <c r="D890" s="559"/>
      <c r="E890" s="559"/>
      <c r="F890" s="559"/>
      <c r="G890" s="559"/>
      <c r="H890" s="559"/>
      <c r="I890" s="559"/>
      <c r="J890" s="559"/>
      <c r="K890" s="559"/>
      <c r="L890" s="559"/>
      <c r="M890" s="559"/>
      <c r="N890" s="559"/>
      <c r="O890" s="559"/>
      <c r="P890" s="559"/>
      <c r="Q890" s="559"/>
      <c r="R890" s="559"/>
      <c r="S890" s="559"/>
      <c r="T890" s="559"/>
      <c r="U890" s="559"/>
      <c r="V890" s="559"/>
      <c r="W890" s="559"/>
      <c r="X890" s="559"/>
      <c r="Y890" s="559"/>
      <c r="Z890" s="559"/>
      <c r="AA890" s="559"/>
      <c r="AB890" s="559"/>
      <c r="AC890" s="559"/>
      <c r="AD890" s="559"/>
      <c r="AE890" s="559"/>
      <c r="AF890" s="559"/>
      <c r="AG890" s="559"/>
    </row>
    <row r="891" spans="1:33" ht="18" customHeight="1" x14ac:dyDescent="0.35">
      <c r="A891" s="559"/>
      <c r="B891" s="559"/>
      <c r="C891" s="559"/>
      <c r="D891" s="559"/>
      <c r="E891" s="559"/>
      <c r="F891" s="559"/>
      <c r="G891" s="559"/>
      <c r="H891" s="559"/>
      <c r="I891" s="559"/>
      <c r="J891" s="559"/>
      <c r="K891" s="559"/>
      <c r="L891" s="559"/>
      <c r="M891" s="559"/>
      <c r="N891" s="559"/>
      <c r="O891" s="559"/>
      <c r="P891" s="559"/>
      <c r="Q891" s="559"/>
      <c r="R891" s="559"/>
      <c r="S891" s="559"/>
      <c r="T891" s="559"/>
      <c r="U891" s="559"/>
      <c r="V891" s="559"/>
      <c r="W891" s="559"/>
      <c r="X891" s="559"/>
      <c r="Y891" s="559"/>
      <c r="Z891" s="559"/>
      <c r="AA891" s="559"/>
      <c r="AB891" s="559"/>
      <c r="AC891" s="559"/>
      <c r="AD891" s="559"/>
      <c r="AE891" s="559"/>
      <c r="AF891" s="559"/>
      <c r="AG891" s="559"/>
    </row>
    <row r="892" spans="1:33" ht="18" customHeight="1" x14ac:dyDescent="0.35">
      <c r="A892" s="559"/>
      <c r="B892" s="559"/>
      <c r="C892" s="559"/>
      <c r="D892" s="559"/>
      <c r="E892" s="559"/>
      <c r="F892" s="559"/>
      <c r="G892" s="559"/>
      <c r="H892" s="559"/>
      <c r="I892" s="559"/>
      <c r="J892" s="559"/>
      <c r="K892" s="559"/>
      <c r="L892" s="559"/>
      <c r="M892" s="559"/>
      <c r="N892" s="559"/>
      <c r="O892" s="559"/>
      <c r="P892" s="559"/>
      <c r="Q892" s="559"/>
      <c r="R892" s="559"/>
      <c r="S892" s="559"/>
      <c r="T892" s="559"/>
      <c r="U892" s="559"/>
      <c r="V892" s="559"/>
      <c r="W892" s="559"/>
      <c r="X892" s="559"/>
      <c r="Y892" s="559"/>
      <c r="Z892" s="559"/>
      <c r="AA892" s="559"/>
      <c r="AB892" s="559"/>
      <c r="AC892" s="559"/>
      <c r="AD892" s="559"/>
      <c r="AE892" s="559"/>
      <c r="AF892" s="559"/>
      <c r="AG892" s="559"/>
    </row>
    <row r="893" spans="1:33" ht="18" customHeight="1" x14ac:dyDescent="0.35">
      <c r="A893" s="559"/>
      <c r="B893" s="559"/>
      <c r="C893" s="559"/>
      <c r="D893" s="559"/>
      <c r="E893" s="559"/>
      <c r="F893" s="559"/>
      <c r="G893" s="559"/>
      <c r="H893" s="559"/>
      <c r="I893" s="559"/>
      <c r="J893" s="559"/>
      <c r="K893" s="559"/>
      <c r="L893" s="559"/>
      <c r="M893" s="559"/>
      <c r="N893" s="559"/>
      <c r="O893" s="559"/>
      <c r="P893" s="559"/>
      <c r="Q893" s="559"/>
      <c r="R893" s="559"/>
      <c r="S893" s="559"/>
      <c r="T893" s="559"/>
      <c r="U893" s="559"/>
      <c r="V893" s="559"/>
      <c r="W893" s="559"/>
      <c r="X893" s="559"/>
      <c r="Y893" s="559"/>
      <c r="Z893" s="559"/>
      <c r="AA893" s="559"/>
      <c r="AB893" s="559"/>
      <c r="AC893" s="559"/>
      <c r="AD893" s="559"/>
      <c r="AE893" s="559"/>
      <c r="AF893" s="559"/>
      <c r="AG893" s="559"/>
    </row>
    <row r="894" spans="1:33" ht="18" customHeight="1" x14ac:dyDescent="0.35">
      <c r="A894" s="559"/>
      <c r="B894" s="559"/>
      <c r="C894" s="559"/>
      <c r="D894" s="559"/>
      <c r="E894" s="559"/>
      <c r="F894" s="559"/>
      <c r="G894" s="559"/>
      <c r="H894" s="559"/>
      <c r="I894" s="559"/>
      <c r="J894" s="559"/>
      <c r="K894" s="559"/>
      <c r="L894" s="559"/>
      <c r="M894" s="559"/>
      <c r="N894" s="559"/>
      <c r="O894" s="559"/>
      <c r="P894" s="559"/>
      <c r="Q894" s="559"/>
      <c r="R894" s="559"/>
      <c r="S894" s="559"/>
      <c r="T894" s="559"/>
      <c r="U894" s="559"/>
      <c r="V894" s="559"/>
      <c r="W894" s="559"/>
      <c r="X894" s="559"/>
      <c r="Y894" s="559"/>
      <c r="Z894" s="559"/>
      <c r="AA894" s="559"/>
      <c r="AB894" s="559"/>
      <c r="AC894" s="559"/>
      <c r="AD894" s="559"/>
      <c r="AE894" s="559"/>
      <c r="AF894" s="559"/>
      <c r="AG894" s="559"/>
    </row>
    <row r="895" spans="1:33" ht="18" customHeight="1" x14ac:dyDescent="0.35">
      <c r="A895" s="559"/>
      <c r="B895" s="559"/>
      <c r="C895" s="559"/>
      <c r="D895" s="559"/>
      <c r="E895" s="559"/>
      <c r="F895" s="559"/>
      <c r="G895" s="559"/>
      <c r="H895" s="559"/>
      <c r="I895" s="559"/>
      <c r="J895" s="559"/>
      <c r="K895" s="559"/>
      <c r="L895" s="559"/>
      <c r="M895" s="559"/>
      <c r="N895" s="559"/>
      <c r="O895" s="559"/>
      <c r="P895" s="559"/>
      <c r="Q895" s="559"/>
      <c r="R895" s="559"/>
      <c r="S895" s="559"/>
      <c r="T895" s="559"/>
      <c r="U895" s="559"/>
      <c r="V895" s="559"/>
      <c r="W895" s="559"/>
      <c r="X895" s="559"/>
      <c r="Y895" s="559"/>
      <c r="Z895" s="559"/>
      <c r="AA895" s="559"/>
      <c r="AB895" s="559"/>
      <c r="AC895" s="559"/>
      <c r="AD895" s="559"/>
      <c r="AE895" s="559"/>
      <c r="AF895" s="559"/>
      <c r="AG895" s="559"/>
    </row>
    <row r="896" spans="1:33" ht="18" customHeight="1" x14ac:dyDescent="0.35">
      <c r="A896" s="559"/>
      <c r="B896" s="559"/>
      <c r="C896" s="559"/>
      <c r="D896" s="559"/>
      <c r="E896" s="559"/>
      <c r="F896" s="559"/>
      <c r="G896" s="559"/>
      <c r="H896" s="559"/>
      <c r="I896" s="559"/>
      <c r="J896" s="559"/>
      <c r="K896" s="559"/>
      <c r="L896" s="559"/>
      <c r="M896" s="559"/>
      <c r="N896" s="559"/>
      <c r="O896" s="559"/>
      <c r="P896" s="559"/>
      <c r="Q896" s="559"/>
      <c r="R896" s="559"/>
      <c r="S896" s="559"/>
      <c r="T896" s="559"/>
      <c r="U896" s="559"/>
      <c r="V896" s="559"/>
      <c r="W896" s="559"/>
      <c r="X896" s="559"/>
      <c r="Y896" s="559"/>
      <c r="Z896" s="559"/>
      <c r="AA896" s="559"/>
      <c r="AB896" s="559"/>
      <c r="AC896" s="559"/>
      <c r="AD896" s="559"/>
      <c r="AE896" s="559"/>
      <c r="AF896" s="559"/>
      <c r="AG896" s="559"/>
    </row>
    <row r="897" spans="1:33" ht="18" customHeight="1" x14ac:dyDescent="0.35">
      <c r="A897" s="559"/>
      <c r="B897" s="559"/>
      <c r="C897" s="559"/>
      <c r="D897" s="559"/>
      <c r="E897" s="559"/>
      <c r="F897" s="559"/>
      <c r="G897" s="559"/>
      <c r="H897" s="559"/>
      <c r="I897" s="559"/>
      <c r="J897" s="559"/>
      <c r="K897" s="559"/>
      <c r="L897" s="559"/>
      <c r="M897" s="559"/>
      <c r="N897" s="559"/>
      <c r="O897" s="559"/>
      <c r="P897" s="559"/>
      <c r="Q897" s="559"/>
      <c r="R897" s="559"/>
      <c r="S897" s="559"/>
      <c r="T897" s="559"/>
      <c r="U897" s="559"/>
      <c r="V897" s="559"/>
      <c r="W897" s="559"/>
      <c r="X897" s="559"/>
      <c r="Y897" s="559"/>
      <c r="Z897" s="559"/>
      <c r="AA897" s="559"/>
      <c r="AB897" s="559"/>
      <c r="AC897" s="559"/>
      <c r="AD897" s="559"/>
      <c r="AE897" s="559"/>
      <c r="AF897" s="559"/>
      <c r="AG897" s="559"/>
    </row>
    <row r="898" spans="1:33" ht="18" customHeight="1" x14ac:dyDescent="0.35">
      <c r="A898" s="559"/>
      <c r="B898" s="559"/>
      <c r="C898" s="559"/>
      <c r="D898" s="559"/>
      <c r="E898" s="559"/>
      <c r="F898" s="559"/>
      <c r="G898" s="559"/>
      <c r="H898" s="559"/>
      <c r="I898" s="559"/>
      <c r="J898" s="559"/>
      <c r="K898" s="559"/>
      <c r="L898" s="559"/>
      <c r="M898" s="559"/>
      <c r="N898" s="559"/>
      <c r="O898" s="559"/>
      <c r="P898" s="559"/>
      <c r="Q898" s="559"/>
      <c r="R898" s="559"/>
      <c r="S898" s="559"/>
      <c r="T898" s="559"/>
      <c r="U898" s="559"/>
      <c r="V898" s="559"/>
      <c r="W898" s="559"/>
      <c r="X898" s="559"/>
      <c r="Y898" s="559"/>
      <c r="Z898" s="559"/>
      <c r="AA898" s="559"/>
      <c r="AB898" s="559"/>
      <c r="AC898" s="559"/>
      <c r="AD898" s="559"/>
      <c r="AE898" s="559"/>
      <c r="AF898" s="559"/>
      <c r="AG898" s="559"/>
    </row>
    <row r="899" spans="1:33" ht="18" customHeight="1" x14ac:dyDescent="0.35">
      <c r="A899" s="559"/>
      <c r="B899" s="559"/>
      <c r="C899" s="559"/>
      <c r="D899" s="559"/>
      <c r="E899" s="559"/>
      <c r="F899" s="559"/>
      <c r="G899" s="559"/>
      <c r="H899" s="559"/>
      <c r="I899" s="559"/>
      <c r="J899" s="559"/>
      <c r="K899" s="559"/>
      <c r="L899" s="559"/>
      <c r="M899" s="559"/>
      <c r="N899" s="559"/>
      <c r="O899" s="559"/>
      <c r="P899" s="559"/>
      <c r="Q899" s="559"/>
      <c r="R899" s="559"/>
      <c r="S899" s="559"/>
      <c r="T899" s="559"/>
      <c r="U899" s="559"/>
      <c r="V899" s="559"/>
      <c r="W899" s="559"/>
      <c r="X899" s="559"/>
      <c r="Y899" s="559"/>
      <c r="Z899" s="559"/>
      <c r="AA899" s="559"/>
      <c r="AB899" s="559"/>
      <c r="AC899" s="559"/>
      <c r="AD899" s="559"/>
      <c r="AE899" s="559"/>
      <c r="AF899" s="559"/>
      <c r="AG899" s="559"/>
    </row>
    <row r="900" spans="1:33" ht="18" customHeight="1" x14ac:dyDescent="0.35">
      <c r="A900" s="559"/>
      <c r="B900" s="559"/>
      <c r="C900" s="559"/>
      <c r="D900" s="559"/>
      <c r="E900" s="559"/>
      <c r="F900" s="559"/>
      <c r="G900" s="559"/>
      <c r="H900" s="559"/>
      <c r="I900" s="559"/>
      <c r="J900" s="559"/>
      <c r="K900" s="559"/>
      <c r="L900" s="559"/>
      <c r="M900" s="559"/>
      <c r="N900" s="559"/>
      <c r="O900" s="559"/>
      <c r="P900" s="559"/>
      <c r="Q900" s="559"/>
      <c r="R900" s="559"/>
      <c r="S900" s="559"/>
      <c r="T900" s="559"/>
      <c r="U900" s="559"/>
      <c r="V900" s="559"/>
      <c r="W900" s="559"/>
      <c r="X900" s="559"/>
      <c r="Y900" s="559"/>
      <c r="Z900" s="559"/>
      <c r="AA900" s="559"/>
      <c r="AB900" s="559"/>
      <c r="AC900" s="559"/>
      <c r="AD900" s="559"/>
      <c r="AE900" s="559"/>
      <c r="AF900" s="559"/>
      <c r="AG900" s="559"/>
    </row>
    <row r="901" spans="1:33" ht="18" customHeight="1" x14ac:dyDescent="0.35">
      <c r="A901" s="559"/>
      <c r="B901" s="559"/>
      <c r="C901" s="559"/>
      <c r="D901" s="559"/>
      <c r="E901" s="559"/>
      <c r="F901" s="559"/>
      <c r="G901" s="559"/>
      <c r="H901" s="559"/>
      <c r="I901" s="559"/>
      <c r="J901" s="559"/>
      <c r="K901" s="559"/>
      <c r="L901" s="559"/>
      <c r="M901" s="559"/>
      <c r="N901" s="559"/>
      <c r="O901" s="559"/>
      <c r="P901" s="559"/>
      <c r="Q901" s="559"/>
      <c r="R901" s="559"/>
      <c r="S901" s="559"/>
      <c r="T901" s="559"/>
      <c r="U901" s="559"/>
      <c r="V901" s="559"/>
      <c r="W901" s="559"/>
      <c r="X901" s="559"/>
      <c r="Y901" s="559"/>
      <c r="Z901" s="559"/>
      <c r="AA901" s="559"/>
      <c r="AB901" s="559"/>
      <c r="AC901" s="559"/>
      <c r="AD901" s="559"/>
      <c r="AE901" s="559"/>
      <c r="AF901" s="559"/>
      <c r="AG901" s="559"/>
    </row>
    <row r="902" spans="1:33" ht="18" customHeight="1" x14ac:dyDescent="0.35">
      <c r="A902" s="559"/>
      <c r="B902" s="559"/>
      <c r="C902" s="559"/>
      <c r="D902" s="559"/>
      <c r="E902" s="559"/>
      <c r="F902" s="559"/>
      <c r="G902" s="559"/>
      <c r="H902" s="559"/>
      <c r="I902" s="559"/>
      <c r="J902" s="559"/>
      <c r="K902" s="559"/>
      <c r="L902" s="559"/>
      <c r="M902" s="559"/>
      <c r="N902" s="559"/>
      <c r="O902" s="559"/>
      <c r="P902" s="559"/>
      <c r="Q902" s="559"/>
      <c r="R902" s="559"/>
      <c r="S902" s="559"/>
      <c r="T902" s="559"/>
      <c r="U902" s="559"/>
      <c r="V902" s="559"/>
      <c r="W902" s="559"/>
      <c r="X902" s="559"/>
      <c r="Y902" s="559"/>
      <c r="Z902" s="559"/>
      <c r="AA902" s="559"/>
      <c r="AB902" s="559"/>
      <c r="AC902" s="559"/>
      <c r="AD902" s="559"/>
      <c r="AE902" s="559"/>
      <c r="AF902" s="559"/>
      <c r="AG902" s="559"/>
    </row>
    <row r="903" spans="1:33" ht="18" customHeight="1" x14ac:dyDescent="0.35">
      <c r="A903" s="559"/>
      <c r="B903" s="559"/>
      <c r="C903" s="559"/>
      <c r="D903" s="559"/>
      <c r="E903" s="559"/>
      <c r="F903" s="559"/>
      <c r="G903" s="559"/>
      <c r="H903" s="559"/>
      <c r="I903" s="559"/>
      <c r="J903" s="559"/>
      <c r="K903" s="559"/>
      <c r="L903" s="559"/>
      <c r="M903" s="559"/>
      <c r="N903" s="559"/>
      <c r="O903" s="559"/>
      <c r="P903" s="559"/>
      <c r="Q903" s="559"/>
      <c r="R903" s="559"/>
      <c r="S903" s="559"/>
      <c r="T903" s="559"/>
      <c r="U903" s="559"/>
      <c r="V903" s="559"/>
      <c r="W903" s="559"/>
      <c r="X903" s="559"/>
      <c r="Y903" s="559"/>
      <c r="Z903" s="559"/>
      <c r="AA903" s="559"/>
      <c r="AB903" s="559"/>
      <c r="AC903" s="559"/>
      <c r="AD903" s="559"/>
      <c r="AE903" s="559"/>
      <c r="AF903" s="559"/>
      <c r="AG903" s="559"/>
    </row>
    <row r="904" spans="1:33" ht="18" customHeight="1" x14ac:dyDescent="0.35">
      <c r="A904" s="559"/>
      <c r="B904" s="559"/>
      <c r="C904" s="559"/>
      <c r="D904" s="559"/>
      <c r="E904" s="559"/>
      <c r="F904" s="559"/>
      <c r="G904" s="559"/>
      <c r="H904" s="559"/>
      <c r="I904" s="559"/>
      <c r="J904" s="559"/>
      <c r="K904" s="559"/>
      <c r="L904" s="559"/>
      <c r="M904" s="559"/>
      <c r="N904" s="559"/>
      <c r="O904" s="559"/>
      <c r="P904" s="559"/>
      <c r="Q904" s="559"/>
      <c r="R904" s="559"/>
      <c r="S904" s="559"/>
      <c r="T904" s="559"/>
      <c r="U904" s="559"/>
      <c r="V904" s="559"/>
      <c r="W904" s="559"/>
      <c r="X904" s="559"/>
      <c r="Y904" s="559"/>
      <c r="Z904" s="559"/>
      <c r="AA904" s="559"/>
      <c r="AB904" s="559"/>
      <c r="AC904" s="559"/>
      <c r="AD904" s="559"/>
      <c r="AE904" s="559"/>
      <c r="AF904" s="559"/>
      <c r="AG904" s="559"/>
    </row>
    <row r="905" spans="1:33" ht="18" customHeight="1" x14ac:dyDescent="0.35">
      <c r="A905" s="559"/>
      <c r="B905" s="559"/>
      <c r="C905" s="559"/>
      <c r="D905" s="559"/>
      <c r="E905" s="559"/>
      <c r="F905" s="559"/>
      <c r="G905" s="559"/>
      <c r="H905" s="559"/>
      <c r="I905" s="559"/>
      <c r="J905" s="559"/>
      <c r="K905" s="559"/>
      <c r="L905" s="559"/>
      <c r="M905" s="559"/>
      <c r="N905" s="559"/>
      <c r="O905" s="559"/>
      <c r="P905" s="559"/>
      <c r="Q905" s="559"/>
      <c r="R905" s="559"/>
      <c r="S905" s="559"/>
      <c r="T905" s="559"/>
      <c r="U905" s="559"/>
      <c r="V905" s="559"/>
      <c r="W905" s="559"/>
      <c r="X905" s="559"/>
      <c r="Y905" s="559"/>
      <c r="Z905" s="559"/>
      <c r="AA905" s="559"/>
      <c r="AB905" s="559"/>
      <c r="AC905" s="559"/>
      <c r="AD905" s="559"/>
      <c r="AE905" s="559"/>
      <c r="AF905" s="559"/>
      <c r="AG905" s="559"/>
    </row>
    <row r="906" spans="1:33" ht="18" customHeight="1" x14ac:dyDescent="0.35">
      <c r="A906" s="559"/>
      <c r="B906" s="559"/>
      <c r="C906" s="559"/>
      <c r="D906" s="559"/>
      <c r="E906" s="559"/>
      <c r="F906" s="559"/>
      <c r="G906" s="559"/>
      <c r="H906" s="559"/>
      <c r="I906" s="559"/>
      <c r="J906" s="559"/>
      <c r="K906" s="559"/>
      <c r="L906" s="559"/>
      <c r="M906" s="559"/>
      <c r="N906" s="559"/>
      <c r="O906" s="559"/>
      <c r="P906" s="559"/>
      <c r="Q906" s="559"/>
      <c r="R906" s="559"/>
      <c r="S906" s="559"/>
      <c r="T906" s="559"/>
      <c r="U906" s="559"/>
      <c r="V906" s="559"/>
      <c r="W906" s="559"/>
      <c r="X906" s="559"/>
      <c r="Y906" s="559"/>
      <c r="Z906" s="559"/>
      <c r="AA906" s="559"/>
      <c r="AB906" s="559"/>
      <c r="AC906" s="559"/>
      <c r="AD906" s="559"/>
      <c r="AE906" s="559"/>
      <c r="AF906" s="559"/>
      <c r="AG906" s="559"/>
    </row>
    <row r="907" spans="1:33" ht="18" customHeight="1" x14ac:dyDescent="0.35">
      <c r="A907" s="559"/>
      <c r="B907" s="559"/>
      <c r="C907" s="559"/>
      <c r="D907" s="559"/>
      <c r="E907" s="559"/>
      <c r="F907" s="559"/>
      <c r="G907" s="559"/>
      <c r="H907" s="559"/>
      <c r="I907" s="559"/>
      <c r="J907" s="559"/>
      <c r="K907" s="559"/>
      <c r="L907" s="559"/>
      <c r="M907" s="559"/>
      <c r="N907" s="559"/>
      <c r="O907" s="559"/>
      <c r="P907" s="559"/>
      <c r="Q907" s="559"/>
      <c r="R907" s="559"/>
      <c r="S907" s="559"/>
      <c r="T907" s="559"/>
      <c r="U907" s="559"/>
      <c r="V907" s="559"/>
      <c r="W907" s="559"/>
      <c r="X907" s="559"/>
      <c r="Y907" s="559"/>
      <c r="Z907" s="559"/>
      <c r="AA907" s="559"/>
      <c r="AB907" s="559"/>
      <c r="AC907" s="559"/>
      <c r="AD907" s="559"/>
      <c r="AE907" s="559"/>
      <c r="AF907" s="559"/>
      <c r="AG907" s="559"/>
    </row>
    <row r="908" spans="1:33" ht="18" customHeight="1" x14ac:dyDescent="0.35">
      <c r="A908" s="559"/>
      <c r="B908" s="559"/>
      <c r="C908" s="559"/>
      <c r="D908" s="559"/>
      <c r="E908" s="559"/>
      <c r="F908" s="559"/>
      <c r="G908" s="559"/>
      <c r="H908" s="559"/>
      <c r="I908" s="559"/>
      <c r="J908" s="559"/>
      <c r="K908" s="559"/>
      <c r="L908" s="559"/>
      <c r="M908" s="559"/>
      <c r="N908" s="559"/>
      <c r="O908" s="559"/>
      <c r="P908" s="559"/>
      <c r="Q908" s="559"/>
      <c r="R908" s="559"/>
      <c r="S908" s="559"/>
      <c r="T908" s="559"/>
      <c r="U908" s="559"/>
      <c r="V908" s="559"/>
      <c r="W908" s="559"/>
      <c r="X908" s="559"/>
      <c r="Y908" s="559"/>
      <c r="Z908" s="559"/>
      <c r="AA908" s="559"/>
      <c r="AB908" s="559"/>
      <c r="AC908" s="559"/>
      <c r="AD908" s="559"/>
      <c r="AE908" s="559"/>
      <c r="AF908" s="559"/>
      <c r="AG908" s="559"/>
    </row>
    <row r="909" spans="1:33" ht="18" customHeight="1" x14ac:dyDescent="0.35">
      <c r="A909" s="559"/>
      <c r="B909" s="559"/>
      <c r="C909" s="559"/>
      <c r="D909" s="559"/>
      <c r="E909" s="559"/>
      <c r="F909" s="559"/>
      <c r="G909" s="559"/>
      <c r="H909" s="559"/>
      <c r="I909" s="559"/>
      <c r="J909" s="559"/>
      <c r="K909" s="559"/>
      <c r="L909" s="559"/>
      <c r="M909" s="559"/>
      <c r="N909" s="559"/>
      <c r="O909" s="559"/>
      <c r="P909" s="559"/>
      <c r="Q909" s="559"/>
      <c r="R909" s="559"/>
      <c r="S909" s="559"/>
      <c r="T909" s="559"/>
      <c r="U909" s="559"/>
      <c r="V909" s="559"/>
      <c r="W909" s="559"/>
      <c r="X909" s="559"/>
      <c r="Y909" s="559"/>
      <c r="Z909" s="559"/>
      <c r="AA909" s="559"/>
      <c r="AB909" s="559"/>
      <c r="AC909" s="559"/>
      <c r="AD909" s="559"/>
      <c r="AE909" s="559"/>
      <c r="AF909" s="559"/>
      <c r="AG909" s="559"/>
    </row>
    <row r="910" spans="1:33" ht="18" customHeight="1" x14ac:dyDescent="0.35">
      <c r="A910" s="559"/>
      <c r="B910" s="559"/>
      <c r="C910" s="559"/>
      <c r="D910" s="559"/>
      <c r="E910" s="559"/>
      <c r="F910" s="559"/>
      <c r="G910" s="559"/>
      <c r="H910" s="559"/>
      <c r="I910" s="559"/>
      <c r="J910" s="559"/>
      <c r="K910" s="559"/>
      <c r="L910" s="559"/>
      <c r="M910" s="559"/>
      <c r="N910" s="559"/>
      <c r="O910" s="559"/>
      <c r="P910" s="559"/>
      <c r="Q910" s="559"/>
      <c r="R910" s="559"/>
      <c r="S910" s="559"/>
      <c r="T910" s="559"/>
      <c r="U910" s="559"/>
      <c r="V910" s="559"/>
      <c r="W910" s="559"/>
      <c r="X910" s="559"/>
      <c r="Y910" s="559"/>
      <c r="Z910" s="559"/>
      <c r="AA910" s="559"/>
      <c r="AB910" s="559"/>
      <c r="AC910" s="559"/>
      <c r="AD910" s="559"/>
      <c r="AE910" s="559"/>
      <c r="AF910" s="559"/>
      <c r="AG910" s="559"/>
    </row>
    <row r="911" spans="1:33" ht="18" customHeight="1" x14ac:dyDescent="0.35">
      <c r="A911" s="559"/>
      <c r="B911" s="559"/>
      <c r="C911" s="559"/>
      <c r="D911" s="559"/>
      <c r="E911" s="559"/>
      <c r="F911" s="559"/>
      <c r="G911" s="559"/>
      <c r="H911" s="559"/>
      <c r="I911" s="559"/>
      <c r="J911" s="559"/>
      <c r="K911" s="559"/>
      <c r="L911" s="559"/>
      <c r="M911" s="559"/>
      <c r="N911" s="559"/>
      <c r="O911" s="559"/>
      <c r="P911" s="559"/>
      <c r="Q911" s="559"/>
      <c r="R911" s="559"/>
      <c r="S911" s="559"/>
      <c r="T911" s="559"/>
      <c r="U911" s="559"/>
      <c r="V911" s="559"/>
      <c r="W911" s="559"/>
      <c r="X911" s="559"/>
      <c r="Y911" s="559"/>
      <c r="Z911" s="559"/>
      <c r="AA911" s="559"/>
      <c r="AB911" s="559"/>
      <c r="AC911" s="559"/>
      <c r="AD911" s="559"/>
      <c r="AE911" s="559"/>
      <c r="AF911" s="559"/>
      <c r="AG911" s="559"/>
    </row>
    <row r="912" spans="1:33" ht="18" customHeight="1" x14ac:dyDescent="0.35">
      <c r="A912" s="559"/>
      <c r="B912" s="559"/>
      <c r="C912" s="559"/>
      <c r="D912" s="559"/>
      <c r="E912" s="559"/>
      <c r="F912" s="559"/>
      <c r="G912" s="559"/>
      <c r="H912" s="559"/>
      <c r="I912" s="559"/>
      <c r="J912" s="559"/>
      <c r="K912" s="559"/>
      <c r="L912" s="559"/>
      <c r="M912" s="559"/>
      <c r="N912" s="559"/>
      <c r="O912" s="559"/>
      <c r="P912" s="559"/>
      <c r="Q912" s="559"/>
      <c r="R912" s="559"/>
      <c r="S912" s="559"/>
      <c r="T912" s="559"/>
      <c r="U912" s="559"/>
      <c r="V912" s="559"/>
      <c r="W912" s="559"/>
      <c r="X912" s="559"/>
      <c r="Y912" s="559"/>
      <c r="Z912" s="559"/>
      <c r="AA912" s="559"/>
      <c r="AB912" s="559"/>
      <c r="AC912" s="559"/>
      <c r="AD912" s="559"/>
      <c r="AE912" s="559"/>
      <c r="AF912" s="559"/>
      <c r="AG912" s="559"/>
    </row>
    <row r="913" spans="1:33" ht="18" customHeight="1" x14ac:dyDescent="0.35">
      <c r="A913" s="559"/>
      <c r="B913" s="559"/>
      <c r="C913" s="559"/>
      <c r="D913" s="559"/>
      <c r="E913" s="559"/>
      <c r="F913" s="559"/>
      <c r="G913" s="559"/>
      <c r="H913" s="559"/>
      <c r="I913" s="559"/>
      <c r="J913" s="559"/>
      <c r="K913" s="559"/>
      <c r="L913" s="559"/>
      <c r="M913" s="559"/>
      <c r="N913" s="559"/>
      <c r="O913" s="559"/>
      <c r="P913" s="559"/>
      <c r="Q913" s="559"/>
      <c r="R913" s="559"/>
      <c r="S913" s="559"/>
      <c r="T913" s="559"/>
      <c r="U913" s="559"/>
      <c r="V913" s="559"/>
      <c r="W913" s="559"/>
      <c r="X913" s="559"/>
      <c r="Y913" s="559"/>
      <c r="Z913" s="559"/>
      <c r="AA913" s="559"/>
      <c r="AB913" s="559"/>
      <c r="AC913" s="559"/>
      <c r="AD913" s="559"/>
      <c r="AE913" s="559"/>
      <c r="AF913" s="559"/>
      <c r="AG913" s="559"/>
    </row>
    <row r="914" spans="1:33" ht="18" customHeight="1" x14ac:dyDescent="0.35">
      <c r="A914" s="559"/>
      <c r="B914" s="559"/>
      <c r="C914" s="559"/>
      <c r="D914" s="559"/>
      <c r="E914" s="559"/>
      <c r="F914" s="559"/>
      <c r="G914" s="559"/>
      <c r="H914" s="559"/>
      <c r="I914" s="559"/>
      <c r="J914" s="559"/>
      <c r="K914" s="559"/>
      <c r="L914" s="559"/>
      <c r="M914" s="559"/>
      <c r="N914" s="559"/>
      <c r="O914" s="559"/>
      <c r="P914" s="559"/>
      <c r="Q914" s="559"/>
      <c r="R914" s="559"/>
      <c r="S914" s="559"/>
      <c r="T914" s="559"/>
      <c r="U914" s="559"/>
      <c r="V914" s="559"/>
      <c r="W914" s="559"/>
      <c r="X914" s="559"/>
      <c r="Y914" s="559"/>
      <c r="Z914" s="559"/>
      <c r="AA914" s="559"/>
      <c r="AB914" s="559"/>
      <c r="AC914" s="559"/>
      <c r="AD914" s="559"/>
      <c r="AE914" s="559"/>
      <c r="AF914" s="559"/>
      <c r="AG914" s="559"/>
    </row>
    <row r="915" spans="1:33" ht="18" customHeight="1" x14ac:dyDescent="0.35">
      <c r="A915" s="559"/>
      <c r="B915" s="559"/>
      <c r="C915" s="559"/>
      <c r="D915" s="559"/>
      <c r="E915" s="559"/>
      <c r="F915" s="559"/>
      <c r="G915" s="559"/>
      <c r="H915" s="559"/>
      <c r="I915" s="559"/>
      <c r="J915" s="559"/>
      <c r="K915" s="559"/>
      <c r="L915" s="559"/>
      <c r="M915" s="559"/>
      <c r="N915" s="559"/>
      <c r="O915" s="559"/>
      <c r="P915" s="559"/>
      <c r="Q915" s="559"/>
      <c r="R915" s="559"/>
      <c r="S915" s="559"/>
      <c r="T915" s="559"/>
      <c r="U915" s="559"/>
      <c r="V915" s="559"/>
      <c r="W915" s="559"/>
      <c r="X915" s="559"/>
      <c r="Y915" s="559"/>
      <c r="Z915" s="559"/>
      <c r="AA915" s="559"/>
      <c r="AB915" s="559"/>
      <c r="AC915" s="559"/>
      <c r="AD915" s="559"/>
      <c r="AE915" s="559"/>
      <c r="AF915" s="559"/>
      <c r="AG915" s="559"/>
    </row>
    <row r="916" spans="1:33" ht="18" customHeight="1" x14ac:dyDescent="0.35">
      <c r="A916" s="559"/>
      <c r="B916" s="559"/>
      <c r="C916" s="559"/>
      <c r="D916" s="559"/>
      <c r="E916" s="559"/>
      <c r="F916" s="559"/>
      <c r="G916" s="559"/>
      <c r="H916" s="559"/>
      <c r="I916" s="559"/>
      <c r="J916" s="559"/>
      <c r="K916" s="559"/>
      <c r="L916" s="559"/>
      <c r="M916" s="559"/>
      <c r="N916" s="559"/>
      <c r="O916" s="559"/>
      <c r="P916" s="559"/>
      <c r="Q916" s="559"/>
      <c r="R916" s="559"/>
      <c r="S916" s="559"/>
      <c r="T916" s="559"/>
      <c r="U916" s="559"/>
      <c r="V916" s="559"/>
      <c r="W916" s="559"/>
      <c r="X916" s="559"/>
      <c r="Y916" s="559"/>
      <c r="Z916" s="559"/>
      <c r="AA916" s="559"/>
      <c r="AB916" s="559"/>
      <c r="AC916" s="559"/>
      <c r="AD916" s="559"/>
      <c r="AE916" s="559"/>
      <c r="AF916" s="559"/>
      <c r="AG916" s="559"/>
    </row>
    <row r="917" spans="1:33" ht="18" customHeight="1" x14ac:dyDescent="0.35">
      <c r="A917" s="559"/>
      <c r="B917" s="559"/>
      <c r="C917" s="559"/>
      <c r="D917" s="559"/>
      <c r="E917" s="559"/>
      <c r="F917" s="559"/>
      <c r="G917" s="559"/>
      <c r="H917" s="559"/>
      <c r="I917" s="559"/>
      <c r="J917" s="559"/>
      <c r="K917" s="559"/>
      <c r="L917" s="559"/>
      <c r="M917" s="559"/>
      <c r="N917" s="559"/>
      <c r="O917" s="559"/>
      <c r="P917" s="559"/>
      <c r="Q917" s="559"/>
      <c r="R917" s="559"/>
      <c r="S917" s="559"/>
      <c r="T917" s="559"/>
      <c r="U917" s="559"/>
      <c r="V917" s="559"/>
      <c r="W917" s="559"/>
      <c r="X917" s="559"/>
      <c r="Y917" s="559"/>
      <c r="Z917" s="559"/>
      <c r="AA917" s="559"/>
      <c r="AB917" s="559"/>
      <c r="AC917" s="559"/>
      <c r="AD917" s="559"/>
      <c r="AE917" s="559"/>
      <c r="AF917" s="559"/>
      <c r="AG917" s="559"/>
    </row>
    <row r="918" spans="1:33" ht="18" customHeight="1" x14ac:dyDescent="0.35">
      <c r="A918" s="559"/>
      <c r="B918" s="559"/>
      <c r="C918" s="559"/>
      <c r="D918" s="559"/>
      <c r="E918" s="559"/>
      <c r="F918" s="559"/>
      <c r="G918" s="559"/>
      <c r="H918" s="559"/>
      <c r="I918" s="559"/>
      <c r="J918" s="559"/>
      <c r="K918" s="559"/>
      <c r="L918" s="559"/>
      <c r="M918" s="559"/>
      <c r="N918" s="559"/>
      <c r="O918" s="559"/>
      <c r="P918" s="559"/>
      <c r="Q918" s="559"/>
      <c r="R918" s="559"/>
      <c r="S918" s="559"/>
      <c r="T918" s="559"/>
      <c r="U918" s="559"/>
      <c r="V918" s="559"/>
      <c r="W918" s="559"/>
      <c r="X918" s="559"/>
      <c r="Y918" s="559"/>
      <c r="Z918" s="559"/>
      <c r="AA918" s="559"/>
      <c r="AB918" s="559"/>
      <c r="AC918" s="559"/>
      <c r="AD918" s="559"/>
      <c r="AE918" s="559"/>
      <c r="AF918" s="559"/>
      <c r="AG918" s="559"/>
    </row>
    <row r="919" spans="1:33" ht="18" customHeight="1" x14ac:dyDescent="0.35">
      <c r="A919" s="559"/>
      <c r="B919" s="559"/>
      <c r="C919" s="559"/>
      <c r="D919" s="559"/>
      <c r="E919" s="559"/>
      <c r="F919" s="559"/>
      <c r="G919" s="559"/>
      <c r="H919" s="559"/>
      <c r="I919" s="559"/>
      <c r="J919" s="559"/>
      <c r="K919" s="559"/>
      <c r="L919" s="559"/>
      <c r="M919" s="559"/>
      <c r="N919" s="559"/>
      <c r="O919" s="559"/>
      <c r="P919" s="559"/>
      <c r="Q919" s="559"/>
      <c r="R919" s="559"/>
      <c r="S919" s="559"/>
      <c r="T919" s="559"/>
      <c r="U919" s="559"/>
      <c r="V919" s="559"/>
      <c r="W919" s="559"/>
      <c r="X919" s="559"/>
      <c r="Y919" s="559"/>
      <c r="Z919" s="559"/>
      <c r="AA919" s="559"/>
      <c r="AB919" s="559"/>
      <c r="AC919" s="559"/>
      <c r="AD919" s="559"/>
      <c r="AE919" s="559"/>
      <c r="AF919" s="559"/>
      <c r="AG919" s="559"/>
    </row>
    <row r="920" spans="1:33" ht="18" customHeight="1" x14ac:dyDescent="0.35">
      <c r="A920" s="559"/>
      <c r="B920" s="559"/>
      <c r="C920" s="559"/>
      <c r="D920" s="559"/>
      <c r="E920" s="559"/>
      <c r="F920" s="559"/>
      <c r="G920" s="559"/>
      <c r="H920" s="559"/>
      <c r="I920" s="559"/>
      <c r="J920" s="559"/>
      <c r="K920" s="559"/>
      <c r="L920" s="559"/>
      <c r="M920" s="559"/>
      <c r="N920" s="559"/>
      <c r="O920" s="559"/>
      <c r="P920" s="559"/>
      <c r="Q920" s="559"/>
      <c r="R920" s="559"/>
      <c r="S920" s="559"/>
      <c r="T920" s="559"/>
      <c r="U920" s="559"/>
      <c r="V920" s="559"/>
      <c r="W920" s="559"/>
      <c r="X920" s="559"/>
      <c r="Y920" s="559"/>
      <c r="Z920" s="559"/>
      <c r="AA920" s="559"/>
      <c r="AB920" s="559"/>
      <c r="AC920" s="559"/>
      <c r="AD920" s="559"/>
      <c r="AE920" s="559"/>
      <c r="AF920" s="559"/>
      <c r="AG920" s="559"/>
    </row>
    <row r="921" spans="1:33" ht="18" customHeight="1" x14ac:dyDescent="0.35">
      <c r="A921" s="559"/>
      <c r="B921" s="559"/>
      <c r="C921" s="559"/>
      <c r="D921" s="559"/>
      <c r="E921" s="559"/>
      <c r="F921" s="559"/>
      <c r="G921" s="559"/>
      <c r="H921" s="559"/>
      <c r="I921" s="559"/>
      <c r="J921" s="559"/>
      <c r="K921" s="559"/>
      <c r="L921" s="559"/>
      <c r="M921" s="559"/>
      <c r="N921" s="559"/>
      <c r="O921" s="559"/>
      <c r="P921" s="559"/>
      <c r="Q921" s="559"/>
      <c r="R921" s="559"/>
      <c r="S921" s="559"/>
      <c r="T921" s="559"/>
      <c r="U921" s="559"/>
      <c r="V921" s="559"/>
      <c r="W921" s="559"/>
      <c r="X921" s="559"/>
      <c r="Y921" s="559"/>
      <c r="Z921" s="559"/>
      <c r="AA921" s="559"/>
      <c r="AB921" s="559"/>
      <c r="AC921" s="559"/>
      <c r="AD921" s="559"/>
      <c r="AE921" s="559"/>
      <c r="AF921" s="559"/>
      <c r="AG921" s="559"/>
    </row>
    <row r="922" spans="1:33" ht="18" customHeight="1" x14ac:dyDescent="0.35">
      <c r="A922" s="559"/>
      <c r="B922" s="559"/>
      <c r="C922" s="559"/>
      <c r="D922" s="559"/>
      <c r="E922" s="559"/>
      <c r="F922" s="559"/>
      <c r="G922" s="559"/>
      <c r="H922" s="559"/>
      <c r="I922" s="559"/>
      <c r="J922" s="559"/>
      <c r="K922" s="559"/>
      <c r="L922" s="559"/>
      <c r="M922" s="559"/>
      <c r="N922" s="559"/>
      <c r="O922" s="559"/>
      <c r="P922" s="559"/>
      <c r="Q922" s="559"/>
      <c r="R922" s="559"/>
      <c r="S922" s="559"/>
      <c r="T922" s="559"/>
      <c r="U922" s="559"/>
      <c r="V922" s="559"/>
      <c r="W922" s="559"/>
      <c r="X922" s="559"/>
      <c r="Y922" s="559"/>
      <c r="Z922" s="559"/>
      <c r="AA922" s="559"/>
      <c r="AB922" s="559"/>
      <c r="AC922" s="559"/>
      <c r="AD922" s="559"/>
      <c r="AE922" s="559"/>
      <c r="AF922" s="559"/>
      <c r="AG922" s="559"/>
    </row>
    <row r="923" spans="1:33" ht="18" customHeight="1" x14ac:dyDescent="0.35">
      <c r="A923" s="559"/>
      <c r="B923" s="559"/>
      <c r="C923" s="559"/>
      <c r="D923" s="559"/>
      <c r="E923" s="559"/>
      <c r="F923" s="559"/>
      <c r="G923" s="559"/>
      <c r="H923" s="559"/>
      <c r="I923" s="559"/>
      <c r="J923" s="559"/>
      <c r="K923" s="559"/>
      <c r="L923" s="559"/>
      <c r="M923" s="559"/>
      <c r="N923" s="559"/>
      <c r="O923" s="559"/>
      <c r="P923" s="559"/>
      <c r="Q923" s="559"/>
      <c r="R923" s="559"/>
      <c r="S923" s="559"/>
      <c r="T923" s="559"/>
      <c r="U923" s="559"/>
      <c r="V923" s="559"/>
      <c r="W923" s="559"/>
      <c r="X923" s="559"/>
      <c r="Y923" s="559"/>
      <c r="Z923" s="559"/>
      <c r="AA923" s="559"/>
      <c r="AB923" s="559"/>
      <c r="AC923" s="559"/>
      <c r="AD923" s="559"/>
      <c r="AE923" s="559"/>
      <c r="AF923" s="559"/>
      <c r="AG923" s="559"/>
    </row>
    <row r="924" spans="1:33" ht="18" customHeight="1" x14ac:dyDescent="0.35">
      <c r="A924" s="559"/>
      <c r="B924" s="559"/>
      <c r="C924" s="559"/>
      <c r="D924" s="559"/>
      <c r="E924" s="559"/>
      <c r="F924" s="559"/>
      <c r="G924" s="559"/>
      <c r="H924" s="559"/>
      <c r="I924" s="559"/>
      <c r="J924" s="559"/>
      <c r="K924" s="559"/>
      <c r="L924" s="559"/>
      <c r="M924" s="559"/>
      <c r="N924" s="559"/>
      <c r="O924" s="559"/>
      <c r="P924" s="559"/>
      <c r="Q924" s="559"/>
      <c r="R924" s="559"/>
      <c r="S924" s="559"/>
      <c r="T924" s="559"/>
      <c r="U924" s="559"/>
      <c r="V924" s="559"/>
      <c r="W924" s="559"/>
      <c r="X924" s="559"/>
      <c r="Y924" s="559"/>
      <c r="Z924" s="559"/>
      <c r="AA924" s="559"/>
      <c r="AB924" s="559"/>
      <c r="AC924" s="559"/>
      <c r="AD924" s="559"/>
      <c r="AE924" s="559"/>
      <c r="AF924" s="559"/>
      <c r="AG924" s="559"/>
    </row>
    <row r="925" spans="1:33" ht="18" customHeight="1" x14ac:dyDescent="0.35">
      <c r="A925" s="559"/>
      <c r="B925" s="559"/>
      <c r="C925" s="559"/>
      <c r="D925" s="559"/>
      <c r="E925" s="559"/>
      <c r="F925" s="559"/>
      <c r="G925" s="559"/>
      <c r="H925" s="559"/>
      <c r="I925" s="559"/>
      <c r="J925" s="559"/>
      <c r="K925" s="559"/>
      <c r="L925" s="559"/>
      <c r="M925" s="559"/>
      <c r="N925" s="559"/>
      <c r="O925" s="559"/>
      <c r="P925" s="559"/>
      <c r="Q925" s="559"/>
      <c r="R925" s="559"/>
      <c r="S925" s="559"/>
      <c r="T925" s="559"/>
      <c r="U925" s="559"/>
      <c r="V925" s="559"/>
      <c r="W925" s="559"/>
      <c r="X925" s="559"/>
      <c r="Y925" s="559"/>
      <c r="Z925" s="559"/>
      <c r="AA925" s="559"/>
      <c r="AB925" s="559"/>
      <c r="AC925" s="559"/>
      <c r="AD925" s="559"/>
      <c r="AE925" s="559"/>
      <c r="AF925" s="559"/>
      <c r="AG925" s="559"/>
    </row>
    <row r="926" spans="1:33" ht="18" customHeight="1" x14ac:dyDescent="0.35">
      <c r="A926" s="559"/>
      <c r="B926" s="559"/>
      <c r="C926" s="559"/>
      <c r="D926" s="559"/>
      <c r="E926" s="559"/>
      <c r="F926" s="559"/>
      <c r="G926" s="559"/>
      <c r="H926" s="559"/>
      <c r="I926" s="559"/>
      <c r="J926" s="559"/>
      <c r="K926" s="559"/>
      <c r="L926" s="559"/>
      <c r="M926" s="559"/>
      <c r="N926" s="559"/>
      <c r="O926" s="559"/>
      <c r="P926" s="559"/>
      <c r="Q926" s="559"/>
      <c r="R926" s="559"/>
      <c r="S926" s="559"/>
      <c r="T926" s="559"/>
      <c r="U926" s="559"/>
      <c r="V926" s="559"/>
      <c r="W926" s="559"/>
      <c r="X926" s="559"/>
      <c r="Y926" s="559"/>
      <c r="Z926" s="559"/>
      <c r="AA926" s="559"/>
      <c r="AB926" s="559"/>
      <c r="AC926" s="559"/>
      <c r="AD926" s="559"/>
      <c r="AE926" s="559"/>
      <c r="AF926" s="559"/>
      <c r="AG926" s="559"/>
    </row>
    <row r="927" spans="1:33" ht="18" customHeight="1" x14ac:dyDescent="0.35">
      <c r="A927" s="559"/>
      <c r="B927" s="559"/>
      <c r="C927" s="559"/>
      <c r="D927" s="559"/>
      <c r="E927" s="559"/>
      <c r="F927" s="559"/>
      <c r="G927" s="559"/>
      <c r="H927" s="559"/>
      <c r="I927" s="559"/>
      <c r="J927" s="559"/>
      <c r="K927" s="559"/>
      <c r="L927" s="559"/>
      <c r="M927" s="559"/>
      <c r="N927" s="559"/>
      <c r="O927" s="559"/>
      <c r="P927" s="559"/>
      <c r="Q927" s="559"/>
      <c r="R927" s="559"/>
      <c r="S927" s="559"/>
      <c r="T927" s="559"/>
      <c r="U927" s="559"/>
      <c r="V927" s="559"/>
      <c r="W927" s="559"/>
      <c r="X927" s="559"/>
      <c r="Y927" s="559"/>
      <c r="Z927" s="559"/>
      <c r="AA927" s="559"/>
      <c r="AB927" s="559"/>
      <c r="AC927" s="559"/>
      <c r="AD927" s="559"/>
      <c r="AE927" s="559"/>
      <c r="AF927" s="559"/>
      <c r="AG927" s="559"/>
    </row>
    <row r="928" spans="1:33" ht="18" customHeight="1" x14ac:dyDescent="0.35">
      <c r="A928" s="559"/>
      <c r="B928" s="559"/>
      <c r="C928" s="559"/>
      <c r="D928" s="559"/>
      <c r="E928" s="559"/>
      <c r="F928" s="559"/>
      <c r="G928" s="559"/>
      <c r="H928" s="559"/>
      <c r="I928" s="559"/>
      <c r="J928" s="559"/>
      <c r="K928" s="559"/>
      <c r="L928" s="559"/>
      <c r="M928" s="559"/>
      <c r="N928" s="559"/>
      <c r="O928" s="559"/>
      <c r="P928" s="559"/>
      <c r="Q928" s="559"/>
      <c r="R928" s="559"/>
      <c r="S928" s="559"/>
      <c r="T928" s="559"/>
      <c r="U928" s="559"/>
      <c r="V928" s="559"/>
      <c r="W928" s="559"/>
      <c r="X928" s="559"/>
      <c r="Y928" s="559"/>
      <c r="Z928" s="559"/>
      <c r="AA928" s="559"/>
      <c r="AB928" s="559"/>
      <c r="AC928" s="559"/>
      <c r="AD928" s="559"/>
      <c r="AE928" s="559"/>
      <c r="AF928" s="559"/>
      <c r="AG928" s="559"/>
    </row>
    <row r="929" spans="1:33" ht="18" customHeight="1" x14ac:dyDescent="0.35">
      <c r="A929" s="559"/>
      <c r="B929" s="559"/>
      <c r="C929" s="559"/>
      <c r="D929" s="559"/>
      <c r="E929" s="559"/>
      <c r="F929" s="559"/>
      <c r="G929" s="559"/>
      <c r="H929" s="559"/>
      <c r="I929" s="559"/>
      <c r="J929" s="559"/>
      <c r="K929" s="559"/>
      <c r="L929" s="559"/>
      <c r="M929" s="559"/>
      <c r="N929" s="559"/>
      <c r="O929" s="559"/>
      <c r="P929" s="559"/>
      <c r="Q929" s="559"/>
      <c r="R929" s="559"/>
      <c r="S929" s="559"/>
      <c r="T929" s="559"/>
      <c r="U929" s="559"/>
      <c r="V929" s="559"/>
      <c r="W929" s="559"/>
      <c r="X929" s="559"/>
      <c r="Y929" s="559"/>
      <c r="Z929" s="559"/>
      <c r="AA929" s="559"/>
      <c r="AB929" s="559"/>
      <c r="AC929" s="559"/>
      <c r="AD929" s="559"/>
      <c r="AE929" s="559"/>
      <c r="AF929" s="559"/>
      <c r="AG929" s="559"/>
    </row>
    <row r="930" spans="1:33" ht="18" customHeight="1" x14ac:dyDescent="0.35">
      <c r="A930" s="559"/>
      <c r="B930" s="559"/>
      <c r="C930" s="559"/>
      <c r="D930" s="559"/>
      <c r="E930" s="559"/>
      <c r="F930" s="559"/>
      <c r="G930" s="559"/>
      <c r="H930" s="559"/>
      <c r="I930" s="559"/>
      <c r="J930" s="559"/>
      <c r="K930" s="559"/>
      <c r="L930" s="559"/>
      <c r="M930" s="559"/>
      <c r="N930" s="559"/>
      <c r="O930" s="559"/>
      <c r="P930" s="559"/>
      <c r="Q930" s="559"/>
      <c r="R930" s="559"/>
      <c r="S930" s="559"/>
      <c r="T930" s="559"/>
      <c r="U930" s="559"/>
      <c r="V930" s="559"/>
      <c r="W930" s="559"/>
      <c r="X930" s="559"/>
      <c r="Y930" s="559"/>
      <c r="Z930" s="559"/>
      <c r="AA930" s="559"/>
      <c r="AB930" s="559"/>
      <c r="AC930" s="559"/>
      <c r="AD930" s="559"/>
      <c r="AE930" s="559"/>
      <c r="AF930" s="559"/>
      <c r="AG930" s="559"/>
    </row>
    <row r="931" spans="1:33" ht="18" customHeight="1" x14ac:dyDescent="0.35">
      <c r="A931" s="559"/>
      <c r="B931" s="559"/>
      <c r="C931" s="559"/>
      <c r="D931" s="559"/>
      <c r="E931" s="559"/>
      <c r="F931" s="559"/>
      <c r="G931" s="559"/>
      <c r="H931" s="559"/>
      <c r="I931" s="559"/>
      <c r="J931" s="559"/>
      <c r="K931" s="559"/>
      <c r="L931" s="559"/>
      <c r="M931" s="559"/>
      <c r="N931" s="559"/>
      <c r="O931" s="559"/>
      <c r="P931" s="559"/>
      <c r="Q931" s="559"/>
      <c r="R931" s="559"/>
      <c r="S931" s="559"/>
      <c r="T931" s="559"/>
      <c r="U931" s="559"/>
      <c r="V931" s="559"/>
      <c r="W931" s="559"/>
      <c r="X931" s="559"/>
      <c r="Y931" s="559"/>
      <c r="Z931" s="559"/>
      <c r="AA931" s="559"/>
      <c r="AB931" s="559"/>
      <c r="AC931" s="559"/>
      <c r="AD931" s="559"/>
      <c r="AE931" s="559"/>
      <c r="AF931" s="559"/>
      <c r="AG931" s="559"/>
    </row>
    <row r="932" spans="1:33" ht="18" customHeight="1" x14ac:dyDescent="0.35">
      <c r="A932" s="559"/>
      <c r="B932" s="559"/>
      <c r="C932" s="559"/>
      <c r="D932" s="559"/>
      <c r="E932" s="559"/>
      <c r="F932" s="559"/>
      <c r="G932" s="559"/>
      <c r="H932" s="559"/>
      <c r="I932" s="559"/>
      <c r="J932" s="559"/>
      <c r="K932" s="559"/>
      <c r="L932" s="559"/>
      <c r="M932" s="559"/>
      <c r="N932" s="559"/>
      <c r="O932" s="559"/>
      <c r="P932" s="559"/>
      <c r="Q932" s="559"/>
      <c r="R932" s="559"/>
      <c r="S932" s="559"/>
      <c r="T932" s="559"/>
      <c r="U932" s="559"/>
      <c r="V932" s="559"/>
      <c r="W932" s="559"/>
      <c r="X932" s="559"/>
      <c r="Y932" s="559"/>
      <c r="Z932" s="559"/>
      <c r="AA932" s="559"/>
      <c r="AB932" s="559"/>
      <c r="AC932" s="559"/>
      <c r="AD932" s="559"/>
      <c r="AE932" s="559"/>
      <c r="AF932" s="559"/>
      <c r="AG932" s="559"/>
    </row>
    <row r="933" spans="1:33" ht="18" customHeight="1" x14ac:dyDescent="0.35">
      <c r="A933" s="559"/>
      <c r="B933" s="559"/>
      <c r="C933" s="559"/>
      <c r="D933" s="559"/>
      <c r="E933" s="559"/>
      <c r="F933" s="559"/>
      <c r="G933" s="559"/>
      <c r="H933" s="559"/>
      <c r="I933" s="559"/>
      <c r="J933" s="559"/>
      <c r="K933" s="559"/>
      <c r="L933" s="559"/>
      <c r="M933" s="559"/>
      <c r="N933" s="559"/>
      <c r="O933" s="559"/>
      <c r="P933" s="559"/>
      <c r="Q933" s="559"/>
      <c r="R933" s="559"/>
      <c r="S933" s="559"/>
      <c r="T933" s="559"/>
      <c r="U933" s="559"/>
      <c r="V933" s="559"/>
      <c r="W933" s="559"/>
      <c r="X933" s="559"/>
      <c r="Y933" s="559"/>
      <c r="Z933" s="559"/>
      <c r="AA933" s="559"/>
      <c r="AB933" s="559"/>
      <c r="AC933" s="559"/>
      <c r="AD933" s="559"/>
      <c r="AE933" s="559"/>
      <c r="AF933" s="559"/>
      <c r="AG933" s="559"/>
    </row>
    <row r="934" spans="1:33" ht="18" customHeight="1" x14ac:dyDescent="0.35">
      <c r="A934" s="559"/>
      <c r="B934" s="559"/>
      <c r="C934" s="559"/>
      <c r="D934" s="559"/>
      <c r="E934" s="559"/>
      <c r="F934" s="559"/>
      <c r="G934" s="559"/>
      <c r="H934" s="559"/>
      <c r="I934" s="559"/>
      <c r="J934" s="559"/>
      <c r="K934" s="559"/>
      <c r="L934" s="559"/>
      <c r="M934" s="559"/>
      <c r="N934" s="559"/>
      <c r="O934" s="559"/>
      <c r="P934" s="559"/>
      <c r="Q934" s="559"/>
      <c r="R934" s="559"/>
      <c r="S934" s="559"/>
      <c r="T934" s="559"/>
      <c r="U934" s="559"/>
      <c r="V934" s="559"/>
      <c r="W934" s="559"/>
      <c r="X934" s="559"/>
      <c r="Y934" s="559"/>
      <c r="Z934" s="559"/>
      <c r="AA934" s="559"/>
      <c r="AB934" s="559"/>
      <c r="AC934" s="559"/>
      <c r="AD934" s="559"/>
      <c r="AE934" s="559"/>
      <c r="AF934" s="559"/>
      <c r="AG934" s="559"/>
    </row>
    <row r="935" spans="1:33" ht="18" customHeight="1" x14ac:dyDescent="0.35">
      <c r="A935" s="559"/>
      <c r="B935" s="559"/>
      <c r="C935" s="559"/>
      <c r="D935" s="559"/>
      <c r="E935" s="559"/>
      <c r="F935" s="559"/>
      <c r="G935" s="559"/>
      <c r="H935" s="559"/>
      <c r="I935" s="559"/>
      <c r="J935" s="559"/>
      <c r="K935" s="559"/>
      <c r="L935" s="559"/>
      <c r="M935" s="559"/>
      <c r="N935" s="559"/>
      <c r="O935" s="559"/>
      <c r="P935" s="559"/>
      <c r="Q935" s="559"/>
      <c r="R935" s="559"/>
      <c r="S935" s="559"/>
      <c r="T935" s="559"/>
      <c r="U935" s="559"/>
      <c r="V935" s="559"/>
      <c r="W935" s="559"/>
      <c r="X935" s="559"/>
      <c r="Y935" s="559"/>
      <c r="Z935" s="559"/>
      <c r="AA935" s="559"/>
      <c r="AB935" s="559"/>
      <c r="AC935" s="559"/>
      <c r="AD935" s="559"/>
      <c r="AE935" s="559"/>
      <c r="AF935" s="559"/>
      <c r="AG935" s="559"/>
    </row>
    <row r="936" spans="1:33" ht="18" customHeight="1" x14ac:dyDescent="0.35">
      <c r="A936" s="559"/>
      <c r="B936" s="559"/>
      <c r="C936" s="559"/>
      <c r="D936" s="559"/>
      <c r="E936" s="559"/>
      <c r="F936" s="559"/>
      <c r="G936" s="559"/>
      <c r="H936" s="559"/>
      <c r="I936" s="559"/>
      <c r="J936" s="559"/>
      <c r="K936" s="559"/>
      <c r="L936" s="559"/>
      <c r="M936" s="559"/>
      <c r="N936" s="559"/>
      <c r="O936" s="559"/>
      <c r="P936" s="559"/>
      <c r="Q936" s="559"/>
      <c r="R936" s="559"/>
      <c r="S936" s="559"/>
      <c r="T936" s="559"/>
      <c r="U936" s="559"/>
      <c r="V936" s="559"/>
      <c r="W936" s="559"/>
      <c r="X936" s="559"/>
      <c r="Y936" s="559"/>
      <c r="Z936" s="559"/>
      <c r="AA936" s="559"/>
      <c r="AB936" s="559"/>
      <c r="AC936" s="559"/>
      <c r="AD936" s="559"/>
      <c r="AE936" s="559"/>
      <c r="AF936" s="559"/>
      <c r="AG936" s="559"/>
    </row>
    <row r="937" spans="1:33" ht="18" customHeight="1" x14ac:dyDescent="0.35">
      <c r="A937" s="559"/>
      <c r="B937" s="559"/>
      <c r="C937" s="559"/>
      <c r="D937" s="559"/>
      <c r="E937" s="559"/>
      <c r="F937" s="559"/>
      <c r="G937" s="559"/>
      <c r="H937" s="559"/>
      <c r="I937" s="559"/>
      <c r="J937" s="559"/>
      <c r="K937" s="559"/>
      <c r="L937" s="559"/>
      <c r="M937" s="559"/>
      <c r="N937" s="559"/>
      <c r="O937" s="559"/>
      <c r="P937" s="559"/>
      <c r="Q937" s="559"/>
      <c r="R937" s="559"/>
      <c r="S937" s="559"/>
      <c r="T937" s="559"/>
      <c r="U937" s="559"/>
      <c r="V937" s="559"/>
      <c r="W937" s="559"/>
      <c r="X937" s="559"/>
      <c r="Y937" s="559"/>
      <c r="Z937" s="559"/>
      <c r="AA937" s="559"/>
      <c r="AB937" s="559"/>
      <c r="AC937" s="559"/>
      <c r="AD937" s="559"/>
      <c r="AE937" s="559"/>
      <c r="AF937" s="559"/>
      <c r="AG937" s="559"/>
    </row>
    <row r="938" spans="1:33" ht="18" customHeight="1" x14ac:dyDescent="0.35">
      <c r="A938" s="559"/>
      <c r="B938" s="559"/>
      <c r="C938" s="559"/>
      <c r="D938" s="559"/>
      <c r="E938" s="559"/>
      <c r="F938" s="559"/>
      <c r="G938" s="559"/>
      <c r="H938" s="559"/>
      <c r="I938" s="559"/>
      <c r="J938" s="559"/>
      <c r="K938" s="559"/>
      <c r="L938" s="559"/>
      <c r="M938" s="559"/>
      <c r="N938" s="559"/>
      <c r="O938" s="559"/>
      <c r="P938" s="559"/>
      <c r="Q938" s="559"/>
      <c r="R938" s="559"/>
      <c r="S938" s="559"/>
      <c r="T938" s="559"/>
      <c r="U938" s="559"/>
      <c r="V938" s="559"/>
      <c r="W938" s="559"/>
      <c r="X938" s="559"/>
      <c r="Y938" s="559"/>
      <c r="Z938" s="559"/>
      <c r="AA938" s="559"/>
      <c r="AB938" s="559"/>
      <c r="AC938" s="559"/>
      <c r="AD938" s="559"/>
      <c r="AE938" s="559"/>
      <c r="AF938" s="559"/>
      <c r="AG938" s="559"/>
    </row>
    <row r="939" spans="1:33" ht="18" customHeight="1" x14ac:dyDescent="0.35">
      <c r="A939" s="559"/>
      <c r="B939" s="559"/>
      <c r="C939" s="559"/>
      <c r="D939" s="559"/>
      <c r="E939" s="559"/>
      <c r="F939" s="559"/>
      <c r="G939" s="559"/>
      <c r="H939" s="559"/>
      <c r="I939" s="559"/>
      <c r="J939" s="559"/>
      <c r="K939" s="559"/>
      <c r="L939" s="559"/>
      <c r="M939" s="559"/>
      <c r="N939" s="559"/>
      <c r="O939" s="559"/>
      <c r="P939" s="559"/>
      <c r="Q939" s="559"/>
      <c r="R939" s="559"/>
      <c r="S939" s="559"/>
      <c r="T939" s="559"/>
      <c r="U939" s="559"/>
      <c r="V939" s="559"/>
      <c r="W939" s="559"/>
      <c r="X939" s="559"/>
      <c r="Y939" s="559"/>
      <c r="Z939" s="559"/>
      <c r="AA939" s="559"/>
      <c r="AB939" s="559"/>
      <c r="AC939" s="559"/>
      <c r="AD939" s="559"/>
      <c r="AE939" s="559"/>
      <c r="AF939" s="559"/>
      <c r="AG939" s="559"/>
    </row>
    <row r="940" spans="1:33" ht="18" customHeight="1" x14ac:dyDescent="0.35">
      <c r="A940" s="559"/>
      <c r="B940" s="559"/>
      <c r="C940" s="559"/>
      <c r="D940" s="559"/>
      <c r="E940" s="559"/>
      <c r="F940" s="559"/>
      <c r="G940" s="559"/>
      <c r="H940" s="559"/>
      <c r="I940" s="559"/>
      <c r="J940" s="559"/>
      <c r="K940" s="559"/>
      <c r="L940" s="559"/>
      <c r="M940" s="559"/>
      <c r="N940" s="559"/>
      <c r="O940" s="559"/>
      <c r="P940" s="559"/>
      <c r="Q940" s="559"/>
      <c r="R940" s="559"/>
      <c r="S940" s="559"/>
      <c r="T940" s="559"/>
      <c r="U940" s="559"/>
      <c r="V940" s="559"/>
      <c r="W940" s="559"/>
      <c r="X940" s="559"/>
      <c r="Y940" s="559"/>
      <c r="Z940" s="559"/>
      <c r="AA940" s="559"/>
      <c r="AB940" s="559"/>
      <c r="AC940" s="559"/>
      <c r="AD940" s="559"/>
      <c r="AE940" s="559"/>
      <c r="AF940" s="559"/>
      <c r="AG940" s="559"/>
    </row>
    <row r="941" spans="1:33" ht="18" customHeight="1" x14ac:dyDescent="0.35">
      <c r="A941" s="559"/>
      <c r="B941" s="559"/>
      <c r="C941" s="559"/>
      <c r="D941" s="559"/>
      <c r="E941" s="559"/>
      <c r="F941" s="559"/>
      <c r="G941" s="559"/>
      <c r="H941" s="559"/>
      <c r="I941" s="559"/>
      <c r="J941" s="559"/>
      <c r="K941" s="559"/>
      <c r="L941" s="559"/>
      <c r="M941" s="559"/>
      <c r="N941" s="559"/>
      <c r="O941" s="559"/>
      <c r="P941" s="559"/>
      <c r="Q941" s="559"/>
      <c r="R941" s="559"/>
      <c r="S941" s="559"/>
      <c r="T941" s="559"/>
      <c r="U941" s="559"/>
      <c r="V941" s="559"/>
      <c r="W941" s="559"/>
      <c r="X941" s="559"/>
      <c r="Y941" s="559"/>
      <c r="Z941" s="559"/>
      <c r="AA941" s="559"/>
      <c r="AB941" s="559"/>
      <c r="AC941" s="559"/>
      <c r="AD941" s="559"/>
      <c r="AE941" s="559"/>
      <c r="AF941" s="559"/>
      <c r="AG941" s="559"/>
    </row>
    <row r="942" spans="1:33" ht="18" customHeight="1" x14ac:dyDescent="0.35">
      <c r="A942" s="559"/>
      <c r="B942" s="559"/>
      <c r="C942" s="559"/>
      <c r="D942" s="559"/>
      <c r="E942" s="559"/>
      <c r="F942" s="559"/>
      <c r="G942" s="559"/>
      <c r="H942" s="559"/>
      <c r="I942" s="559"/>
      <c r="J942" s="559"/>
      <c r="K942" s="559"/>
      <c r="L942" s="559"/>
      <c r="M942" s="559"/>
      <c r="N942" s="559"/>
      <c r="O942" s="559"/>
      <c r="P942" s="559"/>
      <c r="Q942" s="559"/>
      <c r="R942" s="559"/>
      <c r="S942" s="559"/>
      <c r="T942" s="559"/>
      <c r="U942" s="559"/>
      <c r="V942" s="559"/>
      <c r="W942" s="559"/>
      <c r="X942" s="559"/>
      <c r="Y942" s="559"/>
      <c r="Z942" s="559"/>
      <c r="AA942" s="559"/>
      <c r="AB942" s="559"/>
      <c r="AC942" s="559"/>
      <c r="AD942" s="559"/>
      <c r="AE942" s="559"/>
      <c r="AF942" s="559"/>
      <c r="AG942" s="559"/>
    </row>
    <row r="943" spans="1:33" ht="18" customHeight="1" x14ac:dyDescent="0.35">
      <c r="A943" s="559"/>
      <c r="B943" s="559"/>
      <c r="C943" s="559"/>
      <c r="D943" s="559"/>
      <c r="E943" s="559"/>
      <c r="F943" s="559"/>
      <c r="G943" s="559"/>
      <c r="H943" s="559"/>
      <c r="I943" s="559"/>
      <c r="J943" s="559"/>
      <c r="K943" s="559"/>
      <c r="L943" s="559"/>
      <c r="M943" s="559"/>
      <c r="N943" s="559"/>
      <c r="O943" s="559"/>
      <c r="P943" s="559"/>
      <c r="Q943" s="559"/>
      <c r="R943" s="559"/>
      <c r="S943" s="559"/>
      <c r="T943" s="559"/>
      <c r="U943" s="559"/>
      <c r="V943" s="559"/>
      <c r="W943" s="559"/>
      <c r="X943" s="559"/>
      <c r="Y943" s="559"/>
      <c r="Z943" s="559"/>
      <c r="AA943" s="559"/>
      <c r="AB943" s="559"/>
      <c r="AC943" s="559"/>
      <c r="AD943" s="559"/>
      <c r="AE943" s="559"/>
      <c r="AF943" s="559"/>
      <c r="AG943" s="559"/>
    </row>
    <row r="944" spans="1:33" ht="18" customHeight="1" x14ac:dyDescent="0.35">
      <c r="A944" s="559"/>
      <c r="B944" s="559"/>
      <c r="C944" s="559"/>
      <c r="D944" s="559"/>
      <c r="E944" s="559"/>
      <c r="F944" s="559"/>
      <c r="G944" s="559"/>
      <c r="H944" s="559"/>
      <c r="I944" s="559"/>
      <c r="J944" s="559"/>
      <c r="K944" s="559"/>
      <c r="L944" s="559"/>
      <c r="M944" s="559"/>
      <c r="N944" s="559"/>
      <c r="O944" s="559"/>
      <c r="P944" s="559"/>
      <c r="Q944" s="559"/>
      <c r="R944" s="559"/>
      <c r="S944" s="559"/>
      <c r="T944" s="559"/>
      <c r="U944" s="559"/>
      <c r="V944" s="559"/>
      <c r="W944" s="559"/>
      <c r="X944" s="559"/>
      <c r="Y944" s="559"/>
      <c r="Z944" s="559"/>
      <c r="AA944" s="559"/>
      <c r="AB944" s="559"/>
      <c r="AC944" s="559"/>
      <c r="AD944" s="559"/>
      <c r="AE944" s="559"/>
      <c r="AF944" s="559"/>
      <c r="AG944" s="559"/>
    </row>
    <row r="945" spans="1:33" ht="18" customHeight="1" x14ac:dyDescent="0.35">
      <c r="A945" s="559"/>
      <c r="B945" s="559"/>
      <c r="C945" s="559"/>
      <c r="D945" s="559"/>
      <c r="E945" s="559"/>
      <c r="F945" s="559"/>
      <c r="G945" s="559"/>
      <c r="H945" s="559"/>
      <c r="I945" s="559"/>
      <c r="J945" s="559"/>
      <c r="K945" s="559"/>
      <c r="L945" s="559"/>
      <c r="M945" s="559"/>
      <c r="N945" s="559"/>
      <c r="O945" s="559"/>
      <c r="P945" s="559"/>
      <c r="Q945" s="559"/>
      <c r="R945" s="559"/>
      <c r="S945" s="559"/>
      <c r="T945" s="559"/>
      <c r="U945" s="559"/>
      <c r="V945" s="559"/>
      <c r="W945" s="559"/>
      <c r="X945" s="559"/>
      <c r="Y945" s="559"/>
      <c r="Z945" s="559"/>
      <c r="AA945" s="559"/>
      <c r="AB945" s="559"/>
      <c r="AC945" s="559"/>
      <c r="AD945" s="559"/>
      <c r="AE945" s="559"/>
      <c r="AF945" s="559"/>
      <c r="AG945" s="559"/>
    </row>
    <row r="946" spans="1:33" ht="18" customHeight="1" x14ac:dyDescent="0.35">
      <c r="A946" s="559"/>
      <c r="B946" s="559"/>
      <c r="C946" s="559"/>
      <c r="D946" s="559"/>
      <c r="E946" s="559"/>
      <c r="F946" s="559"/>
      <c r="G946" s="559"/>
      <c r="H946" s="559"/>
      <c r="I946" s="559"/>
      <c r="J946" s="559"/>
      <c r="K946" s="559"/>
      <c r="L946" s="559"/>
      <c r="M946" s="559"/>
      <c r="N946" s="559"/>
      <c r="O946" s="559"/>
      <c r="P946" s="559"/>
      <c r="Q946" s="559"/>
      <c r="R946" s="559"/>
      <c r="S946" s="559"/>
      <c r="T946" s="559"/>
      <c r="U946" s="559"/>
      <c r="V946" s="559"/>
      <c r="W946" s="559"/>
      <c r="X946" s="559"/>
      <c r="Y946" s="559"/>
      <c r="Z946" s="559"/>
      <c r="AA946" s="559"/>
      <c r="AB946" s="559"/>
      <c r="AC946" s="559"/>
      <c r="AD946" s="559"/>
      <c r="AE946" s="559"/>
      <c r="AF946" s="559"/>
      <c r="AG946" s="559"/>
    </row>
    <row r="947" spans="1:33" ht="18" customHeight="1" x14ac:dyDescent="0.35">
      <c r="A947" s="559"/>
      <c r="B947" s="559"/>
      <c r="C947" s="559"/>
      <c r="D947" s="559"/>
      <c r="E947" s="559"/>
      <c r="F947" s="559"/>
      <c r="G947" s="559"/>
      <c r="H947" s="559"/>
      <c r="I947" s="559"/>
      <c r="J947" s="559"/>
      <c r="K947" s="559"/>
      <c r="L947" s="559"/>
      <c r="M947" s="559"/>
      <c r="N947" s="559"/>
      <c r="O947" s="559"/>
      <c r="P947" s="559"/>
      <c r="Q947" s="559"/>
      <c r="R947" s="559"/>
      <c r="S947" s="559"/>
      <c r="T947" s="559"/>
      <c r="U947" s="559"/>
      <c r="V947" s="559"/>
      <c r="W947" s="559"/>
      <c r="X947" s="559"/>
      <c r="Y947" s="559"/>
      <c r="Z947" s="559"/>
      <c r="AA947" s="559"/>
      <c r="AB947" s="559"/>
      <c r="AC947" s="559"/>
      <c r="AD947" s="559"/>
      <c r="AE947" s="559"/>
      <c r="AF947" s="559"/>
      <c r="AG947" s="559"/>
    </row>
    <row r="948" spans="1:33" ht="18" customHeight="1" x14ac:dyDescent="0.35">
      <c r="A948" s="559"/>
      <c r="B948" s="559"/>
      <c r="C948" s="559"/>
      <c r="D948" s="559"/>
      <c r="E948" s="559"/>
      <c r="F948" s="559"/>
      <c r="G948" s="559"/>
      <c r="H948" s="559"/>
      <c r="I948" s="559"/>
      <c r="J948" s="559"/>
      <c r="K948" s="559"/>
      <c r="L948" s="559"/>
      <c r="M948" s="559"/>
      <c r="N948" s="559"/>
      <c r="O948" s="559"/>
      <c r="P948" s="559"/>
      <c r="Q948" s="559"/>
      <c r="R948" s="559"/>
      <c r="S948" s="559"/>
      <c r="T948" s="559"/>
      <c r="U948" s="559"/>
      <c r="V948" s="559"/>
      <c r="W948" s="559"/>
      <c r="X948" s="559"/>
      <c r="Y948" s="559"/>
      <c r="Z948" s="559"/>
      <c r="AA948" s="559"/>
      <c r="AB948" s="559"/>
      <c r="AC948" s="559"/>
      <c r="AD948" s="559"/>
      <c r="AE948" s="559"/>
      <c r="AF948" s="559"/>
      <c r="AG948" s="559"/>
    </row>
    <row r="949" spans="1:33" ht="18" customHeight="1" x14ac:dyDescent="0.35">
      <c r="A949" s="559"/>
      <c r="B949" s="559"/>
      <c r="C949" s="559"/>
      <c r="D949" s="559"/>
      <c r="E949" s="559"/>
      <c r="F949" s="559"/>
      <c r="G949" s="559"/>
      <c r="H949" s="559"/>
      <c r="I949" s="559"/>
      <c r="J949" s="559"/>
      <c r="K949" s="559"/>
      <c r="L949" s="559"/>
      <c r="M949" s="559"/>
      <c r="N949" s="559"/>
      <c r="O949" s="559"/>
      <c r="P949" s="559"/>
      <c r="Q949" s="559"/>
      <c r="R949" s="559"/>
      <c r="S949" s="559"/>
      <c r="T949" s="559"/>
      <c r="U949" s="559"/>
      <c r="V949" s="559"/>
      <c r="W949" s="559"/>
      <c r="X949" s="559"/>
      <c r="Y949" s="559"/>
      <c r="Z949" s="559"/>
      <c r="AA949" s="559"/>
      <c r="AB949" s="559"/>
      <c r="AC949" s="559"/>
      <c r="AD949" s="559"/>
      <c r="AE949" s="559"/>
      <c r="AF949" s="559"/>
      <c r="AG949" s="559"/>
    </row>
    <row r="950" spans="1:33" ht="18" customHeight="1" x14ac:dyDescent="0.35">
      <c r="A950" s="559"/>
      <c r="B950" s="559"/>
      <c r="C950" s="559"/>
      <c r="D950" s="559"/>
      <c r="E950" s="559"/>
      <c r="F950" s="559"/>
      <c r="G950" s="559"/>
      <c r="H950" s="559"/>
      <c r="I950" s="559"/>
      <c r="J950" s="559"/>
      <c r="K950" s="559"/>
      <c r="L950" s="559"/>
      <c r="M950" s="559"/>
      <c r="N950" s="559"/>
      <c r="O950" s="559"/>
      <c r="P950" s="559"/>
      <c r="Q950" s="559"/>
      <c r="R950" s="559"/>
      <c r="S950" s="559"/>
      <c r="T950" s="559"/>
      <c r="U950" s="559"/>
      <c r="V950" s="559"/>
      <c r="W950" s="559"/>
      <c r="X950" s="559"/>
      <c r="Y950" s="559"/>
      <c r="Z950" s="559"/>
      <c r="AA950" s="559"/>
      <c r="AB950" s="559"/>
      <c r="AC950" s="559"/>
      <c r="AD950" s="559"/>
      <c r="AE950" s="559"/>
      <c r="AF950" s="559"/>
      <c r="AG950" s="559"/>
    </row>
    <row r="951" spans="1:33" ht="18" customHeight="1" x14ac:dyDescent="0.35">
      <c r="A951" s="559"/>
      <c r="B951" s="559"/>
      <c r="C951" s="559"/>
      <c r="D951" s="559"/>
      <c r="E951" s="559"/>
      <c r="F951" s="559"/>
      <c r="G951" s="559"/>
      <c r="H951" s="559"/>
      <c r="I951" s="559"/>
      <c r="J951" s="559"/>
      <c r="K951" s="559"/>
      <c r="L951" s="559"/>
      <c r="M951" s="559"/>
      <c r="N951" s="559"/>
      <c r="O951" s="559"/>
      <c r="P951" s="559"/>
      <c r="Q951" s="559"/>
      <c r="R951" s="559"/>
      <c r="S951" s="559"/>
      <c r="T951" s="559"/>
      <c r="U951" s="559"/>
      <c r="V951" s="559"/>
      <c r="W951" s="559"/>
      <c r="X951" s="559"/>
      <c r="Y951" s="559"/>
      <c r="Z951" s="559"/>
      <c r="AA951" s="559"/>
      <c r="AB951" s="559"/>
      <c r="AC951" s="559"/>
      <c r="AD951" s="559"/>
      <c r="AE951" s="559"/>
      <c r="AF951" s="559"/>
      <c r="AG951" s="559"/>
    </row>
    <row r="952" spans="1:33" ht="18" customHeight="1" x14ac:dyDescent="0.35">
      <c r="A952" s="559"/>
      <c r="B952" s="559"/>
      <c r="C952" s="559"/>
      <c r="D952" s="559"/>
      <c r="E952" s="559"/>
      <c r="F952" s="559"/>
      <c r="G952" s="559"/>
      <c r="H952" s="559"/>
      <c r="I952" s="559"/>
      <c r="J952" s="559"/>
      <c r="K952" s="559"/>
      <c r="L952" s="559"/>
      <c r="M952" s="559"/>
      <c r="N952" s="559"/>
      <c r="O952" s="559"/>
      <c r="P952" s="559"/>
      <c r="Q952" s="559"/>
      <c r="R952" s="559"/>
      <c r="S952" s="559"/>
      <c r="T952" s="559"/>
      <c r="U952" s="559"/>
      <c r="V952" s="559"/>
      <c r="W952" s="559"/>
      <c r="X952" s="559"/>
      <c r="Y952" s="559"/>
      <c r="Z952" s="559"/>
      <c r="AA952" s="559"/>
      <c r="AB952" s="559"/>
      <c r="AC952" s="559"/>
      <c r="AD952" s="559"/>
      <c r="AE952" s="559"/>
      <c r="AF952" s="559"/>
      <c r="AG952" s="559"/>
    </row>
    <row r="953" spans="1:33" ht="18" customHeight="1" x14ac:dyDescent="0.35">
      <c r="A953" s="559"/>
      <c r="B953" s="559"/>
      <c r="C953" s="559"/>
      <c r="D953" s="559"/>
      <c r="E953" s="559"/>
      <c r="F953" s="559"/>
      <c r="G953" s="559"/>
      <c r="H953" s="559"/>
      <c r="I953" s="559"/>
      <c r="J953" s="559"/>
      <c r="K953" s="559"/>
      <c r="L953" s="559"/>
      <c r="M953" s="559"/>
      <c r="N953" s="559"/>
      <c r="O953" s="559"/>
      <c r="P953" s="559"/>
      <c r="Q953" s="559"/>
      <c r="R953" s="559"/>
      <c r="S953" s="559"/>
      <c r="T953" s="559"/>
      <c r="U953" s="559"/>
      <c r="V953" s="559"/>
      <c r="W953" s="559"/>
      <c r="X953" s="559"/>
      <c r="Y953" s="559"/>
      <c r="Z953" s="559"/>
      <c r="AA953" s="559"/>
      <c r="AB953" s="559"/>
      <c r="AC953" s="559"/>
      <c r="AD953" s="559"/>
      <c r="AE953" s="559"/>
      <c r="AF953" s="559"/>
      <c r="AG953" s="559"/>
    </row>
    <row r="954" spans="1:33" ht="18" customHeight="1" x14ac:dyDescent="0.35">
      <c r="A954" s="559"/>
      <c r="B954" s="559"/>
      <c r="C954" s="559"/>
      <c r="D954" s="559"/>
      <c r="E954" s="559"/>
      <c r="F954" s="559"/>
      <c r="G954" s="559"/>
      <c r="H954" s="559"/>
      <c r="I954" s="559"/>
      <c r="J954" s="559"/>
      <c r="K954" s="559"/>
      <c r="L954" s="559"/>
      <c r="M954" s="559"/>
      <c r="N954" s="559"/>
      <c r="O954" s="559"/>
      <c r="P954" s="559"/>
      <c r="Q954" s="559"/>
      <c r="R954" s="559"/>
      <c r="S954" s="559"/>
      <c r="T954" s="559"/>
      <c r="U954" s="559"/>
      <c r="V954" s="559"/>
      <c r="W954" s="559"/>
      <c r="X954" s="559"/>
      <c r="Y954" s="559"/>
      <c r="Z954" s="559"/>
      <c r="AA954" s="559"/>
      <c r="AB954" s="559"/>
      <c r="AC954" s="559"/>
      <c r="AD954" s="559"/>
      <c r="AE954" s="559"/>
      <c r="AF954" s="559"/>
      <c r="AG954" s="559"/>
    </row>
    <row r="955" spans="1:33" ht="18" customHeight="1" x14ac:dyDescent="0.35">
      <c r="A955" s="559"/>
      <c r="B955" s="559"/>
      <c r="C955" s="559"/>
      <c r="D955" s="559"/>
      <c r="E955" s="559"/>
      <c r="F955" s="559"/>
      <c r="G955" s="559"/>
      <c r="H955" s="559"/>
      <c r="I955" s="559"/>
      <c r="J955" s="559"/>
      <c r="K955" s="559"/>
      <c r="L955" s="559"/>
      <c r="M955" s="559"/>
      <c r="N955" s="559"/>
      <c r="O955" s="559"/>
      <c r="P955" s="559"/>
      <c r="Q955" s="559"/>
      <c r="R955" s="559"/>
      <c r="S955" s="559"/>
      <c r="T955" s="559"/>
      <c r="U955" s="559"/>
      <c r="V955" s="559"/>
      <c r="W955" s="559"/>
      <c r="X955" s="559"/>
      <c r="Y955" s="559"/>
      <c r="Z955" s="559"/>
      <c r="AA955" s="559"/>
      <c r="AB955" s="559"/>
      <c r="AC955" s="559"/>
      <c r="AD955" s="559"/>
      <c r="AE955" s="559"/>
      <c r="AF955" s="559"/>
      <c r="AG955" s="559"/>
    </row>
    <row r="956" spans="1:33" ht="18" customHeight="1" x14ac:dyDescent="0.35">
      <c r="A956" s="559"/>
      <c r="B956" s="559"/>
      <c r="C956" s="559"/>
      <c r="D956" s="559"/>
      <c r="E956" s="559"/>
      <c r="F956" s="559"/>
      <c r="G956" s="559"/>
      <c r="H956" s="559"/>
      <c r="I956" s="559"/>
      <c r="J956" s="559"/>
      <c r="K956" s="559"/>
      <c r="L956" s="559"/>
      <c r="M956" s="559"/>
      <c r="N956" s="559"/>
      <c r="O956" s="559"/>
      <c r="P956" s="559"/>
      <c r="Q956" s="559"/>
      <c r="R956" s="559"/>
      <c r="S956" s="559"/>
      <c r="T956" s="559"/>
      <c r="U956" s="559"/>
      <c r="V956" s="559"/>
      <c r="W956" s="559"/>
      <c r="X956" s="559"/>
      <c r="Y956" s="559"/>
      <c r="Z956" s="559"/>
      <c r="AA956" s="559"/>
      <c r="AB956" s="559"/>
      <c r="AC956" s="559"/>
      <c r="AD956" s="559"/>
      <c r="AE956" s="559"/>
      <c r="AF956" s="559"/>
      <c r="AG956" s="559"/>
    </row>
    <row r="957" spans="1:33" ht="18" customHeight="1" x14ac:dyDescent="0.35">
      <c r="A957" s="559"/>
      <c r="B957" s="559"/>
      <c r="C957" s="559"/>
      <c r="D957" s="559"/>
      <c r="E957" s="559"/>
      <c r="F957" s="559"/>
      <c r="G957" s="559"/>
      <c r="H957" s="559"/>
      <c r="I957" s="559"/>
      <c r="J957" s="559"/>
      <c r="K957" s="559"/>
      <c r="L957" s="559"/>
      <c r="M957" s="559"/>
      <c r="N957" s="559"/>
      <c r="O957" s="559"/>
      <c r="P957" s="559"/>
      <c r="Q957" s="559"/>
      <c r="R957" s="559"/>
      <c r="S957" s="559"/>
      <c r="T957" s="559"/>
      <c r="U957" s="559"/>
      <c r="V957" s="559"/>
      <c r="W957" s="559"/>
      <c r="X957" s="559"/>
      <c r="Y957" s="559"/>
      <c r="Z957" s="559"/>
      <c r="AA957" s="559"/>
      <c r="AB957" s="559"/>
      <c r="AC957" s="559"/>
      <c r="AD957" s="559"/>
      <c r="AE957" s="559"/>
      <c r="AF957" s="559"/>
      <c r="AG957" s="559"/>
    </row>
    <row r="958" spans="1:33" ht="18" customHeight="1" x14ac:dyDescent="0.35">
      <c r="A958" s="559"/>
      <c r="B958" s="559"/>
      <c r="C958" s="559"/>
      <c r="D958" s="559"/>
      <c r="E958" s="559"/>
      <c r="F958" s="559"/>
      <c r="G958" s="559"/>
      <c r="H958" s="559"/>
      <c r="I958" s="559"/>
      <c r="J958" s="559"/>
      <c r="K958" s="559"/>
      <c r="L958" s="559"/>
      <c r="M958" s="559"/>
      <c r="N958" s="559"/>
      <c r="O958" s="559"/>
      <c r="P958" s="559"/>
      <c r="Q958" s="559"/>
      <c r="R958" s="559"/>
      <c r="S958" s="559"/>
      <c r="T958" s="559"/>
      <c r="U958" s="559"/>
      <c r="V958" s="559"/>
      <c r="W958" s="559"/>
      <c r="X958" s="559"/>
      <c r="Y958" s="559"/>
      <c r="Z958" s="559"/>
      <c r="AA958" s="559"/>
      <c r="AB958" s="559"/>
      <c r="AC958" s="559"/>
      <c r="AD958" s="559"/>
      <c r="AE958" s="559"/>
      <c r="AF958" s="559"/>
      <c r="AG958" s="559"/>
    </row>
    <row r="959" spans="1:33" ht="18" customHeight="1" x14ac:dyDescent="0.35">
      <c r="A959" s="559"/>
      <c r="B959" s="559"/>
      <c r="C959" s="559"/>
      <c r="D959" s="559"/>
      <c r="E959" s="559"/>
      <c r="F959" s="559"/>
      <c r="G959" s="559"/>
      <c r="H959" s="559"/>
      <c r="I959" s="559"/>
      <c r="J959" s="559"/>
      <c r="K959" s="559"/>
      <c r="L959" s="559"/>
      <c r="M959" s="559"/>
      <c r="N959" s="559"/>
      <c r="O959" s="559"/>
      <c r="P959" s="559"/>
      <c r="Q959" s="559"/>
      <c r="R959" s="559"/>
      <c r="S959" s="559"/>
      <c r="T959" s="559"/>
      <c r="U959" s="559"/>
      <c r="V959" s="559"/>
      <c r="W959" s="559"/>
      <c r="X959" s="559"/>
      <c r="Y959" s="559"/>
      <c r="Z959" s="559"/>
      <c r="AA959" s="559"/>
      <c r="AB959" s="559"/>
      <c r="AC959" s="559"/>
      <c r="AD959" s="559"/>
      <c r="AE959" s="559"/>
      <c r="AF959" s="559"/>
      <c r="AG959" s="559"/>
    </row>
    <row r="960" spans="1:33" ht="18" customHeight="1" x14ac:dyDescent="0.35">
      <c r="A960" s="559"/>
      <c r="B960" s="559"/>
      <c r="C960" s="559"/>
      <c r="D960" s="559"/>
      <c r="E960" s="559"/>
      <c r="F960" s="559"/>
      <c r="G960" s="559"/>
      <c r="H960" s="559"/>
      <c r="I960" s="559"/>
      <c r="J960" s="559"/>
      <c r="K960" s="559"/>
      <c r="L960" s="559"/>
      <c r="M960" s="559"/>
      <c r="N960" s="559"/>
      <c r="O960" s="559"/>
      <c r="P960" s="559"/>
      <c r="Q960" s="559"/>
      <c r="R960" s="559"/>
      <c r="S960" s="559"/>
      <c r="T960" s="559"/>
      <c r="U960" s="559"/>
      <c r="V960" s="559"/>
      <c r="W960" s="559"/>
      <c r="X960" s="559"/>
      <c r="Y960" s="559"/>
      <c r="Z960" s="559"/>
      <c r="AA960" s="559"/>
      <c r="AB960" s="559"/>
      <c r="AC960" s="559"/>
      <c r="AD960" s="559"/>
      <c r="AE960" s="559"/>
      <c r="AF960" s="559"/>
      <c r="AG960" s="559"/>
    </row>
    <row r="961" spans="1:33" ht="18" customHeight="1" x14ac:dyDescent="0.35">
      <c r="A961" s="559"/>
      <c r="B961" s="559"/>
      <c r="C961" s="559"/>
      <c r="D961" s="559"/>
      <c r="E961" s="559"/>
      <c r="F961" s="559"/>
      <c r="G961" s="559"/>
      <c r="H961" s="559"/>
      <c r="I961" s="559"/>
      <c r="J961" s="559"/>
      <c r="K961" s="559"/>
      <c r="L961" s="559"/>
      <c r="M961" s="559"/>
      <c r="N961" s="559"/>
      <c r="O961" s="559"/>
      <c r="P961" s="559"/>
      <c r="Q961" s="559"/>
      <c r="R961" s="559"/>
      <c r="S961" s="559"/>
      <c r="T961" s="559"/>
      <c r="U961" s="559"/>
      <c r="V961" s="559"/>
      <c r="W961" s="559"/>
      <c r="X961" s="559"/>
      <c r="Y961" s="559"/>
      <c r="Z961" s="559"/>
      <c r="AA961" s="559"/>
      <c r="AB961" s="559"/>
      <c r="AC961" s="559"/>
      <c r="AD961" s="559"/>
      <c r="AE961" s="559"/>
      <c r="AF961" s="559"/>
      <c r="AG961" s="559"/>
    </row>
    <row r="962" spans="1:33" ht="18" customHeight="1" x14ac:dyDescent="0.35">
      <c r="A962" s="559"/>
      <c r="B962" s="559"/>
      <c r="C962" s="559"/>
      <c r="D962" s="559"/>
      <c r="E962" s="559"/>
      <c r="F962" s="559"/>
      <c r="G962" s="559"/>
      <c r="H962" s="559"/>
      <c r="I962" s="559"/>
      <c r="J962" s="559"/>
      <c r="K962" s="559"/>
      <c r="L962" s="559"/>
      <c r="M962" s="559"/>
      <c r="N962" s="559"/>
      <c r="O962" s="559"/>
      <c r="P962" s="559"/>
      <c r="Q962" s="559"/>
      <c r="R962" s="559"/>
      <c r="S962" s="559"/>
      <c r="T962" s="559"/>
      <c r="U962" s="559"/>
      <c r="V962" s="559"/>
      <c r="W962" s="559"/>
      <c r="X962" s="559"/>
      <c r="Y962" s="559"/>
      <c r="Z962" s="559"/>
      <c r="AA962" s="559"/>
      <c r="AB962" s="559"/>
      <c r="AC962" s="559"/>
      <c r="AD962" s="559"/>
      <c r="AE962" s="559"/>
      <c r="AF962" s="559"/>
      <c r="AG962" s="559"/>
    </row>
    <row r="963" spans="1:33" ht="18" customHeight="1" x14ac:dyDescent="0.35">
      <c r="A963" s="559"/>
      <c r="B963" s="559"/>
      <c r="C963" s="559"/>
      <c r="D963" s="559"/>
      <c r="E963" s="559"/>
      <c r="F963" s="559"/>
      <c r="G963" s="559"/>
      <c r="H963" s="559"/>
      <c r="I963" s="559"/>
      <c r="J963" s="559"/>
      <c r="K963" s="559"/>
      <c r="L963" s="559"/>
      <c r="M963" s="559"/>
      <c r="N963" s="559"/>
      <c r="O963" s="559"/>
      <c r="P963" s="559"/>
      <c r="Q963" s="559"/>
      <c r="R963" s="559"/>
      <c r="S963" s="559"/>
      <c r="T963" s="559"/>
      <c r="U963" s="559"/>
      <c r="V963" s="559"/>
      <c r="W963" s="559"/>
      <c r="X963" s="559"/>
      <c r="Y963" s="559"/>
      <c r="Z963" s="559"/>
      <c r="AA963" s="559"/>
      <c r="AB963" s="559"/>
      <c r="AC963" s="559"/>
      <c r="AD963" s="559"/>
      <c r="AE963" s="559"/>
      <c r="AF963" s="559"/>
      <c r="AG963" s="559"/>
    </row>
    <row r="964" spans="1:33" ht="18" customHeight="1" x14ac:dyDescent="0.35">
      <c r="A964" s="559"/>
      <c r="B964" s="559"/>
      <c r="C964" s="559"/>
      <c r="D964" s="559"/>
      <c r="E964" s="559"/>
      <c r="F964" s="559"/>
      <c r="G964" s="559"/>
      <c r="H964" s="559"/>
      <c r="I964" s="559"/>
      <c r="J964" s="559"/>
      <c r="K964" s="559"/>
      <c r="L964" s="559"/>
      <c r="M964" s="559"/>
      <c r="N964" s="559"/>
      <c r="O964" s="559"/>
      <c r="P964" s="559"/>
      <c r="Q964" s="559"/>
      <c r="R964" s="559"/>
      <c r="S964" s="559"/>
      <c r="T964" s="559"/>
      <c r="U964" s="559"/>
      <c r="V964" s="559"/>
      <c r="W964" s="559"/>
      <c r="X964" s="559"/>
      <c r="Y964" s="559"/>
      <c r="Z964" s="559"/>
      <c r="AA964" s="559"/>
      <c r="AB964" s="559"/>
      <c r="AC964" s="559"/>
      <c r="AD964" s="559"/>
      <c r="AE964" s="559"/>
      <c r="AF964" s="559"/>
      <c r="AG964" s="559"/>
    </row>
    <row r="965" spans="1:33" ht="18" customHeight="1" x14ac:dyDescent="0.35">
      <c r="A965" s="559"/>
      <c r="B965" s="559"/>
      <c r="C965" s="559"/>
      <c r="D965" s="559"/>
      <c r="E965" s="559"/>
      <c r="F965" s="559"/>
      <c r="G965" s="559"/>
      <c r="H965" s="559"/>
      <c r="I965" s="559"/>
      <c r="J965" s="559"/>
      <c r="K965" s="559"/>
      <c r="L965" s="559"/>
      <c r="M965" s="559"/>
      <c r="N965" s="559"/>
      <c r="O965" s="559"/>
      <c r="P965" s="559"/>
      <c r="Q965" s="559"/>
      <c r="R965" s="559"/>
      <c r="S965" s="559"/>
      <c r="T965" s="559"/>
      <c r="U965" s="559"/>
      <c r="V965" s="559"/>
      <c r="W965" s="559"/>
      <c r="X965" s="559"/>
      <c r="Y965" s="559"/>
      <c r="Z965" s="559"/>
      <c r="AA965" s="559"/>
      <c r="AB965" s="559"/>
      <c r="AC965" s="559"/>
      <c r="AD965" s="559"/>
      <c r="AE965" s="559"/>
      <c r="AF965" s="559"/>
      <c r="AG965" s="559"/>
    </row>
    <row r="966" spans="1:33" ht="18" customHeight="1" x14ac:dyDescent="0.35">
      <c r="A966" s="559"/>
      <c r="B966" s="559"/>
      <c r="C966" s="559"/>
      <c r="D966" s="559"/>
      <c r="E966" s="559"/>
      <c r="F966" s="559"/>
      <c r="G966" s="559"/>
      <c r="H966" s="559"/>
      <c r="I966" s="559"/>
      <c r="J966" s="559"/>
      <c r="K966" s="559"/>
      <c r="L966" s="559"/>
      <c r="M966" s="559"/>
      <c r="N966" s="559"/>
      <c r="O966" s="559"/>
      <c r="P966" s="559"/>
      <c r="Q966" s="559"/>
      <c r="R966" s="559"/>
      <c r="S966" s="559"/>
      <c r="T966" s="559"/>
      <c r="U966" s="559"/>
      <c r="V966" s="559"/>
      <c r="W966" s="559"/>
      <c r="X966" s="559"/>
      <c r="Y966" s="559"/>
      <c r="Z966" s="559"/>
      <c r="AA966" s="559"/>
      <c r="AB966" s="559"/>
      <c r="AC966" s="559"/>
      <c r="AD966" s="559"/>
      <c r="AE966" s="559"/>
      <c r="AF966" s="559"/>
      <c r="AG966" s="559"/>
    </row>
    <row r="967" spans="1:33" ht="18" customHeight="1" x14ac:dyDescent="0.35">
      <c r="A967" s="559"/>
      <c r="B967" s="559"/>
      <c r="C967" s="559"/>
      <c r="D967" s="559"/>
      <c r="E967" s="559"/>
      <c r="F967" s="559"/>
      <c r="G967" s="559"/>
      <c r="H967" s="559"/>
      <c r="I967" s="559"/>
      <c r="J967" s="559"/>
      <c r="K967" s="559"/>
      <c r="L967" s="559"/>
      <c r="M967" s="559"/>
      <c r="N967" s="559"/>
      <c r="O967" s="559"/>
      <c r="P967" s="559"/>
      <c r="Q967" s="559"/>
      <c r="R967" s="559"/>
      <c r="S967" s="559"/>
      <c r="T967" s="559"/>
      <c r="U967" s="559"/>
      <c r="V967" s="559"/>
      <c r="W967" s="559"/>
      <c r="X967" s="559"/>
      <c r="Y967" s="559"/>
      <c r="Z967" s="559"/>
      <c r="AA967" s="559"/>
      <c r="AB967" s="559"/>
      <c r="AC967" s="559"/>
      <c r="AD967" s="559"/>
      <c r="AE967" s="559"/>
      <c r="AF967" s="559"/>
      <c r="AG967" s="559"/>
    </row>
    <row r="968" spans="1:33" ht="18" customHeight="1" x14ac:dyDescent="0.35">
      <c r="A968" s="559"/>
      <c r="B968" s="559"/>
      <c r="C968" s="559"/>
      <c r="D968" s="559"/>
      <c r="E968" s="559"/>
      <c r="F968" s="559"/>
      <c r="G968" s="559"/>
      <c r="H968" s="559"/>
      <c r="I968" s="559"/>
      <c r="J968" s="559"/>
      <c r="K968" s="559"/>
      <c r="L968" s="559"/>
      <c r="M968" s="559"/>
      <c r="N968" s="559"/>
      <c r="O968" s="559"/>
      <c r="P968" s="559"/>
      <c r="Q968" s="559"/>
      <c r="R968" s="559"/>
      <c r="S968" s="559"/>
      <c r="T968" s="559"/>
      <c r="U968" s="559"/>
      <c r="V968" s="559"/>
      <c r="W968" s="559"/>
      <c r="X968" s="559"/>
      <c r="Y968" s="559"/>
      <c r="Z968" s="559"/>
      <c r="AA968" s="559"/>
      <c r="AB968" s="559"/>
      <c r="AC968" s="559"/>
      <c r="AD968" s="559"/>
      <c r="AE968" s="559"/>
      <c r="AF968" s="559"/>
      <c r="AG968" s="559"/>
    </row>
    <row r="969" spans="1:33" ht="18" customHeight="1" x14ac:dyDescent="0.35">
      <c r="A969" s="559"/>
      <c r="B969" s="559"/>
      <c r="C969" s="559"/>
      <c r="D969" s="559"/>
      <c r="E969" s="559"/>
      <c r="F969" s="559"/>
      <c r="G969" s="559"/>
      <c r="H969" s="559"/>
      <c r="I969" s="559"/>
      <c r="J969" s="559"/>
      <c r="K969" s="559"/>
      <c r="L969" s="559"/>
      <c r="M969" s="559"/>
      <c r="N969" s="559"/>
      <c r="O969" s="559"/>
      <c r="P969" s="559"/>
      <c r="Q969" s="559"/>
      <c r="R969" s="559"/>
      <c r="S969" s="559"/>
      <c r="T969" s="559"/>
      <c r="U969" s="559"/>
      <c r="V969" s="559"/>
      <c r="W969" s="559"/>
      <c r="X969" s="559"/>
      <c r="Y969" s="559"/>
      <c r="Z969" s="559"/>
      <c r="AA969" s="559"/>
      <c r="AB969" s="559"/>
      <c r="AC969" s="559"/>
      <c r="AD969" s="559"/>
      <c r="AE969" s="559"/>
      <c r="AF969" s="559"/>
      <c r="AG969" s="559"/>
    </row>
    <row r="970" spans="1:33" ht="18" customHeight="1" x14ac:dyDescent="0.35">
      <c r="A970" s="559"/>
      <c r="B970" s="559"/>
      <c r="C970" s="559"/>
      <c r="D970" s="559"/>
      <c r="E970" s="559"/>
      <c r="F970" s="559"/>
      <c r="G970" s="559"/>
      <c r="H970" s="559"/>
      <c r="I970" s="559"/>
      <c r="J970" s="559"/>
      <c r="K970" s="559"/>
      <c r="L970" s="559"/>
      <c r="M970" s="559"/>
      <c r="N970" s="559"/>
      <c r="O970" s="559"/>
      <c r="P970" s="559"/>
      <c r="Q970" s="559"/>
      <c r="R970" s="559"/>
      <c r="S970" s="559"/>
      <c r="T970" s="559"/>
      <c r="U970" s="559"/>
      <c r="V970" s="559"/>
      <c r="W970" s="559"/>
      <c r="X970" s="559"/>
      <c r="Y970" s="559"/>
      <c r="Z970" s="559"/>
      <c r="AA970" s="559"/>
      <c r="AB970" s="559"/>
      <c r="AC970" s="559"/>
      <c r="AD970" s="559"/>
      <c r="AE970" s="559"/>
      <c r="AF970" s="559"/>
      <c r="AG970" s="559"/>
    </row>
    <row r="971" spans="1:33" ht="18" customHeight="1" x14ac:dyDescent="0.35">
      <c r="A971" s="559"/>
      <c r="B971" s="559"/>
      <c r="C971" s="559"/>
      <c r="D971" s="559"/>
      <c r="E971" s="559"/>
      <c r="F971" s="559"/>
      <c r="G971" s="559"/>
      <c r="H971" s="559"/>
      <c r="I971" s="559"/>
      <c r="J971" s="559"/>
      <c r="K971" s="559"/>
      <c r="L971" s="559"/>
      <c r="M971" s="559"/>
      <c r="N971" s="559"/>
      <c r="O971" s="559"/>
      <c r="P971" s="559"/>
      <c r="Q971" s="559"/>
      <c r="R971" s="559"/>
      <c r="S971" s="559"/>
      <c r="T971" s="559"/>
      <c r="U971" s="559"/>
      <c r="V971" s="559"/>
      <c r="W971" s="559"/>
      <c r="X971" s="559"/>
      <c r="Y971" s="559"/>
      <c r="Z971" s="559"/>
      <c r="AA971" s="559"/>
      <c r="AB971" s="559"/>
      <c r="AC971" s="559"/>
      <c r="AD971" s="559"/>
      <c r="AE971" s="559"/>
      <c r="AF971" s="559"/>
      <c r="AG971" s="559"/>
    </row>
    <row r="972" spans="1:33" ht="18" customHeight="1" x14ac:dyDescent="0.35">
      <c r="A972" s="559"/>
      <c r="B972" s="559"/>
      <c r="C972" s="559"/>
      <c r="D972" s="559"/>
      <c r="E972" s="559"/>
      <c r="F972" s="559"/>
      <c r="G972" s="559"/>
      <c r="H972" s="559"/>
      <c r="I972" s="559"/>
      <c r="J972" s="559"/>
      <c r="K972" s="559"/>
      <c r="L972" s="559"/>
      <c r="M972" s="559"/>
      <c r="N972" s="559"/>
      <c r="O972" s="559"/>
      <c r="P972" s="559"/>
      <c r="Q972" s="559"/>
      <c r="R972" s="559"/>
      <c r="S972" s="559"/>
      <c r="T972" s="559"/>
      <c r="U972" s="559"/>
      <c r="V972" s="559"/>
      <c r="W972" s="559"/>
      <c r="X972" s="559"/>
      <c r="Y972" s="559"/>
      <c r="Z972" s="559"/>
      <c r="AA972" s="559"/>
      <c r="AB972" s="559"/>
      <c r="AC972" s="559"/>
      <c r="AD972" s="559"/>
      <c r="AE972" s="559"/>
      <c r="AF972" s="559"/>
      <c r="AG972" s="559"/>
    </row>
    <row r="973" spans="1:33" ht="18" customHeight="1" x14ac:dyDescent="0.35">
      <c r="A973" s="559"/>
      <c r="B973" s="559"/>
      <c r="C973" s="559"/>
      <c r="D973" s="559"/>
      <c r="E973" s="559"/>
      <c r="F973" s="559"/>
      <c r="G973" s="559"/>
      <c r="H973" s="559"/>
      <c r="I973" s="559"/>
      <c r="J973" s="559"/>
      <c r="K973" s="559"/>
      <c r="L973" s="559"/>
      <c r="M973" s="559"/>
      <c r="N973" s="559"/>
      <c r="O973" s="559"/>
      <c r="P973" s="559"/>
      <c r="Q973" s="559"/>
      <c r="R973" s="559"/>
      <c r="S973" s="559"/>
      <c r="T973" s="559"/>
      <c r="U973" s="559"/>
      <c r="V973" s="559"/>
      <c r="W973" s="559"/>
      <c r="X973" s="559"/>
      <c r="Y973" s="559"/>
      <c r="Z973" s="559"/>
      <c r="AA973" s="559"/>
      <c r="AB973" s="559"/>
      <c r="AC973" s="559"/>
      <c r="AD973" s="559"/>
      <c r="AE973" s="559"/>
      <c r="AF973" s="559"/>
      <c r="AG973" s="559"/>
    </row>
    <row r="974" spans="1:33" ht="18" customHeight="1" x14ac:dyDescent="0.35">
      <c r="A974" s="559"/>
      <c r="B974" s="559"/>
      <c r="C974" s="559"/>
      <c r="D974" s="559"/>
      <c r="E974" s="559"/>
      <c r="F974" s="559"/>
      <c r="G974" s="559"/>
      <c r="H974" s="559"/>
      <c r="I974" s="559"/>
      <c r="J974" s="559"/>
      <c r="K974" s="559"/>
      <c r="L974" s="559"/>
      <c r="M974" s="559"/>
      <c r="N974" s="559"/>
      <c r="O974" s="559"/>
      <c r="P974" s="559"/>
      <c r="Q974" s="559"/>
      <c r="R974" s="559"/>
      <c r="S974" s="559"/>
      <c r="T974" s="559"/>
      <c r="U974" s="559"/>
      <c r="V974" s="559"/>
      <c r="W974" s="559"/>
      <c r="X974" s="559"/>
      <c r="Y974" s="559"/>
      <c r="Z974" s="559"/>
      <c r="AA974" s="559"/>
      <c r="AB974" s="559"/>
      <c r="AC974" s="559"/>
      <c r="AD974" s="559"/>
      <c r="AE974" s="559"/>
      <c r="AF974" s="559"/>
      <c r="AG974" s="559"/>
    </row>
    <row r="975" spans="1:33" ht="18" customHeight="1" x14ac:dyDescent="0.35">
      <c r="A975" s="559"/>
      <c r="B975" s="559"/>
      <c r="C975" s="559"/>
      <c r="D975" s="559"/>
      <c r="E975" s="559"/>
      <c r="F975" s="559"/>
      <c r="G975" s="559"/>
      <c r="H975" s="559"/>
      <c r="I975" s="559"/>
      <c r="J975" s="559"/>
      <c r="K975" s="559"/>
      <c r="L975" s="559"/>
      <c r="M975" s="559"/>
      <c r="N975" s="559"/>
      <c r="O975" s="559"/>
      <c r="P975" s="559"/>
      <c r="Q975" s="559"/>
      <c r="R975" s="559"/>
      <c r="S975" s="559"/>
      <c r="T975" s="559"/>
      <c r="U975" s="559"/>
      <c r="V975" s="559"/>
      <c r="W975" s="559"/>
      <c r="X975" s="559"/>
      <c r="Y975" s="559"/>
      <c r="Z975" s="559"/>
      <c r="AA975" s="559"/>
      <c r="AB975" s="559"/>
      <c r="AC975" s="559"/>
      <c r="AD975" s="559"/>
      <c r="AE975" s="559"/>
      <c r="AF975" s="559"/>
      <c r="AG975" s="559"/>
    </row>
    <row r="976" spans="1:33" ht="18" customHeight="1" x14ac:dyDescent="0.35">
      <c r="A976" s="559"/>
      <c r="B976" s="559"/>
      <c r="C976" s="559"/>
      <c r="D976" s="559"/>
      <c r="E976" s="559"/>
      <c r="F976" s="559"/>
      <c r="G976" s="559"/>
      <c r="H976" s="559"/>
      <c r="I976" s="559"/>
      <c r="J976" s="559"/>
      <c r="K976" s="559"/>
      <c r="L976" s="559"/>
      <c r="M976" s="559"/>
      <c r="N976" s="559"/>
      <c r="O976" s="559"/>
      <c r="P976" s="559"/>
      <c r="Q976" s="559"/>
      <c r="R976" s="559"/>
      <c r="S976" s="559"/>
      <c r="T976" s="559"/>
      <c r="U976" s="559"/>
      <c r="V976" s="559"/>
      <c r="W976" s="559"/>
      <c r="X976" s="559"/>
      <c r="Y976" s="559"/>
      <c r="Z976" s="559"/>
      <c r="AA976" s="559"/>
      <c r="AB976" s="559"/>
      <c r="AC976" s="559"/>
      <c r="AD976" s="559"/>
      <c r="AE976" s="559"/>
      <c r="AF976" s="559"/>
      <c r="AG976" s="559"/>
    </row>
    <row r="977" spans="1:33" ht="18" customHeight="1" x14ac:dyDescent="0.35">
      <c r="A977" s="559"/>
      <c r="B977" s="559"/>
      <c r="C977" s="559"/>
      <c r="D977" s="559"/>
      <c r="E977" s="559"/>
      <c r="F977" s="559"/>
      <c r="G977" s="559"/>
      <c r="H977" s="559"/>
      <c r="I977" s="559"/>
      <c r="J977" s="559"/>
      <c r="K977" s="559"/>
      <c r="L977" s="559"/>
      <c r="M977" s="559"/>
      <c r="N977" s="559"/>
      <c r="O977" s="559"/>
      <c r="P977" s="559"/>
      <c r="Q977" s="559"/>
      <c r="R977" s="559"/>
      <c r="S977" s="559"/>
      <c r="T977" s="559"/>
      <c r="U977" s="559"/>
      <c r="V977" s="559"/>
      <c r="W977" s="559"/>
      <c r="X977" s="559"/>
      <c r="Y977" s="559"/>
      <c r="Z977" s="559"/>
      <c r="AA977" s="559"/>
      <c r="AB977" s="559"/>
      <c r="AC977" s="559"/>
      <c r="AD977" s="559"/>
      <c r="AE977" s="559"/>
      <c r="AF977" s="559"/>
      <c r="AG977" s="559"/>
    </row>
    <row r="978" spans="1:33" ht="18" customHeight="1" x14ac:dyDescent="0.35">
      <c r="A978" s="559"/>
      <c r="B978" s="559"/>
      <c r="C978" s="559"/>
      <c r="D978" s="559"/>
      <c r="E978" s="559"/>
      <c r="F978" s="559"/>
      <c r="G978" s="559"/>
      <c r="H978" s="559"/>
      <c r="I978" s="559"/>
      <c r="J978" s="559"/>
      <c r="K978" s="559"/>
      <c r="L978" s="559"/>
      <c r="M978" s="559"/>
      <c r="N978" s="559"/>
      <c r="O978" s="559"/>
      <c r="P978" s="559"/>
      <c r="Q978" s="559"/>
      <c r="R978" s="559"/>
      <c r="S978" s="559"/>
      <c r="T978" s="559"/>
      <c r="U978" s="559"/>
      <c r="V978" s="559"/>
      <c r="W978" s="559"/>
      <c r="X978" s="559"/>
      <c r="Y978" s="559"/>
      <c r="Z978" s="559"/>
      <c r="AA978" s="559"/>
      <c r="AB978" s="559"/>
      <c r="AC978" s="559"/>
      <c r="AD978" s="559"/>
      <c r="AE978" s="559"/>
      <c r="AF978" s="559"/>
      <c r="AG978" s="559"/>
    </row>
    <row r="979" spans="1:33" ht="18" customHeight="1" x14ac:dyDescent="0.35">
      <c r="A979" s="559"/>
      <c r="B979" s="559"/>
      <c r="C979" s="559"/>
      <c r="D979" s="559"/>
      <c r="E979" s="559"/>
      <c r="F979" s="559"/>
      <c r="G979" s="559"/>
      <c r="H979" s="559"/>
      <c r="I979" s="559"/>
      <c r="J979" s="559"/>
      <c r="K979" s="559"/>
      <c r="L979" s="559"/>
      <c r="M979" s="559"/>
      <c r="N979" s="559"/>
      <c r="O979" s="559"/>
      <c r="P979" s="559"/>
      <c r="Q979" s="559"/>
      <c r="R979" s="559"/>
      <c r="S979" s="559"/>
      <c r="T979" s="559"/>
      <c r="U979" s="559"/>
      <c r="V979" s="559"/>
      <c r="W979" s="559"/>
      <c r="X979" s="559"/>
      <c r="Y979" s="559"/>
      <c r="Z979" s="559"/>
      <c r="AA979" s="559"/>
      <c r="AB979" s="559"/>
      <c r="AC979" s="559"/>
      <c r="AD979" s="559"/>
      <c r="AE979" s="559"/>
      <c r="AF979" s="559"/>
      <c r="AG979" s="559"/>
    </row>
    <row r="980" spans="1:33" ht="18" customHeight="1" x14ac:dyDescent="0.35">
      <c r="A980" s="559"/>
      <c r="B980" s="559"/>
      <c r="C980" s="559"/>
      <c r="D980" s="559"/>
      <c r="E980" s="559"/>
      <c r="F980" s="559"/>
      <c r="G980" s="559"/>
      <c r="H980" s="559"/>
      <c r="I980" s="559"/>
      <c r="J980" s="559"/>
      <c r="K980" s="559"/>
      <c r="L980" s="559"/>
      <c r="M980" s="559"/>
      <c r="N980" s="559"/>
      <c r="O980" s="559"/>
      <c r="P980" s="559"/>
      <c r="Q980" s="559"/>
      <c r="R980" s="559"/>
      <c r="S980" s="559"/>
      <c r="T980" s="559"/>
      <c r="U980" s="559"/>
      <c r="V980" s="559"/>
      <c r="W980" s="559"/>
      <c r="X980" s="559"/>
      <c r="Y980" s="559"/>
      <c r="Z980" s="559"/>
      <c r="AA980" s="559"/>
      <c r="AB980" s="559"/>
      <c r="AC980" s="559"/>
      <c r="AD980" s="559"/>
      <c r="AE980" s="559"/>
      <c r="AF980" s="559"/>
      <c r="AG980" s="559"/>
    </row>
    <row r="981" spans="1:33" ht="18" customHeight="1" x14ac:dyDescent="0.35">
      <c r="A981" s="559"/>
      <c r="B981" s="559"/>
      <c r="C981" s="559"/>
      <c r="D981" s="559"/>
      <c r="E981" s="559"/>
      <c r="F981" s="559"/>
      <c r="G981" s="559"/>
      <c r="H981" s="559"/>
      <c r="I981" s="559"/>
      <c r="J981" s="559"/>
      <c r="K981" s="559"/>
      <c r="L981" s="559"/>
      <c r="M981" s="559"/>
      <c r="N981" s="559"/>
      <c r="O981" s="559"/>
      <c r="P981" s="559"/>
      <c r="Q981" s="559"/>
      <c r="R981" s="559"/>
      <c r="S981" s="559"/>
      <c r="T981" s="559"/>
      <c r="U981" s="559"/>
      <c r="V981" s="559"/>
      <c r="W981" s="559"/>
      <c r="X981" s="559"/>
      <c r="Y981" s="559"/>
      <c r="Z981" s="559"/>
      <c r="AA981" s="559"/>
      <c r="AB981" s="559"/>
      <c r="AC981" s="559"/>
      <c r="AD981" s="559"/>
      <c r="AE981" s="559"/>
      <c r="AF981" s="559"/>
      <c r="AG981" s="559"/>
    </row>
    <row r="982" spans="1:33" ht="18" customHeight="1" x14ac:dyDescent="0.35">
      <c r="A982" s="559"/>
      <c r="B982" s="559"/>
      <c r="C982" s="559"/>
      <c r="D982" s="559"/>
      <c r="E982" s="559"/>
      <c r="F982" s="559"/>
      <c r="G982" s="559"/>
      <c r="H982" s="559"/>
      <c r="I982" s="559"/>
      <c r="J982" s="559"/>
      <c r="K982" s="559"/>
      <c r="L982" s="559"/>
      <c r="M982" s="559"/>
      <c r="N982" s="559"/>
      <c r="O982" s="559"/>
      <c r="P982" s="559"/>
      <c r="Q982" s="559"/>
      <c r="R982" s="559"/>
      <c r="S982" s="559"/>
      <c r="T982" s="559"/>
      <c r="U982" s="559"/>
      <c r="V982" s="559"/>
      <c r="W982" s="559"/>
      <c r="X982" s="559"/>
      <c r="Y982" s="559"/>
      <c r="Z982" s="559"/>
      <c r="AA982" s="559"/>
      <c r="AB982" s="559"/>
      <c r="AC982" s="559"/>
      <c r="AD982" s="559"/>
      <c r="AE982" s="559"/>
      <c r="AF982" s="559"/>
      <c r="AG982" s="559"/>
    </row>
    <row r="983" spans="1:33" ht="18" customHeight="1" x14ac:dyDescent="0.35">
      <c r="A983" s="559"/>
      <c r="B983" s="559"/>
      <c r="C983" s="559"/>
      <c r="D983" s="559"/>
      <c r="E983" s="559"/>
      <c r="F983" s="559"/>
      <c r="G983" s="559"/>
      <c r="H983" s="559"/>
      <c r="I983" s="559"/>
      <c r="J983" s="559"/>
      <c r="K983" s="559"/>
      <c r="L983" s="559"/>
      <c r="M983" s="559"/>
      <c r="N983" s="559"/>
      <c r="O983" s="559"/>
      <c r="P983" s="559"/>
      <c r="Q983" s="559"/>
      <c r="R983" s="559"/>
      <c r="S983" s="559"/>
      <c r="T983" s="559"/>
      <c r="U983" s="559"/>
      <c r="V983" s="559"/>
      <c r="W983" s="559"/>
      <c r="X983" s="559"/>
      <c r="Y983" s="559"/>
      <c r="Z983" s="559"/>
      <c r="AA983" s="559"/>
      <c r="AB983" s="559"/>
      <c r="AC983" s="559"/>
      <c r="AD983" s="559"/>
      <c r="AE983" s="559"/>
      <c r="AF983" s="559"/>
      <c r="AG983" s="559"/>
    </row>
    <row r="984" spans="1:33" ht="18" customHeight="1" x14ac:dyDescent="0.35">
      <c r="A984" s="559"/>
      <c r="B984" s="559"/>
      <c r="C984" s="559"/>
      <c r="D984" s="559"/>
      <c r="E984" s="559"/>
      <c r="F984" s="559"/>
      <c r="G984" s="559"/>
      <c r="H984" s="559"/>
      <c r="I984" s="559"/>
      <c r="J984" s="559"/>
      <c r="K984" s="559"/>
      <c r="L984" s="559"/>
      <c r="M984" s="559"/>
      <c r="N984" s="559"/>
      <c r="O984" s="559"/>
      <c r="P984" s="559"/>
      <c r="Q984" s="559"/>
      <c r="R984" s="559"/>
      <c r="S984" s="559"/>
      <c r="T984" s="559"/>
      <c r="U984" s="559"/>
      <c r="V984" s="559"/>
      <c r="W984" s="559"/>
      <c r="X984" s="559"/>
      <c r="Y984" s="559"/>
      <c r="Z984" s="559"/>
      <c r="AA984" s="559"/>
      <c r="AB984" s="559"/>
      <c r="AC984" s="559"/>
      <c r="AD984" s="559"/>
      <c r="AE984" s="559"/>
      <c r="AF984" s="559"/>
      <c r="AG984" s="559"/>
    </row>
    <row r="985" spans="1:33" ht="18" customHeight="1" x14ac:dyDescent="0.35">
      <c r="A985" s="559"/>
      <c r="B985" s="559"/>
      <c r="C985" s="559"/>
      <c r="D985" s="559"/>
      <c r="E985" s="559"/>
      <c r="F985" s="559"/>
      <c r="G985" s="559"/>
      <c r="H985" s="559"/>
      <c r="I985" s="559"/>
      <c r="J985" s="559"/>
      <c r="K985" s="559"/>
      <c r="L985" s="559"/>
      <c r="M985" s="559"/>
      <c r="N985" s="559"/>
      <c r="O985" s="559"/>
      <c r="P985" s="559"/>
      <c r="Q985" s="559"/>
      <c r="R985" s="559"/>
      <c r="S985" s="559"/>
      <c r="T985" s="559"/>
      <c r="U985" s="559"/>
      <c r="V985" s="559"/>
      <c r="W985" s="559"/>
      <c r="X985" s="559"/>
      <c r="Y985" s="559"/>
      <c r="Z985" s="559"/>
      <c r="AA985" s="559"/>
      <c r="AB985" s="559"/>
      <c r="AC985" s="559"/>
      <c r="AD985" s="559"/>
      <c r="AE985" s="559"/>
      <c r="AF985" s="559"/>
      <c r="AG985" s="559"/>
    </row>
    <row r="986" spans="1:33" ht="18" customHeight="1" x14ac:dyDescent="0.35">
      <c r="A986" s="559"/>
      <c r="B986" s="559"/>
      <c r="C986" s="559"/>
      <c r="D986" s="559"/>
      <c r="E986" s="559"/>
      <c r="F986" s="559"/>
      <c r="G986" s="559"/>
      <c r="H986" s="559"/>
      <c r="I986" s="559"/>
      <c r="J986" s="559"/>
      <c r="K986" s="559"/>
      <c r="L986" s="559"/>
      <c r="M986" s="559"/>
      <c r="N986" s="559"/>
      <c r="O986" s="559"/>
      <c r="P986" s="559"/>
      <c r="Q986" s="559"/>
      <c r="R986" s="559"/>
      <c r="S986" s="559"/>
      <c r="T986" s="559"/>
      <c r="U986" s="559"/>
      <c r="V986" s="559"/>
      <c r="W986" s="559"/>
      <c r="X986" s="559"/>
      <c r="Y986" s="559"/>
      <c r="Z986" s="559"/>
      <c r="AA986" s="559"/>
      <c r="AB986" s="559"/>
      <c r="AC986" s="559"/>
      <c r="AD986" s="559"/>
      <c r="AE986" s="559"/>
      <c r="AF986" s="559"/>
      <c r="AG986" s="559"/>
    </row>
    <row r="987" spans="1:33" ht="18" customHeight="1" x14ac:dyDescent="0.35">
      <c r="A987" s="559"/>
      <c r="B987" s="559"/>
      <c r="C987" s="559"/>
      <c r="D987" s="559"/>
      <c r="E987" s="559"/>
      <c r="F987" s="559"/>
      <c r="G987" s="559"/>
      <c r="H987" s="559"/>
      <c r="I987" s="559"/>
      <c r="J987" s="559"/>
      <c r="K987" s="559"/>
      <c r="L987" s="559"/>
      <c r="M987" s="559"/>
      <c r="N987" s="559"/>
      <c r="O987" s="559"/>
      <c r="P987" s="559"/>
      <c r="Q987" s="559"/>
      <c r="R987" s="559"/>
      <c r="S987" s="559"/>
      <c r="T987" s="559"/>
      <c r="U987" s="559"/>
      <c r="V987" s="559"/>
      <c r="W987" s="559"/>
      <c r="X987" s="559"/>
      <c r="Y987" s="559"/>
      <c r="Z987" s="559"/>
      <c r="AA987" s="559"/>
      <c r="AB987" s="559"/>
      <c r="AC987" s="559"/>
      <c r="AD987" s="559"/>
      <c r="AE987" s="559"/>
      <c r="AF987" s="559"/>
      <c r="AG987" s="559"/>
    </row>
    <row r="988" spans="1:33" ht="18" customHeight="1" x14ac:dyDescent="0.35">
      <c r="A988" s="559"/>
      <c r="B988" s="559"/>
      <c r="C988" s="559"/>
      <c r="D988" s="559"/>
      <c r="E988" s="559"/>
      <c r="F988" s="559"/>
      <c r="G988" s="559"/>
      <c r="H988" s="559"/>
      <c r="I988" s="559"/>
      <c r="J988" s="559"/>
      <c r="K988" s="559"/>
      <c r="L988" s="559"/>
      <c r="M988" s="559"/>
      <c r="N988" s="559"/>
      <c r="O988" s="559"/>
      <c r="P988" s="559"/>
      <c r="Q988" s="559"/>
      <c r="R988" s="559"/>
      <c r="S988" s="559"/>
      <c r="T988" s="559"/>
      <c r="U988" s="559"/>
      <c r="V988" s="559"/>
      <c r="W988" s="559"/>
      <c r="X988" s="559"/>
      <c r="Y988" s="559"/>
      <c r="Z988" s="559"/>
      <c r="AA988" s="559"/>
      <c r="AB988" s="559"/>
      <c r="AC988" s="559"/>
      <c r="AD988" s="559"/>
      <c r="AE988" s="559"/>
      <c r="AF988" s="559"/>
      <c r="AG988" s="559"/>
    </row>
    <row r="989" spans="1:33" ht="18" customHeight="1" x14ac:dyDescent="0.35">
      <c r="A989" s="559"/>
      <c r="B989" s="559"/>
      <c r="C989" s="559"/>
      <c r="D989" s="559"/>
      <c r="E989" s="559"/>
      <c r="F989" s="559"/>
      <c r="G989" s="559"/>
      <c r="H989" s="559"/>
      <c r="I989" s="559"/>
      <c r="J989" s="559"/>
      <c r="K989" s="559"/>
      <c r="L989" s="559"/>
      <c r="M989" s="559"/>
      <c r="N989" s="559"/>
      <c r="O989" s="559"/>
      <c r="P989" s="559"/>
      <c r="Q989" s="559"/>
      <c r="R989" s="559"/>
      <c r="S989" s="559"/>
      <c r="T989" s="559"/>
      <c r="U989" s="559"/>
      <c r="V989" s="559"/>
      <c r="W989" s="559"/>
      <c r="X989" s="559"/>
      <c r="Y989" s="559"/>
      <c r="Z989" s="559"/>
      <c r="AA989" s="559"/>
      <c r="AB989" s="559"/>
      <c r="AC989" s="559"/>
      <c r="AD989" s="559"/>
      <c r="AE989" s="559"/>
      <c r="AF989" s="559"/>
      <c r="AG989" s="559"/>
    </row>
    <row r="990" spans="1:33" ht="18" customHeight="1" x14ac:dyDescent="0.35">
      <c r="A990" s="559"/>
      <c r="B990" s="559"/>
      <c r="C990" s="559"/>
      <c r="D990" s="559"/>
      <c r="E990" s="559"/>
      <c r="F990" s="559"/>
      <c r="G990" s="559"/>
      <c r="H990" s="559"/>
      <c r="I990" s="559"/>
      <c r="J990" s="559"/>
      <c r="K990" s="559"/>
      <c r="L990" s="559"/>
      <c r="M990" s="559"/>
      <c r="N990" s="559"/>
      <c r="O990" s="559"/>
      <c r="P990" s="559"/>
      <c r="Q990" s="559"/>
      <c r="R990" s="559"/>
      <c r="S990" s="559"/>
      <c r="T990" s="559"/>
      <c r="U990" s="559"/>
      <c r="V990" s="559"/>
      <c r="W990" s="559"/>
      <c r="X990" s="559"/>
      <c r="Y990" s="559"/>
      <c r="Z990" s="559"/>
      <c r="AA990" s="559"/>
      <c r="AB990" s="559"/>
      <c r="AC990" s="559"/>
      <c r="AD990" s="559"/>
      <c r="AE990" s="559"/>
      <c r="AF990" s="559"/>
      <c r="AG990" s="559"/>
    </row>
    <row r="991" spans="1:33" ht="18" customHeight="1" x14ac:dyDescent="0.35">
      <c r="A991" s="559"/>
      <c r="B991" s="559"/>
      <c r="C991" s="559"/>
      <c r="D991" s="559"/>
      <c r="E991" s="559"/>
      <c r="F991" s="559"/>
      <c r="G991" s="559"/>
      <c r="H991" s="559"/>
      <c r="I991" s="559"/>
      <c r="J991" s="559"/>
      <c r="K991" s="559"/>
      <c r="L991" s="559"/>
      <c r="M991" s="559"/>
      <c r="N991" s="559"/>
      <c r="O991" s="559"/>
      <c r="P991" s="559"/>
      <c r="Q991" s="559"/>
      <c r="R991" s="559"/>
      <c r="S991" s="559"/>
      <c r="T991" s="559"/>
      <c r="U991" s="559"/>
      <c r="V991" s="559"/>
      <c r="W991" s="559"/>
      <c r="X991" s="559"/>
      <c r="Y991" s="559"/>
      <c r="Z991" s="559"/>
      <c r="AA991" s="559"/>
      <c r="AB991" s="559"/>
      <c r="AC991" s="559"/>
      <c r="AD991" s="559"/>
      <c r="AE991" s="559"/>
      <c r="AF991" s="559"/>
      <c r="AG991" s="559"/>
    </row>
    <row r="992" spans="1:33" ht="18" customHeight="1" x14ac:dyDescent="0.35">
      <c r="A992" s="559"/>
      <c r="B992" s="559"/>
      <c r="C992" s="559"/>
      <c r="D992" s="559"/>
      <c r="E992" s="559"/>
      <c r="F992" s="559"/>
      <c r="G992" s="559"/>
      <c r="H992" s="559"/>
      <c r="I992" s="559"/>
      <c r="J992" s="559"/>
      <c r="K992" s="559"/>
      <c r="L992" s="559"/>
      <c r="M992" s="559"/>
      <c r="N992" s="559"/>
      <c r="O992" s="559"/>
      <c r="P992" s="559"/>
      <c r="Q992" s="559"/>
      <c r="R992" s="559"/>
      <c r="S992" s="559"/>
      <c r="T992" s="559"/>
      <c r="U992" s="559"/>
      <c r="V992" s="559"/>
      <c r="W992" s="559"/>
      <c r="X992" s="559"/>
      <c r="Y992" s="559"/>
      <c r="Z992" s="559"/>
      <c r="AA992" s="559"/>
      <c r="AB992" s="559"/>
      <c r="AC992" s="559"/>
      <c r="AD992" s="559"/>
      <c r="AE992" s="559"/>
      <c r="AF992" s="559"/>
      <c r="AG992" s="559"/>
    </row>
    <row r="993" spans="1:33" ht="18" customHeight="1" x14ac:dyDescent="0.35">
      <c r="A993" s="559"/>
      <c r="B993" s="559"/>
      <c r="C993" s="559"/>
      <c r="D993" s="559"/>
      <c r="E993" s="559"/>
      <c r="F993" s="559"/>
      <c r="G993" s="559"/>
      <c r="H993" s="559"/>
      <c r="I993" s="559"/>
      <c r="J993" s="559"/>
      <c r="K993" s="559"/>
      <c r="L993" s="559"/>
      <c r="M993" s="559"/>
      <c r="N993" s="559"/>
      <c r="O993" s="559"/>
      <c r="P993" s="559"/>
      <c r="Q993" s="559"/>
      <c r="R993" s="559"/>
      <c r="S993" s="559"/>
      <c r="T993" s="559"/>
      <c r="U993" s="559"/>
      <c r="V993" s="559"/>
      <c r="W993" s="559"/>
      <c r="X993" s="559"/>
      <c r="Y993" s="559"/>
      <c r="Z993" s="559"/>
      <c r="AA993" s="559"/>
      <c r="AB993" s="559"/>
      <c r="AC993" s="559"/>
      <c r="AD993" s="559"/>
      <c r="AE993" s="559"/>
      <c r="AF993" s="559"/>
      <c r="AG993" s="559"/>
    </row>
    <row r="994" spans="1:33" ht="18" customHeight="1" x14ac:dyDescent="0.35">
      <c r="A994" s="559"/>
      <c r="B994" s="559"/>
      <c r="C994" s="559"/>
      <c r="D994" s="559"/>
      <c r="E994" s="559"/>
      <c r="F994" s="559"/>
      <c r="G994" s="559"/>
      <c r="H994" s="559"/>
      <c r="I994" s="559"/>
      <c r="J994" s="559"/>
      <c r="K994" s="559"/>
      <c r="L994" s="559"/>
      <c r="M994" s="559"/>
      <c r="N994" s="559"/>
      <c r="O994" s="559"/>
      <c r="P994" s="559"/>
      <c r="Q994" s="559"/>
      <c r="R994" s="559"/>
      <c r="S994" s="559"/>
      <c r="T994" s="559"/>
      <c r="U994" s="559"/>
      <c r="V994" s="559"/>
      <c r="W994" s="559"/>
      <c r="X994" s="559"/>
      <c r="Y994" s="559"/>
      <c r="Z994" s="559"/>
      <c r="AA994" s="559"/>
      <c r="AB994" s="559"/>
      <c r="AC994" s="559"/>
      <c r="AD994" s="559"/>
      <c r="AE994" s="559"/>
      <c r="AF994" s="559"/>
      <c r="AG994" s="559"/>
    </row>
    <row r="995" spans="1:33" ht="18" customHeight="1" x14ac:dyDescent="0.35">
      <c r="A995" s="559"/>
      <c r="B995" s="559"/>
      <c r="C995" s="559"/>
      <c r="D995" s="559"/>
      <c r="E995" s="559"/>
      <c r="F995" s="559"/>
      <c r="G995" s="559"/>
      <c r="H995" s="559"/>
      <c r="I995" s="559"/>
      <c r="J995" s="559"/>
      <c r="K995" s="559"/>
      <c r="L995" s="559"/>
      <c r="M995" s="559"/>
      <c r="N995" s="559"/>
      <c r="O995" s="559"/>
      <c r="P995" s="559"/>
      <c r="Q995" s="559"/>
      <c r="R995" s="559"/>
      <c r="S995" s="559"/>
      <c r="T995" s="559"/>
      <c r="U995" s="559"/>
      <c r="V995" s="559"/>
      <c r="W995" s="559"/>
      <c r="X995" s="559"/>
      <c r="Y995" s="559"/>
      <c r="Z995" s="559"/>
      <c r="AA995" s="559"/>
      <c r="AB995" s="559"/>
      <c r="AC995" s="559"/>
      <c r="AD995" s="559"/>
      <c r="AE995" s="559"/>
      <c r="AF995" s="559"/>
      <c r="AG995" s="559"/>
    </row>
    <row r="996" spans="1:33" ht="18" customHeight="1" x14ac:dyDescent="0.35">
      <c r="A996" s="559"/>
      <c r="B996" s="559"/>
      <c r="C996" s="559"/>
      <c r="D996" s="559"/>
      <c r="E996" s="559"/>
      <c r="F996" s="559"/>
      <c r="G996" s="559"/>
      <c r="H996" s="559"/>
      <c r="I996" s="559"/>
      <c r="J996" s="559"/>
      <c r="K996" s="559"/>
      <c r="L996" s="559"/>
      <c r="M996" s="559"/>
      <c r="N996" s="559"/>
      <c r="O996" s="559"/>
      <c r="P996" s="559"/>
      <c r="Q996" s="559"/>
      <c r="R996" s="559"/>
      <c r="S996" s="559"/>
      <c r="T996" s="559"/>
      <c r="U996" s="559"/>
      <c r="V996" s="559"/>
      <c r="W996" s="559"/>
      <c r="X996" s="559"/>
      <c r="Y996" s="559"/>
      <c r="Z996" s="559"/>
      <c r="AA996" s="559"/>
      <c r="AB996" s="559"/>
      <c r="AC996" s="559"/>
      <c r="AD996" s="559"/>
      <c r="AE996" s="559"/>
      <c r="AF996" s="559"/>
      <c r="AG996" s="559"/>
    </row>
    <row r="997" spans="1:33" ht="18" customHeight="1" x14ac:dyDescent="0.35">
      <c r="A997" s="559"/>
      <c r="B997" s="559"/>
      <c r="C997" s="559"/>
      <c r="D997" s="559"/>
      <c r="E997" s="559"/>
      <c r="F997" s="559"/>
      <c r="G997" s="559"/>
      <c r="H997" s="559"/>
      <c r="I997" s="559"/>
      <c r="J997" s="559"/>
      <c r="K997" s="559"/>
      <c r="L997" s="559"/>
      <c r="M997" s="559"/>
      <c r="N997" s="559"/>
      <c r="O997" s="559"/>
      <c r="P997" s="559"/>
      <c r="Q997" s="559"/>
      <c r="R997" s="559"/>
      <c r="S997" s="559"/>
      <c r="T997" s="559"/>
      <c r="U997" s="559"/>
      <c r="V997" s="559"/>
      <c r="W997" s="559"/>
      <c r="X997" s="559"/>
      <c r="Y997" s="559"/>
      <c r="Z997" s="559"/>
      <c r="AA997" s="559"/>
      <c r="AB997" s="559"/>
      <c r="AC997" s="559"/>
      <c r="AD997" s="559"/>
      <c r="AE997" s="559"/>
      <c r="AF997" s="559"/>
      <c r="AG997" s="559"/>
    </row>
    <row r="998" spans="1:33" ht="18" customHeight="1" x14ac:dyDescent="0.35">
      <c r="A998" s="559"/>
      <c r="B998" s="559"/>
      <c r="C998" s="559"/>
      <c r="D998" s="559"/>
      <c r="E998" s="559"/>
      <c r="F998" s="559"/>
      <c r="G998" s="559"/>
      <c r="H998" s="559"/>
      <c r="I998" s="559"/>
      <c r="J998" s="559"/>
      <c r="K998" s="559"/>
      <c r="L998" s="559"/>
      <c r="M998" s="559"/>
      <c r="N998" s="559"/>
      <c r="O998" s="559"/>
      <c r="P998" s="559"/>
      <c r="Q998" s="559"/>
      <c r="R998" s="559"/>
      <c r="S998" s="559"/>
      <c r="T998" s="559"/>
      <c r="U998" s="559"/>
      <c r="V998" s="559"/>
      <c r="W998" s="559"/>
      <c r="X998" s="559"/>
      <c r="Y998" s="559"/>
      <c r="Z998" s="559"/>
      <c r="AA998" s="559"/>
      <c r="AB998" s="559"/>
      <c r="AC998" s="559"/>
      <c r="AD998" s="559"/>
      <c r="AE998" s="559"/>
      <c r="AF998" s="559"/>
      <c r="AG998" s="559"/>
    </row>
    <row r="999" spans="1:33" ht="18" customHeight="1" x14ac:dyDescent="0.35">
      <c r="A999" s="559"/>
      <c r="B999" s="559"/>
      <c r="C999" s="559"/>
      <c r="D999" s="559"/>
      <c r="E999" s="559"/>
      <c r="F999" s="559"/>
      <c r="G999" s="559"/>
      <c r="H999" s="559"/>
      <c r="I999" s="559"/>
      <c r="J999" s="559"/>
      <c r="K999" s="559"/>
      <c r="L999" s="559"/>
      <c r="M999" s="559"/>
      <c r="N999" s="559"/>
      <c r="O999" s="559"/>
      <c r="P999" s="559"/>
      <c r="Q999" s="559"/>
      <c r="R999" s="559"/>
      <c r="S999" s="559"/>
      <c r="T999" s="559"/>
      <c r="U999" s="559"/>
      <c r="V999" s="559"/>
      <c r="W999" s="559"/>
      <c r="X999" s="559"/>
      <c r="Y999" s="559"/>
      <c r="Z999" s="559"/>
      <c r="AA999" s="559"/>
      <c r="AB999" s="559"/>
      <c r="AC999" s="559"/>
      <c r="AD999" s="559"/>
      <c r="AE999" s="559"/>
      <c r="AF999" s="559"/>
      <c r="AG999" s="559"/>
    </row>
    <row r="1000" spans="1:33" ht="18" customHeight="1" x14ac:dyDescent="0.35">
      <c r="A1000" s="559"/>
      <c r="B1000" s="559"/>
      <c r="C1000" s="559"/>
      <c r="D1000" s="559"/>
      <c r="E1000" s="559"/>
      <c r="F1000" s="559"/>
      <c r="G1000" s="559"/>
      <c r="H1000" s="559"/>
      <c r="I1000" s="559"/>
      <c r="J1000" s="559"/>
      <c r="K1000" s="559"/>
      <c r="L1000" s="559"/>
      <c r="M1000" s="559"/>
      <c r="N1000" s="559"/>
      <c r="O1000" s="559"/>
      <c r="P1000" s="559"/>
      <c r="Q1000" s="559"/>
      <c r="R1000" s="559"/>
      <c r="S1000" s="559"/>
      <c r="T1000" s="559"/>
      <c r="U1000" s="559"/>
      <c r="V1000" s="559"/>
      <c r="W1000" s="559"/>
      <c r="X1000" s="559"/>
      <c r="Y1000" s="559"/>
      <c r="Z1000" s="559"/>
      <c r="AA1000" s="559"/>
      <c r="AB1000" s="559"/>
      <c r="AC1000" s="559"/>
      <c r="AD1000" s="559"/>
      <c r="AE1000" s="559"/>
      <c r="AF1000" s="559"/>
      <c r="AG1000" s="559"/>
    </row>
  </sheetData>
  <mergeCells count="10">
    <mergeCell ref="D19:E19"/>
    <mergeCell ref="D27:E27"/>
    <mergeCell ref="D28:E28"/>
    <mergeCell ref="A1:G2"/>
    <mergeCell ref="A3:A4"/>
    <mergeCell ref="B3:C7"/>
    <mergeCell ref="E15:G15"/>
    <mergeCell ref="E16:G18"/>
    <mergeCell ref="F20:G20"/>
    <mergeCell ref="F21:G21"/>
  </mergeCells>
  <conditionalFormatting sqref="F3 C19">
    <cfRule type="beginsWith" dxfId="13" priority="1" operator="beginsWith" text="Boulons">
      <formula>LEFT((C19),LEN("Boulons"))=("Boulons")</formula>
    </cfRule>
  </conditionalFormatting>
  <conditionalFormatting sqref="F3">
    <cfRule type="containsText" dxfId="12" priority="2" operator="containsText" text="Boulons et Platines">
      <formula>NOT(ISERROR(SEARCH(("Boulons et Platines"),(F3))))</formula>
    </cfRule>
  </conditionalFormatting>
  <dataValidations count="6">
    <dataValidation type="list" allowBlank="1" showErrorMessage="1" sqref="F21" xr:uid="{00000000-0002-0000-1200-000000000000}">
      <formula1>$A$119:$A$121</formula1>
    </dataValidation>
    <dataValidation type="list" allowBlank="1" showErrorMessage="1" sqref="C30" xr:uid="{00000000-0002-0000-1200-000001000000}">
      <formula1>$A$149:$A$161</formula1>
    </dataValidation>
    <dataValidation type="list" allowBlank="1" showErrorMessage="1" sqref="C15" xr:uid="{00000000-0002-0000-1200-000002000000}">
      <formula1>$A$137:$A$138</formula1>
    </dataValidation>
    <dataValidation type="list" allowBlank="1" showErrorMessage="1" sqref="C29" xr:uid="{00000000-0002-0000-1200-000003000000}">
      <formula1>$A$140:$A$146</formula1>
    </dataValidation>
    <dataValidation type="list" allowBlank="1" showErrorMessage="1" sqref="C27" xr:uid="{00000000-0002-0000-1200-000004000000}">
      <formula1>$A$196:$A$200</formula1>
    </dataValidation>
    <dataValidation type="list" allowBlank="1" showErrorMessage="1" sqref="F27" xr:uid="{00000000-0002-0000-1200-000005000000}">
      <formula1>IF($D$27="Type de mousse",$A$173:$A$175,IF($D$27="Nombre",$A$179:$A$184,0))</formula1>
    </dataValidation>
  </dataValidations>
  <pageMargins left="0.31496062992125984" right="0.31496062992125984" top="0.74803149606299213" bottom="0.94488188976377963" header="0" footer="0"/>
  <pageSetup paperSize="9" orientation="landscape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rgb="FFFFC000"/>
    <pageSetUpPr fitToPage="1"/>
  </sheetPr>
  <dimension ref="A1:AJ1000"/>
  <sheetViews>
    <sheetView workbookViewId="0"/>
  </sheetViews>
  <sheetFormatPr baseColWidth="10" defaultColWidth="14.44140625" defaultRowHeight="15" customHeight="1" x14ac:dyDescent="0.3"/>
  <cols>
    <col min="1" max="1" width="14" customWidth="1"/>
    <col min="2" max="2" width="31.44140625" customWidth="1"/>
    <col min="3" max="3" width="43.109375" customWidth="1"/>
    <col min="4" max="4" width="20.6640625" customWidth="1"/>
    <col min="5" max="5" width="28" customWidth="1"/>
    <col min="6" max="6" width="16.6640625" customWidth="1"/>
    <col min="7" max="7" width="20.33203125" customWidth="1"/>
    <col min="8" max="8" width="38.109375" hidden="1" customWidth="1"/>
    <col min="9" max="9" width="14.5546875" hidden="1" customWidth="1"/>
    <col min="10" max="10" width="15.6640625" hidden="1" customWidth="1"/>
    <col min="11" max="11" width="11.6640625" hidden="1" customWidth="1"/>
    <col min="12" max="13" width="13" hidden="1" customWidth="1"/>
    <col min="14" max="14" width="15.44140625" hidden="1" customWidth="1"/>
    <col min="15" max="15" width="14.5546875" hidden="1" customWidth="1"/>
    <col min="16" max="16" width="11.5546875" hidden="1" customWidth="1"/>
    <col min="17" max="17" width="12.109375" hidden="1" customWidth="1"/>
    <col min="18" max="18" width="11.5546875" hidden="1" customWidth="1"/>
    <col min="19" max="19" width="11.5546875" customWidth="1"/>
    <col min="20" max="20" width="15.109375" customWidth="1"/>
    <col min="21" max="21" width="12.109375" customWidth="1"/>
    <col min="22" max="34" width="11.5546875" customWidth="1"/>
    <col min="35" max="36" width="11.44140625" customWidth="1"/>
  </cols>
  <sheetData>
    <row r="1" spans="1:36" ht="29.25" customHeight="1" x14ac:dyDescent="0.5">
      <c r="A1" s="1198" t="s">
        <v>476</v>
      </c>
      <c r="B1" s="1100"/>
      <c r="C1" s="1100"/>
      <c r="D1" s="1100"/>
      <c r="E1" s="1100"/>
      <c r="F1" s="1100"/>
      <c r="G1" s="1101"/>
      <c r="H1" s="816"/>
      <c r="I1" s="816"/>
      <c r="J1" s="816"/>
      <c r="K1" s="468"/>
      <c r="L1" s="468"/>
      <c r="M1" s="468"/>
      <c r="N1" s="468"/>
      <c r="O1" s="468"/>
      <c r="P1" s="468"/>
      <c r="Q1" s="468"/>
      <c r="R1" s="468"/>
      <c r="S1" s="468"/>
      <c r="T1" s="468"/>
      <c r="U1" s="468"/>
      <c r="V1" s="468"/>
      <c r="W1" s="468"/>
      <c r="X1" s="468"/>
      <c r="Y1" s="468"/>
      <c r="Z1" s="468"/>
      <c r="AA1" s="468"/>
      <c r="AB1" s="468"/>
      <c r="AC1" s="468"/>
      <c r="AD1" s="468"/>
      <c r="AE1" s="468"/>
      <c r="AF1" s="468"/>
      <c r="AG1" s="468"/>
      <c r="AH1" s="468"/>
      <c r="AI1" s="468"/>
      <c r="AJ1" s="468"/>
    </row>
    <row r="2" spans="1:36" ht="18.75" customHeight="1" x14ac:dyDescent="0.5">
      <c r="A2" s="816"/>
      <c r="B2" s="816"/>
      <c r="C2" s="468"/>
      <c r="D2" s="468"/>
      <c r="E2" s="468"/>
      <c r="F2" s="468"/>
      <c r="G2" s="468"/>
      <c r="H2" s="468"/>
      <c r="I2" s="816"/>
      <c r="J2" s="816"/>
      <c r="K2" s="468"/>
      <c r="L2" s="468"/>
      <c r="M2" s="468"/>
      <c r="N2" s="468"/>
      <c r="O2" s="468"/>
      <c r="P2" s="468"/>
      <c r="Q2" s="468"/>
      <c r="R2" s="468"/>
      <c r="S2" s="468"/>
      <c r="T2" s="468"/>
      <c r="U2" s="468"/>
      <c r="V2" s="468"/>
      <c r="W2" s="468"/>
      <c r="X2" s="468"/>
      <c r="Y2" s="468"/>
      <c r="Z2" s="468"/>
      <c r="AA2" s="468"/>
      <c r="AB2" s="468"/>
      <c r="AC2" s="468"/>
      <c r="AD2" s="468"/>
      <c r="AE2" s="468"/>
      <c r="AF2" s="468"/>
      <c r="AG2" s="468"/>
      <c r="AH2" s="468"/>
      <c r="AI2" s="468"/>
      <c r="AJ2" s="468"/>
    </row>
    <row r="3" spans="1:36" ht="18.75" hidden="1" customHeight="1" x14ac:dyDescent="0.5">
      <c r="A3" s="816"/>
      <c r="B3" s="817">
        <f>IF(C15="Boulons et platines","Boulons et Platines GC",0)</f>
        <v>0</v>
      </c>
      <c r="C3" s="817">
        <f>IF(B3="Boulons et Platines GC","Nbre de Trous",0)</f>
        <v>0</v>
      </c>
      <c r="D3" s="818">
        <f>IF(B3="Boulons et Platines GC","Dim du Bord",0)</f>
        <v>0</v>
      </c>
      <c r="E3" s="817">
        <f>IF(C15="Boulons et platines","Boulons et Platines CV",0)</f>
        <v>0</v>
      </c>
      <c r="F3" s="817">
        <f>IF(E3="Boulons et Platines CV","Nbre de Trous",0)</f>
        <v>0</v>
      </c>
      <c r="G3" s="818">
        <f>IF(E3="Boulons et Platines CV","Dim du Bord",0)</f>
        <v>0</v>
      </c>
      <c r="H3" s="468"/>
      <c r="I3" s="816"/>
      <c r="J3" s="816"/>
      <c r="K3" s="468"/>
      <c r="L3" s="468"/>
      <c r="M3" s="468"/>
      <c r="N3" s="468"/>
      <c r="O3" s="468"/>
      <c r="P3" s="468"/>
      <c r="Q3" s="468"/>
      <c r="R3" s="468"/>
      <c r="S3" s="468"/>
      <c r="T3" s="468"/>
      <c r="U3" s="468"/>
      <c r="V3" s="468"/>
      <c r="W3" s="468"/>
      <c r="X3" s="468"/>
      <c r="Y3" s="468"/>
      <c r="Z3" s="468"/>
      <c r="AA3" s="468"/>
      <c r="AB3" s="468"/>
      <c r="AC3" s="468"/>
      <c r="AD3" s="468"/>
      <c r="AE3" s="468"/>
      <c r="AF3" s="468"/>
      <c r="AG3" s="468"/>
      <c r="AH3" s="468"/>
      <c r="AI3" s="468"/>
      <c r="AJ3" s="468"/>
    </row>
    <row r="4" spans="1:36" ht="18.75" hidden="1" customHeight="1" x14ac:dyDescent="0.5">
      <c r="A4" s="816"/>
      <c r="B4" s="819">
        <f>IF(C15="Vis bois",0,"Trous dans la Longueur")</f>
        <v>0</v>
      </c>
      <c r="C4" s="469">
        <f>IF(B3=0,0,IF(D37&lt;100,2,IF(D37&lt;150,3,IF(D37&lt;200,4,IF(D37&lt;250,5,IF(D37&lt;300,6,7))))))</f>
        <v>0</v>
      </c>
      <c r="D4" s="820">
        <f>IF(C4=0,0,IF(C4=2,0,IF(C4=3,0,(($D$37-20)/(C4-1))+10)))</f>
        <v>0</v>
      </c>
      <c r="E4" s="819">
        <f>IF(C15="Vis bois",0,"Trous dans la Longueur")</f>
        <v>0</v>
      </c>
      <c r="F4" s="469">
        <f>IF(E4=0,0,IF(D38&lt;100,2,IF(D38&lt;150,3,IF(D38&lt;200,4,IF(D38&lt;250,5,IF(D38&lt;300,6,7))))))</f>
        <v>0</v>
      </c>
      <c r="G4" s="820">
        <f>IF(F4=0,0,IF(F4=2,0,IF(F4=3,0,(($E$38-20)/(F4-1))+10)))</f>
        <v>0</v>
      </c>
      <c r="H4" s="468"/>
      <c r="I4" s="816"/>
      <c r="J4" s="816"/>
      <c r="K4" s="468"/>
      <c r="L4" s="468"/>
      <c r="M4" s="468"/>
      <c r="N4" s="468"/>
      <c r="O4" s="468"/>
      <c r="P4" s="468"/>
      <c r="Q4" s="468"/>
      <c r="R4" s="468"/>
      <c r="S4" s="468"/>
      <c r="T4" s="468"/>
      <c r="U4" s="468"/>
      <c r="V4" s="468"/>
      <c r="W4" s="468"/>
      <c r="X4" s="468"/>
      <c r="Y4" s="468"/>
      <c r="Z4" s="468"/>
      <c r="AA4" s="468"/>
      <c r="AB4" s="468"/>
      <c r="AC4" s="468"/>
      <c r="AD4" s="468"/>
      <c r="AE4" s="468"/>
      <c r="AF4" s="468"/>
      <c r="AG4" s="468"/>
      <c r="AH4" s="468"/>
      <c r="AI4" s="468"/>
      <c r="AJ4" s="468"/>
    </row>
    <row r="5" spans="1:36" ht="18.75" hidden="1" customHeight="1" x14ac:dyDescent="0.5">
      <c r="A5" s="816"/>
      <c r="B5" s="821">
        <f>IF(C4=6,"2ème Trou",IF(C4=7,"2ème Trou",0))</f>
        <v>0</v>
      </c>
      <c r="C5" s="468"/>
      <c r="D5" s="820">
        <f>IF(B5=0,0,D4+D4-10)</f>
        <v>0</v>
      </c>
      <c r="E5" s="821">
        <f>IF(F4=6,"2ème Trou",IF(F4=7,"2ème Trou",0))</f>
        <v>0</v>
      </c>
      <c r="F5" s="468"/>
      <c r="G5" s="820">
        <f>IF(E5=0,0,G4+G4-10)</f>
        <v>0</v>
      </c>
      <c r="H5" s="468"/>
      <c r="I5" s="816"/>
      <c r="J5" s="816"/>
      <c r="K5" s="468"/>
      <c r="L5" s="468"/>
      <c r="M5" s="468"/>
      <c r="N5" s="468"/>
      <c r="O5" s="468"/>
      <c r="P5" s="468"/>
      <c r="Q5" s="468"/>
      <c r="R5" s="468"/>
      <c r="S5" s="468"/>
      <c r="T5" s="468"/>
      <c r="U5" s="468"/>
      <c r="V5" s="468"/>
      <c r="W5" s="468"/>
      <c r="X5" s="468"/>
      <c r="Y5" s="468"/>
      <c r="Z5" s="468"/>
      <c r="AA5" s="468"/>
      <c r="AB5" s="468"/>
      <c r="AC5" s="468"/>
      <c r="AD5" s="468"/>
      <c r="AE5" s="468"/>
      <c r="AF5" s="468"/>
      <c r="AG5" s="468"/>
      <c r="AH5" s="468"/>
      <c r="AI5" s="468"/>
      <c r="AJ5" s="468"/>
    </row>
    <row r="6" spans="1:36" ht="18" hidden="1" customHeight="1" x14ac:dyDescent="0.35">
      <c r="A6" s="468"/>
      <c r="B6" s="819">
        <f>IF(C15="Vis bois",0,"Trous dans la Hauteur")</f>
        <v>0</v>
      </c>
      <c r="C6" s="469">
        <f>IF(B6=0,0,IF(E37&lt;100,2,IF(E37&lt;150,3,IF(E37&lt;200,4,IF(E37&lt;250,5,IF(E37&lt;310,6,7))))))</f>
        <v>0</v>
      </c>
      <c r="D6" s="820">
        <f>IF(C6=0,0,IF(C6=2,0,IF(C6=3,0,(($E$37-20)/(C6-1))+10)))</f>
        <v>0</v>
      </c>
      <c r="E6" s="819">
        <f>IF(C15="Vis bois",0,"Trous dans la Largeur")</f>
        <v>0</v>
      </c>
      <c r="F6" s="469">
        <f>IF(E6=0,0,IF(E38&lt;50,1,IF(E38&lt;100,2,IF(E38&lt;150,3,IF(E38&lt;200,4,IF(E38&lt;250,5,IF(E38&lt;310,6,7)))))))</f>
        <v>0</v>
      </c>
      <c r="G6" s="820">
        <f>IF(F6=0,0,IF(F6=1,0,IF(F6=2,0,IF(F6=3,0,(($E$38-20)/(F6-1))+10))))</f>
        <v>0</v>
      </c>
      <c r="H6" s="468"/>
      <c r="I6" s="468"/>
      <c r="J6" s="468"/>
      <c r="K6" s="468"/>
      <c r="L6" s="468"/>
      <c r="M6" s="468"/>
      <c r="N6" s="468"/>
      <c r="O6" s="468"/>
      <c r="P6" s="468"/>
      <c r="Q6" s="468"/>
      <c r="R6" s="468"/>
      <c r="S6" s="468"/>
      <c r="T6" s="468"/>
      <c r="U6" s="468"/>
      <c r="V6" s="468"/>
      <c r="W6" s="468"/>
      <c r="X6" s="468"/>
      <c r="Y6" s="468"/>
      <c r="Z6" s="468"/>
      <c r="AA6" s="468"/>
      <c r="AB6" s="468"/>
      <c r="AC6" s="468"/>
      <c r="AD6" s="468"/>
      <c r="AE6" s="468"/>
      <c r="AF6" s="468"/>
      <c r="AG6" s="468"/>
      <c r="AH6" s="468"/>
      <c r="AI6" s="468"/>
      <c r="AJ6" s="468"/>
    </row>
    <row r="7" spans="1:36" ht="18" hidden="1" customHeight="1" x14ac:dyDescent="0.35">
      <c r="A7" s="468"/>
      <c r="B7" s="822">
        <f>IF(C6=6,"2ème Trou",IF(C6=7,"2ème Trou",0))</f>
        <v>0</v>
      </c>
      <c r="C7" s="543"/>
      <c r="D7" s="823">
        <f>IF(B7=0,0,D6+D6-16)</f>
        <v>0</v>
      </c>
      <c r="E7" s="822">
        <f>IF(F6=6,"2ème Trou",IF(F6=7,"2ème Trou",0))</f>
        <v>0</v>
      </c>
      <c r="F7" s="543"/>
      <c r="G7" s="823">
        <f>IF(E7=0,0,G6+G6-16)</f>
        <v>0</v>
      </c>
      <c r="H7" s="468"/>
      <c r="I7" s="468" t="s">
        <v>477</v>
      </c>
      <c r="J7" s="468"/>
      <c r="K7" s="468"/>
      <c r="L7" s="468"/>
      <c r="M7" s="468"/>
      <c r="N7" s="468"/>
      <c r="O7" s="468"/>
      <c r="P7" s="468"/>
      <c r="Q7" s="468"/>
      <c r="R7" s="468"/>
      <c r="S7" s="468"/>
      <c r="T7" s="468"/>
      <c r="U7" s="468"/>
      <c r="V7" s="468"/>
      <c r="W7" s="468"/>
      <c r="X7" s="468"/>
      <c r="Y7" s="468"/>
      <c r="Z7" s="468"/>
      <c r="AA7" s="468"/>
      <c r="AB7" s="468"/>
      <c r="AC7" s="468"/>
      <c r="AD7" s="468"/>
      <c r="AE7" s="468"/>
      <c r="AF7" s="468"/>
      <c r="AG7" s="468"/>
      <c r="AH7" s="468"/>
      <c r="AI7" s="468"/>
      <c r="AJ7" s="468"/>
    </row>
    <row r="8" spans="1:36" ht="18" customHeight="1" x14ac:dyDescent="0.35">
      <c r="A8" s="468"/>
      <c r="B8" s="824"/>
      <c r="C8" s="543"/>
      <c r="D8" s="825"/>
      <c r="E8" s="824"/>
      <c r="F8" s="543"/>
      <c r="G8" s="825"/>
      <c r="H8" s="468"/>
      <c r="I8" s="468"/>
      <c r="J8" s="468"/>
      <c r="K8" s="468"/>
      <c r="L8" s="468"/>
      <c r="M8" s="468"/>
      <c r="N8" s="468"/>
      <c r="O8" s="468"/>
      <c r="P8" s="468"/>
      <c r="Q8" s="468"/>
      <c r="R8" s="468"/>
      <c r="S8" s="468"/>
      <c r="T8" s="468"/>
      <c r="U8" s="468"/>
      <c r="V8" s="468"/>
      <c r="W8" s="468"/>
      <c r="X8" s="468"/>
      <c r="Y8" s="468"/>
      <c r="Z8" s="468"/>
      <c r="AA8" s="468"/>
      <c r="AB8" s="468"/>
      <c r="AC8" s="468"/>
      <c r="AD8" s="468"/>
      <c r="AE8" s="468"/>
      <c r="AF8" s="468"/>
      <c r="AG8" s="468"/>
      <c r="AH8" s="468"/>
      <c r="AI8" s="468"/>
      <c r="AJ8" s="468"/>
    </row>
    <row r="9" spans="1:36" ht="18" customHeight="1" x14ac:dyDescent="0.35">
      <c r="A9" s="468"/>
      <c r="B9" s="468" t="s">
        <v>1</v>
      </c>
      <c r="C9" s="20"/>
      <c r="D9" s="468"/>
      <c r="E9" s="469" t="s">
        <v>2</v>
      </c>
      <c r="F9" s="22" t="s">
        <v>298</v>
      </c>
      <c r="G9" s="825"/>
      <c r="H9" s="468"/>
      <c r="I9" s="468"/>
      <c r="J9" s="468"/>
      <c r="K9" s="468"/>
      <c r="L9" s="468"/>
      <c r="M9" s="468"/>
      <c r="N9" s="468"/>
      <c r="O9" s="468"/>
      <c r="P9" s="468"/>
      <c r="Q9" s="468"/>
      <c r="R9" s="468"/>
      <c r="S9" s="468"/>
      <c r="T9" s="468"/>
      <c r="U9" s="468"/>
      <c r="V9" s="468"/>
      <c r="W9" s="468"/>
      <c r="X9" s="468"/>
      <c r="Y9" s="468"/>
      <c r="Z9" s="468"/>
      <c r="AA9" s="468"/>
      <c r="AB9" s="468"/>
      <c r="AC9" s="468"/>
      <c r="AD9" s="468"/>
      <c r="AE9" s="468"/>
      <c r="AF9" s="468"/>
      <c r="AG9" s="468"/>
      <c r="AH9" s="468"/>
      <c r="AI9" s="468"/>
      <c r="AJ9" s="468"/>
    </row>
    <row r="10" spans="1:36" ht="18" customHeight="1" x14ac:dyDescent="0.35">
      <c r="A10" s="468"/>
      <c r="B10" s="468" t="s">
        <v>4</v>
      </c>
      <c r="C10" s="23"/>
      <c r="D10" s="468"/>
      <c r="E10" s="469" t="s">
        <v>5</v>
      </c>
      <c r="F10" s="470" t="s">
        <v>6</v>
      </c>
      <c r="G10" s="468"/>
      <c r="H10" s="468"/>
      <c r="I10" s="826">
        <f ca="1">TODAY()</f>
        <v>46199</v>
      </c>
      <c r="J10" s="468"/>
      <c r="K10" s="468"/>
      <c r="L10" s="468"/>
      <c r="M10" s="468"/>
      <c r="N10" s="468"/>
      <c r="O10" s="468"/>
      <c r="P10" s="468"/>
      <c r="Q10" s="468"/>
      <c r="R10" s="468"/>
      <c r="S10" s="468"/>
      <c r="T10" s="468"/>
      <c r="U10" s="468"/>
      <c r="V10" s="468"/>
      <c r="W10" s="468"/>
      <c r="X10" s="468"/>
      <c r="Y10" s="468"/>
      <c r="Z10" s="468"/>
      <c r="AA10" s="468"/>
      <c r="AB10" s="468"/>
      <c r="AC10" s="468"/>
      <c r="AD10" s="468"/>
      <c r="AE10" s="468"/>
      <c r="AF10" s="468"/>
      <c r="AG10" s="468"/>
      <c r="AH10" s="468"/>
      <c r="AI10" s="468"/>
      <c r="AJ10" s="468"/>
    </row>
    <row r="11" spans="1:36" ht="18" customHeight="1" x14ac:dyDescent="0.35">
      <c r="A11" s="468"/>
      <c r="B11" s="468" t="s">
        <v>138</v>
      </c>
      <c r="C11" s="20"/>
      <c r="D11" s="468"/>
      <c r="E11" s="477" t="s">
        <v>8</v>
      </c>
      <c r="F11" s="25"/>
      <c r="G11" s="468"/>
      <c r="H11" s="468"/>
      <c r="I11" s="468"/>
      <c r="J11" s="468"/>
      <c r="K11" s="468"/>
      <c r="L11" s="468"/>
      <c r="M11" s="468"/>
      <c r="N11" s="468"/>
      <c r="O11" s="468"/>
      <c r="P11" s="468"/>
      <c r="Q11" s="468"/>
      <c r="R11" s="468"/>
      <c r="S11" s="468"/>
      <c r="T11" s="468"/>
      <c r="U11" s="468"/>
      <c r="V11" s="468"/>
      <c r="W11" s="468"/>
      <c r="X11" s="468"/>
      <c r="Y11" s="468"/>
      <c r="Z11" s="468"/>
      <c r="AA11" s="468"/>
      <c r="AB11" s="468"/>
      <c r="AC11" s="468"/>
      <c r="AD11" s="468"/>
      <c r="AE11" s="468"/>
      <c r="AF11" s="468"/>
      <c r="AG11" s="468"/>
      <c r="AH11" s="468"/>
      <c r="AI11" s="468"/>
      <c r="AJ11" s="468"/>
    </row>
    <row r="12" spans="1:36" ht="18" customHeight="1" x14ac:dyDescent="0.35">
      <c r="A12" s="468"/>
      <c r="B12" s="468"/>
      <c r="C12" s="468"/>
      <c r="D12" s="468"/>
      <c r="E12" s="468"/>
      <c r="F12" s="468"/>
      <c r="G12" s="468"/>
      <c r="H12" s="468"/>
      <c r="I12" s="468"/>
      <c r="J12" s="468"/>
      <c r="K12" s="468"/>
      <c r="L12" s="468"/>
      <c r="M12" s="468"/>
      <c r="N12" s="468"/>
      <c r="O12" s="468"/>
      <c r="P12" s="468"/>
      <c r="Q12" s="468"/>
      <c r="R12" s="468"/>
      <c r="S12" s="468"/>
      <c r="T12" s="468"/>
      <c r="U12" s="468"/>
      <c r="V12" s="468"/>
      <c r="W12" s="468"/>
      <c r="X12" s="468"/>
      <c r="Y12" s="468"/>
      <c r="Z12" s="468"/>
      <c r="AA12" s="468"/>
      <c r="AB12" s="468"/>
      <c r="AC12" s="468"/>
      <c r="AD12" s="468"/>
      <c r="AE12" s="468"/>
      <c r="AF12" s="468"/>
      <c r="AG12" s="468"/>
      <c r="AH12" s="468"/>
      <c r="AI12" s="468"/>
      <c r="AJ12" s="468"/>
    </row>
    <row r="13" spans="1:36" ht="18" customHeight="1" x14ac:dyDescent="0.35">
      <c r="A13" s="468"/>
      <c r="B13" s="471" t="s">
        <v>9</v>
      </c>
      <c r="C13" s="23" t="s">
        <v>10</v>
      </c>
      <c r="D13" s="468"/>
      <c r="E13" s="1199" t="str">
        <f>VLOOKUP($F$10,'Infos Clients'!$B$2:$G$10,2)</f>
        <v>#VALUE!</v>
      </c>
      <c r="F13" s="1085"/>
      <c r="G13" s="1086"/>
      <c r="H13" s="468"/>
      <c r="I13" s="468"/>
      <c r="J13" s="468"/>
      <c r="K13" s="468"/>
      <c r="L13" s="468"/>
      <c r="M13" s="468"/>
      <c r="N13" s="468"/>
      <c r="O13" s="468"/>
      <c r="P13" s="468"/>
      <c r="Q13" s="468"/>
      <c r="R13" s="468"/>
      <c r="S13" s="468"/>
      <c r="T13" s="468"/>
      <c r="U13" s="468"/>
      <c r="V13" s="468"/>
      <c r="W13" s="468"/>
      <c r="X13" s="468"/>
      <c r="Y13" s="468"/>
      <c r="Z13" s="468"/>
      <c r="AA13" s="468"/>
      <c r="AB13" s="468"/>
      <c r="AC13" s="468"/>
      <c r="AD13" s="468"/>
      <c r="AE13" s="468"/>
      <c r="AF13" s="468"/>
      <c r="AG13" s="468"/>
      <c r="AH13" s="468"/>
      <c r="AI13" s="468"/>
      <c r="AJ13" s="468"/>
    </row>
    <row r="14" spans="1:36" ht="18" customHeight="1" x14ac:dyDescent="0.35">
      <c r="A14" s="468"/>
      <c r="B14" s="468"/>
      <c r="C14" s="468"/>
      <c r="D14" s="468"/>
      <c r="E14" s="1091"/>
      <c r="F14" s="1097"/>
      <c r="G14" s="1092"/>
      <c r="H14" s="468"/>
      <c r="I14" s="468"/>
      <c r="J14" s="468"/>
      <c r="K14" s="468"/>
      <c r="L14" s="468"/>
      <c r="M14" s="468"/>
      <c r="N14" s="468"/>
      <c r="O14" s="468"/>
      <c r="P14" s="468"/>
      <c r="Q14" s="468"/>
      <c r="R14" s="468"/>
      <c r="S14" s="468"/>
      <c r="T14" s="468"/>
      <c r="U14" s="468"/>
      <c r="V14" s="468"/>
      <c r="W14" s="468"/>
      <c r="X14" s="468"/>
      <c r="Y14" s="468"/>
      <c r="Z14" s="468"/>
      <c r="AA14" s="468"/>
      <c r="AB14" s="468"/>
      <c r="AC14" s="468"/>
      <c r="AD14" s="468"/>
      <c r="AE14" s="468"/>
      <c r="AF14" s="468"/>
      <c r="AG14" s="468"/>
      <c r="AH14" s="468"/>
      <c r="AI14" s="468"/>
      <c r="AJ14" s="468"/>
    </row>
    <row r="15" spans="1:36" ht="18" customHeight="1" x14ac:dyDescent="0.35">
      <c r="A15" s="468"/>
      <c r="B15" s="471" t="s">
        <v>17</v>
      </c>
      <c r="C15" s="23" t="s">
        <v>18</v>
      </c>
      <c r="D15" s="468"/>
      <c r="E15" s="1091"/>
      <c r="F15" s="1097"/>
      <c r="G15" s="1092"/>
      <c r="H15" s="468"/>
      <c r="I15" s="468"/>
      <c r="J15" s="468"/>
      <c r="K15" s="468"/>
      <c r="L15" s="468"/>
      <c r="M15" s="468"/>
      <c r="N15" s="468"/>
      <c r="O15" s="468"/>
      <c r="P15" s="468"/>
      <c r="Q15" s="468"/>
      <c r="R15" s="468"/>
      <c r="S15" s="468"/>
      <c r="T15" s="468"/>
      <c r="U15" s="468"/>
      <c r="V15" s="468"/>
      <c r="W15" s="468"/>
      <c r="X15" s="468"/>
      <c r="Y15" s="468"/>
      <c r="Z15" s="468"/>
      <c r="AA15" s="468"/>
      <c r="AB15" s="468"/>
      <c r="AC15" s="468"/>
      <c r="AD15" s="468"/>
      <c r="AE15" s="468"/>
      <c r="AF15" s="468"/>
      <c r="AG15" s="468"/>
      <c r="AH15" s="468"/>
      <c r="AI15" s="468"/>
      <c r="AJ15" s="468"/>
    </row>
    <row r="16" spans="1:36" ht="18" customHeight="1" x14ac:dyDescent="0.35">
      <c r="A16" s="468"/>
      <c r="B16" s="468"/>
      <c r="C16" s="468"/>
      <c r="D16" s="468"/>
      <c r="E16" s="1091"/>
      <c r="F16" s="1097"/>
      <c r="G16" s="1092"/>
      <c r="H16" s="468"/>
      <c r="I16" s="468"/>
      <c r="J16" s="468"/>
      <c r="K16" s="468"/>
      <c r="L16" s="468"/>
      <c r="M16" s="468"/>
      <c r="N16" s="468"/>
      <c r="O16" s="468"/>
      <c r="P16" s="468"/>
      <c r="Q16" s="468"/>
      <c r="R16" s="468"/>
      <c r="S16" s="468"/>
      <c r="T16" s="468"/>
      <c r="U16" s="468"/>
      <c r="V16" s="468"/>
      <c r="W16" s="468"/>
      <c r="X16" s="468"/>
      <c r="Y16" s="468"/>
      <c r="Z16" s="468"/>
      <c r="AA16" s="468"/>
      <c r="AB16" s="468"/>
      <c r="AC16" s="468"/>
      <c r="AD16" s="468"/>
      <c r="AE16" s="468"/>
      <c r="AF16" s="468"/>
      <c r="AG16" s="468"/>
      <c r="AH16" s="468"/>
      <c r="AI16" s="468"/>
      <c r="AJ16" s="468"/>
    </row>
    <row r="17" spans="1:36" ht="18" customHeight="1" x14ac:dyDescent="0.35">
      <c r="A17" s="468"/>
      <c r="B17" s="471" t="s">
        <v>21</v>
      </c>
      <c r="C17" s="23" t="s">
        <v>478</v>
      </c>
      <c r="D17" s="468"/>
      <c r="E17" s="1087"/>
      <c r="F17" s="1088"/>
      <c r="G17" s="1089"/>
      <c r="H17" s="468"/>
      <c r="I17" s="468"/>
      <c r="J17" s="468"/>
      <c r="K17" s="468"/>
      <c r="L17" s="468"/>
      <c r="M17" s="468"/>
      <c r="N17" s="468"/>
      <c r="O17" s="468"/>
      <c r="P17" s="468"/>
      <c r="Q17" s="468"/>
      <c r="R17" s="468"/>
      <c r="S17" s="468"/>
      <c r="T17" s="468"/>
      <c r="U17" s="468"/>
      <c r="V17" s="468"/>
      <c r="W17" s="468"/>
      <c r="X17" s="468"/>
      <c r="Y17" s="468"/>
      <c r="Z17" s="468"/>
      <c r="AA17" s="468"/>
      <c r="AB17" s="468"/>
      <c r="AC17" s="468"/>
      <c r="AD17" s="468"/>
      <c r="AE17" s="468"/>
      <c r="AF17" s="468"/>
      <c r="AG17" s="468"/>
      <c r="AH17" s="468"/>
      <c r="AI17" s="468"/>
      <c r="AJ17" s="468"/>
    </row>
    <row r="18" spans="1:36" ht="18" customHeight="1" x14ac:dyDescent="0.35">
      <c r="A18" s="468"/>
      <c r="B18" s="471"/>
      <c r="C18" s="468"/>
      <c r="D18" s="468"/>
      <c r="E18" s="477"/>
      <c r="F18" s="477"/>
      <c r="G18" s="477"/>
      <c r="H18" s="468"/>
      <c r="I18" s="468"/>
      <c r="J18" s="468"/>
      <c r="K18" s="468"/>
      <c r="L18" s="468"/>
      <c r="M18" s="468"/>
      <c r="N18" s="468"/>
      <c r="O18" s="468"/>
      <c r="P18" s="468"/>
      <c r="Q18" s="468"/>
      <c r="R18" s="468"/>
      <c r="S18" s="468"/>
      <c r="T18" s="468"/>
      <c r="U18" s="468"/>
      <c r="V18" s="468"/>
      <c r="W18" s="468"/>
      <c r="X18" s="468"/>
      <c r="Y18" s="468"/>
      <c r="Z18" s="468"/>
      <c r="AA18" s="468"/>
      <c r="AB18" s="468"/>
      <c r="AC18" s="468"/>
      <c r="AD18" s="468"/>
      <c r="AE18" s="468"/>
      <c r="AF18" s="468"/>
      <c r="AG18" s="468"/>
      <c r="AH18" s="468"/>
      <c r="AI18" s="468"/>
      <c r="AJ18" s="468"/>
    </row>
    <row r="19" spans="1:36" ht="18" customHeight="1" x14ac:dyDescent="0.35">
      <c r="A19" s="468"/>
      <c r="B19" s="471"/>
      <c r="C19" s="468"/>
      <c r="D19" s="468"/>
      <c r="E19" s="477"/>
      <c r="F19" s="477"/>
      <c r="G19" s="477"/>
      <c r="H19" s="468"/>
      <c r="I19" s="468"/>
      <c r="J19" s="468"/>
      <c r="K19" s="468"/>
      <c r="L19" s="468"/>
      <c r="M19" s="468"/>
      <c r="N19" s="468"/>
      <c r="O19" s="468"/>
      <c r="P19" s="468"/>
      <c r="Q19" s="468"/>
      <c r="R19" s="468"/>
      <c r="S19" s="468"/>
      <c r="T19" s="468"/>
      <c r="U19" s="468"/>
      <c r="V19" s="468"/>
      <c r="W19" s="468"/>
      <c r="X19" s="468"/>
      <c r="Y19" s="468"/>
      <c r="Z19" s="468"/>
      <c r="AA19" s="468"/>
      <c r="AB19" s="468"/>
      <c r="AC19" s="468"/>
      <c r="AD19" s="468"/>
      <c r="AE19" s="468"/>
      <c r="AF19" s="468"/>
      <c r="AG19" s="468"/>
      <c r="AH19" s="468"/>
      <c r="AI19" s="468"/>
      <c r="AJ19" s="468"/>
    </row>
    <row r="20" spans="1:36" ht="18" customHeight="1" x14ac:dyDescent="0.35">
      <c r="A20" s="468"/>
      <c r="B20" s="1200" t="s">
        <v>357</v>
      </c>
      <c r="C20" s="486" t="s">
        <v>28</v>
      </c>
      <c r="D20" s="486" t="s">
        <v>29</v>
      </c>
      <c r="E20" s="827" t="s">
        <v>30</v>
      </c>
      <c r="F20" s="468"/>
      <c r="G20" s="1201"/>
      <c r="H20" s="469"/>
      <c r="I20" s="469"/>
      <c r="J20" s="469"/>
      <c r="K20" s="468"/>
      <c r="L20" s="468"/>
      <c r="M20" s="468"/>
      <c r="N20" s="468"/>
      <c r="O20" s="468"/>
      <c r="P20" s="468"/>
      <c r="Q20" s="468"/>
      <c r="R20" s="468"/>
      <c r="S20" s="468"/>
      <c r="T20" s="468"/>
      <c r="U20" s="468"/>
      <c r="V20" s="468"/>
      <c r="W20" s="468"/>
      <c r="X20" s="468"/>
      <c r="Y20" s="468"/>
      <c r="Z20" s="468"/>
      <c r="AA20" s="468"/>
      <c r="AB20" s="468"/>
      <c r="AC20" s="468"/>
      <c r="AD20" s="468"/>
      <c r="AE20" s="468"/>
      <c r="AF20" s="468"/>
      <c r="AG20" s="468"/>
      <c r="AH20" s="468"/>
      <c r="AI20" s="468"/>
      <c r="AJ20" s="468"/>
    </row>
    <row r="21" spans="1:36" ht="18" customHeight="1" x14ac:dyDescent="0.35">
      <c r="A21" s="468"/>
      <c r="B21" s="1178"/>
      <c r="C21" s="581">
        <v>78</v>
      </c>
      <c r="D21" s="581">
        <v>70</v>
      </c>
      <c r="E21" s="581">
        <v>28</v>
      </c>
      <c r="F21" s="468"/>
      <c r="G21" s="1108"/>
      <c r="H21" s="495"/>
      <c r="I21" s="495"/>
      <c r="J21" s="495"/>
      <c r="K21" s="468"/>
      <c r="L21" s="468"/>
      <c r="M21" s="468"/>
      <c r="N21" s="468"/>
      <c r="O21" s="468"/>
      <c r="P21" s="468"/>
      <c r="Q21" s="468"/>
      <c r="R21" s="468"/>
      <c r="S21" s="468"/>
      <c r="T21" s="468"/>
      <c r="U21" s="468"/>
      <c r="V21" s="468"/>
      <c r="W21" s="468"/>
      <c r="X21" s="468"/>
      <c r="Y21" s="468"/>
      <c r="Z21" s="468"/>
      <c r="AA21" s="468"/>
      <c r="AB21" s="468"/>
      <c r="AC21" s="468"/>
      <c r="AD21" s="468"/>
      <c r="AE21" s="468"/>
      <c r="AF21" s="468"/>
      <c r="AG21" s="468"/>
      <c r="AH21" s="468"/>
      <c r="AI21" s="468"/>
      <c r="AJ21" s="468"/>
    </row>
    <row r="22" spans="1:36" ht="18" customHeight="1" x14ac:dyDescent="0.35">
      <c r="A22" s="468"/>
      <c r="B22" s="828" t="s">
        <v>31</v>
      </c>
      <c r="C22" s="829" t="s">
        <v>479</v>
      </c>
      <c r="D22" s="830" t="str">
        <f>VLOOKUP(C22,$A$130:$AJ$142,35)</f>
        <v>Type de mousse</v>
      </c>
      <c r="E22" s="831" t="s">
        <v>347</v>
      </c>
      <c r="F22" s="468"/>
      <c r="G22" s="471"/>
      <c r="H22" s="468"/>
      <c r="I22" s="477"/>
      <c r="J22" s="469"/>
      <c r="K22" s="468"/>
      <c r="L22" s="468"/>
      <c r="M22" s="468"/>
      <c r="N22" s="468"/>
      <c r="O22" s="468"/>
      <c r="P22" s="468"/>
      <c r="Q22" s="468"/>
      <c r="R22" s="468"/>
      <c r="S22" s="468"/>
      <c r="T22" s="468"/>
      <c r="U22" s="468"/>
      <c r="V22" s="468"/>
      <c r="W22" s="468"/>
      <c r="X22" s="468"/>
      <c r="Y22" s="468"/>
      <c r="Z22" s="468"/>
      <c r="AA22" s="468"/>
      <c r="AB22" s="468"/>
      <c r="AC22" s="468"/>
      <c r="AD22" s="468"/>
      <c r="AE22" s="468"/>
      <c r="AF22" s="468"/>
      <c r="AG22" s="468"/>
      <c r="AH22" s="468"/>
      <c r="AI22" s="468"/>
      <c r="AJ22" s="468"/>
    </row>
    <row r="23" spans="1:36" ht="18" customHeight="1" x14ac:dyDescent="0.35">
      <c r="A23" s="468"/>
      <c r="B23" s="828"/>
      <c r="C23" s="832">
        <f>IF(C22="Mousse à ras + Guillotines verticales","Hauteur mousse à ras",0)</f>
        <v>0</v>
      </c>
      <c r="D23" s="833"/>
      <c r="E23" s="834"/>
      <c r="F23" s="468"/>
      <c r="G23" s="471"/>
      <c r="H23" s="835"/>
      <c r="I23" s="477"/>
      <c r="J23" s="469"/>
      <c r="K23" s="468"/>
      <c r="L23" s="468"/>
      <c r="M23" s="468"/>
      <c r="N23" s="468"/>
      <c r="O23" s="468"/>
      <c r="P23" s="468"/>
      <c r="Q23" s="468"/>
      <c r="R23" s="468"/>
      <c r="S23" s="468"/>
      <c r="T23" s="468"/>
      <c r="U23" s="468"/>
      <c r="V23" s="468"/>
      <c r="W23" s="468"/>
      <c r="X23" s="468"/>
      <c r="Y23" s="468"/>
      <c r="Z23" s="468"/>
      <c r="AA23" s="468"/>
      <c r="AB23" s="468"/>
      <c r="AC23" s="468"/>
      <c r="AD23" s="468"/>
      <c r="AE23" s="468"/>
      <c r="AF23" s="468"/>
      <c r="AG23" s="468"/>
      <c r="AH23" s="468"/>
      <c r="AI23" s="468"/>
      <c r="AJ23" s="468"/>
    </row>
    <row r="24" spans="1:36" ht="18.75" customHeight="1" x14ac:dyDescent="0.35">
      <c r="A24" s="468"/>
      <c r="B24" s="490" t="s">
        <v>306</v>
      </c>
      <c r="C24" s="836" t="s">
        <v>16</v>
      </c>
      <c r="D24" s="830">
        <f>VLOOKUP(C22,$A$130:$AJ$142,36)</f>
        <v>0</v>
      </c>
      <c r="E24" s="831" t="s">
        <v>307</v>
      </c>
      <c r="F24" s="468"/>
      <c r="G24" s="471"/>
      <c r="H24" s="477"/>
      <c r="I24" s="477"/>
      <c r="J24" s="469"/>
      <c r="K24" s="468"/>
      <c r="L24" s="468"/>
      <c r="M24" s="468"/>
      <c r="N24" s="468"/>
      <c r="O24" s="468"/>
      <c r="P24" s="468"/>
      <c r="Q24" s="468"/>
      <c r="R24" s="468"/>
      <c r="S24" s="468"/>
      <c r="T24" s="468"/>
      <c r="U24" s="468"/>
      <c r="V24" s="468"/>
      <c r="W24" s="468"/>
      <c r="X24" s="468"/>
      <c r="Y24" s="468"/>
      <c r="Z24" s="468"/>
      <c r="AA24" s="468"/>
      <c r="AB24" s="468"/>
      <c r="AC24" s="468"/>
      <c r="AD24" s="468"/>
      <c r="AE24" s="468"/>
      <c r="AF24" s="468"/>
      <c r="AG24" s="468"/>
      <c r="AH24" s="468"/>
      <c r="AI24" s="468"/>
      <c r="AJ24" s="468"/>
    </row>
    <row r="25" spans="1:36" ht="18" customHeight="1" x14ac:dyDescent="0.35">
      <c r="A25" s="468"/>
      <c r="B25" s="837" t="s">
        <v>308</v>
      </c>
      <c r="C25" s="588" t="s">
        <v>203</v>
      </c>
      <c r="D25" s="838" t="s">
        <v>211</v>
      </c>
      <c r="E25" s="742" t="s">
        <v>20</v>
      </c>
      <c r="F25" s="477"/>
      <c r="G25" s="471"/>
      <c r="H25" s="477"/>
      <c r="I25" s="839"/>
      <c r="J25" s="469"/>
      <c r="K25" s="468"/>
      <c r="L25" s="468"/>
      <c r="M25" s="468"/>
      <c r="N25" s="468"/>
      <c r="O25" s="468"/>
      <c r="P25" s="468"/>
      <c r="Q25" s="468"/>
      <c r="R25" s="468"/>
      <c r="S25" s="468"/>
      <c r="T25" s="468"/>
      <c r="U25" s="468"/>
      <c r="V25" s="468"/>
      <c r="W25" s="468"/>
      <c r="X25" s="468"/>
      <c r="Y25" s="468"/>
      <c r="Z25" s="468"/>
      <c r="AA25" s="468"/>
      <c r="AB25" s="468"/>
      <c r="AC25" s="468"/>
      <c r="AD25" s="468"/>
      <c r="AE25" s="468"/>
      <c r="AF25" s="468"/>
      <c r="AG25" s="468"/>
      <c r="AH25" s="468"/>
      <c r="AI25" s="468"/>
      <c r="AJ25" s="468"/>
    </row>
    <row r="26" spans="1:36" ht="18" customHeight="1" x14ac:dyDescent="0.35">
      <c r="A26" s="468"/>
      <c r="B26" s="837" t="s">
        <v>480</v>
      </c>
      <c r="C26" s="588" t="s">
        <v>481</v>
      </c>
      <c r="D26" s="840"/>
      <c r="E26" s="841"/>
      <c r="F26" s="477"/>
      <c r="G26" s="471"/>
      <c r="H26" s="477"/>
      <c r="I26" s="840"/>
      <c r="J26" s="477"/>
      <c r="K26" s="468"/>
      <c r="L26" s="468"/>
      <c r="M26" s="468"/>
      <c r="N26" s="468"/>
      <c r="O26" s="468"/>
      <c r="P26" s="468"/>
      <c r="Q26" s="468"/>
      <c r="R26" s="468"/>
      <c r="S26" s="468"/>
      <c r="T26" s="468"/>
      <c r="U26" s="468"/>
      <c r="V26" s="468"/>
      <c r="W26" s="468"/>
      <c r="X26" s="468"/>
      <c r="Y26" s="468"/>
      <c r="Z26" s="468"/>
      <c r="AA26" s="468"/>
      <c r="AB26" s="468"/>
      <c r="AC26" s="468"/>
      <c r="AD26" s="468"/>
      <c r="AE26" s="468"/>
      <c r="AF26" s="468"/>
      <c r="AG26" s="468"/>
      <c r="AH26" s="468"/>
      <c r="AI26" s="468"/>
      <c r="AJ26" s="468"/>
    </row>
    <row r="27" spans="1:36" ht="18" customHeight="1" x14ac:dyDescent="0.35">
      <c r="A27" s="468"/>
      <c r="B27" s="490" t="s">
        <v>482</v>
      </c>
      <c r="C27" s="842">
        <f>IF(C21=0,0,(C21+VLOOKUP($C$22,$A$130:$AK$142,32)))</f>
        <v>89</v>
      </c>
      <c r="D27" s="842">
        <f>IF(D21=0,0,(D21+VLOOKUP($C$22,$A$130:$AK$142,33)))</f>
        <v>81</v>
      </c>
      <c r="E27" s="842">
        <f>IF(E21=0,0,(E21+VLOOKUP($C$22,$A$130:$AK$142,34)+VLOOKUP('1 Caisson Objet'!Base1,$A$92:$C$100,3)+VLOOKUP('1 Caisson Objet'!plat1,$A$84:$C$90,2)))</f>
        <v>39</v>
      </c>
      <c r="F27" s="477"/>
      <c r="G27" s="471"/>
      <c r="H27" s="477"/>
      <c r="I27" s="477"/>
      <c r="J27" s="477"/>
      <c r="K27" s="468"/>
      <c r="L27" s="468"/>
      <c r="M27" s="468"/>
      <c r="N27" s="468"/>
      <c r="O27" s="468"/>
      <c r="P27" s="468"/>
      <c r="Q27" s="468"/>
      <c r="R27" s="468"/>
      <c r="S27" s="468"/>
      <c r="T27" s="468"/>
      <c r="U27" s="468"/>
      <c r="V27" s="468"/>
      <c r="W27" s="468"/>
      <c r="X27" s="468"/>
      <c r="Y27" s="468"/>
      <c r="Z27" s="468"/>
      <c r="AA27" s="468"/>
      <c r="AB27" s="468"/>
      <c r="AC27" s="468"/>
      <c r="AD27" s="468"/>
      <c r="AE27" s="468"/>
      <c r="AF27" s="468"/>
      <c r="AG27" s="468"/>
      <c r="AH27" s="468"/>
      <c r="AI27" s="468"/>
      <c r="AJ27" s="468"/>
    </row>
    <row r="28" spans="1:36" ht="18" customHeight="1" x14ac:dyDescent="0.35">
      <c r="A28" s="468"/>
      <c r="B28" s="496" t="s">
        <v>483</v>
      </c>
      <c r="C28" s="843">
        <f>IF(C21=0,0,'1 Caisson Objet'!Lnec1+(VLOOKUP(C13,B102:C104,2)*2)+VLOOKUP($C$17,$A$80:$B$82,2))</f>
        <v>94.5</v>
      </c>
      <c r="D28" s="843">
        <f>IF('1 Caisson Objet'!lanec1=0,0,('1 Caisson Objet'!lanec1+(VLOOKUP(C13,B102:C104,2)*2))+IF(C22="Découpe mousse usinage",0,0.5))</f>
        <v>84.5</v>
      </c>
      <c r="E28" s="844">
        <f>IF('1 Caisson Objet'!hnec1=0,0,'1 Caisson Objet'!hnec1+VLOOKUP(C13,B102:C104,2)+0.5+VLOOKUP(C26,$A$102:$C$104,3))</f>
        <v>42.5</v>
      </c>
      <c r="F28" s="477"/>
      <c r="G28" s="471"/>
      <c r="H28" s="477"/>
      <c r="I28" s="477"/>
      <c r="J28" s="477"/>
      <c r="K28" s="468"/>
      <c r="L28" s="468"/>
      <c r="M28" s="468"/>
      <c r="N28" s="468"/>
      <c r="O28" s="468"/>
      <c r="P28" s="468"/>
      <c r="Q28" s="468"/>
      <c r="R28" s="468"/>
      <c r="S28" s="468"/>
      <c r="T28" s="468"/>
      <c r="U28" s="468"/>
      <c r="V28" s="468"/>
      <c r="W28" s="468"/>
      <c r="X28" s="468"/>
      <c r="Y28" s="468"/>
      <c r="Z28" s="468"/>
      <c r="AA28" s="468"/>
      <c r="AB28" s="468"/>
      <c r="AC28" s="468"/>
      <c r="AD28" s="468"/>
      <c r="AE28" s="468"/>
      <c r="AF28" s="468"/>
      <c r="AG28" s="468"/>
      <c r="AH28" s="468"/>
      <c r="AI28" s="468"/>
      <c r="AJ28" s="468"/>
    </row>
    <row r="29" spans="1:36" ht="18" customHeight="1" x14ac:dyDescent="0.35">
      <c r="A29" s="468"/>
      <c r="B29" s="471"/>
      <c r="C29" s="477"/>
      <c r="D29" s="477"/>
      <c r="E29" s="477"/>
      <c r="F29" s="477"/>
      <c r="G29" s="471"/>
      <c r="H29" s="477"/>
      <c r="I29" s="477"/>
      <c r="J29" s="477"/>
      <c r="K29" s="468"/>
      <c r="L29" s="468"/>
      <c r="M29" s="468"/>
      <c r="N29" s="468"/>
      <c r="O29" s="468"/>
      <c r="P29" s="468"/>
      <c r="Q29" s="468"/>
      <c r="R29" s="468"/>
      <c r="S29" s="468"/>
      <c r="T29" s="468"/>
      <c r="U29" s="468"/>
      <c r="V29" s="468"/>
      <c r="W29" s="468"/>
      <c r="X29" s="468"/>
      <c r="Y29" s="468"/>
      <c r="Z29" s="468"/>
      <c r="AA29" s="468"/>
      <c r="AB29" s="468"/>
      <c r="AC29" s="468"/>
      <c r="AD29" s="468"/>
      <c r="AE29" s="468"/>
      <c r="AF29" s="468"/>
      <c r="AG29" s="468"/>
      <c r="AH29" s="468"/>
      <c r="AI29" s="468"/>
      <c r="AJ29" s="468"/>
    </row>
    <row r="30" spans="1:36" ht="18" customHeight="1" x14ac:dyDescent="0.35">
      <c r="A30" s="468"/>
      <c r="B30" s="505" t="s">
        <v>45</v>
      </c>
      <c r="C30" s="845">
        <f>Q60</f>
        <v>0</v>
      </c>
      <c r="D30" s="846" t="s">
        <v>46</v>
      </c>
      <c r="E30" s="473" t="s">
        <v>484</v>
      </c>
      <c r="F30" s="847" t="e">
        <f>ROUNDUP(C68,0)</f>
        <v>#VALUE!</v>
      </c>
      <c r="G30" s="468"/>
      <c r="H30" s="468"/>
      <c r="I30" s="468"/>
      <c r="J30" s="468"/>
      <c r="K30" s="468"/>
      <c r="L30" s="468"/>
      <c r="M30" s="468"/>
      <c r="N30" s="468"/>
      <c r="O30" s="468"/>
      <c r="P30" s="468"/>
      <c r="Q30" s="468"/>
      <c r="R30" s="468"/>
      <c r="S30" s="468"/>
      <c r="T30" s="468"/>
      <c r="U30" s="468"/>
      <c r="V30" s="468"/>
      <c r="W30" s="468"/>
      <c r="X30" s="468"/>
      <c r="Y30" s="468"/>
      <c r="Z30" s="468"/>
      <c r="AA30" s="468"/>
      <c r="AB30" s="468"/>
      <c r="AC30" s="468"/>
      <c r="AD30" s="468"/>
      <c r="AE30" s="468"/>
      <c r="AF30" s="468"/>
      <c r="AG30" s="468"/>
      <c r="AH30" s="468"/>
      <c r="AI30" s="468"/>
      <c r="AJ30" s="468"/>
    </row>
    <row r="31" spans="1:36" ht="18" hidden="1" customHeight="1" x14ac:dyDescent="0.35">
      <c r="A31" s="468"/>
      <c r="B31" s="510" t="s">
        <v>48</v>
      </c>
      <c r="C31" s="511">
        <f>D62</f>
        <v>49.748185409999998</v>
      </c>
      <c r="D31" s="512" t="s">
        <v>49</v>
      </c>
      <c r="E31" s="510" t="s">
        <v>271</v>
      </c>
      <c r="F31" s="475" t="e">
        <f>((SUM(M42:M53)+SUM(O42:O53)+0.78)/0.85)</f>
        <v>#VALUE!</v>
      </c>
      <c r="G31" s="468"/>
      <c r="H31" s="468"/>
      <c r="I31" s="468"/>
      <c r="J31" s="468"/>
      <c r="K31" s="468"/>
      <c r="L31" s="514"/>
      <c r="M31" s="514"/>
      <c r="N31" s="515"/>
      <c r="O31" s="514"/>
      <c r="P31" s="468"/>
      <c r="Q31" s="468"/>
      <c r="R31" s="468"/>
      <c r="S31" s="468"/>
      <c r="T31" s="468"/>
      <c r="U31" s="468"/>
      <c r="V31" s="468"/>
      <c r="W31" s="468"/>
      <c r="X31" s="468"/>
      <c r="Y31" s="468"/>
      <c r="Z31" s="468"/>
      <c r="AA31" s="468"/>
      <c r="AB31" s="468"/>
      <c r="AC31" s="468"/>
      <c r="AD31" s="468"/>
      <c r="AE31" s="468"/>
      <c r="AF31" s="468"/>
      <c r="AG31" s="468"/>
      <c r="AH31" s="468"/>
      <c r="AI31" s="468"/>
      <c r="AJ31" s="468"/>
    </row>
    <row r="32" spans="1:36" ht="18" hidden="1" customHeight="1" x14ac:dyDescent="0.35">
      <c r="A32" s="468"/>
      <c r="B32" s="468"/>
      <c r="C32" s="468"/>
      <c r="D32" s="468"/>
      <c r="E32" s="468"/>
      <c r="F32" s="468"/>
      <c r="G32" s="468"/>
      <c r="H32" s="468"/>
      <c r="I32" s="468"/>
      <c r="J32" s="468">
        <f>IF(C32=0,0,(C32/100)*(D32/100)*C31)</f>
        <v>0</v>
      </c>
      <c r="K32" s="468">
        <f t="shared" ref="K32:K35" si="0">J32/0.8</f>
        <v>0</v>
      </c>
      <c r="L32" s="514"/>
      <c r="M32" s="514"/>
      <c r="N32" s="515"/>
      <c r="O32" s="514"/>
      <c r="P32" s="468"/>
      <c r="Q32" s="468"/>
      <c r="R32" s="468"/>
      <c r="S32" s="468"/>
      <c r="T32" s="468"/>
      <c r="U32" s="468"/>
      <c r="V32" s="468"/>
      <c r="W32" s="468"/>
      <c r="X32" s="468"/>
      <c r="Y32" s="468"/>
      <c r="Z32" s="468"/>
      <c r="AA32" s="468"/>
      <c r="AB32" s="468"/>
      <c r="AC32" s="468"/>
      <c r="AD32" s="468"/>
      <c r="AE32" s="468"/>
      <c r="AF32" s="468"/>
      <c r="AG32" s="468"/>
      <c r="AH32" s="468"/>
      <c r="AI32" s="468"/>
      <c r="AJ32" s="468"/>
    </row>
    <row r="33" spans="1:36" ht="18" hidden="1" customHeight="1" x14ac:dyDescent="0.35">
      <c r="A33" s="471" t="s">
        <v>158</v>
      </c>
      <c r="B33" s="468"/>
      <c r="C33" s="468"/>
      <c r="D33" s="468"/>
      <c r="E33" s="468"/>
      <c r="F33" s="468"/>
      <c r="G33" s="468"/>
      <c r="H33" s="468"/>
      <c r="I33" s="468"/>
      <c r="J33" s="468">
        <f t="shared" ref="J33:J35" si="1">IF(C33=0,0,(C33/100)*(D33/100)*F33)</f>
        <v>0</v>
      </c>
      <c r="K33" s="468">
        <f t="shared" si="0"/>
        <v>0</v>
      </c>
      <c r="L33" s="514"/>
      <c r="M33" s="514"/>
      <c r="N33" s="515"/>
      <c r="O33" s="514"/>
      <c r="P33" s="468"/>
      <c r="Q33" s="468"/>
      <c r="R33" s="468"/>
      <c r="S33" s="468"/>
      <c r="T33" s="468"/>
      <c r="U33" s="468"/>
      <c r="V33" s="468"/>
      <c r="W33" s="468"/>
      <c r="X33" s="468"/>
      <c r="Y33" s="468"/>
      <c r="Z33" s="468"/>
      <c r="AA33" s="468"/>
      <c r="AB33" s="468"/>
      <c r="AC33" s="468"/>
      <c r="AD33" s="468"/>
      <c r="AE33" s="468"/>
      <c r="AF33" s="468"/>
      <c r="AG33" s="468"/>
      <c r="AH33" s="468"/>
      <c r="AI33" s="468"/>
      <c r="AJ33" s="468"/>
    </row>
    <row r="34" spans="1:36" ht="18" hidden="1" customHeight="1" x14ac:dyDescent="0.35">
      <c r="A34" s="468"/>
      <c r="B34" s="468"/>
      <c r="C34" s="468"/>
      <c r="D34" s="468"/>
      <c r="E34" s="468"/>
      <c r="F34" s="468"/>
      <c r="G34" s="468"/>
      <c r="H34" s="468"/>
      <c r="I34" s="468"/>
      <c r="J34" s="468">
        <f t="shared" si="1"/>
        <v>0</v>
      </c>
      <c r="K34" s="468">
        <f t="shared" si="0"/>
        <v>0</v>
      </c>
      <c r="L34" s="514"/>
      <c r="M34" s="514"/>
      <c r="N34" s="515"/>
      <c r="O34" s="514"/>
      <c r="P34" s="468"/>
      <c r="Q34" s="468"/>
      <c r="R34" s="468"/>
      <c r="S34" s="468"/>
      <c r="T34" s="468"/>
      <c r="U34" s="468"/>
      <c r="V34" s="468"/>
      <c r="W34" s="468"/>
      <c r="X34" s="468"/>
      <c r="Y34" s="468"/>
      <c r="Z34" s="468"/>
      <c r="AA34" s="468"/>
      <c r="AB34" s="468"/>
      <c r="AC34" s="468"/>
      <c r="AD34" s="468"/>
      <c r="AE34" s="468"/>
      <c r="AF34" s="468"/>
      <c r="AG34" s="468"/>
      <c r="AH34" s="468"/>
      <c r="AI34" s="468"/>
      <c r="AJ34" s="468"/>
    </row>
    <row r="35" spans="1:36" ht="18" hidden="1" customHeight="1" x14ac:dyDescent="0.35">
      <c r="A35" s="468"/>
      <c r="B35" s="848" t="str">
        <f>C22</f>
        <v xml:space="preserve">Entourage 50 mm </v>
      </c>
      <c r="C35" s="521"/>
      <c r="D35" s="849" t="s">
        <v>28</v>
      </c>
      <c r="E35" s="849" t="s">
        <v>33</v>
      </c>
      <c r="F35" s="850" t="s">
        <v>34</v>
      </c>
      <c r="G35" s="468"/>
      <c r="H35" s="468"/>
      <c r="I35" s="468"/>
      <c r="J35" s="468">
        <f t="shared" si="1"/>
        <v>0</v>
      </c>
      <c r="K35" s="468">
        <f t="shared" si="0"/>
        <v>0</v>
      </c>
      <c r="L35" s="514"/>
      <c r="M35" s="514"/>
      <c r="N35" s="515"/>
      <c r="O35" s="514"/>
      <c r="P35" s="468"/>
      <c r="Q35" s="468"/>
      <c r="R35" s="468"/>
      <c r="S35" s="468"/>
      <c r="T35" s="468"/>
      <c r="U35" s="468"/>
      <c r="V35" s="468"/>
      <c r="W35" s="468"/>
      <c r="X35" s="468"/>
      <c r="Y35" s="468"/>
      <c r="Z35" s="468"/>
      <c r="AA35" s="468"/>
      <c r="AB35" s="468"/>
      <c r="AC35" s="468"/>
      <c r="AD35" s="468"/>
      <c r="AE35" s="468"/>
      <c r="AF35" s="468"/>
      <c r="AG35" s="468"/>
      <c r="AH35" s="468"/>
      <c r="AI35" s="468"/>
      <c r="AJ35" s="468"/>
    </row>
    <row r="36" spans="1:36" ht="18" hidden="1" customHeight="1" x14ac:dyDescent="0.35">
      <c r="A36" s="468"/>
      <c r="B36" s="848"/>
      <c r="C36" s="521"/>
      <c r="D36" s="849"/>
      <c r="E36" s="849"/>
      <c r="F36" s="850"/>
      <c r="G36" s="468"/>
      <c r="H36" s="468"/>
      <c r="I36" s="468"/>
      <c r="J36" s="468"/>
      <c r="K36" s="468"/>
      <c r="L36" s="514"/>
      <c r="M36" s="514"/>
      <c r="N36" s="515"/>
      <c r="O36" s="514"/>
      <c r="P36" s="468"/>
      <c r="Q36" s="468" t="s">
        <v>157</v>
      </c>
      <c r="R36" s="468"/>
      <c r="S36" s="468"/>
      <c r="T36" s="468"/>
      <c r="U36" s="468"/>
      <c r="V36" s="468"/>
      <c r="W36" s="468"/>
      <c r="X36" s="468"/>
      <c r="Y36" s="468"/>
      <c r="Z36" s="468"/>
      <c r="AA36" s="468"/>
      <c r="AB36" s="468"/>
      <c r="AC36" s="468"/>
      <c r="AD36" s="468"/>
      <c r="AE36" s="468"/>
      <c r="AF36" s="468"/>
      <c r="AG36" s="468"/>
      <c r="AH36" s="468"/>
      <c r="AI36" s="468"/>
      <c r="AJ36" s="468"/>
    </row>
    <row r="37" spans="1:36" ht="18" hidden="1" customHeight="1" x14ac:dyDescent="0.35">
      <c r="A37" s="468"/>
      <c r="B37" s="851" t="s">
        <v>485</v>
      </c>
      <c r="C37" s="521" t="str">
        <f>IF('1 Caisson Objet'!Lnec1=0,0,C13)</f>
        <v>Peuplier 15 mm</v>
      </c>
      <c r="D37" s="849">
        <f>IF(C37=0,0,'1 Caisson Objet'!Lnec1+3)</f>
        <v>92</v>
      </c>
      <c r="E37" s="849">
        <f>IF('1 Caisson Objet'!hnec1=0,0,'1 Caisson Objet'!hnec1+VLOOKUP(C26,$A$102:$C$104,3))</f>
        <v>40.5</v>
      </c>
      <c r="F37" s="850">
        <f>IF(D37=0,0,2)</f>
        <v>2</v>
      </c>
      <c r="G37" s="519" t="str">
        <f t="shared" ref="G37:G40" si="2">C37</f>
        <v>Peuplier 15 mm</v>
      </c>
      <c r="H37" s="468"/>
      <c r="I37" s="468"/>
      <c r="J37" s="519">
        <f t="shared" ref="J37:J40" si="3">IF(D37=0,0,(D37/100)*(E37/100)*F37)</f>
        <v>0.74520000000000008</v>
      </c>
      <c r="K37" s="519">
        <f t="shared" ref="K37:K40" si="4">J37/0.8</f>
        <v>0.93150000000000011</v>
      </c>
      <c r="L37" s="514" t="s">
        <v>663</v>
      </c>
      <c r="M37" s="514" t="e">
        <f t="shared" ref="M37:M40" si="5">L37*K37-IF($E$25="Non",K37*0.75,0)</f>
        <v>#VALUE!</v>
      </c>
      <c r="N37" s="479">
        <f t="shared" ref="N37:N40" si="6">IF(J37=0,0,IF($E$25="Oui",(7.0924*J37)+5,(6.0924*J37)+1))</f>
        <v>5.5400564800000005</v>
      </c>
      <c r="O37" s="514">
        <f t="shared" ref="O37:O40" si="7">N37*'1 Caisson Objet'!MinuteMO</f>
        <v>4.7090480079999999</v>
      </c>
      <c r="P37" s="468"/>
      <c r="Q37" s="520" t="s">
        <v>663</v>
      </c>
      <c r="R37" s="468"/>
      <c r="S37" s="468"/>
      <c r="T37" s="468"/>
      <c r="U37" s="468"/>
      <c r="V37" s="468"/>
      <c r="W37" s="468"/>
      <c r="X37" s="468"/>
      <c r="Y37" s="468"/>
      <c r="Z37" s="468"/>
      <c r="AA37" s="468"/>
      <c r="AB37" s="468"/>
      <c r="AC37" s="468"/>
      <c r="AD37" s="468"/>
      <c r="AE37" s="468"/>
      <c r="AF37" s="468"/>
      <c r="AG37" s="468"/>
      <c r="AH37" s="468"/>
      <c r="AI37" s="468"/>
      <c r="AJ37" s="468"/>
    </row>
    <row r="38" spans="1:36" ht="18" hidden="1" customHeight="1" x14ac:dyDescent="0.35">
      <c r="A38" s="468"/>
      <c r="B38" s="851" t="s">
        <v>175</v>
      </c>
      <c r="C38" s="521" t="str">
        <f>IF('1 Caisson Objet'!Lnec1=0,0,C13)</f>
        <v>Peuplier 15 mm</v>
      </c>
      <c r="D38" s="849">
        <f>D37</f>
        <v>92</v>
      </c>
      <c r="E38" s="849">
        <f>IF('1 Caisson Objet'!lanec1=0,0,'1 Caisson Objet'!lanec1+3.5)</f>
        <v>84.5</v>
      </c>
      <c r="F38" s="850">
        <f t="shared" ref="F38:F39" si="8">IF(D38=0,0,1)</f>
        <v>1</v>
      </c>
      <c r="G38" s="519" t="str">
        <f t="shared" si="2"/>
        <v>Peuplier 15 mm</v>
      </c>
      <c r="H38" s="468"/>
      <c r="I38" s="468"/>
      <c r="J38" s="519">
        <f t="shared" si="3"/>
        <v>0.77739999999999998</v>
      </c>
      <c r="K38" s="519">
        <f t="shared" si="4"/>
        <v>0.97174999999999989</v>
      </c>
      <c r="L38" s="514" t="s">
        <v>663</v>
      </c>
      <c r="M38" s="514" t="e">
        <f t="shared" si="5"/>
        <v>#VALUE!</v>
      </c>
      <c r="N38" s="479">
        <f t="shared" si="6"/>
        <v>5.7362317599999999</v>
      </c>
      <c r="O38" s="514">
        <f t="shared" si="7"/>
        <v>4.875796996</v>
      </c>
      <c r="P38" s="468"/>
      <c r="Q38" s="520" t="s">
        <v>663</v>
      </c>
      <c r="R38" s="468"/>
      <c r="S38" s="468"/>
      <c r="T38" s="468"/>
      <c r="U38" s="468"/>
      <c r="V38" s="468"/>
      <c r="W38" s="468"/>
      <c r="X38" s="468"/>
      <c r="Y38" s="468"/>
      <c r="Z38" s="468"/>
      <c r="AA38" s="468"/>
      <c r="AB38" s="468"/>
      <c r="AC38" s="468"/>
      <c r="AD38" s="468"/>
      <c r="AE38" s="468"/>
      <c r="AF38" s="468"/>
      <c r="AG38" s="468"/>
      <c r="AH38" s="468"/>
      <c r="AI38" s="468"/>
      <c r="AJ38" s="468"/>
    </row>
    <row r="39" spans="1:36" ht="18" hidden="1" customHeight="1" x14ac:dyDescent="0.35">
      <c r="A39" s="468"/>
      <c r="B39" s="851" t="s">
        <v>176</v>
      </c>
      <c r="C39" s="521" t="str">
        <f>IF('1 Caisson Objet'!Lnec1=0,0,VLOOKUP(C26,$A$102:$B$104,2))</f>
        <v>Peuplier 15 mm</v>
      </c>
      <c r="D39" s="849">
        <f>IF('1 Caisson Objet'!Lnec1=0,0,'1 Caisson Objet'!Lnec1)</f>
        <v>89</v>
      </c>
      <c r="E39" s="849">
        <f>IF('1 Caisson Objet'!lanec1=0,0,'1 Caisson Objet'!lanec1)</f>
        <v>81</v>
      </c>
      <c r="F39" s="850">
        <f t="shared" si="8"/>
        <v>1</v>
      </c>
      <c r="G39" s="519" t="str">
        <f t="shared" si="2"/>
        <v>Peuplier 15 mm</v>
      </c>
      <c r="H39" s="468"/>
      <c r="I39" s="468"/>
      <c r="J39" s="519">
        <f t="shared" si="3"/>
        <v>0.7209000000000001</v>
      </c>
      <c r="K39" s="519">
        <f t="shared" si="4"/>
        <v>0.90112500000000006</v>
      </c>
      <c r="L39" s="514" t="s">
        <v>663</v>
      </c>
      <c r="M39" s="514" t="e">
        <f t="shared" si="5"/>
        <v>#VALUE!</v>
      </c>
      <c r="N39" s="479">
        <f t="shared" si="6"/>
        <v>5.39201116</v>
      </c>
      <c r="O39" s="514">
        <f t="shared" si="7"/>
        <v>4.5832094860000003</v>
      </c>
      <c r="P39" s="468"/>
      <c r="Q39" s="520" t="s">
        <v>663</v>
      </c>
      <c r="R39" s="468"/>
      <c r="S39" s="468"/>
      <c r="T39" s="468"/>
      <c r="U39" s="468"/>
      <c r="V39" s="468"/>
      <c r="W39" s="468"/>
      <c r="X39" s="468"/>
      <c r="Y39" s="468"/>
      <c r="Z39" s="468"/>
      <c r="AA39" s="468"/>
      <c r="AB39" s="468"/>
      <c r="AC39" s="468"/>
      <c r="AD39" s="468"/>
      <c r="AE39" s="468"/>
      <c r="AF39" s="468"/>
      <c r="AG39" s="468"/>
      <c r="AH39" s="468"/>
      <c r="AI39" s="468"/>
      <c r="AJ39" s="468"/>
    </row>
    <row r="40" spans="1:36" ht="18" hidden="1" customHeight="1" x14ac:dyDescent="0.35">
      <c r="A40" s="468"/>
      <c r="B40" s="851" t="s">
        <v>55</v>
      </c>
      <c r="C40" s="521" t="str">
        <f>IF('1 Caisson Objet'!Lnec1=0,0,C13)</f>
        <v>Peuplier 15 mm</v>
      </c>
      <c r="D40" s="849">
        <f>IF('1 Caisson Objet'!lanec1=0,0,'1 Caisson Objet'!lanec1)</f>
        <v>81</v>
      </c>
      <c r="E40" s="849">
        <f>E37</f>
        <v>40.5</v>
      </c>
      <c r="F40" s="850">
        <f>IF(D40=0,0,2)</f>
        <v>2</v>
      </c>
      <c r="G40" s="519" t="str">
        <f t="shared" si="2"/>
        <v>Peuplier 15 mm</v>
      </c>
      <c r="H40" s="468"/>
      <c r="I40" s="468"/>
      <c r="J40" s="519">
        <f t="shared" si="3"/>
        <v>0.65610000000000013</v>
      </c>
      <c r="K40" s="519">
        <f t="shared" si="4"/>
        <v>0.8201250000000001</v>
      </c>
      <c r="L40" s="514" t="s">
        <v>663</v>
      </c>
      <c r="M40" s="514" t="e">
        <f t="shared" si="5"/>
        <v>#VALUE!</v>
      </c>
      <c r="N40" s="479">
        <f t="shared" si="6"/>
        <v>4.9972236400000005</v>
      </c>
      <c r="O40" s="514">
        <f t="shared" si="7"/>
        <v>4.2476400940000003</v>
      </c>
      <c r="P40" s="468"/>
      <c r="Q40" s="520" t="s">
        <v>663</v>
      </c>
      <c r="R40" s="468"/>
      <c r="S40" s="468"/>
      <c r="T40" s="468"/>
      <c r="U40" s="468"/>
      <c r="V40" s="468"/>
      <c r="W40" s="468"/>
      <c r="X40" s="468"/>
      <c r="Y40" s="468"/>
      <c r="Z40" s="468"/>
      <c r="AA40" s="468"/>
      <c r="AB40" s="468"/>
      <c r="AC40" s="468"/>
      <c r="AD40" s="468"/>
      <c r="AE40" s="468"/>
      <c r="AF40" s="468"/>
      <c r="AG40" s="468"/>
      <c r="AH40" s="468"/>
      <c r="AI40" s="468"/>
      <c r="AJ40" s="468"/>
    </row>
    <row r="41" spans="1:36" ht="18" hidden="1" customHeight="1" x14ac:dyDescent="0.35">
      <c r="A41" s="468"/>
      <c r="B41" s="851"/>
      <c r="C41" s="521"/>
      <c r="D41" s="849"/>
      <c r="E41" s="849"/>
      <c r="F41" s="850"/>
      <c r="G41" s="468"/>
      <c r="H41" s="468"/>
      <c r="I41" s="468"/>
      <c r="J41" s="468"/>
      <c r="K41" s="468"/>
      <c r="L41" s="514"/>
      <c r="M41" s="514"/>
      <c r="N41" s="479"/>
      <c r="O41" s="514"/>
      <c r="P41" s="468"/>
      <c r="Q41" s="520">
        <v>0</v>
      </c>
      <c r="R41" s="468"/>
      <c r="S41" s="468"/>
      <c r="T41" s="468"/>
      <c r="U41" s="468"/>
      <c r="V41" s="468"/>
      <c r="W41" s="468"/>
      <c r="X41" s="468"/>
      <c r="Y41" s="468"/>
      <c r="Z41" s="468"/>
      <c r="AA41" s="468"/>
      <c r="AB41" s="468"/>
      <c r="AC41" s="468"/>
      <c r="AD41" s="468"/>
      <c r="AE41" s="468"/>
      <c r="AF41" s="468"/>
      <c r="AG41" s="468"/>
      <c r="AH41" s="468"/>
      <c r="AI41" s="468"/>
      <c r="AJ41" s="468"/>
    </row>
    <row r="42" spans="1:36" ht="18" hidden="1" customHeight="1" x14ac:dyDescent="0.35">
      <c r="A42" s="468"/>
      <c r="B42" s="521" t="s">
        <v>22</v>
      </c>
      <c r="C42" s="494">
        <f>VLOOKUP(B35,'1 Caisson Objet'!Moussecal1,2)</f>
        <v>0</v>
      </c>
      <c r="D42" s="850">
        <f>VLOOKUP(B35,'1 Caisson Objet'!Moussecal1,3)</f>
        <v>0</v>
      </c>
      <c r="E42" s="850">
        <f>VLOOKUP(B35,'1 Caisson Objet'!Moussecal1,4)</f>
        <v>0</v>
      </c>
      <c r="F42" s="850">
        <f>VLOOKUP(B35,'1 Caisson Objet'!Moussecal1,5)</f>
        <v>0</v>
      </c>
      <c r="G42" s="468">
        <f t="shared" ref="G42:G44" si="9">IF(C42=0,0,"Barres 21 R4F")</f>
        <v>0</v>
      </c>
      <c r="H42" s="468"/>
      <c r="I42" s="468"/>
      <c r="J42" s="468">
        <f t="shared" ref="J42:J53" si="10">IF(D42=0,0,(D42/100)*(E42/100)*F42)</f>
        <v>0</v>
      </c>
      <c r="K42" s="468">
        <f t="shared" ref="K42:K53" si="11">J42/0.8</f>
        <v>0</v>
      </c>
      <c r="L42" s="514">
        <v>0</v>
      </c>
      <c r="M42" s="514">
        <f t="shared" ref="M42:M53" si="12">L42*K42</f>
        <v>0</v>
      </c>
      <c r="N42" s="479">
        <f t="shared" ref="N42:N44" si="13">IF(J42=0,0,2+(6*J42))</f>
        <v>0</v>
      </c>
      <c r="O42" s="514">
        <f t="shared" ref="O42:O53" si="14">N42*'1 Caisson Objet'!MinuteMO</f>
        <v>0</v>
      </c>
      <c r="P42" s="468"/>
      <c r="Q42" s="520">
        <v>0</v>
      </c>
      <c r="R42" s="468"/>
      <c r="S42" s="468"/>
      <c r="T42" s="468"/>
      <c r="U42" s="468"/>
      <c r="V42" s="468"/>
      <c r="W42" s="468"/>
      <c r="X42" s="468"/>
      <c r="Y42" s="468"/>
      <c r="Z42" s="468"/>
      <c r="AA42" s="468"/>
      <c r="AB42" s="468"/>
      <c r="AC42" s="468"/>
      <c r="AD42" s="468"/>
      <c r="AE42" s="468"/>
      <c r="AF42" s="468"/>
      <c r="AG42" s="468"/>
      <c r="AH42" s="468"/>
      <c r="AI42" s="468"/>
      <c r="AJ42" s="468"/>
    </row>
    <row r="43" spans="1:36" ht="18" hidden="1" customHeight="1" x14ac:dyDescent="0.35">
      <c r="A43" s="468"/>
      <c r="B43" s="521"/>
      <c r="C43" s="494">
        <f>VLOOKUP(B35,'1 Caisson Objet'!Moussecal1,6)</f>
        <v>0</v>
      </c>
      <c r="D43" s="850">
        <f>VLOOKUP(B35,'1 Caisson Objet'!Moussecal1,7)</f>
        <v>0</v>
      </c>
      <c r="E43" s="850">
        <f>VLOOKUP(B35,'1 Caisson Objet'!Moussecal1,8)</f>
        <v>0</v>
      </c>
      <c r="F43" s="850">
        <f>VLOOKUP(B35,'1 Caisson Objet'!Moussecal1,9)</f>
        <v>0</v>
      </c>
      <c r="G43" s="468">
        <f t="shared" si="9"/>
        <v>0</v>
      </c>
      <c r="H43" s="468"/>
      <c r="I43" s="468"/>
      <c r="J43" s="468">
        <f t="shared" si="10"/>
        <v>0</v>
      </c>
      <c r="K43" s="468">
        <f t="shared" si="11"/>
        <v>0</v>
      </c>
      <c r="L43" s="514">
        <v>0</v>
      </c>
      <c r="M43" s="514">
        <f t="shared" si="12"/>
        <v>0</v>
      </c>
      <c r="N43" s="479">
        <f t="shared" si="13"/>
        <v>0</v>
      </c>
      <c r="O43" s="514">
        <f t="shared" si="14"/>
        <v>0</v>
      </c>
      <c r="P43" s="468"/>
      <c r="Q43" s="520">
        <v>0</v>
      </c>
      <c r="R43" s="468"/>
      <c r="S43" s="468"/>
      <c r="T43" s="468"/>
      <c r="U43" s="468"/>
      <c r="V43" s="468"/>
      <c r="W43" s="468"/>
      <c r="X43" s="468"/>
      <c r="Y43" s="468"/>
      <c r="Z43" s="468"/>
      <c r="AA43" s="468"/>
      <c r="AB43" s="468"/>
      <c r="AC43" s="468"/>
      <c r="AD43" s="468"/>
      <c r="AE43" s="468"/>
      <c r="AF43" s="468"/>
      <c r="AG43" s="468"/>
      <c r="AH43" s="468"/>
      <c r="AI43" s="468"/>
      <c r="AJ43" s="468"/>
    </row>
    <row r="44" spans="1:36" ht="18" hidden="1" customHeight="1" x14ac:dyDescent="0.35">
      <c r="A44" s="468"/>
      <c r="B44" s="521"/>
      <c r="C44" s="494">
        <f>VLOOKUP(B35,'1 Caisson Objet'!Moussecal1,10)</f>
        <v>0</v>
      </c>
      <c r="D44" s="850">
        <f>VLOOKUP(B35,'1 Caisson Objet'!Moussecal1,11)</f>
        <v>0</v>
      </c>
      <c r="E44" s="850">
        <f>VLOOKUP(B35,'1 Caisson Objet'!Moussecal1,12)</f>
        <v>0</v>
      </c>
      <c r="F44" s="850">
        <f>VLOOKUP(B35,'1 Caisson Objet'!Moussecal1,13)</f>
        <v>0</v>
      </c>
      <c r="G44" s="468">
        <f t="shared" si="9"/>
        <v>0</v>
      </c>
      <c r="H44" s="468"/>
      <c r="I44" s="468"/>
      <c r="J44" s="468">
        <f t="shared" si="10"/>
        <v>0</v>
      </c>
      <c r="K44" s="468">
        <f t="shared" si="11"/>
        <v>0</v>
      </c>
      <c r="L44" s="514">
        <v>0</v>
      </c>
      <c r="M44" s="514">
        <f t="shared" si="12"/>
        <v>0</v>
      </c>
      <c r="N44" s="479">
        <f t="shared" si="13"/>
        <v>0</v>
      </c>
      <c r="O44" s="514">
        <f t="shared" si="14"/>
        <v>0</v>
      </c>
      <c r="P44" s="468"/>
      <c r="Q44" s="520">
        <v>0</v>
      </c>
      <c r="R44" s="468"/>
      <c r="S44" s="468"/>
      <c r="T44" s="468"/>
      <c r="U44" s="468"/>
      <c r="V44" s="468"/>
      <c r="W44" s="468"/>
      <c r="X44" s="468"/>
      <c r="Y44" s="468"/>
      <c r="Z44" s="468"/>
      <c r="AA44" s="468"/>
      <c r="AB44" s="468"/>
      <c r="AC44" s="468"/>
      <c r="AD44" s="468"/>
      <c r="AE44" s="468"/>
      <c r="AF44" s="468"/>
      <c r="AG44" s="468"/>
      <c r="AH44" s="468"/>
      <c r="AI44" s="468"/>
      <c r="AJ44" s="468"/>
    </row>
    <row r="45" spans="1:36" ht="18" hidden="1" customHeight="1" x14ac:dyDescent="0.35">
      <c r="A45" s="468"/>
      <c r="B45" s="521" t="s">
        <v>80</v>
      </c>
      <c r="C45" s="494" t="str">
        <f>VLOOKUP(B35,'1 Caisson Objet'!Moussecal1,14)</f>
        <v>Stratocell 50 mm</v>
      </c>
      <c r="D45" s="850">
        <f>VLOOKUP(B35,'1 Caisson Objet'!Moussecal1,15)</f>
        <v>89</v>
      </c>
      <c r="E45" s="850">
        <f>VLOOKUP(B35,'1 Caisson Objet'!Moussecal1,16)</f>
        <v>81</v>
      </c>
      <c r="F45" s="850">
        <f>VLOOKUP(B35,'1 Caisson Objet'!Moussecal1,17)</f>
        <v>1</v>
      </c>
      <c r="G45" s="468" t="str">
        <f t="shared" ref="G45:G48" si="15">C45</f>
        <v>Stratocell 50 mm</v>
      </c>
      <c r="H45" s="468"/>
      <c r="I45" s="468"/>
      <c r="J45" s="468">
        <f t="shared" si="10"/>
        <v>0.7209000000000001</v>
      </c>
      <c r="K45" s="468">
        <f t="shared" si="11"/>
        <v>0.90112500000000006</v>
      </c>
      <c r="L45" s="514" t="s">
        <v>663</v>
      </c>
      <c r="M45" s="514" t="e">
        <f t="shared" si="12"/>
        <v>#VALUE!</v>
      </c>
      <c r="N45" s="479">
        <f t="shared" ref="N45:N53" si="16">IF(J45=0,0,4.7283*J45+2)</f>
        <v>5.4086314700000004</v>
      </c>
      <c r="O45" s="514">
        <f t="shared" si="14"/>
        <v>4.5973367495000002</v>
      </c>
      <c r="P45" s="468"/>
      <c r="Q45" s="520" t="s">
        <v>663</v>
      </c>
      <c r="R45" s="468"/>
      <c r="S45" s="468"/>
      <c r="T45" s="468"/>
      <c r="U45" s="468"/>
      <c r="V45" s="468"/>
      <c r="W45" s="468"/>
      <c r="X45" s="468"/>
      <c r="Y45" s="468"/>
      <c r="Z45" s="468"/>
      <c r="AA45" s="468"/>
      <c r="AB45" s="468"/>
      <c r="AC45" s="468"/>
      <c r="AD45" s="468"/>
      <c r="AE45" s="468"/>
      <c r="AF45" s="468"/>
      <c r="AG45" s="468"/>
      <c r="AH45" s="468"/>
      <c r="AI45" s="468"/>
      <c r="AJ45" s="468"/>
    </row>
    <row r="46" spans="1:36" ht="18" hidden="1" customHeight="1" x14ac:dyDescent="0.35">
      <c r="A46" s="468"/>
      <c r="B46" s="521"/>
      <c r="C46" s="494" t="str">
        <f>VLOOKUP(B35,'1 Caisson Objet'!Moussecal1,18)</f>
        <v>Stratocell 50 mm</v>
      </c>
      <c r="D46" s="850">
        <f>VLOOKUP(B35,'1 Caisson Objet'!Moussecal1,19)</f>
        <v>89</v>
      </c>
      <c r="E46" s="850">
        <f>VLOOKUP(B35,'1 Caisson Objet'!Moussecal1,20)</f>
        <v>28.5</v>
      </c>
      <c r="F46" s="850">
        <f>VLOOKUP(B35,'1 Caisson Objet'!Moussecal1,21)</f>
        <v>2</v>
      </c>
      <c r="G46" s="468" t="str">
        <f t="shared" si="15"/>
        <v>Stratocell 50 mm</v>
      </c>
      <c r="H46" s="468"/>
      <c r="I46" s="468"/>
      <c r="J46" s="468">
        <f t="shared" si="10"/>
        <v>0.50729999999999997</v>
      </c>
      <c r="K46" s="468">
        <f t="shared" si="11"/>
        <v>0.63412499999999994</v>
      </c>
      <c r="L46" s="514" t="s">
        <v>663</v>
      </c>
      <c r="M46" s="514" t="e">
        <f t="shared" si="12"/>
        <v>#VALUE!</v>
      </c>
      <c r="N46" s="479">
        <f t="shared" si="16"/>
        <v>4.3986665899999995</v>
      </c>
      <c r="O46" s="514">
        <f t="shared" si="14"/>
        <v>3.7388666014999994</v>
      </c>
      <c r="P46" s="468"/>
      <c r="Q46" s="520" t="s">
        <v>663</v>
      </c>
      <c r="R46" s="468"/>
      <c r="S46" s="468"/>
      <c r="T46" s="468"/>
      <c r="U46" s="468"/>
      <c r="V46" s="468"/>
      <c r="W46" s="468"/>
      <c r="X46" s="468"/>
      <c r="Y46" s="468"/>
      <c r="Z46" s="468"/>
      <c r="AA46" s="468"/>
      <c r="AB46" s="468"/>
      <c r="AC46" s="468"/>
      <c r="AD46" s="468"/>
      <c r="AE46" s="468"/>
      <c r="AF46" s="468"/>
      <c r="AG46" s="468"/>
      <c r="AH46" s="468"/>
      <c r="AI46" s="468"/>
      <c r="AJ46" s="468"/>
    </row>
    <row r="47" spans="1:36" ht="18" hidden="1" customHeight="1" x14ac:dyDescent="0.35">
      <c r="A47" s="468"/>
      <c r="B47" s="521"/>
      <c r="C47" s="494" t="str">
        <f>VLOOKUP(B35,'1 Caisson Objet'!Moussecal1,28)</f>
        <v>Stratocell 50 mm</v>
      </c>
      <c r="D47" s="850">
        <f>VLOOKUP(B35,'1 Caisson Objet'!Moussecal1,29)</f>
        <v>70</v>
      </c>
      <c r="E47" s="850">
        <f>VLOOKUP(B35,'1 Caisson Objet'!Moussecal1,30)</f>
        <v>28.200000000000003</v>
      </c>
      <c r="F47" s="850">
        <f>VLOOKUP(B35,'1 Caisson Objet'!Moussecal1,31)</f>
        <v>2</v>
      </c>
      <c r="G47" s="468" t="str">
        <f t="shared" si="15"/>
        <v>Stratocell 50 mm</v>
      </c>
      <c r="H47" s="468"/>
      <c r="I47" s="468"/>
      <c r="J47" s="468">
        <f t="shared" si="10"/>
        <v>0.39480000000000004</v>
      </c>
      <c r="K47" s="468">
        <f t="shared" si="11"/>
        <v>0.49350000000000005</v>
      </c>
      <c r="L47" s="514" t="s">
        <v>663</v>
      </c>
      <c r="M47" s="514" t="e">
        <f t="shared" si="12"/>
        <v>#VALUE!</v>
      </c>
      <c r="N47" s="479">
        <f t="shared" si="16"/>
        <v>3.8667328400000001</v>
      </c>
      <c r="O47" s="514">
        <f t="shared" si="14"/>
        <v>3.2867229139999998</v>
      </c>
      <c r="P47" s="468"/>
      <c r="Q47" s="520" t="s">
        <v>663</v>
      </c>
      <c r="R47" s="468"/>
      <c r="S47" s="468"/>
      <c r="T47" s="468"/>
      <c r="U47" s="468"/>
      <c r="V47" s="468"/>
      <c r="W47" s="468"/>
      <c r="X47" s="468"/>
      <c r="Y47" s="468"/>
      <c r="Z47" s="468"/>
      <c r="AA47" s="468"/>
      <c r="AB47" s="468"/>
      <c r="AC47" s="468"/>
      <c r="AD47" s="468"/>
      <c r="AE47" s="468"/>
      <c r="AF47" s="468"/>
      <c r="AG47" s="468"/>
      <c r="AH47" s="468"/>
      <c r="AI47" s="468"/>
      <c r="AJ47" s="468"/>
    </row>
    <row r="48" spans="1:36" ht="18" hidden="1" customHeight="1" x14ac:dyDescent="0.35">
      <c r="A48" s="468"/>
      <c r="B48" s="494"/>
      <c r="C48" s="494" t="str">
        <f>VLOOKUP(B35,'1 Caisson Objet'!Moussecal1,22)</f>
        <v>Stratocell 50 mm</v>
      </c>
      <c r="D48" s="850">
        <f>VLOOKUP(B35,'1 Caisson Objet'!Moussecal1,25)</f>
        <v>89</v>
      </c>
      <c r="E48" s="850">
        <f>VLOOKUP(B35,'1 Caisson Objet'!Moussecal1,26)</f>
        <v>81</v>
      </c>
      <c r="F48" s="850">
        <f>IF(D48=0,0,1)</f>
        <v>1</v>
      </c>
      <c r="G48" s="468" t="str">
        <f t="shared" si="15"/>
        <v>Stratocell 50 mm</v>
      </c>
      <c r="H48" s="468"/>
      <c r="I48" s="468"/>
      <c r="J48" s="468">
        <f t="shared" si="10"/>
        <v>0.7209000000000001</v>
      </c>
      <c r="K48" s="468">
        <f t="shared" si="11"/>
        <v>0.90112500000000006</v>
      </c>
      <c r="L48" s="514" t="s">
        <v>663</v>
      </c>
      <c r="M48" s="514" t="e">
        <f t="shared" si="12"/>
        <v>#VALUE!</v>
      </c>
      <c r="N48" s="479">
        <f t="shared" si="16"/>
        <v>5.4086314700000004</v>
      </c>
      <c r="O48" s="514">
        <f t="shared" si="14"/>
        <v>4.5973367495000002</v>
      </c>
      <c r="P48" s="468"/>
      <c r="Q48" s="520" t="s">
        <v>663</v>
      </c>
      <c r="R48" s="468"/>
      <c r="S48" s="468"/>
      <c r="T48" s="468"/>
      <c r="U48" s="468"/>
      <c r="V48" s="468"/>
      <c r="W48" s="468"/>
      <c r="X48" s="468"/>
      <c r="Y48" s="468"/>
      <c r="Z48" s="468"/>
      <c r="AA48" s="468"/>
      <c r="AB48" s="468"/>
      <c r="AC48" s="468"/>
      <c r="AD48" s="468"/>
      <c r="AE48" s="468"/>
      <c r="AF48" s="468"/>
      <c r="AG48" s="468"/>
      <c r="AH48" s="468"/>
      <c r="AI48" s="468"/>
      <c r="AJ48" s="468"/>
    </row>
    <row r="49" spans="1:36" ht="18" hidden="1" customHeight="1" x14ac:dyDescent="0.35">
      <c r="A49" s="468"/>
      <c r="B49" s="494"/>
      <c r="C49" s="494"/>
      <c r="D49" s="850"/>
      <c r="E49" s="850"/>
      <c r="F49" s="850"/>
      <c r="G49" s="468"/>
      <c r="H49" s="468"/>
      <c r="I49" s="468"/>
      <c r="J49" s="468">
        <f t="shared" si="10"/>
        <v>0</v>
      </c>
      <c r="K49" s="468">
        <f t="shared" si="11"/>
        <v>0</v>
      </c>
      <c r="L49" s="514">
        <v>0</v>
      </c>
      <c r="M49" s="514">
        <f t="shared" si="12"/>
        <v>0</v>
      </c>
      <c r="N49" s="479">
        <f t="shared" si="16"/>
        <v>0</v>
      </c>
      <c r="O49" s="514">
        <f t="shared" si="14"/>
        <v>0</v>
      </c>
      <c r="P49" s="468"/>
      <c r="Q49" s="520">
        <v>0</v>
      </c>
      <c r="R49" s="468"/>
      <c r="S49" s="468"/>
      <c r="T49" s="468"/>
      <c r="U49" s="468"/>
      <c r="V49" s="468"/>
      <c r="W49" s="468"/>
      <c r="X49" s="468"/>
      <c r="Y49" s="468"/>
      <c r="Z49" s="468"/>
      <c r="AA49" s="468"/>
      <c r="AB49" s="468"/>
      <c r="AC49" s="468"/>
      <c r="AD49" s="468"/>
      <c r="AE49" s="468"/>
      <c r="AF49" s="468"/>
      <c r="AG49" s="468"/>
      <c r="AH49" s="468"/>
      <c r="AI49" s="468"/>
      <c r="AJ49" s="468"/>
    </row>
    <row r="50" spans="1:36" ht="18" hidden="1" customHeight="1" x14ac:dyDescent="0.35">
      <c r="A50" s="468"/>
      <c r="B50" s="494"/>
      <c r="C50" s="494"/>
      <c r="D50" s="849"/>
      <c r="E50" s="849"/>
      <c r="F50" s="850"/>
      <c r="G50" s="468"/>
      <c r="H50" s="468"/>
      <c r="I50" s="468"/>
      <c r="J50" s="468">
        <f t="shared" si="10"/>
        <v>0</v>
      </c>
      <c r="K50" s="468">
        <f t="shared" si="11"/>
        <v>0</v>
      </c>
      <c r="L50" s="514">
        <v>0</v>
      </c>
      <c r="M50" s="514">
        <f t="shared" si="12"/>
        <v>0</v>
      </c>
      <c r="N50" s="479">
        <f t="shared" si="16"/>
        <v>0</v>
      </c>
      <c r="O50" s="514">
        <f t="shared" si="14"/>
        <v>0</v>
      </c>
      <c r="P50" s="468"/>
      <c r="Q50" s="520">
        <v>0</v>
      </c>
      <c r="R50" s="468"/>
      <c r="S50" s="468"/>
      <c r="T50" s="468"/>
      <c r="U50" s="468"/>
      <c r="V50" s="468"/>
      <c r="W50" s="468"/>
      <c r="X50" s="468"/>
      <c r="Y50" s="468"/>
      <c r="Z50" s="468"/>
      <c r="AA50" s="468"/>
      <c r="AB50" s="468"/>
      <c r="AC50" s="468"/>
      <c r="AD50" s="468"/>
      <c r="AE50" s="468"/>
      <c r="AF50" s="468"/>
      <c r="AG50" s="468"/>
      <c r="AH50" s="468"/>
      <c r="AI50" s="468"/>
      <c r="AJ50" s="468"/>
    </row>
    <row r="51" spans="1:36" ht="18" hidden="1" customHeight="1" x14ac:dyDescent="0.35">
      <c r="A51" s="468"/>
      <c r="B51" s="494"/>
      <c r="C51" s="494"/>
      <c r="D51" s="849"/>
      <c r="E51" s="849"/>
      <c r="F51" s="850"/>
      <c r="G51" s="468"/>
      <c r="H51" s="468"/>
      <c r="I51" s="468"/>
      <c r="J51" s="468">
        <f t="shared" si="10"/>
        <v>0</v>
      </c>
      <c r="K51" s="468">
        <f t="shared" si="11"/>
        <v>0</v>
      </c>
      <c r="L51" s="514">
        <v>0</v>
      </c>
      <c r="M51" s="514">
        <f t="shared" si="12"/>
        <v>0</v>
      </c>
      <c r="N51" s="479">
        <f t="shared" si="16"/>
        <v>0</v>
      </c>
      <c r="O51" s="514">
        <f t="shared" si="14"/>
        <v>0</v>
      </c>
      <c r="P51" s="468"/>
      <c r="Q51" s="520">
        <v>0</v>
      </c>
      <c r="R51" s="468"/>
      <c r="S51" s="468"/>
      <c r="T51" s="468"/>
      <c r="U51" s="468"/>
      <c r="V51" s="468"/>
      <c r="W51" s="468"/>
      <c r="X51" s="468"/>
      <c r="Y51" s="468"/>
      <c r="Z51" s="468"/>
      <c r="AA51" s="468"/>
      <c r="AB51" s="468"/>
      <c r="AC51" s="468"/>
      <c r="AD51" s="468"/>
      <c r="AE51" s="468"/>
      <c r="AF51" s="468"/>
      <c r="AG51" s="468"/>
      <c r="AH51" s="468"/>
      <c r="AI51" s="468"/>
      <c r="AJ51" s="468"/>
    </row>
    <row r="52" spans="1:36" ht="18" hidden="1" customHeight="1" x14ac:dyDescent="0.35">
      <c r="A52" s="468"/>
      <c r="B52" s="494"/>
      <c r="C52" s="494"/>
      <c r="D52" s="849"/>
      <c r="E52" s="849"/>
      <c r="F52" s="850"/>
      <c r="G52" s="468"/>
      <c r="H52" s="468"/>
      <c r="I52" s="468"/>
      <c r="J52" s="468">
        <f t="shared" si="10"/>
        <v>0</v>
      </c>
      <c r="K52" s="468">
        <f t="shared" si="11"/>
        <v>0</v>
      </c>
      <c r="L52" s="514">
        <v>0</v>
      </c>
      <c r="M52" s="514">
        <f t="shared" si="12"/>
        <v>0</v>
      </c>
      <c r="N52" s="479">
        <f t="shared" si="16"/>
        <v>0</v>
      </c>
      <c r="O52" s="514">
        <f t="shared" si="14"/>
        <v>0</v>
      </c>
      <c r="P52" s="468"/>
      <c r="Q52" s="520">
        <v>0</v>
      </c>
      <c r="R52" s="468"/>
      <c r="S52" s="468"/>
      <c r="T52" s="468"/>
      <c r="U52" s="468"/>
      <c r="V52" s="468"/>
      <c r="W52" s="468"/>
      <c r="X52" s="468"/>
      <c r="Y52" s="468"/>
      <c r="Z52" s="468"/>
      <c r="AA52" s="468"/>
      <c r="AB52" s="468"/>
      <c r="AC52" s="468"/>
      <c r="AD52" s="468"/>
      <c r="AE52" s="468"/>
      <c r="AF52" s="468"/>
      <c r="AG52" s="468"/>
      <c r="AH52" s="468"/>
      <c r="AI52" s="468"/>
      <c r="AJ52" s="468"/>
    </row>
    <row r="53" spans="1:36" ht="18" hidden="1" customHeight="1" x14ac:dyDescent="0.35">
      <c r="A53" s="468"/>
      <c r="B53" s="851" t="s">
        <v>176</v>
      </c>
      <c r="C53" s="494" t="str">
        <f>'1 Caisson Objet'!plat1</f>
        <v>Aucun</v>
      </c>
      <c r="D53" s="849">
        <f>IF(C53="Aucun",0,'1 Caisson Objet'!Lnec1-0.3)</f>
        <v>0</v>
      </c>
      <c r="E53" s="849">
        <f>IF(C53="Aucun",0,'1 Caisson Objet'!lanec1-0.3)</f>
        <v>0</v>
      </c>
      <c r="F53" s="850">
        <f>IF(C53="Aucun",0,1)</f>
        <v>0</v>
      </c>
      <c r="G53" s="519" t="str">
        <f>G37</f>
        <v>Peuplier 15 mm</v>
      </c>
      <c r="H53" s="468"/>
      <c r="I53" s="468"/>
      <c r="J53" s="468">
        <f t="shared" si="10"/>
        <v>0</v>
      </c>
      <c r="K53" s="468">
        <f t="shared" si="11"/>
        <v>0</v>
      </c>
      <c r="L53" s="514">
        <v>0</v>
      </c>
      <c r="M53" s="514">
        <f t="shared" si="12"/>
        <v>0</v>
      </c>
      <c r="N53" s="479">
        <f t="shared" si="16"/>
        <v>0</v>
      </c>
      <c r="O53" s="514">
        <f t="shared" si="14"/>
        <v>0</v>
      </c>
      <c r="P53" s="468"/>
      <c r="Q53" s="520">
        <f>IF(J53=0,0,J53*VLOOKUP(C53,$A$84:$D$90,4))</f>
        <v>0</v>
      </c>
      <c r="R53" s="468"/>
      <c r="S53" s="468"/>
      <c r="T53" s="468"/>
      <c r="U53" s="468"/>
      <c r="V53" s="468"/>
      <c r="W53" s="468"/>
      <c r="X53" s="468"/>
      <c r="Y53" s="468"/>
      <c r="Z53" s="468"/>
      <c r="AA53" s="468"/>
      <c r="AB53" s="468"/>
      <c r="AC53" s="468"/>
      <c r="AD53" s="468"/>
      <c r="AE53" s="468"/>
      <c r="AF53" s="468"/>
      <c r="AG53" s="468"/>
      <c r="AH53" s="468"/>
      <c r="AI53" s="468"/>
      <c r="AJ53" s="468"/>
    </row>
    <row r="54" spans="1:36" ht="18" hidden="1" customHeight="1" x14ac:dyDescent="0.35">
      <c r="A54" s="468"/>
      <c r="B54" s="494"/>
      <c r="C54" s="494"/>
      <c r="D54" s="849"/>
      <c r="E54" s="849"/>
      <c r="F54" s="850"/>
      <c r="G54" s="468"/>
      <c r="H54" s="468"/>
      <c r="I54" s="468"/>
      <c r="J54" s="468"/>
      <c r="K54" s="468"/>
      <c r="L54" s="468"/>
      <c r="M54" s="514"/>
      <c r="N54" s="479"/>
      <c r="O54" s="514"/>
      <c r="P54" s="468"/>
      <c r="Q54" s="520">
        <v>0</v>
      </c>
      <c r="R54" s="468"/>
      <c r="S54" s="468"/>
      <c r="T54" s="468"/>
      <c r="U54" s="468"/>
      <c r="V54" s="468"/>
      <c r="W54" s="468"/>
      <c r="X54" s="468"/>
      <c r="Y54" s="468"/>
      <c r="Z54" s="468"/>
      <c r="AA54" s="468"/>
      <c r="AB54" s="468"/>
      <c r="AC54" s="468"/>
      <c r="AD54" s="468"/>
      <c r="AE54" s="468"/>
      <c r="AF54" s="468"/>
      <c r="AG54" s="468"/>
      <c r="AH54" s="468"/>
      <c r="AI54" s="468"/>
      <c r="AJ54" s="468"/>
    </row>
    <row r="55" spans="1:36" ht="18" hidden="1" customHeight="1" x14ac:dyDescent="0.35">
      <c r="A55" s="468"/>
      <c r="B55" s="468"/>
      <c r="C55" s="468"/>
      <c r="D55" s="468"/>
      <c r="E55" s="468"/>
      <c r="F55" s="468"/>
      <c r="G55" s="468"/>
      <c r="H55" s="468"/>
      <c r="I55" s="468"/>
      <c r="J55" s="468">
        <f>IF(C55=0,0,(C55/100)*(D55/100)*F55)</f>
        <v>0</v>
      </c>
      <c r="K55" s="468">
        <f>J55/0.8</f>
        <v>0</v>
      </c>
      <c r="L55" s="514"/>
      <c r="M55" s="514"/>
      <c r="N55" s="479"/>
      <c r="O55" s="514"/>
      <c r="P55" s="468"/>
      <c r="Q55" s="520">
        <v>0</v>
      </c>
      <c r="R55" s="468"/>
      <c r="S55" s="468"/>
      <c r="T55" s="468"/>
      <c r="U55" s="468"/>
      <c r="V55" s="468"/>
      <c r="W55" s="468"/>
      <c r="X55" s="468"/>
      <c r="Y55" s="468"/>
      <c r="Z55" s="468"/>
      <c r="AA55" s="468"/>
      <c r="AB55" s="468"/>
      <c r="AC55" s="468"/>
      <c r="AD55" s="468"/>
      <c r="AE55" s="468"/>
      <c r="AF55" s="468"/>
      <c r="AG55" s="468"/>
      <c r="AH55" s="468"/>
      <c r="AI55" s="468"/>
      <c r="AJ55" s="468"/>
    </row>
    <row r="56" spans="1:36" ht="18" hidden="1" customHeight="1" x14ac:dyDescent="0.35">
      <c r="A56" s="468"/>
      <c r="B56" s="468"/>
      <c r="C56" s="468"/>
      <c r="D56" s="468"/>
      <c r="E56" s="468"/>
      <c r="F56" s="468"/>
      <c r="G56" s="468"/>
      <c r="H56" s="468"/>
      <c r="I56" s="468"/>
      <c r="J56" s="468"/>
      <c r="K56" s="468"/>
      <c r="L56" s="468"/>
      <c r="M56" s="468"/>
      <c r="N56" s="479"/>
      <c r="O56" s="468"/>
      <c r="P56" s="468"/>
      <c r="Q56" s="468"/>
      <c r="R56" s="468"/>
      <c r="S56" s="468"/>
      <c r="T56" s="468"/>
      <c r="U56" s="468"/>
      <c r="V56" s="468"/>
      <c r="W56" s="468"/>
      <c r="X56" s="468"/>
      <c r="Y56" s="468"/>
      <c r="Z56" s="468"/>
      <c r="AA56" s="468"/>
      <c r="AB56" s="468"/>
      <c r="AC56" s="468"/>
      <c r="AD56" s="468"/>
      <c r="AE56" s="468"/>
      <c r="AF56" s="468"/>
      <c r="AG56" s="468"/>
      <c r="AH56" s="468"/>
      <c r="AI56" s="468"/>
      <c r="AJ56" s="468"/>
    </row>
    <row r="57" spans="1:36" ht="18" hidden="1" customHeight="1" x14ac:dyDescent="0.35">
      <c r="A57" s="468" t="s">
        <v>72</v>
      </c>
      <c r="B57" s="468" t="str">
        <f>C15</f>
        <v>Vis bois</v>
      </c>
      <c r="C57" s="468"/>
      <c r="D57" s="468"/>
      <c r="E57" s="468"/>
      <c r="F57" s="468"/>
      <c r="G57" s="468"/>
      <c r="H57" s="468"/>
      <c r="I57" s="468"/>
      <c r="J57" s="468"/>
      <c r="K57" s="468"/>
      <c r="L57" s="468"/>
      <c r="M57" s="514">
        <f>IF(B57="Vis bois",0,(C4*2+C6*2+F4*2+F6*2)*1.5)</f>
        <v>0</v>
      </c>
      <c r="N57" s="479">
        <f>IF(B57="Vis bois",0,45)</f>
        <v>0</v>
      </c>
      <c r="O57" s="514">
        <f t="shared" ref="O57:O58" si="17">N57*'1 Caisson Objet'!MinuteMO</f>
        <v>0</v>
      </c>
      <c r="P57" s="468"/>
      <c r="Q57" s="468"/>
      <c r="R57" s="468"/>
      <c r="S57" s="468"/>
      <c r="T57" s="468"/>
      <c r="U57" s="468"/>
      <c r="V57" s="468"/>
      <c r="W57" s="468"/>
      <c r="X57" s="468"/>
      <c r="Y57" s="468"/>
      <c r="Z57" s="468"/>
      <c r="AA57" s="468"/>
      <c r="AB57" s="468"/>
      <c r="AC57" s="468"/>
      <c r="AD57" s="468"/>
      <c r="AE57" s="468"/>
      <c r="AF57" s="468"/>
      <c r="AG57" s="468"/>
      <c r="AH57" s="468"/>
      <c r="AI57" s="468"/>
      <c r="AJ57" s="468"/>
    </row>
    <row r="58" spans="1:36" ht="18" hidden="1" customHeight="1" x14ac:dyDescent="0.35">
      <c r="A58" s="468" t="s">
        <v>21</v>
      </c>
      <c r="B58" s="468" t="str">
        <f>C17</f>
        <v>métal sur bouts</v>
      </c>
      <c r="C58" s="468"/>
      <c r="D58" s="468"/>
      <c r="E58" s="468"/>
      <c r="F58" s="468"/>
      <c r="G58" s="468"/>
      <c r="H58" s="468"/>
      <c r="I58" s="468"/>
      <c r="J58" s="468"/>
      <c r="K58" s="468"/>
      <c r="L58" s="514"/>
      <c r="M58" s="514">
        <f>IF(B58="métal sur bouts",2*2,0)</f>
        <v>4</v>
      </c>
      <c r="N58" s="479">
        <f>IF(B58="Métal sur bouts",2*4.5,0)</f>
        <v>9</v>
      </c>
      <c r="O58" s="514">
        <f t="shared" si="17"/>
        <v>7.6499999999999995</v>
      </c>
      <c r="P58" s="468"/>
      <c r="Q58" s="468"/>
      <c r="R58" s="468"/>
      <c r="S58" s="468"/>
      <c r="T58" s="468"/>
      <c r="U58" s="468"/>
      <c r="V58" s="468"/>
      <c r="W58" s="468"/>
      <c r="X58" s="468"/>
      <c r="Y58" s="468"/>
      <c r="Z58" s="468"/>
      <c r="AA58" s="468"/>
      <c r="AB58" s="468"/>
      <c r="AC58" s="468"/>
      <c r="AD58" s="468"/>
      <c r="AE58" s="468"/>
      <c r="AF58" s="468"/>
      <c r="AG58" s="468"/>
      <c r="AH58" s="468"/>
      <c r="AI58" s="468"/>
      <c r="AJ58" s="468"/>
    </row>
    <row r="59" spans="1:36" ht="18" hidden="1" customHeight="1" x14ac:dyDescent="0.35">
      <c r="A59" s="468"/>
      <c r="B59" s="468"/>
      <c r="C59" s="468"/>
      <c r="D59" s="468"/>
      <c r="E59" s="468"/>
      <c r="F59" s="468"/>
      <c r="G59" s="468"/>
      <c r="H59" s="468"/>
      <c r="I59" s="468"/>
      <c r="J59" s="468"/>
      <c r="K59" s="468"/>
      <c r="L59" s="468"/>
      <c r="M59" s="468"/>
      <c r="N59" s="479"/>
      <c r="O59" s="468"/>
      <c r="P59" s="468"/>
      <c r="Q59" s="468"/>
      <c r="R59" s="468"/>
      <c r="S59" s="468"/>
      <c r="T59" s="468"/>
      <c r="U59" s="468"/>
      <c r="V59" s="468"/>
      <c r="W59" s="468"/>
      <c r="X59" s="468"/>
      <c r="Y59" s="468"/>
      <c r="Z59" s="468"/>
      <c r="AA59" s="468"/>
      <c r="AB59" s="468"/>
      <c r="AC59" s="468"/>
      <c r="AD59" s="468"/>
      <c r="AE59" s="468"/>
      <c r="AF59" s="468"/>
      <c r="AG59" s="468"/>
      <c r="AH59" s="468"/>
      <c r="AI59" s="468"/>
      <c r="AJ59" s="468"/>
    </row>
    <row r="60" spans="1:36" ht="18" hidden="1" customHeight="1" x14ac:dyDescent="0.35">
      <c r="A60" s="468"/>
      <c r="B60" s="468"/>
      <c r="C60" s="468"/>
      <c r="D60" s="468"/>
      <c r="E60" s="468"/>
      <c r="F60" s="468"/>
      <c r="G60" s="468"/>
      <c r="H60" s="468"/>
      <c r="I60" s="468"/>
      <c r="J60" s="468"/>
      <c r="K60" s="468"/>
      <c r="L60" s="525"/>
      <c r="M60" s="525" t="e">
        <f t="shared" ref="M60:O60" si="18">SUM(M31:M59)</f>
        <v>#VALUE!</v>
      </c>
      <c r="N60" s="526">
        <f t="shared" si="18"/>
        <v>49.748185409999998</v>
      </c>
      <c r="O60" s="525">
        <f t="shared" si="18"/>
        <v>42.285957598499998</v>
      </c>
      <c r="P60" s="468"/>
      <c r="Q60" s="520">
        <f>SUM(Q37:Q55)</f>
        <v>0</v>
      </c>
      <c r="R60" s="468"/>
      <c r="S60" s="468"/>
      <c r="T60" s="468"/>
      <c r="U60" s="468"/>
      <c r="V60" s="468"/>
      <c r="W60" s="468"/>
      <c r="X60" s="468"/>
      <c r="Y60" s="468"/>
      <c r="Z60" s="468"/>
      <c r="AA60" s="468"/>
      <c r="AB60" s="468"/>
      <c r="AC60" s="468"/>
      <c r="AD60" s="468"/>
      <c r="AE60" s="468"/>
      <c r="AF60" s="468"/>
      <c r="AG60" s="468"/>
      <c r="AH60" s="468"/>
      <c r="AI60" s="468"/>
      <c r="AJ60" s="468"/>
    </row>
    <row r="61" spans="1:36" ht="18" hidden="1" customHeight="1" x14ac:dyDescent="0.35">
      <c r="A61" s="468"/>
      <c r="B61" s="480" t="s">
        <v>73</v>
      </c>
      <c r="C61" s="527" t="e">
        <f>IF(F9=0,0,M60)</f>
        <v>#VALUE!</v>
      </c>
      <c r="D61" s="484"/>
      <c r="E61" s="528" t="s">
        <v>74</v>
      </c>
      <c r="F61" s="529" t="str">
        <f>CONCATENATE(ROUNDUP(SUM(K37:K40)+K53,2)," m²")</f>
        <v>3,63 m²</v>
      </c>
      <c r="G61" s="530" t="e">
        <f>(SUM(M37:M40)+M53)</f>
        <v>#VALUE!</v>
      </c>
      <c r="H61" s="468"/>
      <c r="I61" s="468"/>
      <c r="J61" s="468"/>
      <c r="K61" s="468"/>
      <c r="L61" s="468"/>
      <c r="M61" s="468"/>
      <c r="N61" s="468"/>
      <c r="O61" s="468"/>
      <c r="P61" s="468"/>
      <c r="Q61" s="468"/>
      <c r="R61" s="468"/>
      <c r="S61" s="468"/>
      <c r="T61" s="468"/>
      <c r="U61" s="468"/>
      <c r="V61" s="468"/>
      <c r="W61" s="468"/>
      <c r="X61" s="468"/>
      <c r="Y61" s="468"/>
      <c r="Z61" s="468"/>
      <c r="AA61" s="468"/>
      <c r="AB61" s="468"/>
      <c r="AC61" s="468"/>
      <c r="AD61" s="468"/>
      <c r="AE61" s="468"/>
      <c r="AF61" s="468"/>
      <c r="AG61" s="468"/>
      <c r="AH61" s="468"/>
      <c r="AI61" s="468"/>
      <c r="AJ61" s="468"/>
    </row>
    <row r="62" spans="1:36" ht="18" hidden="1" customHeight="1" x14ac:dyDescent="0.35">
      <c r="A62" s="468"/>
      <c r="B62" s="531" t="s">
        <v>75</v>
      </c>
      <c r="C62" s="514">
        <f>IF(F9=0,0,O60)</f>
        <v>42.285957598499998</v>
      </c>
      <c r="D62" s="532">
        <f>IF(F9=0,0,N60)</f>
        <v>49.748185409999998</v>
      </c>
      <c r="E62" s="533" t="s">
        <v>76</v>
      </c>
      <c r="F62" s="534" t="str">
        <f>CONCATENATE(ROUNDUP(SUM(K42:K44),2)," m²")</f>
        <v>0 m²</v>
      </c>
      <c r="G62" s="535">
        <f>(SUM(M42:M44))</f>
        <v>0</v>
      </c>
      <c r="H62" s="468"/>
      <c r="I62" s="468"/>
      <c r="J62" s="468"/>
      <c r="K62" s="468"/>
      <c r="L62" s="468"/>
      <c r="M62" s="468"/>
      <c r="N62" s="468"/>
      <c r="O62" s="468"/>
      <c r="P62" s="468"/>
      <c r="Q62" s="468"/>
      <c r="R62" s="468"/>
      <c r="S62" s="468"/>
      <c r="T62" s="468"/>
      <c r="U62" s="468"/>
      <c r="V62" s="468"/>
      <c r="W62" s="468"/>
      <c r="X62" s="468"/>
      <c r="Y62" s="468"/>
      <c r="Z62" s="468"/>
      <c r="AA62" s="468"/>
      <c r="AB62" s="468"/>
      <c r="AC62" s="468"/>
      <c r="AD62" s="468"/>
      <c r="AE62" s="468"/>
      <c r="AF62" s="468"/>
      <c r="AG62" s="468"/>
      <c r="AH62" s="468"/>
      <c r="AI62" s="468"/>
      <c r="AJ62" s="468"/>
    </row>
    <row r="63" spans="1:36" ht="18" hidden="1" customHeight="1" x14ac:dyDescent="0.35">
      <c r="A63" s="468"/>
      <c r="B63" s="531" t="s">
        <v>77</v>
      </c>
      <c r="C63" s="514" t="e">
        <f>IF(F9=0,0,((C61+C62)/'1 Caisson Objet'!Frais_Généraux)-(C61+C62))</f>
        <v>#VALUE!</v>
      </c>
      <c r="D63" s="499"/>
      <c r="E63" s="533"/>
      <c r="F63" s="534"/>
      <c r="G63" s="535"/>
      <c r="H63" s="468"/>
      <c r="I63" s="468"/>
      <c r="J63" s="468"/>
      <c r="K63" s="468"/>
      <c r="L63" s="468"/>
      <c r="M63" s="468"/>
      <c r="N63" s="468"/>
      <c r="O63" s="468"/>
      <c r="P63" s="468"/>
      <c r="Q63" s="468"/>
      <c r="R63" s="468"/>
      <c r="S63" s="468"/>
      <c r="T63" s="468"/>
      <c r="U63" s="468"/>
      <c r="V63" s="468"/>
      <c r="W63" s="468"/>
      <c r="X63" s="468"/>
      <c r="Y63" s="468"/>
      <c r="Z63" s="468"/>
      <c r="AA63" s="468"/>
      <c r="AB63" s="468"/>
      <c r="AC63" s="468"/>
      <c r="AD63" s="468"/>
      <c r="AE63" s="468"/>
      <c r="AF63" s="468"/>
      <c r="AG63" s="468"/>
      <c r="AH63" s="468"/>
      <c r="AI63" s="468"/>
      <c r="AJ63" s="468"/>
    </row>
    <row r="64" spans="1:36" ht="18" hidden="1" customHeight="1" x14ac:dyDescent="0.35">
      <c r="A64" s="468"/>
      <c r="B64" s="531" t="s">
        <v>79</v>
      </c>
      <c r="C64" s="514" t="e">
        <f>IF(F9=0,0,SUM(C61:C63))</f>
        <v>#VALUE!</v>
      </c>
      <c r="D64" s="499"/>
      <c r="E64" s="533" t="s">
        <v>80</v>
      </c>
      <c r="F64" s="534" t="str">
        <f>CONCATENATE(ROUNDUP(SUM(K45:K52),2)," m²")</f>
        <v>2,93 m²</v>
      </c>
      <c r="G64" s="535" t="e">
        <f>(SUM(M45:M52))</f>
        <v>#VALUE!</v>
      </c>
      <c r="H64" s="468"/>
      <c r="I64" s="468"/>
      <c r="J64" s="468"/>
      <c r="K64" s="468"/>
      <c r="L64" s="468"/>
      <c r="M64" s="468"/>
      <c r="N64" s="468"/>
      <c r="O64" s="468"/>
      <c r="P64" s="468"/>
      <c r="Q64" s="468"/>
      <c r="R64" s="468"/>
      <c r="S64" s="468"/>
      <c r="T64" s="468"/>
      <c r="U64" s="468"/>
      <c r="V64" s="468"/>
      <c r="W64" s="468"/>
      <c r="X64" s="468"/>
      <c r="Y64" s="468"/>
      <c r="Z64" s="468"/>
      <c r="AA64" s="468"/>
      <c r="AB64" s="468"/>
      <c r="AC64" s="468"/>
      <c r="AD64" s="468"/>
      <c r="AE64" s="468"/>
      <c r="AF64" s="468"/>
      <c r="AG64" s="468"/>
      <c r="AH64" s="468"/>
      <c r="AI64" s="468"/>
      <c r="AJ64" s="468"/>
    </row>
    <row r="65" spans="1:36" ht="18" hidden="1" customHeight="1" x14ac:dyDescent="0.35">
      <c r="A65" s="468"/>
      <c r="B65" s="531" t="s">
        <v>81</v>
      </c>
      <c r="C65" s="514" t="e">
        <f>IF(F9=0,0,(C64/(1-'1 Caisson Objet'!Marge)-C64))</f>
        <v>#VALUE!</v>
      </c>
      <c r="D65" s="536" t="e">
        <f>C64+C65</f>
        <v>#VALUE!</v>
      </c>
      <c r="E65" s="533"/>
      <c r="F65" s="534"/>
      <c r="G65" s="852"/>
      <c r="H65" s="468"/>
      <c r="I65" s="468"/>
      <c r="J65" s="468"/>
      <c r="K65" s="468"/>
      <c r="L65" s="468"/>
      <c r="M65" s="468"/>
      <c r="N65" s="468"/>
      <c r="O65" s="468"/>
      <c r="P65" s="468"/>
      <c r="Q65" s="468"/>
      <c r="R65" s="468"/>
      <c r="S65" s="468"/>
      <c r="T65" s="468"/>
      <c r="U65" s="468"/>
      <c r="V65" s="468"/>
      <c r="W65" s="468"/>
      <c r="X65" s="468"/>
      <c r="Y65" s="468"/>
      <c r="Z65" s="468"/>
      <c r="AA65" s="468"/>
      <c r="AB65" s="468"/>
      <c r="AC65" s="468"/>
      <c r="AD65" s="468"/>
      <c r="AE65" s="468"/>
      <c r="AF65" s="468"/>
      <c r="AG65" s="468"/>
      <c r="AH65" s="468"/>
      <c r="AI65" s="468"/>
      <c r="AJ65" s="468"/>
    </row>
    <row r="66" spans="1:36" ht="18" hidden="1" customHeight="1" x14ac:dyDescent="0.35">
      <c r="A66" s="468"/>
      <c r="B66" s="531" t="s">
        <v>83</v>
      </c>
      <c r="C66" s="514" t="e">
        <f>IF($F$10="BOVIS",((C64+C65)*(1+C67))-(C64+C65),((C64+C65)*(1+D66))-(C64+C65))</f>
        <v>#VALUE!</v>
      </c>
      <c r="D66" s="22"/>
      <c r="E66" s="533"/>
      <c r="F66" s="534"/>
      <c r="G66" s="852"/>
      <c r="H66" s="468"/>
      <c r="I66" s="468"/>
      <c r="J66" s="468"/>
      <c r="K66" s="468"/>
      <c r="L66" s="468"/>
      <c r="M66" s="468"/>
      <c r="N66" s="468"/>
      <c r="O66" s="468"/>
      <c r="P66" s="468"/>
      <c r="Q66" s="468"/>
      <c r="R66" s="468"/>
      <c r="S66" s="468"/>
      <c r="T66" s="468"/>
      <c r="U66" s="468"/>
      <c r="V66" s="468"/>
      <c r="W66" s="468"/>
      <c r="X66" s="468"/>
      <c r="Y66" s="468"/>
      <c r="Z66" s="468"/>
      <c r="AA66" s="468"/>
      <c r="AB66" s="468"/>
      <c r="AC66" s="468"/>
      <c r="AD66" s="468"/>
      <c r="AE66" s="468"/>
      <c r="AF66" s="468"/>
      <c r="AG66" s="468"/>
      <c r="AH66" s="468"/>
      <c r="AI66" s="468"/>
      <c r="AJ66" s="468"/>
    </row>
    <row r="67" spans="1:36" ht="18" hidden="1" customHeight="1" x14ac:dyDescent="0.35">
      <c r="A67" s="468"/>
      <c r="B67" s="531"/>
      <c r="C67" s="537">
        <f>IF($F$10="BOVIS",0.03,0)</f>
        <v>0</v>
      </c>
      <c r="D67" s="538"/>
      <c r="E67" s="533"/>
      <c r="F67" s="534"/>
      <c r="G67" s="852"/>
      <c r="H67" s="468"/>
      <c r="I67" s="468"/>
      <c r="J67" s="468"/>
      <c r="K67" s="468"/>
      <c r="L67" s="468"/>
      <c r="M67" s="468"/>
      <c r="N67" s="468"/>
      <c r="O67" s="468"/>
      <c r="P67" s="468"/>
      <c r="Q67" s="468"/>
      <c r="R67" s="468"/>
      <c r="S67" s="468"/>
      <c r="T67" s="468"/>
      <c r="U67" s="468"/>
      <c r="V67" s="468"/>
      <c r="W67" s="468"/>
      <c r="X67" s="468"/>
      <c r="Y67" s="468"/>
      <c r="Z67" s="468"/>
      <c r="AA67" s="468"/>
      <c r="AB67" s="468"/>
      <c r="AC67" s="468"/>
      <c r="AD67" s="468"/>
      <c r="AE67" s="468"/>
      <c r="AF67" s="468"/>
      <c r="AG67" s="468"/>
      <c r="AH67" s="468"/>
      <c r="AI67" s="468"/>
      <c r="AJ67" s="468"/>
    </row>
    <row r="68" spans="1:36" ht="18" hidden="1" customHeight="1" x14ac:dyDescent="0.35">
      <c r="A68" s="468"/>
      <c r="B68" s="539" t="s">
        <v>84</v>
      </c>
      <c r="C68" s="540" t="e">
        <f>SUM(C64:C67)</f>
        <v>#VALUE!</v>
      </c>
      <c r="D68" s="853"/>
      <c r="E68" s="542" t="s">
        <v>85</v>
      </c>
      <c r="F68" s="543"/>
      <c r="G68" s="854" t="e">
        <f>C61-SUM(G61:G65)</f>
        <v>#VALUE!</v>
      </c>
      <c r="H68" s="468"/>
      <c r="I68" s="468"/>
      <c r="J68" s="468"/>
      <c r="K68" s="468"/>
      <c r="L68" s="468"/>
      <c r="M68" s="468"/>
      <c r="N68" s="468"/>
      <c r="O68" s="468"/>
      <c r="P68" s="468"/>
      <c r="Q68" s="468"/>
      <c r="R68" s="468"/>
      <c r="S68" s="468"/>
      <c r="T68" s="468"/>
      <c r="U68" s="468"/>
      <c r="V68" s="468"/>
      <c r="W68" s="468"/>
      <c r="X68" s="468"/>
      <c r="Y68" s="468"/>
      <c r="Z68" s="468"/>
      <c r="AA68" s="468"/>
      <c r="AB68" s="468"/>
      <c r="AC68" s="468"/>
      <c r="AD68" s="468"/>
      <c r="AE68" s="468"/>
      <c r="AF68" s="468"/>
      <c r="AG68" s="468"/>
      <c r="AH68" s="468"/>
      <c r="AI68" s="468"/>
      <c r="AJ68" s="468"/>
    </row>
    <row r="69" spans="1:36" ht="18" hidden="1" customHeight="1" x14ac:dyDescent="0.35">
      <c r="A69" s="468"/>
      <c r="B69" s="468"/>
      <c r="C69" s="468"/>
      <c r="D69" s="468"/>
      <c r="E69" s="468"/>
      <c r="F69" s="468"/>
      <c r="G69" s="468"/>
      <c r="H69" s="468"/>
      <c r="I69" s="468"/>
      <c r="J69" s="468"/>
      <c r="K69" s="468"/>
      <c r="L69" s="468"/>
      <c r="M69" s="468"/>
      <c r="N69" s="468"/>
      <c r="O69" s="468"/>
      <c r="P69" s="468"/>
      <c r="Q69" s="468"/>
      <c r="R69" s="468"/>
      <c r="S69" s="468"/>
      <c r="T69" s="468"/>
      <c r="U69" s="468"/>
      <c r="V69" s="468"/>
      <c r="W69" s="468"/>
      <c r="X69" s="468"/>
      <c r="Y69" s="468"/>
      <c r="Z69" s="468"/>
      <c r="AA69" s="468"/>
      <c r="AB69" s="468"/>
      <c r="AC69" s="468"/>
      <c r="AD69" s="468"/>
      <c r="AE69" s="468"/>
      <c r="AF69" s="468"/>
      <c r="AG69" s="468"/>
      <c r="AH69" s="468"/>
      <c r="AI69" s="468"/>
      <c r="AJ69" s="468"/>
    </row>
    <row r="70" spans="1:36" ht="18" hidden="1" customHeight="1" x14ac:dyDescent="0.35">
      <c r="A70" s="468"/>
      <c r="B70" s="468"/>
      <c r="C70" s="468"/>
      <c r="D70" s="468"/>
      <c r="E70" s="468"/>
      <c r="F70" s="468"/>
      <c r="G70" s="468"/>
      <c r="H70" s="468"/>
      <c r="I70" s="468"/>
      <c r="J70" s="468"/>
      <c r="K70" s="468"/>
      <c r="L70" s="468"/>
      <c r="M70" s="468"/>
      <c r="N70" s="468"/>
      <c r="O70" s="468"/>
      <c r="P70" s="468"/>
      <c r="Q70" s="468"/>
      <c r="R70" s="468"/>
      <c r="S70" s="468"/>
      <c r="T70" s="468"/>
      <c r="U70" s="468"/>
      <c r="V70" s="468"/>
      <c r="W70" s="468"/>
      <c r="X70" s="468"/>
      <c r="Y70" s="468"/>
      <c r="Z70" s="468"/>
      <c r="AA70" s="468"/>
      <c r="AB70" s="468"/>
      <c r="AC70" s="468"/>
      <c r="AD70" s="468"/>
      <c r="AE70" s="468"/>
      <c r="AF70" s="468"/>
      <c r="AG70" s="468"/>
      <c r="AH70" s="468"/>
      <c r="AI70" s="468"/>
      <c r="AJ70" s="468"/>
    </row>
    <row r="71" spans="1:36" ht="18" hidden="1" customHeight="1" x14ac:dyDescent="0.35">
      <c r="A71" s="468"/>
      <c r="B71" s="468"/>
      <c r="C71" s="468"/>
      <c r="D71" s="468"/>
      <c r="E71" s="468"/>
      <c r="F71" s="468"/>
      <c r="G71" s="468"/>
      <c r="H71" s="468"/>
      <c r="I71" s="468"/>
      <c r="J71" s="468"/>
      <c r="K71" s="468"/>
      <c r="L71" s="468"/>
      <c r="M71" s="468"/>
      <c r="N71" s="468"/>
      <c r="O71" s="468"/>
      <c r="P71" s="468"/>
      <c r="Q71" s="468"/>
      <c r="R71" s="468"/>
      <c r="S71" s="468"/>
      <c r="T71" s="468"/>
      <c r="U71" s="468"/>
      <c r="V71" s="468"/>
      <c r="W71" s="468"/>
      <c r="X71" s="468"/>
      <c r="Y71" s="468"/>
      <c r="Z71" s="468"/>
      <c r="AA71" s="468"/>
      <c r="AB71" s="468"/>
      <c r="AC71" s="468"/>
      <c r="AD71" s="468"/>
      <c r="AE71" s="468"/>
      <c r="AF71" s="468"/>
      <c r="AG71" s="468"/>
      <c r="AH71" s="468"/>
      <c r="AI71" s="468"/>
      <c r="AJ71" s="468"/>
    </row>
    <row r="72" spans="1:36" ht="18" hidden="1" customHeight="1" x14ac:dyDescent="0.35">
      <c r="A72" s="468"/>
      <c r="B72" s="468"/>
      <c r="C72" s="468"/>
      <c r="D72" s="468"/>
      <c r="E72" s="468"/>
      <c r="F72" s="468"/>
      <c r="G72" s="468"/>
      <c r="H72" s="468"/>
      <c r="I72" s="468"/>
      <c r="J72" s="468"/>
      <c r="K72" s="468"/>
      <c r="L72" s="468"/>
      <c r="M72" s="468"/>
      <c r="N72" s="468"/>
      <c r="O72" s="468"/>
      <c r="P72" s="468"/>
      <c r="Q72" s="468"/>
      <c r="R72" s="468"/>
      <c r="S72" s="468"/>
      <c r="T72" s="468"/>
      <c r="U72" s="468"/>
      <c r="V72" s="468"/>
      <c r="W72" s="468"/>
      <c r="X72" s="468"/>
      <c r="Y72" s="468"/>
      <c r="Z72" s="468"/>
      <c r="AA72" s="468"/>
      <c r="AB72" s="468"/>
      <c r="AC72" s="468"/>
      <c r="AD72" s="468"/>
      <c r="AE72" s="468"/>
      <c r="AF72" s="468"/>
      <c r="AG72" s="468"/>
      <c r="AH72" s="468"/>
      <c r="AI72" s="468"/>
      <c r="AJ72" s="468"/>
    </row>
    <row r="73" spans="1:36" ht="18" hidden="1" customHeight="1" x14ac:dyDescent="0.35">
      <c r="A73" s="468"/>
      <c r="B73" s="468"/>
      <c r="C73" s="468"/>
      <c r="D73" s="468"/>
      <c r="E73" s="468"/>
      <c r="F73" s="468"/>
      <c r="G73" s="468"/>
      <c r="H73" s="468"/>
      <c r="I73" s="468"/>
      <c r="J73" s="468"/>
      <c r="K73" s="468"/>
      <c r="L73" s="468"/>
      <c r="M73" s="468"/>
      <c r="N73" s="468"/>
      <c r="O73" s="468"/>
      <c r="P73" s="468"/>
      <c r="Q73" s="468"/>
      <c r="R73" s="468"/>
      <c r="S73" s="468"/>
      <c r="T73" s="468"/>
      <c r="U73" s="468"/>
      <c r="V73" s="468"/>
      <c r="W73" s="468"/>
      <c r="X73" s="468"/>
      <c r="Y73" s="468"/>
      <c r="Z73" s="468"/>
      <c r="AA73" s="468"/>
      <c r="AB73" s="468"/>
      <c r="AC73" s="468"/>
      <c r="AD73" s="468"/>
      <c r="AE73" s="468"/>
      <c r="AF73" s="468"/>
      <c r="AG73" s="468"/>
      <c r="AH73" s="468"/>
      <c r="AI73" s="468"/>
      <c r="AJ73" s="468"/>
    </row>
    <row r="74" spans="1:36" ht="18" hidden="1" customHeight="1" x14ac:dyDescent="0.35">
      <c r="A74" s="468"/>
      <c r="B74" s="468"/>
      <c r="C74" s="468"/>
      <c r="D74" s="514"/>
      <c r="E74" s="468"/>
      <c r="F74" s="468"/>
      <c r="G74" s="468"/>
      <c r="H74" s="468"/>
      <c r="I74" s="468"/>
      <c r="J74" s="468"/>
      <c r="K74" s="468"/>
      <c r="L74" s="468"/>
      <c r="M74" s="468"/>
      <c r="N74" s="468"/>
      <c r="O74" s="468"/>
      <c r="P74" s="468"/>
      <c r="Q74" s="468"/>
      <c r="R74" s="468"/>
      <c r="S74" s="468"/>
      <c r="T74" s="468"/>
      <c r="U74" s="468"/>
      <c r="V74" s="468"/>
      <c r="W74" s="468"/>
      <c r="X74" s="468"/>
      <c r="Y74" s="468"/>
      <c r="Z74" s="468"/>
      <c r="AA74" s="468"/>
      <c r="AB74" s="468"/>
      <c r="AC74" s="468"/>
      <c r="AD74" s="468"/>
      <c r="AE74" s="468"/>
      <c r="AF74" s="468"/>
      <c r="AG74" s="468"/>
      <c r="AH74" s="468"/>
      <c r="AI74" s="468"/>
      <c r="AJ74" s="468"/>
    </row>
    <row r="75" spans="1:36" ht="18" hidden="1" customHeight="1" x14ac:dyDescent="0.35">
      <c r="A75" s="468"/>
      <c r="B75" s="468"/>
      <c r="C75" s="468"/>
      <c r="D75" s="468"/>
      <c r="E75" s="468"/>
      <c r="F75" s="468"/>
      <c r="G75" s="468"/>
      <c r="H75" s="468"/>
      <c r="I75" s="468"/>
      <c r="J75" s="468"/>
      <c r="K75" s="468"/>
      <c r="L75" s="468"/>
      <c r="M75" s="468"/>
      <c r="N75" s="468"/>
      <c r="O75" s="468"/>
      <c r="P75" s="468"/>
      <c r="Q75" s="468"/>
      <c r="R75" s="468"/>
      <c r="S75" s="468"/>
      <c r="T75" s="468"/>
      <c r="U75" s="468"/>
      <c r="V75" s="468"/>
      <c r="W75" s="468"/>
      <c r="X75" s="468"/>
      <c r="Y75" s="468"/>
      <c r="Z75" s="468"/>
      <c r="AA75" s="468"/>
      <c r="AB75" s="468"/>
      <c r="AC75" s="468"/>
      <c r="AD75" s="468"/>
      <c r="AE75" s="468"/>
      <c r="AF75" s="468"/>
      <c r="AG75" s="468"/>
      <c r="AH75" s="468"/>
      <c r="AI75" s="468"/>
      <c r="AJ75" s="468"/>
    </row>
    <row r="76" spans="1:36" ht="24" hidden="1" customHeight="1" x14ac:dyDescent="0.35">
      <c r="A76" s="468"/>
      <c r="B76" s="468"/>
      <c r="C76" s="468"/>
      <c r="D76" s="468"/>
      <c r="E76" s="468"/>
      <c r="F76" s="468"/>
      <c r="G76" s="468"/>
      <c r="H76" s="468"/>
      <c r="I76" s="468"/>
      <c r="J76" s="468"/>
      <c r="K76" s="468"/>
      <c r="L76" s="468"/>
      <c r="M76" s="468"/>
      <c r="N76" s="468"/>
      <c r="O76" s="468"/>
      <c r="P76" s="468"/>
      <c r="Q76" s="468"/>
      <c r="R76" s="468"/>
      <c r="S76" s="468"/>
      <c r="T76" s="468"/>
      <c r="U76" s="468"/>
      <c r="V76" s="468"/>
      <c r="W76" s="468"/>
      <c r="X76" s="468"/>
      <c r="Y76" s="468"/>
      <c r="Z76" s="468"/>
      <c r="AA76" s="468"/>
      <c r="AB76" s="468"/>
      <c r="AC76" s="468"/>
      <c r="AD76" s="468"/>
      <c r="AE76" s="468"/>
      <c r="AF76" s="468"/>
      <c r="AG76" s="468"/>
      <c r="AH76" s="468"/>
      <c r="AI76" s="468"/>
      <c r="AJ76" s="468"/>
    </row>
    <row r="77" spans="1:36" ht="18" hidden="1" customHeight="1" x14ac:dyDescent="0.35">
      <c r="A77" s="548" t="s">
        <v>107</v>
      </c>
      <c r="B77" s="549">
        <v>1</v>
      </c>
      <c r="C77" s="468"/>
      <c r="D77" s="468"/>
      <c r="E77" s="468"/>
      <c r="F77" s="468"/>
      <c r="G77" s="468"/>
      <c r="H77" s="468"/>
      <c r="I77" s="468"/>
      <c r="J77" s="468"/>
      <c r="K77" s="468"/>
      <c r="L77" s="468"/>
      <c r="M77" s="468"/>
      <c r="N77" s="468"/>
      <c r="O77" s="468"/>
      <c r="P77" s="468"/>
      <c r="Q77" s="468"/>
      <c r="R77" s="468"/>
      <c r="S77" s="468"/>
      <c r="T77" s="468"/>
      <c r="U77" s="468"/>
      <c r="V77" s="468"/>
      <c r="W77" s="468"/>
      <c r="X77" s="468"/>
      <c r="Y77" s="468"/>
      <c r="Z77" s="468"/>
      <c r="AA77" s="468"/>
      <c r="AB77" s="468"/>
      <c r="AC77" s="468"/>
      <c r="AD77" s="468"/>
      <c r="AE77" s="468"/>
      <c r="AF77" s="468"/>
      <c r="AG77" s="468"/>
      <c r="AH77" s="468"/>
      <c r="AI77" s="468"/>
      <c r="AJ77" s="468"/>
    </row>
    <row r="78" spans="1:36" ht="18" hidden="1" customHeight="1" x14ac:dyDescent="0.35">
      <c r="A78" s="550" t="s">
        <v>18</v>
      </c>
      <c r="B78" s="551">
        <v>0</v>
      </c>
      <c r="C78" s="468"/>
      <c r="D78" s="468"/>
      <c r="E78" s="468"/>
      <c r="F78" s="468"/>
      <c r="G78" s="468"/>
      <c r="H78" s="468"/>
      <c r="I78" s="468"/>
      <c r="J78" s="468"/>
      <c r="K78" s="468"/>
      <c r="L78" s="468"/>
      <c r="M78" s="468"/>
      <c r="N78" s="468"/>
      <c r="O78" s="468"/>
      <c r="P78" s="468"/>
      <c r="Q78" s="468"/>
      <c r="R78" s="468"/>
      <c r="S78" s="468"/>
      <c r="T78" s="468"/>
      <c r="U78" s="468"/>
      <c r="V78" s="468"/>
      <c r="W78" s="468"/>
      <c r="X78" s="468"/>
      <c r="Y78" s="468"/>
      <c r="Z78" s="468"/>
      <c r="AA78" s="468"/>
      <c r="AB78" s="468"/>
      <c r="AC78" s="468"/>
      <c r="AD78" s="468"/>
      <c r="AE78" s="468"/>
      <c r="AF78" s="468"/>
      <c r="AG78" s="468"/>
      <c r="AH78" s="468"/>
      <c r="AI78" s="468"/>
      <c r="AJ78" s="468"/>
    </row>
    <row r="79" spans="1:36" ht="18" hidden="1" customHeight="1" x14ac:dyDescent="0.35">
      <c r="A79" s="468"/>
      <c r="B79" s="468"/>
      <c r="C79" s="468"/>
      <c r="D79" s="468"/>
      <c r="E79" s="468"/>
      <c r="F79" s="468"/>
      <c r="G79" s="468"/>
      <c r="H79" s="468"/>
      <c r="I79" s="468"/>
      <c r="J79" s="468"/>
      <c r="K79" s="468"/>
      <c r="L79" s="468"/>
      <c r="M79" s="468"/>
      <c r="N79" s="468"/>
      <c r="O79" s="468"/>
      <c r="P79" s="468"/>
      <c r="Q79" s="468"/>
      <c r="R79" s="468"/>
      <c r="S79" s="468"/>
      <c r="T79" s="468"/>
      <c r="U79" s="468"/>
      <c r="V79" s="468"/>
      <c r="W79" s="468"/>
      <c r="X79" s="468"/>
      <c r="Y79" s="468"/>
      <c r="Z79" s="468"/>
      <c r="AA79" s="468"/>
      <c r="AB79" s="468"/>
      <c r="AC79" s="468"/>
      <c r="AD79" s="468"/>
      <c r="AE79" s="468"/>
      <c r="AF79" s="468"/>
      <c r="AG79" s="468"/>
      <c r="AH79" s="468"/>
      <c r="AI79" s="468"/>
      <c r="AJ79" s="468"/>
    </row>
    <row r="80" spans="1:36" ht="18" hidden="1" customHeight="1" x14ac:dyDescent="0.35">
      <c r="A80" s="480" t="s">
        <v>16</v>
      </c>
      <c r="B80" s="484">
        <v>0</v>
      </c>
      <c r="C80" s="468"/>
      <c r="D80" s="468"/>
      <c r="E80" s="468"/>
      <c r="F80" s="468"/>
      <c r="G80" s="468"/>
      <c r="H80" s="468"/>
      <c r="I80" s="468"/>
      <c r="J80" s="468"/>
      <c r="K80" s="468"/>
      <c r="L80" s="468"/>
      <c r="M80" s="468"/>
      <c r="N80" s="468"/>
      <c r="O80" s="468"/>
      <c r="P80" s="468"/>
      <c r="Q80" s="468"/>
      <c r="R80" s="468"/>
      <c r="S80" s="468"/>
      <c r="T80" s="468"/>
      <c r="U80" s="468"/>
      <c r="V80" s="468"/>
      <c r="W80" s="468"/>
      <c r="X80" s="468"/>
      <c r="Y80" s="468"/>
      <c r="Z80" s="468"/>
      <c r="AA80" s="468"/>
      <c r="AB80" s="468"/>
      <c r="AC80" s="468"/>
      <c r="AD80" s="468"/>
      <c r="AE80" s="468"/>
      <c r="AF80" s="468"/>
      <c r="AG80" s="468"/>
      <c r="AH80" s="468"/>
      <c r="AI80" s="468"/>
      <c r="AJ80" s="468"/>
    </row>
    <row r="81" spans="1:36" ht="18" hidden="1" customHeight="1" x14ac:dyDescent="0.35">
      <c r="A81" s="531" t="s">
        <v>478</v>
      </c>
      <c r="B81" s="499">
        <v>2.5</v>
      </c>
      <c r="C81" s="468"/>
      <c r="D81" s="468"/>
      <c r="E81" s="468"/>
      <c r="F81" s="468"/>
      <c r="G81" s="468"/>
      <c r="H81" s="468"/>
      <c r="I81" s="468"/>
      <c r="J81" s="468"/>
      <c r="K81" s="468"/>
      <c r="L81" s="468"/>
      <c r="M81" s="468"/>
      <c r="N81" s="468"/>
      <c r="O81" s="468"/>
      <c r="P81" s="468"/>
      <c r="Q81" s="468"/>
      <c r="R81" s="468"/>
      <c r="S81" s="468"/>
      <c r="T81" s="468"/>
      <c r="U81" s="468"/>
      <c r="V81" s="468"/>
      <c r="W81" s="468"/>
      <c r="X81" s="468"/>
      <c r="Y81" s="468"/>
      <c r="Z81" s="468"/>
      <c r="AA81" s="468"/>
      <c r="AB81" s="468"/>
      <c r="AC81" s="468"/>
      <c r="AD81" s="468"/>
      <c r="AE81" s="468"/>
      <c r="AF81" s="468"/>
      <c r="AG81" s="468"/>
      <c r="AH81" s="468"/>
      <c r="AI81" s="468"/>
      <c r="AJ81" s="468"/>
    </row>
    <row r="82" spans="1:36" ht="18" hidden="1" customHeight="1" x14ac:dyDescent="0.35">
      <c r="A82" s="539" t="s">
        <v>486</v>
      </c>
      <c r="B82" s="853">
        <v>1</v>
      </c>
      <c r="C82" s="468"/>
      <c r="D82" s="468"/>
      <c r="E82" s="468"/>
      <c r="F82" s="468"/>
      <c r="G82" s="468"/>
      <c r="H82" s="468"/>
      <c r="I82" s="468"/>
      <c r="J82" s="468"/>
      <c r="K82" s="468"/>
      <c r="L82" s="468"/>
      <c r="M82" s="468"/>
      <c r="N82" s="468"/>
      <c r="O82" s="468"/>
      <c r="P82" s="468"/>
      <c r="Q82" s="468"/>
      <c r="R82" s="468"/>
      <c r="S82" s="468"/>
      <c r="T82" s="468"/>
      <c r="U82" s="468"/>
      <c r="V82" s="468"/>
      <c r="W82" s="468"/>
      <c r="X82" s="468"/>
      <c r="Y82" s="468"/>
      <c r="Z82" s="468"/>
      <c r="AA82" s="468"/>
      <c r="AB82" s="468"/>
      <c r="AC82" s="468"/>
      <c r="AD82" s="468"/>
      <c r="AE82" s="468"/>
      <c r="AF82" s="468"/>
      <c r="AG82" s="468"/>
      <c r="AH82" s="468"/>
      <c r="AI82" s="468"/>
      <c r="AJ82" s="468"/>
    </row>
    <row r="83" spans="1:36" ht="18" hidden="1" customHeight="1" x14ac:dyDescent="0.35">
      <c r="A83" s="468"/>
      <c r="B83" s="468"/>
      <c r="C83" s="468"/>
      <c r="D83" s="468"/>
      <c r="E83" s="468"/>
      <c r="F83" s="468"/>
      <c r="G83" s="468"/>
      <c r="H83" s="468"/>
      <c r="I83" s="468"/>
      <c r="J83" s="468"/>
      <c r="K83" s="468"/>
      <c r="L83" s="468"/>
      <c r="M83" s="468"/>
      <c r="N83" s="468"/>
      <c r="O83" s="468"/>
      <c r="P83" s="468"/>
      <c r="Q83" s="468"/>
      <c r="R83" s="468"/>
      <c r="S83" s="468"/>
      <c r="T83" s="468"/>
      <c r="U83" s="468"/>
      <c r="V83" s="468"/>
      <c r="W83" s="468"/>
      <c r="X83" s="468"/>
      <c r="Y83" s="468"/>
      <c r="Z83" s="468"/>
      <c r="AA83" s="468"/>
      <c r="AB83" s="468"/>
      <c r="AC83" s="468"/>
      <c r="AD83" s="468"/>
      <c r="AE83" s="468"/>
      <c r="AF83" s="468"/>
      <c r="AG83" s="468"/>
      <c r="AH83" s="468"/>
      <c r="AI83" s="468"/>
      <c r="AJ83" s="468"/>
    </row>
    <row r="84" spans="1:36" ht="18" hidden="1" customHeight="1" x14ac:dyDescent="0.35">
      <c r="A84" s="480" t="s">
        <v>16</v>
      </c>
      <c r="B84" s="482">
        <v>0</v>
      </c>
      <c r="C84" s="484">
        <v>0</v>
      </c>
      <c r="D84" s="468"/>
      <c r="E84" s="468"/>
      <c r="F84" s="468"/>
      <c r="G84" s="468"/>
      <c r="H84" s="468"/>
      <c r="I84" s="468"/>
      <c r="J84" s="468"/>
      <c r="K84" s="468"/>
      <c r="L84" s="468"/>
      <c r="M84" s="468"/>
      <c r="N84" s="468"/>
      <c r="O84" s="468"/>
      <c r="P84" s="468"/>
      <c r="Q84" s="468"/>
      <c r="R84" s="468"/>
      <c r="S84" s="468"/>
      <c r="T84" s="468"/>
      <c r="U84" s="468"/>
      <c r="V84" s="468"/>
      <c r="W84" s="468"/>
      <c r="X84" s="468"/>
      <c r="Y84" s="468"/>
      <c r="Z84" s="468"/>
      <c r="AA84" s="468"/>
      <c r="AB84" s="468"/>
      <c r="AC84" s="468"/>
      <c r="AD84" s="468"/>
      <c r="AE84" s="468"/>
      <c r="AF84" s="468"/>
      <c r="AG84" s="468"/>
      <c r="AH84" s="468"/>
      <c r="AI84" s="468"/>
      <c r="AJ84" s="468"/>
    </row>
    <row r="85" spans="1:36" ht="18" hidden="1" customHeight="1" x14ac:dyDescent="0.35">
      <c r="A85" s="531" t="s">
        <v>487</v>
      </c>
      <c r="B85" s="468">
        <v>1</v>
      </c>
      <c r="C85" s="499">
        <v>8</v>
      </c>
      <c r="D85" s="468">
        <v>5.3</v>
      </c>
      <c r="E85" s="468"/>
      <c r="F85" s="468"/>
      <c r="G85" s="468"/>
      <c r="H85" s="468"/>
      <c r="I85" s="468"/>
      <c r="J85" s="468"/>
      <c r="K85" s="468"/>
      <c r="L85" s="468"/>
      <c r="M85" s="468"/>
      <c r="N85" s="468"/>
      <c r="O85" s="468"/>
      <c r="P85" s="468"/>
      <c r="Q85" s="468"/>
      <c r="R85" s="468"/>
      <c r="S85" s="468"/>
      <c r="T85" s="468"/>
      <c r="U85" s="468"/>
      <c r="V85" s="468"/>
      <c r="W85" s="468"/>
      <c r="X85" s="468"/>
      <c r="Y85" s="468"/>
      <c r="Z85" s="468"/>
      <c r="AA85" s="468"/>
      <c r="AB85" s="468"/>
      <c r="AC85" s="468"/>
      <c r="AD85" s="468"/>
      <c r="AE85" s="468"/>
      <c r="AF85" s="468"/>
      <c r="AG85" s="468"/>
      <c r="AH85" s="468"/>
      <c r="AI85" s="468"/>
      <c r="AJ85" s="468"/>
    </row>
    <row r="86" spans="1:36" ht="18" hidden="1" customHeight="1" x14ac:dyDescent="0.35">
      <c r="A86" s="531" t="s">
        <v>488</v>
      </c>
      <c r="B86" s="468">
        <f>2</f>
        <v>2</v>
      </c>
      <c r="C86" s="499">
        <v>19</v>
      </c>
      <c r="D86" s="468">
        <v>6.3</v>
      </c>
      <c r="E86" s="468"/>
      <c r="F86" s="468"/>
      <c r="G86" s="468"/>
      <c r="H86" s="468"/>
      <c r="I86" s="468"/>
      <c r="J86" s="468"/>
      <c r="K86" s="468"/>
      <c r="L86" s="468"/>
      <c r="M86" s="468"/>
      <c r="N86" s="468"/>
      <c r="O86" s="468"/>
      <c r="P86" s="468"/>
      <c r="Q86" s="468"/>
      <c r="R86" s="468"/>
      <c r="S86" s="468"/>
      <c r="T86" s="468"/>
      <c r="U86" s="468"/>
      <c r="V86" s="468"/>
      <c r="W86" s="468"/>
      <c r="X86" s="468"/>
      <c r="Y86" s="468"/>
      <c r="Z86" s="468"/>
      <c r="AA86" s="468"/>
      <c r="AB86" s="468"/>
      <c r="AC86" s="468"/>
      <c r="AD86" s="468"/>
      <c r="AE86" s="468"/>
      <c r="AF86" s="468"/>
      <c r="AG86" s="468"/>
      <c r="AH86" s="468"/>
      <c r="AI86" s="468"/>
      <c r="AJ86" s="468"/>
    </row>
    <row r="87" spans="1:36" ht="18" hidden="1" customHeight="1" x14ac:dyDescent="0.35">
      <c r="A87" s="531" t="s">
        <v>339</v>
      </c>
      <c r="B87" s="468">
        <v>2.5</v>
      </c>
      <c r="C87" s="499">
        <v>13</v>
      </c>
      <c r="D87" s="468">
        <v>6.5</v>
      </c>
      <c r="E87" s="468"/>
      <c r="F87" s="468"/>
      <c r="G87" s="468"/>
      <c r="H87" s="468"/>
      <c r="I87" s="468"/>
      <c r="J87" s="468"/>
      <c r="K87" s="468"/>
      <c r="L87" s="468"/>
      <c r="M87" s="468"/>
      <c r="N87" s="468"/>
      <c r="O87" s="468"/>
      <c r="P87" s="468"/>
      <c r="Q87" s="468"/>
      <c r="R87" s="468"/>
      <c r="S87" s="468"/>
      <c r="T87" s="468"/>
      <c r="U87" s="468"/>
      <c r="V87" s="468"/>
      <c r="W87" s="468"/>
      <c r="X87" s="468"/>
      <c r="Y87" s="468"/>
      <c r="Z87" s="468"/>
      <c r="AA87" s="468"/>
      <c r="AB87" s="468"/>
      <c r="AC87" s="468"/>
      <c r="AD87" s="468"/>
      <c r="AE87" s="468"/>
      <c r="AF87" s="468"/>
      <c r="AG87" s="468"/>
      <c r="AH87" s="468"/>
      <c r="AI87" s="468"/>
      <c r="AJ87" s="468"/>
    </row>
    <row r="88" spans="1:36" ht="18" hidden="1" customHeight="1" x14ac:dyDescent="0.35">
      <c r="A88" s="531" t="s">
        <v>489</v>
      </c>
      <c r="B88" s="468">
        <v>1.5</v>
      </c>
      <c r="C88" s="499">
        <v>22</v>
      </c>
      <c r="D88" s="468">
        <v>6.1</v>
      </c>
      <c r="E88" s="468"/>
      <c r="F88" s="468"/>
      <c r="G88" s="468"/>
      <c r="H88" s="468"/>
      <c r="I88" s="468"/>
      <c r="J88" s="468"/>
      <c r="K88" s="468"/>
      <c r="L88" s="468"/>
      <c r="M88" s="468"/>
      <c r="N88" s="468"/>
      <c r="O88" s="468"/>
      <c r="P88" s="468"/>
      <c r="Q88" s="468"/>
      <c r="R88" s="468"/>
      <c r="S88" s="468"/>
      <c r="T88" s="468"/>
      <c r="U88" s="468"/>
      <c r="V88" s="468"/>
      <c r="W88" s="468"/>
      <c r="X88" s="468"/>
      <c r="Y88" s="468"/>
      <c r="Z88" s="468"/>
      <c r="AA88" s="468"/>
      <c r="AB88" s="468"/>
      <c r="AC88" s="468"/>
      <c r="AD88" s="468"/>
      <c r="AE88" s="468"/>
      <c r="AF88" s="468"/>
      <c r="AG88" s="468"/>
      <c r="AH88" s="468"/>
      <c r="AI88" s="468"/>
      <c r="AJ88" s="468"/>
    </row>
    <row r="89" spans="1:36" ht="18" hidden="1" customHeight="1" x14ac:dyDescent="0.35">
      <c r="A89" s="531" t="s">
        <v>490</v>
      </c>
      <c r="B89" s="468">
        <v>2.2000000000000002</v>
      </c>
      <c r="C89" s="499">
        <v>16</v>
      </c>
      <c r="D89" s="468"/>
      <c r="E89" s="468"/>
      <c r="F89" s="468"/>
      <c r="G89" s="468"/>
      <c r="H89" s="468"/>
      <c r="I89" s="468"/>
      <c r="J89" s="468"/>
      <c r="K89" s="468"/>
      <c r="L89" s="468"/>
      <c r="M89" s="468"/>
      <c r="N89" s="468"/>
      <c r="O89" s="468"/>
      <c r="P89" s="468"/>
      <c r="Q89" s="468"/>
      <c r="R89" s="468"/>
      <c r="S89" s="468"/>
      <c r="T89" s="468"/>
      <c r="U89" s="468"/>
      <c r="V89" s="468"/>
      <c r="W89" s="468"/>
      <c r="X89" s="468"/>
      <c r="Y89" s="468"/>
      <c r="Z89" s="468"/>
      <c r="AA89" s="468"/>
      <c r="AB89" s="468"/>
      <c r="AC89" s="468"/>
      <c r="AD89" s="468"/>
      <c r="AE89" s="468"/>
      <c r="AF89" s="468"/>
      <c r="AG89" s="468"/>
      <c r="AH89" s="468"/>
      <c r="AI89" s="468"/>
      <c r="AJ89" s="468"/>
    </row>
    <row r="90" spans="1:36" ht="18" hidden="1" customHeight="1" x14ac:dyDescent="0.35">
      <c r="A90" s="531" t="s">
        <v>491</v>
      </c>
      <c r="B90" s="543">
        <v>3</v>
      </c>
      <c r="C90" s="853">
        <v>18</v>
      </c>
      <c r="D90" s="468">
        <v>5.95</v>
      </c>
      <c r="E90" s="468"/>
      <c r="F90" s="468"/>
      <c r="G90" s="468"/>
      <c r="H90" s="468"/>
      <c r="I90" s="468"/>
      <c r="J90" s="468"/>
      <c r="K90" s="468"/>
      <c r="L90" s="468"/>
      <c r="M90" s="468"/>
      <c r="N90" s="468"/>
      <c r="O90" s="468"/>
      <c r="P90" s="468"/>
      <c r="Q90" s="468"/>
      <c r="R90" s="468"/>
      <c r="S90" s="468"/>
      <c r="T90" s="468"/>
      <c r="U90" s="468"/>
      <c r="V90" s="468"/>
      <c r="W90" s="468"/>
      <c r="X90" s="468"/>
      <c r="Y90" s="468"/>
      <c r="Z90" s="468"/>
      <c r="AA90" s="468"/>
      <c r="AB90" s="468"/>
      <c r="AC90" s="468"/>
      <c r="AD90" s="468"/>
      <c r="AE90" s="468"/>
      <c r="AF90" s="468"/>
      <c r="AG90" s="468"/>
      <c r="AH90" s="468"/>
      <c r="AI90" s="468"/>
      <c r="AJ90" s="468"/>
    </row>
    <row r="91" spans="1:36" ht="18" hidden="1" customHeight="1" x14ac:dyDescent="0.35">
      <c r="A91" s="468"/>
      <c r="B91" s="468"/>
      <c r="C91" s="468"/>
      <c r="D91" s="468"/>
      <c r="E91" s="468"/>
      <c r="F91" s="468"/>
      <c r="G91" s="468"/>
      <c r="H91" s="468"/>
      <c r="I91" s="468"/>
      <c r="J91" s="468"/>
      <c r="K91" s="468"/>
      <c r="L91" s="468"/>
      <c r="M91" s="468"/>
      <c r="N91" s="468"/>
      <c r="O91" s="468"/>
      <c r="P91" s="468"/>
      <c r="Q91" s="468"/>
      <c r="R91" s="468"/>
      <c r="S91" s="468"/>
      <c r="T91" s="468"/>
      <c r="U91" s="468"/>
      <c r="V91" s="468"/>
      <c r="W91" s="468"/>
      <c r="X91" s="468"/>
      <c r="Y91" s="468"/>
      <c r="Z91" s="468"/>
      <c r="AA91" s="468"/>
      <c r="AB91" s="468"/>
      <c r="AC91" s="468"/>
      <c r="AD91" s="468"/>
      <c r="AE91" s="468"/>
      <c r="AF91" s="468"/>
      <c r="AG91" s="468"/>
      <c r="AH91" s="468"/>
      <c r="AI91" s="468"/>
      <c r="AJ91" s="468"/>
    </row>
    <row r="92" spans="1:36" ht="18" hidden="1" customHeight="1" x14ac:dyDescent="0.35">
      <c r="A92" s="480" t="s">
        <v>375</v>
      </c>
      <c r="B92" s="482">
        <v>1</v>
      </c>
      <c r="C92" s="484">
        <v>3</v>
      </c>
      <c r="D92" s="468"/>
      <c r="E92" s="468"/>
      <c r="F92" s="468"/>
      <c r="G92" s="468"/>
      <c r="H92" s="468"/>
      <c r="I92" s="468"/>
      <c r="J92" s="468"/>
      <c r="K92" s="468"/>
      <c r="L92" s="468"/>
      <c r="M92" s="468"/>
      <c r="N92" s="468"/>
      <c r="O92" s="468"/>
      <c r="P92" s="468"/>
      <c r="Q92" s="468"/>
      <c r="R92" s="468"/>
      <c r="S92" s="468"/>
      <c r="T92" s="468"/>
      <c r="U92" s="468"/>
      <c r="V92" s="468"/>
      <c r="W92" s="468"/>
      <c r="X92" s="468"/>
      <c r="Y92" s="468"/>
      <c r="Z92" s="468"/>
      <c r="AA92" s="468"/>
      <c r="AB92" s="468"/>
      <c r="AC92" s="468"/>
      <c r="AD92" s="468"/>
      <c r="AE92" s="468"/>
      <c r="AF92" s="468"/>
      <c r="AG92" s="468"/>
      <c r="AH92" s="468"/>
      <c r="AI92" s="468"/>
      <c r="AJ92" s="468"/>
    </row>
    <row r="93" spans="1:36" ht="18" hidden="1" customHeight="1" x14ac:dyDescent="0.35">
      <c r="A93" s="531" t="s">
        <v>113</v>
      </c>
      <c r="B93" s="468">
        <v>1</v>
      </c>
      <c r="C93" s="499">
        <v>5</v>
      </c>
      <c r="D93" s="468"/>
      <c r="E93" s="468"/>
      <c r="F93" s="468"/>
      <c r="G93" s="468"/>
      <c r="H93" s="468"/>
      <c r="I93" s="468"/>
      <c r="J93" s="468"/>
      <c r="K93" s="468"/>
      <c r="L93" s="468"/>
      <c r="M93" s="468"/>
      <c r="N93" s="468"/>
      <c r="O93" s="468"/>
      <c r="P93" s="468"/>
      <c r="Q93" s="468"/>
      <c r="R93" s="468"/>
      <c r="S93" s="468"/>
      <c r="T93" s="468"/>
      <c r="U93" s="468"/>
      <c r="V93" s="468"/>
      <c r="W93" s="468"/>
      <c r="X93" s="468"/>
      <c r="Y93" s="468"/>
      <c r="Z93" s="468"/>
      <c r="AA93" s="468"/>
      <c r="AB93" s="468"/>
      <c r="AC93" s="468"/>
      <c r="AD93" s="468"/>
      <c r="AE93" s="468"/>
      <c r="AF93" s="468"/>
      <c r="AG93" s="468"/>
      <c r="AH93" s="468"/>
      <c r="AI93" s="468"/>
      <c r="AJ93" s="468"/>
    </row>
    <row r="94" spans="1:36" ht="18" hidden="1" customHeight="1" x14ac:dyDescent="0.35">
      <c r="A94" s="531" t="s">
        <v>16</v>
      </c>
      <c r="B94" s="468"/>
      <c r="C94" s="499"/>
      <c r="D94" s="468"/>
      <c r="E94" s="468"/>
      <c r="F94" s="468"/>
      <c r="G94" s="468"/>
      <c r="H94" s="468"/>
      <c r="I94" s="468"/>
      <c r="J94" s="468"/>
      <c r="K94" s="468"/>
      <c r="L94" s="468"/>
      <c r="M94" s="468"/>
      <c r="N94" s="468"/>
      <c r="O94" s="468"/>
      <c r="P94" s="468"/>
      <c r="Q94" s="468"/>
      <c r="R94" s="468"/>
      <c r="S94" s="468"/>
      <c r="T94" s="468"/>
      <c r="U94" s="468"/>
      <c r="V94" s="468"/>
      <c r="W94" s="468"/>
      <c r="X94" s="468"/>
      <c r="Y94" s="468"/>
      <c r="Z94" s="468"/>
      <c r="AA94" s="468"/>
      <c r="AB94" s="468"/>
      <c r="AC94" s="468"/>
      <c r="AD94" s="468"/>
      <c r="AE94" s="468"/>
      <c r="AF94" s="468"/>
      <c r="AG94" s="468"/>
      <c r="AH94" s="468"/>
      <c r="AI94" s="468"/>
      <c r="AJ94" s="468"/>
    </row>
    <row r="95" spans="1:36" ht="18" hidden="1" customHeight="1" x14ac:dyDescent="0.35">
      <c r="A95" s="531" t="s">
        <v>105</v>
      </c>
      <c r="B95" s="468">
        <v>1</v>
      </c>
      <c r="C95" s="499">
        <v>3</v>
      </c>
      <c r="D95" s="468"/>
      <c r="E95" s="468"/>
      <c r="F95" s="468"/>
      <c r="G95" s="468"/>
      <c r="H95" s="468"/>
      <c r="I95" s="468"/>
      <c r="J95" s="468"/>
      <c r="K95" s="468"/>
      <c r="L95" s="468"/>
      <c r="M95" s="468"/>
      <c r="N95" s="468"/>
      <c r="O95" s="468"/>
      <c r="P95" s="468"/>
      <c r="Q95" s="468"/>
      <c r="R95" s="468"/>
      <c r="S95" s="468"/>
      <c r="T95" s="468"/>
      <c r="U95" s="468"/>
      <c r="V95" s="468"/>
      <c r="W95" s="468"/>
      <c r="X95" s="468"/>
      <c r="Y95" s="468"/>
      <c r="Z95" s="468"/>
      <c r="AA95" s="468"/>
      <c r="AB95" s="468"/>
      <c r="AC95" s="468"/>
      <c r="AD95" s="468"/>
      <c r="AE95" s="468"/>
      <c r="AF95" s="468"/>
      <c r="AG95" s="468"/>
      <c r="AH95" s="468"/>
      <c r="AI95" s="468"/>
      <c r="AJ95" s="468"/>
    </row>
    <row r="96" spans="1:36" ht="18" hidden="1" customHeight="1" x14ac:dyDescent="0.35">
      <c r="A96" s="531" t="s">
        <v>27</v>
      </c>
      <c r="B96" s="468">
        <v>1</v>
      </c>
      <c r="C96" s="499">
        <v>5</v>
      </c>
      <c r="D96" s="468"/>
      <c r="E96" s="468"/>
      <c r="F96" s="468"/>
      <c r="G96" s="468"/>
      <c r="H96" s="468"/>
      <c r="I96" s="468"/>
      <c r="J96" s="468"/>
      <c r="K96" s="468"/>
      <c r="L96" s="468"/>
      <c r="M96" s="468"/>
      <c r="N96" s="468"/>
      <c r="O96" s="468"/>
      <c r="P96" s="468"/>
      <c r="Q96" s="468"/>
      <c r="R96" s="468"/>
      <c r="S96" s="468"/>
      <c r="T96" s="468"/>
      <c r="U96" s="468"/>
      <c r="V96" s="468"/>
      <c r="W96" s="468"/>
      <c r="X96" s="468"/>
      <c r="Y96" s="468"/>
      <c r="Z96" s="468"/>
      <c r="AA96" s="468"/>
      <c r="AB96" s="468"/>
      <c r="AC96" s="468"/>
      <c r="AD96" s="468"/>
      <c r="AE96" s="468"/>
      <c r="AF96" s="468"/>
      <c r="AG96" s="468"/>
      <c r="AH96" s="468"/>
      <c r="AI96" s="468"/>
      <c r="AJ96" s="468"/>
    </row>
    <row r="97" spans="1:36" ht="18" hidden="1" customHeight="1" x14ac:dyDescent="0.35">
      <c r="A97" s="531" t="s">
        <v>128</v>
      </c>
      <c r="B97" s="468">
        <v>1</v>
      </c>
      <c r="C97" s="499">
        <v>3.2</v>
      </c>
      <c r="D97" s="468"/>
      <c r="E97" s="468"/>
      <c r="F97" s="468"/>
      <c r="G97" s="468"/>
      <c r="H97" s="468"/>
      <c r="I97" s="468"/>
      <c r="J97" s="468"/>
      <c r="K97" s="468"/>
      <c r="L97" s="468"/>
      <c r="M97" s="468"/>
      <c r="N97" s="468"/>
      <c r="O97" s="468"/>
      <c r="P97" s="468"/>
      <c r="Q97" s="468"/>
      <c r="R97" s="468"/>
      <c r="S97" s="468"/>
      <c r="T97" s="468"/>
      <c r="U97" s="468"/>
      <c r="V97" s="468"/>
      <c r="W97" s="468"/>
      <c r="X97" s="468"/>
      <c r="Y97" s="468"/>
      <c r="Z97" s="468"/>
      <c r="AA97" s="468"/>
      <c r="AB97" s="468"/>
      <c r="AC97" s="468"/>
      <c r="AD97" s="468"/>
      <c r="AE97" s="468"/>
      <c r="AF97" s="468"/>
      <c r="AG97" s="468"/>
      <c r="AH97" s="468"/>
      <c r="AI97" s="468"/>
      <c r="AJ97" s="468"/>
    </row>
    <row r="98" spans="1:36" ht="18" hidden="1" customHeight="1" x14ac:dyDescent="0.35">
      <c r="A98" s="531" t="s">
        <v>376</v>
      </c>
      <c r="B98" s="468">
        <v>1</v>
      </c>
      <c r="C98" s="499">
        <v>3.2</v>
      </c>
      <c r="D98" s="468"/>
      <c r="E98" s="468"/>
      <c r="F98" s="468"/>
      <c r="G98" s="468"/>
      <c r="H98" s="468"/>
      <c r="I98" s="468"/>
      <c r="J98" s="468"/>
      <c r="K98" s="468"/>
      <c r="L98" s="468"/>
      <c r="M98" s="468"/>
      <c r="N98" s="468"/>
      <c r="O98" s="468"/>
      <c r="P98" s="468"/>
      <c r="Q98" s="468"/>
      <c r="R98" s="468"/>
      <c r="S98" s="468"/>
      <c r="T98" s="468"/>
      <c r="U98" s="468"/>
      <c r="V98" s="468"/>
      <c r="W98" s="468"/>
      <c r="X98" s="468"/>
      <c r="Y98" s="468"/>
      <c r="Z98" s="468"/>
      <c r="AA98" s="468"/>
      <c r="AB98" s="468"/>
      <c r="AC98" s="468"/>
      <c r="AD98" s="468"/>
      <c r="AE98" s="468"/>
      <c r="AF98" s="468"/>
      <c r="AG98" s="468"/>
      <c r="AH98" s="468"/>
      <c r="AI98" s="468"/>
      <c r="AJ98" s="468"/>
    </row>
    <row r="99" spans="1:36" ht="18" hidden="1" customHeight="1" x14ac:dyDescent="0.35">
      <c r="A99" s="531" t="s">
        <v>203</v>
      </c>
      <c r="B99" s="468">
        <v>1</v>
      </c>
      <c r="C99" s="499">
        <v>5.5</v>
      </c>
      <c r="D99" s="468"/>
      <c r="E99" s="468"/>
      <c r="F99" s="468"/>
      <c r="G99" s="468"/>
      <c r="H99" s="468"/>
      <c r="I99" s="468"/>
      <c r="J99" s="468"/>
      <c r="K99" s="468"/>
      <c r="L99" s="468"/>
      <c r="M99" s="468"/>
      <c r="N99" s="468"/>
      <c r="O99" s="468"/>
      <c r="P99" s="468"/>
      <c r="Q99" s="468"/>
      <c r="R99" s="468"/>
      <c r="S99" s="468"/>
      <c r="T99" s="468"/>
      <c r="U99" s="468"/>
      <c r="V99" s="468"/>
      <c r="W99" s="468"/>
      <c r="X99" s="468"/>
      <c r="Y99" s="468"/>
      <c r="Z99" s="468"/>
      <c r="AA99" s="468"/>
      <c r="AB99" s="468"/>
      <c r="AC99" s="468"/>
      <c r="AD99" s="468"/>
      <c r="AE99" s="468"/>
      <c r="AF99" s="468"/>
      <c r="AG99" s="468"/>
      <c r="AH99" s="468"/>
      <c r="AI99" s="468"/>
      <c r="AJ99" s="468"/>
    </row>
    <row r="100" spans="1:36" ht="18" hidden="1" customHeight="1" x14ac:dyDescent="0.35">
      <c r="A100" s="539" t="s">
        <v>377</v>
      </c>
      <c r="B100" s="543">
        <v>1</v>
      </c>
      <c r="C100" s="853">
        <v>5.3</v>
      </c>
      <c r="D100" s="468"/>
      <c r="E100" s="468"/>
      <c r="F100" s="468"/>
      <c r="G100" s="468"/>
      <c r="H100" s="468"/>
      <c r="I100" s="468"/>
      <c r="J100" s="468"/>
      <c r="K100" s="468"/>
      <c r="L100" s="468"/>
      <c r="M100" s="468"/>
      <c r="N100" s="468"/>
      <c r="O100" s="468"/>
      <c r="P100" s="468"/>
      <c r="Q100" s="468"/>
      <c r="R100" s="468"/>
      <c r="S100" s="468"/>
      <c r="T100" s="468"/>
      <c r="U100" s="468"/>
      <c r="V100" s="468"/>
      <c r="W100" s="468"/>
      <c r="X100" s="468"/>
      <c r="Y100" s="468"/>
      <c r="Z100" s="468"/>
      <c r="AA100" s="468"/>
      <c r="AB100" s="468"/>
      <c r="AC100" s="468"/>
      <c r="AD100" s="468"/>
      <c r="AE100" s="468"/>
      <c r="AF100" s="468"/>
      <c r="AG100" s="468"/>
      <c r="AH100" s="468"/>
      <c r="AI100" s="468"/>
      <c r="AJ100" s="468"/>
    </row>
    <row r="101" spans="1:36" ht="18" hidden="1" customHeight="1" x14ac:dyDescent="0.35">
      <c r="A101" s="468"/>
      <c r="B101" s="468"/>
      <c r="C101" s="468"/>
      <c r="D101" s="468"/>
      <c r="E101" s="468"/>
      <c r="F101" s="468"/>
      <c r="G101" s="468"/>
      <c r="H101" s="468"/>
      <c r="I101" s="468"/>
      <c r="J101" s="468"/>
      <c r="K101" s="468"/>
      <c r="L101" s="468"/>
      <c r="M101" s="468"/>
      <c r="N101" s="468"/>
      <c r="O101" s="468"/>
      <c r="P101" s="468"/>
      <c r="Q101" s="468"/>
      <c r="R101" s="468"/>
      <c r="S101" s="468"/>
      <c r="T101" s="468"/>
      <c r="U101" s="468"/>
      <c r="V101" s="468"/>
      <c r="W101" s="468"/>
      <c r="X101" s="468"/>
      <c r="Y101" s="468"/>
      <c r="Z101" s="468"/>
      <c r="AA101" s="468"/>
      <c r="AB101" s="468"/>
      <c r="AC101" s="468"/>
      <c r="AD101" s="468"/>
      <c r="AE101" s="468"/>
      <c r="AF101" s="468"/>
      <c r="AG101" s="468"/>
      <c r="AH101" s="468"/>
      <c r="AI101" s="468"/>
      <c r="AJ101" s="468"/>
    </row>
    <row r="102" spans="1:36" ht="18" hidden="1" customHeight="1" x14ac:dyDescent="0.35">
      <c r="A102" s="855" t="s">
        <v>481</v>
      </c>
      <c r="B102" s="482" t="s">
        <v>10</v>
      </c>
      <c r="C102" s="484">
        <v>1.5</v>
      </c>
      <c r="D102" s="468"/>
      <c r="E102" s="468"/>
      <c r="F102" s="468"/>
      <c r="G102" s="468"/>
      <c r="H102" s="468"/>
      <c r="I102" s="468"/>
      <c r="J102" s="468"/>
      <c r="K102" s="468"/>
      <c r="L102" s="468"/>
      <c r="M102" s="468"/>
      <c r="N102" s="468"/>
      <c r="O102" s="468"/>
      <c r="P102" s="468"/>
      <c r="Q102" s="468"/>
      <c r="R102" s="468"/>
      <c r="S102" s="468"/>
      <c r="T102" s="468"/>
      <c r="U102" s="468"/>
      <c r="V102" s="468"/>
      <c r="W102" s="468"/>
      <c r="X102" s="468"/>
      <c r="Y102" s="468"/>
      <c r="Z102" s="468"/>
      <c r="AA102" s="468"/>
      <c r="AB102" s="468"/>
      <c r="AC102" s="468"/>
      <c r="AD102" s="468"/>
      <c r="AE102" s="468"/>
      <c r="AF102" s="468"/>
      <c r="AG102" s="468"/>
      <c r="AH102" s="468"/>
      <c r="AI102" s="468"/>
      <c r="AJ102" s="468"/>
    </row>
    <row r="103" spans="1:36" ht="18" hidden="1" customHeight="1" x14ac:dyDescent="0.35">
      <c r="A103" s="856" t="s">
        <v>492</v>
      </c>
      <c r="B103" s="468" t="s">
        <v>391</v>
      </c>
      <c r="C103" s="499">
        <v>2.2000000000000002</v>
      </c>
      <c r="D103" s="468"/>
      <c r="E103" s="468"/>
      <c r="F103" s="468"/>
      <c r="G103" s="468"/>
      <c r="H103" s="468"/>
      <c r="I103" s="468"/>
      <c r="J103" s="468"/>
      <c r="K103" s="468"/>
      <c r="L103" s="468"/>
      <c r="M103" s="468"/>
      <c r="N103" s="468"/>
      <c r="O103" s="468"/>
      <c r="P103" s="468"/>
      <c r="Q103" s="468"/>
      <c r="R103" s="468"/>
      <c r="S103" s="468"/>
      <c r="T103" s="468"/>
      <c r="U103" s="468"/>
      <c r="V103" s="468"/>
      <c r="W103" s="468"/>
      <c r="X103" s="468"/>
      <c r="Y103" s="468"/>
      <c r="Z103" s="468"/>
      <c r="AA103" s="468"/>
      <c r="AB103" s="468"/>
      <c r="AC103" s="468"/>
      <c r="AD103" s="468"/>
      <c r="AE103" s="468"/>
      <c r="AF103" s="468"/>
      <c r="AG103" s="468"/>
      <c r="AH103" s="468"/>
      <c r="AI103" s="468"/>
      <c r="AJ103" s="468"/>
    </row>
    <row r="104" spans="1:36" ht="18" hidden="1" customHeight="1" x14ac:dyDescent="0.35">
      <c r="A104" s="857" t="s">
        <v>493</v>
      </c>
      <c r="B104" s="543" t="s">
        <v>395</v>
      </c>
      <c r="C104" s="853">
        <v>3</v>
      </c>
      <c r="D104" s="468"/>
      <c r="E104" s="468"/>
      <c r="F104" s="468"/>
      <c r="G104" s="468"/>
      <c r="H104" s="468"/>
      <c r="I104" s="468"/>
      <c r="J104" s="468"/>
      <c r="K104" s="468"/>
      <c r="L104" s="468"/>
      <c r="M104" s="468"/>
      <c r="N104" s="468"/>
      <c r="O104" s="468"/>
      <c r="P104" s="468"/>
      <c r="Q104" s="468"/>
      <c r="R104" s="468"/>
      <c r="S104" s="468"/>
      <c r="T104" s="468"/>
      <c r="U104" s="468"/>
      <c r="V104" s="468"/>
      <c r="W104" s="468"/>
      <c r="X104" s="468"/>
      <c r="Y104" s="468"/>
      <c r="Z104" s="468"/>
      <c r="AA104" s="468"/>
      <c r="AB104" s="468"/>
      <c r="AC104" s="468"/>
      <c r="AD104" s="468"/>
      <c r="AE104" s="468"/>
      <c r="AF104" s="468"/>
      <c r="AG104" s="468"/>
      <c r="AH104" s="468"/>
      <c r="AI104" s="468"/>
      <c r="AJ104" s="468"/>
    </row>
    <row r="105" spans="1:36" ht="18" hidden="1" customHeight="1" x14ac:dyDescent="0.35">
      <c r="A105" s="468"/>
      <c r="B105" s="468"/>
      <c r="C105" s="468"/>
      <c r="D105" s="468"/>
      <c r="E105" s="468"/>
      <c r="F105" s="468"/>
      <c r="G105" s="468"/>
      <c r="H105" s="468"/>
      <c r="I105" s="468"/>
      <c r="J105" s="468"/>
      <c r="K105" s="468"/>
      <c r="L105" s="468"/>
      <c r="M105" s="468"/>
      <c r="N105" s="468"/>
      <c r="O105" s="468"/>
      <c r="P105" s="468"/>
      <c r="Q105" s="468"/>
      <c r="R105" s="468"/>
      <c r="S105" s="468"/>
      <c r="T105" s="468"/>
      <c r="U105" s="468"/>
      <c r="V105" s="468"/>
      <c r="W105" s="468"/>
      <c r="X105" s="468"/>
      <c r="Y105" s="468"/>
      <c r="Z105" s="468"/>
      <c r="AA105" s="468"/>
      <c r="AB105" s="468"/>
      <c r="AC105" s="468"/>
      <c r="AD105" s="468"/>
      <c r="AE105" s="468"/>
      <c r="AF105" s="468"/>
      <c r="AG105" s="468"/>
      <c r="AH105" s="468"/>
      <c r="AI105" s="468"/>
      <c r="AJ105" s="468"/>
    </row>
    <row r="106" spans="1:36" ht="18" hidden="1" customHeight="1" x14ac:dyDescent="0.35">
      <c r="A106" s="855" t="s">
        <v>494</v>
      </c>
      <c r="B106" s="468"/>
      <c r="C106" s="468"/>
      <c r="D106" s="468"/>
      <c r="E106" s="468"/>
      <c r="F106" s="468"/>
      <c r="G106" s="468"/>
      <c r="H106" s="468"/>
      <c r="I106" s="468"/>
      <c r="J106" s="468"/>
      <c r="K106" s="468"/>
      <c r="L106" s="468"/>
      <c r="M106" s="468"/>
      <c r="N106" s="468"/>
      <c r="O106" s="468"/>
      <c r="P106" s="468"/>
      <c r="Q106" s="468"/>
      <c r="R106" s="468"/>
      <c r="S106" s="468"/>
      <c r="T106" s="468"/>
      <c r="U106" s="468"/>
      <c r="V106" s="468"/>
      <c r="W106" s="468"/>
      <c r="X106" s="468"/>
      <c r="Y106" s="468"/>
      <c r="Z106" s="468"/>
      <c r="AA106" s="468"/>
      <c r="AB106" s="468"/>
      <c r="AC106" s="468"/>
      <c r="AD106" s="468"/>
      <c r="AE106" s="468"/>
      <c r="AF106" s="468"/>
      <c r="AG106" s="468"/>
      <c r="AH106" s="468"/>
      <c r="AI106" s="468"/>
      <c r="AJ106" s="468"/>
    </row>
    <row r="107" spans="1:36" ht="18" hidden="1" customHeight="1" x14ac:dyDescent="0.35">
      <c r="A107" s="856"/>
      <c r="B107" s="468"/>
      <c r="C107" s="468"/>
      <c r="D107" s="468"/>
      <c r="E107" s="468"/>
      <c r="F107" s="468"/>
      <c r="G107" s="468"/>
      <c r="H107" s="468"/>
      <c r="I107" s="468"/>
      <c r="J107" s="468"/>
      <c r="K107" s="468"/>
      <c r="L107" s="468"/>
      <c r="M107" s="468"/>
      <c r="N107" s="468"/>
      <c r="O107" s="468"/>
      <c r="P107" s="468"/>
      <c r="Q107" s="468"/>
      <c r="R107" s="468"/>
      <c r="S107" s="468"/>
      <c r="T107" s="468"/>
      <c r="U107" s="468"/>
      <c r="V107" s="468"/>
      <c r="W107" s="468"/>
      <c r="X107" s="468"/>
      <c r="Y107" s="468"/>
      <c r="Z107" s="468"/>
      <c r="AA107" s="468"/>
      <c r="AB107" s="468"/>
      <c r="AC107" s="468"/>
      <c r="AD107" s="468"/>
      <c r="AE107" s="468"/>
      <c r="AF107" s="468"/>
      <c r="AG107" s="468"/>
      <c r="AH107" s="468"/>
      <c r="AI107" s="468"/>
      <c r="AJ107" s="468"/>
    </row>
    <row r="108" spans="1:36" ht="18" hidden="1" customHeight="1" x14ac:dyDescent="0.35">
      <c r="A108" s="855" t="s">
        <v>305</v>
      </c>
      <c r="B108" s="482">
        <v>2.1</v>
      </c>
      <c r="C108" s="482">
        <v>3.1</v>
      </c>
      <c r="D108" s="484">
        <v>5.0999999999999996</v>
      </c>
      <c r="E108" s="468"/>
      <c r="F108" s="468"/>
      <c r="G108" s="468"/>
      <c r="H108" s="468"/>
      <c r="I108" s="468"/>
      <c r="J108" s="468"/>
      <c r="K108" s="468"/>
      <c r="L108" s="468"/>
      <c r="M108" s="468"/>
      <c r="N108" s="468"/>
      <c r="O108" s="468"/>
      <c r="P108" s="468"/>
      <c r="Q108" s="468"/>
      <c r="R108" s="468"/>
      <c r="S108" s="468"/>
      <c r="T108" s="468"/>
      <c r="U108" s="468"/>
      <c r="V108" s="468"/>
      <c r="W108" s="468"/>
      <c r="X108" s="468"/>
      <c r="Y108" s="468"/>
      <c r="Z108" s="468"/>
      <c r="AA108" s="468"/>
      <c r="AB108" s="468"/>
      <c r="AC108" s="468"/>
      <c r="AD108" s="468"/>
      <c r="AE108" s="468"/>
      <c r="AF108" s="468"/>
      <c r="AG108" s="468"/>
      <c r="AH108" s="468"/>
      <c r="AI108" s="468"/>
      <c r="AJ108" s="468"/>
    </row>
    <row r="109" spans="1:36" ht="18" hidden="1" customHeight="1" x14ac:dyDescent="0.35">
      <c r="A109" s="857" t="s">
        <v>347</v>
      </c>
      <c r="B109" s="543">
        <v>2.2000000000000002</v>
      </c>
      <c r="C109" s="543">
        <v>3.2</v>
      </c>
      <c r="D109" s="853">
        <v>5.5</v>
      </c>
      <c r="E109" s="468"/>
      <c r="F109" s="468"/>
      <c r="G109" s="468"/>
      <c r="H109" s="468"/>
      <c r="I109" s="468"/>
      <c r="J109" s="468"/>
      <c r="K109" s="468"/>
      <c r="L109" s="468"/>
      <c r="M109" s="468"/>
      <c r="N109" s="468"/>
      <c r="O109" s="468"/>
      <c r="P109" s="468"/>
      <c r="Q109" s="468"/>
      <c r="R109" s="468"/>
      <c r="S109" s="468"/>
      <c r="T109" s="468"/>
      <c r="U109" s="468"/>
      <c r="V109" s="468"/>
      <c r="W109" s="468"/>
      <c r="X109" s="468"/>
      <c r="Y109" s="468"/>
      <c r="Z109" s="468"/>
      <c r="AA109" s="468"/>
      <c r="AB109" s="468"/>
      <c r="AC109" s="468"/>
      <c r="AD109" s="468"/>
      <c r="AE109" s="468"/>
      <c r="AF109" s="468"/>
      <c r="AG109" s="468"/>
      <c r="AH109" s="468"/>
      <c r="AI109" s="468"/>
      <c r="AJ109" s="468"/>
    </row>
    <row r="110" spans="1:36" ht="18" hidden="1" customHeight="1" x14ac:dyDescent="0.35">
      <c r="A110" s="856"/>
      <c r="B110" s="468"/>
      <c r="C110" s="468"/>
      <c r="D110" s="468"/>
      <c r="E110" s="468"/>
      <c r="F110" s="468"/>
      <c r="G110" s="468"/>
      <c r="H110" s="468"/>
      <c r="I110" s="468"/>
      <c r="J110" s="468"/>
      <c r="K110" s="468"/>
      <c r="L110" s="468"/>
      <c r="M110" s="468"/>
      <c r="N110" s="468"/>
      <c r="O110" s="468"/>
      <c r="P110" s="468"/>
      <c r="Q110" s="468"/>
      <c r="R110" s="468"/>
      <c r="S110" s="468"/>
      <c r="T110" s="468"/>
      <c r="U110" s="468"/>
      <c r="V110" s="468"/>
      <c r="W110" s="468"/>
      <c r="X110" s="468"/>
      <c r="Y110" s="468"/>
      <c r="Z110" s="468"/>
      <c r="AA110" s="468"/>
      <c r="AB110" s="468"/>
      <c r="AC110" s="468"/>
      <c r="AD110" s="468"/>
      <c r="AE110" s="468"/>
      <c r="AF110" s="468"/>
      <c r="AG110" s="468"/>
      <c r="AH110" s="468"/>
      <c r="AI110" s="468"/>
      <c r="AJ110" s="468"/>
    </row>
    <row r="111" spans="1:36" ht="18" hidden="1" customHeight="1" x14ac:dyDescent="0.35">
      <c r="A111" s="856"/>
      <c r="B111" s="468"/>
      <c r="C111" s="468"/>
      <c r="D111" s="468"/>
      <c r="E111" s="468"/>
      <c r="F111" s="468"/>
      <c r="G111" s="468"/>
      <c r="H111" s="468"/>
      <c r="I111" s="468"/>
      <c r="J111" s="468"/>
      <c r="K111" s="468"/>
      <c r="L111" s="468"/>
      <c r="M111" s="468"/>
      <c r="N111" s="468"/>
      <c r="O111" s="468"/>
      <c r="P111" s="468"/>
      <c r="Q111" s="468"/>
      <c r="R111" s="468"/>
      <c r="S111" s="468"/>
      <c r="T111" s="468"/>
      <c r="U111" s="468"/>
      <c r="V111" s="468"/>
      <c r="W111" s="468"/>
      <c r="X111" s="468"/>
      <c r="Y111" s="468"/>
      <c r="Z111" s="468"/>
      <c r="AA111" s="468"/>
      <c r="AB111" s="468"/>
      <c r="AC111" s="468"/>
      <c r="AD111" s="468"/>
      <c r="AE111" s="468"/>
      <c r="AF111" s="468"/>
      <c r="AG111" s="468"/>
      <c r="AH111" s="468"/>
      <c r="AI111" s="468"/>
      <c r="AJ111" s="468"/>
    </row>
    <row r="112" spans="1:36" ht="18" hidden="1" customHeight="1" x14ac:dyDescent="0.35">
      <c r="A112" s="856"/>
      <c r="B112" s="468"/>
      <c r="C112" s="468"/>
      <c r="D112" s="468"/>
      <c r="E112" s="468"/>
      <c r="F112" s="468"/>
      <c r="G112" s="468"/>
      <c r="H112" s="468"/>
      <c r="I112" s="468"/>
      <c r="J112" s="468"/>
      <c r="K112" s="468"/>
      <c r="L112" s="468"/>
      <c r="M112" s="468"/>
      <c r="N112" s="468"/>
      <c r="O112" s="468"/>
      <c r="P112" s="468"/>
      <c r="Q112" s="468"/>
      <c r="R112" s="468"/>
      <c r="S112" s="468"/>
      <c r="T112" s="468"/>
      <c r="U112" s="468"/>
      <c r="V112" s="468"/>
      <c r="W112" s="468"/>
      <c r="X112" s="468"/>
      <c r="Y112" s="468"/>
      <c r="Z112" s="468"/>
      <c r="AA112" s="468"/>
      <c r="AB112" s="468"/>
      <c r="AC112" s="468"/>
      <c r="AD112" s="468"/>
      <c r="AE112" s="468"/>
      <c r="AF112" s="468"/>
      <c r="AG112" s="468"/>
      <c r="AH112" s="468"/>
      <c r="AI112" s="468"/>
      <c r="AJ112" s="468"/>
    </row>
    <row r="113" spans="1:36" ht="18" hidden="1" customHeight="1" x14ac:dyDescent="0.35">
      <c r="A113" s="856">
        <v>1</v>
      </c>
      <c r="B113" s="468"/>
      <c r="C113" s="468"/>
      <c r="D113" s="468"/>
      <c r="E113" s="468"/>
      <c r="F113" s="468"/>
      <c r="G113" s="468"/>
      <c r="H113" s="468"/>
      <c r="I113" s="468"/>
      <c r="J113" s="468"/>
      <c r="K113" s="468"/>
      <c r="L113" s="468"/>
      <c r="M113" s="468"/>
      <c r="N113" s="468"/>
      <c r="O113" s="468"/>
      <c r="P113" s="468"/>
      <c r="Q113" s="468"/>
      <c r="R113" s="468"/>
      <c r="S113" s="468"/>
      <c r="T113" s="468"/>
      <c r="U113" s="468"/>
      <c r="V113" s="468"/>
      <c r="W113" s="468"/>
      <c r="X113" s="468"/>
      <c r="Y113" s="468"/>
      <c r="Z113" s="468"/>
      <c r="AA113" s="468"/>
      <c r="AB113" s="468"/>
      <c r="AC113" s="468"/>
      <c r="AD113" s="468"/>
      <c r="AE113" s="468"/>
      <c r="AF113" s="468"/>
      <c r="AG113" s="468"/>
      <c r="AH113" s="468"/>
      <c r="AI113" s="468"/>
      <c r="AJ113" s="468"/>
    </row>
    <row r="114" spans="1:36" ht="18" hidden="1" customHeight="1" x14ac:dyDescent="0.35">
      <c r="A114" s="856">
        <v>2</v>
      </c>
      <c r="B114" s="468"/>
      <c r="C114" s="468"/>
      <c r="D114" s="468"/>
      <c r="E114" s="468"/>
      <c r="F114" s="468"/>
      <c r="G114" s="468"/>
      <c r="H114" s="468"/>
      <c r="I114" s="468"/>
      <c r="J114" s="468"/>
      <c r="K114" s="468"/>
      <c r="L114" s="468"/>
      <c r="M114" s="468"/>
      <c r="N114" s="468"/>
      <c r="O114" s="468"/>
      <c r="P114" s="468"/>
      <c r="Q114" s="468"/>
      <c r="R114" s="468"/>
      <c r="S114" s="468"/>
      <c r="T114" s="468"/>
      <c r="U114" s="468"/>
      <c r="V114" s="468"/>
      <c r="W114" s="468"/>
      <c r="X114" s="468"/>
      <c r="Y114" s="468"/>
      <c r="Z114" s="468"/>
      <c r="AA114" s="468"/>
      <c r="AB114" s="468"/>
      <c r="AC114" s="468"/>
      <c r="AD114" s="468"/>
      <c r="AE114" s="468"/>
      <c r="AF114" s="468"/>
      <c r="AG114" s="468"/>
      <c r="AH114" s="468"/>
      <c r="AI114" s="468"/>
      <c r="AJ114" s="468"/>
    </row>
    <row r="115" spans="1:36" ht="18" hidden="1" customHeight="1" x14ac:dyDescent="0.35">
      <c r="A115" s="856">
        <v>3</v>
      </c>
      <c r="B115" s="468"/>
      <c r="C115" s="468"/>
      <c r="D115" s="468"/>
      <c r="E115" s="468"/>
      <c r="F115" s="468"/>
      <c r="G115" s="468"/>
      <c r="H115" s="468"/>
      <c r="I115" s="468"/>
      <c r="J115" s="468"/>
      <c r="K115" s="468"/>
      <c r="L115" s="468"/>
      <c r="M115" s="468"/>
      <c r="N115" s="468"/>
      <c r="O115" s="468"/>
      <c r="P115" s="468"/>
      <c r="Q115" s="468"/>
      <c r="R115" s="468"/>
      <c r="S115" s="468"/>
      <c r="T115" s="468"/>
      <c r="U115" s="468"/>
      <c r="V115" s="468"/>
      <c r="W115" s="468"/>
      <c r="X115" s="468"/>
      <c r="Y115" s="468"/>
      <c r="Z115" s="468"/>
      <c r="AA115" s="468"/>
      <c r="AB115" s="468"/>
      <c r="AC115" s="468"/>
      <c r="AD115" s="468"/>
      <c r="AE115" s="468"/>
      <c r="AF115" s="468"/>
      <c r="AG115" s="468"/>
      <c r="AH115" s="468"/>
      <c r="AI115" s="468"/>
      <c r="AJ115" s="468"/>
    </row>
    <row r="116" spans="1:36" ht="18" hidden="1" customHeight="1" x14ac:dyDescent="0.35">
      <c r="A116" s="856">
        <v>4</v>
      </c>
      <c r="B116" s="468"/>
      <c r="C116" s="468"/>
      <c r="D116" s="468"/>
      <c r="E116" s="468"/>
      <c r="F116" s="468"/>
      <c r="G116" s="468"/>
      <c r="H116" s="468"/>
      <c r="I116" s="468"/>
      <c r="J116" s="468"/>
      <c r="K116" s="468"/>
      <c r="L116" s="468"/>
      <c r="M116" s="468"/>
      <c r="N116" s="468"/>
      <c r="O116" s="468"/>
      <c r="P116" s="468"/>
      <c r="Q116" s="468"/>
      <c r="R116" s="468"/>
      <c r="S116" s="468"/>
      <c r="T116" s="468"/>
      <c r="U116" s="468"/>
      <c r="V116" s="468"/>
      <c r="W116" s="468"/>
      <c r="X116" s="468"/>
      <c r="Y116" s="468"/>
      <c r="Z116" s="468"/>
      <c r="AA116" s="468"/>
      <c r="AB116" s="468"/>
      <c r="AC116" s="468"/>
      <c r="AD116" s="468"/>
      <c r="AE116" s="468"/>
      <c r="AF116" s="468"/>
      <c r="AG116" s="468"/>
      <c r="AH116" s="468"/>
      <c r="AI116" s="468"/>
      <c r="AJ116" s="468"/>
    </row>
    <row r="117" spans="1:36" ht="18" hidden="1" customHeight="1" x14ac:dyDescent="0.35">
      <c r="A117" s="856">
        <v>5</v>
      </c>
      <c r="B117" s="468"/>
      <c r="C117" s="468"/>
      <c r="D117" s="468"/>
      <c r="E117" s="468"/>
      <c r="F117" s="468"/>
      <c r="G117" s="468"/>
      <c r="H117" s="468"/>
      <c r="I117" s="468"/>
      <c r="J117" s="468"/>
      <c r="K117" s="468"/>
      <c r="L117" s="468"/>
      <c r="M117" s="468"/>
      <c r="N117" s="468"/>
      <c r="O117" s="468"/>
      <c r="P117" s="468"/>
      <c r="Q117" s="468"/>
      <c r="R117" s="468"/>
      <c r="S117" s="468"/>
      <c r="T117" s="468"/>
      <c r="U117" s="468"/>
      <c r="V117" s="468"/>
      <c r="W117" s="468"/>
      <c r="X117" s="468"/>
      <c r="Y117" s="468"/>
      <c r="Z117" s="468"/>
      <c r="AA117" s="468"/>
      <c r="AB117" s="468"/>
      <c r="AC117" s="468"/>
      <c r="AD117" s="468"/>
      <c r="AE117" s="468"/>
      <c r="AF117" s="468"/>
      <c r="AG117" s="468"/>
      <c r="AH117" s="468"/>
      <c r="AI117" s="468"/>
      <c r="AJ117" s="468"/>
    </row>
    <row r="118" spans="1:36" ht="18" hidden="1" customHeight="1" x14ac:dyDescent="0.35">
      <c r="A118" s="856">
        <v>6</v>
      </c>
      <c r="B118" s="468"/>
      <c r="C118" s="468"/>
      <c r="D118" s="468"/>
      <c r="E118" s="468"/>
      <c r="F118" s="468"/>
      <c r="G118" s="468"/>
      <c r="H118" s="468"/>
      <c r="I118" s="468"/>
      <c r="J118" s="468"/>
      <c r="K118" s="468"/>
      <c r="L118" s="468"/>
      <c r="M118" s="468"/>
      <c r="N118" s="468"/>
      <c r="O118" s="468"/>
      <c r="P118" s="468"/>
      <c r="Q118" s="468"/>
      <c r="R118" s="468"/>
      <c r="S118" s="468"/>
      <c r="T118" s="468"/>
      <c r="U118" s="468"/>
      <c r="V118" s="468"/>
      <c r="W118" s="468"/>
      <c r="X118" s="468"/>
      <c r="Y118" s="468"/>
      <c r="Z118" s="468"/>
      <c r="AA118" s="468"/>
      <c r="AB118" s="468"/>
      <c r="AC118" s="468"/>
      <c r="AD118" s="468"/>
      <c r="AE118" s="468"/>
      <c r="AF118" s="468"/>
      <c r="AG118" s="468"/>
      <c r="AH118" s="468"/>
      <c r="AI118" s="468"/>
      <c r="AJ118" s="468"/>
    </row>
    <row r="119" spans="1:36" ht="18" hidden="1" customHeight="1" x14ac:dyDescent="0.35">
      <c r="A119" s="856">
        <v>7</v>
      </c>
      <c r="B119" s="468"/>
      <c r="C119" s="468"/>
      <c r="D119" s="468"/>
      <c r="E119" s="468"/>
      <c r="F119" s="468"/>
      <c r="G119" s="468"/>
      <c r="H119" s="468"/>
      <c r="I119" s="468"/>
      <c r="J119" s="468"/>
      <c r="K119" s="468"/>
      <c r="L119" s="468"/>
      <c r="M119" s="468"/>
      <c r="N119" s="468"/>
      <c r="O119" s="468"/>
      <c r="P119" s="468"/>
      <c r="Q119" s="468"/>
      <c r="R119" s="468"/>
      <c r="S119" s="468"/>
      <c r="T119" s="468"/>
      <c r="U119" s="468"/>
      <c r="V119" s="468"/>
      <c r="W119" s="468"/>
      <c r="X119" s="468"/>
      <c r="Y119" s="468"/>
      <c r="Z119" s="468"/>
      <c r="AA119" s="468"/>
      <c r="AB119" s="468"/>
      <c r="AC119" s="468"/>
      <c r="AD119" s="468"/>
      <c r="AE119" s="468"/>
      <c r="AF119" s="468"/>
      <c r="AG119" s="468"/>
      <c r="AH119" s="468"/>
      <c r="AI119" s="468"/>
      <c r="AJ119" s="468"/>
    </row>
    <row r="120" spans="1:36" ht="18" hidden="1" customHeight="1" x14ac:dyDescent="0.35">
      <c r="A120" s="856">
        <v>8</v>
      </c>
      <c r="B120" s="468"/>
      <c r="C120" s="468"/>
      <c r="D120" s="468"/>
      <c r="E120" s="468"/>
      <c r="F120" s="468"/>
      <c r="G120" s="468"/>
      <c r="H120" s="468"/>
      <c r="I120" s="468"/>
      <c r="J120" s="468"/>
      <c r="K120" s="468"/>
      <c r="L120" s="468"/>
      <c r="M120" s="468"/>
      <c r="N120" s="468"/>
      <c r="O120" s="468"/>
      <c r="P120" s="468"/>
      <c r="Q120" s="468"/>
      <c r="R120" s="468"/>
      <c r="S120" s="468"/>
      <c r="T120" s="468"/>
      <c r="U120" s="468"/>
      <c r="V120" s="468"/>
      <c r="W120" s="468"/>
      <c r="X120" s="468"/>
      <c r="Y120" s="468"/>
      <c r="Z120" s="468"/>
      <c r="AA120" s="468"/>
      <c r="AB120" s="468"/>
      <c r="AC120" s="468"/>
      <c r="AD120" s="468"/>
      <c r="AE120" s="468"/>
      <c r="AF120" s="468"/>
      <c r="AG120" s="468"/>
      <c r="AH120" s="468"/>
      <c r="AI120" s="468"/>
      <c r="AJ120" s="468"/>
    </row>
    <row r="121" spans="1:36" ht="18" hidden="1" customHeight="1" x14ac:dyDescent="0.35">
      <c r="A121" s="468"/>
      <c r="B121" s="468"/>
      <c r="C121" s="468"/>
      <c r="D121" s="468"/>
      <c r="E121" s="468"/>
      <c r="F121" s="468"/>
      <c r="G121" s="468"/>
      <c r="H121" s="468"/>
      <c r="I121" s="468"/>
      <c r="J121" s="468"/>
      <c r="K121" s="468"/>
      <c r="L121" s="468"/>
      <c r="M121" s="468"/>
      <c r="N121" s="468"/>
      <c r="O121" s="468"/>
      <c r="P121" s="468"/>
      <c r="Q121" s="468"/>
      <c r="R121" s="468"/>
      <c r="S121" s="468"/>
      <c r="T121" s="468"/>
      <c r="U121" s="468"/>
      <c r="V121" s="468"/>
      <c r="W121" s="468"/>
      <c r="X121" s="468"/>
      <c r="Y121" s="468"/>
      <c r="Z121" s="468"/>
      <c r="AA121" s="468"/>
      <c r="AB121" s="468"/>
      <c r="AC121" s="468"/>
      <c r="AD121" s="468"/>
      <c r="AE121" s="468"/>
      <c r="AF121" s="468"/>
      <c r="AG121" s="468"/>
      <c r="AH121" s="468"/>
      <c r="AI121" s="468"/>
      <c r="AJ121" s="468"/>
    </row>
    <row r="122" spans="1:36" ht="18" hidden="1" customHeight="1" x14ac:dyDescent="0.35">
      <c r="A122" s="855" t="s">
        <v>20</v>
      </c>
      <c r="B122" s="468"/>
      <c r="C122" s="468"/>
      <c r="D122" s="468"/>
      <c r="E122" s="468"/>
      <c r="F122" s="468"/>
      <c r="G122" s="468"/>
      <c r="H122" s="468"/>
      <c r="I122" s="468"/>
      <c r="J122" s="468"/>
      <c r="K122" s="468"/>
      <c r="L122" s="468"/>
      <c r="M122" s="468"/>
      <c r="N122" s="468"/>
      <c r="O122" s="468"/>
      <c r="P122" s="468"/>
      <c r="Q122" s="468"/>
      <c r="R122" s="468"/>
      <c r="S122" s="468"/>
      <c r="T122" s="468"/>
      <c r="U122" s="468"/>
      <c r="V122" s="468"/>
      <c r="W122" s="468"/>
      <c r="X122" s="468"/>
      <c r="Y122" s="468"/>
      <c r="Z122" s="468"/>
      <c r="AA122" s="468"/>
      <c r="AB122" s="468"/>
      <c r="AC122" s="468"/>
      <c r="AD122" s="468"/>
      <c r="AE122" s="468"/>
      <c r="AF122" s="468"/>
      <c r="AG122" s="468"/>
      <c r="AH122" s="468"/>
      <c r="AI122" s="468"/>
      <c r="AJ122" s="468"/>
    </row>
    <row r="123" spans="1:36" ht="18" hidden="1" customHeight="1" x14ac:dyDescent="0.35">
      <c r="A123" s="857" t="s">
        <v>14</v>
      </c>
      <c r="B123" s="468"/>
      <c r="C123" s="468"/>
      <c r="D123" s="468"/>
      <c r="E123" s="468"/>
      <c r="F123" s="468"/>
      <c r="G123" s="468"/>
      <c r="H123" s="468"/>
      <c r="I123" s="468"/>
      <c r="J123" s="468"/>
      <c r="K123" s="468"/>
      <c r="L123" s="468"/>
      <c r="M123" s="468"/>
      <c r="N123" s="468"/>
      <c r="O123" s="468"/>
      <c r="P123" s="468"/>
      <c r="Q123" s="468"/>
      <c r="R123" s="468"/>
      <c r="S123" s="468"/>
      <c r="T123" s="468"/>
      <c r="U123" s="468"/>
      <c r="V123" s="468"/>
      <c r="W123" s="468"/>
      <c r="X123" s="468"/>
      <c r="Y123" s="468"/>
      <c r="Z123" s="468"/>
      <c r="AA123" s="468"/>
      <c r="AB123" s="468"/>
      <c r="AC123" s="468"/>
      <c r="AD123" s="468"/>
      <c r="AE123" s="468"/>
      <c r="AF123" s="468"/>
      <c r="AG123" s="468"/>
      <c r="AH123" s="468"/>
      <c r="AI123" s="468"/>
      <c r="AJ123" s="468"/>
    </row>
    <row r="124" spans="1:36" ht="18" hidden="1" customHeight="1" x14ac:dyDescent="0.35">
      <c r="A124" s="468"/>
      <c r="B124" s="468"/>
      <c r="C124" s="468"/>
      <c r="D124" s="468"/>
      <c r="E124" s="468"/>
      <c r="F124" s="468"/>
      <c r="G124" s="468"/>
      <c r="H124" s="468"/>
      <c r="I124" s="468"/>
      <c r="J124" s="468"/>
      <c r="K124" s="468"/>
      <c r="L124" s="468"/>
      <c r="M124" s="468"/>
      <c r="N124" s="468"/>
      <c r="O124" s="468"/>
      <c r="P124" s="468"/>
      <c r="Q124" s="468"/>
      <c r="R124" s="468"/>
      <c r="S124" s="468"/>
      <c r="T124" s="468"/>
      <c r="U124" s="468"/>
      <c r="V124" s="468"/>
      <c r="W124" s="468"/>
      <c r="X124" s="468"/>
      <c r="Y124" s="468"/>
      <c r="Z124" s="468"/>
      <c r="AA124" s="468"/>
      <c r="AB124" s="468"/>
      <c r="AC124" s="468"/>
      <c r="AD124" s="468"/>
      <c r="AE124" s="468"/>
      <c r="AF124" s="468"/>
      <c r="AG124" s="468"/>
      <c r="AH124" s="468"/>
      <c r="AI124" s="468"/>
      <c r="AJ124" s="468"/>
    </row>
    <row r="125" spans="1:36" ht="18" hidden="1" customHeight="1" x14ac:dyDescent="0.35">
      <c r="A125" s="855" t="s">
        <v>307</v>
      </c>
      <c r="B125" s="468"/>
      <c r="C125" s="468"/>
      <c r="D125" s="468"/>
      <c r="E125" s="468"/>
      <c r="F125" s="468"/>
      <c r="G125" s="468"/>
      <c r="H125" s="468"/>
      <c r="I125" s="468"/>
      <c r="J125" s="468"/>
      <c r="K125" s="468"/>
      <c r="L125" s="468"/>
      <c r="M125" s="468"/>
      <c r="N125" s="468"/>
      <c r="O125" s="468"/>
      <c r="P125" s="468"/>
      <c r="Q125" s="468"/>
      <c r="R125" s="468"/>
      <c r="S125" s="468"/>
      <c r="T125" s="468"/>
      <c r="U125" s="468"/>
      <c r="V125" s="468"/>
      <c r="W125" s="468"/>
      <c r="X125" s="468"/>
      <c r="Y125" s="468"/>
      <c r="Z125" s="468"/>
      <c r="AA125" s="468"/>
      <c r="AB125" s="468"/>
      <c r="AC125" s="468"/>
      <c r="AD125" s="468"/>
      <c r="AE125" s="468"/>
      <c r="AF125" s="468"/>
      <c r="AG125" s="468"/>
      <c r="AH125" s="468"/>
      <c r="AI125" s="468"/>
      <c r="AJ125" s="468"/>
    </row>
    <row r="126" spans="1:36" ht="18" hidden="1" customHeight="1" x14ac:dyDescent="0.35">
      <c r="A126" s="857" t="s">
        <v>344</v>
      </c>
      <c r="B126" s="468"/>
      <c r="C126" s="468"/>
      <c r="D126" s="468"/>
      <c r="E126" s="468"/>
      <c r="F126" s="468"/>
      <c r="G126" s="468"/>
      <c r="H126" s="468"/>
      <c r="I126" s="468"/>
      <c r="J126" s="468"/>
      <c r="K126" s="468"/>
      <c r="L126" s="468"/>
      <c r="M126" s="468"/>
      <c r="N126" s="468"/>
      <c r="O126" s="468"/>
      <c r="P126" s="468"/>
      <c r="Q126" s="468"/>
      <c r="R126" s="468"/>
      <c r="S126" s="468"/>
      <c r="T126" s="468"/>
      <c r="U126" s="468"/>
      <c r="V126" s="468"/>
      <c r="W126" s="468"/>
      <c r="X126" s="468"/>
      <c r="Y126" s="468"/>
      <c r="Z126" s="468"/>
      <c r="AA126" s="468"/>
      <c r="AB126" s="468"/>
      <c r="AC126" s="468"/>
      <c r="AD126" s="468"/>
      <c r="AE126" s="468"/>
      <c r="AF126" s="468"/>
      <c r="AG126" s="468"/>
      <c r="AH126" s="468"/>
      <c r="AI126" s="468"/>
      <c r="AJ126" s="468"/>
    </row>
    <row r="127" spans="1:36" ht="18" hidden="1" customHeight="1" x14ac:dyDescent="0.35">
      <c r="A127" s="468"/>
      <c r="B127" s="468"/>
      <c r="C127" s="468"/>
      <c r="D127" s="468"/>
      <c r="E127" s="468"/>
      <c r="F127" s="468"/>
      <c r="G127" s="468"/>
      <c r="H127" s="468"/>
      <c r="I127" s="468"/>
      <c r="J127" s="468"/>
      <c r="K127" s="468"/>
      <c r="L127" s="468"/>
      <c r="M127" s="468"/>
      <c r="N127" s="468"/>
      <c r="O127" s="468"/>
      <c r="P127" s="468"/>
      <c r="Q127" s="468"/>
      <c r="R127" s="468"/>
      <c r="S127" s="468"/>
      <c r="T127" s="468"/>
      <c r="U127" s="468"/>
      <c r="V127" s="468"/>
      <c r="W127" s="468"/>
      <c r="X127" s="468"/>
      <c r="Y127" s="468"/>
      <c r="Z127" s="468"/>
      <c r="AA127" s="468"/>
      <c r="AB127" s="468"/>
      <c r="AC127" s="468"/>
      <c r="AD127" s="468"/>
      <c r="AE127" s="468"/>
      <c r="AF127" s="468"/>
      <c r="AG127" s="468"/>
      <c r="AH127" s="468"/>
      <c r="AI127" s="468"/>
      <c r="AJ127" s="468"/>
    </row>
    <row r="128" spans="1:36" ht="18" hidden="1" customHeight="1" x14ac:dyDescent="0.35">
      <c r="A128" s="480">
        <v>1</v>
      </c>
      <c r="B128" s="482">
        <f t="shared" ref="B128:V128" si="19">A128+1</f>
        <v>2</v>
      </c>
      <c r="C128" s="482">
        <f t="shared" si="19"/>
        <v>3</v>
      </c>
      <c r="D128" s="482">
        <f t="shared" si="19"/>
        <v>4</v>
      </c>
      <c r="E128" s="482">
        <f t="shared" si="19"/>
        <v>5</v>
      </c>
      <c r="F128" s="482">
        <f t="shared" si="19"/>
        <v>6</v>
      </c>
      <c r="G128" s="482">
        <f t="shared" si="19"/>
        <v>7</v>
      </c>
      <c r="H128" s="482">
        <f t="shared" si="19"/>
        <v>8</v>
      </c>
      <c r="I128" s="482">
        <f t="shared" si="19"/>
        <v>9</v>
      </c>
      <c r="J128" s="482">
        <f t="shared" si="19"/>
        <v>10</v>
      </c>
      <c r="K128" s="482">
        <f t="shared" si="19"/>
        <v>11</v>
      </c>
      <c r="L128" s="482">
        <f t="shared" si="19"/>
        <v>12</v>
      </c>
      <c r="M128" s="482">
        <f t="shared" si="19"/>
        <v>13</v>
      </c>
      <c r="N128" s="482">
        <f t="shared" si="19"/>
        <v>14</v>
      </c>
      <c r="O128" s="482">
        <f t="shared" si="19"/>
        <v>15</v>
      </c>
      <c r="P128" s="482">
        <f t="shared" si="19"/>
        <v>16</v>
      </c>
      <c r="Q128" s="482">
        <f t="shared" si="19"/>
        <v>17</v>
      </c>
      <c r="R128" s="482">
        <f t="shared" si="19"/>
        <v>18</v>
      </c>
      <c r="S128" s="482">
        <f t="shared" si="19"/>
        <v>19</v>
      </c>
      <c r="T128" s="482">
        <f t="shared" si="19"/>
        <v>20</v>
      </c>
      <c r="U128" s="482">
        <f t="shared" si="19"/>
        <v>21</v>
      </c>
      <c r="V128" s="482">
        <f t="shared" si="19"/>
        <v>22</v>
      </c>
      <c r="W128" s="482">
        <v>23</v>
      </c>
      <c r="X128" s="482">
        <v>24</v>
      </c>
      <c r="Y128" s="482">
        <v>25</v>
      </c>
      <c r="Z128" s="482">
        <f t="shared" ref="Z128:AG128" si="20">Y128+1</f>
        <v>26</v>
      </c>
      <c r="AA128" s="482">
        <f t="shared" si="20"/>
        <v>27</v>
      </c>
      <c r="AB128" s="482">
        <f t="shared" si="20"/>
        <v>28</v>
      </c>
      <c r="AC128" s="482">
        <f t="shared" si="20"/>
        <v>29</v>
      </c>
      <c r="AD128" s="482">
        <f t="shared" si="20"/>
        <v>30</v>
      </c>
      <c r="AE128" s="482">
        <f t="shared" si="20"/>
        <v>31</v>
      </c>
      <c r="AF128" s="482">
        <f t="shared" si="20"/>
        <v>32</v>
      </c>
      <c r="AG128" s="482">
        <f t="shared" si="20"/>
        <v>33</v>
      </c>
      <c r="AH128" s="482">
        <v>34</v>
      </c>
      <c r="AI128" s="482">
        <v>35</v>
      </c>
      <c r="AJ128" s="484">
        <v>36</v>
      </c>
    </row>
    <row r="129" spans="1:36" ht="18" hidden="1" customHeight="1" x14ac:dyDescent="0.35">
      <c r="A129" s="858" t="s">
        <v>380</v>
      </c>
      <c r="B129" s="504" t="s">
        <v>348</v>
      </c>
      <c r="C129" s="504" t="s">
        <v>28</v>
      </c>
      <c r="D129" s="504" t="s">
        <v>33</v>
      </c>
      <c r="E129" s="504" t="s">
        <v>34</v>
      </c>
      <c r="F129" s="504" t="s">
        <v>348</v>
      </c>
      <c r="G129" s="504" t="s">
        <v>28</v>
      </c>
      <c r="H129" s="504" t="s">
        <v>33</v>
      </c>
      <c r="I129" s="504" t="s">
        <v>34</v>
      </c>
      <c r="J129" s="504" t="s">
        <v>349</v>
      </c>
      <c r="K129" s="504" t="s">
        <v>28</v>
      </c>
      <c r="L129" s="504" t="s">
        <v>33</v>
      </c>
      <c r="M129" s="504" t="s">
        <v>34</v>
      </c>
      <c r="N129" s="504"/>
      <c r="O129" s="504" t="s">
        <v>28</v>
      </c>
      <c r="P129" s="504" t="s">
        <v>33</v>
      </c>
      <c r="Q129" s="504" t="s">
        <v>34</v>
      </c>
      <c r="R129" s="504"/>
      <c r="S129" s="504" t="s">
        <v>28</v>
      </c>
      <c r="T129" s="504" t="s">
        <v>33</v>
      </c>
      <c r="U129" s="504" t="s">
        <v>34</v>
      </c>
      <c r="V129" s="504" t="s">
        <v>308</v>
      </c>
      <c r="W129" s="504" t="s">
        <v>350</v>
      </c>
      <c r="X129" s="504" t="s">
        <v>351</v>
      </c>
      <c r="Y129" s="504" t="s">
        <v>28</v>
      </c>
      <c r="Z129" s="504" t="s">
        <v>33</v>
      </c>
      <c r="AA129" s="504" t="s">
        <v>269</v>
      </c>
      <c r="AB129" s="504"/>
      <c r="AC129" s="504" t="s">
        <v>28</v>
      </c>
      <c r="AD129" s="504" t="s">
        <v>33</v>
      </c>
      <c r="AE129" s="504" t="s">
        <v>34</v>
      </c>
      <c r="AF129" s="504" t="s">
        <v>495</v>
      </c>
      <c r="AG129" s="504" t="s">
        <v>33</v>
      </c>
      <c r="AH129" s="504" t="s">
        <v>30</v>
      </c>
      <c r="AI129" s="504" t="s">
        <v>321</v>
      </c>
      <c r="AJ129" s="859" t="s">
        <v>321</v>
      </c>
    </row>
    <row r="130" spans="1:36" ht="18" hidden="1" customHeight="1" x14ac:dyDescent="0.35">
      <c r="A130" s="860" t="s">
        <v>16</v>
      </c>
      <c r="B130" s="504">
        <v>0</v>
      </c>
      <c r="C130" s="504">
        <v>0</v>
      </c>
      <c r="D130" s="504">
        <v>0</v>
      </c>
      <c r="E130" s="504">
        <v>0</v>
      </c>
      <c r="F130" s="504">
        <v>0</v>
      </c>
      <c r="G130" s="504">
        <v>0</v>
      </c>
      <c r="H130" s="504">
        <v>0</v>
      </c>
      <c r="I130" s="504">
        <v>0</v>
      </c>
      <c r="J130" s="504">
        <v>0</v>
      </c>
      <c r="K130" s="504">
        <v>0</v>
      </c>
      <c r="L130" s="504">
        <v>0</v>
      </c>
      <c r="M130" s="504">
        <v>0</v>
      </c>
      <c r="N130" s="504">
        <v>0</v>
      </c>
      <c r="O130" s="504">
        <v>0</v>
      </c>
      <c r="P130" s="504">
        <v>0</v>
      </c>
      <c r="Q130" s="504">
        <v>0</v>
      </c>
      <c r="R130" s="504">
        <v>0</v>
      </c>
      <c r="S130" s="504">
        <v>0</v>
      </c>
      <c r="T130" s="504">
        <v>0</v>
      </c>
      <c r="U130" s="504">
        <v>0</v>
      </c>
      <c r="V130" s="504">
        <v>0</v>
      </c>
      <c r="W130" s="504">
        <v>0</v>
      </c>
      <c r="X130" s="504">
        <v>0</v>
      </c>
      <c r="Y130" s="504">
        <v>0</v>
      </c>
      <c r="Z130" s="504">
        <v>0</v>
      </c>
      <c r="AA130" s="504">
        <v>0</v>
      </c>
      <c r="AB130" s="504">
        <v>0</v>
      </c>
      <c r="AC130" s="504">
        <v>0</v>
      </c>
      <c r="AD130" s="504">
        <v>0</v>
      </c>
      <c r="AE130" s="504">
        <v>0</v>
      </c>
      <c r="AF130" s="504">
        <v>0</v>
      </c>
      <c r="AG130" s="504">
        <v>0</v>
      </c>
      <c r="AH130" s="504"/>
      <c r="AI130" s="504"/>
      <c r="AJ130" s="859"/>
    </row>
    <row r="131" spans="1:36" ht="18" hidden="1" customHeight="1" x14ac:dyDescent="0.35">
      <c r="A131" s="861" t="s">
        <v>319</v>
      </c>
      <c r="B131" s="862" t="s">
        <v>352</v>
      </c>
      <c r="C131" s="862">
        <f>'1 Caisson Objet'!Lnec1</f>
        <v>89</v>
      </c>
      <c r="D131" s="862">
        <v>9.3000000000000007</v>
      </c>
      <c r="E131" s="862" t="e">
        <f>'1 Caisson Objet'!nbcal1*2+1</f>
        <v>#VALUE!</v>
      </c>
      <c r="F131" s="862" t="s">
        <v>353</v>
      </c>
      <c r="G131" s="862">
        <f>'1 Caisson Objet'!lanec1</f>
        <v>81</v>
      </c>
      <c r="H131" s="862">
        <v>9.3000000000000007</v>
      </c>
      <c r="I131" s="862" t="e">
        <f>'1 Caisson Objet'!nbcal1*2</f>
        <v>#VALUE!</v>
      </c>
      <c r="J131" s="862"/>
      <c r="K131" s="862"/>
      <c r="L131" s="862"/>
      <c r="M131" s="862"/>
      <c r="N131" s="862" t="str">
        <f>IF('1 Caisson Objet'!Typedemousse1="Stratocell 35 Kg","Stratocell 50 mm",IF('1 Caisson Objet'!Typedemousse1="Stratocell 65 Kg","Stratocell 50 mm 65 kg"))</f>
        <v>Stratocell 50 mm</v>
      </c>
      <c r="O131" s="862">
        <f>'1 Caisson Objet'!Lnec1</f>
        <v>89</v>
      </c>
      <c r="P131" s="862">
        <f>IF('1 Caisson Objet'!hnec1&lt;200,9.3,14.4)</f>
        <v>9.3000000000000007</v>
      </c>
      <c r="Q131" s="862" t="e">
        <f>'1 Caisson Objet'!nbcal1*2+1</f>
        <v>#VALUE!</v>
      </c>
      <c r="R131" s="862" t="str">
        <f>IF('1 Caisson Objet'!Typedemousse1="Stratocell 35 Kg","Stratocell 50 mm",IF('1 Caisson Objet'!Typedemousse1="Stratocell 65 Kg","Stratocell 50 mm 65 kg"))</f>
        <v>Stratocell 50 mm</v>
      </c>
      <c r="S131" s="862">
        <f>'1 Caisson Objet'!lanec1</f>
        <v>81</v>
      </c>
      <c r="T131" s="862">
        <f>IF('1 Caisson Objet'!hnec1&lt;120,9.3,14.4)</f>
        <v>9.3000000000000007</v>
      </c>
      <c r="U131" s="862" t="e">
        <f>'1 Caisson Objet'!nbcal1*2</f>
        <v>#VALUE!</v>
      </c>
      <c r="V131" s="862" t="str">
        <f>'1 Caisson Objet'!Base1</f>
        <v>Stratocell 50 mm</v>
      </c>
      <c r="W131" s="862">
        <f t="shared" ref="W131:W142" si="21">VLOOKUP(V131,$A$92:$C$100,3)</f>
        <v>5.5</v>
      </c>
      <c r="X131" s="862">
        <f>VLOOKUP('1 Caisson Objet'!plat1,$A$84:$B$90,2)</f>
        <v>0</v>
      </c>
      <c r="Y131" s="862">
        <f>'1 Caisson Objet'!Lnec1</f>
        <v>89</v>
      </c>
      <c r="Z131" s="862">
        <f>'1 Caisson Objet'!lanec1</f>
        <v>81</v>
      </c>
      <c r="AA131" s="862">
        <f t="shared" ref="AA131:AA142" si="22">W131+X131</f>
        <v>5.5</v>
      </c>
      <c r="AB131" s="862"/>
      <c r="AC131" s="862"/>
      <c r="AD131" s="862"/>
      <c r="AE131" s="862"/>
      <c r="AF131" s="862">
        <v>14</v>
      </c>
      <c r="AG131" s="862">
        <v>14</v>
      </c>
      <c r="AH131" s="862">
        <v>7</v>
      </c>
      <c r="AI131" s="862" t="s">
        <v>317</v>
      </c>
      <c r="AJ131" s="863" t="s">
        <v>321</v>
      </c>
    </row>
    <row r="132" spans="1:36" ht="18" hidden="1" customHeight="1" x14ac:dyDescent="0.35">
      <c r="A132" s="861" t="s">
        <v>320</v>
      </c>
      <c r="B132" s="862"/>
      <c r="C132" s="862"/>
      <c r="D132" s="862"/>
      <c r="E132" s="862"/>
      <c r="F132" s="862"/>
      <c r="G132" s="862"/>
      <c r="H132" s="862"/>
      <c r="I132" s="862"/>
      <c r="J132" s="862"/>
      <c r="K132" s="862"/>
      <c r="L132" s="862"/>
      <c r="M132" s="862"/>
      <c r="N132" s="862" t="str">
        <f>IF('1 Caisson Objet'!nbcal1="PU","PU 30 mm",IF('1 Caisson Objet'!nbcal1="Stratocell","Stratocell 30 mm",0))</f>
        <v>Stratocell 30 mm</v>
      </c>
      <c r="O132" s="862">
        <f>'1 Caisson Objet'!Lnec1</f>
        <v>89</v>
      </c>
      <c r="P132" s="862">
        <v>12</v>
      </c>
      <c r="Q132" s="862">
        <f>IF('1 Caisson Objet'!hnec1&lt;80,4,6)</f>
        <v>4</v>
      </c>
      <c r="R132" s="862" t="str">
        <f>IF('1 Caisson Objet'!nbcal1="PU","PU 30 mm",IF('1 Caisson Objet'!nbcal1="Stratocell","Stratocell 30 mm",0))</f>
        <v>Stratocell 30 mm</v>
      </c>
      <c r="S132" s="862">
        <f>'1 Caisson Objet'!lanec1-6</f>
        <v>75</v>
      </c>
      <c r="T132" s="862">
        <v>12</v>
      </c>
      <c r="U132" s="862">
        <f t="shared" ref="U132:U133" si="23">Q132</f>
        <v>4</v>
      </c>
      <c r="V132" s="862" t="str">
        <f>'1 Caisson Objet'!Base1</f>
        <v>Stratocell 50 mm</v>
      </c>
      <c r="W132" s="862">
        <f t="shared" si="21"/>
        <v>5.5</v>
      </c>
      <c r="X132" s="862">
        <f>VLOOKUP('1 Caisson Objet'!plat1,$A$84:$B$90,2)</f>
        <v>0</v>
      </c>
      <c r="Y132" s="862">
        <f>'1 Caisson Objet'!Lnec1</f>
        <v>89</v>
      </c>
      <c r="Z132" s="862">
        <f>'1 Caisson Objet'!lanec1</f>
        <v>81</v>
      </c>
      <c r="AA132" s="862">
        <f t="shared" si="22"/>
        <v>5.5</v>
      </c>
      <c r="AB132" s="862" t="str">
        <f>IF('1 Caisson Objet'!nbcal1="PU","PU 30 mm",IF('1 Caisson Objet'!nbcal1="Stratocell","Stratocell 30 mm",0))</f>
        <v>Stratocell 30 mm</v>
      </c>
      <c r="AC132" s="862">
        <f>'1 Caisson Objet'!lanec1</f>
        <v>81</v>
      </c>
      <c r="AD132" s="862">
        <v>12</v>
      </c>
      <c r="AE132" s="862">
        <f>IF('1 Caisson Objet'!Lnec1&lt;100,3,4)</f>
        <v>3</v>
      </c>
      <c r="AF132" s="862">
        <f>VLOOKUP('1 Caisson Objet'!nbcal1,$A$108:$D$109,3)*2</f>
        <v>6.4</v>
      </c>
      <c r="AG132" s="862">
        <f>VLOOKUP('1 Caisson Objet'!nbcal1,$A$108:$D$109,3)*2</f>
        <v>6.4</v>
      </c>
      <c r="AH132" s="862">
        <f>VLOOKUP('1 Caisson Objet'!nbcal1,$A$108:$D$109,3)</f>
        <v>3.2</v>
      </c>
      <c r="AI132" s="862" t="s">
        <v>321</v>
      </c>
      <c r="AJ132" s="863"/>
    </row>
    <row r="133" spans="1:36" ht="18" hidden="1" customHeight="1" x14ac:dyDescent="0.35">
      <c r="A133" s="861" t="s">
        <v>322</v>
      </c>
      <c r="B133" s="862"/>
      <c r="C133" s="862"/>
      <c r="D133" s="862"/>
      <c r="E133" s="862"/>
      <c r="F133" s="862"/>
      <c r="G133" s="862"/>
      <c r="H133" s="862"/>
      <c r="I133" s="862"/>
      <c r="J133" s="862"/>
      <c r="K133" s="862"/>
      <c r="L133" s="862"/>
      <c r="M133" s="862"/>
      <c r="N133" s="862" t="str">
        <f>IF('1 Caisson Objet'!nbcal1="PU","PU 50 mm",IF('1 Caisson Objet'!nbcal1="Stratocell","Stratocell 50 mm",0))</f>
        <v>Stratocell 50 mm</v>
      </c>
      <c r="O133" s="862">
        <f>'1 Caisson Objet'!Lnec1</f>
        <v>89</v>
      </c>
      <c r="P133" s="862">
        <v>12</v>
      </c>
      <c r="Q133" s="862">
        <f>IF('1 Caisson Objet'!hnec1&lt;80,4,6)</f>
        <v>4</v>
      </c>
      <c r="R133" s="862" t="str">
        <f>IF('1 Caisson Objet'!nbcal1="PU","PU 50 mm",IF('1 Caisson Objet'!nbcal1="Stratocell","Stratocell 50 mm",0))</f>
        <v>Stratocell 50 mm</v>
      </c>
      <c r="S133" s="862">
        <f>'1 Caisson Objet'!lanec1-10</f>
        <v>71</v>
      </c>
      <c r="T133" s="862">
        <v>12</v>
      </c>
      <c r="U133" s="862">
        <f t="shared" si="23"/>
        <v>4</v>
      </c>
      <c r="V133" s="862" t="str">
        <f>'1 Caisson Objet'!Base1</f>
        <v>Stratocell 50 mm</v>
      </c>
      <c r="W133" s="862">
        <f t="shared" si="21"/>
        <v>5.5</v>
      </c>
      <c r="X133" s="862">
        <f>VLOOKUP('1 Caisson Objet'!plat1,$A$84:$B$90,2)</f>
        <v>0</v>
      </c>
      <c r="Y133" s="862">
        <f>'1 Caisson Objet'!Lnec1</f>
        <v>89</v>
      </c>
      <c r="Z133" s="862">
        <f>'1 Caisson Objet'!lanec1</f>
        <v>81</v>
      </c>
      <c r="AA133" s="862">
        <f t="shared" si="22"/>
        <v>5.5</v>
      </c>
      <c r="AB133" s="862" t="str">
        <f>IF('1 Caisson Objet'!nbcal1="PU","PU 50 mm",IF('1 Caisson Objet'!nbcal1="Stratocell","Stratocell 50 mm",0))</f>
        <v>Stratocell 50 mm</v>
      </c>
      <c r="AC133" s="862">
        <f>'1 Caisson Objet'!lanec1</f>
        <v>81</v>
      </c>
      <c r="AD133" s="862">
        <v>12</v>
      </c>
      <c r="AE133" s="862">
        <f>IF('1 Caisson Objet'!Lnec1&lt;100,3,4)</f>
        <v>3</v>
      </c>
      <c r="AF133" s="862">
        <f>VLOOKUP('1 Caisson Objet'!nbcal1,$A$108:$D$109,4)*2</f>
        <v>11</v>
      </c>
      <c r="AG133" s="862">
        <f>VLOOKUP('1 Caisson Objet'!nbcal1,$A$108:$D$109,4)*2</f>
        <v>11</v>
      </c>
      <c r="AH133" s="862">
        <f>VLOOKUP('1 Caisson Objet'!nbcal1,$A$108:$D$109,4)</f>
        <v>5.5</v>
      </c>
      <c r="AI133" s="862" t="s">
        <v>321</v>
      </c>
      <c r="AJ133" s="863"/>
    </row>
    <row r="134" spans="1:36" ht="18" hidden="1" customHeight="1" x14ac:dyDescent="0.35">
      <c r="A134" s="533" t="s">
        <v>496</v>
      </c>
      <c r="B134" s="862"/>
      <c r="C134" s="862"/>
      <c r="D134" s="862"/>
      <c r="E134" s="862"/>
      <c r="F134" s="862"/>
      <c r="G134" s="862"/>
      <c r="H134" s="862"/>
      <c r="I134" s="862"/>
      <c r="J134" s="862"/>
      <c r="K134" s="862"/>
      <c r="L134" s="862"/>
      <c r="M134" s="862"/>
      <c r="N134" s="862" t="str">
        <f>IF('1 Caisson Objet'!nbcal1="PU","PU 50 mm",IF('1 Caisson Objet'!nbcal1="Stratocell","Stratocell 50 mm",0))</f>
        <v>Stratocell 50 mm</v>
      </c>
      <c r="O134" s="862">
        <f>'1 Caisson Objet'!Lnec1</f>
        <v>89</v>
      </c>
      <c r="P134" s="862">
        <f>'1 Caisson Objet'!lanec1</f>
        <v>81</v>
      </c>
      <c r="Q134" s="862">
        <f>('1 Caisson Objet'!hnec1 -AA134)/5</f>
        <v>6.7</v>
      </c>
      <c r="R134" s="862"/>
      <c r="S134" s="862"/>
      <c r="T134" s="862"/>
      <c r="U134" s="862"/>
      <c r="V134" s="862" t="str">
        <f>'1 Caisson Objet'!Base1</f>
        <v>Stratocell 50 mm</v>
      </c>
      <c r="W134" s="862">
        <f t="shared" si="21"/>
        <v>5.5</v>
      </c>
      <c r="X134" s="862">
        <f>VLOOKUP('1 Caisson Objet'!plat1,$A$84:$B$90,2)</f>
        <v>0</v>
      </c>
      <c r="Y134" s="862">
        <f>'1 Caisson Objet'!Lnec1</f>
        <v>89</v>
      </c>
      <c r="Z134" s="862">
        <f>'1 Caisson Objet'!lanec1</f>
        <v>81</v>
      </c>
      <c r="AA134" s="862">
        <f t="shared" si="22"/>
        <v>5.5</v>
      </c>
      <c r="AB134" s="862"/>
      <c r="AC134" s="862"/>
      <c r="AD134" s="862"/>
      <c r="AE134" s="862"/>
      <c r="AF134" s="862">
        <f>VLOOKUP('1 Caisson Objet'!nbcal1,$A$108:$D$109,4)*2</f>
        <v>11</v>
      </c>
      <c r="AG134" s="862">
        <f>VLOOKUP('1 Caisson Objet'!nbcal1,$A$108:$D$109,4)*2</f>
        <v>11</v>
      </c>
      <c r="AH134" s="862">
        <f>VLOOKUP('1 Caisson Objet'!nbcal1,$A$108:$D$109,4)</f>
        <v>5.5</v>
      </c>
      <c r="AI134" s="862" t="s">
        <v>321</v>
      </c>
      <c r="AJ134" s="863"/>
    </row>
    <row r="135" spans="1:36" ht="18" hidden="1" customHeight="1" x14ac:dyDescent="0.35">
      <c r="A135" s="861" t="s">
        <v>324</v>
      </c>
      <c r="B135" s="862"/>
      <c r="C135" s="862"/>
      <c r="D135" s="862"/>
      <c r="E135" s="862"/>
      <c r="F135" s="862"/>
      <c r="G135" s="862"/>
      <c r="H135" s="862"/>
      <c r="I135" s="862"/>
      <c r="J135" s="862"/>
      <c r="K135" s="862"/>
      <c r="L135" s="862"/>
      <c r="M135" s="862"/>
      <c r="N135" s="862" t="str">
        <f>IF('1 Caisson Objet'!nbcal1="PU","PU 50 mm",IF('1 Caisson Objet'!nbcal1="Stratocell","Stratocell 50 mm",0))</f>
        <v>Stratocell 50 mm</v>
      </c>
      <c r="O135" s="862">
        <f>'1 Caisson Objet'!Lnec1-0.3</f>
        <v>88.7</v>
      </c>
      <c r="P135" s="862">
        <f>'1 Caisson Objet'!lanec1-0.3</f>
        <v>80.7</v>
      </c>
      <c r="Q135" s="862">
        <f>('1 Caisson Objet'!hnec1-AA135)/5</f>
        <v>6.7</v>
      </c>
      <c r="R135" s="862"/>
      <c r="S135" s="862"/>
      <c r="T135" s="862"/>
      <c r="U135" s="862"/>
      <c r="V135" s="862" t="str">
        <f>'1 Caisson Objet'!Base1</f>
        <v>Stratocell 50 mm</v>
      </c>
      <c r="W135" s="862">
        <f t="shared" si="21"/>
        <v>5.5</v>
      </c>
      <c r="X135" s="862">
        <f>VLOOKUP('1 Caisson Objet'!plat1,$A$84:$B$90,2)</f>
        <v>0</v>
      </c>
      <c r="Y135" s="862">
        <f>'1 Caisson Objet'!Lnec1</f>
        <v>89</v>
      </c>
      <c r="Z135" s="862">
        <f>'1 Caisson Objet'!lanec1</f>
        <v>81</v>
      </c>
      <c r="AA135" s="862">
        <f t="shared" si="22"/>
        <v>5.5</v>
      </c>
      <c r="AB135" s="862"/>
      <c r="AC135" s="862"/>
      <c r="AD135" s="862"/>
      <c r="AE135" s="862"/>
      <c r="AF135" s="862">
        <f>VLOOKUP('1 Caisson Objet'!nbcal1,$A$108:$D$109,4)*2</f>
        <v>11</v>
      </c>
      <c r="AG135" s="862">
        <f>VLOOKUP('1 Caisson Objet'!nbcal1,$A$108:$D$109,4)*2</f>
        <v>11</v>
      </c>
      <c r="AH135" s="862">
        <f>VLOOKUP('1 Caisson Objet'!nbcal1,$A$108:$D$109,4)</f>
        <v>5.5</v>
      </c>
      <c r="AI135" s="862" t="s">
        <v>321</v>
      </c>
      <c r="AJ135" s="863"/>
    </row>
    <row r="136" spans="1:36" ht="18" hidden="1" customHeight="1" x14ac:dyDescent="0.35">
      <c r="A136" s="861" t="s">
        <v>325</v>
      </c>
      <c r="B136" s="862"/>
      <c r="C136" s="862"/>
      <c r="D136" s="862"/>
      <c r="E136" s="862"/>
      <c r="F136" s="862"/>
      <c r="G136" s="862"/>
      <c r="H136" s="862"/>
      <c r="I136" s="862"/>
      <c r="J136" s="862"/>
      <c r="K136" s="862"/>
      <c r="L136" s="862"/>
      <c r="M136" s="862"/>
      <c r="N136" s="862" t="str">
        <f>IF('1 Caisson Objet'!nbcal1="PU","PU 50 mm",IF('1 Caisson Objet'!nbcal1="Stratocell","Stratocell 50 mm",0))</f>
        <v>Stratocell 50 mm</v>
      </c>
      <c r="O136" s="862">
        <f>'1 Caisson Objet'!Lnec1-0.3</f>
        <v>88.7</v>
      </c>
      <c r="P136" s="862">
        <f>'1 Caisson Objet'!hnec1-AA136</f>
        <v>33.5</v>
      </c>
      <c r="Q136" s="862">
        <f>'1 Caisson Objet'!lanec1/5</f>
        <v>16.2</v>
      </c>
      <c r="R136" s="862"/>
      <c r="S136" s="862"/>
      <c r="T136" s="862"/>
      <c r="U136" s="862"/>
      <c r="V136" s="862" t="str">
        <f>'1 Caisson Objet'!Base1</f>
        <v>Stratocell 50 mm</v>
      </c>
      <c r="W136" s="862">
        <f t="shared" si="21"/>
        <v>5.5</v>
      </c>
      <c r="X136" s="862">
        <f>VLOOKUP('1 Caisson Objet'!plat1,$A$84:$B$90,2)</f>
        <v>0</v>
      </c>
      <c r="Y136" s="862">
        <f>'1 Caisson Objet'!Lnec1</f>
        <v>89</v>
      </c>
      <c r="Z136" s="862">
        <f>'1 Caisson Objet'!lanec1</f>
        <v>81</v>
      </c>
      <c r="AA136" s="862">
        <f t="shared" si="22"/>
        <v>5.5</v>
      </c>
      <c r="AB136" s="862"/>
      <c r="AC136" s="862"/>
      <c r="AD136" s="862"/>
      <c r="AE136" s="862"/>
      <c r="AF136" s="862">
        <f>VLOOKUP('1 Caisson Objet'!nbcal1,$A$108:$D$109,4)*2</f>
        <v>11</v>
      </c>
      <c r="AG136" s="862">
        <f>VLOOKUP('1 Caisson Objet'!nbcal1,$A$108:$D$109,4)*2</f>
        <v>11</v>
      </c>
      <c r="AH136" s="862">
        <f>VLOOKUP('1 Caisson Objet'!nbcal1,$A$108:$D$109,4)</f>
        <v>5.5</v>
      </c>
      <c r="AI136" s="862" t="s">
        <v>321</v>
      </c>
      <c r="AJ136" s="863"/>
    </row>
    <row r="137" spans="1:36" ht="18" hidden="1" customHeight="1" x14ac:dyDescent="0.35">
      <c r="A137" s="861" t="s">
        <v>497</v>
      </c>
      <c r="B137" s="862"/>
      <c r="C137" s="862"/>
      <c r="D137" s="862"/>
      <c r="E137" s="862"/>
      <c r="F137" s="862"/>
      <c r="G137" s="862"/>
      <c r="H137" s="862"/>
      <c r="I137" s="862"/>
      <c r="J137" s="862"/>
      <c r="K137" s="862"/>
      <c r="L137" s="862"/>
      <c r="M137" s="862"/>
      <c r="N137" s="862" t="str">
        <f>IF('1 Caisson Objet'!nbcal1="PU","PU 20 mm",IF('1 Caisson Objet'!nbcal1="Stratocell","Stratocell 20 mm",0))</f>
        <v>Stratocell 20 mm</v>
      </c>
      <c r="O137" s="862">
        <f>'1 Caisson Objet'!Lnec1</f>
        <v>89</v>
      </c>
      <c r="P137" s="862">
        <f>'1 Caisson Objet'!lanec1</f>
        <v>81</v>
      </c>
      <c r="Q137" s="862">
        <v>1</v>
      </c>
      <c r="R137" s="862" t="str">
        <f>IF('1 Caisson Objet'!nbcal1="PU","PU 20 mm",IF('1 Caisson Objet'!nbcal1="Stratocell","Stratocell 20 mm",0))</f>
        <v>Stratocell 20 mm</v>
      </c>
      <c r="S137" s="862">
        <f>'1 Caisson Objet'!Lnec1</f>
        <v>89</v>
      </c>
      <c r="T137" s="862">
        <f>'1 Caisson Objet'!hnec1-5-AA137</f>
        <v>28.5</v>
      </c>
      <c r="U137" s="862">
        <v>2</v>
      </c>
      <c r="V137" s="862" t="str">
        <f>'1 Caisson Objet'!Base1</f>
        <v>Stratocell 50 mm</v>
      </c>
      <c r="W137" s="862">
        <f t="shared" si="21"/>
        <v>5.5</v>
      </c>
      <c r="X137" s="862">
        <f>VLOOKUP('1 Caisson Objet'!plat1,$A$84:$B$90,2)</f>
        <v>0</v>
      </c>
      <c r="Y137" s="862">
        <f>'1 Caisson Objet'!Lnec1</f>
        <v>89</v>
      </c>
      <c r="Z137" s="862">
        <f>'1 Caisson Objet'!lanec1</f>
        <v>81</v>
      </c>
      <c r="AA137" s="862">
        <f t="shared" si="22"/>
        <v>5.5</v>
      </c>
      <c r="AB137" s="862" t="str">
        <f>IF('1 Caisson Objet'!nbcal1="PU","PU 20 mm",IF('1 Caisson Objet'!nbcal1="Stratocell","Stratocell 20 mm",0))</f>
        <v>Stratocell 20 mm</v>
      </c>
      <c r="AC137" s="862">
        <f>'1 Caisson Objet'!lanec1-AF137</f>
        <v>76.599999999999994</v>
      </c>
      <c r="AD137" s="862">
        <f>'1 Caisson Objet'!hnec1-2.2-AA137</f>
        <v>31.299999999999997</v>
      </c>
      <c r="AE137" s="862">
        <v>2</v>
      </c>
      <c r="AF137" s="862">
        <f>VLOOKUP('1 Caisson Objet'!nbcal1,$A$108:$D$109,2)*2</f>
        <v>4.4000000000000004</v>
      </c>
      <c r="AG137" s="862">
        <f>VLOOKUP('1 Caisson Objet'!nbcal1,$A$108:$D$109,2)*2</f>
        <v>4.4000000000000004</v>
      </c>
      <c r="AH137" s="862">
        <f>VLOOKUP('1 Caisson Objet'!nbcal1,$A$108:$D$109,2)</f>
        <v>2.2000000000000002</v>
      </c>
      <c r="AI137" s="862" t="s">
        <v>321</v>
      </c>
      <c r="AJ137" s="863"/>
    </row>
    <row r="138" spans="1:36" ht="18" hidden="1" customHeight="1" x14ac:dyDescent="0.35">
      <c r="A138" s="861" t="s">
        <v>498</v>
      </c>
      <c r="B138" s="862"/>
      <c r="C138" s="862"/>
      <c r="D138" s="862"/>
      <c r="E138" s="862"/>
      <c r="F138" s="862"/>
      <c r="G138" s="862"/>
      <c r="H138" s="862"/>
      <c r="I138" s="862"/>
      <c r="J138" s="862"/>
      <c r="K138" s="862"/>
      <c r="L138" s="862"/>
      <c r="M138" s="862"/>
      <c r="N138" s="862" t="str">
        <f>IF('1 Caisson Objet'!nbcal1="PU","PU 30 mm",IF('1 Caisson Objet'!nbcal1="Stratocell","Stratocell 30 mm",0))</f>
        <v>Stratocell 30 mm</v>
      </c>
      <c r="O138" s="862">
        <f>'1 Caisson Objet'!Lnec1</f>
        <v>89</v>
      </c>
      <c r="P138" s="862">
        <f>'1 Caisson Objet'!lanec1</f>
        <v>81</v>
      </c>
      <c r="Q138" s="862">
        <v>1</v>
      </c>
      <c r="R138" s="862" t="str">
        <f>IF('1 Caisson Objet'!nbcal1="PU","PU 30 mm",IF('1 Caisson Objet'!nbcal1="Stratocell","Stratocell 30 mm",0))</f>
        <v>Stratocell 30 mm</v>
      </c>
      <c r="S138" s="862">
        <f>'1 Caisson Objet'!Lnec1</f>
        <v>89</v>
      </c>
      <c r="T138" s="862">
        <f>'1 Caisson Objet'!hnec1-3-AA138</f>
        <v>30.5</v>
      </c>
      <c r="U138" s="862">
        <v>2</v>
      </c>
      <c r="V138" s="862" t="str">
        <f>'1 Caisson Objet'!Base1</f>
        <v>Stratocell 50 mm</v>
      </c>
      <c r="W138" s="862">
        <f t="shared" si="21"/>
        <v>5.5</v>
      </c>
      <c r="X138" s="862">
        <f>VLOOKUP('1 Caisson Objet'!plat1,$A$84:$B$90,2)</f>
        <v>0</v>
      </c>
      <c r="Y138" s="862">
        <f>'1 Caisson Objet'!Lnec1</f>
        <v>89</v>
      </c>
      <c r="Z138" s="862">
        <f>'1 Caisson Objet'!lanec1</f>
        <v>81</v>
      </c>
      <c r="AA138" s="862">
        <f t="shared" si="22"/>
        <v>5.5</v>
      </c>
      <c r="AB138" s="862" t="str">
        <f>IF('1 Caisson Objet'!nbcal1="PU","PU 30 mm",IF('1 Caisson Objet'!nbcal1="Stratocell","Stratocell 30 mm",0))</f>
        <v>Stratocell 30 mm</v>
      </c>
      <c r="AC138" s="862">
        <f>'1 Caisson Objet'!lanec1-AF138</f>
        <v>74.599999999999994</v>
      </c>
      <c r="AD138" s="862">
        <f>'1 Caisson Objet'!hnec1-3.2-AA138</f>
        <v>30.299999999999997</v>
      </c>
      <c r="AE138" s="862">
        <v>2</v>
      </c>
      <c r="AF138" s="862">
        <f>VLOOKUP('1 Caisson Objet'!nbcal1,$A$108:$D$109,3)*2</f>
        <v>6.4</v>
      </c>
      <c r="AG138" s="862">
        <f>VLOOKUP('1 Caisson Objet'!nbcal1,$A$108:$D$109,3)*2</f>
        <v>6.4</v>
      </c>
      <c r="AH138" s="862">
        <f>VLOOKUP('1 Caisson Objet'!nbcal1,$A$108:$D$109,3)</f>
        <v>3.2</v>
      </c>
      <c r="AI138" s="862" t="s">
        <v>321</v>
      </c>
      <c r="AJ138" s="863"/>
    </row>
    <row r="139" spans="1:36" ht="18" hidden="1" customHeight="1" x14ac:dyDescent="0.35">
      <c r="A139" s="861" t="s">
        <v>479</v>
      </c>
      <c r="B139" s="862"/>
      <c r="C139" s="862"/>
      <c r="D139" s="862"/>
      <c r="E139" s="862"/>
      <c r="F139" s="862"/>
      <c r="G139" s="862"/>
      <c r="H139" s="862"/>
      <c r="I139" s="862"/>
      <c r="J139" s="862"/>
      <c r="K139" s="862"/>
      <c r="L139" s="862"/>
      <c r="M139" s="862"/>
      <c r="N139" s="862" t="str">
        <f>IF('1 Caisson Objet'!nbcal1="PU","PU 50 mm",IF('1 Caisson Objet'!nbcal1="Stratocell","Stratocell 50 mm",0))</f>
        <v>Stratocell 50 mm</v>
      </c>
      <c r="O139" s="862">
        <f>'1 Caisson Objet'!Lnec1</f>
        <v>89</v>
      </c>
      <c r="P139" s="862">
        <f>'1 Caisson Objet'!lanec1</f>
        <v>81</v>
      </c>
      <c r="Q139" s="862">
        <v>1</v>
      </c>
      <c r="R139" s="862" t="str">
        <f>IF('1 Caisson Objet'!nbcal1="PU","PU 50 mm",IF('1 Caisson Objet'!nbcal1="Stratocell","Stratocell 50 mm",0))</f>
        <v>Stratocell 50 mm</v>
      </c>
      <c r="S139" s="862">
        <f>'1 Caisson Objet'!Lnec1</f>
        <v>89</v>
      </c>
      <c r="T139" s="862">
        <f>'1 Caisson Objet'!hnec1-5-AA139</f>
        <v>28.5</v>
      </c>
      <c r="U139" s="862">
        <v>2</v>
      </c>
      <c r="V139" s="862" t="str">
        <f>'1 Caisson Objet'!Base1</f>
        <v>Stratocell 50 mm</v>
      </c>
      <c r="W139" s="862">
        <f t="shared" si="21"/>
        <v>5.5</v>
      </c>
      <c r="X139" s="862">
        <f>VLOOKUP('1 Caisson Objet'!plat1,$A$84:$B$90,2)</f>
        <v>0</v>
      </c>
      <c r="Y139" s="862">
        <f>'1 Caisson Objet'!Lnec1</f>
        <v>89</v>
      </c>
      <c r="Z139" s="862">
        <f>'1 Caisson Objet'!lanec1</f>
        <v>81</v>
      </c>
      <c r="AA139" s="862">
        <f t="shared" si="22"/>
        <v>5.5</v>
      </c>
      <c r="AB139" s="862" t="str">
        <f>IF('1 Caisson Objet'!nbcal1="PU","PU 50 mm",IF('1 Caisson Objet'!nbcal1="Stratocell","Stratocell 50 mm",0))</f>
        <v>Stratocell 50 mm</v>
      </c>
      <c r="AC139" s="862">
        <f>'1 Caisson Objet'!lanec1-AF139</f>
        <v>70</v>
      </c>
      <c r="AD139" s="862">
        <f>'1 Caisson Objet'!hnec1-5.3-AA139</f>
        <v>28.200000000000003</v>
      </c>
      <c r="AE139" s="862">
        <v>2</v>
      </c>
      <c r="AF139" s="862">
        <f>VLOOKUP('1 Caisson Objet'!nbcal1,$A$108:$D$109,4)*2</f>
        <v>11</v>
      </c>
      <c r="AG139" s="862">
        <f>VLOOKUP('1 Caisson Objet'!nbcal1,$A$108:$D$109,4)*2</f>
        <v>11</v>
      </c>
      <c r="AH139" s="862">
        <f>VLOOKUP('1 Caisson Objet'!nbcal1,$A$108:$D$109,4)</f>
        <v>5.5</v>
      </c>
      <c r="AI139" s="862" t="s">
        <v>321</v>
      </c>
      <c r="AJ139" s="863"/>
    </row>
    <row r="140" spans="1:36" ht="18" hidden="1" customHeight="1" x14ac:dyDescent="0.35">
      <c r="A140" s="861" t="s">
        <v>326</v>
      </c>
      <c r="B140" s="862" t="s">
        <v>354</v>
      </c>
      <c r="C140" s="862">
        <f>'1 Caisson Objet'!Lnec1</f>
        <v>89</v>
      </c>
      <c r="D140" s="862">
        <v>9.3000000000000007</v>
      </c>
      <c r="E140" s="862">
        <f>1</f>
        <v>1</v>
      </c>
      <c r="F140" s="862" t="s">
        <v>355</v>
      </c>
      <c r="G140" s="862">
        <f>'1 Caisson Objet'!Lnec1</f>
        <v>89</v>
      </c>
      <c r="H140" s="862">
        <v>5.2</v>
      </c>
      <c r="I140" s="862" t="e">
        <f>'1 Caisson Objet'!nbcal1*2</f>
        <v>#VALUE!</v>
      </c>
      <c r="J140" s="862" t="s">
        <v>349</v>
      </c>
      <c r="K140" s="862">
        <f>'1 Caisson Objet'!lanec1</f>
        <v>81</v>
      </c>
      <c r="L140" s="862">
        <v>7</v>
      </c>
      <c r="M140" s="862" t="e">
        <f>'1 Caisson Objet'!nbcal1*4</f>
        <v>#VALUE!</v>
      </c>
      <c r="N140" s="862" t="str">
        <f>IF('1 Caisson Objet'!Typedemousse1="Stratocell 35 Kg","Stratocell 50 mm",IF('1 Caisson Objet'!Typedemousse1="Stratocell 65 Kg","Stratocell 50 mm 65 kg"))</f>
        <v>Stratocell 50 mm</v>
      </c>
      <c r="O140" s="862">
        <f>'1 Caisson Objet'!Lnec1</f>
        <v>89</v>
      </c>
      <c r="P140" s="862">
        <f>('1 Caisson Objet'!lanec1-4.2)/2</f>
        <v>38.4</v>
      </c>
      <c r="Q140" s="862" t="e">
        <f>'1 Caisson Objet'!nbcal1*2</f>
        <v>#VALUE!</v>
      </c>
      <c r="R140" s="862" t="str">
        <f>IF('1 Caisson Objet'!Typedemousse1="Stratocell 35 Kg","Stratocell 50 mm",IF('1 Caisson Objet'!Typedemousse1="Stratocell 65 Kg","Stratocell 50 mm 65 kg"))</f>
        <v>Stratocell 50 mm</v>
      </c>
      <c r="S140" s="862">
        <f>'1 Caisson Objet'!lanec1</f>
        <v>81</v>
      </c>
      <c r="T140" s="862">
        <f>IF('1 Caisson Objet'!hnec1&lt;120,9.3,14.4)</f>
        <v>9.3000000000000007</v>
      </c>
      <c r="U140" s="862">
        <f>1</f>
        <v>1</v>
      </c>
      <c r="V140" s="862" t="str">
        <f>'1 Caisson Objet'!Base1</f>
        <v>Stratocell 50 mm</v>
      </c>
      <c r="W140" s="862">
        <f t="shared" si="21"/>
        <v>5.5</v>
      </c>
      <c r="X140" s="862">
        <f>VLOOKUP('1 Caisson Objet'!plat1,$A$84:$B$90,2)</f>
        <v>0</v>
      </c>
      <c r="Y140" s="862">
        <f>'1 Caisson Objet'!Lnec1</f>
        <v>89</v>
      </c>
      <c r="Z140" s="862">
        <f>'1 Caisson Objet'!lanec1</f>
        <v>81</v>
      </c>
      <c r="AA140" s="862">
        <f t="shared" si="22"/>
        <v>5.5</v>
      </c>
      <c r="AB140" s="862"/>
      <c r="AC140" s="862"/>
      <c r="AD140" s="862"/>
      <c r="AE140" s="862"/>
      <c r="AF140" s="862">
        <v>14</v>
      </c>
      <c r="AG140" s="862">
        <v>14</v>
      </c>
      <c r="AH140" s="862">
        <v>7</v>
      </c>
      <c r="AI140" s="862" t="s">
        <v>317</v>
      </c>
      <c r="AJ140" s="863" t="s">
        <v>321</v>
      </c>
    </row>
    <row r="141" spans="1:36" ht="18" hidden="1" customHeight="1" x14ac:dyDescent="0.35">
      <c r="A141" s="861" t="s">
        <v>328</v>
      </c>
      <c r="B141" s="862"/>
      <c r="C141" s="862"/>
      <c r="D141" s="862"/>
      <c r="E141" s="862"/>
      <c r="F141" s="862" t="s">
        <v>355</v>
      </c>
      <c r="G141" s="862">
        <f>'1 Caisson Objet'!lanec1</f>
        <v>81</v>
      </c>
      <c r="H141" s="862">
        <v>5.2</v>
      </c>
      <c r="I141" s="862" t="str">
        <f>'1 Caisson Objet'!nbcal1</f>
        <v>Stratocell</v>
      </c>
      <c r="J141" s="862" t="s">
        <v>349</v>
      </c>
      <c r="K141" s="862">
        <f>'1 Caisson Objet'!hnec1-AA141</f>
        <v>33.5</v>
      </c>
      <c r="L141" s="862">
        <v>7</v>
      </c>
      <c r="M141" s="862" t="e">
        <f>'1 Caisson Objet'!nbcal1*4</f>
        <v>#VALUE!</v>
      </c>
      <c r="N141" s="862" t="str">
        <f>IF('1 Caisson Objet'!Typedemousse1="Stratocell 35 Kg","Stratocell 50 mm",IF('1 Caisson Objet'!Typedemousse1="Stratocell 65 Kg","Stratocell 50 mm 65 kg"))</f>
        <v>Stratocell 50 mm</v>
      </c>
      <c r="O141" s="862">
        <f>'1 Caisson Objet'!lanec1</f>
        <v>81</v>
      </c>
      <c r="P141" s="862">
        <f>'1 Caisson Objet'!hnec1-2.1-AA141</f>
        <v>31.4</v>
      </c>
      <c r="Q141" s="862" t="str">
        <f>'1 Caisson Objet'!nbcal1</f>
        <v>Stratocell</v>
      </c>
      <c r="R141" s="862"/>
      <c r="S141" s="862"/>
      <c r="T141" s="862"/>
      <c r="U141" s="862"/>
      <c r="V141" s="862" t="str">
        <f>'1 Caisson Objet'!Base1</f>
        <v>Stratocell 50 mm</v>
      </c>
      <c r="W141" s="862">
        <f t="shared" si="21"/>
        <v>5.5</v>
      </c>
      <c r="X141" s="862">
        <f>VLOOKUP('1 Caisson Objet'!plat1,$A$84:$B$90,2)</f>
        <v>0</v>
      </c>
      <c r="Y141" s="862">
        <f>'1 Caisson Objet'!Lnec1</f>
        <v>89</v>
      </c>
      <c r="Z141" s="862">
        <f>'1 Caisson Objet'!lanec1</f>
        <v>81</v>
      </c>
      <c r="AA141" s="862">
        <f t="shared" si="22"/>
        <v>5.5</v>
      </c>
      <c r="AB141" s="862"/>
      <c r="AC141" s="862"/>
      <c r="AD141" s="862"/>
      <c r="AE141" s="862"/>
      <c r="AF141" s="862">
        <v>10.5</v>
      </c>
      <c r="AG141" s="862">
        <v>14</v>
      </c>
      <c r="AH141" s="862">
        <v>7</v>
      </c>
      <c r="AI141" s="862" t="s">
        <v>317</v>
      </c>
      <c r="AJ141" s="863" t="s">
        <v>321</v>
      </c>
    </row>
    <row r="142" spans="1:36" ht="18" hidden="1" customHeight="1" x14ac:dyDescent="0.35">
      <c r="A142" s="864" t="s">
        <v>329</v>
      </c>
      <c r="B142" s="865"/>
      <c r="C142" s="865"/>
      <c r="D142" s="865"/>
      <c r="E142" s="865"/>
      <c r="F142" s="862" t="s">
        <v>355</v>
      </c>
      <c r="G142" s="862">
        <f>'1 Caisson Objet'!lanec1</f>
        <v>81</v>
      </c>
      <c r="H142" s="862">
        <v>5.2</v>
      </c>
      <c r="I142" s="862" t="str">
        <f>'1 Caisson Objet'!nbcal1</f>
        <v>Stratocell</v>
      </c>
      <c r="J142" s="862" t="s">
        <v>349</v>
      </c>
      <c r="K142" s="862">
        <f>'1 Caisson Objet'!hnec1-AA142</f>
        <v>33.5</v>
      </c>
      <c r="L142" s="862">
        <v>7</v>
      </c>
      <c r="M142" s="862" t="e">
        <f>'1 Caisson Objet'!nbcal1*4</f>
        <v>#VALUE!</v>
      </c>
      <c r="N142" s="865" t="str">
        <f>IF('1 Caisson Objet'!Typedemousse1="Stratocell 35 Kg","Stratocell 50 mm",IF('1 Caisson Objet'!Typedemousse1="Stratocell 65 Kg","Stratocell 50 mm 65 kg"))</f>
        <v>Stratocell 50 mm</v>
      </c>
      <c r="O142" s="865">
        <f>'1 Caisson Objet'!lanec1</f>
        <v>81</v>
      </c>
      <c r="P142" s="865">
        <f>'1 Caisson Objet'!hnec1-2.1-AA142</f>
        <v>31.4</v>
      </c>
      <c r="Q142" s="865" t="str">
        <f>'1 Caisson Objet'!nbcal1</f>
        <v>Stratocell</v>
      </c>
      <c r="R142" s="865" t="str">
        <f>IF('1 Caisson Objet'!Typedemousse1="Stratocell 35 Kg","Stratocell 50 mm",IF('1 Caisson Objet'!Typedemousse1="Stratocell 65 Kg","Stratocell 50 mm 65 kg"))</f>
        <v>Stratocell 50 mm</v>
      </c>
      <c r="S142" s="865">
        <f>'1 Caisson Objet'!Lnec1</f>
        <v>89</v>
      </c>
      <c r="T142" s="865">
        <f>D23+AA142</f>
        <v>5.5</v>
      </c>
      <c r="U142" s="865">
        <v>2</v>
      </c>
      <c r="V142" s="865" t="str">
        <f>'1 Caisson Objet'!Base1</f>
        <v>Stratocell 50 mm</v>
      </c>
      <c r="W142" s="865">
        <f t="shared" si="21"/>
        <v>5.5</v>
      </c>
      <c r="X142" s="865">
        <f>VLOOKUP('1 Caisson Objet'!plat1,$A$84:$B$90,2)</f>
        <v>0</v>
      </c>
      <c r="Y142" s="865">
        <f>'1 Caisson Objet'!Lnec1-10.2</f>
        <v>78.8</v>
      </c>
      <c r="Z142" s="865">
        <f>'1 Caisson Objet'!lanec1-10.2</f>
        <v>70.8</v>
      </c>
      <c r="AA142" s="865">
        <f t="shared" si="22"/>
        <v>5.5</v>
      </c>
      <c r="AB142" s="865" t="str">
        <f>IF('1 Caisson Objet'!Typedemousse1="Stratocell 35 Kg","Stratocell 50 mm",IF('1 Caisson Objet'!Typedemousse1="Stratocell 65 Kg","Stratocell 50 mm 65 kg"))</f>
        <v>Stratocell 50 mm</v>
      </c>
      <c r="AC142" s="865">
        <f>'1 Caisson Objet'!lanec1-VLOOKUP(C22,$A$130:$AJ$142,33)</f>
        <v>70</v>
      </c>
      <c r="AD142" s="865">
        <f>T142</f>
        <v>5.5</v>
      </c>
      <c r="AE142" s="865">
        <v>2</v>
      </c>
      <c r="AF142" s="865">
        <v>10.6</v>
      </c>
      <c r="AG142" s="865">
        <v>10.6</v>
      </c>
      <c r="AH142" s="865">
        <v>7</v>
      </c>
      <c r="AI142" s="865" t="s">
        <v>317</v>
      </c>
      <c r="AJ142" s="866" t="s">
        <v>321</v>
      </c>
    </row>
    <row r="143" spans="1:36" ht="18" hidden="1" customHeight="1" x14ac:dyDescent="0.35">
      <c r="A143" s="468"/>
      <c r="B143" s="468"/>
      <c r="C143" s="468"/>
      <c r="D143" s="468"/>
      <c r="E143" s="468"/>
      <c r="F143" s="468"/>
      <c r="G143" s="468"/>
      <c r="H143" s="468"/>
      <c r="I143" s="468"/>
      <c r="J143" s="468"/>
      <c r="K143" s="468"/>
      <c r="L143" s="468"/>
      <c r="M143" s="468"/>
      <c r="N143" s="468"/>
      <c r="O143" s="468"/>
      <c r="P143" s="468"/>
      <c r="Q143" s="468"/>
      <c r="R143" s="468"/>
      <c r="S143" s="468"/>
      <c r="T143" s="468"/>
      <c r="U143" s="468"/>
      <c r="V143" s="468"/>
      <c r="W143" s="468"/>
      <c r="X143" s="468"/>
      <c r="Y143" s="468"/>
      <c r="Z143" s="468"/>
      <c r="AA143" s="468"/>
      <c r="AB143" s="468"/>
      <c r="AC143" s="468"/>
      <c r="AD143" s="468"/>
      <c r="AE143" s="468"/>
      <c r="AF143" s="468"/>
      <c r="AG143" s="468"/>
      <c r="AH143" s="468"/>
      <c r="AI143" s="468"/>
      <c r="AJ143" s="468"/>
    </row>
    <row r="144" spans="1:36" ht="18" hidden="1" customHeight="1" x14ac:dyDescent="0.35">
      <c r="A144" s="468"/>
      <c r="B144" s="468"/>
      <c r="C144" s="468"/>
      <c r="D144" s="468"/>
      <c r="E144" s="468"/>
      <c r="F144" s="468"/>
      <c r="G144" s="468"/>
      <c r="H144" s="468"/>
      <c r="I144" s="468"/>
      <c r="J144" s="468"/>
      <c r="K144" s="468"/>
      <c r="L144" s="468"/>
      <c r="M144" s="468"/>
      <c r="N144" s="468"/>
      <c r="O144" s="468"/>
      <c r="P144" s="468"/>
      <c r="Q144" s="468"/>
      <c r="R144" s="468"/>
      <c r="S144" s="468"/>
      <c r="T144" s="468"/>
      <c r="U144" s="468"/>
      <c r="V144" s="468"/>
      <c r="W144" s="468"/>
      <c r="X144" s="468"/>
      <c r="Y144" s="468"/>
      <c r="Z144" s="468"/>
      <c r="AA144" s="468"/>
      <c r="AB144" s="468"/>
      <c r="AC144" s="468"/>
      <c r="AD144" s="468"/>
      <c r="AE144" s="468"/>
      <c r="AF144" s="468"/>
      <c r="AG144" s="468"/>
      <c r="AH144" s="468"/>
      <c r="AI144" s="468"/>
      <c r="AJ144" s="468"/>
    </row>
    <row r="145" spans="1:36" ht="18" customHeight="1" x14ac:dyDescent="0.35">
      <c r="A145" s="468"/>
      <c r="B145" s="468"/>
      <c r="C145" s="468"/>
      <c r="D145" s="468"/>
      <c r="E145" s="468"/>
      <c r="F145" s="468"/>
      <c r="G145" s="468"/>
      <c r="H145" s="468"/>
      <c r="I145" s="468"/>
      <c r="J145" s="468"/>
      <c r="K145" s="468"/>
      <c r="L145" s="468"/>
      <c r="M145" s="468"/>
      <c r="N145" s="468"/>
      <c r="O145" s="468"/>
      <c r="P145" s="468"/>
      <c r="Q145" s="468"/>
      <c r="R145" s="468"/>
      <c r="S145" s="468"/>
      <c r="T145" s="468"/>
      <c r="U145" s="468"/>
      <c r="V145" s="468"/>
      <c r="W145" s="468"/>
      <c r="X145" s="468"/>
      <c r="Y145" s="468"/>
      <c r="Z145" s="468"/>
      <c r="AA145" s="468"/>
      <c r="AB145" s="468"/>
      <c r="AC145" s="468"/>
      <c r="AD145" s="468"/>
      <c r="AE145" s="468"/>
      <c r="AF145" s="468"/>
      <c r="AG145" s="468"/>
      <c r="AH145" s="468"/>
      <c r="AI145" s="468"/>
      <c r="AJ145" s="468"/>
    </row>
    <row r="146" spans="1:36" ht="18" customHeight="1" x14ac:dyDescent="0.35">
      <c r="A146" s="468"/>
      <c r="B146" s="468"/>
      <c r="C146" s="468"/>
      <c r="D146" s="468"/>
      <c r="E146" s="468"/>
      <c r="F146" s="468"/>
      <c r="G146" s="468"/>
      <c r="H146" s="468"/>
      <c r="I146" s="468"/>
      <c r="J146" s="468"/>
      <c r="K146" s="468"/>
      <c r="L146" s="468"/>
      <c r="M146" s="468"/>
      <c r="N146" s="468"/>
      <c r="O146" s="468"/>
      <c r="P146" s="468"/>
      <c r="Q146" s="468"/>
      <c r="R146" s="468"/>
      <c r="S146" s="468"/>
      <c r="T146" s="468"/>
      <c r="U146" s="468"/>
      <c r="V146" s="468"/>
      <c r="W146" s="468"/>
      <c r="X146" s="468"/>
      <c r="Y146" s="468"/>
      <c r="Z146" s="468"/>
      <c r="AA146" s="468"/>
      <c r="AB146" s="468"/>
      <c r="AC146" s="468"/>
      <c r="AD146" s="468"/>
      <c r="AE146" s="468"/>
      <c r="AF146" s="468"/>
      <c r="AG146" s="468"/>
      <c r="AH146" s="468"/>
      <c r="AI146" s="468"/>
      <c r="AJ146" s="468"/>
    </row>
    <row r="147" spans="1:36" ht="18" customHeight="1" x14ac:dyDescent="0.35">
      <c r="A147" s="468"/>
      <c r="B147" s="468"/>
      <c r="C147" s="468"/>
      <c r="D147" s="468"/>
      <c r="E147" s="468"/>
      <c r="F147" s="468"/>
      <c r="G147" s="468"/>
      <c r="H147" s="468"/>
      <c r="I147" s="468"/>
      <c r="J147" s="468"/>
      <c r="K147" s="468"/>
      <c r="L147" s="468"/>
      <c r="M147" s="468"/>
      <c r="N147" s="468"/>
      <c r="O147" s="468"/>
      <c r="P147" s="468"/>
      <c r="Q147" s="468"/>
      <c r="R147" s="468"/>
      <c r="S147" s="468"/>
      <c r="T147" s="468"/>
      <c r="U147" s="468"/>
      <c r="V147" s="468"/>
      <c r="W147" s="468"/>
      <c r="X147" s="468"/>
      <c r="Y147" s="468"/>
      <c r="Z147" s="468"/>
      <c r="AA147" s="468"/>
      <c r="AB147" s="468"/>
      <c r="AC147" s="468"/>
      <c r="AD147" s="468"/>
      <c r="AE147" s="468"/>
      <c r="AF147" s="468"/>
      <c r="AG147" s="468"/>
      <c r="AH147" s="468"/>
      <c r="AI147" s="468"/>
      <c r="AJ147" s="468"/>
    </row>
    <row r="148" spans="1:36" ht="18" customHeight="1" x14ac:dyDescent="0.35">
      <c r="A148" s="468"/>
      <c r="B148" s="468"/>
      <c r="C148" s="468"/>
      <c r="D148" s="468"/>
      <c r="E148" s="468"/>
      <c r="F148" s="468"/>
      <c r="G148" s="468"/>
      <c r="H148" s="468"/>
      <c r="I148" s="468"/>
      <c r="J148" s="468"/>
      <c r="K148" s="468"/>
      <c r="L148" s="468"/>
      <c r="M148" s="468"/>
      <c r="N148" s="468"/>
      <c r="O148" s="468"/>
      <c r="P148" s="468"/>
      <c r="Q148" s="468"/>
      <c r="R148" s="468"/>
      <c r="S148" s="468"/>
      <c r="T148" s="468"/>
      <c r="U148" s="468"/>
      <c r="V148" s="468"/>
      <c r="W148" s="468"/>
      <c r="X148" s="468"/>
      <c r="Y148" s="468"/>
      <c r="Z148" s="468"/>
      <c r="AA148" s="468"/>
      <c r="AB148" s="468"/>
      <c r="AC148" s="468"/>
      <c r="AD148" s="468"/>
      <c r="AE148" s="468"/>
      <c r="AF148" s="468"/>
      <c r="AG148" s="468"/>
      <c r="AH148" s="468"/>
      <c r="AI148" s="468"/>
      <c r="AJ148" s="468"/>
    </row>
    <row r="149" spans="1:36" ht="18" customHeight="1" x14ac:dyDescent="0.35">
      <c r="A149" s="468"/>
      <c r="B149" s="468"/>
      <c r="C149" s="468"/>
      <c r="D149" s="468"/>
      <c r="E149" s="468"/>
      <c r="F149" s="468"/>
      <c r="G149" s="468"/>
      <c r="H149" s="468"/>
      <c r="I149" s="468"/>
      <c r="J149" s="468"/>
      <c r="K149" s="468"/>
      <c r="L149" s="468"/>
      <c r="M149" s="468"/>
      <c r="N149" s="468"/>
      <c r="O149" s="468"/>
      <c r="P149" s="468"/>
      <c r="Q149" s="468"/>
      <c r="R149" s="468"/>
      <c r="S149" s="468"/>
      <c r="T149" s="468"/>
      <c r="U149" s="468"/>
      <c r="V149" s="468"/>
      <c r="W149" s="468"/>
      <c r="X149" s="468"/>
      <c r="Y149" s="468"/>
      <c r="Z149" s="468"/>
      <c r="AA149" s="468"/>
      <c r="AB149" s="468"/>
      <c r="AC149" s="468"/>
      <c r="AD149" s="468"/>
      <c r="AE149" s="468"/>
      <c r="AF149" s="468"/>
      <c r="AG149" s="468"/>
      <c r="AH149" s="468"/>
      <c r="AI149" s="468"/>
      <c r="AJ149" s="468"/>
    </row>
    <row r="150" spans="1:36" ht="18" customHeight="1" x14ac:dyDescent="0.35">
      <c r="A150" s="468"/>
      <c r="B150" s="468"/>
      <c r="C150" s="468"/>
      <c r="D150" s="468"/>
      <c r="E150" s="468"/>
      <c r="F150" s="468"/>
      <c r="G150" s="468"/>
      <c r="H150" s="468"/>
      <c r="I150" s="468"/>
      <c r="J150" s="468"/>
      <c r="K150" s="468"/>
      <c r="L150" s="468"/>
      <c r="M150" s="468"/>
      <c r="N150" s="468"/>
      <c r="O150" s="468"/>
      <c r="P150" s="468"/>
      <c r="Q150" s="468"/>
      <c r="R150" s="468"/>
      <c r="S150" s="468"/>
      <c r="T150" s="468"/>
      <c r="U150" s="468"/>
      <c r="V150" s="468"/>
      <c r="W150" s="468"/>
      <c r="X150" s="468"/>
      <c r="Y150" s="468"/>
      <c r="Z150" s="468"/>
      <c r="AA150" s="468"/>
      <c r="AB150" s="468"/>
      <c r="AC150" s="468"/>
      <c r="AD150" s="468"/>
      <c r="AE150" s="468"/>
      <c r="AF150" s="468"/>
      <c r="AG150" s="468"/>
      <c r="AH150" s="468"/>
      <c r="AI150" s="468"/>
      <c r="AJ150" s="468"/>
    </row>
    <row r="151" spans="1:36" ht="18" customHeight="1" x14ac:dyDescent="0.35">
      <c r="A151" s="468"/>
      <c r="B151" s="468"/>
      <c r="C151" s="468"/>
      <c r="D151" s="468"/>
      <c r="E151" s="468"/>
      <c r="F151" s="468"/>
      <c r="G151" s="468"/>
      <c r="H151" s="468"/>
      <c r="I151" s="468"/>
      <c r="J151" s="468"/>
      <c r="K151" s="468"/>
      <c r="L151" s="468"/>
      <c r="M151" s="468"/>
      <c r="N151" s="468"/>
      <c r="O151" s="468"/>
      <c r="P151" s="468"/>
      <c r="Q151" s="468"/>
      <c r="R151" s="468"/>
      <c r="S151" s="468"/>
      <c r="T151" s="468"/>
      <c r="U151" s="468"/>
      <c r="V151" s="468"/>
      <c r="W151" s="468"/>
      <c r="X151" s="468"/>
      <c r="Y151" s="468"/>
      <c r="Z151" s="468"/>
      <c r="AA151" s="468"/>
      <c r="AB151" s="468"/>
      <c r="AC151" s="468"/>
      <c r="AD151" s="468"/>
      <c r="AE151" s="468"/>
      <c r="AF151" s="468"/>
      <c r="AG151" s="468"/>
      <c r="AH151" s="468"/>
      <c r="AI151" s="468"/>
      <c r="AJ151" s="468"/>
    </row>
    <row r="152" spans="1:36" ht="18" customHeight="1" x14ac:dyDescent="0.35">
      <c r="A152" s="468"/>
      <c r="B152" s="468"/>
      <c r="C152" s="468"/>
      <c r="D152" s="468"/>
      <c r="E152" s="468"/>
      <c r="F152" s="468"/>
      <c r="G152" s="468"/>
      <c r="H152" s="468"/>
      <c r="I152" s="468"/>
      <c r="J152" s="468"/>
      <c r="K152" s="468"/>
      <c r="L152" s="468"/>
      <c r="M152" s="468"/>
      <c r="N152" s="468"/>
      <c r="O152" s="468"/>
      <c r="P152" s="468"/>
      <c r="Q152" s="468"/>
      <c r="R152" s="468"/>
      <c r="S152" s="468"/>
      <c r="T152" s="468"/>
      <c r="U152" s="468"/>
      <c r="V152" s="468"/>
      <c r="W152" s="468"/>
      <c r="X152" s="468"/>
      <c r="Y152" s="468"/>
      <c r="Z152" s="468"/>
      <c r="AA152" s="468"/>
      <c r="AB152" s="468"/>
      <c r="AC152" s="468"/>
      <c r="AD152" s="468"/>
      <c r="AE152" s="468"/>
      <c r="AF152" s="468"/>
      <c r="AG152" s="468"/>
      <c r="AH152" s="468"/>
      <c r="AI152" s="468"/>
      <c r="AJ152" s="468"/>
    </row>
    <row r="153" spans="1:36" ht="18" customHeight="1" x14ac:dyDescent="0.35">
      <c r="A153" s="468"/>
      <c r="B153" s="468"/>
      <c r="C153" s="468"/>
      <c r="D153" s="468"/>
      <c r="E153" s="468"/>
      <c r="F153" s="468"/>
      <c r="G153" s="468"/>
      <c r="H153" s="468"/>
      <c r="I153" s="468"/>
      <c r="J153" s="468"/>
      <c r="K153" s="468"/>
      <c r="L153" s="468"/>
      <c r="M153" s="468"/>
      <c r="N153" s="468"/>
      <c r="O153" s="468"/>
      <c r="P153" s="468"/>
      <c r="Q153" s="468"/>
      <c r="R153" s="468"/>
      <c r="S153" s="468"/>
      <c r="T153" s="468"/>
      <c r="U153" s="468"/>
      <c r="V153" s="468"/>
      <c r="W153" s="468"/>
      <c r="X153" s="468"/>
      <c r="Y153" s="468"/>
      <c r="Z153" s="468"/>
      <c r="AA153" s="468"/>
      <c r="AB153" s="468"/>
      <c r="AC153" s="468"/>
      <c r="AD153" s="468"/>
      <c r="AE153" s="468"/>
      <c r="AF153" s="468"/>
      <c r="AG153" s="468"/>
      <c r="AH153" s="468"/>
      <c r="AI153" s="468"/>
      <c r="AJ153" s="468"/>
    </row>
    <row r="154" spans="1:36" ht="18" customHeight="1" x14ac:dyDescent="0.35">
      <c r="A154" s="468"/>
      <c r="B154" s="468"/>
      <c r="C154" s="468"/>
      <c r="D154" s="468"/>
      <c r="E154" s="468"/>
      <c r="F154" s="468"/>
      <c r="G154" s="468"/>
      <c r="H154" s="468"/>
      <c r="I154" s="468"/>
      <c r="J154" s="468"/>
      <c r="K154" s="468"/>
      <c r="L154" s="468"/>
      <c r="M154" s="468"/>
      <c r="N154" s="468"/>
      <c r="O154" s="468"/>
      <c r="P154" s="468"/>
      <c r="Q154" s="468"/>
      <c r="R154" s="468"/>
      <c r="S154" s="468"/>
      <c r="T154" s="468"/>
      <c r="U154" s="468"/>
      <c r="V154" s="468"/>
      <c r="W154" s="468"/>
      <c r="X154" s="468"/>
      <c r="Y154" s="468"/>
      <c r="Z154" s="468"/>
      <c r="AA154" s="468"/>
      <c r="AB154" s="468"/>
      <c r="AC154" s="468"/>
      <c r="AD154" s="468"/>
      <c r="AE154" s="468"/>
      <c r="AF154" s="468"/>
      <c r="AG154" s="468"/>
      <c r="AH154" s="468"/>
      <c r="AI154" s="468"/>
      <c r="AJ154" s="468"/>
    </row>
    <row r="155" spans="1:36" ht="18" customHeight="1" x14ac:dyDescent="0.35">
      <c r="A155" s="468"/>
      <c r="B155" s="468"/>
      <c r="C155" s="468"/>
      <c r="D155" s="468"/>
      <c r="E155" s="468"/>
      <c r="F155" s="468"/>
      <c r="G155" s="468"/>
      <c r="H155" s="468"/>
      <c r="I155" s="468"/>
      <c r="J155" s="468"/>
      <c r="K155" s="468"/>
      <c r="L155" s="468"/>
      <c r="M155" s="468"/>
      <c r="N155" s="468"/>
      <c r="O155" s="468"/>
      <c r="P155" s="468"/>
      <c r="Q155" s="468"/>
      <c r="R155" s="468"/>
      <c r="S155" s="468"/>
      <c r="T155" s="468"/>
      <c r="U155" s="468"/>
      <c r="V155" s="468"/>
      <c r="W155" s="468"/>
      <c r="X155" s="468"/>
      <c r="Y155" s="468"/>
      <c r="Z155" s="468"/>
      <c r="AA155" s="468"/>
      <c r="AB155" s="468"/>
      <c r="AC155" s="468"/>
      <c r="AD155" s="468"/>
      <c r="AE155" s="468"/>
      <c r="AF155" s="468"/>
      <c r="AG155" s="468"/>
      <c r="AH155" s="468"/>
      <c r="AI155" s="468"/>
      <c r="AJ155" s="468"/>
    </row>
    <row r="156" spans="1:36" ht="18" customHeight="1" x14ac:dyDescent="0.35">
      <c r="A156" s="468"/>
      <c r="B156" s="468"/>
      <c r="C156" s="468"/>
      <c r="D156" s="468"/>
      <c r="E156" s="468"/>
      <c r="F156" s="468"/>
      <c r="G156" s="468"/>
      <c r="H156" s="468"/>
      <c r="I156" s="468"/>
      <c r="J156" s="468"/>
      <c r="K156" s="468"/>
      <c r="L156" s="468"/>
      <c r="M156" s="468"/>
      <c r="N156" s="468"/>
      <c r="O156" s="468"/>
      <c r="P156" s="468"/>
      <c r="Q156" s="468"/>
      <c r="R156" s="468"/>
      <c r="S156" s="468"/>
      <c r="T156" s="468"/>
      <c r="U156" s="468"/>
      <c r="V156" s="468"/>
      <c r="W156" s="468"/>
      <c r="X156" s="468"/>
      <c r="Y156" s="468"/>
      <c r="Z156" s="468"/>
      <c r="AA156" s="468"/>
      <c r="AB156" s="468"/>
      <c r="AC156" s="468"/>
      <c r="AD156" s="468"/>
      <c r="AE156" s="468"/>
      <c r="AF156" s="468"/>
      <c r="AG156" s="468"/>
      <c r="AH156" s="468"/>
      <c r="AI156" s="468"/>
      <c r="AJ156" s="468"/>
    </row>
    <row r="157" spans="1:36" ht="18" customHeight="1" x14ac:dyDescent="0.35">
      <c r="A157" s="468"/>
      <c r="B157" s="468"/>
      <c r="C157" s="468"/>
      <c r="D157" s="468"/>
      <c r="E157" s="468"/>
      <c r="F157" s="468"/>
      <c r="G157" s="468"/>
      <c r="H157" s="468"/>
      <c r="I157" s="468"/>
      <c r="J157" s="468"/>
      <c r="K157" s="468"/>
      <c r="L157" s="468"/>
      <c r="M157" s="468"/>
      <c r="N157" s="468"/>
      <c r="O157" s="468"/>
      <c r="P157" s="468"/>
      <c r="Q157" s="468"/>
      <c r="R157" s="468"/>
      <c r="S157" s="468"/>
      <c r="T157" s="468"/>
      <c r="U157" s="468"/>
      <c r="V157" s="468"/>
      <c r="W157" s="468"/>
      <c r="X157" s="468"/>
      <c r="Y157" s="468"/>
      <c r="Z157" s="468"/>
      <c r="AA157" s="468"/>
      <c r="AB157" s="468"/>
      <c r="AC157" s="468"/>
      <c r="AD157" s="468"/>
      <c r="AE157" s="468"/>
      <c r="AF157" s="468"/>
      <c r="AG157" s="468"/>
      <c r="AH157" s="468"/>
      <c r="AI157" s="468"/>
      <c r="AJ157" s="468"/>
    </row>
    <row r="158" spans="1:36" ht="18" customHeight="1" x14ac:dyDescent="0.35">
      <c r="A158" s="468"/>
      <c r="B158" s="468"/>
      <c r="C158" s="468"/>
      <c r="D158" s="468"/>
      <c r="E158" s="468"/>
      <c r="F158" s="468"/>
      <c r="G158" s="468"/>
      <c r="H158" s="468"/>
      <c r="I158" s="468"/>
      <c r="J158" s="468"/>
      <c r="K158" s="468"/>
      <c r="L158" s="468"/>
      <c r="M158" s="468"/>
      <c r="N158" s="468"/>
      <c r="O158" s="468"/>
      <c r="P158" s="468"/>
      <c r="Q158" s="468"/>
      <c r="R158" s="468"/>
      <c r="S158" s="468"/>
      <c r="T158" s="468"/>
      <c r="U158" s="468"/>
      <c r="V158" s="468"/>
      <c r="W158" s="468"/>
      <c r="X158" s="468"/>
      <c r="Y158" s="468"/>
      <c r="Z158" s="468"/>
      <c r="AA158" s="468"/>
      <c r="AB158" s="468"/>
      <c r="AC158" s="468"/>
      <c r="AD158" s="468"/>
      <c r="AE158" s="468"/>
      <c r="AF158" s="468"/>
      <c r="AG158" s="468"/>
      <c r="AH158" s="468"/>
      <c r="AI158" s="468"/>
      <c r="AJ158" s="468"/>
    </row>
    <row r="159" spans="1:36" ht="18" customHeight="1" x14ac:dyDescent="0.35">
      <c r="A159" s="468"/>
      <c r="B159" s="468"/>
      <c r="C159" s="468"/>
      <c r="D159" s="468"/>
      <c r="E159" s="468"/>
      <c r="F159" s="468"/>
      <c r="G159" s="468"/>
      <c r="H159" s="468"/>
      <c r="I159" s="468"/>
      <c r="J159" s="468"/>
      <c r="K159" s="468"/>
      <c r="L159" s="468"/>
      <c r="M159" s="468"/>
      <c r="N159" s="468"/>
      <c r="O159" s="468"/>
      <c r="P159" s="468"/>
      <c r="Q159" s="468"/>
      <c r="R159" s="468"/>
      <c r="S159" s="468"/>
      <c r="T159" s="468"/>
      <c r="U159" s="468"/>
      <c r="V159" s="468"/>
      <c r="W159" s="468"/>
      <c r="X159" s="468"/>
      <c r="Y159" s="468"/>
      <c r="Z159" s="468"/>
      <c r="AA159" s="468"/>
      <c r="AB159" s="468"/>
      <c r="AC159" s="468"/>
      <c r="AD159" s="468"/>
      <c r="AE159" s="468"/>
      <c r="AF159" s="468"/>
      <c r="AG159" s="468"/>
      <c r="AH159" s="468"/>
      <c r="AI159" s="468"/>
      <c r="AJ159" s="468"/>
    </row>
    <row r="160" spans="1:36" ht="18" customHeight="1" x14ac:dyDescent="0.35">
      <c r="A160" s="468"/>
      <c r="B160" s="468"/>
      <c r="C160" s="468"/>
      <c r="D160" s="468"/>
      <c r="E160" s="468"/>
      <c r="F160" s="468"/>
      <c r="G160" s="468"/>
      <c r="H160" s="468"/>
      <c r="I160" s="468"/>
      <c r="J160" s="468"/>
      <c r="K160" s="468"/>
      <c r="L160" s="468"/>
      <c r="M160" s="468"/>
      <c r="N160" s="468"/>
      <c r="O160" s="468"/>
      <c r="P160" s="468"/>
      <c r="Q160" s="468"/>
      <c r="R160" s="468"/>
      <c r="S160" s="468"/>
      <c r="T160" s="468"/>
      <c r="U160" s="468"/>
      <c r="V160" s="468"/>
      <c r="W160" s="468"/>
      <c r="X160" s="468"/>
      <c r="Y160" s="468"/>
      <c r="Z160" s="468"/>
      <c r="AA160" s="468"/>
      <c r="AB160" s="468"/>
      <c r="AC160" s="468"/>
      <c r="AD160" s="468"/>
      <c r="AE160" s="468"/>
      <c r="AF160" s="468"/>
      <c r="AG160" s="468"/>
      <c r="AH160" s="468"/>
      <c r="AI160" s="468"/>
      <c r="AJ160" s="468"/>
    </row>
    <row r="161" spans="1:36" ht="18" customHeight="1" x14ac:dyDescent="0.35">
      <c r="A161" s="468"/>
      <c r="B161" s="468"/>
      <c r="C161" s="468"/>
      <c r="D161" s="468"/>
      <c r="E161" s="468"/>
      <c r="F161" s="468"/>
      <c r="G161" s="468"/>
      <c r="H161" s="468"/>
      <c r="I161" s="468"/>
      <c r="J161" s="468"/>
      <c r="K161" s="468"/>
      <c r="L161" s="468"/>
      <c r="M161" s="468"/>
      <c r="N161" s="468"/>
      <c r="O161" s="468"/>
      <c r="P161" s="468"/>
      <c r="Q161" s="468"/>
      <c r="R161" s="468"/>
      <c r="S161" s="468"/>
      <c r="T161" s="468"/>
      <c r="U161" s="468"/>
      <c r="V161" s="468"/>
      <c r="W161" s="468"/>
      <c r="X161" s="468"/>
      <c r="Y161" s="468"/>
      <c r="Z161" s="468"/>
      <c r="AA161" s="468"/>
      <c r="AB161" s="468"/>
      <c r="AC161" s="468"/>
      <c r="AD161" s="468"/>
      <c r="AE161" s="468"/>
      <c r="AF161" s="468"/>
      <c r="AG161" s="468"/>
      <c r="AH161" s="468"/>
      <c r="AI161" s="468"/>
      <c r="AJ161" s="468"/>
    </row>
    <row r="162" spans="1:36" ht="18" customHeight="1" x14ac:dyDescent="0.35">
      <c r="A162" s="468"/>
      <c r="B162" s="468"/>
      <c r="C162" s="468"/>
      <c r="D162" s="468"/>
      <c r="E162" s="468"/>
      <c r="F162" s="468"/>
      <c r="G162" s="468"/>
      <c r="H162" s="468"/>
      <c r="I162" s="468"/>
      <c r="J162" s="468"/>
      <c r="K162" s="468"/>
      <c r="L162" s="468"/>
      <c r="M162" s="468"/>
      <c r="N162" s="468"/>
      <c r="O162" s="468"/>
      <c r="P162" s="468"/>
      <c r="Q162" s="468"/>
      <c r="R162" s="468"/>
      <c r="S162" s="468"/>
      <c r="T162" s="468"/>
      <c r="U162" s="468"/>
      <c r="V162" s="468"/>
      <c r="W162" s="468"/>
      <c r="X162" s="468"/>
      <c r="Y162" s="468"/>
      <c r="Z162" s="468"/>
      <c r="AA162" s="468"/>
      <c r="AB162" s="468"/>
      <c r="AC162" s="468"/>
      <c r="AD162" s="468"/>
      <c r="AE162" s="468"/>
      <c r="AF162" s="468"/>
      <c r="AG162" s="468"/>
      <c r="AH162" s="468"/>
      <c r="AI162" s="468"/>
      <c r="AJ162" s="468"/>
    </row>
    <row r="163" spans="1:36" ht="18" customHeight="1" x14ac:dyDescent="0.35">
      <c r="A163" s="468"/>
      <c r="B163" s="468"/>
      <c r="C163" s="468"/>
      <c r="D163" s="468"/>
      <c r="E163" s="468"/>
      <c r="F163" s="468"/>
      <c r="G163" s="468"/>
      <c r="H163" s="468"/>
      <c r="I163" s="468"/>
      <c r="J163" s="468"/>
      <c r="K163" s="468"/>
      <c r="L163" s="468"/>
      <c r="M163" s="468"/>
      <c r="N163" s="468"/>
      <c r="O163" s="468"/>
      <c r="P163" s="468"/>
      <c r="Q163" s="468"/>
      <c r="R163" s="468"/>
      <c r="S163" s="468"/>
      <c r="T163" s="468"/>
      <c r="U163" s="468"/>
      <c r="V163" s="468"/>
      <c r="W163" s="468"/>
      <c r="X163" s="468"/>
      <c r="Y163" s="468"/>
      <c r="Z163" s="468"/>
      <c r="AA163" s="468"/>
      <c r="AB163" s="468"/>
      <c r="AC163" s="468"/>
      <c r="AD163" s="468"/>
      <c r="AE163" s="468"/>
      <c r="AF163" s="468"/>
      <c r="AG163" s="468"/>
      <c r="AH163" s="468"/>
      <c r="AI163" s="468"/>
      <c r="AJ163" s="468"/>
    </row>
    <row r="164" spans="1:36" ht="18" customHeight="1" x14ac:dyDescent="0.35">
      <c r="A164" s="468"/>
      <c r="B164" s="468"/>
      <c r="C164" s="468"/>
      <c r="D164" s="468"/>
      <c r="E164" s="468"/>
      <c r="F164" s="468"/>
      <c r="G164" s="468"/>
      <c r="H164" s="468"/>
      <c r="I164" s="468"/>
      <c r="J164" s="468"/>
      <c r="K164" s="468"/>
      <c r="L164" s="468"/>
      <c r="M164" s="468"/>
      <c r="N164" s="468"/>
      <c r="O164" s="468"/>
      <c r="P164" s="468"/>
      <c r="Q164" s="468"/>
      <c r="R164" s="468"/>
      <c r="S164" s="468"/>
      <c r="T164" s="468"/>
      <c r="U164" s="468"/>
      <c r="V164" s="468"/>
      <c r="W164" s="468"/>
      <c r="X164" s="468"/>
      <c r="Y164" s="468"/>
      <c r="Z164" s="468"/>
      <c r="AA164" s="468"/>
      <c r="AB164" s="468"/>
      <c r="AC164" s="468"/>
      <c r="AD164" s="468"/>
      <c r="AE164" s="468"/>
      <c r="AF164" s="468"/>
      <c r="AG164" s="468"/>
      <c r="AH164" s="468"/>
      <c r="AI164" s="468"/>
      <c r="AJ164" s="468"/>
    </row>
    <row r="165" spans="1:36" ht="18" customHeight="1" x14ac:dyDescent="0.35">
      <c r="A165" s="468"/>
      <c r="B165" s="468"/>
      <c r="C165" s="468"/>
      <c r="D165" s="468"/>
      <c r="E165" s="468"/>
      <c r="F165" s="468"/>
      <c r="G165" s="468"/>
      <c r="H165" s="468"/>
      <c r="I165" s="468"/>
      <c r="J165" s="468"/>
      <c r="K165" s="468"/>
      <c r="L165" s="468"/>
      <c r="M165" s="468"/>
      <c r="N165" s="468"/>
      <c r="O165" s="468"/>
      <c r="P165" s="468"/>
      <c r="Q165" s="468"/>
      <c r="R165" s="468"/>
      <c r="S165" s="468"/>
      <c r="T165" s="468"/>
      <c r="U165" s="468"/>
      <c r="V165" s="468"/>
      <c r="W165" s="468"/>
      <c r="X165" s="468"/>
      <c r="Y165" s="468"/>
      <c r="Z165" s="468"/>
      <c r="AA165" s="468"/>
      <c r="AB165" s="468"/>
      <c r="AC165" s="468"/>
      <c r="AD165" s="468"/>
      <c r="AE165" s="468"/>
      <c r="AF165" s="468"/>
      <c r="AG165" s="468"/>
      <c r="AH165" s="468"/>
      <c r="AI165" s="468"/>
      <c r="AJ165" s="468"/>
    </row>
    <row r="166" spans="1:36" ht="18" customHeight="1" x14ac:dyDescent="0.35">
      <c r="A166" s="468"/>
      <c r="B166" s="468"/>
      <c r="C166" s="468"/>
      <c r="D166" s="468"/>
      <c r="E166" s="468"/>
      <c r="F166" s="468"/>
      <c r="G166" s="468"/>
      <c r="H166" s="468"/>
      <c r="I166" s="468"/>
      <c r="J166" s="468"/>
      <c r="K166" s="468"/>
      <c r="L166" s="468"/>
      <c r="M166" s="468"/>
      <c r="N166" s="468"/>
      <c r="O166" s="468"/>
      <c r="P166" s="468"/>
      <c r="Q166" s="468"/>
      <c r="R166" s="468"/>
      <c r="S166" s="468"/>
      <c r="T166" s="468"/>
      <c r="U166" s="468"/>
      <c r="V166" s="468"/>
      <c r="W166" s="468"/>
      <c r="X166" s="468"/>
      <c r="Y166" s="468"/>
      <c r="Z166" s="468"/>
      <c r="AA166" s="468"/>
      <c r="AB166" s="468"/>
      <c r="AC166" s="468"/>
      <c r="AD166" s="468"/>
      <c r="AE166" s="468"/>
      <c r="AF166" s="468"/>
      <c r="AG166" s="468"/>
      <c r="AH166" s="468"/>
      <c r="AI166" s="468"/>
      <c r="AJ166" s="468"/>
    </row>
    <row r="167" spans="1:36" ht="18" customHeight="1" x14ac:dyDescent="0.35">
      <c r="A167" s="468"/>
      <c r="B167" s="468"/>
      <c r="C167" s="468"/>
      <c r="D167" s="468"/>
      <c r="E167" s="468"/>
      <c r="F167" s="468"/>
      <c r="G167" s="468"/>
      <c r="H167" s="468"/>
      <c r="I167" s="468"/>
      <c r="J167" s="468"/>
      <c r="K167" s="468"/>
      <c r="L167" s="468"/>
      <c r="M167" s="468"/>
      <c r="N167" s="468"/>
      <c r="O167" s="468"/>
      <c r="P167" s="468"/>
      <c r="Q167" s="468"/>
      <c r="R167" s="468"/>
      <c r="S167" s="468"/>
      <c r="T167" s="468"/>
      <c r="U167" s="468"/>
      <c r="V167" s="468"/>
      <c r="W167" s="468"/>
      <c r="X167" s="468"/>
      <c r="Y167" s="468"/>
      <c r="Z167" s="468"/>
      <c r="AA167" s="468"/>
      <c r="AB167" s="468"/>
      <c r="AC167" s="468"/>
      <c r="AD167" s="468"/>
      <c r="AE167" s="468"/>
      <c r="AF167" s="468"/>
      <c r="AG167" s="468"/>
      <c r="AH167" s="468"/>
      <c r="AI167" s="468"/>
      <c r="AJ167" s="468"/>
    </row>
    <row r="168" spans="1:36" ht="18" customHeight="1" x14ac:dyDescent="0.35">
      <c r="A168" s="468"/>
      <c r="B168" s="468"/>
      <c r="C168" s="468"/>
      <c r="D168" s="468"/>
      <c r="E168" s="468"/>
      <c r="F168" s="468"/>
      <c r="G168" s="468"/>
      <c r="H168" s="468"/>
      <c r="I168" s="468"/>
      <c r="J168" s="468"/>
      <c r="K168" s="468"/>
      <c r="L168" s="468"/>
      <c r="M168" s="468"/>
      <c r="N168" s="468"/>
      <c r="O168" s="468"/>
      <c r="P168" s="468"/>
      <c r="Q168" s="468"/>
      <c r="R168" s="468"/>
      <c r="S168" s="468"/>
      <c r="T168" s="468"/>
      <c r="U168" s="468"/>
      <c r="V168" s="468"/>
      <c r="W168" s="468"/>
      <c r="X168" s="468"/>
      <c r="Y168" s="468"/>
      <c r="Z168" s="468"/>
      <c r="AA168" s="468"/>
      <c r="AB168" s="468"/>
      <c r="AC168" s="468"/>
      <c r="AD168" s="468"/>
      <c r="AE168" s="468"/>
      <c r="AF168" s="468"/>
      <c r="AG168" s="468"/>
      <c r="AH168" s="468"/>
      <c r="AI168" s="468"/>
      <c r="AJ168" s="468"/>
    </row>
    <row r="169" spans="1:36" ht="18" customHeight="1" x14ac:dyDescent="0.35">
      <c r="A169" s="468"/>
      <c r="B169" s="468"/>
      <c r="C169" s="468"/>
      <c r="D169" s="468"/>
      <c r="E169" s="468"/>
      <c r="F169" s="468"/>
      <c r="G169" s="468"/>
      <c r="H169" s="468"/>
      <c r="I169" s="468"/>
      <c r="J169" s="468"/>
      <c r="K169" s="468"/>
      <c r="L169" s="468"/>
      <c r="M169" s="468"/>
      <c r="N169" s="468"/>
      <c r="O169" s="468"/>
      <c r="P169" s="468"/>
      <c r="Q169" s="468"/>
      <c r="R169" s="468"/>
      <c r="S169" s="468"/>
      <c r="T169" s="468"/>
      <c r="U169" s="468"/>
      <c r="V169" s="468"/>
      <c r="W169" s="468"/>
      <c r="X169" s="468"/>
      <c r="Y169" s="468"/>
      <c r="Z169" s="468"/>
      <c r="AA169" s="468"/>
      <c r="AB169" s="468"/>
      <c r="AC169" s="468"/>
      <c r="AD169" s="468"/>
      <c r="AE169" s="468"/>
      <c r="AF169" s="468"/>
      <c r="AG169" s="468"/>
      <c r="AH169" s="468"/>
      <c r="AI169" s="468"/>
      <c r="AJ169" s="468"/>
    </row>
    <row r="170" spans="1:36" ht="18" customHeight="1" x14ac:dyDescent="0.35">
      <c r="A170" s="468"/>
      <c r="B170" s="468"/>
      <c r="C170" s="468"/>
      <c r="D170" s="468"/>
      <c r="E170" s="468"/>
      <c r="F170" s="468"/>
      <c r="G170" s="468"/>
      <c r="H170" s="468"/>
      <c r="I170" s="468"/>
      <c r="J170" s="468"/>
      <c r="K170" s="468"/>
      <c r="L170" s="468"/>
      <c r="M170" s="468"/>
      <c r="N170" s="468"/>
      <c r="O170" s="468"/>
      <c r="P170" s="468"/>
      <c r="Q170" s="468"/>
      <c r="R170" s="468"/>
      <c r="S170" s="468"/>
      <c r="T170" s="468"/>
      <c r="U170" s="468"/>
      <c r="V170" s="468"/>
      <c r="W170" s="468"/>
      <c r="X170" s="468"/>
      <c r="Y170" s="468"/>
      <c r="Z170" s="468"/>
      <c r="AA170" s="468"/>
      <c r="AB170" s="468"/>
      <c r="AC170" s="468"/>
      <c r="AD170" s="468"/>
      <c r="AE170" s="468"/>
      <c r="AF170" s="468"/>
      <c r="AG170" s="468"/>
      <c r="AH170" s="468"/>
      <c r="AI170" s="468"/>
      <c r="AJ170" s="468"/>
    </row>
    <row r="171" spans="1:36" ht="18" customHeight="1" x14ac:dyDescent="0.35">
      <c r="A171" s="468"/>
      <c r="B171" s="468"/>
      <c r="C171" s="468"/>
      <c r="D171" s="468"/>
      <c r="E171" s="468"/>
      <c r="F171" s="468"/>
      <c r="G171" s="468"/>
      <c r="H171" s="468"/>
      <c r="I171" s="468"/>
      <c r="J171" s="468"/>
      <c r="K171" s="468"/>
      <c r="L171" s="468"/>
      <c r="M171" s="468"/>
      <c r="N171" s="468"/>
      <c r="O171" s="468"/>
      <c r="P171" s="468"/>
      <c r="Q171" s="468"/>
      <c r="R171" s="468"/>
      <c r="S171" s="468"/>
      <c r="T171" s="468"/>
      <c r="U171" s="468"/>
      <c r="V171" s="468"/>
      <c r="W171" s="468"/>
      <c r="X171" s="468"/>
      <c r="Y171" s="468"/>
      <c r="Z171" s="468"/>
      <c r="AA171" s="468"/>
      <c r="AB171" s="468"/>
      <c r="AC171" s="468"/>
      <c r="AD171" s="468"/>
      <c r="AE171" s="468"/>
      <c r="AF171" s="468"/>
      <c r="AG171" s="468"/>
      <c r="AH171" s="468"/>
      <c r="AI171" s="468"/>
      <c r="AJ171" s="468"/>
    </row>
    <row r="172" spans="1:36" ht="18" customHeight="1" x14ac:dyDescent="0.35">
      <c r="A172" s="468"/>
      <c r="B172" s="468"/>
      <c r="C172" s="468"/>
      <c r="D172" s="468"/>
      <c r="E172" s="468"/>
      <c r="F172" s="468"/>
      <c r="G172" s="468"/>
      <c r="H172" s="468"/>
      <c r="I172" s="468"/>
      <c r="J172" s="468"/>
      <c r="K172" s="468"/>
      <c r="L172" s="468"/>
      <c r="M172" s="468"/>
      <c r="N172" s="468"/>
      <c r="O172" s="468"/>
      <c r="P172" s="468"/>
      <c r="Q172" s="468"/>
      <c r="R172" s="468"/>
      <c r="S172" s="468"/>
      <c r="T172" s="468"/>
      <c r="U172" s="468"/>
      <c r="V172" s="468"/>
      <c r="W172" s="468"/>
      <c r="X172" s="468"/>
      <c r="Y172" s="468"/>
      <c r="Z172" s="468"/>
      <c r="AA172" s="468"/>
      <c r="AB172" s="468"/>
      <c r="AC172" s="468"/>
      <c r="AD172" s="468"/>
      <c r="AE172" s="468"/>
      <c r="AF172" s="468"/>
      <c r="AG172" s="468"/>
      <c r="AH172" s="468"/>
      <c r="AI172" s="468"/>
      <c r="AJ172" s="468"/>
    </row>
    <row r="173" spans="1:36" ht="18" customHeight="1" x14ac:dyDescent="0.35">
      <c r="A173" s="468"/>
      <c r="B173" s="468"/>
      <c r="C173" s="468"/>
      <c r="D173" s="468"/>
      <c r="E173" s="468"/>
      <c r="F173" s="468"/>
      <c r="G173" s="468"/>
      <c r="H173" s="468"/>
      <c r="I173" s="468"/>
      <c r="J173" s="468"/>
      <c r="K173" s="468"/>
      <c r="L173" s="468"/>
      <c r="M173" s="468"/>
      <c r="N173" s="468"/>
      <c r="O173" s="468"/>
      <c r="P173" s="468"/>
      <c r="Q173" s="468"/>
      <c r="R173" s="468"/>
      <c r="S173" s="468"/>
      <c r="T173" s="468"/>
      <c r="U173" s="468"/>
      <c r="V173" s="468"/>
      <c r="W173" s="468"/>
      <c r="X173" s="468"/>
      <c r="Y173" s="468"/>
      <c r="Z173" s="468"/>
      <c r="AA173" s="468"/>
      <c r="AB173" s="468"/>
      <c r="AC173" s="468"/>
      <c r="AD173" s="468"/>
      <c r="AE173" s="468"/>
      <c r="AF173" s="468"/>
      <c r="AG173" s="468"/>
      <c r="AH173" s="468"/>
      <c r="AI173" s="468"/>
      <c r="AJ173" s="468"/>
    </row>
    <row r="174" spans="1:36" ht="18" customHeight="1" x14ac:dyDescent="0.35">
      <c r="A174" s="468"/>
      <c r="B174" s="468"/>
      <c r="C174" s="468"/>
      <c r="D174" s="468"/>
      <c r="E174" s="468"/>
      <c r="F174" s="468"/>
      <c r="G174" s="468"/>
      <c r="H174" s="468"/>
      <c r="I174" s="468"/>
      <c r="J174" s="468"/>
      <c r="K174" s="468"/>
      <c r="L174" s="468"/>
      <c r="M174" s="468"/>
      <c r="N174" s="468"/>
      <c r="O174" s="468"/>
      <c r="P174" s="468"/>
      <c r="Q174" s="468"/>
      <c r="R174" s="468"/>
      <c r="S174" s="468"/>
      <c r="T174" s="468"/>
      <c r="U174" s="468"/>
      <c r="V174" s="468"/>
      <c r="W174" s="468"/>
      <c r="X174" s="468"/>
      <c r="Y174" s="468"/>
      <c r="Z174" s="468"/>
      <c r="AA174" s="468"/>
      <c r="AB174" s="468"/>
      <c r="AC174" s="468"/>
      <c r="AD174" s="468"/>
      <c r="AE174" s="468"/>
      <c r="AF174" s="468"/>
      <c r="AG174" s="468"/>
      <c r="AH174" s="468"/>
      <c r="AI174" s="468"/>
      <c r="AJ174" s="468"/>
    </row>
    <row r="175" spans="1:36" ht="18" customHeight="1" x14ac:dyDescent="0.35">
      <c r="A175" s="468"/>
      <c r="B175" s="468"/>
      <c r="C175" s="468"/>
      <c r="D175" s="468"/>
      <c r="E175" s="468"/>
      <c r="F175" s="468"/>
      <c r="G175" s="468"/>
      <c r="H175" s="468"/>
      <c r="I175" s="468"/>
      <c r="J175" s="468"/>
      <c r="K175" s="468"/>
      <c r="L175" s="468"/>
      <c r="M175" s="468"/>
      <c r="N175" s="468"/>
      <c r="O175" s="468"/>
      <c r="P175" s="468"/>
      <c r="Q175" s="468"/>
      <c r="R175" s="468"/>
      <c r="S175" s="468"/>
      <c r="T175" s="468"/>
      <c r="U175" s="468"/>
      <c r="V175" s="468"/>
      <c r="W175" s="468"/>
      <c r="X175" s="468"/>
      <c r="Y175" s="468"/>
      <c r="Z175" s="468"/>
      <c r="AA175" s="468"/>
      <c r="AB175" s="468"/>
      <c r="AC175" s="468"/>
      <c r="AD175" s="468"/>
      <c r="AE175" s="468"/>
      <c r="AF175" s="468"/>
      <c r="AG175" s="468"/>
      <c r="AH175" s="468"/>
      <c r="AI175" s="468"/>
      <c r="AJ175" s="468"/>
    </row>
    <row r="176" spans="1:36" ht="18" customHeight="1" x14ac:dyDescent="0.35">
      <c r="A176" s="468"/>
      <c r="B176" s="468"/>
      <c r="C176" s="468"/>
      <c r="D176" s="468"/>
      <c r="E176" s="468"/>
      <c r="F176" s="468"/>
      <c r="G176" s="468"/>
      <c r="H176" s="468"/>
      <c r="I176" s="468"/>
      <c r="J176" s="468"/>
      <c r="K176" s="468"/>
      <c r="L176" s="468"/>
      <c r="M176" s="468"/>
      <c r="N176" s="468"/>
      <c r="O176" s="468"/>
      <c r="P176" s="468"/>
      <c r="Q176" s="468"/>
      <c r="R176" s="468"/>
      <c r="S176" s="468"/>
      <c r="T176" s="468"/>
      <c r="U176" s="468"/>
      <c r="V176" s="468"/>
      <c r="W176" s="468"/>
      <c r="X176" s="468"/>
      <c r="Y176" s="468"/>
      <c r="Z176" s="468"/>
      <c r="AA176" s="468"/>
      <c r="AB176" s="468"/>
      <c r="AC176" s="468"/>
      <c r="AD176" s="468"/>
      <c r="AE176" s="468"/>
      <c r="AF176" s="468"/>
      <c r="AG176" s="468"/>
      <c r="AH176" s="468"/>
      <c r="AI176" s="468"/>
      <c r="AJ176" s="468"/>
    </row>
    <row r="177" spans="1:36" ht="18" customHeight="1" x14ac:dyDescent="0.35">
      <c r="A177" s="468"/>
      <c r="B177" s="468"/>
      <c r="C177" s="468"/>
      <c r="D177" s="468"/>
      <c r="E177" s="468"/>
      <c r="F177" s="468"/>
      <c r="G177" s="468"/>
      <c r="H177" s="468"/>
      <c r="I177" s="468"/>
      <c r="J177" s="468"/>
      <c r="K177" s="468"/>
      <c r="L177" s="468"/>
      <c r="M177" s="468"/>
      <c r="N177" s="468"/>
      <c r="O177" s="468"/>
      <c r="P177" s="468"/>
      <c r="Q177" s="468"/>
      <c r="R177" s="468"/>
      <c r="S177" s="468"/>
      <c r="T177" s="468"/>
      <c r="U177" s="468"/>
      <c r="V177" s="468"/>
      <c r="W177" s="468"/>
      <c r="X177" s="468"/>
      <c r="Y177" s="468"/>
      <c r="Z177" s="468"/>
      <c r="AA177" s="468"/>
      <c r="AB177" s="468"/>
      <c r="AC177" s="468"/>
      <c r="AD177" s="468"/>
      <c r="AE177" s="468"/>
      <c r="AF177" s="468"/>
      <c r="AG177" s="468"/>
      <c r="AH177" s="468"/>
      <c r="AI177" s="468"/>
      <c r="AJ177" s="468"/>
    </row>
    <row r="178" spans="1:36" ht="18" customHeight="1" x14ac:dyDescent="0.35">
      <c r="A178" s="468"/>
      <c r="B178" s="468"/>
      <c r="C178" s="468"/>
      <c r="D178" s="468"/>
      <c r="E178" s="468"/>
      <c r="F178" s="468"/>
      <c r="G178" s="468"/>
      <c r="H178" s="468"/>
      <c r="I178" s="468"/>
      <c r="J178" s="468"/>
      <c r="K178" s="468"/>
      <c r="L178" s="468"/>
      <c r="M178" s="468"/>
      <c r="N178" s="468"/>
      <c r="O178" s="468"/>
      <c r="P178" s="468"/>
      <c r="Q178" s="468"/>
      <c r="R178" s="468"/>
      <c r="S178" s="468"/>
      <c r="T178" s="468"/>
      <c r="U178" s="468"/>
      <c r="V178" s="468"/>
      <c r="W178" s="468"/>
      <c r="X178" s="468"/>
      <c r="Y178" s="468"/>
      <c r="Z178" s="468"/>
      <c r="AA178" s="468"/>
      <c r="AB178" s="468"/>
      <c r="AC178" s="468"/>
      <c r="AD178" s="468"/>
      <c r="AE178" s="468"/>
      <c r="AF178" s="468"/>
      <c r="AG178" s="468"/>
      <c r="AH178" s="468"/>
      <c r="AI178" s="468"/>
      <c r="AJ178" s="468"/>
    </row>
    <row r="179" spans="1:36" ht="18" customHeight="1" x14ac:dyDescent="0.35">
      <c r="A179" s="468"/>
      <c r="B179" s="468"/>
      <c r="C179" s="468"/>
      <c r="D179" s="468"/>
      <c r="E179" s="468"/>
      <c r="F179" s="468"/>
      <c r="G179" s="468"/>
      <c r="H179" s="468"/>
      <c r="I179" s="468"/>
      <c r="J179" s="468"/>
      <c r="K179" s="468"/>
      <c r="L179" s="468"/>
      <c r="M179" s="468"/>
      <c r="N179" s="468"/>
      <c r="O179" s="468"/>
      <c r="P179" s="468"/>
      <c r="Q179" s="468"/>
      <c r="R179" s="468"/>
      <c r="S179" s="468"/>
      <c r="T179" s="468"/>
      <c r="U179" s="468"/>
      <c r="V179" s="468"/>
      <c r="W179" s="468"/>
      <c r="X179" s="468"/>
      <c r="Y179" s="468"/>
      <c r="Z179" s="468"/>
      <c r="AA179" s="468"/>
      <c r="AB179" s="468"/>
      <c r="AC179" s="468"/>
      <c r="AD179" s="468"/>
      <c r="AE179" s="468"/>
      <c r="AF179" s="468"/>
      <c r="AG179" s="468"/>
      <c r="AH179" s="468"/>
      <c r="AI179" s="468"/>
      <c r="AJ179" s="468"/>
    </row>
    <row r="180" spans="1:36" ht="18" customHeight="1" x14ac:dyDescent="0.35">
      <c r="A180" s="468"/>
      <c r="B180" s="468"/>
      <c r="C180" s="468"/>
      <c r="D180" s="468"/>
      <c r="E180" s="468"/>
      <c r="F180" s="468"/>
      <c r="G180" s="468"/>
      <c r="H180" s="468"/>
      <c r="I180" s="468"/>
      <c r="J180" s="468"/>
      <c r="K180" s="468"/>
      <c r="L180" s="468"/>
      <c r="M180" s="468"/>
      <c r="N180" s="468"/>
      <c r="O180" s="468"/>
      <c r="P180" s="468"/>
      <c r="Q180" s="468"/>
      <c r="R180" s="468"/>
      <c r="S180" s="468"/>
      <c r="T180" s="468"/>
      <c r="U180" s="468"/>
      <c r="V180" s="468"/>
      <c r="W180" s="468"/>
      <c r="X180" s="468"/>
      <c r="Y180" s="468"/>
      <c r="Z180" s="468"/>
      <c r="AA180" s="468"/>
      <c r="AB180" s="468"/>
      <c r="AC180" s="468"/>
      <c r="AD180" s="468"/>
      <c r="AE180" s="468"/>
      <c r="AF180" s="468"/>
      <c r="AG180" s="468"/>
      <c r="AH180" s="468"/>
      <c r="AI180" s="468"/>
      <c r="AJ180" s="468"/>
    </row>
    <row r="181" spans="1:36" ht="18" customHeight="1" x14ac:dyDescent="0.35">
      <c r="A181" s="468"/>
      <c r="B181" s="468"/>
      <c r="C181" s="468"/>
      <c r="D181" s="468"/>
      <c r="E181" s="468"/>
      <c r="F181" s="468"/>
      <c r="G181" s="468"/>
      <c r="H181" s="468"/>
      <c r="I181" s="468"/>
      <c r="J181" s="468"/>
      <c r="K181" s="468"/>
      <c r="L181" s="468"/>
      <c r="M181" s="468"/>
      <c r="N181" s="468"/>
      <c r="O181" s="468"/>
      <c r="P181" s="468"/>
      <c r="Q181" s="468"/>
      <c r="R181" s="468"/>
      <c r="S181" s="468"/>
      <c r="T181" s="468"/>
      <c r="U181" s="468"/>
      <c r="V181" s="468"/>
      <c r="W181" s="468"/>
      <c r="X181" s="468"/>
      <c r="Y181" s="468"/>
      <c r="Z181" s="468"/>
      <c r="AA181" s="468"/>
      <c r="AB181" s="468"/>
      <c r="AC181" s="468"/>
      <c r="AD181" s="468"/>
      <c r="AE181" s="468"/>
      <c r="AF181" s="468"/>
      <c r="AG181" s="468"/>
      <c r="AH181" s="468"/>
      <c r="AI181" s="468"/>
      <c r="AJ181" s="468"/>
    </row>
    <row r="182" spans="1:36" ht="18" customHeight="1" x14ac:dyDescent="0.35">
      <c r="A182" s="468"/>
      <c r="B182" s="468"/>
      <c r="C182" s="468"/>
      <c r="D182" s="468"/>
      <c r="E182" s="468"/>
      <c r="F182" s="468"/>
      <c r="G182" s="468"/>
      <c r="H182" s="468"/>
      <c r="I182" s="468"/>
      <c r="J182" s="468"/>
      <c r="K182" s="468"/>
      <c r="L182" s="468"/>
      <c r="M182" s="468"/>
      <c r="N182" s="468"/>
      <c r="O182" s="468"/>
      <c r="P182" s="468"/>
      <c r="Q182" s="468"/>
      <c r="R182" s="468"/>
      <c r="S182" s="468"/>
      <c r="T182" s="468"/>
      <c r="U182" s="468"/>
      <c r="V182" s="468"/>
      <c r="W182" s="468"/>
      <c r="X182" s="468"/>
      <c r="Y182" s="468"/>
      <c r="Z182" s="468"/>
      <c r="AA182" s="468"/>
      <c r="AB182" s="468"/>
      <c r="AC182" s="468"/>
      <c r="AD182" s="468"/>
      <c r="AE182" s="468"/>
      <c r="AF182" s="468"/>
      <c r="AG182" s="468"/>
      <c r="AH182" s="468"/>
      <c r="AI182" s="468"/>
      <c r="AJ182" s="468"/>
    </row>
    <row r="183" spans="1:36" ht="18" customHeight="1" x14ac:dyDescent="0.35">
      <c r="A183" s="468"/>
      <c r="B183" s="468"/>
      <c r="C183" s="468"/>
      <c r="D183" s="468"/>
      <c r="E183" s="468"/>
      <c r="F183" s="468"/>
      <c r="G183" s="468"/>
      <c r="H183" s="468"/>
      <c r="I183" s="468"/>
      <c r="J183" s="468"/>
      <c r="K183" s="468"/>
      <c r="L183" s="468"/>
      <c r="M183" s="468"/>
      <c r="N183" s="468"/>
      <c r="O183" s="468"/>
      <c r="P183" s="468"/>
      <c r="Q183" s="468"/>
      <c r="R183" s="468"/>
      <c r="S183" s="468"/>
      <c r="T183" s="468"/>
      <c r="U183" s="468"/>
      <c r="V183" s="468"/>
      <c r="W183" s="468"/>
      <c r="X183" s="468"/>
      <c r="Y183" s="468"/>
      <c r="Z183" s="468"/>
      <c r="AA183" s="468"/>
      <c r="AB183" s="468"/>
      <c r="AC183" s="468"/>
      <c r="AD183" s="468"/>
      <c r="AE183" s="468"/>
      <c r="AF183" s="468"/>
      <c r="AG183" s="468"/>
      <c r="AH183" s="468"/>
      <c r="AI183" s="468"/>
      <c r="AJ183" s="468"/>
    </row>
    <row r="184" spans="1:36" ht="18" customHeight="1" x14ac:dyDescent="0.35">
      <c r="A184" s="468"/>
      <c r="B184" s="468"/>
      <c r="C184" s="468"/>
      <c r="D184" s="468"/>
      <c r="E184" s="468"/>
      <c r="F184" s="468"/>
      <c r="G184" s="468"/>
      <c r="H184" s="468"/>
      <c r="I184" s="468"/>
      <c r="J184" s="468"/>
      <c r="K184" s="468"/>
      <c r="L184" s="468"/>
      <c r="M184" s="468"/>
      <c r="N184" s="468"/>
      <c r="O184" s="468"/>
      <c r="P184" s="468"/>
      <c r="Q184" s="468"/>
      <c r="R184" s="468"/>
      <c r="S184" s="468"/>
      <c r="T184" s="468"/>
      <c r="U184" s="468"/>
      <c r="V184" s="468"/>
      <c r="W184" s="468"/>
      <c r="X184" s="468"/>
      <c r="Y184" s="468"/>
      <c r="Z184" s="468"/>
      <c r="AA184" s="468"/>
      <c r="AB184" s="468"/>
      <c r="AC184" s="468"/>
      <c r="AD184" s="468"/>
      <c r="AE184" s="468"/>
      <c r="AF184" s="468"/>
      <c r="AG184" s="468"/>
      <c r="AH184" s="468"/>
      <c r="AI184" s="468"/>
      <c r="AJ184" s="468"/>
    </row>
    <row r="185" spans="1:36" ht="18" customHeight="1" x14ac:dyDescent="0.35">
      <c r="A185" s="468"/>
      <c r="B185" s="468"/>
      <c r="C185" s="468"/>
      <c r="D185" s="468"/>
      <c r="E185" s="468"/>
      <c r="F185" s="468"/>
      <c r="G185" s="468"/>
      <c r="H185" s="468"/>
      <c r="I185" s="468"/>
      <c r="J185" s="468"/>
      <c r="K185" s="468"/>
      <c r="L185" s="468"/>
      <c r="M185" s="468"/>
      <c r="N185" s="468"/>
      <c r="O185" s="468"/>
      <c r="P185" s="468"/>
      <c r="Q185" s="468"/>
      <c r="R185" s="468"/>
      <c r="S185" s="468"/>
      <c r="T185" s="468"/>
      <c r="U185" s="468"/>
      <c r="V185" s="468"/>
      <c r="W185" s="468"/>
      <c r="X185" s="468"/>
      <c r="Y185" s="468"/>
      <c r="Z185" s="468"/>
      <c r="AA185" s="468"/>
      <c r="AB185" s="468"/>
      <c r="AC185" s="468"/>
      <c r="AD185" s="468"/>
      <c r="AE185" s="468"/>
      <c r="AF185" s="468"/>
      <c r="AG185" s="468"/>
      <c r="AH185" s="468"/>
      <c r="AI185" s="468"/>
      <c r="AJ185" s="468"/>
    </row>
    <row r="186" spans="1:36" ht="18" customHeight="1" x14ac:dyDescent="0.35">
      <c r="A186" s="468"/>
      <c r="B186" s="468"/>
      <c r="C186" s="468"/>
      <c r="D186" s="468"/>
      <c r="E186" s="468"/>
      <c r="F186" s="468"/>
      <c r="G186" s="468"/>
      <c r="H186" s="468"/>
      <c r="I186" s="468"/>
      <c r="J186" s="468"/>
      <c r="K186" s="468"/>
      <c r="L186" s="468"/>
      <c r="M186" s="468"/>
      <c r="N186" s="468"/>
      <c r="O186" s="468"/>
      <c r="P186" s="468"/>
      <c r="Q186" s="468"/>
      <c r="R186" s="468"/>
      <c r="S186" s="468"/>
      <c r="T186" s="468"/>
      <c r="U186" s="468"/>
      <c r="V186" s="468"/>
      <c r="W186" s="468"/>
      <c r="X186" s="468"/>
      <c r="Y186" s="468"/>
      <c r="Z186" s="468"/>
      <c r="AA186" s="468"/>
      <c r="AB186" s="468"/>
      <c r="AC186" s="468"/>
      <c r="AD186" s="468"/>
      <c r="AE186" s="468"/>
      <c r="AF186" s="468"/>
      <c r="AG186" s="468"/>
      <c r="AH186" s="468"/>
      <c r="AI186" s="468"/>
      <c r="AJ186" s="468"/>
    </row>
    <row r="187" spans="1:36" ht="18" customHeight="1" x14ac:dyDescent="0.35">
      <c r="A187" s="468"/>
      <c r="B187" s="468"/>
      <c r="C187" s="468"/>
      <c r="D187" s="468"/>
      <c r="E187" s="468"/>
      <c r="F187" s="468"/>
      <c r="G187" s="468"/>
      <c r="H187" s="468"/>
      <c r="I187" s="468"/>
      <c r="J187" s="468"/>
      <c r="K187" s="468"/>
      <c r="L187" s="468"/>
      <c r="M187" s="468"/>
      <c r="N187" s="468"/>
      <c r="O187" s="468"/>
      <c r="P187" s="468"/>
      <c r="Q187" s="468"/>
      <c r="R187" s="468"/>
      <c r="S187" s="468"/>
      <c r="T187" s="468"/>
      <c r="U187" s="468"/>
      <c r="V187" s="468"/>
      <c r="W187" s="468"/>
      <c r="X187" s="468"/>
      <c r="Y187" s="468"/>
      <c r="Z187" s="468"/>
      <c r="AA187" s="468"/>
      <c r="AB187" s="468"/>
      <c r="AC187" s="468"/>
      <c r="AD187" s="468"/>
      <c r="AE187" s="468"/>
      <c r="AF187" s="468"/>
      <c r="AG187" s="468"/>
      <c r="AH187" s="468"/>
      <c r="AI187" s="468"/>
      <c r="AJ187" s="468"/>
    </row>
    <row r="188" spans="1:36" ht="18" customHeight="1" x14ac:dyDescent="0.35">
      <c r="A188" s="468"/>
      <c r="B188" s="468"/>
      <c r="C188" s="468"/>
      <c r="D188" s="468"/>
      <c r="E188" s="468"/>
      <c r="F188" s="468"/>
      <c r="G188" s="468"/>
      <c r="H188" s="468"/>
      <c r="I188" s="468"/>
      <c r="J188" s="468"/>
      <c r="K188" s="468"/>
      <c r="L188" s="468"/>
      <c r="M188" s="468"/>
      <c r="N188" s="468"/>
      <c r="O188" s="468"/>
      <c r="P188" s="468"/>
      <c r="Q188" s="468"/>
      <c r="R188" s="468"/>
      <c r="S188" s="468"/>
      <c r="T188" s="468"/>
      <c r="U188" s="468"/>
      <c r="V188" s="468"/>
      <c r="W188" s="468"/>
      <c r="X188" s="468"/>
      <c r="Y188" s="468"/>
      <c r="Z188" s="468"/>
      <c r="AA188" s="468"/>
      <c r="AB188" s="468"/>
      <c r="AC188" s="468"/>
      <c r="AD188" s="468"/>
      <c r="AE188" s="468"/>
      <c r="AF188" s="468"/>
      <c r="AG188" s="468"/>
      <c r="AH188" s="468"/>
      <c r="AI188" s="468"/>
      <c r="AJ188" s="468"/>
    </row>
    <row r="189" spans="1:36" ht="18" customHeight="1" x14ac:dyDescent="0.35">
      <c r="A189" s="468"/>
      <c r="B189" s="468"/>
      <c r="C189" s="468"/>
      <c r="D189" s="468"/>
      <c r="E189" s="468"/>
      <c r="F189" s="468"/>
      <c r="G189" s="468"/>
      <c r="H189" s="468"/>
      <c r="I189" s="468"/>
      <c r="J189" s="468"/>
      <c r="K189" s="468"/>
      <c r="L189" s="468"/>
      <c r="M189" s="468"/>
      <c r="N189" s="468"/>
      <c r="O189" s="468"/>
      <c r="P189" s="468"/>
      <c r="Q189" s="468"/>
      <c r="R189" s="468"/>
      <c r="S189" s="468"/>
      <c r="T189" s="468"/>
      <c r="U189" s="468"/>
      <c r="V189" s="468"/>
      <c r="W189" s="468"/>
      <c r="X189" s="468"/>
      <c r="Y189" s="468"/>
      <c r="Z189" s="468"/>
      <c r="AA189" s="468"/>
      <c r="AB189" s="468"/>
      <c r="AC189" s="468"/>
      <c r="AD189" s="468"/>
      <c r="AE189" s="468"/>
      <c r="AF189" s="468"/>
      <c r="AG189" s="468"/>
      <c r="AH189" s="468"/>
      <c r="AI189" s="468"/>
      <c r="AJ189" s="468"/>
    </row>
    <row r="190" spans="1:36" ht="18" customHeight="1" x14ac:dyDescent="0.35">
      <c r="A190" s="468"/>
      <c r="B190" s="468"/>
      <c r="C190" s="468"/>
      <c r="D190" s="468"/>
      <c r="E190" s="468"/>
      <c r="F190" s="468"/>
      <c r="G190" s="468"/>
      <c r="H190" s="468"/>
      <c r="I190" s="468"/>
      <c r="J190" s="468"/>
      <c r="K190" s="468"/>
      <c r="L190" s="468"/>
      <c r="M190" s="468"/>
      <c r="N190" s="468"/>
      <c r="O190" s="468"/>
      <c r="P190" s="468"/>
      <c r="Q190" s="468"/>
      <c r="R190" s="468"/>
      <c r="S190" s="468"/>
      <c r="T190" s="468"/>
      <c r="U190" s="468"/>
      <c r="V190" s="468"/>
      <c r="W190" s="468"/>
      <c r="X190" s="468"/>
      <c r="Y190" s="468"/>
      <c r="Z190" s="468"/>
      <c r="AA190" s="468"/>
      <c r="AB190" s="468"/>
      <c r="AC190" s="468"/>
      <c r="AD190" s="468"/>
      <c r="AE190" s="468"/>
      <c r="AF190" s="468"/>
      <c r="AG190" s="468"/>
      <c r="AH190" s="468"/>
      <c r="AI190" s="468"/>
      <c r="AJ190" s="468"/>
    </row>
    <row r="191" spans="1:36" ht="18" customHeight="1" x14ac:dyDescent="0.35">
      <c r="A191" s="468"/>
      <c r="B191" s="468"/>
      <c r="C191" s="468"/>
      <c r="D191" s="468"/>
      <c r="E191" s="468"/>
      <c r="F191" s="468"/>
      <c r="G191" s="468"/>
      <c r="H191" s="468"/>
      <c r="I191" s="468"/>
      <c r="J191" s="468"/>
      <c r="K191" s="468"/>
      <c r="L191" s="468"/>
      <c r="M191" s="468"/>
      <c r="N191" s="468"/>
      <c r="O191" s="468"/>
      <c r="P191" s="468"/>
      <c r="Q191" s="468"/>
      <c r="R191" s="468"/>
      <c r="S191" s="468"/>
      <c r="T191" s="468"/>
      <c r="U191" s="468"/>
      <c r="V191" s="468"/>
      <c r="W191" s="468"/>
      <c r="X191" s="468"/>
      <c r="Y191" s="468"/>
      <c r="Z191" s="468"/>
      <c r="AA191" s="468"/>
      <c r="AB191" s="468"/>
      <c r="AC191" s="468"/>
      <c r="AD191" s="468"/>
      <c r="AE191" s="468"/>
      <c r="AF191" s="468"/>
      <c r="AG191" s="468"/>
      <c r="AH191" s="468"/>
      <c r="AI191" s="468"/>
      <c r="AJ191" s="468"/>
    </row>
    <row r="192" spans="1:36" ht="18" customHeight="1" x14ac:dyDescent="0.35">
      <c r="A192" s="468"/>
      <c r="B192" s="468"/>
      <c r="C192" s="468"/>
      <c r="D192" s="468"/>
      <c r="E192" s="468"/>
      <c r="F192" s="468"/>
      <c r="G192" s="468"/>
      <c r="H192" s="468"/>
      <c r="I192" s="468"/>
      <c r="J192" s="468"/>
      <c r="K192" s="468"/>
      <c r="L192" s="468"/>
      <c r="M192" s="468"/>
      <c r="N192" s="468"/>
      <c r="O192" s="468"/>
      <c r="P192" s="468"/>
      <c r="Q192" s="468"/>
      <c r="R192" s="468"/>
      <c r="S192" s="468"/>
      <c r="T192" s="468"/>
      <c r="U192" s="468"/>
      <c r="V192" s="468"/>
      <c r="W192" s="468"/>
      <c r="X192" s="468"/>
      <c r="Y192" s="468"/>
      <c r="Z192" s="468"/>
      <c r="AA192" s="468"/>
      <c r="AB192" s="468"/>
      <c r="AC192" s="468"/>
      <c r="AD192" s="468"/>
      <c r="AE192" s="468"/>
      <c r="AF192" s="468"/>
      <c r="AG192" s="468"/>
      <c r="AH192" s="468"/>
      <c r="AI192" s="468"/>
      <c r="AJ192" s="468"/>
    </row>
    <row r="193" spans="1:36" ht="18" customHeight="1" x14ac:dyDescent="0.35">
      <c r="A193" s="468"/>
      <c r="B193" s="468"/>
      <c r="C193" s="468"/>
      <c r="D193" s="468"/>
      <c r="E193" s="468"/>
      <c r="F193" s="468"/>
      <c r="G193" s="468"/>
      <c r="H193" s="468"/>
      <c r="I193" s="468"/>
      <c r="J193" s="468"/>
      <c r="K193" s="468"/>
      <c r="L193" s="468"/>
      <c r="M193" s="468"/>
      <c r="N193" s="468"/>
      <c r="O193" s="468"/>
      <c r="P193" s="468"/>
      <c r="Q193" s="468"/>
      <c r="R193" s="468"/>
      <c r="S193" s="468"/>
      <c r="T193" s="468"/>
      <c r="U193" s="468"/>
      <c r="V193" s="468"/>
      <c r="W193" s="468"/>
      <c r="X193" s="468"/>
      <c r="Y193" s="468"/>
      <c r="Z193" s="468"/>
      <c r="AA193" s="468"/>
      <c r="AB193" s="468"/>
      <c r="AC193" s="468"/>
      <c r="AD193" s="468"/>
      <c r="AE193" s="468"/>
      <c r="AF193" s="468"/>
      <c r="AG193" s="468"/>
      <c r="AH193" s="468"/>
      <c r="AI193" s="468"/>
      <c r="AJ193" s="468"/>
    </row>
    <row r="194" spans="1:36" ht="18" customHeight="1" x14ac:dyDescent="0.35">
      <c r="A194" s="468"/>
      <c r="B194" s="468"/>
      <c r="C194" s="468"/>
      <c r="D194" s="468"/>
      <c r="E194" s="468"/>
      <c r="F194" s="468"/>
      <c r="G194" s="468"/>
      <c r="H194" s="468"/>
      <c r="I194" s="468"/>
      <c r="J194" s="468"/>
      <c r="K194" s="468"/>
      <c r="L194" s="468"/>
      <c r="M194" s="468"/>
      <c r="N194" s="468"/>
      <c r="O194" s="468"/>
      <c r="P194" s="468"/>
      <c r="Q194" s="468"/>
      <c r="R194" s="468"/>
      <c r="S194" s="468"/>
      <c r="T194" s="468"/>
      <c r="U194" s="468"/>
      <c r="V194" s="468"/>
      <c r="W194" s="468"/>
      <c r="X194" s="468"/>
      <c r="Y194" s="468"/>
      <c r="Z194" s="468"/>
      <c r="AA194" s="468"/>
      <c r="AB194" s="468"/>
      <c r="AC194" s="468"/>
      <c r="AD194" s="468"/>
      <c r="AE194" s="468"/>
      <c r="AF194" s="468"/>
      <c r="AG194" s="468"/>
      <c r="AH194" s="468"/>
      <c r="AI194" s="468"/>
      <c r="AJ194" s="468"/>
    </row>
    <row r="195" spans="1:36" ht="18" customHeight="1" x14ac:dyDescent="0.35">
      <c r="A195" s="468"/>
      <c r="B195" s="468"/>
      <c r="C195" s="468"/>
      <c r="D195" s="468"/>
      <c r="E195" s="468"/>
      <c r="F195" s="468"/>
      <c r="G195" s="468"/>
      <c r="H195" s="468"/>
      <c r="I195" s="468"/>
      <c r="J195" s="468"/>
      <c r="K195" s="468"/>
      <c r="L195" s="468"/>
      <c r="M195" s="468"/>
      <c r="N195" s="468"/>
      <c r="O195" s="468"/>
      <c r="P195" s="468"/>
      <c r="Q195" s="468"/>
      <c r="R195" s="468"/>
      <c r="S195" s="468"/>
      <c r="T195" s="468"/>
      <c r="U195" s="468"/>
      <c r="V195" s="468"/>
      <c r="W195" s="468"/>
      <c r="X195" s="468"/>
      <c r="Y195" s="468"/>
      <c r="Z195" s="468"/>
      <c r="AA195" s="468"/>
      <c r="AB195" s="468"/>
      <c r="AC195" s="468"/>
      <c r="AD195" s="468"/>
      <c r="AE195" s="468"/>
      <c r="AF195" s="468"/>
      <c r="AG195" s="468"/>
      <c r="AH195" s="468"/>
      <c r="AI195" s="468"/>
      <c r="AJ195" s="468"/>
    </row>
    <row r="196" spans="1:36" ht="18" customHeight="1" x14ac:dyDescent="0.35">
      <c r="A196" s="468"/>
      <c r="B196" s="468"/>
      <c r="C196" s="468"/>
      <c r="D196" s="468"/>
      <c r="E196" s="468"/>
      <c r="F196" s="468"/>
      <c r="G196" s="468"/>
      <c r="H196" s="468"/>
      <c r="I196" s="468"/>
      <c r="J196" s="468"/>
      <c r="K196" s="468"/>
      <c r="L196" s="468"/>
      <c r="M196" s="468"/>
      <c r="N196" s="468"/>
      <c r="O196" s="468"/>
      <c r="P196" s="468"/>
      <c r="Q196" s="468"/>
      <c r="R196" s="468"/>
      <c r="S196" s="468"/>
      <c r="T196" s="468"/>
      <c r="U196" s="468"/>
      <c r="V196" s="468"/>
      <c r="W196" s="468"/>
      <c r="X196" s="468"/>
      <c r="Y196" s="468"/>
      <c r="Z196" s="468"/>
      <c r="AA196" s="468"/>
      <c r="AB196" s="468"/>
      <c r="AC196" s="468"/>
      <c r="AD196" s="468"/>
      <c r="AE196" s="468"/>
      <c r="AF196" s="468"/>
      <c r="AG196" s="468"/>
      <c r="AH196" s="468"/>
      <c r="AI196" s="468"/>
      <c r="AJ196" s="468"/>
    </row>
    <row r="197" spans="1:36" ht="18" customHeight="1" x14ac:dyDescent="0.35">
      <c r="A197" s="468"/>
      <c r="B197" s="468"/>
      <c r="C197" s="468"/>
      <c r="D197" s="468"/>
      <c r="E197" s="468"/>
      <c r="F197" s="468"/>
      <c r="G197" s="468"/>
      <c r="H197" s="468"/>
      <c r="I197" s="468"/>
      <c r="J197" s="468"/>
      <c r="K197" s="468"/>
      <c r="L197" s="468"/>
      <c r="M197" s="468"/>
      <c r="N197" s="468"/>
      <c r="O197" s="468"/>
      <c r="P197" s="468"/>
      <c r="Q197" s="468"/>
      <c r="R197" s="468"/>
      <c r="S197" s="468"/>
      <c r="T197" s="468"/>
      <c r="U197" s="468"/>
      <c r="V197" s="468"/>
      <c r="W197" s="468"/>
      <c r="X197" s="468"/>
      <c r="Y197" s="468"/>
      <c r="Z197" s="468"/>
      <c r="AA197" s="468"/>
      <c r="AB197" s="468"/>
      <c r="AC197" s="468"/>
      <c r="AD197" s="468"/>
      <c r="AE197" s="468"/>
      <c r="AF197" s="468"/>
      <c r="AG197" s="468"/>
      <c r="AH197" s="468"/>
      <c r="AI197" s="468"/>
      <c r="AJ197" s="468"/>
    </row>
    <row r="198" spans="1:36" ht="18" customHeight="1" x14ac:dyDescent="0.35">
      <c r="A198" s="468"/>
      <c r="B198" s="468"/>
      <c r="C198" s="468"/>
      <c r="D198" s="468"/>
      <c r="E198" s="468"/>
      <c r="F198" s="468"/>
      <c r="G198" s="468"/>
      <c r="H198" s="468"/>
      <c r="I198" s="468"/>
      <c r="J198" s="468"/>
      <c r="K198" s="468"/>
      <c r="L198" s="468"/>
      <c r="M198" s="468"/>
      <c r="N198" s="468"/>
      <c r="O198" s="468"/>
      <c r="P198" s="468"/>
      <c r="Q198" s="468"/>
      <c r="R198" s="468"/>
      <c r="S198" s="468"/>
      <c r="T198" s="468"/>
      <c r="U198" s="468"/>
      <c r="V198" s="468"/>
      <c r="W198" s="468"/>
      <c r="X198" s="468"/>
      <c r="Y198" s="468"/>
      <c r="Z198" s="468"/>
      <c r="AA198" s="468"/>
      <c r="AB198" s="468"/>
      <c r="AC198" s="468"/>
      <c r="AD198" s="468"/>
      <c r="AE198" s="468"/>
      <c r="AF198" s="468"/>
      <c r="AG198" s="468"/>
      <c r="AH198" s="468"/>
      <c r="AI198" s="468"/>
      <c r="AJ198" s="468"/>
    </row>
    <row r="199" spans="1:36" ht="18" customHeight="1" x14ac:dyDescent="0.35">
      <c r="A199" s="468"/>
      <c r="B199" s="468"/>
      <c r="C199" s="468"/>
      <c r="D199" s="468"/>
      <c r="E199" s="468"/>
      <c r="F199" s="468"/>
      <c r="G199" s="468"/>
      <c r="H199" s="468"/>
      <c r="I199" s="468"/>
      <c r="J199" s="468"/>
      <c r="K199" s="468"/>
      <c r="L199" s="468"/>
      <c r="M199" s="468"/>
      <c r="N199" s="468"/>
      <c r="O199" s="468"/>
      <c r="P199" s="468"/>
      <c r="Q199" s="468"/>
      <c r="R199" s="468"/>
      <c r="S199" s="468"/>
      <c r="T199" s="468"/>
      <c r="U199" s="468"/>
      <c r="V199" s="468"/>
      <c r="W199" s="468"/>
      <c r="X199" s="468"/>
      <c r="Y199" s="468"/>
      <c r="Z199" s="468"/>
      <c r="AA199" s="468"/>
      <c r="AB199" s="468"/>
      <c r="AC199" s="468"/>
      <c r="AD199" s="468"/>
      <c r="AE199" s="468"/>
      <c r="AF199" s="468"/>
      <c r="AG199" s="468"/>
      <c r="AH199" s="468"/>
      <c r="AI199" s="468"/>
      <c r="AJ199" s="468"/>
    </row>
    <row r="200" spans="1:36" ht="18" customHeight="1" x14ac:dyDescent="0.35">
      <c r="A200" s="468"/>
      <c r="B200" s="468"/>
      <c r="C200" s="468"/>
      <c r="D200" s="468"/>
      <c r="E200" s="468"/>
      <c r="F200" s="468"/>
      <c r="G200" s="468"/>
      <c r="H200" s="468"/>
      <c r="I200" s="468"/>
      <c r="J200" s="468"/>
      <c r="K200" s="468"/>
      <c r="L200" s="468"/>
      <c r="M200" s="468"/>
      <c r="N200" s="468"/>
      <c r="O200" s="468"/>
      <c r="P200" s="468"/>
      <c r="Q200" s="468"/>
      <c r="R200" s="468"/>
      <c r="S200" s="468"/>
      <c r="T200" s="468"/>
      <c r="U200" s="468"/>
      <c r="V200" s="468"/>
      <c r="W200" s="468"/>
      <c r="X200" s="468"/>
      <c r="Y200" s="468"/>
      <c r="Z200" s="468"/>
      <c r="AA200" s="468"/>
      <c r="AB200" s="468"/>
      <c r="AC200" s="468"/>
      <c r="AD200" s="468"/>
      <c r="AE200" s="468"/>
      <c r="AF200" s="468"/>
      <c r="AG200" s="468"/>
      <c r="AH200" s="468"/>
      <c r="AI200" s="468"/>
      <c r="AJ200" s="468"/>
    </row>
    <row r="201" spans="1:36" ht="18" customHeight="1" x14ac:dyDescent="0.35">
      <c r="A201" s="468"/>
      <c r="B201" s="468"/>
      <c r="C201" s="468"/>
      <c r="D201" s="468"/>
      <c r="E201" s="468"/>
      <c r="F201" s="468"/>
      <c r="G201" s="468"/>
      <c r="H201" s="468"/>
      <c r="I201" s="468"/>
      <c r="J201" s="468"/>
      <c r="K201" s="468"/>
      <c r="L201" s="468"/>
      <c r="M201" s="468"/>
      <c r="N201" s="468"/>
      <c r="O201" s="468"/>
      <c r="P201" s="468"/>
      <c r="Q201" s="468"/>
      <c r="R201" s="468"/>
      <c r="S201" s="468"/>
      <c r="T201" s="468"/>
      <c r="U201" s="468"/>
      <c r="V201" s="468"/>
      <c r="W201" s="468"/>
      <c r="X201" s="468"/>
      <c r="Y201" s="468"/>
      <c r="Z201" s="468"/>
      <c r="AA201" s="468"/>
      <c r="AB201" s="468"/>
      <c r="AC201" s="468"/>
      <c r="AD201" s="468"/>
      <c r="AE201" s="468"/>
      <c r="AF201" s="468"/>
      <c r="AG201" s="468"/>
      <c r="AH201" s="468"/>
      <c r="AI201" s="468"/>
      <c r="AJ201" s="468"/>
    </row>
    <row r="202" spans="1:36" ht="18" customHeight="1" x14ac:dyDescent="0.35">
      <c r="A202" s="468"/>
      <c r="B202" s="468"/>
      <c r="C202" s="468"/>
      <c r="D202" s="468"/>
      <c r="E202" s="468"/>
      <c r="F202" s="468"/>
      <c r="G202" s="468"/>
      <c r="H202" s="468"/>
      <c r="I202" s="468"/>
      <c r="J202" s="468"/>
      <c r="K202" s="468"/>
      <c r="L202" s="468"/>
      <c r="M202" s="468"/>
      <c r="N202" s="468"/>
      <c r="O202" s="468"/>
      <c r="P202" s="468"/>
      <c r="Q202" s="468"/>
      <c r="R202" s="468"/>
      <c r="S202" s="468"/>
      <c r="T202" s="468"/>
      <c r="U202" s="468"/>
      <c r="V202" s="468"/>
      <c r="W202" s="468"/>
      <c r="X202" s="468"/>
      <c r="Y202" s="468"/>
      <c r="Z202" s="468"/>
      <c r="AA202" s="468"/>
      <c r="AB202" s="468"/>
      <c r="AC202" s="468"/>
      <c r="AD202" s="468"/>
      <c r="AE202" s="468"/>
      <c r="AF202" s="468"/>
      <c r="AG202" s="468"/>
      <c r="AH202" s="468"/>
      <c r="AI202" s="468"/>
      <c r="AJ202" s="468"/>
    </row>
    <row r="203" spans="1:36" ht="18" customHeight="1" x14ac:dyDescent="0.35">
      <c r="A203" s="468"/>
      <c r="B203" s="468"/>
      <c r="C203" s="468"/>
      <c r="D203" s="468"/>
      <c r="E203" s="468"/>
      <c r="F203" s="468"/>
      <c r="G203" s="468"/>
      <c r="H203" s="468"/>
      <c r="I203" s="468"/>
      <c r="J203" s="468"/>
      <c r="K203" s="468"/>
      <c r="L203" s="468"/>
      <c r="M203" s="468"/>
      <c r="N203" s="468"/>
      <c r="O203" s="468"/>
      <c r="P203" s="468"/>
      <c r="Q203" s="468"/>
      <c r="R203" s="468"/>
      <c r="S203" s="468"/>
      <c r="T203" s="468"/>
      <c r="U203" s="468"/>
      <c r="V203" s="468"/>
      <c r="W203" s="468"/>
      <c r="X203" s="468"/>
      <c r="Y203" s="468"/>
      <c r="Z203" s="468"/>
      <c r="AA203" s="468"/>
      <c r="AB203" s="468"/>
      <c r="AC203" s="468"/>
      <c r="AD203" s="468"/>
      <c r="AE203" s="468"/>
      <c r="AF203" s="468"/>
      <c r="AG203" s="468"/>
      <c r="AH203" s="468"/>
      <c r="AI203" s="468"/>
      <c r="AJ203" s="468"/>
    </row>
    <row r="204" spans="1:36" ht="18" customHeight="1" x14ac:dyDescent="0.35">
      <c r="A204" s="468"/>
      <c r="B204" s="468"/>
      <c r="C204" s="468"/>
      <c r="D204" s="468"/>
      <c r="E204" s="468"/>
      <c r="F204" s="468"/>
      <c r="G204" s="468"/>
      <c r="H204" s="468"/>
      <c r="I204" s="468"/>
      <c r="J204" s="468"/>
      <c r="K204" s="468"/>
      <c r="L204" s="468"/>
      <c r="M204" s="468"/>
      <c r="N204" s="468"/>
      <c r="O204" s="468"/>
      <c r="P204" s="468"/>
      <c r="Q204" s="468"/>
      <c r="R204" s="468"/>
      <c r="S204" s="468"/>
      <c r="T204" s="468"/>
      <c r="U204" s="468"/>
      <c r="V204" s="468"/>
      <c r="W204" s="468"/>
      <c r="X204" s="468"/>
      <c r="Y204" s="468"/>
      <c r="Z204" s="468"/>
      <c r="AA204" s="468"/>
      <c r="AB204" s="468"/>
      <c r="AC204" s="468"/>
      <c r="AD204" s="468"/>
      <c r="AE204" s="468"/>
      <c r="AF204" s="468"/>
      <c r="AG204" s="468"/>
      <c r="AH204" s="468"/>
      <c r="AI204" s="468"/>
      <c r="AJ204" s="468"/>
    </row>
    <row r="205" spans="1:36" ht="18" customHeight="1" x14ac:dyDescent="0.35">
      <c r="A205" s="468"/>
      <c r="B205" s="468"/>
      <c r="C205" s="468"/>
      <c r="D205" s="468"/>
      <c r="E205" s="468"/>
      <c r="F205" s="468"/>
      <c r="G205" s="468"/>
      <c r="H205" s="468"/>
      <c r="I205" s="468"/>
      <c r="J205" s="468"/>
      <c r="K205" s="468"/>
      <c r="L205" s="468"/>
      <c r="M205" s="468"/>
      <c r="N205" s="468"/>
      <c r="O205" s="468"/>
      <c r="P205" s="468"/>
      <c r="Q205" s="468"/>
      <c r="R205" s="468"/>
      <c r="S205" s="468"/>
      <c r="T205" s="468"/>
      <c r="U205" s="468"/>
      <c r="V205" s="468"/>
      <c r="W205" s="468"/>
      <c r="X205" s="468"/>
      <c r="Y205" s="468"/>
      <c r="Z205" s="468"/>
      <c r="AA205" s="468"/>
      <c r="AB205" s="468"/>
      <c r="AC205" s="468"/>
      <c r="AD205" s="468"/>
      <c r="AE205" s="468"/>
      <c r="AF205" s="468"/>
      <c r="AG205" s="468"/>
      <c r="AH205" s="468"/>
      <c r="AI205" s="468"/>
      <c r="AJ205" s="468"/>
    </row>
    <row r="206" spans="1:36" ht="18" customHeight="1" x14ac:dyDescent="0.35">
      <c r="A206" s="468"/>
      <c r="B206" s="468"/>
      <c r="C206" s="468"/>
      <c r="D206" s="468"/>
      <c r="E206" s="468"/>
      <c r="F206" s="468"/>
      <c r="G206" s="468"/>
      <c r="H206" s="468"/>
      <c r="I206" s="468"/>
      <c r="J206" s="468"/>
      <c r="K206" s="468"/>
      <c r="L206" s="468"/>
      <c r="M206" s="468"/>
      <c r="N206" s="468"/>
      <c r="O206" s="468"/>
      <c r="P206" s="468"/>
      <c r="Q206" s="468"/>
      <c r="R206" s="468"/>
      <c r="S206" s="468"/>
      <c r="T206" s="468"/>
      <c r="U206" s="468"/>
      <c r="V206" s="468"/>
      <c r="W206" s="468"/>
      <c r="X206" s="468"/>
      <c r="Y206" s="468"/>
      <c r="Z206" s="468"/>
      <c r="AA206" s="468"/>
      <c r="AB206" s="468"/>
      <c r="AC206" s="468"/>
      <c r="AD206" s="468"/>
      <c r="AE206" s="468"/>
      <c r="AF206" s="468"/>
      <c r="AG206" s="468"/>
      <c r="AH206" s="468"/>
      <c r="AI206" s="468"/>
      <c r="AJ206" s="468"/>
    </row>
    <row r="207" spans="1:36" ht="18" customHeight="1" x14ac:dyDescent="0.35">
      <c r="A207" s="468"/>
      <c r="B207" s="468"/>
      <c r="C207" s="468"/>
      <c r="D207" s="468"/>
      <c r="E207" s="468"/>
      <c r="F207" s="468"/>
      <c r="G207" s="468"/>
      <c r="H207" s="468"/>
      <c r="I207" s="468"/>
      <c r="J207" s="468"/>
      <c r="K207" s="468"/>
      <c r="L207" s="468"/>
      <c r="M207" s="468"/>
      <c r="N207" s="468"/>
      <c r="O207" s="468"/>
      <c r="P207" s="468"/>
      <c r="Q207" s="468"/>
      <c r="R207" s="468"/>
      <c r="S207" s="468"/>
      <c r="T207" s="468"/>
      <c r="U207" s="468"/>
      <c r="V207" s="468"/>
      <c r="W207" s="468"/>
      <c r="X207" s="468"/>
      <c r="Y207" s="468"/>
      <c r="Z207" s="468"/>
      <c r="AA207" s="468"/>
      <c r="AB207" s="468"/>
      <c r="AC207" s="468"/>
      <c r="AD207" s="468"/>
      <c r="AE207" s="468"/>
      <c r="AF207" s="468"/>
      <c r="AG207" s="468"/>
      <c r="AH207" s="468"/>
      <c r="AI207" s="468"/>
      <c r="AJ207" s="468"/>
    </row>
    <row r="208" spans="1:36" ht="18" customHeight="1" x14ac:dyDescent="0.35">
      <c r="A208" s="468"/>
      <c r="B208" s="468"/>
      <c r="C208" s="468"/>
      <c r="D208" s="468"/>
      <c r="E208" s="468"/>
      <c r="F208" s="468"/>
      <c r="G208" s="468"/>
      <c r="H208" s="468"/>
      <c r="I208" s="468"/>
      <c r="J208" s="468"/>
      <c r="K208" s="468"/>
      <c r="L208" s="468"/>
      <c r="M208" s="468"/>
      <c r="N208" s="468"/>
      <c r="O208" s="468"/>
      <c r="P208" s="468"/>
      <c r="Q208" s="468"/>
      <c r="R208" s="468"/>
      <c r="S208" s="468"/>
      <c r="T208" s="468"/>
      <c r="U208" s="468"/>
      <c r="V208" s="468"/>
      <c r="W208" s="468"/>
      <c r="X208" s="468"/>
      <c r="Y208" s="468"/>
      <c r="Z208" s="468"/>
      <c r="AA208" s="468"/>
      <c r="AB208" s="468"/>
      <c r="AC208" s="468"/>
      <c r="AD208" s="468"/>
      <c r="AE208" s="468"/>
      <c r="AF208" s="468"/>
      <c r="AG208" s="468"/>
      <c r="AH208" s="468"/>
      <c r="AI208" s="468"/>
      <c r="AJ208" s="468"/>
    </row>
    <row r="209" spans="1:36" ht="18" customHeight="1" x14ac:dyDescent="0.35">
      <c r="A209" s="468"/>
      <c r="B209" s="468"/>
      <c r="C209" s="468"/>
      <c r="D209" s="468"/>
      <c r="E209" s="468"/>
      <c r="F209" s="468"/>
      <c r="G209" s="468"/>
      <c r="H209" s="468"/>
      <c r="I209" s="468"/>
      <c r="J209" s="468"/>
      <c r="K209" s="468"/>
      <c r="L209" s="468"/>
      <c r="M209" s="468"/>
      <c r="N209" s="468"/>
      <c r="O209" s="468"/>
      <c r="P209" s="468"/>
      <c r="Q209" s="468"/>
      <c r="R209" s="468"/>
      <c r="S209" s="468"/>
      <c r="T209" s="468"/>
      <c r="U209" s="468"/>
      <c r="V209" s="468"/>
      <c r="W209" s="468"/>
      <c r="X209" s="468"/>
      <c r="Y209" s="468"/>
      <c r="Z209" s="468"/>
      <c r="AA209" s="468"/>
      <c r="AB209" s="468"/>
      <c r="AC209" s="468"/>
      <c r="AD209" s="468"/>
      <c r="AE209" s="468"/>
      <c r="AF209" s="468"/>
      <c r="AG209" s="468"/>
      <c r="AH209" s="468"/>
      <c r="AI209" s="468"/>
      <c r="AJ209" s="468"/>
    </row>
    <row r="210" spans="1:36" ht="18" customHeight="1" x14ac:dyDescent="0.35">
      <c r="A210" s="468"/>
      <c r="B210" s="468"/>
      <c r="C210" s="468"/>
      <c r="D210" s="468"/>
      <c r="E210" s="468"/>
      <c r="F210" s="468"/>
      <c r="G210" s="468"/>
      <c r="H210" s="468"/>
      <c r="I210" s="468"/>
      <c r="J210" s="468"/>
      <c r="K210" s="468"/>
      <c r="L210" s="468"/>
      <c r="M210" s="468"/>
      <c r="N210" s="468"/>
      <c r="O210" s="468"/>
      <c r="P210" s="468"/>
      <c r="Q210" s="468"/>
      <c r="R210" s="468"/>
      <c r="S210" s="468"/>
      <c r="T210" s="468"/>
      <c r="U210" s="468"/>
      <c r="V210" s="468"/>
      <c r="W210" s="468"/>
      <c r="X210" s="468"/>
      <c r="Y210" s="468"/>
      <c r="Z210" s="468"/>
      <c r="AA210" s="468"/>
      <c r="AB210" s="468"/>
      <c r="AC210" s="468"/>
      <c r="AD210" s="468"/>
      <c r="AE210" s="468"/>
      <c r="AF210" s="468"/>
      <c r="AG210" s="468"/>
      <c r="AH210" s="468"/>
      <c r="AI210" s="468"/>
      <c r="AJ210" s="468"/>
    </row>
    <row r="211" spans="1:36" ht="18" customHeight="1" x14ac:dyDescent="0.35">
      <c r="A211" s="468"/>
      <c r="B211" s="468"/>
      <c r="C211" s="468"/>
      <c r="D211" s="468"/>
      <c r="E211" s="468"/>
      <c r="F211" s="468"/>
      <c r="G211" s="468"/>
      <c r="H211" s="468"/>
      <c r="I211" s="468"/>
      <c r="J211" s="468"/>
      <c r="K211" s="468"/>
      <c r="L211" s="468"/>
      <c r="M211" s="468"/>
      <c r="N211" s="468"/>
      <c r="O211" s="468"/>
      <c r="P211" s="468"/>
      <c r="Q211" s="468"/>
      <c r="R211" s="468"/>
      <c r="S211" s="468"/>
      <c r="T211" s="468"/>
      <c r="U211" s="468"/>
      <c r="V211" s="468"/>
      <c r="W211" s="468"/>
      <c r="X211" s="468"/>
      <c r="Y211" s="468"/>
      <c r="Z211" s="468"/>
      <c r="AA211" s="468"/>
      <c r="AB211" s="468"/>
      <c r="AC211" s="468"/>
      <c r="AD211" s="468"/>
      <c r="AE211" s="468"/>
      <c r="AF211" s="468"/>
      <c r="AG211" s="468"/>
      <c r="AH211" s="468"/>
      <c r="AI211" s="468"/>
      <c r="AJ211" s="468"/>
    </row>
    <row r="212" spans="1:36" ht="18" customHeight="1" x14ac:dyDescent="0.35">
      <c r="A212" s="468"/>
      <c r="B212" s="468"/>
      <c r="C212" s="468"/>
      <c r="D212" s="468"/>
      <c r="E212" s="468"/>
      <c r="F212" s="468"/>
      <c r="G212" s="468"/>
      <c r="H212" s="468"/>
      <c r="I212" s="468"/>
      <c r="J212" s="468"/>
      <c r="K212" s="468"/>
      <c r="L212" s="468"/>
      <c r="M212" s="468"/>
      <c r="N212" s="468"/>
      <c r="O212" s="468"/>
      <c r="P212" s="468"/>
      <c r="Q212" s="468"/>
      <c r="R212" s="468"/>
      <c r="S212" s="468"/>
      <c r="T212" s="468"/>
      <c r="U212" s="468"/>
      <c r="V212" s="468"/>
      <c r="W212" s="468"/>
      <c r="X212" s="468"/>
      <c r="Y212" s="468"/>
      <c r="Z212" s="468"/>
      <c r="AA212" s="468"/>
      <c r="AB212" s="468"/>
      <c r="AC212" s="468"/>
      <c r="AD212" s="468"/>
      <c r="AE212" s="468"/>
      <c r="AF212" s="468"/>
      <c r="AG212" s="468"/>
      <c r="AH212" s="468"/>
      <c r="AI212" s="468"/>
      <c r="AJ212" s="468"/>
    </row>
    <row r="213" spans="1:36" ht="18" customHeight="1" x14ac:dyDescent="0.35">
      <c r="A213" s="468"/>
      <c r="B213" s="468"/>
      <c r="C213" s="468"/>
      <c r="D213" s="468"/>
      <c r="E213" s="468"/>
      <c r="F213" s="468"/>
      <c r="G213" s="468"/>
      <c r="H213" s="468"/>
      <c r="I213" s="468"/>
      <c r="J213" s="468"/>
      <c r="K213" s="468"/>
      <c r="L213" s="468"/>
      <c r="M213" s="468"/>
      <c r="N213" s="468"/>
      <c r="O213" s="468"/>
      <c r="P213" s="468"/>
      <c r="Q213" s="468"/>
      <c r="R213" s="468"/>
      <c r="S213" s="468"/>
      <c r="T213" s="468"/>
      <c r="U213" s="468"/>
      <c r="V213" s="468"/>
      <c r="W213" s="468"/>
      <c r="X213" s="468"/>
      <c r="Y213" s="468"/>
      <c r="Z213" s="468"/>
      <c r="AA213" s="468"/>
      <c r="AB213" s="468"/>
      <c r="AC213" s="468"/>
      <c r="AD213" s="468"/>
      <c r="AE213" s="468"/>
      <c r="AF213" s="468"/>
      <c r="AG213" s="468"/>
      <c r="AH213" s="468"/>
      <c r="AI213" s="468"/>
      <c r="AJ213" s="468"/>
    </row>
    <row r="214" spans="1:36" ht="18" customHeight="1" x14ac:dyDescent="0.35">
      <c r="A214" s="468"/>
      <c r="B214" s="468"/>
      <c r="C214" s="468"/>
      <c r="D214" s="468"/>
      <c r="E214" s="468"/>
      <c r="F214" s="468"/>
      <c r="G214" s="468"/>
      <c r="H214" s="468"/>
      <c r="I214" s="468"/>
      <c r="J214" s="468"/>
      <c r="K214" s="468"/>
      <c r="L214" s="468"/>
      <c r="M214" s="468"/>
      <c r="N214" s="468"/>
      <c r="O214" s="468"/>
      <c r="P214" s="468"/>
      <c r="Q214" s="468"/>
      <c r="R214" s="468"/>
      <c r="S214" s="468"/>
      <c r="T214" s="468"/>
      <c r="U214" s="468"/>
      <c r="V214" s="468"/>
      <c r="W214" s="468"/>
      <c r="X214" s="468"/>
      <c r="Y214" s="468"/>
      <c r="Z214" s="468"/>
      <c r="AA214" s="468"/>
      <c r="AB214" s="468"/>
      <c r="AC214" s="468"/>
      <c r="AD214" s="468"/>
      <c r="AE214" s="468"/>
      <c r="AF214" s="468"/>
      <c r="AG214" s="468"/>
      <c r="AH214" s="468"/>
      <c r="AI214" s="468"/>
      <c r="AJ214" s="468"/>
    </row>
    <row r="215" spans="1:36" ht="18" customHeight="1" x14ac:dyDescent="0.35">
      <c r="A215" s="468"/>
      <c r="B215" s="468"/>
      <c r="C215" s="468"/>
      <c r="D215" s="468"/>
      <c r="E215" s="468"/>
      <c r="F215" s="468"/>
      <c r="G215" s="468"/>
      <c r="H215" s="468"/>
      <c r="I215" s="468"/>
      <c r="J215" s="468"/>
      <c r="K215" s="468"/>
      <c r="L215" s="468"/>
      <c r="M215" s="468"/>
      <c r="N215" s="468"/>
      <c r="O215" s="468"/>
      <c r="P215" s="468"/>
      <c r="Q215" s="468"/>
      <c r="R215" s="468"/>
      <c r="S215" s="468"/>
      <c r="T215" s="468"/>
      <c r="U215" s="468"/>
      <c r="V215" s="468"/>
      <c r="W215" s="468"/>
      <c r="X215" s="468"/>
      <c r="Y215" s="468"/>
      <c r="Z215" s="468"/>
      <c r="AA215" s="468"/>
      <c r="AB215" s="468"/>
      <c r="AC215" s="468"/>
      <c r="AD215" s="468"/>
      <c r="AE215" s="468"/>
      <c r="AF215" s="468"/>
      <c r="AG215" s="468"/>
      <c r="AH215" s="468"/>
      <c r="AI215" s="468"/>
      <c r="AJ215" s="468"/>
    </row>
    <row r="216" spans="1:36" ht="18" customHeight="1" x14ac:dyDescent="0.35">
      <c r="A216" s="468"/>
      <c r="B216" s="468"/>
      <c r="C216" s="468"/>
      <c r="D216" s="468"/>
      <c r="E216" s="468"/>
      <c r="F216" s="468"/>
      <c r="G216" s="468"/>
      <c r="H216" s="468"/>
      <c r="I216" s="468"/>
      <c r="J216" s="468"/>
      <c r="K216" s="468"/>
      <c r="L216" s="468"/>
      <c r="M216" s="468"/>
      <c r="N216" s="468"/>
      <c r="O216" s="468"/>
      <c r="P216" s="468"/>
      <c r="Q216" s="468"/>
      <c r="R216" s="468"/>
      <c r="S216" s="468"/>
      <c r="T216" s="468"/>
      <c r="U216" s="468"/>
      <c r="V216" s="468"/>
      <c r="W216" s="468"/>
      <c r="X216" s="468"/>
      <c r="Y216" s="468"/>
      <c r="Z216" s="468"/>
      <c r="AA216" s="468"/>
      <c r="AB216" s="468"/>
      <c r="AC216" s="468"/>
      <c r="AD216" s="468"/>
      <c r="AE216" s="468"/>
      <c r="AF216" s="468"/>
      <c r="AG216" s="468"/>
      <c r="AH216" s="468"/>
      <c r="AI216" s="468"/>
      <c r="AJ216" s="468"/>
    </row>
    <row r="217" spans="1:36" ht="18" customHeight="1" x14ac:dyDescent="0.35">
      <c r="A217" s="468"/>
      <c r="B217" s="468"/>
      <c r="C217" s="468"/>
      <c r="D217" s="468"/>
      <c r="E217" s="468"/>
      <c r="F217" s="468"/>
      <c r="G217" s="468"/>
      <c r="H217" s="468"/>
      <c r="I217" s="468"/>
      <c r="J217" s="468"/>
      <c r="K217" s="468"/>
      <c r="L217" s="468"/>
      <c r="M217" s="468"/>
      <c r="N217" s="468"/>
      <c r="O217" s="468"/>
      <c r="P217" s="468"/>
      <c r="Q217" s="468"/>
      <c r="R217" s="468"/>
      <c r="S217" s="468"/>
      <c r="T217" s="468"/>
      <c r="U217" s="468"/>
      <c r="V217" s="468"/>
      <c r="W217" s="468"/>
      <c r="X217" s="468"/>
      <c r="Y217" s="468"/>
      <c r="Z217" s="468"/>
      <c r="AA217" s="468"/>
      <c r="AB217" s="468"/>
      <c r="AC217" s="468"/>
      <c r="AD217" s="468"/>
      <c r="AE217" s="468"/>
      <c r="AF217" s="468"/>
      <c r="AG217" s="468"/>
      <c r="AH217" s="468"/>
      <c r="AI217" s="468"/>
      <c r="AJ217" s="468"/>
    </row>
    <row r="218" spans="1:36" ht="18" customHeight="1" x14ac:dyDescent="0.35">
      <c r="A218" s="468"/>
      <c r="B218" s="468"/>
      <c r="C218" s="468"/>
      <c r="D218" s="468"/>
      <c r="E218" s="468"/>
      <c r="F218" s="468"/>
      <c r="G218" s="468"/>
      <c r="H218" s="468"/>
      <c r="I218" s="468"/>
      <c r="J218" s="468"/>
      <c r="K218" s="468"/>
      <c r="L218" s="468"/>
      <c r="M218" s="468"/>
      <c r="N218" s="468"/>
      <c r="O218" s="468"/>
      <c r="P218" s="468"/>
      <c r="Q218" s="468"/>
      <c r="R218" s="468"/>
      <c r="S218" s="468"/>
      <c r="T218" s="468"/>
      <c r="U218" s="468"/>
      <c r="V218" s="468"/>
      <c r="W218" s="468"/>
      <c r="X218" s="468"/>
      <c r="Y218" s="468"/>
      <c r="Z218" s="468"/>
      <c r="AA218" s="468"/>
      <c r="AB218" s="468"/>
      <c r="AC218" s="468"/>
      <c r="AD218" s="468"/>
      <c r="AE218" s="468"/>
      <c r="AF218" s="468"/>
      <c r="AG218" s="468"/>
      <c r="AH218" s="468"/>
      <c r="AI218" s="468"/>
      <c r="AJ218" s="468"/>
    </row>
    <row r="219" spans="1:36" ht="18" customHeight="1" x14ac:dyDescent="0.35">
      <c r="A219" s="468"/>
      <c r="B219" s="468"/>
      <c r="C219" s="468"/>
      <c r="D219" s="468"/>
      <c r="E219" s="468"/>
      <c r="F219" s="468"/>
      <c r="G219" s="468"/>
      <c r="H219" s="468"/>
      <c r="I219" s="468"/>
      <c r="J219" s="468"/>
      <c r="K219" s="468"/>
      <c r="L219" s="468"/>
      <c r="M219" s="468"/>
      <c r="N219" s="468"/>
      <c r="O219" s="468"/>
      <c r="P219" s="468"/>
      <c r="Q219" s="468"/>
      <c r="R219" s="468"/>
      <c r="S219" s="468"/>
      <c r="T219" s="468"/>
      <c r="U219" s="468"/>
      <c r="V219" s="468"/>
      <c r="W219" s="468"/>
      <c r="X219" s="468"/>
      <c r="Y219" s="468"/>
      <c r="Z219" s="468"/>
      <c r="AA219" s="468"/>
      <c r="AB219" s="468"/>
      <c r="AC219" s="468"/>
      <c r="AD219" s="468"/>
      <c r="AE219" s="468"/>
      <c r="AF219" s="468"/>
      <c r="AG219" s="468"/>
      <c r="AH219" s="468"/>
      <c r="AI219" s="468"/>
      <c r="AJ219" s="468"/>
    </row>
    <row r="220" spans="1:36" ht="18" customHeight="1" x14ac:dyDescent="0.35">
      <c r="A220" s="468"/>
      <c r="B220" s="468"/>
      <c r="C220" s="468"/>
      <c r="D220" s="468"/>
      <c r="E220" s="468"/>
      <c r="F220" s="468"/>
      <c r="G220" s="468"/>
      <c r="H220" s="468"/>
      <c r="I220" s="468"/>
      <c r="J220" s="468"/>
      <c r="K220" s="468"/>
      <c r="L220" s="468"/>
      <c r="M220" s="468"/>
      <c r="N220" s="468"/>
      <c r="O220" s="468"/>
      <c r="P220" s="468"/>
      <c r="Q220" s="468"/>
      <c r="R220" s="468"/>
      <c r="S220" s="468"/>
      <c r="T220" s="468"/>
      <c r="U220" s="468"/>
      <c r="V220" s="468"/>
      <c r="W220" s="468"/>
      <c r="X220" s="468"/>
      <c r="Y220" s="468"/>
      <c r="Z220" s="468"/>
      <c r="AA220" s="468"/>
      <c r="AB220" s="468"/>
      <c r="AC220" s="468"/>
      <c r="AD220" s="468"/>
      <c r="AE220" s="468"/>
      <c r="AF220" s="468"/>
      <c r="AG220" s="468"/>
      <c r="AH220" s="468"/>
      <c r="AI220" s="468"/>
      <c r="AJ220" s="468"/>
    </row>
    <row r="221" spans="1:36" ht="18" customHeight="1" x14ac:dyDescent="0.35">
      <c r="A221" s="468"/>
      <c r="B221" s="468"/>
      <c r="C221" s="468"/>
      <c r="D221" s="468"/>
      <c r="E221" s="468"/>
      <c r="F221" s="468"/>
      <c r="G221" s="468"/>
      <c r="H221" s="468"/>
      <c r="I221" s="468"/>
      <c r="J221" s="468"/>
      <c r="K221" s="468"/>
      <c r="L221" s="468"/>
      <c r="M221" s="468"/>
      <c r="N221" s="468"/>
      <c r="O221" s="468"/>
      <c r="P221" s="468"/>
      <c r="Q221" s="468"/>
      <c r="R221" s="468"/>
      <c r="S221" s="468"/>
      <c r="T221" s="468"/>
      <c r="U221" s="468"/>
      <c r="V221" s="468"/>
      <c r="W221" s="468"/>
      <c r="X221" s="468"/>
      <c r="Y221" s="468"/>
      <c r="Z221" s="468"/>
      <c r="AA221" s="468"/>
      <c r="AB221" s="468"/>
      <c r="AC221" s="468"/>
      <c r="AD221" s="468"/>
      <c r="AE221" s="468"/>
      <c r="AF221" s="468"/>
      <c r="AG221" s="468"/>
      <c r="AH221" s="468"/>
      <c r="AI221" s="468"/>
      <c r="AJ221" s="468"/>
    </row>
    <row r="222" spans="1:36" ht="18" customHeight="1" x14ac:dyDescent="0.35">
      <c r="A222" s="468"/>
      <c r="B222" s="468"/>
      <c r="C222" s="468"/>
      <c r="D222" s="468"/>
      <c r="E222" s="468"/>
      <c r="F222" s="468"/>
      <c r="G222" s="468"/>
      <c r="H222" s="468"/>
      <c r="I222" s="468"/>
      <c r="J222" s="468"/>
      <c r="K222" s="468"/>
      <c r="L222" s="468"/>
      <c r="M222" s="468"/>
      <c r="N222" s="468"/>
      <c r="O222" s="468"/>
      <c r="P222" s="468"/>
      <c r="Q222" s="468"/>
      <c r="R222" s="468"/>
      <c r="S222" s="468"/>
      <c r="T222" s="468"/>
      <c r="U222" s="468"/>
      <c r="V222" s="468"/>
      <c r="W222" s="468"/>
      <c r="X222" s="468"/>
      <c r="Y222" s="468"/>
      <c r="Z222" s="468"/>
      <c r="AA222" s="468"/>
      <c r="AB222" s="468"/>
      <c r="AC222" s="468"/>
      <c r="AD222" s="468"/>
      <c r="AE222" s="468"/>
      <c r="AF222" s="468"/>
      <c r="AG222" s="468"/>
      <c r="AH222" s="468"/>
      <c r="AI222" s="468"/>
      <c r="AJ222" s="468"/>
    </row>
    <row r="223" spans="1:36" ht="18" customHeight="1" x14ac:dyDescent="0.35">
      <c r="A223" s="468"/>
      <c r="B223" s="468"/>
      <c r="C223" s="468"/>
      <c r="D223" s="468"/>
      <c r="E223" s="468"/>
      <c r="F223" s="468"/>
      <c r="G223" s="468"/>
      <c r="H223" s="468"/>
      <c r="I223" s="468"/>
      <c r="J223" s="468"/>
      <c r="K223" s="468"/>
      <c r="L223" s="468"/>
      <c r="M223" s="468"/>
      <c r="N223" s="468"/>
      <c r="O223" s="468"/>
      <c r="P223" s="468"/>
      <c r="Q223" s="468"/>
      <c r="R223" s="468"/>
      <c r="S223" s="468"/>
      <c r="T223" s="468"/>
      <c r="U223" s="468"/>
      <c r="V223" s="468"/>
      <c r="W223" s="468"/>
      <c r="X223" s="468"/>
      <c r="Y223" s="468"/>
      <c r="Z223" s="468"/>
      <c r="AA223" s="468"/>
      <c r="AB223" s="468"/>
      <c r="AC223" s="468"/>
      <c r="AD223" s="468"/>
      <c r="AE223" s="468"/>
      <c r="AF223" s="468"/>
      <c r="AG223" s="468"/>
      <c r="AH223" s="468"/>
      <c r="AI223" s="468"/>
      <c r="AJ223" s="468"/>
    </row>
    <row r="224" spans="1:36" ht="18" customHeight="1" x14ac:dyDescent="0.35">
      <c r="A224" s="468"/>
      <c r="B224" s="468"/>
      <c r="C224" s="468"/>
      <c r="D224" s="468"/>
      <c r="E224" s="468"/>
      <c r="F224" s="468"/>
      <c r="G224" s="468"/>
      <c r="H224" s="468"/>
      <c r="I224" s="468"/>
      <c r="J224" s="468"/>
      <c r="K224" s="468"/>
      <c r="L224" s="468"/>
      <c r="M224" s="468"/>
      <c r="N224" s="468"/>
      <c r="O224" s="468"/>
      <c r="P224" s="468"/>
      <c r="Q224" s="468"/>
      <c r="R224" s="468"/>
      <c r="S224" s="468"/>
      <c r="T224" s="468"/>
      <c r="U224" s="468"/>
      <c r="V224" s="468"/>
      <c r="W224" s="468"/>
      <c r="X224" s="468"/>
      <c r="Y224" s="468"/>
      <c r="Z224" s="468"/>
      <c r="AA224" s="468"/>
      <c r="AB224" s="468"/>
      <c r="AC224" s="468"/>
      <c r="AD224" s="468"/>
      <c r="AE224" s="468"/>
      <c r="AF224" s="468"/>
      <c r="AG224" s="468"/>
      <c r="AH224" s="468"/>
      <c r="AI224" s="468"/>
      <c r="AJ224" s="468"/>
    </row>
    <row r="225" spans="1:36" ht="18" customHeight="1" x14ac:dyDescent="0.35">
      <c r="A225" s="468"/>
      <c r="B225" s="468"/>
      <c r="C225" s="468"/>
      <c r="D225" s="468"/>
      <c r="E225" s="468"/>
      <c r="F225" s="468"/>
      <c r="G225" s="468"/>
      <c r="H225" s="468"/>
      <c r="I225" s="468"/>
      <c r="J225" s="468"/>
      <c r="K225" s="468"/>
      <c r="L225" s="468"/>
      <c r="M225" s="468"/>
      <c r="N225" s="468"/>
      <c r="O225" s="468"/>
      <c r="P225" s="468"/>
      <c r="Q225" s="468"/>
      <c r="R225" s="468"/>
      <c r="S225" s="468"/>
      <c r="T225" s="468"/>
      <c r="U225" s="468"/>
      <c r="V225" s="468"/>
      <c r="W225" s="468"/>
      <c r="X225" s="468"/>
      <c r="Y225" s="468"/>
      <c r="Z225" s="468"/>
      <c r="AA225" s="468"/>
      <c r="AB225" s="468"/>
      <c r="AC225" s="468"/>
      <c r="AD225" s="468"/>
      <c r="AE225" s="468"/>
      <c r="AF225" s="468"/>
      <c r="AG225" s="468"/>
      <c r="AH225" s="468"/>
      <c r="AI225" s="468"/>
      <c r="AJ225" s="468"/>
    </row>
    <row r="226" spans="1:36" ht="18" customHeight="1" x14ac:dyDescent="0.35">
      <c r="A226" s="468"/>
      <c r="B226" s="468"/>
      <c r="C226" s="468"/>
      <c r="D226" s="468"/>
      <c r="E226" s="468"/>
      <c r="F226" s="468"/>
      <c r="G226" s="468"/>
      <c r="H226" s="468"/>
      <c r="I226" s="468"/>
      <c r="J226" s="468"/>
      <c r="K226" s="468"/>
      <c r="L226" s="468"/>
      <c r="M226" s="468"/>
      <c r="N226" s="468"/>
      <c r="O226" s="468"/>
      <c r="P226" s="468"/>
      <c r="Q226" s="468"/>
      <c r="R226" s="468"/>
      <c r="S226" s="468"/>
      <c r="T226" s="468"/>
      <c r="U226" s="468"/>
      <c r="V226" s="468"/>
      <c r="W226" s="468"/>
      <c r="X226" s="468"/>
      <c r="Y226" s="468"/>
      <c r="Z226" s="468"/>
      <c r="AA226" s="468"/>
      <c r="AB226" s="468"/>
      <c r="AC226" s="468"/>
      <c r="AD226" s="468"/>
      <c r="AE226" s="468"/>
      <c r="AF226" s="468"/>
      <c r="AG226" s="468"/>
      <c r="AH226" s="468"/>
      <c r="AI226" s="468"/>
      <c r="AJ226" s="468"/>
    </row>
    <row r="227" spans="1:36" ht="18" customHeight="1" x14ac:dyDescent="0.35">
      <c r="A227" s="468"/>
      <c r="B227" s="468"/>
      <c r="C227" s="468"/>
      <c r="D227" s="468"/>
      <c r="E227" s="468"/>
      <c r="F227" s="468"/>
      <c r="G227" s="468"/>
      <c r="H227" s="468"/>
      <c r="I227" s="468"/>
      <c r="J227" s="468"/>
      <c r="K227" s="468"/>
      <c r="L227" s="468"/>
      <c r="M227" s="468"/>
      <c r="N227" s="468"/>
      <c r="O227" s="468"/>
      <c r="P227" s="468"/>
      <c r="Q227" s="468"/>
      <c r="R227" s="468"/>
      <c r="S227" s="468"/>
      <c r="T227" s="468"/>
      <c r="U227" s="468"/>
      <c r="V227" s="468"/>
      <c r="W227" s="468"/>
      <c r="X227" s="468"/>
      <c r="Y227" s="468"/>
      <c r="Z227" s="468"/>
      <c r="AA227" s="468"/>
      <c r="AB227" s="468"/>
      <c r="AC227" s="468"/>
      <c r="AD227" s="468"/>
      <c r="AE227" s="468"/>
      <c r="AF227" s="468"/>
      <c r="AG227" s="468"/>
      <c r="AH227" s="468"/>
      <c r="AI227" s="468"/>
      <c r="AJ227" s="468"/>
    </row>
    <row r="228" spans="1:36" ht="18" customHeight="1" x14ac:dyDescent="0.35">
      <c r="A228" s="468"/>
      <c r="B228" s="468"/>
      <c r="C228" s="468"/>
      <c r="D228" s="468"/>
      <c r="E228" s="468"/>
      <c r="F228" s="468"/>
      <c r="G228" s="468"/>
      <c r="H228" s="468"/>
      <c r="I228" s="468"/>
      <c r="J228" s="468"/>
      <c r="K228" s="468"/>
      <c r="L228" s="468"/>
      <c r="M228" s="468"/>
      <c r="N228" s="468"/>
      <c r="O228" s="468"/>
      <c r="P228" s="468"/>
      <c r="Q228" s="468"/>
      <c r="R228" s="468"/>
      <c r="S228" s="468"/>
      <c r="T228" s="468"/>
      <c r="U228" s="468"/>
      <c r="V228" s="468"/>
      <c r="W228" s="468"/>
      <c r="X228" s="468"/>
      <c r="Y228" s="468"/>
      <c r="Z228" s="468"/>
      <c r="AA228" s="468"/>
      <c r="AB228" s="468"/>
      <c r="AC228" s="468"/>
      <c r="AD228" s="468"/>
      <c r="AE228" s="468"/>
      <c r="AF228" s="468"/>
      <c r="AG228" s="468"/>
      <c r="AH228" s="468"/>
      <c r="AI228" s="468"/>
      <c r="AJ228" s="468"/>
    </row>
    <row r="229" spans="1:36" ht="18" customHeight="1" x14ac:dyDescent="0.35">
      <c r="A229" s="468"/>
      <c r="B229" s="468"/>
      <c r="C229" s="468"/>
      <c r="D229" s="468"/>
      <c r="E229" s="468"/>
      <c r="F229" s="468"/>
      <c r="G229" s="468"/>
      <c r="H229" s="468"/>
      <c r="I229" s="468"/>
      <c r="J229" s="468"/>
      <c r="K229" s="468"/>
      <c r="L229" s="468"/>
      <c r="M229" s="468"/>
      <c r="N229" s="468"/>
      <c r="O229" s="468"/>
      <c r="P229" s="468"/>
      <c r="Q229" s="468"/>
      <c r="R229" s="468"/>
      <c r="S229" s="468"/>
      <c r="T229" s="468"/>
      <c r="U229" s="468"/>
      <c r="V229" s="468"/>
      <c r="W229" s="468"/>
      <c r="X229" s="468"/>
      <c r="Y229" s="468"/>
      <c r="Z229" s="468"/>
      <c r="AA229" s="468"/>
      <c r="AB229" s="468"/>
      <c r="AC229" s="468"/>
      <c r="AD229" s="468"/>
      <c r="AE229" s="468"/>
      <c r="AF229" s="468"/>
      <c r="AG229" s="468"/>
      <c r="AH229" s="468"/>
      <c r="AI229" s="468"/>
      <c r="AJ229" s="468"/>
    </row>
    <row r="230" spans="1:36" ht="18" customHeight="1" x14ac:dyDescent="0.35">
      <c r="A230" s="468"/>
      <c r="B230" s="468"/>
      <c r="C230" s="468"/>
      <c r="D230" s="468"/>
      <c r="E230" s="468"/>
      <c r="F230" s="468"/>
      <c r="G230" s="468"/>
      <c r="H230" s="468"/>
      <c r="I230" s="468"/>
      <c r="J230" s="468"/>
      <c r="K230" s="468"/>
      <c r="L230" s="468"/>
      <c r="M230" s="468"/>
      <c r="N230" s="468"/>
      <c r="O230" s="468"/>
      <c r="P230" s="468"/>
      <c r="Q230" s="468"/>
      <c r="R230" s="468"/>
      <c r="S230" s="468"/>
      <c r="T230" s="468"/>
      <c r="U230" s="468"/>
      <c r="V230" s="468"/>
      <c r="W230" s="468"/>
      <c r="X230" s="468"/>
      <c r="Y230" s="468"/>
      <c r="Z230" s="468"/>
      <c r="AA230" s="468"/>
      <c r="AB230" s="468"/>
      <c r="AC230" s="468"/>
      <c r="AD230" s="468"/>
      <c r="AE230" s="468"/>
      <c r="AF230" s="468"/>
      <c r="AG230" s="468"/>
      <c r="AH230" s="468"/>
      <c r="AI230" s="468"/>
      <c r="AJ230" s="468"/>
    </row>
    <row r="231" spans="1:36" ht="18" customHeight="1" x14ac:dyDescent="0.35">
      <c r="A231" s="468"/>
      <c r="B231" s="468"/>
      <c r="C231" s="468"/>
      <c r="D231" s="468"/>
      <c r="E231" s="468"/>
      <c r="F231" s="468"/>
      <c r="G231" s="468"/>
      <c r="H231" s="468"/>
      <c r="I231" s="468"/>
      <c r="J231" s="468"/>
      <c r="K231" s="468"/>
      <c r="L231" s="468"/>
      <c r="M231" s="468"/>
      <c r="N231" s="468"/>
      <c r="O231" s="468"/>
      <c r="P231" s="468"/>
      <c r="Q231" s="468"/>
      <c r="R231" s="468"/>
      <c r="S231" s="468"/>
      <c r="T231" s="468"/>
      <c r="U231" s="468"/>
      <c r="V231" s="468"/>
      <c r="W231" s="468"/>
      <c r="X231" s="468"/>
      <c r="Y231" s="468"/>
      <c r="Z231" s="468"/>
      <c r="AA231" s="468"/>
      <c r="AB231" s="468"/>
      <c r="AC231" s="468"/>
      <c r="AD231" s="468"/>
      <c r="AE231" s="468"/>
      <c r="AF231" s="468"/>
      <c r="AG231" s="468"/>
      <c r="AH231" s="468"/>
      <c r="AI231" s="468"/>
      <c r="AJ231" s="468"/>
    </row>
    <row r="232" spans="1:36" ht="18" customHeight="1" x14ac:dyDescent="0.35">
      <c r="A232" s="468"/>
      <c r="B232" s="468"/>
      <c r="C232" s="468"/>
      <c r="D232" s="468"/>
      <c r="E232" s="468"/>
      <c r="F232" s="468"/>
      <c r="G232" s="468"/>
      <c r="H232" s="468"/>
      <c r="I232" s="468"/>
      <c r="J232" s="468"/>
      <c r="K232" s="468"/>
      <c r="L232" s="468"/>
      <c r="M232" s="468"/>
      <c r="N232" s="468"/>
      <c r="O232" s="468"/>
      <c r="P232" s="468"/>
      <c r="Q232" s="468"/>
      <c r="R232" s="468"/>
      <c r="S232" s="468"/>
      <c r="T232" s="468"/>
      <c r="U232" s="468"/>
      <c r="V232" s="468"/>
      <c r="W232" s="468"/>
      <c r="X232" s="468"/>
      <c r="Y232" s="468"/>
      <c r="Z232" s="468"/>
      <c r="AA232" s="468"/>
      <c r="AB232" s="468"/>
      <c r="AC232" s="468"/>
      <c r="AD232" s="468"/>
      <c r="AE232" s="468"/>
      <c r="AF232" s="468"/>
      <c r="AG232" s="468"/>
      <c r="AH232" s="468"/>
      <c r="AI232" s="468"/>
      <c r="AJ232" s="468"/>
    </row>
    <row r="233" spans="1:36" ht="18" customHeight="1" x14ac:dyDescent="0.35">
      <c r="A233" s="468"/>
      <c r="B233" s="468"/>
      <c r="C233" s="468"/>
      <c r="D233" s="468"/>
      <c r="E233" s="468"/>
      <c r="F233" s="468"/>
      <c r="G233" s="468"/>
      <c r="H233" s="468"/>
      <c r="I233" s="468"/>
      <c r="J233" s="468"/>
      <c r="K233" s="468"/>
      <c r="L233" s="468"/>
      <c r="M233" s="468"/>
      <c r="N233" s="468"/>
      <c r="O233" s="468"/>
      <c r="P233" s="468"/>
      <c r="Q233" s="468"/>
      <c r="R233" s="468"/>
      <c r="S233" s="468"/>
      <c r="T233" s="468"/>
      <c r="U233" s="468"/>
      <c r="V233" s="468"/>
      <c r="W233" s="468"/>
      <c r="X233" s="468"/>
      <c r="Y233" s="468"/>
      <c r="Z233" s="468"/>
      <c r="AA233" s="468"/>
      <c r="AB233" s="468"/>
      <c r="AC233" s="468"/>
      <c r="AD233" s="468"/>
      <c r="AE233" s="468"/>
      <c r="AF233" s="468"/>
      <c r="AG233" s="468"/>
      <c r="AH233" s="468"/>
      <c r="AI233" s="468"/>
      <c r="AJ233" s="468"/>
    </row>
    <row r="234" spans="1:36" ht="18" customHeight="1" x14ac:dyDescent="0.35">
      <c r="A234" s="468"/>
      <c r="B234" s="468"/>
      <c r="C234" s="468"/>
      <c r="D234" s="468"/>
      <c r="E234" s="468"/>
      <c r="F234" s="468"/>
      <c r="G234" s="468"/>
      <c r="H234" s="468"/>
      <c r="I234" s="468"/>
      <c r="J234" s="468"/>
      <c r="K234" s="468"/>
      <c r="L234" s="468"/>
      <c r="M234" s="468"/>
      <c r="N234" s="468"/>
      <c r="O234" s="468"/>
      <c r="P234" s="468"/>
      <c r="Q234" s="468"/>
      <c r="R234" s="468"/>
      <c r="S234" s="468"/>
      <c r="T234" s="468"/>
      <c r="U234" s="468"/>
      <c r="V234" s="468"/>
      <c r="W234" s="468"/>
      <c r="X234" s="468"/>
      <c r="Y234" s="468"/>
      <c r="Z234" s="468"/>
      <c r="AA234" s="468"/>
      <c r="AB234" s="468"/>
      <c r="AC234" s="468"/>
      <c r="AD234" s="468"/>
      <c r="AE234" s="468"/>
      <c r="AF234" s="468"/>
      <c r="AG234" s="468"/>
      <c r="AH234" s="468"/>
      <c r="AI234" s="468"/>
      <c r="AJ234" s="468"/>
    </row>
    <row r="235" spans="1:36" ht="18" customHeight="1" x14ac:dyDescent="0.35">
      <c r="A235" s="468"/>
      <c r="B235" s="468"/>
      <c r="C235" s="468"/>
      <c r="D235" s="468"/>
      <c r="E235" s="468"/>
      <c r="F235" s="468"/>
      <c r="G235" s="468"/>
      <c r="H235" s="468"/>
      <c r="I235" s="468"/>
      <c r="J235" s="468"/>
      <c r="K235" s="468"/>
      <c r="L235" s="468"/>
      <c r="M235" s="468"/>
      <c r="N235" s="468"/>
      <c r="O235" s="468"/>
      <c r="P235" s="468"/>
      <c r="Q235" s="468"/>
      <c r="R235" s="468"/>
      <c r="S235" s="468"/>
      <c r="T235" s="468"/>
      <c r="U235" s="468"/>
      <c r="V235" s="468"/>
      <c r="W235" s="468"/>
      <c r="X235" s="468"/>
      <c r="Y235" s="468"/>
      <c r="Z235" s="468"/>
      <c r="AA235" s="468"/>
      <c r="AB235" s="468"/>
      <c r="AC235" s="468"/>
      <c r="AD235" s="468"/>
      <c r="AE235" s="468"/>
      <c r="AF235" s="468"/>
      <c r="AG235" s="468"/>
      <c r="AH235" s="468"/>
      <c r="AI235" s="468"/>
      <c r="AJ235" s="468"/>
    </row>
    <row r="236" spans="1:36" ht="18" customHeight="1" x14ac:dyDescent="0.35">
      <c r="A236" s="468"/>
      <c r="B236" s="468"/>
      <c r="C236" s="468"/>
      <c r="D236" s="468"/>
      <c r="E236" s="468"/>
      <c r="F236" s="468"/>
      <c r="G236" s="468"/>
      <c r="H236" s="468"/>
      <c r="I236" s="468"/>
      <c r="J236" s="468"/>
      <c r="K236" s="468"/>
      <c r="L236" s="468"/>
      <c r="M236" s="468"/>
      <c r="N236" s="468"/>
      <c r="O236" s="468"/>
      <c r="P236" s="468"/>
      <c r="Q236" s="468"/>
      <c r="R236" s="468"/>
      <c r="S236" s="468"/>
      <c r="T236" s="468"/>
      <c r="U236" s="468"/>
      <c r="V236" s="468"/>
      <c r="W236" s="468"/>
      <c r="X236" s="468"/>
      <c r="Y236" s="468"/>
      <c r="Z236" s="468"/>
      <c r="AA236" s="468"/>
      <c r="AB236" s="468"/>
      <c r="AC236" s="468"/>
      <c r="AD236" s="468"/>
      <c r="AE236" s="468"/>
      <c r="AF236" s="468"/>
      <c r="AG236" s="468"/>
      <c r="AH236" s="468"/>
      <c r="AI236" s="468"/>
      <c r="AJ236" s="468"/>
    </row>
    <row r="237" spans="1:36" ht="18" customHeight="1" x14ac:dyDescent="0.35">
      <c r="A237" s="468"/>
      <c r="B237" s="468"/>
      <c r="C237" s="468"/>
      <c r="D237" s="468"/>
      <c r="E237" s="468"/>
      <c r="F237" s="468"/>
      <c r="G237" s="468"/>
      <c r="H237" s="468"/>
      <c r="I237" s="468"/>
      <c r="J237" s="468"/>
      <c r="K237" s="468"/>
      <c r="L237" s="468"/>
      <c r="M237" s="468"/>
      <c r="N237" s="468"/>
      <c r="O237" s="468"/>
      <c r="P237" s="468"/>
      <c r="Q237" s="468"/>
      <c r="R237" s="468"/>
      <c r="S237" s="468"/>
      <c r="T237" s="468"/>
      <c r="U237" s="468"/>
      <c r="V237" s="468"/>
      <c r="W237" s="468"/>
      <c r="X237" s="468"/>
      <c r="Y237" s="468"/>
      <c r="Z237" s="468"/>
      <c r="AA237" s="468"/>
      <c r="AB237" s="468"/>
      <c r="AC237" s="468"/>
      <c r="AD237" s="468"/>
      <c r="AE237" s="468"/>
      <c r="AF237" s="468"/>
      <c r="AG237" s="468"/>
      <c r="AH237" s="468"/>
      <c r="AI237" s="468"/>
      <c r="AJ237" s="468"/>
    </row>
    <row r="238" spans="1:36" ht="18" customHeight="1" x14ac:dyDescent="0.35">
      <c r="A238" s="468"/>
      <c r="B238" s="468"/>
      <c r="C238" s="468"/>
      <c r="D238" s="468"/>
      <c r="E238" s="468"/>
      <c r="F238" s="468"/>
      <c r="G238" s="468"/>
      <c r="H238" s="468"/>
      <c r="I238" s="468"/>
      <c r="J238" s="468"/>
      <c r="K238" s="468"/>
      <c r="L238" s="468"/>
      <c r="M238" s="468"/>
      <c r="N238" s="468"/>
      <c r="O238" s="468"/>
      <c r="P238" s="468"/>
      <c r="Q238" s="468"/>
      <c r="R238" s="468"/>
      <c r="S238" s="468"/>
      <c r="T238" s="468"/>
      <c r="U238" s="468"/>
      <c r="V238" s="468"/>
      <c r="W238" s="468"/>
      <c r="X238" s="468"/>
      <c r="Y238" s="468"/>
      <c r="Z238" s="468"/>
      <c r="AA238" s="468"/>
      <c r="AB238" s="468"/>
      <c r="AC238" s="468"/>
      <c r="AD238" s="468"/>
      <c r="AE238" s="468"/>
      <c r="AF238" s="468"/>
      <c r="AG238" s="468"/>
      <c r="AH238" s="468"/>
      <c r="AI238" s="468"/>
      <c r="AJ238" s="468"/>
    </row>
    <row r="239" spans="1:36" ht="18" customHeight="1" x14ac:dyDescent="0.35">
      <c r="A239" s="468"/>
      <c r="B239" s="468"/>
      <c r="C239" s="468"/>
      <c r="D239" s="468"/>
      <c r="E239" s="468"/>
      <c r="F239" s="468"/>
      <c r="G239" s="468"/>
      <c r="H239" s="468"/>
      <c r="I239" s="468"/>
      <c r="J239" s="468"/>
      <c r="K239" s="468"/>
      <c r="L239" s="468"/>
      <c r="M239" s="468"/>
      <c r="N239" s="468"/>
      <c r="O239" s="468"/>
      <c r="P239" s="468"/>
      <c r="Q239" s="468"/>
      <c r="R239" s="468"/>
      <c r="S239" s="468"/>
      <c r="T239" s="468"/>
      <c r="U239" s="468"/>
      <c r="V239" s="468"/>
      <c r="W239" s="468"/>
      <c r="X239" s="468"/>
      <c r="Y239" s="468"/>
      <c r="Z239" s="468"/>
      <c r="AA239" s="468"/>
      <c r="AB239" s="468"/>
      <c r="AC239" s="468"/>
      <c r="AD239" s="468"/>
      <c r="AE239" s="468"/>
      <c r="AF239" s="468"/>
      <c r="AG239" s="468"/>
      <c r="AH239" s="468"/>
      <c r="AI239" s="468"/>
      <c r="AJ239" s="468"/>
    </row>
    <row r="240" spans="1:36" ht="18" customHeight="1" x14ac:dyDescent="0.35">
      <c r="A240" s="468"/>
      <c r="B240" s="468"/>
      <c r="C240" s="468"/>
      <c r="D240" s="468"/>
      <c r="E240" s="468"/>
      <c r="F240" s="468"/>
      <c r="G240" s="468"/>
      <c r="H240" s="468"/>
      <c r="I240" s="468"/>
      <c r="J240" s="468"/>
      <c r="K240" s="468"/>
      <c r="L240" s="468"/>
      <c r="M240" s="468"/>
      <c r="N240" s="468"/>
      <c r="O240" s="468"/>
      <c r="P240" s="468"/>
      <c r="Q240" s="468"/>
      <c r="R240" s="468"/>
      <c r="S240" s="468"/>
      <c r="T240" s="468"/>
      <c r="U240" s="468"/>
      <c r="V240" s="468"/>
      <c r="W240" s="468"/>
      <c r="X240" s="468"/>
      <c r="Y240" s="468"/>
      <c r="Z240" s="468"/>
      <c r="AA240" s="468"/>
      <c r="AB240" s="468"/>
      <c r="AC240" s="468"/>
      <c r="AD240" s="468"/>
      <c r="AE240" s="468"/>
      <c r="AF240" s="468"/>
      <c r="AG240" s="468"/>
      <c r="AH240" s="468"/>
      <c r="AI240" s="468"/>
      <c r="AJ240" s="468"/>
    </row>
    <row r="241" spans="1:36" ht="18" customHeight="1" x14ac:dyDescent="0.35">
      <c r="A241" s="468"/>
      <c r="B241" s="468"/>
      <c r="C241" s="468"/>
      <c r="D241" s="468"/>
      <c r="E241" s="468"/>
      <c r="F241" s="468"/>
      <c r="G241" s="468"/>
      <c r="H241" s="468"/>
      <c r="I241" s="468"/>
      <c r="J241" s="468"/>
      <c r="K241" s="468"/>
      <c r="L241" s="468"/>
      <c r="M241" s="468"/>
      <c r="N241" s="468"/>
      <c r="O241" s="468"/>
      <c r="P241" s="468"/>
      <c r="Q241" s="468"/>
      <c r="R241" s="468"/>
      <c r="S241" s="468"/>
      <c r="T241" s="468"/>
      <c r="U241" s="468"/>
      <c r="V241" s="468"/>
      <c r="W241" s="468"/>
      <c r="X241" s="468"/>
      <c r="Y241" s="468"/>
      <c r="Z241" s="468"/>
      <c r="AA241" s="468"/>
      <c r="AB241" s="468"/>
      <c r="AC241" s="468"/>
      <c r="AD241" s="468"/>
      <c r="AE241" s="468"/>
      <c r="AF241" s="468"/>
      <c r="AG241" s="468"/>
      <c r="AH241" s="468"/>
      <c r="AI241" s="468"/>
      <c r="AJ241" s="468"/>
    </row>
    <row r="242" spans="1:36" ht="18" customHeight="1" x14ac:dyDescent="0.35">
      <c r="A242" s="468"/>
      <c r="B242" s="468"/>
      <c r="C242" s="468"/>
      <c r="D242" s="468"/>
      <c r="E242" s="468"/>
      <c r="F242" s="468"/>
      <c r="G242" s="468"/>
      <c r="H242" s="468"/>
      <c r="I242" s="468"/>
      <c r="J242" s="468"/>
      <c r="K242" s="468"/>
      <c r="L242" s="468"/>
      <c r="M242" s="468"/>
      <c r="N242" s="468"/>
      <c r="O242" s="468"/>
      <c r="P242" s="468"/>
      <c r="Q242" s="468"/>
      <c r="R242" s="468"/>
      <c r="S242" s="468"/>
      <c r="T242" s="468"/>
      <c r="U242" s="468"/>
      <c r="V242" s="468"/>
      <c r="W242" s="468"/>
      <c r="X242" s="468"/>
      <c r="Y242" s="468"/>
      <c r="Z242" s="468"/>
      <c r="AA242" s="468"/>
      <c r="AB242" s="468"/>
      <c r="AC242" s="468"/>
      <c r="AD242" s="468"/>
      <c r="AE242" s="468"/>
      <c r="AF242" s="468"/>
      <c r="AG242" s="468"/>
      <c r="AH242" s="468"/>
      <c r="AI242" s="468"/>
      <c r="AJ242" s="468"/>
    </row>
    <row r="243" spans="1:36" ht="18" customHeight="1" x14ac:dyDescent="0.35">
      <c r="A243" s="468"/>
      <c r="B243" s="468"/>
      <c r="C243" s="468"/>
      <c r="D243" s="468"/>
      <c r="E243" s="468"/>
      <c r="F243" s="468"/>
      <c r="G243" s="468"/>
      <c r="H243" s="468"/>
      <c r="I243" s="468"/>
      <c r="J243" s="468"/>
      <c r="K243" s="468"/>
      <c r="L243" s="468"/>
      <c r="M243" s="468"/>
      <c r="N243" s="468"/>
      <c r="O243" s="468"/>
      <c r="P243" s="468"/>
      <c r="Q243" s="468"/>
      <c r="R243" s="468"/>
      <c r="S243" s="468"/>
      <c r="T243" s="468"/>
      <c r="U243" s="468"/>
      <c r="V243" s="468"/>
      <c r="W243" s="468"/>
      <c r="X243" s="468"/>
      <c r="Y243" s="468"/>
      <c r="Z243" s="468"/>
      <c r="AA243" s="468"/>
      <c r="AB243" s="468"/>
      <c r="AC243" s="468"/>
      <c r="AD243" s="468"/>
      <c r="AE243" s="468"/>
      <c r="AF243" s="468"/>
      <c r="AG243" s="468"/>
      <c r="AH243" s="468"/>
      <c r="AI243" s="468"/>
      <c r="AJ243" s="468"/>
    </row>
    <row r="244" spans="1:36" ht="18" customHeight="1" x14ac:dyDescent="0.35">
      <c r="A244" s="468"/>
      <c r="B244" s="468"/>
      <c r="C244" s="468"/>
      <c r="D244" s="468"/>
      <c r="E244" s="468"/>
      <c r="F244" s="468"/>
      <c r="G244" s="468"/>
      <c r="H244" s="468"/>
      <c r="I244" s="468"/>
      <c r="J244" s="468"/>
      <c r="K244" s="468"/>
      <c r="L244" s="468"/>
      <c r="M244" s="468"/>
      <c r="N244" s="468"/>
      <c r="O244" s="468"/>
      <c r="P244" s="468"/>
      <c r="Q244" s="468"/>
      <c r="R244" s="468"/>
      <c r="S244" s="468"/>
      <c r="T244" s="468"/>
      <c r="U244" s="468"/>
      <c r="V244" s="468"/>
      <c r="W244" s="468"/>
      <c r="X244" s="468"/>
      <c r="Y244" s="468"/>
      <c r="Z244" s="468"/>
      <c r="AA244" s="468"/>
      <c r="AB244" s="468"/>
      <c r="AC244" s="468"/>
      <c r="AD244" s="468"/>
      <c r="AE244" s="468"/>
      <c r="AF244" s="468"/>
      <c r="AG244" s="468"/>
      <c r="AH244" s="468"/>
      <c r="AI244" s="468"/>
      <c r="AJ244" s="468"/>
    </row>
    <row r="245" spans="1:36" ht="18" customHeight="1" x14ac:dyDescent="0.35">
      <c r="A245" s="468"/>
      <c r="B245" s="468"/>
      <c r="C245" s="468"/>
      <c r="D245" s="468"/>
      <c r="E245" s="468"/>
      <c r="F245" s="468"/>
      <c r="G245" s="468"/>
      <c r="H245" s="468"/>
      <c r="I245" s="468"/>
      <c r="J245" s="468"/>
      <c r="K245" s="468"/>
      <c r="L245" s="468"/>
      <c r="M245" s="468"/>
      <c r="N245" s="468"/>
      <c r="O245" s="468"/>
      <c r="P245" s="468"/>
      <c r="Q245" s="468"/>
      <c r="R245" s="468"/>
      <c r="S245" s="468"/>
      <c r="T245" s="468"/>
      <c r="U245" s="468"/>
      <c r="V245" s="468"/>
      <c r="W245" s="468"/>
      <c r="X245" s="468"/>
      <c r="Y245" s="468"/>
      <c r="Z245" s="468"/>
      <c r="AA245" s="468"/>
      <c r="AB245" s="468"/>
      <c r="AC245" s="468"/>
      <c r="AD245" s="468"/>
      <c r="AE245" s="468"/>
      <c r="AF245" s="468"/>
      <c r="AG245" s="468"/>
      <c r="AH245" s="468"/>
      <c r="AI245" s="468"/>
      <c r="AJ245" s="468"/>
    </row>
    <row r="246" spans="1:36" ht="18" customHeight="1" x14ac:dyDescent="0.35">
      <c r="A246" s="468"/>
      <c r="B246" s="468"/>
      <c r="C246" s="468"/>
      <c r="D246" s="468"/>
      <c r="E246" s="468"/>
      <c r="F246" s="468"/>
      <c r="G246" s="468"/>
      <c r="H246" s="468"/>
      <c r="I246" s="468"/>
      <c r="J246" s="468"/>
      <c r="K246" s="468"/>
      <c r="L246" s="468"/>
      <c r="M246" s="468"/>
      <c r="N246" s="468"/>
      <c r="O246" s="468"/>
      <c r="P246" s="468"/>
      <c r="Q246" s="468"/>
      <c r="R246" s="468"/>
      <c r="S246" s="468"/>
      <c r="T246" s="468"/>
      <c r="U246" s="468"/>
      <c r="V246" s="468"/>
      <c r="W246" s="468"/>
      <c r="X246" s="468"/>
      <c r="Y246" s="468"/>
      <c r="Z246" s="468"/>
      <c r="AA246" s="468"/>
      <c r="AB246" s="468"/>
      <c r="AC246" s="468"/>
      <c r="AD246" s="468"/>
      <c r="AE246" s="468"/>
      <c r="AF246" s="468"/>
      <c r="AG246" s="468"/>
      <c r="AH246" s="468"/>
      <c r="AI246" s="468"/>
      <c r="AJ246" s="468"/>
    </row>
    <row r="247" spans="1:36" ht="18" customHeight="1" x14ac:dyDescent="0.35">
      <c r="A247" s="468"/>
      <c r="B247" s="468"/>
      <c r="C247" s="468"/>
      <c r="D247" s="468"/>
      <c r="E247" s="468"/>
      <c r="F247" s="468"/>
      <c r="G247" s="468"/>
      <c r="H247" s="468"/>
      <c r="I247" s="468"/>
      <c r="J247" s="468"/>
      <c r="K247" s="468"/>
      <c r="L247" s="468"/>
      <c r="M247" s="468"/>
      <c r="N247" s="468"/>
      <c r="O247" s="468"/>
      <c r="P247" s="468"/>
      <c r="Q247" s="468"/>
      <c r="R247" s="468"/>
      <c r="S247" s="468"/>
      <c r="T247" s="468"/>
      <c r="U247" s="468"/>
      <c r="V247" s="468"/>
      <c r="W247" s="468"/>
      <c r="X247" s="468"/>
      <c r="Y247" s="468"/>
      <c r="Z247" s="468"/>
      <c r="AA247" s="468"/>
      <c r="AB247" s="468"/>
      <c r="AC247" s="468"/>
      <c r="AD247" s="468"/>
      <c r="AE247" s="468"/>
      <c r="AF247" s="468"/>
      <c r="AG247" s="468"/>
      <c r="AH247" s="468"/>
      <c r="AI247" s="468"/>
      <c r="AJ247" s="468"/>
    </row>
    <row r="248" spans="1:36" ht="18" customHeight="1" x14ac:dyDescent="0.35">
      <c r="A248" s="468"/>
      <c r="B248" s="468"/>
      <c r="C248" s="468"/>
      <c r="D248" s="468"/>
      <c r="E248" s="468"/>
      <c r="F248" s="468"/>
      <c r="G248" s="468"/>
      <c r="H248" s="468"/>
      <c r="I248" s="468"/>
      <c r="J248" s="468"/>
      <c r="K248" s="468"/>
      <c r="L248" s="468"/>
      <c r="M248" s="468"/>
      <c r="N248" s="468"/>
      <c r="O248" s="468"/>
      <c r="P248" s="468"/>
      <c r="Q248" s="468"/>
      <c r="R248" s="468"/>
      <c r="S248" s="468"/>
      <c r="T248" s="468"/>
      <c r="U248" s="468"/>
      <c r="V248" s="468"/>
      <c r="W248" s="468"/>
      <c r="X248" s="468"/>
      <c r="Y248" s="468"/>
      <c r="Z248" s="468"/>
      <c r="AA248" s="468"/>
      <c r="AB248" s="468"/>
      <c r="AC248" s="468"/>
      <c r="AD248" s="468"/>
      <c r="AE248" s="468"/>
      <c r="AF248" s="468"/>
      <c r="AG248" s="468"/>
      <c r="AH248" s="468"/>
      <c r="AI248" s="468"/>
      <c r="AJ248" s="468"/>
    </row>
    <row r="249" spans="1:36" ht="18" customHeight="1" x14ac:dyDescent="0.35">
      <c r="A249" s="468"/>
      <c r="B249" s="468"/>
      <c r="C249" s="468"/>
      <c r="D249" s="468"/>
      <c r="E249" s="468"/>
      <c r="F249" s="468"/>
      <c r="G249" s="468"/>
      <c r="H249" s="468"/>
      <c r="I249" s="468"/>
      <c r="J249" s="468"/>
      <c r="K249" s="468"/>
      <c r="L249" s="468"/>
      <c r="M249" s="468"/>
      <c r="N249" s="468"/>
      <c r="O249" s="468"/>
      <c r="P249" s="468"/>
      <c r="Q249" s="468"/>
      <c r="R249" s="468"/>
      <c r="S249" s="468"/>
      <c r="T249" s="468"/>
      <c r="U249" s="468"/>
      <c r="V249" s="468"/>
      <c r="W249" s="468"/>
      <c r="X249" s="468"/>
      <c r="Y249" s="468"/>
      <c r="Z249" s="468"/>
      <c r="AA249" s="468"/>
      <c r="AB249" s="468"/>
      <c r="AC249" s="468"/>
      <c r="AD249" s="468"/>
      <c r="AE249" s="468"/>
      <c r="AF249" s="468"/>
      <c r="AG249" s="468"/>
      <c r="AH249" s="468"/>
      <c r="AI249" s="468"/>
      <c r="AJ249" s="468"/>
    </row>
    <row r="250" spans="1:36" ht="18" customHeight="1" x14ac:dyDescent="0.35">
      <c r="A250" s="468"/>
      <c r="B250" s="468"/>
      <c r="C250" s="468"/>
      <c r="D250" s="468"/>
      <c r="E250" s="468"/>
      <c r="F250" s="468"/>
      <c r="G250" s="468"/>
      <c r="H250" s="468"/>
      <c r="I250" s="468"/>
      <c r="J250" s="468"/>
      <c r="K250" s="468"/>
      <c r="L250" s="468"/>
      <c r="M250" s="468"/>
      <c r="N250" s="468"/>
      <c r="O250" s="468"/>
      <c r="P250" s="468"/>
      <c r="Q250" s="468"/>
      <c r="R250" s="468"/>
      <c r="S250" s="468"/>
      <c r="T250" s="468"/>
      <c r="U250" s="468"/>
      <c r="V250" s="468"/>
      <c r="W250" s="468"/>
      <c r="X250" s="468"/>
      <c r="Y250" s="468"/>
      <c r="Z250" s="468"/>
      <c r="AA250" s="468"/>
      <c r="AB250" s="468"/>
      <c r="AC250" s="468"/>
      <c r="AD250" s="468"/>
      <c r="AE250" s="468"/>
      <c r="AF250" s="468"/>
      <c r="AG250" s="468"/>
      <c r="AH250" s="468"/>
      <c r="AI250" s="468"/>
      <c r="AJ250" s="468"/>
    </row>
    <row r="251" spans="1:36" ht="18" customHeight="1" x14ac:dyDescent="0.35">
      <c r="A251" s="468"/>
      <c r="B251" s="468"/>
      <c r="C251" s="468"/>
      <c r="D251" s="468"/>
      <c r="E251" s="468"/>
      <c r="F251" s="468"/>
      <c r="G251" s="468"/>
      <c r="H251" s="468"/>
      <c r="I251" s="468"/>
      <c r="J251" s="468"/>
      <c r="K251" s="468"/>
      <c r="L251" s="468"/>
      <c r="M251" s="468"/>
      <c r="N251" s="468"/>
      <c r="O251" s="468"/>
      <c r="P251" s="468"/>
      <c r="Q251" s="468"/>
      <c r="R251" s="468"/>
      <c r="S251" s="468"/>
      <c r="T251" s="468"/>
      <c r="U251" s="468"/>
      <c r="V251" s="468"/>
      <c r="W251" s="468"/>
      <c r="X251" s="468"/>
      <c r="Y251" s="468"/>
      <c r="Z251" s="468"/>
      <c r="AA251" s="468"/>
      <c r="AB251" s="468"/>
      <c r="AC251" s="468"/>
      <c r="AD251" s="468"/>
      <c r="AE251" s="468"/>
      <c r="AF251" s="468"/>
      <c r="AG251" s="468"/>
      <c r="AH251" s="468"/>
      <c r="AI251" s="468"/>
      <c r="AJ251" s="468"/>
    </row>
    <row r="252" spans="1:36" ht="18" customHeight="1" x14ac:dyDescent="0.35">
      <c r="A252" s="468"/>
      <c r="B252" s="468"/>
      <c r="C252" s="468"/>
      <c r="D252" s="468"/>
      <c r="E252" s="468"/>
      <c r="F252" s="468"/>
      <c r="G252" s="468"/>
      <c r="H252" s="468"/>
      <c r="I252" s="468"/>
      <c r="J252" s="468"/>
      <c r="K252" s="468"/>
      <c r="L252" s="468"/>
      <c r="M252" s="468"/>
      <c r="N252" s="468"/>
      <c r="O252" s="468"/>
      <c r="P252" s="468"/>
      <c r="Q252" s="468"/>
      <c r="R252" s="468"/>
      <c r="S252" s="468"/>
      <c r="T252" s="468"/>
      <c r="U252" s="468"/>
      <c r="V252" s="468"/>
      <c r="W252" s="468"/>
      <c r="X252" s="468"/>
      <c r="Y252" s="468"/>
      <c r="Z252" s="468"/>
      <c r="AA252" s="468"/>
      <c r="AB252" s="468"/>
      <c r="AC252" s="468"/>
      <c r="AD252" s="468"/>
      <c r="AE252" s="468"/>
      <c r="AF252" s="468"/>
      <c r="AG252" s="468"/>
      <c r="AH252" s="468"/>
      <c r="AI252" s="468"/>
      <c r="AJ252" s="468"/>
    </row>
    <row r="253" spans="1:36" ht="18" customHeight="1" x14ac:dyDescent="0.35">
      <c r="A253" s="468"/>
      <c r="B253" s="468"/>
      <c r="C253" s="468"/>
      <c r="D253" s="468"/>
      <c r="E253" s="468"/>
      <c r="F253" s="468"/>
      <c r="G253" s="468"/>
      <c r="H253" s="468"/>
      <c r="I253" s="468"/>
      <c r="J253" s="468"/>
      <c r="K253" s="468"/>
      <c r="L253" s="468"/>
      <c r="M253" s="468"/>
      <c r="N253" s="468"/>
      <c r="O253" s="468"/>
      <c r="P253" s="468"/>
      <c r="Q253" s="468"/>
      <c r="R253" s="468"/>
      <c r="S253" s="468"/>
      <c r="T253" s="468"/>
      <c r="U253" s="468"/>
      <c r="V253" s="468"/>
      <c r="W253" s="468"/>
      <c r="X253" s="468"/>
      <c r="Y253" s="468"/>
      <c r="Z253" s="468"/>
      <c r="AA253" s="468"/>
      <c r="AB253" s="468"/>
      <c r="AC253" s="468"/>
      <c r="AD253" s="468"/>
      <c r="AE253" s="468"/>
      <c r="AF253" s="468"/>
      <c r="AG253" s="468"/>
      <c r="AH253" s="468"/>
      <c r="AI253" s="468"/>
      <c r="AJ253" s="468"/>
    </row>
    <row r="254" spans="1:36" ht="18" customHeight="1" x14ac:dyDescent="0.35">
      <c r="A254" s="468"/>
      <c r="B254" s="468"/>
      <c r="C254" s="468"/>
      <c r="D254" s="468"/>
      <c r="E254" s="468"/>
      <c r="F254" s="468"/>
      <c r="G254" s="468"/>
      <c r="H254" s="468"/>
      <c r="I254" s="468"/>
      <c r="J254" s="468"/>
      <c r="K254" s="468"/>
      <c r="L254" s="468"/>
      <c r="M254" s="468"/>
      <c r="N254" s="468"/>
      <c r="O254" s="468"/>
      <c r="P254" s="468"/>
      <c r="Q254" s="468"/>
      <c r="R254" s="468"/>
      <c r="S254" s="468"/>
      <c r="T254" s="468"/>
      <c r="U254" s="468"/>
      <c r="V254" s="468"/>
      <c r="W254" s="468"/>
      <c r="X254" s="468"/>
      <c r="Y254" s="468"/>
      <c r="Z254" s="468"/>
      <c r="AA254" s="468"/>
      <c r="AB254" s="468"/>
      <c r="AC254" s="468"/>
      <c r="AD254" s="468"/>
      <c r="AE254" s="468"/>
      <c r="AF254" s="468"/>
      <c r="AG254" s="468"/>
      <c r="AH254" s="468"/>
      <c r="AI254" s="468"/>
      <c r="AJ254" s="468"/>
    </row>
    <row r="255" spans="1:36" ht="18" customHeight="1" x14ac:dyDescent="0.35">
      <c r="A255" s="468"/>
      <c r="B255" s="468"/>
      <c r="C255" s="468"/>
      <c r="D255" s="468"/>
      <c r="E255" s="468"/>
      <c r="F255" s="468"/>
      <c r="G255" s="468"/>
      <c r="H255" s="468"/>
      <c r="I255" s="468"/>
      <c r="J255" s="468"/>
      <c r="K255" s="468"/>
      <c r="L255" s="468"/>
      <c r="M255" s="468"/>
      <c r="N255" s="468"/>
      <c r="O255" s="468"/>
      <c r="P255" s="468"/>
      <c r="Q255" s="468"/>
      <c r="R255" s="468"/>
      <c r="S255" s="468"/>
      <c r="T255" s="468"/>
      <c r="U255" s="468"/>
      <c r="V255" s="468"/>
      <c r="W255" s="468"/>
      <c r="X255" s="468"/>
      <c r="Y255" s="468"/>
      <c r="Z255" s="468"/>
      <c r="AA255" s="468"/>
      <c r="AB255" s="468"/>
      <c r="AC255" s="468"/>
      <c r="AD255" s="468"/>
      <c r="AE255" s="468"/>
      <c r="AF255" s="468"/>
      <c r="AG255" s="468"/>
      <c r="AH255" s="468"/>
      <c r="AI255" s="468"/>
      <c r="AJ255" s="468"/>
    </row>
    <row r="256" spans="1:36" ht="18" customHeight="1" x14ac:dyDescent="0.35">
      <c r="A256" s="468"/>
      <c r="B256" s="468"/>
      <c r="C256" s="468"/>
      <c r="D256" s="468"/>
      <c r="E256" s="468"/>
      <c r="F256" s="468"/>
      <c r="G256" s="468"/>
      <c r="H256" s="468"/>
      <c r="I256" s="468"/>
      <c r="J256" s="468"/>
      <c r="K256" s="468"/>
      <c r="L256" s="468"/>
      <c r="M256" s="468"/>
      <c r="N256" s="468"/>
      <c r="O256" s="468"/>
      <c r="P256" s="468"/>
      <c r="Q256" s="468"/>
      <c r="R256" s="468"/>
      <c r="S256" s="468"/>
      <c r="T256" s="468"/>
      <c r="U256" s="468"/>
      <c r="V256" s="468"/>
      <c r="W256" s="468"/>
      <c r="X256" s="468"/>
      <c r="Y256" s="468"/>
      <c r="Z256" s="468"/>
      <c r="AA256" s="468"/>
      <c r="AB256" s="468"/>
      <c r="AC256" s="468"/>
      <c r="AD256" s="468"/>
      <c r="AE256" s="468"/>
      <c r="AF256" s="468"/>
      <c r="AG256" s="468"/>
      <c r="AH256" s="468"/>
      <c r="AI256" s="468"/>
      <c r="AJ256" s="468"/>
    </row>
    <row r="257" spans="1:36" ht="18" customHeight="1" x14ac:dyDescent="0.35">
      <c r="A257" s="468"/>
      <c r="B257" s="468"/>
      <c r="C257" s="468"/>
      <c r="D257" s="468"/>
      <c r="E257" s="468"/>
      <c r="F257" s="468"/>
      <c r="G257" s="468"/>
      <c r="H257" s="468"/>
      <c r="I257" s="468"/>
      <c r="J257" s="468"/>
      <c r="K257" s="468"/>
      <c r="L257" s="468"/>
      <c r="M257" s="468"/>
      <c r="N257" s="468"/>
      <c r="O257" s="468"/>
      <c r="P257" s="468"/>
      <c r="Q257" s="468"/>
      <c r="R257" s="468"/>
      <c r="S257" s="468"/>
      <c r="T257" s="468"/>
      <c r="U257" s="468"/>
      <c r="V257" s="468"/>
      <c r="W257" s="468"/>
      <c r="X257" s="468"/>
      <c r="Y257" s="468"/>
      <c r="Z257" s="468"/>
      <c r="AA257" s="468"/>
      <c r="AB257" s="468"/>
      <c r="AC257" s="468"/>
      <c r="AD257" s="468"/>
      <c r="AE257" s="468"/>
      <c r="AF257" s="468"/>
      <c r="AG257" s="468"/>
      <c r="AH257" s="468"/>
      <c r="AI257" s="468"/>
      <c r="AJ257" s="468"/>
    </row>
    <row r="258" spans="1:36" ht="18" customHeight="1" x14ac:dyDescent="0.35">
      <c r="A258" s="468"/>
      <c r="B258" s="468"/>
      <c r="C258" s="468"/>
      <c r="D258" s="468"/>
      <c r="E258" s="468"/>
      <c r="F258" s="468"/>
      <c r="G258" s="468"/>
      <c r="H258" s="468"/>
      <c r="I258" s="468"/>
      <c r="J258" s="468"/>
      <c r="K258" s="468"/>
      <c r="L258" s="468"/>
      <c r="M258" s="468"/>
      <c r="N258" s="468"/>
      <c r="O258" s="468"/>
      <c r="P258" s="468"/>
      <c r="Q258" s="468"/>
      <c r="R258" s="468"/>
      <c r="S258" s="468"/>
      <c r="T258" s="468"/>
      <c r="U258" s="468"/>
      <c r="V258" s="468"/>
      <c r="W258" s="468"/>
      <c r="X258" s="468"/>
      <c r="Y258" s="468"/>
      <c r="Z258" s="468"/>
      <c r="AA258" s="468"/>
      <c r="AB258" s="468"/>
      <c r="AC258" s="468"/>
      <c r="AD258" s="468"/>
      <c r="AE258" s="468"/>
      <c r="AF258" s="468"/>
      <c r="AG258" s="468"/>
      <c r="AH258" s="468"/>
      <c r="AI258" s="468"/>
      <c r="AJ258" s="468"/>
    </row>
    <row r="259" spans="1:36" ht="18" customHeight="1" x14ac:dyDescent="0.35">
      <c r="A259" s="468"/>
      <c r="B259" s="468"/>
      <c r="C259" s="468"/>
      <c r="D259" s="468"/>
      <c r="E259" s="468"/>
      <c r="F259" s="468"/>
      <c r="G259" s="468"/>
      <c r="H259" s="468"/>
      <c r="I259" s="468"/>
      <c r="J259" s="468"/>
      <c r="K259" s="468"/>
      <c r="L259" s="468"/>
      <c r="M259" s="468"/>
      <c r="N259" s="468"/>
      <c r="O259" s="468"/>
      <c r="P259" s="468"/>
      <c r="Q259" s="468"/>
      <c r="R259" s="468"/>
      <c r="S259" s="468"/>
      <c r="T259" s="468"/>
      <c r="U259" s="468"/>
      <c r="V259" s="468"/>
      <c r="W259" s="468"/>
      <c r="X259" s="468"/>
      <c r="Y259" s="468"/>
      <c r="Z259" s="468"/>
      <c r="AA259" s="468"/>
      <c r="AB259" s="468"/>
      <c r="AC259" s="468"/>
      <c r="AD259" s="468"/>
      <c r="AE259" s="468"/>
      <c r="AF259" s="468"/>
      <c r="AG259" s="468"/>
      <c r="AH259" s="468"/>
      <c r="AI259" s="468"/>
      <c r="AJ259" s="468"/>
    </row>
    <row r="260" spans="1:36" ht="18" customHeight="1" x14ac:dyDescent="0.35">
      <c r="A260" s="468"/>
      <c r="B260" s="468"/>
      <c r="C260" s="468"/>
      <c r="D260" s="468"/>
      <c r="E260" s="468"/>
      <c r="F260" s="468"/>
      <c r="G260" s="468"/>
      <c r="H260" s="468"/>
      <c r="I260" s="468"/>
      <c r="J260" s="468"/>
      <c r="K260" s="468"/>
      <c r="L260" s="468"/>
      <c r="M260" s="468"/>
      <c r="N260" s="468"/>
      <c r="O260" s="468"/>
      <c r="P260" s="468"/>
      <c r="Q260" s="468"/>
      <c r="R260" s="468"/>
      <c r="S260" s="468"/>
      <c r="T260" s="468"/>
      <c r="U260" s="468"/>
      <c r="V260" s="468"/>
      <c r="W260" s="468"/>
      <c r="X260" s="468"/>
      <c r="Y260" s="468"/>
      <c r="Z260" s="468"/>
      <c r="AA260" s="468"/>
      <c r="AB260" s="468"/>
      <c r="AC260" s="468"/>
      <c r="AD260" s="468"/>
      <c r="AE260" s="468"/>
      <c r="AF260" s="468"/>
      <c r="AG260" s="468"/>
      <c r="AH260" s="468"/>
      <c r="AI260" s="468"/>
      <c r="AJ260" s="468"/>
    </row>
    <row r="261" spans="1:36" ht="18" customHeight="1" x14ac:dyDescent="0.35">
      <c r="A261" s="468"/>
      <c r="B261" s="468"/>
      <c r="C261" s="468"/>
      <c r="D261" s="468"/>
      <c r="E261" s="468"/>
      <c r="F261" s="468"/>
      <c r="G261" s="468"/>
      <c r="H261" s="468"/>
      <c r="I261" s="468"/>
      <c r="J261" s="468"/>
      <c r="K261" s="468"/>
      <c r="L261" s="468"/>
      <c r="M261" s="468"/>
      <c r="N261" s="468"/>
      <c r="O261" s="468"/>
      <c r="P261" s="468"/>
      <c r="Q261" s="468"/>
      <c r="R261" s="468"/>
      <c r="S261" s="468"/>
      <c r="T261" s="468"/>
      <c r="U261" s="468"/>
      <c r="V261" s="468"/>
      <c r="W261" s="468"/>
      <c r="X261" s="468"/>
      <c r="Y261" s="468"/>
      <c r="Z261" s="468"/>
      <c r="AA261" s="468"/>
      <c r="AB261" s="468"/>
      <c r="AC261" s="468"/>
      <c r="AD261" s="468"/>
      <c r="AE261" s="468"/>
      <c r="AF261" s="468"/>
      <c r="AG261" s="468"/>
      <c r="AH261" s="468"/>
      <c r="AI261" s="468"/>
      <c r="AJ261" s="468"/>
    </row>
    <row r="262" spans="1:36" ht="18" customHeight="1" x14ac:dyDescent="0.35">
      <c r="A262" s="468"/>
      <c r="B262" s="468"/>
      <c r="C262" s="468"/>
      <c r="D262" s="468"/>
      <c r="E262" s="468"/>
      <c r="F262" s="468"/>
      <c r="G262" s="468"/>
      <c r="H262" s="468"/>
      <c r="I262" s="468"/>
      <c r="J262" s="468"/>
      <c r="K262" s="468"/>
      <c r="L262" s="468"/>
      <c r="M262" s="468"/>
      <c r="N262" s="468"/>
      <c r="O262" s="468"/>
      <c r="P262" s="468"/>
      <c r="Q262" s="468"/>
      <c r="R262" s="468"/>
      <c r="S262" s="468"/>
      <c r="T262" s="468"/>
      <c r="U262" s="468"/>
      <c r="V262" s="468"/>
      <c r="W262" s="468"/>
      <c r="X262" s="468"/>
      <c r="Y262" s="468"/>
      <c r="Z262" s="468"/>
      <c r="AA262" s="468"/>
      <c r="AB262" s="468"/>
      <c r="AC262" s="468"/>
      <c r="AD262" s="468"/>
      <c r="AE262" s="468"/>
      <c r="AF262" s="468"/>
      <c r="AG262" s="468"/>
      <c r="AH262" s="468"/>
      <c r="AI262" s="468"/>
      <c r="AJ262" s="468"/>
    </row>
    <row r="263" spans="1:36" ht="18" customHeight="1" x14ac:dyDescent="0.35">
      <c r="A263" s="468"/>
      <c r="B263" s="468"/>
      <c r="C263" s="468"/>
      <c r="D263" s="468"/>
      <c r="E263" s="468"/>
      <c r="F263" s="468"/>
      <c r="G263" s="468"/>
      <c r="H263" s="468"/>
      <c r="I263" s="468"/>
      <c r="J263" s="468"/>
      <c r="K263" s="468"/>
      <c r="L263" s="468"/>
      <c r="M263" s="468"/>
      <c r="N263" s="468"/>
      <c r="O263" s="468"/>
      <c r="P263" s="468"/>
      <c r="Q263" s="468"/>
      <c r="R263" s="468"/>
      <c r="S263" s="468"/>
      <c r="T263" s="468"/>
      <c r="U263" s="468"/>
      <c r="V263" s="468"/>
      <c r="W263" s="468"/>
      <c r="X263" s="468"/>
      <c r="Y263" s="468"/>
      <c r="Z263" s="468"/>
      <c r="AA263" s="468"/>
      <c r="AB263" s="468"/>
      <c r="AC263" s="468"/>
      <c r="AD263" s="468"/>
      <c r="AE263" s="468"/>
      <c r="AF263" s="468"/>
      <c r="AG263" s="468"/>
      <c r="AH263" s="468"/>
      <c r="AI263" s="468"/>
      <c r="AJ263" s="468"/>
    </row>
    <row r="264" spans="1:36" ht="18" customHeight="1" x14ac:dyDescent="0.35">
      <c r="A264" s="468"/>
      <c r="B264" s="468"/>
      <c r="C264" s="468"/>
      <c r="D264" s="468"/>
      <c r="E264" s="468"/>
      <c r="F264" s="468"/>
      <c r="G264" s="468"/>
      <c r="H264" s="468"/>
      <c r="I264" s="468"/>
      <c r="J264" s="468"/>
      <c r="K264" s="468"/>
      <c r="L264" s="468"/>
      <c r="M264" s="468"/>
      <c r="N264" s="468"/>
      <c r="O264" s="468"/>
      <c r="P264" s="468"/>
      <c r="Q264" s="468"/>
      <c r="R264" s="468"/>
      <c r="S264" s="468"/>
      <c r="T264" s="468"/>
      <c r="U264" s="468"/>
      <c r="V264" s="468"/>
      <c r="W264" s="468"/>
      <c r="X264" s="468"/>
      <c r="Y264" s="468"/>
      <c r="Z264" s="468"/>
      <c r="AA264" s="468"/>
      <c r="AB264" s="468"/>
      <c r="AC264" s="468"/>
      <c r="AD264" s="468"/>
      <c r="AE264" s="468"/>
      <c r="AF264" s="468"/>
      <c r="AG264" s="468"/>
      <c r="AH264" s="468"/>
      <c r="AI264" s="468"/>
      <c r="AJ264" s="468"/>
    </row>
    <row r="265" spans="1:36" ht="18" customHeight="1" x14ac:dyDescent="0.35">
      <c r="A265" s="468"/>
      <c r="B265" s="468"/>
      <c r="C265" s="468"/>
      <c r="D265" s="468"/>
      <c r="E265" s="468"/>
      <c r="F265" s="468"/>
      <c r="G265" s="468"/>
      <c r="H265" s="468"/>
      <c r="I265" s="468"/>
      <c r="J265" s="468"/>
      <c r="K265" s="468"/>
      <c r="L265" s="468"/>
      <c r="M265" s="468"/>
      <c r="N265" s="468"/>
      <c r="O265" s="468"/>
      <c r="P265" s="468"/>
      <c r="Q265" s="468"/>
      <c r="R265" s="468"/>
      <c r="S265" s="468"/>
      <c r="T265" s="468"/>
      <c r="U265" s="468"/>
      <c r="V265" s="468"/>
      <c r="W265" s="468"/>
      <c r="X265" s="468"/>
      <c r="Y265" s="468"/>
      <c r="Z265" s="468"/>
      <c r="AA265" s="468"/>
      <c r="AB265" s="468"/>
      <c r="AC265" s="468"/>
      <c r="AD265" s="468"/>
      <c r="AE265" s="468"/>
      <c r="AF265" s="468"/>
      <c r="AG265" s="468"/>
      <c r="AH265" s="468"/>
      <c r="AI265" s="468"/>
      <c r="AJ265" s="468"/>
    </row>
    <row r="266" spans="1:36" ht="18" customHeight="1" x14ac:dyDescent="0.35">
      <c r="A266" s="468"/>
      <c r="B266" s="468"/>
      <c r="C266" s="468"/>
      <c r="D266" s="468"/>
      <c r="E266" s="468"/>
      <c r="F266" s="468"/>
      <c r="G266" s="468"/>
      <c r="H266" s="468"/>
      <c r="I266" s="468"/>
      <c r="J266" s="468"/>
      <c r="K266" s="468"/>
      <c r="L266" s="468"/>
      <c r="M266" s="468"/>
      <c r="N266" s="468"/>
      <c r="O266" s="468"/>
      <c r="P266" s="468"/>
      <c r="Q266" s="468"/>
      <c r="R266" s="468"/>
      <c r="S266" s="468"/>
      <c r="T266" s="468"/>
      <c r="U266" s="468"/>
      <c r="V266" s="468"/>
      <c r="W266" s="468"/>
      <c r="X266" s="468"/>
      <c r="Y266" s="468"/>
      <c r="Z266" s="468"/>
      <c r="AA266" s="468"/>
      <c r="AB266" s="468"/>
      <c r="AC266" s="468"/>
      <c r="AD266" s="468"/>
      <c r="AE266" s="468"/>
      <c r="AF266" s="468"/>
      <c r="AG266" s="468"/>
      <c r="AH266" s="468"/>
      <c r="AI266" s="468"/>
      <c r="AJ266" s="468"/>
    </row>
    <row r="267" spans="1:36" ht="18" customHeight="1" x14ac:dyDescent="0.35">
      <c r="A267" s="468"/>
      <c r="B267" s="468"/>
      <c r="C267" s="468"/>
      <c r="D267" s="468"/>
      <c r="E267" s="468"/>
      <c r="F267" s="468"/>
      <c r="G267" s="468"/>
      <c r="H267" s="468"/>
      <c r="I267" s="468"/>
      <c r="J267" s="468"/>
      <c r="K267" s="468"/>
      <c r="L267" s="468"/>
      <c r="M267" s="468"/>
      <c r="N267" s="468"/>
      <c r="O267" s="468"/>
      <c r="P267" s="468"/>
      <c r="Q267" s="468"/>
      <c r="R267" s="468"/>
      <c r="S267" s="468"/>
      <c r="T267" s="468"/>
      <c r="U267" s="468"/>
      <c r="V267" s="468"/>
      <c r="W267" s="468"/>
      <c r="X267" s="468"/>
      <c r="Y267" s="468"/>
      <c r="Z267" s="468"/>
      <c r="AA267" s="468"/>
      <c r="AB267" s="468"/>
      <c r="AC267" s="468"/>
      <c r="AD267" s="468"/>
      <c r="AE267" s="468"/>
      <c r="AF267" s="468"/>
      <c r="AG267" s="468"/>
      <c r="AH267" s="468"/>
      <c r="AI267" s="468"/>
      <c r="AJ267" s="468"/>
    </row>
    <row r="268" spans="1:36" ht="18" customHeight="1" x14ac:dyDescent="0.35">
      <c r="A268" s="468"/>
      <c r="B268" s="468"/>
      <c r="C268" s="468"/>
      <c r="D268" s="468"/>
      <c r="E268" s="468"/>
      <c r="F268" s="468"/>
      <c r="G268" s="468"/>
      <c r="H268" s="468"/>
      <c r="I268" s="468"/>
      <c r="J268" s="468"/>
      <c r="K268" s="468"/>
      <c r="L268" s="468"/>
      <c r="M268" s="468"/>
      <c r="N268" s="468"/>
      <c r="O268" s="468"/>
      <c r="P268" s="468"/>
      <c r="Q268" s="468"/>
      <c r="R268" s="468"/>
      <c r="S268" s="468"/>
      <c r="T268" s="468"/>
      <c r="U268" s="468"/>
      <c r="V268" s="468"/>
      <c r="W268" s="468"/>
      <c r="X268" s="468"/>
      <c r="Y268" s="468"/>
      <c r="Z268" s="468"/>
      <c r="AA268" s="468"/>
      <c r="AB268" s="468"/>
      <c r="AC268" s="468"/>
      <c r="AD268" s="468"/>
      <c r="AE268" s="468"/>
      <c r="AF268" s="468"/>
      <c r="AG268" s="468"/>
      <c r="AH268" s="468"/>
      <c r="AI268" s="468"/>
      <c r="AJ268" s="468"/>
    </row>
    <row r="269" spans="1:36" ht="18" customHeight="1" x14ac:dyDescent="0.35">
      <c r="A269" s="468"/>
      <c r="B269" s="468"/>
      <c r="C269" s="468"/>
      <c r="D269" s="468"/>
      <c r="E269" s="468"/>
      <c r="F269" s="468"/>
      <c r="G269" s="468"/>
      <c r="H269" s="468"/>
      <c r="I269" s="468"/>
      <c r="J269" s="468"/>
      <c r="K269" s="468"/>
      <c r="L269" s="468"/>
      <c r="M269" s="468"/>
      <c r="N269" s="468"/>
      <c r="O269" s="468"/>
      <c r="P269" s="468"/>
      <c r="Q269" s="468"/>
      <c r="R269" s="468"/>
      <c r="S269" s="468"/>
      <c r="T269" s="468"/>
      <c r="U269" s="468"/>
      <c r="V269" s="468"/>
      <c r="W269" s="468"/>
      <c r="X269" s="468"/>
      <c r="Y269" s="468"/>
      <c r="Z269" s="468"/>
      <c r="AA269" s="468"/>
      <c r="AB269" s="468"/>
      <c r="AC269" s="468"/>
      <c r="AD269" s="468"/>
      <c r="AE269" s="468"/>
      <c r="AF269" s="468"/>
      <c r="AG269" s="468"/>
      <c r="AH269" s="468"/>
      <c r="AI269" s="468"/>
      <c r="AJ269" s="468"/>
    </row>
    <row r="270" spans="1:36" ht="18" customHeight="1" x14ac:dyDescent="0.35">
      <c r="A270" s="468"/>
      <c r="B270" s="468"/>
      <c r="C270" s="468"/>
      <c r="D270" s="468"/>
      <c r="E270" s="468"/>
      <c r="F270" s="468"/>
      <c r="G270" s="468"/>
      <c r="H270" s="468"/>
      <c r="I270" s="468"/>
      <c r="J270" s="468"/>
      <c r="K270" s="468"/>
      <c r="L270" s="468"/>
      <c r="M270" s="468"/>
      <c r="N270" s="468"/>
      <c r="O270" s="468"/>
      <c r="P270" s="468"/>
      <c r="Q270" s="468"/>
      <c r="R270" s="468"/>
      <c r="S270" s="468"/>
      <c r="T270" s="468"/>
      <c r="U270" s="468"/>
      <c r="V270" s="468"/>
      <c r="W270" s="468"/>
      <c r="X270" s="468"/>
      <c r="Y270" s="468"/>
      <c r="Z270" s="468"/>
      <c r="AA270" s="468"/>
      <c r="AB270" s="468"/>
      <c r="AC270" s="468"/>
      <c r="AD270" s="468"/>
      <c r="AE270" s="468"/>
      <c r="AF270" s="468"/>
      <c r="AG270" s="468"/>
      <c r="AH270" s="468"/>
      <c r="AI270" s="468"/>
      <c r="AJ270" s="468"/>
    </row>
    <row r="271" spans="1:36" ht="18" customHeight="1" x14ac:dyDescent="0.35">
      <c r="A271" s="468"/>
      <c r="B271" s="468"/>
      <c r="C271" s="468"/>
      <c r="D271" s="468"/>
      <c r="E271" s="468"/>
      <c r="F271" s="468"/>
      <c r="G271" s="468"/>
      <c r="H271" s="468"/>
      <c r="I271" s="468"/>
      <c r="J271" s="468"/>
      <c r="K271" s="468"/>
      <c r="L271" s="468"/>
      <c r="M271" s="468"/>
      <c r="N271" s="468"/>
      <c r="O271" s="468"/>
      <c r="P271" s="468"/>
      <c r="Q271" s="468"/>
      <c r="R271" s="468"/>
      <c r="S271" s="468"/>
      <c r="T271" s="468"/>
      <c r="U271" s="468"/>
      <c r="V271" s="468"/>
      <c r="W271" s="468"/>
      <c r="X271" s="468"/>
      <c r="Y271" s="468"/>
      <c r="Z271" s="468"/>
      <c r="AA271" s="468"/>
      <c r="AB271" s="468"/>
      <c r="AC271" s="468"/>
      <c r="AD271" s="468"/>
      <c r="AE271" s="468"/>
      <c r="AF271" s="468"/>
      <c r="AG271" s="468"/>
      <c r="AH271" s="468"/>
      <c r="AI271" s="468"/>
      <c r="AJ271" s="468"/>
    </row>
    <row r="272" spans="1:36" ht="18" customHeight="1" x14ac:dyDescent="0.35">
      <c r="A272" s="468"/>
      <c r="B272" s="468"/>
      <c r="C272" s="468"/>
      <c r="D272" s="468"/>
      <c r="E272" s="468"/>
      <c r="F272" s="468"/>
      <c r="G272" s="468"/>
      <c r="H272" s="468"/>
      <c r="I272" s="468"/>
      <c r="J272" s="468"/>
      <c r="K272" s="468"/>
      <c r="L272" s="468"/>
      <c r="M272" s="468"/>
      <c r="N272" s="468"/>
      <c r="O272" s="468"/>
      <c r="P272" s="468"/>
      <c r="Q272" s="468"/>
      <c r="R272" s="468"/>
      <c r="S272" s="468"/>
      <c r="T272" s="468"/>
      <c r="U272" s="468"/>
      <c r="V272" s="468"/>
      <c r="W272" s="468"/>
      <c r="X272" s="468"/>
      <c r="Y272" s="468"/>
      <c r="Z272" s="468"/>
      <c r="AA272" s="468"/>
      <c r="AB272" s="468"/>
      <c r="AC272" s="468"/>
      <c r="AD272" s="468"/>
      <c r="AE272" s="468"/>
      <c r="AF272" s="468"/>
      <c r="AG272" s="468"/>
      <c r="AH272" s="468"/>
      <c r="AI272" s="468"/>
      <c r="AJ272" s="468"/>
    </row>
    <row r="273" spans="1:36" ht="18" customHeight="1" x14ac:dyDescent="0.35">
      <c r="A273" s="468"/>
      <c r="B273" s="468"/>
      <c r="C273" s="468"/>
      <c r="D273" s="468"/>
      <c r="E273" s="468"/>
      <c r="F273" s="468"/>
      <c r="G273" s="468"/>
      <c r="H273" s="468"/>
      <c r="I273" s="468"/>
      <c r="J273" s="468"/>
      <c r="K273" s="468"/>
      <c r="L273" s="468"/>
      <c r="M273" s="468"/>
      <c r="N273" s="468"/>
      <c r="O273" s="468"/>
      <c r="P273" s="468"/>
      <c r="Q273" s="468"/>
      <c r="R273" s="468"/>
      <c r="S273" s="468"/>
      <c r="T273" s="468"/>
      <c r="U273" s="468"/>
      <c r="V273" s="468"/>
      <c r="W273" s="468"/>
      <c r="X273" s="468"/>
      <c r="Y273" s="468"/>
      <c r="Z273" s="468"/>
      <c r="AA273" s="468"/>
      <c r="AB273" s="468"/>
      <c r="AC273" s="468"/>
      <c r="AD273" s="468"/>
      <c r="AE273" s="468"/>
      <c r="AF273" s="468"/>
      <c r="AG273" s="468"/>
      <c r="AH273" s="468"/>
      <c r="AI273" s="468"/>
      <c r="AJ273" s="468"/>
    </row>
    <row r="274" spans="1:36" ht="18" customHeight="1" x14ac:dyDescent="0.35">
      <c r="A274" s="468"/>
      <c r="B274" s="468"/>
      <c r="C274" s="468"/>
      <c r="D274" s="468"/>
      <c r="E274" s="468"/>
      <c r="F274" s="468"/>
      <c r="G274" s="468"/>
      <c r="H274" s="468"/>
      <c r="I274" s="468"/>
      <c r="J274" s="468"/>
      <c r="K274" s="468"/>
      <c r="L274" s="468"/>
      <c r="M274" s="468"/>
      <c r="N274" s="468"/>
      <c r="O274" s="468"/>
      <c r="P274" s="468"/>
      <c r="Q274" s="468"/>
      <c r="R274" s="468"/>
      <c r="S274" s="468"/>
      <c r="T274" s="468"/>
      <c r="U274" s="468"/>
      <c r="V274" s="468"/>
      <c r="W274" s="468"/>
      <c r="X274" s="468"/>
      <c r="Y274" s="468"/>
      <c r="Z274" s="468"/>
      <c r="AA274" s="468"/>
      <c r="AB274" s="468"/>
      <c r="AC274" s="468"/>
      <c r="AD274" s="468"/>
      <c r="AE274" s="468"/>
      <c r="AF274" s="468"/>
      <c r="AG274" s="468"/>
      <c r="AH274" s="468"/>
      <c r="AI274" s="468"/>
      <c r="AJ274" s="468"/>
    </row>
    <row r="275" spans="1:36" ht="18" customHeight="1" x14ac:dyDescent="0.35">
      <c r="A275" s="468"/>
      <c r="B275" s="468"/>
      <c r="C275" s="468"/>
      <c r="D275" s="468"/>
      <c r="E275" s="468"/>
      <c r="F275" s="468"/>
      <c r="G275" s="468"/>
      <c r="H275" s="468"/>
      <c r="I275" s="468"/>
      <c r="J275" s="468"/>
      <c r="K275" s="468"/>
      <c r="L275" s="468"/>
      <c r="M275" s="468"/>
      <c r="N275" s="468"/>
      <c r="O275" s="468"/>
      <c r="P275" s="468"/>
      <c r="Q275" s="468"/>
      <c r="R275" s="468"/>
      <c r="S275" s="468"/>
      <c r="T275" s="468"/>
      <c r="U275" s="468"/>
      <c r="V275" s="468"/>
      <c r="W275" s="468"/>
      <c r="X275" s="468"/>
      <c r="Y275" s="468"/>
      <c r="Z275" s="468"/>
      <c r="AA275" s="468"/>
      <c r="AB275" s="468"/>
      <c r="AC275" s="468"/>
      <c r="AD275" s="468"/>
      <c r="AE275" s="468"/>
      <c r="AF275" s="468"/>
      <c r="AG275" s="468"/>
      <c r="AH275" s="468"/>
      <c r="AI275" s="468"/>
      <c r="AJ275" s="468"/>
    </row>
    <row r="276" spans="1:36" ht="18" customHeight="1" x14ac:dyDescent="0.35">
      <c r="A276" s="468"/>
      <c r="B276" s="468"/>
      <c r="C276" s="468"/>
      <c r="D276" s="468"/>
      <c r="E276" s="468"/>
      <c r="F276" s="468"/>
      <c r="G276" s="468"/>
      <c r="H276" s="468"/>
      <c r="I276" s="468"/>
      <c r="J276" s="468"/>
      <c r="K276" s="468"/>
      <c r="L276" s="468"/>
      <c r="M276" s="468"/>
      <c r="N276" s="468"/>
      <c r="O276" s="468"/>
      <c r="P276" s="468"/>
      <c r="Q276" s="468"/>
      <c r="R276" s="468"/>
      <c r="S276" s="468"/>
      <c r="T276" s="468"/>
      <c r="U276" s="468"/>
      <c r="V276" s="468"/>
      <c r="W276" s="468"/>
      <c r="X276" s="468"/>
      <c r="Y276" s="468"/>
      <c r="Z276" s="468"/>
      <c r="AA276" s="468"/>
      <c r="AB276" s="468"/>
      <c r="AC276" s="468"/>
      <c r="AD276" s="468"/>
      <c r="AE276" s="468"/>
      <c r="AF276" s="468"/>
      <c r="AG276" s="468"/>
      <c r="AH276" s="468"/>
      <c r="AI276" s="468"/>
      <c r="AJ276" s="468"/>
    </row>
    <row r="277" spans="1:36" ht="18" customHeight="1" x14ac:dyDescent="0.35">
      <c r="A277" s="468"/>
      <c r="B277" s="468"/>
      <c r="C277" s="468"/>
      <c r="D277" s="468"/>
      <c r="E277" s="468"/>
      <c r="F277" s="468"/>
      <c r="G277" s="468"/>
      <c r="H277" s="468"/>
      <c r="I277" s="468"/>
      <c r="J277" s="468"/>
      <c r="K277" s="468"/>
      <c r="L277" s="468"/>
      <c r="M277" s="468"/>
      <c r="N277" s="468"/>
      <c r="O277" s="468"/>
      <c r="P277" s="468"/>
      <c r="Q277" s="468"/>
      <c r="R277" s="468"/>
      <c r="S277" s="468"/>
      <c r="T277" s="468"/>
      <c r="U277" s="468"/>
      <c r="V277" s="468"/>
      <c r="W277" s="468"/>
      <c r="X277" s="468"/>
      <c r="Y277" s="468"/>
      <c r="Z277" s="468"/>
      <c r="AA277" s="468"/>
      <c r="AB277" s="468"/>
      <c r="AC277" s="468"/>
      <c r="AD277" s="468"/>
      <c r="AE277" s="468"/>
      <c r="AF277" s="468"/>
      <c r="AG277" s="468"/>
      <c r="AH277" s="468"/>
      <c r="AI277" s="468"/>
      <c r="AJ277" s="468"/>
    </row>
    <row r="278" spans="1:36" ht="18" customHeight="1" x14ac:dyDescent="0.35">
      <c r="A278" s="468"/>
      <c r="B278" s="468"/>
      <c r="C278" s="468"/>
      <c r="D278" s="468"/>
      <c r="E278" s="468"/>
      <c r="F278" s="468"/>
      <c r="G278" s="468"/>
      <c r="H278" s="468"/>
      <c r="I278" s="468"/>
      <c r="J278" s="468"/>
      <c r="K278" s="468"/>
      <c r="L278" s="468"/>
      <c r="M278" s="468"/>
      <c r="N278" s="468"/>
      <c r="O278" s="468"/>
      <c r="P278" s="468"/>
      <c r="Q278" s="468"/>
      <c r="R278" s="468"/>
      <c r="S278" s="468"/>
      <c r="T278" s="468"/>
      <c r="U278" s="468"/>
      <c r="V278" s="468"/>
      <c r="W278" s="468"/>
      <c r="X278" s="468"/>
      <c r="Y278" s="468"/>
      <c r="Z278" s="468"/>
      <c r="AA278" s="468"/>
      <c r="AB278" s="468"/>
      <c r="AC278" s="468"/>
      <c r="AD278" s="468"/>
      <c r="AE278" s="468"/>
      <c r="AF278" s="468"/>
      <c r="AG278" s="468"/>
      <c r="AH278" s="468"/>
      <c r="AI278" s="468"/>
      <c r="AJ278" s="468"/>
    </row>
    <row r="279" spans="1:36" ht="18" customHeight="1" x14ac:dyDescent="0.35">
      <c r="A279" s="468"/>
      <c r="B279" s="468"/>
      <c r="C279" s="468"/>
      <c r="D279" s="468"/>
      <c r="E279" s="468"/>
      <c r="F279" s="468"/>
      <c r="G279" s="468"/>
      <c r="H279" s="468"/>
      <c r="I279" s="468"/>
      <c r="J279" s="468"/>
      <c r="K279" s="468"/>
      <c r="L279" s="468"/>
      <c r="M279" s="468"/>
      <c r="N279" s="468"/>
      <c r="O279" s="468"/>
      <c r="P279" s="468"/>
      <c r="Q279" s="468"/>
      <c r="R279" s="468"/>
      <c r="S279" s="468"/>
      <c r="T279" s="468"/>
      <c r="U279" s="468"/>
      <c r="V279" s="468"/>
      <c r="W279" s="468"/>
      <c r="X279" s="468"/>
      <c r="Y279" s="468"/>
      <c r="Z279" s="468"/>
      <c r="AA279" s="468"/>
      <c r="AB279" s="468"/>
      <c r="AC279" s="468"/>
      <c r="AD279" s="468"/>
      <c r="AE279" s="468"/>
      <c r="AF279" s="468"/>
      <c r="AG279" s="468"/>
      <c r="AH279" s="468"/>
      <c r="AI279" s="468"/>
      <c r="AJ279" s="468"/>
    </row>
    <row r="280" spans="1:36" ht="18" customHeight="1" x14ac:dyDescent="0.35">
      <c r="A280" s="468"/>
      <c r="B280" s="468"/>
      <c r="C280" s="468"/>
      <c r="D280" s="468"/>
      <c r="E280" s="468"/>
      <c r="F280" s="468"/>
      <c r="G280" s="468"/>
      <c r="H280" s="468"/>
      <c r="I280" s="468"/>
      <c r="J280" s="468"/>
      <c r="K280" s="468"/>
      <c r="L280" s="468"/>
      <c r="M280" s="468"/>
      <c r="N280" s="468"/>
      <c r="O280" s="468"/>
      <c r="P280" s="468"/>
      <c r="Q280" s="468"/>
      <c r="R280" s="468"/>
      <c r="S280" s="468"/>
      <c r="T280" s="468"/>
      <c r="U280" s="468"/>
      <c r="V280" s="468"/>
      <c r="W280" s="468"/>
      <c r="X280" s="468"/>
      <c r="Y280" s="468"/>
      <c r="Z280" s="468"/>
      <c r="AA280" s="468"/>
      <c r="AB280" s="468"/>
      <c r="AC280" s="468"/>
      <c r="AD280" s="468"/>
      <c r="AE280" s="468"/>
      <c r="AF280" s="468"/>
      <c r="AG280" s="468"/>
      <c r="AH280" s="468"/>
      <c r="AI280" s="468"/>
      <c r="AJ280" s="468"/>
    </row>
    <row r="281" spans="1:36" ht="18" customHeight="1" x14ac:dyDescent="0.35">
      <c r="A281" s="468"/>
      <c r="B281" s="468"/>
      <c r="C281" s="468"/>
      <c r="D281" s="468"/>
      <c r="E281" s="468"/>
      <c r="F281" s="468"/>
      <c r="G281" s="468"/>
      <c r="H281" s="468"/>
      <c r="I281" s="468"/>
      <c r="J281" s="468"/>
      <c r="K281" s="468"/>
      <c r="L281" s="468"/>
      <c r="M281" s="468"/>
      <c r="N281" s="468"/>
      <c r="O281" s="468"/>
      <c r="P281" s="468"/>
      <c r="Q281" s="468"/>
      <c r="R281" s="468"/>
      <c r="S281" s="468"/>
      <c r="T281" s="468"/>
      <c r="U281" s="468"/>
      <c r="V281" s="468"/>
      <c r="W281" s="468"/>
      <c r="X281" s="468"/>
      <c r="Y281" s="468"/>
      <c r="Z281" s="468"/>
      <c r="AA281" s="468"/>
      <c r="AB281" s="468"/>
      <c r="AC281" s="468"/>
      <c r="AD281" s="468"/>
      <c r="AE281" s="468"/>
      <c r="AF281" s="468"/>
      <c r="AG281" s="468"/>
      <c r="AH281" s="468"/>
      <c r="AI281" s="468"/>
      <c r="AJ281" s="468"/>
    </row>
    <row r="282" spans="1:36" ht="18" customHeight="1" x14ac:dyDescent="0.35">
      <c r="A282" s="468"/>
      <c r="B282" s="468"/>
      <c r="C282" s="468"/>
      <c r="D282" s="468"/>
      <c r="E282" s="468"/>
      <c r="F282" s="468"/>
      <c r="G282" s="468"/>
      <c r="H282" s="468"/>
      <c r="I282" s="468"/>
      <c r="J282" s="468"/>
      <c r="K282" s="468"/>
      <c r="L282" s="468"/>
      <c r="M282" s="468"/>
      <c r="N282" s="468"/>
      <c r="O282" s="468"/>
      <c r="P282" s="468"/>
      <c r="Q282" s="468"/>
      <c r="R282" s="468"/>
      <c r="S282" s="468"/>
      <c r="T282" s="468"/>
      <c r="U282" s="468"/>
      <c r="V282" s="468"/>
      <c r="W282" s="468"/>
      <c r="X282" s="468"/>
      <c r="Y282" s="468"/>
      <c r="Z282" s="468"/>
      <c r="AA282" s="468"/>
      <c r="AB282" s="468"/>
      <c r="AC282" s="468"/>
      <c r="AD282" s="468"/>
      <c r="AE282" s="468"/>
      <c r="AF282" s="468"/>
      <c r="AG282" s="468"/>
      <c r="AH282" s="468"/>
      <c r="AI282" s="468"/>
      <c r="AJ282" s="468"/>
    </row>
    <row r="283" spans="1:36" ht="18" customHeight="1" x14ac:dyDescent="0.35">
      <c r="A283" s="468"/>
      <c r="B283" s="468"/>
      <c r="C283" s="468"/>
      <c r="D283" s="468"/>
      <c r="E283" s="468"/>
      <c r="F283" s="468"/>
      <c r="G283" s="468"/>
      <c r="H283" s="468"/>
      <c r="I283" s="468"/>
      <c r="J283" s="468"/>
      <c r="K283" s="468"/>
      <c r="L283" s="468"/>
      <c r="M283" s="468"/>
      <c r="N283" s="468"/>
      <c r="O283" s="468"/>
      <c r="P283" s="468"/>
      <c r="Q283" s="468"/>
      <c r="R283" s="468"/>
      <c r="S283" s="468"/>
      <c r="T283" s="468"/>
      <c r="U283" s="468"/>
      <c r="V283" s="468"/>
      <c r="W283" s="468"/>
      <c r="X283" s="468"/>
      <c r="Y283" s="468"/>
      <c r="Z283" s="468"/>
      <c r="AA283" s="468"/>
      <c r="AB283" s="468"/>
      <c r="AC283" s="468"/>
      <c r="AD283" s="468"/>
      <c r="AE283" s="468"/>
      <c r="AF283" s="468"/>
      <c r="AG283" s="468"/>
      <c r="AH283" s="468"/>
      <c r="AI283" s="468"/>
      <c r="AJ283" s="468"/>
    </row>
    <row r="284" spans="1:36" ht="18" customHeight="1" x14ac:dyDescent="0.35">
      <c r="A284" s="468"/>
      <c r="B284" s="468"/>
      <c r="C284" s="468"/>
      <c r="D284" s="468"/>
      <c r="E284" s="468"/>
      <c r="F284" s="468"/>
      <c r="G284" s="468"/>
      <c r="H284" s="468"/>
      <c r="I284" s="468"/>
      <c r="J284" s="468"/>
      <c r="K284" s="468"/>
      <c r="L284" s="468"/>
      <c r="M284" s="468"/>
      <c r="N284" s="468"/>
      <c r="O284" s="468"/>
      <c r="P284" s="468"/>
      <c r="Q284" s="468"/>
      <c r="R284" s="468"/>
      <c r="S284" s="468"/>
      <c r="T284" s="468"/>
      <c r="U284" s="468"/>
      <c r="V284" s="468"/>
      <c r="W284" s="468"/>
      <c r="X284" s="468"/>
      <c r="Y284" s="468"/>
      <c r="Z284" s="468"/>
      <c r="AA284" s="468"/>
      <c r="AB284" s="468"/>
      <c r="AC284" s="468"/>
      <c r="AD284" s="468"/>
      <c r="AE284" s="468"/>
      <c r="AF284" s="468"/>
      <c r="AG284" s="468"/>
      <c r="AH284" s="468"/>
      <c r="AI284" s="468"/>
      <c r="AJ284" s="468"/>
    </row>
    <row r="285" spans="1:36" ht="18" customHeight="1" x14ac:dyDescent="0.35">
      <c r="A285" s="468"/>
      <c r="B285" s="468"/>
      <c r="C285" s="468"/>
      <c r="D285" s="468"/>
      <c r="E285" s="468"/>
      <c r="F285" s="468"/>
      <c r="G285" s="468"/>
      <c r="H285" s="468"/>
      <c r="I285" s="468"/>
      <c r="J285" s="468"/>
      <c r="K285" s="468"/>
      <c r="L285" s="468"/>
      <c r="M285" s="468"/>
      <c r="N285" s="468"/>
      <c r="O285" s="468"/>
      <c r="P285" s="468"/>
      <c r="Q285" s="468"/>
      <c r="R285" s="468"/>
      <c r="S285" s="468"/>
      <c r="T285" s="468"/>
      <c r="U285" s="468"/>
      <c r="V285" s="468"/>
      <c r="W285" s="468"/>
      <c r="X285" s="468"/>
      <c r="Y285" s="468"/>
      <c r="Z285" s="468"/>
      <c r="AA285" s="468"/>
      <c r="AB285" s="468"/>
      <c r="AC285" s="468"/>
      <c r="AD285" s="468"/>
      <c r="AE285" s="468"/>
      <c r="AF285" s="468"/>
      <c r="AG285" s="468"/>
      <c r="AH285" s="468"/>
      <c r="AI285" s="468"/>
      <c r="AJ285" s="468"/>
    </row>
    <row r="286" spans="1:36" ht="18" customHeight="1" x14ac:dyDescent="0.35">
      <c r="A286" s="468"/>
      <c r="B286" s="468"/>
      <c r="C286" s="468"/>
      <c r="D286" s="468"/>
      <c r="E286" s="468"/>
      <c r="F286" s="468"/>
      <c r="G286" s="468"/>
      <c r="H286" s="468"/>
      <c r="I286" s="468"/>
      <c r="J286" s="468"/>
      <c r="K286" s="468"/>
      <c r="L286" s="468"/>
      <c r="M286" s="468"/>
      <c r="N286" s="468"/>
      <c r="O286" s="468"/>
      <c r="P286" s="468"/>
      <c r="Q286" s="468"/>
      <c r="R286" s="468"/>
      <c r="S286" s="468"/>
      <c r="T286" s="468"/>
      <c r="U286" s="468"/>
      <c r="V286" s="468"/>
      <c r="W286" s="468"/>
      <c r="X286" s="468"/>
      <c r="Y286" s="468"/>
      <c r="Z286" s="468"/>
      <c r="AA286" s="468"/>
      <c r="AB286" s="468"/>
      <c r="AC286" s="468"/>
      <c r="AD286" s="468"/>
      <c r="AE286" s="468"/>
      <c r="AF286" s="468"/>
      <c r="AG286" s="468"/>
      <c r="AH286" s="468"/>
      <c r="AI286" s="468"/>
      <c r="AJ286" s="468"/>
    </row>
    <row r="287" spans="1:36" ht="18" customHeight="1" x14ac:dyDescent="0.35">
      <c r="A287" s="468"/>
      <c r="B287" s="468"/>
      <c r="C287" s="468"/>
      <c r="D287" s="468"/>
      <c r="E287" s="468"/>
      <c r="F287" s="468"/>
      <c r="G287" s="468"/>
      <c r="H287" s="468"/>
      <c r="I287" s="468"/>
      <c r="J287" s="468"/>
      <c r="K287" s="468"/>
      <c r="L287" s="468"/>
      <c r="M287" s="468"/>
      <c r="N287" s="468"/>
      <c r="O287" s="468"/>
      <c r="P287" s="468"/>
      <c r="Q287" s="468"/>
      <c r="R287" s="468"/>
      <c r="S287" s="468"/>
      <c r="T287" s="468"/>
      <c r="U287" s="468"/>
      <c r="V287" s="468"/>
      <c r="W287" s="468"/>
      <c r="X287" s="468"/>
      <c r="Y287" s="468"/>
      <c r="Z287" s="468"/>
      <c r="AA287" s="468"/>
      <c r="AB287" s="468"/>
      <c r="AC287" s="468"/>
      <c r="AD287" s="468"/>
      <c r="AE287" s="468"/>
      <c r="AF287" s="468"/>
      <c r="AG287" s="468"/>
      <c r="AH287" s="468"/>
      <c r="AI287" s="468"/>
      <c r="AJ287" s="468"/>
    </row>
    <row r="288" spans="1:36" ht="18" customHeight="1" x14ac:dyDescent="0.35">
      <c r="A288" s="468"/>
      <c r="B288" s="468"/>
      <c r="C288" s="468"/>
      <c r="D288" s="468"/>
      <c r="E288" s="468"/>
      <c r="F288" s="468"/>
      <c r="G288" s="468"/>
      <c r="H288" s="468"/>
      <c r="I288" s="468"/>
      <c r="J288" s="468"/>
      <c r="K288" s="468"/>
      <c r="L288" s="468"/>
      <c r="M288" s="468"/>
      <c r="N288" s="468"/>
      <c r="O288" s="468"/>
      <c r="P288" s="468"/>
      <c r="Q288" s="468"/>
      <c r="R288" s="468"/>
      <c r="S288" s="468"/>
      <c r="T288" s="468"/>
      <c r="U288" s="468"/>
      <c r="V288" s="468"/>
      <c r="W288" s="468"/>
      <c r="X288" s="468"/>
      <c r="Y288" s="468"/>
      <c r="Z288" s="468"/>
      <c r="AA288" s="468"/>
      <c r="AB288" s="468"/>
      <c r="AC288" s="468"/>
      <c r="AD288" s="468"/>
      <c r="AE288" s="468"/>
      <c r="AF288" s="468"/>
      <c r="AG288" s="468"/>
      <c r="AH288" s="468"/>
      <c r="AI288" s="468"/>
      <c r="AJ288" s="468"/>
    </row>
    <row r="289" spans="1:36" ht="18" customHeight="1" x14ac:dyDescent="0.35">
      <c r="A289" s="468"/>
      <c r="B289" s="468"/>
      <c r="C289" s="468"/>
      <c r="D289" s="468"/>
      <c r="E289" s="468"/>
      <c r="F289" s="468"/>
      <c r="G289" s="468"/>
      <c r="H289" s="468"/>
      <c r="I289" s="468"/>
      <c r="J289" s="468"/>
      <c r="K289" s="468"/>
      <c r="L289" s="468"/>
      <c r="M289" s="468"/>
      <c r="N289" s="468"/>
      <c r="O289" s="468"/>
      <c r="P289" s="468"/>
      <c r="Q289" s="468"/>
      <c r="R289" s="468"/>
      <c r="S289" s="468"/>
      <c r="T289" s="468"/>
      <c r="U289" s="468"/>
      <c r="V289" s="468"/>
      <c r="W289" s="468"/>
      <c r="X289" s="468"/>
      <c r="Y289" s="468"/>
      <c r="Z289" s="468"/>
      <c r="AA289" s="468"/>
      <c r="AB289" s="468"/>
      <c r="AC289" s="468"/>
      <c r="AD289" s="468"/>
      <c r="AE289" s="468"/>
      <c r="AF289" s="468"/>
      <c r="AG289" s="468"/>
      <c r="AH289" s="468"/>
      <c r="AI289" s="468"/>
      <c r="AJ289" s="468"/>
    </row>
    <row r="290" spans="1:36" ht="18" customHeight="1" x14ac:dyDescent="0.35">
      <c r="A290" s="468"/>
      <c r="B290" s="468"/>
      <c r="C290" s="468"/>
      <c r="D290" s="468"/>
      <c r="E290" s="468"/>
      <c r="F290" s="468"/>
      <c r="G290" s="468"/>
      <c r="H290" s="468"/>
      <c r="I290" s="468"/>
      <c r="J290" s="468"/>
      <c r="K290" s="468"/>
      <c r="L290" s="468"/>
      <c r="M290" s="468"/>
      <c r="N290" s="468"/>
      <c r="O290" s="468"/>
      <c r="P290" s="468"/>
      <c r="Q290" s="468"/>
      <c r="R290" s="468"/>
      <c r="S290" s="468"/>
      <c r="T290" s="468"/>
      <c r="U290" s="468"/>
      <c r="V290" s="468"/>
      <c r="W290" s="468"/>
      <c r="X290" s="468"/>
      <c r="Y290" s="468"/>
      <c r="Z290" s="468"/>
      <c r="AA290" s="468"/>
      <c r="AB290" s="468"/>
      <c r="AC290" s="468"/>
      <c r="AD290" s="468"/>
      <c r="AE290" s="468"/>
      <c r="AF290" s="468"/>
      <c r="AG290" s="468"/>
      <c r="AH290" s="468"/>
      <c r="AI290" s="468"/>
      <c r="AJ290" s="468"/>
    </row>
    <row r="291" spans="1:36" ht="18" customHeight="1" x14ac:dyDescent="0.35">
      <c r="A291" s="468"/>
      <c r="B291" s="468"/>
      <c r="C291" s="468"/>
      <c r="D291" s="468"/>
      <c r="E291" s="468"/>
      <c r="F291" s="468"/>
      <c r="G291" s="468"/>
      <c r="H291" s="468"/>
      <c r="I291" s="468"/>
      <c r="J291" s="468"/>
      <c r="K291" s="468"/>
      <c r="L291" s="468"/>
      <c r="M291" s="468"/>
      <c r="N291" s="468"/>
      <c r="O291" s="468"/>
      <c r="P291" s="468"/>
      <c r="Q291" s="468"/>
      <c r="R291" s="468"/>
      <c r="S291" s="468"/>
      <c r="T291" s="468"/>
      <c r="U291" s="468"/>
      <c r="V291" s="468"/>
      <c r="W291" s="468"/>
      <c r="X291" s="468"/>
      <c r="Y291" s="468"/>
      <c r="Z291" s="468"/>
      <c r="AA291" s="468"/>
      <c r="AB291" s="468"/>
      <c r="AC291" s="468"/>
      <c r="AD291" s="468"/>
      <c r="AE291" s="468"/>
      <c r="AF291" s="468"/>
      <c r="AG291" s="468"/>
      <c r="AH291" s="468"/>
      <c r="AI291" s="468"/>
      <c r="AJ291" s="468"/>
    </row>
    <row r="292" spans="1:36" ht="18" customHeight="1" x14ac:dyDescent="0.35">
      <c r="A292" s="468"/>
      <c r="B292" s="468"/>
      <c r="C292" s="468"/>
      <c r="D292" s="468"/>
      <c r="E292" s="468"/>
      <c r="F292" s="468"/>
      <c r="G292" s="468"/>
      <c r="H292" s="468"/>
      <c r="I292" s="468"/>
      <c r="J292" s="468"/>
      <c r="K292" s="468"/>
      <c r="L292" s="468"/>
      <c r="M292" s="468"/>
      <c r="N292" s="468"/>
      <c r="O292" s="468"/>
      <c r="P292" s="468"/>
      <c r="Q292" s="468"/>
      <c r="R292" s="468"/>
      <c r="S292" s="468"/>
      <c r="T292" s="468"/>
      <c r="U292" s="468"/>
      <c r="V292" s="468"/>
      <c r="W292" s="468"/>
      <c r="X292" s="468"/>
      <c r="Y292" s="468"/>
      <c r="Z292" s="468"/>
      <c r="AA292" s="468"/>
      <c r="AB292" s="468"/>
      <c r="AC292" s="468"/>
      <c r="AD292" s="468"/>
      <c r="AE292" s="468"/>
      <c r="AF292" s="468"/>
      <c r="AG292" s="468"/>
      <c r="AH292" s="468"/>
      <c r="AI292" s="468"/>
      <c r="AJ292" s="468"/>
    </row>
    <row r="293" spans="1:36" ht="18" customHeight="1" x14ac:dyDescent="0.35">
      <c r="A293" s="468"/>
      <c r="B293" s="468"/>
      <c r="C293" s="468"/>
      <c r="D293" s="468"/>
      <c r="E293" s="468"/>
      <c r="F293" s="468"/>
      <c r="G293" s="468"/>
      <c r="H293" s="468"/>
      <c r="I293" s="468"/>
      <c r="J293" s="468"/>
      <c r="K293" s="468"/>
      <c r="L293" s="468"/>
      <c r="M293" s="468"/>
      <c r="N293" s="468"/>
      <c r="O293" s="468"/>
      <c r="P293" s="468"/>
      <c r="Q293" s="468"/>
      <c r="R293" s="468"/>
      <c r="S293" s="468"/>
      <c r="T293" s="468"/>
      <c r="U293" s="468"/>
      <c r="V293" s="468"/>
      <c r="W293" s="468"/>
      <c r="X293" s="468"/>
      <c r="Y293" s="468"/>
      <c r="Z293" s="468"/>
      <c r="AA293" s="468"/>
      <c r="AB293" s="468"/>
      <c r="AC293" s="468"/>
      <c r="AD293" s="468"/>
      <c r="AE293" s="468"/>
      <c r="AF293" s="468"/>
      <c r="AG293" s="468"/>
      <c r="AH293" s="468"/>
      <c r="AI293" s="468"/>
      <c r="AJ293" s="468"/>
    </row>
    <row r="294" spans="1:36" ht="18" customHeight="1" x14ac:dyDescent="0.35">
      <c r="A294" s="468"/>
      <c r="B294" s="468"/>
      <c r="C294" s="468"/>
      <c r="D294" s="468"/>
      <c r="E294" s="468"/>
      <c r="F294" s="468"/>
      <c r="G294" s="468"/>
      <c r="H294" s="468"/>
      <c r="I294" s="468"/>
      <c r="J294" s="468"/>
      <c r="K294" s="468"/>
      <c r="L294" s="468"/>
      <c r="M294" s="468"/>
      <c r="N294" s="468"/>
      <c r="O294" s="468"/>
      <c r="P294" s="468"/>
      <c r="Q294" s="468"/>
      <c r="R294" s="468"/>
      <c r="S294" s="468"/>
      <c r="T294" s="468"/>
      <c r="U294" s="468"/>
      <c r="V294" s="468"/>
      <c r="W294" s="468"/>
      <c r="X294" s="468"/>
      <c r="Y294" s="468"/>
      <c r="Z294" s="468"/>
      <c r="AA294" s="468"/>
      <c r="AB294" s="468"/>
      <c r="AC294" s="468"/>
      <c r="AD294" s="468"/>
      <c r="AE294" s="468"/>
      <c r="AF294" s="468"/>
      <c r="AG294" s="468"/>
      <c r="AH294" s="468"/>
      <c r="AI294" s="468"/>
      <c r="AJ294" s="468"/>
    </row>
    <row r="295" spans="1:36" ht="18" customHeight="1" x14ac:dyDescent="0.35">
      <c r="A295" s="468"/>
      <c r="B295" s="468"/>
      <c r="C295" s="468"/>
      <c r="D295" s="468"/>
      <c r="E295" s="468"/>
      <c r="F295" s="468"/>
      <c r="G295" s="468"/>
      <c r="H295" s="468"/>
      <c r="I295" s="468"/>
      <c r="J295" s="468"/>
      <c r="K295" s="468"/>
      <c r="L295" s="468"/>
      <c r="M295" s="468"/>
      <c r="N295" s="468"/>
      <c r="O295" s="468"/>
      <c r="P295" s="468"/>
      <c r="Q295" s="468"/>
      <c r="R295" s="468"/>
      <c r="S295" s="468"/>
      <c r="T295" s="468"/>
      <c r="U295" s="468"/>
      <c r="V295" s="468"/>
      <c r="W295" s="468"/>
      <c r="X295" s="468"/>
      <c r="Y295" s="468"/>
      <c r="Z295" s="468"/>
      <c r="AA295" s="468"/>
      <c r="AB295" s="468"/>
      <c r="AC295" s="468"/>
      <c r="AD295" s="468"/>
      <c r="AE295" s="468"/>
      <c r="AF295" s="468"/>
      <c r="AG295" s="468"/>
      <c r="AH295" s="468"/>
      <c r="AI295" s="468"/>
      <c r="AJ295" s="468"/>
    </row>
    <row r="296" spans="1:36" ht="18" customHeight="1" x14ac:dyDescent="0.35">
      <c r="A296" s="468"/>
      <c r="B296" s="468"/>
      <c r="C296" s="468"/>
      <c r="D296" s="468"/>
      <c r="E296" s="468"/>
      <c r="F296" s="468"/>
      <c r="G296" s="468"/>
      <c r="H296" s="468"/>
      <c r="I296" s="468"/>
      <c r="J296" s="468"/>
      <c r="K296" s="468"/>
      <c r="L296" s="468"/>
      <c r="M296" s="468"/>
      <c r="N296" s="468"/>
      <c r="O296" s="468"/>
      <c r="P296" s="468"/>
      <c r="Q296" s="468"/>
      <c r="R296" s="468"/>
      <c r="S296" s="468"/>
      <c r="T296" s="468"/>
      <c r="U296" s="468"/>
      <c r="V296" s="468"/>
      <c r="W296" s="468"/>
      <c r="X296" s="468"/>
      <c r="Y296" s="468"/>
      <c r="Z296" s="468"/>
      <c r="AA296" s="468"/>
      <c r="AB296" s="468"/>
      <c r="AC296" s="468"/>
      <c r="AD296" s="468"/>
      <c r="AE296" s="468"/>
      <c r="AF296" s="468"/>
      <c r="AG296" s="468"/>
      <c r="AH296" s="468"/>
      <c r="AI296" s="468"/>
      <c r="AJ296" s="468"/>
    </row>
    <row r="297" spans="1:36" ht="18" customHeight="1" x14ac:dyDescent="0.35">
      <c r="A297" s="468"/>
      <c r="B297" s="468"/>
      <c r="C297" s="468"/>
      <c r="D297" s="468"/>
      <c r="E297" s="468"/>
      <c r="F297" s="468"/>
      <c r="G297" s="468"/>
      <c r="H297" s="468"/>
      <c r="I297" s="468"/>
      <c r="J297" s="468"/>
      <c r="K297" s="468"/>
      <c r="L297" s="468"/>
      <c r="M297" s="468"/>
      <c r="N297" s="468"/>
      <c r="O297" s="468"/>
      <c r="P297" s="468"/>
      <c r="Q297" s="468"/>
      <c r="R297" s="468"/>
      <c r="S297" s="468"/>
      <c r="T297" s="468"/>
      <c r="U297" s="468"/>
      <c r="V297" s="468"/>
      <c r="W297" s="468"/>
      <c r="X297" s="468"/>
      <c r="Y297" s="468"/>
      <c r="Z297" s="468"/>
      <c r="AA297" s="468"/>
      <c r="AB297" s="468"/>
      <c r="AC297" s="468"/>
      <c r="AD297" s="468"/>
      <c r="AE297" s="468"/>
      <c r="AF297" s="468"/>
      <c r="AG297" s="468"/>
      <c r="AH297" s="468"/>
      <c r="AI297" s="468"/>
      <c r="AJ297" s="468"/>
    </row>
    <row r="298" spans="1:36" ht="18" customHeight="1" x14ac:dyDescent="0.35">
      <c r="A298" s="468"/>
      <c r="B298" s="468"/>
      <c r="C298" s="468"/>
      <c r="D298" s="468"/>
      <c r="E298" s="468"/>
      <c r="F298" s="468"/>
      <c r="G298" s="468"/>
      <c r="H298" s="468"/>
      <c r="I298" s="468"/>
      <c r="J298" s="468"/>
      <c r="K298" s="468"/>
      <c r="L298" s="468"/>
      <c r="M298" s="468"/>
      <c r="N298" s="468"/>
      <c r="O298" s="468"/>
      <c r="P298" s="468"/>
      <c r="Q298" s="468"/>
      <c r="R298" s="468"/>
      <c r="S298" s="468"/>
      <c r="T298" s="468"/>
      <c r="U298" s="468"/>
      <c r="V298" s="468"/>
      <c r="W298" s="468"/>
      <c r="X298" s="468"/>
      <c r="Y298" s="468"/>
      <c r="Z298" s="468"/>
      <c r="AA298" s="468"/>
      <c r="AB298" s="468"/>
      <c r="AC298" s="468"/>
      <c r="AD298" s="468"/>
      <c r="AE298" s="468"/>
      <c r="AF298" s="468"/>
      <c r="AG298" s="468"/>
      <c r="AH298" s="468"/>
      <c r="AI298" s="468"/>
      <c r="AJ298" s="468"/>
    </row>
    <row r="299" spans="1:36" ht="18" customHeight="1" x14ac:dyDescent="0.35">
      <c r="A299" s="468"/>
      <c r="B299" s="468"/>
      <c r="C299" s="468"/>
      <c r="D299" s="468"/>
      <c r="E299" s="468"/>
      <c r="F299" s="468"/>
      <c r="G299" s="468"/>
      <c r="H299" s="468"/>
      <c r="I299" s="468"/>
      <c r="J299" s="468"/>
      <c r="K299" s="468"/>
      <c r="L299" s="468"/>
      <c r="M299" s="468"/>
      <c r="N299" s="468"/>
      <c r="O299" s="468"/>
      <c r="P299" s="468"/>
      <c r="Q299" s="468"/>
      <c r="R299" s="468"/>
      <c r="S299" s="468"/>
      <c r="T299" s="468"/>
      <c r="U299" s="468"/>
      <c r="V299" s="468"/>
      <c r="W299" s="468"/>
      <c r="X299" s="468"/>
      <c r="Y299" s="468"/>
      <c r="Z299" s="468"/>
      <c r="AA299" s="468"/>
      <c r="AB299" s="468"/>
      <c r="AC299" s="468"/>
      <c r="AD299" s="468"/>
      <c r="AE299" s="468"/>
      <c r="AF299" s="468"/>
      <c r="AG299" s="468"/>
      <c r="AH299" s="468"/>
      <c r="AI299" s="468"/>
      <c r="AJ299" s="468"/>
    </row>
    <row r="300" spans="1:36" ht="18" customHeight="1" x14ac:dyDescent="0.35">
      <c r="A300" s="468"/>
      <c r="B300" s="468"/>
      <c r="C300" s="468"/>
      <c r="D300" s="468"/>
      <c r="E300" s="468"/>
      <c r="F300" s="468"/>
      <c r="G300" s="468"/>
      <c r="H300" s="468"/>
      <c r="I300" s="468"/>
      <c r="J300" s="468"/>
      <c r="K300" s="468"/>
      <c r="L300" s="468"/>
      <c r="M300" s="468"/>
      <c r="N300" s="468"/>
      <c r="O300" s="468"/>
      <c r="P300" s="468"/>
      <c r="Q300" s="468"/>
      <c r="R300" s="468"/>
      <c r="S300" s="468"/>
      <c r="T300" s="468"/>
      <c r="U300" s="468"/>
      <c r="V300" s="468"/>
      <c r="W300" s="468"/>
      <c r="X300" s="468"/>
      <c r="Y300" s="468"/>
      <c r="Z300" s="468"/>
      <c r="AA300" s="468"/>
      <c r="AB300" s="468"/>
      <c r="AC300" s="468"/>
      <c r="AD300" s="468"/>
      <c r="AE300" s="468"/>
      <c r="AF300" s="468"/>
      <c r="AG300" s="468"/>
      <c r="AH300" s="468"/>
      <c r="AI300" s="468"/>
      <c r="AJ300" s="468"/>
    </row>
    <row r="301" spans="1:36" ht="18" customHeight="1" x14ac:dyDescent="0.35">
      <c r="A301" s="468"/>
      <c r="B301" s="468"/>
      <c r="C301" s="468"/>
      <c r="D301" s="468"/>
      <c r="E301" s="468"/>
      <c r="F301" s="468"/>
      <c r="G301" s="468"/>
      <c r="H301" s="468"/>
      <c r="I301" s="468"/>
      <c r="J301" s="468"/>
      <c r="K301" s="468"/>
      <c r="L301" s="468"/>
      <c r="M301" s="468"/>
      <c r="N301" s="468"/>
      <c r="O301" s="468"/>
      <c r="P301" s="468"/>
      <c r="Q301" s="468"/>
      <c r="R301" s="468"/>
      <c r="S301" s="468"/>
      <c r="T301" s="468"/>
      <c r="U301" s="468"/>
      <c r="V301" s="468"/>
      <c r="W301" s="468"/>
      <c r="X301" s="468"/>
      <c r="Y301" s="468"/>
      <c r="Z301" s="468"/>
      <c r="AA301" s="468"/>
      <c r="AB301" s="468"/>
      <c r="AC301" s="468"/>
      <c r="AD301" s="468"/>
      <c r="AE301" s="468"/>
      <c r="AF301" s="468"/>
      <c r="AG301" s="468"/>
      <c r="AH301" s="468"/>
      <c r="AI301" s="468"/>
      <c r="AJ301" s="468"/>
    </row>
    <row r="302" spans="1:36" ht="18" customHeight="1" x14ac:dyDescent="0.35">
      <c r="A302" s="468"/>
      <c r="B302" s="468"/>
      <c r="C302" s="468"/>
      <c r="D302" s="468"/>
      <c r="E302" s="468"/>
      <c r="F302" s="468"/>
      <c r="G302" s="468"/>
      <c r="H302" s="468"/>
      <c r="I302" s="468"/>
      <c r="J302" s="468"/>
      <c r="K302" s="468"/>
      <c r="L302" s="468"/>
      <c r="M302" s="468"/>
      <c r="N302" s="468"/>
      <c r="O302" s="468"/>
      <c r="P302" s="468"/>
      <c r="Q302" s="468"/>
      <c r="R302" s="468"/>
      <c r="S302" s="468"/>
      <c r="T302" s="468"/>
      <c r="U302" s="468"/>
      <c r="V302" s="468"/>
      <c r="W302" s="468"/>
      <c r="X302" s="468"/>
      <c r="Y302" s="468"/>
      <c r="Z302" s="468"/>
      <c r="AA302" s="468"/>
      <c r="AB302" s="468"/>
      <c r="AC302" s="468"/>
      <c r="AD302" s="468"/>
      <c r="AE302" s="468"/>
      <c r="AF302" s="468"/>
      <c r="AG302" s="468"/>
      <c r="AH302" s="468"/>
      <c r="AI302" s="468"/>
      <c r="AJ302" s="468"/>
    </row>
    <row r="303" spans="1:36" ht="18" customHeight="1" x14ac:dyDescent="0.35">
      <c r="A303" s="468"/>
      <c r="B303" s="468"/>
      <c r="C303" s="468"/>
      <c r="D303" s="468"/>
      <c r="E303" s="468"/>
      <c r="F303" s="468"/>
      <c r="G303" s="468"/>
      <c r="H303" s="468"/>
      <c r="I303" s="468"/>
      <c r="J303" s="468"/>
      <c r="K303" s="468"/>
      <c r="L303" s="468"/>
      <c r="M303" s="468"/>
      <c r="N303" s="468"/>
      <c r="O303" s="468"/>
      <c r="P303" s="468"/>
      <c r="Q303" s="468"/>
      <c r="R303" s="468"/>
      <c r="S303" s="468"/>
      <c r="T303" s="468"/>
      <c r="U303" s="468"/>
      <c r="V303" s="468"/>
      <c r="W303" s="468"/>
      <c r="X303" s="468"/>
      <c r="Y303" s="468"/>
      <c r="Z303" s="468"/>
      <c r="AA303" s="468"/>
      <c r="AB303" s="468"/>
      <c r="AC303" s="468"/>
      <c r="AD303" s="468"/>
      <c r="AE303" s="468"/>
      <c r="AF303" s="468"/>
      <c r="AG303" s="468"/>
      <c r="AH303" s="468"/>
      <c r="AI303" s="468"/>
      <c r="AJ303" s="468"/>
    </row>
    <row r="304" spans="1:36" ht="18" customHeight="1" x14ac:dyDescent="0.35">
      <c r="A304" s="468"/>
      <c r="B304" s="468"/>
      <c r="C304" s="468"/>
      <c r="D304" s="468"/>
      <c r="E304" s="468"/>
      <c r="F304" s="468"/>
      <c r="G304" s="468"/>
      <c r="H304" s="468"/>
      <c r="I304" s="468"/>
      <c r="J304" s="468"/>
      <c r="K304" s="468"/>
      <c r="L304" s="468"/>
      <c r="M304" s="468"/>
      <c r="N304" s="468"/>
      <c r="O304" s="468"/>
      <c r="P304" s="468"/>
      <c r="Q304" s="468"/>
      <c r="R304" s="468"/>
      <c r="S304" s="468"/>
      <c r="T304" s="468"/>
      <c r="U304" s="468"/>
      <c r="V304" s="468"/>
      <c r="W304" s="468"/>
      <c r="X304" s="468"/>
      <c r="Y304" s="468"/>
      <c r="Z304" s="468"/>
      <c r="AA304" s="468"/>
      <c r="AB304" s="468"/>
      <c r="AC304" s="468"/>
      <c r="AD304" s="468"/>
      <c r="AE304" s="468"/>
      <c r="AF304" s="468"/>
      <c r="AG304" s="468"/>
      <c r="AH304" s="468"/>
      <c r="AI304" s="468"/>
      <c r="AJ304" s="468"/>
    </row>
    <row r="305" spans="1:36" ht="18" customHeight="1" x14ac:dyDescent="0.35">
      <c r="A305" s="468"/>
      <c r="B305" s="468"/>
      <c r="C305" s="468"/>
      <c r="D305" s="468"/>
      <c r="E305" s="468"/>
      <c r="F305" s="468"/>
      <c r="G305" s="468"/>
      <c r="H305" s="468"/>
      <c r="I305" s="468"/>
      <c r="J305" s="468"/>
      <c r="K305" s="468"/>
      <c r="L305" s="468"/>
      <c r="M305" s="468"/>
      <c r="N305" s="468"/>
      <c r="O305" s="468"/>
      <c r="P305" s="468"/>
      <c r="Q305" s="468"/>
      <c r="R305" s="468"/>
      <c r="S305" s="468"/>
      <c r="T305" s="468"/>
      <c r="U305" s="468"/>
      <c r="V305" s="468"/>
      <c r="W305" s="468"/>
      <c r="X305" s="468"/>
      <c r="Y305" s="468"/>
      <c r="Z305" s="468"/>
      <c r="AA305" s="468"/>
      <c r="AB305" s="468"/>
      <c r="AC305" s="468"/>
      <c r="AD305" s="468"/>
      <c r="AE305" s="468"/>
      <c r="AF305" s="468"/>
      <c r="AG305" s="468"/>
      <c r="AH305" s="468"/>
      <c r="AI305" s="468"/>
      <c r="AJ305" s="468"/>
    </row>
    <row r="306" spans="1:36" ht="18" customHeight="1" x14ac:dyDescent="0.35">
      <c r="A306" s="468"/>
      <c r="B306" s="468"/>
      <c r="C306" s="468"/>
      <c r="D306" s="468"/>
      <c r="E306" s="468"/>
      <c r="F306" s="468"/>
      <c r="G306" s="468"/>
      <c r="H306" s="468"/>
      <c r="I306" s="468"/>
      <c r="J306" s="468"/>
      <c r="K306" s="468"/>
      <c r="L306" s="468"/>
      <c r="M306" s="468"/>
      <c r="N306" s="468"/>
      <c r="O306" s="468"/>
      <c r="P306" s="468"/>
      <c r="Q306" s="468"/>
      <c r="R306" s="468"/>
      <c r="S306" s="468"/>
      <c r="T306" s="468"/>
      <c r="U306" s="468"/>
      <c r="V306" s="468"/>
      <c r="W306" s="468"/>
      <c r="X306" s="468"/>
      <c r="Y306" s="468"/>
      <c r="Z306" s="468"/>
      <c r="AA306" s="468"/>
      <c r="AB306" s="468"/>
      <c r="AC306" s="468"/>
      <c r="AD306" s="468"/>
      <c r="AE306" s="468"/>
      <c r="AF306" s="468"/>
      <c r="AG306" s="468"/>
      <c r="AH306" s="468"/>
      <c r="AI306" s="468"/>
      <c r="AJ306" s="468"/>
    </row>
    <row r="307" spans="1:36" ht="18" customHeight="1" x14ac:dyDescent="0.35">
      <c r="A307" s="468"/>
      <c r="B307" s="468"/>
      <c r="C307" s="468"/>
      <c r="D307" s="468"/>
      <c r="E307" s="468"/>
      <c r="F307" s="468"/>
      <c r="G307" s="468"/>
      <c r="H307" s="468"/>
      <c r="I307" s="468"/>
      <c r="J307" s="468"/>
      <c r="K307" s="468"/>
      <c r="L307" s="468"/>
      <c r="M307" s="468"/>
      <c r="N307" s="468"/>
      <c r="O307" s="468"/>
      <c r="P307" s="468"/>
      <c r="Q307" s="468"/>
      <c r="R307" s="468"/>
      <c r="S307" s="468"/>
      <c r="T307" s="468"/>
      <c r="U307" s="468"/>
      <c r="V307" s="468"/>
      <c r="W307" s="468"/>
      <c r="X307" s="468"/>
      <c r="Y307" s="468"/>
      <c r="Z307" s="468"/>
      <c r="AA307" s="468"/>
      <c r="AB307" s="468"/>
      <c r="AC307" s="468"/>
      <c r="AD307" s="468"/>
      <c r="AE307" s="468"/>
      <c r="AF307" s="468"/>
      <c r="AG307" s="468"/>
      <c r="AH307" s="468"/>
      <c r="AI307" s="468"/>
      <c r="AJ307" s="468"/>
    </row>
    <row r="308" spans="1:36" ht="18" customHeight="1" x14ac:dyDescent="0.35">
      <c r="A308" s="468"/>
      <c r="B308" s="468"/>
      <c r="C308" s="468"/>
      <c r="D308" s="468"/>
      <c r="E308" s="468"/>
      <c r="F308" s="468"/>
      <c r="G308" s="468"/>
      <c r="H308" s="468"/>
      <c r="I308" s="468"/>
      <c r="J308" s="468"/>
      <c r="K308" s="468"/>
      <c r="L308" s="468"/>
      <c r="M308" s="468"/>
      <c r="N308" s="468"/>
      <c r="O308" s="468"/>
      <c r="P308" s="468"/>
      <c r="Q308" s="468"/>
      <c r="R308" s="468"/>
      <c r="S308" s="468"/>
      <c r="T308" s="468"/>
      <c r="U308" s="468"/>
      <c r="V308" s="468"/>
      <c r="W308" s="468"/>
      <c r="X308" s="468"/>
      <c r="Y308" s="468"/>
      <c r="Z308" s="468"/>
      <c r="AA308" s="468"/>
      <c r="AB308" s="468"/>
      <c r="AC308" s="468"/>
      <c r="AD308" s="468"/>
      <c r="AE308" s="468"/>
      <c r="AF308" s="468"/>
      <c r="AG308" s="468"/>
      <c r="AH308" s="468"/>
      <c r="AI308" s="468"/>
      <c r="AJ308" s="468"/>
    </row>
    <row r="309" spans="1:36" ht="18" customHeight="1" x14ac:dyDescent="0.35">
      <c r="A309" s="468"/>
      <c r="B309" s="468"/>
      <c r="C309" s="468"/>
      <c r="D309" s="468"/>
      <c r="E309" s="468"/>
      <c r="F309" s="468"/>
      <c r="G309" s="468"/>
      <c r="H309" s="468"/>
      <c r="I309" s="468"/>
      <c r="J309" s="468"/>
      <c r="K309" s="468"/>
      <c r="L309" s="468"/>
      <c r="M309" s="468"/>
      <c r="N309" s="468"/>
      <c r="O309" s="468"/>
      <c r="P309" s="468"/>
      <c r="Q309" s="468"/>
      <c r="R309" s="468"/>
      <c r="S309" s="468"/>
      <c r="T309" s="468"/>
      <c r="U309" s="468"/>
      <c r="V309" s="468"/>
      <c r="W309" s="468"/>
      <c r="X309" s="468"/>
      <c r="Y309" s="468"/>
      <c r="Z309" s="468"/>
      <c r="AA309" s="468"/>
      <c r="AB309" s="468"/>
      <c r="AC309" s="468"/>
      <c r="AD309" s="468"/>
      <c r="AE309" s="468"/>
      <c r="AF309" s="468"/>
      <c r="AG309" s="468"/>
      <c r="AH309" s="468"/>
      <c r="AI309" s="468"/>
      <c r="AJ309" s="468"/>
    </row>
    <row r="310" spans="1:36" ht="18" customHeight="1" x14ac:dyDescent="0.35">
      <c r="A310" s="468"/>
      <c r="B310" s="468"/>
      <c r="C310" s="468"/>
      <c r="D310" s="468"/>
      <c r="E310" s="468"/>
      <c r="F310" s="468"/>
      <c r="G310" s="468"/>
      <c r="H310" s="468"/>
      <c r="I310" s="468"/>
      <c r="J310" s="468"/>
      <c r="K310" s="468"/>
      <c r="L310" s="468"/>
      <c r="M310" s="468"/>
      <c r="N310" s="468"/>
      <c r="O310" s="468"/>
      <c r="P310" s="468"/>
      <c r="Q310" s="468"/>
      <c r="R310" s="468"/>
      <c r="S310" s="468"/>
      <c r="T310" s="468"/>
      <c r="U310" s="468"/>
      <c r="V310" s="468"/>
      <c r="W310" s="468"/>
      <c r="X310" s="468"/>
      <c r="Y310" s="468"/>
      <c r="Z310" s="468"/>
      <c r="AA310" s="468"/>
      <c r="AB310" s="468"/>
      <c r="AC310" s="468"/>
      <c r="AD310" s="468"/>
      <c r="AE310" s="468"/>
      <c r="AF310" s="468"/>
      <c r="AG310" s="468"/>
      <c r="AH310" s="468"/>
      <c r="AI310" s="468"/>
      <c r="AJ310" s="468"/>
    </row>
    <row r="311" spans="1:36" ht="18" customHeight="1" x14ac:dyDescent="0.35">
      <c r="A311" s="468"/>
      <c r="B311" s="468"/>
      <c r="C311" s="468"/>
      <c r="D311" s="468"/>
      <c r="E311" s="468"/>
      <c r="F311" s="468"/>
      <c r="G311" s="468"/>
      <c r="H311" s="468"/>
      <c r="I311" s="468"/>
      <c r="J311" s="468"/>
      <c r="K311" s="468"/>
      <c r="L311" s="468"/>
      <c r="M311" s="468"/>
      <c r="N311" s="468"/>
      <c r="O311" s="468"/>
      <c r="P311" s="468"/>
      <c r="Q311" s="468"/>
      <c r="R311" s="468"/>
      <c r="S311" s="468"/>
      <c r="T311" s="468"/>
      <c r="U311" s="468"/>
      <c r="V311" s="468"/>
      <c r="W311" s="468"/>
      <c r="X311" s="468"/>
      <c r="Y311" s="468"/>
      <c r="Z311" s="468"/>
      <c r="AA311" s="468"/>
      <c r="AB311" s="468"/>
      <c r="AC311" s="468"/>
      <c r="AD311" s="468"/>
      <c r="AE311" s="468"/>
      <c r="AF311" s="468"/>
      <c r="AG311" s="468"/>
      <c r="AH311" s="468"/>
      <c r="AI311" s="468"/>
      <c r="AJ311" s="468"/>
    </row>
    <row r="312" spans="1:36" ht="18" customHeight="1" x14ac:dyDescent="0.35">
      <c r="A312" s="468"/>
      <c r="B312" s="468"/>
      <c r="C312" s="468"/>
      <c r="D312" s="468"/>
      <c r="E312" s="468"/>
      <c r="F312" s="468"/>
      <c r="G312" s="468"/>
      <c r="H312" s="468"/>
      <c r="I312" s="468"/>
      <c r="J312" s="468"/>
      <c r="K312" s="468"/>
      <c r="L312" s="468"/>
      <c r="M312" s="468"/>
      <c r="N312" s="468"/>
      <c r="O312" s="468"/>
      <c r="P312" s="468"/>
      <c r="Q312" s="468"/>
      <c r="R312" s="468"/>
      <c r="S312" s="468"/>
      <c r="T312" s="468"/>
      <c r="U312" s="468"/>
      <c r="V312" s="468"/>
      <c r="W312" s="468"/>
      <c r="X312" s="468"/>
      <c r="Y312" s="468"/>
      <c r="Z312" s="468"/>
      <c r="AA312" s="468"/>
      <c r="AB312" s="468"/>
      <c r="AC312" s="468"/>
      <c r="AD312" s="468"/>
      <c r="AE312" s="468"/>
      <c r="AF312" s="468"/>
      <c r="AG312" s="468"/>
      <c r="AH312" s="468"/>
      <c r="AI312" s="468"/>
      <c r="AJ312" s="468"/>
    </row>
    <row r="313" spans="1:36" ht="18" customHeight="1" x14ac:dyDescent="0.35">
      <c r="A313" s="468"/>
      <c r="B313" s="468"/>
      <c r="C313" s="468"/>
      <c r="D313" s="468"/>
      <c r="E313" s="468"/>
      <c r="F313" s="468"/>
      <c r="G313" s="468"/>
      <c r="H313" s="468"/>
      <c r="I313" s="468"/>
      <c r="J313" s="468"/>
      <c r="K313" s="468"/>
      <c r="L313" s="468"/>
      <c r="M313" s="468"/>
      <c r="N313" s="468"/>
      <c r="O313" s="468"/>
      <c r="P313" s="468"/>
      <c r="Q313" s="468"/>
      <c r="R313" s="468"/>
      <c r="S313" s="468"/>
      <c r="T313" s="468"/>
      <c r="U313" s="468"/>
      <c r="V313" s="468"/>
      <c r="W313" s="468"/>
      <c r="X313" s="468"/>
      <c r="Y313" s="468"/>
      <c r="Z313" s="468"/>
      <c r="AA313" s="468"/>
      <c r="AB313" s="468"/>
      <c r="AC313" s="468"/>
      <c r="AD313" s="468"/>
      <c r="AE313" s="468"/>
      <c r="AF313" s="468"/>
      <c r="AG313" s="468"/>
      <c r="AH313" s="468"/>
      <c r="AI313" s="468"/>
      <c r="AJ313" s="468"/>
    </row>
    <row r="314" spans="1:36" ht="18" customHeight="1" x14ac:dyDescent="0.35">
      <c r="A314" s="468"/>
      <c r="B314" s="468"/>
      <c r="C314" s="468"/>
      <c r="D314" s="468"/>
      <c r="E314" s="468"/>
      <c r="F314" s="468"/>
      <c r="G314" s="468"/>
      <c r="H314" s="468"/>
      <c r="I314" s="468"/>
      <c r="J314" s="468"/>
      <c r="K314" s="468"/>
      <c r="L314" s="468"/>
      <c r="M314" s="468"/>
      <c r="N314" s="468"/>
      <c r="O314" s="468"/>
      <c r="P314" s="468"/>
      <c r="Q314" s="468"/>
      <c r="R314" s="468"/>
      <c r="S314" s="468"/>
      <c r="T314" s="468"/>
      <c r="U314" s="468"/>
      <c r="V314" s="468"/>
      <c r="W314" s="468"/>
      <c r="X314" s="468"/>
      <c r="Y314" s="468"/>
      <c r="Z314" s="468"/>
      <c r="AA314" s="468"/>
      <c r="AB314" s="468"/>
      <c r="AC314" s="468"/>
      <c r="AD314" s="468"/>
      <c r="AE314" s="468"/>
      <c r="AF314" s="468"/>
      <c r="AG314" s="468"/>
      <c r="AH314" s="468"/>
      <c r="AI314" s="468"/>
      <c r="AJ314" s="468"/>
    </row>
    <row r="315" spans="1:36" ht="18" customHeight="1" x14ac:dyDescent="0.35">
      <c r="A315" s="468"/>
      <c r="B315" s="468"/>
      <c r="C315" s="468"/>
      <c r="D315" s="468"/>
      <c r="E315" s="468"/>
      <c r="F315" s="468"/>
      <c r="G315" s="468"/>
      <c r="H315" s="468"/>
      <c r="I315" s="468"/>
      <c r="J315" s="468"/>
      <c r="K315" s="468"/>
      <c r="L315" s="468"/>
      <c r="M315" s="468"/>
      <c r="N315" s="468"/>
      <c r="O315" s="468"/>
      <c r="P315" s="468"/>
      <c r="Q315" s="468"/>
      <c r="R315" s="468"/>
      <c r="S315" s="468"/>
      <c r="T315" s="468"/>
      <c r="U315" s="468"/>
      <c r="V315" s="468"/>
      <c r="W315" s="468"/>
      <c r="X315" s="468"/>
      <c r="Y315" s="468"/>
      <c r="Z315" s="468"/>
      <c r="AA315" s="468"/>
      <c r="AB315" s="468"/>
      <c r="AC315" s="468"/>
      <c r="AD315" s="468"/>
      <c r="AE315" s="468"/>
      <c r="AF315" s="468"/>
      <c r="AG315" s="468"/>
      <c r="AH315" s="468"/>
      <c r="AI315" s="468"/>
      <c r="AJ315" s="468"/>
    </row>
    <row r="316" spans="1:36" ht="18" customHeight="1" x14ac:dyDescent="0.35">
      <c r="A316" s="468"/>
      <c r="B316" s="468"/>
      <c r="C316" s="468"/>
      <c r="D316" s="468"/>
      <c r="E316" s="468"/>
      <c r="F316" s="468"/>
      <c r="G316" s="468"/>
      <c r="H316" s="468"/>
      <c r="I316" s="468"/>
      <c r="J316" s="468"/>
      <c r="K316" s="468"/>
      <c r="L316" s="468"/>
      <c r="M316" s="468"/>
      <c r="N316" s="468"/>
      <c r="O316" s="468"/>
      <c r="P316" s="468"/>
      <c r="Q316" s="468"/>
      <c r="R316" s="468"/>
      <c r="S316" s="468"/>
      <c r="T316" s="468"/>
      <c r="U316" s="468"/>
      <c r="V316" s="468"/>
      <c r="W316" s="468"/>
      <c r="X316" s="468"/>
      <c r="Y316" s="468"/>
      <c r="Z316" s="468"/>
      <c r="AA316" s="468"/>
      <c r="AB316" s="468"/>
      <c r="AC316" s="468"/>
      <c r="AD316" s="468"/>
      <c r="AE316" s="468"/>
      <c r="AF316" s="468"/>
      <c r="AG316" s="468"/>
      <c r="AH316" s="468"/>
      <c r="AI316" s="468"/>
      <c r="AJ316" s="468"/>
    </row>
    <row r="317" spans="1:36" ht="18" customHeight="1" x14ac:dyDescent="0.35">
      <c r="A317" s="468"/>
      <c r="B317" s="468"/>
      <c r="C317" s="468"/>
      <c r="D317" s="468"/>
      <c r="E317" s="468"/>
      <c r="F317" s="468"/>
      <c r="G317" s="468"/>
      <c r="H317" s="468"/>
      <c r="I317" s="468"/>
      <c r="J317" s="468"/>
      <c r="K317" s="468"/>
      <c r="L317" s="468"/>
      <c r="M317" s="468"/>
      <c r="N317" s="468"/>
      <c r="O317" s="468"/>
      <c r="P317" s="468"/>
      <c r="Q317" s="468"/>
      <c r="R317" s="468"/>
      <c r="S317" s="468"/>
      <c r="T317" s="468"/>
      <c r="U317" s="468"/>
      <c r="V317" s="468"/>
      <c r="W317" s="468"/>
      <c r="X317" s="468"/>
      <c r="Y317" s="468"/>
      <c r="Z317" s="468"/>
      <c r="AA317" s="468"/>
      <c r="AB317" s="468"/>
      <c r="AC317" s="468"/>
      <c r="AD317" s="468"/>
      <c r="AE317" s="468"/>
      <c r="AF317" s="468"/>
      <c r="AG317" s="468"/>
      <c r="AH317" s="468"/>
      <c r="AI317" s="468"/>
      <c r="AJ317" s="468"/>
    </row>
    <row r="318" spans="1:36" ht="18" customHeight="1" x14ac:dyDescent="0.35">
      <c r="A318" s="468"/>
      <c r="B318" s="468"/>
      <c r="C318" s="468"/>
      <c r="D318" s="468"/>
      <c r="E318" s="468"/>
      <c r="F318" s="468"/>
      <c r="G318" s="468"/>
      <c r="H318" s="468"/>
      <c r="I318" s="468"/>
      <c r="J318" s="468"/>
      <c r="K318" s="468"/>
      <c r="L318" s="468"/>
      <c r="M318" s="468"/>
      <c r="N318" s="468"/>
      <c r="O318" s="468"/>
      <c r="P318" s="468"/>
      <c r="Q318" s="468"/>
      <c r="R318" s="468"/>
      <c r="S318" s="468"/>
      <c r="T318" s="468"/>
      <c r="U318" s="468"/>
      <c r="V318" s="468"/>
      <c r="W318" s="468"/>
      <c r="X318" s="468"/>
      <c r="Y318" s="468"/>
      <c r="Z318" s="468"/>
      <c r="AA318" s="468"/>
      <c r="AB318" s="468"/>
      <c r="AC318" s="468"/>
      <c r="AD318" s="468"/>
      <c r="AE318" s="468"/>
      <c r="AF318" s="468"/>
      <c r="AG318" s="468"/>
      <c r="AH318" s="468"/>
      <c r="AI318" s="468"/>
      <c r="AJ318" s="468"/>
    </row>
    <row r="319" spans="1:36" ht="18" customHeight="1" x14ac:dyDescent="0.35">
      <c r="A319" s="468"/>
      <c r="B319" s="468"/>
      <c r="C319" s="468"/>
      <c r="D319" s="468"/>
      <c r="E319" s="468"/>
      <c r="F319" s="468"/>
      <c r="G319" s="468"/>
      <c r="H319" s="468"/>
      <c r="I319" s="468"/>
      <c r="J319" s="468"/>
      <c r="K319" s="468"/>
      <c r="L319" s="468"/>
      <c r="M319" s="468"/>
      <c r="N319" s="468"/>
      <c r="O319" s="468"/>
      <c r="P319" s="468"/>
      <c r="Q319" s="468"/>
      <c r="R319" s="468"/>
      <c r="S319" s="468"/>
      <c r="T319" s="468"/>
      <c r="U319" s="468"/>
      <c r="V319" s="468"/>
      <c r="W319" s="468"/>
      <c r="X319" s="468"/>
      <c r="Y319" s="468"/>
      <c r="Z319" s="468"/>
      <c r="AA319" s="468"/>
      <c r="AB319" s="468"/>
      <c r="AC319" s="468"/>
      <c r="AD319" s="468"/>
      <c r="AE319" s="468"/>
      <c r="AF319" s="468"/>
      <c r="AG319" s="468"/>
      <c r="AH319" s="468"/>
      <c r="AI319" s="468"/>
      <c r="AJ319" s="468"/>
    </row>
    <row r="320" spans="1:36" ht="18" customHeight="1" x14ac:dyDescent="0.35">
      <c r="A320" s="468"/>
      <c r="B320" s="468"/>
      <c r="C320" s="468"/>
      <c r="D320" s="468"/>
      <c r="E320" s="468"/>
      <c r="F320" s="468"/>
      <c r="G320" s="468"/>
      <c r="H320" s="468"/>
      <c r="I320" s="468"/>
      <c r="J320" s="468"/>
      <c r="K320" s="468"/>
      <c r="L320" s="468"/>
      <c r="M320" s="468"/>
      <c r="N320" s="468"/>
      <c r="O320" s="468"/>
      <c r="P320" s="468"/>
      <c r="Q320" s="468"/>
      <c r="R320" s="468"/>
      <c r="S320" s="468"/>
      <c r="T320" s="468"/>
      <c r="U320" s="468"/>
      <c r="V320" s="468"/>
      <c r="W320" s="468"/>
      <c r="X320" s="468"/>
      <c r="Y320" s="468"/>
      <c r="Z320" s="468"/>
      <c r="AA320" s="468"/>
      <c r="AB320" s="468"/>
      <c r="AC320" s="468"/>
      <c r="AD320" s="468"/>
      <c r="AE320" s="468"/>
      <c r="AF320" s="468"/>
      <c r="AG320" s="468"/>
      <c r="AH320" s="468"/>
      <c r="AI320" s="468"/>
      <c r="AJ320" s="468"/>
    </row>
    <row r="321" spans="1:36" ht="18" customHeight="1" x14ac:dyDescent="0.35">
      <c r="A321" s="468"/>
      <c r="B321" s="468"/>
      <c r="C321" s="468"/>
      <c r="D321" s="468"/>
      <c r="E321" s="468"/>
      <c r="F321" s="468"/>
      <c r="G321" s="468"/>
      <c r="H321" s="468"/>
      <c r="I321" s="468"/>
      <c r="J321" s="468"/>
      <c r="K321" s="468"/>
      <c r="L321" s="468"/>
      <c r="M321" s="468"/>
      <c r="N321" s="468"/>
      <c r="O321" s="468"/>
      <c r="P321" s="468"/>
      <c r="Q321" s="468"/>
      <c r="R321" s="468"/>
      <c r="S321" s="468"/>
      <c r="T321" s="468"/>
      <c r="U321" s="468"/>
      <c r="V321" s="468"/>
      <c r="W321" s="468"/>
      <c r="X321" s="468"/>
      <c r="Y321" s="468"/>
      <c r="Z321" s="468"/>
      <c r="AA321" s="468"/>
      <c r="AB321" s="468"/>
      <c r="AC321" s="468"/>
      <c r="AD321" s="468"/>
      <c r="AE321" s="468"/>
      <c r="AF321" s="468"/>
      <c r="AG321" s="468"/>
      <c r="AH321" s="468"/>
      <c r="AI321" s="468"/>
      <c r="AJ321" s="468"/>
    </row>
    <row r="322" spans="1:36" ht="18" customHeight="1" x14ac:dyDescent="0.35">
      <c r="A322" s="468"/>
      <c r="B322" s="468"/>
      <c r="C322" s="468"/>
      <c r="D322" s="468"/>
      <c r="E322" s="468"/>
      <c r="F322" s="468"/>
      <c r="G322" s="468"/>
      <c r="H322" s="468"/>
      <c r="I322" s="468"/>
      <c r="J322" s="468"/>
      <c r="K322" s="468"/>
      <c r="L322" s="468"/>
      <c r="M322" s="468"/>
      <c r="N322" s="468"/>
      <c r="O322" s="468"/>
      <c r="P322" s="468"/>
      <c r="Q322" s="468"/>
      <c r="R322" s="468"/>
      <c r="S322" s="468"/>
      <c r="T322" s="468"/>
      <c r="U322" s="468"/>
      <c r="V322" s="468"/>
      <c r="W322" s="468"/>
      <c r="X322" s="468"/>
      <c r="Y322" s="468"/>
      <c r="Z322" s="468"/>
      <c r="AA322" s="468"/>
      <c r="AB322" s="468"/>
      <c r="AC322" s="468"/>
      <c r="AD322" s="468"/>
      <c r="AE322" s="468"/>
      <c r="AF322" s="468"/>
      <c r="AG322" s="468"/>
      <c r="AH322" s="468"/>
      <c r="AI322" s="468"/>
      <c r="AJ322" s="468"/>
    </row>
    <row r="323" spans="1:36" ht="18" customHeight="1" x14ac:dyDescent="0.35">
      <c r="A323" s="468"/>
      <c r="B323" s="468"/>
      <c r="C323" s="468"/>
      <c r="D323" s="468"/>
      <c r="E323" s="468"/>
      <c r="F323" s="468"/>
      <c r="G323" s="468"/>
      <c r="H323" s="468"/>
      <c r="I323" s="468"/>
      <c r="J323" s="468"/>
      <c r="K323" s="468"/>
      <c r="L323" s="468"/>
      <c r="M323" s="468"/>
      <c r="N323" s="468"/>
      <c r="O323" s="468"/>
      <c r="P323" s="468"/>
      <c r="Q323" s="468"/>
      <c r="R323" s="468"/>
      <c r="S323" s="468"/>
      <c r="T323" s="468"/>
      <c r="U323" s="468"/>
      <c r="V323" s="468"/>
      <c r="W323" s="468"/>
      <c r="X323" s="468"/>
      <c r="Y323" s="468"/>
      <c r="Z323" s="468"/>
      <c r="AA323" s="468"/>
      <c r="AB323" s="468"/>
      <c r="AC323" s="468"/>
      <c r="AD323" s="468"/>
      <c r="AE323" s="468"/>
      <c r="AF323" s="468"/>
      <c r="AG323" s="468"/>
      <c r="AH323" s="468"/>
      <c r="AI323" s="468"/>
      <c r="AJ323" s="468"/>
    </row>
    <row r="324" spans="1:36" ht="18" customHeight="1" x14ac:dyDescent="0.35">
      <c r="A324" s="468"/>
      <c r="B324" s="468"/>
      <c r="C324" s="468"/>
      <c r="D324" s="468"/>
      <c r="E324" s="468"/>
      <c r="F324" s="468"/>
      <c r="G324" s="468"/>
      <c r="H324" s="468"/>
      <c r="I324" s="468"/>
      <c r="J324" s="468"/>
      <c r="K324" s="468"/>
      <c r="L324" s="468"/>
      <c r="M324" s="468"/>
      <c r="N324" s="468"/>
      <c r="O324" s="468"/>
      <c r="P324" s="468"/>
      <c r="Q324" s="468"/>
      <c r="R324" s="468"/>
      <c r="S324" s="468"/>
      <c r="T324" s="468"/>
      <c r="U324" s="468"/>
      <c r="V324" s="468"/>
      <c r="W324" s="468"/>
      <c r="X324" s="468"/>
      <c r="Y324" s="468"/>
      <c r="Z324" s="468"/>
      <c r="AA324" s="468"/>
      <c r="AB324" s="468"/>
      <c r="AC324" s="468"/>
      <c r="AD324" s="468"/>
      <c r="AE324" s="468"/>
      <c r="AF324" s="468"/>
      <c r="AG324" s="468"/>
      <c r="AH324" s="468"/>
      <c r="AI324" s="468"/>
      <c r="AJ324" s="468"/>
    </row>
    <row r="325" spans="1:36" ht="18" customHeight="1" x14ac:dyDescent="0.35">
      <c r="A325" s="468"/>
      <c r="B325" s="468"/>
      <c r="C325" s="468"/>
      <c r="D325" s="468"/>
      <c r="E325" s="468"/>
      <c r="F325" s="468"/>
      <c r="G325" s="468"/>
      <c r="H325" s="468"/>
      <c r="I325" s="468"/>
      <c r="J325" s="468"/>
      <c r="K325" s="468"/>
      <c r="L325" s="468"/>
      <c r="M325" s="468"/>
      <c r="N325" s="468"/>
      <c r="O325" s="468"/>
      <c r="P325" s="468"/>
      <c r="Q325" s="468"/>
      <c r="R325" s="468"/>
      <c r="S325" s="468"/>
      <c r="T325" s="468"/>
      <c r="U325" s="468"/>
      <c r="V325" s="468"/>
      <c r="W325" s="468"/>
      <c r="X325" s="468"/>
      <c r="Y325" s="468"/>
      <c r="Z325" s="468"/>
      <c r="AA325" s="468"/>
      <c r="AB325" s="468"/>
      <c r="AC325" s="468"/>
      <c r="AD325" s="468"/>
      <c r="AE325" s="468"/>
      <c r="AF325" s="468"/>
      <c r="AG325" s="468"/>
      <c r="AH325" s="468"/>
      <c r="AI325" s="468"/>
      <c r="AJ325" s="468"/>
    </row>
    <row r="326" spans="1:36" ht="18" customHeight="1" x14ac:dyDescent="0.35">
      <c r="A326" s="468"/>
      <c r="B326" s="468"/>
      <c r="C326" s="468"/>
      <c r="D326" s="468"/>
      <c r="E326" s="468"/>
      <c r="F326" s="468"/>
      <c r="G326" s="468"/>
      <c r="H326" s="468"/>
      <c r="I326" s="468"/>
      <c r="J326" s="468"/>
      <c r="K326" s="468"/>
      <c r="L326" s="468"/>
      <c r="M326" s="468"/>
      <c r="N326" s="468"/>
      <c r="O326" s="468"/>
      <c r="P326" s="468"/>
      <c r="Q326" s="468"/>
      <c r="R326" s="468"/>
      <c r="S326" s="468"/>
      <c r="T326" s="468"/>
      <c r="U326" s="468"/>
      <c r="V326" s="468"/>
      <c r="W326" s="468"/>
      <c r="X326" s="468"/>
      <c r="Y326" s="468"/>
      <c r="Z326" s="468"/>
      <c r="AA326" s="468"/>
      <c r="AB326" s="468"/>
      <c r="AC326" s="468"/>
      <c r="AD326" s="468"/>
      <c r="AE326" s="468"/>
      <c r="AF326" s="468"/>
      <c r="AG326" s="468"/>
      <c r="AH326" s="468"/>
      <c r="AI326" s="468"/>
      <c r="AJ326" s="468"/>
    </row>
    <row r="327" spans="1:36" ht="18" customHeight="1" x14ac:dyDescent="0.35">
      <c r="A327" s="468"/>
      <c r="B327" s="468"/>
      <c r="C327" s="468"/>
      <c r="D327" s="468"/>
      <c r="E327" s="468"/>
      <c r="F327" s="468"/>
      <c r="G327" s="468"/>
      <c r="H327" s="468"/>
      <c r="I327" s="468"/>
      <c r="J327" s="468"/>
      <c r="K327" s="468"/>
      <c r="L327" s="468"/>
      <c r="M327" s="468"/>
      <c r="N327" s="468"/>
      <c r="O327" s="468"/>
      <c r="P327" s="468"/>
      <c r="Q327" s="468"/>
      <c r="R327" s="468"/>
      <c r="S327" s="468"/>
      <c r="T327" s="468"/>
      <c r="U327" s="468"/>
      <c r="V327" s="468"/>
      <c r="W327" s="468"/>
      <c r="X327" s="468"/>
      <c r="Y327" s="468"/>
      <c r="Z327" s="468"/>
      <c r="AA327" s="468"/>
      <c r="AB327" s="468"/>
      <c r="AC327" s="468"/>
      <c r="AD327" s="468"/>
      <c r="AE327" s="468"/>
      <c r="AF327" s="468"/>
      <c r="AG327" s="468"/>
      <c r="AH327" s="468"/>
      <c r="AI327" s="468"/>
      <c r="AJ327" s="468"/>
    </row>
    <row r="328" spans="1:36" ht="18" customHeight="1" x14ac:dyDescent="0.35">
      <c r="A328" s="468"/>
      <c r="B328" s="468"/>
      <c r="C328" s="468"/>
      <c r="D328" s="468"/>
      <c r="E328" s="468"/>
      <c r="F328" s="468"/>
      <c r="G328" s="468"/>
      <c r="H328" s="468"/>
      <c r="I328" s="468"/>
      <c r="J328" s="468"/>
      <c r="K328" s="468"/>
      <c r="L328" s="468"/>
      <c r="M328" s="468"/>
      <c r="N328" s="468"/>
      <c r="O328" s="468"/>
      <c r="P328" s="468"/>
      <c r="Q328" s="468"/>
      <c r="R328" s="468"/>
      <c r="S328" s="468"/>
      <c r="T328" s="468"/>
      <c r="U328" s="468"/>
      <c r="V328" s="468"/>
      <c r="W328" s="468"/>
      <c r="X328" s="468"/>
      <c r="Y328" s="468"/>
      <c r="Z328" s="468"/>
      <c r="AA328" s="468"/>
      <c r="AB328" s="468"/>
      <c r="AC328" s="468"/>
      <c r="AD328" s="468"/>
      <c r="AE328" s="468"/>
      <c r="AF328" s="468"/>
      <c r="AG328" s="468"/>
      <c r="AH328" s="468"/>
      <c r="AI328" s="468"/>
      <c r="AJ328" s="468"/>
    </row>
    <row r="329" spans="1:36" ht="18" customHeight="1" x14ac:dyDescent="0.35">
      <c r="A329" s="468"/>
      <c r="B329" s="468"/>
      <c r="C329" s="468"/>
      <c r="D329" s="468"/>
      <c r="E329" s="468"/>
      <c r="F329" s="468"/>
      <c r="G329" s="468"/>
      <c r="H329" s="468"/>
      <c r="I329" s="468"/>
      <c r="J329" s="468"/>
      <c r="K329" s="468"/>
      <c r="L329" s="468"/>
      <c r="M329" s="468"/>
      <c r="N329" s="468"/>
      <c r="O329" s="468"/>
      <c r="P329" s="468"/>
      <c r="Q329" s="468"/>
      <c r="R329" s="468"/>
      <c r="S329" s="468"/>
      <c r="T329" s="468"/>
      <c r="U329" s="468"/>
      <c r="V329" s="468"/>
      <c r="W329" s="468"/>
      <c r="X329" s="468"/>
      <c r="Y329" s="468"/>
      <c r="Z329" s="468"/>
      <c r="AA329" s="468"/>
      <c r="AB329" s="468"/>
      <c r="AC329" s="468"/>
      <c r="AD329" s="468"/>
      <c r="AE329" s="468"/>
      <c r="AF329" s="468"/>
      <c r="AG329" s="468"/>
      <c r="AH329" s="468"/>
      <c r="AI329" s="468"/>
      <c r="AJ329" s="468"/>
    </row>
    <row r="330" spans="1:36" ht="18" customHeight="1" x14ac:dyDescent="0.35">
      <c r="A330" s="468"/>
      <c r="B330" s="468"/>
      <c r="C330" s="468"/>
      <c r="D330" s="468"/>
      <c r="E330" s="468"/>
      <c r="F330" s="468"/>
      <c r="G330" s="468"/>
      <c r="H330" s="468"/>
      <c r="I330" s="468"/>
      <c r="J330" s="468"/>
      <c r="K330" s="468"/>
      <c r="L330" s="468"/>
      <c r="M330" s="468"/>
      <c r="N330" s="468"/>
      <c r="O330" s="468"/>
      <c r="P330" s="468"/>
      <c r="Q330" s="468"/>
      <c r="R330" s="468"/>
      <c r="S330" s="468"/>
      <c r="T330" s="468"/>
      <c r="U330" s="468"/>
      <c r="V330" s="468"/>
      <c r="W330" s="468"/>
      <c r="X330" s="468"/>
      <c r="Y330" s="468"/>
      <c r="Z330" s="468"/>
      <c r="AA330" s="468"/>
      <c r="AB330" s="468"/>
      <c r="AC330" s="468"/>
      <c r="AD330" s="468"/>
      <c r="AE330" s="468"/>
      <c r="AF330" s="468"/>
      <c r="AG330" s="468"/>
      <c r="AH330" s="468"/>
      <c r="AI330" s="468"/>
      <c r="AJ330" s="468"/>
    </row>
    <row r="331" spans="1:36" ht="18" customHeight="1" x14ac:dyDescent="0.35">
      <c r="A331" s="468"/>
      <c r="B331" s="468"/>
      <c r="C331" s="468"/>
      <c r="D331" s="468"/>
      <c r="E331" s="468"/>
      <c r="F331" s="468"/>
      <c r="G331" s="468"/>
      <c r="H331" s="468"/>
      <c r="I331" s="468"/>
      <c r="J331" s="468"/>
      <c r="K331" s="468"/>
      <c r="L331" s="468"/>
      <c r="M331" s="468"/>
      <c r="N331" s="468"/>
      <c r="O331" s="468"/>
      <c r="P331" s="468"/>
      <c r="Q331" s="468"/>
      <c r="R331" s="468"/>
      <c r="S331" s="468"/>
      <c r="T331" s="468"/>
      <c r="U331" s="468"/>
      <c r="V331" s="468"/>
      <c r="W331" s="468"/>
      <c r="X331" s="468"/>
      <c r="Y331" s="468"/>
      <c r="Z331" s="468"/>
      <c r="AA331" s="468"/>
      <c r="AB331" s="468"/>
      <c r="AC331" s="468"/>
      <c r="AD331" s="468"/>
      <c r="AE331" s="468"/>
      <c r="AF331" s="468"/>
      <c r="AG331" s="468"/>
      <c r="AH331" s="468"/>
      <c r="AI331" s="468"/>
      <c r="AJ331" s="468"/>
    </row>
    <row r="332" spans="1:36" ht="18" customHeight="1" x14ac:dyDescent="0.35">
      <c r="A332" s="468"/>
      <c r="B332" s="468"/>
      <c r="C332" s="468"/>
      <c r="D332" s="468"/>
      <c r="E332" s="468"/>
      <c r="F332" s="468"/>
      <c r="G332" s="468"/>
      <c r="H332" s="468"/>
      <c r="I332" s="468"/>
      <c r="J332" s="468"/>
      <c r="K332" s="468"/>
      <c r="L332" s="468"/>
      <c r="M332" s="468"/>
      <c r="N332" s="468"/>
      <c r="O332" s="468"/>
      <c r="P332" s="468"/>
      <c r="Q332" s="468"/>
      <c r="R332" s="468"/>
      <c r="S332" s="468"/>
      <c r="T332" s="468"/>
      <c r="U332" s="468"/>
      <c r="V332" s="468"/>
      <c r="W332" s="468"/>
      <c r="X332" s="468"/>
      <c r="Y332" s="468"/>
      <c r="Z332" s="468"/>
      <c r="AA332" s="468"/>
      <c r="AB332" s="468"/>
      <c r="AC332" s="468"/>
      <c r="AD332" s="468"/>
      <c r="AE332" s="468"/>
      <c r="AF332" s="468"/>
      <c r="AG332" s="468"/>
      <c r="AH332" s="468"/>
      <c r="AI332" s="468"/>
      <c r="AJ332" s="468"/>
    </row>
    <row r="333" spans="1:36" ht="18" customHeight="1" x14ac:dyDescent="0.35">
      <c r="A333" s="468"/>
      <c r="B333" s="468"/>
      <c r="C333" s="468"/>
      <c r="D333" s="468"/>
      <c r="E333" s="468"/>
      <c r="F333" s="468"/>
      <c r="G333" s="468"/>
      <c r="H333" s="468"/>
      <c r="I333" s="468"/>
      <c r="J333" s="468"/>
      <c r="K333" s="468"/>
      <c r="L333" s="468"/>
      <c r="M333" s="468"/>
      <c r="N333" s="468"/>
      <c r="O333" s="468"/>
      <c r="P333" s="468"/>
      <c r="Q333" s="468"/>
      <c r="R333" s="468"/>
      <c r="S333" s="468"/>
      <c r="T333" s="468"/>
      <c r="U333" s="468"/>
      <c r="V333" s="468"/>
      <c r="W333" s="468"/>
      <c r="X333" s="468"/>
      <c r="Y333" s="468"/>
      <c r="Z333" s="468"/>
      <c r="AA333" s="468"/>
      <c r="AB333" s="468"/>
      <c r="AC333" s="468"/>
      <c r="AD333" s="468"/>
      <c r="AE333" s="468"/>
      <c r="AF333" s="468"/>
      <c r="AG333" s="468"/>
      <c r="AH333" s="468"/>
      <c r="AI333" s="468"/>
      <c r="AJ333" s="468"/>
    </row>
    <row r="334" spans="1:36" ht="18" customHeight="1" x14ac:dyDescent="0.35">
      <c r="A334" s="468"/>
      <c r="B334" s="468"/>
      <c r="C334" s="468"/>
      <c r="D334" s="468"/>
      <c r="E334" s="468"/>
      <c r="F334" s="468"/>
      <c r="G334" s="468"/>
      <c r="H334" s="468"/>
      <c r="I334" s="468"/>
      <c r="J334" s="468"/>
      <c r="K334" s="468"/>
      <c r="L334" s="468"/>
      <c r="M334" s="468"/>
      <c r="N334" s="468"/>
      <c r="O334" s="468"/>
      <c r="P334" s="468"/>
      <c r="Q334" s="468"/>
      <c r="R334" s="468"/>
      <c r="S334" s="468"/>
      <c r="T334" s="468"/>
      <c r="U334" s="468"/>
      <c r="V334" s="468"/>
      <c r="W334" s="468"/>
      <c r="X334" s="468"/>
      <c r="Y334" s="468"/>
      <c r="Z334" s="468"/>
      <c r="AA334" s="468"/>
      <c r="AB334" s="468"/>
      <c r="AC334" s="468"/>
      <c r="AD334" s="468"/>
      <c r="AE334" s="468"/>
      <c r="AF334" s="468"/>
      <c r="AG334" s="468"/>
      <c r="AH334" s="468"/>
      <c r="AI334" s="468"/>
      <c r="AJ334" s="468"/>
    </row>
    <row r="335" spans="1:36" ht="18" customHeight="1" x14ac:dyDescent="0.35">
      <c r="A335" s="468"/>
      <c r="B335" s="468"/>
      <c r="C335" s="468"/>
      <c r="D335" s="468"/>
      <c r="E335" s="468"/>
      <c r="F335" s="468"/>
      <c r="G335" s="468"/>
      <c r="H335" s="468"/>
      <c r="I335" s="468"/>
      <c r="J335" s="468"/>
      <c r="K335" s="468"/>
      <c r="L335" s="468"/>
      <c r="M335" s="468"/>
      <c r="N335" s="468"/>
      <c r="O335" s="468"/>
      <c r="P335" s="468"/>
      <c r="Q335" s="468"/>
      <c r="R335" s="468"/>
      <c r="S335" s="468"/>
      <c r="T335" s="468"/>
      <c r="U335" s="468"/>
      <c r="V335" s="468"/>
      <c r="W335" s="468"/>
      <c r="X335" s="468"/>
      <c r="Y335" s="468"/>
      <c r="Z335" s="468"/>
      <c r="AA335" s="468"/>
      <c r="AB335" s="468"/>
      <c r="AC335" s="468"/>
      <c r="AD335" s="468"/>
      <c r="AE335" s="468"/>
      <c r="AF335" s="468"/>
      <c r="AG335" s="468"/>
      <c r="AH335" s="468"/>
      <c r="AI335" s="468"/>
      <c r="AJ335" s="468"/>
    </row>
    <row r="336" spans="1:36" ht="18" customHeight="1" x14ac:dyDescent="0.35">
      <c r="A336" s="468"/>
      <c r="B336" s="468"/>
      <c r="C336" s="468"/>
      <c r="D336" s="468"/>
      <c r="E336" s="468"/>
      <c r="F336" s="468"/>
      <c r="G336" s="468"/>
      <c r="H336" s="468"/>
      <c r="I336" s="468"/>
      <c r="J336" s="468"/>
      <c r="K336" s="468"/>
      <c r="L336" s="468"/>
      <c r="M336" s="468"/>
      <c r="N336" s="468"/>
      <c r="O336" s="468"/>
      <c r="P336" s="468"/>
      <c r="Q336" s="468"/>
      <c r="R336" s="468"/>
      <c r="S336" s="468"/>
      <c r="T336" s="468"/>
      <c r="U336" s="468"/>
      <c r="V336" s="468"/>
      <c r="W336" s="468"/>
      <c r="X336" s="468"/>
      <c r="Y336" s="468"/>
      <c r="Z336" s="468"/>
      <c r="AA336" s="468"/>
      <c r="AB336" s="468"/>
      <c r="AC336" s="468"/>
      <c r="AD336" s="468"/>
      <c r="AE336" s="468"/>
      <c r="AF336" s="468"/>
      <c r="AG336" s="468"/>
      <c r="AH336" s="468"/>
      <c r="AI336" s="468"/>
      <c r="AJ336" s="468"/>
    </row>
    <row r="337" spans="1:36" ht="18" customHeight="1" x14ac:dyDescent="0.35">
      <c r="A337" s="468"/>
      <c r="B337" s="468"/>
      <c r="C337" s="468"/>
      <c r="D337" s="468"/>
      <c r="E337" s="468"/>
      <c r="F337" s="468"/>
      <c r="G337" s="468"/>
      <c r="H337" s="468"/>
      <c r="I337" s="468"/>
      <c r="J337" s="468"/>
      <c r="K337" s="468"/>
      <c r="L337" s="468"/>
      <c r="M337" s="468"/>
      <c r="N337" s="468"/>
      <c r="O337" s="468"/>
      <c r="P337" s="468"/>
      <c r="Q337" s="468"/>
      <c r="R337" s="468"/>
      <c r="S337" s="468"/>
      <c r="T337" s="468"/>
      <c r="U337" s="468"/>
      <c r="V337" s="468"/>
      <c r="W337" s="468"/>
      <c r="X337" s="468"/>
      <c r="Y337" s="468"/>
      <c r="Z337" s="468"/>
      <c r="AA337" s="468"/>
      <c r="AB337" s="468"/>
      <c r="AC337" s="468"/>
      <c r="AD337" s="468"/>
      <c r="AE337" s="468"/>
      <c r="AF337" s="468"/>
      <c r="AG337" s="468"/>
      <c r="AH337" s="468"/>
      <c r="AI337" s="468"/>
      <c r="AJ337" s="468"/>
    </row>
    <row r="338" spans="1:36" ht="18" customHeight="1" x14ac:dyDescent="0.35">
      <c r="A338" s="468"/>
      <c r="B338" s="468"/>
      <c r="C338" s="468"/>
      <c r="D338" s="468"/>
      <c r="E338" s="468"/>
      <c r="F338" s="468"/>
      <c r="G338" s="468"/>
      <c r="H338" s="468"/>
      <c r="I338" s="468"/>
      <c r="J338" s="468"/>
      <c r="K338" s="468"/>
      <c r="L338" s="468"/>
      <c r="M338" s="468"/>
      <c r="N338" s="468"/>
      <c r="O338" s="468"/>
      <c r="P338" s="468"/>
      <c r="Q338" s="468"/>
      <c r="R338" s="468"/>
      <c r="S338" s="468"/>
      <c r="T338" s="468"/>
      <c r="U338" s="468"/>
      <c r="V338" s="468"/>
      <c r="W338" s="468"/>
      <c r="X338" s="468"/>
      <c r="Y338" s="468"/>
      <c r="Z338" s="468"/>
      <c r="AA338" s="468"/>
      <c r="AB338" s="468"/>
      <c r="AC338" s="468"/>
      <c r="AD338" s="468"/>
      <c r="AE338" s="468"/>
      <c r="AF338" s="468"/>
      <c r="AG338" s="468"/>
      <c r="AH338" s="468"/>
      <c r="AI338" s="468"/>
      <c r="AJ338" s="468"/>
    </row>
    <row r="339" spans="1:36" ht="18" customHeight="1" x14ac:dyDescent="0.35">
      <c r="A339" s="468"/>
      <c r="B339" s="468"/>
      <c r="C339" s="468"/>
      <c r="D339" s="468"/>
      <c r="E339" s="468"/>
      <c r="F339" s="468"/>
      <c r="G339" s="468"/>
      <c r="H339" s="468"/>
      <c r="I339" s="468"/>
      <c r="J339" s="468"/>
      <c r="K339" s="468"/>
      <c r="L339" s="468"/>
      <c r="M339" s="468"/>
      <c r="N339" s="468"/>
      <c r="O339" s="468"/>
      <c r="P339" s="468"/>
      <c r="Q339" s="468"/>
      <c r="R339" s="468"/>
      <c r="S339" s="468"/>
      <c r="T339" s="468"/>
      <c r="U339" s="468"/>
      <c r="V339" s="468"/>
      <c r="W339" s="468"/>
      <c r="X339" s="468"/>
      <c r="Y339" s="468"/>
      <c r="Z339" s="468"/>
      <c r="AA339" s="468"/>
      <c r="AB339" s="468"/>
      <c r="AC339" s="468"/>
      <c r="AD339" s="468"/>
      <c r="AE339" s="468"/>
      <c r="AF339" s="468"/>
      <c r="AG339" s="468"/>
      <c r="AH339" s="468"/>
      <c r="AI339" s="468"/>
      <c r="AJ339" s="468"/>
    </row>
    <row r="340" spans="1:36" ht="18" customHeight="1" x14ac:dyDescent="0.35">
      <c r="A340" s="468"/>
      <c r="B340" s="468"/>
      <c r="C340" s="468"/>
      <c r="D340" s="468"/>
      <c r="E340" s="468"/>
      <c r="F340" s="468"/>
      <c r="G340" s="468"/>
      <c r="H340" s="468"/>
      <c r="I340" s="468"/>
      <c r="J340" s="468"/>
      <c r="K340" s="468"/>
      <c r="L340" s="468"/>
      <c r="M340" s="468"/>
      <c r="N340" s="468"/>
      <c r="O340" s="468"/>
      <c r="P340" s="468"/>
      <c r="Q340" s="468"/>
      <c r="R340" s="468"/>
      <c r="S340" s="468"/>
      <c r="T340" s="468"/>
      <c r="U340" s="468"/>
      <c r="V340" s="468"/>
      <c r="W340" s="468"/>
      <c r="X340" s="468"/>
      <c r="Y340" s="468"/>
      <c r="Z340" s="468"/>
      <c r="AA340" s="468"/>
      <c r="AB340" s="468"/>
      <c r="AC340" s="468"/>
      <c r="AD340" s="468"/>
      <c r="AE340" s="468"/>
      <c r="AF340" s="468"/>
      <c r="AG340" s="468"/>
      <c r="AH340" s="468"/>
      <c r="AI340" s="468"/>
      <c r="AJ340" s="468"/>
    </row>
    <row r="341" spans="1:36" ht="18" customHeight="1" x14ac:dyDescent="0.35">
      <c r="A341" s="468"/>
      <c r="B341" s="468"/>
      <c r="C341" s="468"/>
      <c r="D341" s="468"/>
      <c r="E341" s="468"/>
      <c r="F341" s="468"/>
      <c r="G341" s="468"/>
      <c r="H341" s="468"/>
      <c r="I341" s="468"/>
      <c r="J341" s="468"/>
      <c r="K341" s="468"/>
      <c r="L341" s="468"/>
      <c r="M341" s="468"/>
      <c r="N341" s="468"/>
      <c r="O341" s="468"/>
      <c r="P341" s="468"/>
      <c r="Q341" s="468"/>
      <c r="R341" s="468"/>
      <c r="S341" s="468"/>
      <c r="T341" s="468"/>
      <c r="U341" s="468"/>
      <c r="V341" s="468"/>
      <c r="W341" s="468"/>
      <c r="X341" s="468"/>
      <c r="Y341" s="468"/>
      <c r="Z341" s="468"/>
      <c r="AA341" s="468"/>
      <c r="AB341" s="468"/>
      <c r="AC341" s="468"/>
      <c r="AD341" s="468"/>
      <c r="AE341" s="468"/>
      <c r="AF341" s="468"/>
      <c r="AG341" s="468"/>
      <c r="AH341" s="468"/>
      <c r="AI341" s="468"/>
      <c r="AJ341" s="468"/>
    </row>
    <row r="342" spans="1:36" ht="18" customHeight="1" x14ac:dyDescent="0.35">
      <c r="A342" s="468"/>
      <c r="B342" s="468"/>
      <c r="C342" s="468"/>
      <c r="D342" s="468"/>
      <c r="E342" s="468"/>
      <c r="F342" s="468"/>
      <c r="G342" s="468"/>
      <c r="H342" s="468"/>
      <c r="I342" s="468"/>
      <c r="J342" s="468"/>
      <c r="K342" s="468"/>
      <c r="L342" s="468"/>
      <c r="M342" s="468"/>
      <c r="N342" s="468"/>
      <c r="O342" s="468"/>
      <c r="P342" s="468"/>
      <c r="Q342" s="468"/>
      <c r="R342" s="468"/>
      <c r="S342" s="468"/>
      <c r="T342" s="468"/>
      <c r="U342" s="468"/>
      <c r="V342" s="468"/>
      <c r="W342" s="468"/>
      <c r="X342" s="468"/>
      <c r="Y342" s="468"/>
      <c r="Z342" s="468"/>
      <c r="AA342" s="468"/>
      <c r="AB342" s="468"/>
      <c r="AC342" s="468"/>
      <c r="AD342" s="468"/>
      <c r="AE342" s="468"/>
      <c r="AF342" s="468"/>
      <c r="AG342" s="468"/>
      <c r="AH342" s="468"/>
      <c r="AI342" s="468"/>
      <c r="AJ342" s="468"/>
    </row>
    <row r="343" spans="1:36" ht="18" customHeight="1" x14ac:dyDescent="0.35">
      <c r="A343" s="468"/>
      <c r="B343" s="468"/>
      <c r="C343" s="468"/>
      <c r="D343" s="468"/>
      <c r="E343" s="468"/>
      <c r="F343" s="468"/>
      <c r="G343" s="468"/>
      <c r="H343" s="468"/>
      <c r="I343" s="468"/>
      <c r="J343" s="468"/>
      <c r="K343" s="468"/>
      <c r="L343" s="468"/>
      <c r="M343" s="468"/>
      <c r="N343" s="468"/>
      <c r="O343" s="468"/>
      <c r="P343" s="468"/>
      <c r="Q343" s="468"/>
      <c r="R343" s="468"/>
      <c r="S343" s="468"/>
      <c r="T343" s="468"/>
      <c r="U343" s="468"/>
      <c r="V343" s="468"/>
      <c r="W343" s="468"/>
      <c r="X343" s="468"/>
      <c r="Y343" s="468"/>
      <c r="Z343" s="468"/>
      <c r="AA343" s="468"/>
      <c r="AB343" s="468"/>
      <c r="AC343" s="468"/>
      <c r="AD343" s="468"/>
      <c r="AE343" s="468"/>
      <c r="AF343" s="468"/>
      <c r="AG343" s="468"/>
      <c r="AH343" s="468"/>
      <c r="AI343" s="468"/>
      <c r="AJ343" s="468"/>
    </row>
    <row r="344" spans="1:36" ht="18" customHeight="1" x14ac:dyDescent="0.35">
      <c r="A344" s="468"/>
      <c r="B344" s="468"/>
      <c r="C344" s="468"/>
      <c r="D344" s="468"/>
      <c r="E344" s="468"/>
      <c r="F344" s="468"/>
      <c r="G344" s="468"/>
      <c r="H344" s="468"/>
      <c r="I344" s="468"/>
      <c r="J344" s="468"/>
      <c r="K344" s="468"/>
      <c r="L344" s="468"/>
      <c r="M344" s="468"/>
      <c r="N344" s="468"/>
      <c r="O344" s="468"/>
      <c r="P344" s="468"/>
      <c r="Q344" s="468"/>
      <c r="R344" s="468"/>
      <c r="S344" s="468"/>
      <c r="T344" s="468"/>
      <c r="U344" s="468"/>
      <c r="V344" s="468"/>
      <c r="W344" s="468"/>
      <c r="X344" s="468"/>
      <c r="Y344" s="468"/>
      <c r="Z344" s="468"/>
      <c r="AA344" s="468"/>
      <c r="AB344" s="468"/>
      <c r="AC344" s="468"/>
      <c r="AD344" s="468"/>
      <c r="AE344" s="468"/>
      <c r="AF344" s="468"/>
      <c r="AG344" s="468"/>
      <c r="AH344" s="468"/>
      <c r="AI344" s="468"/>
      <c r="AJ344" s="468"/>
    </row>
    <row r="345" spans="1:36" ht="18" customHeight="1" x14ac:dyDescent="0.35">
      <c r="A345" s="468"/>
      <c r="B345" s="468"/>
      <c r="C345" s="468"/>
      <c r="D345" s="468"/>
      <c r="E345" s="468"/>
      <c r="F345" s="468"/>
      <c r="G345" s="468"/>
      <c r="H345" s="468"/>
      <c r="I345" s="468"/>
      <c r="J345" s="468"/>
      <c r="K345" s="468"/>
      <c r="L345" s="468"/>
      <c r="M345" s="468"/>
      <c r="N345" s="468"/>
      <c r="O345" s="468"/>
      <c r="P345" s="468"/>
      <c r="Q345" s="468"/>
      <c r="R345" s="468"/>
      <c r="S345" s="468"/>
      <c r="T345" s="468"/>
      <c r="U345" s="468"/>
      <c r="V345" s="468"/>
      <c r="W345" s="468"/>
      <c r="X345" s="468"/>
      <c r="Y345" s="468"/>
      <c r="Z345" s="468"/>
      <c r="AA345" s="468"/>
      <c r="AB345" s="468"/>
      <c r="AC345" s="468"/>
      <c r="AD345" s="468"/>
      <c r="AE345" s="468"/>
      <c r="AF345" s="468"/>
      <c r="AG345" s="468"/>
      <c r="AH345" s="468"/>
      <c r="AI345" s="468"/>
      <c r="AJ345" s="468"/>
    </row>
    <row r="346" spans="1:36" ht="18" customHeight="1" x14ac:dyDescent="0.35">
      <c r="A346" s="468"/>
      <c r="B346" s="468"/>
      <c r="C346" s="468"/>
      <c r="D346" s="468"/>
      <c r="E346" s="468"/>
      <c r="F346" s="468"/>
      <c r="G346" s="468"/>
      <c r="H346" s="468"/>
      <c r="I346" s="468"/>
      <c r="J346" s="468"/>
      <c r="K346" s="468"/>
      <c r="L346" s="468"/>
      <c r="M346" s="468"/>
      <c r="N346" s="468"/>
      <c r="O346" s="468"/>
      <c r="P346" s="468"/>
      <c r="Q346" s="468"/>
      <c r="R346" s="468"/>
      <c r="S346" s="468"/>
      <c r="T346" s="468"/>
      <c r="U346" s="468"/>
      <c r="V346" s="468"/>
      <c r="W346" s="468"/>
      <c r="X346" s="468"/>
      <c r="Y346" s="468"/>
      <c r="Z346" s="468"/>
      <c r="AA346" s="468"/>
      <c r="AB346" s="468"/>
      <c r="AC346" s="468"/>
      <c r="AD346" s="468"/>
      <c r="AE346" s="468"/>
      <c r="AF346" s="468"/>
      <c r="AG346" s="468"/>
      <c r="AH346" s="468"/>
      <c r="AI346" s="468"/>
      <c r="AJ346" s="468"/>
    </row>
    <row r="347" spans="1:36" ht="18" customHeight="1" x14ac:dyDescent="0.35">
      <c r="A347" s="468"/>
      <c r="B347" s="468"/>
      <c r="C347" s="468"/>
      <c r="D347" s="468"/>
      <c r="E347" s="468"/>
      <c r="F347" s="468"/>
      <c r="G347" s="468"/>
      <c r="H347" s="468"/>
      <c r="I347" s="468"/>
      <c r="J347" s="468"/>
      <c r="K347" s="468"/>
      <c r="L347" s="468"/>
      <c r="M347" s="468"/>
      <c r="N347" s="468"/>
      <c r="O347" s="468"/>
      <c r="P347" s="468"/>
      <c r="Q347" s="468"/>
      <c r="R347" s="468"/>
      <c r="S347" s="468"/>
      <c r="T347" s="468"/>
      <c r="U347" s="468"/>
      <c r="V347" s="468"/>
      <c r="W347" s="468"/>
      <c r="X347" s="468"/>
      <c r="Y347" s="468"/>
      <c r="Z347" s="468"/>
      <c r="AA347" s="468"/>
      <c r="AB347" s="468"/>
      <c r="AC347" s="468"/>
      <c r="AD347" s="468"/>
      <c r="AE347" s="468"/>
      <c r="AF347" s="468"/>
      <c r="AG347" s="468"/>
      <c r="AH347" s="468"/>
      <c r="AI347" s="468"/>
      <c r="AJ347" s="468"/>
    </row>
    <row r="348" spans="1:36" ht="18" customHeight="1" x14ac:dyDescent="0.35">
      <c r="A348" s="468"/>
      <c r="B348" s="468"/>
      <c r="C348" s="468"/>
      <c r="D348" s="468"/>
      <c r="E348" s="468"/>
      <c r="F348" s="468"/>
      <c r="G348" s="468"/>
      <c r="H348" s="468"/>
      <c r="I348" s="468"/>
      <c r="J348" s="468"/>
      <c r="K348" s="468"/>
      <c r="L348" s="468"/>
      <c r="M348" s="468"/>
      <c r="N348" s="468"/>
      <c r="O348" s="468"/>
      <c r="P348" s="468"/>
      <c r="Q348" s="468"/>
      <c r="R348" s="468"/>
      <c r="S348" s="468"/>
      <c r="T348" s="468"/>
      <c r="U348" s="468"/>
      <c r="V348" s="468"/>
      <c r="W348" s="468"/>
      <c r="X348" s="468"/>
      <c r="Y348" s="468"/>
      <c r="Z348" s="468"/>
      <c r="AA348" s="468"/>
      <c r="AB348" s="468"/>
      <c r="AC348" s="468"/>
      <c r="AD348" s="468"/>
      <c r="AE348" s="468"/>
      <c r="AF348" s="468"/>
      <c r="AG348" s="468"/>
      <c r="AH348" s="468"/>
      <c r="AI348" s="468"/>
      <c r="AJ348" s="468"/>
    </row>
    <row r="349" spans="1:36" ht="18" customHeight="1" x14ac:dyDescent="0.35">
      <c r="A349" s="468"/>
      <c r="B349" s="468"/>
      <c r="C349" s="468"/>
      <c r="D349" s="468"/>
      <c r="E349" s="468"/>
      <c r="F349" s="468"/>
      <c r="G349" s="468"/>
      <c r="H349" s="468"/>
      <c r="I349" s="468"/>
      <c r="J349" s="468"/>
      <c r="K349" s="468"/>
      <c r="L349" s="468"/>
      <c r="M349" s="468"/>
      <c r="N349" s="468"/>
      <c r="O349" s="468"/>
      <c r="P349" s="468"/>
      <c r="Q349" s="468"/>
      <c r="R349" s="468"/>
      <c r="S349" s="468"/>
      <c r="T349" s="468"/>
      <c r="U349" s="468"/>
      <c r="V349" s="468"/>
      <c r="W349" s="468"/>
      <c r="X349" s="468"/>
      <c r="Y349" s="468"/>
      <c r="Z349" s="468"/>
      <c r="AA349" s="468"/>
      <c r="AB349" s="468"/>
      <c r="AC349" s="468"/>
      <c r="AD349" s="468"/>
      <c r="AE349" s="468"/>
      <c r="AF349" s="468"/>
      <c r="AG349" s="468"/>
      <c r="AH349" s="468"/>
      <c r="AI349" s="468"/>
      <c r="AJ349" s="468"/>
    </row>
    <row r="350" spans="1:36" ht="18" customHeight="1" x14ac:dyDescent="0.35">
      <c r="A350" s="468"/>
      <c r="B350" s="468"/>
      <c r="C350" s="468"/>
      <c r="D350" s="468"/>
      <c r="E350" s="468"/>
      <c r="F350" s="468"/>
      <c r="G350" s="468"/>
      <c r="H350" s="468"/>
      <c r="I350" s="468"/>
      <c r="J350" s="468"/>
      <c r="K350" s="468"/>
      <c r="L350" s="468"/>
      <c r="M350" s="468"/>
      <c r="N350" s="468"/>
      <c r="O350" s="468"/>
      <c r="P350" s="468"/>
      <c r="Q350" s="468"/>
      <c r="R350" s="468"/>
      <c r="S350" s="468"/>
      <c r="T350" s="468"/>
      <c r="U350" s="468"/>
      <c r="V350" s="468"/>
      <c r="W350" s="468"/>
      <c r="X350" s="468"/>
      <c r="Y350" s="468"/>
      <c r="Z350" s="468"/>
      <c r="AA350" s="468"/>
      <c r="AB350" s="468"/>
      <c r="AC350" s="468"/>
      <c r="AD350" s="468"/>
      <c r="AE350" s="468"/>
      <c r="AF350" s="468"/>
      <c r="AG350" s="468"/>
      <c r="AH350" s="468"/>
      <c r="AI350" s="468"/>
      <c r="AJ350" s="468"/>
    </row>
    <row r="351" spans="1:36" ht="18" customHeight="1" x14ac:dyDescent="0.35">
      <c r="A351" s="468"/>
      <c r="B351" s="468"/>
      <c r="C351" s="468"/>
      <c r="D351" s="468"/>
      <c r="E351" s="468"/>
      <c r="F351" s="468"/>
      <c r="G351" s="468"/>
      <c r="H351" s="468"/>
      <c r="I351" s="468"/>
      <c r="J351" s="468"/>
      <c r="K351" s="468"/>
      <c r="L351" s="468"/>
      <c r="M351" s="468"/>
      <c r="N351" s="468"/>
      <c r="O351" s="468"/>
      <c r="P351" s="468"/>
      <c r="Q351" s="468"/>
      <c r="R351" s="468"/>
      <c r="S351" s="468"/>
      <c r="T351" s="468"/>
      <c r="U351" s="468"/>
      <c r="V351" s="468"/>
      <c r="W351" s="468"/>
      <c r="X351" s="468"/>
      <c r="Y351" s="468"/>
      <c r="Z351" s="468"/>
      <c r="AA351" s="468"/>
      <c r="AB351" s="468"/>
      <c r="AC351" s="468"/>
      <c r="AD351" s="468"/>
      <c r="AE351" s="468"/>
      <c r="AF351" s="468"/>
      <c r="AG351" s="468"/>
      <c r="AH351" s="468"/>
      <c r="AI351" s="468"/>
      <c r="AJ351" s="468"/>
    </row>
    <row r="352" spans="1:36" ht="18" customHeight="1" x14ac:dyDescent="0.35">
      <c r="A352" s="468"/>
      <c r="B352" s="468"/>
      <c r="C352" s="468"/>
      <c r="D352" s="468"/>
      <c r="E352" s="468"/>
      <c r="F352" s="468"/>
      <c r="G352" s="468"/>
      <c r="H352" s="468"/>
      <c r="I352" s="468"/>
      <c r="J352" s="468"/>
      <c r="K352" s="468"/>
      <c r="L352" s="468"/>
      <c r="M352" s="468"/>
      <c r="N352" s="468"/>
      <c r="O352" s="468"/>
      <c r="P352" s="468"/>
      <c r="Q352" s="468"/>
      <c r="R352" s="468"/>
      <c r="S352" s="468"/>
      <c r="T352" s="468"/>
      <c r="U352" s="468"/>
      <c r="V352" s="468"/>
      <c r="W352" s="468"/>
      <c r="X352" s="468"/>
      <c r="Y352" s="468"/>
      <c r="Z352" s="468"/>
      <c r="AA352" s="468"/>
      <c r="AB352" s="468"/>
      <c r="AC352" s="468"/>
      <c r="AD352" s="468"/>
      <c r="AE352" s="468"/>
      <c r="AF352" s="468"/>
      <c r="AG352" s="468"/>
      <c r="AH352" s="468"/>
      <c r="AI352" s="468"/>
      <c r="AJ352" s="468"/>
    </row>
    <row r="353" spans="1:36" ht="18" customHeight="1" x14ac:dyDescent="0.35">
      <c r="A353" s="468"/>
      <c r="B353" s="468"/>
      <c r="C353" s="468"/>
      <c r="D353" s="468"/>
      <c r="E353" s="468"/>
      <c r="F353" s="468"/>
      <c r="G353" s="468"/>
      <c r="H353" s="468"/>
      <c r="I353" s="468"/>
      <c r="J353" s="468"/>
      <c r="K353" s="468"/>
      <c r="L353" s="468"/>
      <c r="M353" s="468"/>
      <c r="N353" s="468"/>
      <c r="O353" s="468"/>
      <c r="P353" s="468"/>
      <c r="Q353" s="468"/>
      <c r="R353" s="468"/>
      <c r="S353" s="468"/>
      <c r="T353" s="468"/>
      <c r="U353" s="468"/>
      <c r="V353" s="468"/>
      <c r="W353" s="468"/>
      <c r="X353" s="468"/>
      <c r="Y353" s="468"/>
      <c r="Z353" s="468"/>
      <c r="AA353" s="468"/>
      <c r="AB353" s="468"/>
      <c r="AC353" s="468"/>
      <c r="AD353" s="468"/>
      <c r="AE353" s="468"/>
      <c r="AF353" s="468"/>
      <c r="AG353" s="468"/>
      <c r="AH353" s="468"/>
      <c r="AI353" s="468"/>
      <c r="AJ353" s="468"/>
    </row>
    <row r="354" spans="1:36" ht="18" customHeight="1" x14ac:dyDescent="0.35">
      <c r="A354" s="468"/>
      <c r="B354" s="468"/>
      <c r="C354" s="468"/>
      <c r="D354" s="468"/>
      <c r="E354" s="468"/>
      <c r="F354" s="468"/>
      <c r="G354" s="468"/>
      <c r="H354" s="468"/>
      <c r="I354" s="468"/>
      <c r="J354" s="468"/>
      <c r="K354" s="468"/>
      <c r="L354" s="468"/>
      <c r="M354" s="468"/>
      <c r="N354" s="468"/>
      <c r="O354" s="468"/>
      <c r="P354" s="468"/>
      <c r="Q354" s="468"/>
      <c r="R354" s="468"/>
      <c r="S354" s="468"/>
      <c r="T354" s="468"/>
      <c r="U354" s="468"/>
      <c r="V354" s="468"/>
      <c r="W354" s="468"/>
      <c r="X354" s="468"/>
      <c r="Y354" s="468"/>
      <c r="Z354" s="468"/>
      <c r="AA354" s="468"/>
      <c r="AB354" s="468"/>
      <c r="AC354" s="468"/>
      <c r="AD354" s="468"/>
      <c r="AE354" s="468"/>
      <c r="AF354" s="468"/>
      <c r="AG354" s="468"/>
      <c r="AH354" s="468"/>
      <c r="AI354" s="468"/>
      <c r="AJ354" s="468"/>
    </row>
    <row r="355" spans="1:36" ht="18" customHeight="1" x14ac:dyDescent="0.35">
      <c r="A355" s="468"/>
      <c r="B355" s="468"/>
      <c r="C355" s="468"/>
      <c r="D355" s="468"/>
      <c r="E355" s="468"/>
      <c r="F355" s="468"/>
      <c r="G355" s="468"/>
      <c r="H355" s="468"/>
      <c r="I355" s="468"/>
      <c r="J355" s="468"/>
      <c r="K355" s="468"/>
      <c r="L355" s="468"/>
      <c r="M355" s="468"/>
      <c r="N355" s="468"/>
      <c r="O355" s="468"/>
      <c r="P355" s="468"/>
      <c r="Q355" s="468"/>
      <c r="R355" s="468"/>
      <c r="S355" s="468"/>
      <c r="T355" s="468"/>
      <c r="U355" s="468"/>
      <c r="V355" s="468"/>
      <c r="W355" s="468"/>
      <c r="X355" s="468"/>
      <c r="Y355" s="468"/>
      <c r="Z355" s="468"/>
      <c r="AA355" s="468"/>
      <c r="AB355" s="468"/>
      <c r="AC355" s="468"/>
      <c r="AD355" s="468"/>
      <c r="AE355" s="468"/>
      <c r="AF355" s="468"/>
      <c r="AG355" s="468"/>
      <c r="AH355" s="468"/>
      <c r="AI355" s="468"/>
      <c r="AJ355" s="468"/>
    </row>
    <row r="356" spans="1:36" ht="18" customHeight="1" x14ac:dyDescent="0.35">
      <c r="A356" s="468"/>
      <c r="B356" s="468"/>
      <c r="C356" s="468"/>
      <c r="D356" s="468"/>
      <c r="E356" s="468"/>
      <c r="F356" s="468"/>
      <c r="G356" s="468"/>
      <c r="H356" s="468"/>
      <c r="I356" s="468"/>
      <c r="J356" s="468"/>
      <c r="K356" s="468"/>
      <c r="L356" s="468"/>
      <c r="M356" s="468"/>
      <c r="N356" s="468"/>
      <c r="O356" s="468"/>
      <c r="P356" s="468"/>
      <c r="Q356" s="468"/>
      <c r="R356" s="468"/>
      <c r="S356" s="468"/>
      <c r="T356" s="468"/>
      <c r="U356" s="468"/>
      <c r="V356" s="468"/>
      <c r="W356" s="468"/>
      <c r="X356" s="468"/>
      <c r="Y356" s="468"/>
      <c r="Z356" s="468"/>
      <c r="AA356" s="468"/>
      <c r="AB356" s="468"/>
      <c r="AC356" s="468"/>
      <c r="AD356" s="468"/>
      <c r="AE356" s="468"/>
      <c r="AF356" s="468"/>
      <c r="AG356" s="468"/>
      <c r="AH356" s="468"/>
      <c r="AI356" s="468"/>
      <c r="AJ356" s="468"/>
    </row>
    <row r="357" spans="1:36" ht="18" customHeight="1" x14ac:dyDescent="0.35">
      <c r="A357" s="468"/>
      <c r="B357" s="468"/>
      <c r="C357" s="468"/>
      <c r="D357" s="468"/>
      <c r="E357" s="468"/>
      <c r="F357" s="468"/>
      <c r="G357" s="468"/>
      <c r="H357" s="468"/>
      <c r="I357" s="468"/>
      <c r="J357" s="468"/>
      <c r="K357" s="468"/>
      <c r="L357" s="468"/>
      <c r="M357" s="468"/>
      <c r="N357" s="468"/>
      <c r="O357" s="468"/>
      <c r="P357" s="468"/>
      <c r="Q357" s="468"/>
      <c r="R357" s="468"/>
      <c r="S357" s="468"/>
      <c r="T357" s="468"/>
      <c r="U357" s="468"/>
      <c r="V357" s="468"/>
      <c r="W357" s="468"/>
      <c r="X357" s="468"/>
      <c r="Y357" s="468"/>
      <c r="Z357" s="468"/>
      <c r="AA357" s="468"/>
      <c r="AB357" s="468"/>
      <c r="AC357" s="468"/>
      <c r="AD357" s="468"/>
      <c r="AE357" s="468"/>
      <c r="AF357" s="468"/>
      <c r="AG357" s="468"/>
      <c r="AH357" s="468"/>
      <c r="AI357" s="468"/>
      <c r="AJ357" s="468"/>
    </row>
    <row r="358" spans="1:36" ht="18" customHeight="1" x14ac:dyDescent="0.35">
      <c r="A358" s="468"/>
      <c r="B358" s="468"/>
      <c r="C358" s="468"/>
      <c r="D358" s="468"/>
      <c r="E358" s="468"/>
      <c r="F358" s="468"/>
      <c r="G358" s="468"/>
      <c r="H358" s="468"/>
      <c r="I358" s="468"/>
      <c r="J358" s="468"/>
      <c r="K358" s="468"/>
      <c r="L358" s="468"/>
      <c r="M358" s="468"/>
      <c r="N358" s="468"/>
      <c r="O358" s="468"/>
      <c r="P358" s="468"/>
      <c r="Q358" s="468"/>
      <c r="R358" s="468"/>
      <c r="S358" s="468"/>
      <c r="T358" s="468"/>
      <c r="U358" s="468"/>
      <c r="V358" s="468"/>
      <c r="W358" s="468"/>
      <c r="X358" s="468"/>
      <c r="Y358" s="468"/>
      <c r="Z358" s="468"/>
      <c r="AA358" s="468"/>
      <c r="AB358" s="468"/>
      <c r="AC358" s="468"/>
      <c r="AD358" s="468"/>
      <c r="AE358" s="468"/>
      <c r="AF358" s="468"/>
      <c r="AG358" s="468"/>
      <c r="AH358" s="468"/>
      <c r="AI358" s="468"/>
      <c r="AJ358" s="468"/>
    </row>
    <row r="359" spans="1:36" ht="18" customHeight="1" x14ac:dyDescent="0.35">
      <c r="A359" s="468"/>
      <c r="B359" s="468"/>
      <c r="C359" s="468"/>
      <c r="D359" s="468"/>
      <c r="E359" s="468"/>
      <c r="F359" s="468"/>
      <c r="G359" s="468"/>
      <c r="H359" s="468"/>
      <c r="I359" s="468"/>
      <c r="J359" s="468"/>
      <c r="K359" s="468"/>
      <c r="L359" s="468"/>
      <c r="M359" s="468"/>
      <c r="N359" s="468"/>
      <c r="O359" s="468"/>
      <c r="P359" s="468"/>
      <c r="Q359" s="468"/>
      <c r="R359" s="468"/>
      <c r="S359" s="468"/>
      <c r="T359" s="468"/>
      <c r="U359" s="468"/>
      <c r="V359" s="468"/>
      <c r="W359" s="468"/>
      <c r="X359" s="468"/>
      <c r="Y359" s="468"/>
      <c r="Z359" s="468"/>
      <c r="AA359" s="468"/>
      <c r="AB359" s="468"/>
      <c r="AC359" s="468"/>
      <c r="AD359" s="468"/>
      <c r="AE359" s="468"/>
      <c r="AF359" s="468"/>
      <c r="AG359" s="468"/>
      <c r="AH359" s="468"/>
      <c r="AI359" s="468"/>
      <c r="AJ359" s="468"/>
    </row>
    <row r="360" spans="1:36" ht="18" customHeight="1" x14ac:dyDescent="0.35">
      <c r="A360" s="468"/>
      <c r="B360" s="468"/>
      <c r="C360" s="468"/>
      <c r="D360" s="468"/>
      <c r="E360" s="468"/>
      <c r="F360" s="468"/>
      <c r="G360" s="468"/>
      <c r="H360" s="468"/>
      <c r="I360" s="468"/>
      <c r="J360" s="468"/>
      <c r="K360" s="468"/>
      <c r="L360" s="468"/>
      <c r="M360" s="468"/>
      <c r="N360" s="468"/>
      <c r="O360" s="468"/>
      <c r="P360" s="468"/>
      <c r="Q360" s="468"/>
      <c r="R360" s="468"/>
      <c r="S360" s="468"/>
      <c r="T360" s="468"/>
      <c r="U360" s="468"/>
      <c r="V360" s="468"/>
      <c r="W360" s="468"/>
      <c r="X360" s="468"/>
      <c r="Y360" s="468"/>
      <c r="Z360" s="468"/>
      <c r="AA360" s="468"/>
      <c r="AB360" s="468"/>
      <c r="AC360" s="468"/>
      <c r="AD360" s="468"/>
      <c r="AE360" s="468"/>
      <c r="AF360" s="468"/>
      <c r="AG360" s="468"/>
      <c r="AH360" s="468"/>
      <c r="AI360" s="468"/>
      <c r="AJ360" s="468"/>
    </row>
    <row r="361" spans="1:36" ht="18" customHeight="1" x14ac:dyDescent="0.35">
      <c r="A361" s="468"/>
      <c r="B361" s="468"/>
      <c r="C361" s="468"/>
      <c r="D361" s="468"/>
      <c r="E361" s="468"/>
      <c r="F361" s="468"/>
      <c r="G361" s="468"/>
      <c r="H361" s="468"/>
      <c r="I361" s="468"/>
      <c r="J361" s="468"/>
      <c r="K361" s="468"/>
      <c r="L361" s="468"/>
      <c r="M361" s="468"/>
      <c r="N361" s="468"/>
      <c r="O361" s="468"/>
      <c r="P361" s="468"/>
      <c r="Q361" s="468"/>
      <c r="R361" s="468"/>
      <c r="S361" s="468"/>
      <c r="T361" s="468"/>
      <c r="U361" s="468"/>
      <c r="V361" s="468"/>
      <c r="W361" s="468"/>
      <c r="X361" s="468"/>
      <c r="Y361" s="468"/>
      <c r="Z361" s="468"/>
      <c r="AA361" s="468"/>
      <c r="AB361" s="468"/>
      <c r="AC361" s="468"/>
      <c r="AD361" s="468"/>
      <c r="AE361" s="468"/>
      <c r="AF361" s="468"/>
      <c r="AG361" s="468"/>
      <c r="AH361" s="468"/>
      <c r="AI361" s="468"/>
      <c r="AJ361" s="468"/>
    </row>
    <row r="362" spans="1:36" ht="18" customHeight="1" x14ac:dyDescent="0.35">
      <c r="A362" s="468"/>
      <c r="B362" s="468"/>
      <c r="C362" s="468"/>
      <c r="D362" s="468"/>
      <c r="E362" s="468"/>
      <c r="F362" s="468"/>
      <c r="G362" s="468"/>
      <c r="H362" s="468"/>
      <c r="I362" s="468"/>
      <c r="J362" s="468"/>
      <c r="K362" s="468"/>
      <c r="L362" s="468"/>
      <c r="M362" s="468"/>
      <c r="N362" s="468"/>
      <c r="O362" s="468"/>
      <c r="P362" s="468"/>
      <c r="Q362" s="468"/>
      <c r="R362" s="468"/>
      <c r="S362" s="468"/>
      <c r="T362" s="468"/>
      <c r="U362" s="468"/>
      <c r="V362" s="468"/>
      <c r="W362" s="468"/>
      <c r="X362" s="468"/>
      <c r="Y362" s="468"/>
      <c r="Z362" s="468"/>
      <c r="AA362" s="468"/>
      <c r="AB362" s="468"/>
      <c r="AC362" s="468"/>
      <c r="AD362" s="468"/>
      <c r="AE362" s="468"/>
      <c r="AF362" s="468"/>
      <c r="AG362" s="468"/>
      <c r="AH362" s="468"/>
      <c r="AI362" s="468"/>
      <c r="AJ362" s="468"/>
    </row>
    <row r="363" spans="1:36" ht="18" customHeight="1" x14ac:dyDescent="0.35">
      <c r="A363" s="468"/>
      <c r="B363" s="468"/>
      <c r="C363" s="468"/>
      <c r="D363" s="468"/>
      <c r="E363" s="468"/>
      <c r="F363" s="468"/>
      <c r="G363" s="468"/>
      <c r="H363" s="468"/>
      <c r="I363" s="468"/>
      <c r="J363" s="468"/>
      <c r="K363" s="468"/>
      <c r="L363" s="468"/>
      <c r="M363" s="468"/>
      <c r="N363" s="468"/>
      <c r="O363" s="468"/>
      <c r="P363" s="468"/>
      <c r="Q363" s="468"/>
      <c r="R363" s="468"/>
      <c r="S363" s="468"/>
      <c r="T363" s="468"/>
      <c r="U363" s="468"/>
      <c r="V363" s="468"/>
      <c r="W363" s="468"/>
      <c r="X363" s="468"/>
      <c r="Y363" s="468"/>
      <c r="Z363" s="468"/>
      <c r="AA363" s="468"/>
      <c r="AB363" s="468"/>
      <c r="AC363" s="468"/>
      <c r="AD363" s="468"/>
      <c r="AE363" s="468"/>
      <c r="AF363" s="468"/>
      <c r="AG363" s="468"/>
      <c r="AH363" s="468"/>
      <c r="AI363" s="468"/>
      <c r="AJ363" s="468"/>
    </row>
    <row r="364" spans="1:36" ht="18" customHeight="1" x14ac:dyDescent="0.35">
      <c r="A364" s="468"/>
      <c r="B364" s="468"/>
      <c r="C364" s="468"/>
      <c r="D364" s="468"/>
      <c r="E364" s="468"/>
      <c r="F364" s="468"/>
      <c r="G364" s="468"/>
      <c r="H364" s="468"/>
      <c r="I364" s="468"/>
      <c r="J364" s="468"/>
      <c r="K364" s="468"/>
      <c r="L364" s="468"/>
      <c r="M364" s="468"/>
      <c r="N364" s="468"/>
      <c r="O364" s="468"/>
      <c r="P364" s="468"/>
      <c r="Q364" s="468"/>
      <c r="R364" s="468"/>
      <c r="S364" s="468"/>
      <c r="T364" s="468"/>
      <c r="U364" s="468"/>
      <c r="V364" s="468"/>
      <c r="W364" s="468"/>
      <c r="X364" s="468"/>
      <c r="Y364" s="468"/>
      <c r="Z364" s="468"/>
      <c r="AA364" s="468"/>
      <c r="AB364" s="468"/>
      <c r="AC364" s="468"/>
      <c r="AD364" s="468"/>
      <c r="AE364" s="468"/>
      <c r="AF364" s="468"/>
      <c r="AG364" s="468"/>
      <c r="AH364" s="468"/>
      <c r="AI364" s="468"/>
      <c r="AJ364" s="468"/>
    </row>
    <row r="365" spans="1:36" ht="18" customHeight="1" x14ac:dyDescent="0.35">
      <c r="A365" s="468"/>
      <c r="B365" s="468"/>
      <c r="C365" s="468"/>
      <c r="D365" s="468"/>
      <c r="E365" s="468"/>
      <c r="F365" s="468"/>
      <c r="G365" s="468"/>
      <c r="H365" s="468"/>
      <c r="I365" s="468"/>
      <c r="J365" s="468"/>
      <c r="K365" s="468"/>
      <c r="L365" s="468"/>
      <c r="M365" s="468"/>
      <c r="N365" s="468"/>
      <c r="O365" s="468"/>
      <c r="P365" s="468"/>
      <c r="Q365" s="468"/>
      <c r="R365" s="468"/>
      <c r="S365" s="468"/>
      <c r="T365" s="468"/>
      <c r="U365" s="468"/>
      <c r="V365" s="468"/>
      <c r="W365" s="468"/>
      <c r="X365" s="468"/>
      <c r="Y365" s="468"/>
      <c r="Z365" s="468"/>
      <c r="AA365" s="468"/>
      <c r="AB365" s="468"/>
      <c r="AC365" s="468"/>
      <c r="AD365" s="468"/>
      <c r="AE365" s="468"/>
      <c r="AF365" s="468"/>
      <c r="AG365" s="468"/>
      <c r="AH365" s="468"/>
      <c r="AI365" s="468"/>
      <c r="AJ365" s="468"/>
    </row>
    <row r="366" spans="1:36" ht="18" customHeight="1" x14ac:dyDescent="0.35">
      <c r="A366" s="468"/>
      <c r="B366" s="468"/>
      <c r="C366" s="468"/>
      <c r="D366" s="468"/>
      <c r="E366" s="468"/>
      <c r="F366" s="468"/>
      <c r="G366" s="468"/>
      <c r="H366" s="468"/>
      <c r="I366" s="468"/>
      <c r="J366" s="468"/>
      <c r="K366" s="468"/>
      <c r="L366" s="468"/>
      <c r="M366" s="468"/>
      <c r="N366" s="468"/>
      <c r="O366" s="468"/>
      <c r="P366" s="468"/>
      <c r="Q366" s="468"/>
      <c r="R366" s="468"/>
      <c r="S366" s="468"/>
      <c r="T366" s="468"/>
      <c r="U366" s="468"/>
      <c r="V366" s="468"/>
      <c r="W366" s="468"/>
      <c r="X366" s="468"/>
      <c r="Y366" s="468"/>
      <c r="Z366" s="468"/>
      <c r="AA366" s="468"/>
      <c r="AB366" s="468"/>
      <c r="AC366" s="468"/>
      <c r="AD366" s="468"/>
      <c r="AE366" s="468"/>
      <c r="AF366" s="468"/>
      <c r="AG366" s="468"/>
      <c r="AH366" s="468"/>
      <c r="AI366" s="468"/>
      <c r="AJ366" s="468"/>
    </row>
    <row r="367" spans="1:36" ht="18" customHeight="1" x14ac:dyDescent="0.35">
      <c r="A367" s="468"/>
      <c r="B367" s="468"/>
      <c r="C367" s="468"/>
      <c r="D367" s="468"/>
      <c r="E367" s="468"/>
      <c r="F367" s="468"/>
      <c r="G367" s="468"/>
      <c r="H367" s="468"/>
      <c r="I367" s="468"/>
      <c r="J367" s="468"/>
      <c r="K367" s="468"/>
      <c r="L367" s="468"/>
      <c r="M367" s="468"/>
      <c r="N367" s="468"/>
      <c r="O367" s="468"/>
      <c r="P367" s="468"/>
      <c r="Q367" s="468"/>
      <c r="R367" s="468"/>
      <c r="S367" s="468"/>
      <c r="T367" s="468"/>
      <c r="U367" s="468"/>
      <c r="V367" s="468"/>
      <c r="W367" s="468"/>
      <c r="X367" s="468"/>
      <c r="Y367" s="468"/>
      <c r="Z367" s="468"/>
      <c r="AA367" s="468"/>
      <c r="AB367" s="468"/>
      <c r="AC367" s="468"/>
      <c r="AD367" s="468"/>
      <c r="AE367" s="468"/>
      <c r="AF367" s="468"/>
      <c r="AG367" s="468"/>
      <c r="AH367" s="468"/>
      <c r="AI367" s="468"/>
      <c r="AJ367" s="468"/>
    </row>
    <row r="368" spans="1:36" ht="18" customHeight="1" x14ac:dyDescent="0.35">
      <c r="A368" s="468"/>
      <c r="B368" s="468"/>
      <c r="C368" s="468"/>
      <c r="D368" s="468"/>
      <c r="E368" s="468"/>
      <c r="F368" s="468"/>
      <c r="G368" s="468"/>
      <c r="H368" s="468"/>
      <c r="I368" s="468"/>
      <c r="J368" s="468"/>
      <c r="K368" s="468"/>
      <c r="L368" s="468"/>
      <c r="M368" s="468"/>
      <c r="N368" s="468"/>
      <c r="O368" s="468"/>
      <c r="P368" s="468"/>
      <c r="Q368" s="468"/>
      <c r="R368" s="468"/>
      <c r="S368" s="468"/>
      <c r="T368" s="468"/>
      <c r="U368" s="468"/>
      <c r="V368" s="468"/>
      <c r="W368" s="468"/>
      <c r="X368" s="468"/>
      <c r="Y368" s="468"/>
      <c r="Z368" s="468"/>
      <c r="AA368" s="468"/>
      <c r="AB368" s="468"/>
      <c r="AC368" s="468"/>
      <c r="AD368" s="468"/>
      <c r="AE368" s="468"/>
      <c r="AF368" s="468"/>
      <c r="AG368" s="468"/>
      <c r="AH368" s="468"/>
      <c r="AI368" s="468"/>
      <c r="AJ368" s="468"/>
    </row>
    <row r="369" spans="1:36" ht="18" customHeight="1" x14ac:dyDescent="0.35">
      <c r="A369" s="468"/>
      <c r="B369" s="468"/>
      <c r="C369" s="468"/>
      <c r="D369" s="468"/>
      <c r="E369" s="468"/>
      <c r="F369" s="468"/>
      <c r="G369" s="468"/>
      <c r="H369" s="468"/>
      <c r="I369" s="468"/>
      <c r="J369" s="468"/>
      <c r="K369" s="468"/>
      <c r="L369" s="468"/>
      <c r="M369" s="468"/>
      <c r="N369" s="468"/>
      <c r="O369" s="468"/>
      <c r="P369" s="468"/>
      <c r="Q369" s="468"/>
      <c r="R369" s="468"/>
      <c r="S369" s="468"/>
      <c r="T369" s="468"/>
      <c r="U369" s="468"/>
      <c r="V369" s="468"/>
      <c r="W369" s="468"/>
      <c r="X369" s="468"/>
      <c r="Y369" s="468"/>
      <c r="Z369" s="468"/>
      <c r="AA369" s="468"/>
      <c r="AB369" s="468"/>
      <c r="AC369" s="468"/>
      <c r="AD369" s="468"/>
      <c r="AE369" s="468"/>
      <c r="AF369" s="468"/>
      <c r="AG369" s="468"/>
      <c r="AH369" s="468"/>
      <c r="AI369" s="468"/>
      <c r="AJ369" s="468"/>
    </row>
    <row r="370" spans="1:36" ht="18" customHeight="1" x14ac:dyDescent="0.35">
      <c r="A370" s="468"/>
      <c r="B370" s="468"/>
      <c r="C370" s="468"/>
      <c r="D370" s="468"/>
      <c r="E370" s="468"/>
      <c r="F370" s="468"/>
      <c r="G370" s="468"/>
      <c r="H370" s="468"/>
      <c r="I370" s="468"/>
      <c r="J370" s="468"/>
      <c r="K370" s="468"/>
      <c r="L370" s="468"/>
      <c r="M370" s="468"/>
      <c r="N370" s="468"/>
      <c r="O370" s="468"/>
      <c r="P370" s="468"/>
      <c r="Q370" s="468"/>
      <c r="R370" s="468"/>
      <c r="S370" s="468"/>
      <c r="T370" s="468"/>
      <c r="U370" s="468"/>
      <c r="V370" s="468"/>
      <c r="W370" s="468"/>
      <c r="X370" s="468"/>
      <c r="Y370" s="468"/>
      <c r="Z370" s="468"/>
      <c r="AA370" s="468"/>
      <c r="AB370" s="468"/>
      <c r="AC370" s="468"/>
      <c r="AD370" s="468"/>
      <c r="AE370" s="468"/>
      <c r="AF370" s="468"/>
      <c r="AG370" s="468"/>
      <c r="AH370" s="468"/>
      <c r="AI370" s="468"/>
      <c r="AJ370" s="468"/>
    </row>
    <row r="371" spans="1:36" ht="18" customHeight="1" x14ac:dyDescent="0.35">
      <c r="A371" s="468"/>
      <c r="B371" s="468"/>
      <c r="C371" s="468"/>
      <c r="D371" s="468"/>
      <c r="E371" s="468"/>
      <c r="F371" s="468"/>
      <c r="G371" s="468"/>
      <c r="H371" s="468"/>
      <c r="I371" s="468"/>
      <c r="J371" s="468"/>
      <c r="K371" s="468"/>
      <c r="L371" s="468"/>
      <c r="M371" s="468"/>
      <c r="N371" s="468"/>
      <c r="O371" s="468"/>
      <c r="P371" s="468"/>
      <c r="Q371" s="468"/>
      <c r="R371" s="468"/>
      <c r="S371" s="468"/>
      <c r="T371" s="468"/>
      <c r="U371" s="468"/>
      <c r="V371" s="468"/>
      <c r="W371" s="468"/>
      <c r="X371" s="468"/>
      <c r="Y371" s="468"/>
      <c r="Z371" s="468"/>
      <c r="AA371" s="468"/>
      <c r="AB371" s="468"/>
      <c r="AC371" s="468"/>
      <c r="AD371" s="468"/>
      <c r="AE371" s="468"/>
      <c r="AF371" s="468"/>
      <c r="AG371" s="468"/>
      <c r="AH371" s="468"/>
      <c r="AI371" s="468"/>
      <c r="AJ371" s="468"/>
    </row>
    <row r="372" spans="1:36" ht="18" customHeight="1" x14ac:dyDescent="0.35">
      <c r="A372" s="468"/>
      <c r="B372" s="468"/>
      <c r="C372" s="468"/>
      <c r="D372" s="468"/>
      <c r="E372" s="468"/>
      <c r="F372" s="468"/>
      <c r="G372" s="468"/>
      <c r="H372" s="468"/>
      <c r="I372" s="468"/>
      <c r="J372" s="468"/>
      <c r="K372" s="468"/>
      <c r="L372" s="468"/>
      <c r="M372" s="468"/>
      <c r="N372" s="468"/>
      <c r="O372" s="468"/>
      <c r="P372" s="468"/>
      <c r="Q372" s="468"/>
      <c r="R372" s="468"/>
      <c r="S372" s="468"/>
      <c r="T372" s="468"/>
      <c r="U372" s="468"/>
      <c r="V372" s="468"/>
      <c r="W372" s="468"/>
      <c r="X372" s="468"/>
      <c r="Y372" s="468"/>
      <c r="Z372" s="468"/>
      <c r="AA372" s="468"/>
      <c r="AB372" s="468"/>
      <c r="AC372" s="468"/>
      <c r="AD372" s="468"/>
      <c r="AE372" s="468"/>
      <c r="AF372" s="468"/>
      <c r="AG372" s="468"/>
      <c r="AH372" s="468"/>
      <c r="AI372" s="468"/>
      <c r="AJ372" s="468"/>
    </row>
    <row r="373" spans="1:36" ht="18" customHeight="1" x14ac:dyDescent="0.35">
      <c r="A373" s="468"/>
      <c r="B373" s="468"/>
      <c r="C373" s="468"/>
      <c r="D373" s="468"/>
      <c r="E373" s="468"/>
      <c r="F373" s="468"/>
      <c r="G373" s="468"/>
      <c r="H373" s="468"/>
      <c r="I373" s="468"/>
      <c r="J373" s="468"/>
      <c r="K373" s="468"/>
      <c r="L373" s="468"/>
      <c r="M373" s="468"/>
      <c r="N373" s="468"/>
      <c r="O373" s="468"/>
      <c r="P373" s="468"/>
      <c r="Q373" s="468"/>
      <c r="R373" s="468"/>
      <c r="S373" s="468"/>
      <c r="T373" s="468"/>
      <c r="U373" s="468"/>
      <c r="V373" s="468"/>
      <c r="W373" s="468"/>
      <c r="X373" s="468"/>
      <c r="Y373" s="468"/>
      <c r="Z373" s="468"/>
      <c r="AA373" s="468"/>
      <c r="AB373" s="468"/>
      <c r="AC373" s="468"/>
      <c r="AD373" s="468"/>
      <c r="AE373" s="468"/>
      <c r="AF373" s="468"/>
      <c r="AG373" s="468"/>
      <c r="AH373" s="468"/>
      <c r="AI373" s="468"/>
      <c r="AJ373" s="468"/>
    </row>
    <row r="374" spans="1:36" ht="18" customHeight="1" x14ac:dyDescent="0.35">
      <c r="A374" s="468"/>
      <c r="B374" s="468"/>
      <c r="C374" s="468"/>
      <c r="D374" s="468"/>
      <c r="E374" s="468"/>
      <c r="F374" s="468"/>
      <c r="G374" s="468"/>
      <c r="H374" s="468"/>
      <c r="I374" s="468"/>
      <c r="J374" s="468"/>
      <c r="K374" s="468"/>
      <c r="L374" s="468"/>
      <c r="M374" s="468"/>
      <c r="N374" s="468"/>
      <c r="O374" s="468"/>
      <c r="P374" s="468"/>
      <c r="Q374" s="468"/>
      <c r="R374" s="468"/>
      <c r="S374" s="468"/>
      <c r="T374" s="468"/>
      <c r="U374" s="468"/>
      <c r="V374" s="468"/>
      <c r="W374" s="468"/>
      <c r="X374" s="468"/>
      <c r="Y374" s="468"/>
      <c r="Z374" s="468"/>
      <c r="AA374" s="468"/>
      <c r="AB374" s="468"/>
      <c r="AC374" s="468"/>
      <c r="AD374" s="468"/>
      <c r="AE374" s="468"/>
      <c r="AF374" s="468"/>
      <c r="AG374" s="468"/>
      <c r="AH374" s="468"/>
      <c r="AI374" s="468"/>
      <c r="AJ374" s="468"/>
    </row>
    <row r="375" spans="1:36" ht="18" customHeight="1" x14ac:dyDescent="0.35">
      <c r="A375" s="468"/>
      <c r="B375" s="468"/>
      <c r="C375" s="468"/>
      <c r="D375" s="468"/>
      <c r="E375" s="468"/>
      <c r="F375" s="468"/>
      <c r="G375" s="468"/>
      <c r="H375" s="468"/>
      <c r="I375" s="468"/>
      <c r="J375" s="468"/>
      <c r="K375" s="468"/>
      <c r="L375" s="468"/>
      <c r="M375" s="468"/>
      <c r="N375" s="468"/>
      <c r="O375" s="468"/>
      <c r="P375" s="468"/>
      <c r="Q375" s="468"/>
      <c r="R375" s="468"/>
      <c r="S375" s="468"/>
      <c r="T375" s="468"/>
      <c r="U375" s="468"/>
      <c r="V375" s="468"/>
      <c r="W375" s="468"/>
      <c r="X375" s="468"/>
      <c r="Y375" s="468"/>
      <c r="Z375" s="468"/>
      <c r="AA375" s="468"/>
      <c r="AB375" s="468"/>
      <c r="AC375" s="468"/>
      <c r="AD375" s="468"/>
      <c r="AE375" s="468"/>
      <c r="AF375" s="468"/>
      <c r="AG375" s="468"/>
      <c r="AH375" s="468"/>
      <c r="AI375" s="468"/>
      <c r="AJ375" s="468"/>
    </row>
    <row r="376" spans="1:36" ht="18" customHeight="1" x14ac:dyDescent="0.35">
      <c r="A376" s="468"/>
      <c r="B376" s="468"/>
      <c r="C376" s="468"/>
      <c r="D376" s="468"/>
      <c r="E376" s="468"/>
      <c r="F376" s="468"/>
      <c r="G376" s="468"/>
      <c r="H376" s="468"/>
      <c r="I376" s="468"/>
      <c r="J376" s="468"/>
      <c r="K376" s="468"/>
      <c r="L376" s="468"/>
      <c r="M376" s="468"/>
      <c r="N376" s="468"/>
      <c r="O376" s="468"/>
      <c r="P376" s="468"/>
      <c r="Q376" s="468"/>
      <c r="R376" s="468"/>
      <c r="S376" s="468"/>
      <c r="T376" s="468"/>
      <c r="U376" s="468"/>
      <c r="V376" s="468"/>
      <c r="W376" s="468"/>
      <c r="X376" s="468"/>
      <c r="Y376" s="468"/>
      <c r="Z376" s="468"/>
      <c r="AA376" s="468"/>
      <c r="AB376" s="468"/>
      <c r="AC376" s="468"/>
      <c r="AD376" s="468"/>
      <c r="AE376" s="468"/>
      <c r="AF376" s="468"/>
      <c r="AG376" s="468"/>
      <c r="AH376" s="468"/>
      <c r="AI376" s="468"/>
      <c r="AJ376" s="468"/>
    </row>
    <row r="377" spans="1:36" ht="18" customHeight="1" x14ac:dyDescent="0.35">
      <c r="A377" s="468"/>
      <c r="B377" s="468"/>
      <c r="C377" s="468"/>
      <c r="D377" s="468"/>
      <c r="E377" s="468"/>
      <c r="F377" s="468"/>
      <c r="G377" s="468"/>
      <c r="H377" s="468"/>
      <c r="I377" s="468"/>
      <c r="J377" s="468"/>
      <c r="K377" s="468"/>
      <c r="L377" s="468"/>
      <c r="M377" s="468"/>
      <c r="N377" s="468"/>
      <c r="O377" s="468"/>
      <c r="P377" s="468"/>
      <c r="Q377" s="468"/>
      <c r="R377" s="468"/>
      <c r="S377" s="468"/>
      <c r="T377" s="468"/>
      <c r="U377" s="468"/>
      <c r="V377" s="468"/>
      <c r="W377" s="468"/>
      <c r="X377" s="468"/>
      <c r="Y377" s="468"/>
      <c r="Z377" s="468"/>
      <c r="AA377" s="468"/>
      <c r="AB377" s="468"/>
      <c r="AC377" s="468"/>
      <c r="AD377" s="468"/>
      <c r="AE377" s="468"/>
      <c r="AF377" s="468"/>
      <c r="AG377" s="468"/>
      <c r="AH377" s="468"/>
      <c r="AI377" s="468"/>
      <c r="AJ377" s="468"/>
    </row>
    <row r="378" spans="1:36" ht="18" customHeight="1" x14ac:dyDescent="0.35">
      <c r="A378" s="468"/>
      <c r="B378" s="468"/>
      <c r="C378" s="468"/>
      <c r="D378" s="468"/>
      <c r="E378" s="468"/>
      <c r="F378" s="468"/>
      <c r="G378" s="468"/>
      <c r="H378" s="468"/>
      <c r="I378" s="468"/>
      <c r="J378" s="468"/>
      <c r="K378" s="468"/>
      <c r="L378" s="468"/>
      <c r="M378" s="468"/>
      <c r="N378" s="468"/>
      <c r="O378" s="468"/>
      <c r="P378" s="468"/>
      <c r="Q378" s="468"/>
      <c r="R378" s="468"/>
      <c r="S378" s="468"/>
      <c r="T378" s="468"/>
      <c r="U378" s="468"/>
      <c r="V378" s="468"/>
      <c r="W378" s="468"/>
      <c r="X378" s="468"/>
      <c r="Y378" s="468"/>
      <c r="Z378" s="468"/>
      <c r="AA378" s="468"/>
      <c r="AB378" s="468"/>
      <c r="AC378" s="468"/>
      <c r="AD378" s="468"/>
      <c r="AE378" s="468"/>
      <c r="AF378" s="468"/>
      <c r="AG378" s="468"/>
      <c r="AH378" s="468"/>
      <c r="AI378" s="468"/>
      <c r="AJ378" s="468"/>
    </row>
    <row r="379" spans="1:36" ht="18" customHeight="1" x14ac:dyDescent="0.35">
      <c r="A379" s="468"/>
      <c r="B379" s="468"/>
      <c r="C379" s="468"/>
      <c r="D379" s="468"/>
      <c r="E379" s="468"/>
      <c r="F379" s="468"/>
      <c r="G379" s="468"/>
      <c r="H379" s="468"/>
      <c r="I379" s="468"/>
      <c r="J379" s="468"/>
      <c r="K379" s="468"/>
      <c r="L379" s="468"/>
      <c r="M379" s="468"/>
      <c r="N379" s="468"/>
      <c r="O379" s="468"/>
      <c r="P379" s="468"/>
      <c r="Q379" s="468"/>
      <c r="R379" s="468"/>
      <c r="S379" s="468"/>
      <c r="T379" s="468"/>
      <c r="U379" s="468"/>
      <c r="V379" s="468"/>
      <c r="W379" s="468"/>
      <c r="X379" s="468"/>
      <c r="Y379" s="468"/>
      <c r="Z379" s="468"/>
      <c r="AA379" s="468"/>
      <c r="AB379" s="468"/>
      <c r="AC379" s="468"/>
      <c r="AD379" s="468"/>
      <c r="AE379" s="468"/>
      <c r="AF379" s="468"/>
      <c r="AG379" s="468"/>
      <c r="AH379" s="468"/>
      <c r="AI379" s="468"/>
      <c r="AJ379" s="468"/>
    </row>
    <row r="380" spans="1:36" ht="18" customHeight="1" x14ac:dyDescent="0.35">
      <c r="A380" s="468"/>
      <c r="B380" s="468"/>
      <c r="C380" s="468"/>
      <c r="D380" s="468"/>
      <c r="E380" s="468"/>
      <c r="F380" s="468"/>
      <c r="G380" s="468"/>
      <c r="H380" s="468"/>
      <c r="I380" s="468"/>
      <c r="J380" s="468"/>
      <c r="K380" s="468"/>
      <c r="L380" s="468"/>
      <c r="M380" s="468"/>
      <c r="N380" s="468"/>
      <c r="O380" s="468"/>
      <c r="P380" s="468"/>
      <c r="Q380" s="468"/>
      <c r="R380" s="468"/>
      <c r="S380" s="468"/>
      <c r="T380" s="468"/>
      <c r="U380" s="468"/>
      <c r="V380" s="468"/>
      <c r="W380" s="468"/>
      <c r="X380" s="468"/>
      <c r="Y380" s="468"/>
      <c r="Z380" s="468"/>
      <c r="AA380" s="468"/>
      <c r="AB380" s="468"/>
      <c r="AC380" s="468"/>
      <c r="AD380" s="468"/>
      <c r="AE380" s="468"/>
      <c r="AF380" s="468"/>
      <c r="AG380" s="468"/>
      <c r="AH380" s="468"/>
      <c r="AI380" s="468"/>
      <c r="AJ380" s="468"/>
    </row>
    <row r="381" spans="1:36" ht="18" customHeight="1" x14ac:dyDescent="0.35">
      <c r="A381" s="468"/>
      <c r="B381" s="468"/>
      <c r="C381" s="468"/>
      <c r="D381" s="468"/>
      <c r="E381" s="468"/>
      <c r="F381" s="468"/>
      <c r="G381" s="468"/>
      <c r="H381" s="468"/>
      <c r="I381" s="468"/>
      <c r="J381" s="468"/>
      <c r="K381" s="468"/>
      <c r="L381" s="468"/>
      <c r="M381" s="468"/>
      <c r="N381" s="468"/>
      <c r="O381" s="468"/>
      <c r="P381" s="468"/>
      <c r="Q381" s="468"/>
      <c r="R381" s="468"/>
      <c r="S381" s="468"/>
      <c r="T381" s="468"/>
      <c r="U381" s="468"/>
      <c r="V381" s="468"/>
      <c r="W381" s="468"/>
      <c r="X381" s="468"/>
      <c r="Y381" s="468"/>
      <c r="Z381" s="468"/>
      <c r="AA381" s="468"/>
      <c r="AB381" s="468"/>
      <c r="AC381" s="468"/>
      <c r="AD381" s="468"/>
      <c r="AE381" s="468"/>
      <c r="AF381" s="468"/>
      <c r="AG381" s="468"/>
      <c r="AH381" s="468"/>
      <c r="AI381" s="468"/>
      <c r="AJ381" s="468"/>
    </row>
    <row r="382" spans="1:36" ht="18" customHeight="1" x14ac:dyDescent="0.35">
      <c r="A382" s="468"/>
      <c r="B382" s="468"/>
      <c r="C382" s="468"/>
      <c r="D382" s="468"/>
      <c r="E382" s="468"/>
      <c r="F382" s="468"/>
      <c r="G382" s="468"/>
      <c r="H382" s="468"/>
      <c r="I382" s="468"/>
      <c r="J382" s="468"/>
      <c r="K382" s="468"/>
      <c r="L382" s="468"/>
      <c r="M382" s="468"/>
      <c r="N382" s="468"/>
      <c r="O382" s="468"/>
      <c r="P382" s="468"/>
      <c r="Q382" s="468"/>
      <c r="R382" s="468"/>
      <c r="S382" s="468"/>
      <c r="T382" s="468"/>
      <c r="U382" s="468"/>
      <c r="V382" s="468"/>
      <c r="W382" s="468"/>
      <c r="X382" s="468"/>
      <c r="Y382" s="468"/>
      <c r="Z382" s="468"/>
      <c r="AA382" s="468"/>
      <c r="AB382" s="468"/>
      <c r="AC382" s="468"/>
      <c r="AD382" s="468"/>
      <c r="AE382" s="468"/>
      <c r="AF382" s="468"/>
      <c r="AG382" s="468"/>
      <c r="AH382" s="468"/>
      <c r="AI382" s="468"/>
      <c r="AJ382" s="468"/>
    </row>
    <row r="383" spans="1:36" ht="18" customHeight="1" x14ac:dyDescent="0.35">
      <c r="A383" s="468"/>
      <c r="B383" s="468"/>
      <c r="C383" s="468"/>
      <c r="D383" s="468"/>
      <c r="E383" s="468"/>
      <c r="F383" s="468"/>
      <c r="G383" s="468"/>
      <c r="H383" s="468"/>
      <c r="I383" s="468"/>
      <c r="J383" s="468"/>
      <c r="K383" s="468"/>
      <c r="L383" s="468"/>
      <c r="M383" s="468"/>
      <c r="N383" s="468"/>
      <c r="O383" s="468"/>
      <c r="P383" s="468"/>
      <c r="Q383" s="468"/>
      <c r="R383" s="468"/>
      <c r="S383" s="468"/>
      <c r="T383" s="468"/>
      <c r="U383" s="468"/>
      <c r="V383" s="468"/>
      <c r="W383" s="468"/>
      <c r="X383" s="468"/>
      <c r="Y383" s="468"/>
      <c r="Z383" s="468"/>
      <c r="AA383" s="468"/>
      <c r="AB383" s="468"/>
      <c r="AC383" s="468"/>
      <c r="AD383" s="468"/>
      <c r="AE383" s="468"/>
      <c r="AF383" s="468"/>
      <c r="AG383" s="468"/>
      <c r="AH383" s="468"/>
      <c r="AI383" s="468"/>
      <c r="AJ383" s="468"/>
    </row>
    <row r="384" spans="1:36" ht="18" customHeight="1" x14ac:dyDescent="0.35">
      <c r="A384" s="468"/>
      <c r="B384" s="468"/>
      <c r="C384" s="468"/>
      <c r="D384" s="468"/>
      <c r="E384" s="468"/>
      <c r="F384" s="468"/>
      <c r="G384" s="468"/>
      <c r="H384" s="468"/>
      <c r="I384" s="468"/>
      <c r="J384" s="468"/>
      <c r="K384" s="468"/>
      <c r="L384" s="468"/>
      <c r="M384" s="468"/>
      <c r="N384" s="468"/>
      <c r="O384" s="468"/>
      <c r="P384" s="468"/>
      <c r="Q384" s="468"/>
      <c r="R384" s="468"/>
      <c r="S384" s="468"/>
      <c r="T384" s="468"/>
      <c r="U384" s="468"/>
      <c r="V384" s="468"/>
      <c r="W384" s="468"/>
      <c r="X384" s="468"/>
      <c r="Y384" s="468"/>
      <c r="Z384" s="468"/>
      <c r="AA384" s="468"/>
      <c r="AB384" s="468"/>
      <c r="AC384" s="468"/>
      <c r="AD384" s="468"/>
      <c r="AE384" s="468"/>
      <c r="AF384" s="468"/>
      <c r="AG384" s="468"/>
      <c r="AH384" s="468"/>
      <c r="AI384" s="468"/>
      <c r="AJ384" s="468"/>
    </row>
    <row r="385" spans="1:36" ht="18" customHeight="1" x14ac:dyDescent="0.35">
      <c r="A385" s="468"/>
      <c r="B385" s="468"/>
      <c r="C385" s="468"/>
      <c r="D385" s="468"/>
      <c r="E385" s="468"/>
      <c r="F385" s="468"/>
      <c r="G385" s="468"/>
      <c r="H385" s="468"/>
      <c r="I385" s="468"/>
      <c r="J385" s="468"/>
      <c r="K385" s="468"/>
      <c r="L385" s="468"/>
      <c r="M385" s="468"/>
      <c r="N385" s="468"/>
      <c r="O385" s="468"/>
      <c r="P385" s="468"/>
      <c r="Q385" s="468"/>
      <c r="R385" s="468"/>
      <c r="S385" s="468"/>
      <c r="T385" s="468"/>
      <c r="U385" s="468"/>
      <c r="V385" s="468"/>
      <c r="W385" s="468"/>
      <c r="X385" s="468"/>
      <c r="Y385" s="468"/>
      <c r="Z385" s="468"/>
      <c r="AA385" s="468"/>
      <c r="AB385" s="468"/>
      <c r="AC385" s="468"/>
      <c r="AD385" s="468"/>
      <c r="AE385" s="468"/>
      <c r="AF385" s="468"/>
      <c r="AG385" s="468"/>
      <c r="AH385" s="468"/>
      <c r="AI385" s="468"/>
      <c r="AJ385" s="468"/>
    </row>
    <row r="386" spans="1:36" ht="18" customHeight="1" x14ac:dyDescent="0.35">
      <c r="A386" s="468"/>
      <c r="B386" s="468"/>
      <c r="C386" s="468"/>
      <c r="D386" s="468"/>
      <c r="E386" s="468"/>
      <c r="F386" s="468"/>
      <c r="G386" s="468"/>
      <c r="H386" s="468"/>
      <c r="I386" s="468"/>
      <c r="J386" s="468"/>
      <c r="K386" s="468"/>
      <c r="L386" s="468"/>
      <c r="M386" s="468"/>
      <c r="N386" s="468"/>
      <c r="O386" s="468"/>
      <c r="P386" s="468"/>
      <c r="Q386" s="468"/>
      <c r="R386" s="468"/>
      <c r="S386" s="468"/>
      <c r="T386" s="468"/>
      <c r="U386" s="468"/>
      <c r="V386" s="468"/>
      <c r="W386" s="468"/>
      <c r="X386" s="468"/>
      <c r="Y386" s="468"/>
      <c r="Z386" s="468"/>
      <c r="AA386" s="468"/>
      <c r="AB386" s="468"/>
      <c r="AC386" s="468"/>
      <c r="AD386" s="468"/>
      <c r="AE386" s="468"/>
      <c r="AF386" s="468"/>
      <c r="AG386" s="468"/>
      <c r="AH386" s="468"/>
      <c r="AI386" s="468"/>
      <c r="AJ386" s="468"/>
    </row>
    <row r="387" spans="1:36" ht="18" customHeight="1" x14ac:dyDescent="0.35">
      <c r="A387" s="468"/>
      <c r="B387" s="468"/>
      <c r="C387" s="468"/>
      <c r="D387" s="468"/>
      <c r="E387" s="468"/>
      <c r="F387" s="468"/>
      <c r="G387" s="468"/>
      <c r="H387" s="468"/>
      <c r="I387" s="468"/>
      <c r="J387" s="468"/>
      <c r="K387" s="468"/>
      <c r="L387" s="468"/>
      <c r="M387" s="468"/>
      <c r="N387" s="468"/>
      <c r="O387" s="468"/>
      <c r="P387" s="468"/>
      <c r="Q387" s="468"/>
      <c r="R387" s="468"/>
      <c r="S387" s="468"/>
      <c r="T387" s="468"/>
      <c r="U387" s="468"/>
      <c r="V387" s="468"/>
      <c r="W387" s="468"/>
      <c r="X387" s="468"/>
      <c r="Y387" s="468"/>
      <c r="Z387" s="468"/>
      <c r="AA387" s="468"/>
      <c r="AB387" s="468"/>
      <c r="AC387" s="468"/>
      <c r="AD387" s="468"/>
      <c r="AE387" s="468"/>
      <c r="AF387" s="468"/>
      <c r="AG387" s="468"/>
      <c r="AH387" s="468"/>
      <c r="AI387" s="468"/>
      <c r="AJ387" s="468"/>
    </row>
    <row r="388" spans="1:36" ht="18" customHeight="1" x14ac:dyDescent="0.35">
      <c r="A388" s="468"/>
      <c r="B388" s="468"/>
      <c r="C388" s="468"/>
      <c r="D388" s="468"/>
      <c r="E388" s="468"/>
      <c r="F388" s="468"/>
      <c r="G388" s="468"/>
      <c r="H388" s="468"/>
      <c r="I388" s="468"/>
      <c r="J388" s="468"/>
      <c r="K388" s="468"/>
      <c r="L388" s="468"/>
      <c r="M388" s="468"/>
      <c r="N388" s="468"/>
      <c r="O388" s="468"/>
      <c r="P388" s="468"/>
      <c r="Q388" s="468"/>
      <c r="R388" s="468"/>
      <c r="S388" s="468"/>
      <c r="T388" s="468"/>
      <c r="U388" s="468"/>
      <c r="V388" s="468"/>
      <c r="W388" s="468"/>
      <c r="X388" s="468"/>
      <c r="Y388" s="468"/>
      <c r="Z388" s="468"/>
      <c r="AA388" s="468"/>
      <c r="AB388" s="468"/>
      <c r="AC388" s="468"/>
      <c r="AD388" s="468"/>
      <c r="AE388" s="468"/>
      <c r="AF388" s="468"/>
      <c r="AG388" s="468"/>
      <c r="AH388" s="468"/>
      <c r="AI388" s="468"/>
      <c r="AJ388" s="468"/>
    </row>
    <row r="389" spans="1:36" ht="18" customHeight="1" x14ac:dyDescent="0.35">
      <c r="A389" s="468"/>
      <c r="B389" s="468"/>
      <c r="C389" s="468"/>
      <c r="D389" s="468"/>
      <c r="E389" s="468"/>
      <c r="F389" s="468"/>
      <c r="G389" s="468"/>
      <c r="H389" s="468"/>
      <c r="I389" s="468"/>
      <c r="J389" s="468"/>
      <c r="K389" s="468"/>
      <c r="L389" s="468"/>
      <c r="M389" s="468"/>
      <c r="N389" s="468"/>
      <c r="O389" s="468"/>
      <c r="P389" s="468"/>
      <c r="Q389" s="468"/>
      <c r="R389" s="468"/>
      <c r="S389" s="468"/>
      <c r="T389" s="468"/>
      <c r="U389" s="468"/>
      <c r="V389" s="468"/>
      <c r="W389" s="468"/>
      <c r="X389" s="468"/>
      <c r="Y389" s="468"/>
      <c r="Z389" s="468"/>
      <c r="AA389" s="468"/>
      <c r="AB389" s="468"/>
      <c r="AC389" s="468"/>
      <c r="AD389" s="468"/>
      <c r="AE389" s="468"/>
      <c r="AF389" s="468"/>
      <c r="AG389" s="468"/>
      <c r="AH389" s="468"/>
      <c r="AI389" s="468"/>
      <c r="AJ389" s="468"/>
    </row>
    <row r="390" spans="1:36" ht="18" customHeight="1" x14ac:dyDescent="0.35">
      <c r="A390" s="468"/>
      <c r="B390" s="468"/>
      <c r="C390" s="468"/>
      <c r="D390" s="468"/>
      <c r="E390" s="468"/>
      <c r="F390" s="468"/>
      <c r="G390" s="468"/>
      <c r="H390" s="468"/>
      <c r="I390" s="468"/>
      <c r="J390" s="468"/>
      <c r="K390" s="468"/>
      <c r="L390" s="468"/>
      <c r="M390" s="468"/>
      <c r="N390" s="468"/>
      <c r="O390" s="468"/>
      <c r="P390" s="468"/>
      <c r="Q390" s="468"/>
      <c r="R390" s="468"/>
      <c r="S390" s="468"/>
      <c r="T390" s="468"/>
      <c r="U390" s="468"/>
      <c r="V390" s="468"/>
      <c r="W390" s="468"/>
      <c r="X390" s="468"/>
      <c r="Y390" s="468"/>
      <c r="Z390" s="468"/>
      <c r="AA390" s="468"/>
      <c r="AB390" s="468"/>
      <c r="AC390" s="468"/>
      <c r="AD390" s="468"/>
      <c r="AE390" s="468"/>
      <c r="AF390" s="468"/>
      <c r="AG390" s="468"/>
      <c r="AH390" s="468"/>
      <c r="AI390" s="468"/>
      <c r="AJ390" s="468"/>
    </row>
    <row r="391" spans="1:36" ht="18" customHeight="1" x14ac:dyDescent="0.35">
      <c r="A391" s="468"/>
      <c r="B391" s="468"/>
      <c r="C391" s="468"/>
      <c r="D391" s="468"/>
      <c r="E391" s="468"/>
      <c r="F391" s="468"/>
      <c r="G391" s="468"/>
      <c r="H391" s="468"/>
      <c r="I391" s="468"/>
      <c r="J391" s="468"/>
      <c r="K391" s="468"/>
      <c r="L391" s="468"/>
      <c r="M391" s="468"/>
      <c r="N391" s="468"/>
      <c r="O391" s="468"/>
      <c r="P391" s="468"/>
      <c r="Q391" s="468"/>
      <c r="R391" s="468"/>
      <c r="S391" s="468"/>
      <c r="T391" s="468"/>
      <c r="U391" s="468"/>
      <c r="V391" s="468"/>
      <c r="W391" s="468"/>
      <c r="X391" s="468"/>
      <c r="Y391" s="468"/>
      <c r="Z391" s="468"/>
      <c r="AA391" s="468"/>
      <c r="AB391" s="468"/>
      <c r="AC391" s="468"/>
      <c r="AD391" s="468"/>
      <c r="AE391" s="468"/>
      <c r="AF391" s="468"/>
      <c r="AG391" s="468"/>
      <c r="AH391" s="468"/>
      <c r="AI391" s="468"/>
      <c r="AJ391" s="468"/>
    </row>
    <row r="392" spans="1:36" ht="18" customHeight="1" x14ac:dyDescent="0.35">
      <c r="A392" s="468"/>
      <c r="B392" s="468"/>
      <c r="C392" s="468"/>
      <c r="D392" s="468"/>
      <c r="E392" s="468"/>
      <c r="F392" s="468"/>
      <c r="G392" s="468"/>
      <c r="H392" s="468"/>
      <c r="I392" s="468"/>
      <c r="J392" s="468"/>
      <c r="K392" s="468"/>
      <c r="L392" s="468"/>
      <c r="M392" s="468"/>
      <c r="N392" s="468"/>
      <c r="O392" s="468"/>
      <c r="P392" s="468"/>
      <c r="Q392" s="468"/>
      <c r="R392" s="468"/>
      <c r="S392" s="468"/>
      <c r="T392" s="468"/>
      <c r="U392" s="468"/>
      <c r="V392" s="468"/>
      <c r="W392" s="468"/>
      <c r="X392" s="468"/>
      <c r="Y392" s="468"/>
      <c r="Z392" s="468"/>
      <c r="AA392" s="468"/>
      <c r="AB392" s="468"/>
      <c r="AC392" s="468"/>
      <c r="AD392" s="468"/>
      <c r="AE392" s="468"/>
      <c r="AF392" s="468"/>
      <c r="AG392" s="468"/>
      <c r="AH392" s="468"/>
      <c r="AI392" s="468"/>
      <c r="AJ392" s="468"/>
    </row>
    <row r="393" spans="1:36" ht="18" customHeight="1" x14ac:dyDescent="0.35">
      <c r="A393" s="468"/>
      <c r="B393" s="468"/>
      <c r="C393" s="468"/>
      <c r="D393" s="468"/>
      <c r="E393" s="468"/>
      <c r="F393" s="468"/>
      <c r="G393" s="468"/>
      <c r="H393" s="468"/>
      <c r="I393" s="468"/>
      <c r="J393" s="468"/>
      <c r="K393" s="468"/>
      <c r="L393" s="468"/>
      <c r="M393" s="468"/>
      <c r="N393" s="468"/>
      <c r="O393" s="468"/>
      <c r="P393" s="468"/>
      <c r="Q393" s="468"/>
      <c r="R393" s="468"/>
      <c r="S393" s="468"/>
      <c r="T393" s="468"/>
      <c r="U393" s="468"/>
      <c r="V393" s="468"/>
      <c r="W393" s="468"/>
      <c r="X393" s="468"/>
      <c r="Y393" s="468"/>
      <c r="Z393" s="468"/>
      <c r="AA393" s="468"/>
      <c r="AB393" s="468"/>
      <c r="AC393" s="468"/>
      <c r="AD393" s="468"/>
      <c r="AE393" s="468"/>
      <c r="AF393" s="468"/>
      <c r="AG393" s="468"/>
      <c r="AH393" s="468"/>
      <c r="AI393" s="468"/>
      <c r="AJ393" s="468"/>
    </row>
    <row r="394" spans="1:36" ht="18" customHeight="1" x14ac:dyDescent="0.35">
      <c r="A394" s="468"/>
      <c r="B394" s="468"/>
      <c r="C394" s="468"/>
      <c r="D394" s="468"/>
      <c r="E394" s="468"/>
      <c r="F394" s="468"/>
      <c r="G394" s="468"/>
      <c r="H394" s="468"/>
      <c r="I394" s="468"/>
      <c r="J394" s="468"/>
      <c r="K394" s="468"/>
      <c r="L394" s="468"/>
      <c r="M394" s="468"/>
      <c r="N394" s="468"/>
      <c r="O394" s="468"/>
      <c r="P394" s="468"/>
      <c r="Q394" s="468"/>
      <c r="R394" s="468"/>
      <c r="S394" s="468"/>
      <c r="T394" s="468"/>
      <c r="U394" s="468"/>
      <c r="V394" s="468"/>
      <c r="W394" s="468"/>
      <c r="X394" s="468"/>
      <c r="Y394" s="468"/>
      <c r="Z394" s="468"/>
      <c r="AA394" s="468"/>
      <c r="AB394" s="468"/>
      <c r="AC394" s="468"/>
      <c r="AD394" s="468"/>
      <c r="AE394" s="468"/>
      <c r="AF394" s="468"/>
      <c r="AG394" s="468"/>
      <c r="AH394" s="468"/>
      <c r="AI394" s="468"/>
      <c r="AJ394" s="468"/>
    </row>
    <row r="395" spans="1:36" ht="18" customHeight="1" x14ac:dyDescent="0.35">
      <c r="A395" s="468"/>
      <c r="B395" s="468"/>
      <c r="C395" s="468"/>
      <c r="D395" s="468"/>
      <c r="E395" s="468"/>
      <c r="F395" s="468"/>
      <c r="G395" s="468"/>
      <c r="H395" s="468"/>
      <c r="I395" s="468"/>
      <c r="J395" s="468"/>
      <c r="K395" s="468"/>
      <c r="L395" s="468"/>
      <c r="M395" s="468"/>
      <c r="N395" s="468"/>
      <c r="O395" s="468"/>
      <c r="P395" s="468"/>
      <c r="Q395" s="468"/>
      <c r="R395" s="468"/>
      <c r="S395" s="468"/>
      <c r="T395" s="468"/>
      <c r="U395" s="468"/>
      <c r="V395" s="468"/>
      <c r="W395" s="468"/>
      <c r="X395" s="468"/>
      <c r="Y395" s="468"/>
      <c r="Z395" s="468"/>
      <c r="AA395" s="468"/>
      <c r="AB395" s="468"/>
      <c r="AC395" s="468"/>
      <c r="AD395" s="468"/>
      <c r="AE395" s="468"/>
      <c r="AF395" s="468"/>
      <c r="AG395" s="468"/>
      <c r="AH395" s="468"/>
      <c r="AI395" s="468"/>
      <c r="AJ395" s="468"/>
    </row>
    <row r="396" spans="1:36" ht="18" customHeight="1" x14ac:dyDescent="0.35">
      <c r="A396" s="468"/>
      <c r="B396" s="468"/>
      <c r="C396" s="468"/>
      <c r="D396" s="468"/>
      <c r="E396" s="468"/>
      <c r="F396" s="468"/>
      <c r="G396" s="468"/>
      <c r="H396" s="468"/>
      <c r="I396" s="468"/>
      <c r="J396" s="468"/>
      <c r="K396" s="468"/>
      <c r="L396" s="468"/>
      <c r="M396" s="468"/>
      <c r="N396" s="468"/>
      <c r="O396" s="468"/>
      <c r="P396" s="468"/>
      <c r="Q396" s="468"/>
      <c r="R396" s="468"/>
      <c r="S396" s="468"/>
      <c r="T396" s="468"/>
      <c r="U396" s="468"/>
      <c r="V396" s="468"/>
      <c r="W396" s="468"/>
      <c r="X396" s="468"/>
      <c r="Y396" s="468"/>
      <c r="Z396" s="468"/>
      <c r="AA396" s="468"/>
      <c r="AB396" s="468"/>
      <c r="AC396" s="468"/>
      <c r="AD396" s="468"/>
      <c r="AE396" s="468"/>
      <c r="AF396" s="468"/>
      <c r="AG396" s="468"/>
      <c r="AH396" s="468"/>
      <c r="AI396" s="468"/>
      <c r="AJ396" s="468"/>
    </row>
    <row r="397" spans="1:36" ht="18" customHeight="1" x14ac:dyDescent="0.35">
      <c r="A397" s="468"/>
      <c r="B397" s="468"/>
      <c r="C397" s="468"/>
      <c r="D397" s="468"/>
      <c r="E397" s="468"/>
      <c r="F397" s="468"/>
      <c r="G397" s="468"/>
      <c r="H397" s="468"/>
      <c r="I397" s="468"/>
      <c r="J397" s="468"/>
      <c r="K397" s="468"/>
      <c r="L397" s="468"/>
      <c r="M397" s="468"/>
      <c r="N397" s="468"/>
      <c r="O397" s="468"/>
      <c r="P397" s="468"/>
      <c r="Q397" s="468"/>
      <c r="R397" s="468"/>
      <c r="S397" s="468"/>
      <c r="T397" s="468"/>
      <c r="U397" s="468"/>
      <c r="V397" s="468"/>
      <c r="W397" s="468"/>
      <c r="X397" s="468"/>
      <c r="Y397" s="468"/>
      <c r="Z397" s="468"/>
      <c r="AA397" s="468"/>
      <c r="AB397" s="468"/>
      <c r="AC397" s="468"/>
      <c r="AD397" s="468"/>
      <c r="AE397" s="468"/>
      <c r="AF397" s="468"/>
      <c r="AG397" s="468"/>
      <c r="AH397" s="468"/>
      <c r="AI397" s="468"/>
      <c r="AJ397" s="468"/>
    </row>
    <row r="398" spans="1:36" ht="18" customHeight="1" x14ac:dyDescent="0.35">
      <c r="A398" s="468"/>
      <c r="B398" s="468"/>
      <c r="C398" s="468"/>
      <c r="D398" s="468"/>
      <c r="E398" s="468"/>
      <c r="F398" s="468"/>
      <c r="G398" s="468"/>
      <c r="H398" s="468"/>
      <c r="I398" s="468"/>
      <c r="J398" s="468"/>
      <c r="K398" s="468"/>
      <c r="L398" s="468"/>
      <c r="M398" s="468"/>
      <c r="N398" s="468"/>
      <c r="O398" s="468"/>
      <c r="P398" s="468"/>
      <c r="Q398" s="468"/>
      <c r="R398" s="468"/>
      <c r="S398" s="468"/>
      <c r="T398" s="468"/>
      <c r="U398" s="468"/>
      <c r="V398" s="468"/>
      <c r="W398" s="468"/>
      <c r="X398" s="468"/>
      <c r="Y398" s="468"/>
      <c r="Z398" s="468"/>
      <c r="AA398" s="468"/>
      <c r="AB398" s="468"/>
      <c r="AC398" s="468"/>
      <c r="AD398" s="468"/>
      <c r="AE398" s="468"/>
      <c r="AF398" s="468"/>
      <c r="AG398" s="468"/>
      <c r="AH398" s="468"/>
      <c r="AI398" s="468"/>
      <c r="AJ398" s="468"/>
    </row>
    <row r="399" spans="1:36" ht="18" customHeight="1" x14ac:dyDescent="0.35">
      <c r="A399" s="468"/>
      <c r="B399" s="468"/>
      <c r="C399" s="468"/>
      <c r="D399" s="468"/>
      <c r="E399" s="468"/>
      <c r="F399" s="468"/>
      <c r="G399" s="468"/>
      <c r="H399" s="468"/>
      <c r="I399" s="468"/>
      <c r="J399" s="468"/>
      <c r="K399" s="468"/>
      <c r="L399" s="468"/>
      <c r="M399" s="468"/>
      <c r="N399" s="468"/>
      <c r="O399" s="468"/>
      <c r="P399" s="468"/>
      <c r="Q399" s="468"/>
      <c r="R399" s="468"/>
      <c r="S399" s="468"/>
      <c r="T399" s="468"/>
      <c r="U399" s="468"/>
      <c r="V399" s="468"/>
      <c r="W399" s="468"/>
      <c r="X399" s="468"/>
      <c r="Y399" s="468"/>
      <c r="Z399" s="468"/>
      <c r="AA399" s="468"/>
      <c r="AB399" s="468"/>
      <c r="AC399" s="468"/>
      <c r="AD399" s="468"/>
      <c r="AE399" s="468"/>
      <c r="AF399" s="468"/>
      <c r="AG399" s="468"/>
      <c r="AH399" s="468"/>
      <c r="AI399" s="468"/>
      <c r="AJ399" s="468"/>
    </row>
    <row r="400" spans="1:36" ht="18" customHeight="1" x14ac:dyDescent="0.35">
      <c r="A400" s="468"/>
      <c r="B400" s="468"/>
      <c r="C400" s="468"/>
      <c r="D400" s="468"/>
      <c r="E400" s="468"/>
      <c r="F400" s="468"/>
      <c r="G400" s="468"/>
      <c r="H400" s="468"/>
      <c r="I400" s="468"/>
      <c r="J400" s="468"/>
      <c r="K400" s="468"/>
      <c r="L400" s="468"/>
      <c r="M400" s="468"/>
      <c r="N400" s="468"/>
      <c r="O400" s="468"/>
      <c r="P400" s="468"/>
      <c r="Q400" s="468"/>
      <c r="R400" s="468"/>
      <c r="S400" s="468"/>
      <c r="T400" s="468"/>
      <c r="U400" s="468"/>
      <c r="V400" s="468"/>
      <c r="W400" s="468"/>
      <c r="X400" s="468"/>
      <c r="Y400" s="468"/>
      <c r="Z400" s="468"/>
      <c r="AA400" s="468"/>
      <c r="AB400" s="468"/>
      <c r="AC400" s="468"/>
      <c r="AD400" s="468"/>
      <c r="AE400" s="468"/>
      <c r="AF400" s="468"/>
      <c r="AG400" s="468"/>
      <c r="AH400" s="468"/>
      <c r="AI400" s="468"/>
      <c r="AJ400" s="468"/>
    </row>
    <row r="401" spans="1:36" ht="18" customHeight="1" x14ac:dyDescent="0.35">
      <c r="A401" s="468"/>
      <c r="B401" s="468"/>
      <c r="C401" s="468"/>
      <c r="D401" s="468"/>
      <c r="E401" s="468"/>
      <c r="F401" s="468"/>
      <c r="G401" s="468"/>
      <c r="H401" s="468"/>
      <c r="I401" s="468"/>
      <c r="J401" s="468"/>
      <c r="K401" s="468"/>
      <c r="L401" s="468"/>
      <c r="M401" s="468"/>
      <c r="N401" s="468"/>
      <c r="O401" s="468"/>
      <c r="P401" s="468"/>
      <c r="Q401" s="468"/>
      <c r="R401" s="468"/>
      <c r="S401" s="468"/>
      <c r="T401" s="468"/>
      <c r="U401" s="468"/>
      <c r="V401" s="468"/>
      <c r="W401" s="468"/>
      <c r="X401" s="468"/>
      <c r="Y401" s="468"/>
      <c r="Z401" s="468"/>
      <c r="AA401" s="468"/>
      <c r="AB401" s="468"/>
      <c r="AC401" s="468"/>
      <c r="AD401" s="468"/>
      <c r="AE401" s="468"/>
      <c r="AF401" s="468"/>
      <c r="AG401" s="468"/>
      <c r="AH401" s="468"/>
      <c r="AI401" s="468"/>
      <c r="AJ401" s="468"/>
    </row>
    <row r="402" spans="1:36" ht="18" customHeight="1" x14ac:dyDescent="0.35">
      <c r="A402" s="468"/>
      <c r="B402" s="468"/>
      <c r="C402" s="468"/>
      <c r="D402" s="468"/>
      <c r="E402" s="468"/>
      <c r="F402" s="468"/>
      <c r="G402" s="468"/>
      <c r="H402" s="468"/>
      <c r="I402" s="468"/>
      <c r="J402" s="468"/>
      <c r="K402" s="468"/>
      <c r="L402" s="468"/>
      <c r="M402" s="468"/>
      <c r="N402" s="468"/>
      <c r="O402" s="468"/>
      <c r="P402" s="468"/>
      <c r="Q402" s="468"/>
      <c r="R402" s="468"/>
      <c r="S402" s="468"/>
      <c r="T402" s="468"/>
      <c r="U402" s="468"/>
      <c r="V402" s="468"/>
      <c r="W402" s="468"/>
      <c r="X402" s="468"/>
      <c r="Y402" s="468"/>
      <c r="Z402" s="468"/>
      <c r="AA402" s="468"/>
      <c r="AB402" s="468"/>
      <c r="AC402" s="468"/>
      <c r="AD402" s="468"/>
      <c r="AE402" s="468"/>
      <c r="AF402" s="468"/>
      <c r="AG402" s="468"/>
      <c r="AH402" s="468"/>
      <c r="AI402" s="468"/>
      <c r="AJ402" s="468"/>
    </row>
    <row r="403" spans="1:36" ht="18" customHeight="1" x14ac:dyDescent="0.35">
      <c r="A403" s="468"/>
      <c r="B403" s="468"/>
      <c r="C403" s="468"/>
      <c r="D403" s="468"/>
      <c r="E403" s="468"/>
      <c r="F403" s="468"/>
      <c r="G403" s="468"/>
      <c r="H403" s="468"/>
      <c r="I403" s="468"/>
      <c r="J403" s="468"/>
      <c r="K403" s="468"/>
      <c r="L403" s="468"/>
      <c r="M403" s="468"/>
      <c r="N403" s="468"/>
      <c r="O403" s="468"/>
      <c r="P403" s="468"/>
      <c r="Q403" s="468"/>
      <c r="R403" s="468"/>
      <c r="S403" s="468"/>
      <c r="T403" s="468"/>
      <c r="U403" s="468"/>
      <c r="V403" s="468"/>
      <c r="W403" s="468"/>
      <c r="X403" s="468"/>
      <c r="Y403" s="468"/>
      <c r="Z403" s="468"/>
      <c r="AA403" s="468"/>
      <c r="AB403" s="468"/>
      <c r="AC403" s="468"/>
      <c r="AD403" s="468"/>
      <c r="AE403" s="468"/>
      <c r="AF403" s="468"/>
      <c r="AG403" s="468"/>
      <c r="AH403" s="468"/>
      <c r="AI403" s="468"/>
      <c r="AJ403" s="468"/>
    </row>
    <row r="404" spans="1:36" ht="18" customHeight="1" x14ac:dyDescent="0.35">
      <c r="A404" s="468"/>
      <c r="B404" s="468"/>
      <c r="C404" s="468"/>
      <c r="D404" s="468"/>
      <c r="E404" s="468"/>
      <c r="F404" s="468"/>
      <c r="G404" s="468"/>
      <c r="H404" s="468"/>
      <c r="I404" s="468"/>
      <c r="J404" s="468"/>
      <c r="K404" s="468"/>
      <c r="L404" s="468"/>
      <c r="M404" s="468"/>
      <c r="N404" s="468"/>
      <c r="O404" s="468"/>
      <c r="P404" s="468"/>
      <c r="Q404" s="468"/>
      <c r="R404" s="468"/>
      <c r="S404" s="468"/>
      <c r="T404" s="468"/>
      <c r="U404" s="468"/>
      <c r="V404" s="468"/>
      <c r="W404" s="468"/>
      <c r="X404" s="468"/>
      <c r="Y404" s="468"/>
      <c r="Z404" s="468"/>
      <c r="AA404" s="468"/>
      <c r="AB404" s="468"/>
      <c r="AC404" s="468"/>
      <c r="AD404" s="468"/>
      <c r="AE404" s="468"/>
      <c r="AF404" s="468"/>
      <c r="AG404" s="468"/>
      <c r="AH404" s="468"/>
      <c r="AI404" s="468"/>
      <c r="AJ404" s="468"/>
    </row>
    <row r="405" spans="1:36" ht="18" customHeight="1" x14ac:dyDescent="0.35">
      <c r="A405" s="468"/>
      <c r="B405" s="468"/>
      <c r="C405" s="468"/>
      <c r="D405" s="468"/>
      <c r="E405" s="468"/>
      <c r="F405" s="468"/>
      <c r="G405" s="468"/>
      <c r="H405" s="468"/>
      <c r="I405" s="468"/>
      <c r="J405" s="468"/>
      <c r="K405" s="468"/>
      <c r="L405" s="468"/>
      <c r="M405" s="468"/>
      <c r="N405" s="468"/>
      <c r="O405" s="468"/>
      <c r="P405" s="468"/>
      <c r="Q405" s="468"/>
      <c r="R405" s="468"/>
      <c r="S405" s="468"/>
      <c r="T405" s="468"/>
      <c r="U405" s="468"/>
      <c r="V405" s="468"/>
      <c r="W405" s="468"/>
      <c r="X405" s="468"/>
      <c r="Y405" s="468"/>
      <c r="Z405" s="468"/>
      <c r="AA405" s="468"/>
      <c r="AB405" s="468"/>
      <c r="AC405" s="468"/>
      <c r="AD405" s="468"/>
      <c r="AE405" s="468"/>
      <c r="AF405" s="468"/>
      <c r="AG405" s="468"/>
      <c r="AH405" s="468"/>
      <c r="AI405" s="468"/>
      <c r="AJ405" s="468"/>
    </row>
    <row r="406" spans="1:36" ht="18" customHeight="1" x14ac:dyDescent="0.35">
      <c r="A406" s="468"/>
      <c r="B406" s="468"/>
      <c r="C406" s="468"/>
      <c r="D406" s="468"/>
      <c r="E406" s="468"/>
      <c r="F406" s="468"/>
      <c r="G406" s="468"/>
      <c r="H406" s="468"/>
      <c r="I406" s="468"/>
      <c r="J406" s="468"/>
      <c r="K406" s="468"/>
      <c r="L406" s="468"/>
      <c r="M406" s="468"/>
      <c r="N406" s="468"/>
      <c r="O406" s="468"/>
      <c r="P406" s="468"/>
      <c r="Q406" s="468"/>
      <c r="R406" s="468"/>
      <c r="S406" s="468"/>
      <c r="T406" s="468"/>
      <c r="U406" s="468"/>
      <c r="V406" s="468"/>
      <c r="W406" s="468"/>
      <c r="X406" s="468"/>
      <c r="Y406" s="468"/>
      <c r="Z406" s="468"/>
      <c r="AA406" s="468"/>
      <c r="AB406" s="468"/>
      <c r="AC406" s="468"/>
      <c r="AD406" s="468"/>
      <c r="AE406" s="468"/>
      <c r="AF406" s="468"/>
      <c r="AG406" s="468"/>
      <c r="AH406" s="468"/>
      <c r="AI406" s="468"/>
      <c r="AJ406" s="468"/>
    </row>
    <row r="407" spans="1:36" ht="18" customHeight="1" x14ac:dyDescent="0.35">
      <c r="A407" s="468"/>
      <c r="B407" s="468"/>
      <c r="C407" s="468"/>
      <c r="D407" s="468"/>
      <c r="E407" s="468"/>
      <c r="F407" s="468"/>
      <c r="G407" s="468"/>
      <c r="H407" s="468"/>
      <c r="I407" s="468"/>
      <c r="J407" s="468"/>
      <c r="K407" s="468"/>
      <c r="L407" s="468"/>
      <c r="M407" s="468"/>
      <c r="N407" s="468"/>
      <c r="O407" s="468"/>
      <c r="P407" s="468"/>
      <c r="Q407" s="468"/>
      <c r="R407" s="468"/>
      <c r="S407" s="468"/>
      <c r="T407" s="468"/>
      <c r="U407" s="468"/>
      <c r="V407" s="468"/>
      <c r="W407" s="468"/>
      <c r="X407" s="468"/>
      <c r="Y407" s="468"/>
      <c r="Z407" s="468"/>
      <c r="AA407" s="468"/>
      <c r="AB407" s="468"/>
      <c r="AC407" s="468"/>
      <c r="AD407" s="468"/>
      <c r="AE407" s="468"/>
      <c r="AF407" s="468"/>
      <c r="AG407" s="468"/>
      <c r="AH407" s="468"/>
      <c r="AI407" s="468"/>
      <c r="AJ407" s="468"/>
    </row>
    <row r="408" spans="1:36" ht="18" customHeight="1" x14ac:dyDescent="0.35">
      <c r="A408" s="468"/>
      <c r="B408" s="468"/>
      <c r="C408" s="468"/>
      <c r="D408" s="468"/>
      <c r="E408" s="468"/>
      <c r="F408" s="468"/>
      <c r="G408" s="468"/>
      <c r="H408" s="468"/>
      <c r="I408" s="468"/>
      <c r="J408" s="468"/>
      <c r="K408" s="468"/>
      <c r="L408" s="468"/>
      <c r="M408" s="468"/>
      <c r="N408" s="468"/>
      <c r="O408" s="468"/>
      <c r="P408" s="468"/>
      <c r="Q408" s="468"/>
      <c r="R408" s="468"/>
      <c r="S408" s="468"/>
      <c r="T408" s="468"/>
      <c r="U408" s="468"/>
      <c r="V408" s="468"/>
      <c r="W408" s="468"/>
      <c r="X408" s="468"/>
      <c r="Y408" s="468"/>
      <c r="Z408" s="468"/>
      <c r="AA408" s="468"/>
      <c r="AB408" s="468"/>
      <c r="AC408" s="468"/>
      <c r="AD408" s="468"/>
      <c r="AE408" s="468"/>
      <c r="AF408" s="468"/>
      <c r="AG408" s="468"/>
      <c r="AH408" s="468"/>
      <c r="AI408" s="468"/>
      <c r="AJ408" s="468"/>
    </row>
    <row r="409" spans="1:36" ht="18" customHeight="1" x14ac:dyDescent="0.35">
      <c r="A409" s="468"/>
      <c r="B409" s="468"/>
      <c r="C409" s="468"/>
      <c r="D409" s="468"/>
      <c r="E409" s="468"/>
      <c r="F409" s="468"/>
      <c r="G409" s="468"/>
      <c r="H409" s="468"/>
      <c r="I409" s="468"/>
      <c r="J409" s="468"/>
      <c r="K409" s="468"/>
      <c r="L409" s="468"/>
      <c r="M409" s="468"/>
      <c r="N409" s="468"/>
      <c r="O409" s="468"/>
      <c r="P409" s="468"/>
      <c r="Q409" s="468"/>
      <c r="R409" s="468"/>
      <c r="S409" s="468"/>
      <c r="T409" s="468"/>
      <c r="U409" s="468"/>
      <c r="V409" s="468"/>
      <c r="W409" s="468"/>
      <c r="X409" s="468"/>
      <c r="Y409" s="468"/>
      <c r="Z409" s="468"/>
      <c r="AA409" s="468"/>
      <c r="AB409" s="468"/>
      <c r="AC409" s="468"/>
      <c r="AD409" s="468"/>
      <c r="AE409" s="468"/>
      <c r="AF409" s="468"/>
      <c r="AG409" s="468"/>
      <c r="AH409" s="468"/>
      <c r="AI409" s="468"/>
      <c r="AJ409" s="468"/>
    </row>
    <row r="410" spans="1:36" ht="18" customHeight="1" x14ac:dyDescent="0.35">
      <c r="A410" s="468"/>
      <c r="B410" s="468"/>
      <c r="C410" s="468"/>
      <c r="D410" s="468"/>
      <c r="E410" s="468"/>
      <c r="F410" s="468"/>
      <c r="G410" s="468"/>
      <c r="H410" s="468"/>
      <c r="I410" s="468"/>
      <c r="J410" s="468"/>
      <c r="K410" s="468"/>
      <c r="L410" s="468"/>
      <c r="M410" s="468"/>
      <c r="N410" s="468"/>
      <c r="O410" s="468"/>
      <c r="P410" s="468"/>
      <c r="Q410" s="468"/>
      <c r="R410" s="468"/>
      <c r="S410" s="468"/>
      <c r="T410" s="468"/>
      <c r="U410" s="468"/>
      <c r="V410" s="468"/>
      <c r="W410" s="468"/>
      <c r="X410" s="468"/>
      <c r="Y410" s="468"/>
      <c r="Z410" s="468"/>
      <c r="AA410" s="468"/>
      <c r="AB410" s="468"/>
      <c r="AC410" s="468"/>
      <c r="AD410" s="468"/>
      <c r="AE410" s="468"/>
      <c r="AF410" s="468"/>
      <c r="AG410" s="468"/>
      <c r="AH410" s="468"/>
      <c r="AI410" s="468"/>
      <c r="AJ410" s="468"/>
    </row>
    <row r="411" spans="1:36" ht="18" customHeight="1" x14ac:dyDescent="0.35">
      <c r="A411" s="468"/>
      <c r="B411" s="468"/>
      <c r="C411" s="468"/>
      <c r="D411" s="468"/>
      <c r="E411" s="468"/>
      <c r="F411" s="468"/>
      <c r="G411" s="468"/>
      <c r="H411" s="468"/>
      <c r="I411" s="468"/>
      <c r="J411" s="468"/>
      <c r="K411" s="468"/>
      <c r="L411" s="468"/>
      <c r="M411" s="468"/>
      <c r="N411" s="468"/>
      <c r="O411" s="468"/>
      <c r="P411" s="468"/>
      <c r="Q411" s="468"/>
      <c r="R411" s="468"/>
      <c r="S411" s="468"/>
      <c r="T411" s="468"/>
      <c r="U411" s="468"/>
      <c r="V411" s="468"/>
      <c r="W411" s="468"/>
      <c r="X411" s="468"/>
      <c r="Y411" s="468"/>
      <c r="Z411" s="468"/>
      <c r="AA411" s="468"/>
      <c r="AB411" s="468"/>
      <c r="AC411" s="468"/>
      <c r="AD411" s="468"/>
      <c r="AE411" s="468"/>
      <c r="AF411" s="468"/>
      <c r="AG411" s="468"/>
      <c r="AH411" s="468"/>
      <c r="AI411" s="468"/>
      <c r="AJ411" s="468"/>
    </row>
    <row r="412" spans="1:36" ht="18" customHeight="1" x14ac:dyDescent="0.35">
      <c r="A412" s="468"/>
      <c r="B412" s="468"/>
      <c r="C412" s="468"/>
      <c r="D412" s="468"/>
      <c r="E412" s="468"/>
      <c r="F412" s="468"/>
      <c r="G412" s="468"/>
      <c r="H412" s="468"/>
      <c r="I412" s="468"/>
      <c r="J412" s="468"/>
      <c r="K412" s="468"/>
      <c r="L412" s="468"/>
      <c r="M412" s="468"/>
      <c r="N412" s="468"/>
      <c r="O412" s="468"/>
      <c r="P412" s="468"/>
      <c r="Q412" s="468"/>
      <c r="R412" s="468"/>
      <c r="S412" s="468"/>
      <c r="T412" s="468"/>
      <c r="U412" s="468"/>
      <c r="V412" s="468"/>
      <c r="W412" s="468"/>
      <c r="X412" s="468"/>
      <c r="Y412" s="468"/>
      <c r="Z412" s="468"/>
      <c r="AA412" s="468"/>
      <c r="AB412" s="468"/>
      <c r="AC412" s="468"/>
      <c r="AD412" s="468"/>
      <c r="AE412" s="468"/>
      <c r="AF412" s="468"/>
      <c r="AG412" s="468"/>
      <c r="AH412" s="468"/>
      <c r="AI412" s="468"/>
      <c r="AJ412" s="468"/>
    </row>
    <row r="413" spans="1:36" ht="18" customHeight="1" x14ac:dyDescent="0.35">
      <c r="A413" s="468"/>
      <c r="B413" s="468"/>
      <c r="C413" s="468"/>
      <c r="D413" s="468"/>
      <c r="E413" s="468"/>
      <c r="F413" s="468"/>
      <c r="G413" s="468"/>
      <c r="H413" s="468"/>
      <c r="I413" s="468"/>
      <c r="J413" s="468"/>
      <c r="K413" s="468"/>
      <c r="L413" s="468"/>
      <c r="M413" s="468"/>
      <c r="N413" s="468"/>
      <c r="O413" s="468"/>
      <c r="P413" s="468"/>
      <c r="Q413" s="468"/>
      <c r="R413" s="468"/>
      <c r="S413" s="468"/>
      <c r="T413" s="468"/>
      <c r="U413" s="468"/>
      <c r="V413" s="468"/>
      <c r="W413" s="468"/>
      <c r="X413" s="468"/>
      <c r="Y413" s="468"/>
      <c r="Z413" s="468"/>
      <c r="AA413" s="468"/>
      <c r="AB413" s="468"/>
      <c r="AC413" s="468"/>
      <c r="AD413" s="468"/>
      <c r="AE413" s="468"/>
      <c r="AF413" s="468"/>
      <c r="AG413" s="468"/>
      <c r="AH413" s="468"/>
      <c r="AI413" s="468"/>
      <c r="AJ413" s="468"/>
    </row>
    <row r="414" spans="1:36" ht="18" customHeight="1" x14ac:dyDescent="0.35">
      <c r="A414" s="468"/>
      <c r="B414" s="468"/>
      <c r="C414" s="468"/>
      <c r="D414" s="468"/>
      <c r="E414" s="468"/>
      <c r="F414" s="468"/>
      <c r="G414" s="468"/>
      <c r="H414" s="468"/>
      <c r="I414" s="468"/>
      <c r="J414" s="468"/>
      <c r="K414" s="468"/>
      <c r="L414" s="468"/>
      <c r="M414" s="468"/>
      <c r="N414" s="468"/>
      <c r="O414" s="468"/>
      <c r="P414" s="468"/>
      <c r="Q414" s="468"/>
      <c r="R414" s="468"/>
      <c r="S414" s="468"/>
      <c r="T414" s="468"/>
      <c r="U414" s="468"/>
      <c r="V414" s="468"/>
      <c r="W414" s="468"/>
      <c r="X414" s="468"/>
      <c r="Y414" s="468"/>
      <c r="Z414" s="468"/>
      <c r="AA414" s="468"/>
      <c r="AB414" s="468"/>
      <c r="AC414" s="468"/>
      <c r="AD414" s="468"/>
      <c r="AE414" s="468"/>
      <c r="AF414" s="468"/>
      <c r="AG414" s="468"/>
      <c r="AH414" s="468"/>
      <c r="AI414" s="468"/>
      <c r="AJ414" s="468"/>
    </row>
    <row r="415" spans="1:36" ht="18" customHeight="1" x14ac:dyDescent="0.35">
      <c r="A415" s="468"/>
      <c r="B415" s="468"/>
      <c r="C415" s="468"/>
      <c r="D415" s="468"/>
      <c r="E415" s="468"/>
      <c r="F415" s="468"/>
      <c r="G415" s="468"/>
      <c r="H415" s="468"/>
      <c r="I415" s="468"/>
      <c r="J415" s="468"/>
      <c r="K415" s="468"/>
      <c r="L415" s="468"/>
      <c r="M415" s="468"/>
      <c r="N415" s="468"/>
      <c r="O415" s="468"/>
      <c r="P415" s="468"/>
      <c r="Q415" s="468"/>
      <c r="R415" s="468"/>
      <c r="S415" s="468"/>
      <c r="T415" s="468"/>
      <c r="U415" s="468"/>
      <c r="V415" s="468"/>
      <c r="W415" s="468"/>
      <c r="X415" s="468"/>
      <c r="Y415" s="468"/>
      <c r="Z415" s="468"/>
      <c r="AA415" s="468"/>
      <c r="AB415" s="468"/>
      <c r="AC415" s="468"/>
      <c r="AD415" s="468"/>
      <c r="AE415" s="468"/>
      <c r="AF415" s="468"/>
      <c r="AG415" s="468"/>
      <c r="AH415" s="468"/>
      <c r="AI415" s="468"/>
      <c r="AJ415" s="468"/>
    </row>
    <row r="416" spans="1:36" ht="18" customHeight="1" x14ac:dyDescent="0.35">
      <c r="A416" s="468"/>
      <c r="B416" s="468"/>
      <c r="C416" s="468"/>
      <c r="D416" s="468"/>
      <c r="E416" s="468"/>
      <c r="F416" s="468"/>
      <c r="G416" s="468"/>
      <c r="H416" s="468"/>
      <c r="I416" s="468"/>
      <c r="J416" s="468"/>
      <c r="K416" s="468"/>
      <c r="L416" s="468"/>
      <c r="M416" s="468"/>
      <c r="N416" s="468"/>
      <c r="O416" s="468"/>
      <c r="P416" s="468"/>
      <c r="Q416" s="468"/>
      <c r="R416" s="468"/>
      <c r="S416" s="468"/>
      <c r="T416" s="468"/>
      <c r="U416" s="468"/>
      <c r="V416" s="468"/>
      <c r="W416" s="468"/>
      <c r="X416" s="468"/>
      <c r="Y416" s="468"/>
      <c r="Z416" s="468"/>
      <c r="AA416" s="468"/>
      <c r="AB416" s="468"/>
      <c r="AC416" s="468"/>
      <c r="AD416" s="468"/>
      <c r="AE416" s="468"/>
      <c r="AF416" s="468"/>
      <c r="AG416" s="468"/>
      <c r="AH416" s="468"/>
      <c r="AI416" s="468"/>
      <c r="AJ416" s="468"/>
    </row>
    <row r="417" spans="1:36" ht="18" customHeight="1" x14ac:dyDescent="0.35">
      <c r="A417" s="468"/>
      <c r="B417" s="468"/>
      <c r="C417" s="468"/>
      <c r="D417" s="468"/>
      <c r="E417" s="468"/>
      <c r="F417" s="468"/>
      <c r="G417" s="468"/>
      <c r="H417" s="468"/>
      <c r="I417" s="468"/>
      <c r="J417" s="468"/>
      <c r="K417" s="468"/>
      <c r="L417" s="468"/>
      <c r="M417" s="468"/>
      <c r="N417" s="468"/>
      <c r="O417" s="468"/>
      <c r="P417" s="468"/>
      <c r="Q417" s="468"/>
      <c r="R417" s="468"/>
      <c r="S417" s="468"/>
      <c r="T417" s="468"/>
      <c r="U417" s="468"/>
      <c r="V417" s="468"/>
      <c r="W417" s="468"/>
      <c r="X417" s="468"/>
      <c r="Y417" s="468"/>
      <c r="Z417" s="468"/>
      <c r="AA417" s="468"/>
      <c r="AB417" s="468"/>
      <c r="AC417" s="468"/>
      <c r="AD417" s="468"/>
      <c r="AE417" s="468"/>
      <c r="AF417" s="468"/>
      <c r="AG417" s="468"/>
      <c r="AH417" s="468"/>
      <c r="AI417" s="468"/>
      <c r="AJ417" s="468"/>
    </row>
    <row r="418" spans="1:36" ht="18" customHeight="1" x14ac:dyDescent="0.35">
      <c r="A418" s="468"/>
      <c r="B418" s="468"/>
      <c r="C418" s="468"/>
      <c r="D418" s="468"/>
      <c r="E418" s="468"/>
      <c r="F418" s="468"/>
      <c r="G418" s="468"/>
      <c r="H418" s="468"/>
      <c r="I418" s="468"/>
      <c r="J418" s="468"/>
      <c r="K418" s="468"/>
      <c r="L418" s="468"/>
      <c r="M418" s="468"/>
      <c r="N418" s="468"/>
      <c r="O418" s="468"/>
      <c r="P418" s="468"/>
      <c r="Q418" s="468"/>
      <c r="R418" s="468"/>
      <c r="S418" s="468"/>
      <c r="T418" s="468"/>
      <c r="U418" s="468"/>
      <c r="V418" s="468"/>
      <c r="W418" s="468"/>
      <c r="X418" s="468"/>
      <c r="Y418" s="468"/>
      <c r="Z418" s="468"/>
      <c r="AA418" s="468"/>
      <c r="AB418" s="468"/>
      <c r="AC418" s="468"/>
      <c r="AD418" s="468"/>
      <c r="AE418" s="468"/>
      <c r="AF418" s="468"/>
      <c r="AG418" s="468"/>
      <c r="AH418" s="468"/>
      <c r="AI418" s="468"/>
      <c r="AJ418" s="468"/>
    </row>
    <row r="419" spans="1:36" ht="18" customHeight="1" x14ac:dyDescent="0.35">
      <c r="A419" s="468"/>
      <c r="B419" s="468"/>
      <c r="C419" s="468"/>
      <c r="D419" s="468"/>
      <c r="E419" s="468"/>
      <c r="F419" s="468"/>
      <c r="G419" s="468"/>
      <c r="H419" s="468"/>
      <c r="I419" s="468"/>
      <c r="J419" s="468"/>
      <c r="K419" s="468"/>
      <c r="L419" s="468"/>
      <c r="M419" s="468"/>
      <c r="N419" s="468"/>
      <c r="O419" s="468"/>
      <c r="P419" s="468"/>
      <c r="Q419" s="468"/>
      <c r="R419" s="468"/>
      <c r="S419" s="468"/>
      <c r="T419" s="468"/>
      <c r="U419" s="468"/>
      <c r="V419" s="468"/>
      <c r="W419" s="468"/>
      <c r="X419" s="468"/>
      <c r="Y419" s="468"/>
      <c r="Z419" s="468"/>
      <c r="AA419" s="468"/>
      <c r="AB419" s="468"/>
      <c r="AC419" s="468"/>
      <c r="AD419" s="468"/>
      <c r="AE419" s="468"/>
      <c r="AF419" s="468"/>
      <c r="AG419" s="468"/>
      <c r="AH419" s="468"/>
      <c r="AI419" s="468"/>
      <c r="AJ419" s="468"/>
    </row>
    <row r="420" spans="1:36" ht="18" customHeight="1" x14ac:dyDescent="0.35">
      <c r="A420" s="468"/>
      <c r="B420" s="468"/>
      <c r="C420" s="468"/>
      <c r="D420" s="468"/>
      <c r="E420" s="468"/>
      <c r="F420" s="468"/>
      <c r="G420" s="468"/>
      <c r="H420" s="468"/>
      <c r="I420" s="468"/>
      <c r="J420" s="468"/>
      <c r="K420" s="468"/>
      <c r="L420" s="468"/>
      <c r="M420" s="468"/>
      <c r="N420" s="468"/>
      <c r="O420" s="468"/>
      <c r="P420" s="468"/>
      <c r="Q420" s="468"/>
      <c r="R420" s="468"/>
      <c r="S420" s="468"/>
      <c r="T420" s="468"/>
      <c r="U420" s="468"/>
      <c r="V420" s="468"/>
      <c r="W420" s="468"/>
      <c r="X420" s="468"/>
      <c r="Y420" s="468"/>
      <c r="Z420" s="468"/>
      <c r="AA420" s="468"/>
      <c r="AB420" s="468"/>
      <c r="AC420" s="468"/>
      <c r="AD420" s="468"/>
      <c r="AE420" s="468"/>
      <c r="AF420" s="468"/>
      <c r="AG420" s="468"/>
      <c r="AH420" s="468"/>
      <c r="AI420" s="468"/>
      <c r="AJ420" s="468"/>
    </row>
    <row r="421" spans="1:36" ht="18" customHeight="1" x14ac:dyDescent="0.35">
      <c r="A421" s="468"/>
      <c r="B421" s="468"/>
      <c r="C421" s="468"/>
      <c r="D421" s="468"/>
      <c r="E421" s="468"/>
      <c r="F421" s="468"/>
      <c r="G421" s="468"/>
      <c r="H421" s="468"/>
      <c r="I421" s="468"/>
      <c r="J421" s="468"/>
      <c r="K421" s="468"/>
      <c r="L421" s="468"/>
      <c r="M421" s="468"/>
      <c r="N421" s="468"/>
      <c r="O421" s="468"/>
      <c r="P421" s="468"/>
      <c r="Q421" s="468"/>
      <c r="R421" s="468"/>
      <c r="S421" s="468"/>
      <c r="T421" s="468"/>
      <c r="U421" s="468"/>
      <c r="V421" s="468"/>
      <c r="W421" s="468"/>
      <c r="X421" s="468"/>
      <c r="Y421" s="468"/>
      <c r="Z421" s="468"/>
      <c r="AA421" s="468"/>
      <c r="AB421" s="468"/>
      <c r="AC421" s="468"/>
      <c r="AD421" s="468"/>
      <c r="AE421" s="468"/>
      <c r="AF421" s="468"/>
      <c r="AG421" s="468"/>
      <c r="AH421" s="468"/>
      <c r="AI421" s="468"/>
      <c r="AJ421" s="468"/>
    </row>
    <row r="422" spans="1:36" ht="18" customHeight="1" x14ac:dyDescent="0.35">
      <c r="A422" s="468"/>
      <c r="B422" s="468"/>
      <c r="C422" s="468"/>
      <c r="D422" s="468"/>
      <c r="E422" s="468"/>
      <c r="F422" s="468"/>
      <c r="G422" s="468"/>
      <c r="H422" s="468"/>
      <c r="I422" s="468"/>
      <c r="J422" s="468"/>
      <c r="K422" s="468"/>
      <c r="L422" s="468"/>
      <c r="M422" s="468"/>
      <c r="N422" s="468"/>
      <c r="O422" s="468"/>
      <c r="P422" s="468"/>
      <c r="Q422" s="468"/>
      <c r="R422" s="468"/>
      <c r="S422" s="468"/>
      <c r="T422" s="468"/>
      <c r="U422" s="468"/>
      <c r="V422" s="468"/>
      <c r="W422" s="468"/>
      <c r="X422" s="468"/>
      <c r="Y422" s="468"/>
      <c r="Z422" s="468"/>
      <c r="AA422" s="468"/>
      <c r="AB422" s="468"/>
      <c r="AC422" s="468"/>
      <c r="AD422" s="468"/>
      <c r="AE422" s="468"/>
      <c r="AF422" s="468"/>
      <c r="AG422" s="468"/>
      <c r="AH422" s="468"/>
      <c r="AI422" s="468"/>
      <c r="AJ422" s="468"/>
    </row>
    <row r="423" spans="1:36" ht="18" customHeight="1" x14ac:dyDescent="0.35">
      <c r="A423" s="468"/>
      <c r="B423" s="468"/>
      <c r="C423" s="468"/>
      <c r="D423" s="468"/>
      <c r="E423" s="468"/>
      <c r="F423" s="468"/>
      <c r="G423" s="468"/>
      <c r="H423" s="468"/>
      <c r="I423" s="468"/>
      <c r="J423" s="468"/>
      <c r="K423" s="468"/>
      <c r="L423" s="468"/>
      <c r="M423" s="468"/>
      <c r="N423" s="468"/>
      <c r="O423" s="468"/>
      <c r="P423" s="468"/>
      <c r="Q423" s="468"/>
      <c r="R423" s="468"/>
      <c r="S423" s="468"/>
      <c r="T423" s="468"/>
      <c r="U423" s="468"/>
      <c r="V423" s="468"/>
      <c r="W423" s="468"/>
      <c r="X423" s="468"/>
      <c r="Y423" s="468"/>
      <c r="Z423" s="468"/>
      <c r="AA423" s="468"/>
      <c r="AB423" s="468"/>
      <c r="AC423" s="468"/>
      <c r="AD423" s="468"/>
      <c r="AE423" s="468"/>
      <c r="AF423" s="468"/>
      <c r="AG423" s="468"/>
      <c r="AH423" s="468"/>
      <c r="AI423" s="468"/>
      <c r="AJ423" s="468"/>
    </row>
    <row r="424" spans="1:36" ht="18" customHeight="1" x14ac:dyDescent="0.35">
      <c r="A424" s="468"/>
      <c r="B424" s="468"/>
      <c r="C424" s="468"/>
      <c r="D424" s="468"/>
      <c r="E424" s="468"/>
      <c r="F424" s="468"/>
      <c r="G424" s="468"/>
      <c r="H424" s="468"/>
      <c r="I424" s="468"/>
      <c r="J424" s="468"/>
      <c r="K424" s="468"/>
      <c r="L424" s="468"/>
      <c r="M424" s="468"/>
      <c r="N424" s="468"/>
      <c r="O424" s="468"/>
      <c r="P424" s="468"/>
      <c r="Q424" s="468"/>
      <c r="R424" s="468"/>
      <c r="S424" s="468"/>
      <c r="T424" s="468"/>
      <c r="U424" s="468"/>
      <c r="V424" s="468"/>
      <c r="W424" s="468"/>
      <c r="X424" s="468"/>
      <c r="Y424" s="468"/>
      <c r="Z424" s="468"/>
      <c r="AA424" s="468"/>
      <c r="AB424" s="468"/>
      <c r="AC424" s="468"/>
      <c r="AD424" s="468"/>
      <c r="AE424" s="468"/>
      <c r="AF424" s="468"/>
      <c r="AG424" s="468"/>
      <c r="AH424" s="468"/>
      <c r="AI424" s="468"/>
      <c r="AJ424" s="468"/>
    </row>
    <row r="425" spans="1:36" ht="18" customHeight="1" x14ac:dyDescent="0.35">
      <c r="A425" s="468"/>
      <c r="B425" s="468"/>
      <c r="C425" s="468"/>
      <c r="D425" s="468"/>
      <c r="E425" s="468"/>
      <c r="F425" s="468"/>
      <c r="G425" s="468"/>
      <c r="H425" s="468"/>
      <c r="I425" s="468"/>
      <c r="J425" s="468"/>
      <c r="K425" s="468"/>
      <c r="L425" s="468"/>
      <c r="M425" s="468"/>
      <c r="N425" s="468"/>
      <c r="O425" s="468"/>
      <c r="P425" s="468"/>
      <c r="Q425" s="468"/>
      <c r="R425" s="468"/>
      <c r="S425" s="468"/>
      <c r="T425" s="468"/>
      <c r="U425" s="468"/>
      <c r="V425" s="468"/>
      <c r="W425" s="468"/>
      <c r="X425" s="468"/>
      <c r="Y425" s="468"/>
      <c r="Z425" s="468"/>
      <c r="AA425" s="468"/>
      <c r="AB425" s="468"/>
      <c r="AC425" s="468"/>
      <c r="AD425" s="468"/>
      <c r="AE425" s="468"/>
      <c r="AF425" s="468"/>
      <c r="AG425" s="468"/>
      <c r="AH425" s="468"/>
      <c r="AI425" s="468"/>
      <c r="AJ425" s="468"/>
    </row>
    <row r="426" spans="1:36" ht="18" customHeight="1" x14ac:dyDescent="0.35">
      <c r="A426" s="468"/>
      <c r="B426" s="468"/>
      <c r="C426" s="468"/>
      <c r="D426" s="468"/>
      <c r="E426" s="468"/>
      <c r="F426" s="468"/>
      <c r="G426" s="468"/>
      <c r="H426" s="468"/>
      <c r="I426" s="468"/>
      <c r="J426" s="468"/>
      <c r="K426" s="468"/>
      <c r="L426" s="468"/>
      <c r="M426" s="468"/>
      <c r="N426" s="468"/>
      <c r="O426" s="468"/>
      <c r="P426" s="468"/>
      <c r="Q426" s="468"/>
      <c r="R426" s="468"/>
      <c r="S426" s="468"/>
      <c r="T426" s="468"/>
      <c r="U426" s="468"/>
      <c r="V426" s="468"/>
      <c r="W426" s="468"/>
      <c r="X426" s="468"/>
      <c r="Y426" s="468"/>
      <c r="Z426" s="468"/>
      <c r="AA426" s="468"/>
      <c r="AB426" s="468"/>
      <c r="AC426" s="468"/>
      <c r="AD426" s="468"/>
      <c r="AE426" s="468"/>
      <c r="AF426" s="468"/>
      <c r="AG426" s="468"/>
      <c r="AH426" s="468"/>
      <c r="AI426" s="468"/>
      <c r="AJ426" s="468"/>
    </row>
    <row r="427" spans="1:36" ht="18" customHeight="1" x14ac:dyDescent="0.35">
      <c r="A427" s="468"/>
      <c r="B427" s="468"/>
      <c r="C427" s="468"/>
      <c r="D427" s="468"/>
      <c r="E427" s="468"/>
      <c r="F427" s="468"/>
      <c r="G427" s="468"/>
      <c r="H427" s="468"/>
      <c r="I427" s="468"/>
      <c r="J427" s="468"/>
      <c r="K427" s="468"/>
      <c r="L427" s="468"/>
      <c r="M427" s="468"/>
      <c r="N427" s="468"/>
      <c r="O427" s="468"/>
      <c r="P427" s="468"/>
      <c r="Q427" s="468"/>
      <c r="R427" s="468"/>
      <c r="S427" s="468"/>
      <c r="T427" s="468"/>
      <c r="U427" s="468"/>
      <c r="V427" s="468"/>
      <c r="W427" s="468"/>
      <c r="X427" s="468"/>
      <c r="Y427" s="468"/>
      <c r="Z427" s="468"/>
      <c r="AA427" s="468"/>
      <c r="AB427" s="468"/>
      <c r="AC427" s="468"/>
      <c r="AD427" s="468"/>
      <c r="AE427" s="468"/>
      <c r="AF427" s="468"/>
      <c r="AG427" s="468"/>
      <c r="AH427" s="468"/>
      <c r="AI427" s="468"/>
      <c r="AJ427" s="468"/>
    </row>
    <row r="428" spans="1:36" ht="18" customHeight="1" x14ac:dyDescent="0.35">
      <c r="A428" s="468"/>
      <c r="B428" s="468"/>
      <c r="C428" s="468"/>
      <c r="D428" s="468"/>
      <c r="E428" s="468"/>
      <c r="F428" s="468"/>
      <c r="G428" s="468"/>
      <c r="H428" s="468"/>
      <c r="I428" s="468"/>
      <c r="J428" s="468"/>
      <c r="K428" s="468"/>
      <c r="L428" s="468"/>
      <c r="M428" s="468"/>
      <c r="N428" s="468"/>
      <c r="O428" s="468"/>
      <c r="P428" s="468"/>
      <c r="Q428" s="468"/>
      <c r="R428" s="468"/>
      <c r="S428" s="468"/>
      <c r="T428" s="468"/>
      <c r="U428" s="468"/>
      <c r="V428" s="468"/>
      <c r="W428" s="468"/>
      <c r="X428" s="468"/>
      <c r="Y428" s="468"/>
      <c r="Z428" s="468"/>
      <c r="AA428" s="468"/>
      <c r="AB428" s="468"/>
      <c r="AC428" s="468"/>
      <c r="AD428" s="468"/>
      <c r="AE428" s="468"/>
      <c r="AF428" s="468"/>
      <c r="AG428" s="468"/>
      <c r="AH428" s="468"/>
      <c r="AI428" s="468"/>
      <c r="AJ428" s="468"/>
    </row>
    <row r="429" spans="1:36" ht="18" customHeight="1" x14ac:dyDescent="0.35">
      <c r="A429" s="468"/>
      <c r="B429" s="468"/>
      <c r="C429" s="468"/>
      <c r="D429" s="468"/>
      <c r="E429" s="468"/>
      <c r="F429" s="468"/>
      <c r="G429" s="468"/>
      <c r="H429" s="468"/>
      <c r="I429" s="468"/>
      <c r="J429" s="468"/>
      <c r="K429" s="468"/>
      <c r="L429" s="468"/>
      <c r="M429" s="468"/>
      <c r="N429" s="468"/>
      <c r="O429" s="468"/>
      <c r="P429" s="468"/>
      <c r="Q429" s="468"/>
      <c r="R429" s="468"/>
      <c r="S429" s="468"/>
      <c r="T429" s="468"/>
      <c r="U429" s="468"/>
      <c r="V429" s="468"/>
      <c r="W429" s="468"/>
      <c r="X429" s="468"/>
      <c r="Y429" s="468"/>
      <c r="Z429" s="468"/>
      <c r="AA429" s="468"/>
      <c r="AB429" s="468"/>
      <c r="AC429" s="468"/>
      <c r="AD429" s="468"/>
      <c r="AE429" s="468"/>
      <c r="AF429" s="468"/>
      <c r="AG429" s="468"/>
      <c r="AH429" s="468"/>
      <c r="AI429" s="468"/>
      <c r="AJ429" s="468"/>
    </row>
    <row r="430" spans="1:36" ht="18" customHeight="1" x14ac:dyDescent="0.35">
      <c r="A430" s="468"/>
      <c r="B430" s="468"/>
      <c r="C430" s="468"/>
      <c r="D430" s="468"/>
      <c r="E430" s="468"/>
      <c r="F430" s="468"/>
      <c r="G430" s="468"/>
      <c r="H430" s="468"/>
      <c r="I430" s="468"/>
      <c r="J430" s="468"/>
      <c r="K430" s="468"/>
      <c r="L430" s="468"/>
      <c r="M430" s="468"/>
      <c r="N430" s="468"/>
      <c r="O430" s="468"/>
      <c r="P430" s="468"/>
      <c r="Q430" s="468"/>
      <c r="R430" s="468"/>
      <c r="S430" s="468"/>
      <c r="T430" s="468"/>
      <c r="U430" s="468"/>
      <c r="V430" s="468"/>
      <c r="W430" s="468"/>
      <c r="X430" s="468"/>
      <c r="Y430" s="468"/>
      <c r="Z430" s="468"/>
      <c r="AA430" s="468"/>
      <c r="AB430" s="468"/>
      <c r="AC430" s="468"/>
      <c r="AD430" s="468"/>
      <c r="AE430" s="468"/>
      <c r="AF430" s="468"/>
      <c r="AG430" s="468"/>
      <c r="AH430" s="468"/>
      <c r="AI430" s="468"/>
      <c r="AJ430" s="468"/>
    </row>
    <row r="431" spans="1:36" ht="18" customHeight="1" x14ac:dyDescent="0.35">
      <c r="A431" s="468"/>
      <c r="B431" s="468"/>
      <c r="C431" s="468"/>
      <c r="D431" s="468"/>
      <c r="E431" s="468"/>
      <c r="F431" s="468"/>
      <c r="G431" s="468"/>
      <c r="H431" s="468"/>
      <c r="I431" s="468"/>
      <c r="J431" s="468"/>
      <c r="K431" s="468"/>
      <c r="L431" s="468"/>
      <c r="M431" s="468"/>
      <c r="N431" s="468"/>
      <c r="O431" s="468"/>
      <c r="P431" s="468"/>
      <c r="Q431" s="468"/>
      <c r="R431" s="468"/>
      <c r="S431" s="468"/>
      <c r="T431" s="468"/>
      <c r="U431" s="468"/>
      <c r="V431" s="468"/>
      <c r="W431" s="468"/>
      <c r="X431" s="468"/>
      <c r="Y431" s="468"/>
      <c r="Z431" s="468"/>
      <c r="AA431" s="468"/>
      <c r="AB431" s="468"/>
      <c r="AC431" s="468"/>
      <c r="AD431" s="468"/>
      <c r="AE431" s="468"/>
      <c r="AF431" s="468"/>
      <c r="AG431" s="468"/>
      <c r="AH431" s="468"/>
      <c r="AI431" s="468"/>
      <c r="AJ431" s="468"/>
    </row>
    <row r="432" spans="1:36" ht="18" customHeight="1" x14ac:dyDescent="0.35">
      <c r="A432" s="468"/>
      <c r="B432" s="468"/>
      <c r="C432" s="468"/>
      <c r="D432" s="468"/>
      <c r="E432" s="468"/>
      <c r="F432" s="468"/>
      <c r="G432" s="468"/>
      <c r="H432" s="468"/>
      <c r="I432" s="468"/>
      <c r="J432" s="468"/>
      <c r="K432" s="468"/>
      <c r="L432" s="468"/>
      <c r="M432" s="468"/>
      <c r="N432" s="468"/>
      <c r="O432" s="468"/>
      <c r="P432" s="468"/>
      <c r="Q432" s="468"/>
      <c r="R432" s="468"/>
      <c r="S432" s="468"/>
      <c r="T432" s="468"/>
      <c r="U432" s="468"/>
      <c r="V432" s="468"/>
      <c r="W432" s="468"/>
      <c r="X432" s="468"/>
      <c r="Y432" s="468"/>
      <c r="Z432" s="468"/>
      <c r="AA432" s="468"/>
      <c r="AB432" s="468"/>
      <c r="AC432" s="468"/>
      <c r="AD432" s="468"/>
      <c r="AE432" s="468"/>
      <c r="AF432" s="468"/>
      <c r="AG432" s="468"/>
      <c r="AH432" s="468"/>
      <c r="AI432" s="468"/>
      <c r="AJ432" s="468"/>
    </row>
    <row r="433" spans="1:36" ht="18" customHeight="1" x14ac:dyDescent="0.35">
      <c r="A433" s="468"/>
      <c r="B433" s="468"/>
      <c r="C433" s="468"/>
      <c r="D433" s="468"/>
      <c r="E433" s="468"/>
      <c r="F433" s="468"/>
      <c r="G433" s="468"/>
      <c r="H433" s="468"/>
      <c r="I433" s="468"/>
      <c r="J433" s="468"/>
      <c r="K433" s="468"/>
      <c r="L433" s="468"/>
      <c r="M433" s="468"/>
      <c r="N433" s="468"/>
      <c r="O433" s="468"/>
      <c r="P433" s="468"/>
      <c r="Q433" s="468"/>
      <c r="R433" s="468"/>
      <c r="S433" s="468"/>
      <c r="T433" s="468"/>
      <c r="U433" s="468"/>
      <c r="V433" s="468"/>
      <c r="W433" s="468"/>
      <c r="X433" s="468"/>
      <c r="Y433" s="468"/>
      <c r="Z433" s="468"/>
      <c r="AA433" s="468"/>
      <c r="AB433" s="468"/>
      <c r="AC433" s="468"/>
      <c r="AD433" s="468"/>
      <c r="AE433" s="468"/>
      <c r="AF433" s="468"/>
      <c r="AG433" s="468"/>
      <c r="AH433" s="468"/>
      <c r="AI433" s="468"/>
      <c r="AJ433" s="468"/>
    </row>
    <row r="434" spans="1:36" ht="18" customHeight="1" x14ac:dyDescent="0.35">
      <c r="A434" s="468"/>
      <c r="B434" s="468"/>
      <c r="C434" s="468"/>
      <c r="D434" s="468"/>
      <c r="E434" s="468"/>
      <c r="F434" s="468"/>
      <c r="G434" s="468"/>
      <c r="H434" s="468"/>
      <c r="I434" s="468"/>
      <c r="J434" s="468"/>
      <c r="K434" s="468"/>
      <c r="L434" s="468"/>
      <c r="M434" s="468"/>
      <c r="N434" s="468"/>
      <c r="O434" s="468"/>
      <c r="P434" s="468"/>
      <c r="Q434" s="468"/>
      <c r="R434" s="468"/>
      <c r="S434" s="468"/>
      <c r="T434" s="468"/>
      <c r="U434" s="468"/>
      <c r="V434" s="468"/>
      <c r="W434" s="468"/>
      <c r="X434" s="468"/>
      <c r="Y434" s="468"/>
      <c r="Z434" s="468"/>
      <c r="AA434" s="468"/>
      <c r="AB434" s="468"/>
      <c r="AC434" s="468"/>
      <c r="AD434" s="468"/>
      <c r="AE434" s="468"/>
      <c r="AF434" s="468"/>
      <c r="AG434" s="468"/>
      <c r="AH434" s="468"/>
      <c r="AI434" s="468"/>
      <c r="AJ434" s="468"/>
    </row>
    <row r="435" spans="1:36" ht="18" customHeight="1" x14ac:dyDescent="0.35">
      <c r="A435" s="468"/>
      <c r="B435" s="468"/>
      <c r="C435" s="468"/>
      <c r="D435" s="468"/>
      <c r="E435" s="468"/>
      <c r="F435" s="468"/>
      <c r="G435" s="468"/>
      <c r="H435" s="468"/>
      <c r="I435" s="468"/>
      <c r="J435" s="468"/>
      <c r="K435" s="468"/>
      <c r="L435" s="468"/>
      <c r="M435" s="468"/>
      <c r="N435" s="468"/>
      <c r="O435" s="468"/>
      <c r="P435" s="468"/>
      <c r="Q435" s="468"/>
      <c r="R435" s="468"/>
      <c r="S435" s="468"/>
      <c r="T435" s="468"/>
      <c r="U435" s="468"/>
      <c r="V435" s="468"/>
      <c r="W435" s="468"/>
      <c r="X435" s="468"/>
      <c r="Y435" s="468"/>
      <c r="Z435" s="468"/>
      <c r="AA435" s="468"/>
      <c r="AB435" s="468"/>
      <c r="AC435" s="468"/>
      <c r="AD435" s="468"/>
      <c r="AE435" s="468"/>
      <c r="AF435" s="468"/>
      <c r="AG435" s="468"/>
      <c r="AH435" s="468"/>
      <c r="AI435" s="468"/>
      <c r="AJ435" s="468"/>
    </row>
    <row r="436" spans="1:36" ht="18" customHeight="1" x14ac:dyDescent="0.35">
      <c r="A436" s="468"/>
      <c r="B436" s="468"/>
      <c r="C436" s="468"/>
      <c r="D436" s="468"/>
      <c r="E436" s="468"/>
      <c r="F436" s="468"/>
      <c r="G436" s="468"/>
      <c r="H436" s="468"/>
      <c r="I436" s="468"/>
      <c r="J436" s="468"/>
      <c r="K436" s="468"/>
      <c r="L436" s="468"/>
      <c r="M436" s="468"/>
      <c r="N436" s="468"/>
      <c r="O436" s="468"/>
      <c r="P436" s="468"/>
      <c r="Q436" s="468"/>
      <c r="R436" s="468"/>
      <c r="S436" s="468"/>
      <c r="T436" s="468"/>
      <c r="U436" s="468"/>
      <c r="V436" s="468"/>
      <c r="W436" s="468"/>
      <c r="X436" s="468"/>
      <c r="Y436" s="468"/>
      <c r="Z436" s="468"/>
      <c r="AA436" s="468"/>
      <c r="AB436" s="468"/>
      <c r="AC436" s="468"/>
      <c r="AD436" s="468"/>
      <c r="AE436" s="468"/>
      <c r="AF436" s="468"/>
      <c r="AG436" s="468"/>
      <c r="AH436" s="468"/>
      <c r="AI436" s="468"/>
      <c r="AJ436" s="468"/>
    </row>
    <row r="437" spans="1:36" ht="18" customHeight="1" x14ac:dyDescent="0.35">
      <c r="A437" s="468"/>
      <c r="B437" s="468"/>
      <c r="C437" s="468"/>
      <c r="D437" s="468"/>
      <c r="E437" s="468"/>
      <c r="F437" s="468"/>
      <c r="G437" s="468"/>
      <c r="H437" s="468"/>
      <c r="I437" s="468"/>
      <c r="J437" s="468"/>
      <c r="K437" s="468"/>
      <c r="L437" s="468"/>
      <c r="M437" s="468"/>
      <c r="N437" s="468"/>
      <c r="O437" s="468"/>
      <c r="P437" s="468"/>
      <c r="Q437" s="468"/>
      <c r="R437" s="468"/>
      <c r="S437" s="468"/>
      <c r="T437" s="468"/>
      <c r="U437" s="468"/>
      <c r="V437" s="468"/>
      <c r="W437" s="468"/>
      <c r="X437" s="468"/>
      <c r="Y437" s="468"/>
      <c r="Z437" s="468"/>
      <c r="AA437" s="468"/>
      <c r="AB437" s="468"/>
      <c r="AC437" s="468"/>
      <c r="AD437" s="468"/>
      <c r="AE437" s="468"/>
      <c r="AF437" s="468"/>
      <c r="AG437" s="468"/>
      <c r="AH437" s="468"/>
      <c r="AI437" s="468"/>
      <c r="AJ437" s="468"/>
    </row>
    <row r="438" spans="1:36" ht="18" customHeight="1" x14ac:dyDescent="0.35">
      <c r="A438" s="468"/>
      <c r="B438" s="468"/>
      <c r="C438" s="468"/>
      <c r="D438" s="468"/>
      <c r="E438" s="468"/>
      <c r="F438" s="468"/>
      <c r="G438" s="468"/>
      <c r="H438" s="468"/>
      <c r="I438" s="468"/>
      <c r="J438" s="468"/>
      <c r="K438" s="468"/>
      <c r="L438" s="468"/>
      <c r="M438" s="468"/>
      <c r="N438" s="468"/>
      <c r="O438" s="468"/>
      <c r="P438" s="468"/>
      <c r="Q438" s="468"/>
      <c r="R438" s="468"/>
      <c r="S438" s="468"/>
      <c r="T438" s="468"/>
      <c r="U438" s="468"/>
      <c r="V438" s="468"/>
      <c r="W438" s="468"/>
      <c r="X438" s="468"/>
      <c r="Y438" s="468"/>
      <c r="Z438" s="468"/>
      <c r="AA438" s="468"/>
      <c r="AB438" s="468"/>
      <c r="AC438" s="468"/>
      <c r="AD438" s="468"/>
      <c r="AE438" s="468"/>
      <c r="AF438" s="468"/>
      <c r="AG438" s="468"/>
      <c r="AH438" s="468"/>
      <c r="AI438" s="468"/>
      <c r="AJ438" s="468"/>
    </row>
    <row r="439" spans="1:36" ht="18" customHeight="1" x14ac:dyDescent="0.35">
      <c r="A439" s="468"/>
      <c r="B439" s="468"/>
      <c r="C439" s="468"/>
      <c r="D439" s="468"/>
      <c r="E439" s="468"/>
      <c r="F439" s="468"/>
      <c r="G439" s="468"/>
      <c r="H439" s="468"/>
      <c r="I439" s="468"/>
      <c r="J439" s="468"/>
      <c r="K439" s="468"/>
      <c r="L439" s="468"/>
      <c r="M439" s="468"/>
      <c r="N439" s="468"/>
      <c r="O439" s="468"/>
      <c r="P439" s="468"/>
      <c r="Q439" s="468"/>
      <c r="R439" s="468"/>
      <c r="S439" s="468"/>
      <c r="T439" s="468"/>
      <c r="U439" s="468"/>
      <c r="V439" s="468"/>
      <c r="W439" s="468"/>
      <c r="X439" s="468"/>
      <c r="Y439" s="468"/>
      <c r="Z439" s="468"/>
      <c r="AA439" s="468"/>
      <c r="AB439" s="468"/>
      <c r="AC439" s="468"/>
      <c r="AD439" s="468"/>
      <c r="AE439" s="468"/>
      <c r="AF439" s="468"/>
      <c r="AG439" s="468"/>
      <c r="AH439" s="468"/>
      <c r="AI439" s="468"/>
      <c r="AJ439" s="468"/>
    </row>
    <row r="440" spans="1:36" ht="18" customHeight="1" x14ac:dyDescent="0.35">
      <c r="A440" s="468"/>
      <c r="B440" s="468"/>
      <c r="C440" s="468"/>
      <c r="D440" s="468"/>
      <c r="E440" s="468"/>
      <c r="F440" s="468"/>
      <c r="G440" s="468"/>
      <c r="H440" s="468"/>
      <c r="I440" s="468"/>
      <c r="J440" s="468"/>
      <c r="K440" s="468"/>
      <c r="L440" s="468"/>
      <c r="M440" s="468"/>
      <c r="N440" s="468"/>
      <c r="O440" s="468"/>
      <c r="P440" s="468"/>
      <c r="Q440" s="468"/>
      <c r="R440" s="468"/>
      <c r="S440" s="468"/>
      <c r="T440" s="468"/>
      <c r="U440" s="468"/>
      <c r="V440" s="468"/>
      <c r="W440" s="468"/>
      <c r="X440" s="468"/>
      <c r="Y440" s="468"/>
      <c r="Z440" s="468"/>
      <c r="AA440" s="468"/>
      <c r="AB440" s="468"/>
      <c r="AC440" s="468"/>
      <c r="AD440" s="468"/>
      <c r="AE440" s="468"/>
      <c r="AF440" s="468"/>
      <c r="AG440" s="468"/>
      <c r="AH440" s="468"/>
      <c r="AI440" s="468"/>
      <c r="AJ440" s="468"/>
    </row>
    <row r="441" spans="1:36" ht="18" customHeight="1" x14ac:dyDescent="0.35">
      <c r="A441" s="468"/>
      <c r="B441" s="468"/>
      <c r="C441" s="468"/>
      <c r="D441" s="468"/>
      <c r="E441" s="468"/>
      <c r="F441" s="468"/>
      <c r="G441" s="468"/>
      <c r="H441" s="468"/>
      <c r="I441" s="468"/>
      <c r="J441" s="468"/>
      <c r="K441" s="468"/>
      <c r="L441" s="468"/>
      <c r="M441" s="468"/>
      <c r="N441" s="468"/>
      <c r="O441" s="468"/>
      <c r="P441" s="468"/>
      <c r="Q441" s="468"/>
      <c r="R441" s="468"/>
      <c r="S441" s="468"/>
      <c r="T441" s="468"/>
      <c r="U441" s="468"/>
      <c r="V441" s="468"/>
      <c r="W441" s="468"/>
      <c r="X441" s="468"/>
      <c r="Y441" s="468"/>
      <c r="Z441" s="468"/>
      <c r="AA441" s="468"/>
      <c r="AB441" s="468"/>
      <c r="AC441" s="468"/>
      <c r="AD441" s="468"/>
      <c r="AE441" s="468"/>
      <c r="AF441" s="468"/>
      <c r="AG441" s="468"/>
      <c r="AH441" s="468"/>
      <c r="AI441" s="468"/>
      <c r="AJ441" s="468"/>
    </row>
    <row r="442" spans="1:36" ht="18" customHeight="1" x14ac:dyDescent="0.35">
      <c r="A442" s="468"/>
      <c r="B442" s="468"/>
      <c r="C442" s="468"/>
      <c r="D442" s="468"/>
      <c r="E442" s="468"/>
      <c r="F442" s="468"/>
      <c r="G442" s="468"/>
      <c r="H442" s="468"/>
      <c r="I442" s="468"/>
      <c r="J442" s="468"/>
      <c r="K442" s="468"/>
      <c r="L442" s="468"/>
      <c r="M442" s="468"/>
      <c r="N442" s="468"/>
      <c r="O442" s="468"/>
      <c r="P442" s="468"/>
      <c r="Q442" s="468"/>
      <c r="R442" s="468"/>
      <c r="S442" s="468"/>
      <c r="T442" s="468"/>
      <c r="U442" s="468"/>
      <c r="V442" s="468"/>
      <c r="W442" s="468"/>
      <c r="X442" s="468"/>
      <c r="Y442" s="468"/>
      <c r="Z442" s="468"/>
      <c r="AA442" s="468"/>
      <c r="AB442" s="468"/>
      <c r="AC442" s="468"/>
      <c r="AD442" s="468"/>
      <c r="AE442" s="468"/>
      <c r="AF442" s="468"/>
      <c r="AG442" s="468"/>
      <c r="AH442" s="468"/>
      <c r="AI442" s="468"/>
      <c r="AJ442" s="468"/>
    </row>
    <row r="443" spans="1:36" ht="18" customHeight="1" x14ac:dyDescent="0.35">
      <c r="A443" s="468"/>
      <c r="B443" s="468"/>
      <c r="C443" s="468"/>
      <c r="D443" s="468"/>
      <c r="E443" s="468"/>
      <c r="F443" s="468"/>
      <c r="G443" s="468"/>
      <c r="H443" s="468"/>
      <c r="I443" s="468"/>
      <c r="J443" s="468"/>
      <c r="K443" s="468"/>
      <c r="L443" s="468"/>
      <c r="M443" s="468"/>
      <c r="N443" s="468"/>
      <c r="O443" s="468"/>
      <c r="P443" s="468"/>
      <c r="Q443" s="468"/>
      <c r="R443" s="468"/>
      <c r="S443" s="468"/>
      <c r="T443" s="468"/>
      <c r="U443" s="468"/>
      <c r="V443" s="468"/>
      <c r="W443" s="468"/>
      <c r="X443" s="468"/>
      <c r="Y443" s="468"/>
      <c r="Z443" s="468"/>
      <c r="AA443" s="468"/>
      <c r="AB443" s="468"/>
      <c r="AC443" s="468"/>
      <c r="AD443" s="468"/>
      <c r="AE443" s="468"/>
      <c r="AF443" s="468"/>
      <c r="AG443" s="468"/>
      <c r="AH443" s="468"/>
      <c r="AI443" s="468"/>
      <c r="AJ443" s="468"/>
    </row>
    <row r="444" spans="1:36" ht="18" customHeight="1" x14ac:dyDescent="0.35">
      <c r="A444" s="468"/>
      <c r="B444" s="468"/>
      <c r="C444" s="468"/>
      <c r="D444" s="468"/>
      <c r="E444" s="468"/>
      <c r="F444" s="468"/>
      <c r="G444" s="468"/>
      <c r="H444" s="468"/>
      <c r="I444" s="468"/>
      <c r="J444" s="468"/>
      <c r="K444" s="468"/>
      <c r="L444" s="468"/>
      <c r="M444" s="468"/>
      <c r="N444" s="468"/>
      <c r="O444" s="468"/>
      <c r="P444" s="468"/>
      <c r="Q444" s="468"/>
      <c r="R444" s="468"/>
      <c r="S444" s="468"/>
      <c r="T444" s="468"/>
      <c r="U444" s="468"/>
      <c r="V444" s="468"/>
      <c r="W444" s="468"/>
      <c r="X444" s="468"/>
      <c r="Y444" s="468"/>
      <c r="Z444" s="468"/>
      <c r="AA444" s="468"/>
      <c r="AB444" s="468"/>
      <c r="AC444" s="468"/>
      <c r="AD444" s="468"/>
      <c r="AE444" s="468"/>
      <c r="AF444" s="468"/>
      <c r="AG444" s="468"/>
      <c r="AH444" s="468"/>
      <c r="AI444" s="468"/>
      <c r="AJ444" s="468"/>
    </row>
    <row r="445" spans="1:36" ht="18" customHeight="1" x14ac:dyDescent="0.35">
      <c r="A445" s="468"/>
      <c r="B445" s="468"/>
      <c r="C445" s="468"/>
      <c r="D445" s="468"/>
      <c r="E445" s="468"/>
      <c r="F445" s="468"/>
      <c r="G445" s="468"/>
      <c r="H445" s="468"/>
      <c r="I445" s="468"/>
      <c r="J445" s="468"/>
      <c r="K445" s="468"/>
      <c r="L445" s="468"/>
      <c r="M445" s="468"/>
      <c r="N445" s="468"/>
      <c r="O445" s="468"/>
      <c r="P445" s="468"/>
      <c r="Q445" s="468"/>
      <c r="R445" s="468"/>
      <c r="S445" s="468"/>
      <c r="T445" s="468"/>
      <c r="U445" s="468"/>
      <c r="V445" s="468"/>
      <c r="W445" s="468"/>
      <c r="X445" s="468"/>
      <c r="Y445" s="468"/>
      <c r="Z445" s="468"/>
      <c r="AA445" s="468"/>
      <c r="AB445" s="468"/>
      <c r="AC445" s="468"/>
      <c r="AD445" s="468"/>
      <c r="AE445" s="468"/>
      <c r="AF445" s="468"/>
      <c r="AG445" s="468"/>
      <c r="AH445" s="468"/>
      <c r="AI445" s="468"/>
      <c r="AJ445" s="468"/>
    </row>
    <row r="446" spans="1:36" ht="18" customHeight="1" x14ac:dyDescent="0.35">
      <c r="A446" s="468"/>
      <c r="B446" s="468"/>
      <c r="C446" s="468"/>
      <c r="D446" s="468"/>
      <c r="E446" s="468"/>
      <c r="F446" s="468"/>
      <c r="G446" s="468"/>
      <c r="H446" s="468"/>
      <c r="I446" s="468"/>
      <c r="J446" s="468"/>
      <c r="K446" s="468"/>
      <c r="L446" s="468"/>
      <c r="M446" s="468"/>
      <c r="N446" s="468"/>
      <c r="O446" s="468"/>
      <c r="P446" s="468"/>
      <c r="Q446" s="468"/>
      <c r="R446" s="468"/>
      <c r="S446" s="468"/>
      <c r="T446" s="468"/>
      <c r="U446" s="468"/>
      <c r="V446" s="468"/>
      <c r="W446" s="468"/>
      <c r="X446" s="468"/>
      <c r="Y446" s="468"/>
      <c r="Z446" s="468"/>
      <c r="AA446" s="468"/>
      <c r="AB446" s="468"/>
      <c r="AC446" s="468"/>
      <c r="AD446" s="468"/>
      <c r="AE446" s="468"/>
      <c r="AF446" s="468"/>
      <c r="AG446" s="468"/>
      <c r="AH446" s="468"/>
      <c r="AI446" s="468"/>
      <c r="AJ446" s="468"/>
    </row>
    <row r="447" spans="1:36" ht="18" customHeight="1" x14ac:dyDescent="0.35">
      <c r="A447" s="468"/>
      <c r="B447" s="468"/>
      <c r="C447" s="468"/>
      <c r="D447" s="468"/>
      <c r="E447" s="468"/>
      <c r="F447" s="468"/>
      <c r="G447" s="468"/>
      <c r="H447" s="468"/>
      <c r="I447" s="468"/>
      <c r="J447" s="468"/>
      <c r="K447" s="468"/>
      <c r="L447" s="468"/>
      <c r="M447" s="468"/>
      <c r="N447" s="468"/>
      <c r="O447" s="468"/>
      <c r="P447" s="468"/>
      <c r="Q447" s="468"/>
      <c r="R447" s="468"/>
      <c r="S447" s="468"/>
      <c r="T447" s="468"/>
      <c r="U447" s="468"/>
      <c r="V447" s="468"/>
      <c r="W447" s="468"/>
      <c r="X447" s="468"/>
      <c r="Y447" s="468"/>
      <c r="Z447" s="468"/>
      <c r="AA447" s="468"/>
      <c r="AB447" s="468"/>
      <c r="AC447" s="468"/>
      <c r="AD447" s="468"/>
      <c r="AE447" s="468"/>
      <c r="AF447" s="468"/>
      <c r="AG447" s="468"/>
      <c r="AH447" s="468"/>
      <c r="AI447" s="468"/>
      <c r="AJ447" s="468"/>
    </row>
    <row r="448" spans="1:36" ht="18" customHeight="1" x14ac:dyDescent="0.35">
      <c r="A448" s="468"/>
      <c r="B448" s="468"/>
      <c r="C448" s="468"/>
      <c r="D448" s="468"/>
      <c r="E448" s="468"/>
      <c r="F448" s="468"/>
      <c r="G448" s="468"/>
      <c r="H448" s="468"/>
      <c r="I448" s="468"/>
      <c r="J448" s="468"/>
      <c r="K448" s="468"/>
      <c r="L448" s="468"/>
      <c r="M448" s="468"/>
      <c r="N448" s="468"/>
      <c r="O448" s="468"/>
      <c r="P448" s="468"/>
      <c r="Q448" s="468"/>
      <c r="R448" s="468"/>
      <c r="S448" s="468"/>
      <c r="T448" s="468"/>
      <c r="U448" s="468"/>
      <c r="V448" s="468"/>
      <c r="W448" s="468"/>
      <c r="X448" s="468"/>
      <c r="Y448" s="468"/>
      <c r="Z448" s="468"/>
      <c r="AA448" s="468"/>
      <c r="AB448" s="468"/>
      <c r="AC448" s="468"/>
      <c r="AD448" s="468"/>
      <c r="AE448" s="468"/>
      <c r="AF448" s="468"/>
      <c r="AG448" s="468"/>
      <c r="AH448" s="468"/>
      <c r="AI448" s="468"/>
      <c r="AJ448" s="468"/>
    </row>
    <row r="449" spans="1:36" ht="18" customHeight="1" x14ac:dyDescent="0.35">
      <c r="A449" s="468"/>
      <c r="B449" s="468"/>
      <c r="C449" s="468"/>
      <c r="D449" s="468"/>
      <c r="E449" s="468"/>
      <c r="F449" s="468"/>
      <c r="G449" s="468"/>
      <c r="H449" s="468"/>
      <c r="I449" s="468"/>
      <c r="J449" s="468"/>
      <c r="K449" s="468"/>
      <c r="L449" s="468"/>
      <c r="M449" s="468"/>
      <c r="N449" s="468"/>
      <c r="O449" s="468"/>
      <c r="P449" s="468"/>
      <c r="Q449" s="468"/>
      <c r="R449" s="468"/>
      <c r="S449" s="468"/>
      <c r="T449" s="468"/>
      <c r="U449" s="468"/>
      <c r="V449" s="468"/>
      <c r="W449" s="468"/>
      <c r="X449" s="468"/>
      <c r="Y449" s="468"/>
      <c r="Z449" s="468"/>
      <c r="AA449" s="468"/>
      <c r="AB449" s="468"/>
      <c r="AC449" s="468"/>
      <c r="AD449" s="468"/>
      <c r="AE449" s="468"/>
      <c r="AF449" s="468"/>
      <c r="AG449" s="468"/>
      <c r="AH449" s="468"/>
      <c r="AI449" s="468"/>
      <c r="AJ449" s="468"/>
    </row>
    <row r="450" spans="1:36" ht="18" customHeight="1" x14ac:dyDescent="0.35">
      <c r="A450" s="468"/>
      <c r="B450" s="468"/>
      <c r="C450" s="468"/>
      <c r="D450" s="468"/>
      <c r="E450" s="468"/>
      <c r="F450" s="468"/>
      <c r="G450" s="468"/>
      <c r="H450" s="468"/>
      <c r="I450" s="468"/>
      <c r="J450" s="468"/>
      <c r="K450" s="468"/>
      <c r="L450" s="468"/>
      <c r="M450" s="468"/>
      <c r="N450" s="468"/>
      <c r="O450" s="468"/>
      <c r="P450" s="468"/>
      <c r="Q450" s="468"/>
      <c r="R450" s="468"/>
      <c r="S450" s="468"/>
      <c r="T450" s="468"/>
      <c r="U450" s="468"/>
      <c r="V450" s="468"/>
      <c r="W450" s="468"/>
      <c r="X450" s="468"/>
      <c r="Y450" s="468"/>
      <c r="Z450" s="468"/>
      <c r="AA450" s="468"/>
      <c r="AB450" s="468"/>
      <c r="AC450" s="468"/>
      <c r="AD450" s="468"/>
      <c r="AE450" s="468"/>
      <c r="AF450" s="468"/>
      <c r="AG450" s="468"/>
      <c r="AH450" s="468"/>
      <c r="AI450" s="468"/>
      <c r="AJ450" s="468"/>
    </row>
    <row r="451" spans="1:36" ht="18" customHeight="1" x14ac:dyDescent="0.35">
      <c r="A451" s="468"/>
      <c r="B451" s="468"/>
      <c r="C451" s="468"/>
      <c r="D451" s="468"/>
      <c r="E451" s="468"/>
      <c r="F451" s="468"/>
      <c r="G451" s="468"/>
      <c r="H451" s="468"/>
      <c r="I451" s="468"/>
      <c r="J451" s="468"/>
      <c r="K451" s="468"/>
      <c r="L451" s="468"/>
      <c r="M451" s="468"/>
      <c r="N451" s="468"/>
      <c r="O451" s="468"/>
      <c r="P451" s="468"/>
      <c r="Q451" s="468"/>
      <c r="R451" s="468"/>
      <c r="S451" s="468"/>
      <c r="T451" s="468"/>
      <c r="U451" s="468"/>
      <c r="V451" s="468"/>
      <c r="W451" s="468"/>
      <c r="X451" s="468"/>
      <c r="Y451" s="468"/>
      <c r="Z451" s="468"/>
      <c r="AA451" s="468"/>
      <c r="AB451" s="468"/>
      <c r="AC451" s="468"/>
      <c r="AD451" s="468"/>
      <c r="AE451" s="468"/>
      <c r="AF451" s="468"/>
      <c r="AG451" s="468"/>
      <c r="AH451" s="468"/>
      <c r="AI451" s="468"/>
      <c r="AJ451" s="468"/>
    </row>
    <row r="452" spans="1:36" ht="18" customHeight="1" x14ac:dyDescent="0.35">
      <c r="A452" s="468"/>
      <c r="B452" s="468"/>
      <c r="C452" s="468"/>
      <c r="D452" s="468"/>
      <c r="E452" s="468"/>
      <c r="F452" s="468"/>
      <c r="G452" s="468"/>
      <c r="H452" s="468"/>
      <c r="I452" s="468"/>
      <c r="J452" s="468"/>
      <c r="K452" s="468"/>
      <c r="L452" s="468"/>
      <c r="M452" s="468"/>
      <c r="N452" s="468"/>
      <c r="O452" s="468"/>
      <c r="P452" s="468"/>
      <c r="Q452" s="468"/>
      <c r="R452" s="468"/>
      <c r="S452" s="468"/>
      <c r="T452" s="468"/>
      <c r="U452" s="468"/>
      <c r="V452" s="468"/>
      <c r="W452" s="468"/>
      <c r="X452" s="468"/>
      <c r="Y452" s="468"/>
      <c r="Z452" s="468"/>
      <c r="AA452" s="468"/>
      <c r="AB452" s="468"/>
      <c r="AC452" s="468"/>
      <c r="AD452" s="468"/>
      <c r="AE452" s="468"/>
      <c r="AF452" s="468"/>
      <c r="AG452" s="468"/>
      <c r="AH452" s="468"/>
      <c r="AI452" s="468"/>
      <c r="AJ452" s="468"/>
    </row>
    <row r="453" spans="1:36" ht="18" customHeight="1" x14ac:dyDescent="0.35">
      <c r="A453" s="468"/>
      <c r="B453" s="468"/>
      <c r="C453" s="468"/>
      <c r="D453" s="468"/>
      <c r="E453" s="468"/>
      <c r="F453" s="468"/>
      <c r="G453" s="468"/>
      <c r="H453" s="468"/>
      <c r="I453" s="468"/>
      <c r="J453" s="468"/>
      <c r="K453" s="468"/>
      <c r="L453" s="468"/>
      <c r="M453" s="468"/>
      <c r="N453" s="468"/>
      <c r="O453" s="468"/>
      <c r="P453" s="468"/>
      <c r="Q453" s="468"/>
      <c r="R453" s="468"/>
      <c r="S453" s="468"/>
      <c r="T453" s="468"/>
      <c r="U453" s="468"/>
      <c r="V453" s="468"/>
      <c r="W453" s="468"/>
      <c r="X453" s="468"/>
      <c r="Y453" s="468"/>
      <c r="Z453" s="468"/>
      <c r="AA453" s="468"/>
      <c r="AB453" s="468"/>
      <c r="AC453" s="468"/>
      <c r="AD453" s="468"/>
      <c r="AE453" s="468"/>
      <c r="AF453" s="468"/>
      <c r="AG453" s="468"/>
      <c r="AH453" s="468"/>
      <c r="AI453" s="468"/>
      <c r="AJ453" s="468"/>
    </row>
    <row r="454" spans="1:36" ht="18" customHeight="1" x14ac:dyDescent="0.35">
      <c r="A454" s="468"/>
      <c r="B454" s="468"/>
      <c r="C454" s="468"/>
      <c r="D454" s="468"/>
      <c r="E454" s="468"/>
      <c r="F454" s="468"/>
      <c r="G454" s="468"/>
      <c r="H454" s="468"/>
      <c r="I454" s="468"/>
      <c r="J454" s="468"/>
      <c r="K454" s="468"/>
      <c r="L454" s="468"/>
      <c r="M454" s="468"/>
      <c r="N454" s="468"/>
      <c r="O454" s="468"/>
      <c r="P454" s="468"/>
      <c r="Q454" s="468"/>
      <c r="R454" s="468"/>
      <c r="S454" s="468"/>
      <c r="T454" s="468"/>
      <c r="U454" s="468"/>
      <c r="V454" s="468"/>
      <c r="W454" s="468"/>
      <c r="X454" s="468"/>
      <c r="Y454" s="468"/>
      <c r="Z454" s="468"/>
      <c r="AA454" s="468"/>
      <c r="AB454" s="468"/>
      <c r="AC454" s="468"/>
      <c r="AD454" s="468"/>
      <c r="AE454" s="468"/>
      <c r="AF454" s="468"/>
      <c r="AG454" s="468"/>
      <c r="AH454" s="468"/>
      <c r="AI454" s="468"/>
      <c r="AJ454" s="468"/>
    </row>
    <row r="455" spans="1:36" ht="18" customHeight="1" x14ac:dyDescent="0.35">
      <c r="A455" s="468"/>
      <c r="B455" s="468"/>
      <c r="C455" s="468"/>
      <c r="D455" s="468"/>
      <c r="E455" s="468"/>
      <c r="F455" s="468"/>
      <c r="G455" s="468"/>
      <c r="H455" s="468"/>
      <c r="I455" s="468"/>
      <c r="J455" s="468"/>
      <c r="K455" s="468"/>
      <c r="L455" s="468"/>
      <c r="M455" s="468"/>
      <c r="N455" s="468"/>
      <c r="O455" s="468"/>
      <c r="P455" s="468"/>
      <c r="Q455" s="468"/>
      <c r="R455" s="468"/>
      <c r="S455" s="468"/>
      <c r="T455" s="468"/>
      <c r="U455" s="468"/>
      <c r="V455" s="468"/>
      <c r="W455" s="468"/>
      <c r="X455" s="468"/>
      <c r="Y455" s="468"/>
      <c r="Z455" s="468"/>
      <c r="AA455" s="468"/>
      <c r="AB455" s="468"/>
      <c r="AC455" s="468"/>
      <c r="AD455" s="468"/>
      <c r="AE455" s="468"/>
      <c r="AF455" s="468"/>
      <c r="AG455" s="468"/>
      <c r="AH455" s="468"/>
      <c r="AI455" s="468"/>
      <c r="AJ455" s="468"/>
    </row>
    <row r="456" spans="1:36" ht="18" customHeight="1" x14ac:dyDescent="0.35">
      <c r="A456" s="468"/>
      <c r="B456" s="468"/>
      <c r="C456" s="468"/>
      <c r="D456" s="468"/>
      <c r="E456" s="468"/>
      <c r="F456" s="468"/>
      <c r="G456" s="468"/>
      <c r="H456" s="468"/>
      <c r="I456" s="468"/>
      <c r="J456" s="468"/>
      <c r="K456" s="468"/>
      <c r="L456" s="468"/>
      <c r="M456" s="468"/>
      <c r="N456" s="468"/>
      <c r="O456" s="468"/>
      <c r="P456" s="468"/>
      <c r="Q456" s="468"/>
      <c r="R456" s="468"/>
      <c r="S456" s="468"/>
      <c r="T456" s="468"/>
      <c r="U456" s="468"/>
      <c r="V456" s="468"/>
      <c r="W456" s="468"/>
      <c r="X456" s="468"/>
      <c r="Y456" s="468"/>
      <c r="Z456" s="468"/>
      <c r="AA456" s="468"/>
      <c r="AB456" s="468"/>
      <c r="AC456" s="468"/>
      <c r="AD456" s="468"/>
      <c r="AE456" s="468"/>
      <c r="AF456" s="468"/>
      <c r="AG456" s="468"/>
      <c r="AH456" s="468"/>
      <c r="AI456" s="468"/>
      <c r="AJ456" s="468"/>
    </row>
    <row r="457" spans="1:36" ht="18" customHeight="1" x14ac:dyDescent="0.35">
      <c r="A457" s="468"/>
      <c r="B457" s="468"/>
      <c r="C457" s="468"/>
      <c r="D457" s="468"/>
      <c r="E457" s="468"/>
      <c r="F457" s="468"/>
      <c r="G457" s="468"/>
      <c r="H457" s="468"/>
      <c r="I457" s="468"/>
      <c r="J457" s="468"/>
      <c r="K457" s="468"/>
      <c r="L457" s="468"/>
      <c r="M457" s="468"/>
      <c r="N457" s="468"/>
      <c r="O457" s="468"/>
      <c r="P457" s="468"/>
      <c r="Q457" s="468"/>
      <c r="R457" s="468"/>
      <c r="S457" s="468"/>
      <c r="T457" s="468"/>
      <c r="U457" s="468"/>
      <c r="V457" s="468"/>
      <c r="W457" s="468"/>
      <c r="X457" s="468"/>
      <c r="Y457" s="468"/>
      <c r="Z457" s="468"/>
      <c r="AA457" s="468"/>
      <c r="AB457" s="468"/>
      <c r="AC457" s="468"/>
      <c r="AD457" s="468"/>
      <c r="AE457" s="468"/>
      <c r="AF457" s="468"/>
      <c r="AG457" s="468"/>
      <c r="AH457" s="468"/>
      <c r="AI457" s="468"/>
      <c r="AJ457" s="468"/>
    </row>
    <row r="458" spans="1:36" ht="18" customHeight="1" x14ac:dyDescent="0.35">
      <c r="A458" s="468"/>
      <c r="B458" s="468"/>
      <c r="C458" s="468"/>
      <c r="D458" s="468"/>
      <c r="E458" s="468"/>
      <c r="F458" s="468"/>
      <c r="G458" s="468"/>
      <c r="H458" s="468"/>
      <c r="I458" s="468"/>
      <c r="J458" s="468"/>
      <c r="K458" s="468"/>
      <c r="L458" s="468"/>
      <c r="M458" s="468"/>
      <c r="N458" s="468"/>
      <c r="O458" s="468"/>
      <c r="P458" s="468"/>
      <c r="Q458" s="468"/>
      <c r="R458" s="468"/>
      <c r="S458" s="468"/>
      <c r="T458" s="468"/>
      <c r="U458" s="468"/>
      <c r="V458" s="468"/>
      <c r="W458" s="468"/>
      <c r="X458" s="468"/>
      <c r="Y458" s="468"/>
      <c r="Z458" s="468"/>
      <c r="AA458" s="468"/>
      <c r="AB458" s="468"/>
      <c r="AC458" s="468"/>
      <c r="AD458" s="468"/>
      <c r="AE458" s="468"/>
      <c r="AF458" s="468"/>
      <c r="AG458" s="468"/>
      <c r="AH458" s="468"/>
      <c r="AI458" s="468"/>
      <c r="AJ458" s="468"/>
    </row>
    <row r="459" spans="1:36" ht="18" customHeight="1" x14ac:dyDescent="0.35">
      <c r="A459" s="468"/>
      <c r="B459" s="468"/>
      <c r="C459" s="468"/>
      <c r="D459" s="468"/>
      <c r="E459" s="468"/>
      <c r="F459" s="468"/>
      <c r="G459" s="468"/>
      <c r="H459" s="468"/>
      <c r="I459" s="468"/>
      <c r="J459" s="468"/>
      <c r="K459" s="468"/>
      <c r="L459" s="468"/>
      <c r="M459" s="468"/>
      <c r="N459" s="468"/>
      <c r="O459" s="468"/>
      <c r="P459" s="468"/>
      <c r="Q459" s="468"/>
      <c r="R459" s="468"/>
      <c r="S459" s="468"/>
      <c r="T459" s="468"/>
      <c r="U459" s="468"/>
      <c r="V459" s="468"/>
      <c r="W459" s="468"/>
      <c r="X459" s="468"/>
      <c r="Y459" s="468"/>
      <c r="Z459" s="468"/>
      <c r="AA459" s="468"/>
      <c r="AB459" s="468"/>
      <c r="AC459" s="468"/>
      <c r="AD459" s="468"/>
      <c r="AE459" s="468"/>
      <c r="AF459" s="468"/>
      <c r="AG459" s="468"/>
      <c r="AH459" s="468"/>
      <c r="AI459" s="468"/>
      <c r="AJ459" s="468"/>
    </row>
    <row r="460" spans="1:36" ht="18" customHeight="1" x14ac:dyDescent="0.35">
      <c r="A460" s="468"/>
      <c r="B460" s="468"/>
      <c r="C460" s="468"/>
      <c r="D460" s="468"/>
      <c r="E460" s="468"/>
      <c r="F460" s="468"/>
      <c r="G460" s="468"/>
      <c r="H460" s="468"/>
      <c r="I460" s="468"/>
      <c r="J460" s="468"/>
      <c r="K460" s="468"/>
      <c r="L460" s="468"/>
      <c r="M460" s="468"/>
      <c r="N460" s="468"/>
      <c r="O460" s="468"/>
      <c r="P460" s="468"/>
      <c r="Q460" s="468"/>
      <c r="R460" s="468"/>
      <c r="S460" s="468"/>
      <c r="T460" s="468"/>
      <c r="U460" s="468"/>
      <c r="V460" s="468"/>
      <c r="W460" s="468"/>
      <c r="X460" s="468"/>
      <c r="Y460" s="468"/>
      <c r="Z460" s="468"/>
      <c r="AA460" s="468"/>
      <c r="AB460" s="468"/>
      <c r="AC460" s="468"/>
      <c r="AD460" s="468"/>
      <c r="AE460" s="468"/>
      <c r="AF460" s="468"/>
      <c r="AG460" s="468"/>
      <c r="AH460" s="468"/>
      <c r="AI460" s="468"/>
      <c r="AJ460" s="468"/>
    </row>
    <row r="461" spans="1:36" ht="18" customHeight="1" x14ac:dyDescent="0.35">
      <c r="A461" s="468"/>
      <c r="B461" s="468"/>
      <c r="C461" s="468"/>
      <c r="D461" s="468"/>
      <c r="E461" s="468"/>
      <c r="F461" s="468"/>
      <c r="G461" s="468"/>
      <c r="H461" s="468"/>
      <c r="I461" s="468"/>
      <c r="J461" s="468"/>
      <c r="K461" s="468"/>
      <c r="L461" s="468"/>
      <c r="M461" s="468"/>
      <c r="N461" s="468"/>
      <c r="O461" s="468"/>
      <c r="P461" s="468"/>
      <c r="Q461" s="468"/>
      <c r="R461" s="468"/>
      <c r="S461" s="468"/>
      <c r="T461" s="468"/>
      <c r="U461" s="468"/>
      <c r="V461" s="468"/>
      <c r="W461" s="468"/>
      <c r="X461" s="468"/>
      <c r="Y461" s="468"/>
      <c r="Z461" s="468"/>
      <c r="AA461" s="468"/>
      <c r="AB461" s="468"/>
      <c r="AC461" s="468"/>
      <c r="AD461" s="468"/>
      <c r="AE461" s="468"/>
      <c r="AF461" s="468"/>
      <c r="AG461" s="468"/>
      <c r="AH461" s="468"/>
      <c r="AI461" s="468"/>
      <c r="AJ461" s="468"/>
    </row>
    <row r="462" spans="1:36" ht="18" customHeight="1" x14ac:dyDescent="0.35">
      <c r="A462" s="468"/>
      <c r="B462" s="468"/>
      <c r="C462" s="468"/>
      <c r="D462" s="468"/>
      <c r="E462" s="468"/>
      <c r="F462" s="468"/>
      <c r="G462" s="468"/>
      <c r="H462" s="468"/>
      <c r="I462" s="468"/>
      <c r="J462" s="468"/>
      <c r="K462" s="468"/>
      <c r="L462" s="468"/>
      <c r="M462" s="468"/>
      <c r="N462" s="468"/>
      <c r="O462" s="468"/>
      <c r="P462" s="468"/>
      <c r="Q462" s="468"/>
      <c r="R462" s="468"/>
      <c r="S462" s="468"/>
      <c r="T462" s="468"/>
      <c r="U462" s="468"/>
      <c r="V462" s="468"/>
      <c r="W462" s="468"/>
      <c r="X462" s="468"/>
      <c r="Y462" s="468"/>
      <c r="Z462" s="468"/>
      <c r="AA462" s="468"/>
      <c r="AB462" s="468"/>
      <c r="AC462" s="468"/>
      <c r="AD462" s="468"/>
      <c r="AE462" s="468"/>
      <c r="AF462" s="468"/>
      <c r="AG462" s="468"/>
      <c r="AH462" s="468"/>
      <c r="AI462" s="468"/>
      <c r="AJ462" s="468"/>
    </row>
    <row r="463" spans="1:36" ht="18" customHeight="1" x14ac:dyDescent="0.35">
      <c r="A463" s="468"/>
      <c r="B463" s="468"/>
      <c r="C463" s="468"/>
      <c r="D463" s="468"/>
      <c r="E463" s="468"/>
      <c r="F463" s="468"/>
      <c r="G463" s="468"/>
      <c r="H463" s="468"/>
      <c r="I463" s="468"/>
      <c r="J463" s="468"/>
      <c r="K463" s="468"/>
      <c r="L463" s="468"/>
      <c r="M463" s="468"/>
      <c r="N463" s="468"/>
      <c r="O463" s="468"/>
      <c r="P463" s="468"/>
      <c r="Q463" s="468"/>
      <c r="R463" s="468"/>
      <c r="S463" s="468"/>
      <c r="T463" s="468"/>
      <c r="U463" s="468"/>
      <c r="V463" s="468"/>
      <c r="W463" s="468"/>
      <c r="X463" s="468"/>
      <c r="Y463" s="468"/>
      <c r="Z463" s="468"/>
      <c r="AA463" s="468"/>
      <c r="AB463" s="468"/>
      <c r="AC463" s="468"/>
      <c r="AD463" s="468"/>
      <c r="AE463" s="468"/>
      <c r="AF463" s="468"/>
      <c r="AG463" s="468"/>
      <c r="AH463" s="468"/>
      <c r="AI463" s="468"/>
      <c r="AJ463" s="468"/>
    </row>
    <row r="464" spans="1:36" ht="18" customHeight="1" x14ac:dyDescent="0.35">
      <c r="A464" s="468"/>
      <c r="B464" s="468"/>
      <c r="C464" s="468"/>
      <c r="D464" s="468"/>
      <c r="E464" s="468"/>
      <c r="F464" s="468"/>
      <c r="G464" s="468"/>
      <c r="H464" s="468"/>
      <c r="I464" s="468"/>
      <c r="J464" s="468"/>
      <c r="K464" s="468"/>
      <c r="L464" s="468"/>
      <c r="M464" s="468"/>
      <c r="N464" s="468"/>
      <c r="O464" s="468"/>
      <c r="P464" s="468"/>
      <c r="Q464" s="468"/>
      <c r="R464" s="468"/>
      <c r="S464" s="468"/>
      <c r="T464" s="468"/>
      <c r="U464" s="468"/>
      <c r="V464" s="468"/>
      <c r="W464" s="468"/>
      <c r="X464" s="468"/>
      <c r="Y464" s="468"/>
      <c r="Z464" s="468"/>
      <c r="AA464" s="468"/>
      <c r="AB464" s="468"/>
      <c r="AC464" s="468"/>
      <c r="AD464" s="468"/>
      <c r="AE464" s="468"/>
      <c r="AF464" s="468"/>
      <c r="AG464" s="468"/>
      <c r="AH464" s="468"/>
      <c r="AI464" s="468"/>
      <c r="AJ464" s="468"/>
    </row>
    <row r="465" spans="1:36" ht="18" customHeight="1" x14ac:dyDescent="0.35">
      <c r="A465" s="468"/>
      <c r="B465" s="468"/>
      <c r="C465" s="468"/>
      <c r="D465" s="468"/>
      <c r="E465" s="468"/>
      <c r="F465" s="468"/>
      <c r="G465" s="468"/>
      <c r="H465" s="468"/>
      <c r="I465" s="468"/>
      <c r="J465" s="468"/>
      <c r="K465" s="468"/>
      <c r="L465" s="468"/>
      <c r="M465" s="468"/>
      <c r="N465" s="468"/>
      <c r="O465" s="468"/>
      <c r="P465" s="468"/>
      <c r="Q465" s="468"/>
      <c r="R465" s="468"/>
      <c r="S465" s="468"/>
      <c r="T465" s="468"/>
      <c r="U465" s="468"/>
      <c r="V465" s="468"/>
      <c r="W465" s="468"/>
      <c r="X465" s="468"/>
      <c r="Y465" s="468"/>
      <c r="Z465" s="468"/>
      <c r="AA465" s="468"/>
      <c r="AB465" s="468"/>
      <c r="AC465" s="468"/>
      <c r="AD465" s="468"/>
      <c r="AE465" s="468"/>
      <c r="AF465" s="468"/>
      <c r="AG465" s="468"/>
      <c r="AH465" s="468"/>
      <c r="AI465" s="468"/>
      <c r="AJ465" s="468"/>
    </row>
    <row r="466" spans="1:36" ht="18" customHeight="1" x14ac:dyDescent="0.35">
      <c r="A466" s="468"/>
      <c r="B466" s="468"/>
      <c r="C466" s="468"/>
      <c r="D466" s="468"/>
      <c r="E466" s="468"/>
      <c r="F466" s="468"/>
      <c r="G466" s="468"/>
      <c r="H466" s="468"/>
      <c r="I466" s="468"/>
      <c r="J466" s="468"/>
      <c r="K466" s="468"/>
      <c r="L466" s="468"/>
      <c r="M466" s="468"/>
      <c r="N466" s="468"/>
      <c r="O466" s="468"/>
      <c r="P466" s="468"/>
      <c r="Q466" s="468"/>
      <c r="R466" s="468"/>
      <c r="S466" s="468"/>
      <c r="T466" s="468"/>
      <c r="U466" s="468"/>
      <c r="V466" s="468"/>
      <c r="W466" s="468"/>
      <c r="X466" s="468"/>
      <c r="Y466" s="468"/>
      <c r="Z466" s="468"/>
      <c r="AA466" s="468"/>
      <c r="AB466" s="468"/>
      <c r="AC466" s="468"/>
      <c r="AD466" s="468"/>
      <c r="AE466" s="468"/>
      <c r="AF466" s="468"/>
      <c r="AG466" s="468"/>
      <c r="AH466" s="468"/>
      <c r="AI466" s="468"/>
      <c r="AJ466" s="468"/>
    </row>
    <row r="467" spans="1:36" ht="18" customHeight="1" x14ac:dyDescent="0.35">
      <c r="A467" s="468"/>
      <c r="B467" s="468"/>
      <c r="C467" s="468"/>
      <c r="D467" s="468"/>
      <c r="E467" s="468"/>
      <c r="F467" s="468"/>
      <c r="G467" s="468"/>
      <c r="H467" s="468"/>
      <c r="I467" s="468"/>
      <c r="J467" s="468"/>
      <c r="K467" s="468"/>
      <c r="L467" s="468"/>
      <c r="M467" s="468"/>
      <c r="N467" s="468"/>
      <c r="O467" s="468"/>
      <c r="P467" s="468"/>
      <c r="Q467" s="468"/>
      <c r="R467" s="468"/>
      <c r="S467" s="468"/>
      <c r="T467" s="468"/>
      <c r="U467" s="468"/>
      <c r="V467" s="468"/>
      <c r="W467" s="468"/>
      <c r="X467" s="468"/>
      <c r="Y467" s="468"/>
      <c r="Z467" s="468"/>
      <c r="AA467" s="468"/>
      <c r="AB467" s="468"/>
      <c r="AC467" s="468"/>
      <c r="AD467" s="468"/>
      <c r="AE467" s="468"/>
      <c r="AF467" s="468"/>
      <c r="AG467" s="468"/>
      <c r="AH467" s="468"/>
      <c r="AI467" s="468"/>
      <c r="AJ467" s="468"/>
    </row>
    <row r="468" spans="1:36" ht="18" customHeight="1" x14ac:dyDescent="0.35">
      <c r="A468" s="468"/>
      <c r="B468" s="468"/>
      <c r="C468" s="468"/>
      <c r="D468" s="468"/>
      <c r="E468" s="468"/>
      <c r="F468" s="468"/>
      <c r="G468" s="468"/>
      <c r="H468" s="468"/>
      <c r="I468" s="468"/>
      <c r="J468" s="468"/>
      <c r="K468" s="468"/>
      <c r="L468" s="468"/>
      <c r="M468" s="468"/>
      <c r="N468" s="468"/>
      <c r="O468" s="468"/>
      <c r="P468" s="468"/>
      <c r="Q468" s="468"/>
      <c r="R468" s="468"/>
      <c r="S468" s="468"/>
      <c r="T468" s="468"/>
      <c r="U468" s="468"/>
      <c r="V468" s="468"/>
      <c r="W468" s="468"/>
      <c r="X468" s="468"/>
      <c r="Y468" s="468"/>
      <c r="Z468" s="468"/>
      <c r="AA468" s="468"/>
      <c r="AB468" s="468"/>
      <c r="AC468" s="468"/>
      <c r="AD468" s="468"/>
      <c r="AE468" s="468"/>
      <c r="AF468" s="468"/>
      <c r="AG468" s="468"/>
      <c r="AH468" s="468"/>
      <c r="AI468" s="468"/>
      <c r="AJ468" s="468"/>
    </row>
    <row r="469" spans="1:36" ht="18" customHeight="1" x14ac:dyDescent="0.35">
      <c r="A469" s="468"/>
      <c r="B469" s="468"/>
      <c r="C469" s="468"/>
      <c r="D469" s="468"/>
      <c r="E469" s="468"/>
      <c r="F469" s="468"/>
      <c r="G469" s="468"/>
      <c r="H469" s="468"/>
      <c r="I469" s="468"/>
      <c r="J469" s="468"/>
      <c r="K469" s="468"/>
      <c r="L469" s="468"/>
      <c r="M469" s="468"/>
      <c r="N469" s="468"/>
      <c r="O469" s="468"/>
      <c r="P469" s="468"/>
      <c r="Q469" s="468"/>
      <c r="R469" s="468"/>
      <c r="S469" s="468"/>
      <c r="T469" s="468"/>
      <c r="U469" s="468"/>
      <c r="V469" s="468"/>
      <c r="W469" s="468"/>
      <c r="X469" s="468"/>
      <c r="Y469" s="468"/>
      <c r="Z469" s="468"/>
      <c r="AA469" s="468"/>
      <c r="AB469" s="468"/>
      <c r="AC469" s="468"/>
      <c r="AD469" s="468"/>
      <c r="AE469" s="468"/>
      <c r="AF469" s="468"/>
      <c r="AG469" s="468"/>
      <c r="AH469" s="468"/>
      <c r="AI469" s="468"/>
      <c r="AJ469" s="468"/>
    </row>
    <row r="470" spans="1:36" ht="18" customHeight="1" x14ac:dyDescent="0.35">
      <c r="A470" s="468"/>
      <c r="B470" s="468"/>
      <c r="C470" s="468"/>
      <c r="D470" s="468"/>
      <c r="E470" s="468"/>
      <c r="F470" s="468"/>
      <c r="G470" s="468"/>
      <c r="H470" s="468"/>
      <c r="I470" s="468"/>
      <c r="J470" s="468"/>
      <c r="K470" s="468"/>
      <c r="L470" s="468"/>
      <c r="M470" s="468"/>
      <c r="N470" s="468"/>
      <c r="O470" s="468"/>
      <c r="P470" s="468"/>
      <c r="Q470" s="468"/>
      <c r="R470" s="468"/>
      <c r="S470" s="468"/>
      <c r="T470" s="468"/>
      <c r="U470" s="468"/>
      <c r="V470" s="468"/>
      <c r="W470" s="468"/>
      <c r="X470" s="468"/>
      <c r="Y470" s="468"/>
      <c r="Z470" s="468"/>
      <c r="AA470" s="468"/>
      <c r="AB470" s="468"/>
      <c r="AC470" s="468"/>
      <c r="AD470" s="468"/>
      <c r="AE470" s="468"/>
      <c r="AF470" s="468"/>
      <c r="AG470" s="468"/>
      <c r="AH470" s="468"/>
      <c r="AI470" s="468"/>
      <c r="AJ470" s="468"/>
    </row>
    <row r="471" spans="1:36" ht="18" customHeight="1" x14ac:dyDescent="0.35">
      <c r="A471" s="468"/>
      <c r="B471" s="468"/>
      <c r="C471" s="468"/>
      <c r="D471" s="468"/>
      <c r="E471" s="468"/>
      <c r="F471" s="468"/>
      <c r="G471" s="468"/>
      <c r="H471" s="468"/>
      <c r="I471" s="468"/>
      <c r="J471" s="468"/>
      <c r="K471" s="468"/>
      <c r="L471" s="468"/>
      <c r="M471" s="468"/>
      <c r="N471" s="468"/>
      <c r="O471" s="468"/>
      <c r="P471" s="468"/>
      <c r="Q471" s="468"/>
      <c r="R471" s="468"/>
      <c r="S471" s="468"/>
      <c r="T471" s="468"/>
      <c r="U471" s="468"/>
      <c r="V471" s="468"/>
      <c r="W471" s="468"/>
      <c r="X471" s="468"/>
      <c r="Y471" s="468"/>
      <c r="Z471" s="468"/>
      <c r="AA471" s="468"/>
      <c r="AB471" s="468"/>
      <c r="AC471" s="468"/>
      <c r="AD471" s="468"/>
      <c r="AE471" s="468"/>
      <c r="AF471" s="468"/>
      <c r="AG471" s="468"/>
      <c r="AH471" s="468"/>
      <c r="AI471" s="468"/>
      <c r="AJ471" s="468"/>
    </row>
    <row r="472" spans="1:36" ht="18" customHeight="1" x14ac:dyDescent="0.35">
      <c r="A472" s="468"/>
      <c r="B472" s="468"/>
      <c r="C472" s="468"/>
      <c r="D472" s="468"/>
      <c r="E472" s="468"/>
      <c r="F472" s="468"/>
      <c r="G472" s="468"/>
      <c r="H472" s="468"/>
      <c r="I472" s="468"/>
      <c r="J472" s="468"/>
      <c r="K472" s="468"/>
      <c r="L472" s="468"/>
      <c r="M472" s="468"/>
      <c r="N472" s="468"/>
      <c r="O472" s="468"/>
      <c r="P472" s="468"/>
      <c r="Q472" s="468"/>
      <c r="R472" s="468"/>
      <c r="S472" s="468"/>
      <c r="T472" s="468"/>
      <c r="U472" s="468"/>
      <c r="V472" s="468"/>
      <c r="W472" s="468"/>
      <c r="X472" s="468"/>
      <c r="Y472" s="468"/>
      <c r="Z472" s="468"/>
      <c r="AA472" s="468"/>
      <c r="AB472" s="468"/>
      <c r="AC472" s="468"/>
      <c r="AD472" s="468"/>
      <c r="AE472" s="468"/>
      <c r="AF472" s="468"/>
      <c r="AG472" s="468"/>
      <c r="AH472" s="468"/>
      <c r="AI472" s="468"/>
      <c r="AJ472" s="468"/>
    </row>
    <row r="473" spans="1:36" ht="18" customHeight="1" x14ac:dyDescent="0.35">
      <c r="A473" s="468"/>
      <c r="B473" s="468"/>
      <c r="C473" s="468"/>
      <c r="D473" s="468"/>
      <c r="E473" s="468"/>
      <c r="F473" s="468"/>
      <c r="G473" s="468"/>
      <c r="H473" s="468"/>
      <c r="I473" s="468"/>
      <c r="J473" s="468"/>
      <c r="K473" s="468"/>
      <c r="L473" s="468"/>
      <c r="M473" s="468"/>
      <c r="N473" s="468"/>
      <c r="O473" s="468"/>
      <c r="P473" s="468"/>
      <c r="Q473" s="468"/>
      <c r="R473" s="468"/>
      <c r="S473" s="468"/>
      <c r="T473" s="468"/>
      <c r="U473" s="468"/>
      <c r="V473" s="468"/>
      <c r="W473" s="468"/>
      <c r="X473" s="468"/>
      <c r="Y473" s="468"/>
      <c r="Z473" s="468"/>
      <c r="AA473" s="468"/>
      <c r="AB473" s="468"/>
      <c r="AC473" s="468"/>
      <c r="AD473" s="468"/>
      <c r="AE473" s="468"/>
      <c r="AF473" s="468"/>
      <c r="AG473" s="468"/>
      <c r="AH473" s="468"/>
      <c r="AI473" s="468"/>
      <c r="AJ473" s="468"/>
    </row>
    <row r="474" spans="1:36" ht="18" customHeight="1" x14ac:dyDescent="0.35">
      <c r="A474" s="468"/>
      <c r="B474" s="468"/>
      <c r="C474" s="468"/>
      <c r="D474" s="468"/>
      <c r="E474" s="468"/>
      <c r="F474" s="468"/>
      <c r="G474" s="468"/>
      <c r="H474" s="468"/>
      <c r="I474" s="468"/>
      <c r="J474" s="468"/>
      <c r="K474" s="468"/>
      <c r="L474" s="468"/>
      <c r="M474" s="468"/>
      <c r="N474" s="468"/>
      <c r="O474" s="468"/>
      <c r="P474" s="468"/>
      <c r="Q474" s="468"/>
      <c r="R474" s="468"/>
      <c r="S474" s="468"/>
      <c r="T474" s="468"/>
      <c r="U474" s="468"/>
      <c r="V474" s="468"/>
      <c r="W474" s="468"/>
      <c r="X474" s="468"/>
      <c r="Y474" s="468"/>
      <c r="Z474" s="468"/>
      <c r="AA474" s="468"/>
      <c r="AB474" s="468"/>
      <c r="AC474" s="468"/>
      <c r="AD474" s="468"/>
      <c r="AE474" s="468"/>
      <c r="AF474" s="468"/>
      <c r="AG474" s="468"/>
      <c r="AH474" s="468"/>
      <c r="AI474" s="468"/>
      <c r="AJ474" s="468"/>
    </row>
    <row r="475" spans="1:36" ht="18" customHeight="1" x14ac:dyDescent="0.35">
      <c r="A475" s="468"/>
      <c r="B475" s="468"/>
      <c r="C475" s="468"/>
      <c r="D475" s="468"/>
      <c r="E475" s="468"/>
      <c r="F475" s="468"/>
      <c r="G475" s="468"/>
      <c r="H475" s="468"/>
      <c r="I475" s="468"/>
      <c r="J475" s="468"/>
      <c r="K475" s="468"/>
      <c r="L475" s="468"/>
      <c r="M475" s="468"/>
      <c r="N475" s="468"/>
      <c r="O475" s="468"/>
      <c r="P475" s="468"/>
      <c r="Q475" s="468"/>
      <c r="R475" s="468"/>
      <c r="S475" s="468"/>
      <c r="T475" s="468"/>
      <c r="U475" s="468"/>
      <c r="V475" s="468"/>
      <c r="W475" s="468"/>
      <c r="X475" s="468"/>
      <c r="Y475" s="468"/>
      <c r="Z475" s="468"/>
      <c r="AA475" s="468"/>
      <c r="AB475" s="468"/>
      <c r="AC475" s="468"/>
      <c r="AD475" s="468"/>
      <c r="AE475" s="468"/>
      <c r="AF475" s="468"/>
      <c r="AG475" s="468"/>
      <c r="AH475" s="468"/>
      <c r="AI475" s="468"/>
      <c r="AJ475" s="468"/>
    </row>
    <row r="476" spans="1:36" ht="18" customHeight="1" x14ac:dyDescent="0.35">
      <c r="A476" s="468"/>
      <c r="B476" s="468"/>
      <c r="C476" s="468"/>
      <c r="D476" s="468"/>
      <c r="E476" s="468"/>
      <c r="F476" s="468"/>
      <c r="G476" s="468"/>
      <c r="H476" s="468"/>
      <c r="I476" s="468"/>
      <c r="J476" s="468"/>
      <c r="K476" s="468"/>
      <c r="L476" s="468"/>
      <c r="M476" s="468"/>
      <c r="N476" s="468"/>
      <c r="O476" s="468"/>
      <c r="P476" s="468"/>
      <c r="Q476" s="468"/>
      <c r="R476" s="468"/>
      <c r="S476" s="468"/>
      <c r="T476" s="468"/>
      <c r="U476" s="468"/>
      <c r="V476" s="468"/>
      <c r="W476" s="468"/>
      <c r="X476" s="468"/>
      <c r="Y476" s="468"/>
      <c r="Z476" s="468"/>
      <c r="AA476" s="468"/>
      <c r="AB476" s="468"/>
      <c r="AC476" s="468"/>
      <c r="AD476" s="468"/>
      <c r="AE476" s="468"/>
      <c r="AF476" s="468"/>
      <c r="AG476" s="468"/>
      <c r="AH476" s="468"/>
      <c r="AI476" s="468"/>
      <c r="AJ476" s="468"/>
    </row>
    <row r="477" spans="1:36" ht="18" customHeight="1" x14ac:dyDescent="0.35">
      <c r="A477" s="468"/>
      <c r="B477" s="468"/>
      <c r="C477" s="468"/>
      <c r="D477" s="468"/>
      <c r="E477" s="468"/>
      <c r="F477" s="468"/>
      <c r="G477" s="468"/>
      <c r="H477" s="468"/>
      <c r="I477" s="468"/>
      <c r="J477" s="468"/>
      <c r="K477" s="468"/>
      <c r="L477" s="468"/>
      <c r="M477" s="468"/>
      <c r="N477" s="468"/>
      <c r="O477" s="468"/>
      <c r="P477" s="468"/>
      <c r="Q477" s="468"/>
      <c r="R477" s="468"/>
      <c r="S477" s="468"/>
      <c r="T477" s="468"/>
      <c r="U477" s="468"/>
      <c r="V477" s="468"/>
      <c r="W477" s="468"/>
      <c r="X477" s="468"/>
      <c r="Y477" s="468"/>
      <c r="Z477" s="468"/>
      <c r="AA477" s="468"/>
      <c r="AB477" s="468"/>
      <c r="AC477" s="468"/>
      <c r="AD477" s="468"/>
      <c r="AE477" s="468"/>
      <c r="AF477" s="468"/>
      <c r="AG477" s="468"/>
      <c r="AH477" s="468"/>
      <c r="AI477" s="468"/>
      <c r="AJ477" s="468"/>
    </row>
    <row r="478" spans="1:36" ht="18" customHeight="1" x14ac:dyDescent="0.35">
      <c r="A478" s="468"/>
      <c r="B478" s="468"/>
      <c r="C478" s="468"/>
      <c r="D478" s="468"/>
      <c r="E478" s="468"/>
      <c r="F478" s="468"/>
      <c r="G478" s="468"/>
      <c r="H478" s="468"/>
      <c r="I478" s="468"/>
      <c r="J478" s="468"/>
      <c r="K478" s="468"/>
      <c r="L478" s="468"/>
      <c r="M478" s="468"/>
      <c r="N478" s="468"/>
      <c r="O478" s="468"/>
      <c r="P478" s="468"/>
      <c r="Q478" s="468"/>
      <c r="R478" s="468"/>
      <c r="S478" s="468"/>
      <c r="T478" s="468"/>
      <c r="U478" s="468"/>
      <c r="V478" s="468"/>
      <c r="W478" s="468"/>
      <c r="X478" s="468"/>
      <c r="Y478" s="468"/>
      <c r="Z478" s="468"/>
      <c r="AA478" s="468"/>
      <c r="AB478" s="468"/>
      <c r="AC478" s="468"/>
      <c r="AD478" s="468"/>
      <c r="AE478" s="468"/>
      <c r="AF478" s="468"/>
      <c r="AG478" s="468"/>
      <c r="AH478" s="468"/>
      <c r="AI478" s="468"/>
      <c r="AJ478" s="468"/>
    </row>
    <row r="479" spans="1:36" ht="18" customHeight="1" x14ac:dyDescent="0.35">
      <c r="A479" s="468"/>
      <c r="B479" s="468"/>
      <c r="C479" s="468"/>
      <c r="D479" s="468"/>
      <c r="E479" s="468"/>
      <c r="F479" s="468"/>
      <c r="G479" s="468"/>
      <c r="H479" s="468"/>
      <c r="I479" s="468"/>
      <c r="J479" s="468"/>
      <c r="K479" s="468"/>
      <c r="L479" s="468"/>
      <c r="M479" s="468"/>
      <c r="N479" s="468"/>
      <c r="O479" s="468"/>
      <c r="P479" s="468"/>
      <c r="Q479" s="468"/>
      <c r="R479" s="468"/>
      <c r="S479" s="468"/>
      <c r="T479" s="468"/>
      <c r="U479" s="468"/>
      <c r="V479" s="468"/>
      <c r="W479" s="468"/>
      <c r="X479" s="468"/>
      <c r="Y479" s="468"/>
      <c r="Z479" s="468"/>
      <c r="AA479" s="468"/>
      <c r="AB479" s="468"/>
      <c r="AC479" s="468"/>
      <c r="AD479" s="468"/>
      <c r="AE479" s="468"/>
      <c r="AF479" s="468"/>
      <c r="AG479" s="468"/>
      <c r="AH479" s="468"/>
      <c r="AI479" s="468"/>
      <c r="AJ479" s="468"/>
    </row>
    <row r="480" spans="1:36" ht="18" customHeight="1" x14ac:dyDescent="0.35">
      <c r="A480" s="468"/>
      <c r="B480" s="468"/>
      <c r="C480" s="468"/>
      <c r="D480" s="468"/>
      <c r="E480" s="468"/>
      <c r="F480" s="468"/>
      <c r="G480" s="468"/>
      <c r="H480" s="468"/>
      <c r="I480" s="468"/>
      <c r="J480" s="468"/>
      <c r="K480" s="468"/>
      <c r="L480" s="468"/>
      <c r="M480" s="468"/>
      <c r="N480" s="468"/>
      <c r="O480" s="468"/>
      <c r="P480" s="468"/>
      <c r="Q480" s="468"/>
      <c r="R480" s="468"/>
      <c r="S480" s="468"/>
      <c r="T480" s="468"/>
      <c r="U480" s="468"/>
      <c r="V480" s="468"/>
      <c r="W480" s="468"/>
      <c r="X480" s="468"/>
      <c r="Y480" s="468"/>
      <c r="Z480" s="468"/>
      <c r="AA480" s="468"/>
      <c r="AB480" s="468"/>
      <c r="AC480" s="468"/>
      <c r="AD480" s="468"/>
      <c r="AE480" s="468"/>
      <c r="AF480" s="468"/>
      <c r="AG480" s="468"/>
      <c r="AH480" s="468"/>
      <c r="AI480" s="468"/>
      <c r="AJ480" s="468"/>
    </row>
    <row r="481" spans="1:36" ht="18" customHeight="1" x14ac:dyDescent="0.35">
      <c r="A481" s="468"/>
      <c r="B481" s="468"/>
      <c r="C481" s="468"/>
      <c r="D481" s="468"/>
      <c r="E481" s="468"/>
      <c r="F481" s="468"/>
      <c r="G481" s="468"/>
      <c r="H481" s="468"/>
      <c r="I481" s="468"/>
      <c r="J481" s="468"/>
      <c r="K481" s="468"/>
      <c r="L481" s="468"/>
      <c r="M481" s="468"/>
      <c r="N481" s="468"/>
      <c r="O481" s="468"/>
      <c r="P481" s="468"/>
      <c r="Q481" s="468"/>
      <c r="R481" s="468"/>
      <c r="S481" s="468"/>
      <c r="T481" s="468"/>
      <c r="U481" s="468"/>
      <c r="V481" s="468"/>
      <c r="W481" s="468"/>
      <c r="X481" s="468"/>
      <c r="Y481" s="468"/>
      <c r="Z481" s="468"/>
      <c r="AA481" s="468"/>
      <c r="AB481" s="468"/>
      <c r="AC481" s="468"/>
      <c r="AD481" s="468"/>
      <c r="AE481" s="468"/>
      <c r="AF481" s="468"/>
      <c r="AG481" s="468"/>
      <c r="AH481" s="468"/>
      <c r="AI481" s="468"/>
      <c r="AJ481" s="468"/>
    </row>
    <row r="482" spans="1:36" ht="18" customHeight="1" x14ac:dyDescent="0.35">
      <c r="A482" s="468"/>
      <c r="B482" s="468"/>
      <c r="C482" s="468"/>
      <c r="D482" s="468"/>
      <c r="E482" s="468"/>
      <c r="F482" s="468"/>
      <c r="G482" s="468"/>
      <c r="H482" s="468"/>
      <c r="I482" s="468"/>
      <c r="J482" s="468"/>
      <c r="K482" s="468"/>
      <c r="L482" s="468"/>
      <c r="M482" s="468"/>
      <c r="N482" s="468"/>
      <c r="O482" s="468"/>
      <c r="P482" s="468"/>
      <c r="Q482" s="468"/>
      <c r="R482" s="468"/>
      <c r="S482" s="468"/>
      <c r="T482" s="468"/>
      <c r="U482" s="468"/>
      <c r="V482" s="468"/>
      <c r="W482" s="468"/>
      <c r="X482" s="468"/>
      <c r="Y482" s="468"/>
      <c r="Z482" s="468"/>
      <c r="AA482" s="468"/>
      <c r="AB482" s="468"/>
      <c r="AC482" s="468"/>
      <c r="AD482" s="468"/>
      <c r="AE482" s="468"/>
      <c r="AF482" s="468"/>
      <c r="AG482" s="468"/>
      <c r="AH482" s="468"/>
      <c r="AI482" s="468"/>
      <c r="AJ482" s="468"/>
    </row>
    <row r="483" spans="1:36" ht="18" customHeight="1" x14ac:dyDescent="0.35">
      <c r="A483" s="468"/>
      <c r="B483" s="468"/>
      <c r="C483" s="468"/>
      <c r="D483" s="468"/>
      <c r="E483" s="468"/>
      <c r="F483" s="468"/>
      <c r="G483" s="468"/>
      <c r="H483" s="468"/>
      <c r="I483" s="468"/>
      <c r="J483" s="468"/>
      <c r="K483" s="468"/>
      <c r="L483" s="468"/>
      <c r="M483" s="468"/>
      <c r="N483" s="468"/>
      <c r="O483" s="468"/>
      <c r="P483" s="468"/>
      <c r="Q483" s="468"/>
      <c r="R483" s="468"/>
      <c r="S483" s="468"/>
      <c r="T483" s="468"/>
      <c r="U483" s="468"/>
      <c r="V483" s="468"/>
      <c r="W483" s="468"/>
      <c r="X483" s="468"/>
      <c r="Y483" s="468"/>
      <c r="Z483" s="468"/>
      <c r="AA483" s="468"/>
      <c r="AB483" s="468"/>
      <c r="AC483" s="468"/>
      <c r="AD483" s="468"/>
      <c r="AE483" s="468"/>
      <c r="AF483" s="468"/>
      <c r="AG483" s="468"/>
      <c r="AH483" s="468"/>
      <c r="AI483" s="468"/>
      <c r="AJ483" s="468"/>
    </row>
    <row r="484" spans="1:36" ht="18" customHeight="1" x14ac:dyDescent="0.35">
      <c r="A484" s="468"/>
      <c r="B484" s="468"/>
      <c r="C484" s="468"/>
      <c r="D484" s="468"/>
      <c r="E484" s="468"/>
      <c r="F484" s="468"/>
      <c r="G484" s="468"/>
      <c r="H484" s="468"/>
      <c r="I484" s="468"/>
      <c r="J484" s="468"/>
      <c r="K484" s="468"/>
      <c r="L484" s="468"/>
      <c r="M484" s="468"/>
      <c r="N484" s="468"/>
      <c r="O484" s="468"/>
      <c r="P484" s="468"/>
      <c r="Q484" s="468"/>
      <c r="R484" s="468"/>
      <c r="S484" s="468"/>
      <c r="T484" s="468"/>
      <c r="U484" s="468"/>
      <c r="V484" s="468"/>
      <c r="W484" s="468"/>
      <c r="X484" s="468"/>
      <c r="Y484" s="468"/>
      <c r="Z484" s="468"/>
      <c r="AA484" s="468"/>
      <c r="AB484" s="468"/>
      <c r="AC484" s="468"/>
      <c r="AD484" s="468"/>
      <c r="AE484" s="468"/>
      <c r="AF484" s="468"/>
      <c r="AG484" s="468"/>
      <c r="AH484" s="468"/>
      <c r="AI484" s="468"/>
      <c r="AJ484" s="468"/>
    </row>
    <row r="485" spans="1:36" ht="18" customHeight="1" x14ac:dyDescent="0.35">
      <c r="A485" s="468"/>
      <c r="B485" s="468"/>
      <c r="C485" s="468"/>
      <c r="D485" s="468"/>
      <c r="E485" s="468"/>
      <c r="F485" s="468"/>
      <c r="G485" s="468"/>
      <c r="H485" s="468"/>
      <c r="I485" s="468"/>
      <c r="J485" s="468"/>
      <c r="K485" s="468"/>
      <c r="L485" s="468"/>
      <c r="M485" s="468"/>
      <c r="N485" s="468"/>
      <c r="O485" s="468"/>
      <c r="P485" s="468"/>
      <c r="Q485" s="468"/>
      <c r="R485" s="468"/>
      <c r="S485" s="468"/>
      <c r="T485" s="468"/>
      <c r="U485" s="468"/>
      <c r="V485" s="468"/>
      <c r="W485" s="468"/>
      <c r="X485" s="468"/>
      <c r="Y485" s="468"/>
      <c r="Z485" s="468"/>
      <c r="AA485" s="468"/>
      <c r="AB485" s="468"/>
      <c r="AC485" s="468"/>
      <c r="AD485" s="468"/>
      <c r="AE485" s="468"/>
      <c r="AF485" s="468"/>
      <c r="AG485" s="468"/>
      <c r="AH485" s="468"/>
      <c r="AI485" s="468"/>
      <c r="AJ485" s="468"/>
    </row>
    <row r="486" spans="1:36" ht="18" customHeight="1" x14ac:dyDescent="0.35">
      <c r="A486" s="468"/>
      <c r="B486" s="468"/>
      <c r="C486" s="468"/>
      <c r="D486" s="468"/>
      <c r="E486" s="468"/>
      <c r="F486" s="468"/>
      <c r="G486" s="468"/>
      <c r="H486" s="468"/>
      <c r="I486" s="468"/>
      <c r="J486" s="468"/>
      <c r="K486" s="468"/>
      <c r="L486" s="468"/>
      <c r="M486" s="468"/>
      <c r="N486" s="468"/>
      <c r="O486" s="468"/>
      <c r="P486" s="468"/>
      <c r="Q486" s="468"/>
      <c r="R486" s="468"/>
      <c r="S486" s="468"/>
      <c r="T486" s="468"/>
      <c r="U486" s="468"/>
      <c r="V486" s="468"/>
      <c r="W486" s="468"/>
      <c r="X486" s="468"/>
      <c r="Y486" s="468"/>
      <c r="Z486" s="468"/>
      <c r="AA486" s="468"/>
      <c r="AB486" s="468"/>
      <c r="AC486" s="468"/>
      <c r="AD486" s="468"/>
      <c r="AE486" s="468"/>
      <c r="AF486" s="468"/>
      <c r="AG486" s="468"/>
      <c r="AH486" s="468"/>
      <c r="AI486" s="468"/>
      <c r="AJ486" s="468"/>
    </row>
    <row r="487" spans="1:36" ht="18" customHeight="1" x14ac:dyDescent="0.35">
      <c r="A487" s="468"/>
      <c r="B487" s="468"/>
      <c r="C487" s="468"/>
      <c r="D487" s="468"/>
      <c r="E487" s="468"/>
      <c r="F487" s="468"/>
      <c r="G487" s="468"/>
      <c r="H487" s="468"/>
      <c r="I487" s="468"/>
      <c r="J487" s="468"/>
      <c r="K487" s="468"/>
      <c r="L487" s="468"/>
      <c r="M487" s="468"/>
      <c r="N487" s="468"/>
      <c r="O487" s="468"/>
      <c r="P487" s="468"/>
      <c r="Q487" s="468"/>
      <c r="R487" s="468"/>
      <c r="S487" s="468"/>
      <c r="T487" s="468"/>
      <c r="U487" s="468"/>
      <c r="V487" s="468"/>
      <c r="W487" s="468"/>
      <c r="X487" s="468"/>
      <c r="Y487" s="468"/>
      <c r="Z487" s="468"/>
      <c r="AA487" s="468"/>
      <c r="AB487" s="468"/>
      <c r="AC487" s="468"/>
      <c r="AD487" s="468"/>
      <c r="AE487" s="468"/>
      <c r="AF487" s="468"/>
      <c r="AG487" s="468"/>
      <c r="AH487" s="468"/>
      <c r="AI487" s="468"/>
      <c r="AJ487" s="468"/>
    </row>
    <row r="488" spans="1:36" ht="18" customHeight="1" x14ac:dyDescent="0.35">
      <c r="A488" s="468"/>
      <c r="B488" s="468"/>
      <c r="C488" s="468"/>
      <c r="D488" s="468"/>
      <c r="E488" s="468"/>
      <c r="F488" s="468"/>
      <c r="G488" s="468"/>
      <c r="H488" s="468"/>
      <c r="I488" s="468"/>
      <c r="J488" s="468"/>
      <c r="K488" s="468"/>
      <c r="L488" s="468"/>
      <c r="M488" s="468"/>
      <c r="N488" s="468"/>
      <c r="O488" s="468"/>
      <c r="P488" s="468"/>
      <c r="Q488" s="468"/>
      <c r="R488" s="468"/>
      <c r="S488" s="468"/>
      <c r="T488" s="468"/>
      <c r="U488" s="468"/>
      <c r="V488" s="468"/>
      <c r="W488" s="468"/>
      <c r="X488" s="468"/>
      <c r="Y488" s="468"/>
      <c r="Z488" s="468"/>
      <c r="AA488" s="468"/>
      <c r="AB488" s="468"/>
      <c r="AC488" s="468"/>
      <c r="AD488" s="468"/>
      <c r="AE488" s="468"/>
      <c r="AF488" s="468"/>
      <c r="AG488" s="468"/>
      <c r="AH488" s="468"/>
      <c r="AI488" s="468"/>
      <c r="AJ488" s="468"/>
    </row>
    <row r="489" spans="1:36" ht="18" customHeight="1" x14ac:dyDescent="0.35">
      <c r="A489" s="468"/>
      <c r="B489" s="468"/>
      <c r="C489" s="468"/>
      <c r="D489" s="468"/>
      <c r="E489" s="468"/>
      <c r="F489" s="468"/>
      <c r="G489" s="468"/>
      <c r="H489" s="468"/>
      <c r="I489" s="468"/>
      <c r="J489" s="468"/>
      <c r="K489" s="468"/>
      <c r="L489" s="468"/>
      <c r="M489" s="468"/>
      <c r="N489" s="468"/>
      <c r="O489" s="468"/>
      <c r="P489" s="468"/>
      <c r="Q489" s="468"/>
      <c r="R489" s="468"/>
      <c r="S489" s="468"/>
      <c r="T489" s="468"/>
      <c r="U489" s="468"/>
      <c r="V489" s="468"/>
      <c r="W489" s="468"/>
      <c r="X489" s="468"/>
      <c r="Y489" s="468"/>
      <c r="Z489" s="468"/>
      <c r="AA489" s="468"/>
      <c r="AB489" s="468"/>
      <c r="AC489" s="468"/>
      <c r="AD489" s="468"/>
      <c r="AE489" s="468"/>
      <c r="AF489" s="468"/>
      <c r="AG489" s="468"/>
      <c r="AH489" s="468"/>
      <c r="AI489" s="468"/>
      <c r="AJ489" s="468"/>
    </row>
    <row r="490" spans="1:36" ht="18" customHeight="1" x14ac:dyDescent="0.35">
      <c r="A490" s="468"/>
      <c r="B490" s="468"/>
      <c r="C490" s="468"/>
      <c r="D490" s="468"/>
      <c r="E490" s="468"/>
      <c r="F490" s="468"/>
      <c r="G490" s="468"/>
      <c r="H490" s="468"/>
      <c r="I490" s="468"/>
      <c r="J490" s="468"/>
      <c r="K490" s="468"/>
      <c r="L490" s="468"/>
      <c r="M490" s="468"/>
      <c r="N490" s="468"/>
      <c r="O490" s="468"/>
      <c r="P490" s="468"/>
      <c r="Q490" s="468"/>
      <c r="R490" s="468"/>
      <c r="S490" s="468"/>
      <c r="T490" s="468"/>
      <c r="U490" s="468"/>
      <c r="V490" s="468"/>
      <c r="W490" s="468"/>
      <c r="X490" s="468"/>
      <c r="Y490" s="468"/>
      <c r="Z490" s="468"/>
      <c r="AA490" s="468"/>
      <c r="AB490" s="468"/>
      <c r="AC490" s="468"/>
      <c r="AD490" s="468"/>
      <c r="AE490" s="468"/>
      <c r="AF490" s="468"/>
      <c r="AG490" s="468"/>
      <c r="AH490" s="468"/>
      <c r="AI490" s="468"/>
      <c r="AJ490" s="468"/>
    </row>
    <row r="491" spans="1:36" ht="18" customHeight="1" x14ac:dyDescent="0.35">
      <c r="A491" s="468"/>
      <c r="B491" s="468"/>
      <c r="C491" s="468"/>
      <c r="D491" s="468"/>
      <c r="E491" s="468"/>
      <c r="F491" s="468"/>
      <c r="G491" s="468"/>
      <c r="H491" s="468"/>
      <c r="I491" s="468"/>
      <c r="J491" s="468"/>
      <c r="K491" s="468"/>
      <c r="L491" s="468"/>
      <c r="M491" s="468"/>
      <c r="N491" s="468"/>
      <c r="O491" s="468"/>
      <c r="P491" s="468"/>
      <c r="Q491" s="468"/>
      <c r="R491" s="468"/>
      <c r="S491" s="468"/>
      <c r="T491" s="468"/>
      <c r="U491" s="468"/>
      <c r="V491" s="468"/>
      <c r="W491" s="468"/>
      <c r="X491" s="468"/>
      <c r="Y491" s="468"/>
      <c r="Z491" s="468"/>
      <c r="AA491" s="468"/>
      <c r="AB491" s="468"/>
      <c r="AC491" s="468"/>
      <c r="AD491" s="468"/>
      <c r="AE491" s="468"/>
      <c r="AF491" s="468"/>
      <c r="AG491" s="468"/>
      <c r="AH491" s="468"/>
      <c r="AI491" s="468"/>
      <c r="AJ491" s="468"/>
    </row>
    <row r="492" spans="1:36" ht="18" customHeight="1" x14ac:dyDescent="0.35">
      <c r="A492" s="468"/>
      <c r="B492" s="468"/>
      <c r="C492" s="468"/>
      <c r="D492" s="468"/>
      <c r="E492" s="468"/>
      <c r="F492" s="468"/>
      <c r="G492" s="468"/>
      <c r="H492" s="468"/>
      <c r="I492" s="468"/>
      <c r="J492" s="468"/>
      <c r="K492" s="468"/>
      <c r="L492" s="468"/>
      <c r="M492" s="468"/>
      <c r="N492" s="468"/>
      <c r="O492" s="468"/>
      <c r="P492" s="468"/>
      <c r="Q492" s="468"/>
      <c r="R492" s="468"/>
      <c r="S492" s="468"/>
      <c r="T492" s="468"/>
      <c r="U492" s="468"/>
      <c r="V492" s="468"/>
      <c r="W492" s="468"/>
      <c r="X492" s="468"/>
      <c r="Y492" s="468"/>
      <c r="Z492" s="468"/>
      <c r="AA492" s="468"/>
      <c r="AB492" s="468"/>
      <c r="AC492" s="468"/>
      <c r="AD492" s="468"/>
      <c r="AE492" s="468"/>
      <c r="AF492" s="468"/>
      <c r="AG492" s="468"/>
      <c r="AH492" s="468"/>
      <c r="AI492" s="468"/>
      <c r="AJ492" s="468"/>
    </row>
    <row r="493" spans="1:36" ht="18" customHeight="1" x14ac:dyDescent="0.35">
      <c r="A493" s="468"/>
      <c r="B493" s="468"/>
      <c r="C493" s="468"/>
      <c r="D493" s="468"/>
      <c r="E493" s="468"/>
      <c r="F493" s="468"/>
      <c r="G493" s="468"/>
      <c r="H493" s="468"/>
      <c r="I493" s="468"/>
      <c r="J493" s="468"/>
      <c r="K493" s="468"/>
      <c r="L493" s="468"/>
      <c r="M493" s="468"/>
      <c r="N493" s="468"/>
      <c r="O493" s="468"/>
      <c r="P493" s="468"/>
      <c r="Q493" s="468"/>
      <c r="R493" s="468"/>
      <c r="S493" s="468"/>
      <c r="T493" s="468"/>
      <c r="U493" s="468"/>
      <c r="V493" s="468"/>
      <c r="W493" s="468"/>
      <c r="X493" s="468"/>
      <c r="Y493" s="468"/>
      <c r="Z493" s="468"/>
      <c r="AA493" s="468"/>
      <c r="AB493" s="468"/>
      <c r="AC493" s="468"/>
      <c r="AD493" s="468"/>
      <c r="AE493" s="468"/>
      <c r="AF493" s="468"/>
      <c r="AG493" s="468"/>
      <c r="AH493" s="468"/>
      <c r="AI493" s="468"/>
      <c r="AJ493" s="468"/>
    </row>
    <row r="494" spans="1:36" ht="18" customHeight="1" x14ac:dyDescent="0.35">
      <c r="A494" s="468"/>
      <c r="B494" s="468"/>
      <c r="C494" s="468"/>
      <c r="D494" s="468"/>
      <c r="E494" s="468"/>
      <c r="F494" s="468"/>
      <c r="G494" s="468"/>
      <c r="H494" s="468"/>
      <c r="I494" s="468"/>
      <c r="J494" s="468"/>
      <c r="K494" s="468"/>
      <c r="L494" s="468"/>
      <c r="M494" s="468"/>
      <c r="N494" s="468"/>
      <c r="O494" s="468"/>
      <c r="P494" s="468"/>
      <c r="Q494" s="468"/>
      <c r="R494" s="468"/>
      <c r="S494" s="468"/>
      <c r="T494" s="468"/>
      <c r="U494" s="468"/>
      <c r="V494" s="468"/>
      <c r="W494" s="468"/>
      <c r="X494" s="468"/>
      <c r="Y494" s="468"/>
      <c r="Z494" s="468"/>
      <c r="AA494" s="468"/>
      <c r="AB494" s="468"/>
      <c r="AC494" s="468"/>
      <c r="AD494" s="468"/>
      <c r="AE494" s="468"/>
      <c r="AF494" s="468"/>
      <c r="AG494" s="468"/>
      <c r="AH494" s="468"/>
      <c r="AI494" s="468"/>
      <c r="AJ494" s="468"/>
    </row>
    <row r="495" spans="1:36" ht="18" customHeight="1" x14ac:dyDescent="0.35">
      <c r="A495" s="468"/>
      <c r="B495" s="468"/>
      <c r="C495" s="468"/>
      <c r="D495" s="468"/>
      <c r="E495" s="468"/>
      <c r="F495" s="468"/>
      <c r="G495" s="468"/>
      <c r="H495" s="468"/>
      <c r="I495" s="468"/>
      <c r="J495" s="468"/>
      <c r="K495" s="468"/>
      <c r="L495" s="468"/>
      <c r="M495" s="468"/>
      <c r="N495" s="468"/>
      <c r="O495" s="468"/>
      <c r="P495" s="468"/>
      <c r="Q495" s="468"/>
      <c r="R495" s="468"/>
      <c r="S495" s="468"/>
      <c r="T495" s="468"/>
      <c r="U495" s="468"/>
      <c r="V495" s="468"/>
      <c r="W495" s="468"/>
      <c r="X495" s="468"/>
      <c r="Y495" s="468"/>
      <c r="Z495" s="468"/>
      <c r="AA495" s="468"/>
      <c r="AB495" s="468"/>
      <c r="AC495" s="468"/>
      <c r="AD495" s="468"/>
      <c r="AE495" s="468"/>
      <c r="AF495" s="468"/>
      <c r="AG495" s="468"/>
      <c r="AH495" s="468"/>
      <c r="AI495" s="468"/>
      <c r="AJ495" s="468"/>
    </row>
    <row r="496" spans="1:36" ht="18" customHeight="1" x14ac:dyDescent="0.35">
      <c r="A496" s="468"/>
      <c r="B496" s="468"/>
      <c r="C496" s="468"/>
      <c r="D496" s="468"/>
      <c r="E496" s="468"/>
      <c r="F496" s="468"/>
      <c r="G496" s="468"/>
      <c r="H496" s="468"/>
      <c r="I496" s="468"/>
      <c r="J496" s="468"/>
      <c r="K496" s="468"/>
      <c r="L496" s="468"/>
      <c r="M496" s="468"/>
      <c r="N496" s="468"/>
      <c r="O496" s="468"/>
      <c r="P496" s="468"/>
      <c r="Q496" s="468"/>
      <c r="R496" s="468"/>
      <c r="S496" s="468"/>
      <c r="T496" s="468"/>
      <c r="U496" s="468"/>
      <c r="V496" s="468"/>
      <c r="W496" s="468"/>
      <c r="X496" s="468"/>
      <c r="Y496" s="468"/>
      <c r="Z496" s="468"/>
      <c r="AA496" s="468"/>
      <c r="AB496" s="468"/>
      <c r="AC496" s="468"/>
      <c r="AD496" s="468"/>
      <c r="AE496" s="468"/>
      <c r="AF496" s="468"/>
      <c r="AG496" s="468"/>
      <c r="AH496" s="468"/>
      <c r="AI496" s="468"/>
      <c r="AJ496" s="468"/>
    </row>
    <row r="497" spans="1:36" ht="18" customHeight="1" x14ac:dyDescent="0.35">
      <c r="A497" s="468"/>
      <c r="B497" s="468"/>
      <c r="C497" s="468"/>
      <c r="D497" s="468"/>
      <c r="E497" s="468"/>
      <c r="F497" s="468"/>
      <c r="G497" s="468"/>
      <c r="H497" s="468"/>
      <c r="I497" s="468"/>
      <c r="J497" s="468"/>
      <c r="K497" s="468"/>
      <c r="L497" s="468"/>
      <c r="M497" s="468"/>
      <c r="N497" s="468"/>
      <c r="O497" s="468"/>
      <c r="P497" s="468"/>
      <c r="Q497" s="468"/>
      <c r="R497" s="468"/>
      <c r="S497" s="468"/>
      <c r="T497" s="468"/>
      <c r="U497" s="468"/>
      <c r="V497" s="468"/>
      <c r="W497" s="468"/>
      <c r="X497" s="468"/>
      <c r="Y497" s="468"/>
      <c r="Z497" s="468"/>
      <c r="AA497" s="468"/>
      <c r="AB497" s="468"/>
      <c r="AC497" s="468"/>
      <c r="AD497" s="468"/>
      <c r="AE497" s="468"/>
      <c r="AF497" s="468"/>
      <c r="AG497" s="468"/>
      <c r="AH497" s="468"/>
      <c r="AI497" s="468"/>
      <c r="AJ497" s="468"/>
    </row>
    <row r="498" spans="1:36" ht="18" customHeight="1" x14ac:dyDescent="0.35">
      <c r="A498" s="468"/>
      <c r="B498" s="468"/>
      <c r="C498" s="468"/>
      <c r="D498" s="468"/>
      <c r="E498" s="468"/>
      <c r="F498" s="468"/>
      <c r="G498" s="468"/>
      <c r="H498" s="468"/>
      <c r="I498" s="468"/>
      <c r="J498" s="468"/>
      <c r="K498" s="468"/>
      <c r="L498" s="468"/>
      <c r="M498" s="468"/>
      <c r="N498" s="468"/>
      <c r="O498" s="468"/>
      <c r="P498" s="468"/>
      <c r="Q498" s="468"/>
      <c r="R498" s="468"/>
      <c r="S498" s="468"/>
      <c r="T498" s="468"/>
      <c r="U498" s="468"/>
      <c r="V498" s="468"/>
      <c r="W498" s="468"/>
      <c r="X498" s="468"/>
      <c r="Y498" s="468"/>
      <c r="Z498" s="468"/>
      <c r="AA498" s="468"/>
      <c r="AB498" s="468"/>
      <c r="AC498" s="468"/>
      <c r="AD498" s="468"/>
      <c r="AE498" s="468"/>
      <c r="AF498" s="468"/>
      <c r="AG498" s="468"/>
      <c r="AH498" s="468"/>
      <c r="AI498" s="468"/>
      <c r="AJ498" s="468"/>
    </row>
    <row r="499" spans="1:36" ht="18" customHeight="1" x14ac:dyDescent="0.35">
      <c r="A499" s="468"/>
      <c r="B499" s="468"/>
      <c r="C499" s="468"/>
      <c r="D499" s="468"/>
      <c r="E499" s="468"/>
      <c r="F499" s="468"/>
      <c r="G499" s="468"/>
      <c r="H499" s="468"/>
      <c r="I499" s="468"/>
      <c r="J499" s="468"/>
      <c r="K499" s="468"/>
      <c r="L499" s="468"/>
      <c r="M499" s="468"/>
      <c r="N499" s="468"/>
      <c r="O499" s="468"/>
      <c r="P499" s="468"/>
      <c r="Q499" s="468"/>
      <c r="R499" s="468"/>
      <c r="S499" s="468"/>
      <c r="T499" s="468"/>
      <c r="U499" s="468"/>
      <c r="V499" s="468"/>
      <c r="W499" s="468"/>
      <c r="X499" s="468"/>
      <c r="Y499" s="468"/>
      <c r="Z499" s="468"/>
      <c r="AA499" s="468"/>
      <c r="AB499" s="468"/>
      <c r="AC499" s="468"/>
      <c r="AD499" s="468"/>
      <c r="AE499" s="468"/>
      <c r="AF499" s="468"/>
      <c r="AG499" s="468"/>
      <c r="AH499" s="468"/>
      <c r="AI499" s="468"/>
      <c r="AJ499" s="468"/>
    </row>
    <row r="500" spans="1:36" ht="18" customHeight="1" x14ac:dyDescent="0.35">
      <c r="A500" s="468"/>
      <c r="B500" s="468"/>
      <c r="C500" s="468"/>
      <c r="D500" s="468"/>
      <c r="E500" s="468"/>
      <c r="F500" s="468"/>
      <c r="G500" s="468"/>
      <c r="H500" s="468"/>
      <c r="I500" s="468"/>
      <c r="J500" s="468"/>
      <c r="K500" s="468"/>
      <c r="L500" s="468"/>
      <c r="M500" s="468"/>
      <c r="N500" s="468"/>
      <c r="O500" s="468"/>
      <c r="P500" s="468"/>
      <c r="Q500" s="468"/>
      <c r="R500" s="468"/>
      <c r="S500" s="468"/>
      <c r="T500" s="468"/>
      <c r="U500" s="468"/>
      <c r="V500" s="468"/>
      <c r="W500" s="468"/>
      <c r="X500" s="468"/>
      <c r="Y500" s="468"/>
      <c r="Z500" s="468"/>
      <c r="AA500" s="468"/>
      <c r="AB500" s="468"/>
      <c r="AC500" s="468"/>
      <c r="AD500" s="468"/>
      <c r="AE500" s="468"/>
      <c r="AF500" s="468"/>
      <c r="AG500" s="468"/>
      <c r="AH500" s="468"/>
      <c r="AI500" s="468"/>
      <c r="AJ500" s="468"/>
    </row>
    <row r="501" spans="1:36" ht="18" customHeight="1" x14ac:dyDescent="0.35">
      <c r="A501" s="468"/>
      <c r="B501" s="468"/>
      <c r="C501" s="468"/>
      <c r="D501" s="468"/>
      <c r="E501" s="468"/>
      <c r="F501" s="468"/>
      <c r="G501" s="468"/>
      <c r="H501" s="468"/>
      <c r="I501" s="468"/>
      <c r="J501" s="468"/>
      <c r="K501" s="468"/>
      <c r="L501" s="468"/>
      <c r="M501" s="468"/>
      <c r="N501" s="468"/>
      <c r="O501" s="468"/>
      <c r="P501" s="468"/>
      <c r="Q501" s="468"/>
      <c r="R501" s="468"/>
      <c r="S501" s="468"/>
      <c r="T501" s="468"/>
      <c r="U501" s="468"/>
      <c r="V501" s="468"/>
      <c r="W501" s="468"/>
      <c r="X501" s="468"/>
      <c r="Y501" s="468"/>
      <c r="Z501" s="468"/>
      <c r="AA501" s="468"/>
      <c r="AB501" s="468"/>
      <c r="AC501" s="468"/>
      <c r="AD501" s="468"/>
      <c r="AE501" s="468"/>
      <c r="AF501" s="468"/>
      <c r="AG501" s="468"/>
      <c r="AH501" s="468"/>
      <c r="AI501" s="468"/>
      <c r="AJ501" s="468"/>
    </row>
    <row r="502" spans="1:36" ht="18" customHeight="1" x14ac:dyDescent="0.35">
      <c r="A502" s="468"/>
      <c r="B502" s="468"/>
      <c r="C502" s="468"/>
      <c r="D502" s="468"/>
      <c r="E502" s="468"/>
      <c r="F502" s="468"/>
      <c r="G502" s="468"/>
      <c r="H502" s="468"/>
      <c r="I502" s="468"/>
      <c r="J502" s="468"/>
      <c r="K502" s="468"/>
      <c r="L502" s="468"/>
      <c r="M502" s="468"/>
      <c r="N502" s="468"/>
      <c r="O502" s="468"/>
      <c r="P502" s="468"/>
      <c r="Q502" s="468"/>
      <c r="R502" s="468"/>
      <c r="S502" s="468"/>
      <c r="T502" s="468"/>
      <c r="U502" s="468"/>
      <c r="V502" s="468"/>
      <c r="W502" s="468"/>
      <c r="X502" s="468"/>
      <c r="Y502" s="468"/>
      <c r="Z502" s="468"/>
      <c r="AA502" s="468"/>
      <c r="AB502" s="468"/>
      <c r="AC502" s="468"/>
      <c r="AD502" s="468"/>
      <c r="AE502" s="468"/>
      <c r="AF502" s="468"/>
      <c r="AG502" s="468"/>
      <c r="AH502" s="468"/>
      <c r="AI502" s="468"/>
      <c r="AJ502" s="468"/>
    </row>
    <row r="503" spans="1:36" ht="18" customHeight="1" x14ac:dyDescent="0.35">
      <c r="A503" s="468"/>
      <c r="B503" s="468"/>
      <c r="C503" s="468"/>
      <c r="D503" s="468"/>
      <c r="E503" s="468"/>
      <c r="F503" s="468"/>
      <c r="G503" s="468"/>
      <c r="H503" s="468"/>
      <c r="I503" s="468"/>
      <c r="J503" s="468"/>
      <c r="K503" s="468"/>
      <c r="L503" s="468"/>
      <c r="M503" s="468"/>
      <c r="N503" s="468"/>
      <c r="O503" s="468"/>
      <c r="P503" s="468"/>
      <c r="Q503" s="468"/>
      <c r="R503" s="468"/>
      <c r="S503" s="468"/>
      <c r="T503" s="468"/>
      <c r="U503" s="468"/>
      <c r="V503" s="468"/>
      <c r="W503" s="468"/>
      <c r="X503" s="468"/>
      <c r="Y503" s="468"/>
      <c r="Z503" s="468"/>
      <c r="AA503" s="468"/>
      <c r="AB503" s="468"/>
      <c r="AC503" s="468"/>
      <c r="AD503" s="468"/>
      <c r="AE503" s="468"/>
      <c r="AF503" s="468"/>
      <c r="AG503" s="468"/>
      <c r="AH503" s="468"/>
      <c r="AI503" s="468"/>
      <c r="AJ503" s="468"/>
    </row>
    <row r="504" spans="1:36" ht="18" customHeight="1" x14ac:dyDescent="0.35">
      <c r="A504" s="468"/>
      <c r="B504" s="468"/>
      <c r="C504" s="468"/>
      <c r="D504" s="468"/>
      <c r="E504" s="468"/>
      <c r="F504" s="468"/>
      <c r="G504" s="468"/>
      <c r="H504" s="468"/>
      <c r="I504" s="468"/>
      <c r="J504" s="468"/>
      <c r="K504" s="468"/>
      <c r="L504" s="468"/>
      <c r="M504" s="468"/>
      <c r="N504" s="468"/>
      <c r="O504" s="468"/>
      <c r="P504" s="468"/>
      <c r="Q504" s="468"/>
      <c r="R504" s="468"/>
      <c r="S504" s="468"/>
      <c r="T504" s="468"/>
      <c r="U504" s="468"/>
      <c r="V504" s="468"/>
      <c r="W504" s="468"/>
      <c r="X504" s="468"/>
      <c r="Y504" s="468"/>
      <c r="Z504" s="468"/>
      <c r="AA504" s="468"/>
      <c r="AB504" s="468"/>
      <c r="AC504" s="468"/>
      <c r="AD504" s="468"/>
      <c r="AE504" s="468"/>
      <c r="AF504" s="468"/>
      <c r="AG504" s="468"/>
      <c r="AH504" s="468"/>
      <c r="AI504" s="468"/>
      <c r="AJ504" s="468"/>
    </row>
    <row r="505" spans="1:36" ht="18" customHeight="1" x14ac:dyDescent="0.35">
      <c r="A505" s="468"/>
      <c r="B505" s="468"/>
      <c r="C505" s="468"/>
      <c r="D505" s="468"/>
      <c r="E505" s="468"/>
      <c r="F505" s="468"/>
      <c r="G505" s="468"/>
      <c r="H505" s="468"/>
      <c r="I505" s="468"/>
      <c r="J505" s="468"/>
      <c r="K505" s="468"/>
      <c r="L505" s="468"/>
      <c r="M505" s="468"/>
      <c r="N505" s="468"/>
      <c r="O505" s="468"/>
      <c r="P505" s="468"/>
      <c r="Q505" s="468"/>
      <c r="R505" s="468"/>
      <c r="S505" s="468"/>
      <c r="T505" s="468"/>
      <c r="U505" s="468"/>
      <c r="V505" s="468"/>
      <c r="W505" s="468"/>
      <c r="X505" s="468"/>
      <c r="Y505" s="468"/>
      <c r="Z505" s="468"/>
      <c r="AA505" s="468"/>
      <c r="AB505" s="468"/>
      <c r="AC505" s="468"/>
      <c r="AD505" s="468"/>
      <c r="AE505" s="468"/>
      <c r="AF505" s="468"/>
      <c r="AG505" s="468"/>
      <c r="AH505" s="468"/>
      <c r="AI505" s="468"/>
      <c r="AJ505" s="468"/>
    </row>
    <row r="506" spans="1:36" ht="18" customHeight="1" x14ac:dyDescent="0.35">
      <c r="A506" s="468"/>
      <c r="B506" s="468"/>
      <c r="C506" s="468"/>
      <c r="D506" s="468"/>
      <c r="E506" s="468"/>
      <c r="F506" s="468"/>
      <c r="G506" s="468"/>
      <c r="H506" s="468"/>
      <c r="I506" s="468"/>
      <c r="J506" s="468"/>
      <c r="K506" s="468"/>
      <c r="L506" s="468"/>
      <c r="M506" s="468"/>
      <c r="N506" s="468"/>
      <c r="O506" s="468"/>
      <c r="P506" s="468"/>
      <c r="Q506" s="468"/>
      <c r="R506" s="468"/>
      <c r="S506" s="468"/>
      <c r="T506" s="468"/>
      <c r="U506" s="468"/>
      <c r="V506" s="468"/>
      <c r="W506" s="468"/>
      <c r="X506" s="468"/>
      <c r="Y506" s="468"/>
      <c r="Z506" s="468"/>
      <c r="AA506" s="468"/>
      <c r="AB506" s="468"/>
      <c r="AC506" s="468"/>
      <c r="AD506" s="468"/>
      <c r="AE506" s="468"/>
      <c r="AF506" s="468"/>
      <c r="AG506" s="468"/>
      <c r="AH506" s="468"/>
      <c r="AI506" s="468"/>
      <c r="AJ506" s="468"/>
    </row>
    <row r="507" spans="1:36" ht="18" customHeight="1" x14ac:dyDescent="0.35">
      <c r="A507" s="468"/>
      <c r="B507" s="468"/>
      <c r="C507" s="468"/>
      <c r="D507" s="468"/>
      <c r="E507" s="468"/>
      <c r="F507" s="468"/>
      <c r="G507" s="468"/>
      <c r="H507" s="468"/>
      <c r="I507" s="468"/>
      <c r="J507" s="468"/>
      <c r="K507" s="468"/>
      <c r="L507" s="468"/>
      <c r="M507" s="468"/>
      <c r="N507" s="468"/>
      <c r="O507" s="468"/>
      <c r="P507" s="468"/>
      <c r="Q507" s="468"/>
      <c r="R507" s="468"/>
      <c r="S507" s="468"/>
      <c r="T507" s="468"/>
      <c r="U507" s="468"/>
      <c r="V507" s="468"/>
      <c r="W507" s="468"/>
      <c r="X507" s="468"/>
      <c r="Y507" s="468"/>
      <c r="Z507" s="468"/>
      <c r="AA507" s="468"/>
      <c r="AB507" s="468"/>
      <c r="AC507" s="468"/>
      <c r="AD507" s="468"/>
      <c r="AE507" s="468"/>
      <c r="AF507" s="468"/>
      <c r="AG507" s="468"/>
      <c r="AH507" s="468"/>
      <c r="AI507" s="468"/>
      <c r="AJ507" s="468"/>
    </row>
    <row r="508" spans="1:36" ht="18" customHeight="1" x14ac:dyDescent="0.35">
      <c r="A508" s="468"/>
      <c r="B508" s="468"/>
      <c r="C508" s="468"/>
      <c r="D508" s="468"/>
      <c r="E508" s="468"/>
      <c r="F508" s="468"/>
      <c r="G508" s="468"/>
      <c r="H508" s="468"/>
      <c r="I508" s="468"/>
      <c r="J508" s="468"/>
      <c r="K508" s="468"/>
      <c r="L508" s="468"/>
      <c r="M508" s="468"/>
      <c r="N508" s="468"/>
      <c r="O508" s="468"/>
      <c r="P508" s="468"/>
      <c r="Q508" s="468"/>
      <c r="R508" s="468"/>
      <c r="S508" s="468"/>
      <c r="T508" s="468"/>
      <c r="U508" s="468"/>
      <c r="V508" s="468"/>
      <c r="W508" s="468"/>
      <c r="X508" s="468"/>
      <c r="Y508" s="468"/>
      <c r="Z508" s="468"/>
      <c r="AA508" s="468"/>
      <c r="AB508" s="468"/>
      <c r="AC508" s="468"/>
      <c r="AD508" s="468"/>
      <c r="AE508" s="468"/>
      <c r="AF508" s="468"/>
      <c r="AG508" s="468"/>
      <c r="AH508" s="468"/>
      <c r="AI508" s="468"/>
      <c r="AJ508" s="468"/>
    </row>
    <row r="509" spans="1:36" ht="18" customHeight="1" x14ac:dyDescent="0.35">
      <c r="A509" s="468"/>
      <c r="B509" s="468"/>
      <c r="C509" s="468"/>
      <c r="D509" s="468"/>
      <c r="E509" s="468"/>
      <c r="F509" s="468"/>
      <c r="G509" s="468"/>
      <c r="H509" s="468"/>
      <c r="I509" s="468"/>
      <c r="J509" s="468"/>
      <c r="K509" s="468"/>
      <c r="L509" s="468"/>
      <c r="M509" s="468"/>
      <c r="N509" s="468"/>
      <c r="O509" s="468"/>
      <c r="P509" s="468"/>
      <c r="Q509" s="468"/>
      <c r="R509" s="468"/>
      <c r="S509" s="468"/>
      <c r="T509" s="468"/>
      <c r="U509" s="468"/>
      <c r="V509" s="468"/>
      <c r="W509" s="468"/>
      <c r="X509" s="468"/>
      <c r="Y509" s="468"/>
      <c r="Z509" s="468"/>
      <c r="AA509" s="468"/>
      <c r="AB509" s="468"/>
      <c r="AC509" s="468"/>
      <c r="AD509" s="468"/>
      <c r="AE509" s="468"/>
      <c r="AF509" s="468"/>
      <c r="AG509" s="468"/>
      <c r="AH509" s="468"/>
      <c r="AI509" s="468"/>
      <c r="AJ509" s="468"/>
    </row>
    <row r="510" spans="1:36" ht="18" customHeight="1" x14ac:dyDescent="0.35">
      <c r="A510" s="468"/>
      <c r="B510" s="468"/>
      <c r="C510" s="468"/>
      <c r="D510" s="468"/>
      <c r="E510" s="468"/>
      <c r="F510" s="468"/>
      <c r="G510" s="468"/>
      <c r="H510" s="468"/>
      <c r="I510" s="468"/>
      <c r="J510" s="468"/>
      <c r="K510" s="468"/>
      <c r="L510" s="468"/>
      <c r="M510" s="468"/>
      <c r="N510" s="468"/>
      <c r="O510" s="468"/>
      <c r="P510" s="468"/>
      <c r="Q510" s="468"/>
      <c r="R510" s="468"/>
      <c r="S510" s="468"/>
      <c r="T510" s="468"/>
      <c r="U510" s="468"/>
      <c r="V510" s="468"/>
      <c r="W510" s="468"/>
      <c r="X510" s="468"/>
      <c r="Y510" s="468"/>
      <c r="Z510" s="468"/>
      <c r="AA510" s="468"/>
      <c r="AB510" s="468"/>
      <c r="AC510" s="468"/>
      <c r="AD510" s="468"/>
      <c r="AE510" s="468"/>
      <c r="AF510" s="468"/>
      <c r="AG510" s="468"/>
      <c r="AH510" s="468"/>
      <c r="AI510" s="468"/>
      <c r="AJ510" s="468"/>
    </row>
    <row r="511" spans="1:36" ht="18" customHeight="1" x14ac:dyDescent="0.35">
      <c r="A511" s="468"/>
      <c r="B511" s="468"/>
      <c r="C511" s="468"/>
      <c r="D511" s="468"/>
      <c r="E511" s="468"/>
      <c r="F511" s="468"/>
      <c r="G511" s="468"/>
      <c r="H511" s="468"/>
      <c r="I511" s="468"/>
      <c r="J511" s="468"/>
      <c r="K511" s="468"/>
      <c r="L511" s="468"/>
      <c r="M511" s="468"/>
      <c r="N511" s="468"/>
      <c r="O511" s="468"/>
      <c r="P511" s="468"/>
      <c r="Q511" s="468"/>
      <c r="R511" s="468"/>
      <c r="S511" s="468"/>
      <c r="T511" s="468"/>
      <c r="U511" s="468"/>
      <c r="V511" s="468"/>
      <c r="W511" s="468"/>
      <c r="X511" s="468"/>
      <c r="Y511" s="468"/>
      <c r="Z511" s="468"/>
      <c r="AA511" s="468"/>
      <c r="AB511" s="468"/>
      <c r="AC511" s="468"/>
      <c r="AD511" s="468"/>
      <c r="AE511" s="468"/>
      <c r="AF511" s="468"/>
      <c r="AG511" s="468"/>
      <c r="AH511" s="468"/>
      <c r="AI511" s="468"/>
      <c r="AJ511" s="468"/>
    </row>
    <row r="512" spans="1:36" ht="18" customHeight="1" x14ac:dyDescent="0.35">
      <c r="A512" s="468"/>
      <c r="B512" s="468"/>
      <c r="C512" s="468"/>
      <c r="D512" s="468"/>
      <c r="E512" s="468"/>
      <c r="F512" s="468"/>
      <c r="G512" s="468"/>
      <c r="H512" s="468"/>
      <c r="I512" s="468"/>
      <c r="J512" s="468"/>
      <c r="K512" s="468"/>
      <c r="L512" s="468"/>
      <c r="M512" s="468"/>
      <c r="N512" s="468"/>
      <c r="O512" s="468"/>
      <c r="P512" s="468"/>
      <c r="Q512" s="468"/>
      <c r="R512" s="468"/>
      <c r="S512" s="468"/>
      <c r="T512" s="468"/>
      <c r="U512" s="468"/>
      <c r="V512" s="468"/>
      <c r="W512" s="468"/>
      <c r="X512" s="468"/>
      <c r="Y512" s="468"/>
      <c r="Z512" s="468"/>
      <c r="AA512" s="468"/>
      <c r="AB512" s="468"/>
      <c r="AC512" s="468"/>
      <c r="AD512" s="468"/>
      <c r="AE512" s="468"/>
      <c r="AF512" s="468"/>
      <c r="AG512" s="468"/>
      <c r="AH512" s="468"/>
      <c r="AI512" s="468"/>
      <c r="AJ512" s="468"/>
    </row>
    <row r="513" spans="1:36" ht="18" customHeight="1" x14ac:dyDescent="0.35">
      <c r="A513" s="468"/>
      <c r="B513" s="468"/>
      <c r="C513" s="468"/>
      <c r="D513" s="468"/>
      <c r="E513" s="468"/>
      <c r="F513" s="468"/>
      <c r="G513" s="468"/>
      <c r="H513" s="468"/>
      <c r="I513" s="468"/>
      <c r="J513" s="468"/>
      <c r="K513" s="468"/>
      <c r="L513" s="468"/>
      <c r="M513" s="468"/>
      <c r="N513" s="468"/>
      <c r="O513" s="468"/>
      <c r="P513" s="468"/>
      <c r="Q513" s="468"/>
      <c r="R513" s="468"/>
      <c r="S513" s="468"/>
      <c r="T513" s="468"/>
      <c r="U513" s="468"/>
      <c r="V513" s="468"/>
      <c r="W513" s="468"/>
      <c r="X513" s="468"/>
      <c r="Y513" s="468"/>
      <c r="Z513" s="468"/>
      <c r="AA513" s="468"/>
      <c r="AB513" s="468"/>
      <c r="AC513" s="468"/>
      <c r="AD513" s="468"/>
      <c r="AE513" s="468"/>
      <c r="AF513" s="468"/>
      <c r="AG513" s="468"/>
      <c r="AH513" s="468"/>
      <c r="AI513" s="468"/>
      <c r="AJ513" s="468"/>
    </row>
    <row r="514" spans="1:36" ht="18" customHeight="1" x14ac:dyDescent="0.35">
      <c r="A514" s="468"/>
      <c r="B514" s="468"/>
      <c r="C514" s="468"/>
      <c r="D514" s="468"/>
      <c r="E514" s="468"/>
      <c r="F514" s="468"/>
      <c r="G514" s="468"/>
      <c r="H514" s="468"/>
      <c r="I514" s="468"/>
      <c r="J514" s="468"/>
      <c r="K514" s="468"/>
      <c r="L514" s="468"/>
      <c r="M514" s="468"/>
      <c r="N514" s="468"/>
      <c r="O514" s="468"/>
      <c r="P514" s="468"/>
      <c r="Q514" s="468"/>
      <c r="R514" s="468"/>
      <c r="S514" s="468"/>
      <c r="T514" s="468"/>
      <c r="U514" s="468"/>
      <c r="V514" s="468"/>
      <c r="W514" s="468"/>
      <c r="X514" s="468"/>
      <c r="Y514" s="468"/>
      <c r="Z514" s="468"/>
      <c r="AA514" s="468"/>
      <c r="AB514" s="468"/>
      <c r="AC514" s="468"/>
      <c r="AD514" s="468"/>
      <c r="AE514" s="468"/>
      <c r="AF514" s="468"/>
      <c r="AG514" s="468"/>
      <c r="AH514" s="468"/>
      <c r="AI514" s="468"/>
      <c r="AJ514" s="468"/>
    </row>
    <row r="515" spans="1:36" ht="18" customHeight="1" x14ac:dyDescent="0.35">
      <c r="A515" s="468"/>
      <c r="B515" s="468"/>
      <c r="C515" s="468"/>
      <c r="D515" s="468"/>
      <c r="E515" s="468"/>
      <c r="F515" s="468"/>
      <c r="G515" s="468"/>
      <c r="H515" s="468"/>
      <c r="I515" s="468"/>
      <c r="J515" s="468"/>
      <c r="K515" s="468"/>
      <c r="L515" s="468"/>
      <c r="M515" s="468"/>
      <c r="N515" s="468"/>
      <c r="O515" s="468"/>
      <c r="P515" s="468"/>
      <c r="Q515" s="468"/>
      <c r="R515" s="468"/>
      <c r="S515" s="468"/>
      <c r="T515" s="468"/>
      <c r="U515" s="468"/>
      <c r="V515" s="468"/>
      <c r="W515" s="468"/>
      <c r="X515" s="468"/>
      <c r="Y515" s="468"/>
      <c r="Z515" s="468"/>
      <c r="AA515" s="468"/>
      <c r="AB515" s="468"/>
      <c r="AC515" s="468"/>
      <c r="AD515" s="468"/>
      <c r="AE515" s="468"/>
      <c r="AF515" s="468"/>
      <c r="AG515" s="468"/>
      <c r="AH515" s="468"/>
      <c r="AI515" s="468"/>
      <c r="AJ515" s="468"/>
    </row>
    <row r="516" spans="1:36" ht="18" customHeight="1" x14ac:dyDescent="0.35">
      <c r="A516" s="468"/>
      <c r="B516" s="468"/>
      <c r="C516" s="468"/>
      <c r="D516" s="468"/>
      <c r="E516" s="468"/>
      <c r="F516" s="468"/>
      <c r="G516" s="468"/>
      <c r="H516" s="468"/>
      <c r="I516" s="468"/>
      <c r="J516" s="468"/>
      <c r="K516" s="468"/>
      <c r="L516" s="468"/>
      <c r="M516" s="468"/>
      <c r="N516" s="468"/>
      <c r="O516" s="468"/>
      <c r="P516" s="468"/>
      <c r="Q516" s="468"/>
      <c r="R516" s="468"/>
      <c r="S516" s="468"/>
      <c r="T516" s="468"/>
      <c r="U516" s="468"/>
      <c r="V516" s="468"/>
      <c r="W516" s="468"/>
      <c r="X516" s="468"/>
      <c r="Y516" s="468"/>
      <c r="Z516" s="468"/>
      <c r="AA516" s="468"/>
      <c r="AB516" s="468"/>
      <c r="AC516" s="468"/>
      <c r="AD516" s="468"/>
      <c r="AE516" s="468"/>
      <c r="AF516" s="468"/>
      <c r="AG516" s="468"/>
      <c r="AH516" s="468"/>
      <c r="AI516" s="468"/>
      <c r="AJ516" s="468"/>
    </row>
    <row r="517" spans="1:36" ht="18" customHeight="1" x14ac:dyDescent="0.35">
      <c r="A517" s="468"/>
      <c r="B517" s="468"/>
      <c r="C517" s="468"/>
      <c r="D517" s="468"/>
      <c r="E517" s="468"/>
      <c r="F517" s="468"/>
      <c r="G517" s="468"/>
      <c r="H517" s="468"/>
      <c r="I517" s="468"/>
      <c r="J517" s="468"/>
      <c r="K517" s="468"/>
      <c r="L517" s="468"/>
      <c r="M517" s="468"/>
      <c r="N517" s="468"/>
      <c r="O517" s="468"/>
      <c r="P517" s="468"/>
      <c r="Q517" s="468"/>
      <c r="R517" s="468"/>
      <c r="S517" s="468"/>
      <c r="T517" s="468"/>
      <c r="U517" s="468"/>
      <c r="V517" s="468"/>
      <c r="W517" s="468"/>
      <c r="X517" s="468"/>
      <c r="Y517" s="468"/>
      <c r="Z517" s="468"/>
      <c r="AA517" s="468"/>
      <c r="AB517" s="468"/>
      <c r="AC517" s="468"/>
      <c r="AD517" s="468"/>
      <c r="AE517" s="468"/>
      <c r="AF517" s="468"/>
      <c r="AG517" s="468"/>
      <c r="AH517" s="468"/>
      <c r="AI517" s="468"/>
      <c r="AJ517" s="468"/>
    </row>
    <row r="518" spans="1:36" ht="18" customHeight="1" x14ac:dyDescent="0.35">
      <c r="A518" s="468"/>
      <c r="B518" s="468"/>
      <c r="C518" s="468"/>
      <c r="D518" s="468"/>
      <c r="E518" s="468"/>
      <c r="F518" s="468"/>
      <c r="G518" s="468"/>
      <c r="H518" s="468"/>
      <c r="I518" s="468"/>
      <c r="J518" s="468"/>
      <c r="K518" s="468"/>
      <c r="L518" s="468"/>
      <c r="M518" s="468"/>
      <c r="N518" s="468"/>
      <c r="O518" s="468"/>
      <c r="P518" s="468"/>
      <c r="Q518" s="468"/>
      <c r="R518" s="468"/>
      <c r="S518" s="468"/>
      <c r="T518" s="468"/>
      <c r="U518" s="468"/>
      <c r="V518" s="468"/>
      <c r="W518" s="468"/>
      <c r="X518" s="468"/>
      <c r="Y518" s="468"/>
      <c r="Z518" s="468"/>
      <c r="AA518" s="468"/>
      <c r="AB518" s="468"/>
      <c r="AC518" s="468"/>
      <c r="AD518" s="468"/>
      <c r="AE518" s="468"/>
      <c r="AF518" s="468"/>
      <c r="AG518" s="468"/>
      <c r="AH518" s="468"/>
      <c r="AI518" s="468"/>
      <c r="AJ518" s="468"/>
    </row>
    <row r="519" spans="1:36" ht="18" customHeight="1" x14ac:dyDescent="0.35">
      <c r="A519" s="468"/>
      <c r="B519" s="468"/>
      <c r="C519" s="468"/>
      <c r="D519" s="468"/>
      <c r="E519" s="468"/>
      <c r="F519" s="468"/>
      <c r="G519" s="468"/>
      <c r="H519" s="468"/>
      <c r="I519" s="468"/>
      <c r="J519" s="468"/>
      <c r="K519" s="468"/>
      <c r="L519" s="468"/>
      <c r="M519" s="468"/>
      <c r="N519" s="468"/>
      <c r="O519" s="468"/>
      <c r="P519" s="468"/>
      <c r="Q519" s="468"/>
      <c r="R519" s="468"/>
      <c r="S519" s="468"/>
      <c r="T519" s="468"/>
      <c r="U519" s="468"/>
      <c r="V519" s="468"/>
      <c r="W519" s="468"/>
      <c r="X519" s="468"/>
      <c r="Y519" s="468"/>
      <c r="Z519" s="468"/>
      <c r="AA519" s="468"/>
      <c r="AB519" s="468"/>
      <c r="AC519" s="468"/>
      <c r="AD519" s="468"/>
      <c r="AE519" s="468"/>
      <c r="AF519" s="468"/>
      <c r="AG519" s="468"/>
      <c r="AH519" s="468"/>
      <c r="AI519" s="468"/>
      <c r="AJ519" s="468"/>
    </row>
    <row r="520" spans="1:36" ht="18" customHeight="1" x14ac:dyDescent="0.35">
      <c r="A520" s="468"/>
      <c r="B520" s="468"/>
      <c r="C520" s="468"/>
      <c r="D520" s="468"/>
      <c r="E520" s="468"/>
      <c r="F520" s="468"/>
      <c r="G520" s="468"/>
      <c r="H520" s="468"/>
      <c r="I520" s="468"/>
      <c r="J520" s="468"/>
      <c r="K520" s="468"/>
      <c r="L520" s="468"/>
      <c r="M520" s="468"/>
      <c r="N520" s="468"/>
      <c r="O520" s="468"/>
      <c r="P520" s="468"/>
      <c r="Q520" s="468"/>
      <c r="R520" s="468"/>
      <c r="S520" s="468"/>
      <c r="T520" s="468"/>
      <c r="U520" s="468"/>
      <c r="V520" s="468"/>
      <c r="W520" s="468"/>
      <c r="X520" s="468"/>
      <c r="Y520" s="468"/>
      <c r="Z520" s="468"/>
      <c r="AA520" s="468"/>
      <c r="AB520" s="468"/>
      <c r="AC520" s="468"/>
      <c r="AD520" s="468"/>
      <c r="AE520" s="468"/>
      <c r="AF520" s="468"/>
      <c r="AG520" s="468"/>
      <c r="AH520" s="468"/>
      <c r="AI520" s="468"/>
      <c r="AJ520" s="468"/>
    </row>
    <row r="521" spans="1:36" ht="18" customHeight="1" x14ac:dyDescent="0.35">
      <c r="A521" s="468"/>
      <c r="B521" s="468"/>
      <c r="C521" s="468"/>
      <c r="D521" s="468"/>
      <c r="E521" s="468"/>
      <c r="F521" s="468"/>
      <c r="G521" s="468"/>
      <c r="H521" s="468"/>
      <c r="I521" s="468"/>
      <c r="J521" s="468"/>
      <c r="K521" s="468"/>
      <c r="L521" s="468"/>
      <c r="M521" s="468"/>
      <c r="N521" s="468"/>
      <c r="O521" s="468"/>
      <c r="P521" s="468"/>
      <c r="Q521" s="468"/>
      <c r="R521" s="468"/>
      <c r="S521" s="468"/>
      <c r="T521" s="468"/>
      <c r="U521" s="468"/>
      <c r="V521" s="468"/>
      <c r="W521" s="468"/>
      <c r="X521" s="468"/>
      <c r="Y521" s="468"/>
      <c r="Z521" s="468"/>
      <c r="AA521" s="468"/>
      <c r="AB521" s="468"/>
      <c r="AC521" s="468"/>
      <c r="AD521" s="468"/>
      <c r="AE521" s="468"/>
      <c r="AF521" s="468"/>
      <c r="AG521" s="468"/>
      <c r="AH521" s="468"/>
      <c r="AI521" s="468"/>
      <c r="AJ521" s="468"/>
    </row>
    <row r="522" spans="1:36" ht="18" customHeight="1" x14ac:dyDescent="0.35">
      <c r="A522" s="468"/>
      <c r="B522" s="468"/>
      <c r="C522" s="468"/>
      <c r="D522" s="468"/>
      <c r="E522" s="468"/>
      <c r="F522" s="468"/>
      <c r="G522" s="468"/>
      <c r="H522" s="468"/>
      <c r="I522" s="468"/>
      <c r="J522" s="468"/>
      <c r="K522" s="468"/>
      <c r="L522" s="468"/>
      <c r="M522" s="468"/>
      <c r="N522" s="468"/>
      <c r="O522" s="468"/>
      <c r="P522" s="468"/>
      <c r="Q522" s="468"/>
      <c r="R522" s="468"/>
      <c r="S522" s="468"/>
      <c r="T522" s="468"/>
      <c r="U522" s="468"/>
      <c r="V522" s="468"/>
      <c r="W522" s="468"/>
      <c r="X522" s="468"/>
      <c r="Y522" s="468"/>
      <c r="Z522" s="468"/>
      <c r="AA522" s="468"/>
      <c r="AB522" s="468"/>
      <c r="AC522" s="468"/>
      <c r="AD522" s="468"/>
      <c r="AE522" s="468"/>
      <c r="AF522" s="468"/>
      <c r="AG522" s="468"/>
      <c r="AH522" s="468"/>
      <c r="AI522" s="468"/>
      <c r="AJ522" s="468"/>
    </row>
    <row r="523" spans="1:36" ht="18" customHeight="1" x14ac:dyDescent="0.35">
      <c r="A523" s="468"/>
      <c r="B523" s="468"/>
      <c r="C523" s="468"/>
      <c r="D523" s="468"/>
      <c r="E523" s="468"/>
      <c r="F523" s="468"/>
      <c r="G523" s="468"/>
      <c r="H523" s="468"/>
      <c r="I523" s="468"/>
      <c r="J523" s="468"/>
      <c r="K523" s="468"/>
      <c r="L523" s="468"/>
      <c r="M523" s="468"/>
      <c r="N523" s="468"/>
      <c r="O523" s="468"/>
      <c r="P523" s="468"/>
      <c r="Q523" s="468"/>
      <c r="R523" s="468"/>
      <c r="S523" s="468"/>
      <c r="T523" s="468"/>
      <c r="U523" s="468"/>
      <c r="V523" s="468"/>
      <c r="W523" s="468"/>
      <c r="X523" s="468"/>
      <c r="Y523" s="468"/>
      <c r="Z523" s="468"/>
      <c r="AA523" s="468"/>
      <c r="AB523" s="468"/>
      <c r="AC523" s="468"/>
      <c r="AD523" s="468"/>
      <c r="AE523" s="468"/>
      <c r="AF523" s="468"/>
      <c r="AG523" s="468"/>
      <c r="AH523" s="468"/>
      <c r="AI523" s="468"/>
      <c r="AJ523" s="468"/>
    </row>
    <row r="524" spans="1:36" ht="18" customHeight="1" x14ac:dyDescent="0.35">
      <c r="A524" s="468"/>
      <c r="B524" s="468"/>
      <c r="C524" s="468"/>
      <c r="D524" s="468"/>
      <c r="E524" s="468"/>
      <c r="F524" s="468"/>
      <c r="G524" s="468"/>
      <c r="H524" s="468"/>
      <c r="I524" s="468"/>
      <c r="J524" s="468"/>
      <c r="K524" s="468"/>
      <c r="L524" s="468"/>
      <c r="M524" s="468"/>
      <c r="N524" s="468"/>
      <c r="O524" s="468"/>
      <c r="P524" s="468"/>
      <c r="Q524" s="468"/>
      <c r="R524" s="468"/>
      <c r="S524" s="468"/>
      <c r="T524" s="468"/>
      <c r="U524" s="468"/>
      <c r="V524" s="468"/>
      <c r="W524" s="468"/>
      <c r="X524" s="468"/>
      <c r="Y524" s="468"/>
      <c r="Z524" s="468"/>
      <c r="AA524" s="468"/>
      <c r="AB524" s="468"/>
      <c r="AC524" s="468"/>
      <c r="AD524" s="468"/>
      <c r="AE524" s="468"/>
      <c r="AF524" s="468"/>
      <c r="AG524" s="468"/>
      <c r="AH524" s="468"/>
      <c r="AI524" s="468"/>
      <c r="AJ524" s="468"/>
    </row>
    <row r="525" spans="1:36" ht="18" customHeight="1" x14ac:dyDescent="0.35">
      <c r="A525" s="468"/>
      <c r="B525" s="468"/>
      <c r="C525" s="468"/>
      <c r="D525" s="468"/>
      <c r="E525" s="468"/>
      <c r="F525" s="468"/>
      <c r="G525" s="468"/>
      <c r="H525" s="468"/>
      <c r="I525" s="468"/>
      <c r="J525" s="468"/>
      <c r="K525" s="468"/>
      <c r="L525" s="468"/>
      <c r="M525" s="468"/>
      <c r="N525" s="468"/>
      <c r="O525" s="468"/>
      <c r="P525" s="468"/>
      <c r="Q525" s="468"/>
      <c r="R525" s="468"/>
      <c r="S525" s="468"/>
      <c r="T525" s="468"/>
      <c r="U525" s="468"/>
      <c r="V525" s="468"/>
      <c r="W525" s="468"/>
      <c r="X525" s="468"/>
      <c r="Y525" s="468"/>
      <c r="Z525" s="468"/>
      <c r="AA525" s="468"/>
      <c r="AB525" s="468"/>
      <c r="AC525" s="468"/>
      <c r="AD525" s="468"/>
      <c r="AE525" s="468"/>
      <c r="AF525" s="468"/>
      <c r="AG525" s="468"/>
      <c r="AH525" s="468"/>
      <c r="AI525" s="468"/>
      <c r="AJ525" s="468"/>
    </row>
    <row r="526" spans="1:36" ht="18" customHeight="1" x14ac:dyDescent="0.35">
      <c r="A526" s="468"/>
      <c r="B526" s="468"/>
      <c r="C526" s="468"/>
      <c r="D526" s="468"/>
      <c r="E526" s="468"/>
      <c r="F526" s="468"/>
      <c r="G526" s="468"/>
      <c r="H526" s="468"/>
      <c r="I526" s="468"/>
      <c r="J526" s="468"/>
      <c r="K526" s="468"/>
      <c r="L526" s="468"/>
      <c r="M526" s="468"/>
      <c r="N526" s="468"/>
      <c r="O526" s="468"/>
      <c r="P526" s="468"/>
      <c r="Q526" s="468"/>
      <c r="R526" s="468"/>
      <c r="S526" s="468"/>
      <c r="T526" s="468"/>
      <c r="U526" s="468"/>
      <c r="V526" s="468"/>
      <c r="W526" s="468"/>
      <c r="X526" s="468"/>
      <c r="Y526" s="468"/>
      <c r="Z526" s="468"/>
      <c r="AA526" s="468"/>
      <c r="AB526" s="468"/>
      <c r="AC526" s="468"/>
      <c r="AD526" s="468"/>
      <c r="AE526" s="468"/>
      <c r="AF526" s="468"/>
      <c r="AG526" s="468"/>
      <c r="AH526" s="468"/>
      <c r="AI526" s="468"/>
      <c r="AJ526" s="468"/>
    </row>
    <row r="527" spans="1:36" ht="18" customHeight="1" x14ac:dyDescent="0.35">
      <c r="A527" s="468"/>
      <c r="B527" s="468"/>
      <c r="C527" s="468"/>
      <c r="D527" s="468"/>
      <c r="E527" s="468"/>
      <c r="F527" s="468"/>
      <c r="G527" s="468"/>
      <c r="H527" s="468"/>
      <c r="I527" s="468"/>
      <c r="J527" s="468"/>
      <c r="K527" s="468"/>
      <c r="L527" s="468"/>
      <c r="M527" s="468"/>
      <c r="N527" s="468"/>
      <c r="O527" s="468"/>
      <c r="P527" s="468"/>
      <c r="Q527" s="468"/>
      <c r="R527" s="468"/>
      <c r="S527" s="468"/>
      <c r="T527" s="468"/>
      <c r="U527" s="468"/>
      <c r="V527" s="468"/>
      <c r="W527" s="468"/>
      <c r="X527" s="468"/>
      <c r="Y527" s="468"/>
      <c r="Z527" s="468"/>
      <c r="AA527" s="468"/>
      <c r="AB527" s="468"/>
      <c r="AC527" s="468"/>
      <c r="AD527" s="468"/>
      <c r="AE527" s="468"/>
      <c r="AF527" s="468"/>
      <c r="AG527" s="468"/>
      <c r="AH527" s="468"/>
      <c r="AI527" s="468"/>
      <c r="AJ527" s="468"/>
    </row>
    <row r="528" spans="1:36" ht="18" customHeight="1" x14ac:dyDescent="0.35">
      <c r="A528" s="468"/>
      <c r="B528" s="468"/>
      <c r="C528" s="468"/>
      <c r="D528" s="468"/>
      <c r="E528" s="468"/>
      <c r="F528" s="468"/>
      <c r="G528" s="468"/>
      <c r="H528" s="468"/>
      <c r="I528" s="468"/>
      <c r="J528" s="468"/>
      <c r="K528" s="468"/>
      <c r="L528" s="468"/>
      <c r="M528" s="468"/>
      <c r="N528" s="468"/>
      <c r="O528" s="468"/>
      <c r="P528" s="468"/>
      <c r="Q528" s="468"/>
      <c r="R528" s="468"/>
      <c r="S528" s="468"/>
      <c r="T528" s="468"/>
      <c r="U528" s="468"/>
      <c r="V528" s="468"/>
      <c r="W528" s="468"/>
      <c r="X528" s="468"/>
      <c r="Y528" s="468"/>
      <c r="Z528" s="468"/>
      <c r="AA528" s="468"/>
      <c r="AB528" s="468"/>
      <c r="AC528" s="468"/>
      <c r="AD528" s="468"/>
      <c r="AE528" s="468"/>
      <c r="AF528" s="468"/>
      <c r="AG528" s="468"/>
      <c r="AH528" s="468"/>
      <c r="AI528" s="468"/>
      <c r="AJ528" s="468"/>
    </row>
    <row r="529" spans="1:36" ht="18" customHeight="1" x14ac:dyDescent="0.35">
      <c r="A529" s="468"/>
      <c r="B529" s="468"/>
      <c r="C529" s="468"/>
      <c r="D529" s="468"/>
      <c r="E529" s="468"/>
      <c r="F529" s="468"/>
      <c r="G529" s="468"/>
      <c r="H529" s="468"/>
      <c r="I529" s="468"/>
      <c r="J529" s="468"/>
      <c r="K529" s="468"/>
      <c r="L529" s="468"/>
      <c r="M529" s="468"/>
      <c r="N529" s="468"/>
      <c r="O529" s="468"/>
      <c r="P529" s="468"/>
      <c r="Q529" s="468"/>
      <c r="R529" s="468"/>
      <c r="S529" s="468"/>
      <c r="T529" s="468"/>
      <c r="U529" s="468"/>
      <c r="V529" s="468"/>
      <c r="W529" s="468"/>
      <c r="X529" s="468"/>
      <c r="Y529" s="468"/>
      <c r="Z529" s="468"/>
      <c r="AA529" s="468"/>
      <c r="AB529" s="468"/>
      <c r="AC529" s="468"/>
      <c r="AD529" s="468"/>
      <c r="AE529" s="468"/>
      <c r="AF529" s="468"/>
      <c r="AG529" s="468"/>
      <c r="AH529" s="468"/>
      <c r="AI529" s="468"/>
      <c r="AJ529" s="468"/>
    </row>
    <row r="530" spans="1:36" ht="18" customHeight="1" x14ac:dyDescent="0.35">
      <c r="A530" s="468"/>
      <c r="B530" s="468"/>
      <c r="C530" s="468"/>
      <c r="D530" s="468"/>
      <c r="E530" s="468"/>
      <c r="F530" s="468"/>
      <c r="G530" s="468"/>
      <c r="H530" s="468"/>
      <c r="I530" s="468"/>
      <c r="J530" s="468"/>
      <c r="K530" s="468"/>
      <c r="L530" s="468"/>
      <c r="M530" s="468"/>
      <c r="N530" s="468"/>
      <c r="O530" s="468"/>
      <c r="P530" s="468"/>
      <c r="Q530" s="468"/>
      <c r="R530" s="468"/>
      <c r="S530" s="468"/>
      <c r="T530" s="468"/>
      <c r="U530" s="468"/>
      <c r="V530" s="468"/>
      <c r="W530" s="468"/>
      <c r="X530" s="468"/>
      <c r="Y530" s="468"/>
      <c r="Z530" s="468"/>
      <c r="AA530" s="468"/>
      <c r="AB530" s="468"/>
      <c r="AC530" s="468"/>
      <c r="AD530" s="468"/>
      <c r="AE530" s="468"/>
      <c r="AF530" s="468"/>
      <c r="AG530" s="468"/>
      <c r="AH530" s="468"/>
      <c r="AI530" s="468"/>
      <c r="AJ530" s="468"/>
    </row>
    <row r="531" spans="1:36" ht="18" customHeight="1" x14ac:dyDescent="0.35">
      <c r="A531" s="468"/>
      <c r="B531" s="468"/>
      <c r="C531" s="468"/>
      <c r="D531" s="468"/>
      <c r="E531" s="468"/>
      <c r="F531" s="468"/>
      <c r="G531" s="468"/>
      <c r="H531" s="468"/>
      <c r="I531" s="468"/>
      <c r="J531" s="468"/>
      <c r="K531" s="468"/>
      <c r="L531" s="468"/>
      <c r="M531" s="468"/>
      <c r="N531" s="468"/>
      <c r="O531" s="468"/>
      <c r="P531" s="468"/>
      <c r="Q531" s="468"/>
      <c r="R531" s="468"/>
      <c r="S531" s="468"/>
      <c r="T531" s="468"/>
      <c r="U531" s="468"/>
      <c r="V531" s="468"/>
      <c r="W531" s="468"/>
      <c r="X531" s="468"/>
      <c r="Y531" s="468"/>
      <c r="Z531" s="468"/>
      <c r="AA531" s="468"/>
      <c r="AB531" s="468"/>
      <c r="AC531" s="468"/>
      <c r="AD531" s="468"/>
      <c r="AE531" s="468"/>
      <c r="AF531" s="468"/>
      <c r="AG531" s="468"/>
      <c r="AH531" s="468"/>
      <c r="AI531" s="468"/>
      <c r="AJ531" s="468"/>
    </row>
    <row r="532" spans="1:36" ht="18" customHeight="1" x14ac:dyDescent="0.35">
      <c r="A532" s="468"/>
      <c r="B532" s="468"/>
      <c r="C532" s="468"/>
      <c r="D532" s="468"/>
      <c r="E532" s="468"/>
      <c r="F532" s="468"/>
      <c r="G532" s="468"/>
      <c r="H532" s="468"/>
      <c r="I532" s="468"/>
      <c r="J532" s="468"/>
      <c r="K532" s="468"/>
      <c r="L532" s="468"/>
      <c r="M532" s="468"/>
      <c r="N532" s="468"/>
      <c r="O532" s="468"/>
      <c r="P532" s="468"/>
      <c r="Q532" s="468"/>
      <c r="R532" s="468"/>
      <c r="S532" s="468"/>
      <c r="T532" s="468"/>
      <c r="U532" s="468"/>
      <c r="V532" s="468"/>
      <c r="W532" s="468"/>
      <c r="X532" s="468"/>
      <c r="Y532" s="468"/>
      <c r="Z532" s="468"/>
      <c r="AA532" s="468"/>
      <c r="AB532" s="468"/>
      <c r="AC532" s="468"/>
      <c r="AD532" s="468"/>
      <c r="AE532" s="468"/>
      <c r="AF532" s="468"/>
      <c r="AG532" s="468"/>
      <c r="AH532" s="468"/>
      <c r="AI532" s="468"/>
      <c r="AJ532" s="468"/>
    </row>
    <row r="533" spans="1:36" ht="18" customHeight="1" x14ac:dyDescent="0.35">
      <c r="A533" s="468"/>
      <c r="B533" s="468"/>
      <c r="C533" s="468"/>
      <c r="D533" s="468"/>
      <c r="E533" s="468"/>
      <c r="F533" s="468"/>
      <c r="G533" s="468"/>
      <c r="H533" s="468"/>
      <c r="I533" s="468"/>
      <c r="J533" s="468"/>
      <c r="K533" s="468"/>
      <c r="L533" s="468"/>
      <c r="M533" s="468"/>
      <c r="N533" s="468"/>
      <c r="O533" s="468"/>
      <c r="P533" s="468"/>
      <c r="Q533" s="468"/>
      <c r="R533" s="468"/>
      <c r="S533" s="468"/>
      <c r="T533" s="468"/>
      <c r="U533" s="468"/>
      <c r="V533" s="468"/>
      <c r="W533" s="468"/>
      <c r="X533" s="468"/>
      <c r="Y533" s="468"/>
      <c r="Z533" s="468"/>
      <c r="AA533" s="468"/>
      <c r="AB533" s="468"/>
      <c r="AC533" s="468"/>
      <c r="AD533" s="468"/>
      <c r="AE533" s="468"/>
      <c r="AF533" s="468"/>
      <c r="AG533" s="468"/>
      <c r="AH533" s="468"/>
      <c r="AI533" s="468"/>
      <c r="AJ533" s="468"/>
    </row>
    <row r="534" spans="1:36" ht="18" customHeight="1" x14ac:dyDescent="0.35">
      <c r="A534" s="468"/>
      <c r="B534" s="468"/>
      <c r="C534" s="468"/>
      <c r="D534" s="468"/>
      <c r="E534" s="468"/>
      <c r="F534" s="468"/>
      <c r="G534" s="468"/>
      <c r="H534" s="468"/>
      <c r="I534" s="468"/>
      <c r="J534" s="468"/>
      <c r="K534" s="468"/>
      <c r="L534" s="468"/>
      <c r="M534" s="468"/>
      <c r="N534" s="468"/>
      <c r="O534" s="468"/>
      <c r="P534" s="468"/>
      <c r="Q534" s="468"/>
      <c r="R534" s="468"/>
      <c r="S534" s="468"/>
      <c r="T534" s="468"/>
      <c r="U534" s="468"/>
      <c r="V534" s="468"/>
      <c r="W534" s="468"/>
      <c r="X534" s="468"/>
      <c r="Y534" s="468"/>
      <c r="Z534" s="468"/>
      <c r="AA534" s="468"/>
      <c r="AB534" s="468"/>
      <c r="AC534" s="468"/>
      <c r="AD534" s="468"/>
      <c r="AE534" s="468"/>
      <c r="AF534" s="468"/>
      <c r="AG534" s="468"/>
      <c r="AH534" s="468"/>
      <c r="AI534" s="468"/>
      <c r="AJ534" s="468"/>
    </row>
    <row r="535" spans="1:36" ht="18" customHeight="1" x14ac:dyDescent="0.35">
      <c r="A535" s="468"/>
      <c r="B535" s="468"/>
      <c r="C535" s="468"/>
      <c r="D535" s="468"/>
      <c r="E535" s="468"/>
      <c r="F535" s="468"/>
      <c r="G535" s="468"/>
      <c r="H535" s="468"/>
      <c r="I535" s="468"/>
      <c r="J535" s="468"/>
      <c r="K535" s="468"/>
      <c r="L535" s="468"/>
      <c r="M535" s="468"/>
      <c r="N535" s="468"/>
      <c r="O535" s="468"/>
      <c r="P535" s="468"/>
      <c r="Q535" s="468"/>
      <c r="R535" s="468"/>
      <c r="S535" s="468"/>
      <c r="T535" s="468"/>
      <c r="U535" s="468"/>
      <c r="V535" s="468"/>
      <c r="W535" s="468"/>
      <c r="X535" s="468"/>
      <c r="Y535" s="468"/>
      <c r="Z535" s="468"/>
      <c r="AA535" s="468"/>
      <c r="AB535" s="468"/>
      <c r="AC535" s="468"/>
      <c r="AD535" s="468"/>
      <c r="AE535" s="468"/>
      <c r="AF535" s="468"/>
      <c r="AG535" s="468"/>
      <c r="AH535" s="468"/>
      <c r="AI535" s="468"/>
      <c r="AJ535" s="468"/>
    </row>
    <row r="536" spans="1:36" ht="18" customHeight="1" x14ac:dyDescent="0.35">
      <c r="A536" s="468"/>
      <c r="B536" s="468"/>
      <c r="C536" s="468"/>
      <c r="D536" s="468"/>
      <c r="E536" s="468"/>
      <c r="F536" s="468"/>
      <c r="G536" s="468"/>
      <c r="H536" s="468"/>
      <c r="I536" s="468"/>
      <c r="J536" s="468"/>
      <c r="K536" s="468"/>
      <c r="L536" s="468"/>
      <c r="M536" s="468"/>
      <c r="N536" s="468"/>
      <c r="O536" s="468"/>
      <c r="P536" s="468"/>
      <c r="Q536" s="468"/>
      <c r="R536" s="468"/>
      <c r="S536" s="468"/>
      <c r="T536" s="468"/>
      <c r="U536" s="468"/>
      <c r="V536" s="468"/>
      <c r="W536" s="468"/>
      <c r="X536" s="468"/>
      <c r="Y536" s="468"/>
      <c r="Z536" s="468"/>
      <c r="AA536" s="468"/>
      <c r="AB536" s="468"/>
      <c r="AC536" s="468"/>
      <c r="AD536" s="468"/>
      <c r="AE536" s="468"/>
      <c r="AF536" s="468"/>
      <c r="AG536" s="468"/>
      <c r="AH536" s="468"/>
      <c r="AI536" s="468"/>
      <c r="AJ536" s="468"/>
    </row>
    <row r="537" spans="1:36" ht="18" customHeight="1" x14ac:dyDescent="0.35">
      <c r="A537" s="468"/>
      <c r="B537" s="468"/>
      <c r="C537" s="468"/>
      <c r="D537" s="468"/>
      <c r="E537" s="468"/>
      <c r="F537" s="468"/>
      <c r="G537" s="468"/>
      <c r="H537" s="468"/>
      <c r="I537" s="468"/>
      <c r="J537" s="468"/>
      <c r="K537" s="468"/>
      <c r="L537" s="468"/>
      <c r="M537" s="468"/>
      <c r="N537" s="468"/>
      <c r="O537" s="468"/>
      <c r="P537" s="468"/>
      <c r="Q537" s="468"/>
      <c r="R537" s="468"/>
      <c r="S537" s="468"/>
      <c r="T537" s="468"/>
      <c r="U537" s="468"/>
      <c r="V537" s="468"/>
      <c r="W537" s="468"/>
      <c r="X537" s="468"/>
      <c r="Y537" s="468"/>
      <c r="Z537" s="468"/>
      <c r="AA537" s="468"/>
      <c r="AB537" s="468"/>
      <c r="AC537" s="468"/>
      <c r="AD537" s="468"/>
      <c r="AE537" s="468"/>
      <c r="AF537" s="468"/>
      <c r="AG537" s="468"/>
      <c r="AH537" s="468"/>
      <c r="AI537" s="468"/>
      <c r="AJ537" s="468"/>
    </row>
    <row r="538" spans="1:36" ht="18" customHeight="1" x14ac:dyDescent="0.35">
      <c r="A538" s="468"/>
      <c r="B538" s="468"/>
      <c r="C538" s="468"/>
      <c r="D538" s="468"/>
      <c r="E538" s="468"/>
      <c r="F538" s="468"/>
      <c r="G538" s="468"/>
      <c r="H538" s="468"/>
      <c r="I538" s="468"/>
      <c r="J538" s="468"/>
      <c r="K538" s="468"/>
      <c r="L538" s="468"/>
      <c r="M538" s="468"/>
      <c r="N538" s="468"/>
      <c r="O538" s="468"/>
      <c r="P538" s="468"/>
      <c r="Q538" s="468"/>
      <c r="R538" s="468"/>
      <c r="S538" s="468"/>
      <c r="T538" s="468"/>
      <c r="U538" s="468"/>
      <c r="V538" s="468"/>
      <c r="W538" s="468"/>
      <c r="X538" s="468"/>
      <c r="Y538" s="468"/>
      <c r="Z538" s="468"/>
      <c r="AA538" s="468"/>
      <c r="AB538" s="468"/>
      <c r="AC538" s="468"/>
      <c r="AD538" s="468"/>
      <c r="AE538" s="468"/>
      <c r="AF538" s="468"/>
      <c r="AG538" s="468"/>
      <c r="AH538" s="468"/>
      <c r="AI538" s="468"/>
      <c r="AJ538" s="468"/>
    </row>
    <row r="539" spans="1:36" ht="18" customHeight="1" x14ac:dyDescent="0.35">
      <c r="A539" s="468"/>
      <c r="B539" s="468"/>
      <c r="C539" s="468"/>
      <c r="D539" s="468"/>
      <c r="E539" s="468"/>
      <c r="F539" s="468"/>
      <c r="G539" s="468"/>
      <c r="H539" s="468"/>
      <c r="I539" s="468"/>
      <c r="J539" s="468"/>
      <c r="K539" s="468"/>
      <c r="L539" s="468"/>
      <c r="M539" s="468"/>
      <c r="N539" s="468"/>
      <c r="O539" s="468"/>
      <c r="P539" s="468"/>
      <c r="Q539" s="468"/>
      <c r="R539" s="468"/>
      <c r="S539" s="468"/>
      <c r="T539" s="468"/>
      <c r="U539" s="468"/>
      <c r="V539" s="468"/>
      <c r="W539" s="468"/>
      <c r="X539" s="468"/>
      <c r="Y539" s="468"/>
      <c r="Z539" s="468"/>
      <c r="AA539" s="468"/>
      <c r="AB539" s="468"/>
      <c r="AC539" s="468"/>
      <c r="AD539" s="468"/>
      <c r="AE539" s="468"/>
      <c r="AF539" s="468"/>
      <c r="AG539" s="468"/>
      <c r="AH539" s="468"/>
      <c r="AI539" s="468"/>
      <c r="AJ539" s="468"/>
    </row>
    <row r="540" spans="1:36" ht="18" customHeight="1" x14ac:dyDescent="0.35">
      <c r="A540" s="468"/>
      <c r="B540" s="468"/>
      <c r="C540" s="468"/>
      <c r="D540" s="468"/>
      <c r="E540" s="468"/>
      <c r="F540" s="468"/>
      <c r="G540" s="468"/>
      <c r="H540" s="468"/>
      <c r="I540" s="468"/>
      <c r="J540" s="468"/>
      <c r="K540" s="468"/>
      <c r="L540" s="468"/>
      <c r="M540" s="468"/>
      <c r="N540" s="468"/>
      <c r="O540" s="468"/>
      <c r="P540" s="468"/>
      <c r="Q540" s="468"/>
      <c r="R540" s="468"/>
      <c r="S540" s="468"/>
      <c r="T540" s="468"/>
      <c r="U540" s="468"/>
      <c r="V540" s="468"/>
      <c r="W540" s="468"/>
      <c r="X540" s="468"/>
      <c r="Y540" s="468"/>
      <c r="Z540" s="468"/>
      <c r="AA540" s="468"/>
      <c r="AB540" s="468"/>
      <c r="AC540" s="468"/>
      <c r="AD540" s="468"/>
      <c r="AE540" s="468"/>
      <c r="AF540" s="468"/>
      <c r="AG540" s="468"/>
      <c r="AH540" s="468"/>
      <c r="AI540" s="468"/>
      <c r="AJ540" s="468"/>
    </row>
    <row r="541" spans="1:36" ht="18" customHeight="1" x14ac:dyDescent="0.35">
      <c r="A541" s="468"/>
      <c r="B541" s="468"/>
      <c r="C541" s="468"/>
      <c r="D541" s="468"/>
      <c r="E541" s="468"/>
      <c r="F541" s="468"/>
      <c r="G541" s="468"/>
      <c r="H541" s="468"/>
      <c r="I541" s="468"/>
      <c r="J541" s="468"/>
      <c r="K541" s="468"/>
      <c r="L541" s="468"/>
      <c r="M541" s="468"/>
      <c r="N541" s="468"/>
      <c r="O541" s="468"/>
      <c r="P541" s="468"/>
      <c r="Q541" s="468"/>
      <c r="R541" s="468"/>
      <c r="S541" s="468"/>
      <c r="T541" s="468"/>
      <c r="U541" s="468"/>
      <c r="V541" s="468"/>
      <c r="W541" s="468"/>
      <c r="X541" s="468"/>
      <c r="Y541" s="468"/>
      <c r="Z541" s="468"/>
      <c r="AA541" s="468"/>
      <c r="AB541" s="468"/>
      <c r="AC541" s="468"/>
      <c r="AD541" s="468"/>
      <c r="AE541" s="468"/>
      <c r="AF541" s="468"/>
      <c r="AG541" s="468"/>
      <c r="AH541" s="468"/>
      <c r="AI541" s="468"/>
      <c r="AJ541" s="468"/>
    </row>
    <row r="542" spans="1:36" ht="18" customHeight="1" x14ac:dyDescent="0.35">
      <c r="A542" s="468"/>
      <c r="B542" s="468"/>
      <c r="C542" s="468"/>
      <c r="D542" s="468"/>
      <c r="E542" s="468"/>
      <c r="F542" s="468"/>
      <c r="G542" s="468"/>
      <c r="H542" s="468"/>
      <c r="I542" s="468"/>
      <c r="J542" s="468"/>
      <c r="K542" s="468"/>
      <c r="L542" s="468"/>
      <c r="M542" s="468"/>
      <c r="N542" s="468"/>
      <c r="O542" s="468"/>
      <c r="P542" s="468"/>
      <c r="Q542" s="468"/>
      <c r="R542" s="468"/>
      <c r="S542" s="468"/>
      <c r="T542" s="468"/>
      <c r="U542" s="468"/>
      <c r="V542" s="468"/>
      <c r="W542" s="468"/>
      <c r="X542" s="468"/>
      <c r="Y542" s="468"/>
      <c r="Z542" s="468"/>
      <c r="AA542" s="468"/>
      <c r="AB542" s="468"/>
      <c r="AC542" s="468"/>
      <c r="AD542" s="468"/>
      <c r="AE542" s="468"/>
      <c r="AF542" s="468"/>
      <c r="AG542" s="468"/>
      <c r="AH542" s="468"/>
      <c r="AI542" s="468"/>
      <c r="AJ542" s="468"/>
    </row>
    <row r="543" spans="1:36" ht="18" customHeight="1" x14ac:dyDescent="0.35">
      <c r="A543" s="468"/>
      <c r="B543" s="468"/>
      <c r="C543" s="468"/>
      <c r="D543" s="468"/>
      <c r="E543" s="468"/>
      <c r="F543" s="468"/>
      <c r="G543" s="468"/>
      <c r="H543" s="468"/>
      <c r="I543" s="468"/>
      <c r="J543" s="468"/>
      <c r="K543" s="468"/>
      <c r="L543" s="468"/>
      <c r="M543" s="468"/>
      <c r="N543" s="468"/>
      <c r="O543" s="468"/>
      <c r="P543" s="468"/>
      <c r="Q543" s="468"/>
      <c r="R543" s="468"/>
      <c r="S543" s="468"/>
      <c r="T543" s="468"/>
      <c r="U543" s="468"/>
      <c r="V543" s="468"/>
      <c r="W543" s="468"/>
      <c r="X543" s="468"/>
      <c r="Y543" s="468"/>
      <c r="Z543" s="468"/>
      <c r="AA543" s="468"/>
      <c r="AB543" s="468"/>
      <c r="AC543" s="468"/>
      <c r="AD543" s="468"/>
      <c r="AE543" s="468"/>
      <c r="AF543" s="468"/>
      <c r="AG543" s="468"/>
      <c r="AH543" s="468"/>
      <c r="AI543" s="468"/>
      <c r="AJ543" s="468"/>
    </row>
    <row r="544" spans="1:36" ht="18" customHeight="1" x14ac:dyDescent="0.35">
      <c r="A544" s="468"/>
      <c r="B544" s="468"/>
      <c r="C544" s="468"/>
      <c r="D544" s="468"/>
      <c r="E544" s="468"/>
      <c r="F544" s="468"/>
      <c r="G544" s="468"/>
      <c r="H544" s="468"/>
      <c r="I544" s="468"/>
      <c r="J544" s="468"/>
      <c r="K544" s="468"/>
      <c r="L544" s="468"/>
      <c r="M544" s="468"/>
      <c r="N544" s="468"/>
      <c r="O544" s="468"/>
      <c r="P544" s="468"/>
      <c r="Q544" s="468"/>
      <c r="R544" s="468"/>
      <c r="S544" s="468"/>
      <c r="T544" s="468"/>
      <c r="U544" s="468"/>
      <c r="V544" s="468"/>
      <c r="W544" s="468"/>
      <c r="X544" s="468"/>
      <c r="Y544" s="468"/>
      <c r="Z544" s="468"/>
      <c r="AA544" s="468"/>
      <c r="AB544" s="468"/>
      <c r="AC544" s="468"/>
      <c r="AD544" s="468"/>
      <c r="AE544" s="468"/>
      <c r="AF544" s="468"/>
      <c r="AG544" s="468"/>
      <c r="AH544" s="468"/>
      <c r="AI544" s="468"/>
      <c r="AJ544" s="468"/>
    </row>
    <row r="545" spans="1:36" ht="18" customHeight="1" x14ac:dyDescent="0.35">
      <c r="A545" s="468"/>
      <c r="B545" s="468"/>
      <c r="C545" s="468"/>
      <c r="D545" s="468"/>
      <c r="E545" s="468"/>
      <c r="F545" s="468"/>
      <c r="G545" s="468"/>
      <c r="H545" s="468"/>
      <c r="I545" s="468"/>
      <c r="J545" s="468"/>
      <c r="K545" s="468"/>
      <c r="L545" s="468"/>
      <c r="M545" s="468"/>
      <c r="N545" s="468"/>
      <c r="O545" s="468"/>
      <c r="P545" s="468"/>
      <c r="Q545" s="468"/>
      <c r="R545" s="468"/>
      <c r="S545" s="468"/>
      <c r="T545" s="468"/>
      <c r="U545" s="468"/>
      <c r="V545" s="468"/>
      <c r="W545" s="468"/>
      <c r="X545" s="468"/>
      <c r="Y545" s="468"/>
      <c r="Z545" s="468"/>
      <c r="AA545" s="468"/>
      <c r="AB545" s="468"/>
      <c r="AC545" s="468"/>
      <c r="AD545" s="468"/>
      <c r="AE545" s="468"/>
      <c r="AF545" s="468"/>
      <c r="AG545" s="468"/>
      <c r="AH545" s="468"/>
      <c r="AI545" s="468"/>
      <c r="AJ545" s="468"/>
    </row>
    <row r="546" spans="1:36" ht="18" customHeight="1" x14ac:dyDescent="0.35">
      <c r="A546" s="468"/>
      <c r="B546" s="468"/>
      <c r="C546" s="468"/>
      <c r="D546" s="468"/>
      <c r="E546" s="468"/>
      <c r="F546" s="468"/>
      <c r="G546" s="468"/>
      <c r="H546" s="468"/>
      <c r="I546" s="468"/>
      <c r="J546" s="468"/>
      <c r="K546" s="468"/>
      <c r="L546" s="468"/>
      <c r="M546" s="468"/>
      <c r="N546" s="468"/>
      <c r="O546" s="468"/>
      <c r="P546" s="468"/>
      <c r="Q546" s="468"/>
      <c r="R546" s="468"/>
      <c r="S546" s="468"/>
      <c r="T546" s="468"/>
      <c r="U546" s="468"/>
      <c r="V546" s="468"/>
      <c r="W546" s="468"/>
      <c r="X546" s="468"/>
      <c r="Y546" s="468"/>
      <c r="Z546" s="468"/>
      <c r="AA546" s="468"/>
      <c r="AB546" s="468"/>
      <c r="AC546" s="468"/>
      <c r="AD546" s="468"/>
      <c r="AE546" s="468"/>
      <c r="AF546" s="468"/>
      <c r="AG546" s="468"/>
      <c r="AH546" s="468"/>
      <c r="AI546" s="468"/>
      <c r="AJ546" s="468"/>
    </row>
    <row r="547" spans="1:36" ht="18" customHeight="1" x14ac:dyDescent="0.35">
      <c r="A547" s="468"/>
      <c r="B547" s="468"/>
      <c r="C547" s="468"/>
      <c r="D547" s="468"/>
      <c r="E547" s="468"/>
      <c r="F547" s="468"/>
      <c r="G547" s="468"/>
      <c r="H547" s="468"/>
      <c r="I547" s="468"/>
      <c r="J547" s="468"/>
      <c r="K547" s="468"/>
      <c r="L547" s="468"/>
      <c r="M547" s="468"/>
      <c r="N547" s="468"/>
      <c r="O547" s="468"/>
      <c r="P547" s="468"/>
      <c r="Q547" s="468"/>
      <c r="R547" s="468"/>
      <c r="S547" s="468"/>
      <c r="T547" s="468"/>
      <c r="U547" s="468"/>
      <c r="V547" s="468"/>
      <c r="W547" s="468"/>
      <c r="X547" s="468"/>
      <c r="Y547" s="468"/>
      <c r="Z547" s="468"/>
      <c r="AA547" s="468"/>
      <c r="AB547" s="468"/>
      <c r="AC547" s="468"/>
      <c r="AD547" s="468"/>
      <c r="AE547" s="468"/>
      <c r="AF547" s="468"/>
      <c r="AG547" s="468"/>
      <c r="AH547" s="468"/>
      <c r="AI547" s="468"/>
      <c r="AJ547" s="468"/>
    </row>
    <row r="548" spans="1:36" ht="18" customHeight="1" x14ac:dyDescent="0.35">
      <c r="A548" s="468"/>
      <c r="B548" s="468"/>
      <c r="C548" s="468"/>
      <c r="D548" s="468"/>
      <c r="E548" s="468"/>
      <c r="F548" s="468"/>
      <c r="G548" s="468"/>
      <c r="H548" s="468"/>
      <c r="I548" s="468"/>
      <c r="J548" s="468"/>
      <c r="K548" s="468"/>
      <c r="L548" s="468"/>
      <c r="M548" s="468"/>
      <c r="N548" s="468"/>
      <c r="O548" s="468"/>
      <c r="P548" s="468"/>
      <c r="Q548" s="468"/>
      <c r="R548" s="468"/>
      <c r="S548" s="468"/>
      <c r="T548" s="468"/>
      <c r="U548" s="468"/>
      <c r="V548" s="468"/>
      <c r="W548" s="468"/>
      <c r="X548" s="468"/>
      <c r="Y548" s="468"/>
      <c r="Z548" s="468"/>
      <c r="AA548" s="468"/>
      <c r="AB548" s="468"/>
      <c r="AC548" s="468"/>
      <c r="AD548" s="468"/>
      <c r="AE548" s="468"/>
      <c r="AF548" s="468"/>
      <c r="AG548" s="468"/>
      <c r="AH548" s="468"/>
      <c r="AI548" s="468"/>
      <c r="AJ548" s="468"/>
    </row>
    <row r="549" spans="1:36" ht="18" customHeight="1" x14ac:dyDescent="0.35">
      <c r="A549" s="468"/>
      <c r="B549" s="468"/>
      <c r="C549" s="468"/>
      <c r="D549" s="468"/>
      <c r="E549" s="468"/>
      <c r="F549" s="468"/>
      <c r="G549" s="468"/>
      <c r="H549" s="468"/>
      <c r="I549" s="468"/>
      <c r="J549" s="468"/>
      <c r="K549" s="468"/>
      <c r="L549" s="468"/>
      <c r="M549" s="468"/>
      <c r="N549" s="468"/>
      <c r="O549" s="468"/>
      <c r="P549" s="468"/>
      <c r="Q549" s="468"/>
      <c r="R549" s="468"/>
      <c r="S549" s="468"/>
      <c r="T549" s="468"/>
      <c r="U549" s="468"/>
      <c r="V549" s="468"/>
      <c r="W549" s="468"/>
      <c r="X549" s="468"/>
      <c r="Y549" s="468"/>
      <c r="Z549" s="468"/>
      <c r="AA549" s="468"/>
      <c r="AB549" s="468"/>
      <c r="AC549" s="468"/>
      <c r="AD549" s="468"/>
      <c r="AE549" s="468"/>
      <c r="AF549" s="468"/>
      <c r="AG549" s="468"/>
      <c r="AH549" s="468"/>
      <c r="AI549" s="468"/>
      <c r="AJ549" s="468"/>
    </row>
    <row r="550" spans="1:36" ht="18" customHeight="1" x14ac:dyDescent="0.35">
      <c r="A550" s="468"/>
      <c r="B550" s="468"/>
      <c r="C550" s="468"/>
      <c r="D550" s="468"/>
      <c r="E550" s="468"/>
      <c r="F550" s="468"/>
      <c r="G550" s="468"/>
      <c r="H550" s="468"/>
      <c r="I550" s="468"/>
      <c r="J550" s="468"/>
      <c r="K550" s="468"/>
      <c r="L550" s="468"/>
      <c r="M550" s="468"/>
      <c r="N550" s="468"/>
      <c r="O550" s="468"/>
      <c r="P550" s="468"/>
      <c r="Q550" s="468"/>
      <c r="R550" s="468"/>
      <c r="S550" s="468"/>
      <c r="T550" s="468"/>
      <c r="U550" s="468"/>
      <c r="V550" s="468"/>
      <c r="W550" s="468"/>
      <c r="X550" s="468"/>
      <c r="Y550" s="468"/>
      <c r="Z550" s="468"/>
      <c r="AA550" s="468"/>
      <c r="AB550" s="468"/>
      <c r="AC550" s="468"/>
      <c r="AD550" s="468"/>
      <c r="AE550" s="468"/>
      <c r="AF550" s="468"/>
      <c r="AG550" s="468"/>
      <c r="AH550" s="468"/>
      <c r="AI550" s="468"/>
      <c r="AJ550" s="468"/>
    </row>
    <row r="551" spans="1:36" ht="18" customHeight="1" x14ac:dyDescent="0.35">
      <c r="A551" s="468"/>
      <c r="B551" s="468"/>
      <c r="C551" s="468"/>
      <c r="D551" s="468"/>
      <c r="E551" s="468"/>
      <c r="F551" s="468"/>
      <c r="G551" s="468"/>
      <c r="H551" s="468"/>
      <c r="I551" s="468"/>
      <c r="J551" s="468"/>
      <c r="K551" s="468"/>
      <c r="L551" s="468"/>
      <c r="M551" s="468"/>
      <c r="N551" s="468"/>
      <c r="O551" s="468"/>
      <c r="P551" s="468"/>
      <c r="Q551" s="468"/>
      <c r="R551" s="468"/>
      <c r="S551" s="468"/>
      <c r="T551" s="468"/>
      <c r="U551" s="468"/>
      <c r="V551" s="468"/>
      <c r="W551" s="468"/>
      <c r="X551" s="468"/>
      <c r="Y551" s="468"/>
      <c r="Z551" s="468"/>
      <c r="AA551" s="468"/>
      <c r="AB551" s="468"/>
      <c r="AC551" s="468"/>
      <c r="AD551" s="468"/>
      <c r="AE551" s="468"/>
      <c r="AF551" s="468"/>
      <c r="AG551" s="468"/>
      <c r="AH551" s="468"/>
      <c r="AI551" s="468"/>
      <c r="AJ551" s="468"/>
    </row>
    <row r="552" spans="1:36" ht="18" customHeight="1" x14ac:dyDescent="0.35">
      <c r="A552" s="468"/>
      <c r="B552" s="468"/>
      <c r="C552" s="468"/>
      <c r="D552" s="468"/>
      <c r="E552" s="468"/>
      <c r="F552" s="468"/>
      <c r="G552" s="468"/>
      <c r="H552" s="468"/>
      <c r="I552" s="468"/>
      <c r="J552" s="468"/>
      <c r="K552" s="468"/>
      <c r="L552" s="468"/>
      <c r="M552" s="468"/>
      <c r="N552" s="468"/>
      <c r="O552" s="468"/>
      <c r="P552" s="468"/>
      <c r="Q552" s="468"/>
      <c r="R552" s="468"/>
      <c r="S552" s="468"/>
      <c r="T552" s="468"/>
      <c r="U552" s="468"/>
      <c r="V552" s="468"/>
      <c r="W552" s="468"/>
      <c r="X552" s="468"/>
      <c r="Y552" s="468"/>
      <c r="Z552" s="468"/>
      <c r="AA552" s="468"/>
      <c r="AB552" s="468"/>
      <c r="AC552" s="468"/>
      <c r="AD552" s="468"/>
      <c r="AE552" s="468"/>
      <c r="AF552" s="468"/>
      <c r="AG552" s="468"/>
      <c r="AH552" s="468"/>
      <c r="AI552" s="468"/>
      <c r="AJ552" s="468"/>
    </row>
    <row r="553" spans="1:36" ht="18" customHeight="1" x14ac:dyDescent="0.35">
      <c r="A553" s="468"/>
      <c r="B553" s="468"/>
      <c r="C553" s="468"/>
      <c r="D553" s="468"/>
      <c r="E553" s="468"/>
      <c r="F553" s="468"/>
      <c r="G553" s="468"/>
      <c r="H553" s="468"/>
      <c r="I553" s="468"/>
      <c r="J553" s="468"/>
      <c r="K553" s="468"/>
      <c r="L553" s="468"/>
      <c r="M553" s="468"/>
      <c r="N553" s="468"/>
      <c r="O553" s="468"/>
      <c r="P553" s="468"/>
      <c r="Q553" s="468"/>
      <c r="R553" s="468"/>
      <c r="S553" s="468"/>
      <c r="T553" s="468"/>
      <c r="U553" s="468"/>
      <c r="V553" s="468"/>
      <c r="W553" s="468"/>
      <c r="X553" s="468"/>
      <c r="Y553" s="468"/>
      <c r="Z553" s="468"/>
      <c r="AA553" s="468"/>
      <c r="AB553" s="468"/>
      <c r="AC553" s="468"/>
      <c r="AD553" s="468"/>
      <c r="AE553" s="468"/>
      <c r="AF553" s="468"/>
      <c r="AG553" s="468"/>
      <c r="AH553" s="468"/>
      <c r="AI553" s="468"/>
      <c r="AJ553" s="468"/>
    </row>
    <row r="554" spans="1:36" ht="18" customHeight="1" x14ac:dyDescent="0.35">
      <c r="A554" s="468"/>
      <c r="B554" s="468"/>
      <c r="C554" s="468"/>
      <c r="D554" s="468"/>
      <c r="E554" s="468"/>
      <c r="F554" s="468"/>
      <c r="G554" s="468"/>
      <c r="H554" s="468"/>
      <c r="I554" s="468"/>
      <c r="J554" s="468"/>
      <c r="K554" s="468"/>
      <c r="L554" s="468"/>
      <c r="M554" s="468"/>
      <c r="N554" s="468"/>
      <c r="O554" s="468"/>
      <c r="P554" s="468"/>
      <c r="Q554" s="468"/>
      <c r="R554" s="468"/>
      <c r="S554" s="468"/>
      <c r="T554" s="468"/>
      <c r="U554" s="468"/>
      <c r="V554" s="468"/>
      <c r="W554" s="468"/>
      <c r="X554" s="468"/>
      <c r="Y554" s="468"/>
      <c r="Z554" s="468"/>
      <c r="AA554" s="468"/>
      <c r="AB554" s="468"/>
      <c r="AC554" s="468"/>
      <c r="AD554" s="468"/>
      <c r="AE554" s="468"/>
      <c r="AF554" s="468"/>
      <c r="AG554" s="468"/>
      <c r="AH554" s="468"/>
      <c r="AI554" s="468"/>
      <c r="AJ554" s="468"/>
    </row>
    <row r="555" spans="1:36" ht="18" customHeight="1" x14ac:dyDescent="0.35">
      <c r="A555" s="468"/>
      <c r="B555" s="468"/>
      <c r="C555" s="468"/>
      <c r="D555" s="468"/>
      <c r="E555" s="468"/>
      <c r="F555" s="468"/>
      <c r="G555" s="468"/>
      <c r="H555" s="468"/>
      <c r="I555" s="468"/>
      <c r="J555" s="468"/>
      <c r="K555" s="468"/>
      <c r="L555" s="468"/>
      <c r="M555" s="468"/>
      <c r="N555" s="468"/>
      <c r="O555" s="468"/>
      <c r="P555" s="468"/>
      <c r="Q555" s="468"/>
      <c r="R555" s="468"/>
      <c r="S555" s="468"/>
      <c r="T555" s="468"/>
      <c r="U555" s="468"/>
      <c r="V555" s="468"/>
      <c r="W555" s="468"/>
      <c r="X555" s="468"/>
      <c r="Y555" s="468"/>
      <c r="Z555" s="468"/>
      <c r="AA555" s="468"/>
      <c r="AB555" s="468"/>
      <c r="AC555" s="468"/>
      <c r="AD555" s="468"/>
      <c r="AE555" s="468"/>
      <c r="AF555" s="468"/>
      <c r="AG555" s="468"/>
      <c r="AH555" s="468"/>
      <c r="AI555" s="468"/>
      <c r="AJ555" s="468"/>
    </row>
    <row r="556" spans="1:36" ht="18" customHeight="1" x14ac:dyDescent="0.35">
      <c r="A556" s="468"/>
      <c r="B556" s="468"/>
      <c r="C556" s="468"/>
      <c r="D556" s="468"/>
      <c r="E556" s="468"/>
      <c r="F556" s="468"/>
      <c r="G556" s="468"/>
      <c r="H556" s="468"/>
      <c r="I556" s="468"/>
      <c r="J556" s="468"/>
      <c r="K556" s="468"/>
      <c r="L556" s="468"/>
      <c r="M556" s="468"/>
      <c r="N556" s="468"/>
      <c r="O556" s="468"/>
      <c r="P556" s="468"/>
      <c r="Q556" s="468"/>
      <c r="R556" s="468"/>
      <c r="S556" s="468"/>
      <c r="T556" s="468"/>
      <c r="U556" s="468"/>
      <c r="V556" s="468"/>
      <c r="W556" s="468"/>
      <c r="X556" s="468"/>
      <c r="Y556" s="468"/>
      <c r="Z556" s="468"/>
      <c r="AA556" s="468"/>
      <c r="AB556" s="468"/>
      <c r="AC556" s="468"/>
      <c r="AD556" s="468"/>
      <c r="AE556" s="468"/>
      <c r="AF556" s="468"/>
      <c r="AG556" s="468"/>
      <c r="AH556" s="468"/>
      <c r="AI556" s="468"/>
      <c r="AJ556" s="468"/>
    </row>
    <row r="557" spans="1:36" ht="18" customHeight="1" x14ac:dyDescent="0.35">
      <c r="A557" s="468"/>
      <c r="B557" s="468"/>
      <c r="C557" s="468"/>
      <c r="D557" s="468"/>
      <c r="E557" s="468"/>
      <c r="F557" s="468"/>
      <c r="G557" s="468"/>
      <c r="H557" s="468"/>
      <c r="I557" s="468"/>
      <c r="J557" s="468"/>
      <c r="K557" s="468"/>
      <c r="L557" s="468"/>
      <c r="M557" s="468"/>
      <c r="N557" s="468"/>
      <c r="O557" s="468"/>
      <c r="P557" s="468"/>
      <c r="Q557" s="468"/>
      <c r="R557" s="468"/>
      <c r="S557" s="468"/>
      <c r="T557" s="468"/>
      <c r="U557" s="468"/>
      <c r="V557" s="468"/>
      <c r="W557" s="468"/>
      <c r="X557" s="468"/>
      <c r="Y557" s="468"/>
      <c r="Z557" s="468"/>
      <c r="AA557" s="468"/>
      <c r="AB557" s="468"/>
      <c r="AC557" s="468"/>
      <c r="AD557" s="468"/>
      <c r="AE557" s="468"/>
      <c r="AF557" s="468"/>
      <c r="AG557" s="468"/>
      <c r="AH557" s="468"/>
      <c r="AI557" s="468"/>
      <c r="AJ557" s="468"/>
    </row>
    <row r="558" spans="1:36" ht="18" customHeight="1" x14ac:dyDescent="0.35">
      <c r="A558" s="468"/>
      <c r="B558" s="468"/>
      <c r="C558" s="468"/>
      <c r="D558" s="468"/>
      <c r="E558" s="468"/>
      <c r="F558" s="468"/>
      <c r="G558" s="468"/>
      <c r="H558" s="468"/>
      <c r="I558" s="468"/>
      <c r="J558" s="468"/>
      <c r="K558" s="468"/>
      <c r="L558" s="468"/>
      <c r="M558" s="468"/>
      <c r="N558" s="468"/>
      <c r="O558" s="468"/>
      <c r="P558" s="468"/>
      <c r="Q558" s="468"/>
      <c r="R558" s="468"/>
      <c r="S558" s="468"/>
      <c r="T558" s="468"/>
      <c r="U558" s="468"/>
      <c r="V558" s="468"/>
      <c r="W558" s="468"/>
      <c r="X558" s="468"/>
      <c r="Y558" s="468"/>
      <c r="Z558" s="468"/>
      <c r="AA558" s="468"/>
      <c r="AB558" s="468"/>
      <c r="AC558" s="468"/>
      <c r="AD558" s="468"/>
      <c r="AE558" s="468"/>
      <c r="AF558" s="468"/>
      <c r="AG558" s="468"/>
      <c r="AH558" s="468"/>
      <c r="AI558" s="468"/>
      <c r="AJ558" s="468"/>
    </row>
    <row r="559" spans="1:36" ht="18" customHeight="1" x14ac:dyDescent="0.35">
      <c r="A559" s="468"/>
      <c r="B559" s="468"/>
      <c r="C559" s="468"/>
      <c r="D559" s="468"/>
      <c r="E559" s="468"/>
      <c r="F559" s="468"/>
      <c r="G559" s="468"/>
      <c r="H559" s="468"/>
      <c r="I559" s="468"/>
      <c r="J559" s="468"/>
      <c r="K559" s="468"/>
      <c r="L559" s="468"/>
      <c r="M559" s="468"/>
      <c r="N559" s="468"/>
      <c r="O559" s="468"/>
      <c r="P559" s="468"/>
      <c r="Q559" s="468"/>
      <c r="R559" s="468"/>
      <c r="S559" s="468"/>
      <c r="T559" s="468"/>
      <c r="U559" s="468"/>
      <c r="V559" s="468"/>
      <c r="W559" s="468"/>
      <c r="X559" s="468"/>
      <c r="Y559" s="468"/>
      <c r="Z559" s="468"/>
      <c r="AA559" s="468"/>
      <c r="AB559" s="468"/>
      <c r="AC559" s="468"/>
      <c r="AD559" s="468"/>
      <c r="AE559" s="468"/>
      <c r="AF559" s="468"/>
      <c r="AG559" s="468"/>
      <c r="AH559" s="468"/>
      <c r="AI559" s="468"/>
      <c r="AJ559" s="468"/>
    </row>
    <row r="560" spans="1:36" ht="18" customHeight="1" x14ac:dyDescent="0.35">
      <c r="A560" s="468"/>
      <c r="B560" s="468"/>
      <c r="C560" s="468"/>
      <c r="D560" s="468"/>
      <c r="E560" s="468"/>
      <c r="F560" s="468"/>
      <c r="G560" s="468"/>
      <c r="H560" s="468"/>
      <c r="I560" s="468"/>
      <c r="J560" s="468"/>
      <c r="K560" s="468"/>
      <c r="L560" s="468"/>
      <c r="M560" s="468"/>
      <c r="N560" s="468"/>
      <c r="O560" s="468"/>
      <c r="P560" s="468"/>
      <c r="Q560" s="468"/>
      <c r="R560" s="468"/>
      <c r="S560" s="468"/>
      <c r="T560" s="468"/>
      <c r="U560" s="468"/>
      <c r="V560" s="468"/>
      <c r="W560" s="468"/>
      <c r="X560" s="468"/>
      <c r="Y560" s="468"/>
      <c r="Z560" s="468"/>
      <c r="AA560" s="468"/>
      <c r="AB560" s="468"/>
      <c r="AC560" s="468"/>
      <c r="AD560" s="468"/>
      <c r="AE560" s="468"/>
      <c r="AF560" s="468"/>
      <c r="AG560" s="468"/>
      <c r="AH560" s="468"/>
      <c r="AI560" s="468"/>
      <c r="AJ560" s="468"/>
    </row>
    <row r="561" spans="1:36" ht="18" customHeight="1" x14ac:dyDescent="0.35">
      <c r="A561" s="468"/>
      <c r="B561" s="468"/>
      <c r="C561" s="468"/>
      <c r="D561" s="468"/>
      <c r="E561" s="468"/>
      <c r="F561" s="468"/>
      <c r="G561" s="468"/>
      <c r="H561" s="468"/>
      <c r="I561" s="468"/>
      <c r="J561" s="468"/>
      <c r="K561" s="468"/>
      <c r="L561" s="468"/>
      <c r="M561" s="468"/>
      <c r="N561" s="468"/>
      <c r="O561" s="468"/>
      <c r="P561" s="468"/>
      <c r="Q561" s="468"/>
      <c r="R561" s="468"/>
      <c r="S561" s="468"/>
      <c r="T561" s="468"/>
      <c r="U561" s="468"/>
      <c r="V561" s="468"/>
      <c r="W561" s="468"/>
      <c r="X561" s="468"/>
      <c r="Y561" s="468"/>
      <c r="Z561" s="468"/>
      <c r="AA561" s="468"/>
      <c r="AB561" s="468"/>
      <c r="AC561" s="468"/>
      <c r="AD561" s="468"/>
      <c r="AE561" s="468"/>
      <c r="AF561" s="468"/>
      <c r="AG561" s="468"/>
      <c r="AH561" s="468"/>
      <c r="AI561" s="468"/>
      <c r="AJ561" s="468"/>
    </row>
    <row r="562" spans="1:36" ht="18" customHeight="1" x14ac:dyDescent="0.35">
      <c r="A562" s="468"/>
      <c r="B562" s="468"/>
      <c r="C562" s="468"/>
      <c r="D562" s="468"/>
      <c r="E562" s="468"/>
      <c r="F562" s="468"/>
      <c r="G562" s="468"/>
      <c r="H562" s="468"/>
      <c r="I562" s="468"/>
      <c r="J562" s="468"/>
      <c r="K562" s="468"/>
      <c r="L562" s="468"/>
      <c r="M562" s="468"/>
      <c r="N562" s="468"/>
      <c r="O562" s="468"/>
      <c r="P562" s="468"/>
      <c r="Q562" s="468"/>
      <c r="R562" s="468"/>
      <c r="S562" s="468"/>
      <c r="T562" s="468"/>
      <c r="U562" s="468"/>
      <c r="V562" s="468"/>
      <c r="W562" s="468"/>
      <c r="X562" s="468"/>
      <c r="Y562" s="468"/>
      <c r="Z562" s="468"/>
      <c r="AA562" s="468"/>
      <c r="AB562" s="468"/>
      <c r="AC562" s="468"/>
      <c r="AD562" s="468"/>
      <c r="AE562" s="468"/>
      <c r="AF562" s="468"/>
      <c r="AG562" s="468"/>
      <c r="AH562" s="468"/>
      <c r="AI562" s="468"/>
      <c r="AJ562" s="468"/>
    </row>
    <row r="563" spans="1:36" ht="18" customHeight="1" x14ac:dyDescent="0.35">
      <c r="A563" s="468"/>
      <c r="B563" s="468"/>
      <c r="C563" s="468"/>
      <c r="D563" s="468"/>
      <c r="E563" s="468"/>
      <c r="F563" s="468"/>
      <c r="G563" s="468"/>
      <c r="H563" s="468"/>
      <c r="I563" s="468"/>
      <c r="J563" s="468"/>
      <c r="K563" s="468"/>
      <c r="L563" s="468"/>
      <c r="M563" s="468"/>
      <c r="N563" s="468"/>
      <c r="O563" s="468"/>
      <c r="P563" s="468"/>
      <c r="Q563" s="468"/>
      <c r="R563" s="468"/>
      <c r="S563" s="468"/>
      <c r="T563" s="468"/>
      <c r="U563" s="468"/>
      <c r="V563" s="468"/>
      <c r="W563" s="468"/>
      <c r="X563" s="468"/>
      <c r="Y563" s="468"/>
      <c r="Z563" s="468"/>
      <c r="AA563" s="468"/>
      <c r="AB563" s="468"/>
      <c r="AC563" s="468"/>
      <c r="AD563" s="468"/>
      <c r="AE563" s="468"/>
      <c r="AF563" s="468"/>
      <c r="AG563" s="468"/>
      <c r="AH563" s="468"/>
      <c r="AI563" s="468"/>
      <c r="AJ563" s="468"/>
    </row>
    <row r="564" spans="1:36" ht="18" customHeight="1" x14ac:dyDescent="0.35">
      <c r="A564" s="468"/>
      <c r="B564" s="468"/>
      <c r="C564" s="468"/>
      <c r="D564" s="468"/>
      <c r="E564" s="468"/>
      <c r="F564" s="468"/>
      <c r="G564" s="468"/>
      <c r="H564" s="468"/>
      <c r="I564" s="468"/>
      <c r="J564" s="468"/>
      <c r="K564" s="468"/>
      <c r="L564" s="468"/>
      <c r="M564" s="468"/>
      <c r="N564" s="468"/>
      <c r="O564" s="468"/>
      <c r="P564" s="468"/>
      <c r="Q564" s="468"/>
      <c r="R564" s="468"/>
      <c r="S564" s="468"/>
      <c r="T564" s="468"/>
      <c r="U564" s="468"/>
      <c r="V564" s="468"/>
      <c r="W564" s="468"/>
      <c r="X564" s="468"/>
      <c r="Y564" s="468"/>
      <c r="Z564" s="468"/>
      <c r="AA564" s="468"/>
      <c r="AB564" s="468"/>
      <c r="AC564" s="468"/>
      <c r="AD564" s="468"/>
      <c r="AE564" s="468"/>
      <c r="AF564" s="468"/>
      <c r="AG564" s="468"/>
      <c r="AH564" s="468"/>
      <c r="AI564" s="468"/>
      <c r="AJ564" s="468"/>
    </row>
    <row r="565" spans="1:36" ht="18" customHeight="1" x14ac:dyDescent="0.35">
      <c r="A565" s="468"/>
      <c r="B565" s="468"/>
      <c r="C565" s="468"/>
      <c r="D565" s="468"/>
      <c r="E565" s="468"/>
      <c r="F565" s="468"/>
      <c r="G565" s="468"/>
      <c r="H565" s="468"/>
      <c r="I565" s="468"/>
      <c r="J565" s="468"/>
      <c r="K565" s="468"/>
      <c r="L565" s="468"/>
      <c r="M565" s="468"/>
      <c r="N565" s="468"/>
      <c r="O565" s="468"/>
      <c r="P565" s="468"/>
      <c r="Q565" s="468"/>
      <c r="R565" s="468"/>
      <c r="S565" s="468"/>
      <c r="T565" s="468"/>
      <c r="U565" s="468"/>
      <c r="V565" s="468"/>
      <c r="W565" s="468"/>
      <c r="X565" s="468"/>
      <c r="Y565" s="468"/>
      <c r="Z565" s="468"/>
      <c r="AA565" s="468"/>
      <c r="AB565" s="468"/>
      <c r="AC565" s="468"/>
      <c r="AD565" s="468"/>
      <c r="AE565" s="468"/>
      <c r="AF565" s="468"/>
      <c r="AG565" s="468"/>
      <c r="AH565" s="468"/>
      <c r="AI565" s="468"/>
      <c r="AJ565" s="468"/>
    </row>
    <row r="566" spans="1:36" ht="18" customHeight="1" x14ac:dyDescent="0.35">
      <c r="A566" s="468"/>
      <c r="B566" s="468"/>
      <c r="C566" s="468"/>
      <c r="D566" s="468"/>
      <c r="E566" s="468"/>
      <c r="F566" s="468"/>
      <c r="G566" s="468"/>
      <c r="H566" s="468"/>
      <c r="I566" s="468"/>
      <c r="J566" s="468"/>
      <c r="K566" s="468"/>
      <c r="L566" s="468"/>
      <c r="M566" s="468"/>
      <c r="N566" s="468"/>
      <c r="O566" s="468"/>
      <c r="P566" s="468"/>
      <c r="Q566" s="468"/>
      <c r="R566" s="468"/>
      <c r="S566" s="468"/>
      <c r="T566" s="468"/>
      <c r="U566" s="468"/>
      <c r="V566" s="468"/>
      <c r="W566" s="468"/>
      <c r="X566" s="468"/>
      <c r="Y566" s="468"/>
      <c r="Z566" s="468"/>
      <c r="AA566" s="468"/>
      <c r="AB566" s="468"/>
      <c r="AC566" s="468"/>
      <c r="AD566" s="468"/>
      <c r="AE566" s="468"/>
      <c r="AF566" s="468"/>
      <c r="AG566" s="468"/>
      <c r="AH566" s="468"/>
      <c r="AI566" s="468"/>
      <c r="AJ566" s="468"/>
    </row>
    <row r="567" spans="1:36" ht="18" customHeight="1" x14ac:dyDescent="0.35">
      <c r="A567" s="468"/>
      <c r="B567" s="468"/>
      <c r="C567" s="468"/>
      <c r="D567" s="468"/>
      <c r="E567" s="468"/>
      <c r="F567" s="468"/>
      <c r="G567" s="468"/>
      <c r="H567" s="468"/>
      <c r="I567" s="468"/>
      <c r="J567" s="468"/>
      <c r="K567" s="468"/>
      <c r="L567" s="468"/>
      <c r="M567" s="468"/>
      <c r="N567" s="468"/>
      <c r="O567" s="468"/>
      <c r="P567" s="468"/>
      <c r="Q567" s="468"/>
      <c r="R567" s="468"/>
      <c r="S567" s="468"/>
      <c r="T567" s="468"/>
      <c r="U567" s="468"/>
      <c r="V567" s="468"/>
      <c r="W567" s="468"/>
      <c r="X567" s="468"/>
      <c r="Y567" s="468"/>
      <c r="Z567" s="468"/>
      <c r="AA567" s="468"/>
      <c r="AB567" s="468"/>
      <c r="AC567" s="468"/>
      <c r="AD567" s="468"/>
      <c r="AE567" s="468"/>
      <c r="AF567" s="468"/>
      <c r="AG567" s="468"/>
      <c r="AH567" s="468"/>
      <c r="AI567" s="468"/>
      <c r="AJ567" s="468"/>
    </row>
    <row r="568" spans="1:36" ht="18" customHeight="1" x14ac:dyDescent="0.35">
      <c r="A568" s="468"/>
      <c r="B568" s="468"/>
      <c r="C568" s="468"/>
      <c r="D568" s="468"/>
      <c r="E568" s="468"/>
      <c r="F568" s="468"/>
      <c r="G568" s="468"/>
      <c r="H568" s="468"/>
      <c r="I568" s="468"/>
      <c r="J568" s="468"/>
      <c r="K568" s="468"/>
      <c r="L568" s="468"/>
      <c r="M568" s="468"/>
      <c r="N568" s="468"/>
      <c r="O568" s="468"/>
      <c r="P568" s="468"/>
      <c r="Q568" s="468"/>
      <c r="R568" s="468"/>
      <c r="S568" s="468"/>
      <c r="T568" s="468"/>
      <c r="U568" s="468"/>
      <c r="V568" s="468"/>
      <c r="W568" s="468"/>
      <c r="X568" s="468"/>
      <c r="Y568" s="468"/>
      <c r="Z568" s="468"/>
      <c r="AA568" s="468"/>
      <c r="AB568" s="468"/>
      <c r="AC568" s="468"/>
      <c r="AD568" s="468"/>
      <c r="AE568" s="468"/>
      <c r="AF568" s="468"/>
      <c r="AG568" s="468"/>
      <c r="AH568" s="468"/>
      <c r="AI568" s="468"/>
      <c r="AJ568" s="468"/>
    </row>
    <row r="569" spans="1:36" ht="18" customHeight="1" x14ac:dyDescent="0.35">
      <c r="A569" s="468"/>
      <c r="B569" s="468"/>
      <c r="C569" s="468"/>
      <c r="D569" s="468"/>
      <c r="E569" s="468"/>
      <c r="F569" s="468"/>
      <c r="G569" s="468"/>
      <c r="H569" s="468"/>
      <c r="I569" s="468"/>
      <c r="J569" s="468"/>
      <c r="K569" s="468"/>
      <c r="L569" s="468"/>
      <c r="M569" s="468"/>
      <c r="N569" s="468"/>
      <c r="O569" s="468"/>
      <c r="P569" s="468"/>
      <c r="Q569" s="468"/>
      <c r="R569" s="468"/>
      <c r="S569" s="468"/>
      <c r="T569" s="468"/>
      <c r="U569" s="468"/>
      <c r="V569" s="468"/>
      <c r="W569" s="468"/>
      <c r="X569" s="468"/>
      <c r="Y569" s="468"/>
      <c r="Z569" s="468"/>
      <c r="AA569" s="468"/>
      <c r="AB569" s="468"/>
      <c r="AC569" s="468"/>
      <c r="AD569" s="468"/>
      <c r="AE569" s="468"/>
      <c r="AF569" s="468"/>
      <c r="AG569" s="468"/>
      <c r="AH569" s="468"/>
      <c r="AI569" s="468"/>
      <c r="AJ569" s="468"/>
    </row>
    <row r="570" spans="1:36" ht="18" customHeight="1" x14ac:dyDescent="0.35">
      <c r="A570" s="468"/>
      <c r="B570" s="468"/>
      <c r="C570" s="468"/>
      <c r="D570" s="468"/>
      <c r="E570" s="468"/>
      <c r="F570" s="468"/>
      <c r="G570" s="468"/>
      <c r="H570" s="468"/>
      <c r="I570" s="468"/>
      <c r="J570" s="468"/>
      <c r="K570" s="468"/>
      <c r="L570" s="468"/>
      <c r="M570" s="468"/>
      <c r="N570" s="468"/>
      <c r="O570" s="468"/>
      <c r="P570" s="468"/>
      <c r="Q570" s="468"/>
      <c r="R570" s="468"/>
      <c r="S570" s="468"/>
      <c r="T570" s="468"/>
      <c r="U570" s="468"/>
      <c r="V570" s="468"/>
      <c r="W570" s="468"/>
      <c r="X570" s="468"/>
      <c r="Y570" s="468"/>
      <c r="Z570" s="468"/>
      <c r="AA570" s="468"/>
      <c r="AB570" s="468"/>
      <c r="AC570" s="468"/>
      <c r="AD570" s="468"/>
      <c r="AE570" s="468"/>
      <c r="AF570" s="468"/>
      <c r="AG570" s="468"/>
      <c r="AH570" s="468"/>
      <c r="AI570" s="468"/>
      <c r="AJ570" s="468"/>
    </row>
    <row r="571" spans="1:36" ht="18" customHeight="1" x14ac:dyDescent="0.35">
      <c r="A571" s="468"/>
      <c r="B571" s="468"/>
      <c r="C571" s="468"/>
      <c r="D571" s="468"/>
      <c r="E571" s="468"/>
      <c r="F571" s="468"/>
      <c r="G571" s="468"/>
      <c r="H571" s="468"/>
      <c r="I571" s="468"/>
      <c r="J571" s="468"/>
      <c r="K571" s="468"/>
      <c r="L571" s="468"/>
      <c r="M571" s="468"/>
      <c r="N571" s="468"/>
      <c r="O571" s="468"/>
      <c r="P571" s="468"/>
      <c r="Q571" s="468"/>
      <c r="R571" s="468"/>
      <c r="S571" s="468"/>
      <c r="T571" s="468"/>
      <c r="U571" s="468"/>
      <c r="V571" s="468"/>
      <c r="W571" s="468"/>
      <c r="X571" s="468"/>
      <c r="Y571" s="468"/>
      <c r="Z571" s="468"/>
      <c r="AA571" s="468"/>
      <c r="AB571" s="468"/>
      <c r="AC571" s="468"/>
      <c r="AD571" s="468"/>
      <c r="AE571" s="468"/>
      <c r="AF571" s="468"/>
      <c r="AG571" s="468"/>
      <c r="AH571" s="468"/>
      <c r="AI571" s="468"/>
      <c r="AJ571" s="468"/>
    </row>
    <row r="572" spans="1:36" ht="18" customHeight="1" x14ac:dyDescent="0.35">
      <c r="A572" s="468"/>
      <c r="B572" s="468"/>
      <c r="C572" s="468"/>
      <c r="D572" s="468"/>
      <c r="E572" s="468"/>
      <c r="F572" s="468"/>
      <c r="G572" s="468"/>
      <c r="H572" s="468"/>
      <c r="I572" s="468"/>
      <c r="J572" s="468"/>
      <c r="K572" s="468"/>
      <c r="L572" s="468"/>
      <c r="M572" s="468"/>
      <c r="N572" s="468"/>
      <c r="O572" s="468"/>
      <c r="P572" s="468"/>
      <c r="Q572" s="468"/>
      <c r="R572" s="468"/>
      <c r="S572" s="468"/>
      <c r="T572" s="468"/>
      <c r="U572" s="468"/>
      <c r="V572" s="468"/>
      <c r="W572" s="468"/>
      <c r="X572" s="468"/>
      <c r="Y572" s="468"/>
      <c r="Z572" s="468"/>
      <c r="AA572" s="468"/>
      <c r="AB572" s="468"/>
      <c r="AC572" s="468"/>
      <c r="AD572" s="468"/>
      <c r="AE572" s="468"/>
      <c r="AF572" s="468"/>
      <c r="AG572" s="468"/>
      <c r="AH572" s="468"/>
      <c r="AI572" s="468"/>
      <c r="AJ572" s="468"/>
    </row>
    <row r="573" spans="1:36" ht="18" customHeight="1" x14ac:dyDescent="0.35">
      <c r="A573" s="468"/>
      <c r="B573" s="468"/>
      <c r="C573" s="468"/>
      <c r="D573" s="468"/>
      <c r="E573" s="468"/>
      <c r="F573" s="468"/>
      <c r="G573" s="468"/>
      <c r="H573" s="468"/>
      <c r="I573" s="468"/>
      <c r="J573" s="468"/>
      <c r="K573" s="468"/>
      <c r="L573" s="468"/>
      <c r="M573" s="468"/>
      <c r="N573" s="468"/>
      <c r="O573" s="468"/>
      <c r="P573" s="468"/>
      <c r="Q573" s="468"/>
      <c r="R573" s="468"/>
      <c r="S573" s="468"/>
      <c r="T573" s="468"/>
      <c r="U573" s="468"/>
      <c r="V573" s="468"/>
      <c r="W573" s="468"/>
      <c r="X573" s="468"/>
      <c r="Y573" s="468"/>
      <c r="Z573" s="468"/>
      <c r="AA573" s="468"/>
      <c r="AB573" s="468"/>
      <c r="AC573" s="468"/>
      <c r="AD573" s="468"/>
      <c r="AE573" s="468"/>
      <c r="AF573" s="468"/>
      <c r="AG573" s="468"/>
      <c r="AH573" s="468"/>
      <c r="AI573" s="468"/>
      <c r="AJ573" s="468"/>
    </row>
    <row r="574" spans="1:36" ht="18" customHeight="1" x14ac:dyDescent="0.35">
      <c r="A574" s="468"/>
      <c r="B574" s="468"/>
      <c r="C574" s="468"/>
      <c r="D574" s="468"/>
      <c r="E574" s="468"/>
      <c r="F574" s="468"/>
      <c r="G574" s="468"/>
      <c r="H574" s="468"/>
      <c r="I574" s="468"/>
      <c r="J574" s="468"/>
      <c r="K574" s="468"/>
      <c r="L574" s="468"/>
      <c r="M574" s="468"/>
      <c r="N574" s="468"/>
      <c r="O574" s="468"/>
      <c r="P574" s="468"/>
      <c r="Q574" s="468"/>
      <c r="R574" s="468"/>
      <c r="S574" s="468"/>
      <c r="T574" s="468"/>
      <c r="U574" s="468"/>
      <c r="V574" s="468"/>
      <c r="W574" s="468"/>
      <c r="X574" s="468"/>
      <c r="Y574" s="468"/>
      <c r="Z574" s="468"/>
      <c r="AA574" s="468"/>
      <c r="AB574" s="468"/>
      <c r="AC574" s="468"/>
      <c r="AD574" s="468"/>
      <c r="AE574" s="468"/>
      <c r="AF574" s="468"/>
      <c r="AG574" s="468"/>
      <c r="AH574" s="468"/>
      <c r="AI574" s="468"/>
      <c r="AJ574" s="468"/>
    </row>
    <row r="575" spans="1:36" ht="18" customHeight="1" x14ac:dyDescent="0.35">
      <c r="A575" s="468"/>
      <c r="B575" s="468"/>
      <c r="C575" s="468"/>
      <c r="D575" s="468"/>
      <c r="E575" s="468"/>
      <c r="F575" s="468"/>
      <c r="G575" s="468"/>
      <c r="H575" s="468"/>
      <c r="I575" s="468"/>
      <c r="J575" s="468"/>
      <c r="K575" s="468"/>
      <c r="L575" s="468"/>
      <c r="M575" s="468"/>
      <c r="N575" s="468"/>
      <c r="O575" s="468"/>
      <c r="P575" s="468"/>
      <c r="Q575" s="468"/>
      <c r="R575" s="468"/>
      <c r="S575" s="468"/>
      <c r="T575" s="468"/>
      <c r="U575" s="468"/>
      <c r="V575" s="468"/>
      <c r="W575" s="468"/>
      <c r="X575" s="468"/>
      <c r="Y575" s="468"/>
      <c r="Z575" s="468"/>
      <c r="AA575" s="468"/>
      <c r="AB575" s="468"/>
      <c r="AC575" s="468"/>
      <c r="AD575" s="468"/>
      <c r="AE575" s="468"/>
      <c r="AF575" s="468"/>
      <c r="AG575" s="468"/>
      <c r="AH575" s="468"/>
      <c r="AI575" s="468"/>
      <c r="AJ575" s="468"/>
    </row>
    <row r="576" spans="1:36" ht="18" customHeight="1" x14ac:dyDescent="0.35">
      <c r="A576" s="468"/>
      <c r="B576" s="468"/>
      <c r="C576" s="468"/>
      <c r="D576" s="468"/>
      <c r="E576" s="468"/>
      <c r="F576" s="468"/>
      <c r="G576" s="468"/>
      <c r="H576" s="468"/>
      <c r="I576" s="468"/>
      <c r="J576" s="468"/>
      <c r="K576" s="468"/>
      <c r="L576" s="468"/>
      <c r="M576" s="468"/>
      <c r="N576" s="468"/>
      <c r="O576" s="468"/>
      <c r="P576" s="468"/>
      <c r="Q576" s="468"/>
      <c r="R576" s="468"/>
      <c r="S576" s="468"/>
      <c r="T576" s="468"/>
      <c r="U576" s="468"/>
      <c r="V576" s="468"/>
      <c r="W576" s="468"/>
      <c r="X576" s="468"/>
      <c r="Y576" s="468"/>
      <c r="Z576" s="468"/>
      <c r="AA576" s="468"/>
      <c r="AB576" s="468"/>
      <c r="AC576" s="468"/>
      <c r="AD576" s="468"/>
      <c r="AE576" s="468"/>
      <c r="AF576" s="468"/>
      <c r="AG576" s="468"/>
      <c r="AH576" s="468"/>
      <c r="AI576" s="468"/>
      <c r="AJ576" s="468"/>
    </row>
    <row r="577" spans="1:36" ht="18" customHeight="1" x14ac:dyDescent="0.35">
      <c r="A577" s="468"/>
      <c r="B577" s="468"/>
      <c r="C577" s="468"/>
      <c r="D577" s="468"/>
      <c r="E577" s="468"/>
      <c r="F577" s="468"/>
      <c r="G577" s="468"/>
      <c r="H577" s="468"/>
      <c r="I577" s="468"/>
      <c r="J577" s="468"/>
      <c r="K577" s="468"/>
      <c r="L577" s="468"/>
      <c r="M577" s="468"/>
      <c r="N577" s="468"/>
      <c r="O577" s="468"/>
      <c r="P577" s="468"/>
      <c r="Q577" s="468"/>
      <c r="R577" s="468"/>
      <c r="S577" s="468"/>
      <c r="T577" s="468"/>
      <c r="U577" s="468"/>
      <c r="V577" s="468"/>
      <c r="W577" s="468"/>
      <c r="X577" s="468"/>
      <c r="Y577" s="468"/>
      <c r="Z577" s="468"/>
      <c r="AA577" s="468"/>
      <c r="AB577" s="468"/>
      <c r="AC577" s="468"/>
      <c r="AD577" s="468"/>
      <c r="AE577" s="468"/>
      <c r="AF577" s="468"/>
      <c r="AG577" s="468"/>
      <c r="AH577" s="468"/>
      <c r="AI577" s="468"/>
      <c r="AJ577" s="468"/>
    </row>
    <row r="578" spans="1:36" ht="18" customHeight="1" x14ac:dyDescent="0.35">
      <c r="A578" s="468"/>
      <c r="B578" s="468"/>
      <c r="C578" s="468"/>
      <c r="D578" s="468"/>
      <c r="E578" s="468"/>
      <c r="F578" s="468"/>
      <c r="G578" s="468"/>
      <c r="H578" s="468"/>
      <c r="I578" s="468"/>
      <c r="J578" s="468"/>
      <c r="K578" s="468"/>
      <c r="L578" s="468"/>
      <c r="M578" s="468"/>
      <c r="N578" s="468"/>
      <c r="O578" s="468"/>
      <c r="P578" s="468"/>
      <c r="Q578" s="468"/>
      <c r="R578" s="468"/>
      <c r="S578" s="468"/>
      <c r="T578" s="468"/>
      <c r="U578" s="468"/>
      <c r="V578" s="468"/>
      <c r="W578" s="468"/>
      <c r="X578" s="468"/>
      <c r="Y578" s="468"/>
      <c r="Z578" s="468"/>
      <c r="AA578" s="468"/>
      <c r="AB578" s="468"/>
      <c r="AC578" s="468"/>
      <c r="AD578" s="468"/>
      <c r="AE578" s="468"/>
      <c r="AF578" s="468"/>
      <c r="AG578" s="468"/>
      <c r="AH578" s="468"/>
      <c r="AI578" s="468"/>
      <c r="AJ578" s="468"/>
    </row>
    <row r="579" spans="1:36" ht="18" customHeight="1" x14ac:dyDescent="0.35">
      <c r="A579" s="468"/>
      <c r="B579" s="468"/>
      <c r="C579" s="468"/>
      <c r="D579" s="468"/>
      <c r="E579" s="468"/>
      <c r="F579" s="468"/>
      <c r="G579" s="468"/>
      <c r="H579" s="468"/>
      <c r="I579" s="468"/>
      <c r="J579" s="468"/>
      <c r="K579" s="468"/>
      <c r="L579" s="468"/>
      <c r="M579" s="468"/>
      <c r="N579" s="468"/>
      <c r="O579" s="468"/>
      <c r="P579" s="468"/>
      <c r="Q579" s="468"/>
      <c r="R579" s="468"/>
      <c r="S579" s="468"/>
      <c r="T579" s="468"/>
      <c r="U579" s="468"/>
      <c r="V579" s="468"/>
      <c r="W579" s="468"/>
      <c r="X579" s="468"/>
      <c r="Y579" s="468"/>
      <c r="Z579" s="468"/>
      <c r="AA579" s="468"/>
      <c r="AB579" s="468"/>
      <c r="AC579" s="468"/>
      <c r="AD579" s="468"/>
      <c r="AE579" s="468"/>
      <c r="AF579" s="468"/>
      <c r="AG579" s="468"/>
      <c r="AH579" s="468"/>
      <c r="AI579" s="468"/>
      <c r="AJ579" s="468"/>
    </row>
    <row r="580" spans="1:36" ht="18" customHeight="1" x14ac:dyDescent="0.35">
      <c r="A580" s="468"/>
      <c r="B580" s="468"/>
      <c r="C580" s="468"/>
      <c r="D580" s="468"/>
      <c r="E580" s="468"/>
      <c r="F580" s="468"/>
      <c r="G580" s="468"/>
      <c r="H580" s="468"/>
      <c r="I580" s="468"/>
      <c r="J580" s="468"/>
      <c r="K580" s="468"/>
      <c r="L580" s="468"/>
      <c r="M580" s="468"/>
      <c r="N580" s="468"/>
      <c r="O580" s="468"/>
      <c r="P580" s="468"/>
      <c r="Q580" s="468"/>
      <c r="R580" s="468"/>
      <c r="S580" s="468"/>
      <c r="T580" s="468"/>
      <c r="U580" s="468"/>
      <c r="V580" s="468"/>
      <c r="W580" s="468"/>
      <c r="X580" s="468"/>
      <c r="Y580" s="468"/>
      <c r="Z580" s="468"/>
      <c r="AA580" s="468"/>
      <c r="AB580" s="468"/>
      <c r="AC580" s="468"/>
      <c r="AD580" s="468"/>
      <c r="AE580" s="468"/>
      <c r="AF580" s="468"/>
      <c r="AG580" s="468"/>
      <c r="AH580" s="468"/>
      <c r="AI580" s="468"/>
      <c r="AJ580" s="468"/>
    </row>
    <row r="581" spans="1:36" ht="18" customHeight="1" x14ac:dyDescent="0.35">
      <c r="A581" s="468"/>
      <c r="B581" s="468"/>
      <c r="C581" s="468"/>
      <c r="D581" s="468"/>
      <c r="E581" s="468"/>
      <c r="F581" s="468"/>
      <c r="G581" s="468"/>
      <c r="H581" s="468"/>
      <c r="I581" s="468"/>
      <c r="J581" s="468"/>
      <c r="K581" s="468"/>
      <c r="L581" s="468"/>
      <c r="M581" s="468"/>
      <c r="N581" s="468"/>
      <c r="O581" s="468"/>
      <c r="P581" s="468"/>
      <c r="Q581" s="468"/>
      <c r="R581" s="468"/>
      <c r="S581" s="468"/>
      <c r="T581" s="468"/>
      <c r="U581" s="468"/>
      <c r="V581" s="468"/>
      <c r="W581" s="468"/>
      <c r="X581" s="468"/>
      <c r="Y581" s="468"/>
      <c r="Z581" s="468"/>
      <c r="AA581" s="468"/>
      <c r="AB581" s="468"/>
      <c r="AC581" s="468"/>
      <c r="AD581" s="468"/>
      <c r="AE581" s="468"/>
      <c r="AF581" s="468"/>
      <c r="AG581" s="468"/>
      <c r="AH581" s="468"/>
      <c r="AI581" s="468"/>
      <c r="AJ581" s="468"/>
    </row>
    <row r="582" spans="1:36" ht="18" customHeight="1" x14ac:dyDescent="0.35">
      <c r="A582" s="468"/>
      <c r="B582" s="468"/>
      <c r="C582" s="468"/>
      <c r="D582" s="468"/>
      <c r="E582" s="468"/>
      <c r="F582" s="468"/>
      <c r="G582" s="468"/>
      <c r="H582" s="468"/>
      <c r="I582" s="468"/>
      <c r="J582" s="468"/>
      <c r="K582" s="468"/>
      <c r="L582" s="468"/>
      <c r="M582" s="468"/>
      <c r="N582" s="468"/>
      <c r="O582" s="468"/>
      <c r="P582" s="468"/>
      <c r="Q582" s="468"/>
      <c r="R582" s="468"/>
      <c r="S582" s="468"/>
      <c r="T582" s="468"/>
      <c r="U582" s="468"/>
      <c r="V582" s="468"/>
      <c r="W582" s="468"/>
      <c r="X582" s="468"/>
      <c r="Y582" s="468"/>
      <c r="Z582" s="468"/>
      <c r="AA582" s="468"/>
      <c r="AB582" s="468"/>
      <c r="AC582" s="468"/>
      <c r="AD582" s="468"/>
      <c r="AE582" s="468"/>
      <c r="AF582" s="468"/>
      <c r="AG582" s="468"/>
      <c r="AH582" s="468"/>
      <c r="AI582" s="468"/>
      <c r="AJ582" s="468"/>
    </row>
    <row r="583" spans="1:36" ht="18" customHeight="1" x14ac:dyDescent="0.35">
      <c r="A583" s="468"/>
      <c r="B583" s="468"/>
      <c r="C583" s="468"/>
      <c r="D583" s="468"/>
      <c r="E583" s="468"/>
      <c r="F583" s="468"/>
      <c r="G583" s="468"/>
      <c r="H583" s="468"/>
      <c r="I583" s="468"/>
      <c r="J583" s="468"/>
      <c r="K583" s="468"/>
      <c r="L583" s="468"/>
      <c r="M583" s="468"/>
      <c r="N583" s="468"/>
      <c r="O583" s="468"/>
      <c r="P583" s="468"/>
      <c r="Q583" s="468"/>
      <c r="R583" s="468"/>
      <c r="S583" s="468"/>
      <c r="T583" s="468"/>
      <c r="U583" s="468"/>
      <c r="V583" s="468"/>
      <c r="W583" s="468"/>
      <c r="X583" s="468"/>
      <c r="Y583" s="468"/>
      <c r="Z583" s="468"/>
      <c r="AA583" s="468"/>
      <c r="AB583" s="468"/>
      <c r="AC583" s="468"/>
      <c r="AD583" s="468"/>
      <c r="AE583" s="468"/>
      <c r="AF583" s="468"/>
      <c r="AG583" s="468"/>
      <c r="AH583" s="468"/>
      <c r="AI583" s="468"/>
      <c r="AJ583" s="468"/>
    </row>
    <row r="584" spans="1:36" ht="18" customHeight="1" x14ac:dyDescent="0.35">
      <c r="A584" s="468"/>
      <c r="B584" s="468"/>
      <c r="C584" s="468"/>
      <c r="D584" s="468"/>
      <c r="E584" s="468"/>
      <c r="F584" s="468"/>
      <c r="G584" s="468"/>
      <c r="H584" s="468"/>
      <c r="I584" s="468"/>
      <c r="J584" s="468"/>
      <c r="K584" s="468"/>
      <c r="L584" s="468"/>
      <c r="M584" s="468"/>
      <c r="N584" s="468"/>
      <c r="O584" s="468"/>
      <c r="P584" s="468"/>
      <c r="Q584" s="468"/>
      <c r="R584" s="468"/>
      <c r="S584" s="468"/>
      <c r="T584" s="468"/>
      <c r="U584" s="468"/>
      <c r="V584" s="468"/>
      <c r="W584" s="468"/>
      <c r="X584" s="468"/>
      <c r="Y584" s="468"/>
      <c r="Z584" s="468"/>
      <c r="AA584" s="468"/>
      <c r="AB584" s="468"/>
      <c r="AC584" s="468"/>
      <c r="AD584" s="468"/>
      <c r="AE584" s="468"/>
      <c r="AF584" s="468"/>
      <c r="AG584" s="468"/>
      <c r="AH584" s="468"/>
      <c r="AI584" s="468"/>
      <c r="AJ584" s="468"/>
    </row>
    <row r="585" spans="1:36" ht="18" customHeight="1" x14ac:dyDescent="0.35">
      <c r="A585" s="468"/>
      <c r="B585" s="468"/>
      <c r="C585" s="468"/>
      <c r="D585" s="468"/>
      <c r="E585" s="468"/>
      <c r="F585" s="468"/>
      <c r="G585" s="468"/>
      <c r="H585" s="468"/>
      <c r="I585" s="468"/>
      <c r="J585" s="468"/>
      <c r="K585" s="468"/>
      <c r="L585" s="468"/>
      <c r="M585" s="468"/>
      <c r="N585" s="468"/>
      <c r="O585" s="468"/>
      <c r="P585" s="468"/>
      <c r="Q585" s="468"/>
      <c r="R585" s="468"/>
      <c r="S585" s="468"/>
      <c r="T585" s="468"/>
      <c r="U585" s="468"/>
      <c r="V585" s="468"/>
      <c r="W585" s="468"/>
      <c r="X585" s="468"/>
      <c r="Y585" s="468"/>
      <c r="Z585" s="468"/>
      <c r="AA585" s="468"/>
      <c r="AB585" s="468"/>
      <c r="AC585" s="468"/>
      <c r="AD585" s="468"/>
      <c r="AE585" s="468"/>
      <c r="AF585" s="468"/>
      <c r="AG585" s="468"/>
      <c r="AH585" s="468"/>
      <c r="AI585" s="468"/>
      <c r="AJ585" s="468"/>
    </row>
    <row r="586" spans="1:36" ht="18" customHeight="1" x14ac:dyDescent="0.35">
      <c r="A586" s="468"/>
      <c r="B586" s="468"/>
      <c r="C586" s="468"/>
      <c r="D586" s="468"/>
      <c r="E586" s="468"/>
      <c r="F586" s="468"/>
      <c r="G586" s="468"/>
      <c r="H586" s="468"/>
      <c r="I586" s="468"/>
      <c r="J586" s="468"/>
      <c r="K586" s="468"/>
      <c r="L586" s="468"/>
      <c r="M586" s="468"/>
      <c r="N586" s="468"/>
      <c r="O586" s="468"/>
      <c r="P586" s="468"/>
      <c r="Q586" s="468"/>
      <c r="R586" s="468"/>
      <c r="S586" s="468"/>
      <c r="T586" s="468"/>
      <c r="U586" s="468"/>
      <c r="V586" s="468"/>
      <c r="W586" s="468"/>
      <c r="X586" s="468"/>
      <c r="Y586" s="468"/>
      <c r="Z586" s="468"/>
      <c r="AA586" s="468"/>
      <c r="AB586" s="468"/>
      <c r="AC586" s="468"/>
      <c r="AD586" s="468"/>
      <c r="AE586" s="468"/>
      <c r="AF586" s="468"/>
      <c r="AG586" s="468"/>
      <c r="AH586" s="468"/>
      <c r="AI586" s="468"/>
      <c r="AJ586" s="468"/>
    </row>
    <row r="587" spans="1:36" ht="18" customHeight="1" x14ac:dyDescent="0.35">
      <c r="A587" s="468"/>
      <c r="B587" s="468"/>
      <c r="C587" s="468"/>
      <c r="D587" s="468"/>
      <c r="E587" s="468"/>
      <c r="F587" s="468"/>
      <c r="G587" s="468"/>
      <c r="H587" s="468"/>
      <c r="I587" s="468"/>
      <c r="J587" s="468"/>
      <c r="K587" s="468"/>
      <c r="L587" s="468"/>
      <c r="M587" s="468"/>
      <c r="N587" s="468"/>
      <c r="O587" s="468"/>
      <c r="P587" s="468"/>
      <c r="Q587" s="468"/>
      <c r="R587" s="468"/>
      <c r="S587" s="468"/>
      <c r="T587" s="468"/>
      <c r="U587" s="468"/>
      <c r="V587" s="468"/>
      <c r="W587" s="468"/>
      <c r="X587" s="468"/>
      <c r="Y587" s="468"/>
      <c r="Z587" s="468"/>
      <c r="AA587" s="468"/>
      <c r="AB587" s="468"/>
      <c r="AC587" s="468"/>
      <c r="AD587" s="468"/>
      <c r="AE587" s="468"/>
      <c r="AF587" s="468"/>
      <c r="AG587" s="468"/>
      <c r="AH587" s="468"/>
      <c r="AI587" s="468"/>
      <c r="AJ587" s="468"/>
    </row>
    <row r="588" spans="1:36" ht="18" customHeight="1" x14ac:dyDescent="0.35">
      <c r="A588" s="468"/>
      <c r="B588" s="468"/>
      <c r="C588" s="468"/>
      <c r="D588" s="468"/>
      <c r="E588" s="468"/>
      <c r="F588" s="468"/>
      <c r="G588" s="468"/>
      <c r="H588" s="468"/>
      <c r="I588" s="468"/>
      <c r="J588" s="468"/>
      <c r="K588" s="468"/>
      <c r="L588" s="468"/>
      <c r="M588" s="468"/>
      <c r="N588" s="468"/>
      <c r="O588" s="468"/>
      <c r="P588" s="468"/>
      <c r="Q588" s="468"/>
      <c r="R588" s="468"/>
      <c r="S588" s="468"/>
      <c r="T588" s="468"/>
      <c r="U588" s="468"/>
      <c r="V588" s="468"/>
      <c r="W588" s="468"/>
      <c r="X588" s="468"/>
      <c r="Y588" s="468"/>
      <c r="Z588" s="468"/>
      <c r="AA588" s="468"/>
      <c r="AB588" s="468"/>
      <c r="AC588" s="468"/>
      <c r="AD588" s="468"/>
      <c r="AE588" s="468"/>
      <c r="AF588" s="468"/>
      <c r="AG588" s="468"/>
      <c r="AH588" s="468"/>
      <c r="AI588" s="468"/>
      <c r="AJ588" s="468"/>
    </row>
    <row r="589" spans="1:36" ht="18" customHeight="1" x14ac:dyDescent="0.35">
      <c r="A589" s="468"/>
      <c r="B589" s="468"/>
      <c r="C589" s="468"/>
      <c r="D589" s="468"/>
      <c r="E589" s="468"/>
      <c r="F589" s="468"/>
      <c r="G589" s="468"/>
      <c r="H589" s="468"/>
      <c r="I589" s="468"/>
      <c r="J589" s="468"/>
      <c r="K589" s="468"/>
      <c r="L589" s="468"/>
      <c r="M589" s="468"/>
      <c r="N589" s="468"/>
      <c r="O589" s="468"/>
      <c r="P589" s="468"/>
      <c r="Q589" s="468"/>
      <c r="R589" s="468"/>
      <c r="S589" s="468"/>
      <c r="T589" s="468"/>
      <c r="U589" s="468"/>
      <c r="V589" s="468"/>
      <c r="W589" s="468"/>
      <c r="X589" s="468"/>
      <c r="Y589" s="468"/>
      <c r="Z589" s="468"/>
      <c r="AA589" s="468"/>
      <c r="AB589" s="468"/>
      <c r="AC589" s="468"/>
      <c r="AD589" s="468"/>
      <c r="AE589" s="468"/>
      <c r="AF589" s="468"/>
      <c r="AG589" s="468"/>
      <c r="AH589" s="468"/>
      <c r="AI589" s="468"/>
      <c r="AJ589" s="468"/>
    </row>
    <row r="590" spans="1:36" ht="18" customHeight="1" x14ac:dyDescent="0.35">
      <c r="A590" s="468"/>
      <c r="B590" s="468"/>
      <c r="C590" s="468"/>
      <c r="D590" s="468"/>
      <c r="E590" s="468"/>
      <c r="F590" s="468"/>
      <c r="G590" s="468"/>
      <c r="H590" s="468"/>
      <c r="I590" s="468"/>
      <c r="J590" s="468"/>
      <c r="K590" s="468"/>
      <c r="L590" s="468"/>
      <c r="M590" s="468"/>
      <c r="N590" s="468"/>
      <c r="O590" s="468"/>
      <c r="P590" s="468"/>
      <c r="Q590" s="468"/>
      <c r="R590" s="468"/>
      <c r="S590" s="468"/>
      <c r="T590" s="468"/>
      <c r="U590" s="468"/>
      <c r="V590" s="468"/>
      <c r="W590" s="468"/>
      <c r="X590" s="468"/>
      <c r="Y590" s="468"/>
      <c r="Z590" s="468"/>
      <c r="AA590" s="468"/>
      <c r="AB590" s="468"/>
      <c r="AC590" s="468"/>
      <c r="AD590" s="468"/>
      <c r="AE590" s="468"/>
      <c r="AF590" s="468"/>
      <c r="AG590" s="468"/>
      <c r="AH590" s="468"/>
      <c r="AI590" s="468"/>
      <c r="AJ590" s="468"/>
    </row>
    <row r="591" spans="1:36" ht="18" customHeight="1" x14ac:dyDescent="0.35">
      <c r="A591" s="468"/>
      <c r="B591" s="468"/>
      <c r="C591" s="468"/>
      <c r="D591" s="468"/>
      <c r="E591" s="468"/>
      <c r="F591" s="468"/>
      <c r="G591" s="468"/>
      <c r="H591" s="468"/>
      <c r="I591" s="468"/>
      <c r="J591" s="468"/>
      <c r="K591" s="468"/>
      <c r="L591" s="468"/>
      <c r="M591" s="468"/>
      <c r="N591" s="468"/>
      <c r="O591" s="468"/>
      <c r="P591" s="468"/>
      <c r="Q591" s="468"/>
      <c r="R591" s="468"/>
      <c r="S591" s="468"/>
      <c r="T591" s="468"/>
      <c r="U591" s="468"/>
      <c r="V591" s="468"/>
      <c r="W591" s="468"/>
      <c r="X591" s="468"/>
      <c r="Y591" s="468"/>
      <c r="Z591" s="468"/>
      <c r="AA591" s="468"/>
      <c r="AB591" s="468"/>
      <c r="AC591" s="468"/>
      <c r="AD591" s="468"/>
      <c r="AE591" s="468"/>
      <c r="AF591" s="468"/>
      <c r="AG591" s="468"/>
      <c r="AH591" s="468"/>
      <c r="AI591" s="468"/>
      <c r="AJ591" s="468"/>
    </row>
    <row r="592" spans="1:36" ht="18" customHeight="1" x14ac:dyDescent="0.35">
      <c r="A592" s="468"/>
      <c r="B592" s="468"/>
      <c r="C592" s="468"/>
      <c r="D592" s="468"/>
      <c r="E592" s="468"/>
      <c r="F592" s="468"/>
      <c r="G592" s="468"/>
      <c r="H592" s="468"/>
      <c r="I592" s="468"/>
      <c r="J592" s="468"/>
      <c r="K592" s="468"/>
      <c r="L592" s="468"/>
      <c r="M592" s="468"/>
      <c r="N592" s="468"/>
      <c r="O592" s="468"/>
      <c r="P592" s="468"/>
      <c r="Q592" s="468"/>
      <c r="R592" s="468"/>
      <c r="S592" s="468"/>
      <c r="T592" s="468"/>
      <c r="U592" s="468"/>
      <c r="V592" s="468"/>
      <c r="W592" s="468"/>
      <c r="X592" s="468"/>
      <c r="Y592" s="468"/>
      <c r="Z592" s="468"/>
      <c r="AA592" s="468"/>
      <c r="AB592" s="468"/>
      <c r="AC592" s="468"/>
      <c r="AD592" s="468"/>
      <c r="AE592" s="468"/>
      <c r="AF592" s="468"/>
      <c r="AG592" s="468"/>
      <c r="AH592" s="468"/>
      <c r="AI592" s="468"/>
      <c r="AJ592" s="468"/>
    </row>
    <row r="593" spans="1:36" ht="18" customHeight="1" x14ac:dyDescent="0.35">
      <c r="A593" s="468"/>
      <c r="B593" s="468"/>
      <c r="C593" s="468"/>
      <c r="D593" s="468"/>
      <c r="E593" s="468"/>
      <c r="F593" s="468"/>
      <c r="G593" s="468"/>
      <c r="H593" s="468"/>
      <c r="I593" s="468"/>
      <c r="J593" s="468"/>
      <c r="K593" s="468"/>
      <c r="L593" s="468"/>
      <c r="M593" s="468"/>
      <c r="N593" s="468"/>
      <c r="O593" s="468"/>
      <c r="P593" s="468"/>
      <c r="Q593" s="468"/>
      <c r="R593" s="468"/>
      <c r="S593" s="468"/>
      <c r="T593" s="468"/>
      <c r="U593" s="468"/>
      <c r="V593" s="468"/>
      <c r="W593" s="468"/>
      <c r="X593" s="468"/>
      <c r="Y593" s="468"/>
      <c r="Z593" s="468"/>
      <c r="AA593" s="468"/>
      <c r="AB593" s="468"/>
      <c r="AC593" s="468"/>
      <c r="AD593" s="468"/>
      <c r="AE593" s="468"/>
      <c r="AF593" s="468"/>
      <c r="AG593" s="468"/>
      <c r="AH593" s="468"/>
      <c r="AI593" s="468"/>
      <c r="AJ593" s="468"/>
    </row>
    <row r="594" spans="1:36" ht="18" customHeight="1" x14ac:dyDescent="0.35">
      <c r="A594" s="468"/>
      <c r="B594" s="468"/>
      <c r="C594" s="468"/>
      <c r="D594" s="468"/>
      <c r="E594" s="468"/>
      <c r="F594" s="468"/>
      <c r="G594" s="468"/>
      <c r="H594" s="468"/>
      <c r="I594" s="468"/>
      <c r="J594" s="468"/>
      <c r="K594" s="468"/>
      <c r="L594" s="468"/>
      <c r="M594" s="468"/>
      <c r="N594" s="468"/>
      <c r="O594" s="468"/>
      <c r="P594" s="468"/>
      <c r="Q594" s="468"/>
      <c r="R594" s="468"/>
      <c r="S594" s="468"/>
      <c r="T594" s="468"/>
      <c r="U594" s="468"/>
      <c r="V594" s="468"/>
      <c r="W594" s="468"/>
      <c r="X594" s="468"/>
      <c r="Y594" s="468"/>
      <c r="Z594" s="468"/>
      <c r="AA594" s="468"/>
      <c r="AB594" s="468"/>
      <c r="AC594" s="468"/>
      <c r="AD594" s="468"/>
      <c r="AE594" s="468"/>
      <c r="AF594" s="468"/>
      <c r="AG594" s="468"/>
      <c r="AH594" s="468"/>
      <c r="AI594" s="468"/>
      <c r="AJ594" s="468"/>
    </row>
    <row r="595" spans="1:36" ht="18" customHeight="1" x14ac:dyDescent="0.35">
      <c r="A595" s="468"/>
      <c r="B595" s="468"/>
      <c r="C595" s="468"/>
      <c r="D595" s="468"/>
      <c r="E595" s="468"/>
      <c r="F595" s="468"/>
      <c r="G595" s="468"/>
      <c r="H595" s="468"/>
      <c r="I595" s="468"/>
      <c r="J595" s="468"/>
      <c r="K595" s="468"/>
      <c r="L595" s="468"/>
      <c r="M595" s="468"/>
      <c r="N595" s="468"/>
      <c r="O595" s="468"/>
      <c r="P595" s="468"/>
      <c r="Q595" s="468"/>
      <c r="R595" s="468"/>
      <c r="S595" s="468"/>
      <c r="T595" s="468"/>
      <c r="U595" s="468"/>
      <c r="V595" s="468"/>
      <c r="W595" s="468"/>
      <c r="X595" s="468"/>
      <c r="Y595" s="468"/>
      <c r="Z595" s="468"/>
      <c r="AA595" s="468"/>
      <c r="AB595" s="468"/>
      <c r="AC595" s="468"/>
      <c r="AD595" s="468"/>
      <c r="AE595" s="468"/>
      <c r="AF595" s="468"/>
      <c r="AG595" s="468"/>
      <c r="AH595" s="468"/>
      <c r="AI595" s="468"/>
      <c r="AJ595" s="468"/>
    </row>
    <row r="596" spans="1:36" ht="18" customHeight="1" x14ac:dyDescent="0.35">
      <c r="A596" s="468"/>
      <c r="B596" s="468"/>
      <c r="C596" s="468"/>
      <c r="D596" s="468"/>
      <c r="E596" s="468"/>
      <c r="F596" s="468"/>
      <c r="G596" s="468"/>
      <c r="H596" s="468"/>
      <c r="I596" s="468"/>
      <c r="J596" s="468"/>
      <c r="K596" s="468"/>
      <c r="L596" s="468"/>
      <c r="M596" s="468"/>
      <c r="N596" s="468"/>
      <c r="O596" s="468"/>
      <c r="P596" s="468"/>
      <c r="Q596" s="468"/>
      <c r="R596" s="468"/>
      <c r="S596" s="468"/>
      <c r="T596" s="468"/>
      <c r="U596" s="468"/>
      <c r="V596" s="468"/>
      <c r="W596" s="468"/>
      <c r="X596" s="468"/>
      <c r="Y596" s="468"/>
      <c r="Z596" s="468"/>
      <c r="AA596" s="468"/>
      <c r="AB596" s="468"/>
      <c r="AC596" s="468"/>
      <c r="AD596" s="468"/>
      <c r="AE596" s="468"/>
      <c r="AF596" s="468"/>
      <c r="AG596" s="468"/>
      <c r="AH596" s="468"/>
      <c r="AI596" s="468"/>
      <c r="AJ596" s="468"/>
    </row>
    <row r="597" spans="1:36" ht="18" customHeight="1" x14ac:dyDescent="0.35">
      <c r="A597" s="468"/>
      <c r="B597" s="468"/>
      <c r="C597" s="468"/>
      <c r="D597" s="468"/>
      <c r="E597" s="468"/>
      <c r="F597" s="468"/>
      <c r="G597" s="468"/>
      <c r="H597" s="468"/>
      <c r="I597" s="468"/>
      <c r="J597" s="468"/>
      <c r="K597" s="468"/>
      <c r="L597" s="468"/>
      <c r="M597" s="468"/>
      <c r="N597" s="468"/>
      <c r="O597" s="468"/>
      <c r="P597" s="468"/>
      <c r="Q597" s="468"/>
      <c r="R597" s="468"/>
      <c r="S597" s="468"/>
      <c r="T597" s="468"/>
      <c r="U597" s="468"/>
      <c r="V597" s="468"/>
      <c r="W597" s="468"/>
      <c r="X597" s="468"/>
      <c r="Y597" s="468"/>
      <c r="Z597" s="468"/>
      <c r="AA597" s="468"/>
      <c r="AB597" s="468"/>
      <c r="AC597" s="468"/>
      <c r="AD597" s="468"/>
      <c r="AE597" s="468"/>
      <c r="AF597" s="468"/>
      <c r="AG597" s="468"/>
      <c r="AH597" s="468"/>
      <c r="AI597" s="468"/>
      <c r="AJ597" s="468"/>
    </row>
    <row r="598" spans="1:36" ht="18" customHeight="1" x14ac:dyDescent="0.35">
      <c r="A598" s="468"/>
      <c r="B598" s="468"/>
      <c r="C598" s="468"/>
      <c r="D598" s="468"/>
      <c r="E598" s="468"/>
      <c r="F598" s="468"/>
      <c r="G598" s="468"/>
      <c r="H598" s="468"/>
      <c r="I598" s="468"/>
      <c r="J598" s="468"/>
      <c r="K598" s="468"/>
      <c r="L598" s="468"/>
      <c r="M598" s="468"/>
      <c r="N598" s="468"/>
      <c r="O598" s="468"/>
      <c r="P598" s="468"/>
      <c r="Q598" s="468"/>
      <c r="R598" s="468"/>
      <c r="S598" s="468"/>
      <c r="T598" s="468"/>
      <c r="U598" s="468"/>
      <c r="V598" s="468"/>
      <c r="W598" s="468"/>
      <c r="X598" s="468"/>
      <c r="Y598" s="468"/>
      <c r="Z598" s="468"/>
      <c r="AA598" s="468"/>
      <c r="AB598" s="468"/>
      <c r="AC598" s="468"/>
      <c r="AD598" s="468"/>
      <c r="AE598" s="468"/>
      <c r="AF598" s="468"/>
      <c r="AG598" s="468"/>
      <c r="AH598" s="468"/>
      <c r="AI598" s="468"/>
      <c r="AJ598" s="468"/>
    </row>
    <row r="599" spans="1:36" ht="18" customHeight="1" x14ac:dyDescent="0.35">
      <c r="A599" s="468"/>
      <c r="B599" s="468"/>
      <c r="C599" s="468"/>
      <c r="D599" s="468"/>
      <c r="E599" s="468"/>
      <c r="F599" s="468"/>
      <c r="G599" s="468"/>
      <c r="H599" s="468"/>
      <c r="I599" s="468"/>
      <c r="J599" s="468"/>
      <c r="K599" s="468"/>
      <c r="L599" s="468"/>
      <c r="M599" s="468"/>
      <c r="N599" s="468"/>
      <c r="O599" s="468"/>
      <c r="P599" s="468"/>
      <c r="Q599" s="468"/>
      <c r="R599" s="468"/>
      <c r="S599" s="468"/>
      <c r="T599" s="468"/>
      <c r="U599" s="468"/>
      <c r="V599" s="468"/>
      <c r="W599" s="468"/>
      <c r="X599" s="468"/>
      <c r="Y599" s="468"/>
      <c r="Z599" s="468"/>
      <c r="AA599" s="468"/>
      <c r="AB599" s="468"/>
      <c r="AC599" s="468"/>
      <c r="AD599" s="468"/>
      <c r="AE599" s="468"/>
      <c r="AF599" s="468"/>
      <c r="AG599" s="468"/>
      <c r="AH599" s="468"/>
      <c r="AI599" s="468"/>
      <c r="AJ599" s="468"/>
    </row>
    <row r="600" spans="1:36" ht="18" customHeight="1" x14ac:dyDescent="0.35">
      <c r="A600" s="468"/>
      <c r="B600" s="468"/>
      <c r="C600" s="468"/>
      <c r="D600" s="468"/>
      <c r="E600" s="468"/>
      <c r="F600" s="468"/>
      <c r="G600" s="468"/>
      <c r="H600" s="468"/>
      <c r="I600" s="468"/>
      <c r="J600" s="468"/>
      <c r="K600" s="468"/>
      <c r="L600" s="468"/>
      <c r="M600" s="468"/>
      <c r="N600" s="468"/>
      <c r="O600" s="468"/>
      <c r="P600" s="468"/>
      <c r="Q600" s="468"/>
      <c r="R600" s="468"/>
      <c r="S600" s="468"/>
      <c r="T600" s="468"/>
      <c r="U600" s="468"/>
      <c r="V600" s="468"/>
      <c r="W600" s="468"/>
      <c r="X600" s="468"/>
      <c r="Y600" s="468"/>
      <c r="Z600" s="468"/>
      <c r="AA600" s="468"/>
      <c r="AB600" s="468"/>
      <c r="AC600" s="468"/>
      <c r="AD600" s="468"/>
      <c r="AE600" s="468"/>
      <c r="AF600" s="468"/>
      <c r="AG600" s="468"/>
      <c r="AH600" s="468"/>
      <c r="AI600" s="468"/>
      <c r="AJ600" s="468"/>
    </row>
    <row r="601" spans="1:36" ht="18" customHeight="1" x14ac:dyDescent="0.35">
      <c r="A601" s="468"/>
      <c r="B601" s="468"/>
      <c r="C601" s="468"/>
      <c r="D601" s="468"/>
      <c r="E601" s="468"/>
      <c r="F601" s="468"/>
      <c r="G601" s="468"/>
      <c r="H601" s="468"/>
      <c r="I601" s="468"/>
      <c r="J601" s="468"/>
      <c r="K601" s="468"/>
      <c r="L601" s="468"/>
      <c r="M601" s="468"/>
      <c r="N601" s="468"/>
      <c r="O601" s="468"/>
      <c r="P601" s="468"/>
      <c r="Q601" s="468"/>
      <c r="R601" s="468"/>
      <c r="S601" s="468"/>
      <c r="T601" s="468"/>
      <c r="U601" s="468"/>
      <c r="V601" s="468"/>
      <c r="W601" s="468"/>
      <c r="X601" s="468"/>
      <c r="Y601" s="468"/>
      <c r="Z601" s="468"/>
      <c r="AA601" s="468"/>
      <c r="AB601" s="468"/>
      <c r="AC601" s="468"/>
      <c r="AD601" s="468"/>
      <c r="AE601" s="468"/>
      <c r="AF601" s="468"/>
      <c r="AG601" s="468"/>
      <c r="AH601" s="468"/>
      <c r="AI601" s="468"/>
      <c r="AJ601" s="468"/>
    </row>
    <row r="602" spans="1:36" ht="18" customHeight="1" x14ac:dyDescent="0.35">
      <c r="A602" s="468"/>
      <c r="B602" s="468"/>
      <c r="C602" s="468"/>
      <c r="D602" s="468"/>
      <c r="E602" s="468"/>
      <c r="F602" s="468"/>
      <c r="G602" s="468"/>
      <c r="H602" s="468"/>
      <c r="I602" s="468"/>
      <c r="J602" s="468"/>
      <c r="K602" s="468"/>
      <c r="L602" s="468"/>
      <c r="M602" s="468"/>
      <c r="N602" s="468"/>
      <c r="O602" s="468"/>
      <c r="P602" s="468"/>
      <c r="Q602" s="468"/>
      <c r="R602" s="468"/>
      <c r="S602" s="468"/>
      <c r="T602" s="468"/>
      <c r="U602" s="468"/>
      <c r="V602" s="468"/>
      <c r="W602" s="468"/>
      <c r="X602" s="468"/>
      <c r="Y602" s="468"/>
      <c r="Z602" s="468"/>
      <c r="AA602" s="468"/>
      <c r="AB602" s="468"/>
      <c r="AC602" s="468"/>
      <c r="AD602" s="468"/>
      <c r="AE602" s="468"/>
      <c r="AF602" s="468"/>
      <c r="AG602" s="468"/>
      <c r="AH602" s="468"/>
      <c r="AI602" s="468"/>
      <c r="AJ602" s="468"/>
    </row>
    <row r="603" spans="1:36" ht="18" customHeight="1" x14ac:dyDescent="0.35">
      <c r="A603" s="468"/>
      <c r="B603" s="468"/>
      <c r="C603" s="468"/>
      <c r="D603" s="468"/>
      <c r="E603" s="468"/>
      <c r="F603" s="468"/>
      <c r="G603" s="468"/>
      <c r="H603" s="468"/>
      <c r="I603" s="468"/>
      <c r="J603" s="468"/>
      <c r="K603" s="468"/>
      <c r="L603" s="468"/>
      <c r="M603" s="468"/>
      <c r="N603" s="468"/>
      <c r="O603" s="468"/>
      <c r="P603" s="468"/>
      <c r="Q603" s="468"/>
      <c r="R603" s="468"/>
      <c r="S603" s="468"/>
      <c r="T603" s="468"/>
      <c r="U603" s="468"/>
      <c r="V603" s="468"/>
      <c r="W603" s="468"/>
      <c r="X603" s="468"/>
      <c r="Y603" s="468"/>
      <c r="Z603" s="468"/>
      <c r="AA603" s="468"/>
      <c r="AB603" s="468"/>
      <c r="AC603" s="468"/>
      <c r="AD603" s="468"/>
      <c r="AE603" s="468"/>
      <c r="AF603" s="468"/>
      <c r="AG603" s="468"/>
      <c r="AH603" s="468"/>
      <c r="AI603" s="468"/>
      <c r="AJ603" s="468"/>
    </row>
    <row r="604" spans="1:36" ht="18" customHeight="1" x14ac:dyDescent="0.35">
      <c r="A604" s="468"/>
      <c r="B604" s="468"/>
      <c r="C604" s="468"/>
      <c r="D604" s="468"/>
      <c r="E604" s="468"/>
      <c r="F604" s="468"/>
      <c r="G604" s="468"/>
      <c r="H604" s="468"/>
      <c r="I604" s="468"/>
      <c r="J604" s="468"/>
      <c r="K604" s="468"/>
      <c r="L604" s="468"/>
      <c r="M604" s="468"/>
      <c r="N604" s="468"/>
      <c r="O604" s="468"/>
      <c r="P604" s="468"/>
      <c r="Q604" s="468"/>
      <c r="R604" s="468"/>
      <c r="S604" s="468"/>
      <c r="T604" s="468"/>
      <c r="U604" s="468"/>
      <c r="V604" s="468"/>
      <c r="W604" s="468"/>
      <c r="X604" s="468"/>
      <c r="Y604" s="468"/>
      <c r="Z604" s="468"/>
      <c r="AA604" s="468"/>
      <c r="AB604" s="468"/>
      <c r="AC604" s="468"/>
      <c r="AD604" s="468"/>
      <c r="AE604" s="468"/>
      <c r="AF604" s="468"/>
      <c r="AG604" s="468"/>
      <c r="AH604" s="468"/>
      <c r="AI604" s="468"/>
      <c r="AJ604" s="468"/>
    </row>
    <row r="605" spans="1:36" ht="18" customHeight="1" x14ac:dyDescent="0.35">
      <c r="A605" s="468"/>
      <c r="B605" s="468"/>
      <c r="C605" s="468"/>
      <c r="D605" s="468"/>
      <c r="E605" s="468"/>
      <c r="F605" s="468"/>
      <c r="G605" s="468"/>
      <c r="H605" s="468"/>
      <c r="I605" s="468"/>
      <c r="J605" s="468"/>
      <c r="K605" s="468"/>
      <c r="L605" s="468"/>
      <c r="M605" s="468"/>
      <c r="N605" s="468"/>
      <c r="O605" s="468"/>
      <c r="P605" s="468"/>
      <c r="Q605" s="468"/>
      <c r="R605" s="468"/>
      <c r="S605" s="468"/>
      <c r="T605" s="468"/>
      <c r="U605" s="468"/>
      <c r="V605" s="468"/>
      <c r="W605" s="468"/>
      <c r="X605" s="468"/>
      <c r="Y605" s="468"/>
      <c r="Z605" s="468"/>
      <c r="AA605" s="468"/>
      <c r="AB605" s="468"/>
      <c r="AC605" s="468"/>
      <c r="AD605" s="468"/>
      <c r="AE605" s="468"/>
      <c r="AF605" s="468"/>
      <c r="AG605" s="468"/>
      <c r="AH605" s="468"/>
      <c r="AI605" s="468"/>
      <c r="AJ605" s="468"/>
    </row>
    <row r="606" spans="1:36" ht="18" customHeight="1" x14ac:dyDescent="0.35">
      <c r="A606" s="468"/>
      <c r="B606" s="468"/>
      <c r="C606" s="468"/>
      <c r="D606" s="468"/>
      <c r="E606" s="468"/>
      <c r="F606" s="468"/>
      <c r="G606" s="468"/>
      <c r="H606" s="468"/>
      <c r="I606" s="468"/>
      <c r="J606" s="468"/>
      <c r="K606" s="468"/>
      <c r="L606" s="468"/>
      <c r="M606" s="468"/>
      <c r="N606" s="468"/>
      <c r="O606" s="468"/>
      <c r="P606" s="468"/>
      <c r="Q606" s="468"/>
      <c r="R606" s="468"/>
      <c r="S606" s="468"/>
      <c r="T606" s="468"/>
      <c r="U606" s="468"/>
      <c r="V606" s="468"/>
      <c r="W606" s="468"/>
      <c r="X606" s="468"/>
      <c r="Y606" s="468"/>
      <c r="Z606" s="468"/>
      <c r="AA606" s="468"/>
      <c r="AB606" s="468"/>
      <c r="AC606" s="468"/>
      <c r="AD606" s="468"/>
      <c r="AE606" s="468"/>
      <c r="AF606" s="468"/>
      <c r="AG606" s="468"/>
      <c r="AH606" s="468"/>
      <c r="AI606" s="468"/>
      <c r="AJ606" s="468"/>
    </row>
    <row r="607" spans="1:36" ht="18" customHeight="1" x14ac:dyDescent="0.35">
      <c r="A607" s="468"/>
      <c r="B607" s="468"/>
      <c r="C607" s="468"/>
      <c r="D607" s="468"/>
      <c r="E607" s="468"/>
      <c r="F607" s="468"/>
      <c r="G607" s="468"/>
      <c r="H607" s="468"/>
      <c r="I607" s="468"/>
      <c r="J607" s="468"/>
      <c r="K607" s="468"/>
      <c r="L607" s="468"/>
      <c r="M607" s="468"/>
      <c r="N607" s="468"/>
      <c r="O607" s="468"/>
      <c r="P607" s="468"/>
      <c r="Q607" s="468"/>
      <c r="R607" s="468"/>
      <c r="S607" s="468"/>
      <c r="T607" s="468"/>
      <c r="U607" s="468"/>
      <c r="V607" s="468"/>
      <c r="W607" s="468"/>
      <c r="X607" s="468"/>
      <c r="Y607" s="468"/>
      <c r="Z607" s="468"/>
      <c r="AA607" s="468"/>
      <c r="AB607" s="468"/>
      <c r="AC607" s="468"/>
      <c r="AD607" s="468"/>
      <c r="AE607" s="468"/>
      <c r="AF607" s="468"/>
      <c r="AG607" s="468"/>
      <c r="AH607" s="468"/>
      <c r="AI607" s="468"/>
      <c r="AJ607" s="468"/>
    </row>
    <row r="608" spans="1:36" ht="18" customHeight="1" x14ac:dyDescent="0.35">
      <c r="A608" s="468"/>
      <c r="B608" s="468"/>
      <c r="C608" s="468"/>
      <c r="D608" s="468"/>
      <c r="E608" s="468"/>
      <c r="F608" s="468"/>
      <c r="G608" s="468"/>
      <c r="H608" s="468"/>
      <c r="I608" s="468"/>
      <c r="J608" s="468"/>
      <c r="K608" s="468"/>
      <c r="L608" s="468"/>
      <c r="M608" s="468"/>
      <c r="N608" s="468"/>
      <c r="O608" s="468"/>
      <c r="P608" s="468"/>
      <c r="Q608" s="468"/>
      <c r="R608" s="468"/>
      <c r="S608" s="468"/>
      <c r="T608" s="468"/>
      <c r="U608" s="468"/>
      <c r="V608" s="468"/>
      <c r="W608" s="468"/>
      <c r="X608" s="468"/>
      <c r="Y608" s="468"/>
      <c r="Z608" s="468"/>
      <c r="AA608" s="468"/>
      <c r="AB608" s="468"/>
      <c r="AC608" s="468"/>
      <c r="AD608" s="468"/>
      <c r="AE608" s="468"/>
      <c r="AF608" s="468"/>
      <c r="AG608" s="468"/>
      <c r="AH608" s="468"/>
      <c r="AI608" s="468"/>
      <c r="AJ608" s="468"/>
    </row>
    <row r="609" spans="1:36" ht="18" customHeight="1" x14ac:dyDescent="0.35">
      <c r="A609" s="468"/>
      <c r="B609" s="468"/>
      <c r="C609" s="468"/>
      <c r="D609" s="468"/>
      <c r="E609" s="468"/>
      <c r="F609" s="468"/>
      <c r="G609" s="468"/>
      <c r="H609" s="468"/>
      <c r="I609" s="468"/>
      <c r="J609" s="468"/>
      <c r="K609" s="468"/>
      <c r="L609" s="468"/>
      <c r="M609" s="468"/>
      <c r="N609" s="468"/>
      <c r="O609" s="468"/>
      <c r="P609" s="468"/>
      <c r="Q609" s="468"/>
      <c r="R609" s="468"/>
      <c r="S609" s="468"/>
      <c r="T609" s="468"/>
      <c r="U609" s="468"/>
      <c r="V609" s="468"/>
      <c r="W609" s="468"/>
      <c r="X609" s="468"/>
      <c r="Y609" s="468"/>
      <c r="Z609" s="468"/>
      <c r="AA609" s="468"/>
      <c r="AB609" s="468"/>
      <c r="AC609" s="468"/>
      <c r="AD609" s="468"/>
      <c r="AE609" s="468"/>
      <c r="AF609" s="468"/>
      <c r="AG609" s="468"/>
      <c r="AH609" s="468"/>
      <c r="AI609" s="468"/>
      <c r="AJ609" s="468"/>
    </row>
    <row r="610" spans="1:36" ht="18" customHeight="1" x14ac:dyDescent="0.35">
      <c r="A610" s="468"/>
      <c r="B610" s="468"/>
      <c r="C610" s="468"/>
      <c r="D610" s="468"/>
      <c r="E610" s="468"/>
      <c r="F610" s="468"/>
      <c r="G610" s="468"/>
      <c r="H610" s="468"/>
      <c r="I610" s="468"/>
      <c r="J610" s="468"/>
      <c r="K610" s="468"/>
      <c r="L610" s="468"/>
      <c r="M610" s="468"/>
      <c r="N610" s="468"/>
      <c r="O610" s="468"/>
      <c r="P610" s="468"/>
      <c r="Q610" s="468"/>
      <c r="R610" s="468"/>
      <c r="S610" s="468"/>
      <c r="T610" s="468"/>
      <c r="U610" s="468"/>
      <c r="V610" s="468"/>
      <c r="W610" s="468"/>
      <c r="X610" s="468"/>
      <c r="Y610" s="468"/>
      <c r="Z610" s="468"/>
      <c r="AA610" s="468"/>
      <c r="AB610" s="468"/>
      <c r="AC610" s="468"/>
      <c r="AD610" s="468"/>
      <c r="AE610" s="468"/>
      <c r="AF610" s="468"/>
      <c r="AG610" s="468"/>
      <c r="AH610" s="468"/>
      <c r="AI610" s="468"/>
      <c r="AJ610" s="468"/>
    </row>
    <row r="611" spans="1:36" ht="18" customHeight="1" x14ac:dyDescent="0.35">
      <c r="A611" s="468"/>
      <c r="B611" s="468"/>
      <c r="C611" s="468"/>
      <c r="D611" s="468"/>
      <c r="E611" s="468"/>
      <c r="F611" s="468"/>
      <c r="G611" s="468"/>
      <c r="H611" s="468"/>
      <c r="I611" s="468"/>
      <c r="J611" s="468"/>
      <c r="K611" s="468"/>
      <c r="L611" s="468"/>
      <c r="M611" s="468"/>
      <c r="N611" s="468"/>
      <c r="O611" s="468"/>
      <c r="P611" s="468"/>
      <c r="Q611" s="468"/>
      <c r="R611" s="468"/>
      <c r="S611" s="468"/>
      <c r="T611" s="468"/>
      <c r="U611" s="468"/>
      <c r="V611" s="468"/>
      <c r="W611" s="468"/>
      <c r="X611" s="468"/>
      <c r="Y611" s="468"/>
      <c r="Z611" s="468"/>
      <c r="AA611" s="468"/>
      <c r="AB611" s="468"/>
      <c r="AC611" s="468"/>
      <c r="AD611" s="468"/>
      <c r="AE611" s="468"/>
      <c r="AF611" s="468"/>
      <c r="AG611" s="468"/>
      <c r="AH611" s="468"/>
      <c r="AI611" s="468"/>
      <c r="AJ611" s="468"/>
    </row>
    <row r="612" spans="1:36" ht="18" customHeight="1" x14ac:dyDescent="0.35">
      <c r="A612" s="468"/>
      <c r="B612" s="468"/>
      <c r="C612" s="468"/>
      <c r="D612" s="468"/>
      <c r="E612" s="468"/>
      <c r="F612" s="468"/>
      <c r="G612" s="468"/>
      <c r="H612" s="468"/>
      <c r="I612" s="468"/>
      <c r="J612" s="468"/>
      <c r="K612" s="468"/>
      <c r="L612" s="468"/>
      <c r="M612" s="468"/>
      <c r="N612" s="468"/>
      <c r="O612" s="468"/>
      <c r="P612" s="468"/>
      <c r="Q612" s="468"/>
      <c r="R612" s="468"/>
      <c r="S612" s="468"/>
      <c r="T612" s="468"/>
      <c r="U612" s="468"/>
      <c r="V612" s="468"/>
      <c r="W612" s="468"/>
      <c r="X612" s="468"/>
      <c r="Y612" s="468"/>
      <c r="Z612" s="468"/>
      <c r="AA612" s="468"/>
      <c r="AB612" s="468"/>
      <c r="AC612" s="468"/>
      <c r="AD612" s="468"/>
      <c r="AE612" s="468"/>
      <c r="AF612" s="468"/>
      <c r="AG612" s="468"/>
      <c r="AH612" s="468"/>
      <c r="AI612" s="468"/>
      <c r="AJ612" s="468"/>
    </row>
    <row r="613" spans="1:36" ht="18" customHeight="1" x14ac:dyDescent="0.35">
      <c r="A613" s="468"/>
      <c r="B613" s="468"/>
      <c r="C613" s="468"/>
      <c r="D613" s="468"/>
      <c r="E613" s="468"/>
      <c r="F613" s="468"/>
      <c r="G613" s="468"/>
      <c r="H613" s="468"/>
      <c r="I613" s="468"/>
      <c r="J613" s="468"/>
      <c r="K613" s="468"/>
      <c r="L613" s="468"/>
      <c r="M613" s="468"/>
      <c r="N613" s="468"/>
      <c r="O613" s="468"/>
      <c r="P613" s="468"/>
      <c r="Q613" s="468"/>
      <c r="R613" s="468"/>
      <c r="S613" s="468"/>
      <c r="T613" s="468"/>
      <c r="U613" s="468"/>
      <c r="V613" s="468"/>
      <c r="W613" s="468"/>
      <c r="X613" s="468"/>
      <c r="Y613" s="468"/>
      <c r="Z613" s="468"/>
      <c r="AA613" s="468"/>
      <c r="AB613" s="468"/>
      <c r="AC613" s="468"/>
      <c r="AD613" s="468"/>
      <c r="AE613" s="468"/>
      <c r="AF613" s="468"/>
      <c r="AG613" s="468"/>
      <c r="AH613" s="468"/>
      <c r="AI613" s="468"/>
      <c r="AJ613" s="468"/>
    </row>
    <row r="614" spans="1:36" ht="18" customHeight="1" x14ac:dyDescent="0.35">
      <c r="A614" s="468"/>
      <c r="B614" s="468"/>
      <c r="C614" s="468"/>
      <c r="D614" s="468"/>
      <c r="E614" s="468"/>
      <c r="F614" s="468"/>
      <c r="G614" s="468"/>
      <c r="H614" s="468"/>
      <c r="I614" s="468"/>
      <c r="J614" s="468"/>
      <c r="K614" s="468"/>
      <c r="L614" s="468"/>
      <c r="M614" s="468"/>
      <c r="N614" s="468"/>
      <c r="O614" s="468"/>
      <c r="P614" s="468"/>
      <c r="Q614" s="468"/>
      <c r="R614" s="468"/>
      <c r="S614" s="468"/>
      <c r="T614" s="468"/>
      <c r="U614" s="468"/>
      <c r="V614" s="468"/>
      <c r="W614" s="468"/>
      <c r="X614" s="468"/>
      <c r="Y614" s="468"/>
      <c r="Z614" s="468"/>
      <c r="AA614" s="468"/>
      <c r="AB614" s="468"/>
      <c r="AC614" s="468"/>
      <c r="AD614" s="468"/>
      <c r="AE614" s="468"/>
      <c r="AF614" s="468"/>
      <c r="AG614" s="468"/>
      <c r="AH614" s="468"/>
      <c r="AI614" s="468"/>
      <c r="AJ614" s="468"/>
    </row>
    <row r="615" spans="1:36" ht="18" customHeight="1" x14ac:dyDescent="0.35">
      <c r="A615" s="468"/>
      <c r="B615" s="468"/>
      <c r="C615" s="468"/>
      <c r="D615" s="468"/>
      <c r="E615" s="468"/>
      <c r="F615" s="468"/>
      <c r="G615" s="468"/>
      <c r="H615" s="468"/>
      <c r="I615" s="468"/>
      <c r="J615" s="468"/>
      <c r="K615" s="468"/>
      <c r="L615" s="468"/>
      <c r="M615" s="468"/>
      <c r="N615" s="468"/>
      <c r="O615" s="468"/>
      <c r="P615" s="468"/>
      <c r="Q615" s="468"/>
      <c r="R615" s="468"/>
      <c r="S615" s="468"/>
      <c r="T615" s="468"/>
      <c r="U615" s="468"/>
      <c r="V615" s="468"/>
      <c r="W615" s="468"/>
      <c r="X615" s="468"/>
      <c r="Y615" s="468"/>
      <c r="Z615" s="468"/>
      <c r="AA615" s="468"/>
      <c r="AB615" s="468"/>
      <c r="AC615" s="468"/>
      <c r="AD615" s="468"/>
      <c r="AE615" s="468"/>
      <c r="AF615" s="468"/>
      <c r="AG615" s="468"/>
      <c r="AH615" s="468"/>
      <c r="AI615" s="468"/>
      <c r="AJ615" s="468"/>
    </row>
    <row r="616" spans="1:36" ht="18" customHeight="1" x14ac:dyDescent="0.35">
      <c r="A616" s="468"/>
      <c r="B616" s="468"/>
      <c r="C616" s="468"/>
      <c r="D616" s="468"/>
      <c r="E616" s="468"/>
      <c r="F616" s="468"/>
      <c r="G616" s="468"/>
      <c r="H616" s="468"/>
      <c r="I616" s="468"/>
      <c r="J616" s="468"/>
      <c r="K616" s="468"/>
      <c r="L616" s="468"/>
      <c r="M616" s="468"/>
      <c r="N616" s="468"/>
      <c r="O616" s="468"/>
      <c r="P616" s="468"/>
      <c r="Q616" s="468"/>
      <c r="R616" s="468"/>
      <c r="S616" s="468"/>
      <c r="T616" s="468"/>
      <c r="U616" s="468"/>
      <c r="V616" s="468"/>
      <c r="W616" s="468"/>
      <c r="X616" s="468"/>
      <c r="Y616" s="468"/>
      <c r="Z616" s="468"/>
      <c r="AA616" s="468"/>
      <c r="AB616" s="468"/>
      <c r="AC616" s="468"/>
      <c r="AD616" s="468"/>
      <c r="AE616" s="468"/>
      <c r="AF616" s="468"/>
      <c r="AG616" s="468"/>
      <c r="AH616" s="468"/>
      <c r="AI616" s="468"/>
      <c r="AJ616" s="468"/>
    </row>
    <row r="617" spans="1:36" ht="18" customHeight="1" x14ac:dyDescent="0.35">
      <c r="A617" s="468"/>
      <c r="B617" s="468"/>
      <c r="C617" s="468"/>
      <c r="D617" s="468"/>
      <c r="E617" s="468"/>
      <c r="F617" s="468"/>
      <c r="G617" s="468"/>
      <c r="H617" s="468"/>
      <c r="I617" s="468"/>
      <c r="J617" s="468"/>
      <c r="K617" s="468"/>
      <c r="L617" s="468"/>
      <c r="M617" s="468"/>
      <c r="N617" s="468"/>
      <c r="O617" s="468"/>
      <c r="P617" s="468"/>
      <c r="Q617" s="468"/>
      <c r="R617" s="468"/>
      <c r="S617" s="468"/>
      <c r="T617" s="468"/>
      <c r="U617" s="468"/>
      <c r="V617" s="468"/>
      <c r="W617" s="468"/>
      <c r="X617" s="468"/>
      <c r="Y617" s="468"/>
      <c r="Z617" s="468"/>
      <c r="AA617" s="468"/>
      <c r="AB617" s="468"/>
      <c r="AC617" s="468"/>
      <c r="AD617" s="468"/>
      <c r="AE617" s="468"/>
      <c r="AF617" s="468"/>
      <c r="AG617" s="468"/>
      <c r="AH617" s="468"/>
      <c r="AI617" s="468"/>
      <c r="AJ617" s="468"/>
    </row>
    <row r="618" spans="1:36" ht="18" customHeight="1" x14ac:dyDescent="0.35">
      <c r="A618" s="468"/>
      <c r="B618" s="468"/>
      <c r="C618" s="468"/>
      <c r="D618" s="468"/>
      <c r="E618" s="468"/>
      <c r="F618" s="468"/>
      <c r="G618" s="468"/>
      <c r="H618" s="468"/>
      <c r="I618" s="468"/>
      <c r="J618" s="468"/>
      <c r="K618" s="468"/>
      <c r="L618" s="468"/>
      <c r="M618" s="468"/>
      <c r="N618" s="468"/>
      <c r="O618" s="468"/>
      <c r="P618" s="468"/>
      <c r="Q618" s="468"/>
      <c r="R618" s="468"/>
      <c r="S618" s="468"/>
      <c r="T618" s="468"/>
      <c r="U618" s="468"/>
      <c r="V618" s="468"/>
      <c r="W618" s="468"/>
      <c r="X618" s="468"/>
      <c r="Y618" s="468"/>
      <c r="Z618" s="468"/>
      <c r="AA618" s="468"/>
      <c r="AB618" s="468"/>
      <c r="AC618" s="468"/>
      <c r="AD618" s="468"/>
      <c r="AE618" s="468"/>
      <c r="AF618" s="468"/>
      <c r="AG618" s="468"/>
      <c r="AH618" s="468"/>
      <c r="AI618" s="468"/>
      <c r="AJ618" s="468"/>
    </row>
    <row r="619" spans="1:36" ht="18" customHeight="1" x14ac:dyDescent="0.35">
      <c r="A619" s="468"/>
      <c r="B619" s="468"/>
      <c r="C619" s="468"/>
      <c r="D619" s="468"/>
      <c r="E619" s="468"/>
      <c r="F619" s="468"/>
      <c r="G619" s="468"/>
      <c r="H619" s="468"/>
      <c r="I619" s="468"/>
      <c r="J619" s="468"/>
      <c r="K619" s="468"/>
      <c r="L619" s="468"/>
      <c r="M619" s="468"/>
      <c r="N619" s="468"/>
      <c r="O619" s="468"/>
      <c r="P619" s="468"/>
      <c r="Q619" s="468"/>
      <c r="R619" s="468"/>
      <c r="S619" s="468"/>
      <c r="T619" s="468"/>
      <c r="U619" s="468"/>
      <c r="V619" s="468"/>
      <c r="W619" s="468"/>
      <c r="X619" s="468"/>
      <c r="Y619" s="468"/>
      <c r="Z619" s="468"/>
      <c r="AA619" s="468"/>
      <c r="AB619" s="468"/>
      <c r="AC619" s="468"/>
      <c r="AD619" s="468"/>
      <c r="AE619" s="468"/>
      <c r="AF619" s="468"/>
      <c r="AG619" s="468"/>
      <c r="AH619" s="468"/>
      <c r="AI619" s="468"/>
      <c r="AJ619" s="468"/>
    </row>
    <row r="620" spans="1:36" ht="18" customHeight="1" x14ac:dyDescent="0.35">
      <c r="A620" s="468"/>
      <c r="B620" s="468"/>
      <c r="C620" s="468"/>
      <c r="D620" s="468"/>
      <c r="E620" s="468"/>
      <c r="F620" s="468"/>
      <c r="G620" s="468"/>
      <c r="H620" s="468"/>
      <c r="I620" s="468"/>
      <c r="J620" s="468"/>
      <c r="K620" s="468"/>
      <c r="L620" s="468"/>
      <c r="M620" s="468"/>
      <c r="N620" s="468"/>
      <c r="O620" s="468"/>
      <c r="P620" s="468"/>
      <c r="Q620" s="468"/>
      <c r="R620" s="468"/>
      <c r="S620" s="468"/>
      <c r="T620" s="468"/>
      <c r="U620" s="468"/>
      <c r="V620" s="468"/>
      <c r="W620" s="468"/>
      <c r="X620" s="468"/>
      <c r="Y620" s="468"/>
      <c r="Z620" s="468"/>
      <c r="AA620" s="468"/>
      <c r="AB620" s="468"/>
      <c r="AC620" s="468"/>
      <c r="AD620" s="468"/>
      <c r="AE620" s="468"/>
      <c r="AF620" s="468"/>
      <c r="AG620" s="468"/>
      <c r="AH620" s="468"/>
      <c r="AI620" s="468"/>
      <c r="AJ620" s="468"/>
    </row>
    <row r="621" spans="1:36" ht="18" customHeight="1" x14ac:dyDescent="0.35">
      <c r="A621" s="468"/>
      <c r="B621" s="468"/>
      <c r="C621" s="468"/>
      <c r="D621" s="468"/>
      <c r="E621" s="468"/>
      <c r="F621" s="468"/>
      <c r="G621" s="468"/>
      <c r="H621" s="468"/>
      <c r="I621" s="468"/>
      <c r="J621" s="468"/>
      <c r="K621" s="468"/>
      <c r="L621" s="468"/>
      <c r="M621" s="468"/>
      <c r="N621" s="468"/>
      <c r="O621" s="468"/>
      <c r="P621" s="468"/>
      <c r="Q621" s="468"/>
      <c r="R621" s="468"/>
      <c r="S621" s="468"/>
      <c r="T621" s="468"/>
      <c r="U621" s="468"/>
      <c r="V621" s="468"/>
      <c r="W621" s="468"/>
      <c r="X621" s="468"/>
      <c r="Y621" s="468"/>
      <c r="Z621" s="468"/>
      <c r="AA621" s="468"/>
      <c r="AB621" s="468"/>
      <c r="AC621" s="468"/>
      <c r="AD621" s="468"/>
      <c r="AE621" s="468"/>
      <c r="AF621" s="468"/>
      <c r="AG621" s="468"/>
      <c r="AH621" s="468"/>
      <c r="AI621" s="468"/>
      <c r="AJ621" s="468"/>
    </row>
    <row r="622" spans="1:36" ht="18" customHeight="1" x14ac:dyDescent="0.35">
      <c r="A622" s="468"/>
      <c r="B622" s="468"/>
      <c r="C622" s="468"/>
      <c r="D622" s="468"/>
      <c r="E622" s="468"/>
      <c r="F622" s="468"/>
      <c r="G622" s="468"/>
      <c r="H622" s="468"/>
      <c r="I622" s="468"/>
      <c r="J622" s="468"/>
      <c r="K622" s="468"/>
      <c r="L622" s="468"/>
      <c r="M622" s="468"/>
      <c r="N622" s="468"/>
      <c r="O622" s="468"/>
      <c r="P622" s="468"/>
      <c r="Q622" s="468"/>
      <c r="R622" s="468"/>
      <c r="S622" s="468"/>
      <c r="T622" s="468"/>
      <c r="U622" s="468"/>
      <c r="V622" s="468"/>
      <c r="W622" s="468"/>
      <c r="X622" s="468"/>
      <c r="Y622" s="468"/>
      <c r="Z622" s="468"/>
      <c r="AA622" s="468"/>
      <c r="AB622" s="468"/>
      <c r="AC622" s="468"/>
      <c r="AD622" s="468"/>
      <c r="AE622" s="468"/>
      <c r="AF622" s="468"/>
      <c r="AG622" s="468"/>
      <c r="AH622" s="468"/>
      <c r="AI622" s="468"/>
      <c r="AJ622" s="468"/>
    </row>
    <row r="623" spans="1:36" ht="18" customHeight="1" x14ac:dyDescent="0.35">
      <c r="A623" s="468"/>
      <c r="B623" s="468"/>
      <c r="C623" s="468"/>
      <c r="D623" s="468"/>
      <c r="E623" s="468"/>
      <c r="F623" s="468"/>
      <c r="G623" s="468"/>
      <c r="H623" s="468"/>
      <c r="I623" s="468"/>
      <c r="J623" s="468"/>
      <c r="K623" s="468"/>
      <c r="L623" s="468"/>
      <c r="M623" s="468"/>
      <c r="N623" s="468"/>
      <c r="O623" s="468"/>
      <c r="P623" s="468"/>
      <c r="Q623" s="468"/>
      <c r="R623" s="468"/>
      <c r="S623" s="468"/>
      <c r="T623" s="468"/>
      <c r="U623" s="468"/>
      <c r="V623" s="468"/>
      <c r="W623" s="468"/>
      <c r="X623" s="468"/>
      <c r="Y623" s="468"/>
      <c r="Z623" s="468"/>
      <c r="AA623" s="468"/>
      <c r="AB623" s="468"/>
      <c r="AC623" s="468"/>
      <c r="AD623" s="468"/>
      <c r="AE623" s="468"/>
      <c r="AF623" s="468"/>
      <c r="AG623" s="468"/>
      <c r="AH623" s="468"/>
      <c r="AI623" s="468"/>
      <c r="AJ623" s="468"/>
    </row>
    <row r="624" spans="1:36" ht="18" customHeight="1" x14ac:dyDescent="0.35">
      <c r="A624" s="468"/>
      <c r="B624" s="468"/>
      <c r="C624" s="468"/>
      <c r="D624" s="468"/>
      <c r="E624" s="468"/>
      <c r="F624" s="468"/>
      <c r="G624" s="468"/>
      <c r="H624" s="468"/>
      <c r="I624" s="468"/>
      <c r="J624" s="468"/>
      <c r="K624" s="468"/>
      <c r="L624" s="468"/>
      <c r="M624" s="468"/>
      <c r="N624" s="468"/>
      <c r="O624" s="468"/>
      <c r="P624" s="468"/>
      <c r="Q624" s="468"/>
      <c r="R624" s="468"/>
      <c r="S624" s="468"/>
      <c r="T624" s="468"/>
      <c r="U624" s="468"/>
      <c r="V624" s="468"/>
      <c r="W624" s="468"/>
      <c r="X624" s="468"/>
      <c r="Y624" s="468"/>
      <c r="Z624" s="468"/>
      <c r="AA624" s="468"/>
      <c r="AB624" s="468"/>
      <c r="AC624" s="468"/>
      <c r="AD624" s="468"/>
      <c r="AE624" s="468"/>
      <c r="AF624" s="468"/>
      <c r="AG624" s="468"/>
      <c r="AH624" s="468"/>
      <c r="AI624" s="468"/>
      <c r="AJ624" s="468"/>
    </row>
    <row r="625" spans="1:36" ht="18" customHeight="1" x14ac:dyDescent="0.35">
      <c r="A625" s="468"/>
      <c r="B625" s="468"/>
      <c r="C625" s="468"/>
      <c r="D625" s="468"/>
      <c r="E625" s="468"/>
      <c r="F625" s="468"/>
      <c r="G625" s="468"/>
      <c r="H625" s="468"/>
      <c r="I625" s="468"/>
      <c r="J625" s="468"/>
      <c r="K625" s="468"/>
      <c r="L625" s="468"/>
      <c r="M625" s="468"/>
      <c r="N625" s="468"/>
      <c r="O625" s="468"/>
      <c r="P625" s="468"/>
      <c r="Q625" s="468"/>
      <c r="R625" s="468"/>
      <c r="S625" s="468"/>
      <c r="T625" s="468"/>
      <c r="U625" s="468"/>
      <c r="V625" s="468"/>
      <c r="W625" s="468"/>
      <c r="X625" s="468"/>
      <c r="Y625" s="468"/>
      <c r="Z625" s="468"/>
      <c r="AA625" s="468"/>
      <c r="AB625" s="468"/>
      <c r="AC625" s="468"/>
      <c r="AD625" s="468"/>
      <c r="AE625" s="468"/>
      <c r="AF625" s="468"/>
      <c r="AG625" s="468"/>
      <c r="AH625" s="468"/>
      <c r="AI625" s="468"/>
      <c r="AJ625" s="468"/>
    </row>
    <row r="626" spans="1:36" ht="18" customHeight="1" x14ac:dyDescent="0.35">
      <c r="A626" s="468"/>
      <c r="B626" s="468"/>
      <c r="C626" s="468"/>
      <c r="D626" s="468"/>
      <c r="E626" s="468"/>
      <c r="F626" s="468"/>
      <c r="G626" s="468"/>
      <c r="H626" s="468"/>
      <c r="I626" s="468"/>
      <c r="J626" s="468"/>
      <c r="K626" s="468"/>
      <c r="L626" s="468"/>
      <c r="M626" s="468"/>
      <c r="N626" s="468"/>
      <c r="O626" s="468"/>
      <c r="P626" s="468"/>
      <c r="Q626" s="468"/>
      <c r="R626" s="468"/>
      <c r="S626" s="468"/>
      <c r="T626" s="468"/>
      <c r="U626" s="468"/>
      <c r="V626" s="468"/>
      <c r="W626" s="468"/>
      <c r="X626" s="468"/>
      <c r="Y626" s="468"/>
      <c r="Z626" s="468"/>
      <c r="AA626" s="468"/>
      <c r="AB626" s="468"/>
      <c r="AC626" s="468"/>
      <c r="AD626" s="468"/>
      <c r="AE626" s="468"/>
      <c r="AF626" s="468"/>
      <c r="AG626" s="468"/>
      <c r="AH626" s="468"/>
      <c r="AI626" s="468"/>
      <c r="AJ626" s="468"/>
    </row>
    <row r="627" spans="1:36" ht="18" customHeight="1" x14ac:dyDescent="0.35">
      <c r="A627" s="468"/>
      <c r="B627" s="468"/>
      <c r="C627" s="468"/>
      <c r="D627" s="468"/>
      <c r="E627" s="468"/>
      <c r="F627" s="468"/>
      <c r="G627" s="468"/>
      <c r="H627" s="468"/>
      <c r="I627" s="468"/>
      <c r="J627" s="468"/>
      <c r="K627" s="468"/>
      <c r="L627" s="468"/>
      <c r="M627" s="468"/>
      <c r="N627" s="468"/>
      <c r="O627" s="468"/>
      <c r="P627" s="468"/>
      <c r="Q627" s="468"/>
      <c r="R627" s="468"/>
      <c r="S627" s="468"/>
      <c r="T627" s="468"/>
      <c r="U627" s="468"/>
      <c r="V627" s="468"/>
      <c r="W627" s="468"/>
      <c r="X627" s="468"/>
      <c r="Y627" s="468"/>
      <c r="Z627" s="468"/>
      <c r="AA627" s="468"/>
      <c r="AB627" s="468"/>
      <c r="AC627" s="468"/>
      <c r="AD627" s="468"/>
      <c r="AE627" s="468"/>
      <c r="AF627" s="468"/>
      <c r="AG627" s="468"/>
      <c r="AH627" s="468"/>
      <c r="AI627" s="468"/>
      <c r="AJ627" s="468"/>
    </row>
    <row r="628" spans="1:36" ht="18" customHeight="1" x14ac:dyDescent="0.35">
      <c r="A628" s="468"/>
      <c r="B628" s="468"/>
      <c r="C628" s="468"/>
      <c r="D628" s="468"/>
      <c r="E628" s="468"/>
      <c r="F628" s="468"/>
      <c r="G628" s="468"/>
      <c r="H628" s="468"/>
      <c r="I628" s="468"/>
      <c r="J628" s="468"/>
      <c r="K628" s="468"/>
      <c r="L628" s="468"/>
      <c r="M628" s="468"/>
      <c r="N628" s="468"/>
      <c r="O628" s="468"/>
      <c r="P628" s="468"/>
      <c r="Q628" s="468"/>
      <c r="R628" s="468"/>
      <c r="S628" s="468"/>
      <c r="T628" s="468"/>
      <c r="U628" s="468"/>
      <c r="V628" s="468"/>
      <c r="W628" s="468"/>
      <c r="X628" s="468"/>
      <c r="Y628" s="468"/>
      <c r="Z628" s="468"/>
      <c r="AA628" s="468"/>
      <c r="AB628" s="468"/>
      <c r="AC628" s="468"/>
      <c r="AD628" s="468"/>
      <c r="AE628" s="468"/>
      <c r="AF628" s="468"/>
      <c r="AG628" s="468"/>
      <c r="AH628" s="468"/>
      <c r="AI628" s="468"/>
      <c r="AJ628" s="468"/>
    </row>
    <row r="629" spans="1:36" ht="18" customHeight="1" x14ac:dyDescent="0.35">
      <c r="A629" s="468"/>
      <c r="B629" s="468"/>
      <c r="C629" s="468"/>
      <c r="D629" s="468"/>
      <c r="E629" s="468"/>
      <c r="F629" s="468"/>
      <c r="G629" s="468"/>
      <c r="H629" s="468"/>
      <c r="I629" s="468"/>
      <c r="J629" s="468"/>
      <c r="K629" s="468"/>
      <c r="L629" s="468"/>
      <c r="M629" s="468"/>
      <c r="N629" s="468"/>
      <c r="O629" s="468"/>
      <c r="P629" s="468"/>
      <c r="Q629" s="468"/>
      <c r="R629" s="468"/>
      <c r="S629" s="468"/>
      <c r="T629" s="468"/>
      <c r="U629" s="468"/>
      <c r="V629" s="468"/>
      <c r="W629" s="468"/>
      <c r="X629" s="468"/>
      <c r="Y629" s="468"/>
      <c r="Z629" s="468"/>
      <c r="AA629" s="468"/>
      <c r="AB629" s="468"/>
      <c r="AC629" s="468"/>
      <c r="AD629" s="468"/>
      <c r="AE629" s="468"/>
      <c r="AF629" s="468"/>
      <c r="AG629" s="468"/>
      <c r="AH629" s="468"/>
      <c r="AI629" s="468"/>
      <c r="AJ629" s="468"/>
    </row>
    <row r="630" spans="1:36" ht="18" customHeight="1" x14ac:dyDescent="0.35">
      <c r="A630" s="468"/>
      <c r="B630" s="468"/>
      <c r="C630" s="468"/>
      <c r="D630" s="468"/>
      <c r="E630" s="468"/>
      <c r="F630" s="468"/>
      <c r="G630" s="468"/>
      <c r="H630" s="468"/>
      <c r="I630" s="468"/>
      <c r="J630" s="468"/>
      <c r="K630" s="468"/>
      <c r="L630" s="468"/>
      <c r="M630" s="468"/>
      <c r="N630" s="468"/>
      <c r="O630" s="468"/>
      <c r="P630" s="468"/>
      <c r="Q630" s="468"/>
      <c r="R630" s="468"/>
      <c r="S630" s="468"/>
      <c r="T630" s="468"/>
      <c r="U630" s="468"/>
      <c r="V630" s="468"/>
      <c r="W630" s="468"/>
      <c r="X630" s="468"/>
      <c r="Y630" s="468"/>
      <c r="Z630" s="468"/>
      <c r="AA630" s="468"/>
      <c r="AB630" s="468"/>
      <c r="AC630" s="468"/>
      <c r="AD630" s="468"/>
      <c r="AE630" s="468"/>
      <c r="AF630" s="468"/>
      <c r="AG630" s="468"/>
      <c r="AH630" s="468"/>
      <c r="AI630" s="468"/>
      <c r="AJ630" s="468"/>
    </row>
    <row r="631" spans="1:36" ht="18" customHeight="1" x14ac:dyDescent="0.35">
      <c r="A631" s="468"/>
      <c r="B631" s="468"/>
      <c r="C631" s="468"/>
      <c r="D631" s="468"/>
      <c r="E631" s="468"/>
      <c r="F631" s="468"/>
      <c r="G631" s="468"/>
      <c r="H631" s="468"/>
      <c r="I631" s="468"/>
      <c r="J631" s="468"/>
      <c r="K631" s="468"/>
      <c r="L631" s="468"/>
      <c r="M631" s="468"/>
      <c r="N631" s="468"/>
      <c r="O631" s="468"/>
      <c r="P631" s="468"/>
      <c r="Q631" s="468"/>
      <c r="R631" s="468"/>
      <c r="S631" s="468"/>
      <c r="T631" s="468"/>
      <c r="U631" s="468"/>
      <c r="V631" s="468"/>
      <c r="W631" s="468"/>
      <c r="X631" s="468"/>
      <c r="Y631" s="468"/>
      <c r="Z631" s="468"/>
      <c r="AA631" s="468"/>
      <c r="AB631" s="468"/>
      <c r="AC631" s="468"/>
      <c r="AD631" s="468"/>
      <c r="AE631" s="468"/>
      <c r="AF631" s="468"/>
      <c r="AG631" s="468"/>
      <c r="AH631" s="468"/>
      <c r="AI631" s="468"/>
      <c r="AJ631" s="468"/>
    </row>
    <row r="632" spans="1:36" ht="18" customHeight="1" x14ac:dyDescent="0.35">
      <c r="A632" s="468"/>
      <c r="B632" s="468"/>
      <c r="C632" s="468"/>
      <c r="D632" s="468"/>
      <c r="E632" s="468"/>
      <c r="F632" s="468"/>
      <c r="G632" s="468"/>
      <c r="H632" s="468"/>
      <c r="I632" s="468"/>
      <c r="J632" s="468"/>
      <c r="K632" s="468"/>
      <c r="L632" s="468"/>
      <c r="M632" s="468"/>
      <c r="N632" s="468"/>
      <c r="O632" s="468"/>
      <c r="P632" s="468"/>
      <c r="Q632" s="468"/>
      <c r="R632" s="468"/>
      <c r="S632" s="468"/>
      <c r="T632" s="468"/>
      <c r="U632" s="468"/>
      <c r="V632" s="468"/>
      <c r="W632" s="468"/>
      <c r="X632" s="468"/>
      <c r="Y632" s="468"/>
      <c r="Z632" s="468"/>
      <c r="AA632" s="468"/>
      <c r="AB632" s="468"/>
      <c r="AC632" s="468"/>
      <c r="AD632" s="468"/>
      <c r="AE632" s="468"/>
      <c r="AF632" s="468"/>
      <c r="AG632" s="468"/>
      <c r="AH632" s="468"/>
      <c r="AI632" s="468"/>
      <c r="AJ632" s="468"/>
    </row>
    <row r="633" spans="1:36" ht="18" customHeight="1" x14ac:dyDescent="0.35">
      <c r="A633" s="468"/>
      <c r="B633" s="468"/>
      <c r="C633" s="468"/>
      <c r="D633" s="468"/>
      <c r="E633" s="468"/>
      <c r="F633" s="468"/>
      <c r="G633" s="468"/>
      <c r="H633" s="468"/>
      <c r="I633" s="468"/>
      <c r="J633" s="468"/>
      <c r="K633" s="468"/>
      <c r="L633" s="468"/>
      <c r="M633" s="468"/>
      <c r="N633" s="468"/>
      <c r="O633" s="468"/>
      <c r="P633" s="468"/>
      <c r="Q633" s="468"/>
      <c r="R633" s="468"/>
      <c r="S633" s="468"/>
      <c r="T633" s="468"/>
      <c r="U633" s="468"/>
      <c r="V633" s="468"/>
      <c r="W633" s="468"/>
      <c r="X633" s="468"/>
      <c r="Y633" s="468"/>
      <c r="Z633" s="468"/>
      <c r="AA633" s="468"/>
      <c r="AB633" s="468"/>
      <c r="AC633" s="468"/>
      <c r="AD633" s="468"/>
      <c r="AE633" s="468"/>
      <c r="AF633" s="468"/>
      <c r="AG633" s="468"/>
      <c r="AH633" s="468"/>
      <c r="AI633" s="468"/>
      <c r="AJ633" s="468"/>
    </row>
    <row r="634" spans="1:36" ht="18" customHeight="1" x14ac:dyDescent="0.35">
      <c r="A634" s="468"/>
      <c r="B634" s="468"/>
      <c r="C634" s="468"/>
      <c r="D634" s="468"/>
      <c r="E634" s="468"/>
      <c r="F634" s="468"/>
      <c r="G634" s="468"/>
      <c r="H634" s="468"/>
      <c r="I634" s="468"/>
      <c r="J634" s="468"/>
      <c r="K634" s="468"/>
      <c r="L634" s="468"/>
      <c r="M634" s="468"/>
      <c r="N634" s="468"/>
      <c r="O634" s="468"/>
      <c r="P634" s="468"/>
      <c r="Q634" s="468"/>
      <c r="R634" s="468"/>
      <c r="S634" s="468"/>
      <c r="T634" s="468"/>
      <c r="U634" s="468"/>
      <c r="V634" s="468"/>
      <c r="W634" s="468"/>
      <c r="X634" s="468"/>
      <c r="Y634" s="468"/>
      <c r="Z634" s="468"/>
      <c r="AA634" s="468"/>
      <c r="AB634" s="468"/>
      <c r="AC634" s="468"/>
      <c r="AD634" s="468"/>
      <c r="AE634" s="468"/>
      <c r="AF634" s="468"/>
      <c r="AG634" s="468"/>
      <c r="AH634" s="468"/>
      <c r="AI634" s="468"/>
      <c r="AJ634" s="468"/>
    </row>
    <row r="635" spans="1:36" ht="18" customHeight="1" x14ac:dyDescent="0.35">
      <c r="A635" s="468"/>
      <c r="B635" s="468"/>
      <c r="C635" s="468"/>
      <c r="D635" s="468"/>
      <c r="E635" s="468"/>
      <c r="F635" s="468"/>
      <c r="G635" s="468"/>
      <c r="H635" s="468"/>
      <c r="I635" s="468"/>
      <c r="J635" s="468"/>
      <c r="K635" s="468"/>
      <c r="L635" s="468"/>
      <c r="M635" s="468"/>
      <c r="N635" s="468"/>
      <c r="O635" s="468"/>
      <c r="P635" s="468"/>
      <c r="Q635" s="468"/>
      <c r="R635" s="468"/>
      <c r="S635" s="468"/>
      <c r="T635" s="468"/>
      <c r="U635" s="468"/>
      <c r="V635" s="468"/>
      <c r="W635" s="468"/>
      <c r="X635" s="468"/>
      <c r="Y635" s="468"/>
      <c r="Z635" s="468"/>
      <c r="AA635" s="468"/>
      <c r="AB635" s="468"/>
      <c r="AC635" s="468"/>
      <c r="AD635" s="468"/>
      <c r="AE635" s="468"/>
      <c r="AF635" s="468"/>
      <c r="AG635" s="468"/>
      <c r="AH635" s="468"/>
      <c r="AI635" s="468"/>
      <c r="AJ635" s="468"/>
    </row>
    <row r="636" spans="1:36" ht="18" customHeight="1" x14ac:dyDescent="0.35">
      <c r="A636" s="468"/>
      <c r="B636" s="468"/>
      <c r="C636" s="468"/>
      <c r="D636" s="468"/>
      <c r="E636" s="468"/>
      <c r="F636" s="468"/>
      <c r="G636" s="468"/>
      <c r="H636" s="468"/>
      <c r="I636" s="468"/>
      <c r="J636" s="468"/>
      <c r="K636" s="468"/>
      <c r="L636" s="468"/>
      <c r="M636" s="468"/>
      <c r="N636" s="468"/>
      <c r="O636" s="468"/>
      <c r="P636" s="468"/>
      <c r="Q636" s="468"/>
      <c r="R636" s="468"/>
      <c r="S636" s="468"/>
      <c r="T636" s="468"/>
      <c r="U636" s="468"/>
      <c r="V636" s="468"/>
      <c r="W636" s="468"/>
      <c r="X636" s="468"/>
      <c r="Y636" s="468"/>
      <c r="Z636" s="468"/>
      <c r="AA636" s="468"/>
      <c r="AB636" s="468"/>
      <c r="AC636" s="468"/>
      <c r="AD636" s="468"/>
      <c r="AE636" s="468"/>
      <c r="AF636" s="468"/>
      <c r="AG636" s="468"/>
      <c r="AH636" s="468"/>
      <c r="AI636" s="468"/>
      <c r="AJ636" s="468"/>
    </row>
    <row r="637" spans="1:36" ht="18" customHeight="1" x14ac:dyDescent="0.35">
      <c r="A637" s="468"/>
      <c r="B637" s="468"/>
      <c r="C637" s="468"/>
      <c r="D637" s="468"/>
      <c r="E637" s="468"/>
      <c r="F637" s="468"/>
      <c r="G637" s="468"/>
      <c r="H637" s="468"/>
      <c r="I637" s="468"/>
      <c r="J637" s="468"/>
      <c r="K637" s="468"/>
      <c r="L637" s="468"/>
      <c r="M637" s="468"/>
      <c r="N637" s="468"/>
      <c r="O637" s="468"/>
      <c r="P637" s="468"/>
      <c r="Q637" s="468"/>
      <c r="R637" s="468"/>
      <c r="S637" s="468"/>
      <c r="T637" s="468"/>
      <c r="U637" s="468"/>
      <c r="V637" s="468"/>
      <c r="W637" s="468"/>
      <c r="X637" s="468"/>
      <c r="Y637" s="468"/>
      <c r="Z637" s="468"/>
      <c r="AA637" s="468"/>
      <c r="AB637" s="468"/>
      <c r="AC637" s="468"/>
      <c r="AD637" s="468"/>
      <c r="AE637" s="468"/>
      <c r="AF637" s="468"/>
      <c r="AG637" s="468"/>
      <c r="AH637" s="468"/>
      <c r="AI637" s="468"/>
      <c r="AJ637" s="468"/>
    </row>
    <row r="638" spans="1:36" ht="18" customHeight="1" x14ac:dyDescent="0.35">
      <c r="A638" s="468"/>
      <c r="B638" s="468"/>
      <c r="C638" s="468"/>
      <c r="D638" s="468"/>
      <c r="E638" s="468"/>
      <c r="F638" s="468"/>
      <c r="G638" s="468"/>
      <c r="H638" s="468"/>
      <c r="I638" s="468"/>
      <c r="J638" s="468"/>
      <c r="K638" s="468"/>
      <c r="L638" s="468"/>
      <c r="M638" s="468"/>
      <c r="N638" s="468"/>
      <c r="O638" s="468"/>
      <c r="P638" s="468"/>
      <c r="Q638" s="468"/>
      <c r="R638" s="468"/>
      <c r="S638" s="468"/>
      <c r="T638" s="468"/>
      <c r="U638" s="468"/>
      <c r="V638" s="468"/>
      <c r="W638" s="468"/>
      <c r="X638" s="468"/>
      <c r="Y638" s="468"/>
      <c r="Z638" s="468"/>
      <c r="AA638" s="468"/>
      <c r="AB638" s="468"/>
      <c r="AC638" s="468"/>
      <c r="AD638" s="468"/>
      <c r="AE638" s="468"/>
      <c r="AF638" s="468"/>
      <c r="AG638" s="468"/>
      <c r="AH638" s="468"/>
      <c r="AI638" s="468"/>
      <c r="AJ638" s="468"/>
    </row>
    <row r="639" spans="1:36" ht="18" customHeight="1" x14ac:dyDescent="0.35">
      <c r="A639" s="468"/>
      <c r="B639" s="468"/>
      <c r="C639" s="468"/>
      <c r="D639" s="468"/>
      <c r="E639" s="468"/>
      <c r="F639" s="468"/>
      <c r="G639" s="468"/>
      <c r="H639" s="468"/>
      <c r="I639" s="468"/>
      <c r="J639" s="468"/>
      <c r="K639" s="468"/>
      <c r="L639" s="468"/>
      <c r="M639" s="468"/>
      <c r="N639" s="468"/>
      <c r="O639" s="468"/>
      <c r="P639" s="468"/>
      <c r="Q639" s="468"/>
      <c r="R639" s="468"/>
      <c r="S639" s="468"/>
      <c r="T639" s="468"/>
      <c r="U639" s="468"/>
      <c r="V639" s="468"/>
      <c r="W639" s="468"/>
      <c r="X639" s="468"/>
      <c r="Y639" s="468"/>
      <c r="Z639" s="468"/>
      <c r="AA639" s="468"/>
      <c r="AB639" s="468"/>
      <c r="AC639" s="468"/>
      <c r="AD639" s="468"/>
      <c r="AE639" s="468"/>
      <c r="AF639" s="468"/>
      <c r="AG639" s="468"/>
      <c r="AH639" s="468"/>
      <c r="AI639" s="468"/>
      <c r="AJ639" s="468"/>
    </row>
    <row r="640" spans="1:36" ht="18" customHeight="1" x14ac:dyDescent="0.35">
      <c r="A640" s="468"/>
      <c r="B640" s="468"/>
      <c r="C640" s="468"/>
      <c r="D640" s="468"/>
      <c r="E640" s="468"/>
      <c r="F640" s="468"/>
      <c r="G640" s="468"/>
      <c r="H640" s="468"/>
      <c r="I640" s="468"/>
      <c r="J640" s="468"/>
      <c r="K640" s="468"/>
      <c r="L640" s="468"/>
      <c r="M640" s="468"/>
      <c r="N640" s="468"/>
      <c r="O640" s="468"/>
      <c r="P640" s="468"/>
      <c r="Q640" s="468"/>
      <c r="R640" s="468"/>
      <c r="S640" s="468"/>
      <c r="T640" s="468"/>
      <c r="U640" s="468"/>
      <c r="V640" s="468"/>
      <c r="W640" s="468"/>
      <c r="X640" s="468"/>
      <c r="Y640" s="468"/>
      <c r="Z640" s="468"/>
      <c r="AA640" s="468"/>
      <c r="AB640" s="468"/>
      <c r="AC640" s="468"/>
      <c r="AD640" s="468"/>
      <c r="AE640" s="468"/>
      <c r="AF640" s="468"/>
      <c r="AG640" s="468"/>
      <c r="AH640" s="468"/>
      <c r="AI640" s="468"/>
      <c r="AJ640" s="468"/>
    </row>
    <row r="641" spans="1:36" ht="18" customHeight="1" x14ac:dyDescent="0.35">
      <c r="A641" s="468"/>
      <c r="B641" s="468"/>
      <c r="C641" s="468"/>
      <c r="D641" s="468"/>
      <c r="E641" s="468"/>
      <c r="F641" s="468"/>
      <c r="G641" s="468"/>
      <c r="H641" s="468"/>
      <c r="I641" s="468"/>
      <c r="J641" s="468"/>
      <c r="K641" s="468"/>
      <c r="L641" s="468"/>
      <c r="M641" s="468"/>
      <c r="N641" s="468"/>
      <c r="O641" s="468"/>
      <c r="P641" s="468"/>
      <c r="Q641" s="468"/>
      <c r="R641" s="468"/>
      <c r="S641" s="468"/>
      <c r="T641" s="468"/>
      <c r="U641" s="468"/>
      <c r="V641" s="468"/>
      <c r="W641" s="468"/>
      <c r="X641" s="468"/>
      <c r="Y641" s="468"/>
      <c r="Z641" s="468"/>
      <c r="AA641" s="468"/>
      <c r="AB641" s="468"/>
      <c r="AC641" s="468"/>
      <c r="AD641" s="468"/>
      <c r="AE641" s="468"/>
      <c r="AF641" s="468"/>
      <c r="AG641" s="468"/>
      <c r="AH641" s="468"/>
      <c r="AI641" s="468"/>
      <c r="AJ641" s="468"/>
    </row>
    <row r="642" spans="1:36" ht="18" customHeight="1" x14ac:dyDescent="0.35">
      <c r="A642" s="468"/>
      <c r="B642" s="468"/>
      <c r="C642" s="468"/>
      <c r="D642" s="468"/>
      <c r="E642" s="468"/>
      <c r="F642" s="468"/>
      <c r="G642" s="468"/>
      <c r="H642" s="468"/>
      <c r="I642" s="468"/>
      <c r="J642" s="468"/>
      <c r="K642" s="468"/>
      <c r="L642" s="468"/>
      <c r="M642" s="468"/>
      <c r="N642" s="468"/>
      <c r="O642" s="468"/>
      <c r="P642" s="468"/>
      <c r="Q642" s="468"/>
      <c r="R642" s="468"/>
      <c r="S642" s="468"/>
      <c r="T642" s="468"/>
      <c r="U642" s="468"/>
      <c r="V642" s="468"/>
      <c r="W642" s="468"/>
      <c r="X642" s="468"/>
      <c r="Y642" s="468"/>
      <c r="Z642" s="468"/>
      <c r="AA642" s="468"/>
      <c r="AB642" s="468"/>
      <c r="AC642" s="468"/>
      <c r="AD642" s="468"/>
      <c r="AE642" s="468"/>
      <c r="AF642" s="468"/>
      <c r="AG642" s="468"/>
      <c r="AH642" s="468"/>
      <c r="AI642" s="468"/>
      <c r="AJ642" s="468"/>
    </row>
    <row r="643" spans="1:36" ht="18" customHeight="1" x14ac:dyDescent="0.35">
      <c r="A643" s="468"/>
      <c r="B643" s="468"/>
      <c r="C643" s="468"/>
      <c r="D643" s="468"/>
      <c r="E643" s="468"/>
      <c r="F643" s="468"/>
      <c r="G643" s="468"/>
      <c r="H643" s="468"/>
      <c r="I643" s="468"/>
      <c r="J643" s="468"/>
      <c r="K643" s="468"/>
      <c r="L643" s="468"/>
      <c r="M643" s="468"/>
      <c r="N643" s="468"/>
      <c r="O643" s="468"/>
      <c r="P643" s="468"/>
      <c r="Q643" s="468"/>
      <c r="R643" s="468"/>
      <c r="S643" s="468"/>
      <c r="T643" s="468"/>
      <c r="U643" s="468"/>
      <c r="V643" s="468"/>
      <c r="W643" s="468"/>
      <c r="X643" s="468"/>
      <c r="Y643" s="468"/>
      <c r="Z643" s="468"/>
      <c r="AA643" s="468"/>
      <c r="AB643" s="468"/>
      <c r="AC643" s="468"/>
      <c r="AD643" s="468"/>
      <c r="AE643" s="468"/>
      <c r="AF643" s="468"/>
      <c r="AG643" s="468"/>
      <c r="AH643" s="468"/>
      <c r="AI643" s="468"/>
      <c r="AJ643" s="468"/>
    </row>
    <row r="644" spans="1:36" ht="18" customHeight="1" x14ac:dyDescent="0.35">
      <c r="A644" s="468"/>
      <c r="B644" s="468"/>
      <c r="C644" s="468"/>
      <c r="D644" s="468"/>
      <c r="E644" s="468"/>
      <c r="F644" s="468"/>
      <c r="G644" s="468"/>
      <c r="H644" s="468"/>
      <c r="I644" s="468"/>
      <c r="J644" s="468"/>
      <c r="K644" s="468"/>
      <c r="L644" s="468"/>
      <c r="M644" s="468"/>
      <c r="N644" s="468"/>
      <c r="O644" s="468"/>
      <c r="P644" s="468"/>
      <c r="Q644" s="468"/>
      <c r="R644" s="468"/>
      <c r="S644" s="468"/>
      <c r="T644" s="468"/>
      <c r="U644" s="468"/>
      <c r="V644" s="468"/>
      <c r="W644" s="468"/>
      <c r="X644" s="468"/>
      <c r="Y644" s="468"/>
      <c r="Z644" s="468"/>
      <c r="AA644" s="468"/>
      <c r="AB644" s="468"/>
      <c r="AC644" s="468"/>
      <c r="AD644" s="468"/>
      <c r="AE644" s="468"/>
      <c r="AF644" s="468"/>
      <c r="AG644" s="468"/>
      <c r="AH644" s="468"/>
      <c r="AI644" s="468"/>
      <c r="AJ644" s="468"/>
    </row>
    <row r="645" spans="1:36" ht="18" customHeight="1" x14ac:dyDescent="0.35">
      <c r="A645" s="468"/>
      <c r="B645" s="468"/>
      <c r="C645" s="468"/>
      <c r="D645" s="468"/>
      <c r="E645" s="468"/>
      <c r="F645" s="468"/>
      <c r="G645" s="468"/>
      <c r="H645" s="468"/>
      <c r="I645" s="468"/>
      <c r="J645" s="468"/>
      <c r="K645" s="468"/>
      <c r="L645" s="468"/>
      <c r="M645" s="468"/>
      <c r="N645" s="468"/>
      <c r="O645" s="468"/>
      <c r="P645" s="468"/>
      <c r="Q645" s="468"/>
      <c r="R645" s="468"/>
      <c r="S645" s="468"/>
      <c r="T645" s="468"/>
      <c r="U645" s="468"/>
      <c r="V645" s="468"/>
      <c r="W645" s="468"/>
      <c r="X645" s="468"/>
      <c r="Y645" s="468"/>
      <c r="Z645" s="468"/>
      <c r="AA645" s="468"/>
      <c r="AB645" s="468"/>
      <c r="AC645" s="468"/>
      <c r="AD645" s="468"/>
      <c r="AE645" s="468"/>
      <c r="AF645" s="468"/>
      <c r="AG645" s="468"/>
      <c r="AH645" s="468"/>
      <c r="AI645" s="468"/>
      <c r="AJ645" s="468"/>
    </row>
    <row r="646" spans="1:36" ht="18" customHeight="1" x14ac:dyDescent="0.35">
      <c r="A646" s="468"/>
      <c r="B646" s="468"/>
      <c r="C646" s="468"/>
      <c r="D646" s="468"/>
      <c r="E646" s="468"/>
      <c r="F646" s="468"/>
      <c r="G646" s="468"/>
      <c r="H646" s="468"/>
      <c r="I646" s="468"/>
      <c r="J646" s="468"/>
      <c r="K646" s="468"/>
      <c r="L646" s="468"/>
      <c r="M646" s="468"/>
      <c r="N646" s="468"/>
      <c r="O646" s="468"/>
      <c r="P646" s="468"/>
      <c r="Q646" s="468"/>
      <c r="R646" s="468"/>
      <c r="S646" s="468"/>
      <c r="T646" s="468"/>
      <c r="U646" s="468"/>
      <c r="V646" s="468"/>
      <c r="W646" s="468"/>
      <c r="X646" s="468"/>
      <c r="Y646" s="468"/>
      <c r="Z646" s="468"/>
      <c r="AA646" s="468"/>
      <c r="AB646" s="468"/>
      <c r="AC646" s="468"/>
      <c r="AD646" s="468"/>
      <c r="AE646" s="468"/>
      <c r="AF646" s="468"/>
      <c r="AG646" s="468"/>
      <c r="AH646" s="468"/>
      <c r="AI646" s="468"/>
      <c r="AJ646" s="468"/>
    </row>
    <row r="647" spans="1:36" ht="18" customHeight="1" x14ac:dyDescent="0.35">
      <c r="A647" s="468"/>
      <c r="B647" s="468"/>
      <c r="C647" s="468"/>
      <c r="D647" s="468"/>
      <c r="E647" s="468"/>
      <c r="F647" s="468"/>
      <c r="G647" s="468"/>
      <c r="H647" s="468"/>
      <c r="I647" s="468"/>
      <c r="J647" s="468"/>
      <c r="K647" s="468"/>
      <c r="L647" s="468"/>
      <c r="M647" s="468"/>
      <c r="N647" s="468"/>
      <c r="O647" s="468"/>
      <c r="P647" s="468"/>
      <c r="Q647" s="468"/>
      <c r="R647" s="468"/>
      <c r="S647" s="468"/>
      <c r="T647" s="468"/>
      <c r="U647" s="468"/>
      <c r="V647" s="468"/>
      <c r="W647" s="468"/>
      <c r="X647" s="468"/>
      <c r="Y647" s="468"/>
      <c r="Z647" s="468"/>
      <c r="AA647" s="468"/>
      <c r="AB647" s="468"/>
      <c r="AC647" s="468"/>
      <c r="AD647" s="468"/>
      <c r="AE647" s="468"/>
      <c r="AF647" s="468"/>
      <c r="AG647" s="468"/>
      <c r="AH647" s="468"/>
      <c r="AI647" s="468"/>
      <c r="AJ647" s="468"/>
    </row>
    <row r="648" spans="1:36" ht="18" customHeight="1" x14ac:dyDescent="0.35">
      <c r="A648" s="468"/>
      <c r="B648" s="468"/>
      <c r="C648" s="468"/>
      <c r="D648" s="468"/>
      <c r="E648" s="468"/>
      <c r="F648" s="468"/>
      <c r="G648" s="468"/>
      <c r="H648" s="468"/>
      <c r="I648" s="468"/>
      <c r="J648" s="468"/>
      <c r="K648" s="468"/>
      <c r="L648" s="468"/>
      <c r="M648" s="468"/>
      <c r="N648" s="468"/>
      <c r="O648" s="468"/>
      <c r="P648" s="468"/>
      <c r="Q648" s="468"/>
      <c r="R648" s="468"/>
      <c r="S648" s="468"/>
      <c r="T648" s="468"/>
      <c r="U648" s="468"/>
      <c r="V648" s="468"/>
      <c r="W648" s="468"/>
      <c r="X648" s="468"/>
      <c r="Y648" s="468"/>
      <c r="Z648" s="468"/>
      <c r="AA648" s="468"/>
      <c r="AB648" s="468"/>
      <c r="AC648" s="468"/>
      <c r="AD648" s="468"/>
      <c r="AE648" s="468"/>
      <c r="AF648" s="468"/>
      <c r="AG648" s="468"/>
      <c r="AH648" s="468"/>
      <c r="AI648" s="468"/>
      <c r="AJ648" s="468"/>
    </row>
    <row r="649" spans="1:36" ht="18" customHeight="1" x14ac:dyDescent="0.35">
      <c r="A649" s="468"/>
      <c r="B649" s="468"/>
      <c r="C649" s="468"/>
      <c r="D649" s="468"/>
      <c r="E649" s="468"/>
      <c r="F649" s="468"/>
      <c r="G649" s="468"/>
      <c r="H649" s="468"/>
      <c r="I649" s="468"/>
      <c r="J649" s="468"/>
      <c r="K649" s="468"/>
      <c r="L649" s="468"/>
      <c r="M649" s="468"/>
      <c r="N649" s="468"/>
      <c r="O649" s="468"/>
      <c r="P649" s="468"/>
      <c r="Q649" s="468"/>
      <c r="R649" s="468"/>
      <c r="S649" s="468"/>
      <c r="T649" s="468"/>
      <c r="U649" s="468"/>
      <c r="V649" s="468"/>
      <c r="W649" s="468"/>
      <c r="X649" s="468"/>
      <c r="Y649" s="468"/>
      <c r="Z649" s="468"/>
      <c r="AA649" s="468"/>
      <c r="AB649" s="468"/>
      <c r="AC649" s="468"/>
      <c r="AD649" s="468"/>
      <c r="AE649" s="468"/>
      <c r="AF649" s="468"/>
      <c r="AG649" s="468"/>
      <c r="AH649" s="468"/>
      <c r="AI649" s="468"/>
      <c r="AJ649" s="468"/>
    </row>
    <row r="650" spans="1:36" ht="18" customHeight="1" x14ac:dyDescent="0.35">
      <c r="A650" s="468"/>
      <c r="B650" s="468"/>
      <c r="C650" s="468"/>
      <c r="D650" s="468"/>
      <c r="E650" s="468"/>
      <c r="F650" s="468"/>
      <c r="G650" s="468"/>
      <c r="H650" s="468"/>
      <c r="I650" s="468"/>
      <c r="J650" s="468"/>
      <c r="K650" s="468"/>
      <c r="L650" s="468"/>
      <c r="M650" s="468"/>
      <c r="N650" s="468"/>
      <c r="O650" s="468"/>
      <c r="P650" s="468"/>
      <c r="Q650" s="468"/>
      <c r="R650" s="468"/>
      <c r="S650" s="468"/>
      <c r="T650" s="468"/>
      <c r="U650" s="468"/>
      <c r="V650" s="468"/>
      <c r="W650" s="468"/>
      <c r="X650" s="468"/>
      <c r="Y650" s="468"/>
      <c r="Z650" s="468"/>
      <c r="AA650" s="468"/>
      <c r="AB650" s="468"/>
      <c r="AC650" s="468"/>
      <c r="AD650" s="468"/>
      <c r="AE650" s="468"/>
      <c r="AF650" s="468"/>
      <c r="AG650" s="468"/>
      <c r="AH650" s="468"/>
      <c r="AI650" s="468"/>
      <c r="AJ650" s="468"/>
    </row>
    <row r="651" spans="1:36" ht="18" customHeight="1" x14ac:dyDescent="0.35">
      <c r="A651" s="468"/>
      <c r="B651" s="468"/>
      <c r="C651" s="468"/>
      <c r="D651" s="468"/>
      <c r="E651" s="468"/>
      <c r="F651" s="468"/>
      <c r="G651" s="468"/>
      <c r="H651" s="468"/>
      <c r="I651" s="468"/>
      <c r="J651" s="468"/>
      <c r="K651" s="468"/>
      <c r="L651" s="468"/>
      <c r="M651" s="468"/>
      <c r="N651" s="468"/>
      <c r="O651" s="468"/>
      <c r="P651" s="468"/>
      <c r="Q651" s="468"/>
      <c r="R651" s="468"/>
      <c r="S651" s="468"/>
      <c r="T651" s="468"/>
      <c r="U651" s="468"/>
      <c r="V651" s="468"/>
      <c r="W651" s="468"/>
      <c r="X651" s="468"/>
      <c r="Y651" s="468"/>
      <c r="Z651" s="468"/>
      <c r="AA651" s="468"/>
      <c r="AB651" s="468"/>
      <c r="AC651" s="468"/>
      <c r="AD651" s="468"/>
      <c r="AE651" s="468"/>
      <c r="AF651" s="468"/>
      <c r="AG651" s="468"/>
      <c r="AH651" s="468"/>
      <c r="AI651" s="468"/>
      <c r="AJ651" s="468"/>
    </row>
    <row r="652" spans="1:36" ht="18" customHeight="1" x14ac:dyDescent="0.35">
      <c r="A652" s="468"/>
      <c r="B652" s="468"/>
      <c r="C652" s="468"/>
      <c r="D652" s="468"/>
      <c r="E652" s="468"/>
      <c r="F652" s="468"/>
      <c r="G652" s="468"/>
      <c r="H652" s="468"/>
      <c r="I652" s="468"/>
      <c r="J652" s="468"/>
      <c r="K652" s="468"/>
      <c r="L652" s="468"/>
      <c r="M652" s="468"/>
      <c r="N652" s="468"/>
      <c r="O652" s="468"/>
      <c r="P652" s="468"/>
      <c r="Q652" s="468"/>
      <c r="R652" s="468"/>
      <c r="S652" s="468"/>
      <c r="T652" s="468"/>
      <c r="U652" s="468"/>
      <c r="V652" s="468"/>
      <c r="W652" s="468"/>
      <c r="X652" s="468"/>
      <c r="Y652" s="468"/>
      <c r="Z652" s="468"/>
      <c r="AA652" s="468"/>
      <c r="AB652" s="468"/>
      <c r="AC652" s="468"/>
      <c r="AD652" s="468"/>
      <c r="AE652" s="468"/>
      <c r="AF652" s="468"/>
      <c r="AG652" s="468"/>
      <c r="AH652" s="468"/>
      <c r="AI652" s="468"/>
      <c r="AJ652" s="468"/>
    </row>
    <row r="653" spans="1:36" ht="18" customHeight="1" x14ac:dyDescent="0.35">
      <c r="A653" s="468"/>
      <c r="B653" s="468"/>
      <c r="C653" s="468"/>
      <c r="D653" s="468"/>
      <c r="E653" s="468"/>
      <c r="F653" s="468"/>
      <c r="G653" s="468"/>
      <c r="H653" s="468"/>
      <c r="I653" s="468"/>
      <c r="J653" s="468"/>
      <c r="K653" s="468"/>
      <c r="L653" s="468"/>
      <c r="M653" s="468"/>
      <c r="N653" s="468"/>
      <c r="O653" s="468"/>
      <c r="P653" s="468"/>
      <c r="Q653" s="468"/>
      <c r="R653" s="468"/>
      <c r="S653" s="468"/>
      <c r="T653" s="468"/>
      <c r="U653" s="468"/>
      <c r="V653" s="468"/>
      <c r="W653" s="468"/>
      <c r="X653" s="468"/>
      <c r="Y653" s="468"/>
      <c r="Z653" s="468"/>
      <c r="AA653" s="468"/>
      <c r="AB653" s="468"/>
      <c r="AC653" s="468"/>
      <c r="AD653" s="468"/>
      <c r="AE653" s="468"/>
      <c r="AF653" s="468"/>
      <c r="AG653" s="468"/>
      <c r="AH653" s="468"/>
      <c r="AI653" s="468"/>
      <c r="AJ653" s="468"/>
    </row>
    <row r="654" spans="1:36" ht="18" customHeight="1" x14ac:dyDescent="0.35">
      <c r="A654" s="468"/>
      <c r="B654" s="468"/>
      <c r="C654" s="468"/>
      <c r="D654" s="468"/>
      <c r="E654" s="468"/>
      <c r="F654" s="468"/>
      <c r="G654" s="468"/>
      <c r="H654" s="468"/>
      <c r="I654" s="468"/>
      <c r="J654" s="468"/>
      <c r="K654" s="468"/>
      <c r="L654" s="468"/>
      <c r="M654" s="468"/>
      <c r="N654" s="468"/>
      <c r="O654" s="468"/>
      <c r="P654" s="468"/>
      <c r="Q654" s="468"/>
      <c r="R654" s="468"/>
      <c r="S654" s="468"/>
      <c r="T654" s="468"/>
      <c r="U654" s="468"/>
      <c r="V654" s="468"/>
      <c r="W654" s="468"/>
      <c r="X654" s="468"/>
      <c r="Y654" s="468"/>
      <c r="Z654" s="468"/>
      <c r="AA654" s="468"/>
      <c r="AB654" s="468"/>
      <c r="AC654" s="468"/>
      <c r="AD654" s="468"/>
      <c r="AE654" s="468"/>
      <c r="AF654" s="468"/>
      <c r="AG654" s="468"/>
      <c r="AH654" s="468"/>
      <c r="AI654" s="468"/>
      <c r="AJ654" s="468"/>
    </row>
    <row r="655" spans="1:36" ht="18" customHeight="1" x14ac:dyDescent="0.35">
      <c r="A655" s="468"/>
      <c r="B655" s="468"/>
      <c r="C655" s="468"/>
      <c r="D655" s="468"/>
      <c r="E655" s="468"/>
      <c r="F655" s="468"/>
      <c r="G655" s="468"/>
      <c r="H655" s="468"/>
      <c r="I655" s="468"/>
      <c r="J655" s="468"/>
      <c r="K655" s="468"/>
      <c r="L655" s="468"/>
      <c r="M655" s="468"/>
      <c r="N655" s="468"/>
      <c r="O655" s="468"/>
      <c r="P655" s="468"/>
      <c r="Q655" s="468"/>
      <c r="R655" s="468"/>
      <c r="S655" s="468"/>
      <c r="T655" s="468"/>
      <c r="U655" s="468"/>
      <c r="V655" s="468"/>
      <c r="W655" s="468"/>
      <c r="X655" s="468"/>
      <c r="Y655" s="468"/>
      <c r="Z655" s="468"/>
      <c r="AA655" s="468"/>
      <c r="AB655" s="468"/>
      <c r="AC655" s="468"/>
      <c r="AD655" s="468"/>
      <c r="AE655" s="468"/>
      <c r="AF655" s="468"/>
      <c r="AG655" s="468"/>
      <c r="AH655" s="468"/>
      <c r="AI655" s="468"/>
      <c r="AJ655" s="468"/>
    </row>
    <row r="656" spans="1:36" ht="18" customHeight="1" x14ac:dyDescent="0.35">
      <c r="A656" s="468"/>
      <c r="B656" s="468"/>
      <c r="C656" s="468"/>
      <c r="D656" s="468"/>
      <c r="E656" s="468"/>
      <c r="F656" s="468"/>
      <c r="G656" s="468"/>
      <c r="H656" s="468"/>
      <c r="I656" s="468"/>
      <c r="J656" s="468"/>
      <c r="K656" s="468"/>
      <c r="L656" s="468"/>
      <c r="M656" s="468"/>
      <c r="N656" s="468"/>
      <c r="O656" s="468"/>
      <c r="P656" s="468"/>
      <c r="Q656" s="468"/>
      <c r="R656" s="468"/>
      <c r="S656" s="468"/>
      <c r="T656" s="468"/>
      <c r="U656" s="468"/>
      <c r="V656" s="468"/>
      <c r="W656" s="468"/>
      <c r="X656" s="468"/>
      <c r="Y656" s="468"/>
      <c r="Z656" s="468"/>
      <c r="AA656" s="468"/>
      <c r="AB656" s="468"/>
      <c r="AC656" s="468"/>
      <c r="AD656" s="468"/>
      <c r="AE656" s="468"/>
      <c r="AF656" s="468"/>
      <c r="AG656" s="468"/>
      <c r="AH656" s="468"/>
      <c r="AI656" s="468"/>
      <c r="AJ656" s="468"/>
    </row>
    <row r="657" spans="1:36" ht="18" customHeight="1" x14ac:dyDescent="0.35">
      <c r="A657" s="468"/>
      <c r="B657" s="468"/>
      <c r="C657" s="468"/>
      <c r="D657" s="468"/>
      <c r="E657" s="468"/>
      <c r="F657" s="468"/>
      <c r="G657" s="468"/>
      <c r="H657" s="468"/>
      <c r="I657" s="468"/>
      <c r="J657" s="468"/>
      <c r="K657" s="468"/>
      <c r="L657" s="468"/>
      <c r="M657" s="468"/>
      <c r="N657" s="468"/>
      <c r="O657" s="468"/>
      <c r="P657" s="468"/>
      <c r="Q657" s="468"/>
      <c r="R657" s="468"/>
      <c r="S657" s="468"/>
      <c r="T657" s="468"/>
      <c r="U657" s="468"/>
      <c r="V657" s="468"/>
      <c r="W657" s="468"/>
      <c r="X657" s="468"/>
      <c r="Y657" s="468"/>
      <c r="Z657" s="468"/>
      <c r="AA657" s="468"/>
      <c r="AB657" s="468"/>
      <c r="AC657" s="468"/>
      <c r="AD657" s="468"/>
      <c r="AE657" s="468"/>
      <c r="AF657" s="468"/>
      <c r="AG657" s="468"/>
      <c r="AH657" s="468"/>
      <c r="AI657" s="468"/>
      <c r="AJ657" s="468"/>
    </row>
    <row r="658" spans="1:36" ht="18" customHeight="1" x14ac:dyDescent="0.35">
      <c r="A658" s="468"/>
      <c r="B658" s="468"/>
      <c r="C658" s="468"/>
      <c r="D658" s="468"/>
      <c r="E658" s="468"/>
      <c r="F658" s="468"/>
      <c r="G658" s="468"/>
      <c r="H658" s="468"/>
      <c r="I658" s="468"/>
      <c r="J658" s="468"/>
      <c r="K658" s="468"/>
      <c r="L658" s="468"/>
      <c r="M658" s="468"/>
      <c r="N658" s="468"/>
      <c r="O658" s="468"/>
      <c r="P658" s="468"/>
      <c r="Q658" s="468"/>
      <c r="R658" s="468"/>
      <c r="S658" s="468"/>
      <c r="T658" s="468"/>
      <c r="U658" s="468"/>
      <c r="V658" s="468"/>
      <c r="W658" s="468"/>
      <c r="X658" s="468"/>
      <c r="Y658" s="468"/>
      <c r="Z658" s="468"/>
      <c r="AA658" s="468"/>
      <c r="AB658" s="468"/>
      <c r="AC658" s="468"/>
      <c r="AD658" s="468"/>
      <c r="AE658" s="468"/>
      <c r="AF658" s="468"/>
      <c r="AG658" s="468"/>
      <c r="AH658" s="468"/>
      <c r="AI658" s="468"/>
      <c r="AJ658" s="468"/>
    </row>
    <row r="659" spans="1:36" ht="18" customHeight="1" x14ac:dyDescent="0.35">
      <c r="A659" s="468"/>
      <c r="B659" s="468"/>
      <c r="C659" s="468"/>
      <c r="D659" s="468"/>
      <c r="E659" s="468"/>
      <c r="F659" s="468"/>
      <c r="G659" s="468"/>
      <c r="H659" s="468"/>
      <c r="I659" s="468"/>
      <c r="J659" s="468"/>
      <c r="K659" s="468"/>
      <c r="L659" s="468"/>
      <c r="M659" s="468"/>
      <c r="N659" s="468"/>
      <c r="O659" s="468"/>
      <c r="P659" s="468"/>
      <c r="Q659" s="468"/>
      <c r="R659" s="468"/>
      <c r="S659" s="468"/>
      <c r="T659" s="468"/>
      <c r="U659" s="468"/>
      <c r="V659" s="468"/>
      <c r="W659" s="468"/>
      <c r="X659" s="468"/>
      <c r="Y659" s="468"/>
      <c r="Z659" s="468"/>
      <c r="AA659" s="468"/>
      <c r="AB659" s="468"/>
      <c r="AC659" s="468"/>
      <c r="AD659" s="468"/>
      <c r="AE659" s="468"/>
      <c r="AF659" s="468"/>
      <c r="AG659" s="468"/>
      <c r="AH659" s="468"/>
      <c r="AI659" s="468"/>
      <c r="AJ659" s="468"/>
    </row>
    <row r="660" spans="1:36" ht="18" customHeight="1" x14ac:dyDescent="0.35">
      <c r="A660" s="468"/>
      <c r="B660" s="468"/>
      <c r="C660" s="468"/>
      <c r="D660" s="468"/>
      <c r="E660" s="468"/>
      <c r="F660" s="468"/>
      <c r="G660" s="468"/>
      <c r="H660" s="468"/>
      <c r="I660" s="468"/>
      <c r="J660" s="468"/>
      <c r="K660" s="468"/>
      <c r="L660" s="468"/>
      <c r="M660" s="468"/>
      <c r="N660" s="468"/>
      <c r="O660" s="468"/>
      <c r="P660" s="468"/>
      <c r="Q660" s="468"/>
      <c r="R660" s="468"/>
      <c r="S660" s="468"/>
      <c r="T660" s="468"/>
      <c r="U660" s="468"/>
      <c r="V660" s="468"/>
      <c r="W660" s="468"/>
      <c r="X660" s="468"/>
      <c r="Y660" s="468"/>
      <c r="Z660" s="468"/>
      <c r="AA660" s="468"/>
      <c r="AB660" s="468"/>
      <c r="AC660" s="468"/>
      <c r="AD660" s="468"/>
      <c r="AE660" s="468"/>
      <c r="AF660" s="468"/>
      <c r="AG660" s="468"/>
      <c r="AH660" s="468"/>
      <c r="AI660" s="468"/>
      <c r="AJ660" s="468"/>
    </row>
    <row r="661" spans="1:36" ht="18" customHeight="1" x14ac:dyDescent="0.35">
      <c r="A661" s="468"/>
      <c r="B661" s="468"/>
      <c r="C661" s="468"/>
      <c r="D661" s="468"/>
      <c r="E661" s="468"/>
      <c r="F661" s="468"/>
      <c r="G661" s="468"/>
      <c r="H661" s="468"/>
      <c r="I661" s="468"/>
      <c r="J661" s="468"/>
      <c r="K661" s="468"/>
      <c r="L661" s="468"/>
      <c r="M661" s="468"/>
      <c r="N661" s="468"/>
      <c r="O661" s="468"/>
      <c r="P661" s="468"/>
      <c r="Q661" s="468"/>
      <c r="R661" s="468"/>
      <c r="S661" s="468"/>
      <c r="T661" s="468"/>
      <c r="U661" s="468"/>
      <c r="V661" s="468"/>
      <c r="W661" s="468"/>
      <c r="X661" s="468"/>
      <c r="Y661" s="468"/>
      <c r="Z661" s="468"/>
      <c r="AA661" s="468"/>
      <c r="AB661" s="468"/>
      <c r="AC661" s="468"/>
      <c r="AD661" s="468"/>
      <c r="AE661" s="468"/>
      <c r="AF661" s="468"/>
      <c r="AG661" s="468"/>
      <c r="AH661" s="468"/>
      <c r="AI661" s="468"/>
      <c r="AJ661" s="468"/>
    </row>
    <row r="662" spans="1:36" ht="18" customHeight="1" x14ac:dyDescent="0.35">
      <c r="A662" s="468"/>
      <c r="B662" s="468"/>
      <c r="C662" s="468"/>
      <c r="D662" s="468"/>
      <c r="E662" s="468"/>
      <c r="F662" s="468"/>
      <c r="G662" s="468"/>
      <c r="H662" s="468"/>
      <c r="I662" s="468"/>
      <c r="J662" s="468"/>
      <c r="K662" s="468"/>
      <c r="L662" s="468"/>
      <c r="M662" s="468"/>
      <c r="N662" s="468"/>
      <c r="O662" s="468"/>
      <c r="P662" s="468"/>
      <c r="Q662" s="468"/>
      <c r="R662" s="468"/>
      <c r="S662" s="468"/>
      <c r="T662" s="468"/>
      <c r="U662" s="468"/>
      <c r="V662" s="468"/>
      <c r="W662" s="468"/>
      <c r="X662" s="468"/>
      <c r="Y662" s="468"/>
      <c r="Z662" s="468"/>
      <c r="AA662" s="468"/>
      <c r="AB662" s="468"/>
      <c r="AC662" s="468"/>
      <c r="AD662" s="468"/>
      <c r="AE662" s="468"/>
      <c r="AF662" s="468"/>
      <c r="AG662" s="468"/>
      <c r="AH662" s="468"/>
      <c r="AI662" s="468"/>
      <c r="AJ662" s="468"/>
    </row>
    <row r="663" spans="1:36" ht="18" customHeight="1" x14ac:dyDescent="0.35">
      <c r="A663" s="468"/>
      <c r="B663" s="468"/>
      <c r="C663" s="468"/>
      <c r="D663" s="468"/>
      <c r="E663" s="468"/>
      <c r="F663" s="468"/>
      <c r="G663" s="468"/>
      <c r="H663" s="468"/>
      <c r="I663" s="468"/>
      <c r="J663" s="468"/>
      <c r="K663" s="468"/>
      <c r="L663" s="468"/>
      <c r="M663" s="468"/>
      <c r="N663" s="468"/>
      <c r="O663" s="468"/>
      <c r="P663" s="468"/>
      <c r="Q663" s="468"/>
      <c r="R663" s="468"/>
      <c r="S663" s="468"/>
      <c r="T663" s="468"/>
      <c r="U663" s="468"/>
      <c r="V663" s="468"/>
      <c r="W663" s="468"/>
      <c r="X663" s="468"/>
      <c r="Y663" s="468"/>
      <c r="Z663" s="468"/>
      <c r="AA663" s="468"/>
      <c r="AB663" s="468"/>
      <c r="AC663" s="468"/>
      <c r="AD663" s="468"/>
      <c r="AE663" s="468"/>
      <c r="AF663" s="468"/>
      <c r="AG663" s="468"/>
      <c r="AH663" s="468"/>
      <c r="AI663" s="468"/>
      <c r="AJ663" s="468"/>
    </row>
    <row r="664" spans="1:36" ht="18" customHeight="1" x14ac:dyDescent="0.35">
      <c r="A664" s="468"/>
      <c r="B664" s="468"/>
      <c r="C664" s="468"/>
      <c r="D664" s="468"/>
      <c r="E664" s="468"/>
      <c r="F664" s="468"/>
      <c r="G664" s="468"/>
      <c r="H664" s="468"/>
      <c r="I664" s="468"/>
      <c r="J664" s="468"/>
      <c r="K664" s="468"/>
      <c r="L664" s="468"/>
      <c r="M664" s="468"/>
      <c r="N664" s="468"/>
      <c r="O664" s="468"/>
      <c r="P664" s="468"/>
      <c r="Q664" s="468"/>
      <c r="R664" s="468"/>
      <c r="S664" s="468"/>
      <c r="T664" s="468"/>
      <c r="U664" s="468"/>
      <c r="V664" s="468"/>
      <c r="W664" s="468"/>
      <c r="X664" s="468"/>
      <c r="Y664" s="468"/>
      <c r="Z664" s="468"/>
      <c r="AA664" s="468"/>
      <c r="AB664" s="468"/>
      <c r="AC664" s="468"/>
      <c r="AD664" s="468"/>
      <c r="AE664" s="468"/>
      <c r="AF664" s="468"/>
      <c r="AG664" s="468"/>
      <c r="AH664" s="468"/>
      <c r="AI664" s="468"/>
      <c r="AJ664" s="468"/>
    </row>
    <row r="665" spans="1:36" ht="18" customHeight="1" x14ac:dyDescent="0.35">
      <c r="A665" s="468"/>
      <c r="B665" s="468"/>
      <c r="C665" s="468"/>
      <c r="D665" s="468"/>
      <c r="E665" s="468"/>
      <c r="F665" s="468"/>
      <c r="G665" s="468"/>
      <c r="H665" s="468"/>
      <c r="I665" s="468"/>
      <c r="J665" s="468"/>
      <c r="K665" s="468"/>
      <c r="L665" s="468"/>
      <c r="M665" s="468"/>
      <c r="N665" s="468"/>
      <c r="O665" s="468"/>
      <c r="P665" s="468"/>
      <c r="Q665" s="468"/>
      <c r="R665" s="468"/>
      <c r="S665" s="468"/>
      <c r="T665" s="468"/>
      <c r="U665" s="468"/>
      <c r="V665" s="468"/>
      <c r="W665" s="468"/>
      <c r="X665" s="468"/>
      <c r="Y665" s="468"/>
      <c r="Z665" s="468"/>
      <c r="AA665" s="468"/>
      <c r="AB665" s="468"/>
      <c r="AC665" s="468"/>
      <c r="AD665" s="468"/>
      <c r="AE665" s="468"/>
      <c r="AF665" s="468"/>
      <c r="AG665" s="468"/>
      <c r="AH665" s="468"/>
      <c r="AI665" s="468"/>
      <c r="AJ665" s="468"/>
    </row>
    <row r="666" spans="1:36" ht="18" customHeight="1" x14ac:dyDescent="0.35">
      <c r="A666" s="468"/>
      <c r="B666" s="468"/>
      <c r="C666" s="468"/>
      <c r="D666" s="468"/>
      <c r="E666" s="468"/>
      <c r="F666" s="468"/>
      <c r="G666" s="468"/>
      <c r="H666" s="468"/>
      <c r="I666" s="468"/>
      <c r="J666" s="468"/>
      <c r="K666" s="468"/>
      <c r="L666" s="468"/>
      <c r="M666" s="468"/>
      <c r="N666" s="468"/>
      <c r="O666" s="468"/>
      <c r="P666" s="468"/>
      <c r="Q666" s="468"/>
      <c r="R666" s="468"/>
      <c r="S666" s="468"/>
      <c r="T666" s="468"/>
      <c r="U666" s="468"/>
      <c r="V666" s="468"/>
      <c r="W666" s="468"/>
      <c r="X666" s="468"/>
      <c r="Y666" s="468"/>
      <c r="Z666" s="468"/>
      <c r="AA666" s="468"/>
      <c r="AB666" s="468"/>
      <c r="AC666" s="468"/>
      <c r="AD666" s="468"/>
      <c r="AE666" s="468"/>
      <c r="AF666" s="468"/>
      <c r="AG666" s="468"/>
      <c r="AH666" s="468"/>
      <c r="AI666" s="468"/>
      <c r="AJ666" s="468"/>
    </row>
    <row r="667" spans="1:36" ht="18" customHeight="1" x14ac:dyDescent="0.35">
      <c r="A667" s="468"/>
      <c r="B667" s="468"/>
      <c r="C667" s="468"/>
      <c r="D667" s="468"/>
      <c r="E667" s="468"/>
      <c r="F667" s="468"/>
      <c r="G667" s="468"/>
      <c r="H667" s="468"/>
      <c r="I667" s="468"/>
      <c r="J667" s="468"/>
      <c r="K667" s="468"/>
      <c r="L667" s="468"/>
      <c r="M667" s="468"/>
      <c r="N667" s="468"/>
      <c r="O667" s="468"/>
      <c r="P667" s="468"/>
      <c r="Q667" s="468"/>
      <c r="R667" s="468"/>
      <c r="S667" s="468"/>
      <c r="T667" s="468"/>
      <c r="U667" s="468"/>
      <c r="V667" s="468"/>
      <c r="W667" s="468"/>
      <c r="X667" s="468"/>
      <c r="Y667" s="468"/>
      <c r="Z667" s="468"/>
      <c r="AA667" s="468"/>
      <c r="AB667" s="468"/>
      <c r="AC667" s="468"/>
      <c r="AD667" s="468"/>
      <c r="AE667" s="468"/>
      <c r="AF667" s="468"/>
      <c r="AG667" s="468"/>
      <c r="AH667" s="468"/>
      <c r="AI667" s="468"/>
      <c r="AJ667" s="468"/>
    </row>
    <row r="668" spans="1:36" ht="18" customHeight="1" x14ac:dyDescent="0.35">
      <c r="A668" s="468"/>
      <c r="B668" s="468"/>
      <c r="C668" s="468"/>
      <c r="D668" s="468"/>
      <c r="E668" s="468"/>
      <c r="F668" s="468"/>
      <c r="G668" s="468"/>
      <c r="H668" s="468"/>
      <c r="I668" s="468"/>
      <c r="J668" s="468"/>
      <c r="K668" s="468"/>
      <c r="L668" s="468"/>
      <c r="M668" s="468"/>
      <c r="N668" s="468"/>
      <c r="O668" s="468"/>
      <c r="P668" s="468"/>
      <c r="Q668" s="468"/>
      <c r="R668" s="468"/>
      <c r="S668" s="468"/>
      <c r="T668" s="468"/>
      <c r="U668" s="468"/>
      <c r="V668" s="468"/>
      <c r="W668" s="468"/>
      <c r="X668" s="468"/>
      <c r="Y668" s="468"/>
      <c r="Z668" s="468"/>
      <c r="AA668" s="468"/>
      <c r="AB668" s="468"/>
      <c r="AC668" s="468"/>
      <c r="AD668" s="468"/>
      <c r="AE668" s="468"/>
      <c r="AF668" s="468"/>
      <c r="AG668" s="468"/>
      <c r="AH668" s="468"/>
      <c r="AI668" s="468"/>
      <c r="AJ668" s="468"/>
    </row>
    <row r="669" spans="1:36" ht="18" customHeight="1" x14ac:dyDescent="0.35">
      <c r="A669" s="468"/>
      <c r="B669" s="468"/>
      <c r="C669" s="468"/>
      <c r="D669" s="468"/>
      <c r="E669" s="468"/>
      <c r="F669" s="468"/>
      <c r="G669" s="468"/>
      <c r="H669" s="468"/>
      <c r="I669" s="468"/>
      <c r="J669" s="468"/>
      <c r="K669" s="468"/>
      <c r="L669" s="468"/>
      <c r="M669" s="468"/>
      <c r="N669" s="468"/>
      <c r="O669" s="468"/>
      <c r="P669" s="468"/>
      <c r="Q669" s="468"/>
      <c r="R669" s="468"/>
      <c r="S669" s="468"/>
      <c r="T669" s="468"/>
      <c r="U669" s="468"/>
      <c r="V669" s="468"/>
      <c r="W669" s="468"/>
      <c r="X669" s="468"/>
      <c r="Y669" s="468"/>
      <c r="Z669" s="468"/>
      <c r="AA669" s="468"/>
      <c r="AB669" s="468"/>
      <c r="AC669" s="468"/>
      <c r="AD669" s="468"/>
      <c r="AE669" s="468"/>
      <c r="AF669" s="468"/>
      <c r="AG669" s="468"/>
      <c r="AH669" s="468"/>
      <c r="AI669" s="468"/>
      <c r="AJ669" s="468"/>
    </row>
    <row r="670" spans="1:36" ht="18" customHeight="1" x14ac:dyDescent="0.35">
      <c r="A670" s="468"/>
      <c r="B670" s="468"/>
      <c r="C670" s="468"/>
      <c r="D670" s="468"/>
      <c r="E670" s="468"/>
      <c r="F670" s="468"/>
      <c r="G670" s="468"/>
      <c r="H670" s="468"/>
      <c r="I670" s="468"/>
      <c r="J670" s="468"/>
      <c r="K670" s="468"/>
      <c r="L670" s="468"/>
      <c r="M670" s="468"/>
      <c r="N670" s="468"/>
      <c r="O670" s="468"/>
      <c r="P670" s="468"/>
      <c r="Q670" s="468"/>
      <c r="R670" s="468"/>
      <c r="S670" s="468"/>
      <c r="T670" s="468"/>
      <c r="U670" s="468"/>
      <c r="V670" s="468"/>
      <c r="W670" s="468"/>
      <c r="X670" s="468"/>
      <c r="Y670" s="468"/>
      <c r="Z670" s="468"/>
      <c r="AA670" s="468"/>
      <c r="AB670" s="468"/>
      <c r="AC670" s="468"/>
      <c r="AD670" s="468"/>
      <c r="AE670" s="468"/>
      <c r="AF670" s="468"/>
      <c r="AG670" s="468"/>
      <c r="AH670" s="468"/>
      <c r="AI670" s="468"/>
      <c r="AJ670" s="468"/>
    </row>
    <row r="671" spans="1:36" ht="18" customHeight="1" x14ac:dyDescent="0.35">
      <c r="A671" s="468"/>
      <c r="B671" s="468"/>
      <c r="C671" s="468"/>
      <c r="D671" s="468"/>
      <c r="E671" s="468"/>
      <c r="F671" s="468"/>
      <c r="G671" s="468"/>
      <c r="H671" s="468"/>
      <c r="I671" s="468"/>
      <c r="J671" s="468"/>
      <c r="K671" s="468"/>
      <c r="L671" s="468"/>
      <c r="M671" s="468"/>
      <c r="N671" s="468"/>
      <c r="O671" s="468"/>
      <c r="P671" s="468"/>
      <c r="Q671" s="468"/>
      <c r="R671" s="468"/>
      <c r="S671" s="468"/>
      <c r="T671" s="468"/>
      <c r="U671" s="468"/>
      <c r="V671" s="468"/>
      <c r="W671" s="468"/>
      <c r="X671" s="468"/>
      <c r="Y671" s="468"/>
      <c r="Z671" s="468"/>
      <c r="AA671" s="468"/>
      <c r="AB671" s="468"/>
      <c r="AC671" s="468"/>
      <c r="AD671" s="468"/>
      <c r="AE671" s="468"/>
      <c r="AF671" s="468"/>
      <c r="AG671" s="468"/>
      <c r="AH671" s="468"/>
      <c r="AI671" s="468"/>
      <c r="AJ671" s="468"/>
    </row>
    <row r="672" spans="1:36" ht="18" customHeight="1" x14ac:dyDescent="0.35">
      <c r="A672" s="468"/>
      <c r="B672" s="468"/>
      <c r="C672" s="468"/>
      <c r="D672" s="468"/>
      <c r="E672" s="468"/>
      <c r="F672" s="468"/>
      <c r="G672" s="468"/>
      <c r="H672" s="468"/>
      <c r="I672" s="468"/>
      <c r="J672" s="468"/>
      <c r="K672" s="468"/>
      <c r="L672" s="468"/>
      <c r="M672" s="468"/>
      <c r="N672" s="468"/>
      <c r="O672" s="468"/>
      <c r="P672" s="468"/>
      <c r="Q672" s="468"/>
      <c r="R672" s="468"/>
      <c r="S672" s="468"/>
      <c r="T672" s="468"/>
      <c r="U672" s="468"/>
      <c r="V672" s="468"/>
      <c r="W672" s="468"/>
      <c r="X672" s="468"/>
      <c r="Y672" s="468"/>
      <c r="Z672" s="468"/>
      <c r="AA672" s="468"/>
      <c r="AB672" s="468"/>
      <c r="AC672" s="468"/>
      <c r="AD672" s="468"/>
      <c r="AE672" s="468"/>
      <c r="AF672" s="468"/>
      <c r="AG672" s="468"/>
      <c r="AH672" s="468"/>
      <c r="AI672" s="468"/>
      <c r="AJ672" s="468"/>
    </row>
    <row r="673" spans="1:36" ht="18" customHeight="1" x14ac:dyDescent="0.35">
      <c r="A673" s="468"/>
      <c r="B673" s="468"/>
      <c r="C673" s="468"/>
      <c r="D673" s="468"/>
      <c r="E673" s="468"/>
      <c r="F673" s="468"/>
      <c r="G673" s="468"/>
      <c r="H673" s="468"/>
      <c r="I673" s="468"/>
      <c r="J673" s="468"/>
      <c r="K673" s="468"/>
      <c r="L673" s="468"/>
      <c r="M673" s="468"/>
      <c r="N673" s="468"/>
      <c r="O673" s="468"/>
      <c r="P673" s="468"/>
      <c r="Q673" s="468"/>
      <c r="R673" s="468"/>
      <c r="S673" s="468"/>
      <c r="T673" s="468"/>
      <c r="U673" s="468"/>
      <c r="V673" s="468"/>
      <c r="W673" s="468"/>
      <c r="X673" s="468"/>
      <c r="Y673" s="468"/>
      <c r="Z673" s="468"/>
      <c r="AA673" s="468"/>
      <c r="AB673" s="468"/>
      <c r="AC673" s="468"/>
      <c r="AD673" s="468"/>
      <c r="AE673" s="468"/>
      <c r="AF673" s="468"/>
      <c r="AG673" s="468"/>
      <c r="AH673" s="468"/>
      <c r="AI673" s="468"/>
      <c r="AJ673" s="468"/>
    </row>
    <row r="674" spans="1:36" ht="18" customHeight="1" x14ac:dyDescent="0.35">
      <c r="A674" s="468"/>
      <c r="B674" s="468"/>
      <c r="C674" s="468"/>
      <c r="D674" s="468"/>
      <c r="E674" s="468"/>
      <c r="F674" s="468"/>
      <c r="G674" s="468"/>
      <c r="H674" s="468"/>
      <c r="I674" s="468"/>
      <c r="J674" s="468"/>
      <c r="K674" s="468"/>
      <c r="L674" s="468"/>
      <c r="M674" s="468"/>
      <c r="N674" s="468"/>
      <c r="O674" s="468"/>
      <c r="P674" s="468"/>
      <c r="Q674" s="468"/>
      <c r="R674" s="468"/>
      <c r="S674" s="468"/>
      <c r="T674" s="468"/>
      <c r="U674" s="468"/>
      <c r="V674" s="468"/>
      <c r="W674" s="468"/>
      <c r="X674" s="468"/>
      <c r="Y674" s="468"/>
      <c r="Z674" s="468"/>
      <c r="AA674" s="468"/>
      <c r="AB674" s="468"/>
      <c r="AC674" s="468"/>
      <c r="AD674" s="468"/>
      <c r="AE674" s="468"/>
      <c r="AF674" s="468"/>
      <c r="AG674" s="468"/>
      <c r="AH674" s="468"/>
      <c r="AI674" s="468"/>
      <c r="AJ674" s="468"/>
    </row>
    <row r="675" spans="1:36" ht="18" customHeight="1" x14ac:dyDescent="0.35">
      <c r="A675" s="468"/>
      <c r="B675" s="468"/>
      <c r="C675" s="468"/>
      <c r="D675" s="468"/>
      <c r="E675" s="468"/>
      <c r="F675" s="468"/>
      <c r="G675" s="468"/>
      <c r="H675" s="468"/>
      <c r="I675" s="468"/>
      <c r="J675" s="468"/>
      <c r="K675" s="468"/>
      <c r="L675" s="468"/>
      <c r="M675" s="468"/>
      <c r="N675" s="468"/>
      <c r="O675" s="468"/>
      <c r="P675" s="468"/>
      <c r="Q675" s="468"/>
      <c r="R675" s="468"/>
      <c r="S675" s="468"/>
      <c r="T675" s="468"/>
      <c r="U675" s="468"/>
      <c r="V675" s="468"/>
      <c r="W675" s="468"/>
      <c r="X675" s="468"/>
      <c r="Y675" s="468"/>
      <c r="Z675" s="468"/>
      <c r="AA675" s="468"/>
      <c r="AB675" s="468"/>
      <c r="AC675" s="468"/>
      <c r="AD675" s="468"/>
      <c r="AE675" s="468"/>
      <c r="AF675" s="468"/>
      <c r="AG675" s="468"/>
      <c r="AH675" s="468"/>
      <c r="AI675" s="468"/>
      <c r="AJ675" s="468"/>
    </row>
    <row r="676" spans="1:36" ht="18" customHeight="1" x14ac:dyDescent="0.35">
      <c r="A676" s="468"/>
      <c r="B676" s="468"/>
      <c r="C676" s="468"/>
      <c r="D676" s="468"/>
      <c r="E676" s="468"/>
      <c r="F676" s="468"/>
      <c r="G676" s="468"/>
      <c r="H676" s="468"/>
      <c r="I676" s="468"/>
      <c r="J676" s="468"/>
      <c r="K676" s="468"/>
      <c r="L676" s="468"/>
      <c r="M676" s="468"/>
      <c r="N676" s="468"/>
      <c r="O676" s="468"/>
      <c r="P676" s="468"/>
      <c r="Q676" s="468"/>
      <c r="R676" s="468"/>
      <c r="S676" s="468"/>
      <c r="T676" s="468"/>
      <c r="U676" s="468"/>
      <c r="V676" s="468"/>
      <c r="W676" s="468"/>
      <c r="X676" s="468"/>
      <c r="Y676" s="468"/>
      <c r="Z676" s="468"/>
      <c r="AA676" s="468"/>
      <c r="AB676" s="468"/>
      <c r="AC676" s="468"/>
      <c r="AD676" s="468"/>
      <c r="AE676" s="468"/>
      <c r="AF676" s="468"/>
      <c r="AG676" s="468"/>
      <c r="AH676" s="468"/>
      <c r="AI676" s="468"/>
      <c r="AJ676" s="468"/>
    </row>
    <row r="677" spans="1:36" ht="18" customHeight="1" x14ac:dyDescent="0.35">
      <c r="A677" s="468"/>
      <c r="B677" s="468"/>
      <c r="C677" s="468"/>
      <c r="D677" s="468"/>
      <c r="E677" s="468"/>
      <c r="F677" s="468"/>
      <c r="G677" s="468"/>
      <c r="H677" s="468"/>
      <c r="I677" s="468"/>
      <c r="J677" s="468"/>
      <c r="K677" s="468"/>
      <c r="L677" s="468"/>
      <c r="M677" s="468"/>
      <c r="N677" s="468"/>
      <c r="O677" s="468"/>
      <c r="P677" s="468"/>
      <c r="Q677" s="468"/>
      <c r="R677" s="468"/>
      <c r="S677" s="468"/>
      <c r="T677" s="468"/>
      <c r="U677" s="468"/>
      <c r="V677" s="468"/>
      <c r="W677" s="468"/>
      <c r="X677" s="468"/>
      <c r="Y677" s="468"/>
      <c r="Z677" s="468"/>
      <c r="AA677" s="468"/>
      <c r="AB677" s="468"/>
      <c r="AC677" s="468"/>
      <c r="AD677" s="468"/>
      <c r="AE677" s="468"/>
      <c r="AF677" s="468"/>
      <c r="AG677" s="468"/>
      <c r="AH677" s="468"/>
      <c r="AI677" s="468"/>
      <c r="AJ677" s="468"/>
    </row>
    <row r="678" spans="1:36" ht="18" customHeight="1" x14ac:dyDescent="0.35">
      <c r="A678" s="468"/>
      <c r="B678" s="468"/>
      <c r="C678" s="468"/>
      <c r="D678" s="468"/>
      <c r="E678" s="468"/>
      <c r="F678" s="468"/>
      <c r="G678" s="468"/>
      <c r="H678" s="468"/>
      <c r="I678" s="468"/>
      <c r="J678" s="468"/>
      <c r="K678" s="468"/>
      <c r="L678" s="468"/>
      <c r="M678" s="468"/>
      <c r="N678" s="468"/>
      <c r="O678" s="468"/>
      <c r="P678" s="468"/>
      <c r="Q678" s="468"/>
      <c r="R678" s="468"/>
      <c r="S678" s="468"/>
      <c r="T678" s="468"/>
      <c r="U678" s="468"/>
      <c r="V678" s="468"/>
      <c r="W678" s="468"/>
      <c r="X678" s="468"/>
      <c r="Y678" s="468"/>
      <c r="Z678" s="468"/>
      <c r="AA678" s="468"/>
      <c r="AB678" s="468"/>
      <c r="AC678" s="468"/>
      <c r="AD678" s="468"/>
      <c r="AE678" s="468"/>
      <c r="AF678" s="468"/>
      <c r="AG678" s="468"/>
      <c r="AH678" s="468"/>
      <c r="AI678" s="468"/>
      <c r="AJ678" s="468"/>
    </row>
    <row r="679" spans="1:36" ht="18" customHeight="1" x14ac:dyDescent="0.35">
      <c r="A679" s="468"/>
      <c r="B679" s="468"/>
      <c r="C679" s="468"/>
      <c r="D679" s="468"/>
      <c r="E679" s="468"/>
      <c r="F679" s="468"/>
      <c r="G679" s="468"/>
      <c r="H679" s="468"/>
      <c r="I679" s="468"/>
      <c r="J679" s="468"/>
      <c r="K679" s="468"/>
      <c r="L679" s="468"/>
      <c r="M679" s="468"/>
      <c r="N679" s="468"/>
      <c r="O679" s="468"/>
      <c r="P679" s="468"/>
      <c r="Q679" s="468"/>
      <c r="R679" s="468"/>
      <c r="S679" s="468"/>
      <c r="T679" s="468"/>
      <c r="U679" s="468"/>
      <c r="V679" s="468"/>
      <c r="W679" s="468"/>
      <c r="X679" s="468"/>
      <c r="Y679" s="468"/>
      <c r="Z679" s="468"/>
      <c r="AA679" s="468"/>
      <c r="AB679" s="468"/>
      <c r="AC679" s="468"/>
      <c r="AD679" s="468"/>
      <c r="AE679" s="468"/>
      <c r="AF679" s="468"/>
      <c r="AG679" s="468"/>
      <c r="AH679" s="468"/>
      <c r="AI679" s="468"/>
      <c r="AJ679" s="468"/>
    </row>
    <row r="680" spans="1:36" ht="18" customHeight="1" x14ac:dyDescent="0.35">
      <c r="A680" s="468"/>
      <c r="B680" s="468"/>
      <c r="C680" s="468"/>
      <c r="D680" s="468"/>
      <c r="E680" s="468"/>
      <c r="F680" s="468"/>
      <c r="G680" s="468"/>
      <c r="H680" s="468"/>
      <c r="I680" s="468"/>
      <c r="J680" s="468"/>
      <c r="K680" s="468"/>
      <c r="L680" s="468"/>
      <c r="M680" s="468"/>
      <c r="N680" s="468"/>
      <c r="O680" s="468"/>
      <c r="P680" s="468"/>
      <c r="Q680" s="468"/>
      <c r="R680" s="468"/>
      <c r="S680" s="468"/>
      <c r="T680" s="468"/>
      <c r="U680" s="468"/>
      <c r="V680" s="468"/>
      <c r="W680" s="468"/>
      <c r="X680" s="468"/>
      <c r="Y680" s="468"/>
      <c r="Z680" s="468"/>
      <c r="AA680" s="468"/>
      <c r="AB680" s="468"/>
      <c r="AC680" s="468"/>
      <c r="AD680" s="468"/>
      <c r="AE680" s="468"/>
      <c r="AF680" s="468"/>
      <c r="AG680" s="468"/>
      <c r="AH680" s="468"/>
      <c r="AI680" s="468"/>
      <c r="AJ680" s="468"/>
    </row>
    <row r="681" spans="1:36" ht="18" customHeight="1" x14ac:dyDescent="0.35">
      <c r="A681" s="468"/>
      <c r="B681" s="468"/>
      <c r="C681" s="468"/>
      <c r="D681" s="468"/>
      <c r="E681" s="468"/>
      <c r="F681" s="468"/>
      <c r="G681" s="468"/>
      <c r="H681" s="468"/>
      <c r="I681" s="468"/>
      <c r="J681" s="468"/>
      <c r="K681" s="468"/>
      <c r="L681" s="468"/>
      <c r="M681" s="468"/>
      <c r="N681" s="468"/>
      <c r="O681" s="468"/>
      <c r="P681" s="468"/>
      <c r="Q681" s="468"/>
      <c r="R681" s="468"/>
      <c r="S681" s="468"/>
      <c r="T681" s="468"/>
      <c r="U681" s="468"/>
      <c r="V681" s="468"/>
      <c r="W681" s="468"/>
      <c r="X681" s="468"/>
      <c r="Y681" s="468"/>
      <c r="Z681" s="468"/>
      <c r="AA681" s="468"/>
      <c r="AB681" s="468"/>
      <c r="AC681" s="468"/>
      <c r="AD681" s="468"/>
      <c r="AE681" s="468"/>
      <c r="AF681" s="468"/>
      <c r="AG681" s="468"/>
      <c r="AH681" s="468"/>
      <c r="AI681" s="468"/>
      <c r="AJ681" s="468"/>
    </row>
    <row r="682" spans="1:36" ht="18" customHeight="1" x14ac:dyDescent="0.35">
      <c r="A682" s="468"/>
      <c r="B682" s="468"/>
      <c r="C682" s="468"/>
      <c r="D682" s="468"/>
      <c r="E682" s="468"/>
      <c r="F682" s="468"/>
      <c r="G682" s="468"/>
      <c r="H682" s="468"/>
      <c r="I682" s="468"/>
      <c r="J682" s="468"/>
      <c r="K682" s="468"/>
      <c r="L682" s="468"/>
      <c r="M682" s="468"/>
      <c r="N682" s="468"/>
      <c r="O682" s="468"/>
      <c r="P682" s="468"/>
      <c r="Q682" s="468"/>
      <c r="R682" s="468"/>
      <c r="S682" s="468"/>
      <c r="T682" s="468"/>
      <c r="U682" s="468"/>
      <c r="V682" s="468"/>
      <c r="W682" s="468"/>
      <c r="X682" s="468"/>
      <c r="Y682" s="468"/>
      <c r="Z682" s="468"/>
      <c r="AA682" s="468"/>
      <c r="AB682" s="468"/>
      <c r="AC682" s="468"/>
      <c r="AD682" s="468"/>
      <c r="AE682" s="468"/>
      <c r="AF682" s="468"/>
      <c r="AG682" s="468"/>
      <c r="AH682" s="468"/>
      <c r="AI682" s="468"/>
      <c r="AJ682" s="468"/>
    </row>
    <row r="683" spans="1:36" ht="18" customHeight="1" x14ac:dyDescent="0.35">
      <c r="A683" s="468"/>
      <c r="B683" s="468"/>
      <c r="C683" s="468"/>
      <c r="D683" s="468"/>
      <c r="E683" s="468"/>
      <c r="F683" s="468"/>
      <c r="G683" s="468"/>
      <c r="H683" s="468"/>
      <c r="I683" s="468"/>
      <c r="J683" s="468"/>
      <c r="K683" s="468"/>
      <c r="L683" s="468"/>
      <c r="M683" s="468"/>
      <c r="N683" s="468"/>
      <c r="O683" s="468"/>
      <c r="P683" s="468"/>
      <c r="Q683" s="468"/>
      <c r="R683" s="468"/>
      <c r="S683" s="468"/>
      <c r="T683" s="468"/>
      <c r="U683" s="468"/>
      <c r="V683" s="468"/>
      <c r="W683" s="468"/>
      <c r="X683" s="468"/>
      <c r="Y683" s="468"/>
      <c r="Z683" s="468"/>
      <c r="AA683" s="468"/>
      <c r="AB683" s="468"/>
      <c r="AC683" s="468"/>
      <c r="AD683" s="468"/>
      <c r="AE683" s="468"/>
      <c r="AF683" s="468"/>
      <c r="AG683" s="468"/>
      <c r="AH683" s="468"/>
      <c r="AI683" s="468"/>
      <c r="AJ683" s="468"/>
    </row>
    <row r="684" spans="1:36" ht="18" customHeight="1" x14ac:dyDescent="0.35">
      <c r="A684" s="468"/>
      <c r="B684" s="468"/>
      <c r="C684" s="468"/>
      <c r="D684" s="468"/>
      <c r="E684" s="468"/>
      <c r="F684" s="468"/>
      <c r="G684" s="468"/>
      <c r="H684" s="468"/>
      <c r="I684" s="468"/>
      <c r="J684" s="468"/>
      <c r="K684" s="468"/>
      <c r="L684" s="468"/>
      <c r="M684" s="468"/>
      <c r="N684" s="468"/>
      <c r="O684" s="468"/>
      <c r="P684" s="468"/>
      <c r="Q684" s="468"/>
      <c r="R684" s="468"/>
      <c r="S684" s="468"/>
      <c r="T684" s="468"/>
      <c r="U684" s="468"/>
      <c r="V684" s="468"/>
      <c r="W684" s="468"/>
      <c r="X684" s="468"/>
      <c r="Y684" s="468"/>
      <c r="Z684" s="468"/>
      <c r="AA684" s="468"/>
      <c r="AB684" s="468"/>
      <c r="AC684" s="468"/>
      <c r="AD684" s="468"/>
      <c r="AE684" s="468"/>
      <c r="AF684" s="468"/>
      <c r="AG684" s="468"/>
      <c r="AH684" s="468"/>
      <c r="AI684" s="468"/>
      <c r="AJ684" s="468"/>
    </row>
    <row r="685" spans="1:36" ht="18" customHeight="1" x14ac:dyDescent="0.35">
      <c r="A685" s="468"/>
      <c r="B685" s="468"/>
      <c r="C685" s="468"/>
      <c r="D685" s="468"/>
      <c r="E685" s="468"/>
      <c r="F685" s="468"/>
      <c r="G685" s="468"/>
      <c r="H685" s="468"/>
      <c r="I685" s="468"/>
      <c r="J685" s="468"/>
      <c r="K685" s="468"/>
      <c r="L685" s="468"/>
      <c r="M685" s="468"/>
      <c r="N685" s="468"/>
      <c r="O685" s="468"/>
      <c r="P685" s="468"/>
      <c r="Q685" s="468"/>
      <c r="R685" s="468"/>
      <c r="S685" s="468"/>
      <c r="T685" s="468"/>
      <c r="U685" s="468"/>
      <c r="V685" s="468"/>
      <c r="W685" s="468"/>
      <c r="X685" s="468"/>
      <c r="Y685" s="468"/>
      <c r="Z685" s="468"/>
      <c r="AA685" s="468"/>
      <c r="AB685" s="468"/>
      <c r="AC685" s="468"/>
      <c r="AD685" s="468"/>
      <c r="AE685" s="468"/>
      <c r="AF685" s="468"/>
      <c r="AG685" s="468"/>
      <c r="AH685" s="468"/>
      <c r="AI685" s="468"/>
      <c r="AJ685" s="468"/>
    </row>
    <row r="686" spans="1:36" ht="18" customHeight="1" x14ac:dyDescent="0.35">
      <c r="A686" s="468"/>
      <c r="B686" s="468"/>
      <c r="C686" s="468"/>
      <c r="D686" s="468"/>
      <c r="E686" s="468"/>
      <c r="F686" s="468"/>
      <c r="G686" s="468"/>
      <c r="H686" s="468"/>
      <c r="I686" s="468"/>
      <c r="J686" s="468"/>
      <c r="K686" s="468"/>
      <c r="L686" s="468"/>
      <c r="M686" s="468"/>
      <c r="N686" s="468"/>
      <c r="O686" s="468"/>
      <c r="P686" s="468"/>
      <c r="Q686" s="468"/>
      <c r="R686" s="468"/>
      <c r="S686" s="468"/>
      <c r="T686" s="468"/>
      <c r="U686" s="468"/>
      <c r="V686" s="468"/>
      <c r="W686" s="468"/>
      <c r="X686" s="468"/>
      <c r="Y686" s="468"/>
      <c r="Z686" s="468"/>
      <c r="AA686" s="468"/>
      <c r="AB686" s="468"/>
      <c r="AC686" s="468"/>
      <c r="AD686" s="468"/>
      <c r="AE686" s="468"/>
      <c r="AF686" s="468"/>
      <c r="AG686" s="468"/>
      <c r="AH686" s="468"/>
      <c r="AI686" s="468"/>
      <c r="AJ686" s="468"/>
    </row>
    <row r="687" spans="1:36" ht="18" customHeight="1" x14ac:dyDescent="0.35">
      <c r="A687" s="468"/>
      <c r="B687" s="468"/>
      <c r="C687" s="468"/>
      <c r="D687" s="468"/>
      <c r="E687" s="468"/>
      <c r="F687" s="468"/>
      <c r="G687" s="468"/>
      <c r="H687" s="468"/>
      <c r="I687" s="468"/>
      <c r="J687" s="468"/>
      <c r="K687" s="468"/>
      <c r="L687" s="468"/>
      <c r="M687" s="468"/>
      <c r="N687" s="468"/>
      <c r="O687" s="468"/>
      <c r="P687" s="468"/>
      <c r="Q687" s="468"/>
      <c r="R687" s="468"/>
      <c r="S687" s="468"/>
      <c r="T687" s="468"/>
      <c r="U687" s="468"/>
      <c r="V687" s="468"/>
      <c r="W687" s="468"/>
      <c r="X687" s="468"/>
      <c r="Y687" s="468"/>
      <c r="Z687" s="468"/>
      <c r="AA687" s="468"/>
      <c r="AB687" s="468"/>
      <c r="AC687" s="468"/>
      <c r="AD687" s="468"/>
      <c r="AE687" s="468"/>
      <c r="AF687" s="468"/>
      <c r="AG687" s="468"/>
      <c r="AH687" s="468"/>
      <c r="AI687" s="468"/>
      <c r="AJ687" s="468"/>
    </row>
    <row r="688" spans="1:36" ht="18" customHeight="1" x14ac:dyDescent="0.35">
      <c r="A688" s="468"/>
      <c r="B688" s="468"/>
      <c r="C688" s="468"/>
      <c r="D688" s="468"/>
      <c r="E688" s="468"/>
      <c r="F688" s="468"/>
      <c r="G688" s="468"/>
      <c r="H688" s="468"/>
      <c r="I688" s="468"/>
      <c r="J688" s="468"/>
      <c r="K688" s="468"/>
      <c r="L688" s="468"/>
      <c r="M688" s="468"/>
      <c r="N688" s="468"/>
      <c r="O688" s="468"/>
      <c r="P688" s="468"/>
      <c r="Q688" s="468"/>
      <c r="R688" s="468"/>
      <c r="S688" s="468"/>
      <c r="T688" s="468"/>
      <c r="U688" s="468"/>
      <c r="V688" s="468"/>
      <c r="W688" s="468"/>
      <c r="X688" s="468"/>
      <c r="Y688" s="468"/>
      <c r="Z688" s="468"/>
      <c r="AA688" s="468"/>
      <c r="AB688" s="468"/>
      <c r="AC688" s="468"/>
      <c r="AD688" s="468"/>
      <c r="AE688" s="468"/>
      <c r="AF688" s="468"/>
      <c r="AG688" s="468"/>
      <c r="AH688" s="468"/>
      <c r="AI688" s="468"/>
      <c r="AJ688" s="468"/>
    </row>
    <row r="689" spans="1:36" ht="18" customHeight="1" x14ac:dyDescent="0.35">
      <c r="A689" s="468"/>
      <c r="B689" s="468"/>
      <c r="C689" s="468"/>
      <c r="D689" s="468"/>
      <c r="E689" s="468"/>
      <c r="F689" s="468"/>
      <c r="G689" s="468"/>
      <c r="H689" s="468"/>
      <c r="I689" s="468"/>
      <c r="J689" s="468"/>
      <c r="K689" s="468"/>
      <c r="L689" s="468"/>
      <c r="M689" s="468"/>
      <c r="N689" s="468"/>
      <c r="O689" s="468"/>
      <c r="P689" s="468"/>
      <c r="Q689" s="468"/>
      <c r="R689" s="468"/>
      <c r="S689" s="468"/>
      <c r="T689" s="468"/>
      <c r="U689" s="468"/>
      <c r="V689" s="468"/>
      <c r="W689" s="468"/>
      <c r="X689" s="468"/>
      <c r="Y689" s="468"/>
      <c r="Z689" s="468"/>
      <c r="AA689" s="468"/>
      <c r="AB689" s="468"/>
      <c r="AC689" s="468"/>
      <c r="AD689" s="468"/>
      <c r="AE689" s="468"/>
      <c r="AF689" s="468"/>
      <c r="AG689" s="468"/>
      <c r="AH689" s="468"/>
      <c r="AI689" s="468"/>
      <c r="AJ689" s="468"/>
    </row>
    <row r="690" spans="1:36" ht="18" customHeight="1" x14ac:dyDescent="0.35">
      <c r="A690" s="468"/>
      <c r="B690" s="468"/>
      <c r="C690" s="468"/>
      <c r="D690" s="468"/>
      <c r="E690" s="468"/>
      <c r="F690" s="468"/>
      <c r="G690" s="468"/>
      <c r="H690" s="468"/>
      <c r="I690" s="468"/>
      <c r="J690" s="468"/>
      <c r="K690" s="468"/>
      <c r="L690" s="468"/>
      <c r="M690" s="468"/>
      <c r="N690" s="468"/>
      <c r="O690" s="468"/>
      <c r="P690" s="468"/>
      <c r="Q690" s="468"/>
      <c r="R690" s="468"/>
      <c r="S690" s="468"/>
      <c r="T690" s="468"/>
      <c r="U690" s="468"/>
      <c r="V690" s="468"/>
      <c r="W690" s="468"/>
      <c r="X690" s="468"/>
      <c r="Y690" s="468"/>
      <c r="Z690" s="468"/>
      <c r="AA690" s="468"/>
      <c r="AB690" s="468"/>
      <c r="AC690" s="468"/>
      <c r="AD690" s="468"/>
      <c r="AE690" s="468"/>
      <c r="AF690" s="468"/>
      <c r="AG690" s="468"/>
      <c r="AH690" s="468"/>
      <c r="AI690" s="468"/>
      <c r="AJ690" s="468"/>
    </row>
    <row r="691" spans="1:36" ht="18" customHeight="1" x14ac:dyDescent="0.35">
      <c r="A691" s="468"/>
      <c r="B691" s="468"/>
      <c r="C691" s="468"/>
      <c r="D691" s="468"/>
      <c r="E691" s="468"/>
      <c r="F691" s="468"/>
      <c r="G691" s="468"/>
      <c r="H691" s="468"/>
      <c r="I691" s="468"/>
      <c r="J691" s="468"/>
      <c r="K691" s="468"/>
      <c r="L691" s="468"/>
      <c r="M691" s="468"/>
      <c r="N691" s="468"/>
      <c r="O691" s="468"/>
      <c r="P691" s="468"/>
      <c r="Q691" s="468"/>
      <c r="R691" s="468"/>
      <c r="S691" s="468"/>
      <c r="T691" s="468"/>
      <c r="U691" s="468"/>
      <c r="V691" s="468"/>
      <c r="W691" s="468"/>
      <c r="X691" s="468"/>
      <c r="Y691" s="468"/>
      <c r="Z691" s="468"/>
      <c r="AA691" s="468"/>
      <c r="AB691" s="468"/>
      <c r="AC691" s="468"/>
      <c r="AD691" s="468"/>
      <c r="AE691" s="468"/>
      <c r="AF691" s="468"/>
      <c r="AG691" s="468"/>
      <c r="AH691" s="468"/>
      <c r="AI691" s="468"/>
      <c r="AJ691" s="468"/>
    </row>
    <row r="692" spans="1:36" ht="18" customHeight="1" x14ac:dyDescent="0.35">
      <c r="A692" s="468"/>
      <c r="B692" s="468"/>
      <c r="C692" s="468"/>
      <c r="D692" s="468"/>
      <c r="E692" s="468"/>
      <c r="F692" s="468"/>
      <c r="G692" s="468"/>
      <c r="H692" s="468"/>
      <c r="I692" s="468"/>
      <c r="J692" s="468"/>
      <c r="K692" s="468"/>
      <c r="L692" s="468"/>
      <c r="M692" s="468"/>
      <c r="N692" s="468"/>
      <c r="O692" s="468"/>
      <c r="P692" s="468"/>
      <c r="Q692" s="468"/>
      <c r="R692" s="468"/>
      <c r="S692" s="468"/>
      <c r="T692" s="468"/>
      <c r="U692" s="468"/>
      <c r="V692" s="468"/>
      <c r="W692" s="468"/>
      <c r="X692" s="468"/>
      <c r="Y692" s="468"/>
      <c r="Z692" s="468"/>
      <c r="AA692" s="468"/>
      <c r="AB692" s="468"/>
      <c r="AC692" s="468"/>
      <c r="AD692" s="468"/>
      <c r="AE692" s="468"/>
      <c r="AF692" s="468"/>
      <c r="AG692" s="468"/>
      <c r="AH692" s="468"/>
      <c r="AI692" s="468"/>
      <c r="AJ692" s="468"/>
    </row>
    <row r="693" spans="1:36" ht="18" customHeight="1" x14ac:dyDescent="0.35">
      <c r="A693" s="468"/>
      <c r="B693" s="468"/>
      <c r="C693" s="468"/>
      <c r="D693" s="468"/>
      <c r="E693" s="468"/>
      <c r="F693" s="468"/>
      <c r="G693" s="468"/>
      <c r="H693" s="468"/>
      <c r="I693" s="468"/>
      <c r="J693" s="468"/>
      <c r="K693" s="468"/>
      <c r="L693" s="468"/>
      <c r="M693" s="468"/>
      <c r="N693" s="468"/>
      <c r="O693" s="468"/>
      <c r="P693" s="468"/>
      <c r="Q693" s="468"/>
      <c r="R693" s="468"/>
      <c r="S693" s="468"/>
      <c r="T693" s="468"/>
      <c r="U693" s="468"/>
      <c r="V693" s="468"/>
      <c r="W693" s="468"/>
      <c r="X693" s="468"/>
      <c r="Y693" s="468"/>
      <c r="Z693" s="468"/>
      <c r="AA693" s="468"/>
      <c r="AB693" s="468"/>
      <c r="AC693" s="468"/>
      <c r="AD693" s="468"/>
      <c r="AE693" s="468"/>
      <c r="AF693" s="468"/>
      <c r="AG693" s="468"/>
      <c r="AH693" s="468"/>
      <c r="AI693" s="468"/>
      <c r="AJ693" s="468"/>
    </row>
    <row r="694" spans="1:36" ht="18" customHeight="1" x14ac:dyDescent="0.35">
      <c r="A694" s="468"/>
      <c r="B694" s="468"/>
      <c r="C694" s="468"/>
      <c r="D694" s="468"/>
      <c r="E694" s="468"/>
      <c r="F694" s="468"/>
      <c r="G694" s="468"/>
      <c r="H694" s="468"/>
      <c r="I694" s="468"/>
      <c r="J694" s="468"/>
      <c r="K694" s="468"/>
      <c r="L694" s="468"/>
      <c r="M694" s="468"/>
      <c r="N694" s="468"/>
      <c r="O694" s="468"/>
      <c r="P694" s="468"/>
      <c r="Q694" s="468"/>
      <c r="R694" s="468"/>
      <c r="S694" s="468"/>
      <c r="T694" s="468"/>
      <c r="U694" s="468"/>
      <c r="V694" s="468"/>
      <c r="W694" s="468"/>
      <c r="X694" s="468"/>
      <c r="Y694" s="468"/>
      <c r="Z694" s="468"/>
      <c r="AA694" s="468"/>
      <c r="AB694" s="468"/>
      <c r="AC694" s="468"/>
      <c r="AD694" s="468"/>
      <c r="AE694" s="468"/>
      <c r="AF694" s="468"/>
      <c r="AG694" s="468"/>
      <c r="AH694" s="468"/>
      <c r="AI694" s="468"/>
      <c r="AJ694" s="468"/>
    </row>
    <row r="695" spans="1:36" ht="18" customHeight="1" x14ac:dyDescent="0.35">
      <c r="A695" s="468"/>
      <c r="B695" s="468"/>
      <c r="C695" s="468"/>
      <c r="D695" s="468"/>
      <c r="E695" s="468"/>
      <c r="F695" s="468"/>
      <c r="G695" s="468"/>
      <c r="H695" s="468"/>
      <c r="I695" s="468"/>
      <c r="J695" s="468"/>
      <c r="K695" s="468"/>
      <c r="L695" s="468"/>
      <c r="M695" s="468"/>
      <c r="N695" s="468"/>
      <c r="O695" s="468"/>
      <c r="P695" s="468"/>
      <c r="Q695" s="468"/>
      <c r="R695" s="468"/>
      <c r="S695" s="468"/>
      <c r="T695" s="468"/>
      <c r="U695" s="468"/>
      <c r="V695" s="468"/>
      <c r="W695" s="468"/>
      <c r="X695" s="468"/>
      <c r="Y695" s="468"/>
      <c r="Z695" s="468"/>
      <c r="AA695" s="468"/>
      <c r="AB695" s="468"/>
      <c r="AC695" s="468"/>
      <c r="AD695" s="468"/>
      <c r="AE695" s="468"/>
      <c r="AF695" s="468"/>
      <c r="AG695" s="468"/>
      <c r="AH695" s="468"/>
      <c r="AI695" s="468"/>
      <c r="AJ695" s="468"/>
    </row>
    <row r="696" spans="1:36" ht="18" customHeight="1" x14ac:dyDescent="0.35">
      <c r="A696" s="468"/>
      <c r="B696" s="468"/>
      <c r="C696" s="468"/>
      <c r="D696" s="468"/>
      <c r="E696" s="468"/>
      <c r="F696" s="468"/>
      <c r="G696" s="468"/>
      <c r="H696" s="468"/>
      <c r="I696" s="468"/>
      <c r="J696" s="468"/>
      <c r="K696" s="468"/>
      <c r="L696" s="468"/>
      <c r="M696" s="468"/>
      <c r="N696" s="468"/>
      <c r="O696" s="468"/>
      <c r="P696" s="468"/>
      <c r="Q696" s="468"/>
      <c r="R696" s="468"/>
      <c r="S696" s="468"/>
      <c r="T696" s="468"/>
      <c r="U696" s="468"/>
      <c r="V696" s="468"/>
      <c r="W696" s="468"/>
      <c r="X696" s="468"/>
      <c r="Y696" s="468"/>
      <c r="Z696" s="468"/>
      <c r="AA696" s="468"/>
      <c r="AB696" s="468"/>
      <c r="AC696" s="468"/>
      <c r="AD696" s="468"/>
      <c r="AE696" s="468"/>
      <c r="AF696" s="468"/>
      <c r="AG696" s="468"/>
      <c r="AH696" s="468"/>
      <c r="AI696" s="468"/>
      <c r="AJ696" s="468"/>
    </row>
    <row r="697" spans="1:36" ht="18" customHeight="1" x14ac:dyDescent="0.35">
      <c r="A697" s="468"/>
      <c r="B697" s="468"/>
      <c r="C697" s="468"/>
      <c r="D697" s="468"/>
      <c r="E697" s="468"/>
      <c r="F697" s="468"/>
      <c r="G697" s="468"/>
      <c r="H697" s="468"/>
      <c r="I697" s="468"/>
      <c r="J697" s="468"/>
      <c r="K697" s="468"/>
      <c r="L697" s="468"/>
      <c r="M697" s="468"/>
      <c r="N697" s="468"/>
      <c r="O697" s="468"/>
      <c r="P697" s="468"/>
      <c r="Q697" s="468"/>
      <c r="R697" s="468"/>
      <c r="S697" s="468"/>
      <c r="T697" s="468"/>
      <c r="U697" s="468"/>
      <c r="V697" s="468"/>
      <c r="W697" s="468"/>
      <c r="X697" s="468"/>
      <c r="Y697" s="468"/>
      <c r="Z697" s="468"/>
      <c r="AA697" s="468"/>
      <c r="AB697" s="468"/>
      <c r="AC697" s="468"/>
      <c r="AD697" s="468"/>
      <c r="AE697" s="468"/>
      <c r="AF697" s="468"/>
      <c r="AG697" s="468"/>
      <c r="AH697" s="468"/>
      <c r="AI697" s="468"/>
      <c r="AJ697" s="468"/>
    </row>
    <row r="698" spans="1:36" ht="18" customHeight="1" x14ac:dyDescent="0.35">
      <c r="A698" s="468"/>
      <c r="B698" s="468"/>
      <c r="C698" s="468"/>
      <c r="D698" s="468"/>
      <c r="E698" s="468"/>
      <c r="F698" s="468"/>
      <c r="G698" s="468"/>
      <c r="H698" s="468"/>
      <c r="I698" s="468"/>
      <c r="J698" s="468"/>
      <c r="K698" s="468"/>
      <c r="L698" s="468"/>
      <c r="M698" s="468"/>
      <c r="N698" s="468"/>
      <c r="O698" s="468"/>
      <c r="P698" s="468"/>
      <c r="Q698" s="468"/>
      <c r="R698" s="468"/>
      <c r="S698" s="468"/>
      <c r="T698" s="468"/>
      <c r="U698" s="468"/>
      <c r="V698" s="468"/>
      <c r="W698" s="468"/>
      <c r="X698" s="468"/>
      <c r="Y698" s="468"/>
      <c r="Z698" s="468"/>
      <c r="AA698" s="468"/>
      <c r="AB698" s="468"/>
      <c r="AC698" s="468"/>
      <c r="AD698" s="468"/>
      <c r="AE698" s="468"/>
      <c r="AF698" s="468"/>
      <c r="AG698" s="468"/>
      <c r="AH698" s="468"/>
      <c r="AI698" s="468"/>
      <c r="AJ698" s="468"/>
    </row>
    <row r="699" spans="1:36" ht="18" customHeight="1" x14ac:dyDescent="0.35">
      <c r="A699" s="468"/>
      <c r="B699" s="468"/>
      <c r="C699" s="468"/>
      <c r="D699" s="468"/>
      <c r="E699" s="468"/>
      <c r="F699" s="468"/>
      <c r="G699" s="468"/>
      <c r="H699" s="468"/>
      <c r="I699" s="468"/>
      <c r="J699" s="468"/>
      <c r="K699" s="468"/>
      <c r="L699" s="468"/>
      <c r="M699" s="468"/>
      <c r="N699" s="468"/>
      <c r="O699" s="468"/>
      <c r="P699" s="468"/>
      <c r="Q699" s="468"/>
      <c r="R699" s="468"/>
      <c r="S699" s="468"/>
      <c r="T699" s="468"/>
      <c r="U699" s="468"/>
      <c r="V699" s="468"/>
      <c r="W699" s="468"/>
      <c r="X699" s="468"/>
      <c r="Y699" s="468"/>
      <c r="Z699" s="468"/>
      <c r="AA699" s="468"/>
      <c r="AB699" s="468"/>
      <c r="AC699" s="468"/>
      <c r="AD699" s="468"/>
      <c r="AE699" s="468"/>
      <c r="AF699" s="468"/>
      <c r="AG699" s="468"/>
      <c r="AH699" s="468"/>
      <c r="AI699" s="468"/>
      <c r="AJ699" s="468"/>
    </row>
    <row r="700" spans="1:36" ht="18" customHeight="1" x14ac:dyDescent="0.35">
      <c r="A700" s="468"/>
      <c r="B700" s="468"/>
      <c r="C700" s="468"/>
      <c r="D700" s="468"/>
      <c r="E700" s="468"/>
      <c r="F700" s="468"/>
      <c r="G700" s="468"/>
      <c r="H700" s="468"/>
      <c r="I700" s="468"/>
      <c r="J700" s="468"/>
      <c r="K700" s="468"/>
      <c r="L700" s="468"/>
      <c r="M700" s="468"/>
      <c r="N700" s="468"/>
      <c r="O700" s="468"/>
      <c r="P700" s="468"/>
      <c r="Q700" s="468"/>
      <c r="R700" s="468"/>
      <c r="S700" s="468"/>
      <c r="T700" s="468"/>
      <c r="U700" s="468"/>
      <c r="V700" s="468"/>
      <c r="W700" s="468"/>
      <c r="X700" s="468"/>
      <c r="Y700" s="468"/>
      <c r="Z700" s="468"/>
      <c r="AA700" s="468"/>
      <c r="AB700" s="468"/>
      <c r="AC700" s="468"/>
      <c r="AD700" s="468"/>
      <c r="AE700" s="468"/>
      <c r="AF700" s="468"/>
      <c r="AG700" s="468"/>
      <c r="AH700" s="468"/>
      <c r="AI700" s="468"/>
      <c r="AJ700" s="468"/>
    </row>
    <row r="701" spans="1:36" ht="18" customHeight="1" x14ac:dyDescent="0.35">
      <c r="A701" s="468"/>
      <c r="B701" s="468"/>
      <c r="C701" s="468"/>
      <c r="D701" s="468"/>
      <c r="E701" s="468"/>
      <c r="F701" s="468"/>
      <c r="G701" s="468"/>
      <c r="H701" s="468"/>
      <c r="I701" s="468"/>
      <c r="J701" s="468"/>
      <c r="K701" s="468"/>
      <c r="L701" s="468"/>
      <c r="M701" s="468"/>
      <c r="N701" s="468"/>
      <c r="O701" s="468"/>
      <c r="P701" s="468"/>
      <c r="Q701" s="468"/>
      <c r="R701" s="468"/>
      <c r="S701" s="468"/>
      <c r="T701" s="468"/>
      <c r="U701" s="468"/>
      <c r="V701" s="468"/>
      <c r="W701" s="468"/>
      <c r="X701" s="468"/>
      <c r="Y701" s="468"/>
      <c r="Z701" s="468"/>
      <c r="AA701" s="468"/>
      <c r="AB701" s="468"/>
      <c r="AC701" s="468"/>
      <c r="AD701" s="468"/>
      <c r="AE701" s="468"/>
      <c r="AF701" s="468"/>
      <c r="AG701" s="468"/>
      <c r="AH701" s="468"/>
      <c r="AI701" s="468"/>
      <c r="AJ701" s="468"/>
    </row>
    <row r="702" spans="1:36" ht="18" customHeight="1" x14ac:dyDescent="0.35">
      <c r="A702" s="468"/>
      <c r="B702" s="468"/>
      <c r="C702" s="468"/>
      <c r="D702" s="468"/>
      <c r="E702" s="468"/>
      <c r="F702" s="468"/>
      <c r="G702" s="468"/>
      <c r="H702" s="468"/>
      <c r="I702" s="468"/>
      <c r="J702" s="468"/>
      <c r="K702" s="468"/>
      <c r="L702" s="468"/>
      <c r="M702" s="468"/>
      <c r="N702" s="468"/>
      <c r="O702" s="468"/>
      <c r="P702" s="468"/>
      <c r="Q702" s="468"/>
      <c r="R702" s="468"/>
      <c r="S702" s="468"/>
      <c r="T702" s="468"/>
      <c r="U702" s="468"/>
      <c r="V702" s="468"/>
      <c r="W702" s="468"/>
      <c r="X702" s="468"/>
      <c r="Y702" s="468"/>
      <c r="Z702" s="468"/>
      <c r="AA702" s="468"/>
      <c r="AB702" s="468"/>
      <c r="AC702" s="468"/>
      <c r="AD702" s="468"/>
      <c r="AE702" s="468"/>
      <c r="AF702" s="468"/>
      <c r="AG702" s="468"/>
      <c r="AH702" s="468"/>
      <c r="AI702" s="468"/>
      <c r="AJ702" s="468"/>
    </row>
    <row r="703" spans="1:36" ht="18" customHeight="1" x14ac:dyDescent="0.35">
      <c r="A703" s="468"/>
      <c r="B703" s="468"/>
      <c r="C703" s="468"/>
      <c r="D703" s="468"/>
      <c r="E703" s="468"/>
      <c r="F703" s="468"/>
      <c r="G703" s="468"/>
      <c r="H703" s="468"/>
      <c r="I703" s="468"/>
      <c r="J703" s="468"/>
      <c r="K703" s="468"/>
      <c r="L703" s="468"/>
      <c r="M703" s="468"/>
      <c r="N703" s="468"/>
      <c r="O703" s="468"/>
      <c r="P703" s="468"/>
      <c r="Q703" s="468"/>
      <c r="R703" s="468"/>
      <c r="S703" s="468"/>
      <c r="T703" s="468"/>
      <c r="U703" s="468"/>
      <c r="V703" s="468"/>
      <c r="W703" s="468"/>
      <c r="X703" s="468"/>
      <c r="Y703" s="468"/>
      <c r="Z703" s="468"/>
      <c r="AA703" s="468"/>
      <c r="AB703" s="468"/>
      <c r="AC703" s="468"/>
      <c r="AD703" s="468"/>
      <c r="AE703" s="468"/>
      <c r="AF703" s="468"/>
      <c r="AG703" s="468"/>
      <c r="AH703" s="468"/>
      <c r="AI703" s="468"/>
      <c r="AJ703" s="468"/>
    </row>
    <row r="704" spans="1:36" ht="18" customHeight="1" x14ac:dyDescent="0.35">
      <c r="A704" s="468"/>
      <c r="B704" s="468"/>
      <c r="C704" s="468"/>
      <c r="D704" s="468"/>
      <c r="E704" s="468"/>
      <c r="F704" s="468"/>
      <c r="G704" s="468"/>
      <c r="H704" s="468"/>
      <c r="I704" s="468"/>
      <c r="J704" s="468"/>
      <c r="K704" s="468"/>
      <c r="L704" s="468"/>
      <c r="M704" s="468"/>
      <c r="N704" s="468"/>
      <c r="O704" s="468"/>
      <c r="P704" s="468"/>
      <c r="Q704" s="468"/>
      <c r="R704" s="468"/>
      <c r="S704" s="468"/>
      <c r="T704" s="468"/>
      <c r="U704" s="468"/>
      <c r="V704" s="468"/>
      <c r="W704" s="468"/>
      <c r="X704" s="468"/>
      <c r="Y704" s="468"/>
      <c r="Z704" s="468"/>
      <c r="AA704" s="468"/>
      <c r="AB704" s="468"/>
      <c r="AC704" s="468"/>
      <c r="AD704" s="468"/>
      <c r="AE704" s="468"/>
      <c r="AF704" s="468"/>
      <c r="AG704" s="468"/>
      <c r="AH704" s="468"/>
      <c r="AI704" s="468"/>
      <c r="AJ704" s="468"/>
    </row>
    <row r="705" spans="1:36" ht="18" customHeight="1" x14ac:dyDescent="0.35">
      <c r="A705" s="468"/>
      <c r="B705" s="468"/>
      <c r="C705" s="468"/>
      <c r="D705" s="468"/>
      <c r="E705" s="468"/>
      <c r="F705" s="468"/>
      <c r="G705" s="468"/>
      <c r="H705" s="468"/>
      <c r="I705" s="468"/>
      <c r="J705" s="468"/>
      <c r="K705" s="468"/>
      <c r="L705" s="468"/>
      <c r="M705" s="468"/>
      <c r="N705" s="468"/>
      <c r="O705" s="468"/>
      <c r="P705" s="468"/>
      <c r="Q705" s="468"/>
      <c r="R705" s="468"/>
      <c r="S705" s="468"/>
      <c r="T705" s="468"/>
      <c r="U705" s="468"/>
      <c r="V705" s="468"/>
      <c r="W705" s="468"/>
      <c r="X705" s="468"/>
      <c r="Y705" s="468"/>
      <c r="Z705" s="468"/>
      <c r="AA705" s="468"/>
      <c r="AB705" s="468"/>
      <c r="AC705" s="468"/>
      <c r="AD705" s="468"/>
      <c r="AE705" s="468"/>
      <c r="AF705" s="468"/>
      <c r="AG705" s="468"/>
      <c r="AH705" s="468"/>
      <c r="AI705" s="468"/>
      <c r="AJ705" s="468"/>
    </row>
    <row r="706" spans="1:36" ht="18" customHeight="1" x14ac:dyDescent="0.35">
      <c r="A706" s="468"/>
      <c r="B706" s="468"/>
      <c r="C706" s="468"/>
      <c r="D706" s="468"/>
      <c r="E706" s="468"/>
      <c r="F706" s="468"/>
      <c r="G706" s="468"/>
      <c r="H706" s="468"/>
      <c r="I706" s="468"/>
      <c r="J706" s="468"/>
      <c r="K706" s="468"/>
      <c r="L706" s="468"/>
      <c r="M706" s="468"/>
      <c r="N706" s="468"/>
      <c r="O706" s="468"/>
      <c r="P706" s="468"/>
      <c r="Q706" s="468"/>
      <c r="R706" s="468"/>
      <c r="S706" s="468"/>
      <c r="T706" s="468"/>
      <c r="U706" s="468"/>
      <c r="V706" s="468"/>
      <c r="W706" s="468"/>
      <c r="X706" s="468"/>
      <c r="Y706" s="468"/>
      <c r="Z706" s="468"/>
      <c r="AA706" s="468"/>
      <c r="AB706" s="468"/>
      <c r="AC706" s="468"/>
      <c r="AD706" s="468"/>
      <c r="AE706" s="468"/>
      <c r="AF706" s="468"/>
      <c r="AG706" s="468"/>
      <c r="AH706" s="468"/>
      <c r="AI706" s="468"/>
      <c r="AJ706" s="468"/>
    </row>
    <row r="707" spans="1:36" ht="18" customHeight="1" x14ac:dyDescent="0.35">
      <c r="A707" s="468"/>
      <c r="B707" s="468"/>
      <c r="C707" s="468"/>
      <c r="D707" s="468"/>
      <c r="E707" s="468"/>
      <c r="F707" s="468"/>
      <c r="G707" s="468"/>
      <c r="H707" s="468"/>
      <c r="I707" s="468"/>
      <c r="J707" s="468"/>
      <c r="K707" s="468"/>
      <c r="L707" s="468"/>
      <c r="M707" s="468"/>
      <c r="N707" s="468"/>
      <c r="O707" s="468"/>
      <c r="P707" s="468"/>
      <c r="Q707" s="468"/>
      <c r="R707" s="468"/>
      <c r="S707" s="468"/>
      <c r="T707" s="468"/>
      <c r="U707" s="468"/>
      <c r="V707" s="468"/>
      <c r="W707" s="468"/>
      <c r="X707" s="468"/>
      <c r="Y707" s="468"/>
      <c r="Z707" s="468"/>
      <c r="AA707" s="468"/>
      <c r="AB707" s="468"/>
      <c r="AC707" s="468"/>
      <c r="AD707" s="468"/>
      <c r="AE707" s="468"/>
      <c r="AF707" s="468"/>
      <c r="AG707" s="468"/>
      <c r="AH707" s="468"/>
      <c r="AI707" s="468"/>
      <c r="AJ707" s="468"/>
    </row>
    <row r="708" spans="1:36" ht="18" customHeight="1" x14ac:dyDescent="0.35">
      <c r="A708" s="468"/>
      <c r="B708" s="468"/>
      <c r="C708" s="468"/>
      <c r="D708" s="468"/>
      <c r="E708" s="468"/>
      <c r="F708" s="468"/>
      <c r="G708" s="468"/>
      <c r="H708" s="468"/>
      <c r="I708" s="468"/>
      <c r="J708" s="468"/>
      <c r="K708" s="468"/>
      <c r="L708" s="468"/>
      <c r="M708" s="468"/>
      <c r="N708" s="468"/>
      <c r="O708" s="468"/>
      <c r="P708" s="468"/>
      <c r="Q708" s="468"/>
      <c r="R708" s="468"/>
      <c r="S708" s="468"/>
      <c r="T708" s="468"/>
      <c r="U708" s="468"/>
      <c r="V708" s="468"/>
      <c r="W708" s="468"/>
      <c r="X708" s="468"/>
      <c r="Y708" s="468"/>
      <c r="Z708" s="468"/>
      <c r="AA708" s="468"/>
      <c r="AB708" s="468"/>
      <c r="AC708" s="468"/>
      <c r="AD708" s="468"/>
      <c r="AE708" s="468"/>
      <c r="AF708" s="468"/>
      <c r="AG708" s="468"/>
      <c r="AH708" s="468"/>
      <c r="AI708" s="468"/>
      <c r="AJ708" s="468"/>
    </row>
    <row r="709" spans="1:36" ht="18" customHeight="1" x14ac:dyDescent="0.35">
      <c r="A709" s="468"/>
      <c r="B709" s="468"/>
      <c r="C709" s="468"/>
      <c r="D709" s="468"/>
      <c r="E709" s="468"/>
      <c r="F709" s="468"/>
      <c r="G709" s="468"/>
      <c r="H709" s="468"/>
      <c r="I709" s="468"/>
      <c r="J709" s="468"/>
      <c r="K709" s="468"/>
      <c r="L709" s="468"/>
      <c r="M709" s="468"/>
      <c r="N709" s="468"/>
      <c r="O709" s="468"/>
      <c r="P709" s="468"/>
      <c r="Q709" s="468"/>
      <c r="R709" s="468"/>
      <c r="S709" s="468"/>
      <c r="T709" s="468"/>
      <c r="U709" s="468"/>
      <c r="V709" s="468"/>
      <c r="W709" s="468"/>
      <c r="X709" s="468"/>
      <c r="Y709" s="468"/>
      <c r="Z709" s="468"/>
      <c r="AA709" s="468"/>
      <c r="AB709" s="468"/>
      <c r="AC709" s="468"/>
      <c r="AD709" s="468"/>
      <c r="AE709" s="468"/>
      <c r="AF709" s="468"/>
      <c r="AG709" s="468"/>
      <c r="AH709" s="468"/>
      <c r="AI709" s="468"/>
      <c r="AJ709" s="468"/>
    </row>
    <row r="710" spans="1:36" ht="18" customHeight="1" x14ac:dyDescent="0.35">
      <c r="A710" s="468"/>
      <c r="B710" s="468"/>
      <c r="C710" s="468"/>
      <c r="D710" s="468"/>
      <c r="E710" s="468"/>
      <c r="F710" s="468"/>
      <c r="G710" s="468"/>
      <c r="H710" s="468"/>
      <c r="I710" s="468"/>
      <c r="J710" s="468"/>
      <c r="K710" s="468"/>
      <c r="L710" s="468"/>
      <c r="M710" s="468"/>
      <c r="N710" s="468"/>
      <c r="O710" s="468"/>
      <c r="P710" s="468"/>
      <c r="Q710" s="468"/>
      <c r="R710" s="468"/>
      <c r="S710" s="468"/>
      <c r="T710" s="468"/>
      <c r="U710" s="468"/>
      <c r="V710" s="468"/>
      <c r="W710" s="468"/>
      <c r="X710" s="468"/>
      <c r="Y710" s="468"/>
      <c r="Z710" s="468"/>
      <c r="AA710" s="468"/>
      <c r="AB710" s="468"/>
      <c r="AC710" s="468"/>
      <c r="AD710" s="468"/>
      <c r="AE710" s="468"/>
      <c r="AF710" s="468"/>
      <c r="AG710" s="468"/>
      <c r="AH710" s="468"/>
      <c r="AI710" s="468"/>
      <c r="AJ710" s="468"/>
    </row>
    <row r="711" spans="1:36" ht="18" customHeight="1" x14ac:dyDescent="0.35">
      <c r="A711" s="468"/>
      <c r="B711" s="468"/>
      <c r="C711" s="468"/>
      <c r="D711" s="468"/>
      <c r="E711" s="468"/>
      <c r="F711" s="468"/>
      <c r="G711" s="468"/>
      <c r="H711" s="468"/>
      <c r="I711" s="468"/>
      <c r="J711" s="468"/>
      <c r="K711" s="468"/>
      <c r="L711" s="468"/>
      <c r="M711" s="468"/>
      <c r="N711" s="468"/>
      <c r="O711" s="468"/>
      <c r="P711" s="468"/>
      <c r="Q711" s="468"/>
      <c r="R711" s="468"/>
      <c r="S711" s="468"/>
      <c r="T711" s="468"/>
      <c r="U711" s="468"/>
      <c r="V711" s="468"/>
      <c r="W711" s="468"/>
      <c r="X711" s="468"/>
      <c r="Y711" s="468"/>
      <c r="Z711" s="468"/>
      <c r="AA711" s="468"/>
      <c r="AB711" s="468"/>
      <c r="AC711" s="468"/>
      <c r="AD711" s="468"/>
      <c r="AE711" s="468"/>
      <c r="AF711" s="468"/>
      <c r="AG711" s="468"/>
      <c r="AH711" s="468"/>
      <c r="AI711" s="468"/>
      <c r="AJ711" s="468"/>
    </row>
    <row r="712" spans="1:36" ht="18" customHeight="1" x14ac:dyDescent="0.35">
      <c r="A712" s="468"/>
      <c r="B712" s="468"/>
      <c r="C712" s="468"/>
      <c r="D712" s="468"/>
      <c r="E712" s="468"/>
      <c r="F712" s="468"/>
      <c r="G712" s="468"/>
      <c r="H712" s="468"/>
      <c r="I712" s="468"/>
      <c r="J712" s="468"/>
      <c r="K712" s="468"/>
      <c r="L712" s="468"/>
      <c r="M712" s="468"/>
      <c r="N712" s="468"/>
      <c r="O712" s="468"/>
      <c r="P712" s="468"/>
      <c r="Q712" s="468"/>
      <c r="R712" s="468"/>
      <c r="S712" s="468"/>
      <c r="T712" s="468"/>
      <c r="U712" s="468"/>
      <c r="V712" s="468"/>
      <c r="W712" s="468"/>
      <c r="X712" s="468"/>
      <c r="Y712" s="468"/>
      <c r="Z712" s="468"/>
      <c r="AA712" s="468"/>
      <c r="AB712" s="468"/>
      <c r="AC712" s="468"/>
      <c r="AD712" s="468"/>
      <c r="AE712" s="468"/>
      <c r="AF712" s="468"/>
      <c r="AG712" s="468"/>
      <c r="AH712" s="468"/>
      <c r="AI712" s="468"/>
      <c r="AJ712" s="468"/>
    </row>
    <row r="713" spans="1:36" ht="18" customHeight="1" x14ac:dyDescent="0.35">
      <c r="A713" s="468"/>
      <c r="B713" s="468"/>
      <c r="C713" s="468"/>
      <c r="D713" s="468"/>
      <c r="E713" s="468"/>
      <c r="F713" s="468"/>
      <c r="G713" s="468"/>
      <c r="H713" s="468"/>
      <c r="I713" s="468"/>
      <c r="J713" s="468"/>
      <c r="K713" s="468"/>
      <c r="L713" s="468"/>
      <c r="M713" s="468"/>
      <c r="N713" s="468"/>
      <c r="O713" s="468"/>
      <c r="P713" s="468"/>
      <c r="Q713" s="468"/>
      <c r="R713" s="468"/>
      <c r="S713" s="468"/>
      <c r="T713" s="468"/>
      <c r="U713" s="468"/>
      <c r="V713" s="468"/>
      <c r="W713" s="468"/>
      <c r="X713" s="468"/>
      <c r="Y713" s="468"/>
      <c r="Z713" s="468"/>
      <c r="AA713" s="468"/>
      <c r="AB713" s="468"/>
      <c r="AC713" s="468"/>
      <c r="AD713" s="468"/>
      <c r="AE713" s="468"/>
      <c r="AF713" s="468"/>
      <c r="AG713" s="468"/>
      <c r="AH713" s="468"/>
      <c r="AI713" s="468"/>
      <c r="AJ713" s="468"/>
    </row>
    <row r="714" spans="1:36" ht="18" customHeight="1" x14ac:dyDescent="0.35">
      <c r="A714" s="468"/>
      <c r="B714" s="468"/>
      <c r="C714" s="468"/>
      <c r="D714" s="468"/>
      <c r="E714" s="468"/>
      <c r="F714" s="468"/>
      <c r="G714" s="468"/>
      <c r="H714" s="468"/>
      <c r="I714" s="468"/>
      <c r="J714" s="468"/>
      <c r="K714" s="468"/>
      <c r="L714" s="468"/>
      <c r="M714" s="468"/>
      <c r="N714" s="468"/>
      <c r="O714" s="468"/>
      <c r="P714" s="468"/>
      <c r="Q714" s="468"/>
      <c r="R714" s="468"/>
      <c r="S714" s="468"/>
      <c r="T714" s="468"/>
      <c r="U714" s="468"/>
      <c r="V714" s="468"/>
      <c r="W714" s="468"/>
      <c r="X714" s="468"/>
      <c r="Y714" s="468"/>
      <c r="Z714" s="468"/>
      <c r="AA714" s="468"/>
      <c r="AB714" s="468"/>
      <c r="AC714" s="468"/>
      <c r="AD714" s="468"/>
      <c r="AE714" s="468"/>
      <c r="AF714" s="468"/>
      <c r="AG714" s="468"/>
      <c r="AH714" s="468"/>
      <c r="AI714" s="468"/>
      <c r="AJ714" s="468"/>
    </row>
    <row r="715" spans="1:36" ht="18" customHeight="1" x14ac:dyDescent="0.35">
      <c r="A715" s="468"/>
      <c r="B715" s="468"/>
      <c r="C715" s="468"/>
      <c r="D715" s="468"/>
      <c r="E715" s="468"/>
      <c r="F715" s="468"/>
      <c r="G715" s="468"/>
      <c r="H715" s="468"/>
      <c r="I715" s="468"/>
      <c r="J715" s="468"/>
      <c r="K715" s="468"/>
      <c r="L715" s="468"/>
      <c r="M715" s="468"/>
      <c r="N715" s="468"/>
      <c r="O715" s="468"/>
      <c r="P715" s="468"/>
      <c r="Q715" s="468"/>
      <c r="R715" s="468"/>
      <c r="S715" s="468"/>
      <c r="T715" s="468"/>
      <c r="U715" s="468"/>
      <c r="V715" s="468"/>
      <c r="W715" s="468"/>
      <c r="X715" s="468"/>
      <c r="Y715" s="468"/>
      <c r="Z715" s="468"/>
      <c r="AA715" s="468"/>
      <c r="AB715" s="468"/>
      <c r="AC715" s="468"/>
      <c r="AD715" s="468"/>
      <c r="AE715" s="468"/>
      <c r="AF715" s="468"/>
      <c r="AG715" s="468"/>
      <c r="AH715" s="468"/>
      <c r="AI715" s="468"/>
      <c r="AJ715" s="468"/>
    </row>
    <row r="716" spans="1:36" ht="18" customHeight="1" x14ac:dyDescent="0.35">
      <c r="A716" s="468"/>
      <c r="B716" s="468"/>
      <c r="C716" s="468"/>
      <c r="D716" s="468"/>
      <c r="E716" s="468"/>
      <c r="F716" s="468"/>
      <c r="G716" s="468"/>
      <c r="H716" s="468"/>
      <c r="I716" s="468"/>
      <c r="J716" s="468"/>
      <c r="K716" s="468"/>
      <c r="L716" s="468"/>
      <c r="M716" s="468"/>
      <c r="N716" s="468"/>
      <c r="O716" s="468"/>
      <c r="P716" s="468"/>
      <c r="Q716" s="468"/>
      <c r="R716" s="468"/>
      <c r="S716" s="468"/>
      <c r="T716" s="468"/>
      <c r="U716" s="468"/>
      <c r="V716" s="468"/>
      <c r="W716" s="468"/>
      <c r="X716" s="468"/>
      <c r="Y716" s="468"/>
      <c r="Z716" s="468"/>
      <c r="AA716" s="468"/>
      <c r="AB716" s="468"/>
      <c r="AC716" s="468"/>
      <c r="AD716" s="468"/>
      <c r="AE716" s="468"/>
      <c r="AF716" s="468"/>
      <c r="AG716" s="468"/>
      <c r="AH716" s="468"/>
      <c r="AI716" s="468"/>
      <c r="AJ716" s="468"/>
    </row>
    <row r="717" spans="1:36" ht="18" customHeight="1" x14ac:dyDescent="0.35">
      <c r="A717" s="468"/>
      <c r="B717" s="468"/>
      <c r="C717" s="468"/>
      <c r="D717" s="468"/>
      <c r="E717" s="468"/>
      <c r="F717" s="468"/>
      <c r="G717" s="468"/>
      <c r="H717" s="468"/>
      <c r="I717" s="468"/>
      <c r="J717" s="468"/>
      <c r="K717" s="468"/>
      <c r="L717" s="468"/>
      <c r="M717" s="468"/>
      <c r="N717" s="468"/>
      <c r="O717" s="468"/>
      <c r="P717" s="468"/>
      <c r="Q717" s="468"/>
      <c r="R717" s="468"/>
      <c r="S717" s="468"/>
      <c r="T717" s="468"/>
      <c r="U717" s="468"/>
      <c r="V717" s="468"/>
      <c r="W717" s="468"/>
      <c r="X717" s="468"/>
      <c r="Y717" s="468"/>
      <c r="Z717" s="468"/>
      <c r="AA717" s="468"/>
      <c r="AB717" s="468"/>
      <c r="AC717" s="468"/>
      <c r="AD717" s="468"/>
      <c r="AE717" s="468"/>
      <c r="AF717" s="468"/>
      <c r="AG717" s="468"/>
      <c r="AH717" s="468"/>
      <c r="AI717" s="468"/>
      <c r="AJ717" s="468"/>
    </row>
    <row r="718" spans="1:36" ht="18" customHeight="1" x14ac:dyDescent="0.35">
      <c r="A718" s="468"/>
      <c r="B718" s="468"/>
      <c r="C718" s="468"/>
      <c r="D718" s="468"/>
      <c r="E718" s="468"/>
      <c r="F718" s="468"/>
      <c r="G718" s="468"/>
      <c r="H718" s="468"/>
      <c r="I718" s="468"/>
      <c r="J718" s="468"/>
      <c r="K718" s="468"/>
      <c r="L718" s="468"/>
      <c r="M718" s="468"/>
      <c r="N718" s="468"/>
      <c r="O718" s="468"/>
      <c r="P718" s="468"/>
      <c r="Q718" s="468"/>
      <c r="R718" s="468"/>
      <c r="S718" s="468"/>
      <c r="T718" s="468"/>
      <c r="U718" s="468"/>
      <c r="V718" s="468"/>
      <c r="W718" s="468"/>
      <c r="X718" s="468"/>
      <c r="Y718" s="468"/>
      <c r="Z718" s="468"/>
      <c r="AA718" s="468"/>
      <c r="AB718" s="468"/>
      <c r="AC718" s="468"/>
      <c r="AD718" s="468"/>
      <c r="AE718" s="468"/>
      <c r="AF718" s="468"/>
      <c r="AG718" s="468"/>
      <c r="AH718" s="468"/>
      <c r="AI718" s="468"/>
      <c r="AJ718" s="468"/>
    </row>
    <row r="719" spans="1:36" ht="18" customHeight="1" x14ac:dyDescent="0.35">
      <c r="A719" s="468"/>
      <c r="B719" s="468"/>
      <c r="C719" s="468"/>
      <c r="D719" s="468"/>
      <c r="E719" s="468"/>
      <c r="F719" s="468"/>
      <c r="G719" s="468"/>
      <c r="H719" s="468"/>
      <c r="I719" s="468"/>
      <c r="J719" s="468"/>
      <c r="K719" s="468"/>
      <c r="L719" s="468"/>
      <c r="M719" s="468"/>
      <c r="N719" s="468"/>
      <c r="O719" s="468"/>
      <c r="P719" s="468"/>
      <c r="Q719" s="468"/>
      <c r="R719" s="468"/>
      <c r="S719" s="468"/>
      <c r="T719" s="468"/>
      <c r="U719" s="468"/>
      <c r="V719" s="468"/>
      <c r="W719" s="468"/>
      <c r="X719" s="468"/>
      <c r="Y719" s="468"/>
      <c r="Z719" s="468"/>
      <c r="AA719" s="468"/>
      <c r="AB719" s="468"/>
      <c r="AC719" s="468"/>
      <c r="AD719" s="468"/>
      <c r="AE719" s="468"/>
      <c r="AF719" s="468"/>
      <c r="AG719" s="468"/>
      <c r="AH719" s="468"/>
      <c r="AI719" s="468"/>
      <c r="AJ719" s="468"/>
    </row>
    <row r="720" spans="1:36" ht="18" customHeight="1" x14ac:dyDescent="0.35">
      <c r="A720" s="468"/>
      <c r="B720" s="468"/>
      <c r="C720" s="468"/>
      <c r="D720" s="468"/>
      <c r="E720" s="468"/>
      <c r="F720" s="468"/>
      <c r="G720" s="468"/>
      <c r="H720" s="468"/>
      <c r="I720" s="468"/>
      <c r="J720" s="468"/>
      <c r="K720" s="468"/>
      <c r="L720" s="468"/>
      <c r="M720" s="468"/>
      <c r="N720" s="468"/>
      <c r="O720" s="468"/>
      <c r="P720" s="468"/>
      <c r="Q720" s="468"/>
      <c r="R720" s="468"/>
      <c r="S720" s="468"/>
      <c r="T720" s="468"/>
      <c r="U720" s="468"/>
      <c r="V720" s="468"/>
      <c r="W720" s="468"/>
      <c r="X720" s="468"/>
      <c r="Y720" s="468"/>
      <c r="Z720" s="468"/>
      <c r="AA720" s="468"/>
      <c r="AB720" s="468"/>
      <c r="AC720" s="468"/>
      <c r="AD720" s="468"/>
      <c r="AE720" s="468"/>
      <c r="AF720" s="468"/>
      <c r="AG720" s="468"/>
      <c r="AH720" s="468"/>
      <c r="AI720" s="468"/>
      <c r="AJ720" s="468"/>
    </row>
    <row r="721" spans="1:36" ht="18" customHeight="1" x14ac:dyDescent="0.35">
      <c r="A721" s="468"/>
      <c r="B721" s="468"/>
      <c r="C721" s="468"/>
      <c r="D721" s="468"/>
      <c r="E721" s="468"/>
      <c r="F721" s="468"/>
      <c r="G721" s="468"/>
      <c r="H721" s="468"/>
      <c r="I721" s="468"/>
      <c r="J721" s="468"/>
      <c r="K721" s="468"/>
      <c r="L721" s="468"/>
      <c r="M721" s="468"/>
      <c r="N721" s="468"/>
      <c r="O721" s="468"/>
      <c r="P721" s="468"/>
      <c r="Q721" s="468"/>
      <c r="R721" s="468"/>
      <c r="S721" s="468"/>
      <c r="T721" s="468"/>
      <c r="U721" s="468"/>
      <c r="V721" s="468"/>
      <c r="W721" s="468"/>
      <c r="X721" s="468"/>
      <c r="Y721" s="468"/>
      <c r="Z721" s="468"/>
      <c r="AA721" s="468"/>
      <c r="AB721" s="468"/>
      <c r="AC721" s="468"/>
      <c r="AD721" s="468"/>
      <c r="AE721" s="468"/>
      <c r="AF721" s="468"/>
      <c r="AG721" s="468"/>
      <c r="AH721" s="468"/>
      <c r="AI721" s="468"/>
      <c r="AJ721" s="468"/>
    </row>
    <row r="722" spans="1:36" ht="18" customHeight="1" x14ac:dyDescent="0.35">
      <c r="A722" s="468"/>
      <c r="B722" s="468"/>
      <c r="C722" s="468"/>
      <c r="D722" s="468"/>
      <c r="E722" s="468"/>
      <c r="F722" s="468"/>
      <c r="G722" s="468"/>
      <c r="H722" s="468"/>
      <c r="I722" s="468"/>
      <c r="J722" s="468"/>
      <c r="K722" s="468"/>
      <c r="L722" s="468"/>
      <c r="M722" s="468"/>
      <c r="N722" s="468"/>
      <c r="O722" s="468"/>
      <c r="P722" s="468"/>
      <c r="Q722" s="468"/>
      <c r="R722" s="468"/>
      <c r="S722" s="468"/>
      <c r="T722" s="468"/>
      <c r="U722" s="468"/>
      <c r="V722" s="468"/>
      <c r="W722" s="468"/>
      <c r="X722" s="468"/>
      <c r="Y722" s="468"/>
      <c r="Z722" s="468"/>
      <c r="AA722" s="468"/>
      <c r="AB722" s="468"/>
      <c r="AC722" s="468"/>
      <c r="AD722" s="468"/>
      <c r="AE722" s="468"/>
      <c r="AF722" s="468"/>
      <c r="AG722" s="468"/>
      <c r="AH722" s="468"/>
      <c r="AI722" s="468"/>
      <c r="AJ722" s="468"/>
    </row>
    <row r="723" spans="1:36" ht="18" customHeight="1" x14ac:dyDescent="0.35">
      <c r="A723" s="468"/>
      <c r="B723" s="468"/>
      <c r="C723" s="468"/>
      <c r="D723" s="468"/>
      <c r="E723" s="468"/>
      <c r="F723" s="468"/>
      <c r="G723" s="468"/>
      <c r="H723" s="468"/>
      <c r="I723" s="468"/>
      <c r="J723" s="468"/>
      <c r="K723" s="468"/>
      <c r="L723" s="468"/>
      <c r="M723" s="468"/>
      <c r="N723" s="468"/>
      <c r="O723" s="468"/>
      <c r="P723" s="468"/>
      <c r="Q723" s="468"/>
      <c r="R723" s="468"/>
      <c r="S723" s="468"/>
      <c r="T723" s="468"/>
      <c r="U723" s="468"/>
      <c r="V723" s="468"/>
      <c r="W723" s="468"/>
      <c r="X723" s="468"/>
      <c r="Y723" s="468"/>
      <c r="Z723" s="468"/>
      <c r="AA723" s="468"/>
      <c r="AB723" s="468"/>
      <c r="AC723" s="468"/>
      <c r="AD723" s="468"/>
      <c r="AE723" s="468"/>
      <c r="AF723" s="468"/>
      <c r="AG723" s="468"/>
      <c r="AH723" s="468"/>
      <c r="AI723" s="468"/>
      <c r="AJ723" s="468"/>
    </row>
    <row r="724" spans="1:36" ht="18" customHeight="1" x14ac:dyDescent="0.35">
      <c r="A724" s="468"/>
      <c r="B724" s="468"/>
      <c r="C724" s="468"/>
      <c r="D724" s="468"/>
      <c r="E724" s="468"/>
      <c r="F724" s="468"/>
      <c r="G724" s="468"/>
      <c r="H724" s="468"/>
      <c r="I724" s="468"/>
      <c r="J724" s="468"/>
      <c r="K724" s="468"/>
      <c r="L724" s="468"/>
      <c r="M724" s="468"/>
      <c r="N724" s="468"/>
      <c r="O724" s="468"/>
      <c r="P724" s="468"/>
      <c r="Q724" s="468"/>
      <c r="R724" s="468"/>
      <c r="S724" s="468"/>
      <c r="T724" s="468"/>
      <c r="U724" s="468"/>
      <c r="V724" s="468"/>
      <c r="W724" s="468"/>
      <c r="X724" s="468"/>
      <c r="Y724" s="468"/>
      <c r="Z724" s="468"/>
      <c r="AA724" s="468"/>
      <c r="AB724" s="468"/>
      <c r="AC724" s="468"/>
      <c r="AD724" s="468"/>
      <c r="AE724" s="468"/>
      <c r="AF724" s="468"/>
      <c r="AG724" s="468"/>
      <c r="AH724" s="468"/>
      <c r="AI724" s="468"/>
      <c r="AJ724" s="468"/>
    </row>
    <row r="725" spans="1:36" ht="18" customHeight="1" x14ac:dyDescent="0.35">
      <c r="A725" s="468"/>
      <c r="B725" s="468"/>
      <c r="C725" s="468"/>
      <c r="D725" s="468"/>
      <c r="E725" s="468"/>
      <c r="F725" s="468"/>
      <c r="G725" s="468"/>
      <c r="H725" s="468"/>
      <c r="I725" s="468"/>
      <c r="J725" s="468"/>
      <c r="K725" s="468"/>
      <c r="L725" s="468"/>
      <c r="M725" s="468"/>
      <c r="N725" s="468"/>
      <c r="O725" s="468"/>
      <c r="P725" s="468"/>
      <c r="Q725" s="468"/>
      <c r="R725" s="468"/>
      <c r="S725" s="468"/>
      <c r="T725" s="468"/>
      <c r="U725" s="468"/>
      <c r="V725" s="468"/>
      <c r="W725" s="468"/>
      <c r="X725" s="468"/>
      <c r="Y725" s="468"/>
      <c r="Z725" s="468"/>
      <c r="AA725" s="468"/>
      <c r="AB725" s="468"/>
      <c r="AC725" s="468"/>
      <c r="AD725" s="468"/>
      <c r="AE725" s="468"/>
      <c r="AF725" s="468"/>
      <c r="AG725" s="468"/>
      <c r="AH725" s="468"/>
      <c r="AI725" s="468"/>
      <c r="AJ725" s="468"/>
    </row>
    <row r="726" spans="1:36" ht="18" customHeight="1" x14ac:dyDescent="0.35">
      <c r="A726" s="468"/>
      <c r="B726" s="468"/>
      <c r="C726" s="468"/>
      <c r="D726" s="468"/>
      <c r="E726" s="468"/>
      <c r="F726" s="468"/>
      <c r="G726" s="468"/>
      <c r="H726" s="468"/>
      <c r="I726" s="468"/>
      <c r="J726" s="468"/>
      <c r="K726" s="468"/>
      <c r="L726" s="468"/>
      <c r="M726" s="468"/>
      <c r="N726" s="468"/>
      <c r="O726" s="468"/>
      <c r="P726" s="468"/>
      <c r="Q726" s="468"/>
      <c r="R726" s="468"/>
      <c r="S726" s="468"/>
      <c r="T726" s="468"/>
      <c r="U726" s="468"/>
      <c r="V726" s="468"/>
      <c r="W726" s="468"/>
      <c r="X726" s="468"/>
      <c r="Y726" s="468"/>
      <c r="Z726" s="468"/>
      <c r="AA726" s="468"/>
      <c r="AB726" s="468"/>
      <c r="AC726" s="468"/>
      <c r="AD726" s="468"/>
      <c r="AE726" s="468"/>
      <c r="AF726" s="468"/>
      <c r="AG726" s="468"/>
      <c r="AH726" s="468"/>
      <c r="AI726" s="468"/>
      <c r="AJ726" s="468"/>
    </row>
    <row r="727" spans="1:36" ht="18" customHeight="1" x14ac:dyDescent="0.35">
      <c r="A727" s="468"/>
      <c r="B727" s="468"/>
      <c r="C727" s="468"/>
      <c r="D727" s="468"/>
      <c r="E727" s="468"/>
      <c r="F727" s="468"/>
      <c r="G727" s="468"/>
      <c r="H727" s="468"/>
      <c r="I727" s="468"/>
      <c r="J727" s="468"/>
      <c r="K727" s="468"/>
      <c r="L727" s="468"/>
      <c r="M727" s="468"/>
      <c r="N727" s="468"/>
      <c r="O727" s="468"/>
      <c r="P727" s="468"/>
      <c r="Q727" s="468"/>
      <c r="R727" s="468"/>
      <c r="S727" s="468"/>
      <c r="T727" s="468"/>
      <c r="U727" s="468"/>
      <c r="V727" s="468"/>
      <c r="W727" s="468"/>
      <c r="X727" s="468"/>
      <c r="Y727" s="468"/>
      <c r="Z727" s="468"/>
      <c r="AA727" s="468"/>
      <c r="AB727" s="468"/>
      <c r="AC727" s="468"/>
      <c r="AD727" s="468"/>
      <c r="AE727" s="468"/>
      <c r="AF727" s="468"/>
      <c r="AG727" s="468"/>
      <c r="AH727" s="468"/>
      <c r="AI727" s="468"/>
      <c r="AJ727" s="468"/>
    </row>
    <row r="728" spans="1:36" ht="18" customHeight="1" x14ac:dyDescent="0.35">
      <c r="A728" s="468"/>
      <c r="B728" s="468"/>
      <c r="C728" s="468"/>
      <c r="D728" s="468"/>
      <c r="E728" s="468"/>
      <c r="F728" s="468"/>
      <c r="G728" s="468"/>
      <c r="H728" s="468"/>
      <c r="I728" s="468"/>
      <c r="J728" s="468"/>
      <c r="K728" s="468"/>
      <c r="L728" s="468"/>
      <c r="M728" s="468"/>
      <c r="N728" s="468"/>
      <c r="O728" s="468"/>
      <c r="P728" s="468"/>
      <c r="Q728" s="468"/>
      <c r="R728" s="468"/>
      <c r="S728" s="468"/>
      <c r="T728" s="468"/>
      <c r="U728" s="468"/>
      <c r="V728" s="468"/>
      <c r="W728" s="468"/>
      <c r="X728" s="468"/>
      <c r="Y728" s="468"/>
      <c r="Z728" s="468"/>
      <c r="AA728" s="468"/>
      <c r="AB728" s="468"/>
      <c r="AC728" s="468"/>
      <c r="AD728" s="468"/>
      <c r="AE728" s="468"/>
      <c r="AF728" s="468"/>
      <c r="AG728" s="468"/>
      <c r="AH728" s="468"/>
      <c r="AI728" s="468"/>
      <c r="AJ728" s="468"/>
    </row>
    <row r="729" spans="1:36" ht="18" customHeight="1" x14ac:dyDescent="0.35">
      <c r="A729" s="468"/>
      <c r="B729" s="468"/>
      <c r="C729" s="468"/>
      <c r="D729" s="468"/>
      <c r="E729" s="468"/>
      <c r="F729" s="468"/>
      <c r="G729" s="468"/>
      <c r="H729" s="468"/>
      <c r="I729" s="468"/>
      <c r="J729" s="468"/>
      <c r="K729" s="468"/>
      <c r="L729" s="468"/>
      <c r="M729" s="468"/>
      <c r="N729" s="468"/>
      <c r="O729" s="468"/>
      <c r="P729" s="468"/>
      <c r="Q729" s="468"/>
      <c r="R729" s="468"/>
      <c r="S729" s="468"/>
      <c r="T729" s="468"/>
      <c r="U729" s="468"/>
      <c r="V729" s="468"/>
      <c r="W729" s="468"/>
      <c r="X729" s="468"/>
      <c r="Y729" s="468"/>
      <c r="Z729" s="468"/>
      <c r="AA729" s="468"/>
      <c r="AB729" s="468"/>
      <c r="AC729" s="468"/>
      <c r="AD729" s="468"/>
      <c r="AE729" s="468"/>
      <c r="AF729" s="468"/>
      <c r="AG729" s="468"/>
      <c r="AH729" s="468"/>
      <c r="AI729" s="468"/>
      <c r="AJ729" s="468"/>
    </row>
    <row r="730" spans="1:36" ht="18" customHeight="1" x14ac:dyDescent="0.35">
      <c r="A730" s="468"/>
      <c r="B730" s="468"/>
      <c r="C730" s="468"/>
      <c r="D730" s="468"/>
      <c r="E730" s="468"/>
      <c r="F730" s="468"/>
      <c r="G730" s="468"/>
      <c r="H730" s="468"/>
      <c r="I730" s="468"/>
      <c r="J730" s="468"/>
      <c r="K730" s="468"/>
      <c r="L730" s="468"/>
      <c r="M730" s="468"/>
      <c r="N730" s="468"/>
      <c r="O730" s="468"/>
      <c r="P730" s="468"/>
      <c r="Q730" s="468"/>
      <c r="R730" s="468"/>
      <c r="S730" s="468"/>
      <c r="T730" s="468"/>
      <c r="U730" s="468"/>
      <c r="V730" s="468"/>
      <c r="W730" s="468"/>
      <c r="X730" s="468"/>
      <c r="Y730" s="468"/>
      <c r="Z730" s="468"/>
      <c r="AA730" s="468"/>
      <c r="AB730" s="468"/>
      <c r="AC730" s="468"/>
      <c r="AD730" s="468"/>
      <c r="AE730" s="468"/>
      <c r="AF730" s="468"/>
      <c r="AG730" s="468"/>
      <c r="AH730" s="468"/>
      <c r="AI730" s="468"/>
      <c r="AJ730" s="468"/>
    </row>
    <row r="731" spans="1:36" ht="18" customHeight="1" x14ac:dyDescent="0.35">
      <c r="A731" s="468"/>
      <c r="B731" s="468"/>
      <c r="C731" s="468"/>
      <c r="D731" s="468"/>
      <c r="E731" s="468"/>
      <c r="F731" s="468"/>
      <c r="G731" s="468"/>
      <c r="H731" s="468"/>
      <c r="I731" s="468"/>
      <c r="J731" s="468"/>
      <c r="K731" s="468"/>
      <c r="L731" s="468"/>
      <c r="M731" s="468"/>
      <c r="N731" s="468"/>
      <c r="O731" s="468"/>
      <c r="P731" s="468"/>
      <c r="Q731" s="468"/>
      <c r="R731" s="468"/>
      <c r="S731" s="468"/>
      <c r="T731" s="468"/>
      <c r="U731" s="468"/>
      <c r="V731" s="468"/>
      <c r="W731" s="468"/>
      <c r="X731" s="468"/>
      <c r="Y731" s="468"/>
      <c r="Z731" s="468"/>
      <c r="AA731" s="468"/>
      <c r="AB731" s="468"/>
      <c r="AC731" s="468"/>
      <c r="AD731" s="468"/>
      <c r="AE731" s="468"/>
      <c r="AF731" s="468"/>
      <c r="AG731" s="468"/>
      <c r="AH731" s="468"/>
      <c r="AI731" s="468"/>
      <c r="AJ731" s="468"/>
    </row>
    <row r="732" spans="1:36" ht="18" customHeight="1" x14ac:dyDescent="0.35">
      <c r="A732" s="468"/>
      <c r="B732" s="468"/>
      <c r="C732" s="468"/>
      <c r="D732" s="468"/>
      <c r="E732" s="468"/>
      <c r="F732" s="468"/>
      <c r="G732" s="468"/>
      <c r="H732" s="468"/>
      <c r="I732" s="468"/>
      <c r="J732" s="468"/>
      <c r="K732" s="468"/>
      <c r="L732" s="468"/>
      <c r="M732" s="468"/>
      <c r="N732" s="468"/>
      <c r="O732" s="468"/>
      <c r="P732" s="468"/>
      <c r="Q732" s="468"/>
      <c r="R732" s="468"/>
      <c r="S732" s="468"/>
      <c r="T732" s="468"/>
      <c r="U732" s="468"/>
      <c r="V732" s="468"/>
      <c r="W732" s="468"/>
      <c r="X732" s="468"/>
      <c r="Y732" s="468"/>
      <c r="Z732" s="468"/>
      <c r="AA732" s="468"/>
      <c r="AB732" s="468"/>
      <c r="AC732" s="468"/>
      <c r="AD732" s="468"/>
      <c r="AE732" s="468"/>
      <c r="AF732" s="468"/>
      <c r="AG732" s="468"/>
      <c r="AH732" s="468"/>
      <c r="AI732" s="468"/>
      <c r="AJ732" s="468"/>
    </row>
    <row r="733" spans="1:36" ht="18" customHeight="1" x14ac:dyDescent="0.35">
      <c r="A733" s="468"/>
      <c r="B733" s="468"/>
      <c r="C733" s="468"/>
      <c r="D733" s="468"/>
      <c r="E733" s="468"/>
      <c r="F733" s="468"/>
      <c r="G733" s="468"/>
      <c r="H733" s="468"/>
      <c r="I733" s="468"/>
      <c r="J733" s="468"/>
      <c r="K733" s="468"/>
      <c r="L733" s="468"/>
      <c r="M733" s="468"/>
      <c r="N733" s="468"/>
      <c r="O733" s="468"/>
      <c r="P733" s="468"/>
      <c r="Q733" s="468"/>
      <c r="R733" s="468"/>
      <c r="S733" s="468"/>
      <c r="T733" s="468"/>
      <c r="U733" s="468"/>
      <c r="V733" s="468"/>
      <c r="W733" s="468"/>
      <c r="X733" s="468"/>
      <c r="Y733" s="468"/>
      <c r="Z733" s="468"/>
      <c r="AA733" s="468"/>
      <c r="AB733" s="468"/>
      <c r="AC733" s="468"/>
      <c r="AD733" s="468"/>
      <c r="AE733" s="468"/>
      <c r="AF733" s="468"/>
      <c r="AG733" s="468"/>
      <c r="AH733" s="468"/>
      <c r="AI733" s="468"/>
      <c r="AJ733" s="468"/>
    </row>
    <row r="734" spans="1:36" ht="18" customHeight="1" x14ac:dyDescent="0.35">
      <c r="A734" s="468"/>
      <c r="B734" s="468"/>
      <c r="C734" s="468"/>
      <c r="D734" s="468"/>
      <c r="E734" s="468"/>
      <c r="F734" s="468"/>
      <c r="G734" s="468"/>
      <c r="H734" s="468"/>
      <c r="I734" s="468"/>
      <c r="J734" s="468"/>
      <c r="K734" s="468"/>
      <c r="L734" s="468"/>
      <c r="M734" s="468"/>
      <c r="N734" s="468"/>
      <c r="O734" s="468"/>
      <c r="P734" s="468"/>
      <c r="Q734" s="468"/>
      <c r="R734" s="468"/>
      <c r="S734" s="468"/>
      <c r="T734" s="468"/>
      <c r="U734" s="468"/>
      <c r="V734" s="468"/>
      <c r="W734" s="468"/>
      <c r="X734" s="468"/>
      <c r="Y734" s="468"/>
      <c r="Z734" s="468"/>
      <c r="AA734" s="468"/>
      <c r="AB734" s="468"/>
      <c r="AC734" s="468"/>
      <c r="AD734" s="468"/>
      <c r="AE734" s="468"/>
      <c r="AF734" s="468"/>
      <c r="AG734" s="468"/>
      <c r="AH734" s="468"/>
      <c r="AI734" s="468"/>
      <c r="AJ734" s="468"/>
    </row>
    <row r="735" spans="1:36" ht="18" customHeight="1" x14ac:dyDescent="0.35">
      <c r="A735" s="468"/>
      <c r="B735" s="468"/>
      <c r="C735" s="468"/>
      <c r="D735" s="468"/>
      <c r="E735" s="468"/>
      <c r="F735" s="468"/>
      <c r="G735" s="468"/>
      <c r="H735" s="468"/>
      <c r="I735" s="468"/>
      <c r="J735" s="468"/>
      <c r="K735" s="468"/>
      <c r="L735" s="468"/>
      <c r="M735" s="468"/>
      <c r="N735" s="468"/>
      <c r="O735" s="468"/>
      <c r="P735" s="468"/>
      <c r="Q735" s="468"/>
      <c r="R735" s="468"/>
      <c r="S735" s="468"/>
      <c r="T735" s="468"/>
      <c r="U735" s="468"/>
      <c r="V735" s="468"/>
      <c r="W735" s="468"/>
      <c r="X735" s="468"/>
      <c r="Y735" s="468"/>
      <c r="Z735" s="468"/>
      <c r="AA735" s="468"/>
      <c r="AB735" s="468"/>
      <c r="AC735" s="468"/>
      <c r="AD735" s="468"/>
      <c r="AE735" s="468"/>
      <c r="AF735" s="468"/>
      <c r="AG735" s="468"/>
      <c r="AH735" s="468"/>
      <c r="AI735" s="468"/>
      <c r="AJ735" s="468"/>
    </row>
    <row r="736" spans="1:36" ht="18" customHeight="1" x14ac:dyDescent="0.35">
      <c r="A736" s="468"/>
      <c r="B736" s="468"/>
      <c r="C736" s="468"/>
      <c r="D736" s="468"/>
      <c r="E736" s="468"/>
      <c r="F736" s="468"/>
      <c r="G736" s="468"/>
      <c r="H736" s="468"/>
      <c r="I736" s="468"/>
      <c r="J736" s="468"/>
      <c r="K736" s="468"/>
      <c r="L736" s="468"/>
      <c r="M736" s="468"/>
      <c r="N736" s="468"/>
      <c r="O736" s="468"/>
      <c r="P736" s="468"/>
      <c r="Q736" s="468"/>
      <c r="R736" s="468"/>
      <c r="S736" s="468"/>
      <c r="T736" s="468"/>
      <c r="U736" s="468"/>
      <c r="V736" s="468"/>
      <c r="W736" s="468"/>
      <c r="X736" s="468"/>
      <c r="Y736" s="468"/>
      <c r="Z736" s="468"/>
      <c r="AA736" s="468"/>
      <c r="AB736" s="468"/>
      <c r="AC736" s="468"/>
      <c r="AD736" s="468"/>
      <c r="AE736" s="468"/>
      <c r="AF736" s="468"/>
      <c r="AG736" s="468"/>
      <c r="AH736" s="468"/>
      <c r="AI736" s="468"/>
      <c r="AJ736" s="468"/>
    </row>
    <row r="737" spans="1:36" ht="18" customHeight="1" x14ac:dyDescent="0.35">
      <c r="A737" s="468"/>
      <c r="B737" s="468"/>
      <c r="C737" s="468"/>
      <c r="D737" s="468"/>
      <c r="E737" s="468"/>
      <c r="F737" s="468"/>
      <c r="G737" s="468"/>
      <c r="H737" s="468"/>
      <c r="I737" s="468"/>
      <c r="J737" s="468"/>
      <c r="K737" s="468"/>
      <c r="L737" s="468"/>
      <c r="M737" s="468"/>
      <c r="N737" s="468"/>
      <c r="O737" s="468"/>
      <c r="P737" s="468"/>
      <c r="Q737" s="468"/>
      <c r="R737" s="468"/>
      <c r="S737" s="468"/>
      <c r="T737" s="468"/>
      <c r="U737" s="468"/>
      <c r="V737" s="468"/>
      <c r="W737" s="468"/>
      <c r="X737" s="468"/>
      <c r="Y737" s="468"/>
      <c r="Z737" s="468"/>
      <c r="AA737" s="468"/>
      <c r="AB737" s="468"/>
      <c r="AC737" s="468"/>
      <c r="AD737" s="468"/>
      <c r="AE737" s="468"/>
      <c r="AF737" s="468"/>
      <c r="AG737" s="468"/>
      <c r="AH737" s="468"/>
      <c r="AI737" s="468"/>
      <c r="AJ737" s="468"/>
    </row>
    <row r="738" spans="1:36" ht="18" customHeight="1" x14ac:dyDescent="0.35">
      <c r="A738" s="468"/>
      <c r="B738" s="468"/>
      <c r="C738" s="468"/>
      <c r="D738" s="468"/>
      <c r="E738" s="468"/>
      <c r="F738" s="468"/>
      <c r="G738" s="468"/>
      <c r="H738" s="468"/>
      <c r="I738" s="468"/>
      <c r="J738" s="468"/>
      <c r="K738" s="468"/>
      <c r="L738" s="468"/>
      <c r="M738" s="468"/>
      <c r="N738" s="468"/>
      <c r="O738" s="468"/>
      <c r="P738" s="468"/>
      <c r="Q738" s="468"/>
      <c r="R738" s="468"/>
      <c r="S738" s="468"/>
      <c r="T738" s="468"/>
      <c r="U738" s="468"/>
      <c r="V738" s="468"/>
      <c r="W738" s="468"/>
      <c r="X738" s="468"/>
      <c r="Y738" s="468"/>
      <c r="Z738" s="468"/>
      <c r="AA738" s="468"/>
      <c r="AB738" s="468"/>
      <c r="AC738" s="468"/>
      <c r="AD738" s="468"/>
      <c r="AE738" s="468"/>
      <c r="AF738" s="468"/>
      <c r="AG738" s="468"/>
      <c r="AH738" s="468"/>
      <c r="AI738" s="468"/>
      <c r="AJ738" s="468"/>
    </row>
    <row r="739" spans="1:36" ht="18" customHeight="1" x14ac:dyDescent="0.35">
      <c r="A739" s="468"/>
      <c r="B739" s="468"/>
      <c r="C739" s="468"/>
      <c r="D739" s="468"/>
      <c r="E739" s="468"/>
      <c r="F739" s="468"/>
      <c r="G739" s="468"/>
      <c r="H739" s="468"/>
      <c r="I739" s="468"/>
      <c r="J739" s="468"/>
      <c r="K739" s="468"/>
      <c r="L739" s="468"/>
      <c r="M739" s="468"/>
      <c r="N739" s="468"/>
      <c r="O739" s="468"/>
      <c r="P739" s="468"/>
      <c r="Q739" s="468"/>
      <c r="R739" s="468"/>
      <c r="S739" s="468"/>
      <c r="T739" s="468"/>
      <c r="U739" s="468"/>
      <c r="V739" s="468"/>
      <c r="W739" s="468"/>
      <c r="X739" s="468"/>
      <c r="Y739" s="468"/>
      <c r="Z739" s="468"/>
      <c r="AA739" s="468"/>
      <c r="AB739" s="468"/>
      <c r="AC739" s="468"/>
      <c r="AD739" s="468"/>
      <c r="AE739" s="468"/>
      <c r="AF739" s="468"/>
      <c r="AG739" s="468"/>
      <c r="AH739" s="468"/>
      <c r="AI739" s="468"/>
      <c r="AJ739" s="468"/>
    </row>
    <row r="740" spans="1:36" ht="18" customHeight="1" x14ac:dyDescent="0.35">
      <c r="A740" s="468"/>
      <c r="B740" s="468"/>
      <c r="C740" s="468"/>
      <c r="D740" s="468"/>
      <c r="E740" s="468"/>
      <c r="F740" s="468"/>
      <c r="G740" s="468"/>
      <c r="H740" s="468"/>
      <c r="I740" s="468"/>
      <c r="J740" s="468"/>
      <c r="K740" s="468"/>
      <c r="L740" s="468"/>
      <c r="M740" s="468"/>
      <c r="N740" s="468"/>
      <c r="O740" s="468"/>
      <c r="P740" s="468"/>
      <c r="Q740" s="468"/>
      <c r="R740" s="468"/>
      <c r="S740" s="468"/>
      <c r="T740" s="468"/>
      <c r="U740" s="468"/>
      <c r="V740" s="468"/>
      <c r="W740" s="468"/>
      <c r="X740" s="468"/>
      <c r="Y740" s="468"/>
      <c r="Z740" s="468"/>
      <c r="AA740" s="468"/>
      <c r="AB740" s="468"/>
      <c r="AC740" s="468"/>
      <c r="AD740" s="468"/>
      <c r="AE740" s="468"/>
      <c r="AF740" s="468"/>
      <c r="AG740" s="468"/>
      <c r="AH740" s="468"/>
      <c r="AI740" s="468"/>
      <c r="AJ740" s="468"/>
    </row>
    <row r="741" spans="1:36" ht="18" customHeight="1" x14ac:dyDescent="0.35">
      <c r="A741" s="468"/>
      <c r="B741" s="468"/>
      <c r="C741" s="468"/>
      <c r="D741" s="468"/>
      <c r="E741" s="468"/>
      <c r="F741" s="468"/>
      <c r="G741" s="468"/>
      <c r="H741" s="468"/>
      <c r="I741" s="468"/>
      <c r="J741" s="468"/>
      <c r="K741" s="468"/>
      <c r="L741" s="468"/>
      <c r="M741" s="468"/>
      <c r="N741" s="468"/>
      <c r="O741" s="468"/>
      <c r="P741" s="468"/>
      <c r="Q741" s="468"/>
      <c r="R741" s="468"/>
      <c r="S741" s="468"/>
      <c r="T741" s="468"/>
      <c r="U741" s="468"/>
      <c r="V741" s="468"/>
      <c r="W741" s="468"/>
      <c r="X741" s="468"/>
      <c r="Y741" s="468"/>
      <c r="Z741" s="468"/>
      <c r="AA741" s="468"/>
      <c r="AB741" s="468"/>
      <c r="AC741" s="468"/>
      <c r="AD741" s="468"/>
      <c r="AE741" s="468"/>
      <c r="AF741" s="468"/>
      <c r="AG741" s="468"/>
      <c r="AH741" s="468"/>
      <c r="AI741" s="468"/>
      <c r="AJ741" s="468"/>
    </row>
    <row r="742" spans="1:36" ht="18" customHeight="1" x14ac:dyDescent="0.35">
      <c r="A742" s="468"/>
      <c r="B742" s="468"/>
      <c r="C742" s="468"/>
      <c r="D742" s="468"/>
      <c r="E742" s="468"/>
      <c r="F742" s="468"/>
      <c r="G742" s="468"/>
      <c r="H742" s="468"/>
      <c r="I742" s="468"/>
      <c r="J742" s="468"/>
      <c r="K742" s="468"/>
      <c r="L742" s="468"/>
      <c r="M742" s="468"/>
      <c r="N742" s="468"/>
      <c r="O742" s="468"/>
      <c r="P742" s="468"/>
      <c r="Q742" s="468"/>
      <c r="R742" s="468"/>
      <c r="S742" s="468"/>
      <c r="T742" s="468"/>
      <c r="U742" s="468"/>
      <c r="V742" s="468"/>
      <c r="W742" s="468"/>
      <c r="X742" s="468"/>
      <c r="Y742" s="468"/>
      <c r="Z742" s="468"/>
      <c r="AA742" s="468"/>
      <c r="AB742" s="468"/>
      <c r="AC742" s="468"/>
      <c r="AD742" s="468"/>
      <c r="AE742" s="468"/>
      <c r="AF742" s="468"/>
      <c r="AG742" s="468"/>
      <c r="AH742" s="468"/>
      <c r="AI742" s="468"/>
      <c r="AJ742" s="468"/>
    </row>
    <row r="743" spans="1:36" ht="18" customHeight="1" x14ac:dyDescent="0.35">
      <c r="A743" s="468"/>
      <c r="B743" s="468"/>
      <c r="C743" s="468"/>
      <c r="D743" s="468"/>
      <c r="E743" s="468"/>
      <c r="F743" s="468"/>
      <c r="G743" s="468"/>
      <c r="H743" s="468"/>
      <c r="I743" s="468"/>
      <c r="J743" s="468"/>
      <c r="K743" s="468"/>
      <c r="L743" s="468"/>
      <c r="M743" s="468"/>
      <c r="N743" s="468"/>
      <c r="O743" s="468"/>
      <c r="P743" s="468"/>
      <c r="Q743" s="468"/>
      <c r="R743" s="468"/>
      <c r="S743" s="468"/>
      <c r="T743" s="468"/>
      <c r="U743" s="468"/>
      <c r="V743" s="468"/>
      <c r="W743" s="468"/>
      <c r="X743" s="468"/>
      <c r="Y743" s="468"/>
      <c r="Z743" s="468"/>
      <c r="AA743" s="468"/>
      <c r="AB743" s="468"/>
      <c r="AC743" s="468"/>
      <c r="AD743" s="468"/>
      <c r="AE743" s="468"/>
      <c r="AF743" s="468"/>
      <c r="AG743" s="468"/>
      <c r="AH743" s="468"/>
      <c r="AI743" s="468"/>
      <c r="AJ743" s="468"/>
    </row>
    <row r="744" spans="1:36" ht="18" customHeight="1" x14ac:dyDescent="0.35">
      <c r="A744" s="468"/>
      <c r="B744" s="468"/>
      <c r="C744" s="468"/>
      <c r="D744" s="468"/>
      <c r="E744" s="468"/>
      <c r="F744" s="468"/>
      <c r="G744" s="468"/>
      <c r="H744" s="468"/>
      <c r="I744" s="468"/>
      <c r="J744" s="468"/>
      <c r="K744" s="468"/>
      <c r="L744" s="468"/>
      <c r="M744" s="468"/>
      <c r="N744" s="468"/>
      <c r="O744" s="468"/>
      <c r="P744" s="468"/>
      <c r="Q744" s="468"/>
      <c r="R744" s="468"/>
      <c r="S744" s="468"/>
      <c r="T744" s="468"/>
      <c r="U744" s="468"/>
      <c r="V744" s="468"/>
      <c r="W744" s="468"/>
      <c r="X744" s="468"/>
      <c r="Y744" s="468"/>
      <c r="Z744" s="468"/>
      <c r="AA744" s="468"/>
      <c r="AB744" s="468"/>
      <c r="AC744" s="468"/>
      <c r="AD744" s="468"/>
      <c r="AE744" s="468"/>
      <c r="AF744" s="468"/>
      <c r="AG744" s="468"/>
      <c r="AH744" s="468"/>
      <c r="AI744" s="468"/>
      <c r="AJ744" s="468"/>
    </row>
    <row r="745" spans="1:36" ht="18" customHeight="1" x14ac:dyDescent="0.35">
      <c r="A745" s="468"/>
      <c r="B745" s="468"/>
      <c r="C745" s="468"/>
      <c r="D745" s="468"/>
      <c r="E745" s="468"/>
      <c r="F745" s="468"/>
      <c r="G745" s="468"/>
      <c r="H745" s="468"/>
      <c r="I745" s="468"/>
      <c r="J745" s="468"/>
      <c r="K745" s="468"/>
      <c r="L745" s="468"/>
      <c r="M745" s="468"/>
      <c r="N745" s="468"/>
      <c r="O745" s="468"/>
      <c r="P745" s="468"/>
      <c r="Q745" s="468"/>
      <c r="R745" s="468"/>
      <c r="S745" s="468"/>
      <c r="T745" s="468"/>
      <c r="U745" s="468"/>
      <c r="V745" s="468"/>
      <c r="W745" s="468"/>
      <c r="X745" s="468"/>
      <c r="Y745" s="468"/>
      <c r="Z745" s="468"/>
      <c r="AA745" s="468"/>
      <c r="AB745" s="468"/>
      <c r="AC745" s="468"/>
      <c r="AD745" s="468"/>
      <c r="AE745" s="468"/>
      <c r="AF745" s="468"/>
      <c r="AG745" s="468"/>
      <c r="AH745" s="468"/>
      <c r="AI745" s="468"/>
      <c r="AJ745" s="468"/>
    </row>
    <row r="746" spans="1:36" ht="18" customHeight="1" x14ac:dyDescent="0.35">
      <c r="A746" s="468"/>
      <c r="B746" s="468"/>
      <c r="C746" s="468"/>
      <c r="D746" s="468"/>
      <c r="E746" s="468"/>
      <c r="F746" s="468"/>
      <c r="G746" s="468"/>
      <c r="H746" s="468"/>
      <c r="I746" s="468"/>
      <c r="J746" s="468"/>
      <c r="K746" s="468"/>
      <c r="L746" s="468"/>
      <c r="M746" s="468"/>
      <c r="N746" s="468"/>
      <c r="O746" s="468"/>
      <c r="P746" s="468"/>
      <c r="Q746" s="468"/>
      <c r="R746" s="468"/>
      <c r="S746" s="468"/>
      <c r="T746" s="468"/>
      <c r="U746" s="468"/>
      <c r="V746" s="468"/>
      <c r="W746" s="468"/>
      <c r="X746" s="468"/>
      <c r="Y746" s="468"/>
      <c r="Z746" s="468"/>
      <c r="AA746" s="468"/>
      <c r="AB746" s="468"/>
      <c r="AC746" s="468"/>
      <c r="AD746" s="468"/>
      <c r="AE746" s="468"/>
      <c r="AF746" s="468"/>
      <c r="AG746" s="468"/>
      <c r="AH746" s="468"/>
      <c r="AI746" s="468"/>
      <c r="AJ746" s="468"/>
    </row>
    <row r="747" spans="1:36" ht="18" customHeight="1" x14ac:dyDescent="0.35">
      <c r="A747" s="468"/>
      <c r="B747" s="468"/>
      <c r="C747" s="468"/>
      <c r="D747" s="468"/>
      <c r="E747" s="468"/>
      <c r="F747" s="468"/>
      <c r="G747" s="468"/>
      <c r="H747" s="468"/>
      <c r="I747" s="468"/>
      <c r="J747" s="468"/>
      <c r="K747" s="468"/>
      <c r="L747" s="468"/>
      <c r="M747" s="468"/>
      <c r="N747" s="468"/>
      <c r="O747" s="468"/>
      <c r="P747" s="468"/>
      <c r="Q747" s="468"/>
      <c r="R747" s="468"/>
      <c r="S747" s="468"/>
      <c r="T747" s="468"/>
      <c r="U747" s="468"/>
      <c r="V747" s="468"/>
      <c r="W747" s="468"/>
      <c r="X747" s="468"/>
      <c r="Y747" s="468"/>
      <c r="Z747" s="468"/>
      <c r="AA747" s="468"/>
      <c r="AB747" s="468"/>
      <c r="AC747" s="468"/>
      <c r="AD747" s="468"/>
      <c r="AE747" s="468"/>
      <c r="AF747" s="468"/>
      <c r="AG747" s="468"/>
      <c r="AH747" s="468"/>
      <c r="AI747" s="468"/>
      <c r="AJ747" s="468"/>
    </row>
    <row r="748" spans="1:36" ht="18" customHeight="1" x14ac:dyDescent="0.35">
      <c r="A748" s="468"/>
      <c r="B748" s="468"/>
      <c r="C748" s="468"/>
      <c r="D748" s="468"/>
      <c r="E748" s="468"/>
      <c r="F748" s="468"/>
      <c r="G748" s="468"/>
      <c r="H748" s="468"/>
      <c r="I748" s="468"/>
      <c r="J748" s="468"/>
      <c r="K748" s="468"/>
      <c r="L748" s="468"/>
      <c r="M748" s="468"/>
      <c r="N748" s="468"/>
      <c r="O748" s="468"/>
      <c r="P748" s="468"/>
      <c r="Q748" s="468"/>
      <c r="R748" s="468"/>
      <c r="S748" s="468"/>
      <c r="T748" s="468"/>
      <c r="U748" s="468"/>
      <c r="V748" s="468"/>
      <c r="W748" s="468"/>
      <c r="X748" s="468"/>
      <c r="Y748" s="468"/>
      <c r="Z748" s="468"/>
      <c r="AA748" s="468"/>
      <c r="AB748" s="468"/>
      <c r="AC748" s="468"/>
      <c r="AD748" s="468"/>
      <c r="AE748" s="468"/>
      <c r="AF748" s="468"/>
      <c r="AG748" s="468"/>
      <c r="AH748" s="468"/>
      <c r="AI748" s="468"/>
      <c r="AJ748" s="468"/>
    </row>
    <row r="749" spans="1:36" ht="18" customHeight="1" x14ac:dyDescent="0.35">
      <c r="A749" s="468"/>
      <c r="B749" s="468"/>
      <c r="C749" s="468"/>
      <c r="D749" s="468"/>
      <c r="E749" s="468"/>
      <c r="F749" s="468"/>
      <c r="G749" s="468"/>
      <c r="H749" s="468"/>
      <c r="I749" s="468"/>
      <c r="J749" s="468"/>
      <c r="K749" s="468"/>
      <c r="L749" s="468"/>
      <c r="M749" s="468"/>
      <c r="N749" s="468"/>
      <c r="O749" s="468"/>
      <c r="P749" s="468"/>
      <c r="Q749" s="468"/>
      <c r="R749" s="468"/>
      <c r="S749" s="468"/>
      <c r="T749" s="468"/>
      <c r="U749" s="468"/>
      <c r="V749" s="468"/>
      <c r="W749" s="468"/>
      <c r="X749" s="468"/>
      <c r="Y749" s="468"/>
      <c r="Z749" s="468"/>
      <c r="AA749" s="468"/>
      <c r="AB749" s="468"/>
      <c r="AC749" s="468"/>
      <c r="AD749" s="468"/>
      <c r="AE749" s="468"/>
      <c r="AF749" s="468"/>
      <c r="AG749" s="468"/>
      <c r="AH749" s="468"/>
      <c r="AI749" s="468"/>
      <c r="AJ749" s="468"/>
    </row>
    <row r="750" spans="1:36" ht="18" customHeight="1" x14ac:dyDescent="0.35">
      <c r="A750" s="468"/>
      <c r="B750" s="468"/>
      <c r="C750" s="468"/>
      <c r="D750" s="468"/>
      <c r="E750" s="468"/>
      <c r="F750" s="468"/>
      <c r="G750" s="468"/>
      <c r="H750" s="468"/>
      <c r="I750" s="468"/>
      <c r="J750" s="468"/>
      <c r="K750" s="468"/>
      <c r="L750" s="468"/>
      <c r="M750" s="468"/>
      <c r="N750" s="468"/>
      <c r="O750" s="468"/>
      <c r="P750" s="468"/>
      <c r="Q750" s="468"/>
      <c r="R750" s="468"/>
      <c r="S750" s="468"/>
      <c r="T750" s="468"/>
      <c r="U750" s="468"/>
      <c r="V750" s="468"/>
      <c r="W750" s="468"/>
      <c r="X750" s="468"/>
      <c r="Y750" s="468"/>
      <c r="Z750" s="468"/>
      <c r="AA750" s="468"/>
      <c r="AB750" s="468"/>
      <c r="AC750" s="468"/>
      <c r="AD750" s="468"/>
      <c r="AE750" s="468"/>
      <c r="AF750" s="468"/>
      <c r="AG750" s="468"/>
      <c r="AH750" s="468"/>
      <c r="AI750" s="468"/>
      <c r="AJ750" s="468"/>
    </row>
    <row r="751" spans="1:36" ht="18" customHeight="1" x14ac:dyDescent="0.35">
      <c r="A751" s="468"/>
      <c r="B751" s="468"/>
      <c r="C751" s="468"/>
      <c r="D751" s="468"/>
      <c r="E751" s="468"/>
      <c r="F751" s="468"/>
      <c r="G751" s="468"/>
      <c r="H751" s="468"/>
      <c r="I751" s="468"/>
      <c r="J751" s="468"/>
      <c r="K751" s="468"/>
      <c r="L751" s="468"/>
      <c r="M751" s="468"/>
      <c r="N751" s="468"/>
      <c r="O751" s="468"/>
      <c r="P751" s="468"/>
      <c r="Q751" s="468"/>
      <c r="R751" s="468"/>
      <c r="S751" s="468"/>
      <c r="T751" s="468"/>
      <c r="U751" s="468"/>
      <c r="V751" s="468"/>
      <c r="W751" s="468"/>
      <c r="X751" s="468"/>
      <c r="Y751" s="468"/>
      <c r="Z751" s="468"/>
      <c r="AA751" s="468"/>
      <c r="AB751" s="468"/>
      <c r="AC751" s="468"/>
      <c r="AD751" s="468"/>
      <c r="AE751" s="468"/>
      <c r="AF751" s="468"/>
      <c r="AG751" s="468"/>
      <c r="AH751" s="468"/>
      <c r="AI751" s="468"/>
      <c r="AJ751" s="468"/>
    </row>
    <row r="752" spans="1:36" ht="18" customHeight="1" x14ac:dyDescent="0.35">
      <c r="A752" s="468"/>
      <c r="B752" s="468"/>
      <c r="C752" s="468"/>
      <c r="D752" s="468"/>
      <c r="E752" s="468"/>
      <c r="F752" s="468"/>
      <c r="G752" s="468"/>
      <c r="H752" s="468"/>
      <c r="I752" s="468"/>
      <c r="J752" s="468"/>
      <c r="K752" s="468"/>
      <c r="L752" s="468"/>
      <c r="M752" s="468"/>
      <c r="N752" s="468"/>
      <c r="O752" s="468"/>
      <c r="P752" s="468"/>
      <c r="Q752" s="468"/>
      <c r="R752" s="468"/>
      <c r="S752" s="468"/>
      <c r="T752" s="468"/>
      <c r="U752" s="468"/>
      <c r="V752" s="468"/>
      <c r="W752" s="468"/>
      <c r="X752" s="468"/>
      <c r="Y752" s="468"/>
      <c r="Z752" s="468"/>
      <c r="AA752" s="468"/>
      <c r="AB752" s="468"/>
      <c r="AC752" s="468"/>
      <c r="AD752" s="468"/>
      <c r="AE752" s="468"/>
      <c r="AF752" s="468"/>
      <c r="AG752" s="468"/>
      <c r="AH752" s="468"/>
      <c r="AI752" s="468"/>
      <c r="AJ752" s="468"/>
    </row>
    <row r="753" spans="1:36" ht="18" customHeight="1" x14ac:dyDescent="0.35">
      <c r="A753" s="468"/>
      <c r="B753" s="468"/>
      <c r="C753" s="468"/>
      <c r="D753" s="468"/>
      <c r="E753" s="468"/>
      <c r="F753" s="468"/>
      <c r="G753" s="468"/>
      <c r="H753" s="468"/>
      <c r="I753" s="468"/>
      <c r="J753" s="468"/>
      <c r="K753" s="468"/>
      <c r="L753" s="468"/>
      <c r="M753" s="468"/>
      <c r="N753" s="468"/>
      <c r="O753" s="468"/>
      <c r="P753" s="468"/>
      <c r="Q753" s="468"/>
      <c r="R753" s="468"/>
      <c r="S753" s="468"/>
      <c r="T753" s="468"/>
      <c r="U753" s="468"/>
      <c r="V753" s="468"/>
      <c r="W753" s="468"/>
      <c r="X753" s="468"/>
      <c r="Y753" s="468"/>
      <c r="Z753" s="468"/>
      <c r="AA753" s="468"/>
      <c r="AB753" s="468"/>
      <c r="AC753" s="468"/>
      <c r="AD753" s="468"/>
      <c r="AE753" s="468"/>
      <c r="AF753" s="468"/>
      <c r="AG753" s="468"/>
      <c r="AH753" s="468"/>
      <c r="AI753" s="468"/>
      <c r="AJ753" s="468"/>
    </row>
    <row r="754" spans="1:36" ht="18" customHeight="1" x14ac:dyDescent="0.35">
      <c r="A754" s="468"/>
      <c r="B754" s="468"/>
      <c r="C754" s="468"/>
      <c r="D754" s="468"/>
      <c r="E754" s="468"/>
      <c r="F754" s="468"/>
      <c r="G754" s="468"/>
      <c r="H754" s="468"/>
      <c r="I754" s="468"/>
      <c r="J754" s="468"/>
      <c r="K754" s="468"/>
      <c r="L754" s="468"/>
      <c r="M754" s="468"/>
      <c r="N754" s="468"/>
      <c r="O754" s="468"/>
      <c r="P754" s="468"/>
      <c r="Q754" s="468"/>
      <c r="R754" s="468"/>
      <c r="S754" s="468"/>
      <c r="T754" s="468"/>
      <c r="U754" s="468"/>
      <c r="V754" s="468"/>
      <c r="W754" s="468"/>
      <c r="X754" s="468"/>
      <c r="Y754" s="468"/>
      <c r="Z754" s="468"/>
      <c r="AA754" s="468"/>
      <c r="AB754" s="468"/>
      <c r="AC754" s="468"/>
      <c r="AD754" s="468"/>
      <c r="AE754" s="468"/>
      <c r="AF754" s="468"/>
      <c r="AG754" s="468"/>
      <c r="AH754" s="468"/>
      <c r="AI754" s="468"/>
      <c r="AJ754" s="468"/>
    </row>
    <row r="755" spans="1:36" ht="18" customHeight="1" x14ac:dyDescent="0.35">
      <c r="A755" s="468"/>
      <c r="B755" s="468"/>
      <c r="C755" s="468"/>
      <c r="D755" s="468"/>
      <c r="E755" s="468"/>
      <c r="F755" s="468"/>
      <c r="G755" s="468"/>
      <c r="H755" s="468"/>
      <c r="I755" s="468"/>
      <c r="J755" s="468"/>
      <c r="K755" s="468"/>
      <c r="L755" s="468"/>
      <c r="M755" s="468"/>
      <c r="N755" s="468"/>
      <c r="O755" s="468"/>
      <c r="P755" s="468"/>
      <c r="Q755" s="468"/>
      <c r="R755" s="468"/>
      <c r="S755" s="468"/>
      <c r="T755" s="468"/>
      <c r="U755" s="468"/>
      <c r="V755" s="468"/>
      <c r="W755" s="468"/>
      <c r="X755" s="468"/>
      <c r="Y755" s="468"/>
      <c r="Z755" s="468"/>
      <c r="AA755" s="468"/>
      <c r="AB755" s="468"/>
      <c r="AC755" s="468"/>
      <c r="AD755" s="468"/>
      <c r="AE755" s="468"/>
      <c r="AF755" s="468"/>
      <c r="AG755" s="468"/>
      <c r="AH755" s="468"/>
      <c r="AI755" s="468"/>
      <c r="AJ755" s="468"/>
    </row>
    <row r="756" spans="1:36" ht="18" customHeight="1" x14ac:dyDescent="0.35">
      <c r="A756" s="468"/>
      <c r="B756" s="468"/>
      <c r="C756" s="468"/>
      <c r="D756" s="468"/>
      <c r="E756" s="468"/>
      <c r="F756" s="468"/>
      <c r="G756" s="468"/>
      <c r="H756" s="468"/>
      <c r="I756" s="468"/>
      <c r="J756" s="468"/>
      <c r="K756" s="468"/>
      <c r="L756" s="468"/>
      <c r="M756" s="468"/>
      <c r="N756" s="468"/>
      <c r="O756" s="468"/>
      <c r="P756" s="468"/>
      <c r="Q756" s="468"/>
      <c r="R756" s="468"/>
      <c r="S756" s="468"/>
      <c r="T756" s="468"/>
      <c r="U756" s="468"/>
      <c r="V756" s="468"/>
      <c r="W756" s="468"/>
      <c r="X756" s="468"/>
      <c r="Y756" s="468"/>
      <c r="Z756" s="468"/>
      <c r="AA756" s="468"/>
      <c r="AB756" s="468"/>
      <c r="AC756" s="468"/>
      <c r="AD756" s="468"/>
      <c r="AE756" s="468"/>
      <c r="AF756" s="468"/>
      <c r="AG756" s="468"/>
      <c r="AH756" s="468"/>
      <c r="AI756" s="468"/>
      <c r="AJ756" s="468"/>
    </row>
    <row r="757" spans="1:36" ht="18" customHeight="1" x14ac:dyDescent="0.35">
      <c r="A757" s="468"/>
      <c r="B757" s="468"/>
      <c r="C757" s="468"/>
      <c r="D757" s="468"/>
      <c r="E757" s="468"/>
      <c r="F757" s="468"/>
      <c r="G757" s="468"/>
      <c r="H757" s="468"/>
      <c r="I757" s="468"/>
      <c r="J757" s="468"/>
      <c r="K757" s="468"/>
      <c r="L757" s="468"/>
      <c r="M757" s="468"/>
      <c r="N757" s="468"/>
      <c r="O757" s="468"/>
      <c r="P757" s="468"/>
      <c r="Q757" s="468"/>
      <c r="R757" s="468"/>
      <c r="S757" s="468"/>
      <c r="T757" s="468"/>
      <c r="U757" s="468"/>
      <c r="V757" s="468"/>
      <c r="W757" s="468"/>
      <c r="X757" s="468"/>
      <c r="Y757" s="468"/>
      <c r="Z757" s="468"/>
      <c r="AA757" s="468"/>
      <c r="AB757" s="468"/>
      <c r="AC757" s="468"/>
      <c r="AD757" s="468"/>
      <c r="AE757" s="468"/>
      <c r="AF757" s="468"/>
      <c r="AG757" s="468"/>
      <c r="AH757" s="468"/>
      <c r="AI757" s="468"/>
      <c r="AJ757" s="468"/>
    </row>
    <row r="758" spans="1:36" ht="18" customHeight="1" x14ac:dyDescent="0.35">
      <c r="A758" s="468"/>
      <c r="B758" s="468"/>
      <c r="C758" s="468"/>
      <c r="D758" s="468"/>
      <c r="E758" s="468"/>
      <c r="F758" s="468"/>
      <c r="G758" s="468"/>
      <c r="H758" s="468"/>
      <c r="I758" s="468"/>
      <c r="J758" s="468"/>
      <c r="K758" s="468"/>
      <c r="L758" s="468"/>
      <c r="M758" s="468"/>
      <c r="N758" s="468"/>
      <c r="O758" s="468"/>
      <c r="P758" s="468"/>
      <c r="Q758" s="468"/>
      <c r="R758" s="468"/>
      <c r="S758" s="468"/>
      <c r="T758" s="468"/>
      <c r="U758" s="468"/>
      <c r="V758" s="468"/>
      <c r="W758" s="468"/>
      <c r="X758" s="468"/>
      <c r="Y758" s="468"/>
      <c r="Z758" s="468"/>
      <c r="AA758" s="468"/>
      <c r="AB758" s="468"/>
      <c r="AC758" s="468"/>
      <c r="AD758" s="468"/>
      <c r="AE758" s="468"/>
      <c r="AF758" s="468"/>
      <c r="AG758" s="468"/>
      <c r="AH758" s="468"/>
      <c r="AI758" s="468"/>
      <c r="AJ758" s="468"/>
    </row>
    <row r="759" spans="1:36" ht="18" customHeight="1" x14ac:dyDescent="0.35">
      <c r="A759" s="468"/>
      <c r="B759" s="468"/>
      <c r="C759" s="468"/>
      <c r="D759" s="468"/>
      <c r="E759" s="468"/>
      <c r="F759" s="468"/>
      <c r="G759" s="468"/>
      <c r="H759" s="468"/>
      <c r="I759" s="468"/>
      <c r="J759" s="468"/>
      <c r="K759" s="468"/>
      <c r="L759" s="468"/>
      <c r="M759" s="468"/>
      <c r="N759" s="468"/>
      <c r="O759" s="468"/>
      <c r="P759" s="468"/>
      <c r="Q759" s="468"/>
      <c r="R759" s="468"/>
      <c r="S759" s="468"/>
      <c r="T759" s="468"/>
      <c r="U759" s="468"/>
      <c r="V759" s="468"/>
      <c r="W759" s="468"/>
      <c r="X759" s="468"/>
      <c r="Y759" s="468"/>
      <c r="Z759" s="468"/>
      <c r="AA759" s="468"/>
      <c r="AB759" s="468"/>
      <c r="AC759" s="468"/>
      <c r="AD759" s="468"/>
      <c r="AE759" s="468"/>
      <c r="AF759" s="468"/>
      <c r="AG759" s="468"/>
      <c r="AH759" s="468"/>
      <c r="AI759" s="468"/>
      <c r="AJ759" s="468"/>
    </row>
    <row r="760" spans="1:36" ht="18" customHeight="1" x14ac:dyDescent="0.35">
      <c r="A760" s="468"/>
      <c r="B760" s="468"/>
      <c r="C760" s="468"/>
      <c r="D760" s="468"/>
      <c r="E760" s="468"/>
      <c r="F760" s="468"/>
      <c r="G760" s="468"/>
      <c r="H760" s="468"/>
      <c r="I760" s="468"/>
      <c r="J760" s="468"/>
      <c r="K760" s="468"/>
      <c r="L760" s="468"/>
      <c r="M760" s="468"/>
      <c r="N760" s="468"/>
      <c r="O760" s="468"/>
      <c r="P760" s="468"/>
      <c r="Q760" s="468"/>
      <c r="R760" s="468"/>
      <c r="S760" s="468"/>
      <c r="T760" s="468"/>
      <c r="U760" s="468"/>
      <c r="V760" s="468"/>
      <c r="W760" s="468"/>
      <c r="X760" s="468"/>
      <c r="Y760" s="468"/>
      <c r="Z760" s="468"/>
      <c r="AA760" s="468"/>
      <c r="AB760" s="468"/>
      <c r="AC760" s="468"/>
      <c r="AD760" s="468"/>
      <c r="AE760" s="468"/>
      <c r="AF760" s="468"/>
      <c r="AG760" s="468"/>
      <c r="AH760" s="468"/>
      <c r="AI760" s="468"/>
      <c r="AJ760" s="468"/>
    </row>
    <row r="761" spans="1:36" ht="18" customHeight="1" x14ac:dyDescent="0.35">
      <c r="A761" s="468"/>
      <c r="B761" s="468"/>
      <c r="C761" s="468"/>
      <c r="D761" s="468"/>
      <c r="E761" s="468"/>
      <c r="F761" s="468"/>
      <c r="G761" s="468"/>
      <c r="H761" s="468"/>
      <c r="I761" s="468"/>
      <c r="J761" s="468"/>
      <c r="K761" s="468"/>
      <c r="L761" s="468"/>
      <c r="M761" s="468"/>
      <c r="N761" s="468"/>
      <c r="O761" s="468"/>
      <c r="P761" s="468"/>
      <c r="Q761" s="468"/>
      <c r="R761" s="468"/>
      <c r="S761" s="468"/>
      <c r="T761" s="468"/>
      <c r="U761" s="468"/>
      <c r="V761" s="468"/>
      <c r="W761" s="468"/>
      <c r="X761" s="468"/>
      <c r="Y761" s="468"/>
      <c r="Z761" s="468"/>
      <c r="AA761" s="468"/>
      <c r="AB761" s="468"/>
      <c r="AC761" s="468"/>
      <c r="AD761" s="468"/>
      <c r="AE761" s="468"/>
      <c r="AF761" s="468"/>
      <c r="AG761" s="468"/>
      <c r="AH761" s="468"/>
      <c r="AI761" s="468"/>
      <c r="AJ761" s="468"/>
    </row>
    <row r="762" spans="1:36" ht="18" customHeight="1" x14ac:dyDescent="0.35">
      <c r="A762" s="468"/>
      <c r="B762" s="468"/>
      <c r="C762" s="468"/>
      <c r="D762" s="468"/>
      <c r="E762" s="468"/>
      <c r="F762" s="468"/>
      <c r="G762" s="468"/>
      <c r="H762" s="468"/>
      <c r="I762" s="468"/>
      <c r="J762" s="468"/>
      <c r="K762" s="468"/>
      <c r="L762" s="468"/>
      <c r="M762" s="468"/>
      <c r="N762" s="468"/>
      <c r="O762" s="468"/>
      <c r="P762" s="468"/>
      <c r="Q762" s="468"/>
      <c r="R762" s="468"/>
      <c r="S762" s="468"/>
      <c r="T762" s="468"/>
      <c r="U762" s="468"/>
      <c r="V762" s="468"/>
      <c r="W762" s="468"/>
      <c r="X762" s="468"/>
      <c r="Y762" s="468"/>
      <c r="Z762" s="468"/>
      <c r="AA762" s="468"/>
      <c r="AB762" s="468"/>
      <c r="AC762" s="468"/>
      <c r="AD762" s="468"/>
      <c r="AE762" s="468"/>
      <c r="AF762" s="468"/>
      <c r="AG762" s="468"/>
      <c r="AH762" s="468"/>
      <c r="AI762" s="468"/>
      <c r="AJ762" s="468"/>
    </row>
    <row r="763" spans="1:36" ht="18" customHeight="1" x14ac:dyDescent="0.35">
      <c r="A763" s="468"/>
      <c r="B763" s="468"/>
      <c r="C763" s="468"/>
      <c r="D763" s="468"/>
      <c r="E763" s="468"/>
      <c r="F763" s="468"/>
      <c r="G763" s="468"/>
      <c r="H763" s="468"/>
      <c r="I763" s="468"/>
      <c r="J763" s="468"/>
      <c r="K763" s="468"/>
      <c r="L763" s="468"/>
      <c r="M763" s="468"/>
      <c r="N763" s="468"/>
      <c r="O763" s="468"/>
      <c r="P763" s="468"/>
      <c r="Q763" s="468"/>
      <c r="R763" s="468"/>
      <c r="S763" s="468"/>
      <c r="T763" s="468"/>
      <c r="U763" s="468"/>
      <c r="V763" s="468"/>
      <c r="W763" s="468"/>
      <c r="X763" s="468"/>
      <c r="Y763" s="468"/>
      <c r="Z763" s="468"/>
      <c r="AA763" s="468"/>
      <c r="AB763" s="468"/>
      <c r="AC763" s="468"/>
      <c r="AD763" s="468"/>
      <c r="AE763" s="468"/>
      <c r="AF763" s="468"/>
      <c r="AG763" s="468"/>
      <c r="AH763" s="468"/>
      <c r="AI763" s="468"/>
      <c r="AJ763" s="468"/>
    </row>
    <row r="764" spans="1:36" ht="18" customHeight="1" x14ac:dyDescent="0.35">
      <c r="A764" s="468"/>
      <c r="B764" s="468"/>
      <c r="C764" s="468"/>
      <c r="D764" s="468"/>
      <c r="E764" s="468"/>
      <c r="F764" s="468"/>
      <c r="G764" s="468"/>
      <c r="H764" s="468"/>
      <c r="I764" s="468"/>
      <c r="J764" s="468"/>
      <c r="K764" s="468"/>
      <c r="L764" s="468"/>
      <c r="M764" s="468"/>
      <c r="N764" s="468"/>
      <c r="O764" s="468"/>
      <c r="P764" s="468"/>
      <c r="Q764" s="468"/>
      <c r="R764" s="468"/>
      <c r="S764" s="468"/>
      <c r="T764" s="468"/>
      <c r="U764" s="468"/>
      <c r="V764" s="468"/>
      <c r="W764" s="468"/>
      <c r="X764" s="468"/>
      <c r="Y764" s="468"/>
      <c r="Z764" s="468"/>
      <c r="AA764" s="468"/>
      <c r="AB764" s="468"/>
      <c r="AC764" s="468"/>
      <c r="AD764" s="468"/>
      <c r="AE764" s="468"/>
      <c r="AF764" s="468"/>
      <c r="AG764" s="468"/>
      <c r="AH764" s="468"/>
      <c r="AI764" s="468"/>
      <c r="AJ764" s="468"/>
    </row>
    <row r="765" spans="1:36" ht="18" customHeight="1" x14ac:dyDescent="0.35">
      <c r="A765" s="468"/>
      <c r="B765" s="468"/>
      <c r="C765" s="468"/>
      <c r="D765" s="468"/>
      <c r="E765" s="468"/>
      <c r="F765" s="468"/>
      <c r="G765" s="468"/>
      <c r="H765" s="468"/>
      <c r="I765" s="468"/>
      <c r="J765" s="468"/>
      <c r="K765" s="468"/>
      <c r="L765" s="468"/>
      <c r="M765" s="468"/>
      <c r="N765" s="468"/>
      <c r="O765" s="468"/>
      <c r="P765" s="468"/>
      <c r="Q765" s="468"/>
      <c r="R765" s="468"/>
      <c r="S765" s="468"/>
      <c r="T765" s="468"/>
      <c r="U765" s="468"/>
      <c r="V765" s="468"/>
      <c r="W765" s="468"/>
      <c r="X765" s="468"/>
      <c r="Y765" s="468"/>
      <c r="Z765" s="468"/>
      <c r="AA765" s="468"/>
      <c r="AB765" s="468"/>
      <c r="AC765" s="468"/>
      <c r="AD765" s="468"/>
      <c r="AE765" s="468"/>
      <c r="AF765" s="468"/>
      <c r="AG765" s="468"/>
      <c r="AH765" s="468"/>
      <c r="AI765" s="468"/>
      <c r="AJ765" s="468"/>
    </row>
    <row r="766" spans="1:36" ht="18" customHeight="1" x14ac:dyDescent="0.35">
      <c r="A766" s="468"/>
      <c r="B766" s="468"/>
      <c r="C766" s="468"/>
      <c r="D766" s="468"/>
      <c r="E766" s="468"/>
      <c r="F766" s="468"/>
      <c r="G766" s="468"/>
      <c r="H766" s="468"/>
      <c r="I766" s="468"/>
      <c r="J766" s="468"/>
      <c r="K766" s="468"/>
      <c r="L766" s="468"/>
      <c r="M766" s="468"/>
      <c r="N766" s="468"/>
      <c r="O766" s="468"/>
      <c r="P766" s="468"/>
      <c r="Q766" s="468"/>
      <c r="R766" s="468"/>
      <c r="S766" s="468"/>
      <c r="T766" s="468"/>
      <c r="U766" s="468"/>
      <c r="V766" s="468"/>
      <c r="W766" s="468"/>
      <c r="X766" s="468"/>
      <c r="Y766" s="468"/>
      <c r="Z766" s="468"/>
      <c r="AA766" s="468"/>
      <c r="AB766" s="468"/>
      <c r="AC766" s="468"/>
      <c r="AD766" s="468"/>
      <c r="AE766" s="468"/>
      <c r="AF766" s="468"/>
      <c r="AG766" s="468"/>
      <c r="AH766" s="468"/>
      <c r="AI766" s="468"/>
      <c r="AJ766" s="468"/>
    </row>
    <row r="767" spans="1:36" ht="18" customHeight="1" x14ac:dyDescent="0.35">
      <c r="A767" s="468"/>
      <c r="B767" s="468"/>
      <c r="C767" s="468"/>
      <c r="D767" s="468"/>
      <c r="E767" s="468"/>
      <c r="F767" s="468"/>
      <c r="G767" s="468"/>
      <c r="H767" s="468"/>
      <c r="I767" s="468"/>
      <c r="J767" s="468"/>
      <c r="K767" s="468"/>
      <c r="L767" s="468"/>
      <c r="M767" s="468"/>
      <c r="N767" s="468"/>
      <c r="O767" s="468"/>
      <c r="P767" s="468"/>
      <c r="Q767" s="468"/>
      <c r="R767" s="468"/>
      <c r="S767" s="468"/>
      <c r="T767" s="468"/>
      <c r="U767" s="468"/>
      <c r="V767" s="468"/>
      <c r="W767" s="468"/>
      <c r="X767" s="468"/>
      <c r="Y767" s="468"/>
      <c r="Z767" s="468"/>
      <c r="AA767" s="468"/>
      <c r="AB767" s="468"/>
      <c r="AC767" s="468"/>
      <c r="AD767" s="468"/>
      <c r="AE767" s="468"/>
      <c r="AF767" s="468"/>
      <c r="AG767" s="468"/>
      <c r="AH767" s="468"/>
      <c r="AI767" s="468"/>
      <c r="AJ767" s="468"/>
    </row>
    <row r="768" spans="1:36" ht="18" customHeight="1" x14ac:dyDescent="0.35">
      <c r="A768" s="468"/>
      <c r="B768" s="468"/>
      <c r="C768" s="468"/>
      <c r="D768" s="468"/>
      <c r="E768" s="468"/>
      <c r="F768" s="468"/>
      <c r="G768" s="468"/>
      <c r="H768" s="468"/>
      <c r="I768" s="468"/>
      <c r="J768" s="468"/>
      <c r="K768" s="468"/>
      <c r="L768" s="468"/>
      <c r="M768" s="468"/>
      <c r="N768" s="468"/>
      <c r="O768" s="468"/>
      <c r="P768" s="468"/>
      <c r="Q768" s="468"/>
      <c r="R768" s="468"/>
      <c r="S768" s="468"/>
      <c r="T768" s="468"/>
      <c r="U768" s="468"/>
      <c r="V768" s="468"/>
      <c r="W768" s="468"/>
      <c r="X768" s="468"/>
      <c r="Y768" s="468"/>
      <c r="Z768" s="468"/>
      <c r="AA768" s="468"/>
      <c r="AB768" s="468"/>
      <c r="AC768" s="468"/>
      <c r="AD768" s="468"/>
      <c r="AE768" s="468"/>
      <c r="AF768" s="468"/>
      <c r="AG768" s="468"/>
      <c r="AH768" s="468"/>
      <c r="AI768" s="468"/>
      <c r="AJ768" s="468"/>
    </row>
    <row r="769" spans="1:36" ht="18" customHeight="1" x14ac:dyDescent="0.35">
      <c r="A769" s="468"/>
      <c r="B769" s="468"/>
      <c r="C769" s="468"/>
      <c r="D769" s="468"/>
      <c r="E769" s="468"/>
      <c r="F769" s="468"/>
      <c r="G769" s="468"/>
      <c r="H769" s="468"/>
      <c r="I769" s="468"/>
      <c r="J769" s="468"/>
      <c r="K769" s="468"/>
      <c r="L769" s="468"/>
      <c r="M769" s="468"/>
      <c r="N769" s="468"/>
      <c r="O769" s="468"/>
      <c r="P769" s="468"/>
      <c r="Q769" s="468"/>
      <c r="R769" s="468"/>
      <c r="S769" s="468"/>
      <c r="T769" s="468"/>
      <c r="U769" s="468"/>
      <c r="V769" s="468"/>
      <c r="W769" s="468"/>
      <c r="X769" s="468"/>
      <c r="Y769" s="468"/>
      <c r="Z769" s="468"/>
      <c r="AA769" s="468"/>
      <c r="AB769" s="468"/>
      <c r="AC769" s="468"/>
      <c r="AD769" s="468"/>
      <c r="AE769" s="468"/>
      <c r="AF769" s="468"/>
      <c r="AG769" s="468"/>
      <c r="AH769" s="468"/>
      <c r="AI769" s="468"/>
      <c r="AJ769" s="468"/>
    </row>
    <row r="770" spans="1:36" ht="18" customHeight="1" x14ac:dyDescent="0.35">
      <c r="A770" s="468"/>
      <c r="B770" s="468"/>
      <c r="C770" s="468"/>
      <c r="D770" s="468"/>
      <c r="E770" s="468"/>
      <c r="F770" s="468"/>
      <c r="G770" s="468"/>
      <c r="H770" s="468"/>
      <c r="I770" s="468"/>
      <c r="J770" s="468"/>
      <c r="K770" s="468"/>
      <c r="L770" s="468"/>
      <c r="M770" s="468"/>
      <c r="N770" s="468"/>
      <c r="O770" s="468"/>
      <c r="P770" s="468"/>
      <c r="Q770" s="468"/>
      <c r="R770" s="468"/>
      <c r="S770" s="468"/>
      <c r="T770" s="468"/>
      <c r="U770" s="468"/>
      <c r="V770" s="468"/>
      <c r="W770" s="468"/>
      <c r="X770" s="468"/>
      <c r="Y770" s="468"/>
      <c r="Z770" s="468"/>
      <c r="AA770" s="468"/>
      <c r="AB770" s="468"/>
      <c r="AC770" s="468"/>
      <c r="AD770" s="468"/>
      <c r="AE770" s="468"/>
      <c r="AF770" s="468"/>
      <c r="AG770" s="468"/>
      <c r="AH770" s="468"/>
      <c r="AI770" s="468"/>
      <c r="AJ770" s="468"/>
    </row>
    <row r="771" spans="1:36" ht="18" customHeight="1" x14ac:dyDescent="0.35">
      <c r="A771" s="468"/>
      <c r="B771" s="468"/>
      <c r="C771" s="468"/>
      <c r="D771" s="468"/>
      <c r="E771" s="468"/>
      <c r="F771" s="468"/>
      <c r="G771" s="468"/>
      <c r="H771" s="468"/>
      <c r="I771" s="468"/>
      <c r="J771" s="468"/>
      <c r="K771" s="468"/>
      <c r="L771" s="468"/>
      <c r="M771" s="468"/>
      <c r="N771" s="468"/>
      <c r="O771" s="468"/>
      <c r="P771" s="468"/>
      <c r="Q771" s="468"/>
      <c r="R771" s="468"/>
      <c r="S771" s="468"/>
      <c r="T771" s="468"/>
      <c r="U771" s="468"/>
      <c r="V771" s="468"/>
      <c r="W771" s="468"/>
      <c r="X771" s="468"/>
      <c r="Y771" s="468"/>
      <c r="Z771" s="468"/>
      <c r="AA771" s="468"/>
      <c r="AB771" s="468"/>
      <c r="AC771" s="468"/>
      <c r="AD771" s="468"/>
      <c r="AE771" s="468"/>
      <c r="AF771" s="468"/>
      <c r="AG771" s="468"/>
      <c r="AH771" s="468"/>
      <c r="AI771" s="468"/>
      <c r="AJ771" s="468"/>
    </row>
    <row r="772" spans="1:36" ht="18" customHeight="1" x14ac:dyDescent="0.35">
      <c r="A772" s="468"/>
      <c r="B772" s="468"/>
      <c r="C772" s="468"/>
      <c r="D772" s="468"/>
      <c r="E772" s="468"/>
      <c r="F772" s="468"/>
      <c r="G772" s="468"/>
      <c r="H772" s="468"/>
      <c r="I772" s="468"/>
      <c r="J772" s="468"/>
      <c r="K772" s="468"/>
      <c r="L772" s="468"/>
      <c r="M772" s="468"/>
      <c r="N772" s="468"/>
      <c r="O772" s="468"/>
      <c r="P772" s="468"/>
      <c r="Q772" s="468"/>
      <c r="R772" s="468"/>
      <c r="S772" s="468"/>
      <c r="T772" s="468"/>
      <c r="U772" s="468"/>
      <c r="V772" s="468"/>
      <c r="W772" s="468"/>
      <c r="X772" s="468"/>
      <c r="Y772" s="468"/>
      <c r="Z772" s="468"/>
      <c r="AA772" s="468"/>
      <c r="AB772" s="468"/>
      <c r="AC772" s="468"/>
      <c r="AD772" s="468"/>
      <c r="AE772" s="468"/>
      <c r="AF772" s="468"/>
      <c r="AG772" s="468"/>
      <c r="AH772" s="468"/>
      <c r="AI772" s="468"/>
      <c r="AJ772" s="468"/>
    </row>
    <row r="773" spans="1:36" ht="18" customHeight="1" x14ac:dyDescent="0.35">
      <c r="A773" s="468"/>
      <c r="B773" s="468"/>
      <c r="C773" s="468"/>
      <c r="D773" s="468"/>
      <c r="E773" s="468"/>
      <c r="F773" s="468"/>
      <c r="G773" s="468"/>
      <c r="H773" s="468"/>
      <c r="I773" s="468"/>
      <c r="J773" s="468"/>
      <c r="K773" s="468"/>
      <c r="L773" s="468"/>
      <c r="M773" s="468"/>
      <c r="N773" s="468"/>
      <c r="O773" s="468"/>
      <c r="P773" s="468"/>
      <c r="Q773" s="468"/>
      <c r="R773" s="468"/>
      <c r="S773" s="468"/>
      <c r="T773" s="468"/>
      <c r="U773" s="468"/>
      <c r="V773" s="468"/>
      <c r="W773" s="468"/>
      <c r="X773" s="468"/>
      <c r="Y773" s="468"/>
      <c r="Z773" s="468"/>
      <c r="AA773" s="468"/>
      <c r="AB773" s="468"/>
      <c r="AC773" s="468"/>
      <c r="AD773" s="468"/>
      <c r="AE773" s="468"/>
      <c r="AF773" s="468"/>
      <c r="AG773" s="468"/>
      <c r="AH773" s="468"/>
      <c r="AI773" s="468"/>
      <c r="AJ773" s="468"/>
    </row>
    <row r="774" spans="1:36" ht="18" customHeight="1" x14ac:dyDescent="0.35">
      <c r="A774" s="468"/>
      <c r="B774" s="468"/>
      <c r="C774" s="468"/>
      <c r="D774" s="468"/>
      <c r="E774" s="468"/>
      <c r="F774" s="468"/>
      <c r="G774" s="468"/>
      <c r="H774" s="468"/>
      <c r="I774" s="468"/>
      <c r="J774" s="468"/>
      <c r="K774" s="468"/>
      <c r="L774" s="468"/>
      <c r="M774" s="468"/>
      <c r="N774" s="468"/>
      <c r="O774" s="468"/>
      <c r="P774" s="468"/>
      <c r="Q774" s="468"/>
      <c r="R774" s="468"/>
      <c r="S774" s="468"/>
      <c r="T774" s="468"/>
      <c r="U774" s="468"/>
      <c r="V774" s="468"/>
      <c r="W774" s="468"/>
      <c r="X774" s="468"/>
      <c r="Y774" s="468"/>
      <c r="Z774" s="468"/>
      <c r="AA774" s="468"/>
      <c r="AB774" s="468"/>
      <c r="AC774" s="468"/>
      <c r="AD774" s="468"/>
      <c r="AE774" s="468"/>
      <c r="AF774" s="468"/>
      <c r="AG774" s="468"/>
      <c r="AH774" s="468"/>
      <c r="AI774" s="468"/>
      <c r="AJ774" s="468"/>
    </row>
    <row r="775" spans="1:36" ht="18" customHeight="1" x14ac:dyDescent="0.35">
      <c r="A775" s="468"/>
      <c r="B775" s="468"/>
      <c r="C775" s="468"/>
      <c r="D775" s="468"/>
      <c r="E775" s="468"/>
      <c r="F775" s="468"/>
      <c r="G775" s="468"/>
      <c r="H775" s="468"/>
      <c r="I775" s="468"/>
      <c r="J775" s="468"/>
      <c r="K775" s="468"/>
      <c r="L775" s="468"/>
      <c r="M775" s="468"/>
      <c r="N775" s="468"/>
      <c r="O775" s="468"/>
      <c r="P775" s="468"/>
      <c r="Q775" s="468"/>
      <c r="R775" s="468"/>
      <c r="S775" s="468"/>
      <c r="T775" s="468"/>
      <c r="U775" s="468"/>
      <c r="V775" s="468"/>
      <c r="W775" s="468"/>
      <c r="X775" s="468"/>
      <c r="Y775" s="468"/>
      <c r="Z775" s="468"/>
      <c r="AA775" s="468"/>
      <c r="AB775" s="468"/>
      <c r="AC775" s="468"/>
      <c r="AD775" s="468"/>
      <c r="AE775" s="468"/>
      <c r="AF775" s="468"/>
      <c r="AG775" s="468"/>
      <c r="AH775" s="468"/>
      <c r="AI775" s="468"/>
      <c r="AJ775" s="468"/>
    </row>
    <row r="776" spans="1:36" ht="18" customHeight="1" x14ac:dyDescent="0.35">
      <c r="A776" s="468"/>
      <c r="B776" s="468"/>
      <c r="C776" s="468"/>
      <c r="D776" s="468"/>
      <c r="E776" s="468"/>
      <c r="F776" s="468"/>
      <c r="G776" s="468"/>
      <c r="H776" s="468"/>
      <c r="I776" s="468"/>
      <c r="J776" s="468"/>
      <c r="K776" s="468"/>
      <c r="L776" s="468"/>
      <c r="M776" s="468"/>
      <c r="N776" s="468"/>
      <c r="O776" s="468"/>
      <c r="P776" s="468"/>
      <c r="Q776" s="468"/>
      <c r="R776" s="468"/>
      <c r="S776" s="468"/>
      <c r="T776" s="468"/>
      <c r="U776" s="468"/>
      <c r="V776" s="468"/>
      <c r="W776" s="468"/>
      <c r="X776" s="468"/>
      <c r="Y776" s="468"/>
      <c r="Z776" s="468"/>
      <c r="AA776" s="468"/>
      <c r="AB776" s="468"/>
      <c r="AC776" s="468"/>
      <c r="AD776" s="468"/>
      <c r="AE776" s="468"/>
      <c r="AF776" s="468"/>
      <c r="AG776" s="468"/>
      <c r="AH776" s="468"/>
      <c r="AI776" s="468"/>
      <c r="AJ776" s="468"/>
    </row>
    <row r="777" spans="1:36" ht="18" customHeight="1" x14ac:dyDescent="0.35">
      <c r="A777" s="468"/>
      <c r="B777" s="468"/>
      <c r="C777" s="468"/>
      <c r="D777" s="468"/>
      <c r="E777" s="468"/>
      <c r="F777" s="468"/>
      <c r="G777" s="468"/>
      <c r="H777" s="468"/>
      <c r="I777" s="468"/>
      <c r="J777" s="468"/>
      <c r="K777" s="468"/>
      <c r="L777" s="468"/>
      <c r="M777" s="468"/>
      <c r="N777" s="468"/>
      <c r="O777" s="468"/>
      <c r="P777" s="468"/>
      <c r="Q777" s="468"/>
      <c r="R777" s="468"/>
      <c r="S777" s="468"/>
      <c r="T777" s="468"/>
      <c r="U777" s="468"/>
      <c r="V777" s="468"/>
      <c r="W777" s="468"/>
      <c r="X777" s="468"/>
      <c r="Y777" s="468"/>
      <c r="Z777" s="468"/>
      <c r="AA777" s="468"/>
      <c r="AB777" s="468"/>
      <c r="AC777" s="468"/>
      <c r="AD777" s="468"/>
      <c r="AE777" s="468"/>
      <c r="AF777" s="468"/>
      <c r="AG777" s="468"/>
      <c r="AH777" s="468"/>
      <c r="AI777" s="468"/>
      <c r="AJ777" s="468"/>
    </row>
    <row r="778" spans="1:36" ht="18" customHeight="1" x14ac:dyDescent="0.35">
      <c r="A778" s="468"/>
      <c r="B778" s="468"/>
      <c r="C778" s="468"/>
      <c r="D778" s="468"/>
      <c r="E778" s="468"/>
      <c r="F778" s="468"/>
      <c r="G778" s="468"/>
      <c r="H778" s="468"/>
      <c r="I778" s="468"/>
      <c r="J778" s="468"/>
      <c r="K778" s="468"/>
      <c r="L778" s="468"/>
      <c r="M778" s="468"/>
      <c r="N778" s="468"/>
      <c r="O778" s="468"/>
      <c r="P778" s="468"/>
      <c r="Q778" s="468"/>
      <c r="R778" s="468"/>
      <c r="S778" s="468"/>
      <c r="T778" s="468"/>
      <c r="U778" s="468"/>
      <c r="V778" s="468"/>
      <c r="W778" s="468"/>
      <c r="X778" s="468"/>
      <c r="Y778" s="468"/>
      <c r="Z778" s="468"/>
      <c r="AA778" s="468"/>
      <c r="AB778" s="468"/>
      <c r="AC778" s="468"/>
      <c r="AD778" s="468"/>
      <c r="AE778" s="468"/>
      <c r="AF778" s="468"/>
      <c r="AG778" s="468"/>
      <c r="AH778" s="468"/>
      <c r="AI778" s="468"/>
      <c r="AJ778" s="468"/>
    </row>
    <row r="779" spans="1:36" ht="18" customHeight="1" x14ac:dyDescent="0.35">
      <c r="A779" s="468"/>
      <c r="B779" s="468"/>
      <c r="C779" s="468"/>
      <c r="D779" s="468"/>
      <c r="E779" s="468"/>
      <c r="F779" s="468"/>
      <c r="G779" s="468"/>
      <c r="H779" s="468"/>
      <c r="I779" s="468"/>
      <c r="J779" s="468"/>
      <c r="K779" s="468"/>
      <c r="L779" s="468"/>
      <c r="M779" s="468"/>
      <c r="N779" s="468"/>
      <c r="O779" s="468"/>
      <c r="P779" s="468"/>
      <c r="Q779" s="468"/>
      <c r="R779" s="468"/>
      <c r="S779" s="468"/>
      <c r="T779" s="468"/>
      <c r="U779" s="468"/>
      <c r="V779" s="468"/>
      <c r="W779" s="468"/>
      <c r="X779" s="468"/>
      <c r="Y779" s="468"/>
      <c r="Z779" s="468"/>
      <c r="AA779" s="468"/>
      <c r="AB779" s="468"/>
      <c r="AC779" s="468"/>
      <c r="AD779" s="468"/>
      <c r="AE779" s="468"/>
      <c r="AF779" s="468"/>
      <c r="AG779" s="468"/>
      <c r="AH779" s="468"/>
      <c r="AI779" s="468"/>
      <c r="AJ779" s="468"/>
    </row>
    <row r="780" spans="1:36" ht="18" customHeight="1" x14ac:dyDescent="0.35">
      <c r="A780" s="468"/>
      <c r="B780" s="468"/>
      <c r="C780" s="468"/>
      <c r="D780" s="468"/>
      <c r="E780" s="468"/>
      <c r="F780" s="468"/>
      <c r="G780" s="468"/>
      <c r="H780" s="468"/>
      <c r="I780" s="468"/>
      <c r="J780" s="468"/>
      <c r="K780" s="468"/>
      <c r="L780" s="468"/>
      <c r="M780" s="468"/>
      <c r="N780" s="468"/>
      <c r="O780" s="468"/>
      <c r="P780" s="468"/>
      <c r="Q780" s="468"/>
      <c r="R780" s="468"/>
      <c r="S780" s="468"/>
      <c r="T780" s="468"/>
      <c r="U780" s="468"/>
      <c r="V780" s="468"/>
      <c r="W780" s="468"/>
      <c r="X780" s="468"/>
      <c r="Y780" s="468"/>
      <c r="Z780" s="468"/>
      <c r="AA780" s="468"/>
      <c r="AB780" s="468"/>
      <c r="AC780" s="468"/>
      <c r="AD780" s="468"/>
      <c r="AE780" s="468"/>
      <c r="AF780" s="468"/>
      <c r="AG780" s="468"/>
      <c r="AH780" s="468"/>
      <c r="AI780" s="468"/>
      <c r="AJ780" s="468"/>
    </row>
    <row r="781" spans="1:36" ht="18" customHeight="1" x14ac:dyDescent="0.35">
      <c r="A781" s="468"/>
      <c r="B781" s="468"/>
      <c r="C781" s="468"/>
      <c r="D781" s="468"/>
      <c r="E781" s="468"/>
      <c r="F781" s="468"/>
      <c r="G781" s="468"/>
      <c r="H781" s="468"/>
      <c r="I781" s="468"/>
      <c r="J781" s="468"/>
      <c r="K781" s="468"/>
      <c r="L781" s="468"/>
      <c r="M781" s="468"/>
      <c r="N781" s="468"/>
      <c r="O781" s="468"/>
      <c r="P781" s="468"/>
      <c r="Q781" s="468"/>
      <c r="R781" s="468"/>
      <c r="S781" s="468"/>
      <c r="T781" s="468"/>
      <c r="U781" s="468"/>
      <c r="V781" s="468"/>
      <c r="W781" s="468"/>
      <c r="X781" s="468"/>
      <c r="Y781" s="468"/>
      <c r="Z781" s="468"/>
      <c r="AA781" s="468"/>
      <c r="AB781" s="468"/>
      <c r="AC781" s="468"/>
      <c r="AD781" s="468"/>
      <c r="AE781" s="468"/>
      <c r="AF781" s="468"/>
      <c r="AG781" s="468"/>
      <c r="AH781" s="468"/>
      <c r="AI781" s="468"/>
      <c r="AJ781" s="468"/>
    </row>
    <row r="782" spans="1:36" ht="18" customHeight="1" x14ac:dyDescent="0.35">
      <c r="A782" s="468"/>
      <c r="B782" s="468"/>
      <c r="C782" s="468"/>
      <c r="D782" s="468"/>
      <c r="E782" s="468"/>
      <c r="F782" s="468"/>
      <c r="G782" s="468"/>
      <c r="H782" s="468"/>
      <c r="I782" s="468"/>
      <c r="J782" s="468"/>
      <c r="K782" s="468"/>
      <c r="L782" s="468"/>
      <c r="M782" s="468"/>
      <c r="N782" s="468"/>
      <c r="O782" s="468"/>
      <c r="P782" s="468"/>
      <c r="Q782" s="468"/>
      <c r="R782" s="468"/>
      <c r="S782" s="468"/>
      <c r="T782" s="468"/>
      <c r="U782" s="468"/>
      <c r="V782" s="468"/>
      <c r="W782" s="468"/>
      <c r="X782" s="468"/>
      <c r="Y782" s="468"/>
      <c r="Z782" s="468"/>
      <c r="AA782" s="468"/>
      <c r="AB782" s="468"/>
      <c r="AC782" s="468"/>
      <c r="AD782" s="468"/>
      <c r="AE782" s="468"/>
      <c r="AF782" s="468"/>
      <c r="AG782" s="468"/>
      <c r="AH782" s="468"/>
      <c r="AI782" s="468"/>
      <c r="AJ782" s="468"/>
    </row>
    <row r="783" spans="1:36" ht="18" customHeight="1" x14ac:dyDescent="0.35">
      <c r="A783" s="468"/>
      <c r="B783" s="468"/>
      <c r="C783" s="468"/>
      <c r="D783" s="468"/>
      <c r="E783" s="468"/>
      <c r="F783" s="468"/>
      <c r="G783" s="468"/>
      <c r="H783" s="468"/>
      <c r="I783" s="468"/>
      <c r="J783" s="468"/>
      <c r="K783" s="468"/>
      <c r="L783" s="468"/>
      <c r="M783" s="468"/>
      <c r="N783" s="468"/>
      <c r="O783" s="468"/>
      <c r="P783" s="468"/>
      <c r="Q783" s="468"/>
      <c r="R783" s="468"/>
      <c r="S783" s="468"/>
      <c r="T783" s="468"/>
      <c r="U783" s="468"/>
      <c r="V783" s="468"/>
      <c r="W783" s="468"/>
      <c r="X783" s="468"/>
      <c r="Y783" s="468"/>
      <c r="Z783" s="468"/>
      <c r="AA783" s="468"/>
      <c r="AB783" s="468"/>
      <c r="AC783" s="468"/>
      <c r="AD783" s="468"/>
      <c r="AE783" s="468"/>
      <c r="AF783" s="468"/>
      <c r="AG783" s="468"/>
      <c r="AH783" s="468"/>
      <c r="AI783" s="468"/>
      <c r="AJ783" s="468"/>
    </row>
    <row r="784" spans="1:36" ht="18" customHeight="1" x14ac:dyDescent="0.35">
      <c r="A784" s="468"/>
      <c r="B784" s="468"/>
      <c r="C784" s="468"/>
      <c r="D784" s="468"/>
      <c r="E784" s="468"/>
      <c r="F784" s="468"/>
      <c r="G784" s="468"/>
      <c r="H784" s="468"/>
      <c r="I784" s="468"/>
      <c r="J784" s="468"/>
      <c r="K784" s="468"/>
      <c r="L784" s="468"/>
      <c r="M784" s="468"/>
      <c r="N784" s="468"/>
      <c r="O784" s="468"/>
      <c r="P784" s="468"/>
      <c r="Q784" s="468"/>
      <c r="R784" s="468"/>
      <c r="S784" s="468"/>
      <c r="T784" s="468"/>
      <c r="U784" s="468"/>
      <c r="V784" s="468"/>
      <c r="W784" s="468"/>
      <c r="X784" s="468"/>
      <c r="Y784" s="468"/>
      <c r="Z784" s="468"/>
      <c r="AA784" s="468"/>
      <c r="AB784" s="468"/>
      <c r="AC784" s="468"/>
      <c r="AD784" s="468"/>
      <c r="AE784" s="468"/>
      <c r="AF784" s="468"/>
      <c r="AG784" s="468"/>
      <c r="AH784" s="468"/>
      <c r="AI784" s="468"/>
      <c r="AJ784" s="468"/>
    </row>
    <row r="785" spans="1:36" ht="18" customHeight="1" x14ac:dyDescent="0.35">
      <c r="A785" s="468"/>
      <c r="B785" s="468"/>
      <c r="C785" s="468"/>
      <c r="D785" s="468"/>
      <c r="E785" s="468"/>
      <c r="F785" s="468"/>
      <c r="G785" s="468"/>
      <c r="H785" s="468"/>
      <c r="I785" s="468"/>
      <c r="J785" s="468"/>
      <c r="K785" s="468"/>
      <c r="L785" s="468"/>
      <c r="M785" s="468"/>
      <c r="N785" s="468"/>
      <c r="O785" s="468"/>
      <c r="P785" s="468"/>
      <c r="Q785" s="468"/>
      <c r="R785" s="468"/>
      <c r="S785" s="468"/>
      <c r="T785" s="468"/>
      <c r="U785" s="468"/>
      <c r="V785" s="468"/>
      <c r="W785" s="468"/>
      <c r="X785" s="468"/>
      <c r="Y785" s="468"/>
      <c r="Z785" s="468"/>
      <c r="AA785" s="468"/>
      <c r="AB785" s="468"/>
      <c r="AC785" s="468"/>
      <c r="AD785" s="468"/>
      <c r="AE785" s="468"/>
      <c r="AF785" s="468"/>
      <c r="AG785" s="468"/>
      <c r="AH785" s="468"/>
      <c r="AI785" s="468"/>
      <c r="AJ785" s="468"/>
    </row>
    <row r="786" spans="1:36" ht="18" customHeight="1" x14ac:dyDescent="0.35">
      <c r="A786" s="468"/>
      <c r="B786" s="468"/>
      <c r="C786" s="468"/>
      <c r="D786" s="468"/>
      <c r="E786" s="468"/>
      <c r="F786" s="468"/>
      <c r="G786" s="468"/>
      <c r="H786" s="468"/>
      <c r="I786" s="468"/>
      <c r="J786" s="468"/>
      <c r="K786" s="468"/>
      <c r="L786" s="468"/>
      <c r="M786" s="468"/>
      <c r="N786" s="468"/>
      <c r="O786" s="468"/>
      <c r="P786" s="468"/>
      <c r="Q786" s="468"/>
      <c r="R786" s="468"/>
      <c r="S786" s="468"/>
      <c r="T786" s="468"/>
      <c r="U786" s="468"/>
      <c r="V786" s="468"/>
      <c r="W786" s="468"/>
      <c r="X786" s="468"/>
      <c r="Y786" s="468"/>
      <c r="Z786" s="468"/>
      <c r="AA786" s="468"/>
      <c r="AB786" s="468"/>
      <c r="AC786" s="468"/>
      <c r="AD786" s="468"/>
      <c r="AE786" s="468"/>
      <c r="AF786" s="468"/>
      <c r="AG786" s="468"/>
      <c r="AH786" s="468"/>
      <c r="AI786" s="468"/>
      <c r="AJ786" s="468"/>
    </row>
    <row r="787" spans="1:36" ht="18" customHeight="1" x14ac:dyDescent="0.35">
      <c r="A787" s="468"/>
      <c r="B787" s="468"/>
      <c r="C787" s="468"/>
      <c r="D787" s="468"/>
      <c r="E787" s="468"/>
      <c r="F787" s="468"/>
      <c r="G787" s="468"/>
      <c r="H787" s="468"/>
      <c r="I787" s="468"/>
      <c r="J787" s="468"/>
      <c r="K787" s="468"/>
      <c r="L787" s="468"/>
      <c r="M787" s="468"/>
      <c r="N787" s="468"/>
      <c r="O787" s="468"/>
      <c r="P787" s="468"/>
      <c r="Q787" s="468"/>
      <c r="R787" s="468"/>
      <c r="S787" s="468"/>
      <c r="T787" s="468"/>
      <c r="U787" s="468"/>
      <c r="V787" s="468"/>
      <c r="W787" s="468"/>
      <c r="X787" s="468"/>
      <c r="Y787" s="468"/>
      <c r="Z787" s="468"/>
      <c r="AA787" s="468"/>
      <c r="AB787" s="468"/>
      <c r="AC787" s="468"/>
      <c r="AD787" s="468"/>
      <c r="AE787" s="468"/>
      <c r="AF787" s="468"/>
      <c r="AG787" s="468"/>
      <c r="AH787" s="468"/>
      <c r="AI787" s="468"/>
      <c r="AJ787" s="468"/>
    </row>
    <row r="788" spans="1:36" ht="18" customHeight="1" x14ac:dyDescent="0.35">
      <c r="A788" s="468"/>
      <c r="B788" s="468"/>
      <c r="C788" s="468"/>
      <c r="D788" s="468"/>
      <c r="E788" s="468"/>
      <c r="F788" s="468"/>
      <c r="G788" s="468"/>
      <c r="H788" s="468"/>
      <c r="I788" s="468"/>
      <c r="J788" s="468"/>
      <c r="K788" s="468"/>
      <c r="L788" s="468"/>
      <c r="M788" s="468"/>
      <c r="N788" s="468"/>
      <c r="O788" s="468"/>
      <c r="P788" s="468"/>
      <c r="Q788" s="468"/>
      <c r="R788" s="468"/>
      <c r="S788" s="468"/>
      <c r="T788" s="468"/>
      <c r="U788" s="468"/>
      <c r="V788" s="468"/>
      <c r="W788" s="468"/>
      <c r="X788" s="468"/>
      <c r="Y788" s="468"/>
      <c r="Z788" s="468"/>
      <c r="AA788" s="468"/>
      <c r="AB788" s="468"/>
      <c r="AC788" s="468"/>
      <c r="AD788" s="468"/>
      <c r="AE788" s="468"/>
      <c r="AF788" s="468"/>
      <c r="AG788" s="468"/>
      <c r="AH788" s="468"/>
      <c r="AI788" s="468"/>
      <c r="AJ788" s="468"/>
    </row>
    <row r="789" spans="1:36" ht="18" customHeight="1" x14ac:dyDescent="0.35">
      <c r="A789" s="468"/>
      <c r="B789" s="468"/>
      <c r="C789" s="468"/>
      <c r="D789" s="468"/>
      <c r="E789" s="468"/>
      <c r="F789" s="468"/>
      <c r="G789" s="468"/>
      <c r="H789" s="468"/>
      <c r="I789" s="468"/>
      <c r="J789" s="468"/>
      <c r="K789" s="468"/>
      <c r="L789" s="468"/>
      <c r="M789" s="468"/>
      <c r="N789" s="468"/>
      <c r="O789" s="468"/>
      <c r="P789" s="468"/>
      <c r="Q789" s="468"/>
      <c r="R789" s="468"/>
      <c r="S789" s="468"/>
      <c r="T789" s="468"/>
      <c r="U789" s="468"/>
      <c r="V789" s="468"/>
      <c r="W789" s="468"/>
      <c r="X789" s="468"/>
      <c r="Y789" s="468"/>
      <c r="Z789" s="468"/>
      <c r="AA789" s="468"/>
      <c r="AB789" s="468"/>
      <c r="AC789" s="468"/>
      <c r="AD789" s="468"/>
      <c r="AE789" s="468"/>
      <c r="AF789" s="468"/>
      <c r="AG789" s="468"/>
      <c r="AH789" s="468"/>
      <c r="AI789" s="468"/>
      <c r="AJ789" s="468"/>
    </row>
    <row r="790" spans="1:36" ht="18" customHeight="1" x14ac:dyDescent="0.35">
      <c r="A790" s="468"/>
      <c r="B790" s="468"/>
      <c r="C790" s="468"/>
      <c r="D790" s="468"/>
      <c r="E790" s="468"/>
      <c r="F790" s="468"/>
      <c r="G790" s="468"/>
      <c r="H790" s="468"/>
      <c r="I790" s="468"/>
      <c r="J790" s="468"/>
      <c r="K790" s="468"/>
      <c r="L790" s="468"/>
      <c r="M790" s="468"/>
      <c r="N790" s="468"/>
      <c r="O790" s="468"/>
      <c r="P790" s="468"/>
      <c r="Q790" s="468"/>
      <c r="R790" s="468"/>
      <c r="S790" s="468"/>
      <c r="T790" s="468"/>
      <c r="U790" s="468"/>
      <c r="V790" s="468"/>
      <c r="W790" s="468"/>
      <c r="X790" s="468"/>
      <c r="Y790" s="468"/>
      <c r="Z790" s="468"/>
      <c r="AA790" s="468"/>
      <c r="AB790" s="468"/>
      <c r="AC790" s="468"/>
      <c r="AD790" s="468"/>
      <c r="AE790" s="468"/>
      <c r="AF790" s="468"/>
      <c r="AG790" s="468"/>
      <c r="AH790" s="468"/>
      <c r="AI790" s="468"/>
      <c r="AJ790" s="468"/>
    </row>
    <row r="791" spans="1:36" ht="18" customHeight="1" x14ac:dyDescent="0.35">
      <c r="A791" s="468"/>
      <c r="B791" s="468"/>
      <c r="C791" s="468"/>
      <c r="D791" s="468"/>
      <c r="E791" s="468"/>
      <c r="F791" s="468"/>
      <c r="G791" s="468"/>
      <c r="H791" s="468"/>
      <c r="I791" s="468"/>
      <c r="J791" s="468"/>
      <c r="K791" s="468"/>
      <c r="L791" s="468"/>
      <c r="M791" s="468"/>
      <c r="N791" s="468"/>
      <c r="O791" s="468"/>
      <c r="P791" s="468"/>
      <c r="Q791" s="468"/>
      <c r="R791" s="468"/>
      <c r="S791" s="468"/>
      <c r="T791" s="468"/>
      <c r="U791" s="468"/>
      <c r="V791" s="468"/>
      <c r="W791" s="468"/>
      <c r="X791" s="468"/>
      <c r="Y791" s="468"/>
      <c r="Z791" s="468"/>
      <c r="AA791" s="468"/>
      <c r="AB791" s="468"/>
      <c r="AC791" s="468"/>
      <c r="AD791" s="468"/>
      <c r="AE791" s="468"/>
      <c r="AF791" s="468"/>
      <c r="AG791" s="468"/>
      <c r="AH791" s="468"/>
      <c r="AI791" s="468"/>
      <c r="AJ791" s="468"/>
    </row>
    <row r="792" spans="1:36" ht="18" customHeight="1" x14ac:dyDescent="0.35">
      <c r="A792" s="468"/>
      <c r="B792" s="468"/>
      <c r="C792" s="468"/>
      <c r="D792" s="468"/>
      <c r="E792" s="468"/>
      <c r="F792" s="468"/>
      <c r="G792" s="468"/>
      <c r="H792" s="468"/>
      <c r="I792" s="468"/>
      <c r="J792" s="468"/>
      <c r="K792" s="468"/>
      <c r="L792" s="468"/>
      <c r="M792" s="468"/>
      <c r="N792" s="468"/>
      <c r="O792" s="468"/>
      <c r="P792" s="468"/>
      <c r="Q792" s="468"/>
      <c r="R792" s="468"/>
      <c r="S792" s="468"/>
      <c r="T792" s="468"/>
      <c r="U792" s="468"/>
      <c r="V792" s="468"/>
      <c r="W792" s="468"/>
      <c r="X792" s="468"/>
      <c r="Y792" s="468"/>
      <c r="Z792" s="468"/>
      <c r="AA792" s="468"/>
      <c r="AB792" s="468"/>
      <c r="AC792" s="468"/>
      <c r="AD792" s="468"/>
      <c r="AE792" s="468"/>
      <c r="AF792" s="468"/>
      <c r="AG792" s="468"/>
      <c r="AH792" s="468"/>
      <c r="AI792" s="468"/>
      <c r="AJ792" s="468"/>
    </row>
    <row r="793" spans="1:36" ht="18" customHeight="1" x14ac:dyDescent="0.35">
      <c r="A793" s="468"/>
      <c r="B793" s="468"/>
      <c r="C793" s="468"/>
      <c r="D793" s="468"/>
      <c r="E793" s="468"/>
      <c r="F793" s="468"/>
      <c r="G793" s="468"/>
      <c r="H793" s="468"/>
      <c r="I793" s="468"/>
      <c r="J793" s="468"/>
      <c r="K793" s="468"/>
      <c r="L793" s="468"/>
      <c r="M793" s="468"/>
      <c r="N793" s="468"/>
      <c r="O793" s="468"/>
      <c r="P793" s="468"/>
      <c r="Q793" s="468"/>
      <c r="R793" s="468"/>
      <c r="S793" s="468"/>
      <c r="T793" s="468"/>
      <c r="U793" s="468"/>
      <c r="V793" s="468"/>
      <c r="W793" s="468"/>
      <c r="X793" s="468"/>
      <c r="Y793" s="468"/>
      <c r="Z793" s="468"/>
      <c r="AA793" s="468"/>
      <c r="AB793" s="468"/>
      <c r="AC793" s="468"/>
      <c r="AD793" s="468"/>
      <c r="AE793" s="468"/>
      <c r="AF793" s="468"/>
      <c r="AG793" s="468"/>
      <c r="AH793" s="468"/>
      <c r="AI793" s="468"/>
      <c r="AJ793" s="468"/>
    </row>
    <row r="794" spans="1:36" ht="18" customHeight="1" x14ac:dyDescent="0.35">
      <c r="A794" s="468"/>
      <c r="B794" s="468"/>
      <c r="C794" s="468"/>
      <c r="D794" s="468"/>
      <c r="E794" s="468"/>
      <c r="F794" s="468"/>
      <c r="G794" s="468"/>
      <c r="H794" s="468"/>
      <c r="I794" s="468"/>
      <c r="J794" s="468"/>
      <c r="K794" s="468"/>
      <c r="L794" s="468"/>
      <c r="M794" s="468"/>
      <c r="N794" s="468"/>
      <c r="O794" s="468"/>
      <c r="P794" s="468"/>
      <c r="Q794" s="468"/>
      <c r="R794" s="468"/>
      <c r="S794" s="468"/>
      <c r="T794" s="468"/>
      <c r="U794" s="468"/>
      <c r="V794" s="468"/>
      <c r="W794" s="468"/>
      <c r="X794" s="468"/>
      <c r="Y794" s="468"/>
      <c r="Z794" s="468"/>
      <c r="AA794" s="468"/>
      <c r="AB794" s="468"/>
      <c r="AC794" s="468"/>
      <c r="AD794" s="468"/>
      <c r="AE794" s="468"/>
      <c r="AF794" s="468"/>
      <c r="AG794" s="468"/>
      <c r="AH794" s="468"/>
      <c r="AI794" s="468"/>
      <c r="AJ794" s="468"/>
    </row>
    <row r="795" spans="1:36" ht="18" customHeight="1" x14ac:dyDescent="0.35">
      <c r="A795" s="468"/>
      <c r="B795" s="468"/>
      <c r="C795" s="468"/>
      <c r="D795" s="468"/>
      <c r="E795" s="468"/>
      <c r="F795" s="468"/>
      <c r="G795" s="468"/>
      <c r="H795" s="468"/>
      <c r="I795" s="468"/>
      <c r="J795" s="468"/>
      <c r="K795" s="468"/>
      <c r="L795" s="468"/>
      <c r="M795" s="468"/>
      <c r="N795" s="468"/>
      <c r="O795" s="468"/>
      <c r="P795" s="468"/>
      <c r="Q795" s="468"/>
      <c r="R795" s="468"/>
      <c r="S795" s="468"/>
      <c r="T795" s="468"/>
      <c r="U795" s="468"/>
      <c r="V795" s="468"/>
      <c r="W795" s="468"/>
      <c r="X795" s="468"/>
      <c r="Y795" s="468"/>
      <c r="Z795" s="468"/>
      <c r="AA795" s="468"/>
      <c r="AB795" s="468"/>
      <c r="AC795" s="468"/>
      <c r="AD795" s="468"/>
      <c r="AE795" s="468"/>
      <c r="AF795" s="468"/>
      <c r="AG795" s="468"/>
      <c r="AH795" s="468"/>
      <c r="AI795" s="468"/>
      <c r="AJ795" s="468"/>
    </row>
    <row r="796" spans="1:36" ht="18" customHeight="1" x14ac:dyDescent="0.35">
      <c r="A796" s="468"/>
      <c r="B796" s="468"/>
      <c r="C796" s="468"/>
      <c r="D796" s="468"/>
      <c r="E796" s="468"/>
      <c r="F796" s="468"/>
      <c r="G796" s="468"/>
      <c r="H796" s="468"/>
      <c r="I796" s="468"/>
      <c r="J796" s="468"/>
      <c r="K796" s="468"/>
      <c r="L796" s="468"/>
      <c r="M796" s="468"/>
      <c r="N796" s="468"/>
      <c r="O796" s="468"/>
      <c r="P796" s="468"/>
      <c r="Q796" s="468"/>
      <c r="R796" s="468"/>
      <c r="S796" s="468"/>
      <c r="T796" s="468"/>
      <c r="U796" s="468"/>
      <c r="V796" s="468"/>
      <c r="W796" s="468"/>
      <c r="X796" s="468"/>
      <c r="Y796" s="468"/>
      <c r="Z796" s="468"/>
      <c r="AA796" s="468"/>
      <c r="AB796" s="468"/>
      <c r="AC796" s="468"/>
      <c r="AD796" s="468"/>
      <c r="AE796" s="468"/>
      <c r="AF796" s="468"/>
      <c r="AG796" s="468"/>
      <c r="AH796" s="468"/>
      <c r="AI796" s="468"/>
      <c r="AJ796" s="468"/>
    </row>
    <row r="797" spans="1:36" ht="18" customHeight="1" x14ac:dyDescent="0.35">
      <c r="A797" s="468"/>
      <c r="B797" s="468"/>
      <c r="C797" s="468"/>
      <c r="D797" s="468"/>
      <c r="E797" s="468"/>
      <c r="F797" s="468"/>
      <c r="G797" s="468"/>
      <c r="H797" s="468"/>
      <c r="I797" s="468"/>
      <c r="J797" s="468"/>
      <c r="K797" s="468"/>
      <c r="L797" s="468"/>
      <c r="M797" s="468"/>
      <c r="N797" s="468"/>
      <c r="O797" s="468"/>
      <c r="P797" s="468"/>
      <c r="Q797" s="468"/>
      <c r="R797" s="468"/>
      <c r="S797" s="468"/>
      <c r="T797" s="468"/>
      <c r="U797" s="468"/>
      <c r="V797" s="468"/>
      <c r="W797" s="468"/>
      <c r="X797" s="468"/>
      <c r="Y797" s="468"/>
      <c r="Z797" s="468"/>
      <c r="AA797" s="468"/>
      <c r="AB797" s="468"/>
      <c r="AC797" s="468"/>
      <c r="AD797" s="468"/>
      <c r="AE797" s="468"/>
      <c r="AF797" s="468"/>
      <c r="AG797" s="468"/>
      <c r="AH797" s="468"/>
      <c r="AI797" s="468"/>
      <c r="AJ797" s="468"/>
    </row>
    <row r="798" spans="1:36" ht="18" customHeight="1" x14ac:dyDescent="0.35">
      <c r="A798" s="468"/>
      <c r="B798" s="468"/>
      <c r="C798" s="468"/>
      <c r="D798" s="468"/>
      <c r="E798" s="468"/>
      <c r="F798" s="468"/>
      <c r="G798" s="468"/>
      <c r="H798" s="468"/>
      <c r="I798" s="468"/>
      <c r="J798" s="468"/>
      <c r="K798" s="468"/>
      <c r="L798" s="468"/>
      <c r="M798" s="468"/>
      <c r="N798" s="468"/>
      <c r="O798" s="468"/>
      <c r="P798" s="468"/>
      <c r="Q798" s="468"/>
      <c r="R798" s="468"/>
      <c r="S798" s="468"/>
      <c r="T798" s="468"/>
      <c r="U798" s="468"/>
      <c r="V798" s="468"/>
      <c r="W798" s="468"/>
      <c r="X798" s="468"/>
      <c r="Y798" s="468"/>
      <c r="Z798" s="468"/>
      <c r="AA798" s="468"/>
      <c r="AB798" s="468"/>
      <c r="AC798" s="468"/>
      <c r="AD798" s="468"/>
      <c r="AE798" s="468"/>
      <c r="AF798" s="468"/>
      <c r="AG798" s="468"/>
      <c r="AH798" s="468"/>
      <c r="AI798" s="468"/>
      <c r="AJ798" s="468"/>
    </row>
    <row r="799" spans="1:36" ht="18" customHeight="1" x14ac:dyDescent="0.35">
      <c r="A799" s="468"/>
      <c r="B799" s="468"/>
      <c r="C799" s="468"/>
      <c r="D799" s="468"/>
      <c r="E799" s="468"/>
      <c r="F799" s="468"/>
      <c r="G799" s="468"/>
      <c r="H799" s="468"/>
      <c r="I799" s="468"/>
      <c r="J799" s="468"/>
      <c r="K799" s="468"/>
      <c r="L799" s="468"/>
      <c r="M799" s="468"/>
      <c r="N799" s="468"/>
      <c r="O799" s="468"/>
      <c r="P799" s="468"/>
      <c r="Q799" s="468"/>
      <c r="R799" s="468"/>
      <c r="S799" s="468"/>
      <c r="T799" s="468"/>
      <c r="U799" s="468"/>
      <c r="V799" s="468"/>
      <c r="W799" s="468"/>
      <c r="X799" s="468"/>
      <c r="Y799" s="468"/>
      <c r="Z799" s="468"/>
      <c r="AA799" s="468"/>
      <c r="AB799" s="468"/>
      <c r="AC799" s="468"/>
      <c r="AD799" s="468"/>
      <c r="AE799" s="468"/>
      <c r="AF799" s="468"/>
      <c r="AG799" s="468"/>
      <c r="AH799" s="468"/>
      <c r="AI799" s="468"/>
      <c r="AJ799" s="468"/>
    </row>
    <row r="800" spans="1:36" ht="18" customHeight="1" x14ac:dyDescent="0.35">
      <c r="A800" s="468"/>
      <c r="B800" s="468"/>
      <c r="C800" s="468"/>
      <c r="D800" s="468"/>
      <c r="E800" s="468"/>
      <c r="F800" s="468"/>
      <c r="G800" s="468"/>
      <c r="H800" s="468"/>
      <c r="I800" s="468"/>
      <c r="J800" s="468"/>
      <c r="K800" s="468"/>
      <c r="L800" s="468"/>
      <c r="M800" s="468"/>
      <c r="N800" s="468"/>
      <c r="O800" s="468"/>
      <c r="P800" s="468"/>
      <c r="Q800" s="468"/>
      <c r="R800" s="468"/>
      <c r="S800" s="468"/>
      <c r="T800" s="468"/>
      <c r="U800" s="468"/>
      <c r="V800" s="468"/>
      <c r="W800" s="468"/>
      <c r="X800" s="468"/>
      <c r="Y800" s="468"/>
      <c r="Z800" s="468"/>
      <c r="AA800" s="468"/>
      <c r="AB800" s="468"/>
      <c r="AC800" s="468"/>
      <c r="AD800" s="468"/>
      <c r="AE800" s="468"/>
      <c r="AF800" s="468"/>
      <c r="AG800" s="468"/>
      <c r="AH800" s="468"/>
      <c r="AI800" s="468"/>
      <c r="AJ800" s="468"/>
    </row>
    <row r="801" spans="1:36" ht="18" customHeight="1" x14ac:dyDescent="0.35">
      <c r="A801" s="468"/>
      <c r="B801" s="468"/>
      <c r="C801" s="468"/>
      <c r="D801" s="468"/>
      <c r="E801" s="468"/>
      <c r="F801" s="468"/>
      <c r="G801" s="468"/>
      <c r="H801" s="468"/>
      <c r="I801" s="468"/>
      <c r="J801" s="468"/>
      <c r="K801" s="468"/>
      <c r="L801" s="468"/>
      <c r="M801" s="468"/>
      <c r="N801" s="468"/>
      <c r="O801" s="468"/>
      <c r="P801" s="468"/>
      <c r="Q801" s="468"/>
      <c r="R801" s="468"/>
      <c r="S801" s="468"/>
      <c r="T801" s="468"/>
      <c r="U801" s="468"/>
      <c r="V801" s="468"/>
      <c r="W801" s="468"/>
      <c r="X801" s="468"/>
      <c r="Y801" s="468"/>
      <c r="Z801" s="468"/>
      <c r="AA801" s="468"/>
      <c r="AB801" s="468"/>
      <c r="AC801" s="468"/>
      <c r="AD801" s="468"/>
      <c r="AE801" s="468"/>
      <c r="AF801" s="468"/>
      <c r="AG801" s="468"/>
      <c r="AH801" s="468"/>
      <c r="AI801" s="468"/>
      <c r="AJ801" s="468"/>
    </row>
    <row r="802" spans="1:36" ht="18" customHeight="1" x14ac:dyDescent="0.35">
      <c r="A802" s="468"/>
      <c r="B802" s="468"/>
      <c r="C802" s="468"/>
      <c r="D802" s="468"/>
      <c r="E802" s="468"/>
      <c r="F802" s="468"/>
      <c r="G802" s="468"/>
      <c r="H802" s="468"/>
      <c r="I802" s="468"/>
      <c r="J802" s="468"/>
      <c r="K802" s="468"/>
      <c r="L802" s="468"/>
      <c r="M802" s="468"/>
      <c r="N802" s="468"/>
      <c r="O802" s="468"/>
      <c r="P802" s="468"/>
      <c r="Q802" s="468"/>
      <c r="R802" s="468"/>
      <c r="S802" s="468"/>
      <c r="T802" s="468"/>
      <c r="U802" s="468"/>
      <c r="V802" s="468"/>
      <c r="W802" s="468"/>
      <c r="X802" s="468"/>
      <c r="Y802" s="468"/>
      <c r="Z802" s="468"/>
      <c r="AA802" s="468"/>
      <c r="AB802" s="468"/>
      <c r="AC802" s="468"/>
      <c r="AD802" s="468"/>
      <c r="AE802" s="468"/>
      <c r="AF802" s="468"/>
      <c r="AG802" s="468"/>
      <c r="AH802" s="468"/>
      <c r="AI802" s="468"/>
      <c r="AJ802" s="468"/>
    </row>
    <row r="803" spans="1:36" ht="18" customHeight="1" x14ac:dyDescent="0.35">
      <c r="A803" s="468"/>
      <c r="B803" s="468"/>
      <c r="C803" s="468"/>
      <c r="D803" s="468"/>
      <c r="E803" s="468"/>
      <c r="F803" s="468"/>
      <c r="G803" s="468"/>
      <c r="H803" s="468"/>
      <c r="I803" s="468"/>
      <c r="J803" s="468"/>
      <c r="K803" s="468"/>
      <c r="L803" s="468"/>
      <c r="M803" s="468"/>
      <c r="N803" s="468"/>
      <c r="O803" s="468"/>
      <c r="P803" s="468"/>
      <c r="Q803" s="468"/>
      <c r="R803" s="468"/>
      <c r="S803" s="468"/>
      <c r="T803" s="468"/>
      <c r="U803" s="468"/>
      <c r="V803" s="468"/>
      <c r="W803" s="468"/>
      <c r="X803" s="468"/>
      <c r="Y803" s="468"/>
      <c r="Z803" s="468"/>
      <c r="AA803" s="468"/>
      <c r="AB803" s="468"/>
      <c r="AC803" s="468"/>
      <c r="AD803" s="468"/>
      <c r="AE803" s="468"/>
      <c r="AF803" s="468"/>
      <c r="AG803" s="468"/>
      <c r="AH803" s="468"/>
      <c r="AI803" s="468"/>
      <c r="AJ803" s="468"/>
    </row>
    <row r="804" spans="1:36" ht="18" customHeight="1" x14ac:dyDescent="0.35">
      <c r="A804" s="468"/>
      <c r="B804" s="468"/>
      <c r="C804" s="468"/>
      <c r="D804" s="468"/>
      <c r="E804" s="468"/>
      <c r="F804" s="468"/>
      <c r="G804" s="468"/>
      <c r="H804" s="468"/>
      <c r="I804" s="468"/>
      <c r="J804" s="468"/>
      <c r="K804" s="468"/>
      <c r="L804" s="468"/>
      <c r="M804" s="468"/>
      <c r="N804" s="468"/>
      <c r="O804" s="468"/>
      <c r="P804" s="468"/>
      <c r="Q804" s="468"/>
      <c r="R804" s="468"/>
      <c r="S804" s="468"/>
      <c r="T804" s="468"/>
      <c r="U804" s="468"/>
      <c r="V804" s="468"/>
      <c r="W804" s="468"/>
      <c r="X804" s="468"/>
      <c r="Y804" s="468"/>
      <c r="Z804" s="468"/>
      <c r="AA804" s="468"/>
      <c r="AB804" s="468"/>
      <c r="AC804" s="468"/>
      <c r="AD804" s="468"/>
      <c r="AE804" s="468"/>
      <c r="AF804" s="468"/>
      <c r="AG804" s="468"/>
      <c r="AH804" s="468"/>
      <c r="AI804" s="468"/>
      <c r="AJ804" s="468"/>
    </row>
    <row r="805" spans="1:36" ht="18" customHeight="1" x14ac:dyDescent="0.35">
      <c r="A805" s="468"/>
      <c r="B805" s="468"/>
      <c r="C805" s="468"/>
      <c r="D805" s="468"/>
      <c r="E805" s="468"/>
      <c r="F805" s="468"/>
      <c r="G805" s="468"/>
      <c r="H805" s="468"/>
      <c r="I805" s="468"/>
      <c r="J805" s="468"/>
      <c r="K805" s="468"/>
      <c r="L805" s="468"/>
      <c r="M805" s="468"/>
      <c r="N805" s="468"/>
      <c r="O805" s="468"/>
      <c r="P805" s="468"/>
      <c r="Q805" s="468"/>
      <c r="R805" s="468"/>
      <c r="S805" s="468"/>
      <c r="T805" s="468"/>
      <c r="U805" s="468"/>
      <c r="V805" s="468"/>
      <c r="W805" s="468"/>
      <c r="X805" s="468"/>
      <c r="Y805" s="468"/>
      <c r="Z805" s="468"/>
      <c r="AA805" s="468"/>
      <c r="AB805" s="468"/>
      <c r="AC805" s="468"/>
      <c r="AD805" s="468"/>
      <c r="AE805" s="468"/>
      <c r="AF805" s="468"/>
      <c r="AG805" s="468"/>
      <c r="AH805" s="468"/>
      <c r="AI805" s="468"/>
      <c r="AJ805" s="468"/>
    </row>
    <row r="806" spans="1:36" ht="18" customHeight="1" x14ac:dyDescent="0.35">
      <c r="A806" s="468"/>
      <c r="B806" s="468"/>
      <c r="C806" s="468"/>
      <c r="D806" s="468"/>
      <c r="E806" s="468"/>
      <c r="F806" s="468"/>
      <c r="G806" s="468"/>
      <c r="H806" s="468"/>
      <c r="I806" s="468"/>
      <c r="J806" s="468"/>
      <c r="K806" s="468"/>
      <c r="L806" s="468"/>
      <c r="M806" s="468"/>
      <c r="N806" s="468"/>
      <c r="O806" s="468"/>
      <c r="P806" s="468"/>
      <c r="Q806" s="468"/>
      <c r="R806" s="468"/>
      <c r="S806" s="468"/>
      <c r="T806" s="468"/>
      <c r="U806" s="468"/>
      <c r="V806" s="468"/>
      <c r="W806" s="468"/>
      <c r="X806" s="468"/>
      <c r="Y806" s="468"/>
      <c r="Z806" s="468"/>
      <c r="AA806" s="468"/>
      <c r="AB806" s="468"/>
      <c r="AC806" s="468"/>
      <c r="AD806" s="468"/>
      <c r="AE806" s="468"/>
      <c r="AF806" s="468"/>
      <c r="AG806" s="468"/>
      <c r="AH806" s="468"/>
      <c r="AI806" s="468"/>
      <c r="AJ806" s="468"/>
    </row>
    <row r="807" spans="1:36" ht="18" customHeight="1" x14ac:dyDescent="0.35">
      <c r="A807" s="468"/>
      <c r="B807" s="468"/>
      <c r="C807" s="468"/>
      <c r="D807" s="468"/>
      <c r="E807" s="468"/>
      <c r="F807" s="468"/>
      <c r="G807" s="468"/>
      <c r="H807" s="468"/>
      <c r="I807" s="468"/>
      <c r="J807" s="468"/>
      <c r="K807" s="468"/>
      <c r="L807" s="468"/>
      <c r="M807" s="468"/>
      <c r="N807" s="468"/>
      <c r="O807" s="468"/>
      <c r="P807" s="468"/>
      <c r="Q807" s="468"/>
      <c r="R807" s="468"/>
      <c r="S807" s="468"/>
      <c r="T807" s="468"/>
      <c r="U807" s="468"/>
      <c r="V807" s="468"/>
      <c r="W807" s="468"/>
      <c r="X807" s="468"/>
      <c r="Y807" s="468"/>
      <c r="Z807" s="468"/>
      <c r="AA807" s="468"/>
      <c r="AB807" s="468"/>
      <c r="AC807" s="468"/>
      <c r="AD807" s="468"/>
      <c r="AE807" s="468"/>
      <c r="AF807" s="468"/>
      <c r="AG807" s="468"/>
      <c r="AH807" s="468"/>
      <c r="AI807" s="468"/>
      <c r="AJ807" s="468"/>
    </row>
    <row r="808" spans="1:36" ht="18" customHeight="1" x14ac:dyDescent="0.35">
      <c r="A808" s="468"/>
      <c r="B808" s="468"/>
      <c r="C808" s="468"/>
      <c r="D808" s="468"/>
      <c r="E808" s="468"/>
      <c r="F808" s="468"/>
      <c r="G808" s="468"/>
      <c r="H808" s="468"/>
      <c r="I808" s="468"/>
      <c r="J808" s="468"/>
      <c r="K808" s="468"/>
      <c r="L808" s="468"/>
      <c r="M808" s="468"/>
      <c r="N808" s="468"/>
      <c r="O808" s="468"/>
      <c r="P808" s="468"/>
      <c r="Q808" s="468"/>
      <c r="R808" s="468"/>
      <c r="S808" s="468"/>
      <c r="T808" s="468"/>
      <c r="U808" s="468"/>
      <c r="V808" s="468"/>
      <c r="W808" s="468"/>
      <c r="X808" s="468"/>
      <c r="Y808" s="468"/>
      <c r="Z808" s="468"/>
      <c r="AA808" s="468"/>
      <c r="AB808" s="468"/>
      <c r="AC808" s="468"/>
      <c r="AD808" s="468"/>
      <c r="AE808" s="468"/>
      <c r="AF808" s="468"/>
      <c r="AG808" s="468"/>
      <c r="AH808" s="468"/>
      <c r="AI808" s="468"/>
      <c r="AJ808" s="468"/>
    </row>
    <row r="809" spans="1:36" ht="18" customHeight="1" x14ac:dyDescent="0.35">
      <c r="A809" s="468"/>
      <c r="B809" s="468"/>
      <c r="C809" s="468"/>
      <c r="D809" s="468"/>
      <c r="E809" s="468"/>
      <c r="F809" s="468"/>
      <c r="G809" s="468"/>
      <c r="H809" s="468"/>
      <c r="I809" s="468"/>
      <c r="J809" s="468"/>
      <c r="K809" s="468"/>
      <c r="L809" s="468"/>
      <c r="M809" s="468"/>
      <c r="N809" s="468"/>
      <c r="O809" s="468"/>
      <c r="P809" s="468"/>
      <c r="Q809" s="468"/>
      <c r="R809" s="468"/>
      <c r="S809" s="468"/>
      <c r="T809" s="468"/>
      <c r="U809" s="468"/>
      <c r="V809" s="468"/>
      <c r="W809" s="468"/>
      <c r="X809" s="468"/>
      <c r="Y809" s="468"/>
      <c r="Z809" s="468"/>
      <c r="AA809" s="468"/>
      <c r="AB809" s="468"/>
      <c r="AC809" s="468"/>
      <c r="AD809" s="468"/>
      <c r="AE809" s="468"/>
      <c r="AF809" s="468"/>
      <c r="AG809" s="468"/>
      <c r="AH809" s="468"/>
      <c r="AI809" s="468"/>
      <c r="AJ809" s="468"/>
    </row>
    <row r="810" spans="1:36" ht="18" customHeight="1" x14ac:dyDescent="0.35">
      <c r="A810" s="468"/>
      <c r="B810" s="468"/>
      <c r="C810" s="468"/>
      <c r="D810" s="468"/>
      <c r="E810" s="468"/>
      <c r="F810" s="468"/>
      <c r="G810" s="468"/>
      <c r="H810" s="468"/>
      <c r="I810" s="468"/>
      <c r="J810" s="468"/>
      <c r="K810" s="468"/>
      <c r="L810" s="468"/>
      <c r="M810" s="468"/>
      <c r="N810" s="468"/>
      <c r="O810" s="468"/>
      <c r="P810" s="468"/>
      <c r="Q810" s="468"/>
      <c r="R810" s="468"/>
      <c r="S810" s="468"/>
      <c r="T810" s="468"/>
      <c r="U810" s="468"/>
      <c r="V810" s="468"/>
      <c r="W810" s="468"/>
      <c r="X810" s="468"/>
      <c r="Y810" s="468"/>
      <c r="Z810" s="468"/>
      <c r="AA810" s="468"/>
      <c r="AB810" s="468"/>
      <c r="AC810" s="468"/>
      <c r="AD810" s="468"/>
      <c r="AE810" s="468"/>
      <c r="AF810" s="468"/>
      <c r="AG810" s="468"/>
      <c r="AH810" s="468"/>
      <c r="AI810" s="468"/>
      <c r="AJ810" s="468"/>
    </row>
    <row r="811" spans="1:36" ht="18" customHeight="1" x14ac:dyDescent="0.35">
      <c r="A811" s="468"/>
      <c r="B811" s="468"/>
      <c r="C811" s="468"/>
      <c r="D811" s="468"/>
      <c r="E811" s="468"/>
      <c r="F811" s="468"/>
      <c r="G811" s="468"/>
      <c r="H811" s="468"/>
      <c r="I811" s="468"/>
      <c r="J811" s="468"/>
      <c r="K811" s="468"/>
      <c r="L811" s="468"/>
      <c r="M811" s="468"/>
      <c r="N811" s="468"/>
      <c r="O811" s="468"/>
      <c r="P811" s="468"/>
      <c r="Q811" s="468"/>
      <c r="R811" s="468"/>
      <c r="S811" s="468"/>
      <c r="T811" s="468"/>
      <c r="U811" s="468"/>
      <c r="V811" s="468"/>
      <c r="W811" s="468"/>
      <c r="X811" s="468"/>
      <c r="Y811" s="468"/>
      <c r="Z811" s="468"/>
      <c r="AA811" s="468"/>
      <c r="AB811" s="468"/>
      <c r="AC811" s="468"/>
      <c r="AD811" s="468"/>
      <c r="AE811" s="468"/>
      <c r="AF811" s="468"/>
      <c r="AG811" s="468"/>
      <c r="AH811" s="468"/>
      <c r="AI811" s="468"/>
      <c r="AJ811" s="468"/>
    </row>
    <row r="812" spans="1:36" ht="18" customHeight="1" x14ac:dyDescent="0.35">
      <c r="A812" s="468"/>
      <c r="B812" s="468"/>
      <c r="C812" s="468"/>
      <c r="D812" s="468"/>
      <c r="E812" s="468"/>
      <c r="F812" s="468"/>
      <c r="G812" s="468"/>
      <c r="H812" s="468"/>
      <c r="I812" s="468"/>
      <c r="J812" s="468"/>
      <c r="K812" s="468"/>
      <c r="L812" s="468"/>
      <c r="M812" s="468"/>
      <c r="N812" s="468"/>
      <c r="O812" s="468"/>
      <c r="P812" s="468"/>
      <c r="Q812" s="468"/>
      <c r="R812" s="468"/>
      <c r="S812" s="468"/>
      <c r="T812" s="468"/>
      <c r="U812" s="468"/>
      <c r="V812" s="468"/>
      <c r="W812" s="468"/>
      <c r="X812" s="468"/>
      <c r="Y812" s="468"/>
      <c r="Z812" s="468"/>
      <c r="AA812" s="468"/>
      <c r="AB812" s="468"/>
      <c r="AC812" s="468"/>
      <c r="AD812" s="468"/>
      <c r="AE812" s="468"/>
      <c r="AF812" s="468"/>
      <c r="AG812" s="468"/>
      <c r="AH812" s="468"/>
      <c r="AI812" s="468"/>
      <c r="AJ812" s="468"/>
    </row>
    <row r="813" spans="1:36" ht="18" customHeight="1" x14ac:dyDescent="0.35">
      <c r="A813" s="468"/>
      <c r="B813" s="468"/>
      <c r="C813" s="468"/>
      <c r="D813" s="468"/>
      <c r="E813" s="468"/>
      <c r="F813" s="468"/>
      <c r="G813" s="468"/>
      <c r="H813" s="468"/>
      <c r="I813" s="468"/>
      <c r="J813" s="468"/>
      <c r="K813" s="468"/>
      <c r="L813" s="468"/>
      <c r="M813" s="468"/>
      <c r="N813" s="468"/>
      <c r="O813" s="468"/>
      <c r="P813" s="468"/>
      <c r="Q813" s="468"/>
      <c r="R813" s="468"/>
      <c r="S813" s="468"/>
      <c r="T813" s="468"/>
      <c r="U813" s="468"/>
      <c r="V813" s="468"/>
      <c r="W813" s="468"/>
      <c r="X813" s="468"/>
      <c r="Y813" s="468"/>
      <c r="Z813" s="468"/>
      <c r="AA813" s="468"/>
      <c r="AB813" s="468"/>
      <c r="AC813" s="468"/>
      <c r="AD813" s="468"/>
      <c r="AE813" s="468"/>
      <c r="AF813" s="468"/>
      <c r="AG813" s="468"/>
      <c r="AH813" s="468"/>
      <c r="AI813" s="468"/>
      <c r="AJ813" s="468"/>
    </row>
    <row r="814" spans="1:36" ht="18" customHeight="1" x14ac:dyDescent="0.35">
      <c r="A814" s="468"/>
      <c r="B814" s="468"/>
      <c r="C814" s="468"/>
      <c r="D814" s="468"/>
      <c r="E814" s="468"/>
      <c r="F814" s="468"/>
      <c r="G814" s="468"/>
      <c r="H814" s="468"/>
      <c r="I814" s="468"/>
      <c r="J814" s="468"/>
      <c r="K814" s="468"/>
      <c r="L814" s="468"/>
      <c r="M814" s="468"/>
      <c r="N814" s="468"/>
      <c r="O814" s="468"/>
      <c r="P814" s="468"/>
      <c r="Q814" s="468"/>
      <c r="R814" s="468"/>
      <c r="S814" s="468"/>
      <c r="T814" s="468"/>
      <c r="U814" s="468"/>
      <c r="V814" s="468"/>
      <c r="W814" s="468"/>
      <c r="X814" s="468"/>
      <c r="Y814" s="468"/>
      <c r="Z814" s="468"/>
      <c r="AA814" s="468"/>
      <c r="AB814" s="468"/>
      <c r="AC814" s="468"/>
      <c r="AD814" s="468"/>
      <c r="AE814" s="468"/>
      <c r="AF814" s="468"/>
      <c r="AG814" s="468"/>
      <c r="AH814" s="468"/>
      <c r="AI814" s="468"/>
      <c r="AJ814" s="468"/>
    </row>
    <row r="815" spans="1:36" ht="18" customHeight="1" x14ac:dyDescent="0.35">
      <c r="A815" s="468"/>
      <c r="B815" s="468"/>
      <c r="C815" s="468"/>
      <c r="D815" s="468"/>
      <c r="E815" s="468"/>
      <c r="F815" s="468"/>
      <c r="G815" s="468"/>
      <c r="H815" s="468"/>
      <c r="I815" s="468"/>
      <c r="J815" s="468"/>
      <c r="K815" s="468"/>
      <c r="L815" s="468"/>
      <c r="M815" s="468"/>
      <c r="N815" s="468"/>
      <c r="O815" s="468"/>
      <c r="P815" s="468"/>
      <c r="Q815" s="468"/>
      <c r="R815" s="468"/>
      <c r="S815" s="468"/>
      <c r="T815" s="468"/>
      <c r="U815" s="468"/>
      <c r="V815" s="468"/>
      <c r="W815" s="468"/>
      <c r="X815" s="468"/>
      <c r="Y815" s="468"/>
      <c r="Z815" s="468"/>
      <c r="AA815" s="468"/>
      <c r="AB815" s="468"/>
      <c r="AC815" s="468"/>
      <c r="AD815" s="468"/>
      <c r="AE815" s="468"/>
      <c r="AF815" s="468"/>
      <c r="AG815" s="468"/>
      <c r="AH815" s="468"/>
      <c r="AI815" s="468"/>
      <c r="AJ815" s="468"/>
    </row>
    <row r="816" spans="1:36" ht="18" customHeight="1" x14ac:dyDescent="0.35">
      <c r="A816" s="468"/>
      <c r="B816" s="468"/>
      <c r="C816" s="468"/>
      <c r="D816" s="468"/>
      <c r="E816" s="468"/>
      <c r="F816" s="468"/>
      <c r="G816" s="468"/>
      <c r="H816" s="468"/>
      <c r="I816" s="468"/>
      <c r="J816" s="468"/>
      <c r="K816" s="468"/>
      <c r="L816" s="468"/>
      <c r="M816" s="468"/>
      <c r="N816" s="468"/>
      <c r="O816" s="468"/>
      <c r="P816" s="468"/>
      <c r="Q816" s="468"/>
      <c r="R816" s="468"/>
      <c r="S816" s="468"/>
      <c r="T816" s="468"/>
      <c r="U816" s="468"/>
      <c r="V816" s="468"/>
      <c r="W816" s="468"/>
      <c r="X816" s="468"/>
      <c r="Y816" s="468"/>
      <c r="Z816" s="468"/>
      <c r="AA816" s="468"/>
      <c r="AB816" s="468"/>
      <c r="AC816" s="468"/>
      <c r="AD816" s="468"/>
      <c r="AE816" s="468"/>
      <c r="AF816" s="468"/>
      <c r="AG816" s="468"/>
      <c r="AH816" s="468"/>
      <c r="AI816" s="468"/>
      <c r="AJ816" s="468"/>
    </row>
    <row r="817" spans="1:36" ht="18" customHeight="1" x14ac:dyDescent="0.35">
      <c r="A817" s="468"/>
      <c r="B817" s="468"/>
      <c r="C817" s="468"/>
      <c r="D817" s="468"/>
      <c r="E817" s="468"/>
      <c r="F817" s="468"/>
      <c r="G817" s="468"/>
      <c r="H817" s="468"/>
      <c r="I817" s="468"/>
      <c r="J817" s="468"/>
      <c r="K817" s="468"/>
      <c r="L817" s="468"/>
      <c r="M817" s="468"/>
      <c r="N817" s="468"/>
      <c r="O817" s="468"/>
      <c r="P817" s="468"/>
      <c r="Q817" s="468"/>
      <c r="R817" s="468"/>
      <c r="S817" s="468"/>
      <c r="T817" s="468"/>
      <c r="U817" s="468"/>
      <c r="V817" s="468"/>
      <c r="W817" s="468"/>
      <c r="X817" s="468"/>
      <c r="Y817" s="468"/>
      <c r="Z817" s="468"/>
      <c r="AA817" s="468"/>
      <c r="AB817" s="468"/>
      <c r="AC817" s="468"/>
      <c r="AD817" s="468"/>
      <c r="AE817" s="468"/>
      <c r="AF817" s="468"/>
      <c r="AG817" s="468"/>
      <c r="AH817" s="468"/>
      <c r="AI817" s="468"/>
      <c r="AJ817" s="468"/>
    </row>
    <row r="818" spans="1:36" ht="18" customHeight="1" x14ac:dyDescent="0.35">
      <c r="A818" s="468"/>
      <c r="B818" s="468"/>
      <c r="C818" s="468"/>
      <c r="D818" s="468"/>
      <c r="E818" s="468"/>
      <c r="F818" s="468"/>
      <c r="G818" s="468"/>
      <c r="H818" s="468"/>
      <c r="I818" s="468"/>
      <c r="J818" s="468"/>
      <c r="K818" s="468"/>
      <c r="L818" s="468"/>
      <c r="M818" s="468"/>
      <c r="N818" s="468"/>
      <c r="O818" s="468"/>
      <c r="P818" s="468"/>
      <c r="Q818" s="468"/>
      <c r="R818" s="468"/>
      <c r="S818" s="468"/>
      <c r="T818" s="468"/>
      <c r="U818" s="468"/>
      <c r="V818" s="468"/>
      <c r="W818" s="468"/>
      <c r="X818" s="468"/>
      <c r="Y818" s="468"/>
      <c r="Z818" s="468"/>
      <c r="AA818" s="468"/>
      <c r="AB818" s="468"/>
      <c r="AC818" s="468"/>
      <c r="AD818" s="468"/>
      <c r="AE818" s="468"/>
      <c r="AF818" s="468"/>
      <c r="AG818" s="468"/>
      <c r="AH818" s="468"/>
      <c r="AI818" s="468"/>
      <c r="AJ818" s="468"/>
    </row>
    <row r="819" spans="1:36" ht="18" customHeight="1" x14ac:dyDescent="0.35">
      <c r="A819" s="468"/>
      <c r="B819" s="468"/>
      <c r="C819" s="468"/>
      <c r="D819" s="468"/>
      <c r="E819" s="468"/>
      <c r="F819" s="468"/>
      <c r="G819" s="468"/>
      <c r="H819" s="468"/>
      <c r="I819" s="468"/>
      <c r="J819" s="468"/>
      <c r="K819" s="468"/>
      <c r="L819" s="468"/>
      <c r="M819" s="468"/>
      <c r="N819" s="468"/>
      <c r="O819" s="468"/>
      <c r="P819" s="468"/>
      <c r="Q819" s="468"/>
      <c r="R819" s="468"/>
      <c r="S819" s="468"/>
      <c r="T819" s="468"/>
      <c r="U819" s="468"/>
      <c r="V819" s="468"/>
      <c r="W819" s="468"/>
      <c r="X819" s="468"/>
      <c r="Y819" s="468"/>
      <c r="Z819" s="468"/>
      <c r="AA819" s="468"/>
      <c r="AB819" s="468"/>
      <c r="AC819" s="468"/>
      <c r="AD819" s="468"/>
      <c r="AE819" s="468"/>
      <c r="AF819" s="468"/>
      <c r="AG819" s="468"/>
      <c r="AH819" s="468"/>
      <c r="AI819" s="468"/>
      <c r="AJ819" s="468"/>
    </row>
    <row r="820" spans="1:36" ht="18" customHeight="1" x14ac:dyDescent="0.35">
      <c r="A820" s="468"/>
      <c r="B820" s="468"/>
      <c r="C820" s="468"/>
      <c r="D820" s="468"/>
      <c r="E820" s="468"/>
      <c r="F820" s="468"/>
      <c r="G820" s="468"/>
      <c r="H820" s="468"/>
      <c r="I820" s="468"/>
      <c r="J820" s="468"/>
      <c r="K820" s="468"/>
      <c r="L820" s="468"/>
      <c r="M820" s="468"/>
      <c r="N820" s="468"/>
      <c r="O820" s="468"/>
      <c r="P820" s="468"/>
      <c r="Q820" s="468"/>
      <c r="R820" s="468"/>
      <c r="S820" s="468"/>
      <c r="T820" s="468"/>
      <c r="U820" s="468"/>
      <c r="V820" s="468"/>
      <c r="W820" s="468"/>
      <c r="X820" s="468"/>
      <c r="Y820" s="468"/>
      <c r="Z820" s="468"/>
      <c r="AA820" s="468"/>
      <c r="AB820" s="468"/>
      <c r="AC820" s="468"/>
      <c r="AD820" s="468"/>
      <c r="AE820" s="468"/>
      <c r="AF820" s="468"/>
      <c r="AG820" s="468"/>
      <c r="AH820" s="468"/>
      <c r="AI820" s="468"/>
      <c r="AJ820" s="468"/>
    </row>
    <row r="821" spans="1:36" ht="18" customHeight="1" x14ac:dyDescent="0.35">
      <c r="A821" s="468"/>
      <c r="B821" s="468"/>
      <c r="C821" s="468"/>
      <c r="D821" s="468"/>
      <c r="E821" s="468"/>
      <c r="F821" s="468"/>
      <c r="G821" s="468"/>
      <c r="H821" s="468"/>
      <c r="I821" s="468"/>
      <c r="J821" s="468"/>
      <c r="K821" s="468"/>
      <c r="L821" s="468"/>
      <c r="M821" s="468"/>
      <c r="N821" s="468"/>
      <c r="O821" s="468"/>
      <c r="P821" s="468"/>
      <c r="Q821" s="468"/>
      <c r="R821" s="468"/>
      <c r="S821" s="468"/>
      <c r="T821" s="468"/>
      <c r="U821" s="468"/>
      <c r="V821" s="468"/>
      <c r="W821" s="468"/>
      <c r="X821" s="468"/>
      <c r="Y821" s="468"/>
      <c r="Z821" s="468"/>
      <c r="AA821" s="468"/>
      <c r="AB821" s="468"/>
      <c r="AC821" s="468"/>
      <c r="AD821" s="468"/>
      <c r="AE821" s="468"/>
      <c r="AF821" s="468"/>
      <c r="AG821" s="468"/>
      <c r="AH821" s="468"/>
      <c r="AI821" s="468"/>
      <c r="AJ821" s="468"/>
    </row>
    <row r="822" spans="1:36" ht="18" customHeight="1" x14ac:dyDescent="0.35">
      <c r="A822" s="468"/>
      <c r="B822" s="468"/>
      <c r="C822" s="468"/>
      <c r="D822" s="468"/>
      <c r="E822" s="468"/>
      <c r="F822" s="468"/>
      <c r="G822" s="468"/>
      <c r="H822" s="468"/>
      <c r="I822" s="468"/>
      <c r="J822" s="468"/>
      <c r="K822" s="468"/>
      <c r="L822" s="468"/>
      <c r="M822" s="468"/>
      <c r="N822" s="468"/>
      <c r="O822" s="468"/>
      <c r="P822" s="468"/>
      <c r="Q822" s="468"/>
      <c r="R822" s="468"/>
      <c r="S822" s="468"/>
      <c r="T822" s="468"/>
      <c r="U822" s="468"/>
      <c r="V822" s="468"/>
      <c r="W822" s="468"/>
      <c r="X822" s="468"/>
      <c r="Y822" s="468"/>
      <c r="Z822" s="468"/>
      <c r="AA822" s="468"/>
      <c r="AB822" s="468"/>
      <c r="AC822" s="468"/>
      <c r="AD822" s="468"/>
      <c r="AE822" s="468"/>
      <c r="AF822" s="468"/>
      <c r="AG822" s="468"/>
      <c r="AH822" s="468"/>
      <c r="AI822" s="468"/>
      <c r="AJ822" s="468"/>
    </row>
    <row r="823" spans="1:36" ht="18" customHeight="1" x14ac:dyDescent="0.35">
      <c r="A823" s="468"/>
      <c r="B823" s="468"/>
      <c r="C823" s="468"/>
      <c r="D823" s="468"/>
      <c r="E823" s="468"/>
      <c r="F823" s="468"/>
      <c r="G823" s="468"/>
      <c r="H823" s="468"/>
      <c r="I823" s="468"/>
      <c r="J823" s="468"/>
      <c r="K823" s="468"/>
      <c r="L823" s="468"/>
      <c r="M823" s="468"/>
      <c r="N823" s="468"/>
      <c r="O823" s="468"/>
      <c r="P823" s="468"/>
      <c r="Q823" s="468"/>
      <c r="R823" s="468"/>
      <c r="S823" s="468"/>
      <c r="T823" s="468"/>
      <c r="U823" s="468"/>
      <c r="V823" s="468"/>
      <c r="W823" s="468"/>
      <c r="X823" s="468"/>
      <c r="Y823" s="468"/>
      <c r="Z823" s="468"/>
      <c r="AA823" s="468"/>
      <c r="AB823" s="468"/>
      <c r="AC823" s="468"/>
      <c r="AD823" s="468"/>
      <c r="AE823" s="468"/>
      <c r="AF823" s="468"/>
      <c r="AG823" s="468"/>
      <c r="AH823" s="468"/>
      <c r="AI823" s="468"/>
      <c r="AJ823" s="468"/>
    </row>
    <row r="824" spans="1:36" ht="18" customHeight="1" x14ac:dyDescent="0.35">
      <c r="A824" s="468"/>
      <c r="B824" s="468"/>
      <c r="C824" s="468"/>
      <c r="D824" s="468"/>
      <c r="E824" s="468"/>
      <c r="F824" s="468"/>
      <c r="G824" s="468"/>
      <c r="H824" s="468"/>
      <c r="I824" s="468"/>
      <c r="J824" s="468"/>
      <c r="K824" s="468"/>
      <c r="L824" s="468"/>
      <c r="M824" s="468"/>
      <c r="N824" s="468"/>
      <c r="O824" s="468"/>
      <c r="P824" s="468"/>
      <c r="Q824" s="468"/>
      <c r="R824" s="468"/>
      <c r="S824" s="468"/>
      <c r="T824" s="468"/>
      <c r="U824" s="468"/>
      <c r="V824" s="468"/>
      <c r="W824" s="468"/>
      <c r="X824" s="468"/>
      <c r="Y824" s="468"/>
      <c r="Z824" s="468"/>
      <c r="AA824" s="468"/>
      <c r="AB824" s="468"/>
      <c r="AC824" s="468"/>
      <c r="AD824" s="468"/>
      <c r="AE824" s="468"/>
      <c r="AF824" s="468"/>
      <c r="AG824" s="468"/>
      <c r="AH824" s="468"/>
      <c r="AI824" s="468"/>
      <c r="AJ824" s="468"/>
    </row>
    <row r="825" spans="1:36" ht="18" customHeight="1" x14ac:dyDescent="0.35">
      <c r="A825" s="468"/>
      <c r="B825" s="468"/>
      <c r="C825" s="468"/>
      <c r="D825" s="468"/>
      <c r="E825" s="468"/>
      <c r="F825" s="468"/>
      <c r="G825" s="468"/>
      <c r="H825" s="468"/>
      <c r="I825" s="468"/>
      <c r="J825" s="468"/>
      <c r="K825" s="468"/>
      <c r="L825" s="468"/>
      <c r="M825" s="468"/>
      <c r="N825" s="468"/>
      <c r="O825" s="468"/>
      <c r="P825" s="468"/>
      <c r="Q825" s="468"/>
      <c r="R825" s="468"/>
      <c r="S825" s="468"/>
      <c r="T825" s="468"/>
      <c r="U825" s="468"/>
      <c r="V825" s="468"/>
      <c r="W825" s="468"/>
      <c r="X825" s="468"/>
      <c r="Y825" s="468"/>
      <c r="Z825" s="468"/>
      <c r="AA825" s="468"/>
      <c r="AB825" s="468"/>
      <c r="AC825" s="468"/>
      <c r="AD825" s="468"/>
      <c r="AE825" s="468"/>
      <c r="AF825" s="468"/>
      <c r="AG825" s="468"/>
      <c r="AH825" s="468"/>
      <c r="AI825" s="468"/>
      <c r="AJ825" s="468"/>
    </row>
    <row r="826" spans="1:36" ht="18" customHeight="1" x14ac:dyDescent="0.35">
      <c r="A826" s="468"/>
      <c r="B826" s="468"/>
      <c r="C826" s="468"/>
      <c r="D826" s="468"/>
      <c r="E826" s="468"/>
      <c r="F826" s="468"/>
      <c r="G826" s="468"/>
      <c r="H826" s="468"/>
      <c r="I826" s="468"/>
      <c r="J826" s="468"/>
      <c r="K826" s="468"/>
      <c r="L826" s="468"/>
      <c r="M826" s="468"/>
      <c r="N826" s="468"/>
      <c r="O826" s="468"/>
      <c r="P826" s="468"/>
      <c r="Q826" s="468"/>
      <c r="R826" s="468"/>
      <c r="S826" s="468"/>
      <c r="T826" s="468"/>
      <c r="U826" s="468"/>
      <c r="V826" s="468"/>
      <c r="W826" s="468"/>
      <c r="X826" s="468"/>
      <c r="Y826" s="468"/>
      <c r="Z826" s="468"/>
      <c r="AA826" s="468"/>
      <c r="AB826" s="468"/>
      <c r="AC826" s="468"/>
      <c r="AD826" s="468"/>
      <c r="AE826" s="468"/>
      <c r="AF826" s="468"/>
      <c r="AG826" s="468"/>
      <c r="AH826" s="468"/>
      <c r="AI826" s="468"/>
      <c r="AJ826" s="468"/>
    </row>
    <row r="827" spans="1:36" ht="18" customHeight="1" x14ac:dyDescent="0.35">
      <c r="A827" s="468"/>
      <c r="B827" s="468"/>
      <c r="C827" s="468"/>
      <c r="D827" s="468"/>
      <c r="E827" s="468"/>
      <c r="F827" s="468"/>
      <c r="G827" s="468"/>
      <c r="H827" s="468"/>
      <c r="I827" s="468"/>
      <c r="J827" s="468"/>
      <c r="K827" s="468"/>
      <c r="L827" s="468"/>
      <c r="M827" s="468"/>
      <c r="N827" s="468"/>
      <c r="O827" s="468"/>
      <c r="P827" s="468"/>
      <c r="Q827" s="468"/>
      <c r="R827" s="468"/>
      <c r="S827" s="468"/>
      <c r="T827" s="468"/>
      <c r="U827" s="468"/>
      <c r="V827" s="468"/>
      <c r="W827" s="468"/>
      <c r="X827" s="468"/>
      <c r="Y827" s="468"/>
      <c r="Z827" s="468"/>
      <c r="AA827" s="468"/>
      <c r="AB827" s="468"/>
      <c r="AC827" s="468"/>
      <c r="AD827" s="468"/>
      <c r="AE827" s="468"/>
      <c r="AF827" s="468"/>
      <c r="AG827" s="468"/>
      <c r="AH827" s="468"/>
      <c r="AI827" s="468"/>
      <c r="AJ827" s="468"/>
    </row>
    <row r="828" spans="1:36" ht="18" customHeight="1" x14ac:dyDescent="0.35">
      <c r="A828" s="468"/>
      <c r="B828" s="468"/>
      <c r="C828" s="468"/>
      <c r="D828" s="468"/>
      <c r="E828" s="468"/>
      <c r="F828" s="468"/>
      <c r="G828" s="468"/>
      <c r="H828" s="468"/>
      <c r="I828" s="468"/>
      <c r="J828" s="468"/>
      <c r="K828" s="468"/>
      <c r="L828" s="468"/>
      <c r="M828" s="468"/>
      <c r="N828" s="468"/>
      <c r="O828" s="468"/>
      <c r="P828" s="468"/>
      <c r="Q828" s="468"/>
      <c r="R828" s="468"/>
      <c r="S828" s="468"/>
      <c r="T828" s="468"/>
      <c r="U828" s="468"/>
      <c r="V828" s="468"/>
      <c r="W828" s="468"/>
      <c r="X828" s="468"/>
      <c r="Y828" s="468"/>
      <c r="Z828" s="468"/>
      <c r="AA828" s="468"/>
      <c r="AB828" s="468"/>
      <c r="AC828" s="468"/>
      <c r="AD828" s="468"/>
      <c r="AE828" s="468"/>
      <c r="AF828" s="468"/>
      <c r="AG828" s="468"/>
      <c r="AH828" s="468"/>
      <c r="AI828" s="468"/>
      <c r="AJ828" s="468"/>
    </row>
    <row r="829" spans="1:36" ht="18" customHeight="1" x14ac:dyDescent="0.35">
      <c r="A829" s="468"/>
      <c r="B829" s="468"/>
      <c r="C829" s="468"/>
      <c r="D829" s="468"/>
      <c r="E829" s="468"/>
      <c r="F829" s="468"/>
      <c r="G829" s="468"/>
      <c r="H829" s="468"/>
      <c r="I829" s="468"/>
      <c r="J829" s="468"/>
      <c r="K829" s="468"/>
      <c r="L829" s="468"/>
      <c r="M829" s="468"/>
      <c r="N829" s="468"/>
      <c r="O829" s="468"/>
      <c r="P829" s="468"/>
      <c r="Q829" s="468"/>
      <c r="R829" s="468"/>
      <c r="S829" s="468"/>
      <c r="T829" s="468"/>
      <c r="U829" s="468"/>
      <c r="V829" s="468"/>
      <c r="W829" s="468"/>
      <c r="X829" s="468"/>
      <c r="Y829" s="468"/>
      <c r="Z829" s="468"/>
      <c r="AA829" s="468"/>
      <c r="AB829" s="468"/>
      <c r="AC829" s="468"/>
      <c r="AD829" s="468"/>
      <c r="AE829" s="468"/>
      <c r="AF829" s="468"/>
      <c r="AG829" s="468"/>
      <c r="AH829" s="468"/>
      <c r="AI829" s="468"/>
      <c r="AJ829" s="468"/>
    </row>
    <row r="830" spans="1:36" ht="18" customHeight="1" x14ac:dyDescent="0.35">
      <c r="A830" s="468"/>
      <c r="B830" s="468"/>
      <c r="C830" s="468"/>
      <c r="D830" s="468"/>
      <c r="E830" s="468"/>
      <c r="F830" s="468"/>
      <c r="G830" s="468"/>
      <c r="H830" s="468"/>
      <c r="I830" s="468"/>
      <c r="J830" s="468"/>
      <c r="K830" s="468"/>
      <c r="L830" s="468"/>
      <c r="M830" s="468"/>
      <c r="N830" s="468"/>
      <c r="O830" s="468"/>
      <c r="P830" s="468"/>
      <c r="Q830" s="468"/>
      <c r="R830" s="468"/>
      <c r="S830" s="468"/>
      <c r="T830" s="468"/>
      <c r="U830" s="468"/>
      <c r="V830" s="468"/>
      <c r="W830" s="468"/>
      <c r="X830" s="468"/>
      <c r="Y830" s="468"/>
      <c r="Z830" s="468"/>
      <c r="AA830" s="468"/>
      <c r="AB830" s="468"/>
      <c r="AC830" s="468"/>
      <c r="AD830" s="468"/>
      <c r="AE830" s="468"/>
      <c r="AF830" s="468"/>
      <c r="AG830" s="468"/>
      <c r="AH830" s="468"/>
      <c r="AI830" s="468"/>
      <c r="AJ830" s="468"/>
    </row>
    <row r="831" spans="1:36" ht="18" customHeight="1" x14ac:dyDescent="0.35">
      <c r="A831" s="468"/>
      <c r="B831" s="468"/>
      <c r="C831" s="468"/>
      <c r="D831" s="468"/>
      <c r="E831" s="468"/>
      <c r="F831" s="468"/>
      <c r="G831" s="468"/>
      <c r="H831" s="468"/>
      <c r="I831" s="468"/>
      <c r="J831" s="468"/>
      <c r="K831" s="468"/>
      <c r="L831" s="468"/>
      <c r="M831" s="468"/>
      <c r="N831" s="468"/>
      <c r="O831" s="468"/>
      <c r="P831" s="468"/>
      <c r="Q831" s="468"/>
      <c r="R831" s="468"/>
      <c r="S831" s="468"/>
      <c r="T831" s="468"/>
      <c r="U831" s="468"/>
      <c r="V831" s="468"/>
      <c r="W831" s="468"/>
      <c r="X831" s="468"/>
      <c r="Y831" s="468"/>
      <c r="Z831" s="468"/>
      <c r="AA831" s="468"/>
      <c r="AB831" s="468"/>
      <c r="AC831" s="468"/>
      <c r="AD831" s="468"/>
      <c r="AE831" s="468"/>
      <c r="AF831" s="468"/>
      <c r="AG831" s="468"/>
      <c r="AH831" s="468"/>
      <c r="AI831" s="468"/>
      <c r="AJ831" s="468"/>
    </row>
    <row r="832" spans="1:36" ht="18" customHeight="1" x14ac:dyDescent="0.35">
      <c r="A832" s="468"/>
      <c r="B832" s="468"/>
      <c r="C832" s="468"/>
      <c r="D832" s="468"/>
      <c r="E832" s="468"/>
      <c r="F832" s="468"/>
      <c r="G832" s="468"/>
      <c r="H832" s="468"/>
      <c r="I832" s="468"/>
      <c r="J832" s="468"/>
      <c r="K832" s="468"/>
      <c r="L832" s="468"/>
      <c r="M832" s="468"/>
      <c r="N832" s="468"/>
      <c r="O832" s="468"/>
      <c r="P832" s="468"/>
      <c r="Q832" s="468"/>
      <c r="R832" s="468"/>
      <c r="S832" s="468"/>
      <c r="T832" s="468"/>
      <c r="U832" s="468"/>
      <c r="V832" s="468"/>
      <c r="W832" s="468"/>
      <c r="X832" s="468"/>
      <c r="Y832" s="468"/>
      <c r="Z832" s="468"/>
      <c r="AA832" s="468"/>
      <c r="AB832" s="468"/>
      <c r="AC832" s="468"/>
      <c r="AD832" s="468"/>
      <c r="AE832" s="468"/>
      <c r="AF832" s="468"/>
      <c r="AG832" s="468"/>
      <c r="AH832" s="468"/>
      <c r="AI832" s="468"/>
      <c r="AJ832" s="468"/>
    </row>
    <row r="833" spans="1:36" ht="18" customHeight="1" x14ac:dyDescent="0.35">
      <c r="A833" s="468"/>
      <c r="B833" s="468"/>
      <c r="C833" s="468"/>
      <c r="D833" s="468"/>
      <c r="E833" s="468"/>
      <c r="F833" s="468"/>
      <c r="G833" s="468"/>
      <c r="H833" s="468"/>
      <c r="I833" s="468"/>
      <c r="J833" s="468"/>
      <c r="K833" s="468"/>
      <c r="L833" s="468"/>
      <c r="M833" s="468"/>
      <c r="N833" s="468"/>
      <c r="O833" s="468"/>
      <c r="P833" s="468"/>
      <c r="Q833" s="468"/>
      <c r="R833" s="468"/>
      <c r="S833" s="468"/>
      <c r="T833" s="468"/>
      <c r="U833" s="468"/>
      <c r="V833" s="468"/>
      <c r="W833" s="468"/>
      <c r="X833" s="468"/>
      <c r="Y833" s="468"/>
      <c r="Z833" s="468"/>
      <c r="AA833" s="468"/>
      <c r="AB833" s="468"/>
      <c r="AC833" s="468"/>
      <c r="AD833" s="468"/>
      <c r="AE833" s="468"/>
      <c r="AF833" s="468"/>
      <c r="AG833" s="468"/>
      <c r="AH833" s="468"/>
      <c r="AI833" s="468"/>
      <c r="AJ833" s="468"/>
    </row>
    <row r="834" spans="1:36" ht="18" customHeight="1" x14ac:dyDescent="0.35">
      <c r="A834" s="468"/>
      <c r="B834" s="468"/>
      <c r="C834" s="468"/>
      <c r="D834" s="468"/>
      <c r="E834" s="468"/>
      <c r="F834" s="468"/>
      <c r="G834" s="468"/>
      <c r="H834" s="468"/>
      <c r="I834" s="468"/>
      <c r="J834" s="468"/>
      <c r="K834" s="468"/>
      <c r="L834" s="468"/>
      <c r="M834" s="468"/>
      <c r="N834" s="468"/>
      <c r="O834" s="468"/>
      <c r="P834" s="468"/>
      <c r="Q834" s="468"/>
      <c r="R834" s="468"/>
      <c r="S834" s="468"/>
      <c r="T834" s="468"/>
      <c r="U834" s="468"/>
      <c r="V834" s="468"/>
      <c r="W834" s="468"/>
      <c r="X834" s="468"/>
      <c r="Y834" s="468"/>
      <c r="Z834" s="468"/>
      <c r="AA834" s="468"/>
      <c r="AB834" s="468"/>
      <c r="AC834" s="468"/>
      <c r="AD834" s="468"/>
      <c r="AE834" s="468"/>
      <c r="AF834" s="468"/>
      <c r="AG834" s="468"/>
      <c r="AH834" s="468"/>
      <c r="AI834" s="468"/>
      <c r="AJ834" s="468"/>
    </row>
    <row r="835" spans="1:36" ht="18" customHeight="1" x14ac:dyDescent="0.35">
      <c r="A835" s="468"/>
      <c r="B835" s="468"/>
      <c r="C835" s="468"/>
      <c r="D835" s="468"/>
      <c r="E835" s="468"/>
      <c r="F835" s="468"/>
      <c r="G835" s="468"/>
      <c r="H835" s="468"/>
      <c r="I835" s="468"/>
      <c r="J835" s="468"/>
      <c r="K835" s="468"/>
      <c r="L835" s="468"/>
      <c r="M835" s="468"/>
      <c r="N835" s="468"/>
      <c r="O835" s="468"/>
      <c r="P835" s="468"/>
      <c r="Q835" s="468"/>
      <c r="R835" s="468"/>
      <c r="S835" s="468"/>
      <c r="T835" s="468"/>
      <c r="U835" s="468"/>
      <c r="V835" s="468"/>
      <c r="W835" s="468"/>
      <c r="X835" s="468"/>
      <c r="Y835" s="468"/>
      <c r="Z835" s="468"/>
      <c r="AA835" s="468"/>
      <c r="AB835" s="468"/>
      <c r="AC835" s="468"/>
      <c r="AD835" s="468"/>
      <c r="AE835" s="468"/>
      <c r="AF835" s="468"/>
      <c r="AG835" s="468"/>
      <c r="AH835" s="468"/>
      <c r="AI835" s="468"/>
      <c r="AJ835" s="468"/>
    </row>
    <row r="836" spans="1:36" ht="18" customHeight="1" x14ac:dyDescent="0.35">
      <c r="A836" s="468"/>
      <c r="B836" s="468"/>
      <c r="C836" s="468"/>
      <c r="D836" s="468"/>
      <c r="E836" s="468"/>
      <c r="F836" s="468"/>
      <c r="G836" s="468"/>
      <c r="H836" s="468"/>
      <c r="I836" s="468"/>
      <c r="J836" s="468"/>
      <c r="K836" s="468"/>
      <c r="L836" s="468"/>
      <c r="M836" s="468"/>
      <c r="N836" s="468"/>
      <c r="O836" s="468"/>
      <c r="P836" s="468"/>
      <c r="Q836" s="468"/>
      <c r="R836" s="468"/>
      <c r="S836" s="468"/>
      <c r="T836" s="468"/>
      <c r="U836" s="468"/>
      <c r="V836" s="468"/>
      <c r="W836" s="468"/>
      <c r="X836" s="468"/>
      <c r="Y836" s="468"/>
      <c r="Z836" s="468"/>
      <c r="AA836" s="468"/>
      <c r="AB836" s="468"/>
      <c r="AC836" s="468"/>
      <c r="AD836" s="468"/>
      <c r="AE836" s="468"/>
      <c r="AF836" s="468"/>
      <c r="AG836" s="468"/>
      <c r="AH836" s="468"/>
      <c r="AI836" s="468"/>
      <c r="AJ836" s="468"/>
    </row>
    <row r="837" spans="1:36" ht="18" customHeight="1" x14ac:dyDescent="0.35">
      <c r="A837" s="468"/>
      <c r="B837" s="468"/>
      <c r="C837" s="468"/>
      <c r="D837" s="468"/>
      <c r="E837" s="468"/>
      <c r="F837" s="468"/>
      <c r="G837" s="468"/>
      <c r="H837" s="468"/>
      <c r="I837" s="468"/>
      <c r="J837" s="468"/>
      <c r="K837" s="468"/>
      <c r="L837" s="468"/>
      <c r="M837" s="468"/>
      <c r="N837" s="468"/>
      <c r="O837" s="468"/>
      <c r="P837" s="468"/>
      <c r="Q837" s="468"/>
      <c r="R837" s="468"/>
      <c r="S837" s="468"/>
      <c r="T837" s="468"/>
      <c r="U837" s="468"/>
      <c r="V837" s="468"/>
      <c r="W837" s="468"/>
      <c r="X837" s="468"/>
      <c r="Y837" s="468"/>
      <c r="Z837" s="468"/>
      <c r="AA837" s="468"/>
      <c r="AB837" s="468"/>
      <c r="AC837" s="468"/>
      <c r="AD837" s="468"/>
      <c r="AE837" s="468"/>
      <c r="AF837" s="468"/>
      <c r="AG837" s="468"/>
      <c r="AH837" s="468"/>
      <c r="AI837" s="468"/>
      <c r="AJ837" s="468"/>
    </row>
    <row r="838" spans="1:36" ht="18" customHeight="1" x14ac:dyDescent="0.35">
      <c r="A838" s="468"/>
      <c r="B838" s="468"/>
      <c r="C838" s="468"/>
      <c r="D838" s="468"/>
      <c r="E838" s="468"/>
      <c r="F838" s="468"/>
      <c r="G838" s="468"/>
      <c r="H838" s="468"/>
      <c r="I838" s="468"/>
      <c r="J838" s="468"/>
      <c r="K838" s="468"/>
      <c r="L838" s="468"/>
      <c r="M838" s="468"/>
      <c r="N838" s="468"/>
      <c r="O838" s="468"/>
      <c r="P838" s="468"/>
      <c r="Q838" s="468"/>
      <c r="R838" s="468"/>
      <c r="S838" s="468"/>
      <c r="T838" s="468"/>
      <c r="U838" s="468"/>
      <c r="V838" s="468"/>
      <c r="W838" s="468"/>
      <c r="X838" s="468"/>
      <c r="Y838" s="468"/>
      <c r="Z838" s="468"/>
      <c r="AA838" s="468"/>
      <c r="AB838" s="468"/>
      <c r="AC838" s="468"/>
      <c r="AD838" s="468"/>
      <c r="AE838" s="468"/>
      <c r="AF838" s="468"/>
      <c r="AG838" s="468"/>
      <c r="AH838" s="468"/>
      <c r="AI838" s="468"/>
      <c r="AJ838" s="468"/>
    </row>
    <row r="839" spans="1:36" ht="18" customHeight="1" x14ac:dyDescent="0.35">
      <c r="A839" s="468"/>
      <c r="B839" s="468"/>
      <c r="C839" s="468"/>
      <c r="D839" s="468"/>
      <c r="E839" s="468"/>
      <c r="F839" s="468"/>
      <c r="G839" s="468"/>
      <c r="H839" s="468"/>
      <c r="I839" s="468"/>
      <c r="J839" s="468"/>
      <c r="K839" s="468"/>
      <c r="L839" s="468"/>
      <c r="M839" s="468"/>
      <c r="N839" s="468"/>
      <c r="O839" s="468"/>
      <c r="P839" s="468"/>
      <c r="Q839" s="468"/>
      <c r="R839" s="468"/>
      <c r="S839" s="468"/>
      <c r="T839" s="468"/>
      <c r="U839" s="468"/>
      <c r="V839" s="468"/>
      <c r="W839" s="468"/>
      <c r="X839" s="468"/>
      <c r="Y839" s="468"/>
      <c r="Z839" s="468"/>
      <c r="AA839" s="468"/>
      <c r="AB839" s="468"/>
      <c r="AC839" s="468"/>
      <c r="AD839" s="468"/>
      <c r="AE839" s="468"/>
      <c r="AF839" s="468"/>
      <c r="AG839" s="468"/>
      <c r="AH839" s="468"/>
      <c r="AI839" s="468"/>
      <c r="AJ839" s="468"/>
    </row>
    <row r="840" spans="1:36" ht="18" customHeight="1" x14ac:dyDescent="0.35">
      <c r="A840" s="468"/>
      <c r="B840" s="468"/>
      <c r="C840" s="468"/>
      <c r="D840" s="468"/>
      <c r="E840" s="468"/>
      <c r="F840" s="468"/>
      <c r="G840" s="468"/>
      <c r="H840" s="468"/>
      <c r="I840" s="468"/>
      <c r="J840" s="468"/>
      <c r="K840" s="468"/>
      <c r="L840" s="468"/>
      <c r="M840" s="468"/>
      <c r="N840" s="468"/>
      <c r="O840" s="468"/>
      <c r="P840" s="468"/>
      <c r="Q840" s="468"/>
      <c r="R840" s="468"/>
      <c r="S840" s="468"/>
      <c r="T840" s="468"/>
      <c r="U840" s="468"/>
      <c r="V840" s="468"/>
      <c r="W840" s="468"/>
      <c r="X840" s="468"/>
      <c r="Y840" s="468"/>
      <c r="Z840" s="468"/>
      <c r="AA840" s="468"/>
      <c r="AB840" s="468"/>
      <c r="AC840" s="468"/>
      <c r="AD840" s="468"/>
      <c r="AE840" s="468"/>
      <c r="AF840" s="468"/>
      <c r="AG840" s="468"/>
      <c r="AH840" s="468"/>
      <c r="AI840" s="468"/>
      <c r="AJ840" s="468"/>
    </row>
    <row r="841" spans="1:36" ht="18" customHeight="1" x14ac:dyDescent="0.35">
      <c r="A841" s="468"/>
      <c r="B841" s="468"/>
      <c r="C841" s="468"/>
      <c r="D841" s="468"/>
      <c r="E841" s="468"/>
      <c r="F841" s="468"/>
      <c r="G841" s="468"/>
      <c r="H841" s="468"/>
      <c r="I841" s="468"/>
      <c r="J841" s="468"/>
      <c r="K841" s="468"/>
      <c r="L841" s="468"/>
      <c r="M841" s="468"/>
      <c r="N841" s="468"/>
      <c r="O841" s="468"/>
      <c r="P841" s="468"/>
      <c r="Q841" s="468"/>
      <c r="R841" s="468"/>
      <c r="S841" s="468"/>
      <c r="T841" s="468"/>
      <c r="U841" s="468"/>
      <c r="V841" s="468"/>
      <c r="W841" s="468"/>
      <c r="X841" s="468"/>
      <c r="Y841" s="468"/>
      <c r="Z841" s="468"/>
      <c r="AA841" s="468"/>
      <c r="AB841" s="468"/>
      <c r="AC841" s="468"/>
      <c r="AD841" s="468"/>
      <c r="AE841" s="468"/>
      <c r="AF841" s="468"/>
      <c r="AG841" s="468"/>
      <c r="AH841" s="468"/>
      <c r="AI841" s="468"/>
      <c r="AJ841" s="468"/>
    </row>
    <row r="842" spans="1:36" ht="18" customHeight="1" x14ac:dyDescent="0.35">
      <c r="A842" s="468"/>
      <c r="B842" s="468"/>
      <c r="C842" s="468"/>
      <c r="D842" s="468"/>
      <c r="E842" s="468"/>
      <c r="F842" s="468"/>
      <c r="G842" s="468"/>
      <c r="H842" s="468"/>
      <c r="I842" s="468"/>
      <c r="J842" s="468"/>
      <c r="K842" s="468"/>
      <c r="L842" s="468"/>
      <c r="M842" s="468"/>
      <c r="N842" s="468"/>
      <c r="O842" s="468"/>
      <c r="P842" s="468"/>
      <c r="Q842" s="468"/>
      <c r="R842" s="468"/>
      <c r="S842" s="468"/>
      <c r="T842" s="468"/>
      <c r="U842" s="468"/>
      <c r="V842" s="468"/>
      <c r="W842" s="468"/>
      <c r="X842" s="468"/>
      <c r="Y842" s="468"/>
      <c r="Z842" s="468"/>
      <c r="AA842" s="468"/>
      <c r="AB842" s="468"/>
      <c r="AC842" s="468"/>
      <c r="AD842" s="468"/>
      <c r="AE842" s="468"/>
      <c r="AF842" s="468"/>
      <c r="AG842" s="468"/>
      <c r="AH842" s="468"/>
      <c r="AI842" s="468"/>
      <c r="AJ842" s="468"/>
    </row>
    <row r="843" spans="1:36" ht="18" customHeight="1" x14ac:dyDescent="0.35">
      <c r="A843" s="468"/>
      <c r="B843" s="468"/>
      <c r="C843" s="468"/>
      <c r="D843" s="468"/>
      <c r="E843" s="468"/>
      <c r="F843" s="468"/>
      <c r="G843" s="468"/>
      <c r="H843" s="468"/>
      <c r="I843" s="468"/>
      <c r="J843" s="468"/>
      <c r="K843" s="468"/>
      <c r="L843" s="468"/>
      <c r="M843" s="468"/>
      <c r="N843" s="468"/>
      <c r="O843" s="468"/>
      <c r="P843" s="468"/>
      <c r="Q843" s="468"/>
      <c r="R843" s="468"/>
      <c r="S843" s="468"/>
      <c r="T843" s="468"/>
      <c r="U843" s="468"/>
      <c r="V843" s="468"/>
      <c r="W843" s="468"/>
      <c r="X843" s="468"/>
      <c r="Y843" s="468"/>
      <c r="Z843" s="468"/>
      <c r="AA843" s="468"/>
      <c r="AB843" s="468"/>
      <c r="AC843" s="468"/>
      <c r="AD843" s="468"/>
      <c r="AE843" s="468"/>
      <c r="AF843" s="468"/>
      <c r="AG843" s="468"/>
      <c r="AH843" s="468"/>
      <c r="AI843" s="468"/>
      <c r="AJ843" s="468"/>
    </row>
    <row r="844" spans="1:36" ht="18" customHeight="1" x14ac:dyDescent="0.35">
      <c r="A844" s="468"/>
      <c r="B844" s="468"/>
      <c r="C844" s="468"/>
      <c r="D844" s="468"/>
      <c r="E844" s="468"/>
      <c r="F844" s="468"/>
      <c r="G844" s="468"/>
      <c r="H844" s="468"/>
      <c r="I844" s="468"/>
      <c r="J844" s="468"/>
      <c r="K844" s="468"/>
      <c r="L844" s="468"/>
      <c r="M844" s="468"/>
      <c r="N844" s="468"/>
      <c r="O844" s="468"/>
      <c r="P844" s="468"/>
      <c r="Q844" s="468"/>
      <c r="R844" s="468"/>
      <c r="S844" s="468"/>
      <c r="T844" s="468"/>
      <c r="U844" s="468"/>
      <c r="V844" s="468"/>
      <c r="W844" s="468"/>
      <c r="X844" s="468"/>
      <c r="Y844" s="468"/>
      <c r="Z844" s="468"/>
      <c r="AA844" s="468"/>
      <c r="AB844" s="468"/>
      <c r="AC844" s="468"/>
      <c r="AD844" s="468"/>
      <c r="AE844" s="468"/>
      <c r="AF844" s="468"/>
      <c r="AG844" s="468"/>
      <c r="AH844" s="468"/>
      <c r="AI844" s="468"/>
      <c r="AJ844" s="468"/>
    </row>
    <row r="845" spans="1:36" ht="18" customHeight="1" x14ac:dyDescent="0.35">
      <c r="A845" s="468"/>
      <c r="B845" s="468"/>
      <c r="C845" s="468"/>
      <c r="D845" s="468"/>
      <c r="E845" s="468"/>
      <c r="F845" s="468"/>
      <c r="G845" s="468"/>
      <c r="H845" s="468"/>
      <c r="I845" s="468"/>
      <c r="J845" s="468"/>
      <c r="K845" s="468"/>
      <c r="L845" s="468"/>
      <c r="M845" s="468"/>
      <c r="N845" s="468"/>
      <c r="O845" s="468"/>
      <c r="P845" s="468"/>
      <c r="Q845" s="468"/>
      <c r="R845" s="468"/>
      <c r="S845" s="468"/>
      <c r="T845" s="468"/>
      <c r="U845" s="468"/>
      <c r="V845" s="468"/>
      <c r="W845" s="468"/>
      <c r="X845" s="468"/>
      <c r="Y845" s="468"/>
      <c r="Z845" s="468"/>
      <c r="AA845" s="468"/>
      <c r="AB845" s="468"/>
      <c r="AC845" s="468"/>
      <c r="AD845" s="468"/>
      <c r="AE845" s="468"/>
      <c r="AF845" s="468"/>
      <c r="AG845" s="468"/>
      <c r="AH845" s="468"/>
      <c r="AI845" s="468"/>
      <c r="AJ845" s="468"/>
    </row>
    <row r="846" spans="1:36" ht="18" customHeight="1" x14ac:dyDescent="0.35">
      <c r="A846" s="468"/>
      <c r="B846" s="468"/>
      <c r="C846" s="468"/>
      <c r="D846" s="468"/>
      <c r="E846" s="468"/>
      <c r="F846" s="468"/>
      <c r="G846" s="468"/>
      <c r="H846" s="468"/>
      <c r="I846" s="468"/>
      <c r="J846" s="468"/>
      <c r="K846" s="468"/>
      <c r="L846" s="468"/>
      <c r="M846" s="468"/>
      <c r="N846" s="468"/>
      <c r="O846" s="468"/>
      <c r="P846" s="468"/>
      <c r="Q846" s="468"/>
      <c r="R846" s="468"/>
      <c r="S846" s="468"/>
      <c r="T846" s="468"/>
      <c r="U846" s="468"/>
      <c r="V846" s="468"/>
      <c r="W846" s="468"/>
      <c r="X846" s="468"/>
      <c r="Y846" s="468"/>
      <c r="Z846" s="468"/>
      <c r="AA846" s="468"/>
      <c r="AB846" s="468"/>
      <c r="AC846" s="468"/>
      <c r="AD846" s="468"/>
      <c r="AE846" s="468"/>
      <c r="AF846" s="468"/>
      <c r="AG846" s="468"/>
      <c r="AH846" s="468"/>
      <c r="AI846" s="468"/>
      <c r="AJ846" s="468"/>
    </row>
    <row r="847" spans="1:36" ht="18" customHeight="1" x14ac:dyDescent="0.35">
      <c r="A847" s="468"/>
      <c r="B847" s="468"/>
      <c r="C847" s="468"/>
      <c r="D847" s="468"/>
      <c r="E847" s="468"/>
      <c r="F847" s="468"/>
      <c r="G847" s="468"/>
      <c r="H847" s="468"/>
      <c r="I847" s="468"/>
      <c r="J847" s="468"/>
      <c r="K847" s="468"/>
      <c r="L847" s="468"/>
      <c r="M847" s="468"/>
      <c r="N847" s="468"/>
      <c r="O847" s="468"/>
      <c r="P847" s="468"/>
      <c r="Q847" s="468"/>
      <c r="R847" s="468"/>
      <c r="S847" s="468"/>
      <c r="T847" s="468"/>
      <c r="U847" s="468"/>
      <c r="V847" s="468"/>
      <c r="W847" s="468"/>
      <c r="X847" s="468"/>
      <c r="Y847" s="468"/>
      <c r="Z847" s="468"/>
      <c r="AA847" s="468"/>
      <c r="AB847" s="468"/>
      <c r="AC847" s="468"/>
      <c r="AD847" s="468"/>
      <c r="AE847" s="468"/>
      <c r="AF847" s="468"/>
      <c r="AG847" s="468"/>
      <c r="AH847" s="468"/>
      <c r="AI847" s="468"/>
      <c r="AJ847" s="468"/>
    </row>
    <row r="848" spans="1:36" ht="18" customHeight="1" x14ac:dyDescent="0.35">
      <c r="A848" s="468"/>
      <c r="B848" s="468"/>
      <c r="C848" s="468"/>
      <c r="D848" s="468"/>
      <c r="E848" s="468"/>
      <c r="F848" s="468"/>
      <c r="G848" s="468"/>
      <c r="H848" s="468"/>
      <c r="I848" s="468"/>
      <c r="J848" s="468"/>
      <c r="K848" s="468"/>
      <c r="L848" s="468"/>
      <c r="M848" s="468"/>
      <c r="N848" s="468"/>
      <c r="O848" s="468"/>
      <c r="P848" s="468"/>
      <c r="Q848" s="468"/>
      <c r="R848" s="468"/>
      <c r="S848" s="468"/>
      <c r="T848" s="468"/>
      <c r="U848" s="468"/>
      <c r="V848" s="468"/>
      <c r="W848" s="468"/>
      <c r="X848" s="468"/>
      <c r="Y848" s="468"/>
      <c r="Z848" s="468"/>
      <c r="AA848" s="468"/>
      <c r="AB848" s="468"/>
      <c r="AC848" s="468"/>
      <c r="AD848" s="468"/>
      <c r="AE848" s="468"/>
      <c r="AF848" s="468"/>
      <c r="AG848" s="468"/>
      <c r="AH848" s="468"/>
      <c r="AI848" s="468"/>
      <c r="AJ848" s="468"/>
    </row>
    <row r="849" spans="1:36" ht="18" customHeight="1" x14ac:dyDescent="0.35">
      <c r="A849" s="468"/>
      <c r="B849" s="468"/>
      <c r="C849" s="468"/>
      <c r="D849" s="468"/>
      <c r="E849" s="468"/>
      <c r="F849" s="468"/>
      <c r="G849" s="468"/>
      <c r="H849" s="468"/>
      <c r="I849" s="468"/>
      <c r="J849" s="468"/>
      <c r="K849" s="468"/>
      <c r="L849" s="468"/>
      <c r="M849" s="468"/>
      <c r="N849" s="468"/>
      <c r="O849" s="468"/>
      <c r="P849" s="468"/>
      <c r="Q849" s="468"/>
      <c r="R849" s="468"/>
      <c r="S849" s="468"/>
      <c r="T849" s="468"/>
      <c r="U849" s="468"/>
      <c r="V849" s="468"/>
      <c r="W849" s="468"/>
      <c r="X849" s="468"/>
      <c r="Y849" s="468"/>
      <c r="Z849" s="468"/>
      <c r="AA849" s="468"/>
      <c r="AB849" s="468"/>
      <c r="AC849" s="468"/>
      <c r="AD849" s="468"/>
      <c r="AE849" s="468"/>
      <c r="AF849" s="468"/>
      <c r="AG849" s="468"/>
      <c r="AH849" s="468"/>
      <c r="AI849" s="468"/>
      <c r="AJ849" s="468"/>
    </row>
    <row r="850" spans="1:36" ht="18" customHeight="1" x14ac:dyDescent="0.35">
      <c r="A850" s="468"/>
      <c r="B850" s="468"/>
      <c r="C850" s="468"/>
      <c r="D850" s="468"/>
      <c r="E850" s="468"/>
      <c r="F850" s="468"/>
      <c r="G850" s="468"/>
      <c r="H850" s="468"/>
      <c r="I850" s="468"/>
      <c r="J850" s="468"/>
      <c r="K850" s="468"/>
      <c r="L850" s="468"/>
      <c r="M850" s="468"/>
      <c r="N850" s="468"/>
      <c r="O850" s="468"/>
      <c r="P850" s="468"/>
      <c r="Q850" s="468"/>
      <c r="R850" s="468"/>
      <c r="S850" s="468"/>
      <c r="T850" s="468"/>
      <c r="U850" s="468"/>
      <c r="V850" s="468"/>
      <c r="W850" s="468"/>
      <c r="X850" s="468"/>
      <c r="Y850" s="468"/>
      <c r="Z850" s="468"/>
      <c r="AA850" s="468"/>
      <c r="AB850" s="468"/>
      <c r="AC850" s="468"/>
      <c r="AD850" s="468"/>
      <c r="AE850" s="468"/>
      <c r="AF850" s="468"/>
      <c r="AG850" s="468"/>
      <c r="AH850" s="468"/>
      <c r="AI850" s="468"/>
      <c r="AJ850" s="468"/>
    </row>
    <row r="851" spans="1:36" ht="18" customHeight="1" x14ac:dyDescent="0.35">
      <c r="A851" s="468"/>
      <c r="B851" s="468"/>
      <c r="C851" s="468"/>
      <c r="D851" s="468"/>
      <c r="E851" s="468"/>
      <c r="F851" s="468"/>
      <c r="G851" s="468"/>
      <c r="H851" s="468"/>
      <c r="I851" s="468"/>
      <c r="J851" s="468"/>
      <c r="K851" s="468"/>
      <c r="L851" s="468"/>
      <c r="M851" s="468"/>
      <c r="N851" s="468"/>
      <c r="O851" s="468"/>
      <c r="P851" s="468"/>
      <c r="Q851" s="468"/>
      <c r="R851" s="468"/>
      <c r="S851" s="468"/>
      <c r="T851" s="468"/>
      <c r="U851" s="468"/>
      <c r="V851" s="468"/>
      <c r="W851" s="468"/>
      <c r="X851" s="468"/>
      <c r="Y851" s="468"/>
      <c r="Z851" s="468"/>
      <c r="AA851" s="468"/>
      <c r="AB851" s="468"/>
      <c r="AC851" s="468"/>
      <c r="AD851" s="468"/>
      <c r="AE851" s="468"/>
      <c r="AF851" s="468"/>
      <c r="AG851" s="468"/>
      <c r="AH851" s="468"/>
      <c r="AI851" s="468"/>
      <c r="AJ851" s="468"/>
    </row>
    <row r="852" spans="1:36" ht="18" customHeight="1" x14ac:dyDescent="0.35">
      <c r="A852" s="468"/>
      <c r="B852" s="468"/>
      <c r="C852" s="468"/>
      <c r="D852" s="468"/>
      <c r="E852" s="468"/>
      <c r="F852" s="468"/>
      <c r="G852" s="468"/>
      <c r="H852" s="468"/>
      <c r="I852" s="468"/>
      <c r="J852" s="468"/>
      <c r="K852" s="468"/>
      <c r="L852" s="468"/>
      <c r="M852" s="468"/>
      <c r="N852" s="468"/>
      <c r="O852" s="468"/>
      <c r="P852" s="468"/>
      <c r="Q852" s="468"/>
      <c r="R852" s="468"/>
      <c r="S852" s="468"/>
      <c r="T852" s="468"/>
      <c r="U852" s="468"/>
      <c r="V852" s="468"/>
      <c r="W852" s="468"/>
      <c r="X852" s="468"/>
      <c r="Y852" s="468"/>
      <c r="Z852" s="468"/>
      <c r="AA852" s="468"/>
      <c r="AB852" s="468"/>
      <c r="AC852" s="468"/>
      <c r="AD852" s="468"/>
      <c r="AE852" s="468"/>
      <c r="AF852" s="468"/>
      <c r="AG852" s="468"/>
      <c r="AH852" s="468"/>
      <c r="AI852" s="468"/>
      <c r="AJ852" s="468"/>
    </row>
    <row r="853" spans="1:36" ht="18" customHeight="1" x14ac:dyDescent="0.35">
      <c r="A853" s="468"/>
      <c r="B853" s="468"/>
      <c r="C853" s="468"/>
      <c r="D853" s="468"/>
      <c r="E853" s="468"/>
      <c r="F853" s="468"/>
      <c r="G853" s="468"/>
      <c r="H853" s="468"/>
      <c r="I853" s="468"/>
      <c r="J853" s="468"/>
      <c r="K853" s="468"/>
      <c r="L853" s="468"/>
      <c r="M853" s="468"/>
      <c r="N853" s="468"/>
      <c r="O853" s="468"/>
      <c r="P853" s="468"/>
      <c r="Q853" s="468"/>
      <c r="R853" s="468"/>
      <c r="S853" s="468"/>
      <c r="T853" s="468"/>
      <c r="U853" s="468"/>
      <c r="V853" s="468"/>
      <c r="W853" s="468"/>
      <c r="X853" s="468"/>
      <c r="Y853" s="468"/>
      <c r="Z853" s="468"/>
      <c r="AA853" s="468"/>
      <c r="AB853" s="468"/>
      <c r="AC853" s="468"/>
      <c r="AD853" s="468"/>
      <c r="AE853" s="468"/>
      <c r="AF853" s="468"/>
      <c r="AG853" s="468"/>
      <c r="AH853" s="468"/>
      <c r="AI853" s="468"/>
      <c r="AJ853" s="468"/>
    </row>
    <row r="854" spans="1:36" ht="18" customHeight="1" x14ac:dyDescent="0.35">
      <c r="A854" s="468"/>
      <c r="B854" s="468"/>
      <c r="C854" s="468"/>
      <c r="D854" s="468"/>
      <c r="E854" s="468"/>
      <c r="F854" s="468"/>
      <c r="G854" s="468"/>
      <c r="H854" s="468"/>
      <c r="I854" s="468"/>
      <c r="J854" s="468"/>
      <c r="K854" s="468"/>
      <c r="L854" s="468"/>
      <c r="M854" s="468"/>
      <c r="N854" s="468"/>
      <c r="O854" s="468"/>
      <c r="P854" s="468"/>
      <c r="Q854" s="468"/>
      <c r="R854" s="468"/>
      <c r="S854" s="468"/>
      <c r="T854" s="468"/>
      <c r="U854" s="468"/>
      <c r="V854" s="468"/>
      <c r="W854" s="468"/>
      <c r="X854" s="468"/>
      <c r="Y854" s="468"/>
      <c r="Z854" s="468"/>
      <c r="AA854" s="468"/>
      <c r="AB854" s="468"/>
      <c r="AC854" s="468"/>
      <c r="AD854" s="468"/>
      <c r="AE854" s="468"/>
      <c r="AF854" s="468"/>
      <c r="AG854" s="468"/>
      <c r="AH854" s="468"/>
      <c r="AI854" s="468"/>
      <c r="AJ854" s="468"/>
    </row>
    <row r="855" spans="1:36" ht="18" customHeight="1" x14ac:dyDescent="0.35">
      <c r="A855" s="468"/>
      <c r="B855" s="468"/>
      <c r="C855" s="468"/>
      <c r="D855" s="468"/>
      <c r="E855" s="468"/>
      <c r="F855" s="468"/>
      <c r="G855" s="468"/>
      <c r="H855" s="468"/>
      <c r="I855" s="468"/>
      <c r="J855" s="468"/>
      <c r="K855" s="468"/>
      <c r="L855" s="468"/>
      <c r="M855" s="468"/>
      <c r="N855" s="468"/>
      <c r="O855" s="468"/>
      <c r="P855" s="468"/>
      <c r="Q855" s="468"/>
      <c r="R855" s="468"/>
      <c r="S855" s="468"/>
      <c r="T855" s="468"/>
      <c r="U855" s="468"/>
      <c r="V855" s="468"/>
      <c r="W855" s="468"/>
      <c r="X855" s="468"/>
      <c r="Y855" s="468"/>
      <c r="Z855" s="468"/>
      <c r="AA855" s="468"/>
      <c r="AB855" s="468"/>
      <c r="AC855" s="468"/>
      <c r="AD855" s="468"/>
      <c r="AE855" s="468"/>
      <c r="AF855" s="468"/>
      <c r="AG855" s="468"/>
      <c r="AH855" s="468"/>
      <c r="AI855" s="468"/>
      <c r="AJ855" s="468"/>
    </row>
    <row r="856" spans="1:36" ht="18" customHeight="1" x14ac:dyDescent="0.35">
      <c r="A856" s="468"/>
      <c r="B856" s="468"/>
      <c r="C856" s="468"/>
      <c r="D856" s="468"/>
      <c r="E856" s="468"/>
      <c r="F856" s="468"/>
      <c r="G856" s="468"/>
      <c r="H856" s="468"/>
      <c r="I856" s="468"/>
      <c r="J856" s="468"/>
      <c r="K856" s="468"/>
      <c r="L856" s="468"/>
      <c r="M856" s="468"/>
      <c r="N856" s="468"/>
      <c r="O856" s="468"/>
      <c r="P856" s="468"/>
      <c r="Q856" s="468"/>
      <c r="R856" s="468"/>
      <c r="S856" s="468"/>
      <c r="T856" s="468"/>
      <c r="U856" s="468"/>
      <c r="V856" s="468"/>
      <c r="W856" s="468"/>
      <c r="X856" s="468"/>
      <c r="Y856" s="468"/>
      <c r="Z856" s="468"/>
      <c r="AA856" s="468"/>
      <c r="AB856" s="468"/>
      <c r="AC856" s="468"/>
      <c r="AD856" s="468"/>
      <c r="AE856" s="468"/>
      <c r="AF856" s="468"/>
      <c r="AG856" s="468"/>
      <c r="AH856" s="468"/>
      <c r="AI856" s="468"/>
      <c r="AJ856" s="468"/>
    </row>
    <row r="857" spans="1:36" ht="18" customHeight="1" x14ac:dyDescent="0.35">
      <c r="A857" s="468"/>
      <c r="B857" s="468"/>
      <c r="C857" s="468"/>
      <c r="D857" s="468"/>
      <c r="E857" s="468"/>
      <c r="F857" s="468"/>
      <c r="G857" s="468"/>
      <c r="H857" s="468"/>
      <c r="I857" s="468"/>
      <c r="J857" s="468"/>
      <c r="K857" s="468"/>
      <c r="L857" s="468"/>
      <c r="M857" s="468"/>
      <c r="N857" s="468"/>
      <c r="O857" s="468"/>
      <c r="P857" s="468"/>
      <c r="Q857" s="468"/>
      <c r="R857" s="468"/>
      <c r="S857" s="468"/>
      <c r="T857" s="468"/>
      <c r="U857" s="468"/>
      <c r="V857" s="468"/>
      <c r="W857" s="468"/>
      <c r="X857" s="468"/>
      <c r="Y857" s="468"/>
      <c r="Z857" s="468"/>
      <c r="AA857" s="468"/>
      <c r="AB857" s="468"/>
      <c r="AC857" s="468"/>
      <c r="AD857" s="468"/>
      <c r="AE857" s="468"/>
      <c r="AF857" s="468"/>
      <c r="AG857" s="468"/>
      <c r="AH857" s="468"/>
      <c r="AI857" s="468"/>
      <c r="AJ857" s="468"/>
    </row>
    <row r="858" spans="1:36" ht="18" customHeight="1" x14ac:dyDescent="0.35">
      <c r="A858" s="468"/>
      <c r="B858" s="468"/>
      <c r="C858" s="468"/>
      <c r="D858" s="468"/>
      <c r="E858" s="468"/>
      <c r="F858" s="468"/>
      <c r="G858" s="468"/>
      <c r="H858" s="468"/>
      <c r="I858" s="468"/>
      <c r="J858" s="468"/>
      <c r="K858" s="468"/>
      <c r="L858" s="468"/>
      <c r="M858" s="468"/>
      <c r="N858" s="468"/>
      <c r="O858" s="468"/>
      <c r="P858" s="468"/>
      <c r="Q858" s="468"/>
      <c r="R858" s="468"/>
      <c r="S858" s="468"/>
      <c r="T858" s="468"/>
      <c r="U858" s="468"/>
      <c r="V858" s="468"/>
      <c r="W858" s="468"/>
      <c r="X858" s="468"/>
      <c r="Y858" s="468"/>
      <c r="Z858" s="468"/>
      <c r="AA858" s="468"/>
      <c r="AB858" s="468"/>
      <c r="AC858" s="468"/>
      <c r="AD858" s="468"/>
      <c r="AE858" s="468"/>
      <c r="AF858" s="468"/>
      <c r="AG858" s="468"/>
      <c r="AH858" s="468"/>
      <c r="AI858" s="468"/>
      <c r="AJ858" s="468"/>
    </row>
    <row r="859" spans="1:36" ht="18" customHeight="1" x14ac:dyDescent="0.35">
      <c r="A859" s="468"/>
      <c r="B859" s="468"/>
      <c r="C859" s="468"/>
      <c r="D859" s="468"/>
      <c r="E859" s="468"/>
      <c r="F859" s="468"/>
      <c r="G859" s="468"/>
      <c r="H859" s="468"/>
      <c r="I859" s="468"/>
      <c r="J859" s="468"/>
      <c r="K859" s="468"/>
      <c r="L859" s="468"/>
      <c r="M859" s="468"/>
      <c r="N859" s="468"/>
      <c r="O859" s="468"/>
      <c r="P859" s="468"/>
      <c r="Q859" s="468"/>
      <c r="R859" s="468"/>
      <c r="S859" s="468"/>
      <c r="T859" s="468"/>
      <c r="U859" s="468"/>
      <c r="V859" s="468"/>
      <c r="W859" s="468"/>
      <c r="X859" s="468"/>
      <c r="Y859" s="468"/>
      <c r="Z859" s="468"/>
      <c r="AA859" s="468"/>
      <c r="AB859" s="468"/>
      <c r="AC859" s="468"/>
      <c r="AD859" s="468"/>
      <c r="AE859" s="468"/>
      <c r="AF859" s="468"/>
      <c r="AG859" s="468"/>
      <c r="AH859" s="468"/>
      <c r="AI859" s="468"/>
      <c r="AJ859" s="468"/>
    </row>
    <row r="860" spans="1:36" ht="18" customHeight="1" x14ac:dyDescent="0.35">
      <c r="A860" s="468"/>
      <c r="B860" s="468"/>
      <c r="C860" s="468"/>
      <c r="D860" s="468"/>
      <c r="E860" s="468"/>
      <c r="F860" s="468"/>
      <c r="G860" s="468"/>
      <c r="H860" s="468"/>
      <c r="I860" s="468"/>
      <c r="J860" s="468"/>
      <c r="K860" s="468"/>
      <c r="L860" s="468"/>
      <c r="M860" s="468"/>
      <c r="N860" s="468"/>
      <c r="O860" s="468"/>
      <c r="P860" s="468"/>
      <c r="Q860" s="468"/>
      <c r="R860" s="468"/>
      <c r="S860" s="468"/>
      <c r="T860" s="468"/>
      <c r="U860" s="468"/>
      <c r="V860" s="468"/>
      <c r="W860" s="468"/>
      <c r="X860" s="468"/>
      <c r="Y860" s="468"/>
      <c r="Z860" s="468"/>
      <c r="AA860" s="468"/>
      <c r="AB860" s="468"/>
      <c r="AC860" s="468"/>
      <c r="AD860" s="468"/>
      <c r="AE860" s="468"/>
      <c r="AF860" s="468"/>
      <c r="AG860" s="468"/>
      <c r="AH860" s="468"/>
      <c r="AI860" s="468"/>
      <c r="AJ860" s="468"/>
    </row>
    <row r="861" spans="1:36" ht="18" customHeight="1" x14ac:dyDescent="0.35">
      <c r="A861" s="468"/>
      <c r="B861" s="468"/>
      <c r="C861" s="468"/>
      <c r="D861" s="468"/>
      <c r="E861" s="468"/>
      <c r="F861" s="468"/>
      <c r="G861" s="468"/>
      <c r="H861" s="468"/>
      <c r="I861" s="468"/>
      <c r="J861" s="468"/>
      <c r="K861" s="468"/>
      <c r="L861" s="468"/>
      <c r="M861" s="468"/>
      <c r="N861" s="468"/>
      <c r="O861" s="468"/>
      <c r="P861" s="468"/>
      <c r="Q861" s="468"/>
      <c r="R861" s="468"/>
      <c r="S861" s="468"/>
      <c r="T861" s="468"/>
      <c r="U861" s="468"/>
      <c r="V861" s="468"/>
      <c r="W861" s="468"/>
      <c r="X861" s="468"/>
      <c r="Y861" s="468"/>
      <c r="Z861" s="468"/>
      <c r="AA861" s="468"/>
      <c r="AB861" s="468"/>
      <c r="AC861" s="468"/>
      <c r="AD861" s="468"/>
      <c r="AE861" s="468"/>
      <c r="AF861" s="468"/>
      <c r="AG861" s="468"/>
      <c r="AH861" s="468"/>
      <c r="AI861" s="468"/>
      <c r="AJ861" s="468"/>
    </row>
    <row r="862" spans="1:36" ht="18" customHeight="1" x14ac:dyDescent="0.35">
      <c r="A862" s="468"/>
      <c r="B862" s="468"/>
      <c r="C862" s="468"/>
      <c r="D862" s="468"/>
      <c r="E862" s="468"/>
      <c r="F862" s="468"/>
      <c r="G862" s="468"/>
      <c r="H862" s="468"/>
      <c r="I862" s="468"/>
      <c r="J862" s="468"/>
      <c r="K862" s="468"/>
      <c r="L862" s="468"/>
      <c r="M862" s="468"/>
      <c r="N862" s="468"/>
      <c r="O862" s="468"/>
      <c r="P862" s="468"/>
      <c r="Q862" s="468"/>
      <c r="R862" s="468"/>
      <c r="S862" s="468"/>
      <c r="T862" s="468"/>
      <c r="U862" s="468"/>
      <c r="V862" s="468"/>
      <c r="W862" s="468"/>
      <c r="X862" s="468"/>
      <c r="Y862" s="468"/>
      <c r="Z862" s="468"/>
      <c r="AA862" s="468"/>
      <c r="AB862" s="468"/>
      <c r="AC862" s="468"/>
      <c r="AD862" s="468"/>
      <c r="AE862" s="468"/>
      <c r="AF862" s="468"/>
      <c r="AG862" s="468"/>
      <c r="AH862" s="468"/>
      <c r="AI862" s="468"/>
      <c r="AJ862" s="468"/>
    </row>
    <row r="863" spans="1:36" ht="18" customHeight="1" x14ac:dyDescent="0.35">
      <c r="A863" s="468"/>
      <c r="B863" s="468"/>
      <c r="C863" s="468"/>
      <c r="D863" s="468"/>
      <c r="E863" s="468"/>
      <c r="F863" s="468"/>
      <c r="G863" s="468"/>
      <c r="H863" s="468"/>
      <c r="I863" s="468"/>
      <c r="J863" s="468"/>
      <c r="K863" s="468"/>
      <c r="L863" s="468"/>
      <c r="M863" s="468"/>
      <c r="N863" s="468"/>
      <c r="O863" s="468"/>
      <c r="P863" s="468"/>
      <c r="Q863" s="468"/>
      <c r="R863" s="468"/>
      <c r="S863" s="468"/>
      <c r="T863" s="468"/>
      <c r="U863" s="468"/>
      <c r="V863" s="468"/>
      <c r="W863" s="468"/>
      <c r="X863" s="468"/>
      <c r="Y863" s="468"/>
      <c r="Z863" s="468"/>
      <c r="AA863" s="468"/>
      <c r="AB863" s="468"/>
      <c r="AC863" s="468"/>
      <c r="AD863" s="468"/>
      <c r="AE863" s="468"/>
      <c r="AF863" s="468"/>
      <c r="AG863" s="468"/>
      <c r="AH863" s="468"/>
      <c r="AI863" s="468"/>
      <c r="AJ863" s="468"/>
    </row>
    <row r="864" spans="1:36" ht="18" customHeight="1" x14ac:dyDescent="0.35">
      <c r="A864" s="468"/>
      <c r="B864" s="468"/>
      <c r="C864" s="468"/>
      <c r="D864" s="468"/>
      <c r="E864" s="468"/>
      <c r="F864" s="468"/>
      <c r="G864" s="468"/>
      <c r="H864" s="468"/>
      <c r="I864" s="468"/>
      <c r="J864" s="468"/>
      <c r="K864" s="468"/>
      <c r="L864" s="468"/>
      <c r="M864" s="468"/>
      <c r="N864" s="468"/>
      <c r="O864" s="468"/>
      <c r="P864" s="468"/>
      <c r="Q864" s="468"/>
      <c r="R864" s="468"/>
      <c r="S864" s="468"/>
      <c r="T864" s="468"/>
      <c r="U864" s="468"/>
      <c r="V864" s="468"/>
      <c r="W864" s="468"/>
      <c r="X864" s="468"/>
      <c r="Y864" s="468"/>
      <c r="Z864" s="468"/>
      <c r="AA864" s="468"/>
      <c r="AB864" s="468"/>
      <c r="AC864" s="468"/>
      <c r="AD864" s="468"/>
      <c r="AE864" s="468"/>
      <c r="AF864" s="468"/>
      <c r="AG864" s="468"/>
      <c r="AH864" s="468"/>
      <c r="AI864" s="468"/>
      <c r="AJ864" s="468"/>
    </row>
    <row r="865" spans="1:36" ht="18" customHeight="1" x14ac:dyDescent="0.35">
      <c r="A865" s="468"/>
      <c r="B865" s="468"/>
      <c r="C865" s="468"/>
      <c r="D865" s="468"/>
      <c r="E865" s="468"/>
      <c r="F865" s="468"/>
      <c r="G865" s="468"/>
      <c r="H865" s="468"/>
      <c r="I865" s="468"/>
      <c r="J865" s="468"/>
      <c r="K865" s="468"/>
      <c r="L865" s="468"/>
      <c r="M865" s="468"/>
      <c r="N865" s="468"/>
      <c r="O865" s="468"/>
      <c r="P865" s="468"/>
      <c r="Q865" s="468"/>
      <c r="R865" s="468"/>
      <c r="S865" s="468"/>
      <c r="T865" s="468"/>
      <c r="U865" s="468"/>
      <c r="V865" s="468"/>
      <c r="W865" s="468"/>
      <c r="X865" s="468"/>
      <c r="Y865" s="468"/>
      <c r="Z865" s="468"/>
      <c r="AA865" s="468"/>
      <c r="AB865" s="468"/>
      <c r="AC865" s="468"/>
      <c r="AD865" s="468"/>
      <c r="AE865" s="468"/>
      <c r="AF865" s="468"/>
      <c r="AG865" s="468"/>
      <c r="AH865" s="468"/>
      <c r="AI865" s="468"/>
      <c r="AJ865" s="468"/>
    </row>
    <row r="866" spans="1:36" ht="18" customHeight="1" x14ac:dyDescent="0.35">
      <c r="A866" s="468"/>
      <c r="B866" s="468"/>
      <c r="C866" s="468"/>
      <c r="D866" s="468"/>
      <c r="E866" s="468"/>
      <c r="F866" s="468"/>
      <c r="G866" s="468"/>
      <c r="H866" s="468"/>
      <c r="I866" s="468"/>
      <c r="J866" s="468"/>
      <c r="K866" s="468"/>
      <c r="L866" s="468"/>
      <c r="M866" s="468"/>
      <c r="N866" s="468"/>
      <c r="O866" s="468"/>
      <c r="P866" s="468"/>
      <c r="Q866" s="468"/>
      <c r="R866" s="468"/>
      <c r="S866" s="468"/>
      <c r="T866" s="468"/>
      <c r="U866" s="468"/>
      <c r="V866" s="468"/>
      <c r="W866" s="468"/>
      <c r="X866" s="468"/>
      <c r="Y866" s="468"/>
      <c r="Z866" s="468"/>
      <c r="AA866" s="468"/>
      <c r="AB866" s="468"/>
      <c r="AC866" s="468"/>
      <c r="AD866" s="468"/>
      <c r="AE866" s="468"/>
      <c r="AF866" s="468"/>
      <c r="AG866" s="468"/>
      <c r="AH866" s="468"/>
      <c r="AI866" s="468"/>
      <c r="AJ866" s="468"/>
    </row>
    <row r="867" spans="1:36" ht="18" customHeight="1" x14ac:dyDescent="0.35">
      <c r="A867" s="468"/>
      <c r="B867" s="468"/>
      <c r="C867" s="468"/>
      <c r="D867" s="468"/>
      <c r="E867" s="468"/>
      <c r="F867" s="468"/>
      <c r="G867" s="468"/>
      <c r="H867" s="468"/>
      <c r="I867" s="468"/>
      <c r="J867" s="468"/>
      <c r="K867" s="468"/>
      <c r="L867" s="468"/>
      <c r="M867" s="468"/>
      <c r="N867" s="468"/>
      <c r="O867" s="468"/>
      <c r="P867" s="468"/>
      <c r="Q867" s="468"/>
      <c r="R867" s="468"/>
      <c r="S867" s="468"/>
      <c r="T867" s="468"/>
      <c r="U867" s="468"/>
      <c r="V867" s="468"/>
      <c r="W867" s="468"/>
      <c r="X867" s="468"/>
      <c r="Y867" s="468"/>
      <c r="Z867" s="468"/>
      <c r="AA867" s="468"/>
      <c r="AB867" s="468"/>
      <c r="AC867" s="468"/>
      <c r="AD867" s="468"/>
      <c r="AE867" s="468"/>
      <c r="AF867" s="468"/>
      <c r="AG867" s="468"/>
      <c r="AH867" s="468"/>
      <c r="AI867" s="468"/>
      <c r="AJ867" s="468"/>
    </row>
    <row r="868" spans="1:36" ht="18" customHeight="1" x14ac:dyDescent="0.35">
      <c r="A868" s="468"/>
      <c r="B868" s="468"/>
      <c r="C868" s="468"/>
      <c r="D868" s="468"/>
      <c r="E868" s="468"/>
      <c r="F868" s="468"/>
      <c r="G868" s="468"/>
      <c r="H868" s="468"/>
      <c r="I868" s="468"/>
      <c r="J868" s="468"/>
      <c r="K868" s="468"/>
      <c r="L868" s="468"/>
      <c r="M868" s="468"/>
      <c r="N868" s="468"/>
      <c r="O868" s="468"/>
      <c r="P868" s="468"/>
      <c r="Q868" s="468"/>
      <c r="R868" s="468"/>
      <c r="S868" s="468"/>
      <c r="T868" s="468"/>
      <c r="U868" s="468"/>
      <c r="V868" s="468"/>
      <c r="W868" s="468"/>
      <c r="X868" s="468"/>
      <c r="Y868" s="468"/>
      <c r="Z868" s="468"/>
      <c r="AA868" s="468"/>
      <c r="AB868" s="468"/>
      <c r="AC868" s="468"/>
      <c r="AD868" s="468"/>
      <c r="AE868" s="468"/>
      <c r="AF868" s="468"/>
      <c r="AG868" s="468"/>
      <c r="AH868" s="468"/>
      <c r="AI868" s="468"/>
      <c r="AJ868" s="468"/>
    </row>
    <row r="869" spans="1:36" ht="18" customHeight="1" x14ac:dyDescent="0.35">
      <c r="A869" s="468"/>
      <c r="B869" s="468"/>
      <c r="C869" s="468"/>
      <c r="D869" s="468"/>
      <c r="E869" s="468"/>
      <c r="F869" s="468"/>
      <c r="G869" s="468"/>
      <c r="H869" s="468"/>
      <c r="I869" s="468"/>
      <c r="J869" s="468"/>
      <c r="K869" s="468"/>
      <c r="L869" s="468"/>
      <c r="M869" s="468"/>
      <c r="N869" s="468"/>
      <c r="O869" s="468"/>
      <c r="P869" s="468"/>
      <c r="Q869" s="468"/>
      <c r="R869" s="468"/>
      <c r="S869" s="468"/>
      <c r="T869" s="468"/>
      <c r="U869" s="468"/>
      <c r="V869" s="468"/>
      <c r="W869" s="468"/>
      <c r="X869" s="468"/>
      <c r="Y869" s="468"/>
      <c r="Z869" s="468"/>
      <c r="AA869" s="468"/>
      <c r="AB869" s="468"/>
      <c r="AC869" s="468"/>
      <c r="AD869" s="468"/>
      <c r="AE869" s="468"/>
      <c r="AF869" s="468"/>
      <c r="AG869" s="468"/>
      <c r="AH869" s="468"/>
      <c r="AI869" s="468"/>
      <c r="AJ869" s="468"/>
    </row>
    <row r="870" spans="1:36" ht="18" customHeight="1" x14ac:dyDescent="0.35">
      <c r="A870" s="468"/>
      <c r="B870" s="468"/>
      <c r="C870" s="468"/>
      <c r="D870" s="468"/>
      <c r="E870" s="468"/>
      <c r="F870" s="468"/>
      <c r="G870" s="468"/>
      <c r="H870" s="468"/>
      <c r="I870" s="468"/>
      <c r="J870" s="468"/>
      <c r="K870" s="468"/>
      <c r="L870" s="468"/>
      <c r="M870" s="468"/>
      <c r="N870" s="468"/>
      <c r="O870" s="468"/>
      <c r="P870" s="468"/>
      <c r="Q870" s="468"/>
      <c r="R870" s="468"/>
      <c r="S870" s="468"/>
      <c r="T870" s="468"/>
      <c r="U870" s="468"/>
      <c r="V870" s="468"/>
      <c r="W870" s="468"/>
      <c r="X870" s="468"/>
      <c r="Y870" s="468"/>
      <c r="Z870" s="468"/>
      <c r="AA870" s="468"/>
      <c r="AB870" s="468"/>
      <c r="AC870" s="468"/>
      <c r="AD870" s="468"/>
      <c r="AE870" s="468"/>
      <c r="AF870" s="468"/>
      <c r="AG870" s="468"/>
      <c r="AH870" s="468"/>
      <c r="AI870" s="468"/>
      <c r="AJ870" s="468"/>
    </row>
    <row r="871" spans="1:36" ht="18" customHeight="1" x14ac:dyDescent="0.35">
      <c r="A871" s="468"/>
      <c r="B871" s="468"/>
      <c r="C871" s="468"/>
      <c r="D871" s="468"/>
      <c r="E871" s="468"/>
      <c r="F871" s="468"/>
      <c r="G871" s="468"/>
      <c r="H871" s="468"/>
      <c r="I871" s="468"/>
      <c r="J871" s="468"/>
      <c r="K871" s="468"/>
      <c r="L871" s="468"/>
      <c r="M871" s="468"/>
      <c r="N871" s="468"/>
      <c r="O871" s="468"/>
      <c r="P871" s="468"/>
      <c r="Q871" s="468"/>
      <c r="R871" s="468"/>
      <c r="S871" s="468"/>
      <c r="T871" s="468"/>
      <c r="U871" s="468"/>
      <c r="V871" s="468"/>
      <c r="W871" s="468"/>
      <c r="X871" s="468"/>
      <c r="Y871" s="468"/>
      <c r="Z871" s="468"/>
      <c r="AA871" s="468"/>
      <c r="AB871" s="468"/>
      <c r="AC871" s="468"/>
      <c r="AD871" s="468"/>
      <c r="AE871" s="468"/>
      <c r="AF871" s="468"/>
      <c r="AG871" s="468"/>
      <c r="AH871" s="468"/>
      <c r="AI871" s="468"/>
      <c r="AJ871" s="468"/>
    </row>
    <row r="872" spans="1:36" ht="18" customHeight="1" x14ac:dyDescent="0.35">
      <c r="A872" s="468"/>
      <c r="B872" s="468"/>
      <c r="C872" s="468"/>
      <c r="D872" s="468"/>
      <c r="E872" s="468"/>
      <c r="F872" s="468"/>
      <c r="G872" s="468"/>
      <c r="H872" s="468"/>
      <c r="I872" s="468"/>
      <c r="J872" s="468"/>
      <c r="K872" s="468"/>
      <c r="L872" s="468"/>
      <c r="M872" s="468"/>
      <c r="N872" s="468"/>
      <c r="O872" s="468"/>
      <c r="P872" s="468"/>
      <c r="Q872" s="468"/>
      <c r="R872" s="468"/>
      <c r="S872" s="468"/>
      <c r="T872" s="468"/>
      <c r="U872" s="468"/>
      <c r="V872" s="468"/>
      <c r="W872" s="468"/>
      <c r="X872" s="468"/>
      <c r="Y872" s="468"/>
      <c r="Z872" s="468"/>
      <c r="AA872" s="468"/>
      <c r="AB872" s="468"/>
      <c r="AC872" s="468"/>
      <c r="AD872" s="468"/>
      <c r="AE872" s="468"/>
      <c r="AF872" s="468"/>
      <c r="AG872" s="468"/>
      <c r="AH872" s="468"/>
      <c r="AI872" s="468"/>
      <c r="AJ872" s="468"/>
    </row>
    <row r="873" spans="1:36" ht="18" customHeight="1" x14ac:dyDescent="0.35">
      <c r="A873" s="468"/>
      <c r="B873" s="468"/>
      <c r="C873" s="468"/>
      <c r="D873" s="468"/>
      <c r="E873" s="468"/>
      <c r="F873" s="468"/>
      <c r="G873" s="468"/>
      <c r="H873" s="468"/>
      <c r="I873" s="468"/>
      <c r="J873" s="468"/>
      <c r="K873" s="468"/>
      <c r="L873" s="468"/>
      <c r="M873" s="468"/>
      <c r="N873" s="468"/>
      <c r="O873" s="468"/>
      <c r="P873" s="468"/>
      <c r="Q873" s="468"/>
      <c r="R873" s="468"/>
      <c r="S873" s="468"/>
      <c r="T873" s="468"/>
      <c r="U873" s="468"/>
      <c r="V873" s="468"/>
      <c r="W873" s="468"/>
      <c r="X873" s="468"/>
      <c r="Y873" s="468"/>
      <c r="Z873" s="468"/>
      <c r="AA873" s="468"/>
      <c r="AB873" s="468"/>
      <c r="AC873" s="468"/>
      <c r="AD873" s="468"/>
      <c r="AE873" s="468"/>
      <c r="AF873" s="468"/>
      <c r="AG873" s="468"/>
      <c r="AH873" s="468"/>
      <c r="AI873" s="468"/>
      <c r="AJ873" s="468"/>
    </row>
    <row r="874" spans="1:36" ht="18" customHeight="1" x14ac:dyDescent="0.35">
      <c r="A874" s="468"/>
      <c r="B874" s="468"/>
      <c r="C874" s="468"/>
      <c r="D874" s="468"/>
      <c r="E874" s="468"/>
      <c r="F874" s="468"/>
      <c r="G874" s="468"/>
      <c r="H874" s="468"/>
      <c r="I874" s="468"/>
      <c r="J874" s="468"/>
      <c r="K874" s="468"/>
      <c r="L874" s="468"/>
      <c r="M874" s="468"/>
      <c r="N874" s="468"/>
      <c r="O874" s="468"/>
      <c r="P874" s="468"/>
      <c r="Q874" s="468"/>
      <c r="R874" s="468"/>
      <c r="S874" s="468"/>
      <c r="T874" s="468"/>
      <c r="U874" s="468"/>
      <c r="V874" s="468"/>
      <c r="W874" s="468"/>
      <c r="X874" s="468"/>
      <c r="Y874" s="468"/>
      <c r="Z874" s="468"/>
      <c r="AA874" s="468"/>
      <c r="AB874" s="468"/>
      <c r="AC874" s="468"/>
      <c r="AD874" s="468"/>
      <c r="AE874" s="468"/>
      <c r="AF874" s="468"/>
      <c r="AG874" s="468"/>
      <c r="AH874" s="468"/>
      <c r="AI874" s="468"/>
      <c r="AJ874" s="468"/>
    </row>
    <row r="875" spans="1:36" ht="18" customHeight="1" x14ac:dyDescent="0.35">
      <c r="A875" s="468"/>
      <c r="B875" s="468"/>
      <c r="C875" s="468"/>
      <c r="D875" s="468"/>
      <c r="E875" s="468"/>
      <c r="F875" s="468"/>
      <c r="G875" s="468"/>
      <c r="H875" s="468"/>
      <c r="I875" s="468"/>
      <c r="J875" s="468"/>
      <c r="K875" s="468"/>
      <c r="L875" s="468"/>
      <c r="M875" s="468"/>
      <c r="N875" s="468"/>
      <c r="O875" s="468"/>
      <c r="P875" s="468"/>
      <c r="Q875" s="468"/>
      <c r="R875" s="468"/>
      <c r="S875" s="468"/>
      <c r="T875" s="468"/>
      <c r="U875" s="468"/>
      <c r="V875" s="468"/>
      <c r="W875" s="468"/>
      <c r="X875" s="468"/>
      <c r="Y875" s="468"/>
      <c r="Z875" s="468"/>
      <c r="AA875" s="468"/>
      <c r="AB875" s="468"/>
      <c r="AC875" s="468"/>
      <c r="AD875" s="468"/>
      <c r="AE875" s="468"/>
      <c r="AF875" s="468"/>
      <c r="AG875" s="468"/>
      <c r="AH875" s="468"/>
      <c r="AI875" s="468"/>
      <c r="AJ875" s="468"/>
    </row>
    <row r="876" spans="1:36" ht="18" customHeight="1" x14ac:dyDescent="0.35">
      <c r="A876" s="468"/>
      <c r="B876" s="468"/>
      <c r="C876" s="468"/>
      <c r="D876" s="468"/>
      <c r="E876" s="468"/>
      <c r="F876" s="468"/>
      <c r="G876" s="468"/>
      <c r="H876" s="468"/>
      <c r="I876" s="468"/>
      <c r="J876" s="468"/>
      <c r="K876" s="468"/>
      <c r="L876" s="468"/>
      <c r="M876" s="468"/>
      <c r="N876" s="468"/>
      <c r="O876" s="468"/>
      <c r="P876" s="468"/>
      <c r="Q876" s="468"/>
      <c r="R876" s="468"/>
      <c r="S876" s="468"/>
      <c r="T876" s="468"/>
      <c r="U876" s="468"/>
      <c r="V876" s="468"/>
      <c r="W876" s="468"/>
      <c r="X876" s="468"/>
      <c r="Y876" s="468"/>
      <c r="Z876" s="468"/>
      <c r="AA876" s="468"/>
      <c r="AB876" s="468"/>
      <c r="AC876" s="468"/>
      <c r="AD876" s="468"/>
      <c r="AE876" s="468"/>
      <c r="AF876" s="468"/>
      <c r="AG876" s="468"/>
      <c r="AH876" s="468"/>
      <c r="AI876" s="468"/>
      <c r="AJ876" s="468"/>
    </row>
    <row r="877" spans="1:36" ht="18" customHeight="1" x14ac:dyDescent="0.35">
      <c r="A877" s="468"/>
      <c r="B877" s="468"/>
      <c r="C877" s="468"/>
      <c r="D877" s="468"/>
      <c r="E877" s="468"/>
      <c r="F877" s="468"/>
      <c r="G877" s="468"/>
      <c r="H877" s="468"/>
      <c r="I877" s="468"/>
      <c r="J877" s="468"/>
      <c r="K877" s="468"/>
      <c r="L877" s="468"/>
      <c r="M877" s="468"/>
      <c r="N877" s="468"/>
      <c r="O877" s="468"/>
      <c r="P877" s="468"/>
      <c r="Q877" s="468"/>
      <c r="R877" s="468"/>
      <c r="S877" s="468"/>
      <c r="T877" s="468"/>
      <c r="U877" s="468"/>
      <c r="V877" s="468"/>
      <c r="W877" s="468"/>
      <c r="X877" s="468"/>
      <c r="Y877" s="468"/>
      <c r="Z877" s="468"/>
      <c r="AA877" s="468"/>
      <c r="AB877" s="468"/>
      <c r="AC877" s="468"/>
      <c r="AD877" s="468"/>
      <c r="AE877" s="468"/>
      <c r="AF877" s="468"/>
      <c r="AG877" s="468"/>
      <c r="AH877" s="468"/>
      <c r="AI877" s="468"/>
      <c r="AJ877" s="468"/>
    </row>
    <row r="878" spans="1:36" ht="18" customHeight="1" x14ac:dyDescent="0.35">
      <c r="A878" s="468"/>
      <c r="B878" s="468"/>
      <c r="C878" s="468"/>
      <c r="D878" s="468"/>
      <c r="E878" s="468"/>
      <c r="F878" s="468"/>
      <c r="G878" s="468"/>
      <c r="H878" s="468"/>
      <c r="I878" s="468"/>
      <c r="J878" s="468"/>
      <c r="K878" s="468"/>
      <c r="L878" s="468"/>
      <c r="M878" s="468"/>
      <c r="N878" s="468"/>
      <c r="O878" s="468"/>
      <c r="P878" s="468"/>
      <c r="Q878" s="468"/>
      <c r="R878" s="468"/>
      <c r="S878" s="468"/>
      <c r="T878" s="468"/>
      <c r="U878" s="468"/>
      <c r="V878" s="468"/>
      <c r="W878" s="468"/>
      <c r="X878" s="468"/>
      <c r="Y878" s="468"/>
      <c r="Z878" s="468"/>
      <c r="AA878" s="468"/>
      <c r="AB878" s="468"/>
      <c r="AC878" s="468"/>
      <c r="AD878" s="468"/>
      <c r="AE878" s="468"/>
      <c r="AF878" s="468"/>
      <c r="AG878" s="468"/>
      <c r="AH878" s="468"/>
      <c r="AI878" s="468"/>
      <c r="AJ878" s="468"/>
    </row>
    <row r="879" spans="1:36" ht="18" customHeight="1" x14ac:dyDescent="0.35">
      <c r="A879" s="468"/>
      <c r="B879" s="468"/>
      <c r="C879" s="468"/>
      <c r="D879" s="468"/>
      <c r="E879" s="468"/>
      <c r="F879" s="468"/>
      <c r="G879" s="468"/>
      <c r="H879" s="468"/>
      <c r="I879" s="468"/>
      <c r="J879" s="468"/>
      <c r="K879" s="468"/>
      <c r="L879" s="468"/>
      <c r="M879" s="468"/>
      <c r="N879" s="468"/>
      <c r="O879" s="468"/>
      <c r="P879" s="468"/>
      <c r="Q879" s="468"/>
      <c r="R879" s="468"/>
      <c r="S879" s="468"/>
      <c r="T879" s="468"/>
      <c r="U879" s="468"/>
      <c r="V879" s="468"/>
      <c r="W879" s="468"/>
      <c r="X879" s="468"/>
      <c r="Y879" s="468"/>
      <c r="Z879" s="468"/>
      <c r="AA879" s="468"/>
      <c r="AB879" s="468"/>
      <c r="AC879" s="468"/>
      <c r="AD879" s="468"/>
      <c r="AE879" s="468"/>
      <c r="AF879" s="468"/>
      <c r="AG879" s="468"/>
      <c r="AH879" s="468"/>
      <c r="AI879" s="468"/>
      <c r="AJ879" s="468"/>
    </row>
    <row r="880" spans="1:36" ht="18" customHeight="1" x14ac:dyDescent="0.35">
      <c r="A880" s="468"/>
      <c r="B880" s="468"/>
      <c r="C880" s="468"/>
      <c r="D880" s="468"/>
      <c r="E880" s="468"/>
      <c r="F880" s="468"/>
      <c r="G880" s="468"/>
      <c r="H880" s="468"/>
      <c r="I880" s="468"/>
      <c r="J880" s="468"/>
      <c r="K880" s="468"/>
      <c r="L880" s="468"/>
      <c r="M880" s="468"/>
      <c r="N880" s="468"/>
      <c r="O880" s="468"/>
      <c r="P880" s="468"/>
      <c r="Q880" s="468"/>
      <c r="R880" s="468"/>
      <c r="S880" s="468"/>
      <c r="T880" s="468"/>
      <c r="U880" s="468"/>
      <c r="V880" s="468"/>
      <c r="W880" s="468"/>
      <c r="X880" s="468"/>
      <c r="Y880" s="468"/>
      <c r="Z880" s="468"/>
      <c r="AA880" s="468"/>
      <c r="AB880" s="468"/>
      <c r="AC880" s="468"/>
      <c r="AD880" s="468"/>
      <c r="AE880" s="468"/>
      <c r="AF880" s="468"/>
      <c r="AG880" s="468"/>
      <c r="AH880" s="468"/>
      <c r="AI880" s="468"/>
      <c r="AJ880" s="468"/>
    </row>
    <row r="881" spans="1:36" ht="18" customHeight="1" x14ac:dyDescent="0.35">
      <c r="A881" s="468"/>
      <c r="B881" s="468"/>
      <c r="C881" s="468"/>
      <c r="D881" s="468"/>
      <c r="E881" s="468"/>
      <c r="F881" s="468"/>
      <c r="G881" s="468"/>
      <c r="H881" s="468"/>
      <c r="I881" s="468"/>
      <c r="J881" s="468"/>
      <c r="K881" s="468"/>
      <c r="L881" s="468"/>
      <c r="M881" s="468"/>
      <c r="N881" s="468"/>
      <c r="O881" s="468"/>
      <c r="P881" s="468"/>
      <c r="Q881" s="468"/>
      <c r="R881" s="468"/>
      <c r="S881" s="468"/>
      <c r="T881" s="468"/>
      <c r="U881" s="468"/>
      <c r="V881" s="468"/>
      <c r="W881" s="468"/>
      <c r="X881" s="468"/>
      <c r="Y881" s="468"/>
      <c r="Z881" s="468"/>
      <c r="AA881" s="468"/>
      <c r="AB881" s="468"/>
      <c r="AC881" s="468"/>
      <c r="AD881" s="468"/>
      <c r="AE881" s="468"/>
      <c r="AF881" s="468"/>
      <c r="AG881" s="468"/>
      <c r="AH881" s="468"/>
      <c r="AI881" s="468"/>
      <c r="AJ881" s="468"/>
    </row>
    <row r="882" spans="1:36" ht="18" customHeight="1" x14ac:dyDescent="0.35">
      <c r="A882" s="468"/>
      <c r="B882" s="468"/>
      <c r="C882" s="468"/>
      <c r="D882" s="468"/>
      <c r="E882" s="468"/>
      <c r="F882" s="468"/>
      <c r="G882" s="468"/>
      <c r="H882" s="468"/>
      <c r="I882" s="468"/>
      <c r="J882" s="468"/>
      <c r="K882" s="468"/>
      <c r="L882" s="468"/>
      <c r="M882" s="468"/>
      <c r="N882" s="468"/>
      <c r="O882" s="468"/>
      <c r="P882" s="468"/>
      <c r="Q882" s="468"/>
      <c r="R882" s="468"/>
      <c r="S882" s="468"/>
      <c r="T882" s="468"/>
      <c r="U882" s="468"/>
      <c r="V882" s="468"/>
      <c r="W882" s="468"/>
      <c r="X882" s="468"/>
      <c r="Y882" s="468"/>
      <c r="Z882" s="468"/>
      <c r="AA882" s="468"/>
      <c r="AB882" s="468"/>
      <c r="AC882" s="468"/>
      <c r="AD882" s="468"/>
      <c r="AE882" s="468"/>
      <c r="AF882" s="468"/>
      <c r="AG882" s="468"/>
      <c r="AH882" s="468"/>
      <c r="AI882" s="468"/>
      <c r="AJ882" s="468"/>
    </row>
    <row r="883" spans="1:36" ht="18" customHeight="1" x14ac:dyDescent="0.35">
      <c r="A883" s="468"/>
      <c r="B883" s="468"/>
      <c r="C883" s="468"/>
      <c r="D883" s="468"/>
      <c r="E883" s="468"/>
      <c r="F883" s="468"/>
      <c r="G883" s="468"/>
      <c r="H883" s="468"/>
      <c r="I883" s="468"/>
      <c r="J883" s="468"/>
      <c r="K883" s="468"/>
      <c r="L883" s="468"/>
      <c r="M883" s="468"/>
      <c r="N883" s="468"/>
      <c r="O883" s="468"/>
      <c r="P883" s="468"/>
      <c r="Q883" s="468"/>
      <c r="R883" s="468"/>
      <c r="S883" s="468"/>
      <c r="T883" s="468"/>
      <c r="U883" s="468"/>
      <c r="V883" s="468"/>
      <c r="W883" s="468"/>
      <c r="X883" s="468"/>
      <c r="Y883" s="468"/>
      <c r="Z883" s="468"/>
      <c r="AA883" s="468"/>
      <c r="AB883" s="468"/>
      <c r="AC883" s="468"/>
      <c r="AD883" s="468"/>
      <c r="AE883" s="468"/>
      <c r="AF883" s="468"/>
      <c r="AG883" s="468"/>
      <c r="AH883" s="468"/>
      <c r="AI883" s="468"/>
      <c r="AJ883" s="468"/>
    </row>
    <row r="884" spans="1:36" ht="18" customHeight="1" x14ac:dyDescent="0.35">
      <c r="A884" s="468"/>
      <c r="B884" s="468"/>
      <c r="C884" s="468"/>
      <c r="D884" s="468"/>
      <c r="E884" s="468"/>
      <c r="F884" s="468"/>
      <c r="G884" s="468"/>
      <c r="H884" s="468"/>
      <c r="I884" s="468"/>
      <c r="J884" s="468"/>
      <c r="K884" s="468"/>
      <c r="L884" s="468"/>
      <c r="M884" s="468"/>
      <c r="N884" s="468"/>
      <c r="O884" s="468"/>
      <c r="P884" s="468"/>
      <c r="Q884" s="468"/>
      <c r="R884" s="468"/>
      <c r="S884" s="468"/>
      <c r="T884" s="468"/>
      <c r="U884" s="468"/>
      <c r="V884" s="468"/>
      <c r="W884" s="468"/>
      <c r="X884" s="468"/>
      <c r="Y884" s="468"/>
      <c r="Z884" s="468"/>
      <c r="AA884" s="468"/>
      <c r="AB884" s="468"/>
      <c r="AC884" s="468"/>
      <c r="AD884" s="468"/>
      <c r="AE884" s="468"/>
      <c r="AF884" s="468"/>
      <c r="AG884" s="468"/>
      <c r="AH884" s="468"/>
      <c r="AI884" s="468"/>
      <c r="AJ884" s="468"/>
    </row>
    <row r="885" spans="1:36" ht="18" customHeight="1" x14ac:dyDescent="0.35">
      <c r="A885" s="468"/>
      <c r="B885" s="468"/>
      <c r="C885" s="468"/>
      <c r="D885" s="468"/>
      <c r="E885" s="468"/>
      <c r="F885" s="468"/>
      <c r="G885" s="468"/>
      <c r="H885" s="468"/>
      <c r="I885" s="468"/>
      <c r="J885" s="468"/>
      <c r="K885" s="468"/>
      <c r="L885" s="468"/>
      <c r="M885" s="468"/>
      <c r="N885" s="468"/>
      <c r="O885" s="468"/>
      <c r="P885" s="468"/>
      <c r="Q885" s="468"/>
      <c r="R885" s="468"/>
      <c r="S885" s="468"/>
      <c r="T885" s="468"/>
      <c r="U885" s="468"/>
      <c r="V885" s="468"/>
      <c r="W885" s="468"/>
      <c r="X885" s="468"/>
      <c r="Y885" s="468"/>
      <c r="Z885" s="468"/>
      <c r="AA885" s="468"/>
      <c r="AB885" s="468"/>
      <c r="AC885" s="468"/>
      <c r="AD885" s="468"/>
      <c r="AE885" s="468"/>
      <c r="AF885" s="468"/>
      <c r="AG885" s="468"/>
      <c r="AH885" s="468"/>
      <c r="AI885" s="468"/>
      <c r="AJ885" s="468"/>
    </row>
    <row r="886" spans="1:36" ht="18" customHeight="1" x14ac:dyDescent="0.35">
      <c r="A886" s="468"/>
      <c r="B886" s="468"/>
      <c r="C886" s="468"/>
      <c r="D886" s="468"/>
      <c r="E886" s="468"/>
      <c r="F886" s="468"/>
      <c r="G886" s="468"/>
      <c r="H886" s="468"/>
      <c r="I886" s="468"/>
      <c r="J886" s="468"/>
      <c r="K886" s="468"/>
      <c r="L886" s="468"/>
      <c r="M886" s="468"/>
      <c r="N886" s="468"/>
      <c r="O886" s="468"/>
      <c r="P886" s="468"/>
      <c r="Q886" s="468"/>
      <c r="R886" s="468"/>
      <c r="S886" s="468"/>
      <c r="T886" s="468"/>
      <c r="U886" s="468"/>
      <c r="V886" s="468"/>
      <c r="W886" s="468"/>
      <c r="X886" s="468"/>
      <c r="Y886" s="468"/>
      <c r="Z886" s="468"/>
      <c r="AA886" s="468"/>
      <c r="AB886" s="468"/>
      <c r="AC886" s="468"/>
      <c r="AD886" s="468"/>
      <c r="AE886" s="468"/>
      <c r="AF886" s="468"/>
      <c r="AG886" s="468"/>
      <c r="AH886" s="468"/>
      <c r="AI886" s="468"/>
      <c r="AJ886" s="468"/>
    </row>
    <row r="887" spans="1:36" ht="18" customHeight="1" x14ac:dyDescent="0.35">
      <c r="A887" s="468"/>
      <c r="B887" s="468"/>
      <c r="C887" s="468"/>
      <c r="D887" s="468"/>
      <c r="E887" s="468"/>
      <c r="F887" s="468"/>
      <c r="G887" s="468"/>
      <c r="H887" s="468"/>
      <c r="I887" s="468"/>
      <c r="J887" s="468"/>
      <c r="K887" s="468"/>
      <c r="L887" s="468"/>
      <c r="M887" s="468"/>
      <c r="N887" s="468"/>
      <c r="O887" s="468"/>
      <c r="P887" s="468"/>
      <c r="Q887" s="468"/>
      <c r="R887" s="468"/>
      <c r="S887" s="468"/>
      <c r="T887" s="468"/>
      <c r="U887" s="468"/>
      <c r="V887" s="468"/>
      <c r="W887" s="468"/>
      <c r="X887" s="468"/>
      <c r="Y887" s="468"/>
      <c r="Z887" s="468"/>
      <c r="AA887" s="468"/>
      <c r="AB887" s="468"/>
      <c r="AC887" s="468"/>
      <c r="AD887" s="468"/>
      <c r="AE887" s="468"/>
      <c r="AF887" s="468"/>
      <c r="AG887" s="468"/>
      <c r="AH887" s="468"/>
      <c r="AI887" s="468"/>
      <c r="AJ887" s="468"/>
    </row>
    <row r="888" spans="1:36" ht="18" customHeight="1" x14ac:dyDescent="0.35">
      <c r="A888" s="468"/>
      <c r="B888" s="468"/>
      <c r="C888" s="468"/>
      <c r="D888" s="468"/>
      <c r="E888" s="468"/>
      <c r="F888" s="468"/>
      <c r="G888" s="468"/>
      <c r="H888" s="468"/>
      <c r="I888" s="468"/>
      <c r="J888" s="468"/>
      <c r="K888" s="468"/>
      <c r="L888" s="468"/>
      <c r="M888" s="468"/>
      <c r="N888" s="468"/>
      <c r="O888" s="468"/>
      <c r="P888" s="468"/>
      <c r="Q888" s="468"/>
      <c r="R888" s="468"/>
      <c r="S888" s="468"/>
      <c r="T888" s="468"/>
      <c r="U888" s="468"/>
      <c r="V888" s="468"/>
      <c r="W888" s="468"/>
      <c r="X888" s="468"/>
      <c r="Y888" s="468"/>
      <c r="Z888" s="468"/>
      <c r="AA888" s="468"/>
      <c r="AB888" s="468"/>
      <c r="AC888" s="468"/>
      <c r="AD888" s="468"/>
      <c r="AE888" s="468"/>
      <c r="AF888" s="468"/>
      <c r="AG888" s="468"/>
      <c r="AH888" s="468"/>
      <c r="AI888" s="468"/>
      <c r="AJ888" s="468"/>
    </row>
    <row r="889" spans="1:36" ht="18" customHeight="1" x14ac:dyDescent="0.35">
      <c r="A889" s="468"/>
      <c r="B889" s="468"/>
      <c r="C889" s="468"/>
      <c r="D889" s="468"/>
      <c r="E889" s="468"/>
      <c r="F889" s="468"/>
      <c r="G889" s="468"/>
      <c r="H889" s="468"/>
      <c r="I889" s="468"/>
      <c r="J889" s="468"/>
      <c r="K889" s="468"/>
      <c r="L889" s="468"/>
      <c r="M889" s="468"/>
      <c r="N889" s="468"/>
      <c r="O889" s="468"/>
      <c r="P889" s="468"/>
      <c r="Q889" s="468"/>
      <c r="R889" s="468"/>
      <c r="S889" s="468"/>
      <c r="T889" s="468"/>
      <c r="U889" s="468"/>
      <c r="V889" s="468"/>
      <c r="W889" s="468"/>
      <c r="X889" s="468"/>
      <c r="Y889" s="468"/>
      <c r="Z889" s="468"/>
      <c r="AA889" s="468"/>
      <c r="AB889" s="468"/>
      <c r="AC889" s="468"/>
      <c r="AD889" s="468"/>
      <c r="AE889" s="468"/>
      <c r="AF889" s="468"/>
      <c r="AG889" s="468"/>
      <c r="AH889" s="468"/>
      <c r="AI889" s="468"/>
      <c r="AJ889" s="468"/>
    </row>
    <row r="890" spans="1:36" ht="18" customHeight="1" x14ac:dyDescent="0.35">
      <c r="A890" s="468"/>
      <c r="B890" s="468"/>
      <c r="C890" s="468"/>
      <c r="D890" s="468"/>
      <c r="E890" s="468"/>
      <c r="F890" s="468"/>
      <c r="G890" s="468"/>
      <c r="H890" s="468"/>
      <c r="I890" s="468"/>
      <c r="J890" s="468"/>
      <c r="K890" s="468"/>
      <c r="L890" s="468"/>
      <c r="M890" s="468"/>
      <c r="N890" s="468"/>
      <c r="O890" s="468"/>
      <c r="P890" s="468"/>
      <c r="Q890" s="468"/>
      <c r="R890" s="468"/>
      <c r="S890" s="468"/>
      <c r="T890" s="468"/>
      <c r="U890" s="468"/>
      <c r="V890" s="468"/>
      <c r="W890" s="468"/>
      <c r="X890" s="468"/>
      <c r="Y890" s="468"/>
      <c r="Z890" s="468"/>
      <c r="AA890" s="468"/>
      <c r="AB890" s="468"/>
      <c r="AC890" s="468"/>
      <c r="AD890" s="468"/>
      <c r="AE890" s="468"/>
      <c r="AF890" s="468"/>
      <c r="AG890" s="468"/>
      <c r="AH890" s="468"/>
      <c r="AI890" s="468"/>
      <c r="AJ890" s="468"/>
    </row>
    <row r="891" spans="1:36" ht="18" customHeight="1" x14ac:dyDescent="0.35">
      <c r="A891" s="468"/>
      <c r="B891" s="468"/>
      <c r="C891" s="468"/>
      <c r="D891" s="468"/>
      <c r="E891" s="468"/>
      <c r="F891" s="468"/>
      <c r="G891" s="468"/>
      <c r="H891" s="468"/>
      <c r="I891" s="468"/>
      <c r="J891" s="468"/>
      <c r="K891" s="468"/>
      <c r="L891" s="468"/>
      <c r="M891" s="468"/>
      <c r="N891" s="468"/>
      <c r="O891" s="468"/>
      <c r="P891" s="468"/>
      <c r="Q891" s="468"/>
      <c r="R891" s="468"/>
      <c r="S891" s="468"/>
      <c r="T891" s="468"/>
      <c r="U891" s="468"/>
      <c r="V891" s="468"/>
      <c r="W891" s="468"/>
      <c r="X891" s="468"/>
      <c r="Y891" s="468"/>
      <c r="Z891" s="468"/>
      <c r="AA891" s="468"/>
      <c r="AB891" s="468"/>
      <c r="AC891" s="468"/>
      <c r="AD891" s="468"/>
      <c r="AE891" s="468"/>
      <c r="AF891" s="468"/>
      <c r="AG891" s="468"/>
      <c r="AH891" s="468"/>
      <c r="AI891" s="468"/>
      <c r="AJ891" s="468"/>
    </row>
    <row r="892" spans="1:36" ht="18" customHeight="1" x14ac:dyDescent="0.35">
      <c r="A892" s="468"/>
      <c r="B892" s="468"/>
      <c r="C892" s="468"/>
      <c r="D892" s="468"/>
      <c r="E892" s="468"/>
      <c r="F892" s="468"/>
      <c r="G892" s="468"/>
      <c r="H892" s="468"/>
      <c r="I892" s="468"/>
      <c r="J892" s="468"/>
      <c r="K892" s="468"/>
      <c r="L892" s="468"/>
      <c r="M892" s="468"/>
      <c r="N892" s="468"/>
      <c r="O892" s="468"/>
      <c r="P892" s="468"/>
      <c r="Q892" s="468"/>
      <c r="R892" s="468"/>
      <c r="S892" s="468"/>
      <c r="T892" s="468"/>
      <c r="U892" s="468"/>
      <c r="V892" s="468"/>
      <c r="W892" s="468"/>
      <c r="X892" s="468"/>
      <c r="Y892" s="468"/>
      <c r="Z892" s="468"/>
      <c r="AA892" s="468"/>
      <c r="AB892" s="468"/>
      <c r="AC892" s="468"/>
      <c r="AD892" s="468"/>
      <c r="AE892" s="468"/>
      <c r="AF892" s="468"/>
      <c r="AG892" s="468"/>
      <c r="AH892" s="468"/>
      <c r="AI892" s="468"/>
      <c r="AJ892" s="468"/>
    </row>
    <row r="893" spans="1:36" ht="18" customHeight="1" x14ac:dyDescent="0.35">
      <c r="A893" s="468"/>
      <c r="B893" s="468"/>
      <c r="C893" s="468"/>
      <c r="D893" s="468"/>
      <c r="E893" s="468"/>
      <c r="F893" s="468"/>
      <c r="G893" s="468"/>
      <c r="H893" s="468"/>
      <c r="I893" s="468"/>
      <c r="J893" s="468"/>
      <c r="K893" s="468"/>
      <c r="L893" s="468"/>
      <c r="M893" s="468"/>
      <c r="N893" s="468"/>
      <c r="O893" s="468"/>
      <c r="P893" s="468"/>
      <c r="Q893" s="468"/>
      <c r="R893" s="468"/>
      <c r="S893" s="468"/>
      <c r="T893" s="468"/>
      <c r="U893" s="468"/>
      <c r="V893" s="468"/>
      <c r="W893" s="468"/>
      <c r="X893" s="468"/>
      <c r="Y893" s="468"/>
      <c r="Z893" s="468"/>
      <c r="AA893" s="468"/>
      <c r="AB893" s="468"/>
      <c r="AC893" s="468"/>
      <c r="AD893" s="468"/>
      <c r="AE893" s="468"/>
      <c r="AF893" s="468"/>
      <c r="AG893" s="468"/>
      <c r="AH893" s="468"/>
      <c r="AI893" s="468"/>
      <c r="AJ893" s="468"/>
    </row>
    <row r="894" spans="1:36" ht="18" customHeight="1" x14ac:dyDescent="0.35">
      <c r="A894" s="468"/>
      <c r="B894" s="468"/>
      <c r="C894" s="468"/>
      <c r="D894" s="468"/>
      <c r="E894" s="468"/>
      <c r="F894" s="468"/>
      <c r="G894" s="468"/>
      <c r="H894" s="468"/>
      <c r="I894" s="468"/>
      <c r="J894" s="468"/>
      <c r="K894" s="468"/>
      <c r="L894" s="468"/>
      <c r="M894" s="468"/>
      <c r="N894" s="468"/>
      <c r="O894" s="468"/>
      <c r="P894" s="468"/>
      <c r="Q894" s="468"/>
      <c r="R894" s="468"/>
      <c r="S894" s="468"/>
      <c r="T894" s="468"/>
      <c r="U894" s="468"/>
      <c r="V894" s="468"/>
      <c r="W894" s="468"/>
      <c r="X894" s="468"/>
      <c r="Y894" s="468"/>
      <c r="Z894" s="468"/>
      <c r="AA894" s="468"/>
      <c r="AB894" s="468"/>
      <c r="AC894" s="468"/>
      <c r="AD894" s="468"/>
      <c r="AE894" s="468"/>
      <c r="AF894" s="468"/>
      <c r="AG894" s="468"/>
      <c r="AH894" s="468"/>
      <c r="AI894" s="468"/>
      <c r="AJ894" s="468"/>
    </row>
    <row r="895" spans="1:36" ht="18" customHeight="1" x14ac:dyDescent="0.35">
      <c r="A895" s="468"/>
      <c r="B895" s="468"/>
      <c r="C895" s="468"/>
      <c r="D895" s="468"/>
      <c r="E895" s="468"/>
      <c r="F895" s="468"/>
      <c r="G895" s="468"/>
      <c r="H895" s="468"/>
      <c r="I895" s="468"/>
      <c r="J895" s="468"/>
      <c r="K895" s="468"/>
      <c r="L895" s="468"/>
      <c r="M895" s="468"/>
      <c r="N895" s="468"/>
      <c r="O895" s="468"/>
      <c r="P895" s="468"/>
      <c r="Q895" s="468"/>
      <c r="R895" s="468"/>
      <c r="S895" s="468"/>
      <c r="T895" s="468"/>
      <c r="U895" s="468"/>
      <c r="V895" s="468"/>
      <c r="W895" s="468"/>
      <c r="X895" s="468"/>
      <c r="Y895" s="468"/>
      <c r="Z895" s="468"/>
      <c r="AA895" s="468"/>
      <c r="AB895" s="468"/>
      <c r="AC895" s="468"/>
      <c r="AD895" s="468"/>
      <c r="AE895" s="468"/>
      <c r="AF895" s="468"/>
      <c r="AG895" s="468"/>
      <c r="AH895" s="468"/>
      <c r="AI895" s="468"/>
      <c r="AJ895" s="468"/>
    </row>
    <row r="896" spans="1:36" ht="18" customHeight="1" x14ac:dyDescent="0.35">
      <c r="A896" s="468"/>
      <c r="B896" s="468"/>
      <c r="C896" s="468"/>
      <c r="D896" s="468"/>
      <c r="E896" s="468"/>
      <c r="F896" s="468"/>
      <c r="G896" s="468"/>
      <c r="H896" s="468"/>
      <c r="I896" s="468"/>
      <c r="J896" s="468"/>
      <c r="K896" s="468"/>
      <c r="L896" s="468"/>
      <c r="M896" s="468"/>
      <c r="N896" s="468"/>
      <c r="O896" s="468"/>
      <c r="P896" s="468"/>
      <c r="Q896" s="468"/>
      <c r="R896" s="468"/>
      <c r="S896" s="468"/>
      <c r="T896" s="468"/>
      <c r="U896" s="468"/>
      <c r="V896" s="468"/>
      <c r="W896" s="468"/>
      <c r="X896" s="468"/>
      <c r="Y896" s="468"/>
      <c r="Z896" s="468"/>
      <c r="AA896" s="468"/>
      <c r="AB896" s="468"/>
      <c r="AC896" s="468"/>
      <c r="AD896" s="468"/>
      <c r="AE896" s="468"/>
      <c r="AF896" s="468"/>
      <c r="AG896" s="468"/>
      <c r="AH896" s="468"/>
      <c r="AI896" s="468"/>
      <c r="AJ896" s="468"/>
    </row>
    <row r="897" spans="1:36" ht="18" customHeight="1" x14ac:dyDescent="0.35">
      <c r="A897" s="468"/>
      <c r="B897" s="468"/>
      <c r="C897" s="468"/>
      <c r="D897" s="468"/>
      <c r="E897" s="468"/>
      <c r="F897" s="468"/>
      <c r="G897" s="468"/>
      <c r="H897" s="468"/>
      <c r="I897" s="468"/>
      <c r="J897" s="468"/>
      <c r="K897" s="468"/>
      <c r="L897" s="468"/>
      <c r="M897" s="468"/>
      <c r="N897" s="468"/>
      <c r="O897" s="468"/>
      <c r="P897" s="468"/>
      <c r="Q897" s="468"/>
      <c r="R897" s="468"/>
      <c r="S897" s="468"/>
      <c r="T897" s="468"/>
      <c r="U897" s="468"/>
      <c r="V897" s="468"/>
      <c r="W897" s="468"/>
      <c r="X897" s="468"/>
      <c r="Y897" s="468"/>
      <c r="Z897" s="468"/>
      <c r="AA897" s="468"/>
      <c r="AB897" s="468"/>
      <c r="AC897" s="468"/>
      <c r="AD897" s="468"/>
      <c r="AE897" s="468"/>
      <c r="AF897" s="468"/>
      <c r="AG897" s="468"/>
      <c r="AH897" s="468"/>
      <c r="AI897" s="468"/>
      <c r="AJ897" s="468"/>
    </row>
    <row r="898" spans="1:36" ht="18" customHeight="1" x14ac:dyDescent="0.35">
      <c r="A898" s="468"/>
      <c r="B898" s="468"/>
      <c r="C898" s="468"/>
      <c r="D898" s="468"/>
      <c r="E898" s="468"/>
      <c r="F898" s="468"/>
      <c r="G898" s="468"/>
      <c r="H898" s="468"/>
      <c r="I898" s="468"/>
      <c r="J898" s="468"/>
      <c r="K898" s="468"/>
      <c r="L898" s="468"/>
      <c r="M898" s="468"/>
      <c r="N898" s="468"/>
      <c r="O898" s="468"/>
      <c r="P898" s="468"/>
      <c r="Q898" s="468"/>
      <c r="R898" s="468"/>
      <c r="S898" s="468"/>
      <c r="T898" s="468"/>
      <c r="U898" s="468"/>
      <c r="V898" s="468"/>
      <c r="W898" s="468"/>
      <c r="X898" s="468"/>
      <c r="Y898" s="468"/>
      <c r="Z898" s="468"/>
      <c r="AA898" s="468"/>
      <c r="AB898" s="468"/>
      <c r="AC898" s="468"/>
      <c r="AD898" s="468"/>
      <c r="AE898" s="468"/>
      <c r="AF898" s="468"/>
      <c r="AG898" s="468"/>
      <c r="AH898" s="468"/>
      <c r="AI898" s="468"/>
      <c r="AJ898" s="468"/>
    </row>
    <row r="899" spans="1:36" ht="18" customHeight="1" x14ac:dyDescent="0.35">
      <c r="A899" s="468"/>
      <c r="B899" s="468"/>
      <c r="C899" s="468"/>
      <c r="D899" s="468"/>
      <c r="E899" s="468"/>
      <c r="F899" s="468"/>
      <c r="G899" s="468"/>
      <c r="H899" s="468"/>
      <c r="I899" s="468"/>
      <c r="J899" s="468"/>
      <c r="K899" s="468"/>
      <c r="L899" s="468"/>
      <c r="M899" s="468"/>
      <c r="N899" s="468"/>
      <c r="O899" s="468"/>
      <c r="P899" s="468"/>
      <c r="Q899" s="468"/>
      <c r="R899" s="468"/>
      <c r="S899" s="468"/>
      <c r="T899" s="468"/>
      <c r="U899" s="468"/>
      <c r="V899" s="468"/>
      <c r="W899" s="468"/>
      <c r="X899" s="468"/>
      <c r="Y899" s="468"/>
      <c r="Z899" s="468"/>
      <c r="AA899" s="468"/>
      <c r="AB899" s="468"/>
      <c r="AC899" s="468"/>
      <c r="AD899" s="468"/>
      <c r="AE899" s="468"/>
      <c r="AF899" s="468"/>
      <c r="AG899" s="468"/>
      <c r="AH899" s="468"/>
      <c r="AI899" s="468"/>
      <c r="AJ899" s="468"/>
    </row>
    <row r="900" spans="1:36" ht="18" customHeight="1" x14ac:dyDescent="0.35">
      <c r="A900" s="468"/>
      <c r="B900" s="468"/>
      <c r="C900" s="468"/>
      <c r="D900" s="468"/>
      <c r="E900" s="468"/>
      <c r="F900" s="468"/>
      <c r="G900" s="468"/>
      <c r="H900" s="468"/>
      <c r="I900" s="468"/>
      <c r="J900" s="468"/>
      <c r="K900" s="468"/>
      <c r="L900" s="468"/>
      <c r="M900" s="468"/>
      <c r="N900" s="468"/>
      <c r="O900" s="468"/>
      <c r="P900" s="468"/>
      <c r="Q900" s="468"/>
      <c r="R900" s="468"/>
      <c r="S900" s="468"/>
      <c r="T900" s="468"/>
      <c r="U900" s="468"/>
      <c r="V900" s="468"/>
      <c r="W900" s="468"/>
      <c r="X900" s="468"/>
      <c r="Y900" s="468"/>
      <c r="Z900" s="468"/>
      <c r="AA900" s="468"/>
      <c r="AB900" s="468"/>
      <c r="AC900" s="468"/>
      <c r="AD900" s="468"/>
      <c r="AE900" s="468"/>
      <c r="AF900" s="468"/>
      <c r="AG900" s="468"/>
      <c r="AH900" s="468"/>
      <c r="AI900" s="468"/>
      <c r="AJ900" s="468"/>
    </row>
    <row r="901" spans="1:36" ht="18" customHeight="1" x14ac:dyDescent="0.35">
      <c r="A901" s="468"/>
      <c r="B901" s="468"/>
      <c r="C901" s="468"/>
      <c r="D901" s="468"/>
      <c r="E901" s="468"/>
      <c r="F901" s="468"/>
      <c r="G901" s="468"/>
      <c r="H901" s="468"/>
      <c r="I901" s="468"/>
      <c r="J901" s="468"/>
      <c r="K901" s="468"/>
      <c r="L901" s="468"/>
      <c r="M901" s="468"/>
      <c r="N901" s="468"/>
      <c r="O901" s="468"/>
      <c r="P901" s="468"/>
      <c r="Q901" s="468"/>
      <c r="R901" s="468"/>
      <c r="S901" s="468"/>
      <c r="T901" s="468"/>
      <c r="U901" s="468"/>
      <c r="V901" s="468"/>
      <c r="W901" s="468"/>
      <c r="X901" s="468"/>
      <c r="Y901" s="468"/>
      <c r="Z901" s="468"/>
      <c r="AA901" s="468"/>
      <c r="AB901" s="468"/>
      <c r="AC901" s="468"/>
      <c r="AD901" s="468"/>
      <c r="AE901" s="468"/>
      <c r="AF901" s="468"/>
      <c r="AG901" s="468"/>
      <c r="AH901" s="468"/>
      <c r="AI901" s="468"/>
      <c r="AJ901" s="468"/>
    </row>
    <row r="902" spans="1:36" ht="18" customHeight="1" x14ac:dyDescent="0.35">
      <c r="A902" s="468"/>
      <c r="B902" s="468"/>
      <c r="C902" s="468"/>
      <c r="D902" s="468"/>
      <c r="E902" s="468"/>
      <c r="F902" s="468"/>
      <c r="G902" s="468"/>
      <c r="H902" s="468"/>
      <c r="I902" s="468"/>
      <c r="J902" s="468"/>
      <c r="K902" s="468"/>
      <c r="L902" s="468"/>
      <c r="M902" s="468"/>
      <c r="N902" s="468"/>
      <c r="O902" s="468"/>
      <c r="P902" s="468"/>
      <c r="Q902" s="468"/>
      <c r="R902" s="468"/>
      <c r="S902" s="468"/>
      <c r="T902" s="468"/>
      <c r="U902" s="468"/>
      <c r="V902" s="468"/>
      <c r="W902" s="468"/>
      <c r="X902" s="468"/>
      <c r="Y902" s="468"/>
      <c r="Z902" s="468"/>
      <c r="AA902" s="468"/>
      <c r="AB902" s="468"/>
      <c r="AC902" s="468"/>
      <c r="AD902" s="468"/>
      <c r="AE902" s="468"/>
      <c r="AF902" s="468"/>
      <c r="AG902" s="468"/>
      <c r="AH902" s="468"/>
      <c r="AI902" s="468"/>
      <c r="AJ902" s="468"/>
    </row>
    <row r="903" spans="1:36" ht="18" customHeight="1" x14ac:dyDescent="0.35">
      <c r="A903" s="468"/>
      <c r="B903" s="468"/>
      <c r="C903" s="468"/>
      <c r="D903" s="468"/>
      <c r="E903" s="468"/>
      <c r="F903" s="468"/>
      <c r="G903" s="468"/>
      <c r="H903" s="468"/>
      <c r="I903" s="468"/>
      <c r="J903" s="468"/>
      <c r="K903" s="468"/>
      <c r="L903" s="468"/>
      <c r="M903" s="468"/>
      <c r="N903" s="468"/>
      <c r="O903" s="468"/>
      <c r="P903" s="468"/>
      <c r="Q903" s="468"/>
      <c r="R903" s="468"/>
      <c r="S903" s="468"/>
      <c r="T903" s="468"/>
      <c r="U903" s="468"/>
      <c r="V903" s="468"/>
      <c r="W903" s="468"/>
      <c r="X903" s="468"/>
      <c r="Y903" s="468"/>
      <c r="Z903" s="468"/>
      <c r="AA903" s="468"/>
      <c r="AB903" s="468"/>
      <c r="AC903" s="468"/>
      <c r="AD903" s="468"/>
      <c r="AE903" s="468"/>
      <c r="AF903" s="468"/>
      <c r="AG903" s="468"/>
      <c r="AH903" s="468"/>
      <c r="AI903" s="468"/>
      <c r="AJ903" s="468"/>
    </row>
    <row r="904" spans="1:36" ht="18" customHeight="1" x14ac:dyDescent="0.35">
      <c r="A904" s="468"/>
      <c r="B904" s="468"/>
      <c r="C904" s="468"/>
      <c r="D904" s="468"/>
      <c r="E904" s="468"/>
      <c r="F904" s="468"/>
      <c r="G904" s="468"/>
      <c r="H904" s="468"/>
      <c r="I904" s="468"/>
      <c r="J904" s="468"/>
      <c r="K904" s="468"/>
      <c r="L904" s="468"/>
      <c r="M904" s="468"/>
      <c r="N904" s="468"/>
      <c r="O904" s="468"/>
      <c r="P904" s="468"/>
      <c r="Q904" s="468"/>
      <c r="R904" s="468"/>
      <c r="S904" s="468"/>
      <c r="T904" s="468"/>
      <c r="U904" s="468"/>
      <c r="V904" s="468"/>
      <c r="W904" s="468"/>
      <c r="X904" s="468"/>
      <c r="Y904" s="468"/>
      <c r="Z904" s="468"/>
      <c r="AA904" s="468"/>
      <c r="AB904" s="468"/>
      <c r="AC904" s="468"/>
      <c r="AD904" s="468"/>
      <c r="AE904" s="468"/>
      <c r="AF904" s="468"/>
      <c r="AG904" s="468"/>
      <c r="AH904" s="468"/>
      <c r="AI904" s="468"/>
      <c r="AJ904" s="468"/>
    </row>
    <row r="905" spans="1:36" ht="18" customHeight="1" x14ac:dyDescent="0.35">
      <c r="A905" s="468"/>
      <c r="B905" s="468"/>
      <c r="C905" s="468"/>
      <c r="D905" s="468"/>
      <c r="E905" s="468"/>
      <c r="F905" s="468"/>
      <c r="G905" s="468"/>
      <c r="H905" s="468"/>
      <c r="I905" s="468"/>
      <c r="J905" s="468"/>
      <c r="K905" s="468"/>
      <c r="L905" s="468"/>
      <c r="M905" s="468"/>
      <c r="N905" s="468"/>
      <c r="O905" s="468"/>
      <c r="P905" s="468"/>
      <c r="Q905" s="468"/>
      <c r="R905" s="468"/>
      <c r="S905" s="468"/>
      <c r="T905" s="468"/>
      <c r="U905" s="468"/>
      <c r="V905" s="468"/>
      <c r="W905" s="468"/>
      <c r="X905" s="468"/>
      <c r="Y905" s="468"/>
      <c r="Z905" s="468"/>
      <c r="AA905" s="468"/>
      <c r="AB905" s="468"/>
      <c r="AC905" s="468"/>
      <c r="AD905" s="468"/>
      <c r="AE905" s="468"/>
      <c r="AF905" s="468"/>
      <c r="AG905" s="468"/>
      <c r="AH905" s="468"/>
      <c r="AI905" s="468"/>
      <c r="AJ905" s="468"/>
    </row>
    <row r="906" spans="1:36" ht="18" customHeight="1" x14ac:dyDescent="0.35">
      <c r="A906" s="468"/>
      <c r="B906" s="468"/>
      <c r="C906" s="468"/>
      <c r="D906" s="468"/>
      <c r="E906" s="468"/>
      <c r="F906" s="468"/>
      <c r="G906" s="468"/>
      <c r="H906" s="468"/>
      <c r="I906" s="468"/>
      <c r="J906" s="468"/>
      <c r="K906" s="468"/>
      <c r="L906" s="468"/>
      <c r="M906" s="468"/>
      <c r="N906" s="468"/>
      <c r="O906" s="468"/>
      <c r="P906" s="468"/>
      <c r="Q906" s="468"/>
      <c r="R906" s="468"/>
      <c r="S906" s="468"/>
      <c r="T906" s="468"/>
      <c r="U906" s="468"/>
      <c r="V906" s="468"/>
      <c r="W906" s="468"/>
      <c r="X906" s="468"/>
      <c r="Y906" s="468"/>
      <c r="Z906" s="468"/>
      <c r="AA906" s="468"/>
      <c r="AB906" s="468"/>
      <c r="AC906" s="468"/>
      <c r="AD906" s="468"/>
      <c r="AE906" s="468"/>
      <c r="AF906" s="468"/>
      <c r="AG906" s="468"/>
      <c r="AH906" s="468"/>
      <c r="AI906" s="468"/>
      <c r="AJ906" s="468"/>
    </row>
    <row r="907" spans="1:36" ht="18" customHeight="1" x14ac:dyDescent="0.35">
      <c r="A907" s="468"/>
      <c r="B907" s="468"/>
      <c r="C907" s="468"/>
      <c r="D907" s="468"/>
      <c r="E907" s="468"/>
      <c r="F907" s="468"/>
      <c r="G907" s="468"/>
      <c r="H907" s="468"/>
      <c r="I907" s="468"/>
      <c r="J907" s="468"/>
      <c r="K907" s="468"/>
      <c r="L907" s="468"/>
      <c r="M907" s="468"/>
      <c r="N907" s="468"/>
      <c r="O907" s="468"/>
      <c r="P907" s="468"/>
      <c r="Q907" s="468"/>
      <c r="R907" s="468"/>
      <c r="S907" s="468"/>
      <c r="T907" s="468"/>
      <c r="U907" s="468"/>
      <c r="V907" s="468"/>
      <c r="W907" s="468"/>
      <c r="X907" s="468"/>
      <c r="Y907" s="468"/>
      <c r="Z907" s="468"/>
      <c r="AA907" s="468"/>
      <c r="AB907" s="468"/>
      <c r="AC907" s="468"/>
      <c r="AD907" s="468"/>
      <c r="AE907" s="468"/>
      <c r="AF907" s="468"/>
      <c r="AG907" s="468"/>
      <c r="AH907" s="468"/>
      <c r="AI907" s="468"/>
      <c r="AJ907" s="468"/>
    </row>
    <row r="908" spans="1:36" ht="18" customHeight="1" x14ac:dyDescent="0.35">
      <c r="A908" s="468"/>
      <c r="B908" s="468"/>
      <c r="C908" s="468"/>
      <c r="D908" s="468"/>
      <c r="E908" s="468"/>
      <c r="F908" s="468"/>
      <c r="G908" s="468"/>
      <c r="H908" s="468"/>
      <c r="I908" s="468"/>
      <c r="J908" s="468"/>
      <c r="K908" s="468"/>
      <c r="L908" s="468"/>
      <c r="M908" s="468"/>
      <c r="N908" s="468"/>
      <c r="O908" s="468"/>
      <c r="P908" s="468"/>
      <c r="Q908" s="468"/>
      <c r="R908" s="468"/>
      <c r="S908" s="468"/>
      <c r="T908" s="468"/>
      <c r="U908" s="468"/>
      <c r="V908" s="468"/>
      <c r="W908" s="468"/>
      <c r="X908" s="468"/>
      <c r="Y908" s="468"/>
      <c r="Z908" s="468"/>
      <c r="AA908" s="468"/>
      <c r="AB908" s="468"/>
      <c r="AC908" s="468"/>
      <c r="AD908" s="468"/>
      <c r="AE908" s="468"/>
      <c r="AF908" s="468"/>
      <c r="AG908" s="468"/>
      <c r="AH908" s="468"/>
      <c r="AI908" s="468"/>
      <c r="AJ908" s="468"/>
    </row>
    <row r="909" spans="1:36" ht="18" customHeight="1" x14ac:dyDescent="0.35">
      <c r="A909" s="468"/>
      <c r="B909" s="468"/>
      <c r="C909" s="468"/>
      <c r="D909" s="468"/>
      <c r="E909" s="468"/>
      <c r="F909" s="468"/>
      <c r="G909" s="468"/>
      <c r="H909" s="468"/>
      <c r="I909" s="468"/>
      <c r="J909" s="468"/>
      <c r="K909" s="468"/>
      <c r="L909" s="468"/>
      <c r="M909" s="468"/>
      <c r="N909" s="468"/>
      <c r="O909" s="468"/>
      <c r="P909" s="468"/>
      <c r="Q909" s="468"/>
      <c r="R909" s="468"/>
      <c r="S909" s="468"/>
      <c r="T909" s="468"/>
      <c r="U909" s="468"/>
      <c r="V909" s="468"/>
      <c r="W909" s="468"/>
      <c r="X909" s="468"/>
      <c r="Y909" s="468"/>
      <c r="Z909" s="468"/>
      <c r="AA909" s="468"/>
      <c r="AB909" s="468"/>
      <c r="AC909" s="468"/>
      <c r="AD909" s="468"/>
      <c r="AE909" s="468"/>
      <c r="AF909" s="468"/>
      <c r="AG909" s="468"/>
      <c r="AH909" s="468"/>
      <c r="AI909" s="468"/>
      <c r="AJ909" s="468"/>
    </row>
    <row r="910" spans="1:36" ht="18" customHeight="1" x14ac:dyDescent="0.35">
      <c r="A910" s="468"/>
      <c r="B910" s="468"/>
      <c r="C910" s="468"/>
      <c r="D910" s="468"/>
      <c r="E910" s="468"/>
      <c r="F910" s="468"/>
      <c r="G910" s="468"/>
      <c r="H910" s="468"/>
      <c r="I910" s="468"/>
      <c r="J910" s="468"/>
      <c r="K910" s="468"/>
      <c r="L910" s="468"/>
      <c r="M910" s="468"/>
      <c r="N910" s="468"/>
      <c r="O910" s="468"/>
      <c r="P910" s="468"/>
      <c r="Q910" s="468"/>
      <c r="R910" s="468"/>
      <c r="S910" s="468"/>
      <c r="T910" s="468"/>
      <c r="U910" s="468"/>
      <c r="V910" s="468"/>
      <c r="W910" s="468"/>
      <c r="X910" s="468"/>
      <c r="Y910" s="468"/>
      <c r="Z910" s="468"/>
      <c r="AA910" s="468"/>
      <c r="AB910" s="468"/>
      <c r="AC910" s="468"/>
      <c r="AD910" s="468"/>
      <c r="AE910" s="468"/>
      <c r="AF910" s="468"/>
      <c r="AG910" s="468"/>
      <c r="AH910" s="468"/>
      <c r="AI910" s="468"/>
      <c r="AJ910" s="468"/>
    </row>
    <row r="911" spans="1:36" ht="18" customHeight="1" x14ac:dyDescent="0.35">
      <c r="A911" s="468"/>
      <c r="B911" s="468"/>
      <c r="C911" s="468"/>
      <c r="D911" s="468"/>
      <c r="E911" s="468"/>
      <c r="F911" s="468"/>
      <c r="G911" s="468"/>
      <c r="H911" s="468"/>
      <c r="I911" s="468"/>
      <c r="J911" s="468"/>
      <c r="K911" s="468"/>
      <c r="L911" s="468"/>
      <c r="M911" s="468"/>
      <c r="N911" s="468"/>
      <c r="O911" s="468"/>
      <c r="P911" s="468"/>
      <c r="Q911" s="468"/>
      <c r="R911" s="468"/>
      <c r="S911" s="468"/>
      <c r="T911" s="468"/>
      <c r="U911" s="468"/>
      <c r="V911" s="468"/>
      <c r="W911" s="468"/>
      <c r="X911" s="468"/>
      <c r="Y911" s="468"/>
      <c r="Z911" s="468"/>
      <c r="AA911" s="468"/>
      <c r="AB911" s="468"/>
      <c r="AC911" s="468"/>
      <c r="AD911" s="468"/>
      <c r="AE911" s="468"/>
      <c r="AF911" s="468"/>
      <c r="AG911" s="468"/>
      <c r="AH911" s="468"/>
      <c r="AI911" s="468"/>
      <c r="AJ911" s="468"/>
    </row>
    <row r="912" spans="1:36" ht="18" customHeight="1" x14ac:dyDescent="0.35">
      <c r="A912" s="468"/>
      <c r="B912" s="468"/>
      <c r="C912" s="468"/>
      <c r="D912" s="468"/>
      <c r="E912" s="468"/>
      <c r="F912" s="468"/>
      <c r="G912" s="468"/>
      <c r="H912" s="468"/>
      <c r="I912" s="468"/>
      <c r="J912" s="468"/>
      <c r="K912" s="468"/>
      <c r="L912" s="468"/>
      <c r="M912" s="468"/>
      <c r="N912" s="468"/>
      <c r="O912" s="468"/>
      <c r="P912" s="468"/>
      <c r="Q912" s="468"/>
      <c r="R912" s="468"/>
      <c r="S912" s="468"/>
      <c r="T912" s="468"/>
      <c r="U912" s="468"/>
      <c r="V912" s="468"/>
      <c r="W912" s="468"/>
      <c r="X912" s="468"/>
      <c r="Y912" s="468"/>
      <c r="Z912" s="468"/>
      <c r="AA912" s="468"/>
      <c r="AB912" s="468"/>
      <c r="AC912" s="468"/>
      <c r="AD912" s="468"/>
      <c r="AE912" s="468"/>
      <c r="AF912" s="468"/>
      <c r="AG912" s="468"/>
      <c r="AH912" s="468"/>
      <c r="AI912" s="468"/>
      <c r="AJ912" s="468"/>
    </row>
    <row r="913" spans="1:36" ht="18" customHeight="1" x14ac:dyDescent="0.35">
      <c r="A913" s="468"/>
      <c r="B913" s="468"/>
      <c r="C913" s="468"/>
      <c r="D913" s="468"/>
      <c r="E913" s="468"/>
      <c r="F913" s="468"/>
      <c r="G913" s="468"/>
      <c r="H913" s="468"/>
      <c r="I913" s="468"/>
      <c r="J913" s="468"/>
      <c r="K913" s="468"/>
      <c r="L913" s="468"/>
      <c r="M913" s="468"/>
      <c r="N913" s="468"/>
      <c r="O913" s="468"/>
      <c r="P913" s="468"/>
      <c r="Q913" s="468"/>
      <c r="R913" s="468"/>
      <c r="S913" s="468"/>
      <c r="T913" s="468"/>
      <c r="U913" s="468"/>
      <c r="V913" s="468"/>
      <c r="W913" s="468"/>
      <c r="X913" s="468"/>
      <c r="Y913" s="468"/>
      <c r="Z913" s="468"/>
      <c r="AA913" s="468"/>
      <c r="AB913" s="468"/>
      <c r="AC913" s="468"/>
      <c r="AD913" s="468"/>
      <c r="AE913" s="468"/>
      <c r="AF913" s="468"/>
      <c r="AG913" s="468"/>
      <c r="AH913" s="468"/>
      <c r="AI913" s="468"/>
      <c r="AJ913" s="468"/>
    </row>
    <row r="914" spans="1:36" ht="18" customHeight="1" x14ac:dyDescent="0.35">
      <c r="A914" s="468"/>
      <c r="B914" s="468"/>
      <c r="C914" s="468"/>
      <c r="D914" s="468"/>
      <c r="E914" s="468"/>
      <c r="F914" s="468"/>
      <c r="G914" s="468"/>
      <c r="H914" s="468"/>
      <c r="I914" s="468"/>
      <c r="J914" s="468"/>
      <c r="K914" s="468"/>
      <c r="L914" s="468"/>
      <c r="M914" s="468"/>
      <c r="N914" s="468"/>
      <c r="O914" s="468"/>
      <c r="P914" s="468"/>
      <c r="Q914" s="468"/>
      <c r="R914" s="468"/>
      <c r="S914" s="468"/>
      <c r="T914" s="468"/>
      <c r="U914" s="468"/>
      <c r="V914" s="468"/>
      <c r="W914" s="468"/>
      <c r="X914" s="468"/>
      <c r="Y914" s="468"/>
      <c r="Z914" s="468"/>
      <c r="AA914" s="468"/>
      <c r="AB914" s="468"/>
      <c r="AC914" s="468"/>
      <c r="AD914" s="468"/>
      <c r="AE914" s="468"/>
      <c r="AF914" s="468"/>
      <c r="AG914" s="468"/>
      <c r="AH914" s="468"/>
      <c r="AI914" s="468"/>
      <c r="AJ914" s="468"/>
    </row>
    <row r="915" spans="1:36" ht="18" customHeight="1" x14ac:dyDescent="0.35">
      <c r="A915" s="468"/>
      <c r="B915" s="468"/>
      <c r="C915" s="468"/>
      <c r="D915" s="468"/>
      <c r="E915" s="468"/>
      <c r="F915" s="468"/>
      <c r="G915" s="468"/>
      <c r="H915" s="468"/>
      <c r="I915" s="468"/>
      <c r="J915" s="468"/>
      <c r="K915" s="468"/>
      <c r="L915" s="468"/>
      <c r="M915" s="468"/>
      <c r="N915" s="468"/>
      <c r="O915" s="468"/>
      <c r="P915" s="468"/>
      <c r="Q915" s="468"/>
      <c r="R915" s="468"/>
      <c r="S915" s="468"/>
      <c r="T915" s="468"/>
      <c r="U915" s="468"/>
      <c r="V915" s="468"/>
      <c r="W915" s="468"/>
      <c r="X915" s="468"/>
      <c r="Y915" s="468"/>
      <c r="Z915" s="468"/>
      <c r="AA915" s="468"/>
      <c r="AB915" s="468"/>
      <c r="AC915" s="468"/>
      <c r="AD915" s="468"/>
      <c r="AE915" s="468"/>
      <c r="AF915" s="468"/>
      <c r="AG915" s="468"/>
      <c r="AH915" s="468"/>
      <c r="AI915" s="468"/>
      <c r="AJ915" s="468"/>
    </row>
    <row r="916" spans="1:36" ht="18" customHeight="1" x14ac:dyDescent="0.35">
      <c r="A916" s="468"/>
      <c r="B916" s="468"/>
      <c r="C916" s="468"/>
      <c r="D916" s="468"/>
      <c r="E916" s="468"/>
      <c r="F916" s="468"/>
      <c r="G916" s="468"/>
      <c r="H916" s="468"/>
      <c r="I916" s="468"/>
      <c r="J916" s="468"/>
      <c r="K916" s="468"/>
      <c r="L916" s="468"/>
      <c r="M916" s="468"/>
      <c r="N916" s="468"/>
      <c r="O916" s="468"/>
      <c r="P916" s="468"/>
      <c r="Q916" s="468"/>
      <c r="R916" s="468"/>
      <c r="S916" s="468"/>
      <c r="T916" s="468"/>
      <c r="U916" s="468"/>
      <c r="V916" s="468"/>
      <c r="W916" s="468"/>
      <c r="X916" s="468"/>
      <c r="Y916" s="468"/>
      <c r="Z916" s="468"/>
      <c r="AA916" s="468"/>
      <c r="AB916" s="468"/>
      <c r="AC916" s="468"/>
      <c r="AD916" s="468"/>
      <c r="AE916" s="468"/>
      <c r="AF916" s="468"/>
      <c r="AG916" s="468"/>
      <c r="AH916" s="468"/>
      <c r="AI916" s="468"/>
      <c r="AJ916" s="468"/>
    </row>
    <row r="917" spans="1:36" ht="18" customHeight="1" x14ac:dyDescent="0.35">
      <c r="A917" s="468"/>
      <c r="B917" s="468"/>
      <c r="C917" s="468"/>
      <c r="D917" s="468"/>
      <c r="E917" s="468"/>
      <c r="F917" s="468"/>
      <c r="G917" s="468"/>
      <c r="H917" s="468"/>
      <c r="I917" s="468"/>
      <c r="J917" s="468"/>
      <c r="K917" s="468"/>
      <c r="L917" s="468"/>
      <c r="M917" s="468"/>
      <c r="N917" s="468"/>
      <c r="O917" s="468"/>
      <c r="P917" s="468"/>
      <c r="Q917" s="468"/>
      <c r="R917" s="468"/>
      <c r="S917" s="468"/>
      <c r="T917" s="468"/>
      <c r="U917" s="468"/>
      <c r="V917" s="468"/>
      <c r="W917" s="468"/>
      <c r="X917" s="468"/>
      <c r="Y917" s="468"/>
      <c r="Z917" s="468"/>
      <c r="AA917" s="468"/>
      <c r="AB917" s="468"/>
      <c r="AC917" s="468"/>
      <c r="AD917" s="468"/>
      <c r="AE917" s="468"/>
      <c r="AF917" s="468"/>
      <c r="AG917" s="468"/>
      <c r="AH917" s="468"/>
      <c r="AI917" s="468"/>
      <c r="AJ917" s="468"/>
    </row>
    <row r="918" spans="1:36" ht="18" customHeight="1" x14ac:dyDescent="0.35">
      <c r="A918" s="468"/>
      <c r="B918" s="468"/>
      <c r="C918" s="468"/>
      <c r="D918" s="468"/>
      <c r="E918" s="468"/>
      <c r="F918" s="468"/>
      <c r="G918" s="468"/>
      <c r="H918" s="468"/>
      <c r="I918" s="468"/>
      <c r="J918" s="468"/>
      <c r="K918" s="468"/>
      <c r="L918" s="468"/>
      <c r="M918" s="468"/>
      <c r="N918" s="468"/>
      <c r="O918" s="468"/>
      <c r="P918" s="468"/>
      <c r="Q918" s="468"/>
      <c r="R918" s="468"/>
      <c r="S918" s="468"/>
      <c r="T918" s="468"/>
      <c r="U918" s="468"/>
      <c r="V918" s="468"/>
      <c r="W918" s="468"/>
      <c r="X918" s="468"/>
      <c r="Y918" s="468"/>
      <c r="Z918" s="468"/>
      <c r="AA918" s="468"/>
      <c r="AB918" s="468"/>
      <c r="AC918" s="468"/>
      <c r="AD918" s="468"/>
      <c r="AE918" s="468"/>
      <c r="AF918" s="468"/>
      <c r="AG918" s="468"/>
      <c r="AH918" s="468"/>
      <c r="AI918" s="468"/>
      <c r="AJ918" s="468"/>
    </row>
    <row r="919" spans="1:36" ht="18" customHeight="1" x14ac:dyDescent="0.35">
      <c r="A919" s="468"/>
      <c r="B919" s="468"/>
      <c r="C919" s="468"/>
      <c r="D919" s="468"/>
      <c r="E919" s="468"/>
      <c r="F919" s="468"/>
      <c r="G919" s="468"/>
      <c r="H919" s="468"/>
      <c r="I919" s="468"/>
      <c r="J919" s="468"/>
      <c r="K919" s="468"/>
      <c r="L919" s="468"/>
      <c r="M919" s="468"/>
      <c r="N919" s="468"/>
      <c r="O919" s="468"/>
      <c r="P919" s="468"/>
      <c r="Q919" s="468"/>
      <c r="R919" s="468"/>
      <c r="S919" s="468"/>
      <c r="T919" s="468"/>
      <c r="U919" s="468"/>
      <c r="V919" s="468"/>
      <c r="W919" s="468"/>
      <c r="X919" s="468"/>
      <c r="Y919" s="468"/>
      <c r="Z919" s="468"/>
      <c r="AA919" s="468"/>
      <c r="AB919" s="468"/>
      <c r="AC919" s="468"/>
      <c r="AD919" s="468"/>
      <c r="AE919" s="468"/>
      <c r="AF919" s="468"/>
      <c r="AG919" s="468"/>
      <c r="AH919" s="468"/>
      <c r="AI919" s="468"/>
      <c r="AJ919" s="468"/>
    </row>
    <row r="920" spans="1:36" ht="18" customHeight="1" x14ac:dyDescent="0.35">
      <c r="A920" s="468"/>
      <c r="B920" s="468"/>
      <c r="C920" s="468"/>
      <c r="D920" s="468"/>
      <c r="E920" s="468"/>
      <c r="F920" s="468"/>
      <c r="G920" s="468"/>
      <c r="H920" s="468"/>
      <c r="I920" s="468"/>
      <c r="J920" s="468"/>
      <c r="K920" s="468"/>
      <c r="L920" s="468"/>
      <c r="M920" s="468"/>
      <c r="N920" s="468"/>
      <c r="O920" s="468"/>
      <c r="P920" s="468"/>
      <c r="Q920" s="468"/>
      <c r="R920" s="468"/>
      <c r="S920" s="468"/>
      <c r="T920" s="468"/>
      <c r="U920" s="468"/>
      <c r="V920" s="468"/>
      <c r="W920" s="468"/>
      <c r="X920" s="468"/>
      <c r="Y920" s="468"/>
      <c r="Z920" s="468"/>
      <c r="AA920" s="468"/>
      <c r="AB920" s="468"/>
      <c r="AC920" s="468"/>
      <c r="AD920" s="468"/>
      <c r="AE920" s="468"/>
      <c r="AF920" s="468"/>
      <c r="AG920" s="468"/>
      <c r="AH920" s="468"/>
      <c r="AI920" s="468"/>
      <c r="AJ920" s="468"/>
    </row>
    <row r="921" spans="1:36" ht="18" customHeight="1" x14ac:dyDescent="0.35">
      <c r="A921" s="468"/>
      <c r="B921" s="468"/>
      <c r="C921" s="468"/>
      <c r="D921" s="468"/>
      <c r="E921" s="468"/>
      <c r="F921" s="468"/>
      <c r="G921" s="468"/>
      <c r="H921" s="468"/>
      <c r="I921" s="468"/>
      <c r="J921" s="468"/>
      <c r="K921" s="468"/>
      <c r="L921" s="468"/>
      <c r="M921" s="468"/>
      <c r="N921" s="468"/>
      <c r="O921" s="468"/>
      <c r="P921" s="468"/>
      <c r="Q921" s="468"/>
      <c r="R921" s="468"/>
      <c r="S921" s="468"/>
      <c r="T921" s="468"/>
      <c r="U921" s="468"/>
      <c r="V921" s="468"/>
      <c r="W921" s="468"/>
      <c r="X921" s="468"/>
      <c r="Y921" s="468"/>
      <c r="Z921" s="468"/>
      <c r="AA921" s="468"/>
      <c r="AB921" s="468"/>
      <c r="AC921" s="468"/>
      <c r="AD921" s="468"/>
      <c r="AE921" s="468"/>
      <c r="AF921" s="468"/>
      <c r="AG921" s="468"/>
      <c r="AH921" s="468"/>
      <c r="AI921" s="468"/>
      <c r="AJ921" s="468"/>
    </row>
    <row r="922" spans="1:36" ht="18" customHeight="1" x14ac:dyDescent="0.35">
      <c r="A922" s="468"/>
      <c r="B922" s="468"/>
      <c r="C922" s="468"/>
      <c r="D922" s="468"/>
      <c r="E922" s="468"/>
      <c r="F922" s="468"/>
      <c r="G922" s="468"/>
      <c r="H922" s="468"/>
      <c r="I922" s="468"/>
      <c r="J922" s="468"/>
      <c r="K922" s="468"/>
      <c r="L922" s="468"/>
      <c r="M922" s="468"/>
      <c r="N922" s="468"/>
      <c r="O922" s="468"/>
      <c r="P922" s="468"/>
      <c r="Q922" s="468"/>
      <c r="R922" s="468"/>
      <c r="S922" s="468"/>
      <c r="T922" s="468"/>
      <c r="U922" s="468"/>
      <c r="V922" s="468"/>
      <c r="W922" s="468"/>
      <c r="X922" s="468"/>
      <c r="Y922" s="468"/>
      <c r="Z922" s="468"/>
      <c r="AA922" s="468"/>
      <c r="AB922" s="468"/>
      <c r="AC922" s="468"/>
      <c r="AD922" s="468"/>
      <c r="AE922" s="468"/>
      <c r="AF922" s="468"/>
      <c r="AG922" s="468"/>
      <c r="AH922" s="468"/>
      <c r="AI922" s="468"/>
      <c r="AJ922" s="468"/>
    </row>
    <row r="923" spans="1:36" ht="18" customHeight="1" x14ac:dyDescent="0.35">
      <c r="A923" s="468"/>
      <c r="B923" s="468"/>
      <c r="C923" s="468"/>
      <c r="D923" s="468"/>
      <c r="E923" s="468"/>
      <c r="F923" s="468"/>
      <c r="G923" s="468"/>
      <c r="H923" s="468"/>
      <c r="I923" s="468"/>
      <c r="J923" s="468"/>
      <c r="K923" s="468"/>
      <c r="L923" s="468"/>
      <c r="M923" s="468"/>
      <c r="N923" s="468"/>
      <c r="O923" s="468"/>
      <c r="P923" s="468"/>
      <c r="Q923" s="468"/>
      <c r="R923" s="468"/>
      <c r="S923" s="468"/>
      <c r="T923" s="468"/>
      <c r="U923" s="468"/>
      <c r="V923" s="468"/>
      <c r="W923" s="468"/>
      <c r="X923" s="468"/>
      <c r="Y923" s="468"/>
      <c r="Z923" s="468"/>
      <c r="AA923" s="468"/>
      <c r="AB923" s="468"/>
      <c r="AC923" s="468"/>
      <c r="AD923" s="468"/>
      <c r="AE923" s="468"/>
      <c r="AF923" s="468"/>
      <c r="AG923" s="468"/>
      <c r="AH923" s="468"/>
      <c r="AI923" s="468"/>
      <c r="AJ923" s="468"/>
    </row>
    <row r="924" spans="1:36" ht="18" customHeight="1" x14ac:dyDescent="0.35">
      <c r="A924" s="468"/>
      <c r="B924" s="468"/>
      <c r="C924" s="468"/>
      <c r="D924" s="468"/>
      <c r="E924" s="468"/>
      <c r="F924" s="468"/>
      <c r="G924" s="468"/>
      <c r="H924" s="468"/>
      <c r="I924" s="468"/>
      <c r="J924" s="468"/>
      <c r="K924" s="468"/>
      <c r="L924" s="468"/>
      <c r="M924" s="468"/>
      <c r="N924" s="468"/>
      <c r="O924" s="468"/>
      <c r="P924" s="468"/>
      <c r="Q924" s="468"/>
      <c r="R924" s="468"/>
      <c r="S924" s="468"/>
      <c r="T924" s="468"/>
      <c r="U924" s="468"/>
      <c r="V924" s="468"/>
      <c r="W924" s="468"/>
      <c r="X924" s="468"/>
      <c r="Y924" s="468"/>
      <c r="Z924" s="468"/>
      <c r="AA924" s="468"/>
      <c r="AB924" s="468"/>
      <c r="AC924" s="468"/>
      <c r="AD924" s="468"/>
      <c r="AE924" s="468"/>
      <c r="AF924" s="468"/>
      <c r="AG924" s="468"/>
      <c r="AH924" s="468"/>
      <c r="AI924" s="468"/>
      <c r="AJ924" s="468"/>
    </row>
    <row r="925" spans="1:36" ht="18" customHeight="1" x14ac:dyDescent="0.35">
      <c r="A925" s="468"/>
      <c r="B925" s="468"/>
      <c r="C925" s="468"/>
      <c r="D925" s="468"/>
      <c r="E925" s="468"/>
      <c r="F925" s="468"/>
      <c r="G925" s="468"/>
      <c r="H925" s="468"/>
      <c r="I925" s="468"/>
      <c r="J925" s="468"/>
      <c r="K925" s="468"/>
      <c r="L925" s="468"/>
      <c r="M925" s="468"/>
      <c r="N925" s="468"/>
      <c r="O925" s="468"/>
      <c r="P925" s="468"/>
      <c r="Q925" s="468"/>
      <c r="R925" s="468"/>
      <c r="S925" s="468"/>
      <c r="T925" s="468"/>
      <c r="U925" s="468"/>
      <c r="V925" s="468"/>
      <c r="W925" s="468"/>
      <c r="X925" s="468"/>
      <c r="Y925" s="468"/>
      <c r="Z925" s="468"/>
      <c r="AA925" s="468"/>
      <c r="AB925" s="468"/>
      <c r="AC925" s="468"/>
      <c r="AD925" s="468"/>
      <c r="AE925" s="468"/>
      <c r="AF925" s="468"/>
      <c r="AG925" s="468"/>
      <c r="AH925" s="468"/>
      <c r="AI925" s="468"/>
      <c r="AJ925" s="468"/>
    </row>
    <row r="926" spans="1:36" ht="18" customHeight="1" x14ac:dyDescent="0.35">
      <c r="A926" s="468"/>
      <c r="B926" s="468"/>
      <c r="C926" s="468"/>
      <c r="D926" s="468"/>
      <c r="E926" s="468"/>
      <c r="F926" s="468"/>
      <c r="G926" s="468"/>
      <c r="H926" s="468"/>
      <c r="I926" s="468"/>
      <c r="J926" s="468"/>
      <c r="K926" s="468"/>
      <c r="L926" s="468"/>
      <c r="M926" s="468"/>
      <c r="N926" s="468"/>
      <c r="O926" s="468"/>
      <c r="P926" s="468"/>
      <c r="Q926" s="468"/>
      <c r="R926" s="468"/>
      <c r="S926" s="468"/>
      <c r="T926" s="468"/>
      <c r="U926" s="468"/>
      <c r="V926" s="468"/>
      <c r="W926" s="468"/>
      <c r="X926" s="468"/>
      <c r="Y926" s="468"/>
      <c r="Z926" s="468"/>
      <c r="AA926" s="468"/>
      <c r="AB926" s="468"/>
      <c r="AC926" s="468"/>
      <c r="AD926" s="468"/>
      <c r="AE926" s="468"/>
      <c r="AF926" s="468"/>
      <c r="AG926" s="468"/>
      <c r="AH926" s="468"/>
      <c r="AI926" s="468"/>
      <c r="AJ926" s="468"/>
    </row>
    <row r="927" spans="1:36" ht="18" customHeight="1" x14ac:dyDescent="0.35">
      <c r="A927" s="468"/>
      <c r="B927" s="468"/>
      <c r="C927" s="468"/>
      <c r="D927" s="468"/>
      <c r="E927" s="468"/>
      <c r="F927" s="468"/>
      <c r="G927" s="468"/>
      <c r="H927" s="468"/>
      <c r="I927" s="468"/>
      <c r="J927" s="468"/>
      <c r="K927" s="468"/>
      <c r="L927" s="468"/>
      <c r="M927" s="468"/>
      <c r="N927" s="468"/>
      <c r="O927" s="468"/>
      <c r="P927" s="468"/>
      <c r="Q927" s="468"/>
      <c r="R927" s="468"/>
      <c r="S927" s="468"/>
      <c r="T927" s="468"/>
      <c r="U927" s="468"/>
      <c r="V927" s="468"/>
      <c r="W927" s="468"/>
      <c r="X927" s="468"/>
      <c r="Y927" s="468"/>
      <c r="Z927" s="468"/>
      <c r="AA927" s="468"/>
      <c r="AB927" s="468"/>
      <c r="AC927" s="468"/>
      <c r="AD927" s="468"/>
      <c r="AE927" s="468"/>
      <c r="AF927" s="468"/>
      <c r="AG927" s="468"/>
      <c r="AH927" s="468"/>
      <c r="AI927" s="468"/>
      <c r="AJ927" s="468"/>
    </row>
    <row r="928" spans="1:36" ht="18" customHeight="1" x14ac:dyDescent="0.35">
      <c r="A928" s="468"/>
      <c r="B928" s="468"/>
      <c r="C928" s="468"/>
      <c r="D928" s="468"/>
      <c r="E928" s="468"/>
      <c r="F928" s="468"/>
      <c r="G928" s="468"/>
      <c r="H928" s="468"/>
      <c r="I928" s="468"/>
      <c r="J928" s="468"/>
      <c r="K928" s="468"/>
      <c r="L928" s="468"/>
      <c r="M928" s="468"/>
      <c r="N928" s="468"/>
      <c r="O928" s="468"/>
      <c r="P928" s="468"/>
      <c r="Q928" s="468"/>
      <c r="R928" s="468"/>
      <c r="S928" s="468"/>
      <c r="T928" s="468"/>
      <c r="U928" s="468"/>
      <c r="V928" s="468"/>
      <c r="W928" s="468"/>
      <c r="X928" s="468"/>
      <c r="Y928" s="468"/>
      <c r="Z928" s="468"/>
      <c r="AA928" s="468"/>
      <c r="AB928" s="468"/>
      <c r="AC928" s="468"/>
      <c r="AD928" s="468"/>
      <c r="AE928" s="468"/>
      <c r="AF928" s="468"/>
      <c r="AG928" s="468"/>
      <c r="AH928" s="468"/>
      <c r="AI928" s="468"/>
      <c r="AJ928" s="468"/>
    </row>
    <row r="929" spans="1:36" ht="18" customHeight="1" x14ac:dyDescent="0.35">
      <c r="A929" s="468"/>
      <c r="B929" s="468"/>
      <c r="C929" s="468"/>
      <c r="D929" s="468"/>
      <c r="E929" s="468"/>
      <c r="F929" s="468"/>
      <c r="G929" s="468"/>
      <c r="H929" s="468"/>
      <c r="I929" s="468"/>
      <c r="J929" s="468"/>
      <c r="K929" s="468"/>
      <c r="L929" s="468"/>
      <c r="M929" s="468"/>
      <c r="N929" s="468"/>
      <c r="O929" s="468"/>
      <c r="P929" s="468"/>
      <c r="Q929" s="468"/>
      <c r="R929" s="468"/>
      <c r="S929" s="468"/>
      <c r="T929" s="468"/>
      <c r="U929" s="468"/>
      <c r="V929" s="468"/>
      <c r="W929" s="468"/>
      <c r="X929" s="468"/>
      <c r="Y929" s="468"/>
      <c r="Z929" s="468"/>
      <c r="AA929" s="468"/>
      <c r="AB929" s="468"/>
      <c r="AC929" s="468"/>
      <c r="AD929" s="468"/>
      <c r="AE929" s="468"/>
      <c r="AF929" s="468"/>
      <c r="AG929" s="468"/>
      <c r="AH929" s="468"/>
      <c r="AI929" s="468"/>
      <c r="AJ929" s="468"/>
    </row>
    <row r="930" spans="1:36" ht="18" customHeight="1" x14ac:dyDescent="0.35">
      <c r="A930" s="468"/>
      <c r="B930" s="468"/>
      <c r="C930" s="468"/>
      <c r="D930" s="468"/>
      <c r="E930" s="468"/>
      <c r="F930" s="468"/>
      <c r="G930" s="468"/>
      <c r="H930" s="468"/>
      <c r="I930" s="468"/>
      <c r="J930" s="468"/>
      <c r="K930" s="468"/>
      <c r="L930" s="468"/>
      <c r="M930" s="468"/>
      <c r="N930" s="468"/>
      <c r="O930" s="468"/>
      <c r="P930" s="468"/>
      <c r="Q930" s="468"/>
      <c r="R930" s="468"/>
      <c r="S930" s="468"/>
      <c r="T930" s="468"/>
      <c r="U930" s="468"/>
      <c r="V930" s="468"/>
      <c r="W930" s="468"/>
      <c r="X930" s="468"/>
      <c r="Y930" s="468"/>
      <c r="Z930" s="468"/>
      <c r="AA930" s="468"/>
      <c r="AB930" s="468"/>
      <c r="AC930" s="468"/>
      <c r="AD930" s="468"/>
      <c r="AE930" s="468"/>
      <c r="AF930" s="468"/>
      <c r="AG930" s="468"/>
      <c r="AH930" s="468"/>
      <c r="AI930" s="468"/>
      <c r="AJ930" s="468"/>
    </row>
    <row r="931" spans="1:36" ht="18" customHeight="1" x14ac:dyDescent="0.35">
      <c r="A931" s="468"/>
      <c r="B931" s="468"/>
      <c r="C931" s="468"/>
      <c r="D931" s="468"/>
      <c r="E931" s="468"/>
      <c r="F931" s="468"/>
      <c r="G931" s="468"/>
      <c r="H931" s="468"/>
      <c r="I931" s="468"/>
      <c r="J931" s="468"/>
      <c r="K931" s="468"/>
      <c r="L931" s="468"/>
      <c r="M931" s="468"/>
      <c r="N931" s="468"/>
      <c r="O931" s="468"/>
      <c r="P931" s="468"/>
      <c r="Q931" s="468"/>
      <c r="R931" s="468"/>
      <c r="S931" s="468"/>
      <c r="T931" s="468"/>
      <c r="U931" s="468"/>
      <c r="V931" s="468"/>
      <c r="W931" s="468"/>
      <c r="X931" s="468"/>
      <c r="Y931" s="468"/>
      <c r="Z931" s="468"/>
      <c r="AA931" s="468"/>
      <c r="AB931" s="468"/>
      <c r="AC931" s="468"/>
      <c r="AD931" s="468"/>
      <c r="AE931" s="468"/>
      <c r="AF931" s="468"/>
      <c r="AG931" s="468"/>
      <c r="AH931" s="468"/>
      <c r="AI931" s="468"/>
      <c r="AJ931" s="468"/>
    </row>
    <row r="932" spans="1:36" ht="18" customHeight="1" x14ac:dyDescent="0.35">
      <c r="A932" s="468"/>
      <c r="B932" s="468"/>
      <c r="C932" s="468"/>
      <c r="D932" s="468"/>
      <c r="E932" s="468"/>
      <c r="F932" s="468"/>
      <c r="G932" s="468"/>
      <c r="H932" s="468"/>
      <c r="I932" s="468"/>
      <c r="J932" s="468"/>
      <c r="K932" s="468"/>
      <c r="L932" s="468"/>
      <c r="M932" s="468"/>
      <c r="N932" s="468"/>
      <c r="O932" s="468"/>
      <c r="P932" s="468"/>
      <c r="Q932" s="468"/>
      <c r="R932" s="468"/>
      <c r="S932" s="468"/>
      <c r="T932" s="468"/>
      <c r="U932" s="468"/>
      <c r="V932" s="468"/>
      <c r="W932" s="468"/>
      <c r="X932" s="468"/>
      <c r="Y932" s="468"/>
      <c r="Z932" s="468"/>
      <c r="AA932" s="468"/>
      <c r="AB932" s="468"/>
      <c r="AC932" s="468"/>
      <c r="AD932" s="468"/>
      <c r="AE932" s="468"/>
      <c r="AF932" s="468"/>
      <c r="AG932" s="468"/>
      <c r="AH932" s="468"/>
      <c r="AI932" s="468"/>
      <c r="AJ932" s="468"/>
    </row>
    <row r="933" spans="1:36" ht="18" customHeight="1" x14ac:dyDescent="0.35">
      <c r="A933" s="468"/>
      <c r="B933" s="468"/>
      <c r="C933" s="468"/>
      <c r="D933" s="468"/>
      <c r="E933" s="468"/>
      <c r="F933" s="468"/>
      <c r="G933" s="468"/>
      <c r="H933" s="468"/>
      <c r="I933" s="468"/>
      <c r="J933" s="468"/>
      <c r="K933" s="468"/>
      <c r="L933" s="468"/>
      <c r="M933" s="468"/>
      <c r="N933" s="468"/>
      <c r="O933" s="468"/>
      <c r="P933" s="468"/>
      <c r="Q933" s="468"/>
      <c r="R933" s="468"/>
      <c r="S933" s="468"/>
      <c r="T933" s="468"/>
      <c r="U933" s="468"/>
      <c r="V933" s="468"/>
      <c r="W933" s="468"/>
      <c r="X933" s="468"/>
      <c r="Y933" s="468"/>
      <c r="Z933" s="468"/>
      <c r="AA933" s="468"/>
      <c r="AB933" s="468"/>
      <c r="AC933" s="468"/>
      <c r="AD933" s="468"/>
      <c r="AE933" s="468"/>
      <c r="AF933" s="468"/>
      <c r="AG933" s="468"/>
      <c r="AH933" s="468"/>
      <c r="AI933" s="468"/>
      <c r="AJ933" s="468"/>
    </row>
    <row r="934" spans="1:36" ht="18" customHeight="1" x14ac:dyDescent="0.35">
      <c r="A934" s="468"/>
      <c r="B934" s="468"/>
      <c r="C934" s="468"/>
      <c r="D934" s="468"/>
      <c r="E934" s="468"/>
      <c r="F934" s="468"/>
      <c r="G934" s="468"/>
      <c r="H934" s="468"/>
      <c r="I934" s="468"/>
      <c r="J934" s="468"/>
      <c r="K934" s="468"/>
      <c r="L934" s="468"/>
      <c r="M934" s="468"/>
      <c r="N934" s="468"/>
      <c r="O934" s="468"/>
      <c r="P934" s="468"/>
      <c r="Q934" s="468"/>
      <c r="R934" s="468"/>
      <c r="S934" s="468"/>
      <c r="T934" s="468"/>
      <c r="U934" s="468"/>
      <c r="V934" s="468"/>
      <c r="W934" s="468"/>
      <c r="X934" s="468"/>
      <c r="Y934" s="468"/>
      <c r="Z934" s="468"/>
      <c r="AA934" s="468"/>
      <c r="AB934" s="468"/>
      <c r="AC934" s="468"/>
      <c r="AD934" s="468"/>
      <c r="AE934" s="468"/>
      <c r="AF934" s="468"/>
      <c r="AG934" s="468"/>
      <c r="AH934" s="468"/>
      <c r="AI934" s="468"/>
      <c r="AJ934" s="468"/>
    </row>
    <row r="935" spans="1:36" ht="18" customHeight="1" x14ac:dyDescent="0.35">
      <c r="A935" s="468"/>
      <c r="B935" s="468"/>
      <c r="C935" s="468"/>
      <c r="D935" s="468"/>
      <c r="E935" s="468"/>
      <c r="F935" s="468"/>
      <c r="G935" s="468"/>
      <c r="H935" s="468"/>
      <c r="I935" s="468"/>
      <c r="J935" s="468"/>
      <c r="K935" s="468"/>
      <c r="L935" s="468"/>
      <c r="M935" s="468"/>
      <c r="N935" s="468"/>
      <c r="O935" s="468"/>
      <c r="P935" s="468"/>
      <c r="Q935" s="468"/>
      <c r="R935" s="468"/>
      <c r="S935" s="468"/>
      <c r="T935" s="468"/>
      <c r="U935" s="468"/>
      <c r="V935" s="468"/>
      <c r="W935" s="468"/>
      <c r="X935" s="468"/>
      <c r="Y935" s="468"/>
      <c r="Z935" s="468"/>
      <c r="AA935" s="468"/>
      <c r="AB935" s="468"/>
      <c r="AC935" s="468"/>
      <c r="AD935" s="468"/>
      <c r="AE935" s="468"/>
      <c r="AF935" s="468"/>
      <c r="AG935" s="468"/>
      <c r="AH935" s="468"/>
      <c r="AI935" s="468"/>
      <c r="AJ935" s="468"/>
    </row>
    <row r="936" spans="1:36" ht="18" customHeight="1" x14ac:dyDescent="0.35">
      <c r="A936" s="468"/>
      <c r="B936" s="468"/>
      <c r="C936" s="468"/>
      <c r="D936" s="468"/>
      <c r="E936" s="468"/>
      <c r="F936" s="468"/>
      <c r="G936" s="468"/>
      <c r="H936" s="468"/>
      <c r="I936" s="468"/>
      <c r="J936" s="468"/>
      <c r="K936" s="468"/>
      <c r="L936" s="468"/>
      <c r="M936" s="468"/>
      <c r="N936" s="468"/>
      <c r="O936" s="468"/>
      <c r="P936" s="468"/>
      <c r="Q936" s="468"/>
      <c r="R936" s="468"/>
      <c r="S936" s="468"/>
      <c r="T936" s="468"/>
      <c r="U936" s="468"/>
      <c r="V936" s="468"/>
      <c r="W936" s="468"/>
      <c r="X936" s="468"/>
      <c r="Y936" s="468"/>
      <c r="Z936" s="468"/>
      <c r="AA936" s="468"/>
      <c r="AB936" s="468"/>
      <c r="AC936" s="468"/>
      <c r="AD936" s="468"/>
      <c r="AE936" s="468"/>
      <c r="AF936" s="468"/>
      <c r="AG936" s="468"/>
      <c r="AH936" s="468"/>
      <c r="AI936" s="468"/>
      <c r="AJ936" s="468"/>
    </row>
    <row r="937" spans="1:36" ht="18" customHeight="1" x14ac:dyDescent="0.35">
      <c r="A937" s="468"/>
      <c r="B937" s="468"/>
      <c r="C937" s="468"/>
      <c r="D937" s="468"/>
      <c r="E937" s="468"/>
      <c r="F937" s="468"/>
      <c r="G937" s="468"/>
      <c r="H937" s="468"/>
      <c r="I937" s="468"/>
      <c r="J937" s="468"/>
      <c r="K937" s="468"/>
      <c r="L937" s="468"/>
      <c r="M937" s="468"/>
      <c r="N937" s="468"/>
      <c r="O937" s="468"/>
      <c r="P937" s="468"/>
      <c r="Q937" s="468"/>
      <c r="R937" s="468"/>
      <c r="S937" s="468"/>
      <c r="T937" s="468"/>
      <c r="U937" s="468"/>
      <c r="V937" s="468"/>
      <c r="W937" s="468"/>
      <c r="X937" s="468"/>
      <c r="Y937" s="468"/>
      <c r="Z937" s="468"/>
      <c r="AA937" s="468"/>
      <c r="AB937" s="468"/>
      <c r="AC937" s="468"/>
      <c r="AD937" s="468"/>
      <c r="AE937" s="468"/>
      <c r="AF937" s="468"/>
      <c r="AG937" s="468"/>
      <c r="AH937" s="468"/>
      <c r="AI937" s="468"/>
      <c r="AJ937" s="468"/>
    </row>
    <row r="938" spans="1:36" ht="18" customHeight="1" x14ac:dyDescent="0.35">
      <c r="A938" s="468"/>
      <c r="B938" s="468"/>
      <c r="C938" s="468"/>
      <c r="D938" s="468"/>
      <c r="E938" s="468"/>
      <c r="F938" s="468"/>
      <c r="G938" s="468"/>
      <c r="H938" s="468"/>
      <c r="I938" s="468"/>
      <c r="J938" s="468"/>
      <c r="K938" s="468"/>
      <c r="L938" s="468"/>
      <c r="M938" s="468"/>
      <c r="N938" s="468"/>
      <c r="O938" s="468"/>
      <c r="P938" s="468"/>
      <c r="Q938" s="468"/>
      <c r="R938" s="468"/>
      <c r="S938" s="468"/>
      <c r="T938" s="468"/>
      <c r="U938" s="468"/>
      <c r="V938" s="468"/>
      <c r="W938" s="468"/>
      <c r="X938" s="468"/>
      <c r="Y938" s="468"/>
      <c r="Z938" s="468"/>
      <c r="AA938" s="468"/>
      <c r="AB938" s="468"/>
      <c r="AC938" s="468"/>
      <c r="AD938" s="468"/>
      <c r="AE938" s="468"/>
      <c r="AF938" s="468"/>
      <c r="AG938" s="468"/>
      <c r="AH938" s="468"/>
      <c r="AI938" s="468"/>
      <c r="AJ938" s="468"/>
    </row>
    <row r="939" spans="1:36" ht="18" customHeight="1" x14ac:dyDescent="0.35">
      <c r="A939" s="468"/>
      <c r="B939" s="468"/>
      <c r="C939" s="468"/>
      <c r="D939" s="468"/>
      <c r="E939" s="468"/>
      <c r="F939" s="468"/>
      <c r="G939" s="468"/>
      <c r="H939" s="468"/>
      <c r="I939" s="468"/>
      <c r="J939" s="468"/>
      <c r="K939" s="468"/>
      <c r="L939" s="468"/>
      <c r="M939" s="468"/>
      <c r="N939" s="468"/>
      <c r="O939" s="468"/>
      <c r="P939" s="468"/>
      <c r="Q939" s="468"/>
      <c r="R939" s="468"/>
      <c r="S939" s="468"/>
      <c r="T939" s="468"/>
      <c r="U939" s="468"/>
      <c r="V939" s="468"/>
      <c r="W939" s="468"/>
      <c r="X939" s="468"/>
      <c r="Y939" s="468"/>
      <c r="Z939" s="468"/>
      <c r="AA939" s="468"/>
      <c r="AB939" s="468"/>
      <c r="AC939" s="468"/>
      <c r="AD939" s="468"/>
      <c r="AE939" s="468"/>
      <c r="AF939" s="468"/>
      <c r="AG939" s="468"/>
      <c r="AH939" s="468"/>
      <c r="AI939" s="468"/>
      <c r="AJ939" s="468"/>
    </row>
    <row r="940" spans="1:36" ht="18" customHeight="1" x14ac:dyDescent="0.35">
      <c r="A940" s="468"/>
      <c r="B940" s="468"/>
      <c r="C940" s="468"/>
      <c r="D940" s="468"/>
      <c r="E940" s="468"/>
      <c r="F940" s="468"/>
      <c r="G940" s="468"/>
      <c r="H940" s="468"/>
      <c r="I940" s="468"/>
      <c r="J940" s="468"/>
      <c r="K940" s="468"/>
      <c r="L940" s="468"/>
      <c r="M940" s="468"/>
      <c r="N940" s="468"/>
      <c r="O940" s="468"/>
      <c r="P940" s="468"/>
      <c r="Q940" s="468"/>
      <c r="R940" s="468"/>
      <c r="S940" s="468"/>
      <c r="T940" s="468"/>
      <c r="U940" s="468"/>
      <c r="V940" s="468"/>
      <c r="W940" s="468"/>
      <c r="X940" s="468"/>
      <c r="Y940" s="468"/>
      <c r="Z940" s="468"/>
      <c r="AA940" s="468"/>
      <c r="AB940" s="468"/>
      <c r="AC940" s="468"/>
      <c r="AD940" s="468"/>
      <c r="AE940" s="468"/>
      <c r="AF940" s="468"/>
      <c r="AG940" s="468"/>
      <c r="AH940" s="468"/>
      <c r="AI940" s="468"/>
      <c r="AJ940" s="468"/>
    </row>
    <row r="941" spans="1:36" ht="18" customHeight="1" x14ac:dyDescent="0.35">
      <c r="A941" s="468"/>
      <c r="B941" s="468"/>
      <c r="C941" s="468"/>
      <c r="D941" s="468"/>
      <c r="E941" s="468"/>
      <c r="F941" s="468"/>
      <c r="G941" s="468"/>
      <c r="H941" s="468"/>
      <c r="I941" s="468"/>
      <c r="J941" s="468"/>
      <c r="K941" s="468"/>
      <c r="L941" s="468"/>
      <c r="M941" s="468"/>
      <c r="N941" s="468"/>
      <c r="O941" s="468"/>
      <c r="P941" s="468"/>
      <c r="Q941" s="468"/>
      <c r="R941" s="468"/>
      <c r="S941" s="468"/>
      <c r="T941" s="468"/>
      <c r="U941" s="468"/>
      <c r="V941" s="468"/>
      <c r="W941" s="468"/>
      <c r="X941" s="468"/>
      <c r="Y941" s="468"/>
      <c r="Z941" s="468"/>
      <c r="AA941" s="468"/>
      <c r="AB941" s="468"/>
      <c r="AC941" s="468"/>
      <c r="AD941" s="468"/>
      <c r="AE941" s="468"/>
      <c r="AF941" s="468"/>
      <c r="AG941" s="468"/>
      <c r="AH941" s="468"/>
      <c r="AI941" s="468"/>
      <c r="AJ941" s="468"/>
    </row>
    <row r="942" spans="1:36" ht="18" customHeight="1" x14ac:dyDescent="0.35">
      <c r="A942" s="468"/>
      <c r="B942" s="468"/>
      <c r="C942" s="468"/>
      <c r="D942" s="468"/>
      <c r="E942" s="468"/>
      <c r="F942" s="468"/>
      <c r="G942" s="468"/>
      <c r="H942" s="468"/>
      <c r="I942" s="468"/>
      <c r="J942" s="468"/>
      <c r="K942" s="468"/>
      <c r="L942" s="468"/>
      <c r="M942" s="468"/>
      <c r="N942" s="468"/>
      <c r="O942" s="468"/>
      <c r="P942" s="468"/>
      <c r="Q942" s="468"/>
      <c r="R942" s="468"/>
      <c r="S942" s="468"/>
      <c r="T942" s="468"/>
      <c r="U942" s="468"/>
      <c r="V942" s="468"/>
      <c r="W942" s="468"/>
      <c r="X942" s="468"/>
      <c r="Y942" s="468"/>
      <c r="Z942" s="468"/>
      <c r="AA942" s="468"/>
      <c r="AB942" s="468"/>
      <c r="AC942" s="468"/>
      <c r="AD942" s="468"/>
      <c r="AE942" s="468"/>
      <c r="AF942" s="468"/>
      <c r="AG942" s="468"/>
      <c r="AH942" s="468"/>
      <c r="AI942" s="468"/>
      <c r="AJ942" s="468"/>
    </row>
    <row r="943" spans="1:36" ht="18" customHeight="1" x14ac:dyDescent="0.35">
      <c r="A943" s="468"/>
      <c r="B943" s="468"/>
      <c r="C943" s="468"/>
      <c r="D943" s="468"/>
      <c r="E943" s="468"/>
      <c r="F943" s="468"/>
      <c r="G943" s="468"/>
      <c r="H943" s="468"/>
      <c r="I943" s="468"/>
      <c r="J943" s="468"/>
      <c r="K943" s="468"/>
      <c r="L943" s="468"/>
      <c r="M943" s="468"/>
      <c r="N943" s="468"/>
      <c r="O943" s="468"/>
      <c r="P943" s="468"/>
      <c r="Q943" s="468"/>
      <c r="R943" s="468"/>
      <c r="S943" s="468"/>
      <c r="T943" s="468"/>
      <c r="U943" s="468"/>
      <c r="V943" s="468"/>
      <c r="W943" s="468"/>
      <c r="X943" s="468"/>
      <c r="Y943" s="468"/>
      <c r="Z943" s="468"/>
      <c r="AA943" s="468"/>
      <c r="AB943" s="468"/>
      <c r="AC943" s="468"/>
      <c r="AD943" s="468"/>
      <c r="AE943" s="468"/>
      <c r="AF943" s="468"/>
      <c r="AG943" s="468"/>
      <c r="AH943" s="468"/>
      <c r="AI943" s="468"/>
      <c r="AJ943" s="468"/>
    </row>
    <row r="944" spans="1:36" ht="18" customHeight="1" x14ac:dyDescent="0.35">
      <c r="A944" s="468"/>
      <c r="B944" s="468"/>
      <c r="C944" s="468"/>
      <c r="D944" s="468"/>
      <c r="E944" s="468"/>
      <c r="F944" s="468"/>
      <c r="G944" s="468"/>
      <c r="H944" s="468"/>
      <c r="I944" s="468"/>
      <c r="J944" s="468"/>
      <c r="K944" s="468"/>
      <c r="L944" s="468"/>
      <c r="M944" s="468"/>
      <c r="N944" s="468"/>
      <c r="O944" s="468"/>
      <c r="P944" s="468"/>
      <c r="Q944" s="468"/>
      <c r="R944" s="468"/>
      <c r="S944" s="468"/>
      <c r="T944" s="468"/>
      <c r="U944" s="468"/>
      <c r="V944" s="468"/>
      <c r="W944" s="468"/>
      <c r="X944" s="468"/>
      <c r="Y944" s="468"/>
      <c r="Z944" s="468"/>
      <c r="AA944" s="468"/>
      <c r="AB944" s="468"/>
      <c r="AC944" s="468"/>
      <c r="AD944" s="468"/>
      <c r="AE944" s="468"/>
      <c r="AF944" s="468"/>
      <c r="AG944" s="468"/>
      <c r="AH944" s="468"/>
      <c r="AI944" s="468"/>
      <c r="AJ944" s="468"/>
    </row>
    <row r="945" spans="1:36" ht="18" customHeight="1" x14ac:dyDescent="0.35">
      <c r="A945" s="468"/>
      <c r="B945" s="468"/>
      <c r="C945" s="468"/>
      <c r="D945" s="468"/>
      <c r="E945" s="468"/>
      <c r="F945" s="468"/>
      <c r="G945" s="468"/>
      <c r="H945" s="468"/>
      <c r="I945" s="468"/>
      <c r="J945" s="468"/>
      <c r="K945" s="468"/>
      <c r="L945" s="468"/>
      <c r="M945" s="468"/>
      <c r="N945" s="468"/>
      <c r="O945" s="468"/>
      <c r="P945" s="468"/>
      <c r="Q945" s="468"/>
      <c r="R945" s="468"/>
      <c r="S945" s="468"/>
      <c r="T945" s="468"/>
      <c r="U945" s="468"/>
      <c r="V945" s="468"/>
      <c r="W945" s="468"/>
      <c r="X945" s="468"/>
      <c r="Y945" s="468"/>
      <c r="Z945" s="468"/>
      <c r="AA945" s="468"/>
      <c r="AB945" s="468"/>
      <c r="AC945" s="468"/>
      <c r="AD945" s="468"/>
      <c r="AE945" s="468"/>
      <c r="AF945" s="468"/>
      <c r="AG945" s="468"/>
      <c r="AH945" s="468"/>
      <c r="AI945" s="468"/>
      <c r="AJ945" s="468"/>
    </row>
    <row r="946" spans="1:36" ht="18" customHeight="1" x14ac:dyDescent="0.35">
      <c r="A946" s="468"/>
      <c r="B946" s="468"/>
      <c r="C946" s="468"/>
      <c r="D946" s="468"/>
      <c r="E946" s="468"/>
      <c r="F946" s="468"/>
      <c r="G946" s="468"/>
      <c r="H946" s="468"/>
      <c r="I946" s="468"/>
      <c r="J946" s="468"/>
      <c r="K946" s="468"/>
      <c r="L946" s="468"/>
      <c r="M946" s="468"/>
      <c r="N946" s="468"/>
      <c r="O946" s="468"/>
      <c r="P946" s="468"/>
      <c r="Q946" s="468"/>
      <c r="R946" s="468"/>
      <c r="S946" s="468"/>
      <c r="T946" s="468"/>
      <c r="U946" s="468"/>
      <c r="V946" s="468"/>
      <c r="W946" s="468"/>
      <c r="X946" s="468"/>
      <c r="Y946" s="468"/>
      <c r="Z946" s="468"/>
      <c r="AA946" s="468"/>
      <c r="AB946" s="468"/>
      <c r="AC946" s="468"/>
      <c r="AD946" s="468"/>
      <c r="AE946" s="468"/>
      <c r="AF946" s="468"/>
      <c r="AG946" s="468"/>
      <c r="AH946" s="468"/>
      <c r="AI946" s="468"/>
      <c r="AJ946" s="468"/>
    </row>
    <row r="947" spans="1:36" ht="18" customHeight="1" x14ac:dyDescent="0.35">
      <c r="A947" s="468"/>
      <c r="B947" s="468"/>
      <c r="C947" s="468"/>
      <c r="D947" s="468"/>
      <c r="E947" s="468"/>
      <c r="F947" s="468"/>
      <c r="G947" s="468"/>
      <c r="H947" s="468"/>
      <c r="I947" s="468"/>
      <c r="J947" s="468"/>
      <c r="K947" s="468"/>
      <c r="L947" s="468"/>
      <c r="M947" s="468"/>
      <c r="N947" s="468"/>
      <c r="O947" s="468"/>
      <c r="P947" s="468"/>
      <c r="Q947" s="468"/>
      <c r="R947" s="468"/>
      <c r="S947" s="468"/>
      <c r="T947" s="468"/>
      <c r="U947" s="468"/>
      <c r="V947" s="468"/>
      <c r="W947" s="468"/>
      <c r="X947" s="468"/>
      <c r="Y947" s="468"/>
      <c r="Z947" s="468"/>
      <c r="AA947" s="468"/>
      <c r="AB947" s="468"/>
      <c r="AC947" s="468"/>
      <c r="AD947" s="468"/>
      <c r="AE947" s="468"/>
      <c r="AF947" s="468"/>
      <c r="AG947" s="468"/>
      <c r="AH947" s="468"/>
      <c r="AI947" s="468"/>
      <c r="AJ947" s="468"/>
    </row>
    <row r="948" spans="1:36" ht="18" customHeight="1" x14ac:dyDescent="0.35">
      <c r="A948" s="468"/>
      <c r="B948" s="468"/>
      <c r="C948" s="468"/>
      <c r="D948" s="468"/>
      <c r="E948" s="468"/>
      <c r="F948" s="468"/>
      <c r="G948" s="468"/>
      <c r="H948" s="468"/>
      <c r="I948" s="468"/>
      <c r="J948" s="468"/>
      <c r="K948" s="468"/>
      <c r="L948" s="468"/>
      <c r="M948" s="468"/>
      <c r="N948" s="468"/>
      <c r="O948" s="468"/>
      <c r="P948" s="468"/>
      <c r="Q948" s="468"/>
      <c r="R948" s="468"/>
      <c r="S948" s="468"/>
      <c r="T948" s="468"/>
      <c r="U948" s="468"/>
      <c r="V948" s="468"/>
      <c r="W948" s="468"/>
      <c r="X948" s="468"/>
      <c r="Y948" s="468"/>
      <c r="Z948" s="468"/>
      <c r="AA948" s="468"/>
      <c r="AB948" s="468"/>
      <c r="AC948" s="468"/>
      <c r="AD948" s="468"/>
      <c r="AE948" s="468"/>
      <c r="AF948" s="468"/>
      <c r="AG948" s="468"/>
      <c r="AH948" s="468"/>
      <c r="AI948" s="468"/>
      <c r="AJ948" s="468"/>
    </row>
    <row r="949" spans="1:36" ht="18" customHeight="1" x14ac:dyDescent="0.35">
      <c r="A949" s="468"/>
      <c r="B949" s="468"/>
      <c r="C949" s="468"/>
      <c r="D949" s="468"/>
      <c r="E949" s="468"/>
      <c r="F949" s="468"/>
      <c r="G949" s="468"/>
      <c r="H949" s="468"/>
      <c r="I949" s="468"/>
      <c r="J949" s="468"/>
      <c r="K949" s="468"/>
      <c r="L949" s="468"/>
      <c r="M949" s="468"/>
      <c r="N949" s="468"/>
      <c r="O949" s="468"/>
      <c r="P949" s="468"/>
      <c r="Q949" s="468"/>
      <c r="R949" s="468"/>
      <c r="S949" s="468"/>
      <c r="T949" s="468"/>
      <c r="U949" s="468"/>
      <c r="V949" s="468"/>
      <c r="W949" s="468"/>
      <c r="X949" s="468"/>
      <c r="Y949" s="468"/>
      <c r="Z949" s="468"/>
      <c r="AA949" s="468"/>
      <c r="AB949" s="468"/>
      <c r="AC949" s="468"/>
      <c r="AD949" s="468"/>
      <c r="AE949" s="468"/>
      <c r="AF949" s="468"/>
      <c r="AG949" s="468"/>
      <c r="AH949" s="468"/>
      <c r="AI949" s="468"/>
      <c r="AJ949" s="468"/>
    </row>
    <row r="950" spans="1:36" ht="18" customHeight="1" x14ac:dyDescent="0.35">
      <c r="A950" s="468"/>
      <c r="B950" s="468"/>
      <c r="C950" s="468"/>
      <c r="D950" s="468"/>
      <c r="E950" s="468"/>
      <c r="F950" s="468"/>
      <c r="G950" s="468"/>
      <c r="H950" s="468"/>
      <c r="I950" s="468"/>
      <c r="J950" s="468"/>
      <c r="K950" s="468"/>
      <c r="L950" s="468"/>
      <c r="M950" s="468"/>
      <c r="N950" s="468"/>
      <c r="O950" s="468"/>
      <c r="P950" s="468"/>
      <c r="Q950" s="468"/>
      <c r="R950" s="468"/>
      <c r="S950" s="468"/>
      <c r="T950" s="468"/>
      <c r="U950" s="468"/>
      <c r="V950" s="468"/>
      <c r="W950" s="468"/>
      <c r="X950" s="468"/>
      <c r="Y950" s="468"/>
      <c r="Z950" s="468"/>
      <c r="AA950" s="468"/>
      <c r="AB950" s="468"/>
      <c r="AC950" s="468"/>
      <c r="AD950" s="468"/>
      <c r="AE950" s="468"/>
      <c r="AF950" s="468"/>
      <c r="AG950" s="468"/>
      <c r="AH950" s="468"/>
      <c r="AI950" s="468"/>
      <c r="AJ950" s="468"/>
    </row>
    <row r="951" spans="1:36" ht="18" customHeight="1" x14ac:dyDescent="0.35">
      <c r="A951" s="468"/>
      <c r="B951" s="468"/>
      <c r="C951" s="468"/>
      <c r="D951" s="468"/>
      <c r="E951" s="468"/>
      <c r="F951" s="468"/>
      <c r="G951" s="468"/>
      <c r="H951" s="468"/>
      <c r="I951" s="468"/>
      <c r="J951" s="468"/>
      <c r="K951" s="468"/>
      <c r="L951" s="468"/>
      <c r="M951" s="468"/>
      <c r="N951" s="468"/>
      <c r="O951" s="468"/>
      <c r="P951" s="468"/>
      <c r="Q951" s="468"/>
      <c r="R951" s="468"/>
      <c r="S951" s="468"/>
      <c r="T951" s="468"/>
      <c r="U951" s="468"/>
      <c r="V951" s="468"/>
      <c r="W951" s="468"/>
      <c r="X951" s="468"/>
      <c r="Y951" s="468"/>
      <c r="Z951" s="468"/>
      <c r="AA951" s="468"/>
      <c r="AB951" s="468"/>
      <c r="AC951" s="468"/>
      <c r="AD951" s="468"/>
      <c r="AE951" s="468"/>
      <c r="AF951" s="468"/>
      <c r="AG951" s="468"/>
      <c r="AH951" s="468"/>
      <c r="AI951" s="468"/>
      <c r="AJ951" s="468"/>
    </row>
    <row r="952" spans="1:36" ht="18" customHeight="1" x14ac:dyDescent="0.35">
      <c r="A952" s="468"/>
      <c r="B952" s="468"/>
      <c r="C952" s="468"/>
      <c r="D952" s="468"/>
      <c r="E952" s="468"/>
      <c r="F952" s="468"/>
      <c r="G952" s="468"/>
      <c r="H952" s="468"/>
      <c r="I952" s="468"/>
      <c r="J952" s="468"/>
      <c r="K952" s="468"/>
      <c r="L952" s="468"/>
      <c r="M952" s="468"/>
      <c r="N952" s="468"/>
      <c r="O952" s="468"/>
      <c r="P952" s="468"/>
      <c r="Q952" s="468"/>
      <c r="R952" s="468"/>
      <c r="S952" s="468"/>
      <c r="T952" s="468"/>
      <c r="U952" s="468"/>
      <c r="V952" s="468"/>
      <c r="W952" s="468"/>
      <c r="X952" s="468"/>
      <c r="Y952" s="468"/>
      <c r="Z952" s="468"/>
      <c r="AA952" s="468"/>
      <c r="AB952" s="468"/>
      <c r="AC952" s="468"/>
      <c r="AD952" s="468"/>
      <c r="AE952" s="468"/>
      <c r="AF952" s="468"/>
      <c r="AG952" s="468"/>
      <c r="AH952" s="468"/>
      <c r="AI952" s="468"/>
      <c r="AJ952" s="468"/>
    </row>
    <row r="953" spans="1:36" ht="18" customHeight="1" x14ac:dyDescent="0.35">
      <c r="A953" s="468"/>
      <c r="B953" s="468"/>
      <c r="C953" s="468"/>
      <c r="D953" s="468"/>
      <c r="E953" s="468"/>
      <c r="F953" s="468"/>
      <c r="G953" s="468"/>
      <c r="H953" s="468"/>
      <c r="I953" s="468"/>
      <c r="J953" s="468"/>
      <c r="K953" s="468"/>
      <c r="L953" s="468"/>
      <c r="M953" s="468"/>
      <c r="N953" s="468"/>
      <c r="O953" s="468"/>
      <c r="P953" s="468"/>
      <c r="Q953" s="468"/>
      <c r="R953" s="468"/>
      <c r="S953" s="468"/>
      <c r="T953" s="468"/>
      <c r="U953" s="468"/>
      <c r="V953" s="468"/>
      <c r="W953" s="468"/>
      <c r="X953" s="468"/>
      <c r="Y953" s="468"/>
      <c r="Z953" s="468"/>
      <c r="AA953" s="468"/>
      <c r="AB953" s="468"/>
      <c r="AC953" s="468"/>
      <c r="AD953" s="468"/>
      <c r="AE953" s="468"/>
      <c r="AF953" s="468"/>
      <c r="AG953" s="468"/>
      <c r="AH953" s="468"/>
      <c r="AI953" s="468"/>
      <c r="AJ953" s="468"/>
    </row>
    <row r="954" spans="1:36" ht="18" customHeight="1" x14ac:dyDescent="0.35">
      <c r="A954" s="468"/>
      <c r="B954" s="468"/>
      <c r="C954" s="468"/>
      <c r="D954" s="468"/>
      <c r="E954" s="468"/>
      <c r="F954" s="468"/>
      <c r="G954" s="468"/>
      <c r="H954" s="468"/>
      <c r="I954" s="468"/>
      <c r="J954" s="468"/>
      <c r="K954" s="468"/>
      <c r="L954" s="468"/>
      <c r="M954" s="468"/>
      <c r="N954" s="468"/>
      <c r="O954" s="468"/>
      <c r="P954" s="468"/>
      <c r="Q954" s="468"/>
      <c r="R954" s="468"/>
      <c r="S954" s="468"/>
      <c r="T954" s="468"/>
      <c r="U954" s="468"/>
      <c r="V954" s="468"/>
      <c r="W954" s="468"/>
      <c r="X954" s="468"/>
      <c r="Y954" s="468"/>
      <c r="Z954" s="468"/>
      <c r="AA954" s="468"/>
      <c r="AB954" s="468"/>
      <c r="AC954" s="468"/>
      <c r="AD954" s="468"/>
      <c r="AE954" s="468"/>
      <c r="AF954" s="468"/>
      <c r="AG954" s="468"/>
      <c r="AH954" s="468"/>
      <c r="AI954" s="468"/>
      <c r="AJ954" s="468"/>
    </row>
    <row r="955" spans="1:36" ht="18" customHeight="1" x14ac:dyDescent="0.35">
      <c r="A955" s="468"/>
      <c r="B955" s="468"/>
      <c r="C955" s="468"/>
      <c r="D955" s="468"/>
      <c r="E955" s="468"/>
      <c r="F955" s="468"/>
      <c r="G955" s="468"/>
      <c r="H955" s="468"/>
      <c r="I955" s="468"/>
      <c r="J955" s="468"/>
      <c r="K955" s="468"/>
      <c r="L955" s="468"/>
      <c r="M955" s="468"/>
      <c r="N955" s="468"/>
      <c r="O955" s="468"/>
      <c r="P955" s="468"/>
      <c r="Q955" s="468"/>
      <c r="R955" s="468"/>
      <c r="S955" s="468"/>
      <c r="T955" s="468"/>
      <c r="U955" s="468"/>
      <c r="V955" s="468"/>
      <c r="W955" s="468"/>
      <c r="X955" s="468"/>
      <c r="Y955" s="468"/>
      <c r="Z955" s="468"/>
      <c r="AA955" s="468"/>
      <c r="AB955" s="468"/>
      <c r="AC955" s="468"/>
      <c r="AD955" s="468"/>
      <c r="AE955" s="468"/>
      <c r="AF955" s="468"/>
      <c r="AG955" s="468"/>
      <c r="AH955" s="468"/>
      <c r="AI955" s="468"/>
      <c r="AJ955" s="468"/>
    </row>
    <row r="956" spans="1:36" ht="18" customHeight="1" x14ac:dyDescent="0.35">
      <c r="A956" s="468"/>
      <c r="B956" s="468"/>
      <c r="C956" s="468"/>
      <c r="D956" s="468"/>
      <c r="E956" s="468"/>
      <c r="F956" s="468"/>
      <c r="G956" s="468"/>
      <c r="H956" s="468"/>
      <c r="I956" s="468"/>
      <c r="J956" s="468"/>
      <c r="K956" s="468"/>
      <c r="L956" s="468"/>
      <c r="M956" s="468"/>
      <c r="N956" s="468"/>
      <c r="O956" s="468"/>
      <c r="P956" s="468"/>
      <c r="Q956" s="468"/>
      <c r="R956" s="468"/>
      <c r="S956" s="468"/>
      <c r="T956" s="468"/>
      <c r="U956" s="468"/>
      <c r="V956" s="468"/>
      <c r="W956" s="468"/>
      <c r="X956" s="468"/>
      <c r="Y956" s="468"/>
      <c r="Z956" s="468"/>
      <c r="AA956" s="468"/>
      <c r="AB956" s="468"/>
      <c r="AC956" s="468"/>
      <c r="AD956" s="468"/>
      <c r="AE956" s="468"/>
      <c r="AF956" s="468"/>
      <c r="AG956" s="468"/>
      <c r="AH956" s="468"/>
      <c r="AI956" s="468"/>
      <c r="AJ956" s="468"/>
    </row>
    <row r="957" spans="1:36" ht="18" customHeight="1" x14ac:dyDescent="0.35">
      <c r="A957" s="468"/>
      <c r="B957" s="468"/>
      <c r="C957" s="468"/>
      <c r="D957" s="468"/>
      <c r="E957" s="468"/>
      <c r="F957" s="468"/>
      <c r="G957" s="468"/>
      <c r="H957" s="468"/>
      <c r="I957" s="468"/>
      <c r="J957" s="468"/>
      <c r="K957" s="468"/>
      <c r="L957" s="468"/>
      <c r="M957" s="468"/>
      <c r="N957" s="468"/>
      <c r="O957" s="468"/>
      <c r="P957" s="468"/>
      <c r="Q957" s="468"/>
      <c r="R957" s="468"/>
      <c r="S957" s="468"/>
      <c r="T957" s="468"/>
      <c r="U957" s="468"/>
      <c r="V957" s="468"/>
      <c r="W957" s="468"/>
      <c r="X957" s="468"/>
      <c r="Y957" s="468"/>
      <c r="Z957" s="468"/>
      <c r="AA957" s="468"/>
      <c r="AB957" s="468"/>
      <c r="AC957" s="468"/>
      <c r="AD957" s="468"/>
      <c r="AE957" s="468"/>
      <c r="AF957" s="468"/>
      <c r="AG957" s="468"/>
      <c r="AH957" s="468"/>
      <c r="AI957" s="468"/>
      <c r="AJ957" s="468"/>
    </row>
    <row r="958" spans="1:36" ht="18" customHeight="1" x14ac:dyDescent="0.35">
      <c r="A958" s="468"/>
      <c r="B958" s="468"/>
      <c r="C958" s="468"/>
      <c r="D958" s="468"/>
      <c r="E958" s="468"/>
      <c r="F958" s="468"/>
      <c r="G958" s="468"/>
      <c r="H958" s="468"/>
      <c r="I958" s="468"/>
      <c r="J958" s="468"/>
      <c r="K958" s="468"/>
      <c r="L958" s="468"/>
      <c r="M958" s="468"/>
      <c r="N958" s="468"/>
      <c r="O958" s="468"/>
      <c r="P958" s="468"/>
      <c r="Q958" s="468"/>
      <c r="R958" s="468"/>
      <c r="S958" s="468"/>
      <c r="T958" s="468"/>
      <c r="U958" s="468"/>
      <c r="V958" s="468"/>
      <c r="W958" s="468"/>
      <c r="X958" s="468"/>
      <c r="Y958" s="468"/>
      <c r="Z958" s="468"/>
      <c r="AA958" s="468"/>
      <c r="AB958" s="468"/>
      <c r="AC958" s="468"/>
      <c r="AD958" s="468"/>
      <c r="AE958" s="468"/>
      <c r="AF958" s="468"/>
      <c r="AG958" s="468"/>
      <c r="AH958" s="468"/>
      <c r="AI958" s="468"/>
      <c r="AJ958" s="468"/>
    </row>
    <row r="959" spans="1:36" ht="18" customHeight="1" x14ac:dyDescent="0.35">
      <c r="A959" s="468"/>
      <c r="B959" s="468"/>
      <c r="C959" s="468"/>
      <c r="D959" s="468"/>
      <c r="E959" s="468"/>
      <c r="F959" s="468"/>
      <c r="G959" s="468"/>
      <c r="H959" s="468"/>
      <c r="I959" s="468"/>
      <c r="J959" s="468"/>
      <c r="K959" s="468"/>
      <c r="L959" s="468"/>
      <c r="M959" s="468"/>
      <c r="N959" s="468"/>
      <c r="O959" s="468"/>
      <c r="P959" s="468"/>
      <c r="Q959" s="468"/>
      <c r="R959" s="468"/>
      <c r="S959" s="468"/>
      <c r="T959" s="468"/>
      <c r="U959" s="468"/>
      <c r="V959" s="468"/>
      <c r="W959" s="468"/>
      <c r="X959" s="468"/>
      <c r="Y959" s="468"/>
      <c r="Z959" s="468"/>
      <c r="AA959" s="468"/>
      <c r="AB959" s="468"/>
      <c r="AC959" s="468"/>
      <c r="AD959" s="468"/>
      <c r="AE959" s="468"/>
      <c r="AF959" s="468"/>
      <c r="AG959" s="468"/>
      <c r="AH959" s="468"/>
      <c r="AI959" s="468"/>
      <c r="AJ959" s="468"/>
    </row>
    <row r="960" spans="1:36" ht="18" customHeight="1" x14ac:dyDescent="0.35">
      <c r="A960" s="468"/>
      <c r="B960" s="468"/>
      <c r="C960" s="468"/>
      <c r="D960" s="468"/>
      <c r="E960" s="468"/>
      <c r="F960" s="468"/>
      <c r="G960" s="468"/>
      <c r="H960" s="468"/>
      <c r="I960" s="468"/>
      <c r="J960" s="468"/>
      <c r="K960" s="468"/>
      <c r="L960" s="468"/>
      <c r="M960" s="468"/>
      <c r="N960" s="468"/>
      <c r="O960" s="468"/>
      <c r="P960" s="468"/>
      <c r="Q960" s="468"/>
      <c r="R960" s="468"/>
      <c r="S960" s="468"/>
      <c r="T960" s="468"/>
      <c r="U960" s="468"/>
      <c r="V960" s="468"/>
      <c r="W960" s="468"/>
      <c r="X960" s="468"/>
      <c r="Y960" s="468"/>
      <c r="Z960" s="468"/>
      <c r="AA960" s="468"/>
      <c r="AB960" s="468"/>
      <c r="AC960" s="468"/>
      <c r="AD960" s="468"/>
      <c r="AE960" s="468"/>
      <c r="AF960" s="468"/>
      <c r="AG960" s="468"/>
      <c r="AH960" s="468"/>
      <c r="AI960" s="468"/>
      <c r="AJ960" s="468"/>
    </row>
    <row r="961" spans="1:36" ht="18" customHeight="1" x14ac:dyDescent="0.35">
      <c r="A961" s="468"/>
      <c r="B961" s="468"/>
      <c r="C961" s="468"/>
      <c r="D961" s="468"/>
      <c r="E961" s="468"/>
      <c r="F961" s="468"/>
      <c r="G961" s="468"/>
      <c r="H961" s="468"/>
      <c r="I961" s="468"/>
      <c r="J961" s="468"/>
      <c r="K961" s="468"/>
      <c r="L961" s="468"/>
      <c r="M961" s="468"/>
      <c r="N961" s="468"/>
      <c r="O961" s="468"/>
      <c r="P961" s="468"/>
      <c r="Q961" s="468"/>
      <c r="R961" s="468"/>
      <c r="S961" s="468"/>
      <c r="T961" s="468"/>
      <c r="U961" s="468"/>
      <c r="V961" s="468"/>
      <c r="W961" s="468"/>
      <c r="X961" s="468"/>
      <c r="Y961" s="468"/>
      <c r="Z961" s="468"/>
      <c r="AA961" s="468"/>
      <c r="AB961" s="468"/>
      <c r="AC961" s="468"/>
      <c r="AD961" s="468"/>
      <c r="AE961" s="468"/>
      <c r="AF961" s="468"/>
      <c r="AG961" s="468"/>
      <c r="AH961" s="468"/>
      <c r="AI961" s="468"/>
      <c r="AJ961" s="468"/>
    </row>
    <row r="962" spans="1:36" ht="18" customHeight="1" x14ac:dyDescent="0.35">
      <c r="A962" s="468"/>
      <c r="B962" s="468"/>
      <c r="C962" s="468"/>
      <c r="D962" s="468"/>
      <c r="E962" s="468"/>
      <c r="F962" s="468"/>
      <c r="G962" s="468"/>
      <c r="H962" s="468"/>
      <c r="I962" s="468"/>
      <c r="J962" s="468"/>
      <c r="K962" s="468"/>
      <c r="L962" s="468"/>
      <c r="M962" s="468"/>
      <c r="N962" s="468"/>
      <c r="O962" s="468"/>
      <c r="P962" s="468"/>
      <c r="Q962" s="468"/>
      <c r="R962" s="468"/>
      <c r="S962" s="468"/>
      <c r="T962" s="468"/>
      <c r="U962" s="468"/>
      <c r="V962" s="468"/>
      <c r="W962" s="468"/>
      <c r="X962" s="468"/>
      <c r="Y962" s="468"/>
      <c r="Z962" s="468"/>
      <c r="AA962" s="468"/>
      <c r="AB962" s="468"/>
      <c r="AC962" s="468"/>
      <c r="AD962" s="468"/>
      <c r="AE962" s="468"/>
      <c r="AF962" s="468"/>
      <c r="AG962" s="468"/>
      <c r="AH962" s="468"/>
      <c r="AI962" s="468"/>
      <c r="AJ962" s="468"/>
    </row>
    <row r="963" spans="1:36" ht="18" customHeight="1" x14ac:dyDescent="0.35">
      <c r="A963" s="468"/>
      <c r="B963" s="468"/>
      <c r="C963" s="468"/>
      <c r="D963" s="468"/>
      <c r="E963" s="468"/>
      <c r="F963" s="468"/>
      <c r="G963" s="468"/>
      <c r="H963" s="468"/>
      <c r="I963" s="468"/>
      <c r="J963" s="468"/>
      <c r="K963" s="468"/>
      <c r="L963" s="468"/>
      <c r="M963" s="468"/>
      <c r="N963" s="468"/>
      <c r="O963" s="468"/>
      <c r="P963" s="468"/>
      <c r="Q963" s="468"/>
      <c r="R963" s="468"/>
      <c r="S963" s="468"/>
      <c r="T963" s="468"/>
      <c r="U963" s="468"/>
      <c r="V963" s="468"/>
      <c r="W963" s="468"/>
      <c r="X963" s="468"/>
      <c r="Y963" s="468"/>
      <c r="Z963" s="468"/>
      <c r="AA963" s="468"/>
      <c r="AB963" s="468"/>
      <c r="AC963" s="468"/>
      <c r="AD963" s="468"/>
      <c r="AE963" s="468"/>
      <c r="AF963" s="468"/>
      <c r="AG963" s="468"/>
      <c r="AH963" s="468"/>
      <c r="AI963" s="468"/>
      <c r="AJ963" s="468"/>
    </row>
    <row r="964" spans="1:36" ht="18" customHeight="1" x14ac:dyDescent="0.35">
      <c r="A964" s="468"/>
      <c r="B964" s="468"/>
      <c r="C964" s="468"/>
      <c r="D964" s="468"/>
      <c r="E964" s="468"/>
      <c r="F964" s="468"/>
      <c r="G964" s="468"/>
      <c r="H964" s="468"/>
      <c r="I964" s="468"/>
      <c r="J964" s="468"/>
      <c r="K964" s="468"/>
      <c r="L964" s="468"/>
      <c r="M964" s="468"/>
      <c r="N964" s="468"/>
      <c r="O964" s="468"/>
      <c r="P964" s="468"/>
      <c r="Q964" s="468"/>
      <c r="R964" s="468"/>
      <c r="S964" s="468"/>
      <c r="T964" s="468"/>
      <c r="U964" s="468"/>
      <c r="V964" s="468"/>
      <c r="W964" s="468"/>
      <c r="X964" s="468"/>
      <c r="Y964" s="468"/>
      <c r="Z964" s="468"/>
      <c r="AA964" s="468"/>
      <c r="AB964" s="468"/>
      <c r="AC964" s="468"/>
      <c r="AD964" s="468"/>
      <c r="AE964" s="468"/>
      <c r="AF964" s="468"/>
      <c r="AG964" s="468"/>
      <c r="AH964" s="468"/>
      <c r="AI964" s="468"/>
      <c r="AJ964" s="468"/>
    </row>
    <row r="965" spans="1:36" ht="18" customHeight="1" x14ac:dyDescent="0.35">
      <c r="A965" s="468"/>
      <c r="B965" s="468"/>
      <c r="C965" s="468"/>
      <c r="D965" s="468"/>
      <c r="E965" s="468"/>
      <c r="F965" s="468"/>
      <c r="G965" s="468"/>
      <c r="H965" s="468"/>
      <c r="I965" s="468"/>
      <c r="J965" s="468"/>
      <c r="K965" s="468"/>
      <c r="L965" s="468"/>
      <c r="M965" s="468"/>
      <c r="N965" s="468"/>
      <c r="O965" s="468"/>
      <c r="P965" s="468"/>
      <c r="Q965" s="468"/>
      <c r="R965" s="468"/>
      <c r="S965" s="468"/>
      <c r="T965" s="468"/>
      <c r="U965" s="468"/>
      <c r="V965" s="468"/>
      <c r="W965" s="468"/>
      <c r="X965" s="468"/>
      <c r="Y965" s="468"/>
      <c r="Z965" s="468"/>
      <c r="AA965" s="468"/>
      <c r="AB965" s="468"/>
      <c r="AC965" s="468"/>
      <c r="AD965" s="468"/>
      <c r="AE965" s="468"/>
      <c r="AF965" s="468"/>
      <c r="AG965" s="468"/>
      <c r="AH965" s="468"/>
      <c r="AI965" s="468"/>
      <c r="AJ965" s="468"/>
    </row>
    <row r="966" spans="1:36" ht="18" customHeight="1" x14ac:dyDescent="0.35">
      <c r="A966" s="468"/>
      <c r="B966" s="468"/>
      <c r="C966" s="468"/>
      <c r="D966" s="468"/>
      <c r="E966" s="468"/>
      <c r="F966" s="468"/>
      <c r="G966" s="468"/>
      <c r="H966" s="468"/>
      <c r="I966" s="468"/>
      <c r="J966" s="468"/>
      <c r="K966" s="468"/>
      <c r="L966" s="468"/>
      <c r="M966" s="468"/>
      <c r="N966" s="468"/>
      <c r="O966" s="468"/>
      <c r="P966" s="468"/>
      <c r="Q966" s="468"/>
      <c r="R966" s="468"/>
      <c r="S966" s="468"/>
      <c r="T966" s="468"/>
      <c r="U966" s="468"/>
      <c r="V966" s="468"/>
      <c r="W966" s="468"/>
      <c r="X966" s="468"/>
      <c r="Y966" s="468"/>
      <c r="Z966" s="468"/>
      <c r="AA966" s="468"/>
      <c r="AB966" s="468"/>
      <c r="AC966" s="468"/>
      <c r="AD966" s="468"/>
      <c r="AE966" s="468"/>
      <c r="AF966" s="468"/>
      <c r="AG966" s="468"/>
      <c r="AH966" s="468"/>
      <c r="AI966" s="468"/>
      <c r="AJ966" s="468"/>
    </row>
    <row r="967" spans="1:36" ht="18" customHeight="1" x14ac:dyDescent="0.35">
      <c r="A967" s="468"/>
      <c r="B967" s="468"/>
      <c r="C967" s="468"/>
      <c r="D967" s="468"/>
      <c r="E967" s="468"/>
      <c r="F967" s="468"/>
      <c r="G967" s="468"/>
      <c r="H967" s="468"/>
      <c r="I967" s="468"/>
      <c r="J967" s="468"/>
      <c r="K967" s="468"/>
      <c r="L967" s="468"/>
      <c r="M967" s="468"/>
      <c r="N967" s="468"/>
      <c r="O967" s="468"/>
      <c r="P967" s="468"/>
      <c r="Q967" s="468"/>
      <c r="R967" s="468"/>
      <c r="S967" s="468"/>
      <c r="T967" s="468"/>
      <c r="U967" s="468"/>
      <c r="V967" s="468"/>
      <c r="W967" s="468"/>
      <c r="X967" s="468"/>
      <c r="Y967" s="468"/>
      <c r="Z967" s="468"/>
      <c r="AA967" s="468"/>
      <c r="AB967" s="468"/>
      <c r="AC967" s="468"/>
      <c r="AD967" s="468"/>
      <c r="AE967" s="468"/>
      <c r="AF967" s="468"/>
      <c r="AG967" s="468"/>
      <c r="AH967" s="468"/>
      <c r="AI967" s="468"/>
      <c r="AJ967" s="468"/>
    </row>
    <row r="968" spans="1:36" ht="18" customHeight="1" x14ac:dyDescent="0.35">
      <c r="A968" s="468"/>
      <c r="B968" s="468"/>
      <c r="C968" s="468"/>
      <c r="D968" s="468"/>
      <c r="E968" s="468"/>
      <c r="F968" s="468"/>
      <c r="G968" s="468"/>
      <c r="H968" s="468"/>
      <c r="I968" s="468"/>
      <c r="J968" s="468"/>
      <c r="K968" s="468"/>
      <c r="L968" s="468"/>
      <c r="M968" s="468"/>
      <c r="N968" s="468"/>
      <c r="O968" s="468"/>
      <c r="P968" s="468"/>
      <c r="Q968" s="468"/>
      <c r="R968" s="468"/>
      <c r="S968" s="468"/>
      <c r="T968" s="468"/>
      <c r="U968" s="468"/>
      <c r="V968" s="468"/>
      <c r="W968" s="468"/>
      <c r="X968" s="468"/>
      <c r="Y968" s="468"/>
      <c r="Z968" s="468"/>
      <c r="AA968" s="468"/>
      <c r="AB968" s="468"/>
      <c r="AC968" s="468"/>
      <c r="AD968" s="468"/>
      <c r="AE968" s="468"/>
      <c r="AF968" s="468"/>
      <c r="AG968" s="468"/>
      <c r="AH968" s="468"/>
      <c r="AI968" s="468"/>
      <c r="AJ968" s="468"/>
    </row>
    <row r="969" spans="1:36" ht="18" customHeight="1" x14ac:dyDescent="0.35">
      <c r="A969" s="468"/>
      <c r="B969" s="468"/>
      <c r="C969" s="468"/>
      <c r="D969" s="468"/>
      <c r="E969" s="468"/>
      <c r="F969" s="468"/>
      <c r="G969" s="468"/>
      <c r="H969" s="468"/>
      <c r="I969" s="468"/>
      <c r="J969" s="468"/>
      <c r="K969" s="468"/>
      <c r="L969" s="468"/>
      <c r="M969" s="468"/>
      <c r="N969" s="468"/>
      <c r="O969" s="468"/>
      <c r="P969" s="468"/>
      <c r="Q969" s="468"/>
      <c r="R969" s="468"/>
      <c r="S969" s="468"/>
      <c r="T969" s="468"/>
      <c r="U969" s="468"/>
      <c r="V969" s="468"/>
      <c r="W969" s="468"/>
      <c r="X969" s="468"/>
      <c r="Y969" s="468"/>
      <c r="Z969" s="468"/>
      <c r="AA969" s="468"/>
      <c r="AB969" s="468"/>
      <c r="AC969" s="468"/>
      <c r="AD969" s="468"/>
      <c r="AE969" s="468"/>
      <c r="AF969" s="468"/>
      <c r="AG969" s="468"/>
      <c r="AH969" s="468"/>
      <c r="AI969" s="468"/>
      <c r="AJ969" s="468"/>
    </row>
    <row r="970" spans="1:36" ht="18" customHeight="1" x14ac:dyDescent="0.35">
      <c r="A970" s="468"/>
      <c r="B970" s="468"/>
      <c r="C970" s="468"/>
      <c r="D970" s="468"/>
      <c r="E970" s="468"/>
      <c r="F970" s="468"/>
      <c r="G970" s="468"/>
      <c r="H970" s="468"/>
      <c r="I970" s="468"/>
      <c r="J970" s="468"/>
      <c r="K970" s="468"/>
      <c r="L970" s="468"/>
      <c r="M970" s="468"/>
      <c r="N970" s="468"/>
      <c r="O970" s="468"/>
      <c r="P970" s="468"/>
      <c r="Q970" s="468"/>
      <c r="R970" s="468"/>
      <c r="S970" s="468"/>
      <c r="T970" s="468"/>
      <c r="U970" s="468"/>
      <c r="V970" s="468"/>
      <c r="W970" s="468"/>
      <c r="X970" s="468"/>
      <c r="Y970" s="468"/>
      <c r="Z970" s="468"/>
      <c r="AA970" s="468"/>
      <c r="AB970" s="468"/>
      <c r="AC970" s="468"/>
      <c r="AD970" s="468"/>
      <c r="AE970" s="468"/>
      <c r="AF970" s="468"/>
      <c r="AG970" s="468"/>
      <c r="AH970" s="468"/>
      <c r="AI970" s="468"/>
      <c r="AJ970" s="468"/>
    </row>
    <row r="971" spans="1:36" ht="18" customHeight="1" x14ac:dyDescent="0.35">
      <c r="A971" s="468"/>
      <c r="B971" s="468"/>
      <c r="C971" s="468"/>
      <c r="D971" s="468"/>
      <c r="E971" s="468"/>
      <c r="F971" s="468"/>
      <c r="G971" s="468"/>
      <c r="H971" s="468"/>
      <c r="I971" s="468"/>
      <c r="J971" s="468"/>
      <c r="K971" s="468"/>
      <c r="L971" s="468"/>
      <c r="M971" s="468"/>
      <c r="N971" s="468"/>
      <c r="O971" s="468"/>
      <c r="P971" s="468"/>
      <c r="Q971" s="468"/>
      <c r="R971" s="468"/>
      <c r="S971" s="468"/>
      <c r="T971" s="468"/>
      <c r="U971" s="468"/>
      <c r="V971" s="468"/>
      <c r="W971" s="468"/>
      <c r="X971" s="468"/>
      <c r="Y971" s="468"/>
      <c r="Z971" s="468"/>
      <c r="AA971" s="468"/>
      <c r="AB971" s="468"/>
      <c r="AC971" s="468"/>
      <c r="AD971" s="468"/>
      <c r="AE971" s="468"/>
      <c r="AF971" s="468"/>
      <c r="AG971" s="468"/>
      <c r="AH971" s="468"/>
      <c r="AI971" s="468"/>
      <c r="AJ971" s="468"/>
    </row>
    <row r="972" spans="1:36" ht="18" customHeight="1" x14ac:dyDescent="0.35">
      <c r="A972" s="468"/>
      <c r="B972" s="468"/>
      <c r="C972" s="468"/>
      <c r="D972" s="468"/>
      <c r="E972" s="468"/>
      <c r="F972" s="468"/>
      <c r="G972" s="468"/>
      <c r="H972" s="468"/>
      <c r="I972" s="468"/>
      <c r="J972" s="468"/>
      <c r="K972" s="468"/>
      <c r="L972" s="468"/>
      <c r="M972" s="468"/>
      <c r="N972" s="468"/>
      <c r="O972" s="468"/>
      <c r="P972" s="468"/>
      <c r="Q972" s="468"/>
      <c r="R972" s="468"/>
      <c r="S972" s="468"/>
      <c r="T972" s="468"/>
      <c r="U972" s="468"/>
      <c r="V972" s="468"/>
      <c r="W972" s="468"/>
      <c r="X972" s="468"/>
      <c r="Y972" s="468"/>
      <c r="Z972" s="468"/>
      <c r="AA972" s="468"/>
      <c r="AB972" s="468"/>
      <c r="AC972" s="468"/>
      <c r="AD972" s="468"/>
      <c r="AE972" s="468"/>
      <c r="AF972" s="468"/>
      <c r="AG972" s="468"/>
      <c r="AH972" s="468"/>
      <c r="AI972" s="468"/>
      <c r="AJ972" s="468"/>
    </row>
    <row r="973" spans="1:36" ht="18" customHeight="1" x14ac:dyDescent="0.35">
      <c r="A973" s="468"/>
      <c r="B973" s="468"/>
      <c r="C973" s="468"/>
      <c r="D973" s="468"/>
      <c r="E973" s="468"/>
      <c r="F973" s="468"/>
      <c r="G973" s="468"/>
      <c r="H973" s="468"/>
      <c r="I973" s="468"/>
      <c r="J973" s="468"/>
      <c r="K973" s="468"/>
      <c r="L973" s="468"/>
      <c r="M973" s="468"/>
      <c r="N973" s="468"/>
      <c r="O973" s="468"/>
      <c r="P973" s="468"/>
      <c r="Q973" s="468"/>
      <c r="R973" s="468"/>
      <c r="S973" s="468"/>
      <c r="T973" s="468"/>
      <c r="U973" s="468"/>
      <c r="V973" s="468"/>
      <c r="W973" s="468"/>
      <c r="X973" s="468"/>
      <c r="Y973" s="468"/>
      <c r="Z973" s="468"/>
      <c r="AA973" s="468"/>
      <c r="AB973" s="468"/>
      <c r="AC973" s="468"/>
      <c r="AD973" s="468"/>
      <c r="AE973" s="468"/>
      <c r="AF973" s="468"/>
      <c r="AG973" s="468"/>
      <c r="AH973" s="468"/>
      <c r="AI973" s="468"/>
      <c r="AJ973" s="468"/>
    </row>
    <row r="974" spans="1:36" ht="18" customHeight="1" x14ac:dyDescent="0.35">
      <c r="A974" s="468"/>
      <c r="B974" s="468"/>
      <c r="C974" s="468"/>
      <c r="D974" s="468"/>
      <c r="E974" s="468"/>
      <c r="F974" s="468"/>
      <c r="G974" s="468"/>
      <c r="H974" s="468"/>
      <c r="I974" s="468"/>
      <c r="J974" s="468"/>
      <c r="K974" s="468"/>
      <c r="L974" s="468"/>
      <c r="M974" s="468"/>
      <c r="N974" s="468"/>
      <c r="O974" s="468"/>
      <c r="P974" s="468"/>
      <c r="Q974" s="468"/>
      <c r="R974" s="468"/>
      <c r="S974" s="468"/>
      <c r="T974" s="468"/>
      <c r="U974" s="468"/>
      <c r="V974" s="468"/>
      <c r="W974" s="468"/>
      <c r="X974" s="468"/>
      <c r="Y974" s="468"/>
      <c r="Z974" s="468"/>
      <c r="AA974" s="468"/>
      <c r="AB974" s="468"/>
      <c r="AC974" s="468"/>
      <c r="AD974" s="468"/>
      <c r="AE974" s="468"/>
      <c r="AF974" s="468"/>
      <c r="AG974" s="468"/>
      <c r="AH974" s="468"/>
      <c r="AI974" s="468"/>
      <c r="AJ974" s="468"/>
    </row>
    <row r="975" spans="1:36" ht="18" customHeight="1" x14ac:dyDescent="0.35">
      <c r="A975" s="468"/>
      <c r="B975" s="468"/>
      <c r="C975" s="468"/>
      <c r="D975" s="468"/>
      <c r="E975" s="468"/>
      <c r="F975" s="468"/>
      <c r="G975" s="468"/>
      <c r="H975" s="468"/>
      <c r="I975" s="468"/>
      <c r="J975" s="468"/>
      <c r="K975" s="468"/>
      <c r="L975" s="468"/>
      <c r="M975" s="468"/>
      <c r="N975" s="468"/>
      <c r="O975" s="468"/>
      <c r="P975" s="468"/>
      <c r="Q975" s="468"/>
      <c r="R975" s="468"/>
      <c r="S975" s="468"/>
      <c r="T975" s="468"/>
      <c r="U975" s="468"/>
      <c r="V975" s="468"/>
      <c r="W975" s="468"/>
      <c r="X975" s="468"/>
      <c r="Y975" s="468"/>
      <c r="Z975" s="468"/>
      <c r="AA975" s="468"/>
      <c r="AB975" s="468"/>
      <c r="AC975" s="468"/>
      <c r="AD975" s="468"/>
      <c r="AE975" s="468"/>
      <c r="AF975" s="468"/>
      <c r="AG975" s="468"/>
      <c r="AH975" s="468"/>
      <c r="AI975" s="468"/>
      <c r="AJ975" s="468"/>
    </row>
    <row r="976" spans="1:36" ht="18" customHeight="1" x14ac:dyDescent="0.35">
      <c r="A976" s="468"/>
      <c r="B976" s="468"/>
      <c r="C976" s="468"/>
      <c r="D976" s="468"/>
      <c r="E976" s="468"/>
      <c r="F976" s="468"/>
      <c r="G976" s="468"/>
      <c r="H976" s="468"/>
      <c r="I976" s="468"/>
      <c r="J976" s="468"/>
      <c r="K976" s="468"/>
      <c r="L976" s="468"/>
      <c r="M976" s="468"/>
      <c r="N976" s="468"/>
      <c r="O976" s="468"/>
      <c r="P976" s="468"/>
      <c r="Q976" s="468"/>
      <c r="R976" s="468"/>
      <c r="S976" s="468"/>
      <c r="T976" s="468"/>
      <c r="U976" s="468"/>
      <c r="V976" s="468"/>
      <c r="W976" s="468"/>
      <c r="X976" s="468"/>
      <c r="Y976" s="468"/>
      <c r="Z976" s="468"/>
      <c r="AA976" s="468"/>
      <c r="AB976" s="468"/>
      <c r="AC976" s="468"/>
      <c r="AD976" s="468"/>
      <c r="AE976" s="468"/>
      <c r="AF976" s="468"/>
      <c r="AG976" s="468"/>
      <c r="AH976" s="468"/>
      <c r="AI976" s="468"/>
      <c r="AJ976" s="468"/>
    </row>
    <row r="977" spans="1:36" ht="18" customHeight="1" x14ac:dyDescent="0.35">
      <c r="A977" s="468"/>
      <c r="B977" s="468"/>
      <c r="C977" s="468"/>
      <c r="D977" s="468"/>
      <c r="E977" s="468"/>
      <c r="F977" s="468"/>
      <c r="G977" s="468"/>
      <c r="H977" s="468"/>
      <c r="I977" s="468"/>
      <c r="J977" s="468"/>
      <c r="K977" s="468"/>
      <c r="L977" s="468"/>
      <c r="M977" s="468"/>
      <c r="N977" s="468"/>
      <c r="O977" s="468"/>
      <c r="P977" s="468"/>
      <c r="Q977" s="468"/>
      <c r="R977" s="468"/>
      <c r="S977" s="468"/>
      <c r="T977" s="468"/>
      <c r="U977" s="468"/>
      <c r="V977" s="468"/>
      <c r="W977" s="468"/>
      <c r="X977" s="468"/>
      <c r="Y977" s="468"/>
      <c r="Z977" s="468"/>
      <c r="AA977" s="468"/>
      <c r="AB977" s="468"/>
      <c r="AC977" s="468"/>
      <c r="AD977" s="468"/>
      <c r="AE977" s="468"/>
      <c r="AF977" s="468"/>
      <c r="AG977" s="468"/>
      <c r="AH977" s="468"/>
      <c r="AI977" s="468"/>
      <c r="AJ977" s="468"/>
    </row>
    <row r="978" spans="1:36" ht="18" customHeight="1" x14ac:dyDescent="0.35">
      <c r="A978" s="468"/>
      <c r="B978" s="468"/>
      <c r="C978" s="468"/>
      <c r="D978" s="468"/>
      <c r="E978" s="468"/>
      <c r="F978" s="468"/>
      <c r="G978" s="468"/>
      <c r="H978" s="468"/>
      <c r="I978" s="468"/>
      <c r="J978" s="468"/>
      <c r="K978" s="468"/>
      <c r="L978" s="468"/>
      <c r="M978" s="468"/>
      <c r="N978" s="468"/>
      <c r="O978" s="468"/>
      <c r="P978" s="468"/>
      <c r="Q978" s="468"/>
      <c r="R978" s="468"/>
      <c r="S978" s="468"/>
      <c r="T978" s="468"/>
      <c r="U978" s="468"/>
      <c r="V978" s="468"/>
      <c r="W978" s="468"/>
      <c r="X978" s="468"/>
      <c r="Y978" s="468"/>
      <c r="Z978" s="468"/>
      <c r="AA978" s="468"/>
      <c r="AB978" s="468"/>
      <c r="AC978" s="468"/>
      <c r="AD978" s="468"/>
      <c r="AE978" s="468"/>
      <c r="AF978" s="468"/>
      <c r="AG978" s="468"/>
      <c r="AH978" s="468"/>
      <c r="AI978" s="468"/>
      <c r="AJ978" s="468"/>
    </row>
    <row r="979" spans="1:36" ht="18" customHeight="1" x14ac:dyDescent="0.35">
      <c r="A979" s="468"/>
      <c r="B979" s="468"/>
      <c r="C979" s="468"/>
      <c r="D979" s="468"/>
      <c r="E979" s="468"/>
      <c r="F979" s="468"/>
      <c r="G979" s="468"/>
      <c r="H979" s="468"/>
      <c r="I979" s="468"/>
      <c r="J979" s="468"/>
      <c r="K979" s="468"/>
      <c r="L979" s="468"/>
      <c r="M979" s="468"/>
      <c r="N979" s="468"/>
      <c r="O979" s="468"/>
      <c r="P979" s="468"/>
      <c r="Q979" s="468"/>
      <c r="R979" s="468"/>
      <c r="S979" s="468"/>
      <c r="T979" s="468"/>
      <c r="U979" s="468"/>
      <c r="V979" s="468"/>
      <c r="W979" s="468"/>
      <c r="X979" s="468"/>
      <c r="Y979" s="468"/>
      <c r="Z979" s="468"/>
      <c r="AA979" s="468"/>
      <c r="AB979" s="468"/>
      <c r="AC979" s="468"/>
      <c r="AD979" s="468"/>
      <c r="AE979" s="468"/>
      <c r="AF979" s="468"/>
      <c r="AG979" s="468"/>
      <c r="AH979" s="468"/>
      <c r="AI979" s="468"/>
      <c r="AJ979" s="468"/>
    </row>
    <row r="980" spans="1:36" ht="18" customHeight="1" x14ac:dyDescent="0.35">
      <c r="A980" s="468"/>
      <c r="B980" s="468"/>
      <c r="C980" s="468"/>
      <c r="D980" s="468"/>
      <c r="E980" s="468"/>
      <c r="F980" s="468"/>
      <c r="G980" s="468"/>
      <c r="H980" s="468"/>
      <c r="I980" s="468"/>
      <c r="J980" s="468"/>
      <c r="K980" s="468"/>
      <c r="L980" s="468"/>
      <c r="M980" s="468"/>
      <c r="N980" s="468"/>
      <c r="O980" s="468"/>
      <c r="P980" s="468"/>
      <c r="Q980" s="468"/>
      <c r="R980" s="468"/>
      <c r="S980" s="468"/>
      <c r="T980" s="468"/>
      <c r="U980" s="468"/>
      <c r="V980" s="468"/>
      <c r="W980" s="468"/>
      <c r="X980" s="468"/>
      <c r="Y980" s="468"/>
      <c r="Z980" s="468"/>
      <c r="AA980" s="468"/>
      <c r="AB980" s="468"/>
      <c r="AC980" s="468"/>
      <c r="AD980" s="468"/>
      <c r="AE980" s="468"/>
      <c r="AF980" s="468"/>
      <c r="AG980" s="468"/>
      <c r="AH980" s="468"/>
      <c r="AI980" s="468"/>
      <c r="AJ980" s="468"/>
    </row>
    <row r="981" spans="1:36" ht="18" customHeight="1" x14ac:dyDescent="0.35">
      <c r="A981" s="468"/>
      <c r="B981" s="468"/>
      <c r="C981" s="468"/>
      <c r="D981" s="468"/>
      <c r="E981" s="468"/>
      <c r="F981" s="468"/>
      <c r="G981" s="468"/>
      <c r="H981" s="468"/>
      <c r="I981" s="468"/>
      <c r="J981" s="468"/>
      <c r="K981" s="468"/>
      <c r="L981" s="468"/>
      <c r="M981" s="468"/>
      <c r="N981" s="468"/>
      <c r="O981" s="468"/>
      <c r="P981" s="468"/>
      <c r="Q981" s="468"/>
      <c r="R981" s="468"/>
      <c r="S981" s="468"/>
      <c r="T981" s="468"/>
      <c r="U981" s="468"/>
      <c r="V981" s="468"/>
      <c r="W981" s="468"/>
      <c r="X981" s="468"/>
      <c r="Y981" s="468"/>
      <c r="Z981" s="468"/>
      <c r="AA981" s="468"/>
      <c r="AB981" s="468"/>
      <c r="AC981" s="468"/>
      <c r="AD981" s="468"/>
      <c r="AE981" s="468"/>
      <c r="AF981" s="468"/>
      <c r="AG981" s="468"/>
      <c r="AH981" s="468"/>
      <c r="AI981" s="468"/>
      <c r="AJ981" s="468"/>
    </row>
    <row r="982" spans="1:36" ht="18" customHeight="1" x14ac:dyDescent="0.35">
      <c r="A982" s="468"/>
      <c r="B982" s="468"/>
      <c r="C982" s="468"/>
      <c r="D982" s="468"/>
      <c r="E982" s="468"/>
      <c r="F982" s="468"/>
      <c r="G982" s="468"/>
      <c r="H982" s="468"/>
      <c r="I982" s="468"/>
      <c r="J982" s="468"/>
      <c r="K982" s="468"/>
      <c r="L982" s="468"/>
      <c r="M982" s="468"/>
      <c r="N982" s="468"/>
      <c r="O982" s="468"/>
      <c r="P982" s="468"/>
      <c r="Q982" s="468"/>
      <c r="R982" s="468"/>
      <c r="S982" s="468"/>
      <c r="T982" s="468"/>
      <c r="U982" s="468"/>
      <c r="V982" s="468"/>
      <c r="W982" s="468"/>
      <c r="X982" s="468"/>
      <c r="Y982" s="468"/>
      <c r="Z982" s="468"/>
      <c r="AA982" s="468"/>
      <c r="AB982" s="468"/>
      <c r="AC982" s="468"/>
      <c r="AD982" s="468"/>
      <c r="AE982" s="468"/>
      <c r="AF982" s="468"/>
      <c r="AG982" s="468"/>
      <c r="AH982" s="468"/>
      <c r="AI982" s="468"/>
      <c r="AJ982" s="468"/>
    </row>
    <row r="983" spans="1:36" ht="18" customHeight="1" x14ac:dyDescent="0.35">
      <c r="A983" s="468"/>
      <c r="B983" s="468"/>
      <c r="C983" s="468"/>
      <c r="D983" s="468"/>
      <c r="E983" s="468"/>
      <c r="F983" s="468"/>
      <c r="G983" s="468"/>
      <c r="H983" s="468"/>
      <c r="I983" s="468"/>
      <c r="J983" s="468"/>
      <c r="K983" s="468"/>
      <c r="L983" s="468"/>
      <c r="M983" s="468"/>
      <c r="N983" s="468"/>
      <c r="O983" s="468"/>
      <c r="P983" s="468"/>
      <c r="Q983" s="468"/>
      <c r="R983" s="468"/>
      <c r="S983" s="468"/>
      <c r="T983" s="468"/>
      <c r="U983" s="468"/>
      <c r="V983" s="468"/>
      <c r="W983" s="468"/>
      <c r="X983" s="468"/>
      <c r="Y983" s="468"/>
      <c r="Z983" s="468"/>
      <c r="AA983" s="468"/>
      <c r="AB983" s="468"/>
      <c r="AC983" s="468"/>
      <c r="AD983" s="468"/>
      <c r="AE983" s="468"/>
      <c r="AF983" s="468"/>
      <c r="AG983" s="468"/>
      <c r="AH983" s="468"/>
      <c r="AI983" s="468"/>
      <c r="AJ983" s="468"/>
    </row>
    <row r="984" spans="1:36" ht="18" customHeight="1" x14ac:dyDescent="0.35">
      <c r="A984" s="468"/>
      <c r="B984" s="468"/>
      <c r="C984" s="468"/>
      <c r="D984" s="468"/>
      <c r="E984" s="468"/>
      <c r="F984" s="468"/>
      <c r="G984" s="468"/>
      <c r="H984" s="468"/>
      <c r="I984" s="468"/>
      <c r="J984" s="468"/>
      <c r="K984" s="468"/>
      <c r="L984" s="468"/>
      <c r="M984" s="468"/>
      <c r="N984" s="468"/>
      <c r="O984" s="468"/>
      <c r="P984" s="468"/>
      <c r="Q984" s="468"/>
      <c r="R984" s="468"/>
      <c r="S984" s="468"/>
      <c r="T984" s="468"/>
      <c r="U984" s="468"/>
      <c r="V984" s="468"/>
      <c r="W984" s="468"/>
      <c r="X984" s="468"/>
      <c r="Y984" s="468"/>
      <c r="Z984" s="468"/>
      <c r="AA984" s="468"/>
      <c r="AB984" s="468"/>
      <c r="AC984" s="468"/>
      <c r="AD984" s="468"/>
      <c r="AE984" s="468"/>
      <c r="AF984" s="468"/>
      <c r="AG984" s="468"/>
      <c r="AH984" s="468"/>
      <c r="AI984" s="468"/>
      <c r="AJ984" s="468"/>
    </row>
    <row r="985" spans="1:36" ht="18" customHeight="1" x14ac:dyDescent="0.35">
      <c r="A985" s="468"/>
      <c r="B985" s="468"/>
      <c r="C985" s="468"/>
      <c r="D985" s="468"/>
      <c r="E985" s="468"/>
      <c r="F985" s="468"/>
      <c r="G985" s="468"/>
      <c r="H985" s="468"/>
      <c r="I985" s="468"/>
      <c r="J985" s="468"/>
      <c r="K985" s="468"/>
      <c r="L985" s="468"/>
      <c r="M985" s="468"/>
      <c r="N985" s="468"/>
      <c r="O985" s="468"/>
      <c r="P985" s="468"/>
      <c r="Q985" s="468"/>
      <c r="R985" s="468"/>
      <c r="S985" s="468"/>
      <c r="T985" s="468"/>
      <c r="U985" s="468"/>
      <c r="V985" s="468"/>
      <c r="W985" s="468"/>
      <c r="X985" s="468"/>
      <c r="Y985" s="468"/>
      <c r="Z985" s="468"/>
      <c r="AA985" s="468"/>
      <c r="AB985" s="468"/>
      <c r="AC985" s="468"/>
      <c r="AD985" s="468"/>
      <c r="AE985" s="468"/>
      <c r="AF985" s="468"/>
      <c r="AG985" s="468"/>
      <c r="AH985" s="468"/>
      <c r="AI985" s="468"/>
      <c r="AJ985" s="468"/>
    </row>
    <row r="986" spans="1:36" ht="18" customHeight="1" x14ac:dyDescent="0.35">
      <c r="A986" s="468"/>
      <c r="B986" s="468"/>
      <c r="C986" s="468"/>
      <c r="D986" s="468"/>
      <c r="E986" s="468"/>
      <c r="F986" s="468"/>
      <c r="G986" s="468"/>
      <c r="H986" s="468"/>
      <c r="I986" s="468"/>
      <c r="J986" s="468"/>
      <c r="K986" s="468"/>
      <c r="L986" s="468"/>
      <c r="M986" s="468"/>
      <c r="N986" s="468"/>
      <c r="O986" s="468"/>
      <c r="P986" s="468"/>
      <c r="Q986" s="468"/>
      <c r="R986" s="468"/>
      <c r="S986" s="468"/>
      <c r="T986" s="468"/>
      <c r="U986" s="468"/>
      <c r="V986" s="468"/>
      <c r="W986" s="468"/>
      <c r="X986" s="468"/>
      <c r="Y986" s="468"/>
      <c r="Z986" s="468"/>
      <c r="AA986" s="468"/>
      <c r="AB986" s="468"/>
      <c r="AC986" s="468"/>
      <c r="AD986" s="468"/>
      <c r="AE986" s="468"/>
      <c r="AF986" s="468"/>
      <c r="AG986" s="468"/>
      <c r="AH986" s="468"/>
      <c r="AI986" s="468"/>
      <c r="AJ986" s="468"/>
    </row>
    <row r="987" spans="1:36" ht="18" customHeight="1" x14ac:dyDescent="0.35">
      <c r="A987" s="468"/>
      <c r="B987" s="468"/>
      <c r="C987" s="468"/>
      <c r="D987" s="468"/>
      <c r="E987" s="468"/>
      <c r="F987" s="468"/>
      <c r="G987" s="468"/>
      <c r="H987" s="468"/>
      <c r="I987" s="468"/>
      <c r="J987" s="468"/>
      <c r="K987" s="468"/>
      <c r="L987" s="468"/>
      <c r="M987" s="468"/>
      <c r="N987" s="468"/>
      <c r="O987" s="468"/>
      <c r="P987" s="468"/>
      <c r="Q987" s="468"/>
      <c r="R987" s="468"/>
      <c r="S987" s="468"/>
      <c r="T987" s="468"/>
      <c r="U987" s="468"/>
      <c r="V987" s="468"/>
      <c r="W987" s="468"/>
      <c r="X987" s="468"/>
      <c r="Y987" s="468"/>
      <c r="Z987" s="468"/>
      <c r="AA987" s="468"/>
      <c r="AB987" s="468"/>
      <c r="AC987" s="468"/>
      <c r="AD987" s="468"/>
      <c r="AE987" s="468"/>
      <c r="AF987" s="468"/>
      <c r="AG987" s="468"/>
      <c r="AH987" s="468"/>
      <c r="AI987" s="468"/>
      <c r="AJ987" s="468"/>
    </row>
    <row r="988" spans="1:36" ht="18" customHeight="1" x14ac:dyDescent="0.35">
      <c r="A988" s="468"/>
      <c r="B988" s="468"/>
      <c r="C988" s="468"/>
      <c r="D988" s="468"/>
      <c r="E988" s="468"/>
      <c r="F988" s="468"/>
      <c r="G988" s="468"/>
      <c r="H988" s="468"/>
      <c r="I988" s="468"/>
      <c r="J988" s="468"/>
      <c r="K988" s="468"/>
      <c r="L988" s="468"/>
      <c r="M988" s="468"/>
      <c r="N988" s="468"/>
      <c r="O988" s="468"/>
      <c r="P988" s="468"/>
      <c r="Q988" s="468"/>
      <c r="R988" s="468"/>
      <c r="S988" s="468"/>
      <c r="T988" s="468"/>
      <c r="U988" s="468"/>
      <c r="V988" s="468"/>
      <c r="W988" s="468"/>
      <c r="X988" s="468"/>
      <c r="Y988" s="468"/>
      <c r="Z988" s="468"/>
      <c r="AA988" s="468"/>
      <c r="AB988" s="468"/>
      <c r="AC988" s="468"/>
      <c r="AD988" s="468"/>
      <c r="AE988" s="468"/>
      <c r="AF988" s="468"/>
      <c r="AG988" s="468"/>
      <c r="AH988" s="468"/>
      <c r="AI988" s="468"/>
      <c r="AJ988" s="468"/>
    </row>
    <row r="989" spans="1:36" ht="18" customHeight="1" x14ac:dyDescent="0.35">
      <c r="A989" s="468"/>
      <c r="B989" s="468"/>
      <c r="C989" s="468"/>
      <c r="D989" s="468"/>
      <c r="E989" s="468"/>
      <c r="F989" s="468"/>
      <c r="G989" s="468"/>
      <c r="H989" s="468"/>
      <c r="I989" s="468"/>
      <c r="J989" s="468"/>
      <c r="K989" s="468"/>
      <c r="L989" s="468"/>
      <c r="M989" s="468"/>
      <c r="N989" s="468"/>
      <c r="O989" s="468"/>
      <c r="P989" s="468"/>
      <c r="Q989" s="468"/>
      <c r="R989" s="468"/>
      <c r="S989" s="468"/>
      <c r="T989" s="468"/>
      <c r="U989" s="468"/>
      <c r="V989" s="468"/>
      <c r="W989" s="468"/>
      <c r="X989" s="468"/>
      <c r="Y989" s="468"/>
      <c r="Z989" s="468"/>
      <c r="AA989" s="468"/>
      <c r="AB989" s="468"/>
      <c r="AC989" s="468"/>
      <c r="AD989" s="468"/>
      <c r="AE989" s="468"/>
      <c r="AF989" s="468"/>
      <c r="AG989" s="468"/>
      <c r="AH989" s="468"/>
      <c r="AI989" s="468"/>
      <c r="AJ989" s="468"/>
    </row>
    <row r="990" spans="1:36" ht="18" customHeight="1" x14ac:dyDescent="0.35">
      <c r="A990" s="468"/>
      <c r="B990" s="468"/>
      <c r="C990" s="468"/>
      <c r="D990" s="468"/>
      <c r="E990" s="468"/>
      <c r="F990" s="468"/>
      <c r="G990" s="468"/>
      <c r="H990" s="468"/>
      <c r="I990" s="468"/>
      <c r="J990" s="468"/>
      <c r="K990" s="468"/>
      <c r="L990" s="468"/>
      <c r="M990" s="468"/>
      <c r="N990" s="468"/>
      <c r="O990" s="468"/>
      <c r="P990" s="468"/>
      <c r="Q990" s="468"/>
      <c r="R990" s="468"/>
      <c r="S990" s="468"/>
      <c r="T990" s="468"/>
      <c r="U990" s="468"/>
      <c r="V990" s="468"/>
      <c r="W990" s="468"/>
      <c r="X990" s="468"/>
      <c r="Y990" s="468"/>
      <c r="Z990" s="468"/>
      <c r="AA990" s="468"/>
      <c r="AB990" s="468"/>
      <c r="AC990" s="468"/>
      <c r="AD990" s="468"/>
      <c r="AE990" s="468"/>
      <c r="AF990" s="468"/>
      <c r="AG990" s="468"/>
      <c r="AH990" s="468"/>
      <c r="AI990" s="468"/>
      <c r="AJ990" s="468"/>
    </row>
    <row r="991" spans="1:36" ht="18" customHeight="1" x14ac:dyDescent="0.35">
      <c r="A991" s="468"/>
      <c r="B991" s="468"/>
      <c r="C991" s="468"/>
      <c r="D991" s="468"/>
      <c r="E991" s="468"/>
      <c r="F991" s="468"/>
      <c r="G991" s="468"/>
      <c r="H991" s="468"/>
      <c r="I991" s="468"/>
      <c r="J991" s="468"/>
      <c r="K991" s="468"/>
      <c r="L991" s="468"/>
      <c r="M991" s="468"/>
      <c r="N991" s="468"/>
      <c r="O991" s="468"/>
      <c r="P991" s="468"/>
      <c r="Q991" s="468"/>
      <c r="R991" s="468"/>
      <c r="S991" s="468"/>
      <c r="T991" s="468"/>
      <c r="U991" s="468"/>
      <c r="V991" s="468"/>
      <c r="W991" s="468"/>
      <c r="X991" s="468"/>
      <c r="Y991" s="468"/>
      <c r="Z991" s="468"/>
      <c r="AA991" s="468"/>
      <c r="AB991" s="468"/>
      <c r="AC991" s="468"/>
      <c r="AD991" s="468"/>
      <c r="AE991" s="468"/>
      <c r="AF991" s="468"/>
      <c r="AG991" s="468"/>
      <c r="AH991" s="468"/>
      <c r="AI991" s="468"/>
      <c r="AJ991" s="468"/>
    </row>
    <row r="992" spans="1:36" ht="18" customHeight="1" x14ac:dyDescent="0.35">
      <c r="A992" s="468"/>
      <c r="B992" s="468"/>
      <c r="C992" s="468"/>
      <c r="D992" s="468"/>
      <c r="E992" s="468"/>
      <c r="F992" s="468"/>
      <c r="G992" s="468"/>
      <c r="H992" s="468"/>
      <c r="I992" s="468"/>
      <c r="J992" s="468"/>
      <c r="K992" s="468"/>
      <c r="L992" s="468"/>
      <c r="M992" s="468"/>
      <c r="N992" s="468"/>
      <c r="O992" s="468"/>
      <c r="P992" s="468"/>
      <c r="Q992" s="468"/>
      <c r="R992" s="468"/>
      <c r="S992" s="468"/>
      <c r="T992" s="468"/>
      <c r="U992" s="468"/>
      <c r="V992" s="468"/>
      <c r="W992" s="468"/>
      <c r="X992" s="468"/>
      <c r="Y992" s="468"/>
      <c r="Z992" s="468"/>
      <c r="AA992" s="468"/>
      <c r="AB992" s="468"/>
      <c r="AC992" s="468"/>
      <c r="AD992" s="468"/>
      <c r="AE992" s="468"/>
      <c r="AF992" s="468"/>
      <c r="AG992" s="468"/>
      <c r="AH992" s="468"/>
      <c r="AI992" s="468"/>
      <c r="AJ992" s="468"/>
    </row>
    <row r="993" spans="1:36" ht="18" customHeight="1" x14ac:dyDescent="0.35">
      <c r="A993" s="468"/>
      <c r="B993" s="468"/>
      <c r="C993" s="468"/>
      <c r="D993" s="468"/>
      <c r="E993" s="468"/>
      <c r="F993" s="468"/>
      <c r="G993" s="468"/>
      <c r="H993" s="468"/>
      <c r="I993" s="468"/>
      <c r="J993" s="468"/>
      <c r="K993" s="468"/>
      <c r="L993" s="468"/>
      <c r="M993" s="468"/>
      <c r="N993" s="468"/>
      <c r="O993" s="468"/>
      <c r="P993" s="468"/>
      <c r="Q993" s="468"/>
      <c r="R993" s="468"/>
      <c r="S993" s="468"/>
      <c r="T993" s="468"/>
      <c r="U993" s="468"/>
      <c r="V993" s="468"/>
      <c r="W993" s="468"/>
      <c r="X993" s="468"/>
      <c r="Y993" s="468"/>
      <c r="Z993" s="468"/>
      <c r="AA993" s="468"/>
      <c r="AB993" s="468"/>
      <c r="AC993" s="468"/>
      <c r="AD993" s="468"/>
      <c r="AE993" s="468"/>
      <c r="AF993" s="468"/>
      <c r="AG993" s="468"/>
      <c r="AH993" s="468"/>
      <c r="AI993" s="468"/>
      <c r="AJ993" s="468"/>
    </row>
    <row r="994" spans="1:36" ht="18" customHeight="1" x14ac:dyDescent="0.35">
      <c r="A994" s="468"/>
      <c r="B994" s="468"/>
      <c r="C994" s="468"/>
      <c r="D994" s="468"/>
      <c r="E994" s="468"/>
      <c r="F994" s="468"/>
      <c r="G994" s="468"/>
      <c r="H994" s="468"/>
      <c r="I994" s="468"/>
      <c r="J994" s="468"/>
      <c r="K994" s="468"/>
      <c r="L994" s="468"/>
      <c r="M994" s="468"/>
      <c r="N994" s="468"/>
      <c r="O994" s="468"/>
      <c r="P994" s="468"/>
      <c r="Q994" s="468"/>
      <c r="R994" s="468"/>
      <c r="S994" s="468"/>
      <c r="T994" s="468"/>
      <c r="U994" s="468"/>
      <c r="V994" s="468"/>
      <c r="W994" s="468"/>
      <c r="X994" s="468"/>
      <c r="Y994" s="468"/>
      <c r="Z994" s="468"/>
      <c r="AA994" s="468"/>
      <c r="AB994" s="468"/>
      <c r="AC994" s="468"/>
      <c r="AD994" s="468"/>
      <c r="AE994" s="468"/>
      <c r="AF994" s="468"/>
      <c r="AG994" s="468"/>
      <c r="AH994" s="468"/>
      <c r="AI994" s="468"/>
      <c r="AJ994" s="468"/>
    </row>
    <row r="995" spans="1:36" ht="18" customHeight="1" x14ac:dyDescent="0.35">
      <c r="A995" s="468"/>
      <c r="B995" s="468"/>
      <c r="C995" s="468"/>
      <c r="D995" s="468"/>
      <c r="E995" s="468"/>
      <c r="F995" s="468"/>
      <c r="G995" s="468"/>
      <c r="H995" s="468"/>
      <c r="I995" s="468"/>
      <c r="J995" s="468"/>
      <c r="K995" s="468"/>
      <c r="L995" s="468"/>
      <c r="M995" s="468"/>
      <c r="N995" s="468"/>
      <c r="O995" s="468"/>
      <c r="P995" s="468"/>
      <c r="Q995" s="468"/>
      <c r="R995" s="468"/>
      <c r="S995" s="468"/>
      <c r="T995" s="468"/>
      <c r="U995" s="468"/>
      <c r="V995" s="468"/>
      <c r="W995" s="468"/>
      <c r="X995" s="468"/>
      <c r="Y995" s="468"/>
      <c r="Z995" s="468"/>
      <c r="AA995" s="468"/>
      <c r="AB995" s="468"/>
      <c r="AC995" s="468"/>
      <c r="AD995" s="468"/>
      <c r="AE995" s="468"/>
      <c r="AF995" s="468"/>
      <c r="AG995" s="468"/>
      <c r="AH995" s="468"/>
      <c r="AI995" s="468"/>
      <c r="AJ995" s="468"/>
    </row>
    <row r="996" spans="1:36" ht="18" customHeight="1" x14ac:dyDescent="0.35">
      <c r="A996" s="468"/>
      <c r="B996" s="468"/>
      <c r="C996" s="468"/>
      <c r="D996" s="468"/>
      <c r="E996" s="468"/>
      <c r="F996" s="468"/>
      <c r="G996" s="468"/>
      <c r="H996" s="468"/>
      <c r="I996" s="468"/>
      <c r="J996" s="468"/>
      <c r="K996" s="468"/>
      <c r="L996" s="468"/>
      <c r="M996" s="468"/>
      <c r="N996" s="468"/>
      <c r="O996" s="468"/>
      <c r="P996" s="468"/>
      <c r="Q996" s="468"/>
      <c r="R996" s="468"/>
      <c r="S996" s="468"/>
      <c r="T996" s="468"/>
      <c r="U996" s="468"/>
      <c r="V996" s="468"/>
      <c r="W996" s="468"/>
      <c r="X996" s="468"/>
      <c r="Y996" s="468"/>
      <c r="Z996" s="468"/>
      <c r="AA996" s="468"/>
      <c r="AB996" s="468"/>
      <c r="AC996" s="468"/>
      <c r="AD996" s="468"/>
      <c r="AE996" s="468"/>
      <c r="AF996" s="468"/>
      <c r="AG996" s="468"/>
      <c r="AH996" s="468"/>
      <c r="AI996" s="468"/>
      <c r="AJ996" s="468"/>
    </row>
    <row r="997" spans="1:36" ht="18" customHeight="1" x14ac:dyDescent="0.35">
      <c r="A997" s="468"/>
      <c r="B997" s="468"/>
      <c r="C997" s="468"/>
      <c r="D997" s="468"/>
      <c r="E997" s="468"/>
      <c r="F997" s="468"/>
      <c r="G997" s="468"/>
      <c r="H997" s="468"/>
      <c r="I997" s="468"/>
      <c r="J997" s="468"/>
      <c r="K997" s="468"/>
      <c r="L997" s="468"/>
      <c r="M997" s="468"/>
      <c r="N997" s="468"/>
      <c r="O997" s="468"/>
      <c r="P997" s="468"/>
      <c r="Q997" s="468"/>
      <c r="R997" s="468"/>
      <c r="S997" s="468"/>
      <c r="T997" s="468"/>
      <c r="U997" s="468"/>
      <c r="V997" s="468"/>
      <c r="W997" s="468"/>
      <c r="X997" s="468"/>
      <c r="Y997" s="468"/>
      <c r="Z997" s="468"/>
      <c r="AA997" s="468"/>
      <c r="AB997" s="468"/>
      <c r="AC997" s="468"/>
      <c r="AD997" s="468"/>
      <c r="AE997" s="468"/>
      <c r="AF997" s="468"/>
      <c r="AG997" s="468"/>
      <c r="AH997" s="468"/>
      <c r="AI997" s="468"/>
      <c r="AJ997" s="468"/>
    </row>
    <row r="998" spans="1:36" ht="18" customHeight="1" x14ac:dyDescent="0.35">
      <c r="A998" s="468"/>
      <c r="B998" s="468"/>
      <c r="C998" s="468"/>
      <c r="D998" s="468"/>
      <c r="E998" s="468"/>
      <c r="F998" s="468"/>
      <c r="G998" s="468"/>
      <c r="H998" s="468"/>
      <c r="I998" s="468"/>
      <c r="J998" s="468"/>
      <c r="K998" s="468"/>
      <c r="L998" s="468"/>
      <c r="M998" s="468"/>
      <c r="N998" s="468"/>
      <c r="O998" s="468"/>
      <c r="P998" s="468"/>
      <c r="Q998" s="468"/>
      <c r="R998" s="468"/>
      <c r="S998" s="468"/>
      <c r="T998" s="468"/>
      <c r="U998" s="468"/>
      <c r="V998" s="468"/>
      <c r="W998" s="468"/>
      <c r="X998" s="468"/>
      <c r="Y998" s="468"/>
      <c r="Z998" s="468"/>
      <c r="AA998" s="468"/>
      <c r="AB998" s="468"/>
      <c r="AC998" s="468"/>
      <c r="AD998" s="468"/>
      <c r="AE998" s="468"/>
      <c r="AF998" s="468"/>
      <c r="AG998" s="468"/>
      <c r="AH998" s="468"/>
      <c r="AI998" s="468"/>
      <c r="AJ998" s="468"/>
    </row>
    <row r="999" spans="1:36" ht="18" customHeight="1" x14ac:dyDescent="0.35">
      <c r="A999" s="468"/>
      <c r="B999" s="468"/>
      <c r="C999" s="468"/>
      <c r="D999" s="468"/>
      <c r="E999" s="468"/>
      <c r="F999" s="468"/>
      <c r="G999" s="468"/>
      <c r="H999" s="468"/>
      <c r="I999" s="468"/>
      <c r="J999" s="468"/>
      <c r="K999" s="468"/>
      <c r="L999" s="468"/>
      <c r="M999" s="468"/>
      <c r="N999" s="468"/>
      <c r="O999" s="468"/>
      <c r="P999" s="468"/>
      <c r="Q999" s="468"/>
      <c r="R999" s="468"/>
      <c r="S999" s="468"/>
      <c r="T999" s="468"/>
      <c r="U999" s="468"/>
      <c r="V999" s="468"/>
      <c r="W999" s="468"/>
      <c r="X999" s="468"/>
      <c r="Y999" s="468"/>
      <c r="Z999" s="468"/>
      <c r="AA999" s="468"/>
      <c r="AB999" s="468"/>
      <c r="AC999" s="468"/>
      <c r="AD999" s="468"/>
      <c r="AE999" s="468"/>
      <c r="AF999" s="468"/>
      <c r="AG999" s="468"/>
      <c r="AH999" s="468"/>
      <c r="AI999" s="468"/>
      <c r="AJ999" s="468"/>
    </row>
    <row r="1000" spans="1:36" ht="18" customHeight="1" x14ac:dyDescent="0.35">
      <c r="A1000" s="468"/>
      <c r="B1000" s="468"/>
      <c r="C1000" s="468"/>
      <c r="D1000" s="468"/>
      <c r="E1000" s="468"/>
      <c r="F1000" s="468"/>
      <c r="G1000" s="468"/>
      <c r="H1000" s="468"/>
      <c r="I1000" s="468"/>
      <c r="J1000" s="468"/>
      <c r="K1000" s="468"/>
      <c r="L1000" s="468"/>
      <c r="M1000" s="468"/>
      <c r="N1000" s="468"/>
      <c r="O1000" s="468"/>
      <c r="P1000" s="468"/>
      <c r="Q1000" s="468"/>
      <c r="R1000" s="468"/>
      <c r="S1000" s="468"/>
      <c r="T1000" s="468"/>
      <c r="U1000" s="468"/>
      <c r="V1000" s="468"/>
      <c r="W1000" s="468"/>
      <c r="X1000" s="468"/>
      <c r="Y1000" s="468"/>
      <c r="Z1000" s="468"/>
      <c r="AA1000" s="468"/>
      <c r="AB1000" s="468"/>
      <c r="AC1000" s="468"/>
      <c r="AD1000" s="468"/>
      <c r="AE1000" s="468"/>
      <c r="AF1000" s="468"/>
      <c r="AG1000" s="468"/>
      <c r="AH1000" s="468"/>
      <c r="AI1000" s="468"/>
      <c r="AJ1000" s="468"/>
    </row>
  </sheetData>
  <mergeCells count="4">
    <mergeCell ref="A1:G1"/>
    <mergeCell ref="E13:G17"/>
    <mergeCell ref="B20:B21"/>
    <mergeCell ref="G20:G21"/>
  </mergeCells>
  <conditionalFormatting sqref="B3 E3">
    <cfRule type="beginsWith" dxfId="11" priority="1" operator="beginsWith" text="Boulons">
      <formula>LEFT((B3),LEN("Boulons"))=("Boulons")</formula>
    </cfRule>
  </conditionalFormatting>
  <conditionalFormatting sqref="B3">
    <cfRule type="containsText" dxfId="10" priority="2" operator="containsText" text="Boulons et Platines">
      <formula>NOT(ISERROR(SEARCH(("Boulons et Platines"),(B3))))</formula>
    </cfRule>
  </conditionalFormatting>
  <conditionalFormatting sqref="C15">
    <cfRule type="beginsWith" dxfId="9" priority="3" operator="beginsWith" text="Boulons">
      <formula>LEFT((C15),LEN("Boulons"))=("Boulons")</formula>
    </cfRule>
    <cfRule type="endsWith" dxfId="8" priority="4" operator="endsWith" text="Boulons">
      <formula>RIGHT((C15),LEN("Boulons"))=("Boulons")</formula>
    </cfRule>
  </conditionalFormatting>
  <conditionalFormatting sqref="E3">
    <cfRule type="containsText" dxfId="7" priority="5" operator="containsText" text="Boulons et Platines">
      <formula>NOT(ISERROR(SEARCH(("Boulons et Platines"),(E3))))</formula>
    </cfRule>
  </conditionalFormatting>
  <dataValidations count="12">
    <dataValidation type="list" allowBlank="1" showErrorMessage="1" sqref="C22" xr:uid="{00000000-0002-0000-1300-000000000000}">
      <formula1>$A$130:$A$142</formula1>
    </dataValidation>
    <dataValidation type="list" allowBlank="1" showErrorMessage="1" sqref="C25 H25" xr:uid="{00000000-0002-0000-1300-000001000000}">
      <formula1>$A$92:$A$100</formula1>
    </dataValidation>
    <dataValidation type="list" allowBlank="1" showErrorMessage="1" sqref="C13" xr:uid="{00000000-0002-0000-1300-000002000000}">
      <formula1>$B$102:$B$104</formula1>
    </dataValidation>
    <dataValidation type="list" allowBlank="1" showErrorMessage="1" sqref="C24 H24" xr:uid="{00000000-0002-0000-1300-000003000000}">
      <formula1>$A$84:$A$90</formula1>
    </dataValidation>
    <dataValidation type="list" allowBlank="1" showErrorMessage="1" sqref="E22" xr:uid="{00000000-0002-0000-1300-000004000000}">
      <formula1>IF($D$22="Type de mousse",$A$108:$A$109,IF($D$22="Nombre",$A$113:$A$120,0))</formula1>
    </dataValidation>
    <dataValidation type="list" allowBlank="1" showErrorMessage="1" sqref="C15" xr:uid="{00000000-0002-0000-1300-000005000000}">
      <formula1>$A$77:$A$78</formula1>
    </dataValidation>
    <dataValidation type="list" allowBlank="1" showErrorMessage="1" sqref="H22" xr:uid="{00000000-0002-0000-1300-000006000000}">
      <formula1>#REF!</formula1>
    </dataValidation>
    <dataValidation type="list" allowBlank="1" showErrorMessage="1" sqref="C26 H26" xr:uid="{00000000-0002-0000-1300-000007000000}">
      <formula1>$A$102:$A$104</formula1>
    </dataValidation>
    <dataValidation type="list" allowBlank="1" showErrorMessage="1" sqref="C17" xr:uid="{00000000-0002-0000-1300-000008000000}">
      <formula1>$A$80:$A$82</formula1>
    </dataValidation>
    <dataValidation type="list" allowBlank="1" showErrorMessage="1" sqref="E25 J25" xr:uid="{00000000-0002-0000-1300-000009000000}">
      <formula1>$A$122:$A$123</formula1>
    </dataValidation>
    <dataValidation type="list" allowBlank="1" showErrorMessage="1" sqref="J22" xr:uid="{00000000-0002-0000-1300-00000A000000}">
      <formula1>IF($I$22="Type de mousse",$A$108:$A$109,IF($I$22="Nombre",$A$113:$A$120,0))</formula1>
    </dataValidation>
    <dataValidation type="list" allowBlank="1" showErrorMessage="1" sqref="E24 J24" xr:uid="{00000000-0002-0000-1300-00000B000000}">
      <formula1>IF($D$24="Type de mousse",$A$125:$A$126,0)</formula1>
    </dataValidation>
  </dataValidations>
  <pageMargins left="0.31496062992125984" right="0.31496062992125984" top="0.74803149606299213" bottom="0.74803149606299213" header="0" footer="0"/>
  <pageSetup paperSize="9" orientation="landscape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rgb="FFFFC000"/>
    <pageSetUpPr fitToPage="1"/>
  </sheetPr>
  <dimension ref="A1:AJ1000"/>
  <sheetViews>
    <sheetView workbookViewId="0"/>
  </sheetViews>
  <sheetFormatPr baseColWidth="10" defaultColWidth="14.44140625" defaultRowHeight="15" customHeight="1" x14ac:dyDescent="0.3"/>
  <cols>
    <col min="1" max="1" width="18.44140625" customWidth="1"/>
    <col min="2" max="2" width="31.44140625" customWidth="1"/>
    <col min="3" max="3" width="43.109375" customWidth="1"/>
    <col min="4" max="4" width="25.44140625" customWidth="1"/>
    <col min="5" max="5" width="24.33203125" customWidth="1"/>
    <col min="6" max="6" width="16.6640625" customWidth="1"/>
    <col min="7" max="7" width="29.33203125" customWidth="1"/>
    <col min="8" max="8" width="38.109375" customWidth="1"/>
    <col min="9" max="9" width="20.109375" customWidth="1"/>
    <col min="10" max="10" width="22.88671875" customWidth="1"/>
    <col min="11" max="11" width="11.6640625" customWidth="1"/>
    <col min="12" max="13" width="13" customWidth="1"/>
    <col min="14" max="14" width="15.44140625" customWidth="1"/>
    <col min="15" max="15" width="14.5546875" customWidth="1"/>
    <col min="16" max="16" width="11.5546875" customWidth="1"/>
    <col min="17" max="17" width="12.109375" customWidth="1"/>
    <col min="18" max="19" width="11.5546875" customWidth="1"/>
    <col min="20" max="20" width="15.109375" customWidth="1"/>
    <col min="21" max="21" width="12.109375" customWidth="1"/>
    <col min="22" max="34" width="11.5546875" customWidth="1"/>
    <col min="35" max="36" width="11.44140625" customWidth="1"/>
  </cols>
  <sheetData>
    <row r="1" spans="1:36" ht="18" customHeight="1" x14ac:dyDescent="0.35">
      <c r="A1" s="1202" t="s">
        <v>499</v>
      </c>
      <c r="B1" s="1085"/>
      <c r="C1" s="1085"/>
      <c r="D1" s="1085"/>
      <c r="E1" s="1085"/>
      <c r="F1" s="1085"/>
      <c r="G1" s="1085"/>
      <c r="H1" s="1085"/>
      <c r="I1" s="1085"/>
      <c r="J1" s="1086"/>
      <c r="K1" s="468"/>
      <c r="L1" s="468"/>
      <c r="M1" s="468"/>
      <c r="N1" s="468"/>
      <c r="O1" s="468"/>
      <c r="P1" s="468"/>
      <c r="Q1" s="468"/>
      <c r="R1" s="468"/>
      <c r="S1" s="468"/>
      <c r="T1" s="468"/>
      <c r="U1" s="468"/>
      <c r="V1" s="468"/>
      <c r="W1" s="468"/>
      <c r="X1" s="468"/>
      <c r="Y1" s="468"/>
      <c r="Z1" s="468"/>
      <c r="AA1" s="468"/>
      <c r="AB1" s="468"/>
      <c r="AC1" s="468"/>
      <c r="AD1" s="468"/>
      <c r="AE1" s="468"/>
      <c r="AF1" s="468"/>
      <c r="AG1" s="468"/>
      <c r="AH1" s="468"/>
      <c r="AI1" s="468"/>
      <c r="AJ1" s="468"/>
    </row>
    <row r="2" spans="1:36" ht="18" customHeight="1" x14ac:dyDescent="0.35">
      <c r="A2" s="1087"/>
      <c r="B2" s="1088"/>
      <c r="C2" s="1088"/>
      <c r="D2" s="1088"/>
      <c r="E2" s="1088"/>
      <c r="F2" s="1088"/>
      <c r="G2" s="1088"/>
      <c r="H2" s="1088"/>
      <c r="I2" s="1088"/>
      <c r="J2" s="1089"/>
      <c r="K2" s="468"/>
      <c r="L2" s="468"/>
      <c r="M2" s="468"/>
      <c r="N2" s="468"/>
      <c r="O2" s="468"/>
      <c r="P2" s="468"/>
      <c r="Q2" s="468"/>
      <c r="R2" s="468"/>
      <c r="S2" s="468"/>
      <c r="T2" s="468"/>
      <c r="U2" s="468"/>
      <c r="V2" s="468"/>
      <c r="W2" s="468"/>
      <c r="X2" s="468"/>
      <c r="Y2" s="468"/>
      <c r="Z2" s="468"/>
      <c r="AA2" s="468"/>
      <c r="AB2" s="468"/>
      <c r="AC2" s="468"/>
      <c r="AD2" s="468"/>
      <c r="AE2" s="468"/>
      <c r="AF2" s="468"/>
      <c r="AG2" s="468"/>
      <c r="AH2" s="468"/>
      <c r="AI2" s="468"/>
      <c r="AJ2" s="468"/>
    </row>
    <row r="3" spans="1:36" ht="18" customHeight="1" x14ac:dyDescent="0.5">
      <c r="A3" s="867"/>
      <c r="B3" s="867"/>
      <c r="C3" s="867"/>
      <c r="D3" s="867"/>
      <c r="E3" s="867"/>
      <c r="F3" s="867"/>
      <c r="G3" s="867"/>
      <c r="H3" s="867"/>
      <c r="I3" s="867"/>
      <c r="J3" s="867"/>
      <c r="K3" s="468"/>
      <c r="L3" s="468"/>
      <c r="M3" s="468"/>
      <c r="N3" s="468"/>
      <c r="O3" s="468"/>
      <c r="P3" s="468"/>
      <c r="Q3" s="468"/>
      <c r="R3" s="468"/>
      <c r="S3" s="468"/>
      <c r="T3" s="468"/>
      <c r="U3" s="468"/>
      <c r="V3" s="468"/>
      <c r="W3" s="468"/>
      <c r="X3" s="468"/>
      <c r="Y3" s="468"/>
      <c r="Z3" s="468"/>
      <c r="AA3" s="468"/>
      <c r="AB3" s="468"/>
      <c r="AC3" s="468"/>
      <c r="AD3" s="468"/>
      <c r="AE3" s="468"/>
      <c r="AF3" s="468"/>
      <c r="AG3" s="468"/>
      <c r="AH3" s="468"/>
      <c r="AI3" s="468"/>
      <c r="AJ3" s="468"/>
    </row>
    <row r="4" spans="1:36" ht="18" customHeight="1" x14ac:dyDescent="0.35">
      <c r="A4" s="468"/>
      <c r="B4" s="468"/>
      <c r="C4" s="468"/>
      <c r="D4" s="468"/>
      <c r="E4" s="468"/>
      <c r="F4" s="468"/>
      <c r="G4" s="468"/>
      <c r="H4" s="468"/>
      <c r="I4" s="468"/>
      <c r="J4" s="468"/>
      <c r="K4" s="468"/>
      <c r="L4" s="468"/>
      <c r="M4" s="468"/>
      <c r="N4" s="468"/>
      <c r="O4" s="468"/>
      <c r="P4" s="468"/>
      <c r="Q4" s="468"/>
      <c r="R4" s="468"/>
      <c r="S4" s="468"/>
      <c r="T4" s="468"/>
      <c r="U4" s="468"/>
      <c r="V4" s="468"/>
      <c r="W4" s="468"/>
      <c r="X4" s="468"/>
      <c r="Y4" s="468"/>
      <c r="Z4" s="468"/>
      <c r="AA4" s="468"/>
      <c r="AB4" s="468"/>
      <c r="AC4" s="468"/>
      <c r="AD4" s="468"/>
      <c r="AE4" s="468"/>
      <c r="AF4" s="468"/>
      <c r="AG4" s="468"/>
      <c r="AH4" s="468"/>
      <c r="AI4" s="468"/>
      <c r="AJ4" s="468"/>
    </row>
    <row r="5" spans="1:36" ht="18" customHeight="1" x14ac:dyDescent="0.35">
      <c r="A5" s="468"/>
      <c r="B5" s="468" t="s">
        <v>1</v>
      </c>
      <c r="C5" s="20"/>
      <c r="D5" s="468"/>
      <c r="E5" s="469" t="s">
        <v>2</v>
      </c>
      <c r="F5" s="22"/>
      <c r="G5" s="468"/>
      <c r="H5" s="468"/>
      <c r="I5" s="468" t="s">
        <v>477</v>
      </c>
      <c r="J5" s="468"/>
      <c r="K5" s="468"/>
      <c r="L5" s="468"/>
      <c r="M5" s="468"/>
      <c r="N5" s="468"/>
      <c r="O5" s="468"/>
      <c r="P5" s="468"/>
      <c r="Q5" s="468"/>
      <c r="R5" s="468"/>
      <c r="S5" s="468"/>
      <c r="T5" s="468"/>
      <c r="U5" s="468"/>
      <c r="V5" s="468"/>
      <c r="W5" s="468"/>
      <c r="X5" s="468"/>
      <c r="Y5" s="468"/>
      <c r="Z5" s="468"/>
      <c r="AA5" s="468"/>
      <c r="AB5" s="468"/>
      <c r="AC5" s="468"/>
      <c r="AD5" s="468"/>
      <c r="AE5" s="468"/>
      <c r="AF5" s="468"/>
      <c r="AG5" s="468"/>
      <c r="AH5" s="468"/>
      <c r="AI5" s="468"/>
      <c r="AJ5" s="468"/>
    </row>
    <row r="6" spans="1:36" ht="18" customHeight="1" x14ac:dyDescent="0.35">
      <c r="A6" s="468"/>
      <c r="B6" s="468" t="s">
        <v>4</v>
      </c>
      <c r="C6" s="23"/>
      <c r="D6" s="468"/>
      <c r="E6" s="469" t="s">
        <v>5</v>
      </c>
      <c r="F6" s="470" t="s">
        <v>6</v>
      </c>
      <c r="G6" s="468"/>
      <c r="H6" s="468"/>
      <c r="I6" s="826">
        <f ca="1">TODAY()</f>
        <v>46199</v>
      </c>
      <c r="J6" s="468"/>
      <c r="K6" s="468"/>
      <c r="L6" s="468"/>
      <c r="M6" s="468"/>
      <c r="N6" s="468"/>
      <c r="O6" s="468"/>
      <c r="P6" s="468"/>
      <c r="Q6" s="468"/>
      <c r="R6" s="468"/>
      <c r="S6" s="468"/>
      <c r="T6" s="468"/>
      <c r="U6" s="468"/>
      <c r="V6" s="468"/>
      <c r="W6" s="468"/>
      <c r="X6" s="468"/>
      <c r="Y6" s="468"/>
      <c r="Z6" s="468"/>
      <c r="AA6" s="468"/>
      <c r="AB6" s="468"/>
      <c r="AC6" s="468"/>
      <c r="AD6" s="468"/>
      <c r="AE6" s="468"/>
      <c r="AF6" s="468"/>
      <c r="AG6" s="468"/>
      <c r="AH6" s="468"/>
      <c r="AI6" s="468"/>
      <c r="AJ6" s="468"/>
    </row>
    <row r="7" spans="1:36" ht="18" customHeight="1" x14ac:dyDescent="0.35">
      <c r="A7" s="468"/>
      <c r="B7" s="468" t="s">
        <v>138</v>
      </c>
      <c r="C7" s="20"/>
      <c r="D7" s="468"/>
      <c r="E7" s="477" t="s">
        <v>8</v>
      </c>
      <c r="F7" s="25"/>
      <c r="G7" s="468"/>
      <c r="H7" s="468"/>
      <c r="I7" s="468"/>
      <c r="J7" s="468"/>
      <c r="K7" s="468"/>
      <c r="L7" s="468"/>
      <c r="M7" s="468"/>
      <c r="N7" s="468"/>
      <c r="O7" s="468"/>
      <c r="P7" s="468"/>
      <c r="Q7" s="468"/>
      <c r="R7" s="468"/>
      <c r="S7" s="468"/>
      <c r="T7" s="468"/>
      <c r="U7" s="468"/>
      <c r="V7" s="468"/>
      <c r="W7" s="468"/>
      <c r="X7" s="468"/>
      <c r="Y7" s="468"/>
      <c r="Z7" s="468"/>
      <c r="AA7" s="468"/>
      <c r="AB7" s="468"/>
      <c r="AC7" s="468"/>
      <c r="AD7" s="468"/>
      <c r="AE7" s="468"/>
      <c r="AF7" s="468"/>
      <c r="AG7" s="468"/>
      <c r="AH7" s="468"/>
      <c r="AI7" s="468"/>
      <c r="AJ7" s="468"/>
    </row>
    <row r="8" spans="1:36" ht="18" customHeight="1" x14ac:dyDescent="0.35">
      <c r="A8" s="468"/>
      <c r="B8" s="468"/>
      <c r="C8" s="468"/>
      <c r="D8" s="468"/>
      <c r="E8" s="468"/>
      <c r="F8" s="468"/>
      <c r="G8" s="468"/>
      <c r="H8" s="468"/>
      <c r="I8" s="468"/>
      <c r="J8" s="468"/>
      <c r="K8" s="468"/>
      <c r="L8" s="468"/>
      <c r="M8" s="468"/>
      <c r="N8" s="468"/>
      <c r="O8" s="468"/>
      <c r="P8" s="468"/>
      <c r="Q8" s="468"/>
      <c r="R8" s="468"/>
      <c r="S8" s="468"/>
      <c r="T8" s="468"/>
      <c r="U8" s="468"/>
      <c r="V8" s="468"/>
      <c r="W8" s="468"/>
      <c r="X8" s="468"/>
      <c r="Y8" s="468"/>
      <c r="Z8" s="468"/>
      <c r="AA8" s="468"/>
      <c r="AB8" s="468"/>
      <c r="AC8" s="468"/>
      <c r="AD8" s="468"/>
      <c r="AE8" s="468"/>
      <c r="AF8" s="468"/>
      <c r="AG8" s="468"/>
      <c r="AH8" s="468"/>
      <c r="AI8" s="468"/>
      <c r="AJ8" s="468"/>
    </row>
    <row r="9" spans="1:36" ht="18" customHeight="1" x14ac:dyDescent="0.35">
      <c r="A9" s="468"/>
      <c r="B9" s="471" t="s">
        <v>9</v>
      </c>
      <c r="C9" s="23" t="s">
        <v>10</v>
      </c>
      <c r="D9" s="468"/>
      <c r="E9" s="1199" t="str">
        <f>VLOOKUP($F$6,'Infos Clients'!$B$2:$G$10,2)</f>
        <v>#VALUE!</v>
      </c>
      <c r="F9" s="1085"/>
      <c r="G9" s="1086"/>
      <c r="H9" s="468"/>
      <c r="I9" s="468"/>
      <c r="J9" s="468"/>
      <c r="K9" s="468"/>
      <c r="L9" s="468"/>
      <c r="M9" s="468"/>
      <c r="N9" s="468"/>
      <c r="O9" s="468"/>
      <c r="P9" s="468"/>
      <c r="Q9" s="468"/>
      <c r="R9" s="468"/>
      <c r="S9" s="468"/>
      <c r="T9" s="468"/>
      <c r="U9" s="468"/>
      <c r="V9" s="468"/>
      <c r="W9" s="468"/>
      <c r="X9" s="468"/>
      <c r="Y9" s="468"/>
      <c r="Z9" s="468"/>
      <c r="AA9" s="468"/>
      <c r="AB9" s="468"/>
      <c r="AC9" s="468"/>
      <c r="AD9" s="468"/>
      <c r="AE9" s="468"/>
      <c r="AF9" s="468"/>
      <c r="AG9" s="468"/>
      <c r="AH9" s="468"/>
      <c r="AI9" s="468"/>
      <c r="AJ9" s="468"/>
    </row>
    <row r="10" spans="1:36" ht="18" customHeight="1" x14ac:dyDescent="0.35">
      <c r="A10" s="468"/>
      <c r="B10" s="471"/>
      <c r="C10" s="468"/>
      <c r="D10" s="468"/>
      <c r="E10" s="1091"/>
      <c r="F10" s="1097"/>
      <c r="G10" s="1092"/>
      <c r="H10" s="468"/>
      <c r="I10" s="468"/>
      <c r="J10" s="468"/>
      <c r="K10" s="468"/>
      <c r="L10" s="468"/>
      <c r="M10" s="468"/>
      <c r="N10" s="468"/>
      <c r="O10" s="468"/>
      <c r="P10" s="468"/>
      <c r="Q10" s="468"/>
      <c r="R10" s="468"/>
      <c r="S10" s="468"/>
      <c r="T10" s="468"/>
      <c r="U10" s="468"/>
      <c r="V10" s="468"/>
      <c r="W10" s="468"/>
      <c r="X10" s="468"/>
      <c r="Y10" s="468"/>
      <c r="Z10" s="468"/>
      <c r="AA10" s="468"/>
      <c r="AB10" s="468"/>
      <c r="AC10" s="468"/>
      <c r="AD10" s="468"/>
      <c r="AE10" s="468"/>
      <c r="AF10" s="468"/>
      <c r="AG10" s="468"/>
      <c r="AH10" s="468"/>
      <c r="AI10" s="468"/>
      <c r="AJ10" s="468"/>
    </row>
    <row r="11" spans="1:36" ht="18" customHeight="1" x14ac:dyDescent="0.35">
      <c r="A11" s="468"/>
      <c r="B11" s="468"/>
      <c r="C11" s="468"/>
      <c r="D11" s="468"/>
      <c r="E11" s="1091"/>
      <c r="F11" s="1097"/>
      <c r="G11" s="1092"/>
      <c r="H11" s="468"/>
      <c r="I11" s="468"/>
      <c r="J11" s="468"/>
      <c r="K11" s="468"/>
      <c r="L11" s="468"/>
      <c r="M11" s="468"/>
      <c r="N11" s="468"/>
      <c r="O11" s="468"/>
      <c r="P11" s="468"/>
      <c r="Q11" s="468"/>
      <c r="R11" s="468"/>
      <c r="S11" s="468"/>
      <c r="T11" s="468"/>
      <c r="U11" s="468"/>
      <c r="V11" s="468"/>
      <c r="W11" s="468"/>
      <c r="X11" s="468"/>
      <c r="Y11" s="468"/>
      <c r="Z11" s="468"/>
      <c r="AA11" s="468"/>
      <c r="AB11" s="468"/>
      <c r="AC11" s="468"/>
      <c r="AD11" s="468"/>
      <c r="AE11" s="468"/>
      <c r="AF11" s="468"/>
      <c r="AG11" s="468"/>
      <c r="AH11" s="468"/>
      <c r="AI11" s="468"/>
      <c r="AJ11" s="468"/>
    </row>
    <row r="12" spans="1:36" ht="18" customHeight="1" x14ac:dyDescent="0.35">
      <c r="A12" s="468"/>
      <c r="B12" s="471" t="s">
        <v>17</v>
      </c>
      <c r="C12" s="23" t="s">
        <v>18</v>
      </c>
      <c r="D12" s="468"/>
      <c r="E12" s="1091"/>
      <c r="F12" s="1097"/>
      <c r="G12" s="1092"/>
      <c r="H12" s="468"/>
      <c r="I12" s="468"/>
      <c r="J12" s="468"/>
      <c r="K12" s="468"/>
      <c r="L12" s="468"/>
      <c r="M12" s="468"/>
      <c r="N12" s="468"/>
      <c r="O12" s="468"/>
      <c r="P12" s="468"/>
      <c r="Q12" s="468"/>
      <c r="R12" s="468"/>
      <c r="S12" s="468"/>
      <c r="T12" s="468"/>
      <c r="U12" s="468"/>
      <c r="V12" s="468"/>
      <c r="W12" s="468"/>
      <c r="X12" s="468"/>
      <c r="Y12" s="468"/>
      <c r="Z12" s="468"/>
      <c r="AA12" s="468"/>
      <c r="AB12" s="468"/>
      <c r="AC12" s="468"/>
      <c r="AD12" s="468"/>
      <c r="AE12" s="468"/>
      <c r="AF12" s="468"/>
      <c r="AG12" s="468"/>
      <c r="AH12" s="468"/>
      <c r="AI12" s="468"/>
      <c r="AJ12" s="468"/>
    </row>
    <row r="13" spans="1:36" ht="18" customHeight="1" x14ac:dyDescent="0.35">
      <c r="A13" s="468"/>
      <c r="B13" s="468"/>
      <c r="C13" s="468"/>
      <c r="D13" s="468"/>
      <c r="E13" s="1091"/>
      <c r="F13" s="1097"/>
      <c r="G13" s="1092"/>
      <c r="H13" s="468"/>
      <c r="I13" s="468"/>
      <c r="J13" s="468"/>
      <c r="K13" s="468"/>
      <c r="L13" s="468"/>
      <c r="M13" s="468"/>
      <c r="N13" s="468"/>
      <c r="O13" s="468"/>
      <c r="P13" s="468"/>
      <c r="Q13" s="468"/>
      <c r="R13" s="468"/>
      <c r="S13" s="468"/>
      <c r="T13" s="468"/>
      <c r="U13" s="468"/>
      <c r="V13" s="468"/>
      <c r="W13" s="468"/>
      <c r="X13" s="468"/>
      <c r="Y13" s="468"/>
      <c r="Z13" s="468"/>
      <c r="AA13" s="468"/>
      <c r="AB13" s="468"/>
      <c r="AC13" s="468"/>
      <c r="AD13" s="468"/>
      <c r="AE13" s="468"/>
      <c r="AF13" s="468"/>
      <c r="AG13" s="468"/>
      <c r="AH13" s="468"/>
      <c r="AI13" s="468"/>
      <c r="AJ13" s="468"/>
    </row>
    <row r="14" spans="1:36" ht="18" customHeight="1" x14ac:dyDescent="0.35">
      <c r="A14" s="468"/>
      <c r="B14" s="471" t="s">
        <v>21</v>
      </c>
      <c r="C14" s="23" t="s">
        <v>16</v>
      </c>
      <c r="D14" s="468"/>
      <c r="E14" s="1087"/>
      <c r="F14" s="1088"/>
      <c r="G14" s="1089"/>
      <c r="H14" s="468"/>
      <c r="I14" s="468"/>
      <c r="J14" s="468"/>
      <c r="K14" s="468"/>
      <c r="L14" s="468"/>
      <c r="M14" s="468"/>
      <c r="N14" s="468"/>
      <c r="O14" s="468"/>
      <c r="P14" s="468"/>
      <c r="Q14" s="468"/>
      <c r="R14" s="468"/>
      <c r="S14" s="468"/>
      <c r="T14" s="468"/>
      <c r="U14" s="468"/>
      <c r="V14" s="468"/>
      <c r="W14" s="468"/>
      <c r="X14" s="468"/>
      <c r="Y14" s="468"/>
      <c r="Z14" s="468"/>
      <c r="AA14" s="468"/>
      <c r="AB14" s="468"/>
      <c r="AC14" s="468"/>
      <c r="AD14" s="468"/>
      <c r="AE14" s="468"/>
      <c r="AF14" s="468"/>
      <c r="AG14" s="468"/>
      <c r="AH14" s="468"/>
      <c r="AI14" s="468"/>
      <c r="AJ14" s="468"/>
    </row>
    <row r="15" spans="1:36" ht="18" customHeight="1" x14ac:dyDescent="0.35">
      <c r="A15" s="468"/>
      <c r="B15" s="471"/>
      <c r="C15" s="468"/>
      <c r="D15" s="468"/>
      <c r="E15" s="477"/>
      <c r="F15" s="477"/>
      <c r="G15" s="477"/>
      <c r="H15" s="468"/>
      <c r="I15" s="468"/>
      <c r="J15" s="468"/>
      <c r="K15" s="468"/>
      <c r="L15" s="468"/>
      <c r="M15" s="468"/>
      <c r="N15" s="468"/>
      <c r="O15" s="468"/>
      <c r="P15" s="468"/>
      <c r="Q15" s="468"/>
      <c r="R15" s="468"/>
      <c r="S15" s="468"/>
      <c r="T15" s="468"/>
      <c r="U15" s="468"/>
      <c r="V15" s="468"/>
      <c r="W15" s="468"/>
      <c r="X15" s="468"/>
      <c r="Y15" s="468"/>
      <c r="Z15" s="468"/>
      <c r="AA15" s="468"/>
      <c r="AB15" s="468"/>
      <c r="AC15" s="468"/>
      <c r="AD15" s="468"/>
      <c r="AE15" s="468"/>
      <c r="AF15" s="468"/>
      <c r="AG15" s="468"/>
      <c r="AH15" s="468"/>
      <c r="AI15" s="468"/>
      <c r="AJ15" s="468"/>
    </row>
    <row r="16" spans="1:36" ht="18" customHeight="1" x14ac:dyDescent="0.35">
      <c r="A16" s="468"/>
      <c r="B16" s="471"/>
      <c r="C16" s="468"/>
      <c r="D16" s="468"/>
      <c r="E16" s="477"/>
      <c r="F16" s="477"/>
      <c r="G16" s="477"/>
      <c r="H16" s="468"/>
      <c r="I16" s="468"/>
      <c r="J16" s="468"/>
      <c r="K16" s="468"/>
      <c r="L16" s="468"/>
      <c r="M16" s="468"/>
      <c r="N16" s="468"/>
      <c r="O16" s="468"/>
      <c r="P16" s="468"/>
      <c r="Q16" s="468"/>
      <c r="R16" s="468"/>
      <c r="S16" s="468"/>
      <c r="T16" s="468"/>
      <c r="U16" s="468"/>
      <c r="V16" s="468"/>
      <c r="W16" s="468"/>
      <c r="X16" s="468"/>
      <c r="Y16" s="468"/>
      <c r="Z16" s="468"/>
      <c r="AA16" s="468"/>
      <c r="AB16" s="468"/>
      <c r="AC16" s="468"/>
      <c r="AD16" s="468"/>
      <c r="AE16" s="468"/>
      <c r="AF16" s="468"/>
      <c r="AG16" s="468"/>
      <c r="AH16" s="468"/>
      <c r="AI16" s="468"/>
      <c r="AJ16" s="468"/>
    </row>
    <row r="17" spans="1:36" ht="18" customHeight="1" x14ac:dyDescent="0.35">
      <c r="A17" s="468"/>
      <c r="B17" s="1200" t="s">
        <v>357</v>
      </c>
      <c r="C17" s="486" t="s">
        <v>28</v>
      </c>
      <c r="D17" s="486" t="s">
        <v>29</v>
      </c>
      <c r="E17" s="827" t="s">
        <v>30</v>
      </c>
      <c r="F17" s="468"/>
      <c r="G17" s="1200" t="s">
        <v>358</v>
      </c>
      <c r="H17" s="486" t="s">
        <v>28</v>
      </c>
      <c r="I17" s="486" t="s">
        <v>29</v>
      </c>
      <c r="J17" s="827" t="s">
        <v>30</v>
      </c>
      <c r="K17" s="468"/>
      <c r="L17" s="468"/>
      <c r="M17" s="468"/>
      <c r="N17" s="468"/>
      <c r="O17" s="468"/>
      <c r="P17" s="468"/>
      <c r="Q17" s="468"/>
      <c r="R17" s="468"/>
      <c r="S17" s="468"/>
      <c r="T17" s="468"/>
      <c r="U17" s="468"/>
      <c r="V17" s="468"/>
      <c r="W17" s="468"/>
      <c r="X17" s="468"/>
      <c r="Y17" s="468"/>
      <c r="Z17" s="468"/>
      <c r="AA17" s="468"/>
      <c r="AB17" s="468"/>
      <c r="AC17" s="468"/>
      <c r="AD17" s="468"/>
      <c r="AE17" s="468"/>
      <c r="AF17" s="468"/>
      <c r="AG17" s="468"/>
      <c r="AH17" s="468"/>
      <c r="AI17" s="468"/>
      <c r="AJ17" s="468"/>
    </row>
    <row r="18" spans="1:36" ht="18" customHeight="1" x14ac:dyDescent="0.35">
      <c r="A18" s="468"/>
      <c r="B18" s="1178"/>
      <c r="C18" s="581"/>
      <c r="D18" s="581"/>
      <c r="E18" s="581"/>
      <c r="F18" s="468"/>
      <c r="G18" s="1178"/>
      <c r="H18" s="581"/>
      <c r="I18" s="581"/>
      <c r="J18" s="581"/>
      <c r="K18" s="468"/>
      <c r="L18" s="468"/>
      <c r="M18" s="468"/>
      <c r="N18" s="468"/>
      <c r="O18" s="468"/>
      <c r="P18" s="468"/>
      <c r="Q18" s="468"/>
      <c r="R18" s="468"/>
      <c r="S18" s="468"/>
      <c r="T18" s="468"/>
      <c r="U18" s="468"/>
      <c r="V18" s="468"/>
      <c r="W18" s="468"/>
      <c r="X18" s="468"/>
      <c r="Y18" s="468"/>
      <c r="Z18" s="468"/>
      <c r="AA18" s="468"/>
      <c r="AB18" s="468"/>
      <c r="AC18" s="468"/>
      <c r="AD18" s="468"/>
      <c r="AE18" s="468"/>
      <c r="AF18" s="468"/>
      <c r="AG18" s="468"/>
      <c r="AH18" s="468"/>
      <c r="AI18" s="468"/>
      <c r="AJ18" s="468"/>
    </row>
    <row r="19" spans="1:36" ht="18" customHeight="1" x14ac:dyDescent="0.35">
      <c r="A19" s="468"/>
      <c r="B19" s="828" t="s">
        <v>31</v>
      </c>
      <c r="C19" s="829" t="s">
        <v>16</v>
      </c>
      <c r="D19" s="830">
        <f>VLOOKUP(C19,$A$260:$AJ$272,35)</f>
        <v>0</v>
      </c>
      <c r="E19" s="831">
        <v>2</v>
      </c>
      <c r="F19" s="468"/>
      <c r="G19" s="828" t="s">
        <v>31</v>
      </c>
      <c r="H19" s="829" t="s">
        <v>16</v>
      </c>
      <c r="I19" s="830">
        <f>VLOOKUP(H19,$A$308:$AJ$320,35)</f>
        <v>0</v>
      </c>
      <c r="J19" s="831">
        <v>2</v>
      </c>
      <c r="K19" s="468"/>
      <c r="L19" s="468"/>
      <c r="M19" s="468"/>
      <c r="N19" s="468"/>
      <c r="O19" s="468"/>
      <c r="P19" s="468"/>
      <c r="Q19" s="468"/>
      <c r="R19" s="468"/>
      <c r="S19" s="468"/>
      <c r="T19" s="468"/>
      <c r="U19" s="468"/>
      <c r="V19" s="468"/>
      <c r="W19" s="468"/>
      <c r="X19" s="468"/>
      <c r="Y19" s="468"/>
      <c r="Z19" s="468"/>
      <c r="AA19" s="468"/>
      <c r="AB19" s="468"/>
      <c r="AC19" s="468"/>
      <c r="AD19" s="468"/>
      <c r="AE19" s="468"/>
      <c r="AF19" s="468"/>
      <c r="AG19" s="468"/>
      <c r="AH19" s="468"/>
      <c r="AI19" s="468"/>
      <c r="AJ19" s="468"/>
    </row>
    <row r="20" spans="1:36" ht="18" customHeight="1" x14ac:dyDescent="0.35">
      <c r="A20" s="468"/>
      <c r="B20" s="828"/>
      <c r="C20" s="832">
        <f>IF(C19="Mousse à ras + Guillotines verticales","Hauteur mousse à ras",0)</f>
        <v>0</v>
      </c>
      <c r="D20" s="833"/>
      <c r="E20" s="834"/>
      <c r="F20" s="468"/>
      <c r="G20" s="828"/>
      <c r="H20" s="832">
        <f>IF(H19="Mousse à ras + Guillotines verticales","Hauteur mousse à ras",0)</f>
        <v>0</v>
      </c>
      <c r="I20" s="833"/>
      <c r="J20" s="834"/>
      <c r="K20" s="468"/>
      <c r="L20" s="468"/>
      <c r="M20" s="468"/>
      <c r="N20" s="468"/>
      <c r="O20" s="468"/>
      <c r="P20" s="468"/>
      <c r="Q20" s="468"/>
      <c r="R20" s="468"/>
      <c r="S20" s="468"/>
      <c r="T20" s="468"/>
      <c r="U20" s="468"/>
      <c r="V20" s="468"/>
      <c r="W20" s="468"/>
      <c r="X20" s="468"/>
      <c r="Y20" s="468"/>
      <c r="Z20" s="468"/>
      <c r="AA20" s="468"/>
      <c r="AB20" s="468"/>
      <c r="AC20" s="468"/>
      <c r="AD20" s="468"/>
      <c r="AE20" s="468"/>
      <c r="AF20" s="468"/>
      <c r="AG20" s="468"/>
      <c r="AH20" s="468"/>
      <c r="AI20" s="468"/>
      <c r="AJ20" s="468"/>
    </row>
    <row r="21" spans="1:36" ht="18.75" customHeight="1" x14ac:dyDescent="0.35">
      <c r="A21" s="468"/>
      <c r="B21" s="490" t="s">
        <v>306</v>
      </c>
      <c r="C21" s="836" t="s">
        <v>16</v>
      </c>
      <c r="D21" s="830">
        <f>VLOOKUP(C19,$A$260:$AJ$272,36)</f>
        <v>0</v>
      </c>
      <c r="E21" s="831" t="s">
        <v>307</v>
      </c>
      <c r="F21" s="468"/>
      <c r="G21" s="490" t="s">
        <v>306</v>
      </c>
      <c r="H21" s="836" t="s">
        <v>16</v>
      </c>
      <c r="I21" s="830">
        <f>VLOOKUP(H19,$A$308:$AJ$320,36)</f>
        <v>0</v>
      </c>
      <c r="J21" s="831"/>
      <c r="K21" s="468"/>
      <c r="L21" s="468"/>
      <c r="M21" s="468"/>
      <c r="N21" s="468"/>
      <c r="O21" s="468"/>
      <c r="P21" s="468"/>
      <c r="Q21" s="468"/>
      <c r="R21" s="468"/>
      <c r="S21" s="468"/>
      <c r="T21" s="468"/>
      <c r="U21" s="468"/>
      <c r="V21" s="468"/>
      <c r="W21" s="468"/>
      <c r="X21" s="468"/>
      <c r="Y21" s="468"/>
      <c r="Z21" s="468"/>
      <c r="AA21" s="468"/>
      <c r="AB21" s="468"/>
      <c r="AC21" s="468"/>
      <c r="AD21" s="468"/>
      <c r="AE21" s="468"/>
      <c r="AF21" s="468"/>
      <c r="AG21" s="468"/>
      <c r="AH21" s="468"/>
      <c r="AI21" s="468"/>
      <c r="AJ21" s="468"/>
    </row>
    <row r="22" spans="1:36" ht="18" customHeight="1" x14ac:dyDescent="0.35">
      <c r="A22" s="468"/>
      <c r="B22" s="837" t="s">
        <v>308</v>
      </c>
      <c r="C22" s="588" t="s">
        <v>16</v>
      </c>
      <c r="D22" s="838" t="s">
        <v>211</v>
      </c>
      <c r="E22" s="742" t="s">
        <v>20</v>
      </c>
      <c r="F22" s="477"/>
      <c r="G22" s="837" t="s">
        <v>308</v>
      </c>
      <c r="H22" s="588" t="s">
        <v>16</v>
      </c>
      <c r="I22" s="838" t="s">
        <v>211</v>
      </c>
      <c r="J22" s="742" t="s">
        <v>20</v>
      </c>
      <c r="K22" s="468"/>
      <c r="L22" s="468"/>
      <c r="M22" s="468"/>
      <c r="N22" s="468"/>
      <c r="O22" s="468"/>
      <c r="P22" s="468"/>
      <c r="Q22" s="468"/>
      <c r="R22" s="468"/>
      <c r="S22" s="468"/>
      <c r="T22" s="468"/>
      <c r="U22" s="468"/>
      <c r="V22" s="468"/>
      <c r="W22" s="468"/>
      <c r="X22" s="468"/>
      <c r="Y22" s="468"/>
      <c r="Z22" s="468"/>
      <c r="AA22" s="468"/>
      <c r="AB22" s="468"/>
      <c r="AC22" s="468"/>
      <c r="AD22" s="468"/>
      <c r="AE22" s="468"/>
      <c r="AF22" s="468"/>
      <c r="AG22" s="468"/>
      <c r="AH22" s="468"/>
      <c r="AI22" s="468"/>
      <c r="AJ22" s="468"/>
    </row>
    <row r="23" spans="1:36" ht="18" customHeight="1" x14ac:dyDescent="0.35">
      <c r="A23" s="468"/>
      <c r="B23" s="837" t="s">
        <v>480</v>
      </c>
      <c r="C23" s="588" t="s">
        <v>481</v>
      </c>
      <c r="D23" s="840"/>
      <c r="E23" s="841"/>
      <c r="F23" s="477"/>
      <c r="G23" s="837" t="s">
        <v>480</v>
      </c>
      <c r="H23" s="588" t="s">
        <v>481</v>
      </c>
      <c r="I23" s="840"/>
      <c r="J23" s="841"/>
      <c r="K23" s="468"/>
      <c r="L23" s="468"/>
      <c r="M23" s="468"/>
      <c r="N23" s="468"/>
      <c r="O23" s="468"/>
      <c r="P23" s="468"/>
      <c r="Q23" s="468"/>
      <c r="R23" s="468"/>
      <c r="S23" s="468"/>
      <c r="T23" s="468"/>
      <c r="U23" s="468"/>
      <c r="V23" s="468"/>
      <c r="W23" s="468"/>
      <c r="X23" s="468"/>
      <c r="Y23" s="468"/>
      <c r="Z23" s="468"/>
      <c r="AA23" s="468"/>
      <c r="AB23" s="468"/>
      <c r="AC23" s="468"/>
      <c r="AD23" s="468"/>
      <c r="AE23" s="468"/>
      <c r="AF23" s="468"/>
      <c r="AG23" s="468"/>
      <c r="AH23" s="468"/>
      <c r="AI23" s="468"/>
      <c r="AJ23" s="468"/>
    </row>
    <row r="24" spans="1:36" ht="18" customHeight="1" x14ac:dyDescent="0.35">
      <c r="A24" s="468"/>
      <c r="B24" s="490" t="s">
        <v>482</v>
      </c>
      <c r="C24" s="842">
        <f>IF(C18=0,0,(C18+VLOOKUP($C$19,$A$260:$AK$272,32)))</f>
        <v>0</v>
      </c>
      <c r="D24" s="842">
        <f>IF(D18=0,0,(D18+VLOOKUP($C$19,$A$260:$AK$272,33)))</f>
        <v>0</v>
      </c>
      <c r="E24" s="842">
        <f>IF(E18=0,0,(E18+VLOOKUP($C$19,$A$260:$AK$272,34)+VLOOKUP('6 Caissons Objets'!Base1,$A$222:$C$230,3)+VLOOKUP('6 Caissons Objets'!plat1,$A$214:$C$220,2)))</f>
        <v>0</v>
      </c>
      <c r="F24" s="477"/>
      <c r="G24" s="490" t="s">
        <v>482</v>
      </c>
      <c r="H24" s="842">
        <f>IF(H18=0,0,(H18+VLOOKUP($H$19,$A$308:$AK$320,32)))</f>
        <v>0</v>
      </c>
      <c r="I24" s="842">
        <f>IF(I18=0,0,(I18+VLOOKUP($H$19,$A$308:$AK$320,33)))</f>
        <v>0</v>
      </c>
      <c r="J24" s="842">
        <f>IF(J18=0,0,(J18+VLOOKUP($H$19,$A$308:$AK$320,34)+VLOOKUP('6 Caissons Objets'!Base4,$A$222:$C$230,3)+VLOOKUP('6 Caissons Objets'!plat4,$A$214:$C$220,2)))</f>
        <v>0</v>
      </c>
      <c r="K24" s="468"/>
      <c r="L24" s="468"/>
      <c r="M24" s="468"/>
      <c r="N24" s="468"/>
      <c r="O24" s="468"/>
      <c r="P24" s="468"/>
      <c r="Q24" s="468"/>
      <c r="R24" s="468"/>
      <c r="S24" s="468"/>
      <c r="T24" s="468"/>
      <c r="U24" s="468"/>
      <c r="V24" s="468"/>
      <c r="W24" s="468"/>
      <c r="X24" s="468"/>
      <c r="Y24" s="468"/>
      <c r="Z24" s="468"/>
      <c r="AA24" s="468"/>
      <c r="AB24" s="468"/>
      <c r="AC24" s="468"/>
      <c r="AD24" s="468"/>
      <c r="AE24" s="468"/>
      <c r="AF24" s="468"/>
      <c r="AG24" s="468"/>
      <c r="AH24" s="468"/>
      <c r="AI24" s="468"/>
      <c r="AJ24" s="468"/>
    </row>
    <row r="25" spans="1:36" ht="18" customHeight="1" x14ac:dyDescent="0.35">
      <c r="A25" s="468"/>
      <c r="B25" s="496" t="s">
        <v>483</v>
      </c>
      <c r="C25" s="843">
        <f>IF(C18=0,0,'6 Caissons Objets'!Lnec1+3+VLOOKUP($C$14,$A$210:$B$212,2))</f>
        <v>0</v>
      </c>
      <c r="D25" s="843">
        <f>IF('6 Caissons Objets'!lanec1=0,0,('6 Caissons Objets'!lanec1+3)+IF(C19="Découpe mousse usinage",0,0.5))</f>
        <v>0</v>
      </c>
      <c r="E25" s="844">
        <f>IF('6 Caissons Objets'!hnec1=0,0,'6 Caissons Objets'!hnec1+1.5+0.5+VLOOKUP(C23,$A$232:$C$234,3))</f>
        <v>0</v>
      </c>
      <c r="F25" s="477"/>
      <c r="G25" s="496" t="s">
        <v>483</v>
      </c>
      <c r="H25" s="843">
        <f>IF(H18=0,0,'6 Caissons Objets'!Lnec4+3+VLOOKUP($C$14,$A$210:$B$212,2))</f>
        <v>0</v>
      </c>
      <c r="I25" s="843">
        <f>IF('6 Caissons Objets'!lanec4=0,0,('6 Caissons Objets'!lanec4+3)+IF(H19="Découpe mousse usinage",0,0.5))</f>
        <v>0</v>
      </c>
      <c r="J25" s="844">
        <f>IF('6 Caissons Objets'!hnec4=0,0,'6 Caissons Objets'!hnec4+1.5+0.5+VLOOKUP(H23,$A$232:$C$234,3))</f>
        <v>0</v>
      </c>
      <c r="K25" s="468"/>
      <c r="L25" s="468"/>
      <c r="M25" s="468"/>
      <c r="N25" s="468"/>
      <c r="O25" s="468"/>
      <c r="P25" s="468"/>
      <c r="Q25" s="468"/>
      <c r="R25" s="468"/>
      <c r="S25" s="468"/>
      <c r="T25" s="468"/>
      <c r="U25" s="468"/>
      <c r="V25" s="468"/>
      <c r="W25" s="468"/>
      <c r="X25" s="468"/>
      <c r="Y25" s="468"/>
      <c r="Z25" s="468"/>
      <c r="AA25" s="468"/>
      <c r="AB25" s="468"/>
      <c r="AC25" s="468"/>
      <c r="AD25" s="468"/>
      <c r="AE25" s="468"/>
      <c r="AF25" s="468"/>
      <c r="AG25" s="468"/>
      <c r="AH25" s="468"/>
      <c r="AI25" s="468"/>
      <c r="AJ25" s="468"/>
    </row>
    <row r="26" spans="1:36" ht="18" customHeight="1" x14ac:dyDescent="0.35">
      <c r="A26" s="468"/>
      <c r="B26" s="471"/>
      <c r="C26" s="477"/>
      <c r="D26" s="477"/>
      <c r="E26" s="477"/>
      <c r="F26" s="477"/>
      <c r="G26" s="471"/>
      <c r="H26" s="477"/>
      <c r="I26" s="477"/>
      <c r="J26" s="477"/>
      <c r="K26" s="468"/>
      <c r="L26" s="468"/>
      <c r="M26" s="468"/>
      <c r="N26" s="468"/>
      <c r="O26" s="468"/>
      <c r="P26" s="468"/>
      <c r="Q26" s="468"/>
      <c r="R26" s="468"/>
      <c r="S26" s="468"/>
      <c r="T26" s="468"/>
      <c r="U26" s="468"/>
      <c r="V26" s="468"/>
      <c r="W26" s="468"/>
      <c r="X26" s="468"/>
      <c r="Y26" s="468"/>
      <c r="Z26" s="468"/>
      <c r="AA26" s="468"/>
      <c r="AB26" s="468"/>
      <c r="AC26" s="468"/>
      <c r="AD26" s="468"/>
      <c r="AE26" s="468"/>
      <c r="AF26" s="468"/>
      <c r="AG26" s="468"/>
      <c r="AH26" s="468"/>
      <c r="AI26" s="468"/>
      <c r="AJ26" s="468"/>
    </row>
    <row r="27" spans="1:36" ht="18" customHeight="1" x14ac:dyDescent="0.35">
      <c r="A27" s="468"/>
      <c r="B27" s="1200" t="s">
        <v>360</v>
      </c>
      <c r="C27" s="486" t="s">
        <v>28</v>
      </c>
      <c r="D27" s="486" t="s">
        <v>29</v>
      </c>
      <c r="E27" s="827" t="s">
        <v>30</v>
      </c>
      <c r="F27" s="477"/>
      <c r="G27" s="1200" t="s">
        <v>361</v>
      </c>
      <c r="H27" s="486" t="s">
        <v>28</v>
      </c>
      <c r="I27" s="486" t="s">
        <v>29</v>
      </c>
      <c r="J27" s="827" t="s">
        <v>30</v>
      </c>
      <c r="K27" s="468"/>
      <c r="L27" s="468"/>
      <c r="M27" s="468"/>
      <c r="N27" s="468"/>
      <c r="O27" s="468"/>
      <c r="P27" s="468"/>
      <c r="Q27" s="468"/>
      <c r="R27" s="468"/>
      <c r="S27" s="468"/>
      <c r="T27" s="468"/>
      <c r="U27" s="468"/>
      <c r="V27" s="468"/>
      <c r="W27" s="468"/>
      <c r="X27" s="468"/>
      <c r="Y27" s="468"/>
      <c r="Z27" s="468"/>
      <c r="AA27" s="468"/>
      <c r="AB27" s="468"/>
      <c r="AC27" s="468"/>
      <c r="AD27" s="468"/>
      <c r="AE27" s="468"/>
      <c r="AF27" s="468"/>
      <c r="AG27" s="468"/>
      <c r="AH27" s="468"/>
      <c r="AI27" s="468"/>
      <c r="AJ27" s="468"/>
    </row>
    <row r="28" spans="1:36" ht="18" customHeight="1" x14ac:dyDescent="0.35">
      <c r="A28" s="468"/>
      <c r="B28" s="1178"/>
      <c r="C28" s="581"/>
      <c r="D28" s="581"/>
      <c r="E28" s="581"/>
      <c r="F28" s="477"/>
      <c r="G28" s="1178"/>
      <c r="H28" s="581"/>
      <c r="I28" s="581"/>
      <c r="J28" s="581"/>
      <c r="K28" s="468"/>
      <c r="L28" s="468"/>
      <c r="M28" s="468"/>
      <c r="N28" s="468"/>
      <c r="O28" s="468"/>
      <c r="P28" s="468"/>
      <c r="Q28" s="468"/>
      <c r="R28" s="468"/>
      <c r="S28" s="468"/>
      <c r="T28" s="468"/>
      <c r="U28" s="468"/>
      <c r="V28" s="468"/>
      <c r="W28" s="468"/>
      <c r="X28" s="468"/>
      <c r="Y28" s="468"/>
      <c r="Z28" s="468"/>
      <c r="AA28" s="468"/>
      <c r="AB28" s="468"/>
      <c r="AC28" s="468"/>
      <c r="AD28" s="468"/>
      <c r="AE28" s="468"/>
      <c r="AF28" s="468"/>
      <c r="AG28" s="468"/>
      <c r="AH28" s="468"/>
      <c r="AI28" s="468"/>
      <c r="AJ28" s="468"/>
    </row>
    <row r="29" spans="1:36" ht="18" customHeight="1" x14ac:dyDescent="0.35">
      <c r="A29" s="868"/>
      <c r="B29" s="828" t="s">
        <v>31</v>
      </c>
      <c r="C29" s="829" t="s">
        <v>16</v>
      </c>
      <c r="D29" s="830">
        <f>VLOOKUP(C29,$A$276:$AJ$288,35)</f>
        <v>0</v>
      </c>
      <c r="E29" s="831" t="s">
        <v>347</v>
      </c>
      <c r="F29" s="477"/>
      <c r="G29" s="828" t="s">
        <v>31</v>
      </c>
      <c r="H29" s="829" t="s">
        <v>16</v>
      </c>
      <c r="I29" s="830">
        <f>VLOOKUP(H29,$A$324:$AJ$336,35)</f>
        <v>0</v>
      </c>
      <c r="J29" s="831">
        <v>2</v>
      </c>
      <c r="K29" s="468"/>
      <c r="L29" s="869"/>
      <c r="M29" s="468"/>
      <c r="N29" s="468"/>
      <c r="O29" s="468"/>
      <c r="P29" s="468"/>
      <c r="Q29" s="468"/>
      <c r="R29" s="468"/>
      <c r="S29" s="468"/>
      <c r="T29" s="468"/>
      <c r="U29" s="468"/>
      <c r="V29" s="468"/>
      <c r="W29" s="468"/>
      <c r="X29" s="468"/>
      <c r="Y29" s="468"/>
      <c r="Z29" s="468"/>
      <c r="AA29" s="468"/>
      <c r="AB29" s="468"/>
      <c r="AC29" s="468"/>
      <c r="AD29" s="468"/>
      <c r="AE29" s="468"/>
      <c r="AF29" s="468"/>
      <c r="AG29" s="468"/>
      <c r="AH29" s="468"/>
      <c r="AI29" s="468"/>
      <c r="AJ29" s="468"/>
    </row>
    <row r="30" spans="1:36" ht="18" customHeight="1" x14ac:dyDescent="0.35">
      <c r="A30" s="868"/>
      <c r="B30" s="828"/>
      <c r="C30" s="832">
        <f>IF(C29="Mousse à ras + Guillotines verticales","Hauteur mousse à ras",0)</f>
        <v>0</v>
      </c>
      <c r="D30" s="833"/>
      <c r="E30" s="834"/>
      <c r="F30" s="477"/>
      <c r="G30" s="828"/>
      <c r="H30" s="832">
        <f>IF(H29="Mousse à ras + Guillotines verticales","Hauteur mousse à ras",0)</f>
        <v>0</v>
      </c>
      <c r="I30" s="833"/>
      <c r="J30" s="834"/>
      <c r="K30" s="468"/>
      <c r="L30" s="869"/>
      <c r="M30" s="468"/>
      <c r="N30" s="468"/>
      <c r="O30" s="468"/>
      <c r="P30" s="468"/>
      <c r="Q30" s="468"/>
      <c r="R30" s="468"/>
      <c r="S30" s="468"/>
      <c r="T30" s="468"/>
      <c r="U30" s="468"/>
      <c r="V30" s="468"/>
      <c r="W30" s="468"/>
      <c r="X30" s="468"/>
      <c r="Y30" s="468"/>
      <c r="Z30" s="468"/>
      <c r="AA30" s="468"/>
      <c r="AB30" s="468"/>
      <c r="AC30" s="468"/>
      <c r="AD30" s="468"/>
      <c r="AE30" s="468"/>
      <c r="AF30" s="468"/>
      <c r="AG30" s="468"/>
      <c r="AH30" s="468"/>
      <c r="AI30" s="468"/>
      <c r="AJ30" s="468"/>
    </row>
    <row r="31" spans="1:36" ht="18" customHeight="1" x14ac:dyDescent="0.35">
      <c r="A31" s="468"/>
      <c r="B31" s="490" t="s">
        <v>306</v>
      </c>
      <c r="C31" s="836" t="s">
        <v>16</v>
      </c>
      <c r="D31" s="830">
        <f>VLOOKUP(C29,$A$276:$AJ$288,36)</f>
        <v>0</v>
      </c>
      <c r="E31" s="831" t="s">
        <v>307</v>
      </c>
      <c r="F31" s="477"/>
      <c r="G31" s="490" t="s">
        <v>306</v>
      </c>
      <c r="H31" s="836" t="s">
        <v>16</v>
      </c>
      <c r="I31" s="830">
        <f>VLOOKUP(H29,$A$324:$AJ$336,36)</f>
        <v>0</v>
      </c>
      <c r="J31" s="831"/>
      <c r="K31" s="468"/>
      <c r="L31" s="468"/>
      <c r="M31" s="468"/>
      <c r="N31" s="468"/>
      <c r="O31" s="468"/>
      <c r="P31" s="468"/>
      <c r="Q31" s="468"/>
      <c r="R31" s="468"/>
      <c r="S31" s="468"/>
      <c r="T31" s="468"/>
      <c r="U31" s="468"/>
      <c r="V31" s="468"/>
      <c r="W31" s="468"/>
      <c r="X31" s="468"/>
      <c r="Y31" s="468"/>
      <c r="Z31" s="468"/>
      <c r="AA31" s="468"/>
      <c r="AB31" s="468"/>
      <c r="AC31" s="468"/>
      <c r="AD31" s="468"/>
      <c r="AE31" s="468"/>
      <c r="AF31" s="468"/>
      <c r="AG31" s="468"/>
      <c r="AH31" s="468"/>
      <c r="AI31" s="468"/>
      <c r="AJ31" s="468"/>
    </row>
    <row r="32" spans="1:36" ht="18" customHeight="1" x14ac:dyDescent="0.35">
      <c r="A32" s="468"/>
      <c r="B32" s="837" t="s">
        <v>308</v>
      </c>
      <c r="C32" s="588" t="s">
        <v>16</v>
      </c>
      <c r="D32" s="838" t="s">
        <v>211</v>
      </c>
      <c r="E32" s="742" t="s">
        <v>20</v>
      </c>
      <c r="F32" s="477"/>
      <c r="G32" s="837" t="s">
        <v>308</v>
      </c>
      <c r="H32" s="588" t="s">
        <v>16</v>
      </c>
      <c r="I32" s="838" t="s">
        <v>211</v>
      </c>
      <c r="J32" s="742" t="s">
        <v>20</v>
      </c>
      <c r="K32" s="468"/>
      <c r="L32" s="468"/>
      <c r="M32" s="468"/>
      <c r="N32" s="468"/>
      <c r="O32" s="468"/>
      <c r="P32" s="468"/>
      <c r="Q32" s="468"/>
      <c r="R32" s="468"/>
      <c r="S32" s="468"/>
      <c r="T32" s="468"/>
      <c r="U32" s="468"/>
      <c r="V32" s="468"/>
      <c r="W32" s="468"/>
      <c r="X32" s="468"/>
      <c r="Y32" s="468"/>
      <c r="Z32" s="468"/>
      <c r="AA32" s="468"/>
      <c r="AB32" s="468"/>
      <c r="AC32" s="468"/>
      <c r="AD32" s="468"/>
      <c r="AE32" s="468"/>
      <c r="AF32" s="468"/>
      <c r="AG32" s="468"/>
      <c r="AH32" s="468"/>
      <c r="AI32" s="468"/>
      <c r="AJ32" s="468"/>
    </row>
    <row r="33" spans="1:36" ht="18" customHeight="1" x14ac:dyDescent="0.35">
      <c r="A33" s="468"/>
      <c r="B33" s="837" t="s">
        <v>480</v>
      </c>
      <c r="C33" s="588" t="s">
        <v>481</v>
      </c>
      <c r="D33" s="840"/>
      <c r="E33" s="841"/>
      <c r="F33" s="477"/>
      <c r="G33" s="837" t="s">
        <v>480</v>
      </c>
      <c r="H33" s="588" t="s">
        <v>481</v>
      </c>
      <c r="I33" s="840"/>
      <c r="J33" s="841"/>
      <c r="K33" s="468"/>
      <c r="L33" s="468"/>
      <c r="M33" s="468"/>
      <c r="N33" s="468"/>
      <c r="O33" s="468"/>
      <c r="P33" s="468"/>
      <c r="Q33" s="468"/>
      <c r="R33" s="468"/>
      <c r="S33" s="468"/>
      <c r="T33" s="468"/>
      <c r="U33" s="468"/>
      <c r="V33" s="468"/>
      <c r="W33" s="468"/>
      <c r="X33" s="468"/>
      <c r="Y33" s="468"/>
      <c r="Z33" s="468"/>
      <c r="AA33" s="468"/>
      <c r="AB33" s="468"/>
      <c r="AC33" s="468"/>
      <c r="AD33" s="468"/>
      <c r="AE33" s="468"/>
      <c r="AF33" s="468"/>
      <c r="AG33" s="468"/>
      <c r="AH33" s="468"/>
      <c r="AI33" s="468"/>
      <c r="AJ33" s="468"/>
    </row>
    <row r="34" spans="1:36" ht="18" customHeight="1" x14ac:dyDescent="0.35">
      <c r="A34" s="468"/>
      <c r="B34" s="490" t="s">
        <v>482</v>
      </c>
      <c r="C34" s="842">
        <f>IF(C28=0,0,(C28+VLOOKUP($C$29,$A$276:$AK$288,32)))</f>
        <v>0</v>
      </c>
      <c r="D34" s="842">
        <f>IF(D28=0,0,(D28+VLOOKUP($C$29,$A$276:$AK$288,33)))</f>
        <v>0</v>
      </c>
      <c r="E34" s="842">
        <f>IF(E28=0,0,(E28+VLOOKUP($C$29,$A$276:$AK$288,34)+VLOOKUP('6 Caissons Objets'!Base2,$A$222:$C$230,3)+VLOOKUP('6 Caissons Objets'!plat2,$A$214:$C$220,2)))</f>
        <v>0</v>
      </c>
      <c r="F34" s="477"/>
      <c r="G34" s="490" t="s">
        <v>482</v>
      </c>
      <c r="H34" s="842">
        <f>IF(H28=0,0,(H28+VLOOKUP($H$29,$A$324:$AK$336,32)))</f>
        <v>0</v>
      </c>
      <c r="I34" s="842">
        <f>IF(I28=0,0,(I28+VLOOKUP($H$29,$A$324:$AK$336,33)))</f>
        <v>0</v>
      </c>
      <c r="J34" s="842">
        <f>IF(J28=0,0,(J28+VLOOKUP($H$29,$A$324:$AK$336,34)+VLOOKUP('6 Caissons Objets'!Base5,$A$222:$C$230,3)+VLOOKUP('6 Caissons Objets'!plat5,$A$214:$C$220,2)))</f>
        <v>0</v>
      </c>
      <c r="K34" s="468"/>
      <c r="L34" s="468"/>
      <c r="M34" s="468"/>
      <c r="N34" s="468"/>
      <c r="O34" s="468"/>
      <c r="P34" s="468"/>
      <c r="Q34" s="468"/>
      <c r="R34" s="468"/>
      <c r="S34" s="468"/>
      <c r="T34" s="468"/>
      <c r="U34" s="468"/>
      <c r="V34" s="468"/>
      <c r="W34" s="468"/>
      <c r="X34" s="468"/>
      <c r="Y34" s="468"/>
      <c r="Z34" s="468"/>
      <c r="AA34" s="468"/>
      <c r="AB34" s="468"/>
      <c r="AC34" s="468"/>
      <c r="AD34" s="468"/>
      <c r="AE34" s="468"/>
      <c r="AF34" s="468"/>
      <c r="AG34" s="468"/>
      <c r="AH34" s="468"/>
      <c r="AI34" s="468"/>
      <c r="AJ34" s="468"/>
    </row>
    <row r="35" spans="1:36" ht="18" customHeight="1" x14ac:dyDescent="0.35">
      <c r="A35" s="468"/>
      <c r="B35" s="496" t="s">
        <v>483</v>
      </c>
      <c r="C35" s="843">
        <f>IF(C28=0,0,'6 Caissons Objets'!Lnec2+3+VLOOKUP($C$14,$A$210:$B$212,2))</f>
        <v>0</v>
      </c>
      <c r="D35" s="843">
        <f>IF('6 Caissons Objets'!lanec2=0,0,('6 Caissons Objets'!lanec2+3)+IF(C29="Découpe mousse usinage",0,0.5))</f>
        <v>0</v>
      </c>
      <c r="E35" s="844">
        <f>IF('6 Caissons Objets'!hnec2=0,0,'6 Caissons Objets'!hnec2+1.5+0.5+VLOOKUP(C33,$A$232:$C$234,3))</f>
        <v>0</v>
      </c>
      <c r="F35" s="477"/>
      <c r="G35" s="496" t="s">
        <v>483</v>
      </c>
      <c r="H35" s="843">
        <f>IF(H28=0,0,'6 Caissons Objets'!Lnec5+3+VLOOKUP($C$14,$A$210:$B$212,2))</f>
        <v>0</v>
      </c>
      <c r="I35" s="843">
        <f>IF('6 Caissons Objets'!lanec5=0,0,('6 Caissons Objets'!lanec5+3)+IF(H29="Découpe mousse usinage",0,0.5))</f>
        <v>0</v>
      </c>
      <c r="J35" s="844">
        <f>IF('6 Caissons Objets'!hnec5=0,0,'6 Caissons Objets'!hnec5+1.5+0.5+VLOOKUP(H33,$A$232:$C$234,3))</f>
        <v>0</v>
      </c>
      <c r="K35" s="468"/>
      <c r="L35" s="468"/>
      <c r="M35" s="468"/>
      <c r="N35" s="468"/>
      <c r="O35" s="468"/>
      <c r="P35" s="468"/>
      <c r="Q35" s="468"/>
      <c r="R35" s="468"/>
      <c r="S35" s="468"/>
      <c r="T35" s="468"/>
      <c r="U35" s="468"/>
      <c r="V35" s="468"/>
      <c r="W35" s="468"/>
      <c r="X35" s="468"/>
      <c r="Y35" s="468"/>
      <c r="Z35" s="468"/>
      <c r="AA35" s="468"/>
      <c r="AB35" s="468"/>
      <c r="AC35" s="468"/>
      <c r="AD35" s="468"/>
      <c r="AE35" s="468"/>
      <c r="AF35" s="468"/>
      <c r="AG35" s="468"/>
      <c r="AH35" s="468"/>
      <c r="AI35" s="468"/>
      <c r="AJ35" s="468"/>
    </row>
    <row r="36" spans="1:36" ht="18" customHeight="1" x14ac:dyDescent="0.35">
      <c r="A36" s="468"/>
      <c r="B36" s="471"/>
      <c r="C36" s="477"/>
      <c r="D36" s="477"/>
      <c r="E36" s="477"/>
      <c r="F36" s="477"/>
      <c r="G36" s="471"/>
      <c r="H36" s="477"/>
      <c r="I36" s="477"/>
      <c r="J36" s="477"/>
      <c r="K36" s="468"/>
      <c r="L36" s="468"/>
      <c r="M36" s="468"/>
      <c r="N36" s="468"/>
      <c r="O36" s="468"/>
      <c r="P36" s="468"/>
      <c r="Q36" s="468"/>
      <c r="R36" s="468"/>
      <c r="S36" s="468"/>
      <c r="T36" s="468"/>
      <c r="U36" s="468"/>
      <c r="V36" s="468"/>
      <c r="W36" s="468"/>
      <c r="X36" s="468"/>
      <c r="Y36" s="468"/>
      <c r="Z36" s="468"/>
      <c r="AA36" s="468"/>
      <c r="AB36" s="468"/>
      <c r="AC36" s="468"/>
      <c r="AD36" s="468"/>
      <c r="AE36" s="468"/>
      <c r="AF36" s="468"/>
      <c r="AG36" s="468"/>
      <c r="AH36" s="468"/>
      <c r="AI36" s="468"/>
      <c r="AJ36" s="468"/>
    </row>
    <row r="37" spans="1:36" ht="18" customHeight="1" x14ac:dyDescent="0.35">
      <c r="A37" s="468"/>
      <c r="B37" s="1200" t="s">
        <v>364</v>
      </c>
      <c r="C37" s="486" t="s">
        <v>28</v>
      </c>
      <c r="D37" s="486" t="s">
        <v>29</v>
      </c>
      <c r="E37" s="827" t="s">
        <v>30</v>
      </c>
      <c r="F37" s="477"/>
      <c r="G37" s="1200" t="s">
        <v>365</v>
      </c>
      <c r="H37" s="486" t="s">
        <v>28</v>
      </c>
      <c r="I37" s="486" t="s">
        <v>29</v>
      </c>
      <c r="J37" s="827" t="s">
        <v>30</v>
      </c>
      <c r="K37" s="468"/>
      <c r="L37" s="468"/>
      <c r="M37" s="468"/>
      <c r="N37" s="468"/>
      <c r="O37" s="468"/>
      <c r="P37" s="468"/>
      <c r="Q37" s="468"/>
      <c r="R37" s="468"/>
      <c r="S37" s="468"/>
      <c r="T37" s="468"/>
      <c r="U37" s="468"/>
      <c r="V37" s="468"/>
      <c r="W37" s="468"/>
      <c r="X37" s="468"/>
      <c r="Y37" s="468"/>
      <c r="Z37" s="468"/>
      <c r="AA37" s="468"/>
      <c r="AB37" s="468"/>
      <c r="AC37" s="468"/>
      <c r="AD37" s="468"/>
      <c r="AE37" s="468"/>
      <c r="AF37" s="468"/>
      <c r="AG37" s="468"/>
      <c r="AH37" s="468"/>
      <c r="AI37" s="468"/>
      <c r="AJ37" s="468"/>
    </row>
    <row r="38" spans="1:36" ht="18" customHeight="1" x14ac:dyDescent="0.35">
      <c r="A38" s="468"/>
      <c r="B38" s="1178"/>
      <c r="C38" s="581"/>
      <c r="D38" s="581"/>
      <c r="E38" s="581"/>
      <c r="F38" s="477"/>
      <c r="G38" s="1178"/>
      <c r="H38" s="581"/>
      <c r="I38" s="581"/>
      <c r="J38" s="581"/>
      <c r="K38" s="468"/>
      <c r="L38" s="468"/>
      <c r="M38" s="468"/>
      <c r="N38" s="468"/>
      <c r="O38" s="468"/>
      <c r="P38" s="468"/>
      <c r="Q38" s="468"/>
      <c r="R38" s="468"/>
      <c r="S38" s="468"/>
      <c r="T38" s="468"/>
      <c r="U38" s="468"/>
      <c r="V38" s="468"/>
      <c r="W38" s="468"/>
      <c r="X38" s="468"/>
      <c r="Y38" s="468"/>
      <c r="Z38" s="468"/>
      <c r="AA38" s="468"/>
      <c r="AB38" s="468"/>
      <c r="AC38" s="468"/>
      <c r="AD38" s="468"/>
      <c r="AE38" s="468"/>
      <c r="AF38" s="468"/>
      <c r="AG38" s="468"/>
      <c r="AH38" s="468"/>
      <c r="AI38" s="468"/>
      <c r="AJ38" s="468"/>
    </row>
    <row r="39" spans="1:36" ht="18" customHeight="1" x14ac:dyDescent="0.35">
      <c r="A39" s="468"/>
      <c r="B39" s="828" t="s">
        <v>31</v>
      </c>
      <c r="C39" s="829" t="s">
        <v>16</v>
      </c>
      <c r="D39" s="830">
        <f>VLOOKUP(C39,$A$292:$AJ$304,35)</f>
        <v>0</v>
      </c>
      <c r="E39" s="831">
        <v>2</v>
      </c>
      <c r="F39" s="477"/>
      <c r="G39" s="828" t="s">
        <v>31</v>
      </c>
      <c r="H39" s="829" t="s">
        <v>16</v>
      </c>
      <c r="I39" s="830">
        <f>VLOOKUP(H39,$A$340:$AJ$352,35)</f>
        <v>0</v>
      </c>
      <c r="J39" s="831">
        <v>4</v>
      </c>
      <c r="K39" s="468"/>
      <c r="L39" s="468"/>
      <c r="M39" s="468"/>
      <c r="N39" s="468"/>
      <c r="O39" s="468"/>
      <c r="P39" s="468"/>
      <c r="Q39" s="468"/>
      <c r="R39" s="468"/>
      <c r="S39" s="468"/>
      <c r="T39" s="468"/>
      <c r="U39" s="468"/>
      <c r="V39" s="468"/>
      <c r="W39" s="468"/>
      <c r="X39" s="468"/>
      <c r="Y39" s="468"/>
      <c r="Z39" s="468"/>
      <c r="AA39" s="468"/>
      <c r="AB39" s="468"/>
      <c r="AC39" s="468"/>
      <c r="AD39" s="468"/>
      <c r="AE39" s="468"/>
      <c r="AF39" s="468"/>
      <c r="AG39" s="468"/>
      <c r="AH39" s="468"/>
      <c r="AI39" s="468"/>
      <c r="AJ39" s="468"/>
    </row>
    <row r="40" spans="1:36" ht="18" customHeight="1" x14ac:dyDescent="0.35">
      <c r="A40" s="468"/>
      <c r="B40" s="828"/>
      <c r="C40" s="832">
        <f>IF(C39="Mousse à ras + Guillotines verticales","Hauteur mousse à ras",0)</f>
        <v>0</v>
      </c>
      <c r="D40" s="833"/>
      <c r="E40" s="834"/>
      <c r="F40" s="477"/>
      <c r="G40" s="828"/>
      <c r="H40" s="832">
        <f>IF(H39="Mousse à ras + Guillotines verticales","Hauteur mousse à ras",0)</f>
        <v>0</v>
      </c>
      <c r="I40" s="833"/>
      <c r="J40" s="834"/>
      <c r="K40" s="468"/>
      <c r="L40" s="468"/>
      <c r="M40" s="468"/>
      <c r="N40" s="468"/>
      <c r="O40" s="468"/>
      <c r="P40" s="468"/>
      <c r="Q40" s="468"/>
      <c r="R40" s="468"/>
      <c r="S40" s="468"/>
      <c r="T40" s="468"/>
      <c r="U40" s="468"/>
      <c r="V40" s="468"/>
      <c r="W40" s="468"/>
      <c r="X40" s="468"/>
      <c r="Y40" s="468"/>
      <c r="Z40" s="468"/>
      <c r="AA40" s="468"/>
      <c r="AB40" s="468"/>
      <c r="AC40" s="468"/>
      <c r="AD40" s="468"/>
      <c r="AE40" s="468"/>
      <c r="AF40" s="468"/>
      <c r="AG40" s="468"/>
      <c r="AH40" s="468"/>
      <c r="AI40" s="468"/>
      <c r="AJ40" s="468"/>
    </row>
    <row r="41" spans="1:36" ht="18" customHeight="1" x14ac:dyDescent="0.35">
      <c r="A41" s="468"/>
      <c r="B41" s="490" t="s">
        <v>306</v>
      </c>
      <c r="C41" s="836" t="s">
        <v>16</v>
      </c>
      <c r="D41" s="830">
        <f>VLOOKUP(C39,$A$292:$AJ$304,36)</f>
        <v>0</v>
      </c>
      <c r="E41" s="831" t="s">
        <v>307</v>
      </c>
      <c r="F41" s="477"/>
      <c r="G41" s="490" t="s">
        <v>306</v>
      </c>
      <c r="H41" s="836" t="s">
        <v>16</v>
      </c>
      <c r="I41" s="830">
        <f>VLOOKUP(H39,$A$340:$AJ$352,36)</f>
        <v>0</v>
      </c>
      <c r="J41" s="831"/>
      <c r="K41" s="468"/>
      <c r="L41" s="468"/>
      <c r="M41" s="468"/>
      <c r="N41" s="468"/>
      <c r="O41" s="468"/>
      <c r="P41" s="468"/>
      <c r="Q41" s="468"/>
      <c r="R41" s="468"/>
      <c r="S41" s="468"/>
      <c r="T41" s="468"/>
      <c r="U41" s="468"/>
      <c r="V41" s="468"/>
      <c r="W41" s="468"/>
      <c r="X41" s="468"/>
      <c r="Y41" s="468"/>
      <c r="Z41" s="468"/>
      <c r="AA41" s="468"/>
      <c r="AB41" s="468"/>
      <c r="AC41" s="468"/>
      <c r="AD41" s="468"/>
      <c r="AE41" s="468"/>
      <c r="AF41" s="468"/>
      <c r="AG41" s="468"/>
      <c r="AH41" s="468"/>
      <c r="AI41" s="468"/>
      <c r="AJ41" s="468"/>
    </row>
    <row r="42" spans="1:36" ht="18" customHeight="1" x14ac:dyDescent="0.35">
      <c r="A42" s="468"/>
      <c r="B42" s="837" t="s">
        <v>308</v>
      </c>
      <c r="C42" s="588" t="s">
        <v>203</v>
      </c>
      <c r="D42" s="838" t="s">
        <v>211</v>
      </c>
      <c r="E42" s="742" t="s">
        <v>20</v>
      </c>
      <c r="F42" s="477"/>
      <c r="G42" s="837" t="s">
        <v>308</v>
      </c>
      <c r="H42" s="588" t="s">
        <v>16</v>
      </c>
      <c r="I42" s="838" t="s">
        <v>211</v>
      </c>
      <c r="J42" s="742" t="s">
        <v>20</v>
      </c>
      <c r="K42" s="468"/>
      <c r="L42" s="468"/>
      <c r="M42" s="468"/>
      <c r="N42" s="468"/>
      <c r="O42" s="468"/>
      <c r="P42" s="468"/>
      <c r="Q42" s="468"/>
      <c r="R42" s="468"/>
      <c r="S42" s="468"/>
      <c r="T42" s="468"/>
      <c r="U42" s="468"/>
      <c r="V42" s="468"/>
      <c r="W42" s="468"/>
      <c r="X42" s="468"/>
      <c r="Y42" s="468"/>
      <c r="Z42" s="468"/>
      <c r="AA42" s="468"/>
      <c r="AB42" s="468"/>
      <c r="AC42" s="468"/>
      <c r="AD42" s="468"/>
      <c r="AE42" s="468"/>
      <c r="AF42" s="468"/>
      <c r="AG42" s="468"/>
      <c r="AH42" s="468"/>
      <c r="AI42" s="468"/>
      <c r="AJ42" s="468"/>
    </row>
    <row r="43" spans="1:36" ht="18" customHeight="1" x14ac:dyDescent="0.35">
      <c r="A43" s="468"/>
      <c r="B43" s="837" t="s">
        <v>480</v>
      </c>
      <c r="C43" s="588" t="s">
        <v>481</v>
      </c>
      <c r="D43" s="840"/>
      <c r="E43" s="841"/>
      <c r="F43" s="477"/>
      <c r="G43" s="837" t="s">
        <v>480</v>
      </c>
      <c r="H43" s="588" t="s">
        <v>481</v>
      </c>
      <c r="I43" s="840"/>
      <c r="J43" s="841"/>
      <c r="K43" s="468"/>
      <c r="L43" s="468"/>
      <c r="M43" s="468"/>
      <c r="N43" s="468"/>
      <c r="O43" s="468"/>
      <c r="P43" s="468"/>
      <c r="Q43" s="468"/>
      <c r="R43" s="468"/>
      <c r="S43" s="468"/>
      <c r="T43" s="468"/>
      <c r="U43" s="468"/>
      <c r="V43" s="468"/>
      <c r="W43" s="468"/>
      <c r="X43" s="468"/>
      <c r="Y43" s="468"/>
      <c r="Z43" s="468"/>
      <c r="AA43" s="468"/>
      <c r="AB43" s="468"/>
      <c r="AC43" s="468"/>
      <c r="AD43" s="468"/>
      <c r="AE43" s="468"/>
      <c r="AF43" s="468"/>
      <c r="AG43" s="468"/>
      <c r="AH43" s="468"/>
      <c r="AI43" s="468"/>
      <c r="AJ43" s="468"/>
    </row>
    <row r="44" spans="1:36" ht="18" customHeight="1" x14ac:dyDescent="0.35">
      <c r="A44" s="468"/>
      <c r="B44" s="490" t="s">
        <v>482</v>
      </c>
      <c r="C44" s="842">
        <f>IF(C38=0,0,(C38+VLOOKUP($C$39,$A$292:$AK$304,32)))</f>
        <v>0</v>
      </c>
      <c r="D44" s="842">
        <f>IF(D38=0,0,(D38+VLOOKUP($C$39,$A$292:$AK$304,33)))</f>
        <v>0</v>
      </c>
      <c r="E44" s="842">
        <f>IF(E38=0,0,(E38+VLOOKUP($C$39,$A$292:$AK$304,34)+VLOOKUP('6 Caissons Objets'!Base3,$A$222:$C$230,3)+VLOOKUP('6 Caissons Objets'!plat3,$A$214:$C$220,2)))</f>
        <v>0</v>
      </c>
      <c r="F44" s="477"/>
      <c r="G44" s="490" t="s">
        <v>482</v>
      </c>
      <c r="H44" s="842">
        <f>IF(H38=0,0,(H38+VLOOKUP($H$39,$A$340:$AK$352,32)))</f>
        <v>0</v>
      </c>
      <c r="I44" s="842">
        <f>IF(I38=0,0,(I38+VLOOKUP($H$39,$A$340:$AK$352,33)))</f>
        <v>0</v>
      </c>
      <c r="J44" s="842">
        <f>IF(J38=0,0,(J38+VLOOKUP($H$39,$A$340:$AK$352,34)+VLOOKUP('6 Caissons Objets'!Base6,$A$222:$C$230,3)+VLOOKUP('6 Caissons Objets'!plat6,$A$214:$C$220,2)))</f>
        <v>0</v>
      </c>
      <c r="K44" s="468"/>
      <c r="L44" s="468"/>
      <c r="M44" s="468"/>
      <c r="N44" s="468"/>
      <c r="O44" s="468"/>
      <c r="P44" s="468"/>
      <c r="Q44" s="468"/>
      <c r="R44" s="468"/>
      <c r="S44" s="468"/>
      <c r="T44" s="468"/>
      <c r="U44" s="468"/>
      <c r="V44" s="468"/>
      <c r="W44" s="468"/>
      <c r="X44" s="468"/>
      <c r="Y44" s="468"/>
      <c r="Z44" s="468"/>
      <c r="AA44" s="468"/>
      <c r="AB44" s="468"/>
      <c r="AC44" s="468"/>
      <c r="AD44" s="468"/>
      <c r="AE44" s="468"/>
      <c r="AF44" s="468"/>
      <c r="AG44" s="468"/>
      <c r="AH44" s="468"/>
      <c r="AI44" s="468"/>
      <c r="AJ44" s="468"/>
    </row>
    <row r="45" spans="1:36" ht="18" customHeight="1" x14ac:dyDescent="0.35">
      <c r="A45" s="468"/>
      <c r="B45" s="496" t="s">
        <v>483</v>
      </c>
      <c r="C45" s="843">
        <f>IF(C38=0,0,'6 Caissons Objets'!Lnec3+3+VLOOKUP($C$14,$A$210:$B$212,2))</f>
        <v>0</v>
      </c>
      <c r="D45" s="843">
        <f>IF('6 Caissons Objets'!lanec3=0,0,('6 Caissons Objets'!lanec3+3)+IF(C39="Découpe mousse usinage",0,0.5))</f>
        <v>0</v>
      </c>
      <c r="E45" s="844">
        <f>IF('6 Caissons Objets'!hnec3=0,0,'6 Caissons Objets'!hnec3+1.5+0.5+VLOOKUP(C43,$A$232:$C$234,3))</f>
        <v>0</v>
      </c>
      <c r="F45" s="477"/>
      <c r="G45" s="496" t="s">
        <v>483</v>
      </c>
      <c r="H45" s="843">
        <f>IF(H38=0,0,'6 Caissons Objets'!Lnec6+3+VLOOKUP($C$14,$A$210:$B$212,2))</f>
        <v>0</v>
      </c>
      <c r="I45" s="843">
        <f>IF('6 Caissons Objets'!lanec6=0,0,('6 Caissons Objets'!lanec6+3)+IF(H39="Découpe mousse usinage",0,0.5))</f>
        <v>0</v>
      </c>
      <c r="J45" s="844">
        <f>IF('6 Caissons Objets'!hnec6=0,0,'6 Caissons Objets'!hnec6+1.5+0.5+VLOOKUP(H43,$A$232:$C$234,3))</f>
        <v>0</v>
      </c>
      <c r="K45" s="468"/>
      <c r="L45" s="468"/>
      <c r="M45" s="468"/>
      <c r="N45" s="468"/>
      <c r="O45" s="468"/>
      <c r="P45" s="468"/>
      <c r="Q45" s="468"/>
      <c r="R45" s="468"/>
      <c r="S45" s="468"/>
      <c r="T45" s="468"/>
      <c r="U45" s="468"/>
      <c r="V45" s="468"/>
      <c r="W45" s="468"/>
      <c r="X45" s="468"/>
      <c r="Y45" s="468"/>
      <c r="Z45" s="468"/>
      <c r="AA45" s="468"/>
      <c r="AB45" s="468"/>
      <c r="AC45" s="468"/>
      <c r="AD45" s="468"/>
      <c r="AE45" s="468"/>
      <c r="AF45" s="468"/>
      <c r="AG45" s="468"/>
      <c r="AH45" s="468"/>
      <c r="AI45" s="468"/>
      <c r="AJ45" s="468"/>
    </row>
    <row r="46" spans="1:36" ht="18" customHeight="1" x14ac:dyDescent="0.35">
      <c r="A46" s="468"/>
      <c r="B46" s="471"/>
      <c r="C46" s="477"/>
      <c r="D46" s="477"/>
      <c r="E46" s="477"/>
      <c r="F46" s="477"/>
      <c r="G46" s="468"/>
      <c r="H46" s="468"/>
      <c r="I46" s="468"/>
      <c r="J46" s="468"/>
      <c r="K46" s="468"/>
      <c r="L46" s="468"/>
      <c r="M46" s="468"/>
      <c r="N46" s="468"/>
      <c r="O46" s="468"/>
      <c r="P46" s="468"/>
      <c r="Q46" s="468"/>
      <c r="R46" s="468"/>
      <c r="S46" s="468"/>
      <c r="T46" s="468"/>
      <c r="U46" s="468"/>
      <c r="V46" s="468"/>
      <c r="W46" s="468"/>
      <c r="X46" s="468"/>
      <c r="Y46" s="468"/>
      <c r="Z46" s="468"/>
      <c r="AA46" s="468"/>
      <c r="AB46" s="468"/>
      <c r="AC46" s="468"/>
      <c r="AD46" s="468"/>
      <c r="AE46" s="468"/>
      <c r="AF46" s="468"/>
      <c r="AG46" s="468"/>
      <c r="AH46" s="468"/>
      <c r="AI46" s="468"/>
      <c r="AJ46" s="468"/>
    </row>
    <row r="47" spans="1:36" ht="18" customHeight="1" x14ac:dyDescent="0.35">
      <c r="A47" s="468"/>
      <c r="B47" s="468"/>
      <c r="C47" s="468"/>
      <c r="D47" s="468"/>
      <c r="E47" s="505" t="s">
        <v>45</v>
      </c>
      <c r="F47" s="845">
        <f>Q190</f>
        <v>0</v>
      </c>
      <c r="G47" s="846" t="s">
        <v>46</v>
      </c>
      <c r="H47" s="505" t="s">
        <v>484</v>
      </c>
      <c r="I47" s="847">
        <f>ROUNDUP(C198,0)</f>
        <v>0</v>
      </c>
      <c r="J47" s="468"/>
      <c r="K47" s="468"/>
      <c r="L47" s="514"/>
      <c r="M47" s="514"/>
      <c r="N47" s="515"/>
      <c r="O47" s="514"/>
      <c r="P47" s="468"/>
      <c r="Q47" s="468"/>
      <c r="R47" s="468"/>
      <c r="S47" s="468"/>
      <c r="T47" s="468"/>
      <c r="U47" s="468"/>
      <c r="V47" s="468"/>
      <c r="W47" s="468"/>
      <c r="X47" s="468"/>
      <c r="Y47" s="468"/>
      <c r="Z47" s="468"/>
      <c r="AA47" s="468"/>
      <c r="AB47" s="468"/>
      <c r="AC47" s="468"/>
      <c r="AD47" s="468"/>
      <c r="AE47" s="468"/>
      <c r="AF47" s="468"/>
      <c r="AG47" s="468"/>
      <c r="AH47" s="468"/>
      <c r="AI47" s="468"/>
      <c r="AJ47" s="468"/>
    </row>
    <row r="48" spans="1:36" ht="18" hidden="1" customHeight="1" x14ac:dyDescent="0.35">
      <c r="A48" s="468"/>
      <c r="B48" s="468"/>
      <c r="C48" s="468"/>
      <c r="D48" s="468"/>
      <c r="E48" s="510" t="s">
        <v>48</v>
      </c>
      <c r="F48" s="511">
        <f>D192</f>
        <v>0</v>
      </c>
      <c r="G48" s="512" t="s">
        <v>49</v>
      </c>
      <c r="H48" s="510" t="s">
        <v>271</v>
      </c>
      <c r="I48" s="541">
        <f>((SUM(M58:M69)+SUM(O58:O69)+SUM(M81:M92)+SUM(O81:O92)+SUM(M104:M115)+SUM(O104:O115)+SUM(M127:M138)+SUM(O127:O138)+SUM(M150:M161)+SUM(O150:O161)+SUM(M173:M184)+SUM(O173:O184))/0.78)/0.85</f>
        <v>0</v>
      </c>
      <c r="J48" s="468">
        <f t="shared" ref="J48:J51" si="0">IF(C48=0,0,(C48/100)*(D48/100)*F48)</f>
        <v>0</v>
      </c>
      <c r="K48" s="468">
        <f t="shared" ref="K48:K51" si="1">J48/0.8</f>
        <v>0</v>
      </c>
      <c r="L48" s="514"/>
      <c r="M48" s="514"/>
      <c r="N48" s="515"/>
      <c r="O48" s="514"/>
      <c r="P48" s="468"/>
      <c r="Q48" s="468"/>
      <c r="R48" s="468"/>
      <c r="S48" s="468"/>
      <c r="T48" s="468"/>
      <c r="U48" s="468"/>
      <c r="V48" s="468"/>
      <c r="W48" s="468"/>
      <c r="X48" s="468"/>
      <c r="Y48" s="468"/>
      <c r="Z48" s="468"/>
      <c r="AA48" s="468"/>
      <c r="AB48" s="468"/>
      <c r="AC48" s="468"/>
      <c r="AD48" s="468"/>
      <c r="AE48" s="468"/>
      <c r="AF48" s="468"/>
      <c r="AG48" s="468"/>
      <c r="AH48" s="468"/>
      <c r="AI48" s="468"/>
      <c r="AJ48" s="468"/>
    </row>
    <row r="49" spans="1:36" ht="18" hidden="1" customHeight="1" x14ac:dyDescent="0.35">
      <c r="A49" s="471" t="s">
        <v>158</v>
      </c>
      <c r="B49" s="468"/>
      <c r="C49" s="468"/>
      <c r="D49" s="468"/>
      <c r="E49" s="468"/>
      <c r="F49" s="468"/>
      <c r="G49" s="468"/>
      <c r="H49" s="468"/>
      <c r="I49" s="468"/>
      <c r="J49" s="468">
        <f t="shared" si="0"/>
        <v>0</v>
      </c>
      <c r="K49" s="468">
        <f t="shared" si="1"/>
        <v>0</v>
      </c>
      <c r="L49" s="514"/>
      <c r="M49" s="514"/>
      <c r="N49" s="515"/>
      <c r="O49" s="514"/>
      <c r="P49" s="468"/>
      <c r="Q49" s="468"/>
      <c r="R49" s="468"/>
      <c r="S49" s="468"/>
      <c r="T49" s="468"/>
      <c r="U49" s="468"/>
      <c r="V49" s="468"/>
      <c r="W49" s="468"/>
      <c r="X49" s="468"/>
      <c r="Y49" s="468"/>
      <c r="Z49" s="468"/>
      <c r="AA49" s="468"/>
      <c r="AB49" s="468"/>
      <c r="AC49" s="468"/>
      <c r="AD49" s="468"/>
      <c r="AE49" s="468"/>
      <c r="AF49" s="468"/>
      <c r="AG49" s="468"/>
      <c r="AH49" s="468"/>
      <c r="AI49" s="468"/>
      <c r="AJ49" s="468"/>
    </row>
    <row r="50" spans="1:36" ht="18" hidden="1" customHeight="1" x14ac:dyDescent="0.35">
      <c r="A50" s="468"/>
      <c r="B50" s="468"/>
      <c r="C50" s="468"/>
      <c r="D50" s="468"/>
      <c r="E50" s="468"/>
      <c r="F50" s="468"/>
      <c r="G50" s="468"/>
      <c r="H50" s="468"/>
      <c r="I50" s="468"/>
      <c r="J50" s="468">
        <f t="shared" si="0"/>
        <v>0</v>
      </c>
      <c r="K50" s="468">
        <f t="shared" si="1"/>
        <v>0</v>
      </c>
      <c r="L50" s="514"/>
      <c r="M50" s="514"/>
      <c r="N50" s="515"/>
      <c r="O50" s="514"/>
      <c r="P50" s="468"/>
      <c r="Q50" s="468"/>
      <c r="R50" s="468"/>
      <c r="S50" s="468"/>
      <c r="T50" s="468"/>
      <c r="U50" s="468"/>
      <c r="V50" s="468"/>
      <c r="W50" s="468"/>
      <c r="X50" s="468"/>
      <c r="Y50" s="468"/>
      <c r="Z50" s="468"/>
      <c r="AA50" s="468"/>
      <c r="AB50" s="468"/>
      <c r="AC50" s="468"/>
      <c r="AD50" s="468"/>
      <c r="AE50" s="468"/>
      <c r="AF50" s="468"/>
      <c r="AG50" s="468"/>
      <c r="AH50" s="468"/>
      <c r="AI50" s="468"/>
      <c r="AJ50" s="468"/>
    </row>
    <row r="51" spans="1:36" ht="18" hidden="1" customHeight="1" x14ac:dyDescent="0.35">
      <c r="A51" s="468"/>
      <c r="B51" s="848" t="str">
        <f>C19</f>
        <v>Aucun</v>
      </c>
      <c r="C51" s="521"/>
      <c r="D51" s="849" t="s">
        <v>28</v>
      </c>
      <c r="E51" s="849" t="s">
        <v>33</v>
      </c>
      <c r="F51" s="850" t="s">
        <v>34</v>
      </c>
      <c r="G51" s="468"/>
      <c r="H51" s="468"/>
      <c r="I51" s="468"/>
      <c r="J51" s="468">
        <f t="shared" si="0"/>
        <v>0</v>
      </c>
      <c r="K51" s="468">
        <f t="shared" si="1"/>
        <v>0</v>
      </c>
      <c r="L51" s="514"/>
      <c r="M51" s="514"/>
      <c r="N51" s="515"/>
      <c r="O51" s="514"/>
      <c r="P51" s="468"/>
      <c r="Q51" s="468"/>
      <c r="R51" s="468"/>
      <c r="S51" s="468"/>
      <c r="T51" s="468"/>
      <c r="U51" s="468"/>
      <c r="V51" s="468"/>
      <c r="W51" s="468"/>
      <c r="X51" s="468"/>
      <c r="Y51" s="468"/>
      <c r="Z51" s="468"/>
      <c r="AA51" s="468"/>
      <c r="AB51" s="468"/>
      <c r="AC51" s="468"/>
      <c r="AD51" s="468"/>
      <c r="AE51" s="468"/>
      <c r="AF51" s="468"/>
      <c r="AG51" s="468"/>
      <c r="AH51" s="468"/>
      <c r="AI51" s="468"/>
      <c r="AJ51" s="468"/>
    </row>
    <row r="52" spans="1:36" ht="18" hidden="1" customHeight="1" x14ac:dyDescent="0.35">
      <c r="A52" s="468"/>
      <c r="B52" s="848"/>
      <c r="C52" s="521"/>
      <c r="D52" s="849"/>
      <c r="E52" s="849"/>
      <c r="F52" s="850"/>
      <c r="G52" s="468"/>
      <c r="H52" s="468"/>
      <c r="I52" s="468"/>
      <c r="J52" s="468"/>
      <c r="K52" s="468"/>
      <c r="L52" s="514"/>
      <c r="M52" s="514"/>
      <c r="N52" s="515"/>
      <c r="O52" s="514"/>
      <c r="P52" s="468"/>
      <c r="Q52" s="468" t="s">
        <v>157</v>
      </c>
      <c r="R52" s="468"/>
      <c r="S52" s="468"/>
      <c r="T52" s="468"/>
      <c r="U52" s="468"/>
      <c r="V52" s="468"/>
      <c r="W52" s="468"/>
      <c r="X52" s="468"/>
      <c r="Y52" s="468"/>
      <c r="Z52" s="468"/>
      <c r="AA52" s="468"/>
      <c r="AB52" s="468"/>
      <c r="AC52" s="468"/>
      <c r="AD52" s="468"/>
      <c r="AE52" s="468"/>
      <c r="AF52" s="468"/>
      <c r="AG52" s="468"/>
      <c r="AH52" s="468"/>
      <c r="AI52" s="468"/>
      <c r="AJ52" s="468"/>
    </row>
    <row r="53" spans="1:36" ht="18" hidden="1" customHeight="1" x14ac:dyDescent="0.35">
      <c r="A53" s="468"/>
      <c r="B53" s="851" t="s">
        <v>485</v>
      </c>
      <c r="C53" s="521">
        <f>IF('6 Caissons Objets'!Lnec1=0,0,"Peuplier 15 mm")</f>
        <v>0</v>
      </c>
      <c r="D53" s="849">
        <f>IF(C53=0,0,'6 Caissons Objets'!Lnec1+3)</f>
        <v>0</v>
      </c>
      <c r="E53" s="849">
        <f>IF('6 Caissons Objets'!hnec1=0,0,'6 Caissons Objets'!hnec1+VLOOKUP(C23,$A$232:$C$234,3))</f>
        <v>0</v>
      </c>
      <c r="F53" s="850">
        <f>IF(D53=0,0,2)</f>
        <v>0</v>
      </c>
      <c r="G53" s="519">
        <f t="shared" ref="G53:G56" si="2">C53</f>
        <v>0</v>
      </c>
      <c r="H53" s="468"/>
      <c r="I53" s="468"/>
      <c r="J53" s="468">
        <f t="shared" ref="J53:J56" si="3">IF(D53=0,0,(D53/100)*(E53/100)*F53)</f>
        <v>0</v>
      </c>
      <c r="K53" s="468">
        <f t="shared" ref="K53:K56" si="4">J53/0.8</f>
        <v>0</v>
      </c>
      <c r="L53" s="514">
        <v>0</v>
      </c>
      <c r="M53" s="514">
        <f t="shared" ref="M53:M56" si="5">L53*K53-IF($E$22="Non",K53*0.75,0)</f>
        <v>0</v>
      </c>
      <c r="N53" s="479">
        <f t="shared" ref="N53:N56" si="6">IF(J53=0,0,IF($E$22="Oui",(7.0924*J53)+5,(6.0924*J53)+1))</f>
        <v>0</v>
      </c>
      <c r="O53" s="514">
        <f t="shared" ref="O53:O56" si="7">N53*'6 Caissons Objets'!MinuteMO</f>
        <v>0</v>
      </c>
      <c r="P53" s="468"/>
      <c r="Q53" s="520">
        <v>0</v>
      </c>
      <c r="R53" s="468"/>
      <c r="S53" s="468"/>
      <c r="T53" s="468"/>
      <c r="U53" s="468"/>
      <c r="V53" s="468"/>
      <c r="W53" s="468"/>
      <c r="X53" s="468"/>
      <c r="Y53" s="468"/>
      <c r="Z53" s="468"/>
      <c r="AA53" s="468"/>
      <c r="AB53" s="468"/>
      <c r="AC53" s="468"/>
      <c r="AD53" s="468"/>
      <c r="AE53" s="468"/>
      <c r="AF53" s="468"/>
      <c r="AG53" s="468"/>
      <c r="AH53" s="468"/>
      <c r="AI53" s="468"/>
      <c r="AJ53" s="468"/>
    </row>
    <row r="54" spans="1:36" ht="18" hidden="1" customHeight="1" x14ac:dyDescent="0.35">
      <c r="A54" s="468"/>
      <c r="B54" s="851" t="s">
        <v>175</v>
      </c>
      <c r="C54" s="521">
        <f>IF('6 Caissons Objets'!Lnec1=0,0,"Peuplier 15 mm")</f>
        <v>0</v>
      </c>
      <c r="D54" s="849">
        <f>D53</f>
        <v>0</v>
      </c>
      <c r="E54" s="849">
        <f>IF('6 Caissons Objets'!lanec1=0,0,'6 Caissons Objets'!lanec1+3.5)</f>
        <v>0</v>
      </c>
      <c r="F54" s="850">
        <f t="shared" ref="F54:F55" si="8">IF(D54=0,0,1)</f>
        <v>0</v>
      </c>
      <c r="G54" s="519">
        <f t="shared" si="2"/>
        <v>0</v>
      </c>
      <c r="H54" s="468"/>
      <c r="I54" s="468"/>
      <c r="J54" s="468">
        <f t="shared" si="3"/>
        <v>0</v>
      </c>
      <c r="K54" s="468">
        <f t="shared" si="4"/>
        <v>0</v>
      </c>
      <c r="L54" s="514">
        <v>0</v>
      </c>
      <c r="M54" s="514">
        <f t="shared" si="5"/>
        <v>0</v>
      </c>
      <c r="N54" s="479">
        <f t="shared" si="6"/>
        <v>0</v>
      </c>
      <c r="O54" s="514">
        <f t="shared" si="7"/>
        <v>0</v>
      </c>
      <c r="P54" s="468"/>
      <c r="Q54" s="520">
        <v>0</v>
      </c>
      <c r="R54" s="468"/>
      <c r="S54" s="468"/>
      <c r="T54" s="468"/>
      <c r="U54" s="468"/>
      <c r="V54" s="468"/>
      <c r="W54" s="468"/>
      <c r="X54" s="468"/>
      <c r="Y54" s="468"/>
      <c r="Z54" s="468"/>
      <c r="AA54" s="468"/>
      <c r="AB54" s="468"/>
      <c r="AC54" s="468"/>
      <c r="AD54" s="468"/>
      <c r="AE54" s="468"/>
      <c r="AF54" s="468"/>
      <c r="AG54" s="468"/>
      <c r="AH54" s="468"/>
      <c r="AI54" s="468"/>
      <c r="AJ54" s="468"/>
    </row>
    <row r="55" spans="1:36" ht="18" hidden="1" customHeight="1" x14ac:dyDescent="0.35">
      <c r="A55" s="468"/>
      <c r="B55" s="851" t="s">
        <v>176</v>
      </c>
      <c r="C55" s="521">
        <f>IF('6 Caissons Objets'!Lnec1=0,0,VLOOKUP(C23,$A$232:$B$234,2))</f>
        <v>0</v>
      </c>
      <c r="D55" s="849">
        <f>IF('6 Caissons Objets'!Lnec1=0,0,'6 Caissons Objets'!Lnec1)</f>
        <v>0</v>
      </c>
      <c r="E55" s="849">
        <f>IF('6 Caissons Objets'!lanec1=0,0,'6 Caissons Objets'!lanec1)</f>
        <v>0</v>
      </c>
      <c r="F55" s="850">
        <f t="shared" si="8"/>
        <v>0</v>
      </c>
      <c r="G55" s="519">
        <f t="shared" si="2"/>
        <v>0</v>
      </c>
      <c r="H55" s="468"/>
      <c r="I55" s="468"/>
      <c r="J55" s="468">
        <f t="shared" si="3"/>
        <v>0</v>
      </c>
      <c r="K55" s="468">
        <f t="shared" si="4"/>
        <v>0</v>
      </c>
      <c r="L55" s="514">
        <v>0</v>
      </c>
      <c r="M55" s="514">
        <f t="shared" si="5"/>
        <v>0</v>
      </c>
      <c r="N55" s="479">
        <f t="shared" si="6"/>
        <v>0</v>
      </c>
      <c r="O55" s="514">
        <f t="shared" si="7"/>
        <v>0</v>
      </c>
      <c r="P55" s="468"/>
      <c r="Q55" s="520">
        <v>0</v>
      </c>
      <c r="R55" s="468"/>
      <c r="S55" s="468"/>
      <c r="T55" s="468"/>
      <c r="U55" s="468"/>
      <c r="V55" s="468"/>
      <c r="W55" s="468"/>
      <c r="X55" s="468"/>
      <c r="Y55" s="468"/>
      <c r="Z55" s="468"/>
      <c r="AA55" s="468"/>
      <c r="AB55" s="468"/>
      <c r="AC55" s="468"/>
      <c r="AD55" s="468"/>
      <c r="AE55" s="468"/>
      <c r="AF55" s="468"/>
      <c r="AG55" s="468"/>
      <c r="AH55" s="468"/>
      <c r="AI55" s="468"/>
      <c r="AJ55" s="468"/>
    </row>
    <row r="56" spans="1:36" ht="18" hidden="1" customHeight="1" x14ac:dyDescent="0.35">
      <c r="A56" s="468"/>
      <c r="B56" s="851" t="s">
        <v>55</v>
      </c>
      <c r="C56" s="521">
        <f>IF('6 Caissons Objets'!Lnec1=0,0,"Peuplier 15 mm")</f>
        <v>0</v>
      </c>
      <c r="D56" s="849">
        <f>IF('6 Caissons Objets'!lanec1=0,0,'6 Caissons Objets'!lanec1)</f>
        <v>0</v>
      </c>
      <c r="E56" s="849">
        <f>E53</f>
        <v>0</v>
      </c>
      <c r="F56" s="850">
        <f>IF(D56=0,0,2)</f>
        <v>0</v>
      </c>
      <c r="G56" s="519">
        <f t="shared" si="2"/>
        <v>0</v>
      </c>
      <c r="H56" s="468"/>
      <c r="I56" s="468"/>
      <c r="J56" s="468">
        <f t="shared" si="3"/>
        <v>0</v>
      </c>
      <c r="K56" s="468">
        <f t="shared" si="4"/>
        <v>0</v>
      </c>
      <c r="L56" s="514">
        <v>0</v>
      </c>
      <c r="M56" s="514">
        <f t="shared" si="5"/>
        <v>0</v>
      </c>
      <c r="N56" s="479">
        <f t="shared" si="6"/>
        <v>0</v>
      </c>
      <c r="O56" s="514">
        <f t="shared" si="7"/>
        <v>0</v>
      </c>
      <c r="P56" s="468"/>
      <c r="Q56" s="520">
        <v>0</v>
      </c>
      <c r="R56" s="468"/>
      <c r="S56" s="468"/>
      <c r="T56" s="468"/>
      <c r="U56" s="468"/>
      <c r="V56" s="468"/>
      <c r="W56" s="468"/>
      <c r="X56" s="468"/>
      <c r="Y56" s="468"/>
      <c r="Z56" s="468"/>
      <c r="AA56" s="468"/>
      <c r="AB56" s="468"/>
      <c r="AC56" s="468"/>
      <c r="AD56" s="468"/>
      <c r="AE56" s="468"/>
      <c r="AF56" s="468"/>
      <c r="AG56" s="468"/>
      <c r="AH56" s="468"/>
      <c r="AI56" s="468"/>
      <c r="AJ56" s="468"/>
    </row>
    <row r="57" spans="1:36" ht="18" hidden="1" customHeight="1" x14ac:dyDescent="0.35">
      <c r="A57" s="468"/>
      <c r="B57" s="851"/>
      <c r="C57" s="521"/>
      <c r="D57" s="849"/>
      <c r="E57" s="849"/>
      <c r="F57" s="850"/>
      <c r="G57" s="468"/>
      <c r="H57" s="468"/>
      <c r="I57" s="468"/>
      <c r="J57" s="468"/>
      <c r="K57" s="468"/>
      <c r="L57" s="514"/>
      <c r="M57" s="514"/>
      <c r="N57" s="479"/>
      <c r="O57" s="514"/>
      <c r="P57" s="468"/>
      <c r="Q57" s="520">
        <v>0</v>
      </c>
      <c r="R57" s="468"/>
      <c r="S57" s="468"/>
      <c r="T57" s="468"/>
      <c r="U57" s="468"/>
      <c r="V57" s="468"/>
      <c r="W57" s="468"/>
      <c r="X57" s="468"/>
      <c r="Y57" s="468"/>
      <c r="Z57" s="468"/>
      <c r="AA57" s="468"/>
      <c r="AB57" s="468"/>
      <c r="AC57" s="468"/>
      <c r="AD57" s="468"/>
      <c r="AE57" s="468"/>
      <c r="AF57" s="468"/>
      <c r="AG57" s="468"/>
      <c r="AH57" s="468"/>
      <c r="AI57" s="468"/>
      <c r="AJ57" s="468"/>
    </row>
    <row r="58" spans="1:36" ht="18" hidden="1" customHeight="1" x14ac:dyDescent="0.35">
      <c r="A58" s="468"/>
      <c r="B58" s="521" t="s">
        <v>22</v>
      </c>
      <c r="C58" s="494">
        <f>VLOOKUP(B51,'6 Caissons Objets'!Moussecal1,2)</f>
        <v>0</v>
      </c>
      <c r="D58" s="850">
        <f>VLOOKUP(B51,'6 Caissons Objets'!Moussecal1,3)</f>
        <v>0</v>
      </c>
      <c r="E58" s="850">
        <f>VLOOKUP(B51,'6 Caissons Objets'!Moussecal1,4)</f>
        <v>0</v>
      </c>
      <c r="F58" s="850">
        <f>VLOOKUP(B51,'6 Caissons Objets'!Moussecal1,5)</f>
        <v>0</v>
      </c>
      <c r="G58" s="468">
        <f t="shared" ref="G58:G60" si="9">IF(C58=0,0,"Barres 21 R4F")</f>
        <v>0</v>
      </c>
      <c r="H58" s="468"/>
      <c r="I58" s="468"/>
      <c r="J58" s="468">
        <f t="shared" ref="J58:J69" si="10">IF(D58=0,0,(D58/100)*(E58/100)*F58)</f>
        <v>0</v>
      </c>
      <c r="K58" s="468">
        <f t="shared" ref="K58:K69" si="11">J58/0.8</f>
        <v>0</v>
      </c>
      <c r="L58" s="514">
        <v>0</v>
      </c>
      <c r="M58" s="514">
        <f t="shared" ref="M58:M69" si="12">L58*K58</f>
        <v>0</v>
      </c>
      <c r="N58" s="479">
        <f t="shared" ref="N58:N60" si="13">IF(J58=0,0,2+(6*J58))</f>
        <v>0</v>
      </c>
      <c r="O58" s="514">
        <f t="shared" ref="O58:O69" si="14">N58*'6 Caissons Objets'!MinuteMO</f>
        <v>0</v>
      </c>
      <c r="P58" s="468"/>
      <c r="Q58" s="520">
        <v>0</v>
      </c>
      <c r="R58" s="468"/>
      <c r="S58" s="468"/>
      <c r="T58" s="468"/>
      <c r="U58" s="468"/>
      <c r="V58" s="468"/>
      <c r="W58" s="468"/>
      <c r="X58" s="468"/>
      <c r="Y58" s="468"/>
      <c r="Z58" s="468"/>
      <c r="AA58" s="468"/>
      <c r="AB58" s="468"/>
      <c r="AC58" s="468"/>
      <c r="AD58" s="468"/>
      <c r="AE58" s="468"/>
      <c r="AF58" s="468"/>
      <c r="AG58" s="468"/>
      <c r="AH58" s="468"/>
      <c r="AI58" s="468"/>
      <c r="AJ58" s="468"/>
    </row>
    <row r="59" spans="1:36" ht="18" hidden="1" customHeight="1" x14ac:dyDescent="0.35">
      <c r="A59" s="468"/>
      <c r="B59" s="521"/>
      <c r="C59" s="494">
        <f>VLOOKUP(B51,'6 Caissons Objets'!Moussecal1,6)</f>
        <v>0</v>
      </c>
      <c r="D59" s="850">
        <f>VLOOKUP(B51,'6 Caissons Objets'!Moussecal1,7)</f>
        <v>0</v>
      </c>
      <c r="E59" s="850">
        <f>VLOOKUP(B51,'6 Caissons Objets'!Moussecal1,8)</f>
        <v>0</v>
      </c>
      <c r="F59" s="850">
        <f>VLOOKUP(B51,'6 Caissons Objets'!Moussecal1,9)</f>
        <v>0</v>
      </c>
      <c r="G59" s="468">
        <f t="shared" si="9"/>
        <v>0</v>
      </c>
      <c r="H59" s="468"/>
      <c r="I59" s="468"/>
      <c r="J59" s="468">
        <f t="shared" si="10"/>
        <v>0</v>
      </c>
      <c r="K59" s="468">
        <f t="shared" si="11"/>
        <v>0</v>
      </c>
      <c r="L59" s="514">
        <v>0</v>
      </c>
      <c r="M59" s="514">
        <f t="shared" si="12"/>
        <v>0</v>
      </c>
      <c r="N59" s="479">
        <f t="shared" si="13"/>
        <v>0</v>
      </c>
      <c r="O59" s="514">
        <f t="shared" si="14"/>
        <v>0</v>
      </c>
      <c r="P59" s="468"/>
      <c r="Q59" s="520">
        <v>0</v>
      </c>
      <c r="R59" s="468"/>
      <c r="S59" s="468"/>
      <c r="T59" s="468"/>
      <c r="U59" s="468"/>
      <c r="V59" s="468"/>
      <c r="W59" s="468"/>
      <c r="X59" s="468"/>
      <c r="Y59" s="468"/>
      <c r="Z59" s="468"/>
      <c r="AA59" s="468"/>
      <c r="AB59" s="468"/>
      <c r="AC59" s="468"/>
      <c r="AD59" s="468"/>
      <c r="AE59" s="468"/>
      <c r="AF59" s="468"/>
      <c r="AG59" s="468"/>
      <c r="AH59" s="468"/>
      <c r="AI59" s="468"/>
      <c r="AJ59" s="468"/>
    </row>
    <row r="60" spans="1:36" ht="18" hidden="1" customHeight="1" x14ac:dyDescent="0.35">
      <c r="A60" s="468"/>
      <c r="B60" s="521"/>
      <c r="C60" s="494">
        <f>VLOOKUP(B51,'6 Caissons Objets'!Moussecal1,10)</f>
        <v>0</v>
      </c>
      <c r="D60" s="850">
        <f>VLOOKUP(B51,'6 Caissons Objets'!Moussecal1,11)</f>
        <v>0</v>
      </c>
      <c r="E60" s="850">
        <f>VLOOKUP(B51,'6 Caissons Objets'!Moussecal1,12)</f>
        <v>0</v>
      </c>
      <c r="F60" s="850">
        <f>VLOOKUP(B51,'6 Caissons Objets'!Moussecal1,13)</f>
        <v>0</v>
      </c>
      <c r="G60" s="468">
        <f t="shared" si="9"/>
        <v>0</v>
      </c>
      <c r="H60" s="468"/>
      <c r="I60" s="468"/>
      <c r="J60" s="468">
        <f t="shared" si="10"/>
        <v>0</v>
      </c>
      <c r="K60" s="468">
        <f t="shared" si="11"/>
        <v>0</v>
      </c>
      <c r="L60" s="514">
        <v>0</v>
      </c>
      <c r="M60" s="514">
        <f t="shared" si="12"/>
        <v>0</v>
      </c>
      <c r="N60" s="479">
        <f t="shared" si="13"/>
        <v>0</v>
      </c>
      <c r="O60" s="514">
        <f t="shared" si="14"/>
        <v>0</v>
      </c>
      <c r="P60" s="468"/>
      <c r="Q60" s="520">
        <v>0</v>
      </c>
      <c r="R60" s="468"/>
      <c r="S60" s="468"/>
      <c r="T60" s="468"/>
      <c r="U60" s="468"/>
      <c r="V60" s="468"/>
      <c r="W60" s="468"/>
      <c r="X60" s="468"/>
      <c r="Y60" s="468"/>
      <c r="Z60" s="468"/>
      <c r="AA60" s="468"/>
      <c r="AB60" s="468"/>
      <c r="AC60" s="468"/>
      <c r="AD60" s="468"/>
      <c r="AE60" s="468"/>
      <c r="AF60" s="468"/>
      <c r="AG60" s="468"/>
      <c r="AH60" s="468"/>
      <c r="AI60" s="468"/>
      <c r="AJ60" s="468"/>
    </row>
    <row r="61" spans="1:36" ht="18" hidden="1" customHeight="1" x14ac:dyDescent="0.35">
      <c r="A61" s="468"/>
      <c r="B61" s="521" t="s">
        <v>80</v>
      </c>
      <c r="C61" s="494">
        <f>VLOOKUP(B51,'6 Caissons Objets'!Moussecal1,14)</f>
        <v>0</v>
      </c>
      <c r="D61" s="850">
        <f>VLOOKUP(B51,'6 Caissons Objets'!Moussecal1,15)</f>
        <v>0</v>
      </c>
      <c r="E61" s="850">
        <f>VLOOKUP(B51,'6 Caissons Objets'!Moussecal1,16)</f>
        <v>0</v>
      </c>
      <c r="F61" s="850">
        <f>VLOOKUP(B51,'6 Caissons Objets'!Moussecal1,17)</f>
        <v>0</v>
      </c>
      <c r="G61" s="468">
        <f t="shared" ref="G61:G64" si="15">C61</f>
        <v>0</v>
      </c>
      <c r="H61" s="468"/>
      <c r="I61" s="468"/>
      <c r="J61" s="468">
        <f t="shared" si="10"/>
        <v>0</v>
      </c>
      <c r="K61" s="468">
        <f t="shared" si="11"/>
        <v>0</v>
      </c>
      <c r="L61" s="514">
        <v>0</v>
      </c>
      <c r="M61" s="514">
        <f t="shared" si="12"/>
        <v>0</v>
      </c>
      <c r="N61" s="479">
        <f t="shared" ref="N61:N69" si="16">IF(J61=0,0,4.7283*J61+2)</f>
        <v>0</v>
      </c>
      <c r="O61" s="514">
        <f t="shared" si="14"/>
        <v>0</v>
      </c>
      <c r="P61" s="468"/>
      <c r="Q61" s="520">
        <v>0</v>
      </c>
      <c r="R61" s="468"/>
      <c r="S61" s="468"/>
      <c r="T61" s="468"/>
      <c r="U61" s="468"/>
      <c r="V61" s="468"/>
      <c r="W61" s="468"/>
      <c r="X61" s="468"/>
      <c r="Y61" s="468"/>
      <c r="Z61" s="468"/>
      <c r="AA61" s="468"/>
      <c r="AB61" s="468"/>
      <c r="AC61" s="468"/>
      <c r="AD61" s="468"/>
      <c r="AE61" s="468"/>
      <c r="AF61" s="468"/>
      <c r="AG61" s="468"/>
      <c r="AH61" s="468"/>
      <c r="AI61" s="468"/>
      <c r="AJ61" s="468"/>
    </row>
    <row r="62" spans="1:36" ht="18" hidden="1" customHeight="1" x14ac:dyDescent="0.35">
      <c r="A62" s="468"/>
      <c r="B62" s="521"/>
      <c r="C62" s="494">
        <f>VLOOKUP(B51,'6 Caissons Objets'!Moussecal1,18)</f>
        <v>0</v>
      </c>
      <c r="D62" s="850">
        <f>VLOOKUP(B51,'6 Caissons Objets'!Moussecal1,19)</f>
        <v>0</v>
      </c>
      <c r="E62" s="850">
        <f>VLOOKUP(B51,'6 Caissons Objets'!Moussecal1,20)</f>
        <v>0</v>
      </c>
      <c r="F62" s="850">
        <f>VLOOKUP(B51,'6 Caissons Objets'!Moussecal1,21)</f>
        <v>0</v>
      </c>
      <c r="G62" s="468">
        <f t="shared" si="15"/>
        <v>0</v>
      </c>
      <c r="H62" s="468"/>
      <c r="I62" s="468"/>
      <c r="J62" s="468">
        <f t="shared" si="10"/>
        <v>0</v>
      </c>
      <c r="K62" s="468">
        <f t="shared" si="11"/>
        <v>0</v>
      </c>
      <c r="L62" s="514">
        <v>0</v>
      </c>
      <c r="M62" s="514">
        <f t="shared" si="12"/>
        <v>0</v>
      </c>
      <c r="N62" s="479">
        <f t="shared" si="16"/>
        <v>0</v>
      </c>
      <c r="O62" s="514">
        <f t="shared" si="14"/>
        <v>0</v>
      </c>
      <c r="P62" s="468"/>
      <c r="Q62" s="520">
        <v>0</v>
      </c>
      <c r="R62" s="468"/>
      <c r="S62" s="468"/>
      <c r="T62" s="468"/>
      <c r="U62" s="468"/>
      <c r="V62" s="468"/>
      <c r="W62" s="468"/>
      <c r="X62" s="468"/>
      <c r="Y62" s="468"/>
      <c r="Z62" s="468"/>
      <c r="AA62" s="468"/>
      <c r="AB62" s="468"/>
      <c r="AC62" s="468"/>
      <c r="AD62" s="468"/>
      <c r="AE62" s="468"/>
      <c r="AF62" s="468"/>
      <c r="AG62" s="468"/>
      <c r="AH62" s="468"/>
      <c r="AI62" s="468"/>
      <c r="AJ62" s="468"/>
    </row>
    <row r="63" spans="1:36" ht="18" hidden="1" customHeight="1" x14ac:dyDescent="0.35">
      <c r="A63" s="468"/>
      <c r="B63" s="521"/>
      <c r="C63" s="494">
        <f>VLOOKUP(B51,'6 Caissons Objets'!Moussecal1,28)</f>
        <v>0</v>
      </c>
      <c r="D63" s="850">
        <f>VLOOKUP(B51,'6 Caissons Objets'!Moussecal1,29)</f>
        <v>0</v>
      </c>
      <c r="E63" s="850">
        <f>VLOOKUP(B51,'6 Caissons Objets'!Moussecal1,30)</f>
        <v>0</v>
      </c>
      <c r="F63" s="850">
        <f>VLOOKUP(B51,'6 Caissons Objets'!Moussecal1,31)</f>
        <v>0</v>
      </c>
      <c r="G63" s="468">
        <f t="shared" si="15"/>
        <v>0</v>
      </c>
      <c r="H63" s="468"/>
      <c r="I63" s="468"/>
      <c r="J63" s="468">
        <f t="shared" si="10"/>
        <v>0</v>
      </c>
      <c r="K63" s="468">
        <f t="shared" si="11"/>
        <v>0</v>
      </c>
      <c r="L63" s="514">
        <v>0</v>
      </c>
      <c r="M63" s="514">
        <f t="shared" si="12"/>
        <v>0</v>
      </c>
      <c r="N63" s="479">
        <f t="shared" si="16"/>
        <v>0</v>
      </c>
      <c r="O63" s="514">
        <f t="shared" si="14"/>
        <v>0</v>
      </c>
      <c r="P63" s="468"/>
      <c r="Q63" s="520">
        <v>0</v>
      </c>
      <c r="R63" s="468"/>
      <c r="S63" s="468"/>
      <c r="T63" s="468"/>
      <c r="U63" s="468"/>
      <c r="V63" s="468"/>
      <c r="W63" s="468"/>
      <c r="X63" s="468"/>
      <c r="Y63" s="468"/>
      <c r="Z63" s="468"/>
      <c r="AA63" s="468"/>
      <c r="AB63" s="468"/>
      <c r="AC63" s="468"/>
      <c r="AD63" s="468"/>
      <c r="AE63" s="468"/>
      <c r="AF63" s="468"/>
      <c r="AG63" s="468"/>
      <c r="AH63" s="468"/>
      <c r="AI63" s="468"/>
      <c r="AJ63" s="468"/>
    </row>
    <row r="64" spans="1:36" ht="18" hidden="1" customHeight="1" x14ac:dyDescent="0.35">
      <c r="A64" s="468"/>
      <c r="B64" s="494"/>
      <c r="C64" s="494">
        <f>VLOOKUP(B51,'6 Caissons Objets'!Moussecal1,22)</f>
        <v>0</v>
      </c>
      <c r="D64" s="850">
        <f>VLOOKUP(B51,'6 Caissons Objets'!Moussecal1,25)</f>
        <v>0</v>
      </c>
      <c r="E64" s="850">
        <f>VLOOKUP(B51,'6 Caissons Objets'!Moussecal1,26)</f>
        <v>0</v>
      </c>
      <c r="F64" s="850">
        <f>IF(D64=0,0,1)</f>
        <v>0</v>
      </c>
      <c r="G64" s="468">
        <f t="shared" si="15"/>
        <v>0</v>
      </c>
      <c r="H64" s="468"/>
      <c r="I64" s="468"/>
      <c r="J64" s="468">
        <f t="shared" si="10"/>
        <v>0</v>
      </c>
      <c r="K64" s="468">
        <f t="shared" si="11"/>
        <v>0</v>
      </c>
      <c r="L64" s="514">
        <v>0</v>
      </c>
      <c r="M64" s="514">
        <f t="shared" si="12"/>
        <v>0</v>
      </c>
      <c r="N64" s="479">
        <f t="shared" si="16"/>
        <v>0</v>
      </c>
      <c r="O64" s="514">
        <f t="shared" si="14"/>
        <v>0</v>
      </c>
      <c r="P64" s="468"/>
      <c r="Q64" s="520">
        <v>0</v>
      </c>
      <c r="R64" s="468"/>
      <c r="S64" s="468"/>
      <c r="T64" s="468"/>
      <c r="U64" s="468"/>
      <c r="V64" s="468"/>
      <c r="W64" s="468"/>
      <c r="X64" s="468"/>
      <c r="Y64" s="468"/>
      <c r="Z64" s="468"/>
      <c r="AA64" s="468"/>
      <c r="AB64" s="468"/>
      <c r="AC64" s="468"/>
      <c r="AD64" s="468"/>
      <c r="AE64" s="468"/>
      <c r="AF64" s="468"/>
      <c r="AG64" s="468"/>
      <c r="AH64" s="468"/>
      <c r="AI64" s="468"/>
      <c r="AJ64" s="468"/>
    </row>
    <row r="65" spans="1:36" ht="18" hidden="1" customHeight="1" x14ac:dyDescent="0.35">
      <c r="A65" s="468"/>
      <c r="B65" s="494"/>
      <c r="C65" s="494"/>
      <c r="D65" s="850"/>
      <c r="E65" s="850"/>
      <c r="F65" s="850"/>
      <c r="G65" s="468"/>
      <c r="H65" s="468"/>
      <c r="I65" s="468"/>
      <c r="J65" s="468">
        <f t="shared" si="10"/>
        <v>0</v>
      </c>
      <c r="K65" s="468">
        <f t="shared" si="11"/>
        <v>0</v>
      </c>
      <c r="L65" s="514">
        <v>0</v>
      </c>
      <c r="M65" s="514">
        <f t="shared" si="12"/>
        <v>0</v>
      </c>
      <c r="N65" s="479">
        <f t="shared" si="16"/>
        <v>0</v>
      </c>
      <c r="O65" s="514">
        <f t="shared" si="14"/>
        <v>0</v>
      </c>
      <c r="P65" s="468"/>
      <c r="Q65" s="520">
        <v>0</v>
      </c>
      <c r="R65" s="468"/>
      <c r="S65" s="468"/>
      <c r="T65" s="468"/>
      <c r="U65" s="468"/>
      <c r="V65" s="468"/>
      <c r="W65" s="468"/>
      <c r="X65" s="468"/>
      <c r="Y65" s="468"/>
      <c r="Z65" s="468"/>
      <c r="AA65" s="468"/>
      <c r="AB65" s="468"/>
      <c r="AC65" s="468"/>
      <c r="AD65" s="468"/>
      <c r="AE65" s="468"/>
      <c r="AF65" s="468"/>
      <c r="AG65" s="468"/>
      <c r="AH65" s="468"/>
      <c r="AI65" s="468"/>
      <c r="AJ65" s="468"/>
    </row>
    <row r="66" spans="1:36" ht="18" hidden="1" customHeight="1" x14ac:dyDescent="0.35">
      <c r="A66" s="468"/>
      <c r="B66" s="494"/>
      <c r="C66" s="494"/>
      <c r="D66" s="849"/>
      <c r="E66" s="849"/>
      <c r="F66" s="850"/>
      <c r="G66" s="468"/>
      <c r="H66" s="468"/>
      <c r="I66" s="468"/>
      <c r="J66" s="468">
        <f t="shared" si="10"/>
        <v>0</v>
      </c>
      <c r="K66" s="468">
        <f t="shared" si="11"/>
        <v>0</v>
      </c>
      <c r="L66" s="514">
        <v>0</v>
      </c>
      <c r="M66" s="514">
        <f t="shared" si="12"/>
        <v>0</v>
      </c>
      <c r="N66" s="479">
        <f t="shared" si="16"/>
        <v>0</v>
      </c>
      <c r="O66" s="514">
        <f t="shared" si="14"/>
        <v>0</v>
      </c>
      <c r="P66" s="468"/>
      <c r="Q66" s="520">
        <v>0</v>
      </c>
      <c r="R66" s="468"/>
      <c r="S66" s="468"/>
      <c r="T66" s="468"/>
      <c r="U66" s="468"/>
      <c r="V66" s="468"/>
      <c r="W66" s="468"/>
      <c r="X66" s="468"/>
      <c r="Y66" s="468"/>
      <c r="Z66" s="468"/>
      <c r="AA66" s="468"/>
      <c r="AB66" s="468"/>
      <c r="AC66" s="468"/>
      <c r="AD66" s="468"/>
      <c r="AE66" s="468"/>
      <c r="AF66" s="468"/>
      <c r="AG66" s="468"/>
      <c r="AH66" s="468"/>
      <c r="AI66" s="468"/>
      <c r="AJ66" s="468"/>
    </row>
    <row r="67" spans="1:36" ht="18" hidden="1" customHeight="1" x14ac:dyDescent="0.35">
      <c r="A67" s="468"/>
      <c r="B67" s="494"/>
      <c r="C67" s="494"/>
      <c r="D67" s="849"/>
      <c r="E67" s="849"/>
      <c r="F67" s="850"/>
      <c r="G67" s="468"/>
      <c r="H67" s="468"/>
      <c r="I67" s="468"/>
      <c r="J67" s="468">
        <f t="shared" si="10"/>
        <v>0</v>
      </c>
      <c r="K67" s="468">
        <f t="shared" si="11"/>
        <v>0</v>
      </c>
      <c r="L67" s="514">
        <v>0</v>
      </c>
      <c r="M67" s="514">
        <f t="shared" si="12"/>
        <v>0</v>
      </c>
      <c r="N67" s="479">
        <f t="shared" si="16"/>
        <v>0</v>
      </c>
      <c r="O67" s="514">
        <f t="shared" si="14"/>
        <v>0</v>
      </c>
      <c r="P67" s="468"/>
      <c r="Q67" s="520">
        <v>0</v>
      </c>
      <c r="R67" s="468"/>
      <c r="S67" s="468"/>
      <c r="T67" s="468"/>
      <c r="U67" s="468"/>
      <c r="V67" s="468"/>
      <c r="W67" s="468"/>
      <c r="X67" s="468"/>
      <c r="Y67" s="468"/>
      <c r="Z67" s="468"/>
      <c r="AA67" s="468"/>
      <c r="AB67" s="468"/>
      <c r="AC67" s="468"/>
      <c r="AD67" s="468"/>
      <c r="AE67" s="468"/>
      <c r="AF67" s="468"/>
      <c r="AG67" s="468"/>
      <c r="AH67" s="468"/>
      <c r="AI67" s="468"/>
      <c r="AJ67" s="468"/>
    </row>
    <row r="68" spans="1:36" ht="18" hidden="1" customHeight="1" x14ac:dyDescent="0.35">
      <c r="A68" s="468"/>
      <c r="B68" s="494"/>
      <c r="C68" s="494"/>
      <c r="D68" s="849"/>
      <c r="E68" s="849"/>
      <c r="F68" s="850"/>
      <c r="G68" s="468"/>
      <c r="H68" s="468"/>
      <c r="I68" s="468"/>
      <c r="J68" s="468">
        <f t="shared" si="10"/>
        <v>0</v>
      </c>
      <c r="K68" s="468">
        <f t="shared" si="11"/>
        <v>0</v>
      </c>
      <c r="L68" s="514">
        <v>0</v>
      </c>
      <c r="M68" s="514">
        <f t="shared" si="12"/>
        <v>0</v>
      </c>
      <c r="N68" s="479">
        <f t="shared" si="16"/>
        <v>0</v>
      </c>
      <c r="O68" s="514">
        <f t="shared" si="14"/>
        <v>0</v>
      </c>
      <c r="P68" s="468"/>
      <c r="Q68" s="520">
        <v>0</v>
      </c>
      <c r="R68" s="468"/>
      <c r="S68" s="468"/>
      <c r="T68" s="468"/>
      <c r="U68" s="468"/>
      <c r="V68" s="468"/>
      <c r="W68" s="468"/>
      <c r="X68" s="468"/>
      <c r="Y68" s="468"/>
      <c r="Z68" s="468"/>
      <c r="AA68" s="468"/>
      <c r="AB68" s="468"/>
      <c r="AC68" s="468"/>
      <c r="AD68" s="468"/>
      <c r="AE68" s="468"/>
      <c r="AF68" s="468"/>
      <c r="AG68" s="468"/>
      <c r="AH68" s="468"/>
      <c r="AI68" s="468"/>
      <c r="AJ68" s="468"/>
    </row>
    <row r="69" spans="1:36" ht="18" hidden="1" customHeight="1" x14ac:dyDescent="0.35">
      <c r="A69" s="468"/>
      <c r="B69" s="851" t="s">
        <v>176</v>
      </c>
      <c r="C69" s="494" t="str">
        <f>'6 Caissons Objets'!plat1</f>
        <v>Aucun</v>
      </c>
      <c r="D69" s="849">
        <f>IF(C69="Aucun",0,'6 Caissons Objets'!Lnec1-0.3)</f>
        <v>0</v>
      </c>
      <c r="E69" s="849">
        <f>IF(C69="Aucun",0,'6 Caissons Objets'!lanec1-0.3)</f>
        <v>0</v>
      </c>
      <c r="F69" s="850">
        <f>IF(C69="Aucun",0,1)</f>
        <v>0</v>
      </c>
      <c r="G69" s="519">
        <f>G53</f>
        <v>0</v>
      </c>
      <c r="H69" s="468"/>
      <c r="I69" s="468"/>
      <c r="J69" s="468">
        <f t="shared" si="10"/>
        <v>0</v>
      </c>
      <c r="K69" s="468">
        <f t="shared" si="11"/>
        <v>0</v>
      </c>
      <c r="L69" s="514">
        <v>0</v>
      </c>
      <c r="M69" s="514">
        <f t="shared" si="12"/>
        <v>0</v>
      </c>
      <c r="N69" s="479">
        <f t="shared" si="16"/>
        <v>0</v>
      </c>
      <c r="O69" s="514">
        <f t="shared" si="14"/>
        <v>0</v>
      </c>
      <c r="P69" s="468"/>
      <c r="Q69" s="520">
        <f>IF(J69=0,0,J69*VLOOKUP(C69,$A$214:$D$220,4))</f>
        <v>0</v>
      </c>
      <c r="R69" s="468"/>
      <c r="S69" s="468"/>
      <c r="T69" s="468"/>
      <c r="U69" s="468"/>
      <c r="V69" s="468"/>
      <c r="W69" s="468"/>
      <c r="X69" s="468"/>
      <c r="Y69" s="468"/>
      <c r="Z69" s="468"/>
      <c r="AA69" s="468"/>
      <c r="AB69" s="468"/>
      <c r="AC69" s="468"/>
      <c r="AD69" s="468"/>
      <c r="AE69" s="468"/>
      <c r="AF69" s="468"/>
      <c r="AG69" s="468"/>
      <c r="AH69" s="468"/>
      <c r="AI69" s="468"/>
      <c r="AJ69" s="468"/>
    </row>
    <row r="70" spans="1:36" ht="18" hidden="1" customHeight="1" x14ac:dyDescent="0.35">
      <c r="A70" s="468"/>
      <c r="B70" s="494"/>
      <c r="C70" s="494"/>
      <c r="D70" s="849"/>
      <c r="E70" s="849"/>
      <c r="F70" s="850"/>
      <c r="G70" s="468"/>
      <c r="H70" s="468"/>
      <c r="I70" s="468"/>
      <c r="J70" s="468"/>
      <c r="K70" s="468"/>
      <c r="L70" s="468"/>
      <c r="M70" s="514"/>
      <c r="N70" s="479"/>
      <c r="O70" s="514"/>
      <c r="P70" s="468"/>
      <c r="Q70" s="520">
        <v>0</v>
      </c>
      <c r="R70" s="468"/>
      <c r="S70" s="468"/>
      <c r="T70" s="468"/>
      <c r="U70" s="468"/>
      <c r="V70" s="468"/>
      <c r="W70" s="468"/>
      <c r="X70" s="468"/>
      <c r="Y70" s="468"/>
      <c r="Z70" s="468"/>
      <c r="AA70" s="468"/>
      <c r="AB70" s="468"/>
      <c r="AC70" s="468"/>
      <c r="AD70" s="468"/>
      <c r="AE70" s="468"/>
      <c r="AF70" s="468"/>
      <c r="AG70" s="468"/>
      <c r="AH70" s="468"/>
      <c r="AI70" s="468"/>
      <c r="AJ70" s="468"/>
    </row>
    <row r="71" spans="1:36" ht="18" hidden="1" customHeight="1" x14ac:dyDescent="0.35">
      <c r="A71" s="468"/>
      <c r="B71" s="468"/>
      <c r="C71" s="468"/>
      <c r="D71" s="468"/>
      <c r="E71" s="468"/>
      <c r="F71" s="468"/>
      <c r="G71" s="468"/>
      <c r="H71" s="468"/>
      <c r="I71" s="468"/>
      <c r="J71" s="468">
        <f t="shared" ref="J71:J74" si="17">IF(C71=0,0,(C71/100)*(D71/100)*F71)</f>
        <v>0</v>
      </c>
      <c r="K71" s="468">
        <f t="shared" ref="K71:K74" si="18">J71/0.8</f>
        <v>0</v>
      </c>
      <c r="L71" s="514"/>
      <c r="M71" s="514"/>
      <c r="N71" s="479"/>
      <c r="O71" s="514"/>
      <c r="P71" s="468"/>
      <c r="Q71" s="520">
        <v>0</v>
      </c>
      <c r="R71" s="468"/>
      <c r="S71" s="468"/>
      <c r="T71" s="468"/>
      <c r="U71" s="468"/>
      <c r="V71" s="468"/>
      <c r="W71" s="468"/>
      <c r="X71" s="468"/>
      <c r="Y71" s="468"/>
      <c r="Z71" s="468"/>
      <c r="AA71" s="468"/>
      <c r="AB71" s="468"/>
      <c r="AC71" s="468"/>
      <c r="AD71" s="468"/>
      <c r="AE71" s="468"/>
      <c r="AF71" s="468"/>
      <c r="AG71" s="468"/>
      <c r="AH71" s="468"/>
      <c r="AI71" s="468"/>
      <c r="AJ71" s="468"/>
    </row>
    <row r="72" spans="1:36" ht="18" hidden="1" customHeight="1" x14ac:dyDescent="0.35">
      <c r="A72" s="471" t="s">
        <v>159</v>
      </c>
      <c r="B72" s="468"/>
      <c r="C72" s="468"/>
      <c r="D72" s="468"/>
      <c r="E72" s="468"/>
      <c r="F72" s="468"/>
      <c r="G72" s="468"/>
      <c r="H72" s="468"/>
      <c r="I72" s="468"/>
      <c r="J72" s="468">
        <f t="shared" si="17"/>
        <v>0</v>
      </c>
      <c r="K72" s="468">
        <f t="shared" si="18"/>
        <v>0</v>
      </c>
      <c r="L72" s="514"/>
      <c r="M72" s="514"/>
      <c r="N72" s="479"/>
      <c r="O72" s="514"/>
      <c r="P72" s="468"/>
      <c r="Q72" s="520">
        <v>0</v>
      </c>
      <c r="R72" s="468"/>
      <c r="S72" s="468"/>
      <c r="T72" s="468"/>
      <c r="U72" s="468"/>
      <c r="V72" s="468"/>
      <c r="W72" s="468"/>
      <c r="X72" s="468"/>
      <c r="Y72" s="468"/>
      <c r="Z72" s="468"/>
      <c r="AA72" s="468"/>
      <c r="AB72" s="468"/>
      <c r="AC72" s="468"/>
      <c r="AD72" s="468"/>
      <c r="AE72" s="468"/>
      <c r="AF72" s="468"/>
      <c r="AG72" s="468"/>
      <c r="AH72" s="468"/>
      <c r="AI72" s="468"/>
      <c r="AJ72" s="468"/>
    </row>
    <row r="73" spans="1:36" ht="18" hidden="1" customHeight="1" x14ac:dyDescent="0.35">
      <c r="A73" s="468"/>
      <c r="B73" s="468"/>
      <c r="C73" s="468"/>
      <c r="D73" s="468"/>
      <c r="E73" s="468"/>
      <c r="F73" s="468"/>
      <c r="G73" s="468"/>
      <c r="H73" s="468"/>
      <c r="I73" s="468"/>
      <c r="J73" s="468">
        <f t="shared" si="17"/>
        <v>0</v>
      </c>
      <c r="K73" s="468">
        <f t="shared" si="18"/>
        <v>0</v>
      </c>
      <c r="L73" s="514"/>
      <c r="M73" s="514"/>
      <c r="N73" s="479"/>
      <c r="O73" s="514"/>
      <c r="P73" s="468"/>
      <c r="Q73" s="520">
        <v>0</v>
      </c>
      <c r="R73" s="468"/>
      <c r="S73" s="468"/>
      <c r="T73" s="468"/>
      <c r="U73" s="468"/>
      <c r="V73" s="468"/>
      <c r="W73" s="468"/>
      <c r="X73" s="468"/>
      <c r="Y73" s="468"/>
      <c r="Z73" s="468"/>
      <c r="AA73" s="468"/>
      <c r="AB73" s="468"/>
      <c r="AC73" s="468"/>
      <c r="AD73" s="468"/>
      <c r="AE73" s="468"/>
      <c r="AF73" s="468"/>
      <c r="AG73" s="468"/>
      <c r="AH73" s="468"/>
      <c r="AI73" s="468"/>
      <c r="AJ73" s="468"/>
    </row>
    <row r="74" spans="1:36" ht="18" hidden="1" customHeight="1" x14ac:dyDescent="0.35">
      <c r="A74" s="468"/>
      <c r="B74" s="848" t="str">
        <f>C29</f>
        <v>Aucun</v>
      </c>
      <c r="C74" s="521"/>
      <c r="D74" s="849" t="s">
        <v>28</v>
      </c>
      <c r="E74" s="849" t="s">
        <v>33</v>
      </c>
      <c r="F74" s="850" t="s">
        <v>34</v>
      </c>
      <c r="G74" s="468"/>
      <c r="H74" s="468"/>
      <c r="I74" s="468"/>
      <c r="J74" s="468">
        <f t="shared" si="17"/>
        <v>0</v>
      </c>
      <c r="K74" s="468">
        <f t="shared" si="18"/>
        <v>0</v>
      </c>
      <c r="L74" s="514"/>
      <c r="M74" s="514"/>
      <c r="N74" s="479"/>
      <c r="O74" s="514"/>
      <c r="P74" s="468"/>
      <c r="Q74" s="520">
        <v>0</v>
      </c>
      <c r="R74" s="468"/>
      <c r="S74" s="468"/>
      <c r="T74" s="468"/>
      <c r="U74" s="468"/>
      <c r="V74" s="468"/>
      <c r="W74" s="468"/>
      <c r="X74" s="468"/>
      <c r="Y74" s="468"/>
      <c r="Z74" s="468"/>
      <c r="AA74" s="468"/>
      <c r="AB74" s="468"/>
      <c r="AC74" s="468"/>
      <c r="AD74" s="468"/>
      <c r="AE74" s="468"/>
      <c r="AF74" s="468"/>
      <c r="AG74" s="468"/>
      <c r="AH74" s="468"/>
      <c r="AI74" s="468"/>
      <c r="AJ74" s="468"/>
    </row>
    <row r="75" spans="1:36" ht="18" hidden="1" customHeight="1" x14ac:dyDescent="0.35">
      <c r="A75" s="468"/>
      <c r="B75" s="848"/>
      <c r="C75" s="521"/>
      <c r="D75" s="849"/>
      <c r="E75" s="849"/>
      <c r="F75" s="850"/>
      <c r="G75" s="468"/>
      <c r="H75" s="468"/>
      <c r="I75" s="468"/>
      <c r="J75" s="468"/>
      <c r="K75" s="468"/>
      <c r="L75" s="514"/>
      <c r="M75" s="514"/>
      <c r="N75" s="479"/>
      <c r="O75" s="514"/>
      <c r="P75" s="468"/>
      <c r="Q75" s="520">
        <v>0</v>
      </c>
      <c r="R75" s="468"/>
      <c r="S75" s="468"/>
      <c r="T75" s="468"/>
      <c r="U75" s="468"/>
      <c r="V75" s="468"/>
      <c r="W75" s="468"/>
      <c r="X75" s="468"/>
      <c r="Y75" s="468"/>
      <c r="Z75" s="468"/>
      <c r="AA75" s="468"/>
      <c r="AB75" s="468"/>
      <c r="AC75" s="468"/>
      <c r="AD75" s="468"/>
      <c r="AE75" s="468"/>
      <c r="AF75" s="468"/>
      <c r="AG75" s="468"/>
      <c r="AH75" s="468"/>
      <c r="AI75" s="468"/>
      <c r="AJ75" s="468"/>
    </row>
    <row r="76" spans="1:36" ht="18" hidden="1" customHeight="1" x14ac:dyDescent="0.35">
      <c r="A76" s="468"/>
      <c r="B76" s="851" t="s">
        <v>485</v>
      </c>
      <c r="C76" s="521">
        <f>IF('6 Caissons Objets'!Lnec2=0,0,"Peuplier 15 mm")</f>
        <v>0</v>
      </c>
      <c r="D76" s="849">
        <f>IF(C76=0,0,'6 Caissons Objets'!Lnec2+3)</f>
        <v>0</v>
      </c>
      <c r="E76" s="849">
        <f>IF('6 Caissons Objets'!hnec2=0,0,'6 Caissons Objets'!hnec2+VLOOKUP(C33,$A$232:$C$234,3))</f>
        <v>0</v>
      </c>
      <c r="F76" s="850">
        <f>IF(D76=0,0,2)</f>
        <v>0</v>
      </c>
      <c r="G76" s="519">
        <f t="shared" ref="G76:G79" si="19">C76</f>
        <v>0</v>
      </c>
      <c r="H76" s="468"/>
      <c r="I76" s="468"/>
      <c r="J76" s="468">
        <f t="shared" ref="J76:J79" si="20">IF(D76=0,0,(D76/100)*(E76/100)*F76)</f>
        <v>0</v>
      </c>
      <c r="K76" s="468">
        <f t="shared" ref="K76:K79" si="21">J76/0.8</f>
        <v>0</v>
      </c>
      <c r="L76" s="514">
        <v>0</v>
      </c>
      <c r="M76" s="514">
        <f t="shared" ref="M76:M79" si="22">L76*K76-IF($E$31="Non",K76*0.75,0)</f>
        <v>0</v>
      </c>
      <c r="N76" s="479">
        <f t="shared" ref="N76:N79" si="23">IF(J76=0,0,IF($E$31="Oui",(7.0924*J76)+5,(6.0924*J76)+1))</f>
        <v>0</v>
      </c>
      <c r="O76" s="514">
        <f t="shared" ref="O76:O79" si="24">N76*'6 Caissons Objets'!MinuteMO</f>
        <v>0</v>
      </c>
      <c r="P76" s="468"/>
      <c r="Q76" s="520">
        <v>0</v>
      </c>
      <c r="R76" s="468"/>
      <c r="S76" s="468"/>
      <c r="T76" s="468"/>
      <c r="U76" s="468"/>
      <c r="V76" s="468"/>
      <c r="W76" s="468"/>
      <c r="X76" s="468"/>
      <c r="Y76" s="468"/>
      <c r="Z76" s="468"/>
      <c r="AA76" s="468"/>
      <c r="AB76" s="468"/>
      <c r="AC76" s="468"/>
      <c r="AD76" s="468"/>
      <c r="AE76" s="468"/>
      <c r="AF76" s="468"/>
      <c r="AG76" s="468"/>
      <c r="AH76" s="468"/>
      <c r="AI76" s="468"/>
      <c r="AJ76" s="468"/>
    </row>
    <row r="77" spans="1:36" ht="18" hidden="1" customHeight="1" x14ac:dyDescent="0.35">
      <c r="A77" s="468"/>
      <c r="B77" s="851" t="s">
        <v>175</v>
      </c>
      <c r="C77" s="521">
        <f>IF('6 Caissons Objets'!Lnec2=0,0,"Peuplier 15 mm")</f>
        <v>0</v>
      </c>
      <c r="D77" s="849">
        <f>D76</f>
        <v>0</v>
      </c>
      <c r="E77" s="849">
        <f>IF('6 Caissons Objets'!lanec2=0,0,'6 Caissons Objets'!lanec2+3.5)</f>
        <v>0</v>
      </c>
      <c r="F77" s="850">
        <f t="shared" ref="F77:F78" si="25">IF(D77=0,0,1)</f>
        <v>0</v>
      </c>
      <c r="G77" s="519">
        <f t="shared" si="19"/>
        <v>0</v>
      </c>
      <c r="H77" s="468"/>
      <c r="I77" s="468"/>
      <c r="J77" s="468">
        <f t="shared" si="20"/>
        <v>0</v>
      </c>
      <c r="K77" s="468">
        <f t="shared" si="21"/>
        <v>0</v>
      </c>
      <c r="L77" s="514">
        <v>0</v>
      </c>
      <c r="M77" s="514">
        <f t="shared" si="22"/>
        <v>0</v>
      </c>
      <c r="N77" s="479">
        <f t="shared" si="23"/>
        <v>0</v>
      </c>
      <c r="O77" s="514">
        <f t="shared" si="24"/>
        <v>0</v>
      </c>
      <c r="P77" s="468"/>
      <c r="Q77" s="520">
        <v>0</v>
      </c>
      <c r="R77" s="468"/>
      <c r="S77" s="468"/>
      <c r="T77" s="468"/>
      <c r="U77" s="468"/>
      <c r="V77" s="468"/>
      <c r="W77" s="468"/>
      <c r="X77" s="468"/>
      <c r="Y77" s="468"/>
      <c r="Z77" s="468"/>
      <c r="AA77" s="468"/>
      <c r="AB77" s="468"/>
      <c r="AC77" s="468"/>
      <c r="AD77" s="468"/>
      <c r="AE77" s="468"/>
      <c r="AF77" s="468"/>
      <c r="AG77" s="468"/>
      <c r="AH77" s="468"/>
      <c r="AI77" s="468"/>
      <c r="AJ77" s="468"/>
    </row>
    <row r="78" spans="1:36" ht="18" hidden="1" customHeight="1" x14ac:dyDescent="0.35">
      <c r="A78" s="468"/>
      <c r="B78" s="851" t="s">
        <v>176</v>
      </c>
      <c r="C78" s="521">
        <f>IF('6 Caissons Objets'!Lnec2=0,0,VLOOKUP(C33,$A$232:$B$234,2))</f>
        <v>0</v>
      </c>
      <c r="D78" s="849">
        <f>IF('6 Caissons Objets'!Lnec2=0,0,'6 Caissons Objets'!Lnec2)</f>
        <v>0</v>
      </c>
      <c r="E78" s="849">
        <f>IF('6 Caissons Objets'!lanec2=0,0,'6 Caissons Objets'!lanec2)</f>
        <v>0</v>
      </c>
      <c r="F78" s="850">
        <f t="shared" si="25"/>
        <v>0</v>
      </c>
      <c r="G78" s="519">
        <f t="shared" si="19"/>
        <v>0</v>
      </c>
      <c r="H78" s="468"/>
      <c r="I78" s="468"/>
      <c r="J78" s="468">
        <f t="shared" si="20"/>
        <v>0</v>
      </c>
      <c r="K78" s="468">
        <f t="shared" si="21"/>
        <v>0</v>
      </c>
      <c r="L78" s="514">
        <v>0</v>
      </c>
      <c r="M78" s="514">
        <f t="shared" si="22"/>
        <v>0</v>
      </c>
      <c r="N78" s="479">
        <f t="shared" si="23"/>
        <v>0</v>
      </c>
      <c r="O78" s="514">
        <f t="shared" si="24"/>
        <v>0</v>
      </c>
      <c r="P78" s="468"/>
      <c r="Q78" s="520">
        <v>0</v>
      </c>
      <c r="R78" s="468"/>
      <c r="S78" s="468"/>
      <c r="T78" s="468"/>
      <c r="U78" s="468"/>
      <c r="V78" s="468"/>
      <c r="W78" s="468"/>
      <c r="X78" s="468"/>
      <c r="Y78" s="468"/>
      <c r="Z78" s="468"/>
      <c r="AA78" s="468"/>
      <c r="AB78" s="468"/>
      <c r="AC78" s="468"/>
      <c r="AD78" s="468"/>
      <c r="AE78" s="468"/>
      <c r="AF78" s="468"/>
      <c r="AG78" s="468"/>
      <c r="AH78" s="468"/>
      <c r="AI78" s="468"/>
      <c r="AJ78" s="468"/>
    </row>
    <row r="79" spans="1:36" ht="18" hidden="1" customHeight="1" x14ac:dyDescent="0.35">
      <c r="A79" s="468"/>
      <c r="B79" s="851" t="s">
        <v>55</v>
      </c>
      <c r="C79" s="521">
        <f>IF('6 Caissons Objets'!Lnec2=0,0,"Peuplier 15 mm")</f>
        <v>0</v>
      </c>
      <c r="D79" s="849">
        <f>IF('6 Caissons Objets'!lanec2=0,0,'6 Caissons Objets'!lanec2)</f>
        <v>0</v>
      </c>
      <c r="E79" s="849">
        <f>E76</f>
        <v>0</v>
      </c>
      <c r="F79" s="850">
        <f>IF(D79=0,0,2)</f>
        <v>0</v>
      </c>
      <c r="G79" s="519">
        <f t="shared" si="19"/>
        <v>0</v>
      </c>
      <c r="H79" s="468"/>
      <c r="I79" s="468"/>
      <c r="J79" s="468">
        <f t="shared" si="20"/>
        <v>0</v>
      </c>
      <c r="K79" s="468">
        <f t="shared" si="21"/>
        <v>0</v>
      </c>
      <c r="L79" s="514">
        <v>0</v>
      </c>
      <c r="M79" s="514">
        <f t="shared" si="22"/>
        <v>0</v>
      </c>
      <c r="N79" s="479">
        <f t="shared" si="23"/>
        <v>0</v>
      </c>
      <c r="O79" s="514">
        <f t="shared" si="24"/>
        <v>0</v>
      </c>
      <c r="P79" s="468"/>
      <c r="Q79" s="520">
        <v>0</v>
      </c>
      <c r="R79" s="468"/>
      <c r="S79" s="468"/>
      <c r="T79" s="468"/>
      <c r="U79" s="468"/>
      <c r="V79" s="468"/>
      <c r="W79" s="468"/>
      <c r="X79" s="468"/>
      <c r="Y79" s="468"/>
      <c r="Z79" s="468"/>
      <c r="AA79" s="468"/>
      <c r="AB79" s="468"/>
      <c r="AC79" s="468"/>
      <c r="AD79" s="468"/>
      <c r="AE79" s="468"/>
      <c r="AF79" s="468"/>
      <c r="AG79" s="468"/>
      <c r="AH79" s="468"/>
      <c r="AI79" s="468"/>
      <c r="AJ79" s="468"/>
    </row>
    <row r="80" spans="1:36" ht="18" hidden="1" customHeight="1" x14ac:dyDescent="0.35">
      <c r="A80" s="468"/>
      <c r="B80" s="851"/>
      <c r="C80" s="521"/>
      <c r="D80" s="849"/>
      <c r="E80" s="849"/>
      <c r="F80" s="850"/>
      <c r="G80" s="468"/>
      <c r="H80" s="468"/>
      <c r="I80" s="468"/>
      <c r="J80" s="468"/>
      <c r="K80" s="468"/>
      <c r="L80" s="514"/>
      <c r="M80" s="514"/>
      <c r="N80" s="479"/>
      <c r="O80" s="514"/>
      <c r="P80" s="468"/>
      <c r="Q80" s="520">
        <v>0</v>
      </c>
      <c r="R80" s="468"/>
      <c r="S80" s="468"/>
      <c r="T80" s="468"/>
      <c r="U80" s="468"/>
      <c r="V80" s="468"/>
      <c r="W80" s="468"/>
      <c r="X80" s="468"/>
      <c r="Y80" s="468"/>
      <c r="Z80" s="468"/>
      <c r="AA80" s="468"/>
      <c r="AB80" s="468"/>
      <c r="AC80" s="468"/>
      <c r="AD80" s="468"/>
      <c r="AE80" s="468"/>
      <c r="AF80" s="468"/>
      <c r="AG80" s="468"/>
      <c r="AH80" s="468"/>
      <c r="AI80" s="468"/>
      <c r="AJ80" s="468"/>
    </row>
    <row r="81" spans="1:36" ht="18" hidden="1" customHeight="1" x14ac:dyDescent="0.35">
      <c r="A81" s="468"/>
      <c r="B81" s="521" t="s">
        <v>22</v>
      </c>
      <c r="C81" s="494">
        <f>VLOOKUP(B74,'6 Caissons Objets'!Moussecal2,2)</f>
        <v>0</v>
      </c>
      <c r="D81" s="850">
        <f>VLOOKUP(B74,'6 Caissons Objets'!Moussecal2,3)</f>
        <v>0</v>
      </c>
      <c r="E81" s="850">
        <f>VLOOKUP(B74,'6 Caissons Objets'!Moussecal2,4)</f>
        <v>0</v>
      </c>
      <c r="F81" s="850">
        <f>VLOOKUP(B74,'6 Caissons Objets'!Moussecal2,5)</f>
        <v>0</v>
      </c>
      <c r="G81" s="468">
        <f t="shared" ref="G81:G83" si="26">IF(C81=0,0,"Barres 21 R4F")</f>
        <v>0</v>
      </c>
      <c r="H81" s="468"/>
      <c r="I81" s="468"/>
      <c r="J81" s="468">
        <f t="shared" ref="J81:J92" si="27">IF(D81=0,0,(D81/100)*(E81/100)*F81)</f>
        <v>0</v>
      </c>
      <c r="K81" s="468">
        <f t="shared" ref="K81:K92" si="28">J81/0.8</f>
        <v>0</v>
      </c>
      <c r="L81" s="514">
        <v>0</v>
      </c>
      <c r="M81" s="514">
        <f t="shared" ref="M81:M92" si="29">L81*K81</f>
        <v>0</v>
      </c>
      <c r="N81" s="479">
        <f t="shared" ref="N81:N83" si="30">IF(J81=0,0,2+(6*J81))</f>
        <v>0</v>
      </c>
      <c r="O81" s="514">
        <f t="shared" ref="O81:O92" si="31">N81*'6 Caissons Objets'!MinuteMO</f>
        <v>0</v>
      </c>
      <c r="P81" s="468"/>
      <c r="Q81" s="520">
        <v>0</v>
      </c>
      <c r="R81" s="468"/>
      <c r="S81" s="468"/>
      <c r="T81" s="468"/>
      <c r="U81" s="468"/>
      <c r="V81" s="468"/>
      <c r="W81" s="468"/>
      <c r="X81" s="468"/>
      <c r="Y81" s="468"/>
      <c r="Z81" s="468"/>
      <c r="AA81" s="468"/>
      <c r="AB81" s="468"/>
      <c r="AC81" s="468"/>
      <c r="AD81" s="468"/>
      <c r="AE81" s="468"/>
      <c r="AF81" s="468"/>
      <c r="AG81" s="468"/>
      <c r="AH81" s="468"/>
      <c r="AI81" s="468"/>
      <c r="AJ81" s="468"/>
    </row>
    <row r="82" spans="1:36" ht="18" hidden="1" customHeight="1" x14ac:dyDescent="0.35">
      <c r="A82" s="468"/>
      <c r="B82" s="521"/>
      <c r="C82" s="494">
        <f>VLOOKUP(B74,'6 Caissons Objets'!Moussecal2,6)</f>
        <v>0</v>
      </c>
      <c r="D82" s="850">
        <f>VLOOKUP(B74,'6 Caissons Objets'!Moussecal2,7)</f>
        <v>0</v>
      </c>
      <c r="E82" s="850">
        <f>VLOOKUP(B74,'6 Caissons Objets'!Moussecal2,8)</f>
        <v>0</v>
      </c>
      <c r="F82" s="850">
        <f>VLOOKUP(B74,'6 Caissons Objets'!Moussecal2,9)</f>
        <v>0</v>
      </c>
      <c r="G82" s="468">
        <f t="shared" si="26"/>
        <v>0</v>
      </c>
      <c r="H82" s="468"/>
      <c r="I82" s="468"/>
      <c r="J82" s="468">
        <f t="shared" si="27"/>
        <v>0</v>
      </c>
      <c r="K82" s="468">
        <f t="shared" si="28"/>
        <v>0</v>
      </c>
      <c r="L82" s="514">
        <v>0</v>
      </c>
      <c r="M82" s="514">
        <f t="shared" si="29"/>
        <v>0</v>
      </c>
      <c r="N82" s="479">
        <f t="shared" si="30"/>
        <v>0</v>
      </c>
      <c r="O82" s="514">
        <f t="shared" si="31"/>
        <v>0</v>
      </c>
      <c r="P82" s="468"/>
      <c r="Q82" s="520">
        <v>0</v>
      </c>
      <c r="R82" s="468"/>
      <c r="S82" s="468"/>
      <c r="T82" s="468"/>
      <c r="U82" s="468"/>
      <c r="V82" s="468"/>
      <c r="W82" s="468"/>
      <c r="X82" s="468"/>
      <c r="Y82" s="468"/>
      <c r="Z82" s="468"/>
      <c r="AA82" s="468"/>
      <c r="AB82" s="468"/>
      <c r="AC82" s="468"/>
      <c r="AD82" s="468"/>
      <c r="AE82" s="468"/>
      <c r="AF82" s="468"/>
      <c r="AG82" s="468"/>
      <c r="AH82" s="468"/>
      <c r="AI82" s="468"/>
      <c r="AJ82" s="468"/>
    </row>
    <row r="83" spans="1:36" ht="18" hidden="1" customHeight="1" x14ac:dyDescent="0.35">
      <c r="A83" s="468"/>
      <c r="B83" s="521"/>
      <c r="C83" s="494">
        <f>VLOOKUP(B74,'6 Caissons Objets'!Moussecal2,10)</f>
        <v>0</v>
      </c>
      <c r="D83" s="850">
        <f>VLOOKUP(B74,'6 Caissons Objets'!Moussecal2,11)</f>
        <v>0</v>
      </c>
      <c r="E83" s="850">
        <f>VLOOKUP(B74,'6 Caissons Objets'!Moussecal2,12)</f>
        <v>0</v>
      </c>
      <c r="F83" s="850">
        <f>VLOOKUP(B74,'6 Caissons Objets'!Moussecal2,13)</f>
        <v>0</v>
      </c>
      <c r="G83" s="468">
        <f t="shared" si="26"/>
        <v>0</v>
      </c>
      <c r="H83" s="468"/>
      <c r="I83" s="468"/>
      <c r="J83" s="468">
        <f t="shared" si="27"/>
        <v>0</v>
      </c>
      <c r="K83" s="468">
        <f t="shared" si="28"/>
        <v>0</v>
      </c>
      <c r="L83" s="514">
        <v>0</v>
      </c>
      <c r="M83" s="514">
        <f t="shared" si="29"/>
        <v>0</v>
      </c>
      <c r="N83" s="479">
        <f t="shared" si="30"/>
        <v>0</v>
      </c>
      <c r="O83" s="514">
        <f t="shared" si="31"/>
        <v>0</v>
      </c>
      <c r="P83" s="468"/>
      <c r="Q83" s="520">
        <v>0</v>
      </c>
      <c r="R83" s="468"/>
      <c r="S83" s="468"/>
      <c r="T83" s="468"/>
      <c r="U83" s="468"/>
      <c r="V83" s="468"/>
      <c r="W83" s="468"/>
      <c r="X83" s="468"/>
      <c r="Y83" s="468"/>
      <c r="Z83" s="468"/>
      <c r="AA83" s="468"/>
      <c r="AB83" s="468"/>
      <c r="AC83" s="468"/>
      <c r="AD83" s="468"/>
      <c r="AE83" s="468"/>
      <c r="AF83" s="468"/>
      <c r="AG83" s="468"/>
      <c r="AH83" s="468"/>
      <c r="AI83" s="468"/>
      <c r="AJ83" s="468"/>
    </row>
    <row r="84" spans="1:36" ht="18" hidden="1" customHeight="1" x14ac:dyDescent="0.35">
      <c r="A84" s="468"/>
      <c r="B84" s="521" t="s">
        <v>80</v>
      </c>
      <c r="C84" s="494">
        <f>VLOOKUP(B74,'6 Caissons Objets'!Moussecal2,14)</f>
        <v>0</v>
      </c>
      <c r="D84" s="850">
        <f>VLOOKUP(B74,'6 Caissons Objets'!Moussecal2,15)</f>
        <v>0</v>
      </c>
      <c r="E84" s="850">
        <f>VLOOKUP(B74,'6 Caissons Objets'!Moussecal2,16)</f>
        <v>0</v>
      </c>
      <c r="F84" s="850">
        <f>VLOOKUP(B74,'6 Caissons Objets'!Moussecal2,17)</f>
        <v>0</v>
      </c>
      <c r="G84" s="468">
        <f t="shared" ref="G84:G87" si="32">C84</f>
        <v>0</v>
      </c>
      <c r="H84" s="468"/>
      <c r="I84" s="468"/>
      <c r="J84" s="468">
        <f t="shared" si="27"/>
        <v>0</v>
      </c>
      <c r="K84" s="468">
        <f t="shared" si="28"/>
        <v>0</v>
      </c>
      <c r="L84" s="514">
        <v>0</v>
      </c>
      <c r="M84" s="514">
        <f t="shared" si="29"/>
        <v>0</v>
      </c>
      <c r="N84" s="479">
        <f t="shared" ref="N84:N92" si="33">IF(J84=0,0,4.7283*J84+2)</f>
        <v>0</v>
      </c>
      <c r="O84" s="514">
        <f t="shared" si="31"/>
        <v>0</v>
      </c>
      <c r="P84" s="468"/>
      <c r="Q84" s="520">
        <v>0</v>
      </c>
      <c r="R84" s="468"/>
      <c r="S84" s="468"/>
      <c r="T84" s="468"/>
      <c r="U84" s="468"/>
      <c r="V84" s="468"/>
      <c r="W84" s="468"/>
      <c r="X84" s="468"/>
      <c r="Y84" s="468"/>
      <c r="Z84" s="468"/>
      <c r="AA84" s="468"/>
      <c r="AB84" s="468"/>
      <c r="AC84" s="468"/>
      <c r="AD84" s="468"/>
      <c r="AE84" s="468"/>
      <c r="AF84" s="468"/>
      <c r="AG84" s="468"/>
      <c r="AH84" s="468"/>
      <c r="AI84" s="468"/>
      <c r="AJ84" s="468"/>
    </row>
    <row r="85" spans="1:36" ht="18" hidden="1" customHeight="1" x14ac:dyDescent="0.35">
      <c r="A85" s="468"/>
      <c r="B85" s="521"/>
      <c r="C85" s="494">
        <f>VLOOKUP(B74,'6 Caissons Objets'!Moussecal2,18)</f>
        <v>0</v>
      </c>
      <c r="D85" s="850">
        <f>VLOOKUP(B74,'6 Caissons Objets'!Moussecal2,19)</f>
        <v>0</v>
      </c>
      <c r="E85" s="850">
        <f>VLOOKUP(B74,'6 Caissons Objets'!Moussecal2,20)</f>
        <v>0</v>
      </c>
      <c r="F85" s="850">
        <f>VLOOKUP(B74,'6 Caissons Objets'!Moussecal2,21)</f>
        <v>0</v>
      </c>
      <c r="G85" s="468">
        <f t="shared" si="32"/>
        <v>0</v>
      </c>
      <c r="H85" s="468"/>
      <c r="I85" s="468"/>
      <c r="J85" s="468">
        <f t="shared" si="27"/>
        <v>0</v>
      </c>
      <c r="K85" s="468">
        <f t="shared" si="28"/>
        <v>0</v>
      </c>
      <c r="L85" s="514">
        <v>0</v>
      </c>
      <c r="M85" s="514">
        <f t="shared" si="29"/>
        <v>0</v>
      </c>
      <c r="N85" s="479">
        <f t="shared" si="33"/>
        <v>0</v>
      </c>
      <c r="O85" s="514">
        <f t="shared" si="31"/>
        <v>0</v>
      </c>
      <c r="P85" s="468"/>
      <c r="Q85" s="520">
        <v>0</v>
      </c>
      <c r="R85" s="468"/>
      <c r="S85" s="468"/>
      <c r="T85" s="468"/>
      <c r="U85" s="468"/>
      <c r="V85" s="468"/>
      <c r="W85" s="468"/>
      <c r="X85" s="468"/>
      <c r="Y85" s="468"/>
      <c r="Z85" s="468"/>
      <c r="AA85" s="468"/>
      <c r="AB85" s="468"/>
      <c r="AC85" s="468"/>
      <c r="AD85" s="468"/>
      <c r="AE85" s="468"/>
      <c r="AF85" s="468"/>
      <c r="AG85" s="468"/>
      <c r="AH85" s="468"/>
      <c r="AI85" s="468"/>
      <c r="AJ85" s="468"/>
    </row>
    <row r="86" spans="1:36" ht="18" hidden="1" customHeight="1" x14ac:dyDescent="0.35">
      <c r="A86" s="468"/>
      <c r="B86" s="521"/>
      <c r="C86" s="494">
        <f>VLOOKUP(B74,'6 Caissons Objets'!Moussecal2,28)</f>
        <v>0</v>
      </c>
      <c r="D86" s="850">
        <f>VLOOKUP(B74,'6 Caissons Objets'!Moussecal2,29)</f>
        <v>0</v>
      </c>
      <c r="E86" s="850">
        <f>VLOOKUP(B74,'6 Caissons Objets'!Moussecal2,30)</f>
        <v>0</v>
      </c>
      <c r="F86" s="850">
        <f>VLOOKUP(B74,'6 Caissons Objets'!Moussecal2,31)</f>
        <v>0</v>
      </c>
      <c r="G86" s="468">
        <f t="shared" si="32"/>
        <v>0</v>
      </c>
      <c r="H86" s="468"/>
      <c r="I86" s="468"/>
      <c r="J86" s="468">
        <f t="shared" si="27"/>
        <v>0</v>
      </c>
      <c r="K86" s="468">
        <f t="shared" si="28"/>
        <v>0</v>
      </c>
      <c r="L86" s="514">
        <v>0</v>
      </c>
      <c r="M86" s="514">
        <f t="shared" si="29"/>
        <v>0</v>
      </c>
      <c r="N86" s="479">
        <f t="shared" si="33"/>
        <v>0</v>
      </c>
      <c r="O86" s="514">
        <f t="shared" si="31"/>
        <v>0</v>
      </c>
      <c r="P86" s="468"/>
      <c r="Q86" s="520">
        <v>0</v>
      </c>
      <c r="R86" s="468"/>
      <c r="S86" s="468"/>
      <c r="T86" s="468"/>
      <c r="U86" s="468"/>
      <c r="V86" s="468"/>
      <c r="W86" s="468"/>
      <c r="X86" s="468"/>
      <c r="Y86" s="468"/>
      <c r="Z86" s="468"/>
      <c r="AA86" s="468"/>
      <c r="AB86" s="468"/>
      <c r="AC86" s="468"/>
      <c r="AD86" s="468"/>
      <c r="AE86" s="468"/>
      <c r="AF86" s="468"/>
      <c r="AG86" s="468"/>
      <c r="AH86" s="468"/>
      <c r="AI86" s="468"/>
      <c r="AJ86" s="468"/>
    </row>
    <row r="87" spans="1:36" ht="18" hidden="1" customHeight="1" x14ac:dyDescent="0.35">
      <c r="A87" s="468"/>
      <c r="B87" s="494"/>
      <c r="C87" s="494">
        <f>VLOOKUP(B74,'6 Caissons Objets'!Moussecal2,22)</f>
        <v>0</v>
      </c>
      <c r="D87" s="850">
        <f>VLOOKUP(B74,'6 Caissons Objets'!Moussecal2,25)</f>
        <v>0</v>
      </c>
      <c r="E87" s="850">
        <f>VLOOKUP(B74,'6 Caissons Objets'!Moussecal2,26)</f>
        <v>0</v>
      </c>
      <c r="F87" s="850">
        <f>IF(D87=0,0,1)</f>
        <v>0</v>
      </c>
      <c r="G87" s="468">
        <f t="shared" si="32"/>
        <v>0</v>
      </c>
      <c r="H87" s="468"/>
      <c r="I87" s="468"/>
      <c r="J87" s="468">
        <f t="shared" si="27"/>
        <v>0</v>
      </c>
      <c r="K87" s="468">
        <f t="shared" si="28"/>
        <v>0</v>
      </c>
      <c r="L87" s="514">
        <v>0</v>
      </c>
      <c r="M87" s="514">
        <f t="shared" si="29"/>
        <v>0</v>
      </c>
      <c r="N87" s="479">
        <f t="shared" si="33"/>
        <v>0</v>
      </c>
      <c r="O87" s="514">
        <f t="shared" si="31"/>
        <v>0</v>
      </c>
      <c r="P87" s="468"/>
      <c r="Q87" s="520">
        <v>0</v>
      </c>
      <c r="R87" s="468"/>
      <c r="S87" s="468"/>
      <c r="T87" s="468"/>
      <c r="U87" s="468"/>
      <c r="V87" s="468"/>
      <c r="W87" s="468"/>
      <c r="X87" s="468"/>
      <c r="Y87" s="468"/>
      <c r="Z87" s="468"/>
      <c r="AA87" s="468"/>
      <c r="AB87" s="468"/>
      <c r="AC87" s="468"/>
      <c r="AD87" s="468"/>
      <c r="AE87" s="468"/>
      <c r="AF87" s="468"/>
      <c r="AG87" s="468"/>
      <c r="AH87" s="468"/>
      <c r="AI87" s="468"/>
      <c r="AJ87" s="468"/>
    </row>
    <row r="88" spans="1:36" ht="18" hidden="1" customHeight="1" x14ac:dyDescent="0.35">
      <c r="A88" s="468"/>
      <c r="B88" s="494"/>
      <c r="C88" s="494"/>
      <c r="D88" s="850"/>
      <c r="E88" s="850"/>
      <c r="F88" s="850"/>
      <c r="G88" s="468"/>
      <c r="H88" s="468"/>
      <c r="I88" s="468"/>
      <c r="J88" s="468">
        <f t="shared" si="27"/>
        <v>0</v>
      </c>
      <c r="K88" s="468">
        <f t="shared" si="28"/>
        <v>0</v>
      </c>
      <c r="L88" s="514">
        <v>0</v>
      </c>
      <c r="M88" s="514">
        <f t="shared" si="29"/>
        <v>0</v>
      </c>
      <c r="N88" s="479">
        <f t="shared" si="33"/>
        <v>0</v>
      </c>
      <c r="O88" s="514">
        <f t="shared" si="31"/>
        <v>0</v>
      </c>
      <c r="P88" s="468"/>
      <c r="Q88" s="520">
        <v>0</v>
      </c>
      <c r="R88" s="468"/>
      <c r="S88" s="468"/>
      <c r="T88" s="468"/>
      <c r="U88" s="468"/>
      <c r="V88" s="468"/>
      <c r="W88" s="468"/>
      <c r="X88" s="468"/>
      <c r="Y88" s="468"/>
      <c r="Z88" s="468"/>
      <c r="AA88" s="468"/>
      <c r="AB88" s="468"/>
      <c r="AC88" s="468"/>
      <c r="AD88" s="468"/>
      <c r="AE88" s="468"/>
      <c r="AF88" s="468"/>
      <c r="AG88" s="468"/>
      <c r="AH88" s="468"/>
      <c r="AI88" s="468"/>
      <c r="AJ88" s="468"/>
    </row>
    <row r="89" spans="1:36" ht="18" hidden="1" customHeight="1" x14ac:dyDescent="0.35">
      <c r="A89" s="468"/>
      <c r="B89" s="494"/>
      <c r="C89" s="494"/>
      <c r="D89" s="849"/>
      <c r="E89" s="849"/>
      <c r="F89" s="850"/>
      <c r="G89" s="468"/>
      <c r="H89" s="468"/>
      <c r="I89" s="468"/>
      <c r="J89" s="468">
        <f t="shared" si="27"/>
        <v>0</v>
      </c>
      <c r="K89" s="468">
        <f t="shared" si="28"/>
        <v>0</v>
      </c>
      <c r="L89" s="514">
        <v>0</v>
      </c>
      <c r="M89" s="514">
        <f t="shared" si="29"/>
        <v>0</v>
      </c>
      <c r="N89" s="479">
        <f t="shared" si="33"/>
        <v>0</v>
      </c>
      <c r="O89" s="514">
        <f t="shared" si="31"/>
        <v>0</v>
      </c>
      <c r="P89" s="468"/>
      <c r="Q89" s="520">
        <v>0</v>
      </c>
      <c r="R89" s="468"/>
      <c r="S89" s="468"/>
      <c r="T89" s="468"/>
      <c r="U89" s="468"/>
      <c r="V89" s="468"/>
      <c r="W89" s="468"/>
      <c r="X89" s="468"/>
      <c r="Y89" s="468"/>
      <c r="Z89" s="468"/>
      <c r="AA89" s="468"/>
      <c r="AB89" s="468"/>
      <c r="AC89" s="468"/>
      <c r="AD89" s="468"/>
      <c r="AE89" s="468"/>
      <c r="AF89" s="468"/>
      <c r="AG89" s="468"/>
      <c r="AH89" s="468"/>
      <c r="AI89" s="468"/>
      <c r="AJ89" s="468"/>
    </row>
    <row r="90" spans="1:36" ht="18" hidden="1" customHeight="1" x14ac:dyDescent="0.35">
      <c r="A90" s="468"/>
      <c r="B90" s="494"/>
      <c r="C90" s="494"/>
      <c r="D90" s="849"/>
      <c r="E90" s="849"/>
      <c r="F90" s="850"/>
      <c r="G90" s="468"/>
      <c r="H90" s="468"/>
      <c r="I90" s="468"/>
      <c r="J90" s="468">
        <f t="shared" si="27"/>
        <v>0</v>
      </c>
      <c r="K90" s="468">
        <f t="shared" si="28"/>
        <v>0</v>
      </c>
      <c r="L90" s="514">
        <v>0</v>
      </c>
      <c r="M90" s="514">
        <f t="shared" si="29"/>
        <v>0</v>
      </c>
      <c r="N90" s="479">
        <f t="shared" si="33"/>
        <v>0</v>
      </c>
      <c r="O90" s="514">
        <f t="shared" si="31"/>
        <v>0</v>
      </c>
      <c r="P90" s="468"/>
      <c r="Q90" s="520">
        <v>0</v>
      </c>
      <c r="R90" s="468"/>
      <c r="S90" s="468"/>
      <c r="T90" s="468"/>
      <c r="U90" s="468"/>
      <c r="V90" s="468"/>
      <c r="W90" s="468"/>
      <c r="X90" s="468"/>
      <c r="Y90" s="468"/>
      <c r="Z90" s="468"/>
      <c r="AA90" s="468"/>
      <c r="AB90" s="468"/>
      <c r="AC90" s="468"/>
      <c r="AD90" s="468"/>
      <c r="AE90" s="468"/>
      <c r="AF90" s="468"/>
      <c r="AG90" s="468"/>
      <c r="AH90" s="468"/>
      <c r="AI90" s="468"/>
      <c r="AJ90" s="468"/>
    </row>
    <row r="91" spans="1:36" ht="18" hidden="1" customHeight="1" x14ac:dyDescent="0.35">
      <c r="A91" s="468"/>
      <c r="B91" s="494"/>
      <c r="C91" s="494"/>
      <c r="D91" s="849"/>
      <c r="E91" s="849"/>
      <c r="F91" s="850"/>
      <c r="G91" s="468"/>
      <c r="H91" s="468"/>
      <c r="I91" s="468"/>
      <c r="J91" s="468">
        <f t="shared" si="27"/>
        <v>0</v>
      </c>
      <c r="K91" s="468">
        <f t="shared" si="28"/>
        <v>0</v>
      </c>
      <c r="L91" s="514">
        <v>0</v>
      </c>
      <c r="M91" s="514">
        <f t="shared" si="29"/>
        <v>0</v>
      </c>
      <c r="N91" s="479">
        <f t="shared" si="33"/>
        <v>0</v>
      </c>
      <c r="O91" s="514">
        <f t="shared" si="31"/>
        <v>0</v>
      </c>
      <c r="P91" s="468"/>
      <c r="Q91" s="520">
        <v>0</v>
      </c>
      <c r="R91" s="468"/>
      <c r="S91" s="468"/>
      <c r="T91" s="468"/>
      <c r="U91" s="468"/>
      <c r="V91" s="468"/>
      <c r="W91" s="468"/>
      <c r="X91" s="468"/>
      <c r="Y91" s="468"/>
      <c r="Z91" s="468"/>
      <c r="AA91" s="468"/>
      <c r="AB91" s="468"/>
      <c r="AC91" s="468"/>
      <c r="AD91" s="468"/>
      <c r="AE91" s="468"/>
      <c r="AF91" s="468"/>
      <c r="AG91" s="468"/>
      <c r="AH91" s="468"/>
      <c r="AI91" s="468"/>
      <c r="AJ91" s="468"/>
    </row>
    <row r="92" spans="1:36" ht="18" hidden="1" customHeight="1" x14ac:dyDescent="0.35">
      <c r="A92" s="468"/>
      <c r="B92" s="851" t="s">
        <v>176</v>
      </c>
      <c r="C92" s="494" t="str">
        <f>'6 Caissons Objets'!plat2</f>
        <v>Aucun</v>
      </c>
      <c r="D92" s="849">
        <f>IF(C92="Aucun",0,'6 Caissons Objets'!Lnec2-0.3)</f>
        <v>0</v>
      </c>
      <c r="E92" s="849">
        <f>IF(C92="Aucun",0,'6 Caissons Objets'!lanec2-0.3)</f>
        <v>0</v>
      </c>
      <c r="F92" s="850">
        <f>IF(C92="Aucun",0,1)</f>
        <v>0</v>
      </c>
      <c r="G92" s="519">
        <f>G76</f>
        <v>0</v>
      </c>
      <c r="H92" s="468"/>
      <c r="I92" s="468"/>
      <c r="J92" s="468">
        <f t="shared" si="27"/>
        <v>0</v>
      </c>
      <c r="K92" s="468">
        <f t="shared" si="28"/>
        <v>0</v>
      </c>
      <c r="L92" s="514">
        <v>0</v>
      </c>
      <c r="M92" s="514">
        <f t="shared" si="29"/>
        <v>0</v>
      </c>
      <c r="N92" s="479">
        <f t="shared" si="33"/>
        <v>0</v>
      </c>
      <c r="O92" s="514">
        <f t="shared" si="31"/>
        <v>0</v>
      </c>
      <c r="P92" s="468"/>
      <c r="Q92" s="520">
        <f>IF(J92=0,0,J92*VLOOKUP(C92,$A$214:$D$220,4))</f>
        <v>0</v>
      </c>
      <c r="R92" s="468"/>
      <c r="S92" s="468"/>
      <c r="T92" s="468"/>
      <c r="U92" s="468"/>
      <c r="V92" s="468"/>
      <c r="W92" s="468"/>
      <c r="X92" s="468"/>
      <c r="Y92" s="468"/>
      <c r="Z92" s="468"/>
      <c r="AA92" s="468"/>
      <c r="AB92" s="468"/>
      <c r="AC92" s="468"/>
      <c r="AD92" s="468"/>
      <c r="AE92" s="468"/>
      <c r="AF92" s="468"/>
      <c r="AG92" s="468"/>
      <c r="AH92" s="468"/>
      <c r="AI92" s="468"/>
      <c r="AJ92" s="468"/>
    </row>
    <row r="93" spans="1:36" ht="18" hidden="1" customHeight="1" x14ac:dyDescent="0.35">
      <c r="A93" s="468"/>
      <c r="B93" s="494"/>
      <c r="C93" s="494"/>
      <c r="D93" s="849"/>
      <c r="E93" s="849"/>
      <c r="F93" s="850"/>
      <c r="G93" s="468"/>
      <c r="H93" s="468"/>
      <c r="I93" s="468"/>
      <c r="J93" s="468"/>
      <c r="K93" s="468"/>
      <c r="L93" s="468"/>
      <c r="M93" s="514"/>
      <c r="N93" s="479"/>
      <c r="O93" s="514"/>
      <c r="P93" s="468"/>
      <c r="Q93" s="520">
        <v>0</v>
      </c>
      <c r="R93" s="468"/>
      <c r="S93" s="468"/>
      <c r="T93" s="468"/>
      <c r="U93" s="468"/>
      <c r="V93" s="468"/>
      <c r="W93" s="468"/>
      <c r="X93" s="468"/>
      <c r="Y93" s="468"/>
      <c r="Z93" s="468"/>
      <c r="AA93" s="468"/>
      <c r="AB93" s="468"/>
      <c r="AC93" s="468"/>
      <c r="AD93" s="468"/>
      <c r="AE93" s="468"/>
      <c r="AF93" s="468"/>
      <c r="AG93" s="468"/>
      <c r="AH93" s="468"/>
      <c r="AI93" s="468"/>
      <c r="AJ93" s="468"/>
    </row>
    <row r="94" spans="1:36" ht="18" hidden="1" customHeight="1" x14ac:dyDescent="0.35">
      <c r="A94" s="468"/>
      <c r="B94" s="468"/>
      <c r="C94" s="468"/>
      <c r="D94" s="468"/>
      <c r="E94" s="468"/>
      <c r="F94" s="468"/>
      <c r="G94" s="468"/>
      <c r="H94" s="468"/>
      <c r="I94" s="468"/>
      <c r="J94" s="468">
        <f t="shared" ref="J94:J97" si="34">IF(C94=0,0,(C94/100)*(D94/100)*F94)</f>
        <v>0</v>
      </c>
      <c r="K94" s="468">
        <f t="shared" ref="K94:K97" si="35">J94/0.8</f>
        <v>0</v>
      </c>
      <c r="L94" s="514"/>
      <c r="M94" s="514"/>
      <c r="N94" s="479"/>
      <c r="O94" s="514"/>
      <c r="P94" s="468"/>
      <c r="Q94" s="520">
        <v>0</v>
      </c>
      <c r="R94" s="468"/>
      <c r="S94" s="468"/>
      <c r="T94" s="468"/>
      <c r="U94" s="468"/>
      <c r="V94" s="468"/>
      <c r="W94" s="468"/>
      <c r="X94" s="468"/>
      <c r="Y94" s="468"/>
      <c r="Z94" s="468"/>
      <c r="AA94" s="468"/>
      <c r="AB94" s="468"/>
      <c r="AC94" s="468"/>
      <c r="AD94" s="468"/>
      <c r="AE94" s="468"/>
      <c r="AF94" s="468"/>
      <c r="AG94" s="468"/>
      <c r="AH94" s="468"/>
      <c r="AI94" s="468"/>
      <c r="AJ94" s="468"/>
    </row>
    <row r="95" spans="1:36" ht="18" hidden="1" customHeight="1" x14ac:dyDescent="0.35">
      <c r="A95" s="471" t="s">
        <v>161</v>
      </c>
      <c r="B95" s="468"/>
      <c r="C95" s="468"/>
      <c r="D95" s="468"/>
      <c r="E95" s="468"/>
      <c r="F95" s="468"/>
      <c r="G95" s="468"/>
      <c r="H95" s="468"/>
      <c r="I95" s="468"/>
      <c r="J95" s="468">
        <f t="shared" si="34"/>
        <v>0</v>
      </c>
      <c r="K95" s="468">
        <f t="shared" si="35"/>
        <v>0</v>
      </c>
      <c r="L95" s="514"/>
      <c r="M95" s="514"/>
      <c r="N95" s="479"/>
      <c r="O95" s="514"/>
      <c r="P95" s="468"/>
      <c r="Q95" s="520">
        <v>0</v>
      </c>
      <c r="R95" s="468"/>
      <c r="S95" s="468"/>
      <c r="T95" s="468"/>
      <c r="U95" s="468"/>
      <c r="V95" s="468"/>
      <c r="W95" s="468"/>
      <c r="X95" s="468"/>
      <c r="Y95" s="468"/>
      <c r="Z95" s="468"/>
      <c r="AA95" s="468"/>
      <c r="AB95" s="468"/>
      <c r="AC95" s="468"/>
      <c r="AD95" s="468"/>
      <c r="AE95" s="468"/>
      <c r="AF95" s="468"/>
      <c r="AG95" s="468"/>
      <c r="AH95" s="468"/>
      <c r="AI95" s="468"/>
      <c r="AJ95" s="468"/>
    </row>
    <row r="96" spans="1:36" ht="18" hidden="1" customHeight="1" x14ac:dyDescent="0.35">
      <c r="A96" s="468"/>
      <c r="B96" s="468"/>
      <c r="C96" s="468"/>
      <c r="D96" s="468"/>
      <c r="E96" s="468"/>
      <c r="F96" s="468"/>
      <c r="G96" s="468"/>
      <c r="H96" s="468"/>
      <c r="I96" s="468"/>
      <c r="J96" s="468">
        <f t="shared" si="34"/>
        <v>0</v>
      </c>
      <c r="K96" s="468">
        <f t="shared" si="35"/>
        <v>0</v>
      </c>
      <c r="L96" s="514"/>
      <c r="M96" s="514"/>
      <c r="N96" s="479"/>
      <c r="O96" s="514"/>
      <c r="P96" s="468"/>
      <c r="Q96" s="520">
        <v>0</v>
      </c>
      <c r="R96" s="468"/>
      <c r="S96" s="468"/>
      <c r="T96" s="468"/>
      <c r="U96" s="468"/>
      <c r="V96" s="468"/>
      <c r="W96" s="468"/>
      <c r="X96" s="468"/>
      <c r="Y96" s="468"/>
      <c r="Z96" s="468"/>
      <c r="AA96" s="468"/>
      <c r="AB96" s="468"/>
      <c r="AC96" s="468"/>
      <c r="AD96" s="468"/>
      <c r="AE96" s="468"/>
      <c r="AF96" s="468"/>
      <c r="AG96" s="468"/>
      <c r="AH96" s="468"/>
      <c r="AI96" s="468"/>
      <c r="AJ96" s="468"/>
    </row>
    <row r="97" spans="1:36" ht="18" hidden="1" customHeight="1" x14ac:dyDescent="0.35">
      <c r="A97" s="468"/>
      <c r="B97" s="848" t="str">
        <f>C39</f>
        <v>Aucun</v>
      </c>
      <c r="C97" s="521"/>
      <c r="D97" s="849" t="s">
        <v>28</v>
      </c>
      <c r="E97" s="849" t="s">
        <v>33</v>
      </c>
      <c r="F97" s="850" t="s">
        <v>34</v>
      </c>
      <c r="G97" s="468"/>
      <c r="H97" s="468"/>
      <c r="I97" s="468"/>
      <c r="J97" s="468">
        <f t="shared" si="34"/>
        <v>0</v>
      </c>
      <c r="K97" s="468">
        <f t="shared" si="35"/>
        <v>0</v>
      </c>
      <c r="L97" s="514"/>
      <c r="M97" s="514"/>
      <c r="N97" s="479"/>
      <c r="O97" s="514"/>
      <c r="P97" s="468"/>
      <c r="Q97" s="520">
        <v>0</v>
      </c>
      <c r="R97" s="468"/>
      <c r="S97" s="468"/>
      <c r="T97" s="468"/>
      <c r="U97" s="468"/>
      <c r="V97" s="468"/>
      <c r="W97" s="468"/>
      <c r="X97" s="468"/>
      <c r="Y97" s="468"/>
      <c r="Z97" s="468"/>
      <c r="AA97" s="468"/>
      <c r="AB97" s="468"/>
      <c r="AC97" s="468"/>
      <c r="AD97" s="468"/>
      <c r="AE97" s="468"/>
      <c r="AF97" s="468"/>
      <c r="AG97" s="468"/>
      <c r="AH97" s="468"/>
      <c r="AI97" s="468"/>
      <c r="AJ97" s="468"/>
    </row>
    <row r="98" spans="1:36" ht="18" hidden="1" customHeight="1" x14ac:dyDescent="0.35">
      <c r="A98" s="468"/>
      <c r="B98" s="848"/>
      <c r="C98" s="521"/>
      <c r="D98" s="849"/>
      <c r="E98" s="849"/>
      <c r="F98" s="850"/>
      <c r="G98" s="468"/>
      <c r="H98" s="468"/>
      <c r="I98" s="468"/>
      <c r="J98" s="468"/>
      <c r="K98" s="468"/>
      <c r="L98" s="514"/>
      <c r="M98" s="514"/>
      <c r="N98" s="479"/>
      <c r="O98" s="514"/>
      <c r="P98" s="468"/>
      <c r="Q98" s="520">
        <v>0</v>
      </c>
      <c r="R98" s="468"/>
      <c r="S98" s="468"/>
      <c r="T98" s="468"/>
      <c r="U98" s="468"/>
      <c r="V98" s="468"/>
      <c r="W98" s="468"/>
      <c r="X98" s="468"/>
      <c r="Y98" s="468"/>
      <c r="Z98" s="468"/>
      <c r="AA98" s="468"/>
      <c r="AB98" s="468"/>
      <c r="AC98" s="468"/>
      <c r="AD98" s="468"/>
      <c r="AE98" s="468"/>
      <c r="AF98" s="468"/>
      <c r="AG98" s="468"/>
      <c r="AH98" s="468"/>
      <c r="AI98" s="468"/>
      <c r="AJ98" s="468"/>
    </row>
    <row r="99" spans="1:36" ht="18" hidden="1" customHeight="1" x14ac:dyDescent="0.35">
      <c r="A99" s="468"/>
      <c r="B99" s="851" t="s">
        <v>485</v>
      </c>
      <c r="C99" s="521">
        <f>IF('6 Caissons Objets'!Lnec3=0,0,"Peuplier 15 mm")</f>
        <v>0</v>
      </c>
      <c r="D99" s="849">
        <f>IF(C99=0,0,'6 Caissons Objets'!Lnec3+3)</f>
        <v>0</v>
      </c>
      <c r="E99" s="849">
        <f>IF('6 Caissons Objets'!hnec3=0,0,'6 Caissons Objets'!hnec3+VLOOKUP(C43,$A$232:$C$234,3))</f>
        <v>0</v>
      </c>
      <c r="F99" s="850">
        <f>IF(D99=0,0,2)</f>
        <v>0</v>
      </c>
      <c r="G99" s="519">
        <f t="shared" ref="G99:G102" si="36">C99</f>
        <v>0</v>
      </c>
      <c r="H99" s="468"/>
      <c r="I99" s="468"/>
      <c r="J99" s="468">
        <f t="shared" ref="J99:J102" si="37">IF(D99=0,0,(D99/100)*(E99/100)*F99)</f>
        <v>0</v>
      </c>
      <c r="K99" s="468">
        <f t="shared" ref="K99:K102" si="38">J99/0.8</f>
        <v>0</v>
      </c>
      <c r="L99" s="514">
        <v>0</v>
      </c>
      <c r="M99" s="514">
        <f t="shared" ref="M99:M102" si="39">L99*K99-IF($E$41="Non",K99*0.75,0)</f>
        <v>0</v>
      </c>
      <c r="N99" s="479">
        <f t="shared" ref="N99:N102" si="40">IF(J99=0,0,IF($E$41="Oui",(7.0924*J99)+5,(6.0924*J99)+1))</f>
        <v>0</v>
      </c>
      <c r="O99" s="514">
        <f t="shared" ref="O99:O102" si="41">N99*'6 Caissons Objets'!MinuteMO</f>
        <v>0</v>
      </c>
      <c r="P99" s="468"/>
      <c r="Q99" s="520">
        <v>0</v>
      </c>
      <c r="R99" s="468"/>
      <c r="S99" s="468"/>
      <c r="T99" s="468"/>
      <c r="U99" s="468"/>
      <c r="V99" s="468"/>
      <c r="W99" s="468"/>
      <c r="X99" s="468"/>
      <c r="Y99" s="468"/>
      <c r="Z99" s="468"/>
      <c r="AA99" s="468"/>
      <c r="AB99" s="468"/>
      <c r="AC99" s="468"/>
      <c r="AD99" s="468"/>
      <c r="AE99" s="468"/>
      <c r="AF99" s="468"/>
      <c r="AG99" s="468"/>
      <c r="AH99" s="468"/>
      <c r="AI99" s="468"/>
      <c r="AJ99" s="468"/>
    </row>
    <row r="100" spans="1:36" ht="18" hidden="1" customHeight="1" x14ac:dyDescent="0.35">
      <c r="A100" s="468"/>
      <c r="B100" s="851" t="s">
        <v>175</v>
      </c>
      <c r="C100" s="521">
        <f>IF('6 Caissons Objets'!Lnec3=0,0,"Peuplier 15 mm")</f>
        <v>0</v>
      </c>
      <c r="D100" s="849">
        <f>D99</f>
        <v>0</v>
      </c>
      <c r="E100" s="849">
        <f>IF('6 Caissons Objets'!lanec3=0,0,'6 Caissons Objets'!lanec3+3.5)</f>
        <v>0</v>
      </c>
      <c r="F100" s="850">
        <f t="shared" ref="F100:F101" si="42">IF(D100=0,0,1)</f>
        <v>0</v>
      </c>
      <c r="G100" s="519">
        <f t="shared" si="36"/>
        <v>0</v>
      </c>
      <c r="H100" s="468"/>
      <c r="I100" s="468"/>
      <c r="J100" s="468">
        <f t="shared" si="37"/>
        <v>0</v>
      </c>
      <c r="K100" s="468">
        <f t="shared" si="38"/>
        <v>0</v>
      </c>
      <c r="L100" s="514">
        <v>0</v>
      </c>
      <c r="M100" s="514">
        <f t="shared" si="39"/>
        <v>0</v>
      </c>
      <c r="N100" s="479">
        <f t="shared" si="40"/>
        <v>0</v>
      </c>
      <c r="O100" s="514">
        <f t="shared" si="41"/>
        <v>0</v>
      </c>
      <c r="P100" s="468"/>
      <c r="Q100" s="520">
        <v>0</v>
      </c>
      <c r="R100" s="468"/>
      <c r="S100" s="468"/>
      <c r="T100" s="468"/>
      <c r="U100" s="468"/>
      <c r="V100" s="468"/>
      <c r="W100" s="468"/>
      <c r="X100" s="468"/>
      <c r="Y100" s="468"/>
      <c r="Z100" s="468"/>
      <c r="AA100" s="468"/>
      <c r="AB100" s="468"/>
      <c r="AC100" s="468"/>
      <c r="AD100" s="468"/>
      <c r="AE100" s="468"/>
      <c r="AF100" s="468"/>
      <c r="AG100" s="468"/>
      <c r="AH100" s="468"/>
      <c r="AI100" s="468"/>
      <c r="AJ100" s="468"/>
    </row>
    <row r="101" spans="1:36" ht="18" hidden="1" customHeight="1" x14ac:dyDescent="0.35">
      <c r="A101" s="468"/>
      <c r="B101" s="851" t="s">
        <v>176</v>
      </c>
      <c r="C101" s="521">
        <f>IF('6 Caissons Objets'!Lnec3=0,0,VLOOKUP(C43,$A$232:$B$234,2))</f>
        <v>0</v>
      </c>
      <c r="D101" s="849">
        <f>IF('6 Caissons Objets'!Lnec3=0,0,'6 Caissons Objets'!Lnec3)</f>
        <v>0</v>
      </c>
      <c r="E101" s="849">
        <f>IF('6 Caissons Objets'!lanec3=0,0,'6 Caissons Objets'!lanec3)</f>
        <v>0</v>
      </c>
      <c r="F101" s="850">
        <f t="shared" si="42"/>
        <v>0</v>
      </c>
      <c r="G101" s="519">
        <f t="shared" si="36"/>
        <v>0</v>
      </c>
      <c r="H101" s="468"/>
      <c r="I101" s="468"/>
      <c r="J101" s="468">
        <f t="shared" si="37"/>
        <v>0</v>
      </c>
      <c r="K101" s="468">
        <f t="shared" si="38"/>
        <v>0</v>
      </c>
      <c r="L101" s="514">
        <v>0</v>
      </c>
      <c r="M101" s="514">
        <f t="shared" si="39"/>
        <v>0</v>
      </c>
      <c r="N101" s="479">
        <f t="shared" si="40"/>
        <v>0</v>
      </c>
      <c r="O101" s="514">
        <f t="shared" si="41"/>
        <v>0</v>
      </c>
      <c r="P101" s="468"/>
      <c r="Q101" s="520">
        <v>0</v>
      </c>
      <c r="R101" s="468"/>
      <c r="S101" s="468"/>
      <c r="T101" s="468"/>
      <c r="U101" s="468"/>
      <c r="V101" s="468"/>
      <c r="W101" s="468"/>
      <c r="X101" s="468"/>
      <c r="Y101" s="468"/>
      <c r="Z101" s="468"/>
      <c r="AA101" s="468"/>
      <c r="AB101" s="468"/>
      <c r="AC101" s="468"/>
      <c r="AD101" s="468"/>
      <c r="AE101" s="468"/>
      <c r="AF101" s="468"/>
      <c r="AG101" s="468"/>
      <c r="AH101" s="468"/>
      <c r="AI101" s="468"/>
      <c r="AJ101" s="468"/>
    </row>
    <row r="102" spans="1:36" ht="18" hidden="1" customHeight="1" x14ac:dyDescent="0.35">
      <c r="A102" s="468"/>
      <c r="B102" s="851" t="s">
        <v>55</v>
      </c>
      <c r="C102" s="521">
        <f>IF('6 Caissons Objets'!Lnec3=0,0,"Peuplier 15 mm")</f>
        <v>0</v>
      </c>
      <c r="D102" s="849">
        <f>IF('6 Caissons Objets'!lanec3=0,0,'6 Caissons Objets'!lanec3)</f>
        <v>0</v>
      </c>
      <c r="E102" s="849">
        <f>E99</f>
        <v>0</v>
      </c>
      <c r="F102" s="850">
        <f>IF(D102=0,0,2)</f>
        <v>0</v>
      </c>
      <c r="G102" s="519">
        <f t="shared" si="36"/>
        <v>0</v>
      </c>
      <c r="H102" s="468"/>
      <c r="I102" s="468"/>
      <c r="J102" s="468">
        <f t="shared" si="37"/>
        <v>0</v>
      </c>
      <c r="K102" s="468">
        <f t="shared" si="38"/>
        <v>0</v>
      </c>
      <c r="L102" s="514">
        <v>0</v>
      </c>
      <c r="M102" s="514">
        <f t="shared" si="39"/>
        <v>0</v>
      </c>
      <c r="N102" s="479">
        <f t="shared" si="40"/>
        <v>0</v>
      </c>
      <c r="O102" s="514">
        <f t="shared" si="41"/>
        <v>0</v>
      </c>
      <c r="P102" s="468"/>
      <c r="Q102" s="520">
        <v>0</v>
      </c>
      <c r="R102" s="468"/>
      <c r="S102" s="468"/>
      <c r="T102" s="468"/>
      <c r="U102" s="468"/>
      <c r="V102" s="468"/>
      <c r="W102" s="468"/>
      <c r="X102" s="468"/>
      <c r="Y102" s="468"/>
      <c r="Z102" s="468"/>
      <c r="AA102" s="468"/>
      <c r="AB102" s="468"/>
      <c r="AC102" s="468"/>
      <c r="AD102" s="468"/>
      <c r="AE102" s="468"/>
      <c r="AF102" s="468"/>
      <c r="AG102" s="468"/>
      <c r="AH102" s="468"/>
      <c r="AI102" s="468"/>
      <c r="AJ102" s="468"/>
    </row>
    <row r="103" spans="1:36" ht="18" hidden="1" customHeight="1" x14ac:dyDescent="0.35">
      <c r="A103" s="468"/>
      <c r="B103" s="851"/>
      <c r="C103" s="521"/>
      <c r="D103" s="849"/>
      <c r="E103" s="849"/>
      <c r="F103" s="850"/>
      <c r="G103" s="468"/>
      <c r="H103" s="468"/>
      <c r="I103" s="468"/>
      <c r="J103" s="468"/>
      <c r="K103" s="468"/>
      <c r="L103" s="514"/>
      <c r="M103" s="514"/>
      <c r="N103" s="479"/>
      <c r="O103" s="514"/>
      <c r="P103" s="468"/>
      <c r="Q103" s="520">
        <v>0</v>
      </c>
      <c r="R103" s="468"/>
      <c r="S103" s="468"/>
      <c r="T103" s="468"/>
      <c r="U103" s="468"/>
      <c r="V103" s="468"/>
      <c r="W103" s="468"/>
      <c r="X103" s="468"/>
      <c r="Y103" s="468"/>
      <c r="Z103" s="468"/>
      <c r="AA103" s="468"/>
      <c r="AB103" s="468"/>
      <c r="AC103" s="468"/>
      <c r="AD103" s="468"/>
      <c r="AE103" s="468"/>
      <c r="AF103" s="468"/>
      <c r="AG103" s="468"/>
      <c r="AH103" s="468"/>
      <c r="AI103" s="468"/>
      <c r="AJ103" s="468"/>
    </row>
    <row r="104" spans="1:36" ht="18" hidden="1" customHeight="1" x14ac:dyDescent="0.35">
      <c r="A104" s="468"/>
      <c r="B104" s="521" t="s">
        <v>22</v>
      </c>
      <c r="C104" s="494">
        <f>VLOOKUP(B97,'6 Caissons Objets'!Moussecal3,2)</f>
        <v>0</v>
      </c>
      <c r="D104" s="850">
        <f>VLOOKUP(B97,'6 Caissons Objets'!Moussecal3,3)</f>
        <v>0</v>
      </c>
      <c r="E104" s="850">
        <f>VLOOKUP(B97,'6 Caissons Objets'!Moussecal3,4)</f>
        <v>0</v>
      </c>
      <c r="F104" s="850">
        <f>VLOOKUP(B97,'6 Caissons Objets'!Moussecal3,5)</f>
        <v>0</v>
      </c>
      <c r="G104" s="468">
        <f t="shared" ref="G104:G106" si="43">IF(C104=0,0,"Barres 21 R4F")</f>
        <v>0</v>
      </c>
      <c r="H104" s="468"/>
      <c r="I104" s="468"/>
      <c r="J104" s="468">
        <f t="shared" ref="J104:J115" si="44">IF(D104=0,0,(D104/100)*(E104/100)*F104)</f>
        <v>0</v>
      </c>
      <c r="K104" s="468">
        <f t="shared" ref="K104:K115" si="45">J104/0.8</f>
        <v>0</v>
      </c>
      <c r="L104" s="514">
        <v>0</v>
      </c>
      <c r="M104" s="514">
        <f t="shared" ref="M104:M115" si="46">L104*K104</f>
        <v>0</v>
      </c>
      <c r="N104" s="479">
        <f t="shared" ref="N104:N106" si="47">IF(J104=0,0,2+(6*J104))</f>
        <v>0</v>
      </c>
      <c r="O104" s="514">
        <f t="shared" ref="O104:O115" si="48">N104*'6 Caissons Objets'!MinuteMO</f>
        <v>0</v>
      </c>
      <c r="P104" s="468"/>
      <c r="Q104" s="520">
        <v>0</v>
      </c>
      <c r="R104" s="468"/>
      <c r="S104" s="468"/>
      <c r="T104" s="468"/>
      <c r="U104" s="468"/>
      <c r="V104" s="468"/>
      <c r="W104" s="468"/>
      <c r="X104" s="468"/>
      <c r="Y104" s="468"/>
      <c r="Z104" s="468"/>
      <c r="AA104" s="468"/>
      <c r="AB104" s="468"/>
      <c r="AC104" s="468"/>
      <c r="AD104" s="468"/>
      <c r="AE104" s="468"/>
      <c r="AF104" s="468"/>
      <c r="AG104" s="468"/>
      <c r="AH104" s="468"/>
      <c r="AI104" s="468"/>
      <c r="AJ104" s="468"/>
    </row>
    <row r="105" spans="1:36" ht="18" hidden="1" customHeight="1" x14ac:dyDescent="0.35">
      <c r="A105" s="468"/>
      <c r="B105" s="521"/>
      <c r="C105" s="494">
        <f>VLOOKUP(B97,'6 Caissons Objets'!Moussecal3,6)</f>
        <v>0</v>
      </c>
      <c r="D105" s="850">
        <f>VLOOKUP(B97,'6 Caissons Objets'!Moussecal3,7)</f>
        <v>0</v>
      </c>
      <c r="E105" s="850">
        <f>VLOOKUP(B97,'6 Caissons Objets'!Moussecal3,8)</f>
        <v>0</v>
      </c>
      <c r="F105" s="850">
        <f>VLOOKUP(B97,'6 Caissons Objets'!Moussecal3,9)</f>
        <v>0</v>
      </c>
      <c r="G105" s="468">
        <f t="shared" si="43"/>
        <v>0</v>
      </c>
      <c r="H105" s="468"/>
      <c r="I105" s="468"/>
      <c r="J105" s="468">
        <f t="shared" si="44"/>
        <v>0</v>
      </c>
      <c r="K105" s="468">
        <f t="shared" si="45"/>
        <v>0</v>
      </c>
      <c r="L105" s="514">
        <v>0</v>
      </c>
      <c r="M105" s="514">
        <f t="shared" si="46"/>
        <v>0</v>
      </c>
      <c r="N105" s="479">
        <f t="shared" si="47"/>
        <v>0</v>
      </c>
      <c r="O105" s="514">
        <f t="shared" si="48"/>
        <v>0</v>
      </c>
      <c r="P105" s="468"/>
      <c r="Q105" s="520">
        <v>0</v>
      </c>
      <c r="R105" s="468"/>
      <c r="S105" s="468"/>
      <c r="T105" s="468"/>
      <c r="U105" s="468"/>
      <c r="V105" s="468"/>
      <c r="W105" s="468"/>
      <c r="X105" s="468"/>
      <c r="Y105" s="468"/>
      <c r="Z105" s="468"/>
      <c r="AA105" s="468"/>
      <c r="AB105" s="468"/>
      <c r="AC105" s="468"/>
      <c r="AD105" s="468"/>
      <c r="AE105" s="468"/>
      <c r="AF105" s="468"/>
      <c r="AG105" s="468"/>
      <c r="AH105" s="468"/>
      <c r="AI105" s="468"/>
      <c r="AJ105" s="468"/>
    </row>
    <row r="106" spans="1:36" ht="18" hidden="1" customHeight="1" x14ac:dyDescent="0.35">
      <c r="A106" s="468"/>
      <c r="B106" s="521"/>
      <c r="C106" s="494">
        <f>VLOOKUP(B97,'6 Caissons Objets'!Moussecal3,10)</f>
        <v>0</v>
      </c>
      <c r="D106" s="850">
        <f>VLOOKUP(B97,'6 Caissons Objets'!Moussecal3,11)</f>
        <v>0</v>
      </c>
      <c r="E106" s="850">
        <f>VLOOKUP(B97,'6 Caissons Objets'!Moussecal3,12)</f>
        <v>0</v>
      </c>
      <c r="F106" s="850">
        <f>VLOOKUP(B97,'6 Caissons Objets'!Moussecal3,13)</f>
        <v>0</v>
      </c>
      <c r="G106" s="468">
        <f t="shared" si="43"/>
        <v>0</v>
      </c>
      <c r="H106" s="468"/>
      <c r="I106" s="468"/>
      <c r="J106" s="468">
        <f t="shared" si="44"/>
        <v>0</v>
      </c>
      <c r="K106" s="468">
        <f t="shared" si="45"/>
        <v>0</v>
      </c>
      <c r="L106" s="514">
        <v>0</v>
      </c>
      <c r="M106" s="514">
        <f t="shared" si="46"/>
        <v>0</v>
      </c>
      <c r="N106" s="479">
        <f t="shared" si="47"/>
        <v>0</v>
      </c>
      <c r="O106" s="514">
        <f t="shared" si="48"/>
        <v>0</v>
      </c>
      <c r="P106" s="468"/>
      <c r="Q106" s="520">
        <v>0</v>
      </c>
      <c r="R106" s="468"/>
      <c r="S106" s="468"/>
      <c r="T106" s="468"/>
      <c r="U106" s="468"/>
      <c r="V106" s="468"/>
      <c r="W106" s="468"/>
      <c r="X106" s="468"/>
      <c r="Y106" s="468"/>
      <c r="Z106" s="468"/>
      <c r="AA106" s="468"/>
      <c r="AB106" s="468"/>
      <c r="AC106" s="468"/>
      <c r="AD106" s="468"/>
      <c r="AE106" s="468"/>
      <c r="AF106" s="468"/>
      <c r="AG106" s="468"/>
      <c r="AH106" s="468"/>
      <c r="AI106" s="468"/>
      <c r="AJ106" s="468"/>
    </row>
    <row r="107" spans="1:36" ht="18" hidden="1" customHeight="1" x14ac:dyDescent="0.35">
      <c r="A107" s="468"/>
      <c r="B107" s="521" t="s">
        <v>80</v>
      </c>
      <c r="C107" s="494">
        <f>VLOOKUP(B97,'6 Caissons Objets'!Moussecal3,14)</f>
        <v>0</v>
      </c>
      <c r="D107" s="850">
        <f>VLOOKUP(B97,'6 Caissons Objets'!Moussecal3,15)</f>
        <v>0</v>
      </c>
      <c r="E107" s="850">
        <f>VLOOKUP(B97,'6 Caissons Objets'!Moussecal3,16)</f>
        <v>0</v>
      </c>
      <c r="F107" s="850">
        <f>VLOOKUP(B97,'6 Caissons Objets'!Moussecal3,17)</f>
        <v>0</v>
      </c>
      <c r="G107" s="468">
        <f t="shared" ref="G107:G110" si="49">C107</f>
        <v>0</v>
      </c>
      <c r="H107" s="468"/>
      <c r="I107" s="468"/>
      <c r="J107" s="468">
        <f t="shared" si="44"/>
        <v>0</v>
      </c>
      <c r="K107" s="468">
        <f t="shared" si="45"/>
        <v>0</v>
      </c>
      <c r="L107" s="514">
        <v>0</v>
      </c>
      <c r="M107" s="514">
        <f t="shared" si="46"/>
        <v>0</v>
      </c>
      <c r="N107" s="479">
        <f t="shared" ref="N107:N115" si="50">IF(J107=0,0,4.7283*J107+2)</f>
        <v>0</v>
      </c>
      <c r="O107" s="514">
        <f t="shared" si="48"/>
        <v>0</v>
      </c>
      <c r="P107" s="468"/>
      <c r="Q107" s="520">
        <v>0</v>
      </c>
      <c r="R107" s="468"/>
      <c r="S107" s="468"/>
      <c r="T107" s="468"/>
      <c r="U107" s="468"/>
      <c r="V107" s="468"/>
      <c r="W107" s="468"/>
      <c r="X107" s="468"/>
      <c r="Y107" s="468"/>
      <c r="Z107" s="468"/>
      <c r="AA107" s="468"/>
      <c r="AB107" s="468"/>
      <c r="AC107" s="468"/>
      <c r="AD107" s="468"/>
      <c r="AE107" s="468"/>
      <c r="AF107" s="468"/>
      <c r="AG107" s="468"/>
      <c r="AH107" s="468"/>
      <c r="AI107" s="468"/>
      <c r="AJ107" s="468"/>
    </row>
    <row r="108" spans="1:36" ht="18" hidden="1" customHeight="1" x14ac:dyDescent="0.35">
      <c r="A108" s="468"/>
      <c r="B108" s="521"/>
      <c r="C108" s="494">
        <f>VLOOKUP(B97,'6 Caissons Objets'!Moussecal3,18)</f>
        <v>0</v>
      </c>
      <c r="D108" s="850">
        <f>VLOOKUP(B97,'6 Caissons Objets'!Moussecal3,19)</f>
        <v>0</v>
      </c>
      <c r="E108" s="850">
        <f>VLOOKUP(B97,'6 Caissons Objets'!Moussecal3,20)</f>
        <v>0</v>
      </c>
      <c r="F108" s="850">
        <f>VLOOKUP(B97,'6 Caissons Objets'!Moussecal3,21)</f>
        <v>0</v>
      </c>
      <c r="G108" s="468">
        <f t="shared" si="49"/>
        <v>0</v>
      </c>
      <c r="H108" s="468"/>
      <c r="I108" s="468"/>
      <c r="J108" s="468">
        <f t="shared" si="44"/>
        <v>0</v>
      </c>
      <c r="K108" s="468">
        <f t="shared" si="45"/>
        <v>0</v>
      </c>
      <c r="L108" s="514">
        <v>0</v>
      </c>
      <c r="M108" s="514">
        <f t="shared" si="46"/>
        <v>0</v>
      </c>
      <c r="N108" s="479">
        <f t="shared" si="50"/>
        <v>0</v>
      </c>
      <c r="O108" s="514">
        <f t="shared" si="48"/>
        <v>0</v>
      </c>
      <c r="P108" s="468"/>
      <c r="Q108" s="520">
        <v>0</v>
      </c>
      <c r="R108" s="468"/>
      <c r="S108" s="468"/>
      <c r="T108" s="468"/>
      <c r="U108" s="468"/>
      <c r="V108" s="468"/>
      <c r="W108" s="468"/>
      <c r="X108" s="468"/>
      <c r="Y108" s="468"/>
      <c r="Z108" s="468"/>
      <c r="AA108" s="468"/>
      <c r="AB108" s="468"/>
      <c r="AC108" s="468"/>
      <c r="AD108" s="468"/>
      <c r="AE108" s="468"/>
      <c r="AF108" s="468"/>
      <c r="AG108" s="468"/>
      <c r="AH108" s="468"/>
      <c r="AI108" s="468"/>
      <c r="AJ108" s="468"/>
    </row>
    <row r="109" spans="1:36" ht="18" hidden="1" customHeight="1" x14ac:dyDescent="0.35">
      <c r="A109" s="468"/>
      <c r="B109" s="521"/>
      <c r="C109" s="494">
        <f>VLOOKUP(B97,'6 Caissons Objets'!Moussecal3,28)</f>
        <v>0</v>
      </c>
      <c r="D109" s="850">
        <f>VLOOKUP(B97,'6 Caissons Objets'!Moussecal3,29)</f>
        <v>0</v>
      </c>
      <c r="E109" s="850">
        <f>VLOOKUP(B97,'6 Caissons Objets'!Moussecal3,30)</f>
        <v>0</v>
      </c>
      <c r="F109" s="850">
        <f>VLOOKUP(B97,'6 Caissons Objets'!Moussecal3,31)</f>
        <v>0</v>
      </c>
      <c r="G109" s="468">
        <f t="shared" si="49"/>
        <v>0</v>
      </c>
      <c r="H109" s="468"/>
      <c r="I109" s="468"/>
      <c r="J109" s="468">
        <f t="shared" si="44"/>
        <v>0</v>
      </c>
      <c r="K109" s="468">
        <f t="shared" si="45"/>
        <v>0</v>
      </c>
      <c r="L109" s="514">
        <v>0</v>
      </c>
      <c r="M109" s="514">
        <f t="shared" si="46"/>
        <v>0</v>
      </c>
      <c r="N109" s="479">
        <f t="shared" si="50"/>
        <v>0</v>
      </c>
      <c r="O109" s="514">
        <f t="shared" si="48"/>
        <v>0</v>
      </c>
      <c r="P109" s="468"/>
      <c r="Q109" s="520">
        <v>0</v>
      </c>
      <c r="R109" s="468"/>
      <c r="S109" s="468"/>
      <c r="T109" s="468"/>
      <c r="U109" s="468"/>
      <c r="V109" s="468"/>
      <c r="W109" s="468"/>
      <c r="X109" s="468"/>
      <c r="Y109" s="468"/>
      <c r="Z109" s="468"/>
      <c r="AA109" s="468"/>
      <c r="AB109" s="468"/>
      <c r="AC109" s="468"/>
      <c r="AD109" s="468"/>
      <c r="AE109" s="468"/>
      <c r="AF109" s="468"/>
      <c r="AG109" s="468"/>
      <c r="AH109" s="468"/>
      <c r="AI109" s="468"/>
      <c r="AJ109" s="468"/>
    </row>
    <row r="110" spans="1:36" ht="18" hidden="1" customHeight="1" x14ac:dyDescent="0.35">
      <c r="A110" s="468"/>
      <c r="B110" s="494"/>
      <c r="C110" s="494">
        <f>VLOOKUP(B97,'6 Caissons Objets'!Moussecal3,22)</f>
        <v>0</v>
      </c>
      <c r="D110" s="850">
        <f>VLOOKUP(B97,'6 Caissons Objets'!Moussecal3,25)</f>
        <v>0</v>
      </c>
      <c r="E110" s="850">
        <f>VLOOKUP(B97,'6 Caissons Objets'!Moussecal3,26)</f>
        <v>0</v>
      </c>
      <c r="F110" s="850">
        <f>IF(D110=0,0,1)</f>
        <v>0</v>
      </c>
      <c r="G110" s="468">
        <f t="shared" si="49"/>
        <v>0</v>
      </c>
      <c r="H110" s="468"/>
      <c r="I110" s="468"/>
      <c r="J110" s="468">
        <f t="shared" si="44"/>
        <v>0</v>
      </c>
      <c r="K110" s="468">
        <f t="shared" si="45"/>
        <v>0</v>
      </c>
      <c r="L110" s="514">
        <v>0</v>
      </c>
      <c r="M110" s="514">
        <f t="shared" si="46"/>
        <v>0</v>
      </c>
      <c r="N110" s="479">
        <f t="shared" si="50"/>
        <v>0</v>
      </c>
      <c r="O110" s="514">
        <f t="shared" si="48"/>
        <v>0</v>
      </c>
      <c r="P110" s="468"/>
      <c r="Q110" s="520">
        <v>0</v>
      </c>
      <c r="R110" s="468"/>
      <c r="S110" s="468"/>
      <c r="T110" s="468"/>
      <c r="U110" s="468"/>
      <c r="V110" s="468"/>
      <c r="W110" s="468"/>
      <c r="X110" s="468"/>
      <c r="Y110" s="468"/>
      <c r="Z110" s="468"/>
      <c r="AA110" s="468"/>
      <c r="AB110" s="468"/>
      <c r="AC110" s="468"/>
      <c r="AD110" s="468"/>
      <c r="AE110" s="468"/>
      <c r="AF110" s="468"/>
      <c r="AG110" s="468"/>
      <c r="AH110" s="468"/>
      <c r="AI110" s="468"/>
      <c r="AJ110" s="468"/>
    </row>
    <row r="111" spans="1:36" ht="18" hidden="1" customHeight="1" x14ac:dyDescent="0.35">
      <c r="A111" s="468"/>
      <c r="B111" s="494"/>
      <c r="C111" s="494"/>
      <c r="D111" s="850"/>
      <c r="E111" s="850"/>
      <c r="F111" s="850"/>
      <c r="G111" s="468"/>
      <c r="H111" s="468"/>
      <c r="I111" s="468"/>
      <c r="J111" s="468">
        <f t="shared" si="44"/>
        <v>0</v>
      </c>
      <c r="K111" s="468">
        <f t="shared" si="45"/>
        <v>0</v>
      </c>
      <c r="L111" s="514">
        <v>0</v>
      </c>
      <c r="M111" s="514">
        <f t="shared" si="46"/>
        <v>0</v>
      </c>
      <c r="N111" s="479">
        <f t="shared" si="50"/>
        <v>0</v>
      </c>
      <c r="O111" s="514">
        <f t="shared" si="48"/>
        <v>0</v>
      </c>
      <c r="P111" s="468"/>
      <c r="Q111" s="520">
        <v>0</v>
      </c>
      <c r="R111" s="468"/>
      <c r="S111" s="468"/>
      <c r="T111" s="468"/>
      <c r="U111" s="468"/>
      <c r="V111" s="468"/>
      <c r="W111" s="468"/>
      <c r="X111" s="468"/>
      <c r="Y111" s="468"/>
      <c r="Z111" s="468"/>
      <c r="AA111" s="468"/>
      <c r="AB111" s="468"/>
      <c r="AC111" s="468"/>
      <c r="AD111" s="468"/>
      <c r="AE111" s="468"/>
      <c r="AF111" s="468"/>
      <c r="AG111" s="468"/>
      <c r="AH111" s="468"/>
      <c r="AI111" s="468"/>
      <c r="AJ111" s="468"/>
    </row>
    <row r="112" spans="1:36" ht="18" hidden="1" customHeight="1" x14ac:dyDescent="0.35">
      <c r="A112" s="468"/>
      <c r="B112" s="494"/>
      <c r="C112" s="494"/>
      <c r="D112" s="849"/>
      <c r="E112" s="849"/>
      <c r="F112" s="850"/>
      <c r="G112" s="468"/>
      <c r="H112" s="468"/>
      <c r="I112" s="468"/>
      <c r="J112" s="468">
        <f t="shared" si="44"/>
        <v>0</v>
      </c>
      <c r="K112" s="468">
        <f t="shared" si="45"/>
        <v>0</v>
      </c>
      <c r="L112" s="514">
        <v>0</v>
      </c>
      <c r="M112" s="514">
        <f t="shared" si="46"/>
        <v>0</v>
      </c>
      <c r="N112" s="479">
        <f t="shared" si="50"/>
        <v>0</v>
      </c>
      <c r="O112" s="514">
        <f t="shared" si="48"/>
        <v>0</v>
      </c>
      <c r="P112" s="468"/>
      <c r="Q112" s="520">
        <v>0</v>
      </c>
      <c r="R112" s="468"/>
      <c r="S112" s="468"/>
      <c r="T112" s="468"/>
      <c r="U112" s="468"/>
      <c r="V112" s="468"/>
      <c r="W112" s="468"/>
      <c r="X112" s="468"/>
      <c r="Y112" s="468"/>
      <c r="Z112" s="468"/>
      <c r="AA112" s="468"/>
      <c r="AB112" s="468"/>
      <c r="AC112" s="468"/>
      <c r="AD112" s="468"/>
      <c r="AE112" s="468"/>
      <c r="AF112" s="468"/>
      <c r="AG112" s="468"/>
      <c r="AH112" s="468"/>
      <c r="AI112" s="468"/>
      <c r="AJ112" s="468"/>
    </row>
    <row r="113" spans="1:36" ht="18" hidden="1" customHeight="1" x14ac:dyDescent="0.35">
      <c r="A113" s="468"/>
      <c r="B113" s="494"/>
      <c r="C113" s="494"/>
      <c r="D113" s="849"/>
      <c r="E113" s="849"/>
      <c r="F113" s="850"/>
      <c r="G113" s="468"/>
      <c r="H113" s="468"/>
      <c r="I113" s="468"/>
      <c r="J113" s="468">
        <f t="shared" si="44"/>
        <v>0</v>
      </c>
      <c r="K113" s="468">
        <f t="shared" si="45"/>
        <v>0</v>
      </c>
      <c r="L113" s="514">
        <v>0</v>
      </c>
      <c r="M113" s="514">
        <f t="shared" si="46"/>
        <v>0</v>
      </c>
      <c r="N113" s="479">
        <f t="shared" si="50"/>
        <v>0</v>
      </c>
      <c r="O113" s="514">
        <f t="shared" si="48"/>
        <v>0</v>
      </c>
      <c r="P113" s="468"/>
      <c r="Q113" s="520">
        <v>0</v>
      </c>
      <c r="R113" s="468"/>
      <c r="S113" s="468"/>
      <c r="T113" s="468"/>
      <c r="U113" s="468"/>
      <c r="V113" s="468"/>
      <c r="W113" s="468"/>
      <c r="X113" s="468"/>
      <c r="Y113" s="468"/>
      <c r="Z113" s="468"/>
      <c r="AA113" s="468"/>
      <c r="AB113" s="468"/>
      <c r="AC113" s="468"/>
      <c r="AD113" s="468"/>
      <c r="AE113" s="468"/>
      <c r="AF113" s="468"/>
      <c r="AG113" s="468"/>
      <c r="AH113" s="468"/>
      <c r="AI113" s="468"/>
      <c r="AJ113" s="468"/>
    </row>
    <row r="114" spans="1:36" ht="18" hidden="1" customHeight="1" x14ac:dyDescent="0.35">
      <c r="A114" s="468"/>
      <c r="B114" s="494"/>
      <c r="C114" s="494"/>
      <c r="D114" s="849"/>
      <c r="E114" s="849"/>
      <c r="F114" s="850"/>
      <c r="G114" s="468"/>
      <c r="H114" s="468"/>
      <c r="I114" s="468"/>
      <c r="J114" s="468">
        <f t="shared" si="44"/>
        <v>0</v>
      </c>
      <c r="K114" s="468">
        <f t="shared" si="45"/>
        <v>0</v>
      </c>
      <c r="L114" s="514">
        <v>0</v>
      </c>
      <c r="M114" s="514">
        <f t="shared" si="46"/>
        <v>0</v>
      </c>
      <c r="N114" s="479">
        <f t="shared" si="50"/>
        <v>0</v>
      </c>
      <c r="O114" s="514">
        <f t="shared" si="48"/>
        <v>0</v>
      </c>
      <c r="P114" s="468"/>
      <c r="Q114" s="520">
        <v>0</v>
      </c>
      <c r="R114" s="468"/>
      <c r="S114" s="468"/>
      <c r="T114" s="468"/>
      <c r="U114" s="468"/>
      <c r="V114" s="468"/>
      <c r="W114" s="468"/>
      <c r="X114" s="468"/>
      <c r="Y114" s="468"/>
      <c r="Z114" s="468"/>
      <c r="AA114" s="468"/>
      <c r="AB114" s="468"/>
      <c r="AC114" s="468"/>
      <c r="AD114" s="468"/>
      <c r="AE114" s="468"/>
      <c r="AF114" s="468"/>
      <c r="AG114" s="468"/>
      <c r="AH114" s="468"/>
      <c r="AI114" s="468"/>
      <c r="AJ114" s="468"/>
    </row>
    <row r="115" spans="1:36" ht="18" hidden="1" customHeight="1" x14ac:dyDescent="0.35">
      <c r="A115" s="468"/>
      <c r="B115" s="851" t="s">
        <v>176</v>
      </c>
      <c r="C115" s="494" t="str">
        <f>'6 Caissons Objets'!plat3</f>
        <v>Aucun</v>
      </c>
      <c r="D115" s="849">
        <f>IF(C115="Aucun",0,'6 Caissons Objets'!Lnec3-0.3)</f>
        <v>0</v>
      </c>
      <c r="E115" s="849">
        <f>IF(C115="Aucun",0,'6 Caissons Objets'!lanec3-0.3)</f>
        <v>0</v>
      </c>
      <c r="F115" s="850">
        <f>IF(C115="Aucun",0,1)</f>
        <v>0</v>
      </c>
      <c r="G115" s="519">
        <f>G99</f>
        <v>0</v>
      </c>
      <c r="H115" s="468"/>
      <c r="I115" s="468"/>
      <c r="J115" s="468">
        <f t="shared" si="44"/>
        <v>0</v>
      </c>
      <c r="K115" s="468">
        <f t="shared" si="45"/>
        <v>0</v>
      </c>
      <c r="L115" s="514">
        <v>0</v>
      </c>
      <c r="M115" s="514">
        <f t="shared" si="46"/>
        <v>0</v>
      </c>
      <c r="N115" s="479">
        <f t="shared" si="50"/>
        <v>0</v>
      </c>
      <c r="O115" s="514">
        <f t="shared" si="48"/>
        <v>0</v>
      </c>
      <c r="P115" s="468"/>
      <c r="Q115" s="520">
        <f>IF(J115=0,0,J115*VLOOKUP(C115,$A$214:$D$220,4))</f>
        <v>0</v>
      </c>
      <c r="R115" s="468"/>
      <c r="S115" s="468"/>
      <c r="T115" s="468"/>
      <c r="U115" s="468"/>
      <c r="V115" s="468"/>
      <c r="W115" s="468"/>
      <c r="X115" s="468"/>
      <c r="Y115" s="468"/>
      <c r="Z115" s="468"/>
      <c r="AA115" s="468"/>
      <c r="AB115" s="468"/>
      <c r="AC115" s="468"/>
      <c r="AD115" s="468"/>
      <c r="AE115" s="468"/>
      <c r="AF115" s="468"/>
      <c r="AG115" s="468"/>
      <c r="AH115" s="468"/>
      <c r="AI115" s="468"/>
      <c r="AJ115" s="468"/>
    </row>
    <row r="116" spans="1:36" ht="18" hidden="1" customHeight="1" x14ac:dyDescent="0.35">
      <c r="A116" s="468"/>
      <c r="B116" s="494"/>
      <c r="C116" s="494"/>
      <c r="D116" s="849"/>
      <c r="E116" s="849"/>
      <c r="F116" s="850"/>
      <c r="G116" s="468"/>
      <c r="H116" s="468"/>
      <c r="I116" s="468"/>
      <c r="J116" s="468"/>
      <c r="K116" s="468"/>
      <c r="L116" s="468"/>
      <c r="M116" s="514"/>
      <c r="N116" s="479"/>
      <c r="O116" s="514"/>
      <c r="P116" s="468"/>
      <c r="Q116" s="520">
        <v>0</v>
      </c>
      <c r="R116" s="468"/>
      <c r="S116" s="468"/>
      <c r="T116" s="468"/>
      <c r="U116" s="468"/>
      <c r="V116" s="468"/>
      <c r="W116" s="468"/>
      <c r="X116" s="468"/>
      <c r="Y116" s="468"/>
      <c r="Z116" s="468"/>
      <c r="AA116" s="468"/>
      <c r="AB116" s="468"/>
      <c r="AC116" s="468"/>
      <c r="AD116" s="468"/>
      <c r="AE116" s="468"/>
      <c r="AF116" s="468"/>
      <c r="AG116" s="468"/>
      <c r="AH116" s="468"/>
      <c r="AI116" s="468"/>
      <c r="AJ116" s="468"/>
    </row>
    <row r="117" spans="1:36" ht="18" hidden="1" customHeight="1" x14ac:dyDescent="0.35">
      <c r="A117" s="468"/>
      <c r="B117" s="468"/>
      <c r="C117" s="468"/>
      <c r="D117" s="468"/>
      <c r="E117" s="468"/>
      <c r="F117" s="468"/>
      <c r="G117" s="468"/>
      <c r="H117" s="468"/>
      <c r="I117" s="468"/>
      <c r="J117" s="468">
        <f t="shared" ref="J117:J120" si="51">IF(C117=0,0,(C117/100)*(D117/100)*F117)</f>
        <v>0</v>
      </c>
      <c r="K117" s="468">
        <f t="shared" ref="K117:K120" si="52">J117/0.8</f>
        <v>0</v>
      </c>
      <c r="L117" s="514"/>
      <c r="M117" s="514"/>
      <c r="N117" s="479"/>
      <c r="O117" s="514"/>
      <c r="P117" s="468"/>
      <c r="Q117" s="520">
        <v>0</v>
      </c>
      <c r="R117" s="468"/>
      <c r="S117" s="468"/>
      <c r="T117" s="468"/>
      <c r="U117" s="468"/>
      <c r="V117" s="468"/>
      <c r="W117" s="468"/>
      <c r="X117" s="468"/>
      <c r="Y117" s="468"/>
      <c r="Z117" s="468"/>
      <c r="AA117" s="468"/>
      <c r="AB117" s="468"/>
      <c r="AC117" s="468"/>
      <c r="AD117" s="468"/>
      <c r="AE117" s="468"/>
      <c r="AF117" s="468"/>
      <c r="AG117" s="468"/>
      <c r="AH117" s="468"/>
      <c r="AI117" s="468"/>
      <c r="AJ117" s="468"/>
    </row>
    <row r="118" spans="1:36" ht="18" hidden="1" customHeight="1" x14ac:dyDescent="0.35">
      <c r="A118" s="471" t="s">
        <v>162</v>
      </c>
      <c r="B118" s="468"/>
      <c r="C118" s="468"/>
      <c r="D118" s="468"/>
      <c r="E118" s="468"/>
      <c r="F118" s="468"/>
      <c r="G118" s="468"/>
      <c r="H118" s="468"/>
      <c r="I118" s="468"/>
      <c r="J118" s="468">
        <f t="shared" si="51"/>
        <v>0</v>
      </c>
      <c r="K118" s="468">
        <f t="shared" si="52"/>
        <v>0</v>
      </c>
      <c r="L118" s="514"/>
      <c r="M118" s="514"/>
      <c r="N118" s="479"/>
      <c r="O118" s="514"/>
      <c r="P118" s="468"/>
      <c r="Q118" s="520">
        <v>0</v>
      </c>
      <c r="R118" s="468"/>
      <c r="S118" s="468"/>
      <c r="T118" s="468"/>
      <c r="U118" s="468"/>
      <c r="V118" s="468"/>
      <c r="W118" s="468"/>
      <c r="X118" s="468"/>
      <c r="Y118" s="468"/>
      <c r="Z118" s="468"/>
      <c r="AA118" s="468"/>
      <c r="AB118" s="468"/>
      <c r="AC118" s="468"/>
      <c r="AD118" s="468"/>
      <c r="AE118" s="468"/>
      <c r="AF118" s="468"/>
      <c r="AG118" s="468"/>
      <c r="AH118" s="468"/>
      <c r="AI118" s="468"/>
      <c r="AJ118" s="468"/>
    </row>
    <row r="119" spans="1:36" ht="18" hidden="1" customHeight="1" x14ac:dyDescent="0.35">
      <c r="A119" s="468"/>
      <c r="B119" s="468"/>
      <c r="C119" s="468"/>
      <c r="D119" s="468"/>
      <c r="E119" s="468"/>
      <c r="F119" s="468"/>
      <c r="G119" s="468"/>
      <c r="H119" s="468"/>
      <c r="I119" s="468"/>
      <c r="J119" s="468">
        <f t="shared" si="51"/>
        <v>0</v>
      </c>
      <c r="K119" s="468">
        <f t="shared" si="52"/>
        <v>0</v>
      </c>
      <c r="L119" s="514"/>
      <c r="M119" s="514"/>
      <c r="N119" s="479"/>
      <c r="O119" s="514"/>
      <c r="P119" s="468"/>
      <c r="Q119" s="520">
        <v>0</v>
      </c>
      <c r="R119" s="468"/>
      <c r="S119" s="468"/>
      <c r="T119" s="468"/>
      <c r="U119" s="468"/>
      <c r="V119" s="468"/>
      <c r="W119" s="468"/>
      <c r="X119" s="468"/>
      <c r="Y119" s="468"/>
      <c r="Z119" s="468"/>
      <c r="AA119" s="468"/>
      <c r="AB119" s="468"/>
      <c r="AC119" s="468"/>
      <c r="AD119" s="468"/>
      <c r="AE119" s="468"/>
      <c r="AF119" s="468"/>
      <c r="AG119" s="468"/>
      <c r="AH119" s="468"/>
      <c r="AI119" s="468"/>
      <c r="AJ119" s="468"/>
    </row>
    <row r="120" spans="1:36" ht="18" hidden="1" customHeight="1" x14ac:dyDescent="0.35">
      <c r="A120" s="468"/>
      <c r="B120" s="848" t="str">
        <f>H19</f>
        <v>Aucun</v>
      </c>
      <c r="C120" s="521"/>
      <c r="D120" s="849" t="s">
        <v>28</v>
      </c>
      <c r="E120" s="849" t="s">
        <v>33</v>
      </c>
      <c r="F120" s="850" t="s">
        <v>34</v>
      </c>
      <c r="G120" s="468"/>
      <c r="H120" s="468"/>
      <c r="I120" s="468"/>
      <c r="J120" s="468">
        <f t="shared" si="51"/>
        <v>0</v>
      </c>
      <c r="K120" s="468">
        <f t="shared" si="52"/>
        <v>0</v>
      </c>
      <c r="L120" s="514"/>
      <c r="M120" s="514"/>
      <c r="N120" s="479"/>
      <c r="O120" s="514"/>
      <c r="P120" s="468"/>
      <c r="Q120" s="520">
        <v>0</v>
      </c>
      <c r="R120" s="468"/>
      <c r="S120" s="468"/>
      <c r="T120" s="468"/>
      <c r="U120" s="468"/>
      <c r="V120" s="468"/>
      <c r="W120" s="468"/>
      <c r="X120" s="468"/>
      <c r="Y120" s="468"/>
      <c r="Z120" s="468"/>
      <c r="AA120" s="468"/>
      <c r="AB120" s="468"/>
      <c r="AC120" s="468"/>
      <c r="AD120" s="468"/>
      <c r="AE120" s="468"/>
      <c r="AF120" s="468"/>
      <c r="AG120" s="468"/>
      <c r="AH120" s="468"/>
      <c r="AI120" s="468"/>
      <c r="AJ120" s="468"/>
    </row>
    <row r="121" spans="1:36" ht="18" hidden="1" customHeight="1" x14ac:dyDescent="0.35">
      <c r="A121" s="468"/>
      <c r="B121" s="848"/>
      <c r="C121" s="521"/>
      <c r="D121" s="849"/>
      <c r="E121" s="849"/>
      <c r="F121" s="850"/>
      <c r="G121" s="468"/>
      <c r="H121" s="468"/>
      <c r="I121" s="468"/>
      <c r="J121" s="468"/>
      <c r="K121" s="468"/>
      <c r="L121" s="514"/>
      <c r="M121" s="514"/>
      <c r="N121" s="479"/>
      <c r="O121" s="514"/>
      <c r="P121" s="468"/>
      <c r="Q121" s="520">
        <v>0</v>
      </c>
      <c r="R121" s="468"/>
      <c r="S121" s="468"/>
      <c r="T121" s="468"/>
      <c r="U121" s="468"/>
      <c r="V121" s="468"/>
      <c r="W121" s="468"/>
      <c r="X121" s="468"/>
      <c r="Y121" s="468"/>
      <c r="Z121" s="468"/>
      <c r="AA121" s="468"/>
      <c r="AB121" s="468"/>
      <c r="AC121" s="468"/>
      <c r="AD121" s="468"/>
      <c r="AE121" s="468"/>
      <c r="AF121" s="468"/>
      <c r="AG121" s="468"/>
      <c r="AH121" s="468"/>
      <c r="AI121" s="468"/>
      <c r="AJ121" s="468"/>
    </row>
    <row r="122" spans="1:36" ht="18" hidden="1" customHeight="1" x14ac:dyDescent="0.35">
      <c r="A122" s="468"/>
      <c r="B122" s="851" t="s">
        <v>485</v>
      </c>
      <c r="C122" s="521">
        <f>IF('6 Caissons Objets'!Lnec4=0,0,"Peuplier 15 mm")</f>
        <v>0</v>
      </c>
      <c r="D122" s="849">
        <f>IF(C122=0,0,'6 Caissons Objets'!Lnec4+3)</f>
        <v>0</v>
      </c>
      <c r="E122" s="849">
        <f>IF('6 Caissons Objets'!hnec4=0,0,'6 Caissons Objets'!hnec4+VLOOKUP(H23,$A$232:$C$234,3))</f>
        <v>0</v>
      </c>
      <c r="F122" s="850">
        <f>IF(D122=0,0,2)</f>
        <v>0</v>
      </c>
      <c r="G122" s="519">
        <f t="shared" ref="G122:G125" si="53">C122</f>
        <v>0</v>
      </c>
      <c r="H122" s="468"/>
      <c r="I122" s="468"/>
      <c r="J122" s="468">
        <f t="shared" ref="J122:J125" si="54">IF(D122=0,0,(D122/100)*(E122/100)*F122)</f>
        <v>0</v>
      </c>
      <c r="K122" s="468">
        <f t="shared" ref="K122:K125" si="55">J122/0.8</f>
        <v>0</v>
      </c>
      <c r="L122" s="514">
        <v>0</v>
      </c>
      <c r="M122" s="514">
        <f t="shared" ref="M122:M125" si="56">L122*K122-IF($J$21="Non",K122*0.75,0)</f>
        <v>0</v>
      </c>
      <c r="N122" s="479">
        <f t="shared" ref="N122:N125" si="57">IF(J122=0,0,IF($J$21="Oui",(7.0924*J122)+5,(6.0924*J122)+1))</f>
        <v>0</v>
      </c>
      <c r="O122" s="514">
        <f t="shared" ref="O122:O125" si="58">N122*'6 Caissons Objets'!MinuteMO</f>
        <v>0</v>
      </c>
      <c r="P122" s="468"/>
      <c r="Q122" s="520">
        <v>0</v>
      </c>
      <c r="R122" s="468"/>
      <c r="S122" s="468"/>
      <c r="T122" s="468"/>
      <c r="U122" s="468"/>
      <c r="V122" s="468"/>
      <c r="W122" s="468"/>
      <c r="X122" s="468"/>
      <c r="Y122" s="468"/>
      <c r="Z122" s="468"/>
      <c r="AA122" s="468"/>
      <c r="AB122" s="468"/>
      <c r="AC122" s="468"/>
      <c r="AD122" s="468"/>
      <c r="AE122" s="468"/>
      <c r="AF122" s="468"/>
      <c r="AG122" s="468"/>
      <c r="AH122" s="468"/>
      <c r="AI122" s="468"/>
      <c r="AJ122" s="468"/>
    </row>
    <row r="123" spans="1:36" ht="18" hidden="1" customHeight="1" x14ac:dyDescent="0.35">
      <c r="A123" s="468"/>
      <c r="B123" s="851" t="s">
        <v>175</v>
      </c>
      <c r="C123" s="521">
        <f>IF('6 Caissons Objets'!Lnec4=0,0,"Peuplier 15 mm")</f>
        <v>0</v>
      </c>
      <c r="D123" s="849">
        <f>D122</f>
        <v>0</v>
      </c>
      <c r="E123" s="849">
        <f>IF('6 Caissons Objets'!lanec4=0,0,'6 Caissons Objets'!lanec4+3.5)</f>
        <v>0</v>
      </c>
      <c r="F123" s="850">
        <f t="shared" ref="F123:F124" si="59">IF(D123=0,0,1)</f>
        <v>0</v>
      </c>
      <c r="G123" s="519">
        <f t="shared" si="53"/>
        <v>0</v>
      </c>
      <c r="H123" s="468"/>
      <c r="I123" s="468"/>
      <c r="J123" s="468">
        <f t="shared" si="54"/>
        <v>0</v>
      </c>
      <c r="K123" s="468">
        <f t="shared" si="55"/>
        <v>0</v>
      </c>
      <c r="L123" s="514">
        <v>0</v>
      </c>
      <c r="M123" s="514">
        <f t="shared" si="56"/>
        <v>0</v>
      </c>
      <c r="N123" s="479">
        <f t="shared" si="57"/>
        <v>0</v>
      </c>
      <c r="O123" s="514">
        <f t="shared" si="58"/>
        <v>0</v>
      </c>
      <c r="P123" s="468"/>
      <c r="Q123" s="520">
        <v>0</v>
      </c>
      <c r="R123" s="468"/>
      <c r="S123" s="468"/>
      <c r="T123" s="468"/>
      <c r="U123" s="468"/>
      <c r="V123" s="468"/>
      <c r="W123" s="468"/>
      <c r="X123" s="468"/>
      <c r="Y123" s="468"/>
      <c r="Z123" s="468"/>
      <c r="AA123" s="468"/>
      <c r="AB123" s="468"/>
      <c r="AC123" s="468"/>
      <c r="AD123" s="468"/>
      <c r="AE123" s="468"/>
      <c r="AF123" s="468"/>
      <c r="AG123" s="468"/>
      <c r="AH123" s="468"/>
      <c r="AI123" s="468"/>
      <c r="AJ123" s="468"/>
    </row>
    <row r="124" spans="1:36" ht="18" hidden="1" customHeight="1" x14ac:dyDescent="0.35">
      <c r="A124" s="468"/>
      <c r="B124" s="851" t="s">
        <v>176</v>
      </c>
      <c r="C124" s="521">
        <f>IF('6 Caissons Objets'!Lnec4=0,0,VLOOKUP(H23,$A$232:$B$234,2))</f>
        <v>0</v>
      </c>
      <c r="D124" s="849">
        <f>IF('6 Caissons Objets'!Lnec4=0,0,'6 Caissons Objets'!Lnec4)</f>
        <v>0</v>
      </c>
      <c r="E124" s="849">
        <f>IF('6 Caissons Objets'!lanec4=0,0,'6 Caissons Objets'!lanec4)</f>
        <v>0</v>
      </c>
      <c r="F124" s="850">
        <f t="shared" si="59"/>
        <v>0</v>
      </c>
      <c r="G124" s="519">
        <f t="shared" si="53"/>
        <v>0</v>
      </c>
      <c r="H124" s="468"/>
      <c r="I124" s="468"/>
      <c r="J124" s="468">
        <f t="shared" si="54"/>
        <v>0</v>
      </c>
      <c r="K124" s="468">
        <f t="shared" si="55"/>
        <v>0</v>
      </c>
      <c r="L124" s="514">
        <v>0</v>
      </c>
      <c r="M124" s="514">
        <f t="shared" si="56"/>
        <v>0</v>
      </c>
      <c r="N124" s="479">
        <f t="shared" si="57"/>
        <v>0</v>
      </c>
      <c r="O124" s="514">
        <f t="shared" si="58"/>
        <v>0</v>
      </c>
      <c r="P124" s="468"/>
      <c r="Q124" s="520">
        <v>0</v>
      </c>
      <c r="R124" s="468"/>
      <c r="S124" s="468"/>
      <c r="T124" s="468"/>
      <c r="U124" s="468"/>
      <c r="V124" s="468"/>
      <c r="W124" s="468"/>
      <c r="X124" s="468"/>
      <c r="Y124" s="468"/>
      <c r="Z124" s="468"/>
      <c r="AA124" s="468"/>
      <c r="AB124" s="468"/>
      <c r="AC124" s="468"/>
      <c r="AD124" s="468"/>
      <c r="AE124" s="468"/>
      <c r="AF124" s="468"/>
      <c r="AG124" s="468"/>
      <c r="AH124" s="468"/>
      <c r="AI124" s="468"/>
      <c r="AJ124" s="468"/>
    </row>
    <row r="125" spans="1:36" ht="18" hidden="1" customHeight="1" x14ac:dyDescent="0.35">
      <c r="A125" s="468"/>
      <c r="B125" s="851" t="s">
        <v>55</v>
      </c>
      <c r="C125" s="521">
        <f>IF('6 Caissons Objets'!Lnec4=0,0,"Peuplier 15 mm")</f>
        <v>0</v>
      </c>
      <c r="D125" s="849">
        <f>IF('6 Caissons Objets'!lanec4=0,0,'6 Caissons Objets'!lanec4)</f>
        <v>0</v>
      </c>
      <c r="E125" s="849">
        <f>E122</f>
        <v>0</v>
      </c>
      <c r="F125" s="850">
        <f>IF(D125=0,0,2)</f>
        <v>0</v>
      </c>
      <c r="G125" s="519">
        <f t="shared" si="53"/>
        <v>0</v>
      </c>
      <c r="H125" s="468"/>
      <c r="I125" s="468"/>
      <c r="J125" s="468">
        <f t="shared" si="54"/>
        <v>0</v>
      </c>
      <c r="K125" s="468">
        <f t="shared" si="55"/>
        <v>0</v>
      </c>
      <c r="L125" s="514">
        <v>0</v>
      </c>
      <c r="M125" s="514">
        <f t="shared" si="56"/>
        <v>0</v>
      </c>
      <c r="N125" s="479">
        <f t="shared" si="57"/>
        <v>0</v>
      </c>
      <c r="O125" s="514">
        <f t="shared" si="58"/>
        <v>0</v>
      </c>
      <c r="P125" s="468"/>
      <c r="Q125" s="520">
        <v>0</v>
      </c>
      <c r="R125" s="468"/>
      <c r="S125" s="468"/>
      <c r="T125" s="468"/>
      <c r="U125" s="468"/>
      <c r="V125" s="468"/>
      <c r="W125" s="468"/>
      <c r="X125" s="468"/>
      <c r="Y125" s="468"/>
      <c r="Z125" s="468"/>
      <c r="AA125" s="468"/>
      <c r="AB125" s="468"/>
      <c r="AC125" s="468"/>
      <c r="AD125" s="468"/>
      <c r="AE125" s="468"/>
      <c r="AF125" s="468"/>
      <c r="AG125" s="468"/>
      <c r="AH125" s="468"/>
      <c r="AI125" s="468"/>
      <c r="AJ125" s="468"/>
    </row>
    <row r="126" spans="1:36" ht="18" hidden="1" customHeight="1" x14ac:dyDescent="0.35">
      <c r="A126" s="468"/>
      <c r="B126" s="851"/>
      <c r="C126" s="521"/>
      <c r="D126" s="849"/>
      <c r="E126" s="849"/>
      <c r="F126" s="850"/>
      <c r="G126" s="468"/>
      <c r="H126" s="468"/>
      <c r="I126" s="468"/>
      <c r="J126" s="468"/>
      <c r="K126" s="468"/>
      <c r="L126" s="514"/>
      <c r="M126" s="514"/>
      <c r="N126" s="479"/>
      <c r="O126" s="514"/>
      <c r="P126" s="468"/>
      <c r="Q126" s="520">
        <v>0</v>
      </c>
      <c r="R126" s="468"/>
      <c r="S126" s="468"/>
      <c r="T126" s="468"/>
      <c r="U126" s="468"/>
      <c r="V126" s="468"/>
      <c r="W126" s="468"/>
      <c r="X126" s="468"/>
      <c r="Y126" s="468"/>
      <c r="Z126" s="468"/>
      <c r="AA126" s="468"/>
      <c r="AB126" s="468"/>
      <c r="AC126" s="468"/>
      <c r="AD126" s="468"/>
      <c r="AE126" s="468"/>
      <c r="AF126" s="468"/>
      <c r="AG126" s="468"/>
      <c r="AH126" s="468"/>
      <c r="AI126" s="468"/>
      <c r="AJ126" s="468"/>
    </row>
    <row r="127" spans="1:36" ht="18" hidden="1" customHeight="1" x14ac:dyDescent="0.35">
      <c r="A127" s="468"/>
      <c r="B127" s="521" t="s">
        <v>22</v>
      </c>
      <c r="C127" s="494">
        <f>VLOOKUP(B120,'6 Caissons Objets'!Moussecal4,2)</f>
        <v>0</v>
      </c>
      <c r="D127" s="850">
        <f>VLOOKUP(B120,'6 Caissons Objets'!Moussecal4,3)</f>
        <v>0</v>
      </c>
      <c r="E127" s="850">
        <f>VLOOKUP(B120,'6 Caissons Objets'!Moussecal4,4)</f>
        <v>0</v>
      </c>
      <c r="F127" s="850">
        <f>VLOOKUP(B120,'6 Caissons Objets'!Moussecal4,5)</f>
        <v>0</v>
      </c>
      <c r="G127" s="468">
        <f t="shared" ref="G127:G129" si="60">IF(C127=0,0,"Barres 21 R4F")</f>
        <v>0</v>
      </c>
      <c r="H127" s="468"/>
      <c r="I127" s="468"/>
      <c r="J127" s="468">
        <f t="shared" ref="J127:J138" si="61">IF(D127=0,0,(D127/100)*(E127/100)*F127)</f>
        <v>0</v>
      </c>
      <c r="K127" s="468">
        <f t="shared" ref="K127:K138" si="62">J127/0.8</f>
        <v>0</v>
      </c>
      <c r="L127" s="514">
        <v>0</v>
      </c>
      <c r="M127" s="514">
        <f t="shared" ref="M127:M138" si="63">L127*K127</f>
        <v>0</v>
      </c>
      <c r="N127" s="479">
        <f t="shared" ref="N127:N129" si="64">IF(J127=0,0,2+(6*J127))</f>
        <v>0</v>
      </c>
      <c r="O127" s="514">
        <f t="shared" ref="O127:O138" si="65">N127*'6 Caissons Objets'!MinuteMO</f>
        <v>0</v>
      </c>
      <c r="P127" s="468"/>
      <c r="Q127" s="520">
        <v>0</v>
      </c>
      <c r="R127" s="468"/>
      <c r="S127" s="468"/>
      <c r="T127" s="468"/>
      <c r="U127" s="468"/>
      <c r="V127" s="468"/>
      <c r="W127" s="468"/>
      <c r="X127" s="468"/>
      <c r="Y127" s="468"/>
      <c r="Z127" s="468"/>
      <c r="AA127" s="468"/>
      <c r="AB127" s="468"/>
      <c r="AC127" s="468"/>
      <c r="AD127" s="468"/>
      <c r="AE127" s="468"/>
      <c r="AF127" s="468"/>
      <c r="AG127" s="468"/>
      <c r="AH127" s="468"/>
      <c r="AI127" s="468"/>
      <c r="AJ127" s="468"/>
    </row>
    <row r="128" spans="1:36" ht="18" hidden="1" customHeight="1" x14ac:dyDescent="0.35">
      <c r="A128" s="468"/>
      <c r="B128" s="521"/>
      <c r="C128" s="494">
        <f>VLOOKUP(B120,'6 Caissons Objets'!Moussecal4,6)</f>
        <v>0</v>
      </c>
      <c r="D128" s="850">
        <f>VLOOKUP(B120,'6 Caissons Objets'!Moussecal4,7)</f>
        <v>0</v>
      </c>
      <c r="E128" s="850">
        <f>VLOOKUP(B120,'6 Caissons Objets'!Moussecal4,8)</f>
        <v>0</v>
      </c>
      <c r="F128" s="850">
        <f>VLOOKUP(B120,'6 Caissons Objets'!Moussecal4,9)</f>
        <v>0</v>
      </c>
      <c r="G128" s="468">
        <f t="shared" si="60"/>
        <v>0</v>
      </c>
      <c r="H128" s="468"/>
      <c r="I128" s="468"/>
      <c r="J128" s="468">
        <f t="shared" si="61"/>
        <v>0</v>
      </c>
      <c r="K128" s="468">
        <f t="shared" si="62"/>
        <v>0</v>
      </c>
      <c r="L128" s="514">
        <v>0</v>
      </c>
      <c r="M128" s="514">
        <f t="shared" si="63"/>
        <v>0</v>
      </c>
      <c r="N128" s="479">
        <f t="shared" si="64"/>
        <v>0</v>
      </c>
      <c r="O128" s="514">
        <f t="shared" si="65"/>
        <v>0</v>
      </c>
      <c r="P128" s="468"/>
      <c r="Q128" s="520">
        <v>0</v>
      </c>
      <c r="R128" s="468"/>
      <c r="S128" s="468"/>
      <c r="T128" s="468"/>
      <c r="U128" s="468"/>
      <c r="V128" s="468"/>
      <c r="W128" s="468"/>
      <c r="X128" s="468"/>
      <c r="Y128" s="468"/>
      <c r="Z128" s="468"/>
      <c r="AA128" s="468"/>
      <c r="AB128" s="468"/>
      <c r="AC128" s="468"/>
      <c r="AD128" s="468"/>
      <c r="AE128" s="468"/>
      <c r="AF128" s="468"/>
      <c r="AG128" s="468"/>
      <c r="AH128" s="468"/>
      <c r="AI128" s="468"/>
      <c r="AJ128" s="468"/>
    </row>
    <row r="129" spans="1:36" ht="18" hidden="1" customHeight="1" x14ac:dyDescent="0.35">
      <c r="A129" s="468"/>
      <c r="B129" s="521"/>
      <c r="C129" s="494">
        <f>VLOOKUP(B120,'6 Caissons Objets'!Moussecal4,10)</f>
        <v>0</v>
      </c>
      <c r="D129" s="850">
        <f>VLOOKUP(B120,'6 Caissons Objets'!Moussecal4,11)</f>
        <v>0</v>
      </c>
      <c r="E129" s="850">
        <f>VLOOKUP(B120,'6 Caissons Objets'!Moussecal4,12)</f>
        <v>0</v>
      </c>
      <c r="F129" s="850">
        <f>VLOOKUP(B120,'6 Caissons Objets'!Moussecal4,13)</f>
        <v>0</v>
      </c>
      <c r="G129" s="468">
        <f t="shared" si="60"/>
        <v>0</v>
      </c>
      <c r="H129" s="468"/>
      <c r="I129" s="468"/>
      <c r="J129" s="468">
        <f t="shared" si="61"/>
        <v>0</v>
      </c>
      <c r="K129" s="468">
        <f t="shared" si="62"/>
        <v>0</v>
      </c>
      <c r="L129" s="514">
        <v>0</v>
      </c>
      <c r="M129" s="514">
        <f t="shared" si="63"/>
        <v>0</v>
      </c>
      <c r="N129" s="479">
        <f t="shared" si="64"/>
        <v>0</v>
      </c>
      <c r="O129" s="514">
        <f t="shared" si="65"/>
        <v>0</v>
      </c>
      <c r="P129" s="468"/>
      <c r="Q129" s="520">
        <v>0</v>
      </c>
      <c r="R129" s="468"/>
      <c r="S129" s="468"/>
      <c r="T129" s="468"/>
      <c r="U129" s="468"/>
      <c r="V129" s="468"/>
      <c r="W129" s="468"/>
      <c r="X129" s="468"/>
      <c r="Y129" s="468"/>
      <c r="Z129" s="468"/>
      <c r="AA129" s="468"/>
      <c r="AB129" s="468"/>
      <c r="AC129" s="468"/>
      <c r="AD129" s="468"/>
      <c r="AE129" s="468"/>
      <c r="AF129" s="468"/>
      <c r="AG129" s="468"/>
      <c r="AH129" s="468"/>
      <c r="AI129" s="468"/>
      <c r="AJ129" s="468"/>
    </row>
    <row r="130" spans="1:36" ht="18" hidden="1" customHeight="1" x14ac:dyDescent="0.35">
      <c r="A130" s="468"/>
      <c r="B130" s="521" t="s">
        <v>80</v>
      </c>
      <c r="C130" s="494">
        <f>VLOOKUP(B120,'6 Caissons Objets'!Moussecal4,14)</f>
        <v>0</v>
      </c>
      <c r="D130" s="850">
        <f>VLOOKUP(B120,'6 Caissons Objets'!Moussecal4,15)</f>
        <v>0</v>
      </c>
      <c r="E130" s="850">
        <f>VLOOKUP(B120,'6 Caissons Objets'!Moussecal4,16)</f>
        <v>0</v>
      </c>
      <c r="F130" s="850">
        <f>VLOOKUP(B120,'6 Caissons Objets'!Moussecal4,17)</f>
        <v>0</v>
      </c>
      <c r="G130" s="468">
        <f t="shared" ref="G130:G133" si="66">C130</f>
        <v>0</v>
      </c>
      <c r="H130" s="468"/>
      <c r="I130" s="468"/>
      <c r="J130" s="468">
        <f t="shared" si="61"/>
        <v>0</v>
      </c>
      <c r="K130" s="468">
        <f t="shared" si="62"/>
        <v>0</v>
      </c>
      <c r="L130" s="514">
        <v>0</v>
      </c>
      <c r="M130" s="514">
        <f t="shared" si="63"/>
        <v>0</v>
      </c>
      <c r="N130" s="479">
        <f t="shared" ref="N130:N138" si="67">IF(J130=0,0,4.7283*J130+2)</f>
        <v>0</v>
      </c>
      <c r="O130" s="514">
        <f t="shared" si="65"/>
        <v>0</v>
      </c>
      <c r="P130" s="468"/>
      <c r="Q130" s="520">
        <v>0</v>
      </c>
      <c r="R130" s="468"/>
      <c r="S130" s="468"/>
      <c r="T130" s="468"/>
      <c r="U130" s="468"/>
      <c r="V130" s="468"/>
      <c r="W130" s="468"/>
      <c r="X130" s="468"/>
      <c r="Y130" s="468"/>
      <c r="Z130" s="468"/>
      <c r="AA130" s="468"/>
      <c r="AB130" s="468"/>
      <c r="AC130" s="468"/>
      <c r="AD130" s="468"/>
      <c r="AE130" s="468"/>
      <c r="AF130" s="468"/>
      <c r="AG130" s="468"/>
      <c r="AH130" s="468"/>
      <c r="AI130" s="468"/>
      <c r="AJ130" s="468"/>
    </row>
    <row r="131" spans="1:36" ht="18" hidden="1" customHeight="1" x14ac:dyDescent="0.35">
      <c r="A131" s="468"/>
      <c r="B131" s="521"/>
      <c r="C131" s="494">
        <f>VLOOKUP(B120,'6 Caissons Objets'!Moussecal4,18)</f>
        <v>0</v>
      </c>
      <c r="D131" s="850">
        <f>VLOOKUP(B120,'6 Caissons Objets'!Moussecal4,19)</f>
        <v>0</v>
      </c>
      <c r="E131" s="850">
        <f>VLOOKUP(B120,'6 Caissons Objets'!Moussecal4,20)</f>
        <v>0</v>
      </c>
      <c r="F131" s="850">
        <f>VLOOKUP(B120,'6 Caissons Objets'!Moussecal4,21)</f>
        <v>0</v>
      </c>
      <c r="G131" s="468">
        <f t="shared" si="66"/>
        <v>0</v>
      </c>
      <c r="H131" s="468"/>
      <c r="I131" s="468"/>
      <c r="J131" s="468">
        <f t="shared" si="61"/>
        <v>0</v>
      </c>
      <c r="K131" s="468">
        <f t="shared" si="62"/>
        <v>0</v>
      </c>
      <c r="L131" s="514">
        <v>0</v>
      </c>
      <c r="M131" s="514">
        <f t="shared" si="63"/>
        <v>0</v>
      </c>
      <c r="N131" s="479">
        <f t="shared" si="67"/>
        <v>0</v>
      </c>
      <c r="O131" s="514">
        <f t="shared" si="65"/>
        <v>0</v>
      </c>
      <c r="P131" s="468"/>
      <c r="Q131" s="520">
        <v>0</v>
      </c>
      <c r="R131" s="468"/>
      <c r="S131" s="468"/>
      <c r="T131" s="468"/>
      <c r="U131" s="468"/>
      <c r="V131" s="468"/>
      <c r="W131" s="468"/>
      <c r="X131" s="468"/>
      <c r="Y131" s="468"/>
      <c r="Z131" s="468"/>
      <c r="AA131" s="468"/>
      <c r="AB131" s="468"/>
      <c r="AC131" s="468"/>
      <c r="AD131" s="468"/>
      <c r="AE131" s="468"/>
      <c r="AF131" s="468"/>
      <c r="AG131" s="468"/>
      <c r="AH131" s="468"/>
      <c r="AI131" s="468"/>
      <c r="AJ131" s="468"/>
    </row>
    <row r="132" spans="1:36" ht="18" hidden="1" customHeight="1" x14ac:dyDescent="0.35">
      <c r="A132" s="468"/>
      <c r="B132" s="521"/>
      <c r="C132" s="494">
        <f>VLOOKUP(B120,'6 Caissons Objets'!Moussecal4,28)</f>
        <v>0</v>
      </c>
      <c r="D132" s="850">
        <f>VLOOKUP(B120,'6 Caissons Objets'!Moussecal4,29)</f>
        <v>0</v>
      </c>
      <c r="E132" s="850">
        <f>VLOOKUP(B120,'6 Caissons Objets'!Moussecal4,30)</f>
        <v>0</v>
      </c>
      <c r="F132" s="850">
        <f>VLOOKUP(B120,'6 Caissons Objets'!Moussecal4,31)</f>
        <v>0</v>
      </c>
      <c r="G132" s="468">
        <f t="shared" si="66"/>
        <v>0</v>
      </c>
      <c r="H132" s="468"/>
      <c r="I132" s="468"/>
      <c r="J132" s="468">
        <f t="shared" si="61"/>
        <v>0</v>
      </c>
      <c r="K132" s="468">
        <f t="shared" si="62"/>
        <v>0</v>
      </c>
      <c r="L132" s="514">
        <v>0</v>
      </c>
      <c r="M132" s="514">
        <f t="shared" si="63"/>
        <v>0</v>
      </c>
      <c r="N132" s="479">
        <f t="shared" si="67"/>
        <v>0</v>
      </c>
      <c r="O132" s="514">
        <f t="shared" si="65"/>
        <v>0</v>
      </c>
      <c r="P132" s="468"/>
      <c r="Q132" s="520">
        <v>0</v>
      </c>
      <c r="R132" s="468"/>
      <c r="S132" s="468"/>
      <c r="T132" s="468"/>
      <c r="U132" s="468"/>
      <c r="V132" s="468"/>
      <c r="W132" s="468"/>
      <c r="X132" s="468"/>
      <c r="Y132" s="468"/>
      <c r="Z132" s="468"/>
      <c r="AA132" s="468"/>
      <c r="AB132" s="468"/>
      <c r="AC132" s="468"/>
      <c r="AD132" s="468"/>
      <c r="AE132" s="468"/>
      <c r="AF132" s="468"/>
      <c r="AG132" s="468"/>
      <c r="AH132" s="468"/>
      <c r="AI132" s="468"/>
      <c r="AJ132" s="468"/>
    </row>
    <row r="133" spans="1:36" ht="18" hidden="1" customHeight="1" x14ac:dyDescent="0.35">
      <c r="A133" s="468"/>
      <c r="B133" s="494"/>
      <c r="C133" s="494">
        <f>VLOOKUP(B120,'6 Caissons Objets'!Moussecal4,22)</f>
        <v>0</v>
      </c>
      <c r="D133" s="850">
        <f>VLOOKUP(B120,'6 Caissons Objets'!Moussecal4,25)</f>
        <v>0</v>
      </c>
      <c r="E133" s="850">
        <f>VLOOKUP(B120,'6 Caissons Objets'!Moussecal4,26)</f>
        <v>0</v>
      </c>
      <c r="F133" s="850">
        <f>IF(D133=0,0,1)</f>
        <v>0</v>
      </c>
      <c r="G133" s="468">
        <f t="shared" si="66"/>
        <v>0</v>
      </c>
      <c r="H133" s="468"/>
      <c r="I133" s="468"/>
      <c r="J133" s="468">
        <f t="shared" si="61"/>
        <v>0</v>
      </c>
      <c r="K133" s="468">
        <f t="shared" si="62"/>
        <v>0</v>
      </c>
      <c r="L133" s="514">
        <v>0</v>
      </c>
      <c r="M133" s="514">
        <f t="shared" si="63"/>
        <v>0</v>
      </c>
      <c r="N133" s="479">
        <f t="shared" si="67"/>
        <v>0</v>
      </c>
      <c r="O133" s="514">
        <f t="shared" si="65"/>
        <v>0</v>
      </c>
      <c r="P133" s="468"/>
      <c r="Q133" s="520">
        <v>0</v>
      </c>
      <c r="R133" s="468"/>
      <c r="S133" s="468"/>
      <c r="T133" s="468"/>
      <c r="U133" s="468"/>
      <c r="V133" s="468"/>
      <c r="W133" s="468"/>
      <c r="X133" s="468"/>
      <c r="Y133" s="468"/>
      <c r="Z133" s="468"/>
      <c r="AA133" s="468"/>
      <c r="AB133" s="468"/>
      <c r="AC133" s="468"/>
      <c r="AD133" s="468"/>
      <c r="AE133" s="468"/>
      <c r="AF133" s="468"/>
      <c r="AG133" s="468"/>
      <c r="AH133" s="468"/>
      <c r="AI133" s="468"/>
      <c r="AJ133" s="468"/>
    </row>
    <row r="134" spans="1:36" ht="18" hidden="1" customHeight="1" x14ac:dyDescent="0.35">
      <c r="A134" s="468"/>
      <c r="B134" s="494"/>
      <c r="C134" s="494"/>
      <c r="D134" s="850"/>
      <c r="E134" s="850"/>
      <c r="F134" s="850"/>
      <c r="G134" s="468"/>
      <c r="H134" s="468"/>
      <c r="I134" s="468"/>
      <c r="J134" s="468">
        <f t="shared" si="61"/>
        <v>0</v>
      </c>
      <c r="K134" s="468">
        <f t="shared" si="62"/>
        <v>0</v>
      </c>
      <c r="L134" s="514">
        <v>0</v>
      </c>
      <c r="M134" s="514">
        <f t="shared" si="63"/>
        <v>0</v>
      </c>
      <c r="N134" s="479">
        <f t="shared" si="67"/>
        <v>0</v>
      </c>
      <c r="O134" s="514">
        <f t="shared" si="65"/>
        <v>0</v>
      </c>
      <c r="P134" s="468"/>
      <c r="Q134" s="520">
        <v>0</v>
      </c>
      <c r="R134" s="468"/>
      <c r="S134" s="468"/>
      <c r="T134" s="468"/>
      <c r="U134" s="468"/>
      <c r="V134" s="468"/>
      <c r="W134" s="468"/>
      <c r="X134" s="468"/>
      <c r="Y134" s="468"/>
      <c r="Z134" s="468"/>
      <c r="AA134" s="468"/>
      <c r="AB134" s="468"/>
      <c r="AC134" s="468"/>
      <c r="AD134" s="468"/>
      <c r="AE134" s="468"/>
      <c r="AF134" s="468"/>
      <c r="AG134" s="468"/>
      <c r="AH134" s="468"/>
      <c r="AI134" s="468"/>
      <c r="AJ134" s="468"/>
    </row>
    <row r="135" spans="1:36" ht="18" hidden="1" customHeight="1" x14ac:dyDescent="0.35">
      <c r="A135" s="468"/>
      <c r="B135" s="494"/>
      <c r="C135" s="494"/>
      <c r="D135" s="849"/>
      <c r="E135" s="849"/>
      <c r="F135" s="850"/>
      <c r="G135" s="468"/>
      <c r="H135" s="468"/>
      <c r="I135" s="468"/>
      <c r="J135" s="468">
        <f t="shared" si="61"/>
        <v>0</v>
      </c>
      <c r="K135" s="468">
        <f t="shared" si="62"/>
        <v>0</v>
      </c>
      <c r="L135" s="514">
        <v>0</v>
      </c>
      <c r="M135" s="514">
        <f t="shared" si="63"/>
        <v>0</v>
      </c>
      <c r="N135" s="479">
        <f t="shared" si="67"/>
        <v>0</v>
      </c>
      <c r="O135" s="514">
        <f t="shared" si="65"/>
        <v>0</v>
      </c>
      <c r="P135" s="468"/>
      <c r="Q135" s="520">
        <v>0</v>
      </c>
      <c r="R135" s="468"/>
      <c r="S135" s="468"/>
      <c r="T135" s="468"/>
      <c r="U135" s="468"/>
      <c r="V135" s="468"/>
      <c r="W135" s="468"/>
      <c r="X135" s="468"/>
      <c r="Y135" s="468"/>
      <c r="Z135" s="468"/>
      <c r="AA135" s="468"/>
      <c r="AB135" s="468"/>
      <c r="AC135" s="468"/>
      <c r="AD135" s="468"/>
      <c r="AE135" s="468"/>
      <c r="AF135" s="468"/>
      <c r="AG135" s="468"/>
      <c r="AH135" s="468"/>
      <c r="AI135" s="468"/>
      <c r="AJ135" s="468"/>
    </row>
    <row r="136" spans="1:36" ht="18" hidden="1" customHeight="1" x14ac:dyDescent="0.35">
      <c r="A136" s="468"/>
      <c r="B136" s="494"/>
      <c r="C136" s="494"/>
      <c r="D136" s="849"/>
      <c r="E136" s="849"/>
      <c r="F136" s="850"/>
      <c r="G136" s="468"/>
      <c r="H136" s="468"/>
      <c r="I136" s="468"/>
      <c r="J136" s="468">
        <f t="shared" si="61"/>
        <v>0</v>
      </c>
      <c r="K136" s="468">
        <f t="shared" si="62"/>
        <v>0</v>
      </c>
      <c r="L136" s="514">
        <v>0</v>
      </c>
      <c r="M136" s="514">
        <f t="shared" si="63"/>
        <v>0</v>
      </c>
      <c r="N136" s="479">
        <f t="shared" si="67"/>
        <v>0</v>
      </c>
      <c r="O136" s="514">
        <f t="shared" si="65"/>
        <v>0</v>
      </c>
      <c r="P136" s="468"/>
      <c r="Q136" s="520">
        <v>0</v>
      </c>
      <c r="R136" s="468"/>
      <c r="S136" s="468"/>
      <c r="T136" s="468"/>
      <c r="U136" s="468"/>
      <c r="V136" s="468"/>
      <c r="W136" s="468"/>
      <c r="X136" s="468"/>
      <c r="Y136" s="468"/>
      <c r="Z136" s="468"/>
      <c r="AA136" s="468"/>
      <c r="AB136" s="468"/>
      <c r="AC136" s="468"/>
      <c r="AD136" s="468"/>
      <c r="AE136" s="468"/>
      <c r="AF136" s="468"/>
      <c r="AG136" s="468"/>
      <c r="AH136" s="468"/>
      <c r="AI136" s="468"/>
      <c r="AJ136" s="468"/>
    </row>
    <row r="137" spans="1:36" ht="18" hidden="1" customHeight="1" x14ac:dyDescent="0.35">
      <c r="A137" s="468"/>
      <c r="B137" s="494"/>
      <c r="C137" s="494"/>
      <c r="D137" s="849"/>
      <c r="E137" s="849"/>
      <c r="F137" s="850"/>
      <c r="G137" s="468"/>
      <c r="H137" s="468"/>
      <c r="I137" s="468"/>
      <c r="J137" s="468">
        <f t="shared" si="61"/>
        <v>0</v>
      </c>
      <c r="K137" s="468">
        <f t="shared" si="62"/>
        <v>0</v>
      </c>
      <c r="L137" s="514">
        <v>0</v>
      </c>
      <c r="M137" s="514">
        <f t="shared" si="63"/>
        <v>0</v>
      </c>
      <c r="N137" s="479">
        <f t="shared" si="67"/>
        <v>0</v>
      </c>
      <c r="O137" s="514">
        <f t="shared" si="65"/>
        <v>0</v>
      </c>
      <c r="P137" s="468"/>
      <c r="Q137" s="520">
        <v>0</v>
      </c>
      <c r="R137" s="468"/>
      <c r="S137" s="468"/>
      <c r="T137" s="468"/>
      <c r="U137" s="468"/>
      <c r="V137" s="468"/>
      <c r="W137" s="468"/>
      <c r="X137" s="468"/>
      <c r="Y137" s="468"/>
      <c r="Z137" s="468"/>
      <c r="AA137" s="468"/>
      <c r="AB137" s="468"/>
      <c r="AC137" s="468"/>
      <c r="AD137" s="468"/>
      <c r="AE137" s="468"/>
      <c r="AF137" s="468"/>
      <c r="AG137" s="468"/>
      <c r="AH137" s="468"/>
      <c r="AI137" s="468"/>
      <c r="AJ137" s="468"/>
    </row>
    <row r="138" spans="1:36" ht="18" hidden="1" customHeight="1" x14ac:dyDescent="0.35">
      <c r="A138" s="468"/>
      <c r="B138" s="851" t="s">
        <v>176</v>
      </c>
      <c r="C138" s="494" t="str">
        <f>'6 Caissons Objets'!plat4</f>
        <v>Aucun</v>
      </c>
      <c r="D138" s="849">
        <f>IF(C138="Aucun",0,'6 Caissons Objets'!Lnec4-0.3)</f>
        <v>0</v>
      </c>
      <c r="E138" s="849">
        <f>IF(C138="Aucun",0,'6 Caissons Objets'!lanec4-0.3)</f>
        <v>0</v>
      </c>
      <c r="F138" s="850">
        <f>IF(C138="Aucun",0,1)</f>
        <v>0</v>
      </c>
      <c r="G138" s="519">
        <f>G122</f>
        <v>0</v>
      </c>
      <c r="H138" s="468"/>
      <c r="I138" s="468"/>
      <c r="J138" s="468">
        <f t="shared" si="61"/>
        <v>0</v>
      </c>
      <c r="K138" s="468">
        <f t="shared" si="62"/>
        <v>0</v>
      </c>
      <c r="L138" s="514">
        <v>0</v>
      </c>
      <c r="M138" s="514">
        <f t="shared" si="63"/>
        <v>0</v>
      </c>
      <c r="N138" s="479">
        <f t="shared" si="67"/>
        <v>0</v>
      </c>
      <c r="O138" s="514">
        <f t="shared" si="65"/>
        <v>0</v>
      </c>
      <c r="P138" s="468"/>
      <c r="Q138" s="520">
        <f>IF(J138=0,0,J138*VLOOKUP(C138,$A$214:$D$220,4))</f>
        <v>0</v>
      </c>
      <c r="R138" s="468"/>
      <c r="S138" s="468"/>
      <c r="T138" s="468"/>
      <c r="U138" s="468"/>
      <c r="V138" s="468"/>
      <c r="W138" s="468"/>
      <c r="X138" s="468"/>
      <c r="Y138" s="468"/>
      <c r="Z138" s="468"/>
      <c r="AA138" s="468"/>
      <c r="AB138" s="468"/>
      <c r="AC138" s="468"/>
      <c r="AD138" s="468"/>
      <c r="AE138" s="468"/>
      <c r="AF138" s="468"/>
      <c r="AG138" s="468"/>
      <c r="AH138" s="468"/>
      <c r="AI138" s="468"/>
      <c r="AJ138" s="468"/>
    </row>
    <row r="139" spans="1:36" ht="18" hidden="1" customHeight="1" x14ac:dyDescent="0.35">
      <c r="A139" s="468"/>
      <c r="B139" s="494"/>
      <c r="C139" s="494"/>
      <c r="D139" s="849"/>
      <c r="E139" s="849"/>
      <c r="F139" s="850"/>
      <c r="G139" s="468"/>
      <c r="H139" s="468"/>
      <c r="I139" s="468"/>
      <c r="J139" s="468"/>
      <c r="K139" s="468"/>
      <c r="L139" s="468"/>
      <c r="M139" s="514"/>
      <c r="N139" s="479"/>
      <c r="O139" s="514"/>
      <c r="P139" s="468"/>
      <c r="Q139" s="520">
        <v>0</v>
      </c>
      <c r="R139" s="468"/>
      <c r="S139" s="468"/>
      <c r="T139" s="468"/>
      <c r="U139" s="468"/>
      <c r="V139" s="468"/>
      <c r="W139" s="468"/>
      <c r="X139" s="468"/>
      <c r="Y139" s="468"/>
      <c r="Z139" s="468"/>
      <c r="AA139" s="468"/>
      <c r="AB139" s="468"/>
      <c r="AC139" s="468"/>
      <c r="AD139" s="468"/>
      <c r="AE139" s="468"/>
      <c r="AF139" s="468"/>
      <c r="AG139" s="468"/>
      <c r="AH139" s="468"/>
      <c r="AI139" s="468"/>
      <c r="AJ139" s="468"/>
    </row>
    <row r="140" spans="1:36" ht="18" hidden="1" customHeight="1" x14ac:dyDescent="0.35">
      <c r="A140" s="468"/>
      <c r="B140" s="468"/>
      <c r="C140" s="468"/>
      <c r="D140" s="468"/>
      <c r="E140" s="468"/>
      <c r="F140" s="468"/>
      <c r="G140" s="468"/>
      <c r="H140" s="468"/>
      <c r="I140" s="468"/>
      <c r="J140" s="468">
        <f t="shared" ref="J140:J143" si="68">IF(C140=0,0,(C140/100)*(D140/100)*F140)</f>
        <v>0</v>
      </c>
      <c r="K140" s="468">
        <f t="shared" ref="K140:K143" si="69">J140/0.8</f>
        <v>0</v>
      </c>
      <c r="L140" s="514"/>
      <c r="M140" s="514"/>
      <c r="N140" s="479"/>
      <c r="O140" s="514"/>
      <c r="P140" s="468"/>
      <c r="Q140" s="520">
        <v>0</v>
      </c>
      <c r="R140" s="468"/>
      <c r="S140" s="468"/>
      <c r="T140" s="468"/>
      <c r="U140" s="468"/>
      <c r="V140" s="468"/>
      <c r="W140" s="468"/>
      <c r="X140" s="468"/>
      <c r="Y140" s="468"/>
      <c r="Z140" s="468"/>
      <c r="AA140" s="468"/>
      <c r="AB140" s="468"/>
      <c r="AC140" s="468"/>
      <c r="AD140" s="468"/>
      <c r="AE140" s="468"/>
      <c r="AF140" s="468"/>
      <c r="AG140" s="468"/>
      <c r="AH140" s="468"/>
      <c r="AI140" s="468"/>
      <c r="AJ140" s="468"/>
    </row>
    <row r="141" spans="1:36" ht="18" hidden="1" customHeight="1" x14ac:dyDescent="0.35">
      <c r="A141" s="471" t="s">
        <v>164</v>
      </c>
      <c r="B141" s="468"/>
      <c r="C141" s="468"/>
      <c r="D141" s="468"/>
      <c r="E141" s="468"/>
      <c r="F141" s="468"/>
      <c r="G141" s="468"/>
      <c r="H141" s="468"/>
      <c r="I141" s="468"/>
      <c r="J141" s="468">
        <f t="shared" si="68"/>
        <v>0</v>
      </c>
      <c r="K141" s="468">
        <f t="shared" si="69"/>
        <v>0</v>
      </c>
      <c r="L141" s="514"/>
      <c r="M141" s="514"/>
      <c r="N141" s="479"/>
      <c r="O141" s="514"/>
      <c r="P141" s="468"/>
      <c r="Q141" s="520">
        <v>0</v>
      </c>
      <c r="R141" s="468"/>
      <c r="S141" s="468"/>
      <c r="T141" s="468"/>
      <c r="U141" s="468"/>
      <c r="V141" s="468"/>
      <c r="W141" s="468"/>
      <c r="X141" s="468"/>
      <c r="Y141" s="468"/>
      <c r="Z141" s="468"/>
      <c r="AA141" s="468"/>
      <c r="AB141" s="468"/>
      <c r="AC141" s="468"/>
      <c r="AD141" s="468"/>
      <c r="AE141" s="468"/>
      <c r="AF141" s="468"/>
      <c r="AG141" s="468"/>
      <c r="AH141" s="468"/>
      <c r="AI141" s="468"/>
      <c r="AJ141" s="468"/>
    </row>
    <row r="142" spans="1:36" ht="18" hidden="1" customHeight="1" x14ac:dyDescent="0.35">
      <c r="A142" s="468"/>
      <c r="B142" s="468"/>
      <c r="C142" s="468"/>
      <c r="D142" s="468"/>
      <c r="E142" s="468"/>
      <c r="F142" s="468"/>
      <c r="G142" s="468"/>
      <c r="H142" s="468"/>
      <c r="I142" s="468"/>
      <c r="J142" s="468">
        <f t="shared" si="68"/>
        <v>0</v>
      </c>
      <c r="K142" s="468">
        <f t="shared" si="69"/>
        <v>0</v>
      </c>
      <c r="L142" s="514"/>
      <c r="M142" s="514"/>
      <c r="N142" s="479"/>
      <c r="O142" s="514"/>
      <c r="P142" s="468"/>
      <c r="Q142" s="520">
        <v>0</v>
      </c>
      <c r="R142" s="468"/>
      <c r="S142" s="468"/>
      <c r="T142" s="468"/>
      <c r="U142" s="468"/>
      <c r="V142" s="468"/>
      <c r="W142" s="468"/>
      <c r="X142" s="468"/>
      <c r="Y142" s="468"/>
      <c r="Z142" s="468"/>
      <c r="AA142" s="468"/>
      <c r="AB142" s="468"/>
      <c r="AC142" s="468"/>
      <c r="AD142" s="468"/>
      <c r="AE142" s="468"/>
      <c r="AF142" s="468"/>
      <c r="AG142" s="468"/>
      <c r="AH142" s="468"/>
      <c r="AI142" s="468"/>
      <c r="AJ142" s="468"/>
    </row>
    <row r="143" spans="1:36" ht="18" hidden="1" customHeight="1" x14ac:dyDescent="0.35">
      <c r="A143" s="468"/>
      <c r="B143" s="848" t="str">
        <f>H29</f>
        <v>Aucun</v>
      </c>
      <c r="C143" s="521"/>
      <c r="D143" s="849" t="s">
        <v>28</v>
      </c>
      <c r="E143" s="849" t="s">
        <v>33</v>
      </c>
      <c r="F143" s="850" t="s">
        <v>34</v>
      </c>
      <c r="G143" s="468"/>
      <c r="H143" s="468"/>
      <c r="I143" s="468"/>
      <c r="J143" s="468">
        <f t="shared" si="68"/>
        <v>0</v>
      </c>
      <c r="K143" s="468">
        <f t="shared" si="69"/>
        <v>0</v>
      </c>
      <c r="L143" s="514"/>
      <c r="M143" s="514"/>
      <c r="N143" s="479"/>
      <c r="O143" s="514"/>
      <c r="P143" s="468"/>
      <c r="Q143" s="520">
        <v>0</v>
      </c>
      <c r="R143" s="468"/>
      <c r="S143" s="468"/>
      <c r="T143" s="468"/>
      <c r="U143" s="468"/>
      <c r="V143" s="468"/>
      <c r="W143" s="468"/>
      <c r="X143" s="468"/>
      <c r="Y143" s="468"/>
      <c r="Z143" s="468"/>
      <c r="AA143" s="468"/>
      <c r="AB143" s="468"/>
      <c r="AC143" s="468"/>
      <c r="AD143" s="468"/>
      <c r="AE143" s="468"/>
      <c r="AF143" s="468"/>
      <c r="AG143" s="468"/>
      <c r="AH143" s="468"/>
      <c r="AI143" s="468"/>
      <c r="AJ143" s="468"/>
    </row>
    <row r="144" spans="1:36" ht="18" hidden="1" customHeight="1" x14ac:dyDescent="0.35">
      <c r="A144" s="468"/>
      <c r="B144" s="848"/>
      <c r="C144" s="521"/>
      <c r="D144" s="849"/>
      <c r="E144" s="849"/>
      <c r="F144" s="850"/>
      <c r="G144" s="468"/>
      <c r="H144" s="468"/>
      <c r="I144" s="468"/>
      <c r="J144" s="468"/>
      <c r="K144" s="468"/>
      <c r="L144" s="514"/>
      <c r="M144" s="514"/>
      <c r="N144" s="479"/>
      <c r="O144" s="514"/>
      <c r="P144" s="468"/>
      <c r="Q144" s="520">
        <v>0</v>
      </c>
      <c r="R144" s="468"/>
      <c r="S144" s="468"/>
      <c r="T144" s="468"/>
      <c r="U144" s="468"/>
      <c r="V144" s="468"/>
      <c r="W144" s="468"/>
      <c r="X144" s="468"/>
      <c r="Y144" s="468"/>
      <c r="Z144" s="468"/>
      <c r="AA144" s="468"/>
      <c r="AB144" s="468"/>
      <c r="AC144" s="468"/>
      <c r="AD144" s="468"/>
      <c r="AE144" s="468"/>
      <c r="AF144" s="468"/>
      <c r="AG144" s="468"/>
      <c r="AH144" s="468"/>
      <c r="AI144" s="468"/>
      <c r="AJ144" s="468"/>
    </row>
    <row r="145" spans="1:36" ht="18" hidden="1" customHeight="1" x14ac:dyDescent="0.35">
      <c r="A145" s="468"/>
      <c r="B145" s="851" t="s">
        <v>485</v>
      </c>
      <c r="C145" s="521">
        <f>IF('6 Caissons Objets'!Lnec5=0,0,"Peuplier 15 mm")</f>
        <v>0</v>
      </c>
      <c r="D145" s="849">
        <f>IF(C145=0,0,'6 Caissons Objets'!Lnec5+3)</f>
        <v>0</v>
      </c>
      <c r="E145" s="849">
        <f>IF('6 Caissons Objets'!hnec5=0,0,'6 Caissons Objets'!hnec5+VLOOKUP(H33,$A$232:$C$234,3))</f>
        <v>0</v>
      </c>
      <c r="F145" s="850">
        <f>IF(D145=0,0,2)</f>
        <v>0</v>
      </c>
      <c r="G145" s="519">
        <f t="shared" ref="G145:G148" si="70">C145</f>
        <v>0</v>
      </c>
      <c r="H145" s="468"/>
      <c r="I145" s="468"/>
      <c r="J145" s="468">
        <f t="shared" ref="J145:J148" si="71">IF(D145=0,0,(D145/100)*(E145/100)*F145)</f>
        <v>0</v>
      </c>
      <c r="K145" s="468">
        <f t="shared" ref="K145:K148" si="72">J145/0.8</f>
        <v>0</v>
      </c>
      <c r="L145" s="514">
        <v>0</v>
      </c>
      <c r="M145" s="514">
        <f>L145*K145-IF($J$31="Non",K145*0.75,0)</f>
        <v>0</v>
      </c>
      <c r="N145" s="479">
        <f t="shared" ref="N145:N148" si="73">IF(J145=0,0,IF($J$31="Oui",(7.0924*J145)+5,(6.0924*J145)+1))</f>
        <v>0</v>
      </c>
      <c r="O145" s="514">
        <f t="shared" ref="O145:O148" si="74">N145*'6 Caissons Objets'!MinuteMO</f>
        <v>0</v>
      </c>
      <c r="P145" s="468"/>
      <c r="Q145" s="520">
        <v>0</v>
      </c>
      <c r="R145" s="468"/>
      <c r="S145" s="468"/>
      <c r="T145" s="468"/>
      <c r="U145" s="468"/>
      <c r="V145" s="468"/>
      <c r="W145" s="468"/>
      <c r="X145" s="468"/>
      <c r="Y145" s="468"/>
      <c r="Z145" s="468"/>
      <c r="AA145" s="468"/>
      <c r="AB145" s="468"/>
      <c r="AC145" s="468"/>
      <c r="AD145" s="468"/>
      <c r="AE145" s="468"/>
      <c r="AF145" s="468"/>
      <c r="AG145" s="468"/>
      <c r="AH145" s="468"/>
      <c r="AI145" s="468"/>
      <c r="AJ145" s="468"/>
    </row>
    <row r="146" spans="1:36" ht="18" hidden="1" customHeight="1" x14ac:dyDescent="0.35">
      <c r="A146" s="468"/>
      <c r="B146" s="851" t="s">
        <v>175</v>
      </c>
      <c r="C146" s="521">
        <f>IF('6 Caissons Objets'!Lnec5=0,0,"Peuplier 15 mm")</f>
        <v>0</v>
      </c>
      <c r="D146" s="849">
        <f>D145</f>
        <v>0</v>
      </c>
      <c r="E146" s="849">
        <f>IF('6 Caissons Objets'!lanec5=0,0,'6 Caissons Objets'!lanec5+3.5)</f>
        <v>0</v>
      </c>
      <c r="F146" s="850">
        <f t="shared" ref="F146:F147" si="75">IF(D146=0,0,1)</f>
        <v>0</v>
      </c>
      <c r="G146" s="519">
        <f t="shared" si="70"/>
        <v>0</v>
      </c>
      <c r="H146" s="468"/>
      <c r="I146" s="468"/>
      <c r="J146" s="468">
        <f t="shared" si="71"/>
        <v>0</v>
      </c>
      <c r="K146" s="468">
        <f t="shared" si="72"/>
        <v>0</v>
      </c>
      <c r="L146" s="514">
        <v>0</v>
      </c>
      <c r="M146" s="514">
        <f t="shared" ref="M146:M148" si="76">L146*K146</f>
        <v>0</v>
      </c>
      <c r="N146" s="479">
        <f t="shared" si="73"/>
        <v>0</v>
      </c>
      <c r="O146" s="514">
        <f t="shared" si="74"/>
        <v>0</v>
      </c>
      <c r="P146" s="468"/>
      <c r="Q146" s="520">
        <v>0</v>
      </c>
      <c r="R146" s="468"/>
      <c r="S146" s="468"/>
      <c r="T146" s="468"/>
      <c r="U146" s="468"/>
      <c r="V146" s="468"/>
      <c r="W146" s="468"/>
      <c r="X146" s="468"/>
      <c r="Y146" s="468"/>
      <c r="Z146" s="468"/>
      <c r="AA146" s="468"/>
      <c r="AB146" s="468"/>
      <c r="AC146" s="468"/>
      <c r="AD146" s="468"/>
      <c r="AE146" s="468"/>
      <c r="AF146" s="468"/>
      <c r="AG146" s="468"/>
      <c r="AH146" s="468"/>
      <c r="AI146" s="468"/>
      <c r="AJ146" s="468"/>
    </row>
    <row r="147" spans="1:36" ht="18" hidden="1" customHeight="1" x14ac:dyDescent="0.35">
      <c r="A147" s="468"/>
      <c r="B147" s="851" t="s">
        <v>176</v>
      </c>
      <c r="C147" s="521">
        <f>IF('6 Caissons Objets'!Lnec5=0,0,VLOOKUP(H33,$A$232:$B$234,2))</f>
        <v>0</v>
      </c>
      <c r="D147" s="849">
        <f>IF('6 Caissons Objets'!Lnec5=0,0,'6 Caissons Objets'!Lnec5)</f>
        <v>0</v>
      </c>
      <c r="E147" s="849">
        <f>IF('6 Caissons Objets'!lanec5=0,0,'6 Caissons Objets'!lanec5)</f>
        <v>0</v>
      </c>
      <c r="F147" s="850">
        <f t="shared" si="75"/>
        <v>0</v>
      </c>
      <c r="G147" s="519">
        <f t="shared" si="70"/>
        <v>0</v>
      </c>
      <c r="H147" s="468"/>
      <c r="I147" s="468"/>
      <c r="J147" s="468">
        <f t="shared" si="71"/>
        <v>0</v>
      </c>
      <c r="K147" s="468">
        <f t="shared" si="72"/>
        <v>0</v>
      </c>
      <c r="L147" s="514">
        <v>0</v>
      </c>
      <c r="M147" s="514">
        <f t="shared" si="76"/>
        <v>0</v>
      </c>
      <c r="N147" s="479">
        <f t="shared" si="73"/>
        <v>0</v>
      </c>
      <c r="O147" s="514">
        <f t="shared" si="74"/>
        <v>0</v>
      </c>
      <c r="P147" s="468"/>
      <c r="Q147" s="520">
        <v>0</v>
      </c>
      <c r="R147" s="468"/>
      <c r="S147" s="468"/>
      <c r="T147" s="468"/>
      <c r="U147" s="468"/>
      <c r="V147" s="468"/>
      <c r="W147" s="468"/>
      <c r="X147" s="468"/>
      <c r="Y147" s="468"/>
      <c r="Z147" s="468"/>
      <c r="AA147" s="468"/>
      <c r="AB147" s="468"/>
      <c r="AC147" s="468"/>
      <c r="AD147" s="468"/>
      <c r="AE147" s="468"/>
      <c r="AF147" s="468"/>
      <c r="AG147" s="468"/>
      <c r="AH147" s="468"/>
      <c r="AI147" s="468"/>
      <c r="AJ147" s="468"/>
    </row>
    <row r="148" spans="1:36" ht="18" hidden="1" customHeight="1" x14ac:dyDescent="0.35">
      <c r="A148" s="468"/>
      <c r="B148" s="851" t="s">
        <v>55</v>
      </c>
      <c r="C148" s="521">
        <f>IF('6 Caissons Objets'!Lnec5=0,0,"Peuplier 15 mm")</f>
        <v>0</v>
      </c>
      <c r="D148" s="849">
        <f>IF('6 Caissons Objets'!lanec5=0,0,'6 Caissons Objets'!lanec5)</f>
        <v>0</v>
      </c>
      <c r="E148" s="849">
        <f>E145</f>
        <v>0</v>
      </c>
      <c r="F148" s="850">
        <f>IF(D148=0,0,2)</f>
        <v>0</v>
      </c>
      <c r="G148" s="519">
        <f t="shared" si="70"/>
        <v>0</v>
      </c>
      <c r="H148" s="468"/>
      <c r="I148" s="468"/>
      <c r="J148" s="468">
        <f t="shared" si="71"/>
        <v>0</v>
      </c>
      <c r="K148" s="468">
        <f t="shared" si="72"/>
        <v>0</v>
      </c>
      <c r="L148" s="514">
        <v>0</v>
      </c>
      <c r="M148" s="514">
        <f t="shared" si="76"/>
        <v>0</v>
      </c>
      <c r="N148" s="479">
        <f t="shared" si="73"/>
        <v>0</v>
      </c>
      <c r="O148" s="514">
        <f t="shared" si="74"/>
        <v>0</v>
      </c>
      <c r="P148" s="468"/>
      <c r="Q148" s="520">
        <v>0</v>
      </c>
      <c r="R148" s="468"/>
      <c r="S148" s="468"/>
      <c r="T148" s="468"/>
      <c r="U148" s="468"/>
      <c r="V148" s="468"/>
      <c r="W148" s="468"/>
      <c r="X148" s="468"/>
      <c r="Y148" s="468"/>
      <c r="Z148" s="468"/>
      <c r="AA148" s="468"/>
      <c r="AB148" s="468"/>
      <c r="AC148" s="468"/>
      <c r="AD148" s="468"/>
      <c r="AE148" s="468"/>
      <c r="AF148" s="468"/>
      <c r="AG148" s="468"/>
      <c r="AH148" s="468"/>
      <c r="AI148" s="468"/>
      <c r="AJ148" s="468"/>
    </row>
    <row r="149" spans="1:36" ht="18" hidden="1" customHeight="1" x14ac:dyDescent="0.35">
      <c r="A149" s="468"/>
      <c r="B149" s="851"/>
      <c r="C149" s="521"/>
      <c r="D149" s="849"/>
      <c r="E149" s="849"/>
      <c r="F149" s="850"/>
      <c r="G149" s="468"/>
      <c r="H149" s="468"/>
      <c r="I149" s="468"/>
      <c r="J149" s="468"/>
      <c r="K149" s="468"/>
      <c r="L149" s="514"/>
      <c r="M149" s="514"/>
      <c r="N149" s="479"/>
      <c r="O149" s="514"/>
      <c r="P149" s="468"/>
      <c r="Q149" s="520">
        <v>0</v>
      </c>
      <c r="R149" s="468"/>
      <c r="S149" s="468"/>
      <c r="T149" s="468"/>
      <c r="U149" s="468"/>
      <c r="V149" s="468"/>
      <c r="W149" s="468"/>
      <c r="X149" s="468"/>
      <c r="Y149" s="468"/>
      <c r="Z149" s="468"/>
      <c r="AA149" s="468"/>
      <c r="AB149" s="468"/>
      <c r="AC149" s="468"/>
      <c r="AD149" s="468"/>
      <c r="AE149" s="468"/>
      <c r="AF149" s="468"/>
      <c r="AG149" s="468"/>
      <c r="AH149" s="468"/>
      <c r="AI149" s="468"/>
      <c r="AJ149" s="468"/>
    </row>
    <row r="150" spans="1:36" ht="18" hidden="1" customHeight="1" x14ac:dyDescent="0.35">
      <c r="A150" s="468"/>
      <c r="B150" s="521" t="s">
        <v>22</v>
      </c>
      <c r="C150" s="494">
        <f>VLOOKUP(B143,'6 Caissons Objets'!Moussecal5,2)</f>
        <v>0</v>
      </c>
      <c r="D150" s="850">
        <f>VLOOKUP(B143,'6 Caissons Objets'!Moussecal5,3)</f>
        <v>0</v>
      </c>
      <c r="E150" s="850">
        <f>VLOOKUP(B143,'6 Caissons Objets'!Moussecal5,4)</f>
        <v>0</v>
      </c>
      <c r="F150" s="850">
        <f>VLOOKUP(B143,'6 Caissons Objets'!Moussecal5,5)</f>
        <v>0</v>
      </c>
      <c r="G150" s="468">
        <f t="shared" ref="G150:G152" si="77">IF(C150=0,0,"Barres 21 R4F")</f>
        <v>0</v>
      </c>
      <c r="H150" s="468"/>
      <c r="I150" s="468"/>
      <c r="J150" s="468">
        <f t="shared" ref="J150:J161" si="78">IF(D150=0,0,(D150/100)*(E150/100)*F150)</f>
        <v>0</v>
      </c>
      <c r="K150" s="468">
        <f t="shared" ref="K150:K161" si="79">J150/0.8</f>
        <v>0</v>
      </c>
      <c r="L150" s="514">
        <v>0</v>
      </c>
      <c r="M150" s="514">
        <f t="shared" ref="M150:M161" si="80">L150*K150</f>
        <v>0</v>
      </c>
      <c r="N150" s="479">
        <f t="shared" ref="N150:N152" si="81">IF(J150=0,0,2+(6*J150))</f>
        <v>0</v>
      </c>
      <c r="O150" s="514">
        <f t="shared" ref="O150:O161" si="82">N150*'6 Caissons Objets'!MinuteMO</f>
        <v>0</v>
      </c>
      <c r="P150" s="468"/>
      <c r="Q150" s="520">
        <v>0</v>
      </c>
      <c r="R150" s="468"/>
      <c r="S150" s="468"/>
      <c r="T150" s="468"/>
      <c r="U150" s="468"/>
      <c r="V150" s="468"/>
      <c r="W150" s="468"/>
      <c r="X150" s="468"/>
      <c r="Y150" s="468"/>
      <c r="Z150" s="468"/>
      <c r="AA150" s="468"/>
      <c r="AB150" s="468"/>
      <c r="AC150" s="468"/>
      <c r="AD150" s="468"/>
      <c r="AE150" s="468"/>
      <c r="AF150" s="468"/>
      <c r="AG150" s="468"/>
      <c r="AH150" s="468"/>
      <c r="AI150" s="468"/>
      <c r="AJ150" s="468"/>
    </row>
    <row r="151" spans="1:36" ht="18" hidden="1" customHeight="1" x14ac:dyDescent="0.35">
      <c r="A151" s="468"/>
      <c r="B151" s="521"/>
      <c r="C151" s="494">
        <f>VLOOKUP(B143,'6 Caissons Objets'!Moussecal5,6)</f>
        <v>0</v>
      </c>
      <c r="D151" s="850">
        <f>VLOOKUP(B143,'6 Caissons Objets'!Moussecal5,7)</f>
        <v>0</v>
      </c>
      <c r="E151" s="850">
        <f>VLOOKUP(B143,'6 Caissons Objets'!Moussecal5,8)</f>
        <v>0</v>
      </c>
      <c r="F151" s="850">
        <f>VLOOKUP(B143,'6 Caissons Objets'!Moussecal5,9)</f>
        <v>0</v>
      </c>
      <c r="G151" s="468">
        <f t="shared" si="77"/>
        <v>0</v>
      </c>
      <c r="H151" s="468"/>
      <c r="I151" s="468"/>
      <c r="J151" s="468">
        <f t="shared" si="78"/>
        <v>0</v>
      </c>
      <c r="K151" s="468">
        <f t="shared" si="79"/>
        <v>0</v>
      </c>
      <c r="L151" s="514">
        <v>0</v>
      </c>
      <c r="M151" s="514">
        <f t="shared" si="80"/>
        <v>0</v>
      </c>
      <c r="N151" s="479">
        <f t="shared" si="81"/>
        <v>0</v>
      </c>
      <c r="O151" s="514">
        <f t="shared" si="82"/>
        <v>0</v>
      </c>
      <c r="P151" s="468"/>
      <c r="Q151" s="520">
        <v>0</v>
      </c>
      <c r="R151" s="468"/>
      <c r="S151" s="468"/>
      <c r="T151" s="468"/>
      <c r="U151" s="468"/>
      <c r="V151" s="468"/>
      <c r="W151" s="468"/>
      <c r="X151" s="468"/>
      <c r="Y151" s="468"/>
      <c r="Z151" s="468"/>
      <c r="AA151" s="468"/>
      <c r="AB151" s="468"/>
      <c r="AC151" s="468"/>
      <c r="AD151" s="468"/>
      <c r="AE151" s="468"/>
      <c r="AF151" s="468"/>
      <c r="AG151" s="468"/>
      <c r="AH151" s="468"/>
      <c r="AI151" s="468"/>
      <c r="AJ151" s="468"/>
    </row>
    <row r="152" spans="1:36" ht="18" hidden="1" customHeight="1" x14ac:dyDescent="0.35">
      <c r="A152" s="468"/>
      <c r="B152" s="521"/>
      <c r="C152" s="494">
        <f>VLOOKUP(B143,'6 Caissons Objets'!Moussecal5,10)</f>
        <v>0</v>
      </c>
      <c r="D152" s="850">
        <f>VLOOKUP(B143,'6 Caissons Objets'!Moussecal5,11)</f>
        <v>0</v>
      </c>
      <c r="E152" s="850">
        <f>VLOOKUP(B143,'6 Caissons Objets'!Moussecal5,12)</f>
        <v>0</v>
      </c>
      <c r="F152" s="850">
        <f>VLOOKUP(B143,'6 Caissons Objets'!Moussecal5,13)</f>
        <v>0</v>
      </c>
      <c r="G152" s="468">
        <f t="shared" si="77"/>
        <v>0</v>
      </c>
      <c r="H152" s="468"/>
      <c r="I152" s="468"/>
      <c r="J152" s="468">
        <f t="shared" si="78"/>
        <v>0</v>
      </c>
      <c r="K152" s="468">
        <f t="shared" si="79"/>
        <v>0</v>
      </c>
      <c r="L152" s="514">
        <v>0</v>
      </c>
      <c r="M152" s="514">
        <f t="shared" si="80"/>
        <v>0</v>
      </c>
      <c r="N152" s="479">
        <f t="shared" si="81"/>
        <v>0</v>
      </c>
      <c r="O152" s="514">
        <f t="shared" si="82"/>
        <v>0</v>
      </c>
      <c r="P152" s="468"/>
      <c r="Q152" s="520">
        <v>0</v>
      </c>
      <c r="R152" s="468"/>
      <c r="S152" s="468"/>
      <c r="T152" s="468"/>
      <c r="U152" s="468"/>
      <c r="V152" s="468"/>
      <c r="W152" s="468"/>
      <c r="X152" s="468"/>
      <c r="Y152" s="468"/>
      <c r="Z152" s="468"/>
      <c r="AA152" s="468"/>
      <c r="AB152" s="468"/>
      <c r="AC152" s="468"/>
      <c r="AD152" s="468"/>
      <c r="AE152" s="468"/>
      <c r="AF152" s="468"/>
      <c r="AG152" s="468"/>
      <c r="AH152" s="468"/>
      <c r="AI152" s="468"/>
      <c r="AJ152" s="468"/>
    </row>
    <row r="153" spans="1:36" ht="18" hidden="1" customHeight="1" x14ac:dyDescent="0.35">
      <c r="A153" s="468"/>
      <c r="B153" s="521" t="s">
        <v>80</v>
      </c>
      <c r="C153" s="494">
        <f>VLOOKUP(B143,'6 Caissons Objets'!Moussecal5,14)</f>
        <v>0</v>
      </c>
      <c r="D153" s="850">
        <f>VLOOKUP(B143,'6 Caissons Objets'!Moussecal5,15)</f>
        <v>0</v>
      </c>
      <c r="E153" s="850">
        <f>VLOOKUP(B143,'6 Caissons Objets'!Moussecal5,16)</f>
        <v>0</v>
      </c>
      <c r="F153" s="850">
        <f>VLOOKUP(B143,'6 Caissons Objets'!Moussecal5,17)</f>
        <v>0</v>
      </c>
      <c r="G153" s="468">
        <f t="shared" ref="G153:G156" si="83">C153</f>
        <v>0</v>
      </c>
      <c r="H153" s="468"/>
      <c r="I153" s="468"/>
      <c r="J153" s="468">
        <f t="shared" si="78"/>
        <v>0</v>
      </c>
      <c r="K153" s="468">
        <f t="shared" si="79"/>
        <v>0</v>
      </c>
      <c r="L153" s="514">
        <v>0</v>
      </c>
      <c r="M153" s="514">
        <f t="shared" si="80"/>
        <v>0</v>
      </c>
      <c r="N153" s="479">
        <f t="shared" ref="N153:N161" si="84">IF(J153=0,0,4.7283*J153+2)</f>
        <v>0</v>
      </c>
      <c r="O153" s="514">
        <f t="shared" si="82"/>
        <v>0</v>
      </c>
      <c r="P153" s="468"/>
      <c r="Q153" s="520">
        <v>0</v>
      </c>
      <c r="R153" s="468"/>
      <c r="S153" s="468"/>
      <c r="T153" s="468"/>
      <c r="U153" s="468"/>
      <c r="V153" s="468"/>
      <c r="W153" s="468"/>
      <c r="X153" s="468"/>
      <c r="Y153" s="468"/>
      <c r="Z153" s="468"/>
      <c r="AA153" s="468"/>
      <c r="AB153" s="468"/>
      <c r="AC153" s="468"/>
      <c r="AD153" s="468"/>
      <c r="AE153" s="468"/>
      <c r="AF153" s="468"/>
      <c r="AG153" s="468"/>
      <c r="AH153" s="468"/>
      <c r="AI153" s="468"/>
      <c r="AJ153" s="468"/>
    </row>
    <row r="154" spans="1:36" ht="18" hidden="1" customHeight="1" x14ac:dyDescent="0.35">
      <c r="A154" s="468"/>
      <c r="B154" s="521"/>
      <c r="C154" s="494">
        <f>VLOOKUP(B143,'6 Caissons Objets'!Moussecal5,18)</f>
        <v>0</v>
      </c>
      <c r="D154" s="850">
        <f>VLOOKUP(B143,'6 Caissons Objets'!Moussecal5,19)</f>
        <v>0</v>
      </c>
      <c r="E154" s="850">
        <f>VLOOKUP(B143,'6 Caissons Objets'!Moussecal5,20)</f>
        <v>0</v>
      </c>
      <c r="F154" s="850">
        <f>VLOOKUP(B143,'6 Caissons Objets'!Moussecal5,21)</f>
        <v>0</v>
      </c>
      <c r="G154" s="468">
        <f t="shared" si="83"/>
        <v>0</v>
      </c>
      <c r="H154" s="468"/>
      <c r="I154" s="468"/>
      <c r="J154" s="468">
        <f t="shared" si="78"/>
        <v>0</v>
      </c>
      <c r="K154" s="468">
        <f t="shared" si="79"/>
        <v>0</v>
      </c>
      <c r="L154" s="514">
        <v>0</v>
      </c>
      <c r="M154" s="514">
        <f t="shared" si="80"/>
        <v>0</v>
      </c>
      <c r="N154" s="479">
        <f t="shared" si="84"/>
        <v>0</v>
      </c>
      <c r="O154" s="514">
        <f t="shared" si="82"/>
        <v>0</v>
      </c>
      <c r="P154" s="468"/>
      <c r="Q154" s="520">
        <v>0</v>
      </c>
      <c r="R154" s="468"/>
      <c r="S154" s="468"/>
      <c r="T154" s="468"/>
      <c r="U154" s="468"/>
      <c r="V154" s="468"/>
      <c r="W154" s="468"/>
      <c r="X154" s="468"/>
      <c r="Y154" s="468"/>
      <c r="Z154" s="468"/>
      <c r="AA154" s="468"/>
      <c r="AB154" s="468"/>
      <c r="AC154" s="468"/>
      <c r="AD154" s="468"/>
      <c r="AE154" s="468"/>
      <c r="AF154" s="468"/>
      <c r="AG154" s="468"/>
      <c r="AH154" s="468"/>
      <c r="AI154" s="468"/>
      <c r="AJ154" s="468"/>
    </row>
    <row r="155" spans="1:36" ht="18" hidden="1" customHeight="1" x14ac:dyDescent="0.35">
      <c r="A155" s="468"/>
      <c r="B155" s="521"/>
      <c r="C155" s="494">
        <f>VLOOKUP(B143,'6 Caissons Objets'!Moussecal5,28)</f>
        <v>0</v>
      </c>
      <c r="D155" s="850"/>
      <c r="E155" s="850">
        <f>VLOOKUP(B143,'6 Caissons Objets'!Moussecal5,30)</f>
        <v>0</v>
      </c>
      <c r="F155" s="850">
        <f>VLOOKUP(B143,'6 Caissons Objets'!Moussecal5,31)</f>
        <v>0</v>
      </c>
      <c r="G155" s="468">
        <f t="shared" si="83"/>
        <v>0</v>
      </c>
      <c r="H155" s="468"/>
      <c r="I155" s="468"/>
      <c r="J155" s="468">
        <f t="shared" si="78"/>
        <v>0</v>
      </c>
      <c r="K155" s="468">
        <f t="shared" si="79"/>
        <v>0</v>
      </c>
      <c r="L155" s="514">
        <v>0</v>
      </c>
      <c r="M155" s="514">
        <f t="shared" si="80"/>
        <v>0</v>
      </c>
      <c r="N155" s="479">
        <f t="shared" si="84"/>
        <v>0</v>
      </c>
      <c r="O155" s="514">
        <f t="shared" si="82"/>
        <v>0</v>
      </c>
      <c r="P155" s="468"/>
      <c r="Q155" s="520">
        <v>0</v>
      </c>
      <c r="R155" s="468"/>
      <c r="S155" s="468"/>
      <c r="T155" s="468"/>
      <c r="U155" s="468"/>
      <c r="V155" s="468"/>
      <c r="W155" s="468"/>
      <c r="X155" s="468"/>
      <c r="Y155" s="468"/>
      <c r="Z155" s="468"/>
      <c r="AA155" s="468"/>
      <c r="AB155" s="468"/>
      <c r="AC155" s="468"/>
      <c r="AD155" s="468"/>
      <c r="AE155" s="468"/>
      <c r="AF155" s="468"/>
      <c r="AG155" s="468"/>
      <c r="AH155" s="468"/>
      <c r="AI155" s="468"/>
      <c r="AJ155" s="468"/>
    </row>
    <row r="156" spans="1:36" ht="18" hidden="1" customHeight="1" x14ac:dyDescent="0.35">
      <c r="A156" s="468"/>
      <c r="B156" s="494"/>
      <c r="C156" s="494">
        <f>VLOOKUP(B143,'6 Caissons Objets'!Moussecal5,22)</f>
        <v>0</v>
      </c>
      <c r="D156" s="850">
        <f>VLOOKUP(B143,'6 Caissons Objets'!Moussecal5,25)</f>
        <v>0</v>
      </c>
      <c r="E156" s="850">
        <f>VLOOKUP(B143,'6 Caissons Objets'!Moussecal5,26)</f>
        <v>0</v>
      </c>
      <c r="F156" s="850">
        <f>IF(D156=0,0,1)</f>
        <v>0</v>
      </c>
      <c r="G156" s="468">
        <f t="shared" si="83"/>
        <v>0</v>
      </c>
      <c r="H156" s="468"/>
      <c r="I156" s="468"/>
      <c r="J156" s="468">
        <f t="shared" si="78"/>
        <v>0</v>
      </c>
      <c r="K156" s="468">
        <f t="shared" si="79"/>
        <v>0</v>
      </c>
      <c r="L156" s="514">
        <v>0</v>
      </c>
      <c r="M156" s="514">
        <f t="shared" si="80"/>
        <v>0</v>
      </c>
      <c r="N156" s="479">
        <f t="shared" si="84"/>
        <v>0</v>
      </c>
      <c r="O156" s="514">
        <f t="shared" si="82"/>
        <v>0</v>
      </c>
      <c r="P156" s="468"/>
      <c r="Q156" s="520">
        <v>0</v>
      </c>
      <c r="R156" s="468"/>
      <c r="S156" s="468"/>
      <c r="T156" s="468"/>
      <c r="U156" s="468"/>
      <c r="V156" s="468"/>
      <c r="W156" s="468"/>
      <c r="X156" s="468"/>
      <c r="Y156" s="468"/>
      <c r="Z156" s="468"/>
      <c r="AA156" s="468"/>
      <c r="AB156" s="468"/>
      <c r="AC156" s="468"/>
      <c r="AD156" s="468"/>
      <c r="AE156" s="468"/>
      <c r="AF156" s="468"/>
      <c r="AG156" s="468"/>
      <c r="AH156" s="468"/>
      <c r="AI156" s="468"/>
      <c r="AJ156" s="468"/>
    </row>
    <row r="157" spans="1:36" ht="18" hidden="1" customHeight="1" x14ac:dyDescent="0.35">
      <c r="A157" s="468"/>
      <c r="B157" s="494"/>
      <c r="C157" s="494"/>
      <c r="D157" s="850"/>
      <c r="E157" s="850"/>
      <c r="F157" s="850"/>
      <c r="G157" s="468"/>
      <c r="H157" s="468"/>
      <c r="I157" s="468"/>
      <c r="J157" s="468">
        <f t="shared" si="78"/>
        <v>0</v>
      </c>
      <c r="K157" s="468">
        <f t="shared" si="79"/>
        <v>0</v>
      </c>
      <c r="L157" s="514">
        <v>0</v>
      </c>
      <c r="M157" s="514">
        <f t="shared" si="80"/>
        <v>0</v>
      </c>
      <c r="N157" s="479">
        <f t="shared" si="84"/>
        <v>0</v>
      </c>
      <c r="O157" s="514">
        <f t="shared" si="82"/>
        <v>0</v>
      </c>
      <c r="P157" s="468"/>
      <c r="Q157" s="520">
        <v>0</v>
      </c>
      <c r="R157" s="468"/>
      <c r="S157" s="468"/>
      <c r="T157" s="468"/>
      <c r="U157" s="468"/>
      <c r="V157" s="468"/>
      <c r="W157" s="468"/>
      <c r="X157" s="468"/>
      <c r="Y157" s="468"/>
      <c r="Z157" s="468"/>
      <c r="AA157" s="468"/>
      <c r="AB157" s="468"/>
      <c r="AC157" s="468"/>
      <c r="AD157" s="468"/>
      <c r="AE157" s="468"/>
      <c r="AF157" s="468"/>
      <c r="AG157" s="468"/>
      <c r="AH157" s="468"/>
      <c r="AI157" s="468"/>
      <c r="AJ157" s="468"/>
    </row>
    <row r="158" spans="1:36" ht="18" hidden="1" customHeight="1" x14ac:dyDescent="0.35">
      <c r="A158" s="468"/>
      <c r="B158" s="494"/>
      <c r="C158" s="494"/>
      <c r="D158" s="849"/>
      <c r="E158" s="849"/>
      <c r="F158" s="850"/>
      <c r="G158" s="468"/>
      <c r="H158" s="468"/>
      <c r="I158" s="468"/>
      <c r="J158" s="468">
        <f t="shared" si="78"/>
        <v>0</v>
      </c>
      <c r="K158" s="468">
        <f t="shared" si="79"/>
        <v>0</v>
      </c>
      <c r="L158" s="514">
        <v>0</v>
      </c>
      <c r="M158" s="514">
        <f t="shared" si="80"/>
        <v>0</v>
      </c>
      <c r="N158" s="479">
        <f t="shared" si="84"/>
        <v>0</v>
      </c>
      <c r="O158" s="514">
        <f t="shared" si="82"/>
        <v>0</v>
      </c>
      <c r="P158" s="468"/>
      <c r="Q158" s="520">
        <v>0</v>
      </c>
      <c r="R158" s="468"/>
      <c r="S158" s="468"/>
      <c r="T158" s="468"/>
      <c r="U158" s="468"/>
      <c r="V158" s="468"/>
      <c r="W158" s="468"/>
      <c r="X158" s="468"/>
      <c r="Y158" s="468"/>
      <c r="Z158" s="468"/>
      <c r="AA158" s="468"/>
      <c r="AB158" s="468"/>
      <c r="AC158" s="468"/>
      <c r="AD158" s="468"/>
      <c r="AE158" s="468"/>
      <c r="AF158" s="468"/>
      <c r="AG158" s="468"/>
      <c r="AH158" s="468"/>
      <c r="AI158" s="468"/>
      <c r="AJ158" s="468"/>
    </row>
    <row r="159" spans="1:36" ht="18" hidden="1" customHeight="1" x14ac:dyDescent="0.35">
      <c r="A159" s="468"/>
      <c r="B159" s="494"/>
      <c r="C159" s="494"/>
      <c r="D159" s="849"/>
      <c r="E159" s="849"/>
      <c r="F159" s="850"/>
      <c r="G159" s="468"/>
      <c r="H159" s="468"/>
      <c r="I159" s="468"/>
      <c r="J159" s="468">
        <f t="shared" si="78"/>
        <v>0</v>
      </c>
      <c r="K159" s="468">
        <f t="shared" si="79"/>
        <v>0</v>
      </c>
      <c r="L159" s="514">
        <v>0</v>
      </c>
      <c r="M159" s="514">
        <f t="shared" si="80"/>
        <v>0</v>
      </c>
      <c r="N159" s="479">
        <f t="shared" si="84"/>
        <v>0</v>
      </c>
      <c r="O159" s="514">
        <f t="shared" si="82"/>
        <v>0</v>
      </c>
      <c r="P159" s="468"/>
      <c r="Q159" s="520">
        <v>0</v>
      </c>
      <c r="R159" s="468"/>
      <c r="S159" s="468"/>
      <c r="T159" s="468"/>
      <c r="U159" s="468"/>
      <c r="V159" s="468"/>
      <c r="W159" s="468"/>
      <c r="X159" s="468"/>
      <c r="Y159" s="468"/>
      <c r="Z159" s="468"/>
      <c r="AA159" s="468"/>
      <c r="AB159" s="468"/>
      <c r="AC159" s="468"/>
      <c r="AD159" s="468"/>
      <c r="AE159" s="468"/>
      <c r="AF159" s="468"/>
      <c r="AG159" s="468"/>
      <c r="AH159" s="468"/>
      <c r="AI159" s="468"/>
      <c r="AJ159" s="468"/>
    </row>
    <row r="160" spans="1:36" ht="18" hidden="1" customHeight="1" x14ac:dyDescent="0.35">
      <c r="A160" s="468"/>
      <c r="B160" s="494"/>
      <c r="C160" s="494"/>
      <c r="D160" s="849"/>
      <c r="E160" s="849"/>
      <c r="F160" s="850"/>
      <c r="G160" s="468"/>
      <c r="H160" s="468"/>
      <c r="I160" s="468"/>
      <c r="J160" s="468">
        <f t="shared" si="78"/>
        <v>0</v>
      </c>
      <c r="K160" s="468">
        <f t="shared" si="79"/>
        <v>0</v>
      </c>
      <c r="L160" s="514">
        <v>0</v>
      </c>
      <c r="M160" s="514">
        <f t="shared" si="80"/>
        <v>0</v>
      </c>
      <c r="N160" s="479">
        <f t="shared" si="84"/>
        <v>0</v>
      </c>
      <c r="O160" s="514">
        <f t="shared" si="82"/>
        <v>0</v>
      </c>
      <c r="P160" s="468"/>
      <c r="Q160" s="520">
        <v>0</v>
      </c>
      <c r="R160" s="468"/>
      <c r="S160" s="468"/>
      <c r="T160" s="468"/>
      <c r="U160" s="468"/>
      <c r="V160" s="468"/>
      <c r="W160" s="468"/>
      <c r="X160" s="468"/>
      <c r="Y160" s="468"/>
      <c r="Z160" s="468"/>
      <c r="AA160" s="468"/>
      <c r="AB160" s="468"/>
      <c r="AC160" s="468"/>
      <c r="AD160" s="468"/>
      <c r="AE160" s="468"/>
      <c r="AF160" s="468"/>
      <c r="AG160" s="468"/>
      <c r="AH160" s="468"/>
      <c r="AI160" s="468"/>
      <c r="AJ160" s="468"/>
    </row>
    <row r="161" spans="1:36" ht="18" hidden="1" customHeight="1" x14ac:dyDescent="0.35">
      <c r="A161" s="468"/>
      <c r="B161" s="851" t="s">
        <v>176</v>
      </c>
      <c r="C161" s="494" t="str">
        <f>'6 Caissons Objets'!plat5</f>
        <v>Aucun</v>
      </c>
      <c r="D161" s="849">
        <f>IF(C161="Aucun",0,'6 Caissons Objets'!Lnec5-0.3)</f>
        <v>0</v>
      </c>
      <c r="E161" s="849">
        <f>IF(C161="Aucun",0,'6 Caissons Objets'!lanec5-0.3)</f>
        <v>0</v>
      </c>
      <c r="F161" s="850">
        <f>IF(C161="Aucun",0,1)</f>
        <v>0</v>
      </c>
      <c r="G161" s="519">
        <f>G145</f>
        <v>0</v>
      </c>
      <c r="H161" s="468"/>
      <c r="I161" s="468"/>
      <c r="J161" s="468">
        <f t="shared" si="78"/>
        <v>0</v>
      </c>
      <c r="K161" s="468">
        <f t="shared" si="79"/>
        <v>0</v>
      </c>
      <c r="L161" s="514">
        <v>0</v>
      </c>
      <c r="M161" s="514">
        <f t="shared" si="80"/>
        <v>0</v>
      </c>
      <c r="N161" s="479">
        <f t="shared" si="84"/>
        <v>0</v>
      </c>
      <c r="O161" s="514">
        <f t="shared" si="82"/>
        <v>0</v>
      </c>
      <c r="P161" s="468"/>
      <c r="Q161" s="520">
        <f>IF(J161=0,0,J161*VLOOKUP(C161,$A$214:$D$220,4))</f>
        <v>0</v>
      </c>
      <c r="R161" s="468"/>
      <c r="S161" s="468"/>
      <c r="T161" s="468"/>
      <c r="U161" s="468"/>
      <c r="V161" s="468"/>
      <c r="W161" s="468"/>
      <c r="X161" s="468"/>
      <c r="Y161" s="468"/>
      <c r="Z161" s="468"/>
      <c r="AA161" s="468"/>
      <c r="AB161" s="468"/>
      <c r="AC161" s="468"/>
      <c r="AD161" s="468"/>
      <c r="AE161" s="468"/>
      <c r="AF161" s="468"/>
      <c r="AG161" s="468"/>
      <c r="AH161" s="468"/>
      <c r="AI161" s="468"/>
      <c r="AJ161" s="468"/>
    </row>
    <row r="162" spans="1:36" ht="18" hidden="1" customHeight="1" x14ac:dyDescent="0.35">
      <c r="A162" s="468"/>
      <c r="B162" s="494"/>
      <c r="C162" s="494"/>
      <c r="D162" s="849"/>
      <c r="E162" s="849"/>
      <c r="F162" s="850"/>
      <c r="G162" s="468"/>
      <c r="H162" s="468"/>
      <c r="I162" s="468"/>
      <c r="J162" s="468"/>
      <c r="K162" s="468"/>
      <c r="L162" s="468"/>
      <c r="M162" s="514"/>
      <c r="N162" s="479"/>
      <c r="O162" s="514"/>
      <c r="P162" s="468"/>
      <c r="Q162" s="520">
        <v>0</v>
      </c>
      <c r="R162" s="468"/>
      <c r="S162" s="468"/>
      <c r="T162" s="468"/>
      <c r="U162" s="468"/>
      <c r="V162" s="468"/>
      <c r="W162" s="468"/>
      <c r="X162" s="468"/>
      <c r="Y162" s="468"/>
      <c r="Z162" s="468"/>
      <c r="AA162" s="468"/>
      <c r="AB162" s="468"/>
      <c r="AC162" s="468"/>
      <c r="AD162" s="468"/>
      <c r="AE162" s="468"/>
      <c r="AF162" s="468"/>
      <c r="AG162" s="468"/>
      <c r="AH162" s="468"/>
      <c r="AI162" s="468"/>
      <c r="AJ162" s="468"/>
    </row>
    <row r="163" spans="1:36" ht="18" hidden="1" customHeight="1" x14ac:dyDescent="0.35">
      <c r="A163" s="468"/>
      <c r="B163" s="468"/>
      <c r="C163" s="468"/>
      <c r="D163" s="468"/>
      <c r="E163" s="468"/>
      <c r="F163" s="468"/>
      <c r="G163" s="468"/>
      <c r="H163" s="468"/>
      <c r="I163" s="468"/>
      <c r="J163" s="468">
        <f t="shared" ref="J163:J166" si="85">IF(C163=0,0,(C163/100)*(D163/100)*F163)</f>
        <v>0</v>
      </c>
      <c r="K163" s="468">
        <f t="shared" ref="K163:K166" si="86">J163/0.8</f>
        <v>0</v>
      </c>
      <c r="L163" s="514"/>
      <c r="M163" s="514"/>
      <c r="N163" s="479"/>
      <c r="O163" s="514"/>
      <c r="P163" s="468"/>
      <c r="Q163" s="520">
        <v>0</v>
      </c>
      <c r="R163" s="468"/>
      <c r="S163" s="468"/>
      <c r="T163" s="468"/>
      <c r="U163" s="468"/>
      <c r="V163" s="468"/>
      <c r="W163" s="468"/>
      <c r="X163" s="468"/>
      <c r="Y163" s="468"/>
      <c r="Z163" s="468"/>
      <c r="AA163" s="468"/>
      <c r="AB163" s="468"/>
      <c r="AC163" s="468"/>
      <c r="AD163" s="468"/>
      <c r="AE163" s="468"/>
      <c r="AF163" s="468"/>
      <c r="AG163" s="468"/>
      <c r="AH163" s="468"/>
      <c r="AI163" s="468"/>
      <c r="AJ163" s="468"/>
    </row>
    <row r="164" spans="1:36" ht="18" hidden="1" customHeight="1" x14ac:dyDescent="0.35">
      <c r="A164" s="471" t="s">
        <v>165</v>
      </c>
      <c r="B164" s="468"/>
      <c r="C164" s="468"/>
      <c r="D164" s="468"/>
      <c r="E164" s="468"/>
      <c r="F164" s="468"/>
      <c r="G164" s="468"/>
      <c r="H164" s="468"/>
      <c r="I164" s="468"/>
      <c r="J164" s="468">
        <f t="shared" si="85"/>
        <v>0</v>
      </c>
      <c r="K164" s="468">
        <f t="shared" si="86"/>
        <v>0</v>
      </c>
      <c r="L164" s="514"/>
      <c r="M164" s="514"/>
      <c r="N164" s="479"/>
      <c r="O164" s="514"/>
      <c r="P164" s="468"/>
      <c r="Q164" s="520">
        <v>0</v>
      </c>
      <c r="R164" s="468"/>
      <c r="S164" s="468"/>
      <c r="T164" s="468"/>
      <c r="U164" s="468"/>
      <c r="V164" s="468"/>
      <c r="W164" s="468"/>
      <c r="X164" s="468"/>
      <c r="Y164" s="468"/>
      <c r="Z164" s="468"/>
      <c r="AA164" s="468"/>
      <c r="AB164" s="468"/>
      <c r="AC164" s="468"/>
      <c r="AD164" s="468"/>
      <c r="AE164" s="468"/>
      <c r="AF164" s="468"/>
      <c r="AG164" s="468"/>
      <c r="AH164" s="468"/>
      <c r="AI164" s="468"/>
      <c r="AJ164" s="468"/>
    </row>
    <row r="165" spans="1:36" ht="18" hidden="1" customHeight="1" x14ac:dyDescent="0.35">
      <c r="A165" s="468"/>
      <c r="B165" s="468"/>
      <c r="C165" s="468"/>
      <c r="D165" s="468"/>
      <c r="E165" s="468"/>
      <c r="F165" s="468"/>
      <c r="G165" s="468"/>
      <c r="H165" s="468"/>
      <c r="I165" s="468"/>
      <c r="J165" s="468">
        <f t="shared" si="85"/>
        <v>0</v>
      </c>
      <c r="K165" s="468">
        <f t="shared" si="86"/>
        <v>0</v>
      </c>
      <c r="L165" s="514"/>
      <c r="M165" s="514"/>
      <c r="N165" s="479"/>
      <c r="O165" s="514"/>
      <c r="P165" s="468"/>
      <c r="Q165" s="520">
        <v>0</v>
      </c>
      <c r="R165" s="468"/>
      <c r="S165" s="468"/>
      <c r="T165" s="468"/>
      <c r="U165" s="468"/>
      <c r="V165" s="468"/>
      <c r="W165" s="468"/>
      <c r="X165" s="468"/>
      <c r="Y165" s="468"/>
      <c r="Z165" s="468"/>
      <c r="AA165" s="468"/>
      <c r="AB165" s="468"/>
      <c r="AC165" s="468"/>
      <c r="AD165" s="468"/>
      <c r="AE165" s="468"/>
      <c r="AF165" s="468"/>
      <c r="AG165" s="468"/>
      <c r="AH165" s="468"/>
      <c r="AI165" s="468"/>
      <c r="AJ165" s="468"/>
    </row>
    <row r="166" spans="1:36" ht="18" hidden="1" customHeight="1" x14ac:dyDescent="0.35">
      <c r="A166" s="468"/>
      <c r="B166" s="848" t="str">
        <f>H39</f>
        <v>Aucun</v>
      </c>
      <c r="C166" s="521"/>
      <c r="D166" s="849" t="s">
        <v>28</v>
      </c>
      <c r="E166" s="849" t="s">
        <v>33</v>
      </c>
      <c r="F166" s="850" t="s">
        <v>34</v>
      </c>
      <c r="G166" s="468"/>
      <c r="H166" s="468"/>
      <c r="I166" s="468"/>
      <c r="J166" s="468">
        <f t="shared" si="85"/>
        <v>0</v>
      </c>
      <c r="K166" s="468">
        <f t="shared" si="86"/>
        <v>0</v>
      </c>
      <c r="L166" s="514"/>
      <c r="M166" s="514"/>
      <c r="N166" s="479"/>
      <c r="O166" s="514"/>
      <c r="P166" s="468"/>
      <c r="Q166" s="520">
        <v>0</v>
      </c>
      <c r="R166" s="468"/>
      <c r="S166" s="468"/>
      <c r="T166" s="468"/>
      <c r="U166" s="468"/>
      <c r="V166" s="468"/>
      <c r="W166" s="468"/>
      <c r="X166" s="468"/>
      <c r="Y166" s="468"/>
      <c r="Z166" s="468"/>
      <c r="AA166" s="468"/>
      <c r="AB166" s="468"/>
      <c r="AC166" s="468"/>
      <c r="AD166" s="468"/>
      <c r="AE166" s="468"/>
      <c r="AF166" s="468"/>
      <c r="AG166" s="468"/>
      <c r="AH166" s="468"/>
      <c r="AI166" s="468"/>
      <c r="AJ166" s="468"/>
    </row>
    <row r="167" spans="1:36" ht="18" hidden="1" customHeight="1" x14ac:dyDescent="0.35">
      <c r="A167" s="468"/>
      <c r="B167" s="848"/>
      <c r="C167" s="521"/>
      <c r="D167" s="849"/>
      <c r="E167" s="849"/>
      <c r="F167" s="850"/>
      <c r="G167" s="468"/>
      <c r="H167" s="468"/>
      <c r="I167" s="468"/>
      <c r="J167" s="468"/>
      <c r="K167" s="468"/>
      <c r="L167" s="514"/>
      <c r="M167" s="514"/>
      <c r="N167" s="479"/>
      <c r="O167" s="514"/>
      <c r="P167" s="468"/>
      <c r="Q167" s="520">
        <v>0</v>
      </c>
      <c r="R167" s="468"/>
      <c r="S167" s="468"/>
      <c r="T167" s="468"/>
      <c r="U167" s="468"/>
      <c r="V167" s="468"/>
      <c r="W167" s="468"/>
      <c r="X167" s="468"/>
      <c r="Y167" s="468"/>
      <c r="Z167" s="468"/>
      <c r="AA167" s="468"/>
      <c r="AB167" s="468"/>
      <c r="AC167" s="468"/>
      <c r="AD167" s="468"/>
      <c r="AE167" s="468"/>
      <c r="AF167" s="468"/>
      <c r="AG167" s="468"/>
      <c r="AH167" s="468"/>
      <c r="AI167" s="468"/>
      <c r="AJ167" s="468"/>
    </row>
    <row r="168" spans="1:36" ht="18" hidden="1" customHeight="1" x14ac:dyDescent="0.35">
      <c r="A168" s="468"/>
      <c r="B168" s="851" t="s">
        <v>485</v>
      </c>
      <c r="C168" s="521">
        <f>IF('6 Caissons Objets'!Lnec6=0,0,"Peuplier 15 mm")</f>
        <v>0</v>
      </c>
      <c r="D168" s="849">
        <f>IF(C168=0,0,'6 Caissons Objets'!Lnec6+3)</f>
        <v>0</v>
      </c>
      <c r="E168" s="849">
        <f>IF('6 Caissons Objets'!hnec6=0,0,'6 Caissons Objets'!hnec6+VLOOKUP(H43,$A$232:$C$234,3))</f>
        <v>0</v>
      </c>
      <c r="F168" s="850">
        <f>IF(D168=0,0,2)</f>
        <v>0</v>
      </c>
      <c r="G168" s="519">
        <f t="shared" ref="G168:G171" si="87">C168</f>
        <v>0</v>
      </c>
      <c r="H168" s="468"/>
      <c r="I168" s="468"/>
      <c r="J168" s="468">
        <f t="shared" ref="J168:J171" si="88">IF(D168=0,0,(D168/100)*(E168/100)*F168)</f>
        <v>0</v>
      </c>
      <c r="K168" s="468">
        <f t="shared" ref="K168:K171" si="89">J168/0.8</f>
        <v>0</v>
      </c>
      <c r="L168" s="514">
        <v>0</v>
      </c>
      <c r="M168" s="514">
        <f t="shared" ref="M168:M171" si="90">L168*K168-IF($J$41="Non",K168*0.75,0)</f>
        <v>0</v>
      </c>
      <c r="N168" s="479">
        <f t="shared" ref="N168:N171" si="91">IF(J168=0,0,IF($J$41="Oui",(7.0924*J168)+5,(6.0924*J168)+1))</f>
        <v>0</v>
      </c>
      <c r="O168" s="514">
        <f t="shared" ref="O168:O171" si="92">N168*'6 Caissons Objets'!MinuteMO</f>
        <v>0</v>
      </c>
      <c r="P168" s="468"/>
      <c r="Q168" s="520">
        <v>0</v>
      </c>
      <c r="R168" s="468"/>
      <c r="S168" s="468"/>
      <c r="T168" s="468"/>
      <c r="U168" s="468"/>
      <c r="V168" s="468"/>
      <c r="W168" s="468"/>
      <c r="X168" s="468"/>
      <c r="Y168" s="468"/>
      <c r="Z168" s="468"/>
      <c r="AA168" s="468"/>
      <c r="AB168" s="468"/>
      <c r="AC168" s="468"/>
      <c r="AD168" s="468"/>
      <c r="AE168" s="468"/>
      <c r="AF168" s="468"/>
      <c r="AG168" s="468"/>
      <c r="AH168" s="468"/>
      <c r="AI168" s="468"/>
      <c r="AJ168" s="468"/>
    </row>
    <row r="169" spans="1:36" ht="18" hidden="1" customHeight="1" x14ac:dyDescent="0.35">
      <c r="A169" s="468"/>
      <c r="B169" s="851" t="s">
        <v>175</v>
      </c>
      <c r="C169" s="521">
        <f>IF('6 Caissons Objets'!Lnec6=0,0,"Peuplier 15 mm")</f>
        <v>0</v>
      </c>
      <c r="D169" s="849">
        <f>D168</f>
        <v>0</v>
      </c>
      <c r="E169" s="849">
        <f>IF('6 Caissons Objets'!lanec6=0,0,'6 Caissons Objets'!lanec6+3.5)</f>
        <v>0</v>
      </c>
      <c r="F169" s="850">
        <f t="shared" ref="F169:F170" si="93">IF(D169=0,0,1)</f>
        <v>0</v>
      </c>
      <c r="G169" s="519">
        <f t="shared" si="87"/>
        <v>0</v>
      </c>
      <c r="H169" s="468"/>
      <c r="I169" s="468"/>
      <c r="J169" s="468">
        <f t="shared" si="88"/>
        <v>0</v>
      </c>
      <c r="K169" s="468">
        <f t="shared" si="89"/>
        <v>0</v>
      </c>
      <c r="L169" s="514">
        <v>0</v>
      </c>
      <c r="M169" s="514">
        <f t="shared" si="90"/>
        <v>0</v>
      </c>
      <c r="N169" s="479">
        <f t="shared" si="91"/>
        <v>0</v>
      </c>
      <c r="O169" s="514">
        <f t="shared" si="92"/>
        <v>0</v>
      </c>
      <c r="P169" s="468"/>
      <c r="Q169" s="520">
        <v>0</v>
      </c>
      <c r="R169" s="468"/>
      <c r="S169" s="468"/>
      <c r="T169" s="468"/>
      <c r="U169" s="468"/>
      <c r="V169" s="468"/>
      <c r="W169" s="468"/>
      <c r="X169" s="468"/>
      <c r="Y169" s="468"/>
      <c r="Z169" s="468"/>
      <c r="AA169" s="468"/>
      <c r="AB169" s="468"/>
      <c r="AC169" s="468"/>
      <c r="AD169" s="468"/>
      <c r="AE169" s="468"/>
      <c r="AF169" s="468"/>
      <c r="AG169" s="468"/>
      <c r="AH169" s="468"/>
      <c r="AI169" s="468"/>
      <c r="AJ169" s="468"/>
    </row>
    <row r="170" spans="1:36" ht="18" hidden="1" customHeight="1" x14ac:dyDescent="0.35">
      <c r="A170" s="468"/>
      <c r="B170" s="851" t="s">
        <v>176</v>
      </c>
      <c r="C170" s="521">
        <f>IF('6 Caissons Objets'!Lnec6=0,0,VLOOKUP(H43,$A$232:$B$234,2))</f>
        <v>0</v>
      </c>
      <c r="D170" s="849">
        <f>IF('6 Caissons Objets'!Lnec6=0,0,'6 Caissons Objets'!Lnec6)</f>
        <v>0</v>
      </c>
      <c r="E170" s="849">
        <f>IF('6 Caissons Objets'!lanec6=0,0,'6 Caissons Objets'!lanec6)</f>
        <v>0</v>
      </c>
      <c r="F170" s="850">
        <f t="shared" si="93"/>
        <v>0</v>
      </c>
      <c r="G170" s="519">
        <f t="shared" si="87"/>
        <v>0</v>
      </c>
      <c r="H170" s="468"/>
      <c r="I170" s="468"/>
      <c r="J170" s="468">
        <f t="shared" si="88"/>
        <v>0</v>
      </c>
      <c r="K170" s="468">
        <f t="shared" si="89"/>
        <v>0</v>
      </c>
      <c r="L170" s="514">
        <v>0</v>
      </c>
      <c r="M170" s="514">
        <f t="shared" si="90"/>
        <v>0</v>
      </c>
      <c r="N170" s="479">
        <f t="shared" si="91"/>
        <v>0</v>
      </c>
      <c r="O170" s="514">
        <f t="shared" si="92"/>
        <v>0</v>
      </c>
      <c r="P170" s="468"/>
      <c r="Q170" s="520">
        <v>0</v>
      </c>
      <c r="R170" s="468"/>
      <c r="S170" s="468"/>
      <c r="T170" s="468"/>
      <c r="U170" s="468"/>
      <c r="V170" s="468"/>
      <c r="W170" s="468"/>
      <c r="X170" s="468"/>
      <c r="Y170" s="468"/>
      <c r="Z170" s="468"/>
      <c r="AA170" s="468"/>
      <c r="AB170" s="468"/>
      <c r="AC170" s="468"/>
      <c r="AD170" s="468"/>
      <c r="AE170" s="468"/>
      <c r="AF170" s="468"/>
      <c r="AG170" s="468"/>
      <c r="AH170" s="468"/>
      <c r="AI170" s="468"/>
      <c r="AJ170" s="468"/>
    </row>
    <row r="171" spans="1:36" ht="18" hidden="1" customHeight="1" x14ac:dyDescent="0.35">
      <c r="A171" s="468"/>
      <c r="B171" s="851" t="s">
        <v>55</v>
      </c>
      <c r="C171" s="521">
        <f>IF('6 Caissons Objets'!Lnec6=0,0,"Peuplier 15 mm")</f>
        <v>0</v>
      </c>
      <c r="D171" s="849">
        <f>IF('6 Caissons Objets'!lanec6=0,0,'6 Caissons Objets'!lanec6)</f>
        <v>0</v>
      </c>
      <c r="E171" s="849">
        <f>E168</f>
        <v>0</v>
      </c>
      <c r="F171" s="850">
        <f>IF(D171=0,0,2)</f>
        <v>0</v>
      </c>
      <c r="G171" s="519">
        <f t="shared" si="87"/>
        <v>0</v>
      </c>
      <c r="H171" s="468"/>
      <c r="I171" s="468"/>
      <c r="J171" s="468">
        <f t="shared" si="88"/>
        <v>0</v>
      </c>
      <c r="K171" s="468">
        <f t="shared" si="89"/>
        <v>0</v>
      </c>
      <c r="L171" s="514">
        <v>0</v>
      </c>
      <c r="M171" s="514">
        <f t="shared" si="90"/>
        <v>0</v>
      </c>
      <c r="N171" s="479">
        <f t="shared" si="91"/>
        <v>0</v>
      </c>
      <c r="O171" s="514">
        <f t="shared" si="92"/>
        <v>0</v>
      </c>
      <c r="P171" s="468"/>
      <c r="Q171" s="520">
        <v>0</v>
      </c>
      <c r="R171" s="468"/>
      <c r="S171" s="468"/>
      <c r="T171" s="468"/>
      <c r="U171" s="468"/>
      <c r="V171" s="468"/>
      <c r="W171" s="468"/>
      <c r="X171" s="468"/>
      <c r="Y171" s="468"/>
      <c r="Z171" s="468"/>
      <c r="AA171" s="468"/>
      <c r="AB171" s="468"/>
      <c r="AC171" s="468"/>
      <c r="AD171" s="468"/>
      <c r="AE171" s="468"/>
      <c r="AF171" s="468"/>
      <c r="AG171" s="468"/>
      <c r="AH171" s="468"/>
      <c r="AI171" s="468"/>
      <c r="AJ171" s="468"/>
    </row>
    <row r="172" spans="1:36" ht="18" hidden="1" customHeight="1" x14ac:dyDescent="0.35">
      <c r="A172" s="468"/>
      <c r="B172" s="851"/>
      <c r="C172" s="521"/>
      <c r="D172" s="849"/>
      <c r="E172" s="849"/>
      <c r="F172" s="850"/>
      <c r="G172" s="468"/>
      <c r="H172" s="468"/>
      <c r="I172" s="468"/>
      <c r="J172" s="468"/>
      <c r="K172" s="468"/>
      <c r="L172" s="514"/>
      <c r="M172" s="514"/>
      <c r="N172" s="479"/>
      <c r="O172" s="514"/>
      <c r="P172" s="468"/>
      <c r="Q172" s="520">
        <v>0</v>
      </c>
      <c r="R172" s="468"/>
      <c r="S172" s="468"/>
      <c r="T172" s="468"/>
      <c r="U172" s="468"/>
      <c r="V172" s="468"/>
      <c r="W172" s="468"/>
      <c r="X172" s="468"/>
      <c r="Y172" s="468"/>
      <c r="Z172" s="468"/>
      <c r="AA172" s="468"/>
      <c r="AB172" s="468"/>
      <c r="AC172" s="468"/>
      <c r="AD172" s="468"/>
      <c r="AE172" s="468"/>
      <c r="AF172" s="468"/>
      <c r="AG172" s="468"/>
      <c r="AH172" s="468"/>
      <c r="AI172" s="468"/>
      <c r="AJ172" s="468"/>
    </row>
    <row r="173" spans="1:36" ht="18" hidden="1" customHeight="1" x14ac:dyDescent="0.35">
      <c r="A173" s="468"/>
      <c r="B173" s="521" t="s">
        <v>22</v>
      </c>
      <c r="C173" s="494">
        <f>VLOOKUP(B166,'6 Caissons Objets'!Moussecal6,2)</f>
        <v>0</v>
      </c>
      <c r="D173" s="850">
        <f>VLOOKUP(B166,'6 Caissons Objets'!Moussecal6,3)</f>
        <v>0</v>
      </c>
      <c r="E173" s="850">
        <f>VLOOKUP(B166,'6 Caissons Objets'!Moussecal6,4)</f>
        <v>0</v>
      </c>
      <c r="F173" s="850">
        <f>VLOOKUP(B166,'6 Caissons Objets'!Moussecal6,5)</f>
        <v>0</v>
      </c>
      <c r="G173" s="468">
        <f t="shared" ref="G173:G175" si="94">IF(C173=0,0,"Barres 21 R4F")</f>
        <v>0</v>
      </c>
      <c r="H173" s="468"/>
      <c r="I173" s="468"/>
      <c r="J173" s="468">
        <f t="shared" ref="J173:J184" si="95">IF(D173=0,0,(D173/100)*(E173/100)*F173)</f>
        <v>0</v>
      </c>
      <c r="K173" s="468">
        <f t="shared" ref="K173:K184" si="96">J173/0.8</f>
        <v>0</v>
      </c>
      <c r="L173" s="514">
        <v>0</v>
      </c>
      <c r="M173" s="514">
        <f t="shared" ref="M173:M184" si="97">L173*K173</f>
        <v>0</v>
      </c>
      <c r="N173" s="479">
        <f t="shared" ref="N173:N175" si="98">IF(J173=0,0,2+(6*J173))</f>
        <v>0</v>
      </c>
      <c r="O173" s="514">
        <f t="shared" ref="O173:O184" si="99">N173*'6 Caissons Objets'!MinuteMO</f>
        <v>0</v>
      </c>
      <c r="P173" s="468"/>
      <c r="Q173" s="520">
        <v>0</v>
      </c>
      <c r="R173" s="468"/>
      <c r="S173" s="468"/>
      <c r="T173" s="468"/>
      <c r="U173" s="468"/>
      <c r="V173" s="468"/>
      <c r="W173" s="468"/>
      <c r="X173" s="468"/>
      <c r="Y173" s="468"/>
      <c r="Z173" s="468"/>
      <c r="AA173" s="468"/>
      <c r="AB173" s="468"/>
      <c r="AC173" s="468"/>
      <c r="AD173" s="468"/>
      <c r="AE173" s="468"/>
      <c r="AF173" s="468"/>
      <c r="AG173" s="468"/>
      <c r="AH173" s="468"/>
      <c r="AI173" s="468"/>
      <c r="AJ173" s="468"/>
    </row>
    <row r="174" spans="1:36" ht="18" hidden="1" customHeight="1" x14ac:dyDescent="0.35">
      <c r="A174" s="468"/>
      <c r="B174" s="521"/>
      <c r="C174" s="494">
        <f>VLOOKUP(B166,'6 Caissons Objets'!Moussecal6,6)</f>
        <v>0</v>
      </c>
      <c r="D174" s="850">
        <f>VLOOKUP(B166,'6 Caissons Objets'!Moussecal6,7)</f>
        <v>0</v>
      </c>
      <c r="E174" s="850">
        <f>VLOOKUP(B166,'6 Caissons Objets'!Moussecal6,8)</f>
        <v>0</v>
      </c>
      <c r="F174" s="850">
        <f>VLOOKUP(B166,'6 Caissons Objets'!Moussecal6,9)</f>
        <v>0</v>
      </c>
      <c r="G174" s="468">
        <f t="shared" si="94"/>
        <v>0</v>
      </c>
      <c r="H174" s="468"/>
      <c r="I174" s="468"/>
      <c r="J174" s="468">
        <f t="shared" si="95"/>
        <v>0</v>
      </c>
      <c r="K174" s="468">
        <f t="shared" si="96"/>
        <v>0</v>
      </c>
      <c r="L174" s="514">
        <v>0</v>
      </c>
      <c r="M174" s="514">
        <f t="shared" si="97"/>
        <v>0</v>
      </c>
      <c r="N174" s="479">
        <f t="shared" si="98"/>
        <v>0</v>
      </c>
      <c r="O174" s="514">
        <f t="shared" si="99"/>
        <v>0</v>
      </c>
      <c r="P174" s="468"/>
      <c r="Q174" s="520">
        <v>0</v>
      </c>
      <c r="R174" s="468"/>
      <c r="S174" s="468"/>
      <c r="T174" s="468"/>
      <c r="U174" s="468"/>
      <c r="V174" s="468"/>
      <c r="W174" s="468"/>
      <c r="X174" s="468"/>
      <c r="Y174" s="468"/>
      <c r="Z174" s="468"/>
      <c r="AA174" s="468"/>
      <c r="AB174" s="468"/>
      <c r="AC174" s="468"/>
      <c r="AD174" s="468"/>
      <c r="AE174" s="468"/>
      <c r="AF174" s="468"/>
      <c r="AG174" s="468"/>
      <c r="AH174" s="468"/>
      <c r="AI174" s="468"/>
      <c r="AJ174" s="468"/>
    </row>
    <row r="175" spans="1:36" ht="18" hidden="1" customHeight="1" x14ac:dyDescent="0.35">
      <c r="A175" s="468"/>
      <c r="B175" s="521"/>
      <c r="C175" s="494">
        <f>VLOOKUP(B166,'6 Caissons Objets'!Moussecal6,10)</f>
        <v>0</v>
      </c>
      <c r="D175" s="850">
        <f>VLOOKUP(B166,'6 Caissons Objets'!Moussecal6,11)</f>
        <v>0</v>
      </c>
      <c r="E175" s="850">
        <f>VLOOKUP(B166,'6 Caissons Objets'!Moussecal6,12)</f>
        <v>0</v>
      </c>
      <c r="F175" s="850">
        <f>VLOOKUP(B166,'6 Caissons Objets'!Moussecal6,13)</f>
        <v>0</v>
      </c>
      <c r="G175" s="468">
        <f t="shared" si="94"/>
        <v>0</v>
      </c>
      <c r="H175" s="870"/>
      <c r="I175" s="468"/>
      <c r="J175" s="468">
        <f t="shared" si="95"/>
        <v>0</v>
      </c>
      <c r="K175" s="468">
        <f t="shared" si="96"/>
        <v>0</v>
      </c>
      <c r="L175" s="514">
        <v>0</v>
      </c>
      <c r="M175" s="514">
        <f t="shared" si="97"/>
        <v>0</v>
      </c>
      <c r="N175" s="479">
        <f t="shared" si="98"/>
        <v>0</v>
      </c>
      <c r="O175" s="514">
        <f t="shared" si="99"/>
        <v>0</v>
      </c>
      <c r="P175" s="468"/>
      <c r="Q175" s="520">
        <v>0</v>
      </c>
      <c r="R175" s="468"/>
      <c r="S175" s="468"/>
      <c r="T175" s="468"/>
      <c r="U175" s="468"/>
      <c r="V175" s="468"/>
      <c r="W175" s="468"/>
      <c r="X175" s="468"/>
      <c r="Y175" s="468"/>
      <c r="Z175" s="468"/>
      <c r="AA175" s="468"/>
      <c r="AB175" s="468"/>
      <c r="AC175" s="468"/>
      <c r="AD175" s="468"/>
      <c r="AE175" s="468"/>
      <c r="AF175" s="468"/>
      <c r="AG175" s="468"/>
      <c r="AH175" s="468"/>
      <c r="AI175" s="468"/>
      <c r="AJ175" s="468"/>
    </row>
    <row r="176" spans="1:36" ht="18" hidden="1" customHeight="1" x14ac:dyDescent="0.35">
      <c r="A176" s="468"/>
      <c r="B176" s="521" t="s">
        <v>80</v>
      </c>
      <c r="C176" s="494">
        <f>VLOOKUP(B166,'6 Caissons Objets'!Moussecal6,14)</f>
        <v>0</v>
      </c>
      <c r="D176" s="850">
        <f>VLOOKUP(B166,'6 Caissons Objets'!Moussecal6,15)</f>
        <v>0</v>
      </c>
      <c r="E176" s="850">
        <f>VLOOKUP(B166,'6 Caissons Objets'!Moussecal6,16)</f>
        <v>0</v>
      </c>
      <c r="F176" s="850">
        <f>VLOOKUP(B166,'6 Caissons Objets'!Moussecal6,17)</f>
        <v>0</v>
      </c>
      <c r="G176" s="468">
        <f t="shared" ref="G176:G179" si="100">C176</f>
        <v>0</v>
      </c>
      <c r="H176" s="468"/>
      <c r="I176" s="468"/>
      <c r="J176" s="468">
        <f t="shared" si="95"/>
        <v>0</v>
      </c>
      <c r="K176" s="468">
        <f t="shared" si="96"/>
        <v>0</v>
      </c>
      <c r="L176" s="514">
        <v>0</v>
      </c>
      <c r="M176" s="514">
        <f t="shared" si="97"/>
        <v>0</v>
      </c>
      <c r="N176" s="479">
        <f t="shared" ref="N176:N184" si="101">IF(J176=0,0,4.7283*J176+2)</f>
        <v>0</v>
      </c>
      <c r="O176" s="514">
        <f t="shared" si="99"/>
        <v>0</v>
      </c>
      <c r="P176" s="468"/>
      <c r="Q176" s="520">
        <v>0</v>
      </c>
      <c r="R176" s="468"/>
      <c r="S176" s="468"/>
      <c r="T176" s="468"/>
      <c r="U176" s="468"/>
      <c r="V176" s="468"/>
      <c r="W176" s="468"/>
      <c r="X176" s="468"/>
      <c r="Y176" s="468"/>
      <c r="Z176" s="468"/>
      <c r="AA176" s="468"/>
      <c r="AB176" s="468"/>
      <c r="AC176" s="468"/>
      <c r="AD176" s="468"/>
      <c r="AE176" s="468"/>
      <c r="AF176" s="468"/>
      <c r="AG176" s="468"/>
      <c r="AH176" s="468"/>
      <c r="AI176" s="468"/>
      <c r="AJ176" s="468"/>
    </row>
    <row r="177" spans="1:36" ht="18" hidden="1" customHeight="1" x14ac:dyDescent="0.35">
      <c r="A177" s="468"/>
      <c r="B177" s="521"/>
      <c r="C177" s="494">
        <f>VLOOKUP(B166,'6 Caissons Objets'!Moussecal6,18)</f>
        <v>0</v>
      </c>
      <c r="D177" s="850">
        <f>VLOOKUP(B166,'6 Caissons Objets'!Moussecal6,19)</f>
        <v>0</v>
      </c>
      <c r="E177" s="850">
        <f>VLOOKUP(B166,'6 Caissons Objets'!Moussecal6,20)</f>
        <v>0</v>
      </c>
      <c r="F177" s="850">
        <f>VLOOKUP(B166,'6 Caissons Objets'!Moussecal6,21)</f>
        <v>0</v>
      </c>
      <c r="G177" s="468">
        <f t="shared" si="100"/>
        <v>0</v>
      </c>
      <c r="H177" s="468"/>
      <c r="I177" s="468"/>
      <c r="J177" s="468">
        <f t="shared" si="95"/>
        <v>0</v>
      </c>
      <c r="K177" s="468">
        <f t="shared" si="96"/>
        <v>0</v>
      </c>
      <c r="L177" s="514">
        <v>0</v>
      </c>
      <c r="M177" s="514">
        <f t="shared" si="97"/>
        <v>0</v>
      </c>
      <c r="N177" s="479">
        <f t="shared" si="101"/>
        <v>0</v>
      </c>
      <c r="O177" s="514">
        <f t="shared" si="99"/>
        <v>0</v>
      </c>
      <c r="P177" s="468"/>
      <c r="Q177" s="520">
        <v>0</v>
      </c>
      <c r="R177" s="468"/>
      <c r="S177" s="468"/>
      <c r="T177" s="468"/>
      <c r="U177" s="468"/>
      <c r="V177" s="468"/>
      <c r="W177" s="468"/>
      <c r="X177" s="468"/>
      <c r="Y177" s="468"/>
      <c r="Z177" s="468"/>
      <c r="AA177" s="468"/>
      <c r="AB177" s="468"/>
      <c r="AC177" s="468"/>
      <c r="AD177" s="468"/>
      <c r="AE177" s="468"/>
      <c r="AF177" s="468"/>
      <c r="AG177" s="468"/>
      <c r="AH177" s="468"/>
      <c r="AI177" s="468"/>
      <c r="AJ177" s="468"/>
    </row>
    <row r="178" spans="1:36" ht="18" hidden="1" customHeight="1" x14ac:dyDescent="0.35">
      <c r="A178" s="468"/>
      <c r="B178" s="521"/>
      <c r="C178" s="494">
        <f>VLOOKUP(B166,'6 Caissons Objets'!Moussecal6,28)</f>
        <v>0</v>
      </c>
      <c r="D178" s="850">
        <f>VLOOKUP(B166,'6 Caissons Objets'!Moussecal6,29)</f>
        <v>0</v>
      </c>
      <c r="E178" s="850">
        <f>VLOOKUP(B166,'6 Caissons Objets'!Moussecal6,30)</f>
        <v>0</v>
      </c>
      <c r="F178" s="850">
        <f>VLOOKUP(B166,'6 Caissons Objets'!Moussecal6,31)</f>
        <v>0</v>
      </c>
      <c r="G178" s="468">
        <f t="shared" si="100"/>
        <v>0</v>
      </c>
      <c r="H178" s="468"/>
      <c r="I178" s="468"/>
      <c r="J178" s="468">
        <f t="shared" si="95"/>
        <v>0</v>
      </c>
      <c r="K178" s="468">
        <f t="shared" si="96"/>
        <v>0</v>
      </c>
      <c r="L178" s="514">
        <v>0</v>
      </c>
      <c r="M178" s="514">
        <f t="shared" si="97"/>
        <v>0</v>
      </c>
      <c r="N178" s="479">
        <f t="shared" si="101"/>
        <v>0</v>
      </c>
      <c r="O178" s="514">
        <f t="shared" si="99"/>
        <v>0</v>
      </c>
      <c r="P178" s="468"/>
      <c r="Q178" s="520">
        <v>0</v>
      </c>
      <c r="R178" s="468"/>
      <c r="S178" s="468"/>
      <c r="T178" s="468"/>
      <c r="U178" s="468"/>
      <c r="V178" s="468"/>
      <c r="W178" s="468"/>
      <c r="X178" s="468"/>
      <c r="Y178" s="468"/>
      <c r="Z178" s="468"/>
      <c r="AA178" s="468"/>
      <c r="AB178" s="468"/>
      <c r="AC178" s="468"/>
      <c r="AD178" s="468"/>
      <c r="AE178" s="468"/>
      <c r="AF178" s="468"/>
      <c r="AG178" s="468"/>
      <c r="AH178" s="468"/>
      <c r="AI178" s="468"/>
      <c r="AJ178" s="468"/>
    </row>
    <row r="179" spans="1:36" ht="18" hidden="1" customHeight="1" x14ac:dyDescent="0.35">
      <c r="A179" s="468"/>
      <c r="B179" s="494"/>
      <c r="C179" s="494">
        <f>VLOOKUP(B166,'6 Caissons Objets'!Moussecal6,22)</f>
        <v>0</v>
      </c>
      <c r="D179" s="850">
        <f>VLOOKUP(B166,'6 Caissons Objets'!Moussecal6,25)</f>
        <v>0</v>
      </c>
      <c r="E179" s="850">
        <f>VLOOKUP(B166,'6 Caissons Objets'!Moussecal6,26)</f>
        <v>0</v>
      </c>
      <c r="F179" s="850">
        <f>IF(D179=0,0,1)</f>
        <v>0</v>
      </c>
      <c r="G179" s="468">
        <f t="shared" si="100"/>
        <v>0</v>
      </c>
      <c r="H179" s="468"/>
      <c r="I179" s="468"/>
      <c r="J179" s="468">
        <f t="shared" si="95"/>
        <v>0</v>
      </c>
      <c r="K179" s="468">
        <f t="shared" si="96"/>
        <v>0</v>
      </c>
      <c r="L179" s="514">
        <v>0</v>
      </c>
      <c r="M179" s="514">
        <f t="shared" si="97"/>
        <v>0</v>
      </c>
      <c r="N179" s="479">
        <f t="shared" si="101"/>
        <v>0</v>
      </c>
      <c r="O179" s="514">
        <f t="shared" si="99"/>
        <v>0</v>
      </c>
      <c r="P179" s="468"/>
      <c r="Q179" s="520">
        <v>0</v>
      </c>
      <c r="R179" s="468"/>
      <c r="S179" s="468"/>
      <c r="T179" s="468"/>
      <c r="U179" s="468"/>
      <c r="V179" s="468"/>
      <c r="W179" s="468"/>
      <c r="X179" s="468"/>
      <c r="Y179" s="468"/>
      <c r="Z179" s="468"/>
      <c r="AA179" s="468"/>
      <c r="AB179" s="468"/>
      <c r="AC179" s="468"/>
      <c r="AD179" s="468"/>
      <c r="AE179" s="468"/>
      <c r="AF179" s="468"/>
      <c r="AG179" s="468"/>
      <c r="AH179" s="468"/>
      <c r="AI179" s="468"/>
      <c r="AJ179" s="468"/>
    </row>
    <row r="180" spans="1:36" ht="18" hidden="1" customHeight="1" x14ac:dyDescent="0.35">
      <c r="A180" s="468"/>
      <c r="B180" s="494"/>
      <c r="C180" s="494"/>
      <c r="D180" s="850"/>
      <c r="E180" s="850"/>
      <c r="F180" s="850"/>
      <c r="G180" s="468"/>
      <c r="H180" s="468"/>
      <c r="I180" s="468"/>
      <c r="J180" s="468">
        <f t="shared" si="95"/>
        <v>0</v>
      </c>
      <c r="K180" s="468">
        <f t="shared" si="96"/>
        <v>0</v>
      </c>
      <c r="L180" s="514">
        <v>0</v>
      </c>
      <c r="M180" s="514">
        <f t="shared" si="97"/>
        <v>0</v>
      </c>
      <c r="N180" s="479">
        <f t="shared" si="101"/>
        <v>0</v>
      </c>
      <c r="O180" s="514">
        <f t="shared" si="99"/>
        <v>0</v>
      </c>
      <c r="P180" s="468"/>
      <c r="Q180" s="520">
        <v>0</v>
      </c>
      <c r="R180" s="468"/>
      <c r="S180" s="468"/>
      <c r="T180" s="468"/>
      <c r="U180" s="468"/>
      <c r="V180" s="468"/>
      <c r="W180" s="468"/>
      <c r="X180" s="468"/>
      <c r="Y180" s="468"/>
      <c r="Z180" s="468"/>
      <c r="AA180" s="468"/>
      <c r="AB180" s="468"/>
      <c r="AC180" s="468"/>
      <c r="AD180" s="468"/>
      <c r="AE180" s="468"/>
      <c r="AF180" s="468"/>
      <c r="AG180" s="468"/>
      <c r="AH180" s="468"/>
      <c r="AI180" s="468"/>
      <c r="AJ180" s="468"/>
    </row>
    <row r="181" spans="1:36" ht="18" hidden="1" customHeight="1" x14ac:dyDescent="0.35">
      <c r="A181" s="468"/>
      <c r="B181" s="494"/>
      <c r="C181" s="494"/>
      <c r="D181" s="849"/>
      <c r="E181" s="849"/>
      <c r="F181" s="850"/>
      <c r="G181" s="468"/>
      <c r="H181" s="468"/>
      <c r="I181" s="468"/>
      <c r="J181" s="468">
        <f t="shared" si="95"/>
        <v>0</v>
      </c>
      <c r="K181" s="468">
        <f t="shared" si="96"/>
        <v>0</v>
      </c>
      <c r="L181" s="514">
        <v>0</v>
      </c>
      <c r="M181" s="514">
        <f t="shared" si="97"/>
        <v>0</v>
      </c>
      <c r="N181" s="479">
        <f t="shared" si="101"/>
        <v>0</v>
      </c>
      <c r="O181" s="514">
        <f t="shared" si="99"/>
        <v>0</v>
      </c>
      <c r="P181" s="468"/>
      <c r="Q181" s="520">
        <v>0</v>
      </c>
      <c r="R181" s="468"/>
      <c r="S181" s="468"/>
      <c r="T181" s="468"/>
      <c r="U181" s="468"/>
      <c r="V181" s="468"/>
      <c r="W181" s="468"/>
      <c r="X181" s="468"/>
      <c r="Y181" s="468"/>
      <c r="Z181" s="468"/>
      <c r="AA181" s="468"/>
      <c r="AB181" s="468"/>
      <c r="AC181" s="468"/>
      <c r="AD181" s="468"/>
      <c r="AE181" s="468"/>
      <c r="AF181" s="468"/>
      <c r="AG181" s="468"/>
      <c r="AH181" s="468"/>
      <c r="AI181" s="468"/>
      <c r="AJ181" s="468"/>
    </row>
    <row r="182" spans="1:36" ht="18" hidden="1" customHeight="1" x14ac:dyDescent="0.35">
      <c r="A182" s="468"/>
      <c r="B182" s="494"/>
      <c r="C182" s="494"/>
      <c r="D182" s="849"/>
      <c r="E182" s="849"/>
      <c r="F182" s="850"/>
      <c r="G182" s="468"/>
      <c r="H182" s="468"/>
      <c r="I182" s="468"/>
      <c r="J182" s="468">
        <f t="shared" si="95"/>
        <v>0</v>
      </c>
      <c r="K182" s="468">
        <f t="shared" si="96"/>
        <v>0</v>
      </c>
      <c r="L182" s="514">
        <v>0</v>
      </c>
      <c r="M182" s="514">
        <f t="shared" si="97"/>
        <v>0</v>
      </c>
      <c r="N182" s="479">
        <f t="shared" si="101"/>
        <v>0</v>
      </c>
      <c r="O182" s="514">
        <f t="shared" si="99"/>
        <v>0</v>
      </c>
      <c r="P182" s="468"/>
      <c r="Q182" s="520">
        <v>0</v>
      </c>
      <c r="R182" s="468"/>
      <c r="S182" s="468"/>
      <c r="T182" s="468"/>
      <c r="U182" s="468"/>
      <c r="V182" s="468"/>
      <c r="W182" s="468"/>
      <c r="X182" s="468"/>
      <c r="Y182" s="468"/>
      <c r="Z182" s="468"/>
      <c r="AA182" s="468"/>
      <c r="AB182" s="468"/>
      <c r="AC182" s="468"/>
      <c r="AD182" s="468"/>
      <c r="AE182" s="468"/>
      <c r="AF182" s="468"/>
      <c r="AG182" s="468"/>
      <c r="AH182" s="468"/>
      <c r="AI182" s="468"/>
      <c r="AJ182" s="468"/>
    </row>
    <row r="183" spans="1:36" ht="18" hidden="1" customHeight="1" x14ac:dyDescent="0.35">
      <c r="A183" s="468"/>
      <c r="B183" s="494"/>
      <c r="C183" s="494"/>
      <c r="D183" s="849"/>
      <c r="E183" s="849"/>
      <c r="F183" s="850"/>
      <c r="G183" s="468"/>
      <c r="H183" s="468"/>
      <c r="I183" s="468"/>
      <c r="J183" s="468">
        <f t="shared" si="95"/>
        <v>0</v>
      </c>
      <c r="K183" s="468">
        <f t="shared" si="96"/>
        <v>0</v>
      </c>
      <c r="L183" s="514">
        <v>0</v>
      </c>
      <c r="M183" s="514">
        <f t="shared" si="97"/>
        <v>0</v>
      </c>
      <c r="N183" s="479">
        <f t="shared" si="101"/>
        <v>0</v>
      </c>
      <c r="O183" s="514">
        <f t="shared" si="99"/>
        <v>0</v>
      </c>
      <c r="P183" s="468"/>
      <c r="Q183" s="520">
        <v>0</v>
      </c>
      <c r="R183" s="468"/>
      <c r="S183" s="468"/>
      <c r="T183" s="468"/>
      <c r="U183" s="468"/>
      <c r="V183" s="468"/>
      <c r="W183" s="468"/>
      <c r="X183" s="468"/>
      <c r="Y183" s="468"/>
      <c r="Z183" s="468"/>
      <c r="AA183" s="468"/>
      <c r="AB183" s="468"/>
      <c r="AC183" s="468"/>
      <c r="AD183" s="468"/>
      <c r="AE183" s="468"/>
      <c r="AF183" s="468"/>
      <c r="AG183" s="468"/>
      <c r="AH183" s="468"/>
      <c r="AI183" s="468"/>
      <c r="AJ183" s="468"/>
    </row>
    <row r="184" spans="1:36" ht="18" hidden="1" customHeight="1" x14ac:dyDescent="0.35">
      <c r="A184" s="468"/>
      <c r="B184" s="851" t="s">
        <v>176</v>
      </c>
      <c r="C184" s="494" t="str">
        <f>'6 Caissons Objets'!plat6</f>
        <v>Aucun</v>
      </c>
      <c r="D184" s="849">
        <f>IF(C184="Aucun",0,'6 Caissons Objets'!Lnec6-0.3)</f>
        <v>0</v>
      </c>
      <c r="E184" s="849">
        <f>IF(C184="Aucun",0,'6 Caissons Objets'!lanec6-0.3)</f>
        <v>0</v>
      </c>
      <c r="F184" s="850">
        <f>IF(C184="Aucun",0,1)</f>
        <v>0</v>
      </c>
      <c r="G184" s="519">
        <f>G168</f>
        <v>0</v>
      </c>
      <c r="H184" s="468"/>
      <c r="I184" s="468"/>
      <c r="J184" s="468">
        <f t="shared" si="95"/>
        <v>0</v>
      </c>
      <c r="K184" s="468">
        <f t="shared" si="96"/>
        <v>0</v>
      </c>
      <c r="L184" s="514">
        <v>0</v>
      </c>
      <c r="M184" s="514">
        <f t="shared" si="97"/>
        <v>0</v>
      </c>
      <c r="N184" s="479">
        <f t="shared" si="101"/>
        <v>0</v>
      </c>
      <c r="O184" s="514">
        <f t="shared" si="99"/>
        <v>0</v>
      </c>
      <c r="P184" s="468"/>
      <c r="Q184" s="520">
        <f>IF(J184=0,0,J184*VLOOKUP(C184,$A$214:$D$220,4))</f>
        <v>0</v>
      </c>
      <c r="R184" s="468"/>
      <c r="S184" s="468"/>
      <c r="T184" s="468"/>
      <c r="U184" s="468"/>
      <c r="V184" s="468"/>
      <c r="W184" s="468"/>
      <c r="X184" s="468"/>
      <c r="Y184" s="468"/>
      <c r="Z184" s="468"/>
      <c r="AA184" s="468"/>
      <c r="AB184" s="468"/>
      <c r="AC184" s="468"/>
      <c r="AD184" s="468"/>
      <c r="AE184" s="468"/>
      <c r="AF184" s="468"/>
      <c r="AG184" s="468"/>
      <c r="AH184" s="468"/>
      <c r="AI184" s="468"/>
      <c r="AJ184" s="468"/>
    </row>
    <row r="185" spans="1:36" ht="18" hidden="1" customHeight="1" x14ac:dyDescent="0.35">
      <c r="A185" s="468"/>
      <c r="B185" s="494"/>
      <c r="C185" s="494"/>
      <c r="D185" s="849"/>
      <c r="E185" s="849"/>
      <c r="F185" s="850"/>
      <c r="G185" s="468"/>
      <c r="H185" s="468"/>
      <c r="I185" s="468"/>
      <c r="J185" s="468"/>
      <c r="K185" s="468"/>
      <c r="L185" s="468"/>
      <c r="M185" s="514"/>
      <c r="N185" s="479"/>
      <c r="O185" s="514"/>
      <c r="P185" s="468"/>
      <c r="Q185" s="468"/>
      <c r="R185" s="468"/>
      <c r="S185" s="468"/>
      <c r="T185" s="468"/>
      <c r="U185" s="468"/>
      <c r="V185" s="468"/>
      <c r="W185" s="468"/>
      <c r="X185" s="468"/>
      <c r="Y185" s="468"/>
      <c r="Z185" s="468"/>
      <c r="AA185" s="468"/>
      <c r="AB185" s="468"/>
      <c r="AC185" s="468"/>
      <c r="AD185" s="468"/>
      <c r="AE185" s="468"/>
      <c r="AF185" s="468"/>
      <c r="AG185" s="468"/>
      <c r="AH185" s="468"/>
      <c r="AI185" s="468"/>
      <c r="AJ185" s="468"/>
    </row>
    <row r="186" spans="1:36" ht="18" hidden="1" customHeight="1" x14ac:dyDescent="0.35">
      <c r="A186" s="468"/>
      <c r="B186" s="468"/>
      <c r="C186" s="468"/>
      <c r="D186" s="468"/>
      <c r="E186" s="468"/>
      <c r="F186" s="468"/>
      <c r="G186" s="468"/>
      <c r="H186" s="468"/>
      <c r="I186" s="468"/>
      <c r="J186" s="468"/>
      <c r="K186" s="468"/>
      <c r="L186" s="468"/>
      <c r="M186" s="468"/>
      <c r="N186" s="479"/>
      <c r="O186" s="468"/>
      <c r="P186" s="468"/>
      <c r="Q186" s="468"/>
      <c r="R186" s="468"/>
      <c r="S186" s="468"/>
      <c r="T186" s="468"/>
      <c r="U186" s="468"/>
      <c r="V186" s="468"/>
      <c r="W186" s="468"/>
      <c r="X186" s="468"/>
      <c r="Y186" s="468"/>
      <c r="Z186" s="468"/>
      <c r="AA186" s="468"/>
      <c r="AB186" s="468"/>
      <c r="AC186" s="468"/>
      <c r="AD186" s="468"/>
      <c r="AE186" s="468"/>
      <c r="AF186" s="468"/>
      <c r="AG186" s="468"/>
      <c r="AH186" s="468"/>
      <c r="AI186" s="468"/>
      <c r="AJ186" s="468"/>
    </row>
    <row r="187" spans="1:36" ht="18" hidden="1" customHeight="1" x14ac:dyDescent="0.35">
      <c r="A187" s="468" t="s">
        <v>72</v>
      </c>
      <c r="B187" s="468" t="str">
        <f>C12</f>
        <v>Vis bois</v>
      </c>
      <c r="C187" s="468"/>
      <c r="D187" s="468"/>
      <c r="E187" s="468"/>
      <c r="F187" s="468"/>
      <c r="G187" s="468"/>
      <c r="H187" s="468"/>
      <c r="I187" s="468"/>
      <c r="J187" s="468"/>
      <c r="K187" s="468"/>
      <c r="L187" s="468"/>
      <c r="M187" s="514">
        <f>IF(B187="Vis bois",0,IF(B187="Grenouillères",20,IF(B187="Papillon",40,20)))</f>
        <v>0</v>
      </c>
      <c r="N187" s="479">
        <f>IF(B187="Vis bois",0,IF(B187="Grenouillères",50,IF(B187="Papillon",60,45)))</f>
        <v>0</v>
      </c>
      <c r="O187" s="514">
        <f>N187*'6 Caissons Objets'!MinuteMO</f>
        <v>0</v>
      </c>
      <c r="P187" s="468"/>
      <c r="Q187" s="468"/>
      <c r="R187" s="468"/>
      <c r="S187" s="468"/>
      <c r="T187" s="468"/>
      <c r="U187" s="468"/>
      <c r="V187" s="468"/>
      <c r="W187" s="468"/>
      <c r="X187" s="468"/>
      <c r="Y187" s="468"/>
      <c r="Z187" s="468"/>
      <c r="AA187" s="468"/>
      <c r="AB187" s="468"/>
      <c r="AC187" s="468"/>
      <c r="AD187" s="468"/>
      <c r="AE187" s="468"/>
      <c r="AF187" s="468"/>
      <c r="AG187" s="468"/>
      <c r="AH187" s="468"/>
      <c r="AI187" s="468"/>
      <c r="AJ187" s="468"/>
    </row>
    <row r="188" spans="1:36" ht="18" hidden="1" customHeight="1" x14ac:dyDescent="0.35">
      <c r="A188" s="468" t="s">
        <v>21</v>
      </c>
      <c r="B188" s="468" t="str">
        <f>C14</f>
        <v>Aucun</v>
      </c>
      <c r="C188" s="468"/>
      <c r="D188" s="468"/>
      <c r="E188" s="468"/>
      <c r="F188" s="468"/>
      <c r="G188" s="468"/>
      <c r="H188" s="468"/>
      <c r="I188" s="468"/>
      <c r="J188" s="468"/>
      <c r="K188" s="468"/>
      <c r="L188" s="468"/>
      <c r="M188" s="514"/>
      <c r="N188" s="479"/>
      <c r="O188" s="514"/>
      <c r="P188" s="468"/>
      <c r="Q188" s="468"/>
      <c r="R188" s="468"/>
      <c r="S188" s="468"/>
      <c r="T188" s="468"/>
      <c r="U188" s="468"/>
      <c r="V188" s="468"/>
      <c r="W188" s="468"/>
      <c r="X188" s="468"/>
      <c r="Y188" s="468"/>
      <c r="Z188" s="468"/>
      <c r="AA188" s="468"/>
      <c r="AB188" s="468"/>
      <c r="AC188" s="468"/>
      <c r="AD188" s="468"/>
      <c r="AE188" s="468"/>
      <c r="AF188" s="468"/>
      <c r="AG188" s="468"/>
      <c r="AH188" s="468"/>
      <c r="AI188" s="468"/>
      <c r="AJ188" s="468"/>
    </row>
    <row r="189" spans="1:36" ht="18" hidden="1" customHeight="1" x14ac:dyDescent="0.35">
      <c r="A189" s="468"/>
      <c r="B189" s="468"/>
      <c r="C189" s="468"/>
      <c r="D189" s="468"/>
      <c r="E189" s="468"/>
      <c r="F189" s="468"/>
      <c r="G189" s="468"/>
      <c r="H189" s="468"/>
      <c r="I189" s="468"/>
      <c r="J189" s="468"/>
      <c r="K189" s="468"/>
      <c r="L189" s="468"/>
      <c r="M189" s="468"/>
      <c r="N189" s="479"/>
      <c r="O189" s="468"/>
      <c r="P189" s="468"/>
      <c r="Q189" s="468"/>
      <c r="R189" s="468"/>
      <c r="S189" s="468"/>
      <c r="T189" s="468"/>
      <c r="U189" s="468"/>
      <c r="V189" s="468"/>
      <c r="W189" s="468"/>
      <c r="X189" s="468"/>
      <c r="Y189" s="468"/>
      <c r="Z189" s="468"/>
      <c r="AA189" s="468"/>
      <c r="AB189" s="468"/>
      <c r="AC189" s="468"/>
      <c r="AD189" s="468"/>
      <c r="AE189" s="468"/>
      <c r="AF189" s="468"/>
      <c r="AG189" s="468"/>
      <c r="AH189" s="468"/>
      <c r="AI189" s="468"/>
      <c r="AJ189" s="468"/>
    </row>
    <row r="190" spans="1:36" ht="18" hidden="1" customHeight="1" x14ac:dyDescent="0.35">
      <c r="A190" s="468"/>
      <c r="B190" s="468"/>
      <c r="C190" s="468"/>
      <c r="D190" s="468"/>
      <c r="E190" s="468"/>
      <c r="F190" s="468"/>
      <c r="G190" s="468"/>
      <c r="H190" s="468"/>
      <c r="I190" s="468"/>
      <c r="J190" s="468"/>
      <c r="K190" s="468"/>
      <c r="L190" s="525"/>
      <c r="M190" s="525">
        <f t="shared" ref="M190:O190" si="102">SUM(M47:M189)</f>
        <v>0</v>
      </c>
      <c r="N190" s="526">
        <f t="shared" si="102"/>
        <v>0</v>
      </c>
      <c r="O190" s="525">
        <f t="shared" si="102"/>
        <v>0</v>
      </c>
      <c r="P190" s="468"/>
      <c r="Q190" s="520">
        <f>SUM(Q53:Q184)</f>
        <v>0</v>
      </c>
      <c r="R190" s="468"/>
      <c r="S190" s="468"/>
      <c r="T190" s="468"/>
      <c r="U190" s="468"/>
      <c r="V190" s="468"/>
      <c r="W190" s="468"/>
      <c r="X190" s="468"/>
      <c r="Y190" s="468"/>
      <c r="Z190" s="468"/>
      <c r="AA190" s="468"/>
      <c r="AB190" s="468"/>
      <c r="AC190" s="468"/>
      <c r="AD190" s="468"/>
      <c r="AE190" s="468"/>
      <c r="AF190" s="468"/>
      <c r="AG190" s="468"/>
      <c r="AH190" s="468"/>
      <c r="AI190" s="468"/>
      <c r="AJ190" s="468"/>
    </row>
    <row r="191" spans="1:36" ht="18" hidden="1" customHeight="1" x14ac:dyDescent="0.35">
      <c r="A191" s="468"/>
      <c r="B191" s="480" t="s">
        <v>73</v>
      </c>
      <c r="C191" s="527">
        <f>IF($F$5=0,0,M190)</f>
        <v>0</v>
      </c>
      <c r="D191" s="484"/>
      <c r="E191" s="528" t="s">
        <v>74</v>
      </c>
      <c r="F191" s="529" t="str">
        <f>CONCATENATE(ROUNDUP(SUM(K53:K56)+SUM(K76:K79)+SUM(K99:K102)+SUM(K122:K125)+SUM(K145:K148)+SUM(K168:K171)+K69+K92+K115+K138+K161+K184,2)," m²")</f>
        <v>0 m²</v>
      </c>
      <c r="G191" s="530">
        <f>(SUM(M53:M56)+SUM(M76:M79)+SUM(M99:M102)+SUM(M122:M125)+SUM(M145:M148)+SUM(M168:M171)+M69+M92+M115+M138+M161+M184)</f>
        <v>0</v>
      </c>
      <c r="H191" s="468"/>
      <c r="I191" s="468"/>
      <c r="J191" s="468"/>
      <c r="K191" s="468"/>
      <c r="L191" s="468"/>
      <c r="M191" s="468"/>
      <c r="N191" s="468"/>
      <c r="O191" s="468"/>
      <c r="P191" s="468"/>
      <c r="Q191" s="468"/>
      <c r="R191" s="468"/>
      <c r="S191" s="468"/>
      <c r="T191" s="468"/>
      <c r="U191" s="468"/>
      <c r="V191" s="468"/>
      <c r="W191" s="468"/>
      <c r="X191" s="468"/>
      <c r="Y191" s="468"/>
      <c r="Z191" s="468"/>
      <c r="AA191" s="468"/>
      <c r="AB191" s="468"/>
      <c r="AC191" s="468"/>
      <c r="AD191" s="468"/>
      <c r="AE191" s="468"/>
      <c r="AF191" s="468"/>
      <c r="AG191" s="468"/>
      <c r="AH191" s="468"/>
      <c r="AI191" s="468"/>
      <c r="AJ191" s="468"/>
    </row>
    <row r="192" spans="1:36" ht="18" hidden="1" customHeight="1" x14ac:dyDescent="0.35">
      <c r="A192" s="468"/>
      <c r="B192" s="531" t="s">
        <v>75</v>
      </c>
      <c r="C192" s="514">
        <f>IF($F$5=0,0,O190)</f>
        <v>0</v>
      </c>
      <c r="D192" s="532">
        <f>IF($F$5=0,0,N190)</f>
        <v>0</v>
      </c>
      <c r="E192" s="533" t="s">
        <v>76</v>
      </c>
      <c r="F192" s="534" t="str">
        <f>CONCATENATE(ROUNDUP(SUM(K58:K60)+SUM(K81:K83)+SUM(K104:K106)+SUM(K127:K129)+SUM(K150:K152)+SUM(K173:K175),2)," m²")</f>
        <v>0 m²</v>
      </c>
      <c r="G192" s="535">
        <f>(SUM(M58:M60)+SUM(M81:M83)+SUM(M104:M106)+SUM(M127:M129)+SUM(M150:M152)+SUM(M173:M175))</f>
        <v>0</v>
      </c>
      <c r="H192" s="468"/>
      <c r="I192" s="468"/>
      <c r="J192" s="468"/>
      <c r="K192" s="468"/>
      <c r="L192" s="468"/>
      <c r="M192" s="468"/>
      <c r="N192" s="468"/>
      <c r="O192" s="468"/>
      <c r="P192" s="468"/>
      <c r="Q192" s="468"/>
      <c r="R192" s="468"/>
      <c r="S192" s="468"/>
      <c r="T192" s="468"/>
      <c r="U192" s="468"/>
      <c r="V192" s="468"/>
      <c r="W192" s="468"/>
      <c r="X192" s="468"/>
      <c r="Y192" s="468"/>
      <c r="Z192" s="468"/>
      <c r="AA192" s="468"/>
      <c r="AB192" s="468"/>
      <c r="AC192" s="468"/>
      <c r="AD192" s="468"/>
      <c r="AE192" s="468"/>
      <c r="AF192" s="468"/>
      <c r="AG192" s="468"/>
      <c r="AH192" s="468"/>
      <c r="AI192" s="468"/>
      <c r="AJ192" s="468"/>
    </row>
    <row r="193" spans="1:36" ht="18" hidden="1" customHeight="1" x14ac:dyDescent="0.35">
      <c r="A193" s="468"/>
      <c r="B193" s="531" t="s">
        <v>77</v>
      </c>
      <c r="C193" s="514">
        <f>IF($F$5=0,0,((C191+C192)/'6 Caissons Objets'!Frais_Généraux)-(C191+C192))</f>
        <v>0</v>
      </c>
      <c r="D193" s="499"/>
      <c r="E193" s="533"/>
      <c r="F193" s="534"/>
      <c r="G193" s="535"/>
      <c r="H193" s="468"/>
      <c r="I193" s="468"/>
      <c r="J193" s="468"/>
      <c r="K193" s="468"/>
      <c r="L193" s="468"/>
      <c r="M193" s="468"/>
      <c r="N193" s="468"/>
      <c r="O193" s="468"/>
      <c r="P193" s="468"/>
      <c r="Q193" s="468"/>
      <c r="R193" s="468"/>
      <c r="S193" s="468"/>
      <c r="T193" s="468"/>
      <c r="U193" s="468"/>
      <c r="V193" s="468"/>
      <c r="W193" s="468"/>
      <c r="X193" s="468"/>
      <c r="Y193" s="468"/>
      <c r="Z193" s="468"/>
      <c r="AA193" s="468"/>
      <c r="AB193" s="468"/>
      <c r="AC193" s="468"/>
      <c r="AD193" s="468"/>
      <c r="AE193" s="468"/>
      <c r="AF193" s="468"/>
      <c r="AG193" s="468"/>
      <c r="AH193" s="468"/>
      <c r="AI193" s="468"/>
      <c r="AJ193" s="468"/>
    </row>
    <row r="194" spans="1:36" ht="18" hidden="1" customHeight="1" x14ac:dyDescent="0.35">
      <c r="A194" s="468"/>
      <c r="B194" s="531" t="s">
        <v>79</v>
      </c>
      <c r="C194" s="514">
        <f>IF($F$5=0,0,SUM(C191:C193))</f>
        <v>0</v>
      </c>
      <c r="D194" s="499"/>
      <c r="E194" s="533" t="s">
        <v>80</v>
      </c>
      <c r="F194" s="534" t="str">
        <f>CONCATENATE(ROUNDUP(SUM(K61:K68)+SUM(K84:K91)+SUM(K107:K114)+SUM(K130:K137)+SUM(K153:K160)+SUM(K176:K183),2)," m²")</f>
        <v>0 m²</v>
      </c>
      <c r="G194" s="535">
        <f>(SUM(M61:M68)+SUM(M84:M91)+SUM(M107:M114)+SUM(M130:M137)+SUM(M153:M160)+SUM(M176:M183))</f>
        <v>0</v>
      </c>
      <c r="H194" s="468"/>
      <c r="I194" s="468"/>
      <c r="J194" s="468"/>
      <c r="K194" s="468"/>
      <c r="L194" s="468"/>
      <c r="M194" s="468"/>
      <c r="N194" s="468"/>
      <c r="O194" s="468"/>
      <c r="P194" s="468"/>
      <c r="Q194" s="468"/>
      <c r="R194" s="468"/>
      <c r="S194" s="468"/>
      <c r="T194" s="468"/>
      <c r="U194" s="468"/>
      <c r="V194" s="468"/>
      <c r="W194" s="468"/>
      <c r="X194" s="468"/>
      <c r="Y194" s="468"/>
      <c r="Z194" s="468"/>
      <c r="AA194" s="468"/>
      <c r="AB194" s="468"/>
      <c r="AC194" s="468"/>
      <c r="AD194" s="468"/>
      <c r="AE194" s="468"/>
      <c r="AF194" s="468"/>
      <c r="AG194" s="468"/>
      <c r="AH194" s="468"/>
      <c r="AI194" s="468"/>
      <c r="AJ194" s="468"/>
    </row>
    <row r="195" spans="1:36" ht="18" hidden="1" customHeight="1" x14ac:dyDescent="0.35">
      <c r="A195" s="468"/>
      <c r="B195" s="531" t="s">
        <v>81</v>
      </c>
      <c r="C195" s="514">
        <f>IF($F$5=0,0,(C194/(1-'6 Caissons Objets'!Marge)-C194))</f>
        <v>0</v>
      </c>
      <c r="D195" s="536">
        <f>C194+C195</f>
        <v>0</v>
      </c>
      <c r="E195" s="533"/>
      <c r="F195" s="534"/>
      <c r="G195" s="852"/>
      <c r="H195" s="468"/>
      <c r="I195" s="468"/>
      <c r="J195" s="468"/>
      <c r="K195" s="468"/>
      <c r="L195" s="468"/>
      <c r="M195" s="468"/>
      <c r="N195" s="468"/>
      <c r="O195" s="468"/>
      <c r="P195" s="468"/>
      <c r="Q195" s="468"/>
      <c r="R195" s="468"/>
      <c r="S195" s="468"/>
      <c r="T195" s="468"/>
      <c r="U195" s="468"/>
      <c r="V195" s="468"/>
      <c r="W195" s="468"/>
      <c r="X195" s="468"/>
      <c r="Y195" s="468"/>
      <c r="Z195" s="468"/>
      <c r="AA195" s="468"/>
      <c r="AB195" s="468"/>
      <c r="AC195" s="468"/>
      <c r="AD195" s="468"/>
      <c r="AE195" s="468"/>
      <c r="AF195" s="468"/>
      <c r="AG195" s="468"/>
      <c r="AH195" s="468"/>
      <c r="AI195" s="468"/>
      <c r="AJ195" s="468"/>
    </row>
    <row r="196" spans="1:36" ht="18" hidden="1" customHeight="1" x14ac:dyDescent="0.35">
      <c r="A196" s="468"/>
      <c r="B196" s="531" t="s">
        <v>83</v>
      </c>
      <c r="C196" s="514">
        <f>IF($F$6="BOVIS",((C194+C195)*(1+C197))-(C194+C195),((C194+C195)*(1+D196))-(C194+C195))</f>
        <v>0</v>
      </c>
      <c r="D196" s="22"/>
      <c r="E196" s="533"/>
      <c r="F196" s="534"/>
      <c r="G196" s="852"/>
      <c r="H196" s="468"/>
      <c r="I196" s="468"/>
      <c r="J196" s="468"/>
      <c r="K196" s="468"/>
      <c r="L196" s="468"/>
      <c r="M196" s="468"/>
      <c r="N196" s="468"/>
      <c r="O196" s="468"/>
      <c r="P196" s="468"/>
      <c r="Q196" s="468"/>
      <c r="R196" s="468"/>
      <c r="S196" s="468"/>
      <c r="T196" s="468"/>
      <c r="U196" s="468"/>
      <c r="V196" s="468"/>
      <c r="W196" s="468"/>
      <c r="X196" s="468"/>
      <c r="Y196" s="468"/>
      <c r="Z196" s="468"/>
      <c r="AA196" s="468"/>
      <c r="AB196" s="468"/>
      <c r="AC196" s="468"/>
      <c r="AD196" s="468"/>
      <c r="AE196" s="468"/>
      <c r="AF196" s="468"/>
      <c r="AG196" s="468"/>
      <c r="AH196" s="468"/>
      <c r="AI196" s="468"/>
      <c r="AJ196" s="468"/>
    </row>
    <row r="197" spans="1:36" ht="18" hidden="1" customHeight="1" x14ac:dyDescent="0.35">
      <c r="A197" s="468"/>
      <c r="B197" s="531"/>
      <c r="C197" s="537">
        <f>IF($F$6="BOVIS",0.03,0)</f>
        <v>0</v>
      </c>
      <c r="D197" s="538"/>
      <c r="E197" s="533"/>
      <c r="F197" s="534"/>
      <c r="G197" s="852"/>
      <c r="H197" s="468"/>
      <c r="I197" s="468"/>
      <c r="J197" s="468"/>
      <c r="K197" s="468"/>
      <c r="L197" s="468"/>
      <c r="M197" s="468"/>
      <c r="N197" s="468"/>
      <c r="O197" s="468"/>
      <c r="P197" s="468"/>
      <c r="Q197" s="468"/>
      <c r="R197" s="468"/>
      <c r="S197" s="468"/>
      <c r="T197" s="468"/>
      <c r="U197" s="468"/>
      <c r="V197" s="468"/>
      <c r="W197" s="468"/>
      <c r="X197" s="468"/>
      <c r="Y197" s="468"/>
      <c r="Z197" s="468"/>
      <c r="AA197" s="468"/>
      <c r="AB197" s="468"/>
      <c r="AC197" s="468"/>
      <c r="AD197" s="468"/>
      <c r="AE197" s="468"/>
      <c r="AF197" s="468"/>
      <c r="AG197" s="468"/>
      <c r="AH197" s="468"/>
      <c r="AI197" s="468"/>
      <c r="AJ197" s="468"/>
    </row>
    <row r="198" spans="1:36" ht="18" hidden="1" customHeight="1" x14ac:dyDescent="0.35">
      <c r="A198" s="468"/>
      <c r="B198" s="539" t="s">
        <v>84</v>
      </c>
      <c r="C198" s="540">
        <f>SUM(C194:C197)</f>
        <v>0</v>
      </c>
      <c r="D198" s="853"/>
      <c r="E198" s="542" t="s">
        <v>85</v>
      </c>
      <c r="F198" s="543"/>
      <c r="G198" s="854">
        <f>C191-SUM(G191:G195)</f>
        <v>0</v>
      </c>
      <c r="H198" s="468"/>
      <c r="I198" s="468"/>
      <c r="J198" s="468"/>
      <c r="K198" s="468"/>
      <c r="L198" s="468"/>
      <c r="M198" s="468"/>
      <c r="N198" s="468"/>
      <c r="O198" s="468"/>
      <c r="P198" s="468"/>
      <c r="Q198" s="468"/>
      <c r="R198" s="468"/>
      <c r="S198" s="468"/>
      <c r="T198" s="468"/>
      <c r="U198" s="468"/>
      <c r="V198" s="468"/>
      <c r="W198" s="468"/>
      <c r="X198" s="468"/>
      <c r="Y198" s="468"/>
      <c r="Z198" s="468"/>
      <c r="AA198" s="468"/>
      <c r="AB198" s="468"/>
      <c r="AC198" s="468"/>
      <c r="AD198" s="468"/>
      <c r="AE198" s="468"/>
      <c r="AF198" s="468"/>
      <c r="AG198" s="468"/>
      <c r="AH198" s="468"/>
      <c r="AI198" s="468"/>
      <c r="AJ198" s="468"/>
    </row>
    <row r="199" spans="1:36" ht="18" hidden="1" customHeight="1" x14ac:dyDescent="0.35">
      <c r="A199" s="468"/>
      <c r="B199" s="468"/>
      <c r="C199" s="468"/>
      <c r="D199" s="468"/>
      <c r="E199" s="468"/>
      <c r="F199" s="468"/>
      <c r="G199" s="468"/>
      <c r="H199" s="468"/>
      <c r="I199" s="468"/>
      <c r="J199" s="468"/>
      <c r="K199" s="468"/>
      <c r="L199" s="468"/>
      <c r="M199" s="468"/>
      <c r="N199" s="468"/>
      <c r="O199" s="468"/>
      <c r="P199" s="468"/>
      <c r="Q199" s="468"/>
      <c r="R199" s="468"/>
      <c r="S199" s="468"/>
      <c r="T199" s="468"/>
      <c r="U199" s="468"/>
      <c r="V199" s="468"/>
      <c r="W199" s="468"/>
      <c r="X199" s="468"/>
      <c r="Y199" s="468"/>
      <c r="Z199" s="468"/>
      <c r="AA199" s="468"/>
      <c r="AB199" s="468"/>
      <c r="AC199" s="468"/>
      <c r="AD199" s="468"/>
      <c r="AE199" s="468"/>
      <c r="AF199" s="468"/>
      <c r="AG199" s="468"/>
      <c r="AH199" s="468"/>
      <c r="AI199" s="468"/>
      <c r="AJ199" s="468"/>
    </row>
    <row r="200" spans="1:36" ht="18" hidden="1" customHeight="1" x14ac:dyDescent="0.35">
      <c r="A200" s="468"/>
      <c r="B200" s="468"/>
      <c r="C200" s="468"/>
      <c r="D200" s="468"/>
      <c r="E200" s="468"/>
      <c r="F200" s="468"/>
      <c r="G200" s="468"/>
      <c r="H200" s="468"/>
      <c r="I200" s="468"/>
      <c r="J200" s="468"/>
      <c r="K200" s="468"/>
      <c r="L200" s="468"/>
      <c r="M200" s="468"/>
      <c r="N200" s="468"/>
      <c r="O200" s="468"/>
      <c r="P200" s="468"/>
      <c r="Q200" s="468"/>
      <c r="R200" s="468"/>
      <c r="S200" s="468"/>
      <c r="T200" s="468"/>
      <c r="U200" s="468"/>
      <c r="V200" s="468"/>
      <c r="W200" s="468"/>
      <c r="X200" s="468"/>
      <c r="Y200" s="468"/>
      <c r="Z200" s="468"/>
      <c r="AA200" s="468"/>
      <c r="AB200" s="468"/>
      <c r="AC200" s="468"/>
      <c r="AD200" s="468"/>
      <c r="AE200" s="468"/>
      <c r="AF200" s="468"/>
      <c r="AG200" s="468"/>
      <c r="AH200" s="468"/>
      <c r="AI200" s="468"/>
      <c r="AJ200" s="468"/>
    </row>
    <row r="201" spans="1:36" ht="18" hidden="1" customHeight="1" x14ac:dyDescent="0.35">
      <c r="A201" s="468"/>
      <c r="B201" s="468"/>
      <c r="C201" s="468"/>
      <c r="D201" s="468"/>
      <c r="E201" s="468"/>
      <c r="F201" s="468"/>
      <c r="G201" s="468"/>
      <c r="H201" s="468"/>
      <c r="I201" s="468"/>
      <c r="J201" s="468"/>
      <c r="K201" s="468"/>
      <c r="L201" s="468"/>
      <c r="M201" s="468"/>
      <c r="N201" s="468"/>
      <c r="O201" s="468"/>
      <c r="P201" s="468"/>
      <c r="Q201" s="468"/>
      <c r="R201" s="468"/>
      <c r="S201" s="468"/>
      <c r="T201" s="468"/>
      <c r="U201" s="468"/>
      <c r="V201" s="468"/>
      <c r="W201" s="468"/>
      <c r="X201" s="468"/>
      <c r="Y201" s="468"/>
      <c r="Z201" s="468"/>
      <c r="AA201" s="468"/>
      <c r="AB201" s="468"/>
      <c r="AC201" s="468"/>
      <c r="AD201" s="468"/>
      <c r="AE201" s="468"/>
      <c r="AF201" s="468"/>
      <c r="AG201" s="468"/>
      <c r="AH201" s="468"/>
      <c r="AI201" s="468"/>
      <c r="AJ201" s="468"/>
    </row>
    <row r="202" spans="1:36" ht="18" hidden="1" customHeight="1" x14ac:dyDescent="0.35">
      <c r="A202" s="468"/>
      <c r="B202" s="468"/>
      <c r="C202" s="468"/>
      <c r="D202" s="468"/>
      <c r="E202" s="468"/>
      <c r="F202" s="468"/>
      <c r="G202" s="468"/>
      <c r="H202" s="468"/>
      <c r="I202" s="468"/>
      <c r="J202" s="468"/>
      <c r="K202" s="468"/>
      <c r="L202" s="468"/>
      <c r="M202" s="468"/>
      <c r="N202" s="468"/>
      <c r="O202" s="468"/>
      <c r="P202" s="468"/>
      <c r="Q202" s="468"/>
      <c r="R202" s="468"/>
      <c r="S202" s="468"/>
      <c r="T202" s="468"/>
      <c r="U202" s="468"/>
      <c r="V202" s="468"/>
      <c r="W202" s="468"/>
      <c r="X202" s="468"/>
      <c r="Y202" s="468"/>
      <c r="Z202" s="468"/>
      <c r="AA202" s="468"/>
      <c r="AB202" s="468"/>
      <c r="AC202" s="468"/>
      <c r="AD202" s="468"/>
      <c r="AE202" s="468"/>
      <c r="AF202" s="468"/>
      <c r="AG202" s="468"/>
      <c r="AH202" s="468"/>
      <c r="AI202" s="468"/>
      <c r="AJ202" s="468"/>
    </row>
    <row r="203" spans="1:36" ht="18" hidden="1" customHeight="1" x14ac:dyDescent="0.35">
      <c r="A203" s="468"/>
      <c r="B203" s="468"/>
      <c r="C203" s="468"/>
      <c r="D203" s="468"/>
      <c r="E203" s="468"/>
      <c r="F203" s="468"/>
      <c r="G203" s="468"/>
      <c r="H203" s="468"/>
      <c r="I203" s="468"/>
      <c r="J203" s="468"/>
      <c r="K203" s="468"/>
      <c r="L203" s="468"/>
      <c r="M203" s="468"/>
      <c r="N203" s="468"/>
      <c r="O203" s="468"/>
      <c r="P203" s="468"/>
      <c r="Q203" s="468"/>
      <c r="R203" s="468"/>
      <c r="S203" s="468"/>
      <c r="T203" s="468"/>
      <c r="U203" s="468"/>
      <c r="V203" s="468"/>
      <c r="W203" s="468"/>
      <c r="X203" s="468"/>
      <c r="Y203" s="468"/>
      <c r="Z203" s="468"/>
      <c r="AA203" s="468"/>
      <c r="AB203" s="468"/>
      <c r="AC203" s="468"/>
      <c r="AD203" s="468"/>
      <c r="AE203" s="468"/>
      <c r="AF203" s="468"/>
      <c r="AG203" s="468"/>
      <c r="AH203" s="468"/>
      <c r="AI203" s="468"/>
      <c r="AJ203" s="468"/>
    </row>
    <row r="204" spans="1:36" ht="18" hidden="1" customHeight="1" x14ac:dyDescent="0.35">
      <c r="A204" s="468"/>
      <c r="B204" s="468"/>
      <c r="C204" s="468"/>
      <c r="D204" s="514"/>
      <c r="E204" s="468"/>
      <c r="F204" s="468"/>
      <c r="G204" s="468"/>
      <c r="H204" s="468"/>
      <c r="I204" s="468"/>
      <c r="J204" s="468"/>
      <c r="K204" s="468"/>
      <c r="L204" s="468"/>
      <c r="M204" s="468"/>
      <c r="N204" s="468"/>
      <c r="O204" s="468"/>
      <c r="P204" s="468"/>
      <c r="Q204" s="468"/>
      <c r="R204" s="468"/>
      <c r="S204" s="468"/>
      <c r="T204" s="468"/>
      <c r="U204" s="468"/>
      <c r="V204" s="468"/>
      <c r="W204" s="468"/>
      <c r="X204" s="468"/>
      <c r="Y204" s="468"/>
      <c r="Z204" s="468"/>
      <c r="AA204" s="468"/>
      <c r="AB204" s="468"/>
      <c r="AC204" s="468"/>
      <c r="AD204" s="468"/>
      <c r="AE204" s="468"/>
      <c r="AF204" s="468"/>
      <c r="AG204" s="468"/>
      <c r="AH204" s="468"/>
      <c r="AI204" s="468"/>
      <c r="AJ204" s="468"/>
    </row>
    <row r="205" spans="1:36" ht="18" hidden="1" customHeight="1" x14ac:dyDescent="0.35">
      <c r="A205" s="468"/>
      <c r="B205" s="468"/>
      <c r="C205" s="468"/>
      <c r="D205" s="468"/>
      <c r="E205" s="468"/>
      <c r="F205" s="468"/>
      <c r="G205" s="468"/>
      <c r="H205" s="468"/>
      <c r="I205" s="468"/>
      <c r="J205" s="468"/>
      <c r="K205" s="468"/>
      <c r="L205" s="468"/>
      <c r="M205" s="468"/>
      <c r="N205" s="468"/>
      <c r="O205" s="468"/>
      <c r="P205" s="468"/>
      <c r="Q205" s="468"/>
      <c r="R205" s="468"/>
      <c r="S205" s="468"/>
      <c r="T205" s="468"/>
      <c r="U205" s="468"/>
      <c r="V205" s="468"/>
      <c r="W205" s="468"/>
      <c r="X205" s="468"/>
      <c r="Y205" s="468"/>
      <c r="Z205" s="468"/>
      <c r="AA205" s="468"/>
      <c r="AB205" s="468"/>
      <c r="AC205" s="468"/>
      <c r="AD205" s="468"/>
      <c r="AE205" s="468"/>
      <c r="AF205" s="468"/>
      <c r="AG205" s="468"/>
      <c r="AH205" s="468"/>
      <c r="AI205" s="468"/>
      <c r="AJ205" s="468"/>
    </row>
    <row r="206" spans="1:36" ht="24" hidden="1" customHeight="1" x14ac:dyDescent="0.35">
      <c r="A206" s="468"/>
      <c r="B206" s="468"/>
      <c r="C206" s="468"/>
      <c r="D206" s="468"/>
      <c r="E206" s="468"/>
      <c r="F206" s="468"/>
      <c r="G206" s="468"/>
      <c r="H206" s="468"/>
      <c r="I206" s="468"/>
      <c r="J206" s="468"/>
      <c r="K206" s="468"/>
      <c r="L206" s="468"/>
      <c r="M206" s="468"/>
      <c r="N206" s="468"/>
      <c r="O206" s="468"/>
      <c r="P206" s="468"/>
      <c r="Q206" s="468"/>
      <c r="R206" s="468"/>
      <c r="S206" s="468"/>
      <c r="T206" s="468"/>
      <c r="U206" s="468"/>
      <c r="V206" s="468"/>
      <c r="W206" s="468"/>
      <c r="X206" s="468"/>
      <c r="Y206" s="468"/>
      <c r="Z206" s="468"/>
      <c r="AA206" s="468"/>
      <c r="AB206" s="468"/>
      <c r="AC206" s="468"/>
      <c r="AD206" s="468"/>
      <c r="AE206" s="468"/>
      <c r="AF206" s="468"/>
      <c r="AG206" s="468"/>
      <c r="AH206" s="468"/>
      <c r="AI206" s="468"/>
      <c r="AJ206" s="468"/>
    </row>
    <row r="207" spans="1:36" ht="18" hidden="1" customHeight="1" x14ac:dyDescent="0.35">
      <c r="A207" s="468"/>
      <c r="B207" s="468"/>
      <c r="C207" s="468"/>
      <c r="D207" s="468"/>
      <c r="E207" s="468"/>
      <c r="F207" s="468"/>
      <c r="G207" s="468"/>
      <c r="H207" s="468"/>
      <c r="I207" s="468"/>
      <c r="J207" s="468"/>
      <c r="K207" s="468"/>
      <c r="L207" s="468"/>
      <c r="M207" s="468"/>
      <c r="N207" s="468"/>
      <c r="O207" s="468"/>
      <c r="P207" s="468"/>
      <c r="Q207" s="468"/>
      <c r="R207" s="468"/>
      <c r="S207" s="468"/>
      <c r="T207" s="468"/>
      <c r="U207" s="468"/>
      <c r="V207" s="468"/>
      <c r="W207" s="468"/>
      <c r="X207" s="468"/>
      <c r="Y207" s="468"/>
      <c r="Z207" s="468"/>
      <c r="AA207" s="468"/>
      <c r="AB207" s="468"/>
      <c r="AC207" s="468"/>
      <c r="AD207" s="468"/>
      <c r="AE207" s="468"/>
      <c r="AF207" s="468"/>
      <c r="AG207" s="468"/>
      <c r="AH207" s="468"/>
      <c r="AI207" s="468"/>
      <c r="AJ207" s="468"/>
    </row>
    <row r="208" spans="1:36" ht="18" hidden="1" customHeight="1" x14ac:dyDescent="0.35">
      <c r="A208" s="468"/>
      <c r="B208" s="468"/>
      <c r="C208" s="468"/>
      <c r="D208" s="468"/>
      <c r="E208" s="468"/>
      <c r="F208" s="468"/>
      <c r="G208" s="468"/>
      <c r="H208" s="468"/>
      <c r="I208" s="468"/>
      <c r="J208" s="468"/>
      <c r="K208" s="468"/>
      <c r="L208" s="468"/>
      <c r="M208" s="468"/>
      <c r="N208" s="468"/>
      <c r="O208" s="468"/>
      <c r="P208" s="468"/>
      <c r="Q208" s="468"/>
      <c r="R208" s="468"/>
      <c r="S208" s="468"/>
      <c r="T208" s="468"/>
      <c r="U208" s="468"/>
      <c r="V208" s="468"/>
      <c r="W208" s="468"/>
      <c r="X208" s="468"/>
      <c r="Y208" s="468"/>
      <c r="Z208" s="468"/>
      <c r="AA208" s="468"/>
      <c r="AB208" s="468"/>
      <c r="AC208" s="468"/>
      <c r="AD208" s="468"/>
      <c r="AE208" s="468"/>
      <c r="AF208" s="468"/>
      <c r="AG208" s="468"/>
      <c r="AH208" s="468"/>
      <c r="AI208" s="468"/>
      <c r="AJ208" s="468"/>
    </row>
    <row r="209" spans="1:36" ht="18" hidden="1" customHeight="1" x14ac:dyDescent="0.35">
      <c r="A209" s="468"/>
      <c r="B209" s="468"/>
      <c r="C209" s="468"/>
      <c r="D209" s="468"/>
      <c r="E209" s="468"/>
      <c r="F209" s="468"/>
      <c r="G209" s="468"/>
      <c r="H209" s="468"/>
      <c r="I209" s="468"/>
      <c r="J209" s="468"/>
      <c r="K209" s="468"/>
      <c r="L209" s="468"/>
      <c r="M209" s="468"/>
      <c r="N209" s="468"/>
      <c r="O209" s="468"/>
      <c r="P209" s="468"/>
      <c r="Q209" s="468"/>
      <c r="R209" s="468"/>
      <c r="S209" s="468"/>
      <c r="T209" s="468"/>
      <c r="U209" s="468"/>
      <c r="V209" s="468"/>
      <c r="W209" s="468"/>
      <c r="X209" s="468"/>
      <c r="Y209" s="468"/>
      <c r="Z209" s="468"/>
      <c r="AA209" s="468"/>
      <c r="AB209" s="468"/>
      <c r="AC209" s="468"/>
      <c r="AD209" s="468"/>
      <c r="AE209" s="468"/>
      <c r="AF209" s="468"/>
      <c r="AG209" s="468"/>
      <c r="AH209" s="468"/>
      <c r="AI209" s="468"/>
      <c r="AJ209" s="468"/>
    </row>
    <row r="210" spans="1:36" ht="18" hidden="1" customHeight="1" x14ac:dyDescent="0.35">
      <c r="A210" s="480" t="s">
        <v>16</v>
      </c>
      <c r="B210" s="484">
        <v>0</v>
      </c>
      <c r="C210" s="468"/>
      <c r="D210" s="468"/>
      <c r="E210" s="468"/>
      <c r="F210" s="468"/>
      <c r="G210" s="468"/>
      <c r="H210" s="468"/>
      <c r="I210" s="468"/>
      <c r="J210" s="468"/>
      <c r="K210" s="468"/>
      <c r="L210" s="468"/>
      <c r="M210" s="468"/>
      <c r="N210" s="468"/>
      <c r="O210" s="468"/>
      <c r="P210" s="468"/>
      <c r="Q210" s="468"/>
      <c r="R210" s="468"/>
      <c r="S210" s="468"/>
      <c r="T210" s="468"/>
      <c r="U210" s="468"/>
      <c r="V210" s="468"/>
      <c r="W210" s="468"/>
      <c r="X210" s="468"/>
      <c r="Y210" s="468"/>
      <c r="Z210" s="468"/>
      <c r="AA210" s="468"/>
      <c r="AB210" s="468"/>
      <c r="AC210" s="468"/>
      <c r="AD210" s="468"/>
      <c r="AE210" s="468"/>
      <c r="AF210" s="468"/>
      <c r="AG210" s="468"/>
      <c r="AH210" s="468"/>
      <c r="AI210" s="468"/>
      <c r="AJ210" s="468"/>
    </row>
    <row r="211" spans="1:36" ht="18" hidden="1" customHeight="1" x14ac:dyDescent="0.35">
      <c r="A211" s="531" t="s">
        <v>478</v>
      </c>
      <c r="B211" s="499">
        <v>2.5</v>
      </c>
      <c r="C211" s="468"/>
      <c r="D211" s="468"/>
      <c r="E211" s="468"/>
      <c r="F211" s="468"/>
      <c r="G211" s="468"/>
      <c r="H211" s="468"/>
      <c r="I211" s="468"/>
      <c r="J211" s="468"/>
      <c r="K211" s="468"/>
      <c r="L211" s="468"/>
      <c r="M211" s="468"/>
      <c r="N211" s="468"/>
      <c r="O211" s="468"/>
      <c r="P211" s="468"/>
      <c r="Q211" s="468"/>
      <c r="R211" s="468"/>
      <c r="S211" s="468"/>
      <c r="T211" s="468"/>
      <c r="U211" s="468"/>
      <c r="V211" s="468"/>
      <c r="W211" s="468"/>
      <c r="X211" s="468"/>
      <c r="Y211" s="468"/>
      <c r="Z211" s="468"/>
      <c r="AA211" s="468"/>
      <c r="AB211" s="468"/>
      <c r="AC211" s="468"/>
      <c r="AD211" s="468"/>
      <c r="AE211" s="468"/>
      <c r="AF211" s="468"/>
      <c r="AG211" s="468"/>
      <c r="AH211" s="468"/>
      <c r="AI211" s="468"/>
      <c r="AJ211" s="468"/>
    </row>
    <row r="212" spans="1:36" ht="18" hidden="1" customHeight="1" x14ac:dyDescent="0.35">
      <c r="A212" s="539" t="s">
        <v>486</v>
      </c>
      <c r="B212" s="853">
        <v>1</v>
      </c>
      <c r="C212" s="468"/>
      <c r="D212" s="468"/>
      <c r="E212" s="468"/>
      <c r="F212" s="468"/>
      <c r="G212" s="468"/>
      <c r="H212" s="468"/>
      <c r="I212" s="468"/>
      <c r="J212" s="468"/>
      <c r="K212" s="468"/>
      <c r="L212" s="468"/>
      <c r="M212" s="468"/>
      <c r="N212" s="468"/>
      <c r="O212" s="468"/>
      <c r="P212" s="468"/>
      <c r="Q212" s="468"/>
      <c r="R212" s="468"/>
      <c r="S212" s="468"/>
      <c r="T212" s="468"/>
      <c r="U212" s="468"/>
      <c r="V212" s="468"/>
      <c r="W212" s="468"/>
      <c r="X212" s="468"/>
      <c r="Y212" s="468"/>
      <c r="Z212" s="468"/>
      <c r="AA212" s="468"/>
      <c r="AB212" s="468"/>
      <c r="AC212" s="468"/>
      <c r="AD212" s="468"/>
      <c r="AE212" s="468"/>
      <c r="AF212" s="468"/>
      <c r="AG212" s="468"/>
      <c r="AH212" s="468"/>
      <c r="AI212" s="468"/>
      <c r="AJ212" s="468"/>
    </row>
    <row r="213" spans="1:36" ht="18" hidden="1" customHeight="1" x14ac:dyDescent="0.35">
      <c r="A213" s="468"/>
      <c r="B213" s="468"/>
      <c r="C213" s="468"/>
      <c r="D213" s="468"/>
      <c r="E213" s="468"/>
      <c r="F213" s="468"/>
      <c r="G213" s="468"/>
      <c r="H213" s="468"/>
      <c r="I213" s="468"/>
      <c r="J213" s="468"/>
      <c r="K213" s="468"/>
      <c r="L213" s="468"/>
      <c r="M213" s="468"/>
      <c r="N213" s="468"/>
      <c r="O213" s="468"/>
      <c r="P213" s="468"/>
      <c r="Q213" s="468"/>
      <c r="R213" s="468"/>
      <c r="S213" s="468"/>
      <c r="T213" s="468"/>
      <c r="U213" s="468"/>
      <c r="V213" s="468"/>
      <c r="W213" s="468"/>
      <c r="X213" s="468"/>
      <c r="Y213" s="468"/>
      <c r="Z213" s="468"/>
      <c r="AA213" s="468"/>
      <c r="AB213" s="468"/>
      <c r="AC213" s="468"/>
      <c r="AD213" s="468"/>
      <c r="AE213" s="468"/>
      <c r="AF213" s="468"/>
      <c r="AG213" s="468"/>
      <c r="AH213" s="468"/>
      <c r="AI213" s="468"/>
      <c r="AJ213" s="468"/>
    </row>
    <row r="214" spans="1:36" ht="18" hidden="1" customHeight="1" x14ac:dyDescent="0.35">
      <c r="A214" s="480" t="s">
        <v>16</v>
      </c>
      <c r="B214" s="482">
        <v>0</v>
      </c>
      <c r="C214" s="484">
        <v>0</v>
      </c>
      <c r="D214" s="468"/>
      <c r="E214" s="468"/>
      <c r="F214" s="468"/>
      <c r="G214" s="468"/>
      <c r="H214" s="468"/>
      <c r="I214" s="468"/>
      <c r="J214" s="468"/>
      <c r="K214" s="468"/>
      <c r="L214" s="468"/>
      <c r="M214" s="468"/>
      <c r="N214" s="468"/>
      <c r="O214" s="468"/>
      <c r="P214" s="468"/>
      <c r="Q214" s="468"/>
      <c r="R214" s="468"/>
      <c r="S214" s="468"/>
      <c r="T214" s="468"/>
      <c r="U214" s="468"/>
      <c r="V214" s="468"/>
      <c r="W214" s="468"/>
      <c r="X214" s="468"/>
      <c r="Y214" s="468"/>
      <c r="Z214" s="468"/>
      <c r="AA214" s="468"/>
      <c r="AB214" s="468"/>
      <c r="AC214" s="468"/>
      <c r="AD214" s="468"/>
      <c r="AE214" s="468"/>
      <c r="AF214" s="468"/>
      <c r="AG214" s="468"/>
      <c r="AH214" s="468"/>
      <c r="AI214" s="468"/>
      <c r="AJ214" s="468"/>
    </row>
    <row r="215" spans="1:36" ht="18" hidden="1" customHeight="1" x14ac:dyDescent="0.35">
      <c r="A215" s="531" t="s">
        <v>487</v>
      </c>
      <c r="B215" s="468">
        <v>1</v>
      </c>
      <c r="C215" s="499">
        <v>8</v>
      </c>
      <c r="D215" s="468">
        <v>5.3</v>
      </c>
      <c r="E215" s="468"/>
      <c r="F215" s="468"/>
      <c r="G215" s="468"/>
      <c r="H215" s="468"/>
      <c r="I215" s="468"/>
      <c r="J215" s="468"/>
      <c r="K215" s="468"/>
      <c r="L215" s="468"/>
      <c r="M215" s="468"/>
      <c r="N215" s="468"/>
      <c r="O215" s="468"/>
      <c r="P215" s="468"/>
      <c r="Q215" s="468"/>
      <c r="R215" s="468"/>
      <c r="S215" s="468"/>
      <c r="T215" s="468"/>
      <c r="U215" s="468"/>
      <c r="V215" s="468"/>
      <c r="W215" s="468"/>
      <c r="X215" s="468"/>
      <c r="Y215" s="468"/>
      <c r="Z215" s="468"/>
      <c r="AA215" s="468"/>
      <c r="AB215" s="468"/>
      <c r="AC215" s="468"/>
      <c r="AD215" s="468"/>
      <c r="AE215" s="468"/>
      <c r="AF215" s="468"/>
      <c r="AG215" s="468"/>
      <c r="AH215" s="468"/>
      <c r="AI215" s="468"/>
      <c r="AJ215" s="468"/>
    </row>
    <row r="216" spans="1:36" ht="18" hidden="1" customHeight="1" x14ac:dyDescent="0.35">
      <c r="A216" s="531" t="s">
        <v>488</v>
      </c>
      <c r="B216" s="468">
        <f>2</f>
        <v>2</v>
      </c>
      <c r="C216" s="499">
        <v>19</v>
      </c>
      <c r="D216" s="468">
        <v>6.3</v>
      </c>
      <c r="E216" s="468"/>
      <c r="F216" s="468"/>
      <c r="G216" s="468"/>
      <c r="H216" s="468"/>
      <c r="I216" s="468"/>
      <c r="J216" s="468"/>
      <c r="K216" s="468"/>
      <c r="L216" s="468"/>
      <c r="M216" s="468"/>
      <c r="N216" s="468"/>
      <c r="O216" s="468"/>
      <c r="P216" s="468"/>
      <c r="Q216" s="468"/>
      <c r="R216" s="468"/>
      <c r="S216" s="468"/>
      <c r="T216" s="468"/>
      <c r="U216" s="468"/>
      <c r="V216" s="468"/>
      <c r="W216" s="468"/>
      <c r="X216" s="468"/>
      <c r="Y216" s="468"/>
      <c r="Z216" s="468"/>
      <c r="AA216" s="468"/>
      <c r="AB216" s="468"/>
      <c r="AC216" s="468"/>
      <c r="AD216" s="468"/>
      <c r="AE216" s="468"/>
      <c r="AF216" s="468"/>
      <c r="AG216" s="468"/>
      <c r="AH216" s="468"/>
      <c r="AI216" s="468"/>
      <c r="AJ216" s="468"/>
    </row>
    <row r="217" spans="1:36" ht="18" hidden="1" customHeight="1" x14ac:dyDescent="0.35">
      <c r="A217" s="531" t="s">
        <v>339</v>
      </c>
      <c r="B217" s="468">
        <v>2.5</v>
      </c>
      <c r="C217" s="499">
        <v>13</v>
      </c>
      <c r="D217" s="468">
        <v>6.5</v>
      </c>
      <c r="E217" s="468"/>
      <c r="F217" s="468"/>
      <c r="G217" s="468"/>
      <c r="H217" s="468"/>
      <c r="I217" s="468"/>
      <c r="J217" s="468"/>
      <c r="K217" s="468"/>
      <c r="L217" s="468"/>
      <c r="M217" s="468"/>
      <c r="N217" s="468"/>
      <c r="O217" s="468"/>
      <c r="P217" s="468"/>
      <c r="Q217" s="468"/>
      <c r="R217" s="468"/>
      <c r="S217" s="468"/>
      <c r="T217" s="468"/>
      <c r="U217" s="468"/>
      <c r="V217" s="468"/>
      <c r="W217" s="468"/>
      <c r="X217" s="468"/>
      <c r="Y217" s="468"/>
      <c r="Z217" s="468"/>
      <c r="AA217" s="468"/>
      <c r="AB217" s="468"/>
      <c r="AC217" s="468"/>
      <c r="AD217" s="468"/>
      <c r="AE217" s="468"/>
      <c r="AF217" s="468"/>
      <c r="AG217" s="468"/>
      <c r="AH217" s="468"/>
      <c r="AI217" s="468"/>
      <c r="AJ217" s="468"/>
    </row>
    <row r="218" spans="1:36" ht="18" hidden="1" customHeight="1" x14ac:dyDescent="0.35">
      <c r="A218" s="531" t="s">
        <v>489</v>
      </c>
      <c r="B218" s="468">
        <v>1.5</v>
      </c>
      <c r="C218" s="499">
        <v>22</v>
      </c>
      <c r="D218" s="468">
        <v>6.1</v>
      </c>
      <c r="E218" s="468"/>
      <c r="F218" s="468"/>
      <c r="G218" s="468"/>
      <c r="H218" s="468"/>
      <c r="I218" s="468"/>
      <c r="J218" s="468"/>
      <c r="K218" s="468"/>
      <c r="L218" s="468"/>
      <c r="M218" s="468"/>
      <c r="N218" s="468"/>
      <c r="O218" s="468"/>
      <c r="P218" s="468"/>
      <c r="Q218" s="468"/>
      <c r="R218" s="468"/>
      <c r="S218" s="468"/>
      <c r="T218" s="468"/>
      <c r="U218" s="468"/>
      <c r="V218" s="468"/>
      <c r="W218" s="468"/>
      <c r="X218" s="468"/>
      <c r="Y218" s="468"/>
      <c r="Z218" s="468"/>
      <c r="AA218" s="468"/>
      <c r="AB218" s="468"/>
      <c r="AC218" s="468"/>
      <c r="AD218" s="468"/>
      <c r="AE218" s="468"/>
      <c r="AF218" s="468"/>
      <c r="AG218" s="468"/>
      <c r="AH218" s="468"/>
      <c r="AI218" s="468"/>
      <c r="AJ218" s="468"/>
    </row>
    <row r="219" spans="1:36" ht="18" hidden="1" customHeight="1" x14ac:dyDescent="0.35">
      <c r="A219" s="531" t="s">
        <v>490</v>
      </c>
      <c r="B219" s="468">
        <v>2.2000000000000002</v>
      </c>
      <c r="C219" s="499">
        <v>16</v>
      </c>
      <c r="D219" s="468"/>
      <c r="E219" s="468"/>
      <c r="F219" s="468"/>
      <c r="G219" s="468"/>
      <c r="H219" s="468"/>
      <c r="I219" s="468"/>
      <c r="J219" s="468"/>
      <c r="K219" s="468"/>
      <c r="L219" s="468"/>
      <c r="M219" s="468"/>
      <c r="N219" s="468"/>
      <c r="O219" s="468"/>
      <c r="P219" s="468"/>
      <c r="Q219" s="468"/>
      <c r="R219" s="468"/>
      <c r="S219" s="468"/>
      <c r="T219" s="468"/>
      <c r="U219" s="468"/>
      <c r="V219" s="468"/>
      <c r="W219" s="468"/>
      <c r="X219" s="468"/>
      <c r="Y219" s="468"/>
      <c r="Z219" s="468"/>
      <c r="AA219" s="468"/>
      <c r="AB219" s="468"/>
      <c r="AC219" s="468"/>
      <c r="AD219" s="468"/>
      <c r="AE219" s="468"/>
      <c r="AF219" s="468"/>
      <c r="AG219" s="468"/>
      <c r="AH219" s="468"/>
      <c r="AI219" s="468"/>
      <c r="AJ219" s="468"/>
    </row>
    <row r="220" spans="1:36" ht="18" hidden="1" customHeight="1" x14ac:dyDescent="0.35">
      <c r="A220" s="531" t="s">
        <v>491</v>
      </c>
      <c r="B220" s="543">
        <v>3</v>
      </c>
      <c r="C220" s="853">
        <v>18</v>
      </c>
      <c r="D220" s="468">
        <v>5.95</v>
      </c>
      <c r="E220" s="468"/>
      <c r="F220" s="468"/>
      <c r="G220" s="468"/>
      <c r="H220" s="468"/>
      <c r="I220" s="468"/>
      <c r="J220" s="468"/>
      <c r="K220" s="468"/>
      <c r="L220" s="468"/>
      <c r="M220" s="468"/>
      <c r="N220" s="468"/>
      <c r="O220" s="468"/>
      <c r="P220" s="468"/>
      <c r="Q220" s="468"/>
      <c r="R220" s="468"/>
      <c r="S220" s="468"/>
      <c r="T220" s="468"/>
      <c r="U220" s="468"/>
      <c r="V220" s="468"/>
      <c r="W220" s="468"/>
      <c r="X220" s="468"/>
      <c r="Y220" s="468"/>
      <c r="Z220" s="468"/>
      <c r="AA220" s="468"/>
      <c r="AB220" s="468"/>
      <c r="AC220" s="468"/>
      <c r="AD220" s="468"/>
      <c r="AE220" s="468"/>
      <c r="AF220" s="468"/>
      <c r="AG220" s="468"/>
      <c r="AH220" s="468"/>
      <c r="AI220" s="468"/>
      <c r="AJ220" s="468"/>
    </row>
    <row r="221" spans="1:36" ht="18" hidden="1" customHeight="1" x14ac:dyDescent="0.35">
      <c r="A221" s="468"/>
      <c r="B221" s="468"/>
      <c r="C221" s="468"/>
      <c r="D221" s="468"/>
      <c r="E221" s="468"/>
      <c r="F221" s="468"/>
      <c r="G221" s="468"/>
      <c r="H221" s="468"/>
      <c r="I221" s="468"/>
      <c r="J221" s="468"/>
      <c r="K221" s="468"/>
      <c r="L221" s="468"/>
      <c r="M221" s="468"/>
      <c r="N221" s="468"/>
      <c r="O221" s="468"/>
      <c r="P221" s="468"/>
      <c r="Q221" s="468"/>
      <c r="R221" s="468"/>
      <c r="S221" s="468"/>
      <c r="T221" s="468"/>
      <c r="U221" s="468"/>
      <c r="V221" s="468"/>
      <c r="W221" s="468"/>
      <c r="X221" s="468"/>
      <c r="Y221" s="468"/>
      <c r="Z221" s="468"/>
      <c r="AA221" s="468"/>
      <c r="AB221" s="468"/>
      <c r="AC221" s="468"/>
      <c r="AD221" s="468"/>
      <c r="AE221" s="468"/>
      <c r="AF221" s="468"/>
      <c r="AG221" s="468"/>
      <c r="AH221" s="468"/>
      <c r="AI221" s="468"/>
      <c r="AJ221" s="468"/>
    </row>
    <row r="222" spans="1:36" ht="18" hidden="1" customHeight="1" x14ac:dyDescent="0.35">
      <c r="A222" s="480" t="s">
        <v>375</v>
      </c>
      <c r="B222" s="482">
        <v>1</v>
      </c>
      <c r="C222" s="484">
        <v>3</v>
      </c>
      <c r="D222" s="468"/>
      <c r="E222" s="468"/>
      <c r="F222" s="468"/>
      <c r="G222" s="468"/>
      <c r="H222" s="468"/>
      <c r="I222" s="468"/>
      <c r="J222" s="468"/>
      <c r="K222" s="468"/>
      <c r="L222" s="468"/>
      <c r="M222" s="468"/>
      <c r="N222" s="468"/>
      <c r="O222" s="468"/>
      <c r="P222" s="468"/>
      <c r="Q222" s="468"/>
      <c r="R222" s="468"/>
      <c r="S222" s="468"/>
      <c r="T222" s="468"/>
      <c r="U222" s="468"/>
      <c r="V222" s="468"/>
      <c r="W222" s="468"/>
      <c r="X222" s="468"/>
      <c r="Y222" s="468"/>
      <c r="Z222" s="468"/>
      <c r="AA222" s="468"/>
      <c r="AB222" s="468"/>
      <c r="AC222" s="468"/>
      <c r="AD222" s="468"/>
      <c r="AE222" s="468"/>
      <c r="AF222" s="468"/>
      <c r="AG222" s="468"/>
      <c r="AH222" s="468"/>
      <c r="AI222" s="468"/>
      <c r="AJ222" s="468"/>
    </row>
    <row r="223" spans="1:36" ht="18" hidden="1" customHeight="1" x14ac:dyDescent="0.35">
      <c r="A223" s="531" t="s">
        <v>113</v>
      </c>
      <c r="B223" s="468">
        <v>1</v>
      </c>
      <c r="C223" s="499">
        <v>5</v>
      </c>
      <c r="D223" s="468"/>
      <c r="E223" s="468"/>
      <c r="F223" s="468"/>
      <c r="G223" s="468"/>
      <c r="H223" s="468"/>
      <c r="I223" s="468"/>
      <c r="J223" s="468"/>
      <c r="K223" s="468"/>
      <c r="L223" s="468"/>
      <c r="M223" s="468"/>
      <c r="N223" s="468"/>
      <c r="O223" s="468"/>
      <c r="P223" s="468"/>
      <c r="Q223" s="468"/>
      <c r="R223" s="468"/>
      <c r="S223" s="468"/>
      <c r="T223" s="468"/>
      <c r="U223" s="468"/>
      <c r="V223" s="468"/>
      <c r="W223" s="468"/>
      <c r="X223" s="468"/>
      <c r="Y223" s="468"/>
      <c r="Z223" s="468"/>
      <c r="AA223" s="468"/>
      <c r="AB223" s="468"/>
      <c r="AC223" s="468"/>
      <c r="AD223" s="468"/>
      <c r="AE223" s="468"/>
      <c r="AF223" s="468"/>
      <c r="AG223" s="468"/>
      <c r="AH223" s="468"/>
      <c r="AI223" s="468"/>
      <c r="AJ223" s="468"/>
    </row>
    <row r="224" spans="1:36" ht="18" hidden="1" customHeight="1" x14ac:dyDescent="0.35">
      <c r="A224" s="531" t="s">
        <v>16</v>
      </c>
      <c r="B224" s="468"/>
      <c r="C224" s="499"/>
      <c r="D224" s="468"/>
      <c r="E224" s="468"/>
      <c r="F224" s="468"/>
      <c r="G224" s="468"/>
      <c r="H224" s="468"/>
      <c r="I224" s="468"/>
      <c r="J224" s="468"/>
      <c r="K224" s="468"/>
      <c r="L224" s="468"/>
      <c r="M224" s="468"/>
      <c r="N224" s="468"/>
      <c r="O224" s="468"/>
      <c r="P224" s="468"/>
      <c r="Q224" s="468"/>
      <c r="R224" s="468"/>
      <c r="S224" s="468"/>
      <c r="T224" s="468"/>
      <c r="U224" s="468"/>
      <c r="V224" s="468"/>
      <c r="W224" s="468"/>
      <c r="X224" s="468"/>
      <c r="Y224" s="468"/>
      <c r="Z224" s="468"/>
      <c r="AA224" s="468"/>
      <c r="AB224" s="468"/>
      <c r="AC224" s="468"/>
      <c r="AD224" s="468"/>
      <c r="AE224" s="468"/>
      <c r="AF224" s="468"/>
      <c r="AG224" s="468"/>
      <c r="AH224" s="468"/>
      <c r="AI224" s="468"/>
      <c r="AJ224" s="468"/>
    </row>
    <row r="225" spans="1:36" ht="18" hidden="1" customHeight="1" x14ac:dyDescent="0.35">
      <c r="A225" s="531" t="s">
        <v>105</v>
      </c>
      <c r="B225" s="468">
        <v>1</v>
      </c>
      <c r="C225" s="499">
        <v>3</v>
      </c>
      <c r="D225" s="468"/>
      <c r="E225" s="468"/>
      <c r="F225" s="468"/>
      <c r="G225" s="468"/>
      <c r="H225" s="468"/>
      <c r="I225" s="468"/>
      <c r="J225" s="468"/>
      <c r="K225" s="468"/>
      <c r="L225" s="468"/>
      <c r="M225" s="468"/>
      <c r="N225" s="468"/>
      <c r="O225" s="468"/>
      <c r="P225" s="468"/>
      <c r="Q225" s="468"/>
      <c r="R225" s="468"/>
      <c r="S225" s="468"/>
      <c r="T225" s="468"/>
      <c r="U225" s="468"/>
      <c r="V225" s="468"/>
      <c r="W225" s="468"/>
      <c r="X225" s="468"/>
      <c r="Y225" s="468"/>
      <c r="Z225" s="468"/>
      <c r="AA225" s="468"/>
      <c r="AB225" s="468"/>
      <c r="AC225" s="468"/>
      <c r="AD225" s="468"/>
      <c r="AE225" s="468"/>
      <c r="AF225" s="468"/>
      <c r="AG225" s="468"/>
      <c r="AH225" s="468"/>
      <c r="AI225" s="468"/>
      <c r="AJ225" s="468"/>
    </row>
    <row r="226" spans="1:36" ht="18" hidden="1" customHeight="1" x14ac:dyDescent="0.35">
      <c r="A226" s="531" t="s">
        <v>27</v>
      </c>
      <c r="B226" s="468">
        <v>1</v>
      </c>
      <c r="C226" s="499">
        <v>5</v>
      </c>
      <c r="D226" s="468"/>
      <c r="E226" s="468"/>
      <c r="F226" s="468"/>
      <c r="G226" s="468"/>
      <c r="H226" s="468"/>
      <c r="I226" s="468"/>
      <c r="J226" s="468"/>
      <c r="K226" s="468"/>
      <c r="L226" s="468"/>
      <c r="M226" s="468"/>
      <c r="N226" s="468"/>
      <c r="O226" s="468"/>
      <c r="P226" s="468"/>
      <c r="Q226" s="468"/>
      <c r="R226" s="468"/>
      <c r="S226" s="468"/>
      <c r="T226" s="468"/>
      <c r="U226" s="468"/>
      <c r="V226" s="468"/>
      <c r="W226" s="468"/>
      <c r="X226" s="468"/>
      <c r="Y226" s="468"/>
      <c r="Z226" s="468"/>
      <c r="AA226" s="468"/>
      <c r="AB226" s="468"/>
      <c r="AC226" s="468"/>
      <c r="AD226" s="468"/>
      <c r="AE226" s="468"/>
      <c r="AF226" s="468"/>
      <c r="AG226" s="468"/>
      <c r="AH226" s="468"/>
      <c r="AI226" s="468"/>
      <c r="AJ226" s="468"/>
    </row>
    <row r="227" spans="1:36" ht="18" hidden="1" customHeight="1" x14ac:dyDescent="0.35">
      <c r="A227" s="531" t="s">
        <v>128</v>
      </c>
      <c r="B227" s="468">
        <v>1</v>
      </c>
      <c r="C227" s="499">
        <v>3.2</v>
      </c>
      <c r="D227" s="468"/>
      <c r="E227" s="468"/>
      <c r="F227" s="468"/>
      <c r="G227" s="468"/>
      <c r="H227" s="468"/>
      <c r="I227" s="468"/>
      <c r="J227" s="468"/>
      <c r="K227" s="468"/>
      <c r="L227" s="468"/>
      <c r="M227" s="468"/>
      <c r="N227" s="468"/>
      <c r="O227" s="468"/>
      <c r="P227" s="468"/>
      <c r="Q227" s="468"/>
      <c r="R227" s="468"/>
      <c r="S227" s="468"/>
      <c r="T227" s="468"/>
      <c r="U227" s="468"/>
      <c r="V227" s="468"/>
      <c r="W227" s="468"/>
      <c r="X227" s="468"/>
      <c r="Y227" s="468"/>
      <c r="Z227" s="468"/>
      <c r="AA227" s="468"/>
      <c r="AB227" s="468"/>
      <c r="AC227" s="468"/>
      <c r="AD227" s="468"/>
      <c r="AE227" s="468"/>
      <c r="AF227" s="468"/>
      <c r="AG227" s="468"/>
      <c r="AH227" s="468"/>
      <c r="AI227" s="468"/>
      <c r="AJ227" s="468"/>
    </row>
    <row r="228" spans="1:36" ht="18" hidden="1" customHeight="1" x14ac:dyDescent="0.35">
      <c r="A228" s="531" t="s">
        <v>376</v>
      </c>
      <c r="B228" s="468">
        <v>1</v>
      </c>
      <c r="C228" s="499">
        <v>3.2</v>
      </c>
      <c r="D228" s="468"/>
      <c r="E228" s="468"/>
      <c r="F228" s="468"/>
      <c r="G228" s="468"/>
      <c r="H228" s="468"/>
      <c r="I228" s="468"/>
      <c r="J228" s="468"/>
      <c r="K228" s="468"/>
      <c r="L228" s="468"/>
      <c r="M228" s="468"/>
      <c r="N228" s="468"/>
      <c r="O228" s="468"/>
      <c r="P228" s="468"/>
      <c r="Q228" s="468"/>
      <c r="R228" s="468"/>
      <c r="S228" s="468"/>
      <c r="T228" s="468"/>
      <c r="U228" s="468"/>
      <c r="V228" s="468"/>
      <c r="W228" s="468"/>
      <c r="X228" s="468"/>
      <c r="Y228" s="468"/>
      <c r="Z228" s="468"/>
      <c r="AA228" s="468"/>
      <c r="AB228" s="468"/>
      <c r="AC228" s="468"/>
      <c r="AD228" s="468"/>
      <c r="AE228" s="468"/>
      <c r="AF228" s="468"/>
      <c r="AG228" s="468"/>
      <c r="AH228" s="468"/>
      <c r="AI228" s="468"/>
      <c r="AJ228" s="468"/>
    </row>
    <row r="229" spans="1:36" ht="18" hidden="1" customHeight="1" x14ac:dyDescent="0.35">
      <c r="A229" s="531" t="s">
        <v>203</v>
      </c>
      <c r="B229" s="468">
        <v>1</v>
      </c>
      <c r="C229" s="499">
        <v>5.5</v>
      </c>
      <c r="D229" s="468"/>
      <c r="E229" s="468"/>
      <c r="F229" s="468"/>
      <c r="G229" s="468"/>
      <c r="H229" s="468"/>
      <c r="I229" s="468"/>
      <c r="J229" s="468"/>
      <c r="K229" s="468"/>
      <c r="L229" s="468"/>
      <c r="M229" s="468"/>
      <c r="N229" s="468"/>
      <c r="O229" s="468"/>
      <c r="P229" s="468"/>
      <c r="Q229" s="468"/>
      <c r="R229" s="468"/>
      <c r="S229" s="468"/>
      <c r="T229" s="468"/>
      <c r="U229" s="468"/>
      <c r="V229" s="468"/>
      <c r="W229" s="468"/>
      <c r="X229" s="468"/>
      <c r="Y229" s="468"/>
      <c r="Z229" s="468"/>
      <c r="AA229" s="468"/>
      <c r="AB229" s="468"/>
      <c r="AC229" s="468"/>
      <c r="AD229" s="468"/>
      <c r="AE229" s="468"/>
      <c r="AF229" s="468"/>
      <c r="AG229" s="468"/>
      <c r="AH229" s="468"/>
      <c r="AI229" s="468"/>
      <c r="AJ229" s="468"/>
    </row>
    <row r="230" spans="1:36" ht="18" hidden="1" customHeight="1" x14ac:dyDescent="0.35">
      <c r="A230" s="539" t="s">
        <v>377</v>
      </c>
      <c r="B230" s="543">
        <v>1</v>
      </c>
      <c r="C230" s="853">
        <v>5.3</v>
      </c>
      <c r="D230" s="468"/>
      <c r="E230" s="468"/>
      <c r="F230" s="468"/>
      <c r="G230" s="468"/>
      <c r="H230" s="468"/>
      <c r="I230" s="468"/>
      <c r="J230" s="468"/>
      <c r="K230" s="468"/>
      <c r="L230" s="468"/>
      <c r="M230" s="468"/>
      <c r="N230" s="468"/>
      <c r="O230" s="468"/>
      <c r="P230" s="468"/>
      <c r="Q230" s="468"/>
      <c r="R230" s="468"/>
      <c r="S230" s="468"/>
      <c r="T230" s="468"/>
      <c r="U230" s="468"/>
      <c r="V230" s="468"/>
      <c r="W230" s="468"/>
      <c r="X230" s="468"/>
      <c r="Y230" s="468"/>
      <c r="Z230" s="468"/>
      <c r="AA230" s="468"/>
      <c r="AB230" s="468"/>
      <c r="AC230" s="468"/>
      <c r="AD230" s="468"/>
      <c r="AE230" s="468"/>
      <c r="AF230" s="468"/>
      <c r="AG230" s="468"/>
      <c r="AH230" s="468"/>
      <c r="AI230" s="468"/>
      <c r="AJ230" s="468"/>
    </row>
    <row r="231" spans="1:36" ht="18" hidden="1" customHeight="1" x14ac:dyDescent="0.35">
      <c r="A231" s="468"/>
      <c r="B231" s="468"/>
      <c r="C231" s="468"/>
      <c r="D231" s="468"/>
      <c r="E231" s="468"/>
      <c r="F231" s="468"/>
      <c r="G231" s="468"/>
      <c r="H231" s="468"/>
      <c r="I231" s="468"/>
      <c r="J231" s="468"/>
      <c r="K231" s="468"/>
      <c r="L231" s="468"/>
      <c r="M231" s="468"/>
      <c r="N231" s="468"/>
      <c r="O231" s="468"/>
      <c r="P231" s="468"/>
      <c r="Q231" s="468"/>
      <c r="R231" s="468"/>
      <c r="S231" s="468"/>
      <c r="T231" s="468"/>
      <c r="U231" s="468"/>
      <c r="V231" s="468"/>
      <c r="W231" s="468"/>
      <c r="X231" s="468"/>
      <c r="Y231" s="468"/>
      <c r="Z231" s="468"/>
      <c r="AA231" s="468"/>
      <c r="AB231" s="468"/>
      <c r="AC231" s="468"/>
      <c r="AD231" s="468"/>
      <c r="AE231" s="468"/>
      <c r="AF231" s="468"/>
      <c r="AG231" s="468"/>
      <c r="AH231" s="468"/>
      <c r="AI231" s="468"/>
      <c r="AJ231" s="468"/>
    </row>
    <row r="232" spans="1:36" ht="18" hidden="1" customHeight="1" x14ac:dyDescent="0.35">
      <c r="A232" s="855" t="s">
        <v>481</v>
      </c>
      <c r="B232" s="482" t="s">
        <v>10</v>
      </c>
      <c r="C232" s="484">
        <v>1.5</v>
      </c>
      <c r="D232" s="468"/>
      <c r="E232" s="468"/>
      <c r="F232" s="468"/>
      <c r="G232" s="468"/>
      <c r="H232" s="468"/>
      <c r="I232" s="468"/>
      <c r="J232" s="468"/>
      <c r="K232" s="468"/>
      <c r="L232" s="468"/>
      <c r="M232" s="468"/>
      <c r="N232" s="468"/>
      <c r="O232" s="468"/>
      <c r="P232" s="468"/>
      <c r="Q232" s="468"/>
      <c r="R232" s="468"/>
      <c r="S232" s="468"/>
      <c r="T232" s="468"/>
      <c r="U232" s="468"/>
      <c r="V232" s="468"/>
      <c r="W232" s="468"/>
      <c r="X232" s="468"/>
      <c r="Y232" s="468"/>
      <c r="Z232" s="468"/>
      <c r="AA232" s="468"/>
      <c r="AB232" s="468"/>
      <c r="AC232" s="468"/>
      <c r="AD232" s="468"/>
      <c r="AE232" s="468"/>
      <c r="AF232" s="468"/>
      <c r="AG232" s="468"/>
      <c r="AH232" s="468"/>
      <c r="AI232" s="468"/>
      <c r="AJ232" s="468"/>
    </row>
    <row r="233" spans="1:36" ht="18" hidden="1" customHeight="1" x14ac:dyDescent="0.35">
      <c r="A233" s="856" t="s">
        <v>492</v>
      </c>
      <c r="B233" s="468" t="s">
        <v>391</v>
      </c>
      <c r="C233" s="499">
        <v>2.2000000000000002</v>
      </c>
      <c r="D233" s="468"/>
      <c r="E233" s="468"/>
      <c r="F233" s="468"/>
      <c r="G233" s="468"/>
      <c r="H233" s="468"/>
      <c r="I233" s="468"/>
      <c r="J233" s="468"/>
      <c r="K233" s="468"/>
      <c r="L233" s="468"/>
      <c r="M233" s="468"/>
      <c r="N233" s="468"/>
      <c r="O233" s="468"/>
      <c r="P233" s="468"/>
      <c r="Q233" s="468"/>
      <c r="R233" s="468"/>
      <c r="S233" s="468"/>
      <c r="T233" s="468"/>
      <c r="U233" s="468"/>
      <c r="V233" s="468"/>
      <c r="W233" s="468"/>
      <c r="X233" s="468"/>
      <c r="Y233" s="468"/>
      <c r="Z233" s="468"/>
      <c r="AA233" s="468"/>
      <c r="AB233" s="468"/>
      <c r="AC233" s="468"/>
      <c r="AD233" s="468"/>
      <c r="AE233" s="468"/>
      <c r="AF233" s="468"/>
      <c r="AG233" s="468"/>
      <c r="AH233" s="468"/>
      <c r="AI233" s="468"/>
      <c r="AJ233" s="468"/>
    </row>
    <row r="234" spans="1:36" ht="18" hidden="1" customHeight="1" x14ac:dyDescent="0.35">
      <c r="A234" s="857" t="s">
        <v>493</v>
      </c>
      <c r="B234" s="543" t="s">
        <v>395</v>
      </c>
      <c r="C234" s="853">
        <v>3</v>
      </c>
      <c r="D234" s="468"/>
      <c r="E234" s="468"/>
      <c r="F234" s="468"/>
      <c r="G234" s="468"/>
      <c r="H234" s="468"/>
      <c r="I234" s="468"/>
      <c r="J234" s="468"/>
      <c r="K234" s="468"/>
      <c r="L234" s="468"/>
      <c r="M234" s="468"/>
      <c r="N234" s="468"/>
      <c r="O234" s="468"/>
      <c r="P234" s="468"/>
      <c r="Q234" s="468"/>
      <c r="R234" s="468"/>
      <c r="S234" s="468"/>
      <c r="T234" s="468"/>
      <c r="U234" s="468"/>
      <c r="V234" s="468"/>
      <c r="W234" s="468"/>
      <c r="X234" s="468"/>
      <c r="Y234" s="468"/>
      <c r="Z234" s="468"/>
      <c r="AA234" s="468"/>
      <c r="AB234" s="468"/>
      <c r="AC234" s="468"/>
      <c r="AD234" s="468"/>
      <c r="AE234" s="468"/>
      <c r="AF234" s="468"/>
      <c r="AG234" s="468"/>
      <c r="AH234" s="468"/>
      <c r="AI234" s="468"/>
      <c r="AJ234" s="468"/>
    </row>
    <row r="235" spans="1:36" ht="18" hidden="1" customHeight="1" x14ac:dyDescent="0.35">
      <c r="A235" s="468"/>
      <c r="B235" s="468"/>
      <c r="C235" s="468"/>
      <c r="D235" s="468"/>
      <c r="E235" s="468"/>
      <c r="F235" s="468"/>
      <c r="G235" s="468"/>
      <c r="H235" s="468"/>
      <c r="I235" s="468"/>
      <c r="J235" s="468"/>
      <c r="K235" s="468"/>
      <c r="L235" s="468"/>
      <c r="M235" s="468"/>
      <c r="N235" s="468"/>
      <c r="O235" s="468"/>
      <c r="P235" s="468"/>
      <c r="Q235" s="468"/>
      <c r="R235" s="468"/>
      <c r="S235" s="468"/>
      <c r="T235" s="468"/>
      <c r="U235" s="468"/>
      <c r="V235" s="468"/>
      <c r="W235" s="468"/>
      <c r="X235" s="468"/>
      <c r="Y235" s="468"/>
      <c r="Z235" s="468"/>
      <c r="AA235" s="468"/>
      <c r="AB235" s="468"/>
      <c r="AC235" s="468"/>
      <c r="AD235" s="468"/>
      <c r="AE235" s="468"/>
      <c r="AF235" s="468"/>
      <c r="AG235" s="468"/>
      <c r="AH235" s="468"/>
      <c r="AI235" s="468"/>
      <c r="AJ235" s="468"/>
    </row>
    <row r="236" spans="1:36" ht="18" hidden="1" customHeight="1" x14ac:dyDescent="0.35">
      <c r="A236" s="855" t="s">
        <v>494</v>
      </c>
      <c r="B236" s="468"/>
      <c r="C236" s="468"/>
      <c r="D236" s="468"/>
      <c r="E236" s="468"/>
      <c r="F236" s="468"/>
      <c r="G236" s="468"/>
      <c r="H236" s="468"/>
      <c r="I236" s="468"/>
      <c r="J236" s="468"/>
      <c r="K236" s="468"/>
      <c r="L236" s="468"/>
      <c r="M236" s="468"/>
      <c r="N236" s="468"/>
      <c r="O236" s="468"/>
      <c r="P236" s="468"/>
      <c r="Q236" s="468"/>
      <c r="R236" s="468"/>
      <c r="S236" s="468"/>
      <c r="T236" s="468"/>
      <c r="U236" s="468"/>
      <c r="V236" s="468"/>
      <c r="W236" s="468"/>
      <c r="X236" s="468"/>
      <c r="Y236" s="468"/>
      <c r="Z236" s="468"/>
      <c r="AA236" s="468"/>
      <c r="AB236" s="468"/>
      <c r="AC236" s="468"/>
      <c r="AD236" s="468"/>
      <c r="AE236" s="468"/>
      <c r="AF236" s="468"/>
      <c r="AG236" s="468"/>
      <c r="AH236" s="468"/>
      <c r="AI236" s="468"/>
      <c r="AJ236" s="468"/>
    </row>
    <row r="237" spans="1:36" ht="18" hidden="1" customHeight="1" x14ac:dyDescent="0.35">
      <c r="A237" s="856"/>
      <c r="B237" s="468"/>
      <c r="C237" s="468"/>
      <c r="D237" s="468"/>
      <c r="E237" s="468"/>
      <c r="F237" s="468"/>
      <c r="G237" s="468"/>
      <c r="H237" s="468"/>
      <c r="I237" s="468"/>
      <c r="J237" s="468"/>
      <c r="K237" s="468"/>
      <c r="L237" s="468"/>
      <c r="M237" s="468"/>
      <c r="N237" s="468"/>
      <c r="O237" s="468"/>
      <c r="P237" s="468"/>
      <c r="Q237" s="468"/>
      <c r="R237" s="468"/>
      <c r="S237" s="468"/>
      <c r="T237" s="468"/>
      <c r="U237" s="468"/>
      <c r="V237" s="468"/>
      <c r="W237" s="468"/>
      <c r="X237" s="468"/>
      <c r="Y237" s="468"/>
      <c r="Z237" s="468"/>
      <c r="AA237" s="468"/>
      <c r="AB237" s="468"/>
      <c r="AC237" s="468"/>
      <c r="AD237" s="468"/>
      <c r="AE237" s="468"/>
      <c r="AF237" s="468"/>
      <c r="AG237" s="468"/>
      <c r="AH237" s="468"/>
      <c r="AI237" s="468"/>
      <c r="AJ237" s="468"/>
    </row>
    <row r="238" spans="1:36" ht="18" hidden="1" customHeight="1" x14ac:dyDescent="0.35">
      <c r="A238" s="855" t="s">
        <v>305</v>
      </c>
      <c r="B238" s="482">
        <v>2.1</v>
      </c>
      <c r="C238" s="482">
        <v>3.1</v>
      </c>
      <c r="D238" s="484">
        <v>5.0999999999999996</v>
      </c>
      <c r="E238" s="468"/>
      <c r="F238" s="468"/>
      <c r="G238" s="468"/>
      <c r="H238" s="468"/>
      <c r="I238" s="468"/>
      <c r="J238" s="468"/>
      <c r="K238" s="468"/>
      <c r="L238" s="468"/>
      <c r="M238" s="468"/>
      <c r="N238" s="468"/>
      <c r="O238" s="468"/>
      <c r="P238" s="468"/>
      <c r="Q238" s="468"/>
      <c r="R238" s="468"/>
      <c r="S238" s="468"/>
      <c r="T238" s="468"/>
      <c r="U238" s="468"/>
      <c r="V238" s="468"/>
      <c r="W238" s="468"/>
      <c r="X238" s="468"/>
      <c r="Y238" s="468"/>
      <c r="Z238" s="468"/>
      <c r="AA238" s="468"/>
      <c r="AB238" s="468"/>
      <c r="AC238" s="468"/>
      <c r="AD238" s="468"/>
      <c r="AE238" s="468"/>
      <c r="AF238" s="468"/>
      <c r="AG238" s="468"/>
      <c r="AH238" s="468"/>
      <c r="AI238" s="468"/>
      <c r="AJ238" s="468"/>
    </row>
    <row r="239" spans="1:36" ht="18" hidden="1" customHeight="1" x14ac:dyDescent="0.35">
      <c r="A239" s="857" t="s">
        <v>347</v>
      </c>
      <c r="B239" s="543">
        <v>2.2000000000000002</v>
      </c>
      <c r="C239" s="543">
        <v>3.2</v>
      </c>
      <c r="D239" s="853">
        <v>5.5</v>
      </c>
      <c r="E239" s="468"/>
      <c r="F239" s="468"/>
      <c r="G239" s="468"/>
      <c r="H239" s="468"/>
      <c r="I239" s="468"/>
      <c r="J239" s="468"/>
      <c r="K239" s="468"/>
      <c r="L239" s="468"/>
      <c r="M239" s="468"/>
      <c r="N239" s="468"/>
      <c r="O239" s="468"/>
      <c r="P239" s="468"/>
      <c r="Q239" s="468"/>
      <c r="R239" s="468"/>
      <c r="S239" s="468"/>
      <c r="T239" s="468"/>
      <c r="U239" s="468"/>
      <c r="V239" s="468"/>
      <c r="W239" s="468"/>
      <c r="X239" s="468"/>
      <c r="Y239" s="468"/>
      <c r="Z239" s="468"/>
      <c r="AA239" s="468"/>
      <c r="AB239" s="468"/>
      <c r="AC239" s="468"/>
      <c r="AD239" s="468"/>
      <c r="AE239" s="468"/>
      <c r="AF239" s="468"/>
      <c r="AG239" s="468"/>
      <c r="AH239" s="468"/>
      <c r="AI239" s="468"/>
      <c r="AJ239" s="468"/>
    </row>
    <row r="240" spans="1:36" ht="18" hidden="1" customHeight="1" x14ac:dyDescent="0.35">
      <c r="A240" s="856"/>
      <c r="B240" s="468"/>
      <c r="C240" s="468"/>
      <c r="D240" s="468"/>
      <c r="E240" s="468"/>
      <c r="F240" s="468"/>
      <c r="G240" s="468"/>
      <c r="H240" s="468"/>
      <c r="I240" s="468"/>
      <c r="J240" s="468"/>
      <c r="K240" s="468"/>
      <c r="L240" s="468"/>
      <c r="M240" s="468"/>
      <c r="N240" s="468"/>
      <c r="O240" s="468"/>
      <c r="P240" s="468"/>
      <c r="Q240" s="468"/>
      <c r="R240" s="468"/>
      <c r="S240" s="468"/>
      <c r="T240" s="468"/>
      <c r="U240" s="468"/>
      <c r="V240" s="468"/>
      <c r="W240" s="468"/>
      <c r="X240" s="468"/>
      <c r="Y240" s="468"/>
      <c r="Z240" s="468"/>
      <c r="AA240" s="468"/>
      <c r="AB240" s="468"/>
      <c r="AC240" s="468"/>
      <c r="AD240" s="468"/>
      <c r="AE240" s="468"/>
      <c r="AF240" s="468"/>
      <c r="AG240" s="468"/>
      <c r="AH240" s="468"/>
      <c r="AI240" s="468"/>
      <c r="AJ240" s="468"/>
    </row>
    <row r="241" spans="1:36" ht="18" hidden="1" customHeight="1" x14ac:dyDescent="0.35">
      <c r="A241" s="856"/>
      <c r="B241" s="468"/>
      <c r="C241" s="468"/>
      <c r="D241" s="468"/>
      <c r="E241" s="468"/>
      <c r="F241" s="468"/>
      <c r="G241" s="468"/>
      <c r="H241" s="468"/>
      <c r="I241" s="468"/>
      <c r="J241" s="468"/>
      <c r="K241" s="468"/>
      <c r="L241" s="468"/>
      <c r="M241" s="468"/>
      <c r="N241" s="468"/>
      <c r="O241" s="468"/>
      <c r="P241" s="468"/>
      <c r="Q241" s="468"/>
      <c r="R241" s="468"/>
      <c r="S241" s="468"/>
      <c r="T241" s="468"/>
      <c r="U241" s="468"/>
      <c r="V241" s="468"/>
      <c r="W241" s="468"/>
      <c r="X241" s="468"/>
      <c r="Y241" s="468"/>
      <c r="Z241" s="468"/>
      <c r="AA241" s="468"/>
      <c r="AB241" s="468"/>
      <c r="AC241" s="468"/>
      <c r="AD241" s="468"/>
      <c r="AE241" s="468"/>
      <c r="AF241" s="468"/>
      <c r="AG241" s="468"/>
      <c r="AH241" s="468"/>
      <c r="AI241" s="468"/>
      <c r="AJ241" s="468"/>
    </row>
    <row r="242" spans="1:36" ht="18" hidden="1" customHeight="1" x14ac:dyDescent="0.35">
      <c r="A242" s="856"/>
      <c r="B242" s="468"/>
      <c r="C242" s="468"/>
      <c r="D242" s="468"/>
      <c r="E242" s="468"/>
      <c r="F242" s="468"/>
      <c r="G242" s="468"/>
      <c r="H242" s="468"/>
      <c r="I242" s="468"/>
      <c r="J242" s="468"/>
      <c r="K242" s="468"/>
      <c r="L242" s="468"/>
      <c r="M242" s="468"/>
      <c r="N242" s="468"/>
      <c r="O242" s="468"/>
      <c r="P242" s="468"/>
      <c r="Q242" s="468"/>
      <c r="R242" s="468"/>
      <c r="S242" s="468"/>
      <c r="T242" s="468"/>
      <c r="U242" s="468"/>
      <c r="V242" s="468"/>
      <c r="W242" s="468"/>
      <c r="X242" s="468"/>
      <c r="Y242" s="468"/>
      <c r="Z242" s="468"/>
      <c r="AA242" s="468"/>
      <c r="AB242" s="468"/>
      <c r="AC242" s="468"/>
      <c r="AD242" s="468"/>
      <c r="AE242" s="468"/>
      <c r="AF242" s="468"/>
      <c r="AG242" s="468"/>
      <c r="AH242" s="468"/>
      <c r="AI242" s="468"/>
      <c r="AJ242" s="468"/>
    </row>
    <row r="243" spans="1:36" ht="18" hidden="1" customHeight="1" x14ac:dyDescent="0.35">
      <c r="A243" s="856">
        <v>1</v>
      </c>
      <c r="B243" s="468"/>
      <c r="C243" s="468"/>
      <c r="D243" s="468"/>
      <c r="E243" s="468"/>
      <c r="F243" s="468"/>
      <c r="G243" s="468"/>
      <c r="H243" s="468"/>
      <c r="I243" s="468"/>
      <c r="J243" s="468"/>
      <c r="K243" s="468"/>
      <c r="L243" s="468"/>
      <c r="M243" s="468"/>
      <c r="N243" s="468"/>
      <c r="O243" s="468"/>
      <c r="P243" s="468"/>
      <c r="Q243" s="468"/>
      <c r="R243" s="468"/>
      <c r="S243" s="468"/>
      <c r="T243" s="468"/>
      <c r="U243" s="468"/>
      <c r="V243" s="468"/>
      <c r="W243" s="468"/>
      <c r="X243" s="468"/>
      <c r="Y243" s="468"/>
      <c r="Z243" s="468"/>
      <c r="AA243" s="468"/>
      <c r="AB243" s="468"/>
      <c r="AC243" s="468"/>
      <c r="AD243" s="468"/>
      <c r="AE243" s="468"/>
      <c r="AF243" s="468"/>
      <c r="AG243" s="468"/>
      <c r="AH243" s="468"/>
      <c r="AI243" s="468"/>
      <c r="AJ243" s="468"/>
    </row>
    <row r="244" spans="1:36" ht="18" hidden="1" customHeight="1" x14ac:dyDescent="0.35">
      <c r="A244" s="856">
        <v>2</v>
      </c>
      <c r="B244" s="468"/>
      <c r="C244" s="468"/>
      <c r="D244" s="468"/>
      <c r="E244" s="468"/>
      <c r="F244" s="468"/>
      <c r="G244" s="468"/>
      <c r="H244" s="468"/>
      <c r="I244" s="468"/>
      <c r="J244" s="468"/>
      <c r="K244" s="468"/>
      <c r="L244" s="468"/>
      <c r="M244" s="468"/>
      <c r="N244" s="468"/>
      <c r="O244" s="468"/>
      <c r="P244" s="468"/>
      <c r="Q244" s="468"/>
      <c r="R244" s="468"/>
      <c r="S244" s="468"/>
      <c r="T244" s="468"/>
      <c r="U244" s="468"/>
      <c r="V244" s="468"/>
      <c r="W244" s="468"/>
      <c r="X244" s="468"/>
      <c r="Y244" s="468"/>
      <c r="Z244" s="468"/>
      <c r="AA244" s="468"/>
      <c r="AB244" s="468"/>
      <c r="AC244" s="468"/>
      <c r="AD244" s="468"/>
      <c r="AE244" s="468"/>
      <c r="AF244" s="468"/>
      <c r="AG244" s="468"/>
      <c r="AH244" s="468"/>
      <c r="AI244" s="468"/>
      <c r="AJ244" s="468"/>
    </row>
    <row r="245" spans="1:36" ht="18" hidden="1" customHeight="1" x14ac:dyDescent="0.35">
      <c r="A245" s="856">
        <v>3</v>
      </c>
      <c r="B245" s="468"/>
      <c r="C245" s="468"/>
      <c r="D245" s="468"/>
      <c r="E245" s="468"/>
      <c r="F245" s="468"/>
      <c r="G245" s="468"/>
      <c r="H245" s="468"/>
      <c r="I245" s="468"/>
      <c r="J245" s="468"/>
      <c r="K245" s="468"/>
      <c r="L245" s="468"/>
      <c r="M245" s="468"/>
      <c r="N245" s="468"/>
      <c r="O245" s="468"/>
      <c r="P245" s="468"/>
      <c r="Q245" s="468"/>
      <c r="R245" s="468"/>
      <c r="S245" s="468"/>
      <c r="T245" s="468"/>
      <c r="U245" s="468"/>
      <c r="V245" s="468"/>
      <c r="W245" s="468"/>
      <c r="X245" s="468"/>
      <c r="Y245" s="468"/>
      <c r="Z245" s="468"/>
      <c r="AA245" s="468"/>
      <c r="AB245" s="468"/>
      <c r="AC245" s="468"/>
      <c r="AD245" s="468"/>
      <c r="AE245" s="468"/>
      <c r="AF245" s="468"/>
      <c r="AG245" s="468"/>
      <c r="AH245" s="468"/>
      <c r="AI245" s="468"/>
      <c r="AJ245" s="468"/>
    </row>
    <row r="246" spans="1:36" ht="18" hidden="1" customHeight="1" x14ac:dyDescent="0.35">
      <c r="A246" s="856">
        <v>4</v>
      </c>
      <c r="B246" s="468"/>
      <c r="C246" s="468"/>
      <c r="D246" s="468"/>
      <c r="E246" s="468"/>
      <c r="F246" s="468"/>
      <c r="G246" s="468"/>
      <c r="H246" s="468"/>
      <c r="I246" s="468"/>
      <c r="J246" s="468"/>
      <c r="K246" s="468"/>
      <c r="L246" s="468"/>
      <c r="M246" s="468"/>
      <c r="N246" s="468"/>
      <c r="O246" s="468"/>
      <c r="P246" s="468"/>
      <c r="Q246" s="468"/>
      <c r="R246" s="468"/>
      <c r="S246" s="468"/>
      <c r="T246" s="468"/>
      <c r="U246" s="468"/>
      <c r="V246" s="468"/>
      <c r="W246" s="468"/>
      <c r="X246" s="468"/>
      <c r="Y246" s="468"/>
      <c r="Z246" s="468"/>
      <c r="AA246" s="468"/>
      <c r="AB246" s="468"/>
      <c r="AC246" s="468"/>
      <c r="AD246" s="468"/>
      <c r="AE246" s="468"/>
      <c r="AF246" s="468"/>
      <c r="AG246" s="468"/>
      <c r="AH246" s="468"/>
      <c r="AI246" s="468"/>
      <c r="AJ246" s="468"/>
    </row>
    <row r="247" spans="1:36" ht="18" hidden="1" customHeight="1" x14ac:dyDescent="0.35">
      <c r="A247" s="856">
        <v>5</v>
      </c>
      <c r="B247" s="468"/>
      <c r="C247" s="468"/>
      <c r="D247" s="468"/>
      <c r="E247" s="468"/>
      <c r="F247" s="468"/>
      <c r="G247" s="468"/>
      <c r="H247" s="468"/>
      <c r="I247" s="468"/>
      <c r="J247" s="468"/>
      <c r="K247" s="468"/>
      <c r="L247" s="468"/>
      <c r="M247" s="468"/>
      <c r="N247" s="468"/>
      <c r="O247" s="468"/>
      <c r="P247" s="468"/>
      <c r="Q247" s="468"/>
      <c r="R247" s="468"/>
      <c r="S247" s="468"/>
      <c r="T247" s="468"/>
      <c r="U247" s="468"/>
      <c r="V247" s="468"/>
      <c r="W247" s="468"/>
      <c r="X247" s="468"/>
      <c r="Y247" s="468"/>
      <c r="Z247" s="468"/>
      <c r="AA247" s="468"/>
      <c r="AB247" s="468"/>
      <c r="AC247" s="468"/>
      <c r="AD247" s="468"/>
      <c r="AE247" s="468"/>
      <c r="AF247" s="468"/>
      <c r="AG247" s="468"/>
      <c r="AH247" s="468"/>
      <c r="AI247" s="468"/>
      <c r="AJ247" s="468"/>
    </row>
    <row r="248" spans="1:36" ht="18" hidden="1" customHeight="1" x14ac:dyDescent="0.35">
      <c r="A248" s="856">
        <v>6</v>
      </c>
      <c r="B248" s="468"/>
      <c r="C248" s="468"/>
      <c r="D248" s="468"/>
      <c r="E248" s="468"/>
      <c r="F248" s="468"/>
      <c r="G248" s="468"/>
      <c r="H248" s="468"/>
      <c r="I248" s="468"/>
      <c r="J248" s="468"/>
      <c r="K248" s="468"/>
      <c r="L248" s="468"/>
      <c r="M248" s="468"/>
      <c r="N248" s="468"/>
      <c r="O248" s="468"/>
      <c r="P248" s="468"/>
      <c r="Q248" s="468"/>
      <c r="R248" s="468"/>
      <c r="S248" s="468"/>
      <c r="T248" s="468"/>
      <c r="U248" s="468"/>
      <c r="V248" s="468"/>
      <c r="W248" s="468"/>
      <c r="X248" s="468"/>
      <c r="Y248" s="468"/>
      <c r="Z248" s="468"/>
      <c r="AA248" s="468"/>
      <c r="AB248" s="468"/>
      <c r="AC248" s="468"/>
      <c r="AD248" s="468"/>
      <c r="AE248" s="468"/>
      <c r="AF248" s="468"/>
      <c r="AG248" s="468"/>
      <c r="AH248" s="468"/>
      <c r="AI248" s="468"/>
      <c r="AJ248" s="468"/>
    </row>
    <row r="249" spans="1:36" ht="18" hidden="1" customHeight="1" x14ac:dyDescent="0.35">
      <c r="A249" s="856">
        <v>7</v>
      </c>
      <c r="B249" s="468"/>
      <c r="C249" s="468"/>
      <c r="D249" s="468"/>
      <c r="E249" s="468"/>
      <c r="F249" s="468"/>
      <c r="G249" s="468"/>
      <c r="H249" s="468"/>
      <c r="I249" s="468"/>
      <c r="J249" s="468"/>
      <c r="K249" s="468"/>
      <c r="L249" s="468"/>
      <c r="M249" s="468"/>
      <c r="N249" s="468"/>
      <c r="O249" s="468"/>
      <c r="P249" s="468"/>
      <c r="Q249" s="468"/>
      <c r="R249" s="468"/>
      <c r="S249" s="468"/>
      <c r="T249" s="468"/>
      <c r="U249" s="468"/>
      <c r="V249" s="468"/>
      <c r="W249" s="468"/>
      <c r="X249" s="468"/>
      <c r="Y249" s="468"/>
      <c r="Z249" s="468"/>
      <c r="AA249" s="468"/>
      <c r="AB249" s="468"/>
      <c r="AC249" s="468"/>
      <c r="AD249" s="468"/>
      <c r="AE249" s="468"/>
      <c r="AF249" s="468"/>
      <c r="AG249" s="468"/>
      <c r="AH249" s="468"/>
      <c r="AI249" s="468"/>
      <c r="AJ249" s="468"/>
    </row>
    <row r="250" spans="1:36" ht="18" hidden="1" customHeight="1" x14ac:dyDescent="0.35">
      <c r="A250" s="856">
        <v>8</v>
      </c>
      <c r="B250" s="468"/>
      <c r="C250" s="468"/>
      <c r="D250" s="468"/>
      <c r="E250" s="468"/>
      <c r="F250" s="468"/>
      <c r="G250" s="468"/>
      <c r="H250" s="468"/>
      <c r="I250" s="468"/>
      <c r="J250" s="468"/>
      <c r="K250" s="468"/>
      <c r="L250" s="468"/>
      <c r="M250" s="468"/>
      <c r="N250" s="468"/>
      <c r="O250" s="468"/>
      <c r="P250" s="468"/>
      <c r="Q250" s="468"/>
      <c r="R250" s="468"/>
      <c r="S250" s="468"/>
      <c r="T250" s="468"/>
      <c r="U250" s="468"/>
      <c r="V250" s="468"/>
      <c r="W250" s="468"/>
      <c r="X250" s="468"/>
      <c r="Y250" s="468"/>
      <c r="Z250" s="468"/>
      <c r="AA250" s="468"/>
      <c r="AB250" s="468"/>
      <c r="AC250" s="468"/>
      <c r="AD250" s="468"/>
      <c r="AE250" s="468"/>
      <c r="AF250" s="468"/>
      <c r="AG250" s="468"/>
      <c r="AH250" s="468"/>
      <c r="AI250" s="468"/>
      <c r="AJ250" s="468"/>
    </row>
    <row r="251" spans="1:36" ht="18" hidden="1" customHeight="1" x14ac:dyDescent="0.35">
      <c r="A251" s="468"/>
      <c r="B251" s="468"/>
      <c r="C251" s="468"/>
      <c r="D251" s="468"/>
      <c r="E251" s="468"/>
      <c r="F251" s="468"/>
      <c r="G251" s="468"/>
      <c r="H251" s="468"/>
      <c r="I251" s="468"/>
      <c r="J251" s="468"/>
      <c r="K251" s="468"/>
      <c r="L251" s="468"/>
      <c r="M251" s="468"/>
      <c r="N251" s="468"/>
      <c r="O251" s="468"/>
      <c r="P251" s="468"/>
      <c r="Q251" s="468"/>
      <c r="R251" s="468"/>
      <c r="S251" s="468"/>
      <c r="T251" s="468"/>
      <c r="U251" s="468"/>
      <c r="V251" s="468"/>
      <c r="W251" s="468"/>
      <c r="X251" s="468"/>
      <c r="Y251" s="468"/>
      <c r="Z251" s="468"/>
      <c r="AA251" s="468"/>
      <c r="AB251" s="468"/>
      <c r="AC251" s="468"/>
      <c r="AD251" s="468"/>
      <c r="AE251" s="468"/>
      <c r="AF251" s="468"/>
      <c r="AG251" s="468"/>
      <c r="AH251" s="468"/>
      <c r="AI251" s="468"/>
      <c r="AJ251" s="468"/>
    </row>
    <row r="252" spans="1:36" ht="18" hidden="1" customHeight="1" x14ac:dyDescent="0.35">
      <c r="A252" s="855" t="s">
        <v>20</v>
      </c>
      <c r="B252" s="468"/>
      <c r="C252" s="468"/>
      <c r="D252" s="468"/>
      <c r="E252" s="468"/>
      <c r="F252" s="468"/>
      <c r="G252" s="468"/>
      <c r="H252" s="468"/>
      <c r="I252" s="468"/>
      <c r="J252" s="468"/>
      <c r="K252" s="468"/>
      <c r="L252" s="468"/>
      <c r="M252" s="468"/>
      <c r="N252" s="468"/>
      <c r="O252" s="468"/>
      <c r="P252" s="468"/>
      <c r="Q252" s="468"/>
      <c r="R252" s="468"/>
      <c r="S252" s="468"/>
      <c r="T252" s="468"/>
      <c r="U252" s="468"/>
      <c r="V252" s="468"/>
      <c r="W252" s="468"/>
      <c r="X252" s="468"/>
      <c r="Y252" s="468"/>
      <c r="Z252" s="468"/>
      <c r="AA252" s="468"/>
      <c r="AB252" s="468"/>
      <c r="AC252" s="468"/>
      <c r="AD252" s="468"/>
      <c r="AE252" s="468"/>
      <c r="AF252" s="468"/>
      <c r="AG252" s="468"/>
      <c r="AH252" s="468"/>
      <c r="AI252" s="468"/>
      <c r="AJ252" s="468"/>
    </row>
    <row r="253" spans="1:36" ht="18" hidden="1" customHeight="1" x14ac:dyDescent="0.35">
      <c r="A253" s="857" t="s">
        <v>14</v>
      </c>
      <c r="B253" s="468"/>
      <c r="C253" s="468"/>
      <c r="D253" s="468"/>
      <c r="E253" s="468"/>
      <c r="F253" s="468"/>
      <c r="G253" s="468"/>
      <c r="H253" s="468"/>
      <c r="I253" s="468"/>
      <c r="J253" s="468"/>
      <c r="K253" s="468"/>
      <c r="L253" s="468"/>
      <c r="M253" s="468"/>
      <c r="N253" s="468"/>
      <c r="O253" s="468"/>
      <c r="P253" s="468"/>
      <c r="Q253" s="468"/>
      <c r="R253" s="468"/>
      <c r="S253" s="468"/>
      <c r="T253" s="468"/>
      <c r="U253" s="468"/>
      <c r="V253" s="468"/>
      <c r="W253" s="468"/>
      <c r="X253" s="468"/>
      <c r="Y253" s="468"/>
      <c r="Z253" s="468"/>
      <c r="AA253" s="468"/>
      <c r="AB253" s="468"/>
      <c r="AC253" s="468"/>
      <c r="AD253" s="468"/>
      <c r="AE253" s="468"/>
      <c r="AF253" s="468"/>
      <c r="AG253" s="468"/>
      <c r="AH253" s="468"/>
      <c r="AI253" s="468"/>
      <c r="AJ253" s="468"/>
    </row>
    <row r="254" spans="1:36" ht="18" hidden="1" customHeight="1" x14ac:dyDescent="0.35">
      <c r="A254" s="468"/>
      <c r="B254" s="468"/>
      <c r="C254" s="468"/>
      <c r="D254" s="468"/>
      <c r="E254" s="468"/>
      <c r="F254" s="468"/>
      <c r="G254" s="468"/>
      <c r="H254" s="468"/>
      <c r="I254" s="468"/>
      <c r="J254" s="468"/>
      <c r="K254" s="468"/>
      <c r="L254" s="468"/>
      <c r="M254" s="468"/>
      <c r="N254" s="468"/>
      <c r="O254" s="468"/>
      <c r="P254" s="468"/>
      <c r="Q254" s="468"/>
      <c r="R254" s="468"/>
      <c r="S254" s="468"/>
      <c r="T254" s="468"/>
      <c r="U254" s="468"/>
      <c r="V254" s="468"/>
      <c r="W254" s="468"/>
      <c r="X254" s="468"/>
      <c r="Y254" s="468"/>
      <c r="Z254" s="468"/>
      <c r="AA254" s="468"/>
      <c r="AB254" s="468"/>
      <c r="AC254" s="468"/>
      <c r="AD254" s="468"/>
      <c r="AE254" s="468"/>
      <c r="AF254" s="468"/>
      <c r="AG254" s="468"/>
      <c r="AH254" s="468"/>
      <c r="AI254" s="468"/>
      <c r="AJ254" s="468"/>
    </row>
    <row r="255" spans="1:36" ht="18" hidden="1" customHeight="1" x14ac:dyDescent="0.35">
      <c r="A255" s="855" t="s">
        <v>307</v>
      </c>
      <c r="B255" s="468"/>
      <c r="C255" s="468"/>
      <c r="D255" s="468"/>
      <c r="E255" s="468"/>
      <c r="F255" s="468"/>
      <c r="G255" s="468"/>
      <c r="H255" s="468"/>
      <c r="I255" s="468"/>
      <c r="J255" s="468"/>
      <c r="K255" s="468"/>
      <c r="L255" s="468"/>
      <c r="M255" s="468"/>
      <c r="N255" s="468"/>
      <c r="O255" s="468"/>
      <c r="P255" s="468"/>
      <c r="Q255" s="468"/>
      <c r="R255" s="468"/>
      <c r="S255" s="468"/>
      <c r="T255" s="468"/>
      <c r="U255" s="468"/>
      <c r="V255" s="468"/>
      <c r="W255" s="468"/>
      <c r="X255" s="468"/>
      <c r="Y255" s="468"/>
      <c r="Z255" s="468"/>
      <c r="AA255" s="468"/>
      <c r="AB255" s="468"/>
      <c r="AC255" s="468"/>
      <c r="AD255" s="468"/>
      <c r="AE255" s="468"/>
      <c r="AF255" s="468"/>
      <c r="AG255" s="468"/>
      <c r="AH255" s="468"/>
      <c r="AI255" s="468"/>
      <c r="AJ255" s="468"/>
    </row>
    <row r="256" spans="1:36" ht="18" hidden="1" customHeight="1" x14ac:dyDescent="0.35">
      <c r="A256" s="857" t="s">
        <v>344</v>
      </c>
      <c r="B256" s="468"/>
      <c r="C256" s="468"/>
      <c r="D256" s="468"/>
      <c r="E256" s="468"/>
      <c r="F256" s="468"/>
      <c r="G256" s="468"/>
      <c r="H256" s="468"/>
      <c r="I256" s="468"/>
      <c r="J256" s="468"/>
      <c r="K256" s="468"/>
      <c r="L256" s="468"/>
      <c r="M256" s="468"/>
      <c r="N256" s="468"/>
      <c r="O256" s="468"/>
      <c r="P256" s="468"/>
      <c r="Q256" s="468"/>
      <c r="R256" s="468"/>
      <c r="S256" s="468"/>
      <c r="T256" s="468"/>
      <c r="U256" s="468"/>
      <c r="V256" s="468"/>
      <c r="W256" s="468"/>
      <c r="X256" s="468"/>
      <c r="Y256" s="468"/>
      <c r="Z256" s="468"/>
      <c r="AA256" s="468"/>
      <c r="AB256" s="468"/>
      <c r="AC256" s="468"/>
      <c r="AD256" s="468"/>
      <c r="AE256" s="468"/>
      <c r="AF256" s="468"/>
      <c r="AG256" s="468"/>
      <c r="AH256" s="468"/>
      <c r="AI256" s="468"/>
      <c r="AJ256" s="468"/>
    </row>
    <row r="257" spans="1:36" ht="18" hidden="1" customHeight="1" x14ac:dyDescent="0.35">
      <c r="A257" s="468"/>
      <c r="B257" s="468"/>
      <c r="C257" s="468"/>
      <c r="D257" s="468"/>
      <c r="E257" s="468"/>
      <c r="F257" s="468"/>
      <c r="G257" s="468"/>
      <c r="H257" s="468"/>
      <c r="I257" s="468"/>
      <c r="J257" s="468"/>
      <c r="K257" s="468"/>
      <c r="L257" s="468"/>
      <c r="M257" s="468"/>
      <c r="N257" s="468"/>
      <c r="O257" s="468"/>
      <c r="P257" s="468"/>
      <c r="Q257" s="468"/>
      <c r="R257" s="468"/>
      <c r="S257" s="468"/>
      <c r="T257" s="468"/>
      <c r="U257" s="468"/>
      <c r="V257" s="468"/>
      <c r="W257" s="468"/>
      <c r="X257" s="468"/>
      <c r="Y257" s="468"/>
      <c r="Z257" s="468"/>
      <c r="AA257" s="468"/>
      <c r="AB257" s="468"/>
      <c r="AC257" s="468"/>
      <c r="AD257" s="468"/>
      <c r="AE257" s="468"/>
      <c r="AF257" s="468"/>
      <c r="AG257" s="468"/>
      <c r="AH257" s="468"/>
      <c r="AI257" s="468"/>
      <c r="AJ257" s="468"/>
    </row>
    <row r="258" spans="1:36" ht="18" hidden="1" customHeight="1" x14ac:dyDescent="0.35">
      <c r="A258" s="480">
        <v>1</v>
      </c>
      <c r="B258" s="482">
        <f t="shared" ref="B258:V258" si="103">A258+1</f>
        <v>2</v>
      </c>
      <c r="C258" s="482">
        <f t="shared" si="103"/>
        <v>3</v>
      </c>
      <c r="D258" s="482">
        <f t="shared" si="103"/>
        <v>4</v>
      </c>
      <c r="E258" s="482">
        <f t="shared" si="103"/>
        <v>5</v>
      </c>
      <c r="F258" s="482">
        <f t="shared" si="103"/>
        <v>6</v>
      </c>
      <c r="G258" s="482">
        <f t="shared" si="103"/>
        <v>7</v>
      </c>
      <c r="H258" s="482">
        <f t="shared" si="103"/>
        <v>8</v>
      </c>
      <c r="I258" s="482">
        <f t="shared" si="103"/>
        <v>9</v>
      </c>
      <c r="J258" s="482">
        <f t="shared" si="103"/>
        <v>10</v>
      </c>
      <c r="K258" s="482">
        <f t="shared" si="103"/>
        <v>11</v>
      </c>
      <c r="L258" s="482">
        <f t="shared" si="103"/>
        <v>12</v>
      </c>
      <c r="M258" s="482">
        <f t="shared" si="103"/>
        <v>13</v>
      </c>
      <c r="N258" s="482">
        <f t="shared" si="103"/>
        <v>14</v>
      </c>
      <c r="O258" s="482">
        <f t="shared" si="103"/>
        <v>15</v>
      </c>
      <c r="P258" s="482">
        <f t="shared" si="103"/>
        <v>16</v>
      </c>
      <c r="Q258" s="482">
        <f t="shared" si="103"/>
        <v>17</v>
      </c>
      <c r="R258" s="482">
        <f t="shared" si="103"/>
        <v>18</v>
      </c>
      <c r="S258" s="482">
        <f t="shared" si="103"/>
        <v>19</v>
      </c>
      <c r="T258" s="482">
        <f t="shared" si="103"/>
        <v>20</v>
      </c>
      <c r="U258" s="482">
        <f t="shared" si="103"/>
        <v>21</v>
      </c>
      <c r="V258" s="482">
        <f t="shared" si="103"/>
        <v>22</v>
      </c>
      <c r="W258" s="482">
        <v>23</v>
      </c>
      <c r="X258" s="482">
        <v>24</v>
      </c>
      <c r="Y258" s="482">
        <v>25</v>
      </c>
      <c r="Z258" s="482">
        <f t="shared" ref="Z258:AG258" si="104">Y258+1</f>
        <v>26</v>
      </c>
      <c r="AA258" s="482">
        <f t="shared" si="104"/>
        <v>27</v>
      </c>
      <c r="AB258" s="482">
        <f t="shared" si="104"/>
        <v>28</v>
      </c>
      <c r="AC258" s="482">
        <f t="shared" si="104"/>
        <v>29</v>
      </c>
      <c r="AD258" s="482">
        <f t="shared" si="104"/>
        <v>30</v>
      </c>
      <c r="AE258" s="482">
        <f t="shared" si="104"/>
        <v>31</v>
      </c>
      <c r="AF258" s="482">
        <f t="shared" si="104"/>
        <v>32</v>
      </c>
      <c r="AG258" s="482">
        <f t="shared" si="104"/>
        <v>33</v>
      </c>
      <c r="AH258" s="482">
        <v>34</v>
      </c>
      <c r="AI258" s="482">
        <v>35</v>
      </c>
      <c r="AJ258" s="484">
        <v>36</v>
      </c>
    </row>
    <row r="259" spans="1:36" ht="18" hidden="1" customHeight="1" x14ac:dyDescent="0.35">
      <c r="A259" s="858" t="s">
        <v>380</v>
      </c>
      <c r="B259" s="504" t="s">
        <v>348</v>
      </c>
      <c r="C259" s="504" t="s">
        <v>28</v>
      </c>
      <c r="D259" s="504" t="s">
        <v>33</v>
      </c>
      <c r="E259" s="504" t="s">
        <v>34</v>
      </c>
      <c r="F259" s="504" t="s">
        <v>348</v>
      </c>
      <c r="G259" s="504" t="s">
        <v>28</v>
      </c>
      <c r="H259" s="504" t="s">
        <v>33</v>
      </c>
      <c r="I259" s="504" t="s">
        <v>34</v>
      </c>
      <c r="J259" s="504" t="s">
        <v>349</v>
      </c>
      <c r="K259" s="504" t="s">
        <v>28</v>
      </c>
      <c r="L259" s="504" t="s">
        <v>33</v>
      </c>
      <c r="M259" s="504" t="s">
        <v>34</v>
      </c>
      <c r="N259" s="504"/>
      <c r="O259" s="504" t="s">
        <v>28</v>
      </c>
      <c r="P259" s="504" t="s">
        <v>33</v>
      </c>
      <c r="Q259" s="504" t="s">
        <v>34</v>
      </c>
      <c r="R259" s="504"/>
      <c r="S259" s="504" t="s">
        <v>28</v>
      </c>
      <c r="T259" s="504" t="s">
        <v>33</v>
      </c>
      <c r="U259" s="504" t="s">
        <v>34</v>
      </c>
      <c r="V259" s="504" t="s">
        <v>308</v>
      </c>
      <c r="W259" s="504" t="s">
        <v>350</v>
      </c>
      <c r="X259" s="504" t="s">
        <v>351</v>
      </c>
      <c r="Y259" s="504" t="s">
        <v>28</v>
      </c>
      <c r="Z259" s="504" t="s">
        <v>33</v>
      </c>
      <c r="AA259" s="504" t="s">
        <v>269</v>
      </c>
      <c r="AB259" s="504"/>
      <c r="AC259" s="504" t="s">
        <v>28</v>
      </c>
      <c r="AD259" s="504" t="s">
        <v>33</v>
      </c>
      <c r="AE259" s="504" t="s">
        <v>34</v>
      </c>
      <c r="AF259" s="504" t="s">
        <v>495</v>
      </c>
      <c r="AG259" s="504" t="s">
        <v>33</v>
      </c>
      <c r="AH259" s="504" t="s">
        <v>30</v>
      </c>
      <c r="AI259" s="504" t="s">
        <v>321</v>
      </c>
      <c r="AJ259" s="859" t="s">
        <v>321</v>
      </c>
    </row>
    <row r="260" spans="1:36" ht="18" hidden="1" customHeight="1" x14ac:dyDescent="0.35">
      <c r="A260" s="860" t="s">
        <v>16</v>
      </c>
      <c r="B260" s="504">
        <v>0</v>
      </c>
      <c r="C260" s="504">
        <v>0</v>
      </c>
      <c r="D260" s="504">
        <v>0</v>
      </c>
      <c r="E260" s="504">
        <v>0</v>
      </c>
      <c r="F260" s="504">
        <v>0</v>
      </c>
      <c r="G260" s="504">
        <v>0</v>
      </c>
      <c r="H260" s="504">
        <v>0</v>
      </c>
      <c r="I260" s="504">
        <v>0</v>
      </c>
      <c r="J260" s="504">
        <v>0</v>
      </c>
      <c r="K260" s="504">
        <v>0</v>
      </c>
      <c r="L260" s="504">
        <v>0</v>
      </c>
      <c r="M260" s="504">
        <v>0</v>
      </c>
      <c r="N260" s="504">
        <v>0</v>
      </c>
      <c r="O260" s="504">
        <v>0</v>
      </c>
      <c r="P260" s="504">
        <v>0</v>
      </c>
      <c r="Q260" s="504">
        <v>0</v>
      </c>
      <c r="R260" s="504">
        <v>0</v>
      </c>
      <c r="S260" s="504">
        <v>0</v>
      </c>
      <c r="T260" s="504">
        <v>0</v>
      </c>
      <c r="U260" s="504">
        <v>0</v>
      </c>
      <c r="V260" s="504">
        <v>0</v>
      </c>
      <c r="W260" s="504">
        <v>0</v>
      </c>
      <c r="X260" s="504">
        <v>0</v>
      </c>
      <c r="Y260" s="504">
        <v>0</v>
      </c>
      <c r="Z260" s="504">
        <v>0</v>
      </c>
      <c r="AA260" s="504">
        <v>0</v>
      </c>
      <c r="AB260" s="504">
        <v>0</v>
      </c>
      <c r="AC260" s="504">
        <v>0</v>
      </c>
      <c r="AD260" s="504">
        <v>0</v>
      </c>
      <c r="AE260" s="504">
        <v>0</v>
      </c>
      <c r="AF260" s="504">
        <v>0</v>
      </c>
      <c r="AG260" s="504">
        <v>0</v>
      </c>
      <c r="AH260" s="504"/>
      <c r="AI260" s="504"/>
      <c r="AJ260" s="859"/>
    </row>
    <row r="261" spans="1:36" ht="18" hidden="1" customHeight="1" x14ac:dyDescent="0.35">
      <c r="A261" s="861" t="s">
        <v>319</v>
      </c>
      <c r="B261" s="862" t="s">
        <v>352</v>
      </c>
      <c r="C261" s="862">
        <f>'6 Caissons Objets'!Lnec1</f>
        <v>0</v>
      </c>
      <c r="D261" s="862">
        <v>9.3000000000000007</v>
      </c>
      <c r="E261" s="862">
        <f>'6 Caissons Objets'!nbcal1*2+1</f>
        <v>5</v>
      </c>
      <c r="F261" s="862" t="s">
        <v>353</v>
      </c>
      <c r="G261" s="862">
        <f>'6 Caissons Objets'!lanec1</f>
        <v>0</v>
      </c>
      <c r="H261" s="862">
        <v>9.3000000000000007</v>
      </c>
      <c r="I261" s="862">
        <f>'6 Caissons Objets'!nbcal1*2</f>
        <v>4</v>
      </c>
      <c r="J261" s="862"/>
      <c r="K261" s="862"/>
      <c r="L261" s="862"/>
      <c r="M261" s="862"/>
      <c r="N261" s="862" t="str">
        <f>IF('6 Caissons Objets'!Typedemousse1="Stratocell 35 Kg","Stratocell 50 mm",IF('6 Caissons Objets'!Typedemousse1="Stratocell 65 Kg","Stratocell 50 mm 65 kg"))</f>
        <v>Stratocell 50 mm</v>
      </c>
      <c r="O261" s="862">
        <f>'6 Caissons Objets'!Lnec1</f>
        <v>0</v>
      </c>
      <c r="P261" s="862">
        <f>IF('6 Caissons Objets'!hnec1&lt;200,9.3,14.4)</f>
        <v>9.3000000000000007</v>
      </c>
      <c r="Q261" s="862">
        <f>'6 Caissons Objets'!nbcal1*2+1</f>
        <v>5</v>
      </c>
      <c r="R261" s="862" t="str">
        <f>IF('6 Caissons Objets'!Typedemousse1="Stratocell 35 Kg","Stratocell 50 mm",IF('6 Caissons Objets'!Typedemousse1="Stratocell 65 Kg","Stratocell 50 mm 65 kg"))</f>
        <v>Stratocell 50 mm</v>
      </c>
      <c r="S261" s="862">
        <f>'6 Caissons Objets'!lanec1</f>
        <v>0</v>
      </c>
      <c r="T261" s="862">
        <f>IF('6 Caissons Objets'!hnec1&lt;120,9.3,14.4)</f>
        <v>9.3000000000000007</v>
      </c>
      <c r="U261" s="862">
        <f>'6 Caissons Objets'!nbcal1*2</f>
        <v>4</v>
      </c>
      <c r="V261" s="862" t="str">
        <f>'6 Caissons Objets'!Base1</f>
        <v>Aucun</v>
      </c>
      <c r="W261" s="862">
        <f t="shared" ref="W261:W272" si="105">VLOOKUP(V261,$A$222:$C$230,3)</f>
        <v>0</v>
      </c>
      <c r="X261" s="862">
        <f>VLOOKUP('6 Caissons Objets'!plat1,$A$214:$B$220,2)</f>
        <v>0</v>
      </c>
      <c r="Y261" s="862">
        <f>'6 Caissons Objets'!Lnec1</f>
        <v>0</v>
      </c>
      <c r="Z261" s="862">
        <f>'6 Caissons Objets'!lanec1</f>
        <v>0</v>
      </c>
      <c r="AA261" s="862">
        <f t="shared" ref="AA261:AA272" si="106">W261+X261</f>
        <v>0</v>
      </c>
      <c r="AB261" s="862"/>
      <c r="AC261" s="862"/>
      <c r="AD261" s="862"/>
      <c r="AE261" s="862"/>
      <c r="AF261" s="862">
        <v>14</v>
      </c>
      <c r="AG261" s="862">
        <v>14</v>
      </c>
      <c r="AH261" s="862">
        <v>7</v>
      </c>
      <c r="AI261" s="862" t="s">
        <v>317</v>
      </c>
      <c r="AJ261" s="863" t="s">
        <v>321</v>
      </c>
    </row>
    <row r="262" spans="1:36" ht="18" hidden="1" customHeight="1" x14ac:dyDescent="0.35">
      <c r="A262" s="861" t="s">
        <v>320</v>
      </c>
      <c r="B262" s="862"/>
      <c r="C262" s="862"/>
      <c r="D262" s="862"/>
      <c r="E262" s="862"/>
      <c r="F262" s="862"/>
      <c r="G262" s="862"/>
      <c r="H262" s="862"/>
      <c r="I262" s="862"/>
      <c r="J262" s="862"/>
      <c r="K262" s="862"/>
      <c r="L262" s="862"/>
      <c r="M262" s="862"/>
      <c r="N262" s="862">
        <f>IF('6 Caissons Objets'!nbcal1="PU","PU 30 mm",IF('6 Caissons Objets'!nbcal1="Stratocell","Stratocell 30 mm",0))</f>
        <v>0</v>
      </c>
      <c r="O262" s="862">
        <f>'6 Caissons Objets'!Lnec1</f>
        <v>0</v>
      </c>
      <c r="P262" s="862">
        <v>12</v>
      </c>
      <c r="Q262" s="862">
        <f>IF('6 Caissons Objets'!hnec1&lt;80,4,6)</f>
        <v>4</v>
      </c>
      <c r="R262" s="862">
        <f>IF('6 Caissons Objets'!nbcal1="PU","PU 30 mm",IF('6 Caissons Objets'!nbcal1="Stratocell","Stratocell 30 mm",0))</f>
        <v>0</v>
      </c>
      <c r="S262" s="862">
        <f>'6 Caissons Objets'!lanec1-6</f>
        <v>-6</v>
      </c>
      <c r="T262" s="862">
        <v>12</v>
      </c>
      <c r="U262" s="862">
        <f t="shared" ref="U262:U263" si="107">Q262</f>
        <v>4</v>
      </c>
      <c r="V262" s="862" t="str">
        <f>'6 Caissons Objets'!Base1</f>
        <v>Aucun</v>
      </c>
      <c r="W262" s="862">
        <f t="shared" si="105"/>
        <v>0</v>
      </c>
      <c r="X262" s="862">
        <f>VLOOKUP('6 Caissons Objets'!plat1,$A$214:$B$220,2)</f>
        <v>0</v>
      </c>
      <c r="Y262" s="862">
        <f>'6 Caissons Objets'!Lnec1</f>
        <v>0</v>
      </c>
      <c r="Z262" s="862">
        <f>'6 Caissons Objets'!lanec1</f>
        <v>0</v>
      </c>
      <c r="AA262" s="862">
        <f t="shared" si="106"/>
        <v>0</v>
      </c>
      <c r="AB262" s="862">
        <f>IF('6 Caissons Objets'!nbcal1="PU","PU 30 mm",IF('6 Caissons Objets'!nbcal1="Stratocell","Stratocell 30 mm",0))</f>
        <v>0</v>
      </c>
      <c r="AC262" s="862">
        <f>'6 Caissons Objets'!lanec1</f>
        <v>0</v>
      </c>
      <c r="AD262" s="862">
        <v>12</v>
      </c>
      <c r="AE262" s="862">
        <f>IF('6 Caissons Objets'!Lnec1&lt;100,3,4)</f>
        <v>3</v>
      </c>
      <c r="AF262" s="862" t="e">
        <f>VLOOKUP('6 Caissons Objets'!nbcal1,$A$238:$D$239,3)*2</f>
        <v>#N/A</v>
      </c>
      <c r="AG262" s="862" t="e">
        <f>VLOOKUP('6 Caissons Objets'!nbcal1,$A$238:$D$239,3)*2</f>
        <v>#N/A</v>
      </c>
      <c r="AH262" s="862" t="e">
        <f>VLOOKUP('6 Caissons Objets'!nbcal1,$A$238:$D$239,3)</f>
        <v>#N/A</v>
      </c>
      <c r="AI262" s="862" t="s">
        <v>321</v>
      </c>
      <c r="AJ262" s="863"/>
    </row>
    <row r="263" spans="1:36" ht="18" hidden="1" customHeight="1" x14ac:dyDescent="0.35">
      <c r="A263" s="861" t="s">
        <v>322</v>
      </c>
      <c r="B263" s="862"/>
      <c r="C263" s="862"/>
      <c r="D263" s="862"/>
      <c r="E263" s="862"/>
      <c r="F263" s="862"/>
      <c r="G263" s="862"/>
      <c r="H263" s="862"/>
      <c r="I263" s="862"/>
      <c r="J263" s="862"/>
      <c r="K263" s="862"/>
      <c r="L263" s="862"/>
      <c r="M263" s="862"/>
      <c r="N263" s="862">
        <f>IF('6 Caissons Objets'!nbcal1="PU","PU 50 mm",IF('6 Caissons Objets'!nbcal1="Stratocell","Stratocell 50 mm",0))</f>
        <v>0</v>
      </c>
      <c r="O263" s="862">
        <f>'6 Caissons Objets'!Lnec1</f>
        <v>0</v>
      </c>
      <c r="P263" s="862">
        <v>12</v>
      </c>
      <c r="Q263" s="862">
        <f>IF('6 Caissons Objets'!hnec1&lt;80,4,6)</f>
        <v>4</v>
      </c>
      <c r="R263" s="862">
        <f>IF('6 Caissons Objets'!nbcal1="PU","PU 50 mm",IF('6 Caissons Objets'!nbcal1="Stratocell","Stratocell 50 mm",0))</f>
        <v>0</v>
      </c>
      <c r="S263" s="862">
        <f>'6 Caissons Objets'!lanec1-10</f>
        <v>-10</v>
      </c>
      <c r="T263" s="862">
        <v>12</v>
      </c>
      <c r="U263" s="862">
        <f t="shared" si="107"/>
        <v>4</v>
      </c>
      <c r="V263" s="862" t="str">
        <f>'6 Caissons Objets'!Base1</f>
        <v>Aucun</v>
      </c>
      <c r="W263" s="862">
        <f t="shared" si="105"/>
        <v>0</v>
      </c>
      <c r="X263" s="862">
        <f>VLOOKUP('6 Caissons Objets'!plat1,$A$214:$B$220,2)</f>
        <v>0</v>
      </c>
      <c r="Y263" s="862">
        <f>'6 Caissons Objets'!Lnec1</f>
        <v>0</v>
      </c>
      <c r="Z263" s="862">
        <f>'6 Caissons Objets'!lanec1</f>
        <v>0</v>
      </c>
      <c r="AA263" s="862">
        <f t="shared" si="106"/>
        <v>0</v>
      </c>
      <c r="AB263" s="862">
        <f>IF('6 Caissons Objets'!nbcal1="PU","PU 50 mm",IF('6 Caissons Objets'!nbcal1="Stratocell","Stratocell 50 mm",0))</f>
        <v>0</v>
      </c>
      <c r="AC263" s="862">
        <f>'6 Caissons Objets'!lanec1</f>
        <v>0</v>
      </c>
      <c r="AD263" s="862">
        <v>12</v>
      </c>
      <c r="AE263" s="862">
        <f>IF('6 Caissons Objets'!Lnec1&lt;100,3,4)</f>
        <v>3</v>
      </c>
      <c r="AF263" s="862" t="e">
        <f>VLOOKUP('6 Caissons Objets'!nbcal1,$A$238:$D$239,4)*2</f>
        <v>#N/A</v>
      </c>
      <c r="AG263" s="862" t="e">
        <f>VLOOKUP('6 Caissons Objets'!nbcal1,$A$238:$D$239,4)*2</f>
        <v>#N/A</v>
      </c>
      <c r="AH263" s="862" t="e">
        <f>VLOOKUP('6 Caissons Objets'!nbcal1,$A$238:$D$239,4)</f>
        <v>#N/A</v>
      </c>
      <c r="AI263" s="862" t="s">
        <v>321</v>
      </c>
      <c r="AJ263" s="863"/>
    </row>
    <row r="264" spans="1:36" ht="18" hidden="1" customHeight="1" x14ac:dyDescent="0.35">
      <c r="A264" s="533" t="s">
        <v>496</v>
      </c>
      <c r="B264" s="862"/>
      <c r="C264" s="862"/>
      <c r="D264" s="862"/>
      <c r="E264" s="862"/>
      <c r="F264" s="862"/>
      <c r="G264" s="862"/>
      <c r="H264" s="862"/>
      <c r="I264" s="862"/>
      <c r="J264" s="862"/>
      <c r="K264" s="862"/>
      <c r="L264" s="862"/>
      <c r="M264" s="862"/>
      <c r="N264" s="862">
        <f>IF('6 Caissons Objets'!nbcal1="PU","PU 50 mm",IF('6 Caissons Objets'!nbcal1="Stratocell","Stratocell 50 mm",0))</f>
        <v>0</v>
      </c>
      <c r="O264" s="862">
        <f>'6 Caissons Objets'!Lnec1</f>
        <v>0</v>
      </c>
      <c r="P264" s="862">
        <f>'6 Caissons Objets'!lanec1</f>
        <v>0</v>
      </c>
      <c r="Q264" s="862">
        <f>('6 Caissons Objets'!hnec1 -AA264)/5</f>
        <v>0</v>
      </c>
      <c r="R264" s="862"/>
      <c r="S264" s="862"/>
      <c r="T264" s="862"/>
      <c r="U264" s="862"/>
      <c r="V264" s="862" t="str">
        <f>'6 Caissons Objets'!Base1</f>
        <v>Aucun</v>
      </c>
      <c r="W264" s="862">
        <f t="shared" si="105"/>
        <v>0</v>
      </c>
      <c r="X264" s="862">
        <f>VLOOKUP('6 Caissons Objets'!plat1,$A$214:$B$220,2)</f>
        <v>0</v>
      </c>
      <c r="Y264" s="862">
        <f>'6 Caissons Objets'!Lnec1</f>
        <v>0</v>
      </c>
      <c r="Z264" s="862">
        <f>'6 Caissons Objets'!lanec1</f>
        <v>0</v>
      </c>
      <c r="AA264" s="862">
        <f t="shared" si="106"/>
        <v>0</v>
      </c>
      <c r="AB264" s="862"/>
      <c r="AC264" s="862"/>
      <c r="AD264" s="862"/>
      <c r="AE264" s="862"/>
      <c r="AF264" s="862" t="e">
        <f>VLOOKUP('6 Caissons Objets'!nbcal1,$A$238:$D$239,4)*2</f>
        <v>#N/A</v>
      </c>
      <c r="AG264" s="862" t="e">
        <f>VLOOKUP('6 Caissons Objets'!nbcal1,$A$238:$D$239,4)*2</f>
        <v>#N/A</v>
      </c>
      <c r="AH264" s="862" t="e">
        <f>VLOOKUP('6 Caissons Objets'!nbcal1,$A$238:$D$239,4)</f>
        <v>#N/A</v>
      </c>
      <c r="AI264" s="862" t="s">
        <v>321</v>
      </c>
      <c r="AJ264" s="863"/>
    </row>
    <row r="265" spans="1:36" ht="18" hidden="1" customHeight="1" x14ac:dyDescent="0.35">
      <c r="A265" s="861" t="s">
        <v>324</v>
      </c>
      <c r="B265" s="862"/>
      <c r="C265" s="862"/>
      <c r="D265" s="862"/>
      <c r="E265" s="862"/>
      <c r="F265" s="862"/>
      <c r="G265" s="862"/>
      <c r="H265" s="862"/>
      <c r="I265" s="862"/>
      <c r="J265" s="862"/>
      <c r="K265" s="862"/>
      <c r="L265" s="862"/>
      <c r="M265" s="862"/>
      <c r="N265" s="862">
        <f>IF('6 Caissons Objets'!nbcal1="PU","PU 50 mm",IF('6 Caissons Objets'!nbcal1="Stratocell","Stratocell 50 mm",0))</f>
        <v>0</v>
      </c>
      <c r="O265" s="862">
        <f>'6 Caissons Objets'!Lnec1-0.3</f>
        <v>-0.3</v>
      </c>
      <c r="P265" s="862">
        <f>'6 Caissons Objets'!lanec1-0.3</f>
        <v>-0.3</v>
      </c>
      <c r="Q265" s="862">
        <f>('6 Caissons Objets'!hnec1-AA265)/5</f>
        <v>0</v>
      </c>
      <c r="R265" s="862"/>
      <c r="S265" s="862"/>
      <c r="T265" s="862"/>
      <c r="U265" s="862"/>
      <c r="V265" s="862" t="str">
        <f>'6 Caissons Objets'!Base1</f>
        <v>Aucun</v>
      </c>
      <c r="W265" s="862">
        <f t="shared" si="105"/>
        <v>0</v>
      </c>
      <c r="X265" s="862">
        <f>VLOOKUP('6 Caissons Objets'!plat1,$A$214:$B$220,2)</f>
        <v>0</v>
      </c>
      <c r="Y265" s="862">
        <f>'6 Caissons Objets'!Lnec1</f>
        <v>0</v>
      </c>
      <c r="Z265" s="862">
        <f>'6 Caissons Objets'!lanec1</f>
        <v>0</v>
      </c>
      <c r="AA265" s="862">
        <f t="shared" si="106"/>
        <v>0</v>
      </c>
      <c r="AB265" s="862"/>
      <c r="AC265" s="862"/>
      <c r="AD265" s="862"/>
      <c r="AE265" s="862"/>
      <c r="AF265" s="862" t="e">
        <f>VLOOKUP('6 Caissons Objets'!nbcal1,$A$238:$D$239,4)*2</f>
        <v>#N/A</v>
      </c>
      <c r="AG265" s="862" t="e">
        <f>VLOOKUP('6 Caissons Objets'!nbcal1,$A$238:$D$239,4)*2</f>
        <v>#N/A</v>
      </c>
      <c r="AH265" s="862" t="e">
        <f>VLOOKUP('6 Caissons Objets'!nbcal1,$A$238:$D$239,4)</f>
        <v>#N/A</v>
      </c>
      <c r="AI265" s="862" t="s">
        <v>321</v>
      </c>
      <c r="AJ265" s="863"/>
    </row>
    <row r="266" spans="1:36" ht="18" hidden="1" customHeight="1" x14ac:dyDescent="0.35">
      <c r="A266" s="861" t="s">
        <v>325</v>
      </c>
      <c r="B266" s="862"/>
      <c r="C266" s="862"/>
      <c r="D266" s="862"/>
      <c r="E266" s="862"/>
      <c r="F266" s="862"/>
      <c r="G266" s="862"/>
      <c r="H266" s="862"/>
      <c r="I266" s="862"/>
      <c r="J266" s="862"/>
      <c r="K266" s="862"/>
      <c r="L266" s="862"/>
      <c r="M266" s="862"/>
      <c r="N266" s="862">
        <f>IF('6 Caissons Objets'!nbcal1="PU","PU 50 mm",IF('6 Caissons Objets'!nbcal1="Stratocell","Stratocell 50 mm",0))</f>
        <v>0</v>
      </c>
      <c r="O266" s="862">
        <f>'6 Caissons Objets'!Lnec1-0.3</f>
        <v>-0.3</v>
      </c>
      <c r="P266" s="862">
        <f>'6 Caissons Objets'!hnec1-AA266</f>
        <v>0</v>
      </c>
      <c r="Q266" s="862">
        <f>'6 Caissons Objets'!lanec1/5</f>
        <v>0</v>
      </c>
      <c r="R266" s="862"/>
      <c r="S266" s="862"/>
      <c r="T266" s="862"/>
      <c r="U266" s="862"/>
      <c r="V266" s="862" t="str">
        <f>'6 Caissons Objets'!Base1</f>
        <v>Aucun</v>
      </c>
      <c r="W266" s="862">
        <f t="shared" si="105"/>
        <v>0</v>
      </c>
      <c r="X266" s="862">
        <f>VLOOKUP('6 Caissons Objets'!plat1,$A$214:$B$220,2)</f>
        <v>0</v>
      </c>
      <c r="Y266" s="862">
        <f>'6 Caissons Objets'!Lnec1</f>
        <v>0</v>
      </c>
      <c r="Z266" s="862">
        <f>'6 Caissons Objets'!lanec1</f>
        <v>0</v>
      </c>
      <c r="AA266" s="862">
        <f t="shared" si="106"/>
        <v>0</v>
      </c>
      <c r="AB266" s="862"/>
      <c r="AC266" s="862"/>
      <c r="AD266" s="862"/>
      <c r="AE266" s="862"/>
      <c r="AF266" s="862" t="e">
        <f>VLOOKUP('6 Caissons Objets'!nbcal1,$A$238:$D$239,4)*2</f>
        <v>#N/A</v>
      </c>
      <c r="AG266" s="862" t="e">
        <f>VLOOKUP('6 Caissons Objets'!nbcal1,$A$238:$D$239,4)*2</f>
        <v>#N/A</v>
      </c>
      <c r="AH266" s="862" t="e">
        <f>VLOOKUP('6 Caissons Objets'!nbcal1,$A$238:$D$239,4)</f>
        <v>#N/A</v>
      </c>
      <c r="AI266" s="862" t="s">
        <v>321</v>
      </c>
      <c r="AJ266" s="863"/>
    </row>
    <row r="267" spans="1:36" ht="18" hidden="1" customHeight="1" x14ac:dyDescent="0.35">
      <c r="A267" s="861" t="s">
        <v>497</v>
      </c>
      <c r="B267" s="862"/>
      <c r="C267" s="862"/>
      <c r="D267" s="862"/>
      <c r="E267" s="862"/>
      <c r="F267" s="862"/>
      <c r="G267" s="862"/>
      <c r="H267" s="862"/>
      <c r="I267" s="862"/>
      <c r="J267" s="862"/>
      <c r="K267" s="862"/>
      <c r="L267" s="862"/>
      <c r="M267" s="862"/>
      <c r="N267" s="862">
        <f>IF('6 Caissons Objets'!nbcal1="PU","PU 20 mm",IF('6 Caissons Objets'!nbcal1="Stratocell","Stratocell 20 mm",0))</f>
        <v>0</v>
      </c>
      <c r="O267" s="862">
        <f>'6 Caissons Objets'!Lnec1</f>
        <v>0</v>
      </c>
      <c r="P267" s="862">
        <f>'6 Caissons Objets'!lanec1</f>
        <v>0</v>
      </c>
      <c r="Q267" s="862">
        <v>1</v>
      </c>
      <c r="R267" s="862">
        <f>IF('6 Caissons Objets'!nbcal1="PU","PU 20 mm",IF('6 Caissons Objets'!nbcal1="Stratocell","Stratocell 20 mm",0))</f>
        <v>0</v>
      </c>
      <c r="S267" s="862">
        <f>'6 Caissons Objets'!Lnec1</f>
        <v>0</v>
      </c>
      <c r="T267" s="862">
        <f>'6 Caissons Objets'!hnec1-5-AA267</f>
        <v>-5</v>
      </c>
      <c r="U267" s="862">
        <v>2</v>
      </c>
      <c r="V267" s="862" t="str">
        <f>'6 Caissons Objets'!Base1</f>
        <v>Aucun</v>
      </c>
      <c r="W267" s="862">
        <f t="shared" si="105"/>
        <v>0</v>
      </c>
      <c r="X267" s="862">
        <f>VLOOKUP('6 Caissons Objets'!plat1,$A$214:$B$220,2)</f>
        <v>0</v>
      </c>
      <c r="Y267" s="862">
        <f>'6 Caissons Objets'!Lnec1</f>
        <v>0</v>
      </c>
      <c r="Z267" s="862">
        <f>'6 Caissons Objets'!lanec1</f>
        <v>0</v>
      </c>
      <c r="AA267" s="862">
        <f t="shared" si="106"/>
        <v>0</v>
      </c>
      <c r="AB267" s="862">
        <f>IF('6 Caissons Objets'!nbcal1="PU","PU 20 mm",IF('6 Caissons Objets'!nbcal1="Stratocell","Stratocell 20 mm",0))</f>
        <v>0</v>
      </c>
      <c r="AC267" s="862" t="e">
        <f>'6 Caissons Objets'!lanec1-AF267</f>
        <v>#N/A</v>
      </c>
      <c r="AD267" s="862">
        <f>'6 Caissons Objets'!hnec1-2.2-AA267</f>
        <v>-2.2000000000000002</v>
      </c>
      <c r="AE267" s="862">
        <v>2</v>
      </c>
      <c r="AF267" s="862" t="e">
        <f>VLOOKUP('6 Caissons Objets'!nbcal1,$A$238:$D$239,2)*2</f>
        <v>#N/A</v>
      </c>
      <c r="AG267" s="862" t="e">
        <f>VLOOKUP('6 Caissons Objets'!nbcal1,$A$238:$D$239,2)*2</f>
        <v>#N/A</v>
      </c>
      <c r="AH267" s="862" t="e">
        <f>VLOOKUP('6 Caissons Objets'!nbcal1,$A$238:$D$239,2)</f>
        <v>#N/A</v>
      </c>
      <c r="AI267" s="862" t="s">
        <v>321</v>
      </c>
      <c r="AJ267" s="863"/>
    </row>
    <row r="268" spans="1:36" ht="18" hidden="1" customHeight="1" x14ac:dyDescent="0.35">
      <c r="A268" s="861" t="s">
        <v>498</v>
      </c>
      <c r="B268" s="862"/>
      <c r="C268" s="862"/>
      <c r="D268" s="862"/>
      <c r="E268" s="862"/>
      <c r="F268" s="862"/>
      <c r="G268" s="862"/>
      <c r="H268" s="862"/>
      <c r="I268" s="862"/>
      <c r="J268" s="862"/>
      <c r="K268" s="862"/>
      <c r="L268" s="862"/>
      <c r="M268" s="862"/>
      <c r="N268" s="862">
        <f>IF('6 Caissons Objets'!nbcal1="PU","PU 30 mm",IF('6 Caissons Objets'!nbcal1="Stratocell","Stratocell 30 mm",0))</f>
        <v>0</v>
      </c>
      <c r="O268" s="862">
        <f>'6 Caissons Objets'!Lnec1</f>
        <v>0</v>
      </c>
      <c r="P268" s="862">
        <f>'6 Caissons Objets'!lanec1</f>
        <v>0</v>
      </c>
      <c r="Q268" s="862">
        <v>1</v>
      </c>
      <c r="R268" s="862">
        <f>IF('6 Caissons Objets'!nbcal1="PU","PU 30 mm",IF('6 Caissons Objets'!nbcal1="Stratocell","Stratocell 30 mm",0))</f>
        <v>0</v>
      </c>
      <c r="S268" s="862">
        <f>'6 Caissons Objets'!Lnec1</f>
        <v>0</v>
      </c>
      <c r="T268" s="862">
        <f>'6 Caissons Objets'!hnec1-3-AA268</f>
        <v>-3</v>
      </c>
      <c r="U268" s="862">
        <v>2</v>
      </c>
      <c r="V268" s="862" t="str">
        <f>'6 Caissons Objets'!Base1</f>
        <v>Aucun</v>
      </c>
      <c r="W268" s="862">
        <f t="shared" si="105"/>
        <v>0</v>
      </c>
      <c r="X268" s="862">
        <f>VLOOKUP('6 Caissons Objets'!plat1,$A$214:$B$220,2)</f>
        <v>0</v>
      </c>
      <c r="Y268" s="862">
        <f>'6 Caissons Objets'!Lnec1</f>
        <v>0</v>
      </c>
      <c r="Z268" s="862">
        <f>'6 Caissons Objets'!lanec1</f>
        <v>0</v>
      </c>
      <c r="AA268" s="862">
        <f t="shared" si="106"/>
        <v>0</v>
      </c>
      <c r="AB268" s="862">
        <f>IF('6 Caissons Objets'!nbcal1="PU","PU 30 mm",IF('6 Caissons Objets'!nbcal1="Stratocell","Stratocell 30 mm",0))</f>
        <v>0</v>
      </c>
      <c r="AC268" s="862" t="e">
        <f>'6 Caissons Objets'!lanec1-AF268</f>
        <v>#N/A</v>
      </c>
      <c r="AD268" s="862">
        <f>'6 Caissons Objets'!hnec1-3.2-AA268</f>
        <v>-3.2</v>
      </c>
      <c r="AE268" s="862">
        <v>2</v>
      </c>
      <c r="AF268" s="862" t="e">
        <f>VLOOKUP('6 Caissons Objets'!nbcal1,$A$238:$D$239,3)*2</f>
        <v>#N/A</v>
      </c>
      <c r="AG268" s="862" t="e">
        <f>VLOOKUP('6 Caissons Objets'!nbcal1,$A$238:$D$239,3)*2</f>
        <v>#N/A</v>
      </c>
      <c r="AH268" s="862" t="e">
        <f>VLOOKUP('6 Caissons Objets'!nbcal1,$A$238:$D$239,3)</f>
        <v>#N/A</v>
      </c>
      <c r="AI268" s="862" t="s">
        <v>321</v>
      </c>
      <c r="AJ268" s="863"/>
    </row>
    <row r="269" spans="1:36" ht="18" hidden="1" customHeight="1" x14ac:dyDescent="0.35">
      <c r="A269" s="861" t="s">
        <v>479</v>
      </c>
      <c r="B269" s="862"/>
      <c r="C269" s="862"/>
      <c r="D269" s="862"/>
      <c r="E269" s="862"/>
      <c r="F269" s="862"/>
      <c r="G269" s="862"/>
      <c r="H269" s="862"/>
      <c r="I269" s="862"/>
      <c r="J269" s="862"/>
      <c r="K269" s="862"/>
      <c r="L269" s="862"/>
      <c r="M269" s="862"/>
      <c r="N269" s="862">
        <f>IF('6 Caissons Objets'!nbcal1="PU","PU 50 mm",IF('6 Caissons Objets'!nbcal1="Stratocell","Stratocell 50 mm",0))</f>
        <v>0</v>
      </c>
      <c r="O269" s="862">
        <f>'6 Caissons Objets'!Lnec1</f>
        <v>0</v>
      </c>
      <c r="P269" s="862">
        <f>'6 Caissons Objets'!lanec1</f>
        <v>0</v>
      </c>
      <c r="Q269" s="862">
        <v>1</v>
      </c>
      <c r="R269" s="862">
        <f>IF('6 Caissons Objets'!nbcal1="PU","PU 50 mm",IF('6 Caissons Objets'!nbcal1="Stratocell","Stratocell 50 mm",0))</f>
        <v>0</v>
      </c>
      <c r="S269" s="862">
        <f>'6 Caissons Objets'!Lnec1</f>
        <v>0</v>
      </c>
      <c r="T269" s="862">
        <f>'6 Caissons Objets'!hnec1-5-AA269</f>
        <v>-5</v>
      </c>
      <c r="U269" s="862">
        <v>2</v>
      </c>
      <c r="V269" s="862" t="str">
        <f>'6 Caissons Objets'!Base1</f>
        <v>Aucun</v>
      </c>
      <c r="W269" s="862">
        <f t="shared" si="105"/>
        <v>0</v>
      </c>
      <c r="X269" s="862">
        <f>VLOOKUP('6 Caissons Objets'!plat1,$A$214:$B$220,2)</f>
        <v>0</v>
      </c>
      <c r="Y269" s="862">
        <f>'6 Caissons Objets'!Lnec1</f>
        <v>0</v>
      </c>
      <c r="Z269" s="862">
        <f>'6 Caissons Objets'!lanec1</f>
        <v>0</v>
      </c>
      <c r="AA269" s="862">
        <f t="shared" si="106"/>
        <v>0</v>
      </c>
      <c r="AB269" s="862">
        <f>IF('6 Caissons Objets'!nbcal1="PU","PU 50 mm",IF('6 Caissons Objets'!nbcal1="Stratocell","Stratocell 50 mm",0))</f>
        <v>0</v>
      </c>
      <c r="AC269" s="862" t="e">
        <f>'6 Caissons Objets'!lanec1-AF269</f>
        <v>#N/A</v>
      </c>
      <c r="AD269" s="862">
        <f>'6 Caissons Objets'!hnec1-5.3-AA269</f>
        <v>-5.3</v>
      </c>
      <c r="AE269" s="862">
        <v>2</v>
      </c>
      <c r="AF269" s="862" t="e">
        <f>VLOOKUP('6 Caissons Objets'!nbcal1,$A$238:$D$239,4)*2</f>
        <v>#N/A</v>
      </c>
      <c r="AG269" s="862" t="e">
        <f>VLOOKUP('6 Caissons Objets'!nbcal1,$A$238:$D$239,4)*2</f>
        <v>#N/A</v>
      </c>
      <c r="AH269" s="862" t="e">
        <f>VLOOKUP('6 Caissons Objets'!nbcal1,$A$238:$D$239,4)</f>
        <v>#N/A</v>
      </c>
      <c r="AI269" s="862" t="s">
        <v>321</v>
      </c>
      <c r="AJ269" s="863"/>
    </row>
    <row r="270" spans="1:36" ht="18" hidden="1" customHeight="1" x14ac:dyDescent="0.35">
      <c r="A270" s="861" t="s">
        <v>326</v>
      </c>
      <c r="B270" s="862" t="s">
        <v>354</v>
      </c>
      <c r="C270" s="862">
        <f>'6 Caissons Objets'!Lnec1</f>
        <v>0</v>
      </c>
      <c r="D270" s="862">
        <v>9.3000000000000007</v>
      </c>
      <c r="E270" s="862">
        <f>1</f>
        <v>1</v>
      </c>
      <c r="F270" s="862" t="s">
        <v>355</v>
      </c>
      <c r="G270" s="862">
        <f>'6 Caissons Objets'!Lnec1</f>
        <v>0</v>
      </c>
      <c r="H270" s="862">
        <v>5.2</v>
      </c>
      <c r="I270" s="862">
        <f>'6 Caissons Objets'!nbcal1*2</f>
        <v>4</v>
      </c>
      <c r="J270" s="862" t="s">
        <v>349</v>
      </c>
      <c r="K270" s="862">
        <f>'6 Caissons Objets'!lanec1</f>
        <v>0</v>
      </c>
      <c r="L270" s="862">
        <v>7</v>
      </c>
      <c r="M270" s="862">
        <f>'6 Caissons Objets'!nbcal1*4</f>
        <v>8</v>
      </c>
      <c r="N270" s="862" t="str">
        <f>IF('6 Caissons Objets'!Typedemousse1="Stratocell 35 Kg","Stratocell 50 mm",IF('6 Caissons Objets'!Typedemousse1="Stratocell 65 Kg","Stratocell 50 mm 65 kg"))</f>
        <v>Stratocell 50 mm</v>
      </c>
      <c r="O270" s="862">
        <f>'6 Caissons Objets'!Lnec1</f>
        <v>0</v>
      </c>
      <c r="P270" s="862">
        <f>('6 Caissons Objets'!lanec1-4.2)/2</f>
        <v>-2.1</v>
      </c>
      <c r="Q270" s="862">
        <f>'6 Caissons Objets'!nbcal1*2</f>
        <v>4</v>
      </c>
      <c r="R270" s="862" t="str">
        <f>IF('6 Caissons Objets'!Typedemousse1="Stratocell 35 Kg","Stratocell 50 mm",IF('6 Caissons Objets'!Typedemousse1="Stratocell 65 Kg","Stratocell 50 mm 65 kg"))</f>
        <v>Stratocell 50 mm</v>
      </c>
      <c r="S270" s="862">
        <f>'6 Caissons Objets'!lanec1</f>
        <v>0</v>
      </c>
      <c r="T270" s="862">
        <f>IF('6 Caissons Objets'!hnec1&lt;120,9.3,14.4)</f>
        <v>9.3000000000000007</v>
      </c>
      <c r="U270" s="862">
        <f>1</f>
        <v>1</v>
      </c>
      <c r="V270" s="862" t="str">
        <f>'6 Caissons Objets'!Base1</f>
        <v>Aucun</v>
      </c>
      <c r="W270" s="862">
        <f t="shared" si="105"/>
        <v>0</v>
      </c>
      <c r="X270" s="862">
        <f>VLOOKUP('6 Caissons Objets'!plat1,$A$214:$B$220,2)</f>
        <v>0</v>
      </c>
      <c r="Y270" s="862">
        <f>'6 Caissons Objets'!Lnec1</f>
        <v>0</v>
      </c>
      <c r="Z270" s="862">
        <f>'6 Caissons Objets'!lanec1</f>
        <v>0</v>
      </c>
      <c r="AA270" s="862">
        <f t="shared" si="106"/>
        <v>0</v>
      </c>
      <c r="AB270" s="862"/>
      <c r="AC270" s="862"/>
      <c r="AD270" s="862"/>
      <c r="AE270" s="862"/>
      <c r="AF270" s="862">
        <v>14</v>
      </c>
      <c r="AG270" s="862">
        <v>14</v>
      </c>
      <c r="AH270" s="862">
        <v>7</v>
      </c>
      <c r="AI270" s="862" t="s">
        <v>317</v>
      </c>
      <c r="AJ270" s="863" t="s">
        <v>321</v>
      </c>
    </row>
    <row r="271" spans="1:36" ht="18" hidden="1" customHeight="1" x14ac:dyDescent="0.35">
      <c r="A271" s="861" t="s">
        <v>328</v>
      </c>
      <c r="B271" s="862"/>
      <c r="C271" s="862"/>
      <c r="D271" s="862"/>
      <c r="E271" s="862"/>
      <c r="F271" s="862" t="s">
        <v>355</v>
      </c>
      <c r="G271" s="862">
        <f>'6 Caissons Objets'!lanec1</f>
        <v>0</v>
      </c>
      <c r="H271" s="862">
        <v>5.2</v>
      </c>
      <c r="I271" s="862">
        <f>'6 Caissons Objets'!nbcal1</f>
        <v>2</v>
      </c>
      <c r="J271" s="862" t="s">
        <v>349</v>
      </c>
      <c r="K271" s="862">
        <f>'6 Caissons Objets'!hnec1-AA271</f>
        <v>0</v>
      </c>
      <c r="L271" s="862">
        <v>7</v>
      </c>
      <c r="M271" s="862">
        <f>'6 Caissons Objets'!nbcal1*4</f>
        <v>8</v>
      </c>
      <c r="N271" s="862" t="str">
        <f>IF('6 Caissons Objets'!Typedemousse1="Stratocell 35 Kg","Stratocell 50 mm",IF('6 Caissons Objets'!Typedemousse1="Stratocell 65 Kg","Stratocell 50 mm 65 kg"))</f>
        <v>Stratocell 50 mm</v>
      </c>
      <c r="O271" s="862">
        <f>'6 Caissons Objets'!lanec1</f>
        <v>0</v>
      </c>
      <c r="P271" s="862">
        <f>'6 Caissons Objets'!hnec1-2.1-AA271</f>
        <v>-2.1</v>
      </c>
      <c r="Q271" s="862">
        <f>'6 Caissons Objets'!nbcal1</f>
        <v>2</v>
      </c>
      <c r="R271" s="862"/>
      <c r="S271" s="862"/>
      <c r="T271" s="862"/>
      <c r="U271" s="862"/>
      <c r="V271" s="862" t="str">
        <f>'6 Caissons Objets'!Base1</f>
        <v>Aucun</v>
      </c>
      <c r="W271" s="862">
        <f t="shared" si="105"/>
        <v>0</v>
      </c>
      <c r="X271" s="862">
        <f>VLOOKUP('6 Caissons Objets'!plat1,$A$214:$B$220,2)</f>
        <v>0</v>
      </c>
      <c r="Y271" s="862">
        <f>'6 Caissons Objets'!Lnec1</f>
        <v>0</v>
      </c>
      <c r="Z271" s="862">
        <f>'6 Caissons Objets'!lanec1</f>
        <v>0</v>
      </c>
      <c r="AA271" s="862">
        <f t="shared" si="106"/>
        <v>0</v>
      </c>
      <c r="AB271" s="862"/>
      <c r="AC271" s="862"/>
      <c r="AD271" s="862"/>
      <c r="AE271" s="862"/>
      <c r="AF271" s="862">
        <v>10.5</v>
      </c>
      <c r="AG271" s="862">
        <v>14</v>
      </c>
      <c r="AH271" s="862">
        <v>7</v>
      </c>
      <c r="AI271" s="862" t="s">
        <v>317</v>
      </c>
      <c r="AJ271" s="863" t="s">
        <v>321</v>
      </c>
    </row>
    <row r="272" spans="1:36" ht="18" hidden="1" customHeight="1" x14ac:dyDescent="0.35">
      <c r="A272" s="864" t="s">
        <v>329</v>
      </c>
      <c r="B272" s="865"/>
      <c r="C272" s="865"/>
      <c r="D272" s="865"/>
      <c r="E272" s="865"/>
      <c r="F272" s="862" t="s">
        <v>355</v>
      </c>
      <c r="G272" s="862">
        <f>'6 Caissons Objets'!lanec1</f>
        <v>0</v>
      </c>
      <c r="H272" s="862">
        <v>5.2</v>
      </c>
      <c r="I272" s="862">
        <f>'6 Caissons Objets'!nbcal1</f>
        <v>2</v>
      </c>
      <c r="J272" s="862" t="s">
        <v>349</v>
      </c>
      <c r="K272" s="862">
        <f>'6 Caissons Objets'!hnec1-AA272</f>
        <v>0</v>
      </c>
      <c r="L272" s="862">
        <v>7</v>
      </c>
      <c r="M272" s="862">
        <f>'6 Caissons Objets'!nbcal1*4</f>
        <v>8</v>
      </c>
      <c r="N272" s="865" t="str">
        <f>IF('6 Caissons Objets'!Typedemousse1="Stratocell 35 Kg","Stratocell 50 mm",IF('6 Caissons Objets'!Typedemousse1="Stratocell 65 Kg","Stratocell 50 mm 65 kg"))</f>
        <v>Stratocell 50 mm</v>
      </c>
      <c r="O272" s="865">
        <f>'6 Caissons Objets'!lanec1</f>
        <v>0</v>
      </c>
      <c r="P272" s="865">
        <f>'6 Caissons Objets'!hnec1-2.1-AA272</f>
        <v>-2.1</v>
      </c>
      <c r="Q272" s="865">
        <f>'6 Caissons Objets'!nbcal1</f>
        <v>2</v>
      </c>
      <c r="R272" s="865" t="str">
        <f>IF('6 Caissons Objets'!Typedemousse1="Stratocell 35 Kg","Stratocell 50 mm",IF('6 Caissons Objets'!Typedemousse1="Stratocell 65 Kg","Stratocell 50 mm 65 kg"))</f>
        <v>Stratocell 50 mm</v>
      </c>
      <c r="S272" s="865">
        <f>'6 Caissons Objets'!Lnec1</f>
        <v>0</v>
      </c>
      <c r="T272" s="865">
        <f>D20+AA272</f>
        <v>0</v>
      </c>
      <c r="U272" s="865">
        <v>2</v>
      </c>
      <c r="V272" s="865" t="str">
        <f>'6 Caissons Objets'!Base1</f>
        <v>Aucun</v>
      </c>
      <c r="W272" s="865">
        <f t="shared" si="105"/>
        <v>0</v>
      </c>
      <c r="X272" s="865">
        <f>VLOOKUP('6 Caissons Objets'!plat1,$A$214:$B$220,2)</f>
        <v>0</v>
      </c>
      <c r="Y272" s="865">
        <f>'6 Caissons Objets'!Lnec1-10.2</f>
        <v>-10.199999999999999</v>
      </c>
      <c r="Z272" s="865">
        <f>'6 Caissons Objets'!lanec1-10.2</f>
        <v>-10.199999999999999</v>
      </c>
      <c r="AA272" s="865">
        <f t="shared" si="106"/>
        <v>0</v>
      </c>
      <c r="AB272" s="865" t="str">
        <f>IF('6 Caissons Objets'!Typedemousse1="Stratocell 35 Kg","Stratocell 50 mm",IF('6 Caissons Objets'!Typedemousse1="Stratocell 65 Kg","Stratocell 50 mm 65 kg"))</f>
        <v>Stratocell 50 mm</v>
      </c>
      <c r="AC272" s="865">
        <f>'6 Caissons Objets'!lanec1-VLOOKUP(C19,$A$260:$AJ$272,33)</f>
        <v>0</v>
      </c>
      <c r="AD272" s="865">
        <f>T272</f>
        <v>0</v>
      </c>
      <c r="AE272" s="865">
        <v>2</v>
      </c>
      <c r="AF272" s="865">
        <v>10.6</v>
      </c>
      <c r="AG272" s="865">
        <v>10.6</v>
      </c>
      <c r="AH272" s="865">
        <v>7</v>
      </c>
      <c r="AI272" s="865" t="s">
        <v>317</v>
      </c>
      <c r="AJ272" s="866" t="s">
        <v>321</v>
      </c>
    </row>
    <row r="273" spans="1:36" ht="18" hidden="1" customHeight="1" x14ac:dyDescent="0.35">
      <c r="A273" s="468"/>
      <c r="B273" s="468"/>
      <c r="C273" s="468"/>
      <c r="D273" s="468"/>
      <c r="E273" s="468"/>
      <c r="F273" s="468"/>
      <c r="G273" s="468"/>
      <c r="H273" s="468"/>
      <c r="I273" s="468"/>
      <c r="J273" s="468"/>
      <c r="K273" s="468"/>
      <c r="L273" s="468"/>
      <c r="M273" s="468"/>
      <c r="N273" s="468"/>
      <c r="O273" s="468"/>
      <c r="P273" s="468"/>
      <c r="Q273" s="468"/>
      <c r="R273" s="468"/>
      <c r="S273" s="468"/>
      <c r="T273" s="468"/>
      <c r="U273" s="468"/>
      <c r="V273" s="468"/>
      <c r="W273" s="468"/>
      <c r="X273" s="468"/>
      <c r="Y273" s="468"/>
      <c r="Z273" s="468"/>
      <c r="AA273" s="468"/>
      <c r="AB273" s="468"/>
      <c r="AC273" s="468"/>
      <c r="AD273" s="468"/>
      <c r="AE273" s="468"/>
      <c r="AF273" s="468"/>
      <c r="AG273" s="468"/>
      <c r="AH273" s="468"/>
      <c r="AI273" s="468"/>
      <c r="AJ273" s="468"/>
    </row>
    <row r="274" spans="1:36" ht="18" hidden="1" customHeight="1" x14ac:dyDescent="0.35">
      <c r="A274" s="480">
        <v>1</v>
      </c>
      <c r="B274" s="482">
        <f t="shared" ref="B274:V274" si="108">A274+1</f>
        <v>2</v>
      </c>
      <c r="C274" s="482">
        <f t="shared" si="108"/>
        <v>3</v>
      </c>
      <c r="D274" s="482">
        <f t="shared" si="108"/>
        <v>4</v>
      </c>
      <c r="E274" s="482">
        <f t="shared" si="108"/>
        <v>5</v>
      </c>
      <c r="F274" s="482">
        <f t="shared" si="108"/>
        <v>6</v>
      </c>
      <c r="G274" s="482">
        <f t="shared" si="108"/>
        <v>7</v>
      </c>
      <c r="H274" s="482">
        <f t="shared" si="108"/>
        <v>8</v>
      </c>
      <c r="I274" s="482">
        <f t="shared" si="108"/>
        <v>9</v>
      </c>
      <c r="J274" s="482">
        <f t="shared" si="108"/>
        <v>10</v>
      </c>
      <c r="K274" s="482">
        <f t="shared" si="108"/>
        <v>11</v>
      </c>
      <c r="L274" s="482">
        <f t="shared" si="108"/>
        <v>12</v>
      </c>
      <c r="M274" s="482">
        <f t="shared" si="108"/>
        <v>13</v>
      </c>
      <c r="N274" s="482">
        <f t="shared" si="108"/>
        <v>14</v>
      </c>
      <c r="O274" s="482">
        <f t="shared" si="108"/>
        <v>15</v>
      </c>
      <c r="P274" s="482">
        <f t="shared" si="108"/>
        <v>16</v>
      </c>
      <c r="Q274" s="482">
        <f t="shared" si="108"/>
        <v>17</v>
      </c>
      <c r="R274" s="482">
        <f t="shared" si="108"/>
        <v>18</v>
      </c>
      <c r="S274" s="482">
        <f t="shared" si="108"/>
        <v>19</v>
      </c>
      <c r="T274" s="482">
        <f t="shared" si="108"/>
        <v>20</v>
      </c>
      <c r="U274" s="482">
        <f t="shared" si="108"/>
        <v>21</v>
      </c>
      <c r="V274" s="482">
        <f t="shared" si="108"/>
        <v>22</v>
      </c>
      <c r="W274" s="482">
        <v>23</v>
      </c>
      <c r="X274" s="482">
        <v>24</v>
      </c>
      <c r="Y274" s="482">
        <v>25</v>
      </c>
      <c r="Z274" s="482">
        <f t="shared" ref="Z274:AG274" si="109">Y274+1</f>
        <v>26</v>
      </c>
      <c r="AA274" s="482">
        <f t="shared" si="109"/>
        <v>27</v>
      </c>
      <c r="AB274" s="482">
        <f t="shared" si="109"/>
        <v>28</v>
      </c>
      <c r="AC274" s="482">
        <f t="shared" si="109"/>
        <v>29</v>
      </c>
      <c r="AD274" s="482">
        <f t="shared" si="109"/>
        <v>30</v>
      </c>
      <c r="AE274" s="482">
        <f t="shared" si="109"/>
        <v>31</v>
      </c>
      <c r="AF274" s="482">
        <f t="shared" si="109"/>
        <v>32</v>
      </c>
      <c r="AG274" s="482">
        <f t="shared" si="109"/>
        <v>33</v>
      </c>
      <c r="AH274" s="482">
        <v>34</v>
      </c>
      <c r="AI274" s="482">
        <v>35</v>
      </c>
      <c r="AJ274" s="484">
        <v>36</v>
      </c>
    </row>
    <row r="275" spans="1:36" ht="18" hidden="1" customHeight="1" x14ac:dyDescent="0.35">
      <c r="A275" s="858" t="s">
        <v>381</v>
      </c>
      <c r="B275" s="504" t="s">
        <v>348</v>
      </c>
      <c r="C275" s="504" t="s">
        <v>28</v>
      </c>
      <c r="D275" s="504" t="s">
        <v>33</v>
      </c>
      <c r="E275" s="504" t="s">
        <v>34</v>
      </c>
      <c r="F275" s="504" t="s">
        <v>348</v>
      </c>
      <c r="G275" s="504" t="s">
        <v>28</v>
      </c>
      <c r="H275" s="504" t="s">
        <v>33</v>
      </c>
      <c r="I275" s="504" t="s">
        <v>34</v>
      </c>
      <c r="J275" s="504" t="s">
        <v>349</v>
      </c>
      <c r="K275" s="504" t="s">
        <v>28</v>
      </c>
      <c r="L275" s="504" t="s">
        <v>33</v>
      </c>
      <c r="M275" s="504" t="s">
        <v>34</v>
      </c>
      <c r="N275" s="504"/>
      <c r="O275" s="504" t="s">
        <v>28</v>
      </c>
      <c r="P275" s="504" t="s">
        <v>33</v>
      </c>
      <c r="Q275" s="504" t="s">
        <v>34</v>
      </c>
      <c r="R275" s="504"/>
      <c r="S275" s="504" t="s">
        <v>28</v>
      </c>
      <c r="T275" s="504" t="s">
        <v>33</v>
      </c>
      <c r="U275" s="504" t="s">
        <v>34</v>
      </c>
      <c r="V275" s="504" t="s">
        <v>308</v>
      </c>
      <c r="W275" s="504" t="s">
        <v>350</v>
      </c>
      <c r="X275" s="504" t="s">
        <v>351</v>
      </c>
      <c r="Y275" s="504" t="s">
        <v>28</v>
      </c>
      <c r="Z275" s="504" t="s">
        <v>33</v>
      </c>
      <c r="AA275" s="504" t="s">
        <v>269</v>
      </c>
      <c r="AB275" s="504"/>
      <c r="AC275" s="504" t="s">
        <v>28</v>
      </c>
      <c r="AD275" s="504" t="s">
        <v>33</v>
      </c>
      <c r="AE275" s="504" t="s">
        <v>34</v>
      </c>
      <c r="AF275" s="504" t="s">
        <v>495</v>
      </c>
      <c r="AG275" s="504" t="s">
        <v>33</v>
      </c>
      <c r="AH275" s="504" t="s">
        <v>30</v>
      </c>
      <c r="AI275" s="504" t="s">
        <v>321</v>
      </c>
      <c r="AJ275" s="859" t="s">
        <v>321</v>
      </c>
    </row>
    <row r="276" spans="1:36" ht="18" hidden="1" customHeight="1" x14ac:dyDescent="0.35">
      <c r="A276" s="860" t="s">
        <v>16</v>
      </c>
      <c r="B276" s="504">
        <v>0</v>
      </c>
      <c r="C276" s="504">
        <v>0</v>
      </c>
      <c r="D276" s="504">
        <v>0</v>
      </c>
      <c r="E276" s="504">
        <v>0</v>
      </c>
      <c r="F276" s="504">
        <v>0</v>
      </c>
      <c r="G276" s="504">
        <v>0</v>
      </c>
      <c r="H276" s="504">
        <v>0</v>
      </c>
      <c r="I276" s="504">
        <v>0</v>
      </c>
      <c r="J276" s="504">
        <v>0</v>
      </c>
      <c r="K276" s="504">
        <v>0</v>
      </c>
      <c r="L276" s="504">
        <v>0</v>
      </c>
      <c r="M276" s="504">
        <v>0</v>
      </c>
      <c r="N276" s="504">
        <v>0</v>
      </c>
      <c r="O276" s="504">
        <v>0</v>
      </c>
      <c r="P276" s="504">
        <v>0</v>
      </c>
      <c r="Q276" s="504">
        <v>0</v>
      </c>
      <c r="R276" s="504">
        <v>0</v>
      </c>
      <c r="S276" s="504">
        <v>0</v>
      </c>
      <c r="T276" s="504">
        <v>0</v>
      </c>
      <c r="U276" s="504">
        <v>0</v>
      </c>
      <c r="V276" s="504">
        <v>0</v>
      </c>
      <c r="W276" s="504">
        <v>0</v>
      </c>
      <c r="X276" s="504">
        <v>0</v>
      </c>
      <c r="Y276" s="504">
        <v>0</v>
      </c>
      <c r="Z276" s="504">
        <v>0</v>
      </c>
      <c r="AA276" s="504">
        <v>0</v>
      </c>
      <c r="AB276" s="504">
        <v>0</v>
      </c>
      <c r="AC276" s="504">
        <v>0</v>
      </c>
      <c r="AD276" s="504">
        <v>0</v>
      </c>
      <c r="AE276" s="504">
        <v>0</v>
      </c>
      <c r="AF276" s="504">
        <v>0</v>
      </c>
      <c r="AG276" s="504">
        <v>0</v>
      </c>
      <c r="AH276" s="504"/>
      <c r="AI276" s="504"/>
      <c r="AJ276" s="859"/>
    </row>
    <row r="277" spans="1:36" ht="18" hidden="1" customHeight="1" x14ac:dyDescent="0.35">
      <c r="A277" s="861" t="s">
        <v>319</v>
      </c>
      <c r="B277" s="862" t="s">
        <v>352</v>
      </c>
      <c r="C277" s="862">
        <f>'6 Caissons Objets'!Lnec2</f>
        <v>0</v>
      </c>
      <c r="D277" s="862">
        <v>9.3000000000000007</v>
      </c>
      <c r="E277" s="862" t="e">
        <f>'6 Caissons Objets'!nbcal2*2+1</f>
        <v>#VALUE!</v>
      </c>
      <c r="F277" s="862" t="s">
        <v>353</v>
      </c>
      <c r="G277" s="862">
        <f>'6 Caissons Objets'!lanec2</f>
        <v>0</v>
      </c>
      <c r="H277" s="862">
        <v>9.3000000000000007</v>
      </c>
      <c r="I277" s="862" t="e">
        <f>'6 Caissons Objets'!nbcal2*2</f>
        <v>#VALUE!</v>
      </c>
      <c r="J277" s="862"/>
      <c r="K277" s="862"/>
      <c r="L277" s="862"/>
      <c r="M277" s="862"/>
      <c r="N277" s="862" t="str">
        <f>IF('6 Caissons Objets'!Typedemousse2="Stratocell 35 Kg","Stratocell 50 mm",IF('6 Caissons Objets'!Typedemousse2="Stratocell 65 Kg","Stratocell 50 mm 65 kg"))</f>
        <v>Stratocell 50 mm</v>
      </c>
      <c r="O277" s="862">
        <f>'6 Caissons Objets'!Lnec2</f>
        <v>0</v>
      </c>
      <c r="P277" s="862">
        <f>IF('6 Caissons Objets'!hnec2&lt;200,9.3,14.4)</f>
        <v>9.3000000000000007</v>
      </c>
      <c r="Q277" s="862" t="e">
        <f>'6 Caissons Objets'!nbcal2*2+1</f>
        <v>#VALUE!</v>
      </c>
      <c r="R277" s="862" t="str">
        <f>IF('6 Caissons Objets'!Typedemousse2="Stratocell 35 Kg","Stratocell 50 mm",IF('6 Caissons Objets'!Typedemousse2="Stratocell 65 Kg","Stratocell 50 mm 65 kg"))</f>
        <v>Stratocell 50 mm</v>
      </c>
      <c r="S277" s="862">
        <f>'6 Caissons Objets'!lanec2</f>
        <v>0</v>
      </c>
      <c r="T277" s="862">
        <f>IF('6 Caissons Objets'!hnec2&lt;200,9.3,14.4)</f>
        <v>9.3000000000000007</v>
      </c>
      <c r="U277" s="862" t="e">
        <f>'6 Caissons Objets'!nbcal2*2</f>
        <v>#VALUE!</v>
      </c>
      <c r="V277" s="862" t="str">
        <f>'6 Caissons Objets'!Base2</f>
        <v>Aucun</v>
      </c>
      <c r="W277" s="862">
        <f t="shared" ref="W277:W288" si="110">VLOOKUP(V277,$A$222:$C$230,3)</f>
        <v>0</v>
      </c>
      <c r="X277" s="862">
        <f>VLOOKUP('6 Caissons Objets'!plat2,$A$214:$B$220,2)</f>
        <v>0</v>
      </c>
      <c r="Y277" s="862">
        <f>'6 Caissons Objets'!Lnec2</f>
        <v>0</v>
      </c>
      <c r="Z277" s="862">
        <f>'6 Caissons Objets'!lanec2</f>
        <v>0</v>
      </c>
      <c r="AA277" s="862">
        <f t="shared" ref="AA277:AA288" si="111">W277+X277</f>
        <v>0</v>
      </c>
      <c r="AB277" s="862"/>
      <c r="AC277" s="862"/>
      <c r="AD277" s="862"/>
      <c r="AE277" s="862"/>
      <c r="AF277" s="862">
        <v>14</v>
      </c>
      <c r="AG277" s="862">
        <v>14</v>
      </c>
      <c r="AH277" s="862">
        <v>7</v>
      </c>
      <c r="AI277" s="862" t="s">
        <v>317</v>
      </c>
      <c r="AJ277" s="863" t="s">
        <v>321</v>
      </c>
    </row>
    <row r="278" spans="1:36" ht="18" hidden="1" customHeight="1" x14ac:dyDescent="0.35">
      <c r="A278" s="861" t="s">
        <v>320</v>
      </c>
      <c r="B278" s="862"/>
      <c r="C278" s="862"/>
      <c r="D278" s="862"/>
      <c r="E278" s="862"/>
      <c r="F278" s="862"/>
      <c r="G278" s="862"/>
      <c r="H278" s="862"/>
      <c r="I278" s="862"/>
      <c r="J278" s="862"/>
      <c r="K278" s="862"/>
      <c r="L278" s="862"/>
      <c r="M278" s="862"/>
      <c r="N278" s="862" t="str">
        <f>IF('6 Caissons Objets'!nbcal2="PU","PU 30 mm",IF('6 Caissons Objets'!nbcal2="Stratocell","Stratocell 30 mm",0))</f>
        <v>Stratocell 30 mm</v>
      </c>
      <c r="O278" s="862">
        <f>'6 Caissons Objets'!Lnec2</f>
        <v>0</v>
      </c>
      <c r="P278" s="862">
        <v>12</v>
      </c>
      <c r="Q278" s="862">
        <f>IF('6 Caissons Objets'!hnec2&lt;80,4,6)</f>
        <v>4</v>
      </c>
      <c r="R278" s="862" t="str">
        <f>IF('6 Caissons Objets'!nbcal2="PU","PU 30 mm",IF('6 Caissons Objets'!nbcal2="Stratocell","Stratocell 30 mm",0))</f>
        <v>Stratocell 30 mm</v>
      </c>
      <c r="S278" s="862">
        <f>'6 Caissons Objets'!lanec2-6</f>
        <v>-6</v>
      </c>
      <c r="T278" s="862">
        <v>12</v>
      </c>
      <c r="U278" s="862">
        <f t="shared" ref="U278:U279" si="112">Q278</f>
        <v>4</v>
      </c>
      <c r="V278" s="862" t="str">
        <f>'6 Caissons Objets'!Base2</f>
        <v>Aucun</v>
      </c>
      <c r="W278" s="862">
        <f t="shared" si="110"/>
        <v>0</v>
      </c>
      <c r="X278" s="862">
        <f>VLOOKUP('6 Caissons Objets'!plat2,$A$214:$B$220,2)</f>
        <v>0</v>
      </c>
      <c r="Y278" s="862">
        <f>'6 Caissons Objets'!Lnec2</f>
        <v>0</v>
      </c>
      <c r="Z278" s="862">
        <f>'6 Caissons Objets'!lanec2</f>
        <v>0</v>
      </c>
      <c r="AA278" s="862">
        <f t="shared" si="111"/>
        <v>0</v>
      </c>
      <c r="AB278" s="862" t="str">
        <f>IF('6 Caissons Objets'!nbcal2="PU","PU 30 mm",IF('6 Caissons Objets'!nbcal2="Stratocell","Stratocell 30 mm",0))</f>
        <v>Stratocell 30 mm</v>
      </c>
      <c r="AC278" s="862">
        <f>'6 Caissons Objets'!lanec2</f>
        <v>0</v>
      </c>
      <c r="AD278" s="862">
        <v>12</v>
      </c>
      <c r="AE278" s="862">
        <f>IF('6 Caissons Objets'!Lnec2&lt;100,3,4)</f>
        <v>3</v>
      </c>
      <c r="AF278" s="862">
        <f>VLOOKUP('6 Caissons Objets'!nbcal2,$A$238:$D$239,3)*2</f>
        <v>6.4</v>
      </c>
      <c r="AG278" s="862">
        <f>VLOOKUP('6 Caissons Objets'!nbcal2,$A$238:$D$239,3)*2</f>
        <v>6.4</v>
      </c>
      <c r="AH278" s="862">
        <f>VLOOKUP('6 Caissons Objets'!nbcal2,$A$238:$D$239,3)</f>
        <v>3.2</v>
      </c>
      <c r="AI278" s="862" t="s">
        <v>321</v>
      </c>
      <c r="AJ278" s="863"/>
    </row>
    <row r="279" spans="1:36" ht="18" hidden="1" customHeight="1" x14ac:dyDescent="0.35">
      <c r="A279" s="861" t="s">
        <v>322</v>
      </c>
      <c r="B279" s="862"/>
      <c r="C279" s="862"/>
      <c r="D279" s="862"/>
      <c r="E279" s="862"/>
      <c r="F279" s="862"/>
      <c r="G279" s="862"/>
      <c r="H279" s="862"/>
      <c r="I279" s="862"/>
      <c r="J279" s="862"/>
      <c r="K279" s="862"/>
      <c r="L279" s="862"/>
      <c r="M279" s="862"/>
      <c r="N279" s="862" t="str">
        <f>IF('6 Caissons Objets'!nbcal2="PU","PU 50 mm",IF('6 Caissons Objets'!nbcal2="Stratocell","Stratocell 50 mm",0))</f>
        <v>Stratocell 50 mm</v>
      </c>
      <c r="O279" s="862">
        <f>'6 Caissons Objets'!Lnec2</f>
        <v>0</v>
      </c>
      <c r="P279" s="862">
        <v>12</v>
      </c>
      <c r="Q279" s="862">
        <f>IF('6 Caissons Objets'!hnec2&lt;80,4,6)</f>
        <v>4</v>
      </c>
      <c r="R279" s="862" t="str">
        <f>IF('6 Caissons Objets'!nbcal2="PU","PU 50 mm",IF('6 Caissons Objets'!nbcal2="Stratocell","Stratocell 50 mm",0))</f>
        <v>Stratocell 50 mm</v>
      </c>
      <c r="S279" s="862">
        <f>'6 Caissons Objets'!lanec2-10</f>
        <v>-10</v>
      </c>
      <c r="T279" s="862">
        <v>12</v>
      </c>
      <c r="U279" s="862">
        <f t="shared" si="112"/>
        <v>4</v>
      </c>
      <c r="V279" s="862" t="str">
        <f>'6 Caissons Objets'!Base2</f>
        <v>Aucun</v>
      </c>
      <c r="W279" s="862">
        <f t="shared" si="110"/>
        <v>0</v>
      </c>
      <c r="X279" s="862">
        <f>VLOOKUP('6 Caissons Objets'!plat2,$A$214:$B$220,2)</f>
        <v>0</v>
      </c>
      <c r="Y279" s="862">
        <f>'6 Caissons Objets'!Lnec2</f>
        <v>0</v>
      </c>
      <c r="Z279" s="862">
        <f>'6 Caissons Objets'!lanec2</f>
        <v>0</v>
      </c>
      <c r="AA279" s="862">
        <f t="shared" si="111"/>
        <v>0</v>
      </c>
      <c r="AB279" s="862" t="str">
        <f>IF('6 Caissons Objets'!nbcal2="PU","PU 50 mm",IF('6 Caissons Objets'!nbcal2="Stratocell","Stratocell 50 mm",0))</f>
        <v>Stratocell 50 mm</v>
      </c>
      <c r="AC279" s="862">
        <f>'6 Caissons Objets'!lanec2</f>
        <v>0</v>
      </c>
      <c r="AD279" s="862">
        <v>12</v>
      </c>
      <c r="AE279" s="862">
        <f>IF('6 Caissons Objets'!Lnec2&lt;100,3,4)</f>
        <v>3</v>
      </c>
      <c r="AF279" s="862">
        <f>VLOOKUP('6 Caissons Objets'!nbcal2,$A$238:$D$239,4)*2</f>
        <v>11</v>
      </c>
      <c r="AG279" s="862">
        <f>VLOOKUP('6 Caissons Objets'!nbcal2,$A$238:$D$239,4)*2</f>
        <v>11</v>
      </c>
      <c r="AH279" s="862">
        <f>VLOOKUP('6 Caissons Objets'!nbcal2,$A$238:$D$239,4)</f>
        <v>5.5</v>
      </c>
      <c r="AI279" s="862" t="s">
        <v>321</v>
      </c>
      <c r="AJ279" s="863"/>
    </row>
    <row r="280" spans="1:36" ht="18" hidden="1" customHeight="1" x14ac:dyDescent="0.35">
      <c r="A280" s="533" t="s">
        <v>496</v>
      </c>
      <c r="B280" s="862"/>
      <c r="C280" s="862"/>
      <c r="D280" s="862"/>
      <c r="E280" s="862"/>
      <c r="F280" s="862"/>
      <c r="G280" s="862"/>
      <c r="H280" s="862"/>
      <c r="I280" s="862"/>
      <c r="J280" s="862"/>
      <c r="K280" s="862"/>
      <c r="L280" s="862"/>
      <c r="M280" s="862"/>
      <c r="N280" s="862" t="str">
        <f>IF('6 Caissons Objets'!nbcal2="PU","PU 50 mm",IF('6 Caissons Objets'!nbcal2="Stratocell","Stratocell 50 mm",0))</f>
        <v>Stratocell 50 mm</v>
      </c>
      <c r="O280" s="862">
        <f>'6 Caissons Objets'!Lnec2</f>
        <v>0</v>
      </c>
      <c r="P280" s="862">
        <f>'6 Caissons Objets'!lanec2</f>
        <v>0</v>
      </c>
      <c r="Q280" s="862">
        <f>('6 Caissons Objets'!hnec2 -AA280)/5</f>
        <v>0</v>
      </c>
      <c r="R280" s="862"/>
      <c r="S280" s="862"/>
      <c r="T280" s="862"/>
      <c r="U280" s="862"/>
      <c r="V280" s="862" t="str">
        <f>'6 Caissons Objets'!Base2</f>
        <v>Aucun</v>
      </c>
      <c r="W280" s="862">
        <f t="shared" si="110"/>
        <v>0</v>
      </c>
      <c r="X280" s="862">
        <f>VLOOKUP('6 Caissons Objets'!plat2,$A$214:$B$220,2)</f>
        <v>0</v>
      </c>
      <c r="Y280" s="862">
        <f>'6 Caissons Objets'!Lnec2</f>
        <v>0</v>
      </c>
      <c r="Z280" s="862">
        <f>'6 Caissons Objets'!lanec2</f>
        <v>0</v>
      </c>
      <c r="AA280" s="862">
        <f t="shared" si="111"/>
        <v>0</v>
      </c>
      <c r="AB280" s="862"/>
      <c r="AC280" s="862"/>
      <c r="AD280" s="862"/>
      <c r="AE280" s="862"/>
      <c r="AF280" s="862">
        <f>VLOOKUP('6 Caissons Objets'!nbcal2,$A$238:$D$239,4)*2</f>
        <v>11</v>
      </c>
      <c r="AG280" s="862">
        <f>VLOOKUP('6 Caissons Objets'!nbcal2,$A$238:$D$239,4)*2</f>
        <v>11</v>
      </c>
      <c r="AH280" s="862">
        <f>VLOOKUP('6 Caissons Objets'!nbcal2,$A$238:$D$239,4)</f>
        <v>5.5</v>
      </c>
      <c r="AI280" s="862" t="s">
        <v>321</v>
      </c>
      <c r="AJ280" s="863"/>
    </row>
    <row r="281" spans="1:36" ht="18" hidden="1" customHeight="1" x14ac:dyDescent="0.35">
      <c r="A281" s="861" t="s">
        <v>324</v>
      </c>
      <c r="B281" s="862"/>
      <c r="C281" s="862"/>
      <c r="D281" s="862"/>
      <c r="E281" s="862"/>
      <c r="F281" s="862"/>
      <c r="G281" s="862"/>
      <c r="H281" s="862"/>
      <c r="I281" s="862"/>
      <c r="J281" s="862"/>
      <c r="K281" s="862"/>
      <c r="L281" s="862"/>
      <c r="M281" s="862"/>
      <c r="N281" s="862" t="str">
        <f>IF('6 Caissons Objets'!nbcal2="PU","PU 50 mm",IF('6 Caissons Objets'!nbcal2="Stratocell","Stratocell 50 mm",0))</f>
        <v>Stratocell 50 mm</v>
      </c>
      <c r="O281" s="862">
        <f>'6 Caissons Objets'!Lnec2-0.3</f>
        <v>-0.3</v>
      </c>
      <c r="P281" s="862">
        <f>'6 Caissons Objets'!lanec2-0.3</f>
        <v>-0.3</v>
      </c>
      <c r="Q281" s="862">
        <f>('6 Caissons Objets'!hnec2-AA281)/5</f>
        <v>0</v>
      </c>
      <c r="R281" s="862"/>
      <c r="S281" s="862"/>
      <c r="T281" s="862"/>
      <c r="U281" s="862"/>
      <c r="V281" s="862" t="str">
        <f>'6 Caissons Objets'!Base2</f>
        <v>Aucun</v>
      </c>
      <c r="W281" s="862">
        <f t="shared" si="110"/>
        <v>0</v>
      </c>
      <c r="X281" s="862">
        <f>VLOOKUP('6 Caissons Objets'!plat2,$A$214:$B$220,2)</f>
        <v>0</v>
      </c>
      <c r="Y281" s="862">
        <f>'6 Caissons Objets'!Lnec2</f>
        <v>0</v>
      </c>
      <c r="Z281" s="862">
        <f>'6 Caissons Objets'!lanec2</f>
        <v>0</v>
      </c>
      <c r="AA281" s="862">
        <f t="shared" si="111"/>
        <v>0</v>
      </c>
      <c r="AB281" s="862"/>
      <c r="AC281" s="862"/>
      <c r="AD281" s="862"/>
      <c r="AE281" s="862"/>
      <c r="AF281" s="862">
        <f>VLOOKUP('6 Caissons Objets'!nbcal2,$A$238:$D$239,4)*2</f>
        <v>11</v>
      </c>
      <c r="AG281" s="862">
        <f>VLOOKUP('6 Caissons Objets'!nbcal2,$A$238:$D$239,4)*2</f>
        <v>11</v>
      </c>
      <c r="AH281" s="862">
        <f>VLOOKUP('6 Caissons Objets'!nbcal2,$A$238:$D$239,4)</f>
        <v>5.5</v>
      </c>
      <c r="AI281" s="862" t="s">
        <v>321</v>
      </c>
      <c r="AJ281" s="863"/>
    </row>
    <row r="282" spans="1:36" ht="18" hidden="1" customHeight="1" x14ac:dyDescent="0.35">
      <c r="A282" s="861" t="s">
        <v>325</v>
      </c>
      <c r="B282" s="862"/>
      <c r="C282" s="862"/>
      <c r="D282" s="862"/>
      <c r="E282" s="862"/>
      <c r="F282" s="862"/>
      <c r="G282" s="862"/>
      <c r="H282" s="862"/>
      <c r="I282" s="862"/>
      <c r="J282" s="862"/>
      <c r="K282" s="862"/>
      <c r="L282" s="862"/>
      <c r="M282" s="862"/>
      <c r="N282" s="862" t="str">
        <f>IF('6 Caissons Objets'!nbcal2="PU","PU 50 mm",IF('6 Caissons Objets'!nbcal2="Stratocell","Stratocell 50 mm",0))</f>
        <v>Stratocell 50 mm</v>
      </c>
      <c r="O282" s="862">
        <f>'6 Caissons Objets'!Lnec2-0.3</f>
        <v>-0.3</v>
      </c>
      <c r="P282" s="862">
        <f>'6 Caissons Objets'!hnec2-AA282</f>
        <v>0</v>
      </c>
      <c r="Q282" s="862">
        <f>'6 Caissons Objets'!lanec2/5</f>
        <v>0</v>
      </c>
      <c r="R282" s="862"/>
      <c r="S282" s="862"/>
      <c r="T282" s="862"/>
      <c r="U282" s="862"/>
      <c r="V282" s="862" t="str">
        <f>'6 Caissons Objets'!Base2</f>
        <v>Aucun</v>
      </c>
      <c r="W282" s="862">
        <f t="shared" si="110"/>
        <v>0</v>
      </c>
      <c r="X282" s="862">
        <f>VLOOKUP('6 Caissons Objets'!plat2,$A$214:$B$220,2)</f>
        <v>0</v>
      </c>
      <c r="Y282" s="862">
        <f>'6 Caissons Objets'!Lnec2</f>
        <v>0</v>
      </c>
      <c r="Z282" s="862">
        <f>'6 Caissons Objets'!lanec2</f>
        <v>0</v>
      </c>
      <c r="AA282" s="862">
        <f t="shared" si="111"/>
        <v>0</v>
      </c>
      <c r="AB282" s="862"/>
      <c r="AC282" s="862"/>
      <c r="AD282" s="862"/>
      <c r="AE282" s="862"/>
      <c r="AF282" s="862">
        <f>VLOOKUP('6 Caissons Objets'!nbcal2,$A$238:$D$239,3)*2</f>
        <v>6.4</v>
      </c>
      <c r="AG282" s="862">
        <f>VLOOKUP('6 Caissons Objets'!nbcal2,$A$238:$D$239,3)*2</f>
        <v>6.4</v>
      </c>
      <c r="AH282" s="862">
        <f>VLOOKUP('6 Caissons Objets'!nbcal2,$A$238:$D$239,3)</f>
        <v>3.2</v>
      </c>
      <c r="AI282" s="862" t="s">
        <v>321</v>
      </c>
      <c r="AJ282" s="863"/>
    </row>
    <row r="283" spans="1:36" ht="18" hidden="1" customHeight="1" x14ac:dyDescent="0.35">
      <c r="A283" s="861" t="s">
        <v>497</v>
      </c>
      <c r="B283" s="862"/>
      <c r="C283" s="862"/>
      <c r="D283" s="862"/>
      <c r="E283" s="862"/>
      <c r="F283" s="862"/>
      <c r="G283" s="862"/>
      <c r="H283" s="862"/>
      <c r="I283" s="862"/>
      <c r="J283" s="862"/>
      <c r="K283" s="862"/>
      <c r="L283" s="862"/>
      <c r="M283" s="862"/>
      <c r="N283" s="862" t="str">
        <f>IF('6 Caissons Objets'!nbcal2="PU","PU 20 mm",IF('6 Caissons Objets'!nbcal2="Stratocell","Stratocell 20 mm",0))</f>
        <v>Stratocell 20 mm</v>
      </c>
      <c r="O283" s="862">
        <f>'6 Caissons Objets'!Lnec2</f>
        <v>0</v>
      </c>
      <c r="P283" s="862">
        <f>'6 Caissons Objets'!lanec2</f>
        <v>0</v>
      </c>
      <c r="Q283" s="862">
        <v>1</v>
      </c>
      <c r="R283" s="862" t="str">
        <f>IF('6 Caissons Objets'!nbcal2="PU","PU 20 mm",IF('6 Caissons Objets'!nbcal2="Stratocell","Stratocell 20 mm",0))</f>
        <v>Stratocell 20 mm</v>
      </c>
      <c r="S283" s="862">
        <f>'6 Caissons Objets'!Lnec2</f>
        <v>0</v>
      </c>
      <c r="T283" s="862">
        <f>'6 Caissons Objets'!hnec2-5-AA283</f>
        <v>-5</v>
      </c>
      <c r="U283" s="862">
        <v>2</v>
      </c>
      <c r="V283" s="862" t="str">
        <f>'6 Caissons Objets'!Base2</f>
        <v>Aucun</v>
      </c>
      <c r="W283" s="862">
        <f t="shared" si="110"/>
        <v>0</v>
      </c>
      <c r="X283" s="862">
        <f>VLOOKUP('6 Caissons Objets'!plat2,$A$214:$B$220,2)</f>
        <v>0</v>
      </c>
      <c r="Y283" s="862">
        <f>'6 Caissons Objets'!Lnec2</f>
        <v>0</v>
      </c>
      <c r="Z283" s="862">
        <f>'6 Caissons Objets'!lanec2</f>
        <v>0</v>
      </c>
      <c r="AA283" s="862">
        <f t="shared" si="111"/>
        <v>0</v>
      </c>
      <c r="AB283" s="862" t="str">
        <f>IF('6 Caissons Objets'!nbcal2="PU","PU 20 mm",IF('6 Caissons Objets'!nbcal2="Stratocell","Stratocell 20 mm",0))</f>
        <v>Stratocell 20 mm</v>
      </c>
      <c r="AC283" s="862">
        <f>'6 Caissons Objets'!lanec2-AF283</f>
        <v>-4.4000000000000004</v>
      </c>
      <c r="AD283" s="862">
        <f>'6 Caissons Objets'!hnec2-2.2-AA283</f>
        <v>-2.2000000000000002</v>
      </c>
      <c r="AE283" s="862">
        <v>2</v>
      </c>
      <c r="AF283" s="862">
        <f>VLOOKUP('6 Caissons Objets'!nbcal2,$A$238:$D$239,2)*2</f>
        <v>4.4000000000000004</v>
      </c>
      <c r="AG283" s="862">
        <f>VLOOKUP('6 Caissons Objets'!nbcal2,$A$238:$D$239,2)*2</f>
        <v>4.4000000000000004</v>
      </c>
      <c r="AH283" s="862">
        <f>VLOOKUP('6 Caissons Objets'!nbcal2,$A$238:$D$239,2)</f>
        <v>2.2000000000000002</v>
      </c>
      <c r="AI283" s="862" t="s">
        <v>321</v>
      </c>
      <c r="AJ283" s="863"/>
    </row>
    <row r="284" spans="1:36" ht="18" hidden="1" customHeight="1" x14ac:dyDescent="0.35">
      <c r="A284" s="861" t="s">
        <v>498</v>
      </c>
      <c r="B284" s="862"/>
      <c r="C284" s="862"/>
      <c r="D284" s="862"/>
      <c r="E284" s="862"/>
      <c r="F284" s="862"/>
      <c r="G284" s="862"/>
      <c r="H284" s="862"/>
      <c r="I284" s="862"/>
      <c r="J284" s="862"/>
      <c r="K284" s="862"/>
      <c r="L284" s="862"/>
      <c r="M284" s="862"/>
      <c r="N284" s="862" t="str">
        <f>IF('6 Caissons Objets'!nbcal2="PU","PU 30 mm",IF('6 Caissons Objets'!nbcal2="Stratocell","Stratocell 30 mm",0))</f>
        <v>Stratocell 30 mm</v>
      </c>
      <c r="O284" s="862">
        <f>'6 Caissons Objets'!Lnec2</f>
        <v>0</v>
      </c>
      <c r="P284" s="862">
        <f>'6 Caissons Objets'!lanec2</f>
        <v>0</v>
      </c>
      <c r="Q284" s="862">
        <v>1</v>
      </c>
      <c r="R284" s="862" t="str">
        <f>IF('6 Caissons Objets'!nbcal2="PU","PU 30 mm",IF('6 Caissons Objets'!nbcal2="Stratocell","Stratocell 30 mm",0))</f>
        <v>Stratocell 30 mm</v>
      </c>
      <c r="S284" s="862">
        <f>'6 Caissons Objets'!Lnec2</f>
        <v>0</v>
      </c>
      <c r="T284" s="862">
        <f>'6 Caissons Objets'!hnec2-3-AA284</f>
        <v>-3</v>
      </c>
      <c r="U284" s="862">
        <v>2</v>
      </c>
      <c r="V284" s="862" t="str">
        <f>'6 Caissons Objets'!Base2</f>
        <v>Aucun</v>
      </c>
      <c r="W284" s="862">
        <f t="shared" si="110"/>
        <v>0</v>
      </c>
      <c r="X284" s="862">
        <f>VLOOKUP('6 Caissons Objets'!plat2,$A$214:$B$220,2)</f>
        <v>0</v>
      </c>
      <c r="Y284" s="862">
        <f>'6 Caissons Objets'!Lnec2</f>
        <v>0</v>
      </c>
      <c r="Z284" s="862">
        <f>'6 Caissons Objets'!lanec2</f>
        <v>0</v>
      </c>
      <c r="AA284" s="862">
        <f t="shared" si="111"/>
        <v>0</v>
      </c>
      <c r="AB284" s="862" t="str">
        <f>IF('6 Caissons Objets'!nbcal2="PU","PU 30 mm",IF('6 Caissons Objets'!nbcal2="Stratocell","Stratocell 30 mm",0))</f>
        <v>Stratocell 30 mm</v>
      </c>
      <c r="AC284" s="862">
        <f>'6 Caissons Objets'!lanec2-AF284</f>
        <v>-6.4</v>
      </c>
      <c r="AD284" s="862">
        <f>'6 Caissons Objets'!hnec2-3.2-AA284</f>
        <v>-3.2</v>
      </c>
      <c r="AE284" s="862">
        <v>2</v>
      </c>
      <c r="AF284" s="862">
        <f>VLOOKUP('6 Caissons Objets'!nbcal2,$A$238:$D$239,3)*2</f>
        <v>6.4</v>
      </c>
      <c r="AG284" s="862">
        <f>VLOOKUP('6 Caissons Objets'!nbcal2,$A$238:$D$239,3)*2</f>
        <v>6.4</v>
      </c>
      <c r="AH284" s="862">
        <f>VLOOKUP('6 Caissons Objets'!nbcal2,$A$238:$D$239,3)</f>
        <v>3.2</v>
      </c>
      <c r="AI284" s="862" t="s">
        <v>321</v>
      </c>
      <c r="AJ284" s="863"/>
    </row>
    <row r="285" spans="1:36" ht="18" hidden="1" customHeight="1" x14ac:dyDescent="0.35">
      <c r="A285" s="861" t="s">
        <v>479</v>
      </c>
      <c r="B285" s="862"/>
      <c r="C285" s="862"/>
      <c r="D285" s="862"/>
      <c r="E285" s="862"/>
      <c r="F285" s="862"/>
      <c r="G285" s="862"/>
      <c r="H285" s="862"/>
      <c r="I285" s="862"/>
      <c r="J285" s="862"/>
      <c r="K285" s="862"/>
      <c r="L285" s="862"/>
      <c r="M285" s="862"/>
      <c r="N285" s="862" t="str">
        <f>IF('6 Caissons Objets'!nbcal2="PU","PU 50 mm",IF('6 Caissons Objets'!nbcal2="Stratocell","Stratocell 50 mm",0))</f>
        <v>Stratocell 50 mm</v>
      </c>
      <c r="O285" s="862">
        <f>'6 Caissons Objets'!Lnec2</f>
        <v>0</v>
      </c>
      <c r="P285" s="862">
        <f>'6 Caissons Objets'!lanec2</f>
        <v>0</v>
      </c>
      <c r="Q285" s="862">
        <v>1</v>
      </c>
      <c r="R285" s="862" t="str">
        <f>IF('6 Caissons Objets'!nbcal2="PU","PU 50 mm",IF('6 Caissons Objets'!nbcal2="Stratocell","Stratocell 50 mm",0))</f>
        <v>Stratocell 50 mm</v>
      </c>
      <c r="S285" s="862">
        <f>'6 Caissons Objets'!Lnec2</f>
        <v>0</v>
      </c>
      <c r="T285" s="862">
        <f>'6 Caissons Objets'!hnec2-5-AA285</f>
        <v>-5</v>
      </c>
      <c r="U285" s="862">
        <v>2</v>
      </c>
      <c r="V285" s="862" t="str">
        <f>'6 Caissons Objets'!Base2</f>
        <v>Aucun</v>
      </c>
      <c r="W285" s="862">
        <f t="shared" si="110"/>
        <v>0</v>
      </c>
      <c r="X285" s="862">
        <f>VLOOKUP('6 Caissons Objets'!plat2,$A$214:$B$220,2)</f>
        <v>0</v>
      </c>
      <c r="Y285" s="862">
        <f>'6 Caissons Objets'!Lnec2</f>
        <v>0</v>
      </c>
      <c r="Z285" s="862">
        <f>'6 Caissons Objets'!lanec2</f>
        <v>0</v>
      </c>
      <c r="AA285" s="862">
        <f t="shared" si="111"/>
        <v>0</v>
      </c>
      <c r="AB285" s="862" t="str">
        <f>IF('6 Caissons Objets'!nbcal2="PU","PU 50 mm",IF('6 Caissons Objets'!nbcal2="Stratocell","Stratocell 50 mm",0))</f>
        <v>Stratocell 50 mm</v>
      </c>
      <c r="AC285" s="862">
        <f>'6 Caissons Objets'!lanec2-AF285</f>
        <v>-11</v>
      </c>
      <c r="AD285" s="862">
        <f>'6 Caissons Objets'!hnec2-5.3-AA285</f>
        <v>-5.3</v>
      </c>
      <c r="AE285" s="862">
        <v>2</v>
      </c>
      <c r="AF285" s="862">
        <f>VLOOKUP('6 Caissons Objets'!nbcal2,$A$238:$D$239,4)*2</f>
        <v>11</v>
      </c>
      <c r="AG285" s="862">
        <f>VLOOKUP('6 Caissons Objets'!nbcal2,$A$238:$D$239,4)*2</f>
        <v>11</v>
      </c>
      <c r="AH285" s="862">
        <f>VLOOKUP('6 Caissons Objets'!nbcal2,$A$238:$D$239,4)</f>
        <v>5.5</v>
      </c>
      <c r="AI285" s="862" t="s">
        <v>321</v>
      </c>
      <c r="AJ285" s="863"/>
    </row>
    <row r="286" spans="1:36" ht="18" hidden="1" customHeight="1" x14ac:dyDescent="0.35">
      <c r="A286" s="861" t="s">
        <v>326</v>
      </c>
      <c r="B286" s="862" t="s">
        <v>354</v>
      </c>
      <c r="C286" s="862">
        <f>'6 Caissons Objets'!Lnec2</f>
        <v>0</v>
      </c>
      <c r="D286" s="862">
        <v>9.3000000000000007</v>
      </c>
      <c r="E286" s="862">
        <f>1</f>
        <v>1</v>
      </c>
      <c r="F286" s="862" t="s">
        <v>355</v>
      </c>
      <c r="G286" s="862">
        <f>'6 Caissons Objets'!Lnec2</f>
        <v>0</v>
      </c>
      <c r="H286" s="862">
        <v>5.2</v>
      </c>
      <c r="I286" s="862" t="e">
        <f>'6 Caissons Objets'!nbcal2*2</f>
        <v>#VALUE!</v>
      </c>
      <c r="J286" s="862" t="s">
        <v>349</v>
      </c>
      <c r="K286" s="862">
        <f>'6 Caissons Objets'!lanec2</f>
        <v>0</v>
      </c>
      <c r="L286" s="862">
        <v>7</v>
      </c>
      <c r="M286" s="862" t="e">
        <f>'6 Caissons Objets'!nbcal2*4</f>
        <v>#VALUE!</v>
      </c>
      <c r="N286" s="862" t="str">
        <f>IF('6 Caissons Objets'!Typedemousse2="Stratocell 35 Kg","Stratocell 50 mm",IF('6 Caissons Objets'!Typedemousse2="Stratocell 65 Kg","Stratocell 50 mm 65 kg"))</f>
        <v>Stratocell 50 mm</v>
      </c>
      <c r="O286" s="862">
        <f>'6 Caissons Objets'!Lnec2</f>
        <v>0</v>
      </c>
      <c r="P286" s="862">
        <f>('6 Caissons Objets'!lanec2-4.2)/2</f>
        <v>-2.1</v>
      </c>
      <c r="Q286" s="862" t="e">
        <f>'6 Caissons Objets'!nbcal2*2</f>
        <v>#VALUE!</v>
      </c>
      <c r="R286" s="862" t="str">
        <f>IF('6 Caissons Objets'!Typedemousse2="Stratocell 35 Kg","Stratocell 50 mm",IF('6 Caissons Objets'!Typedemousse2="Stratocell 65 Kg","Stratocell 50 mm 65 kg"))</f>
        <v>Stratocell 50 mm</v>
      </c>
      <c r="S286" s="862">
        <f>'6 Caissons Objets'!lanec2</f>
        <v>0</v>
      </c>
      <c r="T286" s="862">
        <f>IF('6 Caissons Objets'!hnec2&lt;200,9.3,14.4)</f>
        <v>9.3000000000000007</v>
      </c>
      <c r="U286" s="862">
        <f>1</f>
        <v>1</v>
      </c>
      <c r="V286" s="862" t="str">
        <f>'6 Caissons Objets'!Base2</f>
        <v>Aucun</v>
      </c>
      <c r="W286" s="862">
        <f t="shared" si="110"/>
        <v>0</v>
      </c>
      <c r="X286" s="862">
        <f>VLOOKUP('6 Caissons Objets'!plat2,$A$214:$B$220,2)</f>
        <v>0</v>
      </c>
      <c r="Y286" s="862">
        <f>'6 Caissons Objets'!Lnec2</f>
        <v>0</v>
      </c>
      <c r="Z286" s="862">
        <f>'6 Caissons Objets'!lanec2</f>
        <v>0</v>
      </c>
      <c r="AA286" s="862">
        <f t="shared" si="111"/>
        <v>0</v>
      </c>
      <c r="AB286" s="862"/>
      <c r="AC286" s="862"/>
      <c r="AD286" s="862"/>
      <c r="AE286" s="862"/>
      <c r="AF286" s="862">
        <v>14</v>
      </c>
      <c r="AG286" s="862">
        <v>14</v>
      </c>
      <c r="AH286" s="862">
        <v>7</v>
      </c>
      <c r="AI286" s="862" t="s">
        <v>317</v>
      </c>
      <c r="AJ286" s="863" t="s">
        <v>321</v>
      </c>
    </row>
    <row r="287" spans="1:36" ht="18" hidden="1" customHeight="1" x14ac:dyDescent="0.35">
      <c r="A287" s="861" t="s">
        <v>328</v>
      </c>
      <c r="B287" s="862"/>
      <c r="C287" s="862"/>
      <c r="D287" s="862"/>
      <c r="E287" s="862"/>
      <c r="F287" s="862" t="s">
        <v>355</v>
      </c>
      <c r="G287" s="862">
        <f>'6 Caissons Objets'!lanec2</f>
        <v>0</v>
      </c>
      <c r="H287" s="862">
        <v>5.2</v>
      </c>
      <c r="I287" s="862" t="str">
        <f>'6 Caissons Objets'!nbcal2</f>
        <v>Stratocell</v>
      </c>
      <c r="J287" s="862" t="s">
        <v>349</v>
      </c>
      <c r="K287" s="862">
        <f>'6 Caissons Objets'!hnec2-AA287</f>
        <v>0</v>
      </c>
      <c r="L287" s="862">
        <v>7</v>
      </c>
      <c r="M287" s="862" t="e">
        <f>'6 Caissons Objets'!nbcal2*4</f>
        <v>#VALUE!</v>
      </c>
      <c r="N287" s="862" t="str">
        <f>IF('6 Caissons Objets'!Typedemousse2="Stratocell 35 Kg","Stratocell 50 mm",IF('6 Caissons Objets'!Typedemousse2="Stratocell 65 Kg","Stratocell 50 mm 65 kg"))</f>
        <v>Stratocell 50 mm</v>
      </c>
      <c r="O287" s="862">
        <f>'6 Caissons Objets'!lanec2</f>
        <v>0</v>
      </c>
      <c r="P287" s="862">
        <f>'6 Caissons Objets'!hnec2-2.1-AA287</f>
        <v>-2.1</v>
      </c>
      <c r="Q287" s="862" t="str">
        <f>'6 Caissons Objets'!nbcal2</f>
        <v>Stratocell</v>
      </c>
      <c r="R287" s="862"/>
      <c r="S287" s="862"/>
      <c r="T287" s="862"/>
      <c r="U287" s="862"/>
      <c r="V287" s="862" t="str">
        <f>'6 Caissons Objets'!Base2</f>
        <v>Aucun</v>
      </c>
      <c r="W287" s="862">
        <f t="shared" si="110"/>
        <v>0</v>
      </c>
      <c r="X287" s="862">
        <f>VLOOKUP('6 Caissons Objets'!plat2,$A$214:$B$220,2)</f>
        <v>0</v>
      </c>
      <c r="Y287" s="862">
        <f>'6 Caissons Objets'!Lnec2</f>
        <v>0</v>
      </c>
      <c r="Z287" s="862">
        <f>'6 Caissons Objets'!lanec2</f>
        <v>0</v>
      </c>
      <c r="AA287" s="862">
        <f t="shared" si="111"/>
        <v>0</v>
      </c>
      <c r="AB287" s="862"/>
      <c r="AC287" s="862"/>
      <c r="AD287" s="862"/>
      <c r="AE287" s="862"/>
      <c r="AF287" s="862">
        <v>10.5</v>
      </c>
      <c r="AG287" s="862">
        <v>14</v>
      </c>
      <c r="AH287" s="862">
        <v>7</v>
      </c>
      <c r="AI287" s="862" t="s">
        <v>317</v>
      </c>
      <c r="AJ287" s="863" t="s">
        <v>321</v>
      </c>
    </row>
    <row r="288" spans="1:36" ht="18" hidden="1" customHeight="1" x14ac:dyDescent="0.35">
      <c r="A288" s="864" t="s">
        <v>329</v>
      </c>
      <c r="B288" s="865"/>
      <c r="C288" s="865"/>
      <c r="D288" s="865"/>
      <c r="E288" s="865"/>
      <c r="F288" s="862" t="s">
        <v>355</v>
      </c>
      <c r="G288" s="862">
        <f>'6 Caissons Objets'!lanec2</f>
        <v>0</v>
      </c>
      <c r="H288" s="862">
        <v>5.2</v>
      </c>
      <c r="I288" s="862" t="str">
        <f>'6 Caissons Objets'!nbcal2</f>
        <v>Stratocell</v>
      </c>
      <c r="J288" s="862" t="s">
        <v>349</v>
      </c>
      <c r="K288" s="862">
        <f>'6 Caissons Objets'!hnec2-AA288</f>
        <v>0</v>
      </c>
      <c r="L288" s="862">
        <v>7</v>
      </c>
      <c r="M288" s="862" t="e">
        <f>'6 Caissons Objets'!nbcal2*4</f>
        <v>#VALUE!</v>
      </c>
      <c r="N288" s="865" t="str">
        <f>IF('6 Caissons Objets'!Typedemousse2="Stratocell 35 Kg","Stratocell 50 mm",IF('6 Caissons Objets'!Typedemousse2="Stratocell 65 Kg","Stratocell 50 mm 65 kg"))</f>
        <v>Stratocell 50 mm</v>
      </c>
      <c r="O288" s="865">
        <f>'6 Caissons Objets'!lanec2</f>
        <v>0</v>
      </c>
      <c r="P288" s="865">
        <f>'6 Caissons Objets'!hnec2-2.1-AA288</f>
        <v>-2.1</v>
      </c>
      <c r="Q288" s="865" t="str">
        <f>'6 Caissons Objets'!nbcal2</f>
        <v>Stratocell</v>
      </c>
      <c r="R288" s="865" t="str">
        <f>IF('6 Caissons Objets'!Typedemousse2="Stratocell 35 Kg","Stratocell 50 mm",IF('6 Caissons Objets'!Typedemousse2="Stratocell 65 Kg","Stratocell 50 mm 65 kg"))</f>
        <v>Stratocell 50 mm</v>
      </c>
      <c r="S288" s="865">
        <f>'6 Caissons Objets'!Lnec2</f>
        <v>0</v>
      </c>
      <c r="T288" s="865">
        <f>D30+AA288</f>
        <v>0</v>
      </c>
      <c r="U288" s="865">
        <v>2</v>
      </c>
      <c r="V288" s="862" t="str">
        <f>'6 Caissons Objets'!Base2</f>
        <v>Aucun</v>
      </c>
      <c r="W288" s="865">
        <f t="shared" si="110"/>
        <v>0</v>
      </c>
      <c r="X288" s="862">
        <f>VLOOKUP('6 Caissons Objets'!plat2,$A$214:$B$220,2)</f>
        <v>0</v>
      </c>
      <c r="Y288" s="865">
        <f>'6 Caissons Objets'!Lnec2-10.2</f>
        <v>-10.199999999999999</v>
      </c>
      <c r="Z288" s="865">
        <f>'6 Caissons Objets'!lanec2-10.2</f>
        <v>-10.199999999999999</v>
      </c>
      <c r="AA288" s="865">
        <f t="shared" si="111"/>
        <v>0</v>
      </c>
      <c r="AB288" s="865" t="str">
        <f>IF('6 Caissons Objets'!Typedemousse2="Stratocell 35 Kg","Stratocell 50 mm",IF('6 Caissons Objets'!Typedemousse2="Stratocell 65 Kg","Stratocell 50 mm 65 kg"))</f>
        <v>Stratocell 50 mm</v>
      </c>
      <c r="AC288" s="865">
        <f>'6 Caissons Objets'!lanec2-VLOOKUP(C29,A276:AJ288,33)</f>
        <v>0</v>
      </c>
      <c r="AD288" s="865">
        <f>T288</f>
        <v>0</v>
      </c>
      <c r="AE288" s="865">
        <v>2</v>
      </c>
      <c r="AF288" s="865">
        <v>10.6</v>
      </c>
      <c r="AG288" s="865">
        <v>10.6</v>
      </c>
      <c r="AH288" s="865">
        <v>7</v>
      </c>
      <c r="AI288" s="865" t="s">
        <v>317</v>
      </c>
      <c r="AJ288" s="866" t="s">
        <v>321</v>
      </c>
    </row>
    <row r="289" spans="1:36" ht="18" hidden="1" customHeight="1" x14ac:dyDescent="0.35">
      <c r="A289" s="468"/>
      <c r="B289" s="468"/>
      <c r="C289" s="468"/>
      <c r="D289" s="468"/>
      <c r="E289" s="468"/>
      <c r="F289" s="468"/>
      <c r="G289" s="468"/>
      <c r="H289" s="468"/>
      <c r="I289" s="468"/>
      <c r="J289" s="468"/>
      <c r="K289" s="468"/>
      <c r="L289" s="468"/>
      <c r="M289" s="468"/>
      <c r="N289" s="468"/>
      <c r="O289" s="468"/>
      <c r="P289" s="468"/>
      <c r="Q289" s="468"/>
      <c r="R289" s="468"/>
      <c r="S289" s="468"/>
      <c r="T289" s="468"/>
      <c r="U289" s="468"/>
      <c r="V289" s="468"/>
      <c r="W289" s="468"/>
      <c r="X289" s="468"/>
      <c r="Y289" s="468"/>
      <c r="Z289" s="468"/>
      <c r="AA289" s="468"/>
      <c r="AB289" s="468"/>
      <c r="AC289" s="468"/>
      <c r="AD289" s="468"/>
      <c r="AE289" s="468"/>
      <c r="AF289" s="468"/>
      <c r="AG289" s="468"/>
      <c r="AH289" s="468"/>
      <c r="AI289" s="468"/>
      <c r="AJ289" s="468"/>
    </row>
    <row r="290" spans="1:36" ht="18" hidden="1" customHeight="1" x14ac:dyDescent="0.35">
      <c r="A290" s="480">
        <v>1</v>
      </c>
      <c r="B290" s="482">
        <f t="shared" ref="B290:V290" si="113">A290+1</f>
        <v>2</v>
      </c>
      <c r="C290" s="482">
        <f t="shared" si="113"/>
        <v>3</v>
      </c>
      <c r="D290" s="482">
        <f t="shared" si="113"/>
        <v>4</v>
      </c>
      <c r="E290" s="482">
        <f t="shared" si="113"/>
        <v>5</v>
      </c>
      <c r="F290" s="482">
        <f t="shared" si="113"/>
        <v>6</v>
      </c>
      <c r="G290" s="482">
        <f t="shared" si="113"/>
        <v>7</v>
      </c>
      <c r="H290" s="482">
        <f t="shared" si="113"/>
        <v>8</v>
      </c>
      <c r="I290" s="482">
        <f t="shared" si="113"/>
        <v>9</v>
      </c>
      <c r="J290" s="482">
        <f t="shared" si="113"/>
        <v>10</v>
      </c>
      <c r="K290" s="482">
        <f t="shared" si="113"/>
        <v>11</v>
      </c>
      <c r="L290" s="482">
        <f t="shared" si="113"/>
        <v>12</v>
      </c>
      <c r="M290" s="482">
        <f t="shared" si="113"/>
        <v>13</v>
      </c>
      <c r="N290" s="482">
        <f t="shared" si="113"/>
        <v>14</v>
      </c>
      <c r="O290" s="482">
        <f t="shared" si="113"/>
        <v>15</v>
      </c>
      <c r="P290" s="482">
        <f t="shared" si="113"/>
        <v>16</v>
      </c>
      <c r="Q290" s="482">
        <f t="shared" si="113"/>
        <v>17</v>
      </c>
      <c r="R290" s="482">
        <f t="shared" si="113"/>
        <v>18</v>
      </c>
      <c r="S290" s="482">
        <f t="shared" si="113"/>
        <v>19</v>
      </c>
      <c r="T290" s="482">
        <f t="shared" si="113"/>
        <v>20</v>
      </c>
      <c r="U290" s="482">
        <f t="shared" si="113"/>
        <v>21</v>
      </c>
      <c r="V290" s="482">
        <f t="shared" si="113"/>
        <v>22</v>
      </c>
      <c r="W290" s="482">
        <v>23</v>
      </c>
      <c r="X290" s="482">
        <v>24</v>
      </c>
      <c r="Y290" s="482">
        <v>25</v>
      </c>
      <c r="Z290" s="482">
        <f t="shared" ref="Z290:AG290" si="114">Y290+1</f>
        <v>26</v>
      </c>
      <c r="AA290" s="482">
        <f t="shared" si="114"/>
        <v>27</v>
      </c>
      <c r="AB290" s="482">
        <f t="shared" si="114"/>
        <v>28</v>
      </c>
      <c r="AC290" s="482">
        <f t="shared" si="114"/>
        <v>29</v>
      </c>
      <c r="AD290" s="482">
        <f t="shared" si="114"/>
        <v>30</v>
      </c>
      <c r="AE290" s="482">
        <f t="shared" si="114"/>
        <v>31</v>
      </c>
      <c r="AF290" s="482">
        <f t="shared" si="114"/>
        <v>32</v>
      </c>
      <c r="AG290" s="482">
        <f t="shared" si="114"/>
        <v>33</v>
      </c>
      <c r="AH290" s="482">
        <v>34</v>
      </c>
      <c r="AI290" s="482">
        <v>35</v>
      </c>
      <c r="AJ290" s="484">
        <v>36</v>
      </c>
    </row>
    <row r="291" spans="1:36" ht="18" hidden="1" customHeight="1" x14ac:dyDescent="0.35">
      <c r="A291" s="858" t="s">
        <v>382</v>
      </c>
      <c r="B291" s="504" t="s">
        <v>348</v>
      </c>
      <c r="C291" s="504" t="s">
        <v>28</v>
      </c>
      <c r="D291" s="504" t="s">
        <v>33</v>
      </c>
      <c r="E291" s="504" t="s">
        <v>34</v>
      </c>
      <c r="F291" s="504" t="s">
        <v>348</v>
      </c>
      <c r="G291" s="504" t="s">
        <v>28</v>
      </c>
      <c r="H291" s="504" t="s">
        <v>33</v>
      </c>
      <c r="I291" s="504" t="s">
        <v>34</v>
      </c>
      <c r="J291" s="504" t="s">
        <v>349</v>
      </c>
      <c r="K291" s="504" t="s">
        <v>28</v>
      </c>
      <c r="L291" s="504" t="s">
        <v>33</v>
      </c>
      <c r="M291" s="504" t="s">
        <v>34</v>
      </c>
      <c r="N291" s="504"/>
      <c r="O291" s="504" t="s">
        <v>28</v>
      </c>
      <c r="P291" s="504" t="s">
        <v>33</v>
      </c>
      <c r="Q291" s="504" t="s">
        <v>34</v>
      </c>
      <c r="R291" s="504"/>
      <c r="S291" s="504" t="s">
        <v>28</v>
      </c>
      <c r="T291" s="504" t="s">
        <v>33</v>
      </c>
      <c r="U291" s="504" t="s">
        <v>34</v>
      </c>
      <c r="V291" s="504" t="s">
        <v>308</v>
      </c>
      <c r="W291" s="504" t="s">
        <v>350</v>
      </c>
      <c r="X291" s="504" t="s">
        <v>351</v>
      </c>
      <c r="Y291" s="504" t="s">
        <v>28</v>
      </c>
      <c r="Z291" s="504" t="s">
        <v>33</v>
      </c>
      <c r="AA291" s="504" t="s">
        <v>269</v>
      </c>
      <c r="AB291" s="504"/>
      <c r="AC291" s="504" t="s">
        <v>28</v>
      </c>
      <c r="AD291" s="504" t="s">
        <v>33</v>
      </c>
      <c r="AE291" s="504" t="s">
        <v>34</v>
      </c>
      <c r="AF291" s="504" t="s">
        <v>495</v>
      </c>
      <c r="AG291" s="504" t="s">
        <v>33</v>
      </c>
      <c r="AH291" s="504" t="s">
        <v>30</v>
      </c>
      <c r="AI291" s="504" t="s">
        <v>321</v>
      </c>
      <c r="AJ291" s="859" t="s">
        <v>321</v>
      </c>
    </row>
    <row r="292" spans="1:36" ht="18" hidden="1" customHeight="1" x14ac:dyDescent="0.35">
      <c r="A292" s="860" t="s">
        <v>16</v>
      </c>
      <c r="B292" s="504">
        <v>0</v>
      </c>
      <c r="C292" s="504">
        <v>0</v>
      </c>
      <c r="D292" s="504">
        <v>0</v>
      </c>
      <c r="E292" s="504">
        <v>0</v>
      </c>
      <c r="F292" s="504">
        <v>0</v>
      </c>
      <c r="G292" s="504">
        <v>0</v>
      </c>
      <c r="H292" s="504">
        <v>0</v>
      </c>
      <c r="I292" s="504">
        <v>0</v>
      </c>
      <c r="J292" s="504">
        <v>0</v>
      </c>
      <c r="K292" s="504">
        <v>0</v>
      </c>
      <c r="L292" s="504">
        <v>0</v>
      </c>
      <c r="M292" s="504">
        <v>0</v>
      </c>
      <c r="N292" s="504">
        <v>0</v>
      </c>
      <c r="O292" s="504">
        <v>0</v>
      </c>
      <c r="P292" s="504">
        <v>0</v>
      </c>
      <c r="Q292" s="504">
        <v>0</v>
      </c>
      <c r="R292" s="504">
        <v>0</v>
      </c>
      <c r="S292" s="504">
        <v>0</v>
      </c>
      <c r="T292" s="504">
        <v>0</v>
      </c>
      <c r="U292" s="504">
        <v>0</v>
      </c>
      <c r="V292" s="504">
        <v>0</v>
      </c>
      <c r="W292" s="504">
        <v>0</v>
      </c>
      <c r="X292" s="504">
        <v>0</v>
      </c>
      <c r="Y292" s="504">
        <v>0</v>
      </c>
      <c r="Z292" s="504">
        <v>0</v>
      </c>
      <c r="AA292" s="504">
        <v>0</v>
      </c>
      <c r="AB292" s="504">
        <v>0</v>
      </c>
      <c r="AC292" s="504">
        <v>0</v>
      </c>
      <c r="AD292" s="504">
        <v>0</v>
      </c>
      <c r="AE292" s="504">
        <v>0</v>
      </c>
      <c r="AF292" s="504">
        <v>0</v>
      </c>
      <c r="AG292" s="504">
        <v>0</v>
      </c>
      <c r="AH292" s="504"/>
      <c r="AI292" s="504"/>
      <c r="AJ292" s="859"/>
    </row>
    <row r="293" spans="1:36" ht="18" hidden="1" customHeight="1" x14ac:dyDescent="0.35">
      <c r="A293" s="861" t="s">
        <v>319</v>
      </c>
      <c r="B293" s="862" t="s">
        <v>352</v>
      </c>
      <c r="C293" s="862">
        <f>'6 Caissons Objets'!Lnec3</f>
        <v>0</v>
      </c>
      <c r="D293" s="862">
        <v>9.3000000000000007</v>
      </c>
      <c r="E293" s="862">
        <f>'6 Caissons Objets'!nbcal3*2+1</f>
        <v>5</v>
      </c>
      <c r="F293" s="862" t="s">
        <v>353</v>
      </c>
      <c r="G293" s="862">
        <f>'6 Caissons Objets'!lanec3</f>
        <v>0</v>
      </c>
      <c r="H293" s="862">
        <v>9.3000000000000007</v>
      </c>
      <c r="I293" s="862">
        <f>'6 Caissons Objets'!nbcal3*2</f>
        <v>4</v>
      </c>
      <c r="J293" s="862"/>
      <c r="K293" s="862"/>
      <c r="L293" s="862"/>
      <c r="M293" s="862"/>
      <c r="N293" s="862" t="str">
        <f>IF('6 Caissons Objets'!Typedemousse3="Stratocell 35 Kg","Stratocell 50 mm",IF('6 Caissons Objets'!Typedemousse3="Stratocell 65 Kg","Stratocell 50 mm 65 kg"))</f>
        <v>Stratocell 50 mm</v>
      </c>
      <c r="O293" s="862">
        <f>'6 Caissons Objets'!Lnec3</f>
        <v>0</v>
      </c>
      <c r="P293" s="862">
        <f>IF('6 Caissons Objets'!hnec3&lt;200,9.3,14.4)</f>
        <v>9.3000000000000007</v>
      </c>
      <c r="Q293" s="862">
        <f>'6 Caissons Objets'!nbcal3*2+1</f>
        <v>5</v>
      </c>
      <c r="R293" s="862" t="str">
        <f>IF('6 Caissons Objets'!Typedemousse3="Stratocell 35 Kg","Stratocell 50 mm",IF('6 Caissons Objets'!Typedemousse3="Stratocell 65 Kg","Stratocell 50 mm 65 kg"))</f>
        <v>Stratocell 50 mm</v>
      </c>
      <c r="S293" s="862">
        <f>'6 Caissons Objets'!lanec3</f>
        <v>0</v>
      </c>
      <c r="T293" s="862">
        <f>IF('6 Caissons Objets'!hnec3&lt;200,9.3,14.4)</f>
        <v>9.3000000000000007</v>
      </c>
      <c r="U293" s="862">
        <f>'6 Caissons Objets'!nbcal3*2</f>
        <v>4</v>
      </c>
      <c r="V293" s="862" t="str">
        <f>'6 Caissons Objets'!Base3</f>
        <v>Stratocell 50 mm</v>
      </c>
      <c r="W293" s="862">
        <f t="shared" ref="W293:W304" si="115">VLOOKUP(V293,$A$222:$C$230,3)</f>
        <v>5.5</v>
      </c>
      <c r="X293" s="862">
        <f>VLOOKUP('6 Caissons Objets'!plat3,$A$214:$B$220,2)</f>
        <v>0</v>
      </c>
      <c r="Y293" s="862">
        <f>'6 Caissons Objets'!Lnec3</f>
        <v>0</v>
      </c>
      <c r="Z293" s="862">
        <f>'6 Caissons Objets'!lanec3</f>
        <v>0</v>
      </c>
      <c r="AA293" s="862">
        <f t="shared" ref="AA293:AA304" si="116">W293+X293</f>
        <v>5.5</v>
      </c>
      <c r="AB293" s="862"/>
      <c r="AC293" s="862"/>
      <c r="AD293" s="862"/>
      <c r="AE293" s="862"/>
      <c r="AF293" s="862">
        <v>14</v>
      </c>
      <c r="AG293" s="862">
        <v>14</v>
      </c>
      <c r="AH293" s="862">
        <v>7</v>
      </c>
      <c r="AI293" s="862" t="s">
        <v>317</v>
      </c>
      <c r="AJ293" s="863" t="s">
        <v>321</v>
      </c>
    </row>
    <row r="294" spans="1:36" ht="18" hidden="1" customHeight="1" x14ac:dyDescent="0.35">
      <c r="A294" s="861" t="s">
        <v>320</v>
      </c>
      <c r="B294" s="862"/>
      <c r="C294" s="862"/>
      <c r="D294" s="862"/>
      <c r="E294" s="862"/>
      <c r="F294" s="862"/>
      <c r="G294" s="862"/>
      <c r="H294" s="862"/>
      <c r="I294" s="862"/>
      <c r="J294" s="862"/>
      <c r="K294" s="862"/>
      <c r="L294" s="862"/>
      <c r="M294" s="862"/>
      <c r="N294" s="862">
        <f>IF('6 Caissons Objets'!nbcal3="PU","PU 30 mm",IF('6 Caissons Objets'!nbcal3="Stratocell","Stratocell 30 mm",0))</f>
        <v>0</v>
      </c>
      <c r="O294" s="862">
        <f>'6 Caissons Objets'!Lnec3</f>
        <v>0</v>
      </c>
      <c r="P294" s="862">
        <v>12</v>
      </c>
      <c r="Q294" s="862">
        <f>IF('6 Caissons Objets'!hnec3&lt;80,4,6)</f>
        <v>4</v>
      </c>
      <c r="R294" s="862">
        <f>IF('6 Caissons Objets'!nbcal3="PU","PU 30 mm",IF('6 Caissons Objets'!nbcal3="Stratocell","Stratocell 30 mm",0))</f>
        <v>0</v>
      </c>
      <c r="S294" s="862">
        <f>'6 Caissons Objets'!lanec3-6</f>
        <v>-6</v>
      </c>
      <c r="T294" s="862">
        <v>12</v>
      </c>
      <c r="U294" s="862">
        <f t="shared" ref="U294:U295" si="117">Q294</f>
        <v>4</v>
      </c>
      <c r="V294" s="862" t="str">
        <f>'6 Caissons Objets'!Base3</f>
        <v>Stratocell 50 mm</v>
      </c>
      <c r="W294" s="862">
        <f t="shared" si="115"/>
        <v>5.5</v>
      </c>
      <c r="X294" s="862">
        <f>VLOOKUP('6 Caissons Objets'!plat3,$A$214:$B$220,2)</f>
        <v>0</v>
      </c>
      <c r="Y294" s="862">
        <f>'6 Caissons Objets'!Lnec3</f>
        <v>0</v>
      </c>
      <c r="Z294" s="862">
        <f>'6 Caissons Objets'!lanec3</f>
        <v>0</v>
      </c>
      <c r="AA294" s="862">
        <f t="shared" si="116"/>
        <v>5.5</v>
      </c>
      <c r="AB294" s="862">
        <f>IF('6 Caissons Objets'!nbcal3="PU","PU 30 mm",IF('6 Caissons Objets'!nbcal3="Stratocell","Stratocell 30 mm",0))</f>
        <v>0</v>
      </c>
      <c r="AC294" s="862">
        <f>'6 Caissons Objets'!lanec3</f>
        <v>0</v>
      </c>
      <c r="AD294" s="862">
        <v>12</v>
      </c>
      <c r="AE294" s="862">
        <f>IF('6 Caissons Objets'!Lnec1&lt;100,3,4)</f>
        <v>3</v>
      </c>
      <c r="AF294" s="862" t="e">
        <f>VLOOKUP('6 Caissons Objets'!nbcal3,$A$238:$D$239,3)*2</f>
        <v>#N/A</v>
      </c>
      <c r="AG294" s="862" t="e">
        <f>VLOOKUP('6 Caissons Objets'!nbcal3,$A$238:$D$239,3)*2</f>
        <v>#N/A</v>
      </c>
      <c r="AH294" s="862" t="e">
        <f>VLOOKUP('6 Caissons Objets'!nbcal3,$A$238:$D$239,3)</f>
        <v>#N/A</v>
      </c>
      <c r="AI294" s="862" t="s">
        <v>321</v>
      </c>
      <c r="AJ294" s="863"/>
    </row>
    <row r="295" spans="1:36" ht="18" hidden="1" customHeight="1" x14ac:dyDescent="0.35">
      <c r="A295" s="861" t="s">
        <v>322</v>
      </c>
      <c r="B295" s="862"/>
      <c r="C295" s="862"/>
      <c r="D295" s="862"/>
      <c r="E295" s="862"/>
      <c r="F295" s="862"/>
      <c r="G295" s="862"/>
      <c r="H295" s="862"/>
      <c r="I295" s="862"/>
      <c r="J295" s="862"/>
      <c r="K295" s="862"/>
      <c r="L295" s="862"/>
      <c r="M295" s="862"/>
      <c r="N295" s="862">
        <f>IF('6 Caissons Objets'!nbcal3="PU","PU 50 mm",IF('6 Caissons Objets'!nbcal3="Stratocell","Stratocell 50 mm",0))</f>
        <v>0</v>
      </c>
      <c r="O295" s="862">
        <f>'6 Caissons Objets'!Lnec3</f>
        <v>0</v>
      </c>
      <c r="P295" s="862">
        <v>12</v>
      </c>
      <c r="Q295" s="862">
        <f>IF('6 Caissons Objets'!hnec3&lt;80,4,6)</f>
        <v>4</v>
      </c>
      <c r="R295" s="862">
        <f>IF('6 Caissons Objets'!nbcal3="PU","PU 50 mm",IF('6 Caissons Objets'!nbcal3="Stratocell","Stratocell 50 mm",0))</f>
        <v>0</v>
      </c>
      <c r="S295" s="862">
        <f>'6 Caissons Objets'!lanec3-10</f>
        <v>-10</v>
      </c>
      <c r="T295" s="862">
        <v>12</v>
      </c>
      <c r="U295" s="862">
        <f t="shared" si="117"/>
        <v>4</v>
      </c>
      <c r="V295" s="862" t="str">
        <f>'6 Caissons Objets'!Base3</f>
        <v>Stratocell 50 mm</v>
      </c>
      <c r="W295" s="862">
        <f t="shared" si="115"/>
        <v>5.5</v>
      </c>
      <c r="X295" s="862">
        <f>VLOOKUP('6 Caissons Objets'!plat3,$A$214:$B$220,2)</f>
        <v>0</v>
      </c>
      <c r="Y295" s="862">
        <f>'6 Caissons Objets'!Lnec3</f>
        <v>0</v>
      </c>
      <c r="Z295" s="862">
        <f>'6 Caissons Objets'!lanec3</f>
        <v>0</v>
      </c>
      <c r="AA295" s="862">
        <f t="shared" si="116"/>
        <v>5.5</v>
      </c>
      <c r="AB295" s="862">
        <f>IF('6 Caissons Objets'!nbcal3="PU","PU 50 mm",IF('6 Caissons Objets'!nbcal3="Stratocell","Stratocell 50 mm",0))</f>
        <v>0</v>
      </c>
      <c r="AC295" s="862">
        <f>'6 Caissons Objets'!lanec3</f>
        <v>0</v>
      </c>
      <c r="AD295" s="862">
        <v>12</v>
      </c>
      <c r="AE295" s="862">
        <f>IF('6 Caissons Objets'!Lnec1&lt;100,3,4)</f>
        <v>3</v>
      </c>
      <c r="AF295" s="862" t="e">
        <f>VLOOKUP('6 Caissons Objets'!nbcal3,$A$238:$D$239,4)*2</f>
        <v>#N/A</v>
      </c>
      <c r="AG295" s="862" t="e">
        <f>VLOOKUP('6 Caissons Objets'!nbcal3,$A$238:$D$239,4)*2</f>
        <v>#N/A</v>
      </c>
      <c r="AH295" s="862" t="e">
        <f>VLOOKUP('6 Caissons Objets'!nbcal3,$A$238:$D$239,4)</f>
        <v>#N/A</v>
      </c>
      <c r="AI295" s="862" t="s">
        <v>321</v>
      </c>
      <c r="AJ295" s="863"/>
    </row>
    <row r="296" spans="1:36" ht="18" hidden="1" customHeight="1" x14ac:dyDescent="0.35">
      <c r="A296" s="533" t="s">
        <v>496</v>
      </c>
      <c r="B296" s="862"/>
      <c r="C296" s="862"/>
      <c r="D296" s="862"/>
      <c r="E296" s="862"/>
      <c r="F296" s="862"/>
      <c r="G296" s="862"/>
      <c r="H296" s="862"/>
      <c r="I296" s="862"/>
      <c r="J296" s="862"/>
      <c r="K296" s="862"/>
      <c r="L296" s="862"/>
      <c r="M296" s="862"/>
      <c r="N296" s="862">
        <f>IF('6 Caissons Objets'!nbcal3="PU","PU 50 mm",IF('6 Caissons Objets'!nbcal3="Stratocell","Stratocell 50 mm",0))</f>
        <v>0</v>
      </c>
      <c r="O296" s="862">
        <f>'6 Caissons Objets'!Lnec3</f>
        <v>0</v>
      </c>
      <c r="P296" s="862">
        <f>'6 Caissons Objets'!lanec3</f>
        <v>0</v>
      </c>
      <c r="Q296" s="862">
        <f>('6 Caissons Objets'!hnec3 -AA296)/5</f>
        <v>-1.1000000000000001</v>
      </c>
      <c r="R296" s="862"/>
      <c r="S296" s="862"/>
      <c r="T296" s="862"/>
      <c r="U296" s="862"/>
      <c r="V296" s="862" t="str">
        <f>'6 Caissons Objets'!Base3</f>
        <v>Stratocell 50 mm</v>
      </c>
      <c r="W296" s="862">
        <f t="shared" si="115"/>
        <v>5.5</v>
      </c>
      <c r="X296" s="862">
        <f>VLOOKUP('6 Caissons Objets'!plat3,$A$214:$B$220,2)</f>
        <v>0</v>
      </c>
      <c r="Y296" s="862">
        <f>'6 Caissons Objets'!Lnec3</f>
        <v>0</v>
      </c>
      <c r="Z296" s="862">
        <f>'6 Caissons Objets'!lanec3</f>
        <v>0</v>
      </c>
      <c r="AA296" s="862">
        <f t="shared" si="116"/>
        <v>5.5</v>
      </c>
      <c r="AB296" s="862"/>
      <c r="AC296" s="862"/>
      <c r="AD296" s="862"/>
      <c r="AE296" s="862"/>
      <c r="AF296" s="862" t="e">
        <f>VLOOKUP('6 Caissons Objets'!nbcal3,$A$238:$D$239,4)*2</f>
        <v>#N/A</v>
      </c>
      <c r="AG296" s="862" t="e">
        <f>VLOOKUP('6 Caissons Objets'!nbcal3,$A$238:$D$239,4)*2</f>
        <v>#N/A</v>
      </c>
      <c r="AH296" s="862" t="e">
        <f>VLOOKUP('6 Caissons Objets'!nbcal3,$A$238:$D$239,4)</f>
        <v>#N/A</v>
      </c>
      <c r="AI296" s="862" t="s">
        <v>321</v>
      </c>
      <c r="AJ296" s="863"/>
    </row>
    <row r="297" spans="1:36" ht="18" hidden="1" customHeight="1" x14ac:dyDescent="0.35">
      <c r="A297" s="861" t="s">
        <v>324</v>
      </c>
      <c r="B297" s="862"/>
      <c r="C297" s="862"/>
      <c r="D297" s="862"/>
      <c r="E297" s="862"/>
      <c r="F297" s="862"/>
      <c r="G297" s="862"/>
      <c r="H297" s="862"/>
      <c r="I297" s="862"/>
      <c r="J297" s="862"/>
      <c r="K297" s="862"/>
      <c r="L297" s="862"/>
      <c r="M297" s="862"/>
      <c r="N297" s="862">
        <f>IF('6 Caissons Objets'!nbcal3="PU","PU 50 mm",IF('6 Caissons Objets'!nbcal3="Stratocell","Stratocell 50 mm",0))</f>
        <v>0</v>
      </c>
      <c r="O297" s="862">
        <f>'6 Caissons Objets'!Lnec3-0.3</f>
        <v>-0.3</v>
      </c>
      <c r="P297" s="862">
        <f>'6 Caissons Objets'!lanec3-0.3</f>
        <v>-0.3</v>
      </c>
      <c r="Q297" s="862">
        <f>('6 Caissons Objets'!hnec3-AA297)/5</f>
        <v>-1.1000000000000001</v>
      </c>
      <c r="R297" s="862"/>
      <c r="S297" s="862"/>
      <c r="T297" s="862"/>
      <c r="U297" s="862"/>
      <c r="V297" s="862" t="str">
        <f>'6 Caissons Objets'!Base3</f>
        <v>Stratocell 50 mm</v>
      </c>
      <c r="W297" s="862">
        <f t="shared" si="115"/>
        <v>5.5</v>
      </c>
      <c r="X297" s="862">
        <f>VLOOKUP('6 Caissons Objets'!plat3,$A$214:$B$220,2)</f>
        <v>0</v>
      </c>
      <c r="Y297" s="862">
        <f>'6 Caissons Objets'!Lnec3</f>
        <v>0</v>
      </c>
      <c r="Z297" s="862">
        <f>'6 Caissons Objets'!lanec3</f>
        <v>0</v>
      </c>
      <c r="AA297" s="862">
        <f t="shared" si="116"/>
        <v>5.5</v>
      </c>
      <c r="AB297" s="862"/>
      <c r="AC297" s="862"/>
      <c r="AD297" s="862"/>
      <c r="AE297" s="862"/>
      <c r="AF297" s="862" t="e">
        <f>VLOOKUP('6 Caissons Objets'!nbcal3,$A$238:$D$239,4)*2</f>
        <v>#N/A</v>
      </c>
      <c r="AG297" s="862" t="e">
        <f>VLOOKUP('6 Caissons Objets'!nbcal3,$A$238:$D$239,4)*2</f>
        <v>#N/A</v>
      </c>
      <c r="AH297" s="862" t="e">
        <f>VLOOKUP('6 Caissons Objets'!nbcal3,$A$238:$D$239,4)</f>
        <v>#N/A</v>
      </c>
      <c r="AI297" s="862" t="s">
        <v>321</v>
      </c>
      <c r="AJ297" s="863"/>
    </row>
    <row r="298" spans="1:36" ht="18" hidden="1" customHeight="1" x14ac:dyDescent="0.35">
      <c r="A298" s="861" t="s">
        <v>325</v>
      </c>
      <c r="B298" s="862"/>
      <c r="C298" s="862"/>
      <c r="D298" s="862"/>
      <c r="E298" s="862"/>
      <c r="F298" s="862"/>
      <c r="G298" s="862"/>
      <c r="H298" s="862"/>
      <c r="I298" s="862"/>
      <c r="J298" s="862"/>
      <c r="K298" s="862"/>
      <c r="L298" s="862"/>
      <c r="M298" s="862"/>
      <c r="N298" s="862">
        <f>IF('6 Caissons Objets'!nbcal3="PU","PU 50 mm",IF('6 Caissons Objets'!nbcal3="Stratocell","Stratocell 50 mm",0))</f>
        <v>0</v>
      </c>
      <c r="O298" s="862">
        <f>'6 Caissons Objets'!Lnec3-0.3</f>
        <v>-0.3</v>
      </c>
      <c r="P298" s="862">
        <f>'6 Caissons Objets'!hnec3-AA298</f>
        <v>-5.5</v>
      </c>
      <c r="Q298" s="862">
        <f>'6 Caissons Objets'!lanec3/5</f>
        <v>0</v>
      </c>
      <c r="R298" s="862"/>
      <c r="S298" s="862"/>
      <c r="T298" s="862"/>
      <c r="U298" s="862"/>
      <c r="V298" s="862" t="str">
        <f>'6 Caissons Objets'!Base3</f>
        <v>Stratocell 50 mm</v>
      </c>
      <c r="W298" s="862">
        <f t="shared" si="115"/>
        <v>5.5</v>
      </c>
      <c r="X298" s="862">
        <f>VLOOKUP('6 Caissons Objets'!plat3,$A$214:$B$220,2)</f>
        <v>0</v>
      </c>
      <c r="Y298" s="862">
        <f>'6 Caissons Objets'!Lnec3</f>
        <v>0</v>
      </c>
      <c r="Z298" s="862">
        <f>'6 Caissons Objets'!lanec3</f>
        <v>0</v>
      </c>
      <c r="AA298" s="862">
        <f t="shared" si="116"/>
        <v>5.5</v>
      </c>
      <c r="AB298" s="862"/>
      <c r="AC298" s="862"/>
      <c r="AD298" s="862"/>
      <c r="AE298" s="862"/>
      <c r="AF298" s="862" t="e">
        <f>VLOOKUP('6 Caissons Objets'!nbcal3,$A$238:$D$239,4)*2</f>
        <v>#N/A</v>
      </c>
      <c r="AG298" s="862" t="e">
        <f>VLOOKUP('6 Caissons Objets'!nbcal3,$A$238:$D$239,4)*2</f>
        <v>#N/A</v>
      </c>
      <c r="AH298" s="862" t="e">
        <f>VLOOKUP('6 Caissons Objets'!nbcal3,$A$238:$D$239,4)</f>
        <v>#N/A</v>
      </c>
      <c r="AI298" s="862" t="s">
        <v>321</v>
      </c>
      <c r="AJ298" s="863"/>
    </row>
    <row r="299" spans="1:36" ht="18" hidden="1" customHeight="1" x14ac:dyDescent="0.35">
      <c r="A299" s="861" t="s">
        <v>497</v>
      </c>
      <c r="B299" s="862"/>
      <c r="C299" s="862"/>
      <c r="D299" s="862"/>
      <c r="E299" s="862"/>
      <c r="F299" s="862"/>
      <c r="G299" s="862"/>
      <c r="H299" s="862"/>
      <c r="I299" s="862"/>
      <c r="J299" s="862"/>
      <c r="K299" s="862"/>
      <c r="L299" s="862"/>
      <c r="M299" s="862"/>
      <c r="N299" s="862">
        <f>IF('6 Caissons Objets'!nbcal3="PU","PU 20 mm",IF('6 Caissons Objets'!nbcal3="Stratocell","Stratocell 20 mm",0))</f>
        <v>0</v>
      </c>
      <c r="O299" s="862">
        <f>'6 Caissons Objets'!Lnec3</f>
        <v>0</v>
      </c>
      <c r="P299" s="862">
        <f>'6 Caissons Objets'!lanec3</f>
        <v>0</v>
      </c>
      <c r="Q299" s="862">
        <v>1</v>
      </c>
      <c r="R299" s="862">
        <f>IF('6 Caissons Objets'!nbcal3="PU","PU 20 mm",IF('6 Caissons Objets'!nbcal3="Stratocell","Stratocell 20 mm",0))</f>
        <v>0</v>
      </c>
      <c r="S299" s="862">
        <f>'6 Caissons Objets'!Lnec3</f>
        <v>0</v>
      </c>
      <c r="T299" s="862">
        <f>'6 Caissons Objets'!hnec3-5-AA299</f>
        <v>-10.5</v>
      </c>
      <c r="U299" s="862">
        <v>2</v>
      </c>
      <c r="V299" s="862" t="str">
        <f>'6 Caissons Objets'!Base3</f>
        <v>Stratocell 50 mm</v>
      </c>
      <c r="W299" s="862">
        <f t="shared" si="115"/>
        <v>5.5</v>
      </c>
      <c r="X299" s="862">
        <f>VLOOKUP('6 Caissons Objets'!plat3,$A$214:$B$220,2)</f>
        <v>0</v>
      </c>
      <c r="Y299" s="862">
        <f>'6 Caissons Objets'!Lnec3</f>
        <v>0</v>
      </c>
      <c r="Z299" s="862">
        <f>'6 Caissons Objets'!lanec3</f>
        <v>0</v>
      </c>
      <c r="AA299" s="862">
        <f t="shared" si="116"/>
        <v>5.5</v>
      </c>
      <c r="AB299" s="862">
        <f>IF('6 Caissons Objets'!nbcal3="PU","PU 20 mm",IF('6 Caissons Objets'!nbcal3="Stratocell","Stratocell 20 mm",0))</f>
        <v>0</v>
      </c>
      <c r="AC299" s="862" t="e">
        <f>'6 Caissons Objets'!lanec1-AF299</f>
        <v>#N/A</v>
      </c>
      <c r="AD299" s="862">
        <f>'6 Caissons Objets'!hnec1-2.2-AA299</f>
        <v>-7.7</v>
      </c>
      <c r="AE299" s="862">
        <v>2</v>
      </c>
      <c r="AF299" s="862" t="e">
        <f>VLOOKUP('6 Caissons Objets'!nbcal3,$A$238:$D$239,2)*2</f>
        <v>#N/A</v>
      </c>
      <c r="AG299" s="862" t="e">
        <f>VLOOKUP('6 Caissons Objets'!nbcal3,$A$238:$D$239,2)*2</f>
        <v>#N/A</v>
      </c>
      <c r="AH299" s="862" t="e">
        <f>VLOOKUP('6 Caissons Objets'!nbcal3,$A$238:$D$239,2)</f>
        <v>#N/A</v>
      </c>
      <c r="AI299" s="862" t="s">
        <v>321</v>
      </c>
      <c r="AJ299" s="863"/>
    </row>
    <row r="300" spans="1:36" ht="18" hidden="1" customHeight="1" x14ac:dyDescent="0.35">
      <c r="A300" s="861" t="s">
        <v>498</v>
      </c>
      <c r="B300" s="862"/>
      <c r="C300" s="862"/>
      <c r="D300" s="862"/>
      <c r="E300" s="862"/>
      <c r="F300" s="862"/>
      <c r="G300" s="862"/>
      <c r="H300" s="862"/>
      <c r="I300" s="862"/>
      <c r="J300" s="862"/>
      <c r="K300" s="862"/>
      <c r="L300" s="862"/>
      <c r="M300" s="862"/>
      <c r="N300" s="862">
        <f>IF('6 Caissons Objets'!nbcal3="PU","PU 30 mm",IF('6 Caissons Objets'!nbcal3="Stratocell","Stratocell 30 mm",0))</f>
        <v>0</v>
      </c>
      <c r="O300" s="862">
        <f>'6 Caissons Objets'!Lnec3</f>
        <v>0</v>
      </c>
      <c r="P300" s="862">
        <f>'6 Caissons Objets'!lanec3</f>
        <v>0</v>
      </c>
      <c r="Q300" s="862">
        <v>1</v>
      </c>
      <c r="R300" s="862">
        <f>IF('6 Caissons Objets'!nbcal3="PU","PU 30 mm",IF('6 Caissons Objets'!nbcal3="Stratocell","Stratocell 30 mm",0))</f>
        <v>0</v>
      </c>
      <c r="S300" s="862">
        <f>'6 Caissons Objets'!Lnec3</f>
        <v>0</v>
      </c>
      <c r="T300" s="862">
        <f>'6 Caissons Objets'!hnec3-3-AA300</f>
        <v>-8.5</v>
      </c>
      <c r="U300" s="862">
        <v>2</v>
      </c>
      <c r="V300" s="862" t="str">
        <f>'6 Caissons Objets'!Base3</f>
        <v>Stratocell 50 mm</v>
      </c>
      <c r="W300" s="862">
        <f t="shared" si="115"/>
        <v>5.5</v>
      </c>
      <c r="X300" s="862">
        <f>VLOOKUP('6 Caissons Objets'!plat3,$A$214:$B$220,2)</f>
        <v>0</v>
      </c>
      <c r="Y300" s="862">
        <f>'6 Caissons Objets'!Lnec3</f>
        <v>0</v>
      </c>
      <c r="Z300" s="862">
        <f>'6 Caissons Objets'!lanec3</f>
        <v>0</v>
      </c>
      <c r="AA300" s="862">
        <f t="shared" si="116"/>
        <v>5.5</v>
      </c>
      <c r="AB300" s="862">
        <f>IF('6 Caissons Objets'!nbcal3="PU","PU 30 mm",IF('6 Caissons Objets'!nbcal3="Stratocell","Stratocell 30 mm",0))</f>
        <v>0</v>
      </c>
      <c r="AC300" s="862" t="e">
        <f>'6 Caissons Objets'!lanec1-AF300</f>
        <v>#N/A</v>
      </c>
      <c r="AD300" s="862">
        <f>'6 Caissons Objets'!hnec1-3.2-AA300</f>
        <v>-8.6999999999999993</v>
      </c>
      <c r="AE300" s="862">
        <v>2</v>
      </c>
      <c r="AF300" s="862" t="e">
        <f>VLOOKUP('6 Caissons Objets'!nbcal3,$A$238:$D$239,3)*2</f>
        <v>#N/A</v>
      </c>
      <c r="AG300" s="862" t="e">
        <f>VLOOKUP('6 Caissons Objets'!nbcal3,$A$238:$D$239,3)*2</f>
        <v>#N/A</v>
      </c>
      <c r="AH300" s="862" t="e">
        <f>VLOOKUP('6 Caissons Objets'!nbcal3,$A$238:$D$239,3)</f>
        <v>#N/A</v>
      </c>
      <c r="AI300" s="862" t="s">
        <v>321</v>
      </c>
      <c r="AJ300" s="863"/>
    </row>
    <row r="301" spans="1:36" ht="18" hidden="1" customHeight="1" x14ac:dyDescent="0.35">
      <c r="A301" s="861" t="s">
        <v>479</v>
      </c>
      <c r="B301" s="862"/>
      <c r="C301" s="862"/>
      <c r="D301" s="862"/>
      <c r="E301" s="862"/>
      <c r="F301" s="862"/>
      <c r="G301" s="862"/>
      <c r="H301" s="862"/>
      <c r="I301" s="862"/>
      <c r="J301" s="862"/>
      <c r="K301" s="862"/>
      <c r="L301" s="862"/>
      <c r="M301" s="862"/>
      <c r="N301" s="862">
        <f>IF('6 Caissons Objets'!nbcal3="PU","PU 50 mm",IF('6 Caissons Objets'!nbcal3="Stratocell","Stratocell 50 mm",0))</f>
        <v>0</v>
      </c>
      <c r="O301" s="862">
        <f>'6 Caissons Objets'!Lnec3</f>
        <v>0</v>
      </c>
      <c r="P301" s="862">
        <f>'6 Caissons Objets'!lanec3</f>
        <v>0</v>
      </c>
      <c r="Q301" s="862">
        <v>1</v>
      </c>
      <c r="R301" s="862">
        <f>IF('6 Caissons Objets'!nbcal3="PU","PU 50 mm",IF('6 Caissons Objets'!nbcal3="Stratocell","Stratocell 50 mm",0))</f>
        <v>0</v>
      </c>
      <c r="S301" s="862">
        <f>'6 Caissons Objets'!Lnec3</f>
        <v>0</v>
      </c>
      <c r="T301" s="862">
        <f>'6 Caissons Objets'!hnec3-5-AA301</f>
        <v>-10.5</v>
      </c>
      <c r="U301" s="862">
        <v>2</v>
      </c>
      <c r="V301" s="862" t="str">
        <f>'6 Caissons Objets'!Base3</f>
        <v>Stratocell 50 mm</v>
      </c>
      <c r="W301" s="862">
        <f t="shared" si="115"/>
        <v>5.5</v>
      </c>
      <c r="X301" s="862">
        <f>VLOOKUP('6 Caissons Objets'!plat3,$A$214:$B$220,2)</f>
        <v>0</v>
      </c>
      <c r="Y301" s="862">
        <f>'6 Caissons Objets'!Lnec3</f>
        <v>0</v>
      </c>
      <c r="Z301" s="862">
        <f>'6 Caissons Objets'!lanec3</f>
        <v>0</v>
      </c>
      <c r="AA301" s="862">
        <f t="shared" si="116"/>
        <v>5.5</v>
      </c>
      <c r="AB301" s="862">
        <f>IF('6 Caissons Objets'!nbcal3="PU","PU 50 mm",IF('6 Caissons Objets'!nbcal3="Stratocell","Stratocell 50 mm",0))</f>
        <v>0</v>
      </c>
      <c r="AC301" s="862" t="e">
        <f>'6 Caissons Objets'!lanec1-AF301</f>
        <v>#N/A</v>
      </c>
      <c r="AD301" s="862">
        <f>'6 Caissons Objets'!hnec1-5.3-AA301</f>
        <v>-10.8</v>
      </c>
      <c r="AE301" s="862">
        <v>2</v>
      </c>
      <c r="AF301" s="862" t="e">
        <f>VLOOKUP('6 Caissons Objets'!nbcal3,$A$238:$D$239,4)*2</f>
        <v>#N/A</v>
      </c>
      <c r="AG301" s="862" t="e">
        <f>VLOOKUP('6 Caissons Objets'!nbcal3,$A$238:$D$239,4)*2</f>
        <v>#N/A</v>
      </c>
      <c r="AH301" s="862" t="e">
        <f>VLOOKUP('6 Caissons Objets'!nbcal3,$A$238:$D$239,4)</f>
        <v>#N/A</v>
      </c>
      <c r="AI301" s="862" t="s">
        <v>321</v>
      </c>
      <c r="AJ301" s="863"/>
    </row>
    <row r="302" spans="1:36" ht="18" hidden="1" customHeight="1" x14ac:dyDescent="0.35">
      <c r="A302" s="861" t="s">
        <v>326</v>
      </c>
      <c r="B302" s="862" t="s">
        <v>354</v>
      </c>
      <c r="C302" s="862">
        <f>'6 Caissons Objets'!Lnec3</f>
        <v>0</v>
      </c>
      <c r="D302" s="862">
        <v>9.3000000000000007</v>
      </c>
      <c r="E302" s="862">
        <f>1</f>
        <v>1</v>
      </c>
      <c r="F302" s="862" t="s">
        <v>355</v>
      </c>
      <c r="G302" s="862">
        <f>'6 Caissons Objets'!Lnec3</f>
        <v>0</v>
      </c>
      <c r="H302" s="862">
        <v>5.2</v>
      </c>
      <c r="I302" s="862">
        <f>'6 Caissons Objets'!nbcal3*2</f>
        <v>4</v>
      </c>
      <c r="J302" s="862" t="s">
        <v>349</v>
      </c>
      <c r="K302" s="862">
        <f>'6 Caissons Objets'!lanec3</f>
        <v>0</v>
      </c>
      <c r="L302" s="862">
        <v>7</v>
      </c>
      <c r="M302" s="862">
        <f>'6 Caissons Objets'!nbcal3*4</f>
        <v>8</v>
      </c>
      <c r="N302" s="862" t="str">
        <f>IF('6 Caissons Objets'!Typedemousse3="Stratocell 35 Kg","Stratocell 50 mm",IF('6 Caissons Objets'!Typedemousse3="Stratocell 65 Kg","Stratocell 50 mm 65 kg"))</f>
        <v>Stratocell 50 mm</v>
      </c>
      <c r="O302" s="862">
        <f>'6 Caissons Objets'!Lnec3</f>
        <v>0</v>
      </c>
      <c r="P302" s="862">
        <f>('6 Caissons Objets'!lanec3-4.2)/2</f>
        <v>-2.1</v>
      </c>
      <c r="Q302" s="862">
        <f>'6 Caissons Objets'!nbcal3*2</f>
        <v>4</v>
      </c>
      <c r="R302" s="862" t="str">
        <f>IF('6 Caissons Objets'!Typedemousse3="Stratocell 35 Kg","Stratocell 50 mm",IF('6 Caissons Objets'!Typedemousse3="Stratocell 65 Kg","Stratocell 50 mm 65 kg"))</f>
        <v>Stratocell 50 mm</v>
      </c>
      <c r="S302" s="862">
        <f>'6 Caissons Objets'!lanec3</f>
        <v>0</v>
      </c>
      <c r="T302" s="862">
        <f>IF('6 Caissons Objets'!hnec3&lt;120,9.3,14.4)</f>
        <v>9.3000000000000007</v>
      </c>
      <c r="U302" s="862">
        <f>1</f>
        <v>1</v>
      </c>
      <c r="V302" s="862" t="str">
        <f>'6 Caissons Objets'!Base3</f>
        <v>Stratocell 50 mm</v>
      </c>
      <c r="W302" s="862">
        <f t="shared" si="115"/>
        <v>5.5</v>
      </c>
      <c r="X302" s="862">
        <f>VLOOKUP('6 Caissons Objets'!plat3,$A$214:$B$220,2)</f>
        <v>0</v>
      </c>
      <c r="Y302" s="862">
        <f>'6 Caissons Objets'!Lnec3</f>
        <v>0</v>
      </c>
      <c r="Z302" s="862">
        <f>'6 Caissons Objets'!lanec3</f>
        <v>0</v>
      </c>
      <c r="AA302" s="862">
        <f t="shared" si="116"/>
        <v>5.5</v>
      </c>
      <c r="AB302" s="862"/>
      <c r="AC302" s="862"/>
      <c r="AD302" s="862"/>
      <c r="AE302" s="862"/>
      <c r="AF302" s="862">
        <v>14</v>
      </c>
      <c r="AG302" s="862">
        <v>14</v>
      </c>
      <c r="AH302" s="862">
        <v>7</v>
      </c>
      <c r="AI302" s="862" t="s">
        <v>317</v>
      </c>
      <c r="AJ302" s="863" t="s">
        <v>321</v>
      </c>
    </row>
    <row r="303" spans="1:36" ht="18" hidden="1" customHeight="1" x14ac:dyDescent="0.35">
      <c r="A303" s="861" t="s">
        <v>328</v>
      </c>
      <c r="B303" s="862"/>
      <c r="C303" s="862"/>
      <c r="D303" s="862"/>
      <c r="E303" s="862"/>
      <c r="F303" s="862" t="s">
        <v>355</v>
      </c>
      <c r="G303" s="862">
        <f>'6 Caissons Objets'!lanec3</f>
        <v>0</v>
      </c>
      <c r="H303" s="862">
        <v>5.2</v>
      </c>
      <c r="I303" s="862">
        <f>'6 Caissons Objets'!nbcal3</f>
        <v>2</v>
      </c>
      <c r="J303" s="862" t="s">
        <v>349</v>
      </c>
      <c r="K303" s="862">
        <f>'6 Caissons Objets'!hnec3-AA303</f>
        <v>-5.5</v>
      </c>
      <c r="L303" s="862">
        <v>7</v>
      </c>
      <c r="M303" s="862">
        <f>'6 Caissons Objets'!nbcal3*4</f>
        <v>8</v>
      </c>
      <c r="N303" s="862" t="str">
        <f>IF('6 Caissons Objets'!Typedemousse3="Stratocell 35 Kg","Stratocell 50 mm",IF('6 Caissons Objets'!Typedemousse3="Stratocell 65 Kg","Stratocell 50 mm 65 kg"))</f>
        <v>Stratocell 50 mm</v>
      </c>
      <c r="O303" s="862">
        <f>'6 Caissons Objets'!lanec3</f>
        <v>0</v>
      </c>
      <c r="P303" s="862">
        <f>'6 Caissons Objets'!hnec3-2.1-AA303</f>
        <v>-7.6</v>
      </c>
      <c r="Q303" s="862">
        <f>'6 Caissons Objets'!nbcal3</f>
        <v>2</v>
      </c>
      <c r="R303" s="862"/>
      <c r="S303" s="862"/>
      <c r="T303" s="862"/>
      <c r="U303" s="862"/>
      <c r="V303" s="862" t="str">
        <f>'6 Caissons Objets'!Base3</f>
        <v>Stratocell 50 mm</v>
      </c>
      <c r="W303" s="862">
        <f t="shared" si="115"/>
        <v>5.5</v>
      </c>
      <c r="X303" s="862">
        <f>VLOOKUP('6 Caissons Objets'!plat3,$A$214:$B$220,2)</f>
        <v>0</v>
      </c>
      <c r="Y303" s="862">
        <f>'6 Caissons Objets'!Lnec3</f>
        <v>0</v>
      </c>
      <c r="Z303" s="862">
        <f>'6 Caissons Objets'!lanec3</f>
        <v>0</v>
      </c>
      <c r="AA303" s="862">
        <f t="shared" si="116"/>
        <v>5.5</v>
      </c>
      <c r="AB303" s="862"/>
      <c r="AC303" s="862"/>
      <c r="AD303" s="862"/>
      <c r="AE303" s="862"/>
      <c r="AF303" s="862">
        <v>14</v>
      </c>
      <c r="AG303" s="862">
        <v>14</v>
      </c>
      <c r="AH303" s="862">
        <v>7</v>
      </c>
      <c r="AI303" s="862" t="s">
        <v>317</v>
      </c>
      <c r="AJ303" s="863" t="s">
        <v>321</v>
      </c>
    </row>
    <row r="304" spans="1:36" ht="18" hidden="1" customHeight="1" x14ac:dyDescent="0.35">
      <c r="A304" s="864" t="s">
        <v>329</v>
      </c>
      <c r="B304" s="865"/>
      <c r="C304" s="865"/>
      <c r="D304" s="865"/>
      <c r="E304" s="865"/>
      <c r="F304" s="862" t="s">
        <v>355</v>
      </c>
      <c r="G304" s="862">
        <f>'6 Caissons Objets'!lanec3</f>
        <v>0</v>
      </c>
      <c r="H304" s="862">
        <v>5.2</v>
      </c>
      <c r="I304" s="862">
        <f>'6 Caissons Objets'!nbcal3</f>
        <v>2</v>
      </c>
      <c r="J304" s="862" t="s">
        <v>349</v>
      </c>
      <c r="K304" s="862">
        <f>'6 Caissons Objets'!hnec3-AA304</f>
        <v>-5.5</v>
      </c>
      <c r="L304" s="862">
        <v>7</v>
      </c>
      <c r="M304" s="862">
        <f>'6 Caissons Objets'!nbcal3*4</f>
        <v>8</v>
      </c>
      <c r="N304" s="865" t="str">
        <f>IF('6 Caissons Objets'!Typedemousse3="Stratocell 35 Kg","Stratocell 50 mm",IF('6 Caissons Objets'!Typedemousse3="Stratocell 65 Kg","Stratocell 50 mm 65 kg"))</f>
        <v>Stratocell 50 mm</v>
      </c>
      <c r="O304" s="865">
        <f>'6 Caissons Objets'!lanec3</f>
        <v>0</v>
      </c>
      <c r="P304" s="865">
        <f>'6 Caissons Objets'!hnec3-2.1-AA304</f>
        <v>-7.6</v>
      </c>
      <c r="Q304" s="865">
        <f>'6 Caissons Objets'!nbcal3</f>
        <v>2</v>
      </c>
      <c r="R304" s="865" t="str">
        <f>IF('6 Caissons Objets'!Typedemousse3="Stratocell 35 Kg","Stratocell 50 mm",IF('6 Caissons Objets'!Typedemousse3="Stratocell 65 Kg","Stratocell 50 mm 65 kg"))</f>
        <v>Stratocell 50 mm</v>
      </c>
      <c r="S304" s="865">
        <f>'6 Caissons Objets'!Lnec3</f>
        <v>0</v>
      </c>
      <c r="T304" s="871">
        <f>D40+AA304</f>
        <v>5.5</v>
      </c>
      <c r="U304" s="865">
        <v>2</v>
      </c>
      <c r="V304" s="862" t="str">
        <f>'6 Caissons Objets'!Base3</f>
        <v>Stratocell 50 mm</v>
      </c>
      <c r="W304" s="865">
        <f t="shared" si="115"/>
        <v>5.5</v>
      </c>
      <c r="X304" s="862">
        <f>VLOOKUP('6 Caissons Objets'!plat3,$A$214:$B$220,2)</f>
        <v>0</v>
      </c>
      <c r="Y304" s="865">
        <f>'6 Caissons Objets'!Lnec3-10.2</f>
        <v>-10.199999999999999</v>
      </c>
      <c r="Z304" s="865">
        <f>'6 Caissons Objets'!lanec3-10.2</f>
        <v>-10.199999999999999</v>
      </c>
      <c r="AA304" s="865">
        <f t="shared" si="116"/>
        <v>5.5</v>
      </c>
      <c r="AB304" s="865" t="str">
        <f>IF('6 Caissons Objets'!Typedemousse3="Stratocell 35 Kg","Stratocell 50 mm",IF('6 Caissons Objets'!Typedemousse3="Stratocell 65 Kg","Stratocell 50 mm 65 kg"))</f>
        <v>Stratocell 50 mm</v>
      </c>
      <c r="AC304" s="872">
        <f>'6 Caissons Objets'!lanec3-VLOOKUP(C39,A292:AJ304,33)</f>
        <v>0</v>
      </c>
      <c r="AD304" s="871">
        <f>T304</f>
        <v>5.5</v>
      </c>
      <c r="AE304" s="865">
        <v>2</v>
      </c>
      <c r="AF304" s="865">
        <v>10.6</v>
      </c>
      <c r="AG304" s="865">
        <v>10.6</v>
      </c>
      <c r="AH304" s="865">
        <v>7</v>
      </c>
      <c r="AI304" s="865" t="s">
        <v>317</v>
      </c>
      <c r="AJ304" s="866" t="s">
        <v>321</v>
      </c>
    </row>
    <row r="305" spans="1:36" ht="18" hidden="1" customHeight="1" x14ac:dyDescent="0.35">
      <c r="A305" s="468"/>
      <c r="B305" s="468"/>
      <c r="C305" s="468"/>
      <c r="D305" s="468"/>
      <c r="E305" s="468"/>
      <c r="F305" s="468"/>
      <c r="G305" s="468"/>
      <c r="H305" s="468"/>
      <c r="I305" s="468"/>
      <c r="J305" s="468"/>
      <c r="K305" s="468"/>
      <c r="L305" s="468"/>
      <c r="M305" s="468"/>
      <c r="N305" s="468"/>
      <c r="O305" s="468"/>
      <c r="P305" s="468"/>
      <c r="Q305" s="468"/>
      <c r="R305" s="468"/>
      <c r="S305" s="468"/>
      <c r="T305" s="468"/>
      <c r="U305" s="468"/>
      <c r="V305" s="468"/>
      <c r="W305" s="468"/>
      <c r="X305" s="468"/>
      <c r="Y305" s="468"/>
      <c r="Z305" s="468"/>
      <c r="AA305" s="468"/>
      <c r="AB305" s="468"/>
      <c r="AC305" s="468"/>
      <c r="AD305" s="468"/>
      <c r="AE305" s="468"/>
      <c r="AF305" s="468"/>
      <c r="AG305" s="468"/>
      <c r="AH305" s="468"/>
      <c r="AI305" s="468"/>
      <c r="AJ305" s="468"/>
    </row>
    <row r="306" spans="1:36" ht="18" hidden="1" customHeight="1" x14ac:dyDescent="0.35">
      <c r="A306" s="480">
        <v>1</v>
      </c>
      <c r="B306" s="482">
        <f t="shared" ref="B306:V306" si="118">A306+1</f>
        <v>2</v>
      </c>
      <c r="C306" s="482">
        <f t="shared" si="118"/>
        <v>3</v>
      </c>
      <c r="D306" s="482">
        <f t="shared" si="118"/>
        <v>4</v>
      </c>
      <c r="E306" s="482">
        <f t="shared" si="118"/>
        <v>5</v>
      </c>
      <c r="F306" s="482">
        <f t="shared" si="118"/>
        <v>6</v>
      </c>
      <c r="G306" s="482">
        <f t="shared" si="118"/>
        <v>7</v>
      </c>
      <c r="H306" s="482">
        <f t="shared" si="118"/>
        <v>8</v>
      </c>
      <c r="I306" s="482">
        <f t="shared" si="118"/>
        <v>9</v>
      </c>
      <c r="J306" s="482">
        <f t="shared" si="118"/>
        <v>10</v>
      </c>
      <c r="K306" s="482">
        <f t="shared" si="118"/>
        <v>11</v>
      </c>
      <c r="L306" s="482">
        <f t="shared" si="118"/>
        <v>12</v>
      </c>
      <c r="M306" s="482">
        <f t="shared" si="118"/>
        <v>13</v>
      </c>
      <c r="N306" s="482">
        <f t="shared" si="118"/>
        <v>14</v>
      </c>
      <c r="O306" s="482">
        <f t="shared" si="118"/>
        <v>15</v>
      </c>
      <c r="P306" s="482">
        <f t="shared" si="118"/>
        <v>16</v>
      </c>
      <c r="Q306" s="482">
        <f t="shared" si="118"/>
        <v>17</v>
      </c>
      <c r="R306" s="482">
        <f t="shared" si="118"/>
        <v>18</v>
      </c>
      <c r="S306" s="482">
        <f t="shared" si="118"/>
        <v>19</v>
      </c>
      <c r="T306" s="482">
        <f t="shared" si="118"/>
        <v>20</v>
      </c>
      <c r="U306" s="482">
        <f t="shared" si="118"/>
        <v>21</v>
      </c>
      <c r="V306" s="482">
        <f t="shared" si="118"/>
        <v>22</v>
      </c>
      <c r="W306" s="482">
        <v>23</v>
      </c>
      <c r="X306" s="482">
        <v>24</v>
      </c>
      <c r="Y306" s="482">
        <v>25</v>
      </c>
      <c r="Z306" s="482">
        <f t="shared" ref="Z306:AG306" si="119">Y306+1</f>
        <v>26</v>
      </c>
      <c r="AA306" s="482">
        <f t="shared" si="119"/>
        <v>27</v>
      </c>
      <c r="AB306" s="482">
        <f t="shared" si="119"/>
        <v>28</v>
      </c>
      <c r="AC306" s="482">
        <f t="shared" si="119"/>
        <v>29</v>
      </c>
      <c r="AD306" s="482">
        <f t="shared" si="119"/>
        <v>30</v>
      </c>
      <c r="AE306" s="482">
        <f t="shared" si="119"/>
        <v>31</v>
      </c>
      <c r="AF306" s="482">
        <f t="shared" si="119"/>
        <v>32</v>
      </c>
      <c r="AG306" s="482">
        <f t="shared" si="119"/>
        <v>33</v>
      </c>
      <c r="AH306" s="482">
        <v>34</v>
      </c>
      <c r="AI306" s="482">
        <v>35</v>
      </c>
      <c r="AJ306" s="484">
        <v>36</v>
      </c>
    </row>
    <row r="307" spans="1:36" ht="18" hidden="1" customHeight="1" x14ac:dyDescent="0.35">
      <c r="A307" s="858" t="s">
        <v>383</v>
      </c>
      <c r="B307" s="504" t="s">
        <v>348</v>
      </c>
      <c r="C307" s="504" t="s">
        <v>28</v>
      </c>
      <c r="D307" s="504" t="s">
        <v>33</v>
      </c>
      <c r="E307" s="504" t="s">
        <v>34</v>
      </c>
      <c r="F307" s="504" t="s">
        <v>348</v>
      </c>
      <c r="G307" s="504" t="s">
        <v>28</v>
      </c>
      <c r="H307" s="504" t="s">
        <v>33</v>
      </c>
      <c r="I307" s="504" t="s">
        <v>34</v>
      </c>
      <c r="J307" s="504" t="s">
        <v>349</v>
      </c>
      <c r="K307" s="504" t="s">
        <v>28</v>
      </c>
      <c r="L307" s="504" t="s">
        <v>33</v>
      </c>
      <c r="M307" s="504" t="s">
        <v>34</v>
      </c>
      <c r="N307" s="504"/>
      <c r="O307" s="504" t="s">
        <v>28</v>
      </c>
      <c r="P307" s="504" t="s">
        <v>33</v>
      </c>
      <c r="Q307" s="504" t="s">
        <v>34</v>
      </c>
      <c r="R307" s="504"/>
      <c r="S307" s="504" t="s">
        <v>28</v>
      </c>
      <c r="T307" s="504" t="s">
        <v>33</v>
      </c>
      <c r="U307" s="504" t="s">
        <v>34</v>
      </c>
      <c r="V307" s="504" t="s">
        <v>308</v>
      </c>
      <c r="W307" s="504" t="s">
        <v>350</v>
      </c>
      <c r="X307" s="504" t="s">
        <v>351</v>
      </c>
      <c r="Y307" s="504" t="s">
        <v>28</v>
      </c>
      <c r="Z307" s="504" t="s">
        <v>33</v>
      </c>
      <c r="AA307" s="504" t="s">
        <v>269</v>
      </c>
      <c r="AB307" s="504"/>
      <c r="AC307" s="504" t="s">
        <v>28</v>
      </c>
      <c r="AD307" s="504" t="s">
        <v>33</v>
      </c>
      <c r="AE307" s="504" t="s">
        <v>34</v>
      </c>
      <c r="AF307" s="504" t="s">
        <v>495</v>
      </c>
      <c r="AG307" s="504" t="s">
        <v>33</v>
      </c>
      <c r="AH307" s="504" t="s">
        <v>30</v>
      </c>
      <c r="AI307" s="504" t="s">
        <v>321</v>
      </c>
      <c r="AJ307" s="859" t="s">
        <v>321</v>
      </c>
    </row>
    <row r="308" spans="1:36" ht="18" hidden="1" customHeight="1" x14ac:dyDescent="0.35">
      <c r="A308" s="860" t="s">
        <v>16</v>
      </c>
      <c r="B308" s="504">
        <v>0</v>
      </c>
      <c r="C308" s="504">
        <v>0</v>
      </c>
      <c r="D308" s="504">
        <v>0</v>
      </c>
      <c r="E308" s="504">
        <v>0</v>
      </c>
      <c r="F308" s="504">
        <v>0</v>
      </c>
      <c r="G308" s="504">
        <v>0</v>
      </c>
      <c r="H308" s="504">
        <v>0</v>
      </c>
      <c r="I308" s="504">
        <v>0</v>
      </c>
      <c r="J308" s="504">
        <v>0</v>
      </c>
      <c r="K308" s="504">
        <v>0</v>
      </c>
      <c r="L308" s="504">
        <v>0</v>
      </c>
      <c r="M308" s="504">
        <v>0</v>
      </c>
      <c r="N308" s="504">
        <v>0</v>
      </c>
      <c r="O308" s="504">
        <v>0</v>
      </c>
      <c r="P308" s="504">
        <v>0</v>
      </c>
      <c r="Q308" s="504">
        <v>0</v>
      </c>
      <c r="R308" s="504">
        <v>0</v>
      </c>
      <c r="S308" s="504">
        <v>0</v>
      </c>
      <c r="T308" s="504">
        <v>0</v>
      </c>
      <c r="U308" s="504">
        <v>0</v>
      </c>
      <c r="V308" s="504">
        <v>0</v>
      </c>
      <c r="W308" s="504">
        <v>0</v>
      </c>
      <c r="X308" s="504">
        <v>0</v>
      </c>
      <c r="Y308" s="504">
        <v>0</v>
      </c>
      <c r="Z308" s="504">
        <v>0</v>
      </c>
      <c r="AA308" s="504">
        <v>0</v>
      </c>
      <c r="AB308" s="504">
        <v>0</v>
      </c>
      <c r="AC308" s="504">
        <v>0</v>
      </c>
      <c r="AD308" s="504">
        <v>0</v>
      </c>
      <c r="AE308" s="504">
        <v>0</v>
      </c>
      <c r="AF308" s="504">
        <v>0</v>
      </c>
      <c r="AG308" s="504">
        <v>0</v>
      </c>
      <c r="AH308" s="504"/>
      <c r="AI308" s="504"/>
      <c r="AJ308" s="859"/>
    </row>
    <row r="309" spans="1:36" ht="18" hidden="1" customHeight="1" x14ac:dyDescent="0.35">
      <c r="A309" s="861" t="s">
        <v>319</v>
      </c>
      <c r="B309" s="862" t="s">
        <v>352</v>
      </c>
      <c r="C309" s="862">
        <f>'6 Caissons Objets'!Lnec4</f>
        <v>0</v>
      </c>
      <c r="D309" s="862">
        <v>9.3000000000000007</v>
      </c>
      <c r="E309" s="862">
        <f>'6 Caissons Objets'!nbcal4*2+1</f>
        <v>5</v>
      </c>
      <c r="F309" s="862" t="s">
        <v>353</v>
      </c>
      <c r="G309" s="862">
        <f>'6 Caissons Objets'!lanec4</f>
        <v>0</v>
      </c>
      <c r="H309" s="862">
        <v>9.3000000000000007</v>
      </c>
      <c r="I309" s="862">
        <f>'6 Caissons Objets'!nbcal4*2</f>
        <v>4</v>
      </c>
      <c r="J309" s="862"/>
      <c r="K309" s="862"/>
      <c r="L309" s="862"/>
      <c r="M309" s="862"/>
      <c r="N309" s="862" t="b">
        <f>IF('6 Caissons Objets'!Typedemousse4="Stratocell 35 Kg","Stratocell 50 mm",IF('6 Caissons Objets'!Typedemousse4="Stratocell 65 Kg","Stratocell 50 mm 65 kg"))</f>
        <v>0</v>
      </c>
      <c r="O309" s="862">
        <f>'6 Caissons Objets'!Lnec4</f>
        <v>0</v>
      </c>
      <c r="P309" s="862">
        <f>IF('6 Caissons Objets'!hnec4&lt;200,9.3,14.4)</f>
        <v>9.3000000000000007</v>
      </c>
      <c r="Q309" s="862">
        <f>'6 Caissons Objets'!nbcal4*2+1</f>
        <v>5</v>
      </c>
      <c r="R309" s="862" t="b">
        <f>IF('6 Caissons Objets'!Typedemousse4="Stratocell 35 Kg","Stratocell 50 mm",IF('6 Caissons Objets'!Typedemousse4="Stratocell 65 Kg","Stratocell 50 mm 65 kg"))</f>
        <v>0</v>
      </c>
      <c r="S309" s="862">
        <f>'6 Caissons Objets'!lanec4</f>
        <v>0</v>
      </c>
      <c r="T309" s="862">
        <f>IF('6 Caissons Objets'!hnec4&lt;200,9.3,14.4)</f>
        <v>9.3000000000000007</v>
      </c>
      <c r="U309" s="862">
        <f>'6 Caissons Objets'!nbcal4*2</f>
        <v>4</v>
      </c>
      <c r="V309" s="862" t="str">
        <f>'6 Caissons Objets'!Base4</f>
        <v>Aucun</v>
      </c>
      <c r="W309" s="862">
        <f t="shared" ref="W309:W320" si="120">VLOOKUP(V309,$A$222:$C$230,3)</f>
        <v>0</v>
      </c>
      <c r="X309" s="862">
        <f>VLOOKUP('6 Caissons Objets'!plat4,$A$214:$B$220,2)</f>
        <v>0</v>
      </c>
      <c r="Y309" s="862">
        <f>'6 Caissons Objets'!Lnec4</f>
        <v>0</v>
      </c>
      <c r="Z309" s="862">
        <f>'6 Caissons Objets'!lanec4</f>
        <v>0</v>
      </c>
      <c r="AA309" s="862">
        <f t="shared" ref="AA309:AA320" si="121">W309+X309</f>
        <v>0</v>
      </c>
      <c r="AB309" s="862"/>
      <c r="AC309" s="862"/>
      <c r="AD309" s="862"/>
      <c r="AE309" s="862"/>
      <c r="AF309" s="862">
        <v>14</v>
      </c>
      <c r="AG309" s="862">
        <v>14</v>
      </c>
      <c r="AH309" s="862">
        <v>7</v>
      </c>
      <c r="AI309" s="862" t="s">
        <v>317</v>
      </c>
      <c r="AJ309" s="863" t="s">
        <v>321</v>
      </c>
    </row>
    <row r="310" spans="1:36" ht="18" hidden="1" customHeight="1" x14ac:dyDescent="0.35">
      <c r="A310" s="861" t="s">
        <v>320</v>
      </c>
      <c r="B310" s="862"/>
      <c r="C310" s="862"/>
      <c r="D310" s="862"/>
      <c r="E310" s="862"/>
      <c r="F310" s="862"/>
      <c r="G310" s="862"/>
      <c r="H310" s="862"/>
      <c r="I310" s="862"/>
      <c r="J310" s="862"/>
      <c r="K310" s="862"/>
      <c r="L310" s="862"/>
      <c r="M310" s="862"/>
      <c r="N310" s="862">
        <f>IF('6 Caissons Objets'!nbcal4="PU","PU 30 mm",IF('6 Caissons Objets'!nbcal4="Stratocell","Stratocell 30 mm",0))</f>
        <v>0</v>
      </c>
      <c r="O310" s="862">
        <f>'6 Caissons Objets'!Lnec4</f>
        <v>0</v>
      </c>
      <c r="P310" s="862">
        <v>12</v>
      </c>
      <c r="Q310" s="862">
        <f>IF('6 Caissons Objets'!hnec4&lt;80,4,6)</f>
        <v>4</v>
      </c>
      <c r="R310" s="862">
        <f>IF('6 Caissons Objets'!nbcal4="PU","PU 30 mm",IF('6 Caissons Objets'!nbcal4="Stratocell","Stratocell 30 mm",0))</f>
        <v>0</v>
      </c>
      <c r="S310" s="862">
        <f>'6 Caissons Objets'!lanec4-6</f>
        <v>-6</v>
      </c>
      <c r="T310" s="862">
        <v>12</v>
      </c>
      <c r="U310" s="862">
        <f t="shared" ref="U310:U311" si="122">Q310</f>
        <v>4</v>
      </c>
      <c r="V310" s="862" t="str">
        <f>'6 Caissons Objets'!Base4</f>
        <v>Aucun</v>
      </c>
      <c r="W310" s="862">
        <f t="shared" si="120"/>
        <v>0</v>
      </c>
      <c r="X310" s="862">
        <f>VLOOKUP('6 Caissons Objets'!plat4,$A$214:$B$220,2)</f>
        <v>0</v>
      </c>
      <c r="Y310" s="862">
        <f>'6 Caissons Objets'!Lnec4</f>
        <v>0</v>
      </c>
      <c r="Z310" s="862">
        <f>'6 Caissons Objets'!lanec4</f>
        <v>0</v>
      </c>
      <c r="AA310" s="862">
        <f t="shared" si="121"/>
        <v>0</v>
      </c>
      <c r="AB310" s="862">
        <f>IF('6 Caissons Objets'!nbcal4="PU","PU 30 mm",IF('6 Caissons Objets'!nbcal4="Stratocell","Stratocell 30 mm",0))</f>
        <v>0</v>
      </c>
      <c r="AC310" s="862">
        <f>'6 Caissons Objets'!lanec4</f>
        <v>0</v>
      </c>
      <c r="AD310" s="862">
        <v>12</v>
      </c>
      <c r="AE310" s="862">
        <f>IF('6 Caissons Objets'!Lnec4&lt;100,3,4)</f>
        <v>3</v>
      </c>
      <c r="AF310" s="862" t="e">
        <f>VLOOKUP('6 Caissons Objets'!nbcal4,$A$238:$D$239,3)*2</f>
        <v>#N/A</v>
      </c>
      <c r="AG310" s="862" t="e">
        <f>VLOOKUP('6 Caissons Objets'!nbcal4,$A$238:$D$239,3)*2</f>
        <v>#N/A</v>
      </c>
      <c r="AH310" s="862" t="e">
        <f>VLOOKUP('6 Caissons Objets'!nbcal4,$A$238:$D$239,3)</f>
        <v>#N/A</v>
      </c>
      <c r="AI310" s="862" t="s">
        <v>321</v>
      </c>
      <c r="AJ310" s="863"/>
    </row>
    <row r="311" spans="1:36" ht="18" hidden="1" customHeight="1" x14ac:dyDescent="0.35">
      <c r="A311" s="861" t="s">
        <v>322</v>
      </c>
      <c r="B311" s="862"/>
      <c r="C311" s="862"/>
      <c r="D311" s="862"/>
      <c r="E311" s="862"/>
      <c r="F311" s="862"/>
      <c r="G311" s="862"/>
      <c r="H311" s="862"/>
      <c r="I311" s="862"/>
      <c r="J311" s="862"/>
      <c r="K311" s="862"/>
      <c r="L311" s="862"/>
      <c r="M311" s="862"/>
      <c r="N311" s="862">
        <f>IF('6 Caissons Objets'!nbcal4="PU","PU 50 mm",IF('6 Caissons Objets'!nbcal4="Stratocell","Stratocell 50 mm",0))</f>
        <v>0</v>
      </c>
      <c r="O311" s="862">
        <f>'6 Caissons Objets'!Lnec4</f>
        <v>0</v>
      </c>
      <c r="P311" s="862">
        <v>12</v>
      </c>
      <c r="Q311" s="862">
        <f>IF('6 Caissons Objets'!hnec4&lt;80,4,6)</f>
        <v>4</v>
      </c>
      <c r="R311" s="862">
        <f>IF('6 Caissons Objets'!nbcal4="PU","PU 50 mm",IF('6 Caissons Objets'!nbcal4="Stratocell","Stratocell 50 mm",0))</f>
        <v>0</v>
      </c>
      <c r="S311" s="862">
        <f>'6 Caissons Objets'!lanec4-10</f>
        <v>-10</v>
      </c>
      <c r="T311" s="862">
        <v>12</v>
      </c>
      <c r="U311" s="862">
        <f t="shared" si="122"/>
        <v>4</v>
      </c>
      <c r="V311" s="862" t="str">
        <f>'6 Caissons Objets'!Base4</f>
        <v>Aucun</v>
      </c>
      <c r="W311" s="862">
        <f t="shared" si="120"/>
        <v>0</v>
      </c>
      <c r="X311" s="862">
        <f>VLOOKUP('6 Caissons Objets'!plat4,$A$214:$B$220,2)</f>
        <v>0</v>
      </c>
      <c r="Y311" s="862">
        <f>'6 Caissons Objets'!Lnec4</f>
        <v>0</v>
      </c>
      <c r="Z311" s="862">
        <f>'6 Caissons Objets'!lanec4</f>
        <v>0</v>
      </c>
      <c r="AA311" s="862">
        <f t="shared" si="121"/>
        <v>0</v>
      </c>
      <c r="AB311" s="862">
        <f>IF('6 Caissons Objets'!nbcal4="PU","PU 50 mm",IF('6 Caissons Objets'!nbcal4="Stratocell","Stratocell 50 mm",0))</f>
        <v>0</v>
      </c>
      <c r="AC311" s="862">
        <f>'6 Caissons Objets'!lanec4</f>
        <v>0</v>
      </c>
      <c r="AD311" s="862">
        <v>12</v>
      </c>
      <c r="AE311" s="862">
        <f>IF('6 Caissons Objets'!Lnec4&lt;100,3,4)</f>
        <v>3</v>
      </c>
      <c r="AF311" s="862" t="e">
        <f>VLOOKUP('6 Caissons Objets'!nbcal4,$A$238:$D$239,4)*2</f>
        <v>#N/A</v>
      </c>
      <c r="AG311" s="862" t="e">
        <f>VLOOKUP('6 Caissons Objets'!nbcal4,$A$238:$D$239,4)*2</f>
        <v>#N/A</v>
      </c>
      <c r="AH311" s="862" t="e">
        <f>VLOOKUP('6 Caissons Objets'!nbcal4,$A$238:$D$239,4)</f>
        <v>#N/A</v>
      </c>
      <c r="AI311" s="862" t="s">
        <v>321</v>
      </c>
      <c r="AJ311" s="863"/>
    </row>
    <row r="312" spans="1:36" ht="18" hidden="1" customHeight="1" x14ac:dyDescent="0.35">
      <c r="A312" s="533" t="s">
        <v>496</v>
      </c>
      <c r="B312" s="862"/>
      <c r="C312" s="862"/>
      <c r="D312" s="862"/>
      <c r="E312" s="862"/>
      <c r="F312" s="862"/>
      <c r="G312" s="862"/>
      <c r="H312" s="862"/>
      <c r="I312" s="862"/>
      <c r="J312" s="862"/>
      <c r="K312" s="862"/>
      <c r="L312" s="862"/>
      <c r="M312" s="862"/>
      <c r="N312" s="862">
        <f>IF('6 Caissons Objets'!nbcal4="PU","PU 50 mm",IF('6 Caissons Objets'!nbcal4="Stratocell","Stratocell 50 mm",0))</f>
        <v>0</v>
      </c>
      <c r="O312" s="862">
        <f>'6 Caissons Objets'!Lnec4</f>
        <v>0</v>
      </c>
      <c r="P312" s="862">
        <f>'6 Caissons Objets'!lanec4</f>
        <v>0</v>
      </c>
      <c r="Q312" s="862">
        <f>('6 Caissons Objets'!hnec4-AA312)/5</f>
        <v>0</v>
      </c>
      <c r="R312" s="862"/>
      <c r="S312" s="862"/>
      <c r="T312" s="862"/>
      <c r="U312" s="862"/>
      <c r="V312" s="862" t="str">
        <f>'6 Caissons Objets'!Base4</f>
        <v>Aucun</v>
      </c>
      <c r="W312" s="862">
        <f t="shared" si="120"/>
        <v>0</v>
      </c>
      <c r="X312" s="862">
        <f>VLOOKUP('6 Caissons Objets'!plat4,$A$214:$B$220,2)</f>
        <v>0</v>
      </c>
      <c r="Y312" s="862">
        <f>'6 Caissons Objets'!Lnec4</f>
        <v>0</v>
      </c>
      <c r="Z312" s="862">
        <f>'6 Caissons Objets'!lanec4</f>
        <v>0</v>
      </c>
      <c r="AA312" s="862">
        <f t="shared" si="121"/>
        <v>0</v>
      </c>
      <c r="AB312" s="862"/>
      <c r="AC312" s="862"/>
      <c r="AD312" s="862"/>
      <c r="AE312" s="862"/>
      <c r="AF312" s="862" t="e">
        <f>VLOOKUP('6 Caissons Objets'!nbcal4,$A$238:$D$239,4)*2</f>
        <v>#N/A</v>
      </c>
      <c r="AG312" s="862" t="e">
        <f>VLOOKUP('6 Caissons Objets'!nbcal4,$A$238:$D$239,4)*2</f>
        <v>#N/A</v>
      </c>
      <c r="AH312" s="862" t="e">
        <f>VLOOKUP('6 Caissons Objets'!nbcal4,$A$238:$D$239,4)</f>
        <v>#N/A</v>
      </c>
      <c r="AI312" s="862" t="s">
        <v>321</v>
      </c>
      <c r="AJ312" s="863"/>
    </row>
    <row r="313" spans="1:36" ht="18" hidden="1" customHeight="1" x14ac:dyDescent="0.35">
      <c r="A313" s="861" t="s">
        <v>324</v>
      </c>
      <c r="B313" s="862"/>
      <c r="C313" s="862"/>
      <c r="D313" s="862"/>
      <c r="E313" s="862"/>
      <c r="F313" s="862"/>
      <c r="G313" s="862"/>
      <c r="H313" s="862"/>
      <c r="I313" s="862"/>
      <c r="J313" s="862"/>
      <c r="K313" s="862"/>
      <c r="L313" s="862"/>
      <c r="M313" s="862"/>
      <c r="N313" s="862">
        <f>IF('6 Caissons Objets'!nbcal4="PU","PU 50 mm",IF('6 Caissons Objets'!nbcal4="Stratocell","Stratocell 50 mm",0))</f>
        <v>0</v>
      </c>
      <c r="O313" s="862">
        <f>'6 Caissons Objets'!Lnec4-0.3</f>
        <v>-0.3</v>
      </c>
      <c r="P313" s="862">
        <f>'6 Caissons Objets'!lanec4-0.3</f>
        <v>-0.3</v>
      </c>
      <c r="Q313" s="862">
        <f>('6 Caissons Objets'!hnec4-AA313)/5</f>
        <v>0</v>
      </c>
      <c r="R313" s="862"/>
      <c r="S313" s="862"/>
      <c r="T313" s="862"/>
      <c r="U313" s="862"/>
      <c r="V313" s="862" t="str">
        <f>'6 Caissons Objets'!Base4</f>
        <v>Aucun</v>
      </c>
      <c r="W313" s="862">
        <f t="shared" si="120"/>
        <v>0</v>
      </c>
      <c r="X313" s="862">
        <f>VLOOKUP('6 Caissons Objets'!plat4,$A$214:$B$220,2)</f>
        <v>0</v>
      </c>
      <c r="Y313" s="862">
        <f>'6 Caissons Objets'!Lnec4</f>
        <v>0</v>
      </c>
      <c r="Z313" s="862">
        <f>'6 Caissons Objets'!lanec4</f>
        <v>0</v>
      </c>
      <c r="AA313" s="862">
        <f t="shared" si="121"/>
        <v>0</v>
      </c>
      <c r="AB313" s="862"/>
      <c r="AC313" s="862"/>
      <c r="AD313" s="862"/>
      <c r="AE313" s="862"/>
      <c r="AF313" s="862" t="e">
        <f>VLOOKUP('6 Caissons Objets'!nbcal4,$A$238:$D$239,4)*2</f>
        <v>#N/A</v>
      </c>
      <c r="AG313" s="862" t="e">
        <f>VLOOKUP('6 Caissons Objets'!nbcal4,$A$238:$D$239,4)*2</f>
        <v>#N/A</v>
      </c>
      <c r="AH313" s="862" t="e">
        <f>VLOOKUP('6 Caissons Objets'!nbcal4,$A$238:$D$239,4)</f>
        <v>#N/A</v>
      </c>
      <c r="AI313" s="862" t="s">
        <v>321</v>
      </c>
      <c r="AJ313" s="863"/>
    </row>
    <row r="314" spans="1:36" ht="18" hidden="1" customHeight="1" x14ac:dyDescent="0.35">
      <c r="A314" s="861" t="s">
        <v>325</v>
      </c>
      <c r="B314" s="862"/>
      <c r="C314" s="862"/>
      <c r="D314" s="862"/>
      <c r="E314" s="862"/>
      <c r="F314" s="862"/>
      <c r="G314" s="862"/>
      <c r="H314" s="862"/>
      <c r="I314" s="862"/>
      <c r="J314" s="862"/>
      <c r="K314" s="862"/>
      <c r="L314" s="862"/>
      <c r="M314" s="862"/>
      <c r="N314" s="862">
        <f>IF('6 Caissons Objets'!nbcal4="PU","PU 50 mm",IF('6 Caissons Objets'!nbcal4="Stratocell","Stratocell 50 mm",0))</f>
        <v>0</v>
      </c>
      <c r="O314" s="862">
        <f>'6 Caissons Objets'!Lnec4-0.3</f>
        <v>-0.3</v>
      </c>
      <c r="P314" s="862">
        <f>'6 Caissons Objets'!hnec4-AA314</f>
        <v>0</v>
      </c>
      <c r="Q314" s="862">
        <f>'6 Caissons Objets'!lanec4/5</f>
        <v>0</v>
      </c>
      <c r="R314" s="862"/>
      <c r="S314" s="862"/>
      <c r="T314" s="862"/>
      <c r="U314" s="862"/>
      <c r="V314" s="862" t="str">
        <f>'6 Caissons Objets'!Base4</f>
        <v>Aucun</v>
      </c>
      <c r="W314" s="862">
        <f t="shared" si="120"/>
        <v>0</v>
      </c>
      <c r="X314" s="862">
        <f>VLOOKUP('6 Caissons Objets'!plat4,$A$214:$B$220,2)</f>
        <v>0</v>
      </c>
      <c r="Y314" s="862">
        <f>'6 Caissons Objets'!Lnec4</f>
        <v>0</v>
      </c>
      <c r="Z314" s="862">
        <f>'6 Caissons Objets'!lanec4</f>
        <v>0</v>
      </c>
      <c r="AA314" s="862">
        <f t="shared" si="121"/>
        <v>0</v>
      </c>
      <c r="AB314" s="862"/>
      <c r="AC314" s="862"/>
      <c r="AD314" s="862"/>
      <c r="AE314" s="862"/>
      <c r="AF314" s="862" t="e">
        <f>VLOOKUP('6 Caissons Objets'!nbcal4,$A$238:$D$239,4)*2</f>
        <v>#N/A</v>
      </c>
      <c r="AG314" s="862" t="e">
        <f>VLOOKUP('6 Caissons Objets'!nbcal4,$A$238:$D$239,4)*2</f>
        <v>#N/A</v>
      </c>
      <c r="AH314" s="862" t="e">
        <f>VLOOKUP('6 Caissons Objets'!nbcal4,$A$238:$D$239,4)</f>
        <v>#N/A</v>
      </c>
      <c r="AI314" s="862" t="s">
        <v>321</v>
      </c>
      <c r="AJ314" s="863"/>
    </row>
    <row r="315" spans="1:36" ht="18" hidden="1" customHeight="1" x14ac:dyDescent="0.35">
      <c r="A315" s="861" t="s">
        <v>497</v>
      </c>
      <c r="B315" s="862"/>
      <c r="C315" s="862"/>
      <c r="D315" s="862"/>
      <c r="E315" s="862"/>
      <c r="F315" s="862"/>
      <c r="G315" s="862"/>
      <c r="H315" s="862"/>
      <c r="I315" s="862"/>
      <c r="J315" s="862"/>
      <c r="K315" s="862"/>
      <c r="L315" s="862"/>
      <c r="M315" s="862"/>
      <c r="N315" s="862">
        <f>IF('6 Caissons Objets'!nbcal4="PU","PU 20 mm",IF('6 Caissons Objets'!nbcal4="Stratocell","Stratocell 20 mm",0))</f>
        <v>0</v>
      </c>
      <c r="O315" s="862">
        <f>'6 Caissons Objets'!Lnec4</f>
        <v>0</v>
      </c>
      <c r="P315" s="862">
        <f>'6 Caissons Objets'!lanec4</f>
        <v>0</v>
      </c>
      <c r="Q315" s="862">
        <v>1</v>
      </c>
      <c r="R315" s="862">
        <f>IF('6 Caissons Objets'!nbcal4="PU","PU 20 mm",IF('6 Caissons Objets'!nbcal4="Stratocell","Stratocell 20 mm",0))</f>
        <v>0</v>
      </c>
      <c r="S315" s="862">
        <f>'6 Caissons Objets'!Lnec4</f>
        <v>0</v>
      </c>
      <c r="T315" s="862">
        <f>'6 Caissons Objets'!hnec4-5-AA315</f>
        <v>-5</v>
      </c>
      <c r="U315" s="862">
        <v>2</v>
      </c>
      <c r="V315" s="862" t="str">
        <f>'6 Caissons Objets'!Base4</f>
        <v>Aucun</v>
      </c>
      <c r="W315" s="862">
        <f t="shared" si="120"/>
        <v>0</v>
      </c>
      <c r="X315" s="862">
        <f>VLOOKUP('6 Caissons Objets'!plat4,$A$214:$B$220,2)</f>
        <v>0</v>
      </c>
      <c r="Y315" s="862">
        <f>'6 Caissons Objets'!Lnec4</f>
        <v>0</v>
      </c>
      <c r="Z315" s="862">
        <f>'6 Caissons Objets'!lanec4</f>
        <v>0</v>
      </c>
      <c r="AA315" s="862">
        <f t="shared" si="121"/>
        <v>0</v>
      </c>
      <c r="AB315" s="862">
        <f>IF('6 Caissons Objets'!nbcal4="PU","PU 20 mm",IF('6 Caissons Objets'!nbcal4="Stratocell","Stratocell 20 mm",0))</f>
        <v>0</v>
      </c>
      <c r="AC315" s="862" t="e">
        <f>'6 Caissons Objets'!lanec4-AF315</f>
        <v>#N/A</v>
      </c>
      <c r="AD315" s="862">
        <f>'6 Caissons Objets'!hnec4-2.2-AA315</f>
        <v>-2.2000000000000002</v>
      </c>
      <c r="AE315" s="862">
        <v>2</v>
      </c>
      <c r="AF315" s="862" t="e">
        <f>VLOOKUP('6 Caissons Objets'!nbcal4,$A$238:$D$239,2)*2</f>
        <v>#N/A</v>
      </c>
      <c r="AG315" s="862" t="e">
        <f>VLOOKUP('6 Caissons Objets'!nbcal4,$A$238:$D$239,2)*2</f>
        <v>#N/A</v>
      </c>
      <c r="AH315" s="862" t="e">
        <f>VLOOKUP('6 Caissons Objets'!nbcal4,$A$238:$D$239,2)</f>
        <v>#N/A</v>
      </c>
      <c r="AI315" s="862" t="s">
        <v>321</v>
      </c>
      <c r="AJ315" s="863"/>
    </row>
    <row r="316" spans="1:36" ht="18" hidden="1" customHeight="1" x14ac:dyDescent="0.35">
      <c r="A316" s="861" t="s">
        <v>498</v>
      </c>
      <c r="B316" s="862"/>
      <c r="C316" s="862"/>
      <c r="D316" s="862"/>
      <c r="E316" s="862"/>
      <c r="F316" s="862"/>
      <c r="G316" s="862"/>
      <c r="H316" s="862"/>
      <c r="I316" s="862"/>
      <c r="J316" s="862"/>
      <c r="K316" s="862"/>
      <c r="L316" s="862"/>
      <c r="M316" s="862"/>
      <c r="N316" s="862">
        <f>IF('6 Caissons Objets'!nbcal4="PU","PU 30 mm",IF('6 Caissons Objets'!nbcal4="Stratocell","Stratocell 30 mm",0))</f>
        <v>0</v>
      </c>
      <c r="O316" s="862">
        <f>'6 Caissons Objets'!Lnec4</f>
        <v>0</v>
      </c>
      <c r="P316" s="862">
        <f>'6 Caissons Objets'!lanec4</f>
        <v>0</v>
      </c>
      <c r="Q316" s="862">
        <v>1</v>
      </c>
      <c r="R316" s="862">
        <f>IF('6 Caissons Objets'!nbcal4="PU","PU 30 mm",IF('6 Caissons Objets'!nbcal4="Stratocell","Stratocell 30 mm",0))</f>
        <v>0</v>
      </c>
      <c r="S316" s="862">
        <f>'6 Caissons Objets'!Lnec4</f>
        <v>0</v>
      </c>
      <c r="T316" s="862">
        <f>'6 Caissons Objets'!hnec4-3-AA316</f>
        <v>-3</v>
      </c>
      <c r="U316" s="862">
        <v>2</v>
      </c>
      <c r="V316" s="862" t="str">
        <f>'6 Caissons Objets'!Base4</f>
        <v>Aucun</v>
      </c>
      <c r="W316" s="862">
        <f t="shared" si="120"/>
        <v>0</v>
      </c>
      <c r="X316" s="862">
        <f>VLOOKUP('6 Caissons Objets'!plat4,$A$214:$B$220,2)</f>
        <v>0</v>
      </c>
      <c r="Y316" s="862">
        <f>'6 Caissons Objets'!Lnec4</f>
        <v>0</v>
      </c>
      <c r="Z316" s="862">
        <f>'6 Caissons Objets'!lanec4</f>
        <v>0</v>
      </c>
      <c r="AA316" s="862">
        <f t="shared" si="121"/>
        <v>0</v>
      </c>
      <c r="AB316" s="862">
        <f>IF('6 Caissons Objets'!nbcal4="PU","PU 30 mm",IF('6 Caissons Objets'!nbcal4="Stratocell","Stratocell 30 mm",0))</f>
        <v>0</v>
      </c>
      <c r="AC316" s="862" t="e">
        <f>'6 Caissons Objets'!lanec4-AF316</f>
        <v>#N/A</v>
      </c>
      <c r="AD316" s="862">
        <f>'6 Caissons Objets'!hnec4-3.2-AA316</f>
        <v>-3.2</v>
      </c>
      <c r="AE316" s="862">
        <v>2</v>
      </c>
      <c r="AF316" s="862" t="e">
        <f>VLOOKUP('6 Caissons Objets'!nbcal4,$A$238:$D$239,3)*2</f>
        <v>#N/A</v>
      </c>
      <c r="AG316" s="862" t="e">
        <f>VLOOKUP('6 Caissons Objets'!nbcal4,$A$238:$D$239,3)*2</f>
        <v>#N/A</v>
      </c>
      <c r="AH316" s="862" t="e">
        <f>VLOOKUP('6 Caissons Objets'!nbcal4,$A$238:$D$239,3)</f>
        <v>#N/A</v>
      </c>
      <c r="AI316" s="862" t="s">
        <v>321</v>
      </c>
      <c r="AJ316" s="863"/>
    </row>
    <row r="317" spans="1:36" ht="18" hidden="1" customHeight="1" x14ac:dyDescent="0.35">
      <c r="A317" s="861" t="s">
        <v>479</v>
      </c>
      <c r="B317" s="862"/>
      <c r="C317" s="862"/>
      <c r="D317" s="862"/>
      <c r="E317" s="862"/>
      <c r="F317" s="862"/>
      <c r="G317" s="862"/>
      <c r="H317" s="862"/>
      <c r="I317" s="862"/>
      <c r="J317" s="862"/>
      <c r="K317" s="862"/>
      <c r="L317" s="862"/>
      <c r="M317" s="862"/>
      <c r="N317" s="862">
        <f>IF('6 Caissons Objets'!nbcal4="PU","PU 50 mm",IF('6 Caissons Objets'!nbcal4="Stratocell","Stratocell 50 mm",0))</f>
        <v>0</v>
      </c>
      <c r="O317" s="862">
        <f>'6 Caissons Objets'!Lnec4</f>
        <v>0</v>
      </c>
      <c r="P317" s="862">
        <f>'6 Caissons Objets'!lanec4</f>
        <v>0</v>
      </c>
      <c r="Q317" s="862">
        <v>1</v>
      </c>
      <c r="R317" s="862">
        <f>IF('6 Caissons Objets'!nbcal4="PU","PU 50 mm",IF('6 Caissons Objets'!nbcal4="Stratocell","Stratocell 50 mm",0))</f>
        <v>0</v>
      </c>
      <c r="S317" s="862">
        <f>'6 Caissons Objets'!Lnec4</f>
        <v>0</v>
      </c>
      <c r="T317" s="862">
        <f>'6 Caissons Objets'!hnec4-5-AA317</f>
        <v>-5</v>
      </c>
      <c r="U317" s="862">
        <v>2</v>
      </c>
      <c r="V317" s="862" t="str">
        <f>'6 Caissons Objets'!Base4</f>
        <v>Aucun</v>
      </c>
      <c r="W317" s="862">
        <f t="shared" si="120"/>
        <v>0</v>
      </c>
      <c r="X317" s="862">
        <f>VLOOKUP('6 Caissons Objets'!plat4,$A$214:$B$220,2)</f>
        <v>0</v>
      </c>
      <c r="Y317" s="862">
        <f>'6 Caissons Objets'!Lnec4</f>
        <v>0</v>
      </c>
      <c r="Z317" s="862">
        <f>'6 Caissons Objets'!lanec4</f>
        <v>0</v>
      </c>
      <c r="AA317" s="862">
        <f t="shared" si="121"/>
        <v>0</v>
      </c>
      <c r="AB317" s="862">
        <f>IF('6 Caissons Objets'!nbcal4="PU","PU 50 mm",IF('6 Caissons Objets'!nbcal4="Stratocell","Stratocell 50 mm",0))</f>
        <v>0</v>
      </c>
      <c r="AC317" s="862" t="e">
        <f>'6 Caissons Objets'!lanec4-AF317</f>
        <v>#N/A</v>
      </c>
      <c r="AD317" s="862">
        <f>'6 Caissons Objets'!hnec4-5.3-AA317</f>
        <v>-5.3</v>
      </c>
      <c r="AE317" s="862">
        <v>2</v>
      </c>
      <c r="AF317" s="862" t="e">
        <f>VLOOKUP('6 Caissons Objets'!nbcal4,$A$238:$D$239,4)*2</f>
        <v>#N/A</v>
      </c>
      <c r="AG317" s="862" t="e">
        <f>VLOOKUP('6 Caissons Objets'!nbcal4,$A$238:$D$239,4)*2</f>
        <v>#N/A</v>
      </c>
      <c r="AH317" s="862" t="e">
        <f>VLOOKUP('6 Caissons Objets'!nbcal4,$A$238:$D$239,4)</f>
        <v>#N/A</v>
      </c>
      <c r="AI317" s="862" t="s">
        <v>321</v>
      </c>
      <c r="AJ317" s="863"/>
    </row>
    <row r="318" spans="1:36" ht="18" hidden="1" customHeight="1" x14ac:dyDescent="0.35">
      <c r="A318" s="861" t="s">
        <v>326</v>
      </c>
      <c r="B318" s="862" t="s">
        <v>354</v>
      </c>
      <c r="C318" s="862">
        <f>'6 Caissons Objets'!Lnec4</f>
        <v>0</v>
      </c>
      <c r="D318" s="862">
        <v>9.3000000000000007</v>
      </c>
      <c r="E318" s="862">
        <f>1</f>
        <v>1</v>
      </c>
      <c r="F318" s="862" t="s">
        <v>355</v>
      </c>
      <c r="G318" s="862">
        <f>'6 Caissons Objets'!Lnec4</f>
        <v>0</v>
      </c>
      <c r="H318" s="862">
        <v>5.2</v>
      </c>
      <c r="I318" s="862">
        <f>'6 Caissons Objets'!nbcal4*2</f>
        <v>4</v>
      </c>
      <c r="J318" s="862" t="s">
        <v>349</v>
      </c>
      <c r="K318" s="862">
        <f>'6 Caissons Objets'!lanec4</f>
        <v>0</v>
      </c>
      <c r="L318" s="862">
        <v>7</v>
      </c>
      <c r="M318" s="862">
        <f>'6 Caissons Objets'!nbcal4*4</f>
        <v>8</v>
      </c>
      <c r="N318" s="862" t="b">
        <f>IF('6 Caissons Objets'!Typedemousse4="Stratocell 35 Kg","Stratocell 50 mm",IF('6 Caissons Objets'!Typedemousse4="Stratocell 65 Kg","Stratocell 50 mm 65 kg"))</f>
        <v>0</v>
      </c>
      <c r="O318" s="862">
        <f>'6 Caissons Objets'!Lnec4</f>
        <v>0</v>
      </c>
      <c r="P318" s="862">
        <f>('6 Caissons Objets'!lanec4-4.2)/2</f>
        <v>-2.1</v>
      </c>
      <c r="Q318" s="862">
        <f>'6 Caissons Objets'!nbcal4*2</f>
        <v>4</v>
      </c>
      <c r="R318" s="862" t="b">
        <f>IF('6 Caissons Objets'!Typedemousse4="Stratocell 35 Kg","Stratocell 50 mm",IF('6 Caissons Objets'!Typedemousse4="Stratocell 65 Kg","Stratocell 50 mm 65 kg"))</f>
        <v>0</v>
      </c>
      <c r="S318" s="862">
        <f>'6 Caissons Objets'!lanec4</f>
        <v>0</v>
      </c>
      <c r="T318" s="862">
        <f>IF('6 Caissons Objets'!hnec4&lt;200,9.3,14.4)</f>
        <v>9.3000000000000007</v>
      </c>
      <c r="U318" s="862">
        <f>1</f>
        <v>1</v>
      </c>
      <c r="V318" s="862" t="str">
        <f>'6 Caissons Objets'!Base4</f>
        <v>Aucun</v>
      </c>
      <c r="W318" s="862">
        <f t="shared" si="120"/>
        <v>0</v>
      </c>
      <c r="X318" s="862">
        <f>VLOOKUP('6 Caissons Objets'!plat4,$A$214:$B$220,2)</f>
        <v>0</v>
      </c>
      <c r="Y318" s="862">
        <f>'6 Caissons Objets'!Lnec4</f>
        <v>0</v>
      </c>
      <c r="Z318" s="862">
        <f>'6 Caissons Objets'!lanec4</f>
        <v>0</v>
      </c>
      <c r="AA318" s="862">
        <f t="shared" si="121"/>
        <v>0</v>
      </c>
      <c r="AB318" s="862"/>
      <c r="AC318" s="862"/>
      <c r="AD318" s="862"/>
      <c r="AE318" s="862"/>
      <c r="AF318" s="862">
        <v>14</v>
      </c>
      <c r="AG318" s="862">
        <v>14</v>
      </c>
      <c r="AH318" s="862">
        <v>7</v>
      </c>
      <c r="AI318" s="862" t="s">
        <v>317</v>
      </c>
      <c r="AJ318" s="863" t="s">
        <v>321</v>
      </c>
    </row>
    <row r="319" spans="1:36" ht="18" hidden="1" customHeight="1" x14ac:dyDescent="0.35">
      <c r="A319" s="861" t="s">
        <v>328</v>
      </c>
      <c r="B319" s="862"/>
      <c r="C319" s="862"/>
      <c r="D319" s="862"/>
      <c r="E319" s="862"/>
      <c r="F319" s="862" t="s">
        <v>355</v>
      </c>
      <c r="G319" s="862">
        <f>'6 Caissons Objets'!lanec4</f>
        <v>0</v>
      </c>
      <c r="H319" s="862">
        <v>5.2</v>
      </c>
      <c r="I319" s="862">
        <f>'6 Caissons Objets'!nbcal4</f>
        <v>2</v>
      </c>
      <c r="J319" s="862" t="s">
        <v>349</v>
      </c>
      <c r="K319" s="862">
        <f>'6 Caissons Objets'!hnec4-AA319</f>
        <v>0</v>
      </c>
      <c r="L319" s="862">
        <v>7</v>
      </c>
      <c r="M319" s="862">
        <f>'6 Caissons Objets'!nbcal4*4</f>
        <v>8</v>
      </c>
      <c r="N319" s="862" t="b">
        <f>IF('6 Caissons Objets'!Typedemousse4="Stratocell 35 Kg","Stratocell 50 mm",IF('6 Caissons Objets'!Typedemousse4="Stratocell 65 Kg","Stratocell 50 mm 65 kg"))</f>
        <v>0</v>
      </c>
      <c r="O319" s="862">
        <f>'6 Caissons Objets'!lanec4</f>
        <v>0</v>
      </c>
      <c r="P319" s="862">
        <f>'6 Caissons Objets'!hnec4-2.1-AA319</f>
        <v>-2.1</v>
      </c>
      <c r="Q319" s="862">
        <f>'6 Caissons Objets'!nbcal4</f>
        <v>2</v>
      </c>
      <c r="R319" s="862"/>
      <c r="S319" s="862"/>
      <c r="T319" s="862"/>
      <c r="U319" s="862"/>
      <c r="V319" s="862" t="str">
        <f>'6 Caissons Objets'!Base4</f>
        <v>Aucun</v>
      </c>
      <c r="W319" s="862">
        <f t="shared" si="120"/>
        <v>0</v>
      </c>
      <c r="X319" s="862">
        <f>VLOOKUP('6 Caissons Objets'!plat4,$A$214:$B$220,2)</f>
        <v>0</v>
      </c>
      <c r="Y319" s="862">
        <f>'6 Caissons Objets'!Lnec4</f>
        <v>0</v>
      </c>
      <c r="Z319" s="862">
        <f>'6 Caissons Objets'!lanec4</f>
        <v>0</v>
      </c>
      <c r="AA319" s="862">
        <f t="shared" si="121"/>
        <v>0</v>
      </c>
      <c r="AB319" s="862"/>
      <c r="AC319" s="862"/>
      <c r="AD319" s="862"/>
      <c r="AE319" s="862"/>
      <c r="AF319" s="862">
        <v>10.5</v>
      </c>
      <c r="AG319" s="862">
        <v>14</v>
      </c>
      <c r="AH319" s="862">
        <v>7</v>
      </c>
      <c r="AI319" s="862" t="s">
        <v>317</v>
      </c>
      <c r="AJ319" s="863" t="s">
        <v>321</v>
      </c>
    </row>
    <row r="320" spans="1:36" ht="18" hidden="1" customHeight="1" x14ac:dyDescent="0.35">
      <c r="A320" s="864" t="s">
        <v>329</v>
      </c>
      <c r="B320" s="865"/>
      <c r="C320" s="865"/>
      <c r="D320" s="865"/>
      <c r="E320" s="865"/>
      <c r="F320" s="862" t="s">
        <v>355</v>
      </c>
      <c r="G320" s="862">
        <f>'6 Caissons Objets'!lanec4</f>
        <v>0</v>
      </c>
      <c r="H320" s="862">
        <v>5.2</v>
      </c>
      <c r="I320" s="862">
        <f>'6 Caissons Objets'!nbcal4</f>
        <v>2</v>
      </c>
      <c r="J320" s="862" t="s">
        <v>349</v>
      </c>
      <c r="K320" s="862">
        <f>'6 Caissons Objets'!hnec4-AA320</f>
        <v>0</v>
      </c>
      <c r="L320" s="862">
        <v>7</v>
      </c>
      <c r="M320" s="862">
        <f>'6 Caissons Objets'!nbcal4*4</f>
        <v>8</v>
      </c>
      <c r="N320" s="865" t="b">
        <f>IF('6 Caissons Objets'!Typedemousse4="Stratocell 35 Kg","Stratocell 50 mm",IF('6 Caissons Objets'!Typedemousse4="Stratocell 65 Kg","Stratocell 50 mm 65 kg"))</f>
        <v>0</v>
      </c>
      <c r="O320" s="865">
        <f>'6 Caissons Objets'!lanec4</f>
        <v>0</v>
      </c>
      <c r="P320" s="865">
        <f>'6 Caissons Objets'!hnec4-2.1-AA320</f>
        <v>-2.1</v>
      </c>
      <c r="Q320" s="865">
        <f>'6 Caissons Objets'!nbcal4</f>
        <v>2</v>
      </c>
      <c r="R320" s="865" t="b">
        <f>IF('6 Caissons Objets'!Typedemousse4="Stratocell 35 Kg","Stratocell 50 mm",IF('6 Caissons Objets'!Typedemousse4="Stratocell 65 Kg","Stratocell 50 mm 65 kg"))</f>
        <v>0</v>
      </c>
      <c r="S320" s="865">
        <f>'6 Caissons Objets'!Lnec4</f>
        <v>0</v>
      </c>
      <c r="T320" s="865">
        <f>I20+AA320</f>
        <v>0</v>
      </c>
      <c r="U320" s="865">
        <v>2</v>
      </c>
      <c r="V320" s="862" t="str">
        <f>'6 Caissons Objets'!Base4</f>
        <v>Aucun</v>
      </c>
      <c r="W320" s="865">
        <f t="shared" si="120"/>
        <v>0</v>
      </c>
      <c r="X320" s="862">
        <f>VLOOKUP('6 Caissons Objets'!plat4,$A$214:$B$220,2)</f>
        <v>0</v>
      </c>
      <c r="Y320" s="865">
        <f>'6 Caissons Objets'!Lnec4-10.2</f>
        <v>-10.199999999999999</v>
      </c>
      <c r="Z320" s="865">
        <f>'6 Caissons Objets'!lanec4-10.2</f>
        <v>-10.199999999999999</v>
      </c>
      <c r="AA320" s="865">
        <f t="shared" si="121"/>
        <v>0</v>
      </c>
      <c r="AB320" s="865" t="b">
        <f>IF('6 Caissons Objets'!Typedemousse4="Stratocell 35 Kg","Stratocell 50 mm",IF('6 Caissons Objets'!Typedemousse4="Stratocell 65 Kg","Stratocell 50 mm 65 kg"))</f>
        <v>0</v>
      </c>
      <c r="AC320" s="865">
        <f>'6 Caissons Objets'!lanec4-VLOOKUP(H19,A308:AJ320,33)</f>
        <v>0</v>
      </c>
      <c r="AD320" s="865">
        <f>T320</f>
        <v>0</v>
      </c>
      <c r="AE320" s="865">
        <v>2</v>
      </c>
      <c r="AF320" s="865">
        <v>10.6</v>
      </c>
      <c r="AG320" s="865">
        <v>10.6</v>
      </c>
      <c r="AH320" s="865">
        <v>7</v>
      </c>
      <c r="AI320" s="865" t="s">
        <v>317</v>
      </c>
      <c r="AJ320" s="866" t="s">
        <v>321</v>
      </c>
    </row>
    <row r="321" spans="1:36" ht="18" hidden="1" customHeight="1" x14ac:dyDescent="0.35">
      <c r="A321" s="468"/>
      <c r="B321" s="468"/>
      <c r="C321" s="468"/>
      <c r="D321" s="468"/>
      <c r="E321" s="468"/>
      <c r="F321" s="468"/>
      <c r="G321" s="468"/>
      <c r="H321" s="468"/>
      <c r="I321" s="468"/>
      <c r="J321" s="468"/>
      <c r="K321" s="468"/>
      <c r="L321" s="468"/>
      <c r="M321" s="468"/>
      <c r="N321" s="468"/>
      <c r="O321" s="468"/>
      <c r="P321" s="468"/>
      <c r="Q321" s="468"/>
      <c r="R321" s="468"/>
      <c r="S321" s="468"/>
      <c r="T321" s="468"/>
      <c r="U321" s="468"/>
      <c r="V321" s="468"/>
      <c r="W321" s="468"/>
      <c r="X321" s="468"/>
      <c r="Y321" s="468"/>
      <c r="Z321" s="468"/>
      <c r="AA321" s="468"/>
      <c r="AB321" s="468"/>
      <c r="AC321" s="468"/>
      <c r="AD321" s="468"/>
      <c r="AE321" s="468"/>
      <c r="AF321" s="468"/>
      <c r="AG321" s="468"/>
      <c r="AH321" s="468"/>
      <c r="AI321" s="468"/>
      <c r="AJ321" s="468"/>
    </row>
    <row r="322" spans="1:36" ht="18" hidden="1" customHeight="1" x14ac:dyDescent="0.35">
      <c r="A322" s="480">
        <v>1</v>
      </c>
      <c r="B322" s="482">
        <f t="shared" ref="B322:V322" si="123">A322+1</f>
        <v>2</v>
      </c>
      <c r="C322" s="482">
        <f t="shared" si="123"/>
        <v>3</v>
      </c>
      <c r="D322" s="482">
        <f t="shared" si="123"/>
        <v>4</v>
      </c>
      <c r="E322" s="482">
        <f t="shared" si="123"/>
        <v>5</v>
      </c>
      <c r="F322" s="482">
        <f t="shared" si="123"/>
        <v>6</v>
      </c>
      <c r="G322" s="482">
        <f t="shared" si="123"/>
        <v>7</v>
      </c>
      <c r="H322" s="482">
        <f t="shared" si="123"/>
        <v>8</v>
      </c>
      <c r="I322" s="482">
        <f t="shared" si="123"/>
        <v>9</v>
      </c>
      <c r="J322" s="482">
        <f t="shared" si="123"/>
        <v>10</v>
      </c>
      <c r="K322" s="482">
        <f t="shared" si="123"/>
        <v>11</v>
      </c>
      <c r="L322" s="482">
        <f t="shared" si="123"/>
        <v>12</v>
      </c>
      <c r="M322" s="482">
        <f t="shared" si="123"/>
        <v>13</v>
      </c>
      <c r="N322" s="482">
        <f t="shared" si="123"/>
        <v>14</v>
      </c>
      <c r="O322" s="482">
        <f t="shared" si="123"/>
        <v>15</v>
      </c>
      <c r="P322" s="482">
        <f t="shared" si="123"/>
        <v>16</v>
      </c>
      <c r="Q322" s="482">
        <f t="shared" si="123"/>
        <v>17</v>
      </c>
      <c r="R322" s="482">
        <f t="shared" si="123"/>
        <v>18</v>
      </c>
      <c r="S322" s="482">
        <f t="shared" si="123"/>
        <v>19</v>
      </c>
      <c r="T322" s="482">
        <f t="shared" si="123"/>
        <v>20</v>
      </c>
      <c r="U322" s="482">
        <f t="shared" si="123"/>
        <v>21</v>
      </c>
      <c r="V322" s="482">
        <f t="shared" si="123"/>
        <v>22</v>
      </c>
      <c r="W322" s="482">
        <v>23</v>
      </c>
      <c r="X322" s="482">
        <v>24</v>
      </c>
      <c r="Y322" s="482">
        <v>25</v>
      </c>
      <c r="Z322" s="482">
        <f t="shared" ref="Z322:AG322" si="124">Y322+1</f>
        <v>26</v>
      </c>
      <c r="AA322" s="482">
        <f t="shared" si="124"/>
        <v>27</v>
      </c>
      <c r="AB322" s="482">
        <f t="shared" si="124"/>
        <v>28</v>
      </c>
      <c r="AC322" s="482">
        <f t="shared" si="124"/>
        <v>29</v>
      </c>
      <c r="AD322" s="482">
        <f t="shared" si="124"/>
        <v>30</v>
      </c>
      <c r="AE322" s="482">
        <f t="shared" si="124"/>
        <v>31</v>
      </c>
      <c r="AF322" s="482">
        <f t="shared" si="124"/>
        <v>32</v>
      </c>
      <c r="AG322" s="482">
        <f t="shared" si="124"/>
        <v>33</v>
      </c>
      <c r="AH322" s="482">
        <v>34</v>
      </c>
      <c r="AI322" s="482">
        <v>35</v>
      </c>
      <c r="AJ322" s="484">
        <v>36</v>
      </c>
    </row>
    <row r="323" spans="1:36" ht="18" hidden="1" customHeight="1" x14ac:dyDescent="0.35">
      <c r="A323" s="858" t="s">
        <v>384</v>
      </c>
      <c r="B323" s="504" t="s">
        <v>348</v>
      </c>
      <c r="C323" s="504" t="s">
        <v>28</v>
      </c>
      <c r="D323" s="504" t="s">
        <v>33</v>
      </c>
      <c r="E323" s="504" t="s">
        <v>34</v>
      </c>
      <c r="F323" s="504" t="s">
        <v>348</v>
      </c>
      <c r="G323" s="504" t="s">
        <v>28</v>
      </c>
      <c r="H323" s="504" t="s">
        <v>33</v>
      </c>
      <c r="I323" s="504" t="s">
        <v>34</v>
      </c>
      <c r="J323" s="504" t="s">
        <v>349</v>
      </c>
      <c r="K323" s="504" t="s">
        <v>28</v>
      </c>
      <c r="L323" s="504" t="s">
        <v>33</v>
      </c>
      <c r="M323" s="504" t="s">
        <v>34</v>
      </c>
      <c r="N323" s="504"/>
      <c r="O323" s="504" t="s">
        <v>28</v>
      </c>
      <c r="P323" s="504" t="s">
        <v>33</v>
      </c>
      <c r="Q323" s="504" t="s">
        <v>34</v>
      </c>
      <c r="R323" s="504"/>
      <c r="S323" s="504" t="s">
        <v>28</v>
      </c>
      <c r="T323" s="504" t="s">
        <v>33</v>
      </c>
      <c r="U323" s="504" t="s">
        <v>34</v>
      </c>
      <c r="V323" s="504" t="s">
        <v>308</v>
      </c>
      <c r="W323" s="504" t="s">
        <v>350</v>
      </c>
      <c r="X323" s="504" t="s">
        <v>351</v>
      </c>
      <c r="Y323" s="504" t="s">
        <v>28</v>
      </c>
      <c r="Z323" s="504" t="s">
        <v>33</v>
      </c>
      <c r="AA323" s="504" t="s">
        <v>269</v>
      </c>
      <c r="AB323" s="504"/>
      <c r="AC323" s="504" t="s">
        <v>28</v>
      </c>
      <c r="AD323" s="504" t="s">
        <v>33</v>
      </c>
      <c r="AE323" s="504" t="s">
        <v>34</v>
      </c>
      <c r="AF323" s="504" t="s">
        <v>495</v>
      </c>
      <c r="AG323" s="504" t="s">
        <v>33</v>
      </c>
      <c r="AH323" s="504" t="s">
        <v>30</v>
      </c>
      <c r="AI323" s="504" t="s">
        <v>321</v>
      </c>
      <c r="AJ323" s="859" t="s">
        <v>321</v>
      </c>
    </row>
    <row r="324" spans="1:36" ht="18" hidden="1" customHeight="1" x14ac:dyDescent="0.35">
      <c r="A324" s="860" t="s">
        <v>16</v>
      </c>
      <c r="B324" s="504">
        <v>0</v>
      </c>
      <c r="C324" s="504">
        <v>0</v>
      </c>
      <c r="D324" s="504">
        <v>0</v>
      </c>
      <c r="E324" s="504">
        <v>0</v>
      </c>
      <c r="F324" s="504">
        <v>0</v>
      </c>
      <c r="G324" s="504">
        <v>0</v>
      </c>
      <c r="H324" s="504">
        <v>0</v>
      </c>
      <c r="I324" s="504">
        <v>0</v>
      </c>
      <c r="J324" s="504">
        <v>0</v>
      </c>
      <c r="K324" s="504">
        <v>0</v>
      </c>
      <c r="L324" s="504">
        <v>0</v>
      </c>
      <c r="M324" s="504">
        <v>0</v>
      </c>
      <c r="N324" s="504">
        <v>0</v>
      </c>
      <c r="O324" s="504">
        <v>0</v>
      </c>
      <c r="P324" s="504">
        <v>0</v>
      </c>
      <c r="Q324" s="504">
        <v>0</v>
      </c>
      <c r="R324" s="504">
        <v>0</v>
      </c>
      <c r="S324" s="504">
        <v>0</v>
      </c>
      <c r="T324" s="504">
        <v>0</v>
      </c>
      <c r="U324" s="504">
        <v>0</v>
      </c>
      <c r="V324" s="504">
        <v>0</v>
      </c>
      <c r="W324" s="504">
        <v>0</v>
      </c>
      <c r="X324" s="504">
        <v>0</v>
      </c>
      <c r="Y324" s="504">
        <v>0</v>
      </c>
      <c r="Z324" s="504">
        <v>0</v>
      </c>
      <c r="AA324" s="504">
        <v>0</v>
      </c>
      <c r="AB324" s="504">
        <v>0</v>
      </c>
      <c r="AC324" s="504">
        <v>0</v>
      </c>
      <c r="AD324" s="504">
        <v>0</v>
      </c>
      <c r="AE324" s="504">
        <v>0</v>
      </c>
      <c r="AF324" s="504">
        <v>0</v>
      </c>
      <c r="AG324" s="504">
        <v>0</v>
      </c>
      <c r="AH324" s="504"/>
      <c r="AI324" s="504"/>
      <c r="AJ324" s="859"/>
    </row>
    <row r="325" spans="1:36" ht="18" hidden="1" customHeight="1" x14ac:dyDescent="0.35">
      <c r="A325" s="861" t="s">
        <v>319</v>
      </c>
      <c r="B325" s="862" t="s">
        <v>352</v>
      </c>
      <c r="C325" s="862">
        <f>'6 Caissons Objets'!Lnec5</f>
        <v>0</v>
      </c>
      <c r="D325" s="862">
        <v>9.3000000000000007</v>
      </c>
      <c r="E325" s="862">
        <f>'6 Caissons Objets'!nbcal5*2+1</f>
        <v>5</v>
      </c>
      <c r="F325" s="862" t="s">
        <v>353</v>
      </c>
      <c r="G325" s="862">
        <f>'6 Caissons Objets'!lanec5</f>
        <v>0</v>
      </c>
      <c r="H325" s="862">
        <v>9.3000000000000007</v>
      </c>
      <c r="I325" s="862">
        <f>'6 Caissons Objets'!nbcal5*2</f>
        <v>4</v>
      </c>
      <c r="J325" s="862"/>
      <c r="K325" s="862"/>
      <c r="L325" s="862"/>
      <c r="M325" s="862"/>
      <c r="N325" s="862" t="b">
        <f>IF('6 Caissons Objets'!Typedemousse5="Stratocell 35 Kg","Stratocell 50 mm",IF('6 Caissons Objets'!Typedemousse5="Stratocell 65 Kg","Stratocell 50 mm 65 kg"))</f>
        <v>0</v>
      </c>
      <c r="O325" s="862">
        <f>'6 Caissons Objets'!Lnec5</f>
        <v>0</v>
      </c>
      <c r="P325" s="862">
        <f>IF('6 Caissons Objets'!hnec5&lt;200,9.3,14.4)</f>
        <v>9.3000000000000007</v>
      </c>
      <c r="Q325" s="862">
        <f>'6 Caissons Objets'!nbcal5*2+1</f>
        <v>5</v>
      </c>
      <c r="R325" s="862" t="b">
        <f>IF('6 Caissons Objets'!Typedemousse5="Stratocell 35 Kg","Stratocell 50 mm",IF('6 Caissons Objets'!Typedemousse5="Stratocell 65 Kg","Stratocell 50 mm 65 kg"))</f>
        <v>0</v>
      </c>
      <c r="S325" s="862">
        <f>'6 Caissons Objets'!lanec5</f>
        <v>0</v>
      </c>
      <c r="T325" s="862">
        <f>IF('6 Caissons Objets'!hnec5&lt;200,9.3,14.4)</f>
        <v>9.3000000000000007</v>
      </c>
      <c r="U325" s="862">
        <f>'6 Caissons Objets'!nbcal5*2</f>
        <v>4</v>
      </c>
      <c r="V325" s="862" t="str">
        <f>'6 Caissons Objets'!Base5</f>
        <v>Aucun</v>
      </c>
      <c r="W325" s="862">
        <f t="shared" ref="W325:W336" si="125">VLOOKUP(V325,$A$222:$C$230,3)</f>
        <v>0</v>
      </c>
      <c r="X325" s="862">
        <f>VLOOKUP('6 Caissons Objets'!plat5,$A$214:$B$220,2)</f>
        <v>0</v>
      </c>
      <c r="Y325" s="862">
        <f>'6 Caissons Objets'!Lnec5</f>
        <v>0</v>
      </c>
      <c r="Z325" s="862">
        <f>'6 Caissons Objets'!lanec5</f>
        <v>0</v>
      </c>
      <c r="AA325" s="862">
        <f t="shared" ref="AA325:AA336" si="126">W325+X325</f>
        <v>0</v>
      </c>
      <c r="AB325" s="862"/>
      <c r="AC325" s="862"/>
      <c r="AD325" s="862"/>
      <c r="AE325" s="862"/>
      <c r="AF325" s="862">
        <v>14</v>
      </c>
      <c r="AG325" s="862">
        <v>14</v>
      </c>
      <c r="AH325" s="862">
        <v>7</v>
      </c>
      <c r="AI325" s="862" t="s">
        <v>317</v>
      </c>
      <c r="AJ325" s="863" t="s">
        <v>321</v>
      </c>
    </row>
    <row r="326" spans="1:36" ht="18" hidden="1" customHeight="1" x14ac:dyDescent="0.35">
      <c r="A326" s="861" t="s">
        <v>320</v>
      </c>
      <c r="B326" s="862"/>
      <c r="C326" s="862"/>
      <c r="D326" s="862"/>
      <c r="E326" s="862"/>
      <c r="F326" s="862"/>
      <c r="G326" s="862"/>
      <c r="H326" s="862"/>
      <c r="I326" s="862"/>
      <c r="J326" s="862"/>
      <c r="K326" s="862"/>
      <c r="L326" s="862"/>
      <c r="M326" s="862"/>
      <c r="N326" s="862">
        <f>IF('6 Caissons Objets'!nbcal5="PU","PU 30 mm",IF('6 Caissons Objets'!nbcal5="Stratocell","Stratocell 30 mm",0))</f>
        <v>0</v>
      </c>
      <c r="O326" s="862">
        <f>'6 Caissons Objets'!Lnec5</f>
        <v>0</v>
      </c>
      <c r="P326" s="862">
        <v>12</v>
      </c>
      <c r="Q326" s="862">
        <f>IF('6 Caissons Objets'!hnec5&lt;80,4,6)</f>
        <v>4</v>
      </c>
      <c r="R326" s="862">
        <f>IF('6 Caissons Objets'!nbcal5="PU","PU 30 mm",IF('6 Caissons Objets'!nbcal5="Stratocell","Stratocell 30 mm",0))</f>
        <v>0</v>
      </c>
      <c r="S326" s="862">
        <f>'6 Caissons Objets'!lanec5-6</f>
        <v>-6</v>
      </c>
      <c r="T326" s="862">
        <v>12</v>
      </c>
      <c r="U326" s="862">
        <f t="shared" ref="U326:U327" si="127">Q326</f>
        <v>4</v>
      </c>
      <c r="V326" s="862" t="str">
        <f>'6 Caissons Objets'!Base5</f>
        <v>Aucun</v>
      </c>
      <c r="W326" s="862">
        <f t="shared" si="125"/>
        <v>0</v>
      </c>
      <c r="X326" s="862">
        <f>VLOOKUP('6 Caissons Objets'!plat5,$A$214:$B$220,2)</f>
        <v>0</v>
      </c>
      <c r="Y326" s="862">
        <f>'6 Caissons Objets'!Lnec5</f>
        <v>0</v>
      </c>
      <c r="Z326" s="862">
        <f>'6 Caissons Objets'!lanec5</f>
        <v>0</v>
      </c>
      <c r="AA326" s="862">
        <f t="shared" si="126"/>
        <v>0</v>
      </c>
      <c r="AB326" s="862">
        <f>IF('6 Caissons Objets'!nbcal5="PU","PU 30 mm",IF('6 Caissons Objets'!nbcal5="Stratocell","Stratocell 30 mm",0))</f>
        <v>0</v>
      </c>
      <c r="AC326" s="862">
        <f>'6 Caissons Objets'!lanec5</f>
        <v>0</v>
      </c>
      <c r="AD326" s="862">
        <v>12</v>
      </c>
      <c r="AE326" s="862">
        <f>IF('6 Caissons Objets'!Lnec1&lt;100,3,4)</f>
        <v>3</v>
      </c>
      <c r="AF326" s="862" t="e">
        <f>VLOOKUP('6 Caissons Objets'!nbcal5,$A$238:$D$239,3)*2</f>
        <v>#N/A</v>
      </c>
      <c r="AG326" s="862" t="e">
        <f>VLOOKUP('6 Caissons Objets'!nbcal5,$A$238:$D$239,3)*2</f>
        <v>#N/A</v>
      </c>
      <c r="AH326" s="862" t="e">
        <f>VLOOKUP('6 Caissons Objets'!nbcal5,$A$238:$D$239,3)</f>
        <v>#N/A</v>
      </c>
      <c r="AI326" s="862" t="s">
        <v>321</v>
      </c>
      <c r="AJ326" s="863"/>
    </row>
    <row r="327" spans="1:36" ht="18" hidden="1" customHeight="1" x14ac:dyDescent="0.35">
      <c r="A327" s="861" t="s">
        <v>322</v>
      </c>
      <c r="B327" s="862"/>
      <c r="C327" s="862"/>
      <c r="D327" s="862"/>
      <c r="E327" s="862"/>
      <c r="F327" s="862"/>
      <c r="G327" s="862"/>
      <c r="H327" s="862"/>
      <c r="I327" s="862"/>
      <c r="J327" s="862"/>
      <c r="K327" s="862"/>
      <c r="L327" s="862"/>
      <c r="M327" s="862"/>
      <c r="N327" s="862">
        <f>IF('6 Caissons Objets'!nbcal5="PU","PU 50 mm",IF('6 Caissons Objets'!nbcal5="Stratocell","Stratocell 50 mm",0))</f>
        <v>0</v>
      </c>
      <c r="O327" s="862">
        <f>'6 Caissons Objets'!Lnec5</f>
        <v>0</v>
      </c>
      <c r="P327" s="862">
        <v>12</v>
      </c>
      <c r="Q327" s="862">
        <f>IF('6 Caissons Objets'!hnec5&lt;80,4,6)</f>
        <v>4</v>
      </c>
      <c r="R327" s="862">
        <f>IF('6 Caissons Objets'!nbcal5="PU","PU 50 mm",IF('6 Caissons Objets'!nbcal5="Stratocell","Stratocell 50 mm",0))</f>
        <v>0</v>
      </c>
      <c r="S327" s="862">
        <f>'6 Caissons Objets'!lanec5-10</f>
        <v>-10</v>
      </c>
      <c r="T327" s="862">
        <v>12</v>
      </c>
      <c r="U327" s="862">
        <f t="shared" si="127"/>
        <v>4</v>
      </c>
      <c r="V327" s="862" t="str">
        <f>'6 Caissons Objets'!Base5</f>
        <v>Aucun</v>
      </c>
      <c r="W327" s="862">
        <f t="shared" si="125"/>
        <v>0</v>
      </c>
      <c r="X327" s="862">
        <f>VLOOKUP('6 Caissons Objets'!plat5,$A$214:$B$220,2)</f>
        <v>0</v>
      </c>
      <c r="Y327" s="862">
        <f>'6 Caissons Objets'!Lnec5</f>
        <v>0</v>
      </c>
      <c r="Z327" s="862">
        <f>'6 Caissons Objets'!lanec5</f>
        <v>0</v>
      </c>
      <c r="AA327" s="862">
        <f t="shared" si="126"/>
        <v>0</v>
      </c>
      <c r="AB327" s="862">
        <f>IF('6 Caissons Objets'!nbcal5="PU","PU 50 mm",IF('6 Caissons Objets'!nbcal5="Stratocell","Stratocell 50 mm",0))</f>
        <v>0</v>
      </c>
      <c r="AC327" s="862">
        <f>'6 Caissons Objets'!lanec5</f>
        <v>0</v>
      </c>
      <c r="AD327" s="862">
        <v>12</v>
      </c>
      <c r="AE327" s="862">
        <f>IF('6 Caissons Objets'!Lnec1&lt;100,3,4)</f>
        <v>3</v>
      </c>
      <c r="AF327" s="862" t="e">
        <f>VLOOKUP('6 Caissons Objets'!nbcal5,$A$238:$D$239,4)*2</f>
        <v>#N/A</v>
      </c>
      <c r="AG327" s="862" t="e">
        <f>VLOOKUP('6 Caissons Objets'!nbcal5,$A$238:$D$239,4)*2</f>
        <v>#N/A</v>
      </c>
      <c r="AH327" s="862" t="e">
        <f>VLOOKUP('6 Caissons Objets'!nbcal5,$A$238:$D$239,4)</f>
        <v>#N/A</v>
      </c>
      <c r="AI327" s="862" t="s">
        <v>321</v>
      </c>
      <c r="AJ327" s="863"/>
    </row>
    <row r="328" spans="1:36" ht="18" hidden="1" customHeight="1" x14ac:dyDescent="0.35">
      <c r="A328" s="533" t="s">
        <v>496</v>
      </c>
      <c r="B328" s="862"/>
      <c r="C328" s="862"/>
      <c r="D328" s="862"/>
      <c r="E328" s="862"/>
      <c r="F328" s="862"/>
      <c r="G328" s="862"/>
      <c r="H328" s="862"/>
      <c r="I328" s="862"/>
      <c r="J328" s="862"/>
      <c r="K328" s="862"/>
      <c r="L328" s="862"/>
      <c r="M328" s="862"/>
      <c r="N328" s="862">
        <f>IF('6 Caissons Objets'!nbcal5="PU","PU 50 mm",IF('6 Caissons Objets'!nbcal5="Stratocell","Stratocell 50 mm",0))</f>
        <v>0</v>
      </c>
      <c r="O328" s="862">
        <f>'6 Caissons Objets'!Lnec5</f>
        <v>0</v>
      </c>
      <c r="P328" s="862">
        <f>'6 Caissons Objets'!lanec5</f>
        <v>0</v>
      </c>
      <c r="Q328" s="862">
        <f>('6 Caissons Objets'!hnec5-AA328)/5</f>
        <v>0</v>
      </c>
      <c r="R328" s="862"/>
      <c r="S328" s="862"/>
      <c r="T328" s="862"/>
      <c r="U328" s="862"/>
      <c r="V328" s="862" t="str">
        <f>'6 Caissons Objets'!Base5</f>
        <v>Aucun</v>
      </c>
      <c r="W328" s="862">
        <f t="shared" si="125"/>
        <v>0</v>
      </c>
      <c r="X328" s="862">
        <f>VLOOKUP('6 Caissons Objets'!plat5,$A$214:$B$220,2)</f>
        <v>0</v>
      </c>
      <c r="Y328" s="862">
        <f>'6 Caissons Objets'!Lnec5</f>
        <v>0</v>
      </c>
      <c r="Z328" s="862">
        <f>'6 Caissons Objets'!lanec5</f>
        <v>0</v>
      </c>
      <c r="AA328" s="862">
        <f t="shared" si="126"/>
        <v>0</v>
      </c>
      <c r="AB328" s="862"/>
      <c r="AC328" s="862"/>
      <c r="AD328" s="862"/>
      <c r="AE328" s="862"/>
      <c r="AF328" s="862" t="e">
        <f>VLOOKUP('6 Caissons Objets'!nbcal5,$A$238:$D$239,4)*2</f>
        <v>#N/A</v>
      </c>
      <c r="AG328" s="862" t="e">
        <f>VLOOKUP('6 Caissons Objets'!nbcal5,$A$238:$D$239,4)*2</f>
        <v>#N/A</v>
      </c>
      <c r="AH328" s="862" t="e">
        <f>VLOOKUP('6 Caissons Objets'!nbcal5,$A$238:$D$239,4)</f>
        <v>#N/A</v>
      </c>
      <c r="AI328" s="862" t="s">
        <v>321</v>
      </c>
      <c r="AJ328" s="863"/>
    </row>
    <row r="329" spans="1:36" ht="18" hidden="1" customHeight="1" x14ac:dyDescent="0.35">
      <c r="A329" s="861" t="s">
        <v>324</v>
      </c>
      <c r="B329" s="862"/>
      <c r="C329" s="862"/>
      <c r="D329" s="862"/>
      <c r="E329" s="862"/>
      <c r="F329" s="862"/>
      <c r="G329" s="862"/>
      <c r="H329" s="862"/>
      <c r="I329" s="862"/>
      <c r="J329" s="862"/>
      <c r="K329" s="862"/>
      <c r="L329" s="862"/>
      <c r="M329" s="862"/>
      <c r="N329" s="862">
        <f>IF('6 Caissons Objets'!nbcal5="PU","PU 50 mm",IF('6 Caissons Objets'!nbcal5="Stratocell","Stratocell 50 mm",0))</f>
        <v>0</v>
      </c>
      <c r="O329" s="862">
        <f>'6 Caissons Objets'!Lnec5-0.3</f>
        <v>-0.3</v>
      </c>
      <c r="P329" s="862">
        <f>'6 Caissons Objets'!lanec5-0.3</f>
        <v>-0.3</v>
      </c>
      <c r="Q329" s="862">
        <f>('6 Caissons Objets'!hnec5-AA329)/5</f>
        <v>0</v>
      </c>
      <c r="R329" s="862"/>
      <c r="S329" s="862"/>
      <c r="T329" s="862"/>
      <c r="U329" s="862"/>
      <c r="V329" s="862" t="str">
        <f>'6 Caissons Objets'!Base5</f>
        <v>Aucun</v>
      </c>
      <c r="W329" s="862">
        <f t="shared" si="125"/>
        <v>0</v>
      </c>
      <c r="X329" s="862">
        <f>VLOOKUP('6 Caissons Objets'!plat5,$A$214:$B$220,2)</f>
        <v>0</v>
      </c>
      <c r="Y329" s="862">
        <f>'6 Caissons Objets'!Lnec5</f>
        <v>0</v>
      </c>
      <c r="Z329" s="862">
        <f>'6 Caissons Objets'!lanec5</f>
        <v>0</v>
      </c>
      <c r="AA329" s="862">
        <f t="shared" si="126"/>
        <v>0</v>
      </c>
      <c r="AB329" s="862"/>
      <c r="AC329" s="862"/>
      <c r="AD329" s="862"/>
      <c r="AE329" s="862"/>
      <c r="AF329" s="862" t="e">
        <f>VLOOKUP('6 Caissons Objets'!nbcal5,$A$238:$D$239,4)*2</f>
        <v>#N/A</v>
      </c>
      <c r="AG329" s="862" t="e">
        <f>VLOOKUP('6 Caissons Objets'!nbcal5,$A$238:$D$239,4)*2</f>
        <v>#N/A</v>
      </c>
      <c r="AH329" s="862" t="e">
        <f>VLOOKUP('6 Caissons Objets'!nbcal5,$A$238:$D$239,4)</f>
        <v>#N/A</v>
      </c>
      <c r="AI329" s="862" t="s">
        <v>321</v>
      </c>
      <c r="AJ329" s="863"/>
    </row>
    <row r="330" spans="1:36" ht="18" hidden="1" customHeight="1" x14ac:dyDescent="0.35">
      <c r="A330" s="861" t="s">
        <v>325</v>
      </c>
      <c r="B330" s="862"/>
      <c r="C330" s="862"/>
      <c r="D330" s="862"/>
      <c r="E330" s="862"/>
      <c r="F330" s="862"/>
      <c r="G330" s="862"/>
      <c r="H330" s="862"/>
      <c r="I330" s="862"/>
      <c r="J330" s="862"/>
      <c r="K330" s="862"/>
      <c r="L330" s="862"/>
      <c r="M330" s="862"/>
      <c r="N330" s="862">
        <f>IF('6 Caissons Objets'!nbcal5="PU","PU 50 mm",IF('6 Caissons Objets'!nbcal5="Stratocell","Stratocell 50 mm",0))</f>
        <v>0</v>
      </c>
      <c r="O330" s="862">
        <f>'6 Caissons Objets'!Lnec5-0.3</f>
        <v>-0.3</v>
      </c>
      <c r="P330" s="862">
        <f>'6 Caissons Objets'!hnec5-AA330</f>
        <v>0</v>
      </c>
      <c r="Q330" s="862">
        <f>'6 Caissons Objets'!lanec5/5</f>
        <v>0</v>
      </c>
      <c r="R330" s="862"/>
      <c r="S330" s="862"/>
      <c r="T330" s="862"/>
      <c r="U330" s="862"/>
      <c r="V330" s="862" t="str">
        <f>'6 Caissons Objets'!Base5</f>
        <v>Aucun</v>
      </c>
      <c r="W330" s="862">
        <f t="shared" si="125"/>
        <v>0</v>
      </c>
      <c r="X330" s="862">
        <f>VLOOKUP('6 Caissons Objets'!plat5,$A$214:$B$220,2)</f>
        <v>0</v>
      </c>
      <c r="Y330" s="862">
        <f>'6 Caissons Objets'!Lnec5</f>
        <v>0</v>
      </c>
      <c r="Z330" s="862">
        <f>'6 Caissons Objets'!lanec5</f>
        <v>0</v>
      </c>
      <c r="AA330" s="862">
        <f t="shared" si="126"/>
        <v>0</v>
      </c>
      <c r="AB330" s="862"/>
      <c r="AC330" s="862"/>
      <c r="AD330" s="862"/>
      <c r="AE330" s="862"/>
      <c r="AF330" s="862" t="e">
        <f>VLOOKUP('6 Caissons Objets'!nbcal5,$A$238:$D$239,4)*2</f>
        <v>#N/A</v>
      </c>
      <c r="AG330" s="862" t="e">
        <f>VLOOKUP('6 Caissons Objets'!nbcal5,$A$238:$D$239,4)*2</f>
        <v>#N/A</v>
      </c>
      <c r="AH330" s="862" t="e">
        <f>VLOOKUP('6 Caissons Objets'!nbcal5,$A$238:$D$239,4)</f>
        <v>#N/A</v>
      </c>
      <c r="AI330" s="862" t="s">
        <v>321</v>
      </c>
      <c r="AJ330" s="863"/>
    </row>
    <row r="331" spans="1:36" ht="18" hidden="1" customHeight="1" x14ac:dyDescent="0.35">
      <c r="A331" s="861" t="s">
        <v>497</v>
      </c>
      <c r="B331" s="862"/>
      <c r="C331" s="862"/>
      <c r="D331" s="862"/>
      <c r="E331" s="862"/>
      <c r="F331" s="862"/>
      <c r="G331" s="862"/>
      <c r="H331" s="862"/>
      <c r="I331" s="862"/>
      <c r="J331" s="862"/>
      <c r="K331" s="862"/>
      <c r="L331" s="862"/>
      <c r="M331" s="862"/>
      <c r="N331" s="862">
        <f>IF('6 Caissons Objets'!nbcal5="PU","PU 20 mm",IF('6 Caissons Objets'!nbcal5="Stratocell","Stratocell 20 mm",0))</f>
        <v>0</v>
      </c>
      <c r="O331" s="862">
        <f>'6 Caissons Objets'!Lnec5</f>
        <v>0</v>
      </c>
      <c r="P331" s="862">
        <f>'6 Caissons Objets'!lanec5</f>
        <v>0</v>
      </c>
      <c r="Q331" s="862">
        <v>1</v>
      </c>
      <c r="R331" s="862">
        <f>IF('6 Caissons Objets'!nbcal5="PU","PU 20 mm",IF('6 Caissons Objets'!nbcal5="Stratocell","Stratocell 20 mm",0))</f>
        <v>0</v>
      </c>
      <c r="S331" s="862">
        <f>'6 Caissons Objets'!Lnec5</f>
        <v>0</v>
      </c>
      <c r="T331" s="862">
        <f>'6 Caissons Objets'!hnec5-5-AA331</f>
        <v>-5</v>
      </c>
      <c r="U331" s="862">
        <v>2</v>
      </c>
      <c r="V331" s="862" t="str">
        <f>'6 Caissons Objets'!Base5</f>
        <v>Aucun</v>
      </c>
      <c r="W331" s="862">
        <f t="shared" si="125"/>
        <v>0</v>
      </c>
      <c r="X331" s="862">
        <f>VLOOKUP('6 Caissons Objets'!plat5,$A$214:$B$220,2)</f>
        <v>0</v>
      </c>
      <c r="Y331" s="862">
        <f>'6 Caissons Objets'!Lnec5</f>
        <v>0</v>
      </c>
      <c r="Z331" s="862">
        <f>'6 Caissons Objets'!lanec5</f>
        <v>0</v>
      </c>
      <c r="AA331" s="862">
        <f t="shared" si="126"/>
        <v>0</v>
      </c>
      <c r="AB331" s="862">
        <f>IF('6 Caissons Objets'!nbcal5="PU","PU 20 mm",IF('6 Caissons Objets'!nbcal5="Stratocell","Stratocell 20 mm",0))</f>
        <v>0</v>
      </c>
      <c r="AC331" s="862" t="e">
        <f>'6 Caissons Objets'!lanec5-AF331</f>
        <v>#N/A</v>
      </c>
      <c r="AD331" s="862">
        <f>'6 Caissons Objets'!hnec5-2.2-AA331</f>
        <v>-2.2000000000000002</v>
      </c>
      <c r="AE331" s="862">
        <v>2</v>
      </c>
      <c r="AF331" s="862" t="e">
        <f>VLOOKUP('6 Caissons Objets'!nbcal5,$A$238:$D$239,2)*2</f>
        <v>#N/A</v>
      </c>
      <c r="AG331" s="862" t="e">
        <f>VLOOKUP('6 Caissons Objets'!nbcal5,$A$238:$D$239,2)*2</f>
        <v>#N/A</v>
      </c>
      <c r="AH331" s="862" t="e">
        <f>VLOOKUP('6 Caissons Objets'!nbcal5,$A$238:$D$239,2)</f>
        <v>#N/A</v>
      </c>
      <c r="AI331" s="862" t="s">
        <v>321</v>
      </c>
      <c r="AJ331" s="863"/>
    </row>
    <row r="332" spans="1:36" ht="18" hidden="1" customHeight="1" x14ac:dyDescent="0.35">
      <c r="A332" s="861" t="s">
        <v>498</v>
      </c>
      <c r="B332" s="862"/>
      <c r="C332" s="862"/>
      <c r="D332" s="862"/>
      <c r="E332" s="862"/>
      <c r="F332" s="862"/>
      <c r="G332" s="862"/>
      <c r="H332" s="862"/>
      <c r="I332" s="862"/>
      <c r="J332" s="862"/>
      <c r="K332" s="862"/>
      <c r="L332" s="862"/>
      <c r="M332" s="862"/>
      <c r="N332" s="862">
        <f>IF('6 Caissons Objets'!nbcal5="PU","PU 30 mm",IF('6 Caissons Objets'!nbcal5="Stratocell","Stratocell 30 mm",0))</f>
        <v>0</v>
      </c>
      <c r="O332" s="862">
        <f>'6 Caissons Objets'!Lnec5</f>
        <v>0</v>
      </c>
      <c r="P332" s="862">
        <f>'6 Caissons Objets'!lanec5</f>
        <v>0</v>
      </c>
      <c r="Q332" s="862">
        <v>1</v>
      </c>
      <c r="R332" s="862">
        <f>IF('6 Caissons Objets'!nbcal5="PU","PU 30 mm",IF('6 Caissons Objets'!nbcal5="Stratocell","Stratocell 30 mm",0))</f>
        <v>0</v>
      </c>
      <c r="S332" s="862">
        <f>'6 Caissons Objets'!Lnec5</f>
        <v>0</v>
      </c>
      <c r="T332" s="862">
        <f>'6 Caissons Objets'!hnec5-3-AA332</f>
        <v>-3</v>
      </c>
      <c r="U332" s="862">
        <v>2</v>
      </c>
      <c r="V332" s="862" t="str">
        <f>'6 Caissons Objets'!Base5</f>
        <v>Aucun</v>
      </c>
      <c r="W332" s="862">
        <f t="shared" si="125"/>
        <v>0</v>
      </c>
      <c r="X332" s="862">
        <f>VLOOKUP('6 Caissons Objets'!plat5,$A$214:$B$220,2)</f>
        <v>0</v>
      </c>
      <c r="Y332" s="862">
        <f>'6 Caissons Objets'!Lnec5</f>
        <v>0</v>
      </c>
      <c r="Z332" s="862">
        <f>'6 Caissons Objets'!lanec5</f>
        <v>0</v>
      </c>
      <c r="AA332" s="862">
        <f t="shared" si="126"/>
        <v>0</v>
      </c>
      <c r="AB332" s="862">
        <f>IF('6 Caissons Objets'!nbcal5="PU","PU 30 mm",IF('6 Caissons Objets'!nbcal5="Stratocell","Stratocell 30 mm",0))</f>
        <v>0</v>
      </c>
      <c r="AC332" s="862" t="e">
        <f>'6 Caissons Objets'!lanec5-AF332</f>
        <v>#N/A</v>
      </c>
      <c r="AD332" s="862">
        <f>'6 Caissons Objets'!hnec5-3.2-AA332</f>
        <v>-3.2</v>
      </c>
      <c r="AE332" s="862">
        <v>2</v>
      </c>
      <c r="AF332" s="862" t="e">
        <f>VLOOKUP('6 Caissons Objets'!nbcal5,$A$238:$D$239,3)*2</f>
        <v>#N/A</v>
      </c>
      <c r="AG332" s="862" t="e">
        <f>VLOOKUP('6 Caissons Objets'!nbcal5,$A$238:$D$239,3)*2</f>
        <v>#N/A</v>
      </c>
      <c r="AH332" s="862" t="e">
        <f>VLOOKUP('6 Caissons Objets'!nbcal5,$A$238:$D$239,3)</f>
        <v>#N/A</v>
      </c>
      <c r="AI332" s="862" t="s">
        <v>321</v>
      </c>
      <c r="AJ332" s="863"/>
    </row>
    <row r="333" spans="1:36" ht="18" hidden="1" customHeight="1" x14ac:dyDescent="0.35">
      <c r="A333" s="861" t="s">
        <v>479</v>
      </c>
      <c r="B333" s="862"/>
      <c r="C333" s="862"/>
      <c r="D333" s="862"/>
      <c r="E333" s="862"/>
      <c r="F333" s="862"/>
      <c r="G333" s="862"/>
      <c r="H333" s="862"/>
      <c r="I333" s="862"/>
      <c r="J333" s="862"/>
      <c r="K333" s="862"/>
      <c r="L333" s="862"/>
      <c r="M333" s="862"/>
      <c r="N333" s="862">
        <f>IF('6 Caissons Objets'!nbcal5="PU","PU 50 mm",IF('6 Caissons Objets'!nbcal5="Stratocell","Stratocell 50 mm",0))</f>
        <v>0</v>
      </c>
      <c r="O333" s="862">
        <f>'6 Caissons Objets'!Lnec5</f>
        <v>0</v>
      </c>
      <c r="P333" s="862">
        <f>'6 Caissons Objets'!lanec5</f>
        <v>0</v>
      </c>
      <c r="Q333" s="862">
        <v>1</v>
      </c>
      <c r="R333" s="862">
        <f>IF('6 Caissons Objets'!nbcal5="PU","PU 50 mm",IF('6 Caissons Objets'!nbcal5="Stratocell","Stratocell 50 mm",0))</f>
        <v>0</v>
      </c>
      <c r="S333" s="862">
        <f>'6 Caissons Objets'!Lnec5</f>
        <v>0</v>
      </c>
      <c r="T333" s="862">
        <f>'6 Caissons Objets'!hnec5-5-AA333</f>
        <v>-5</v>
      </c>
      <c r="U333" s="862">
        <v>2</v>
      </c>
      <c r="V333" s="862" t="str">
        <f>'6 Caissons Objets'!Base5</f>
        <v>Aucun</v>
      </c>
      <c r="W333" s="862">
        <f t="shared" si="125"/>
        <v>0</v>
      </c>
      <c r="X333" s="862">
        <f>VLOOKUP('6 Caissons Objets'!plat5,$A$214:$B$220,2)</f>
        <v>0</v>
      </c>
      <c r="Y333" s="862">
        <f>'6 Caissons Objets'!Lnec5</f>
        <v>0</v>
      </c>
      <c r="Z333" s="862">
        <f>'6 Caissons Objets'!lanec5</f>
        <v>0</v>
      </c>
      <c r="AA333" s="862">
        <f t="shared" si="126"/>
        <v>0</v>
      </c>
      <c r="AB333" s="862">
        <f>IF('6 Caissons Objets'!nbcal5="PU","PU 50 mm",IF('6 Caissons Objets'!nbcal5="Stratocell","Stratocell 50 mm",0))</f>
        <v>0</v>
      </c>
      <c r="AC333" s="862" t="e">
        <f>'6 Caissons Objets'!lanec5-AF333</f>
        <v>#N/A</v>
      </c>
      <c r="AD333" s="862">
        <f>'6 Caissons Objets'!hnec5-5.3-AA333</f>
        <v>-5.3</v>
      </c>
      <c r="AE333" s="862">
        <v>2</v>
      </c>
      <c r="AF333" s="862" t="e">
        <f>VLOOKUP('6 Caissons Objets'!nbcal5,$A$238:$D$239,4)*2</f>
        <v>#N/A</v>
      </c>
      <c r="AG333" s="862" t="e">
        <f>VLOOKUP('6 Caissons Objets'!nbcal5,$A$238:$D$239,4)*2</f>
        <v>#N/A</v>
      </c>
      <c r="AH333" s="862" t="e">
        <f>VLOOKUP('6 Caissons Objets'!nbcal5,$A$238:$D$239,4)</f>
        <v>#N/A</v>
      </c>
      <c r="AI333" s="862" t="s">
        <v>321</v>
      </c>
      <c r="AJ333" s="863"/>
    </row>
    <row r="334" spans="1:36" ht="18" hidden="1" customHeight="1" x14ac:dyDescent="0.35">
      <c r="A334" s="861" t="s">
        <v>326</v>
      </c>
      <c r="B334" s="862" t="s">
        <v>354</v>
      </c>
      <c r="C334" s="862">
        <f>'6 Caissons Objets'!Lnec5</f>
        <v>0</v>
      </c>
      <c r="D334" s="862">
        <v>9.3000000000000007</v>
      </c>
      <c r="E334" s="862">
        <f>1</f>
        <v>1</v>
      </c>
      <c r="F334" s="862" t="s">
        <v>355</v>
      </c>
      <c r="G334" s="862">
        <f>'6 Caissons Objets'!Lnec5</f>
        <v>0</v>
      </c>
      <c r="H334" s="862">
        <v>5.2</v>
      </c>
      <c r="I334" s="862">
        <f>'6 Caissons Objets'!nbcal5*2</f>
        <v>4</v>
      </c>
      <c r="J334" s="862" t="s">
        <v>349</v>
      </c>
      <c r="K334" s="862">
        <f>'6 Caissons Objets'!lanec5</f>
        <v>0</v>
      </c>
      <c r="L334" s="862">
        <v>7</v>
      </c>
      <c r="M334" s="862">
        <f>'6 Caissons Objets'!nbcal5*4</f>
        <v>8</v>
      </c>
      <c r="N334" s="862" t="b">
        <f>IF('6 Caissons Objets'!Typedemousse5="Stratocell 35 Kg","Stratocell 50 mm",IF('6 Caissons Objets'!Typedemousse5="Stratocell 65 Kg","Stratocell 50 mm 65 kg"))</f>
        <v>0</v>
      </c>
      <c r="O334" s="862">
        <f>'6 Caissons Objets'!Lnec5</f>
        <v>0</v>
      </c>
      <c r="P334" s="862">
        <f>('6 Caissons Objets'!lanec5-4.2)/2</f>
        <v>-2.1</v>
      </c>
      <c r="Q334" s="862">
        <f>'6 Caissons Objets'!nbcal5*2</f>
        <v>4</v>
      </c>
      <c r="R334" s="862" t="b">
        <f>IF('6 Caissons Objets'!Typedemousse5="Stratocell 35 Kg","Stratocell 50 mm",IF('6 Caissons Objets'!Typedemousse5="Stratocell 65 Kg","Stratocell 50 mm 65 kg"))</f>
        <v>0</v>
      </c>
      <c r="S334" s="862">
        <f>'6 Caissons Objets'!lanec5</f>
        <v>0</v>
      </c>
      <c r="T334" s="862">
        <f>IF('6 Caissons Objets'!hnec5&lt;120,9.3,14.4)</f>
        <v>9.3000000000000007</v>
      </c>
      <c r="U334" s="862">
        <f>1</f>
        <v>1</v>
      </c>
      <c r="V334" s="862" t="str">
        <f>'6 Caissons Objets'!Base5</f>
        <v>Aucun</v>
      </c>
      <c r="W334" s="862">
        <f t="shared" si="125"/>
        <v>0</v>
      </c>
      <c r="X334" s="862">
        <f>VLOOKUP('6 Caissons Objets'!plat5,$A$214:$B$220,2)</f>
        <v>0</v>
      </c>
      <c r="Y334" s="862">
        <f>'6 Caissons Objets'!Lnec5</f>
        <v>0</v>
      </c>
      <c r="Z334" s="862">
        <f>'6 Caissons Objets'!lanec5</f>
        <v>0</v>
      </c>
      <c r="AA334" s="862">
        <f t="shared" si="126"/>
        <v>0</v>
      </c>
      <c r="AB334" s="862"/>
      <c r="AC334" s="862"/>
      <c r="AD334" s="862"/>
      <c r="AE334" s="862"/>
      <c r="AF334" s="862">
        <v>14</v>
      </c>
      <c r="AG334" s="862">
        <v>14</v>
      </c>
      <c r="AH334" s="862">
        <v>7</v>
      </c>
      <c r="AI334" s="862" t="s">
        <v>317</v>
      </c>
      <c r="AJ334" s="863" t="s">
        <v>321</v>
      </c>
    </row>
    <row r="335" spans="1:36" ht="18" hidden="1" customHeight="1" x14ac:dyDescent="0.35">
      <c r="A335" s="861" t="s">
        <v>328</v>
      </c>
      <c r="B335" s="862"/>
      <c r="C335" s="862"/>
      <c r="D335" s="862"/>
      <c r="E335" s="862"/>
      <c r="F335" s="862" t="s">
        <v>355</v>
      </c>
      <c r="G335" s="862">
        <f>'6 Caissons Objets'!lanec5</f>
        <v>0</v>
      </c>
      <c r="H335" s="862">
        <v>5.2</v>
      </c>
      <c r="I335" s="862">
        <f>'6 Caissons Objets'!nbcal5</f>
        <v>2</v>
      </c>
      <c r="J335" s="862" t="s">
        <v>349</v>
      </c>
      <c r="K335" s="862">
        <f>'6 Caissons Objets'!hnec5-AA335</f>
        <v>0</v>
      </c>
      <c r="L335" s="862">
        <v>7</v>
      </c>
      <c r="M335" s="862">
        <f>'6 Caissons Objets'!nbcal5*4</f>
        <v>8</v>
      </c>
      <c r="N335" s="862" t="b">
        <f>IF('6 Caissons Objets'!Typedemousse5="Stratocell 35 Kg","Stratocell 50 mm",IF('6 Caissons Objets'!Typedemousse5="Stratocell 65 Kg","Stratocell 50 mm 65 kg"))</f>
        <v>0</v>
      </c>
      <c r="O335" s="862">
        <f>'6 Caissons Objets'!lanec5</f>
        <v>0</v>
      </c>
      <c r="P335" s="862">
        <f>'6 Caissons Objets'!hnec5-2.1-AA335</f>
        <v>-2.1</v>
      </c>
      <c r="Q335" s="862">
        <f>'6 Caissons Objets'!nbcal5</f>
        <v>2</v>
      </c>
      <c r="R335" s="862"/>
      <c r="S335" s="862"/>
      <c r="T335" s="862"/>
      <c r="U335" s="862"/>
      <c r="V335" s="862" t="str">
        <f>'6 Caissons Objets'!Base5</f>
        <v>Aucun</v>
      </c>
      <c r="W335" s="862">
        <f t="shared" si="125"/>
        <v>0</v>
      </c>
      <c r="X335" s="862">
        <f>VLOOKUP('6 Caissons Objets'!plat5,$A$214:$B$220,2)</f>
        <v>0</v>
      </c>
      <c r="Y335" s="862">
        <f>'6 Caissons Objets'!Lnec5</f>
        <v>0</v>
      </c>
      <c r="Z335" s="862">
        <f>'6 Caissons Objets'!lanec5</f>
        <v>0</v>
      </c>
      <c r="AA335" s="862">
        <f t="shared" si="126"/>
        <v>0</v>
      </c>
      <c r="AB335" s="862"/>
      <c r="AC335" s="862"/>
      <c r="AD335" s="862"/>
      <c r="AE335" s="862"/>
      <c r="AF335" s="862">
        <v>10.5</v>
      </c>
      <c r="AG335" s="862">
        <v>14</v>
      </c>
      <c r="AH335" s="862">
        <v>7</v>
      </c>
      <c r="AI335" s="862" t="s">
        <v>317</v>
      </c>
      <c r="AJ335" s="863" t="s">
        <v>321</v>
      </c>
    </row>
    <row r="336" spans="1:36" ht="18" hidden="1" customHeight="1" x14ac:dyDescent="0.35">
      <c r="A336" s="864" t="s">
        <v>329</v>
      </c>
      <c r="B336" s="865"/>
      <c r="C336" s="865"/>
      <c r="D336" s="865"/>
      <c r="E336" s="865"/>
      <c r="F336" s="862" t="s">
        <v>355</v>
      </c>
      <c r="G336" s="862">
        <f>'6 Caissons Objets'!lanec5</f>
        <v>0</v>
      </c>
      <c r="H336" s="862">
        <v>5.2</v>
      </c>
      <c r="I336" s="862">
        <f>'6 Caissons Objets'!nbcal5</f>
        <v>2</v>
      </c>
      <c r="J336" s="862" t="s">
        <v>349</v>
      </c>
      <c r="K336" s="862">
        <f>'6 Caissons Objets'!hnec5-AA336</f>
        <v>0</v>
      </c>
      <c r="L336" s="862">
        <v>7</v>
      </c>
      <c r="M336" s="862">
        <f>'6 Caissons Objets'!nbcal5*4</f>
        <v>8</v>
      </c>
      <c r="N336" s="865" t="b">
        <f>IF('6 Caissons Objets'!Typedemousse5="Stratocell 35 Kg","Stratocell 50 mm",IF('6 Caissons Objets'!Typedemousse5="Stratocell 65 Kg","Stratocell 50 mm 65 kg"))</f>
        <v>0</v>
      </c>
      <c r="O336" s="865">
        <f>'6 Caissons Objets'!lanec5</f>
        <v>0</v>
      </c>
      <c r="P336" s="865">
        <f>'6 Caissons Objets'!hnec5-2.1-AA336</f>
        <v>-2.1</v>
      </c>
      <c r="Q336" s="865">
        <f>'6 Caissons Objets'!nbcal5</f>
        <v>2</v>
      </c>
      <c r="R336" s="865" t="b">
        <f>IF('6 Caissons Objets'!Typedemousse5="Stratocell 35 Kg","Stratocell 50 mm",IF('6 Caissons Objets'!Typedemousse5="Stratocell 65 Kg","Stratocell 50 mm 65 kg"))</f>
        <v>0</v>
      </c>
      <c r="S336" s="865">
        <f>'6 Caissons Objets'!Lnec5</f>
        <v>0</v>
      </c>
      <c r="T336" s="865">
        <f>I30+AA336</f>
        <v>0</v>
      </c>
      <c r="U336" s="865">
        <v>2</v>
      </c>
      <c r="V336" s="862" t="str">
        <f>'6 Caissons Objets'!Base5</f>
        <v>Aucun</v>
      </c>
      <c r="W336" s="865">
        <f t="shared" si="125"/>
        <v>0</v>
      </c>
      <c r="X336" s="862">
        <f>VLOOKUP('6 Caissons Objets'!plat5,$A$214:$B$220,2)</f>
        <v>0</v>
      </c>
      <c r="Y336" s="865">
        <f>'6 Caissons Objets'!Lnec5-10.2</f>
        <v>-10.199999999999999</v>
      </c>
      <c r="Z336" s="865">
        <f>'6 Caissons Objets'!lanec5-10.2</f>
        <v>-10.199999999999999</v>
      </c>
      <c r="AA336" s="865">
        <f t="shared" si="126"/>
        <v>0</v>
      </c>
      <c r="AB336" s="865" t="b">
        <f>IF('6 Caissons Objets'!Typedemousse5="Stratocell 35 Kg","Stratocell 50 mm",IF('6 Caissons Objets'!Typedemousse5="Stratocell 65 Kg","Stratocell 50 mm 65 kg"))</f>
        <v>0</v>
      </c>
      <c r="AC336" s="865">
        <f>'6 Caissons Objets'!lanec5-VLOOKUP(H29,A324:AJ336,33)</f>
        <v>0</v>
      </c>
      <c r="AD336" s="865">
        <f>T336</f>
        <v>0</v>
      </c>
      <c r="AE336" s="865">
        <v>2</v>
      </c>
      <c r="AF336" s="865">
        <v>10.6</v>
      </c>
      <c r="AG336" s="865">
        <v>10.6</v>
      </c>
      <c r="AH336" s="865">
        <v>7</v>
      </c>
      <c r="AI336" s="865" t="s">
        <v>317</v>
      </c>
      <c r="AJ336" s="866" t="s">
        <v>321</v>
      </c>
    </row>
    <row r="337" spans="1:36" ht="18" hidden="1" customHeight="1" x14ac:dyDescent="0.35">
      <c r="A337" s="468"/>
      <c r="B337" s="468"/>
      <c r="C337" s="468"/>
      <c r="D337" s="468"/>
      <c r="E337" s="468"/>
      <c r="F337" s="468"/>
      <c r="G337" s="468"/>
      <c r="H337" s="468"/>
      <c r="I337" s="468"/>
      <c r="J337" s="468"/>
      <c r="K337" s="468"/>
      <c r="L337" s="468"/>
      <c r="M337" s="468"/>
      <c r="N337" s="468"/>
      <c r="O337" s="468"/>
      <c r="P337" s="468"/>
      <c r="Q337" s="468"/>
      <c r="R337" s="468"/>
      <c r="S337" s="468"/>
      <c r="T337" s="468"/>
      <c r="U337" s="468"/>
      <c r="V337" s="468"/>
      <c r="W337" s="468"/>
      <c r="X337" s="468"/>
      <c r="Y337" s="468"/>
      <c r="Z337" s="468"/>
      <c r="AA337" s="468"/>
      <c r="AB337" s="468"/>
      <c r="AC337" s="468"/>
      <c r="AD337" s="468"/>
      <c r="AE337" s="468"/>
      <c r="AF337" s="468"/>
      <c r="AG337" s="468"/>
      <c r="AH337" s="468"/>
      <c r="AI337" s="468"/>
      <c r="AJ337" s="468"/>
    </row>
    <row r="338" spans="1:36" ht="18" hidden="1" customHeight="1" x14ac:dyDescent="0.35">
      <c r="A338" s="480">
        <v>1</v>
      </c>
      <c r="B338" s="482">
        <f t="shared" ref="B338:V338" si="128">A338+1</f>
        <v>2</v>
      </c>
      <c r="C338" s="482">
        <f t="shared" si="128"/>
        <v>3</v>
      </c>
      <c r="D338" s="482">
        <f t="shared" si="128"/>
        <v>4</v>
      </c>
      <c r="E338" s="482">
        <f t="shared" si="128"/>
        <v>5</v>
      </c>
      <c r="F338" s="482">
        <f t="shared" si="128"/>
        <v>6</v>
      </c>
      <c r="G338" s="482">
        <f t="shared" si="128"/>
        <v>7</v>
      </c>
      <c r="H338" s="482">
        <f t="shared" si="128"/>
        <v>8</v>
      </c>
      <c r="I338" s="482">
        <f t="shared" si="128"/>
        <v>9</v>
      </c>
      <c r="J338" s="482">
        <f t="shared" si="128"/>
        <v>10</v>
      </c>
      <c r="K338" s="482">
        <f t="shared" si="128"/>
        <v>11</v>
      </c>
      <c r="L338" s="482">
        <f t="shared" si="128"/>
        <v>12</v>
      </c>
      <c r="M338" s="482">
        <f t="shared" si="128"/>
        <v>13</v>
      </c>
      <c r="N338" s="482">
        <f t="shared" si="128"/>
        <v>14</v>
      </c>
      <c r="O338" s="482">
        <f t="shared" si="128"/>
        <v>15</v>
      </c>
      <c r="P338" s="482">
        <f t="shared" si="128"/>
        <v>16</v>
      </c>
      <c r="Q338" s="482">
        <f t="shared" si="128"/>
        <v>17</v>
      </c>
      <c r="R338" s="482">
        <f t="shared" si="128"/>
        <v>18</v>
      </c>
      <c r="S338" s="482">
        <f t="shared" si="128"/>
        <v>19</v>
      </c>
      <c r="T338" s="482">
        <f t="shared" si="128"/>
        <v>20</v>
      </c>
      <c r="U338" s="482">
        <f t="shared" si="128"/>
        <v>21</v>
      </c>
      <c r="V338" s="482">
        <f t="shared" si="128"/>
        <v>22</v>
      </c>
      <c r="W338" s="482">
        <v>23</v>
      </c>
      <c r="X338" s="482">
        <v>24</v>
      </c>
      <c r="Y338" s="482">
        <v>25</v>
      </c>
      <c r="Z338" s="482">
        <f t="shared" ref="Z338:AG338" si="129">Y338+1</f>
        <v>26</v>
      </c>
      <c r="AA338" s="482">
        <f t="shared" si="129"/>
        <v>27</v>
      </c>
      <c r="AB338" s="482">
        <f t="shared" si="129"/>
        <v>28</v>
      </c>
      <c r="AC338" s="482">
        <f t="shared" si="129"/>
        <v>29</v>
      </c>
      <c r="AD338" s="482">
        <f t="shared" si="129"/>
        <v>30</v>
      </c>
      <c r="AE338" s="482">
        <f t="shared" si="129"/>
        <v>31</v>
      </c>
      <c r="AF338" s="482">
        <f t="shared" si="129"/>
        <v>32</v>
      </c>
      <c r="AG338" s="482">
        <f t="shared" si="129"/>
        <v>33</v>
      </c>
      <c r="AH338" s="482">
        <v>34</v>
      </c>
      <c r="AI338" s="482">
        <v>35</v>
      </c>
      <c r="AJ338" s="484">
        <v>36</v>
      </c>
    </row>
    <row r="339" spans="1:36" ht="18" hidden="1" customHeight="1" x14ac:dyDescent="0.35">
      <c r="A339" s="858" t="s">
        <v>385</v>
      </c>
      <c r="B339" s="504" t="s">
        <v>348</v>
      </c>
      <c r="C339" s="504" t="s">
        <v>28</v>
      </c>
      <c r="D339" s="504" t="s">
        <v>33</v>
      </c>
      <c r="E339" s="504" t="s">
        <v>34</v>
      </c>
      <c r="F339" s="504" t="s">
        <v>348</v>
      </c>
      <c r="G339" s="504" t="s">
        <v>28</v>
      </c>
      <c r="H339" s="504" t="s">
        <v>33</v>
      </c>
      <c r="I339" s="504" t="s">
        <v>34</v>
      </c>
      <c r="J339" s="504" t="s">
        <v>349</v>
      </c>
      <c r="K339" s="504" t="s">
        <v>28</v>
      </c>
      <c r="L339" s="504" t="s">
        <v>33</v>
      </c>
      <c r="M339" s="504" t="s">
        <v>34</v>
      </c>
      <c r="N339" s="504"/>
      <c r="O339" s="504" t="s">
        <v>28</v>
      </c>
      <c r="P339" s="504" t="s">
        <v>33</v>
      </c>
      <c r="Q339" s="504" t="s">
        <v>34</v>
      </c>
      <c r="R339" s="504"/>
      <c r="S339" s="504" t="s">
        <v>28</v>
      </c>
      <c r="T339" s="504" t="s">
        <v>33</v>
      </c>
      <c r="U339" s="504" t="s">
        <v>34</v>
      </c>
      <c r="V339" s="504" t="s">
        <v>308</v>
      </c>
      <c r="W339" s="504" t="s">
        <v>350</v>
      </c>
      <c r="X339" s="504" t="s">
        <v>351</v>
      </c>
      <c r="Y339" s="504" t="s">
        <v>28</v>
      </c>
      <c r="Z339" s="504" t="s">
        <v>33</v>
      </c>
      <c r="AA339" s="504" t="s">
        <v>269</v>
      </c>
      <c r="AB339" s="504"/>
      <c r="AC339" s="504" t="s">
        <v>28</v>
      </c>
      <c r="AD339" s="504" t="s">
        <v>33</v>
      </c>
      <c r="AE339" s="504" t="s">
        <v>34</v>
      </c>
      <c r="AF339" s="504" t="s">
        <v>495</v>
      </c>
      <c r="AG339" s="504" t="s">
        <v>33</v>
      </c>
      <c r="AH339" s="504" t="s">
        <v>30</v>
      </c>
      <c r="AI339" s="504" t="s">
        <v>321</v>
      </c>
      <c r="AJ339" s="859" t="s">
        <v>321</v>
      </c>
    </row>
    <row r="340" spans="1:36" ht="18" hidden="1" customHeight="1" x14ac:dyDescent="0.35">
      <c r="A340" s="860" t="s">
        <v>16</v>
      </c>
      <c r="B340" s="504">
        <v>0</v>
      </c>
      <c r="C340" s="504">
        <v>0</v>
      </c>
      <c r="D340" s="504">
        <v>0</v>
      </c>
      <c r="E340" s="504">
        <v>0</v>
      </c>
      <c r="F340" s="504">
        <v>0</v>
      </c>
      <c r="G340" s="504">
        <v>0</v>
      </c>
      <c r="H340" s="504">
        <v>0</v>
      </c>
      <c r="I340" s="504">
        <v>0</v>
      </c>
      <c r="J340" s="504">
        <v>0</v>
      </c>
      <c r="K340" s="504">
        <v>0</v>
      </c>
      <c r="L340" s="504">
        <v>0</v>
      </c>
      <c r="M340" s="504">
        <v>0</v>
      </c>
      <c r="N340" s="504">
        <v>0</v>
      </c>
      <c r="O340" s="504">
        <v>0</v>
      </c>
      <c r="P340" s="504">
        <v>0</v>
      </c>
      <c r="Q340" s="504">
        <v>0</v>
      </c>
      <c r="R340" s="504">
        <v>0</v>
      </c>
      <c r="S340" s="504">
        <v>0</v>
      </c>
      <c r="T340" s="504">
        <v>0</v>
      </c>
      <c r="U340" s="504">
        <v>0</v>
      </c>
      <c r="V340" s="504">
        <v>0</v>
      </c>
      <c r="W340" s="504">
        <v>0</v>
      </c>
      <c r="X340" s="504">
        <v>0</v>
      </c>
      <c r="Y340" s="504">
        <v>0</v>
      </c>
      <c r="Z340" s="504">
        <v>0</v>
      </c>
      <c r="AA340" s="504">
        <v>0</v>
      </c>
      <c r="AB340" s="504">
        <v>0</v>
      </c>
      <c r="AC340" s="504">
        <v>0</v>
      </c>
      <c r="AD340" s="504">
        <v>0</v>
      </c>
      <c r="AE340" s="504">
        <v>0</v>
      </c>
      <c r="AF340" s="504">
        <v>0</v>
      </c>
      <c r="AG340" s="504">
        <v>0</v>
      </c>
      <c r="AH340" s="504"/>
      <c r="AI340" s="504"/>
      <c r="AJ340" s="859"/>
    </row>
    <row r="341" spans="1:36" ht="18" hidden="1" customHeight="1" x14ac:dyDescent="0.35">
      <c r="A341" s="861" t="s">
        <v>319</v>
      </c>
      <c r="B341" s="862" t="s">
        <v>352</v>
      </c>
      <c r="C341" s="862">
        <f>'6 Caissons Objets'!Lnec6</f>
        <v>0</v>
      </c>
      <c r="D341" s="862">
        <v>9.3000000000000007</v>
      </c>
      <c r="E341" s="862">
        <f>'6 Caissons Objets'!nbcal6*2+1</f>
        <v>9</v>
      </c>
      <c r="F341" s="862" t="s">
        <v>353</v>
      </c>
      <c r="G341" s="862">
        <f>'6 Caissons Objets'!lanec6</f>
        <v>0</v>
      </c>
      <c r="H341" s="862">
        <v>9.3000000000000007</v>
      </c>
      <c r="I341" s="862">
        <f>'6 Caissons Objets'!nbcal6*2</f>
        <v>8</v>
      </c>
      <c r="J341" s="862"/>
      <c r="K341" s="862"/>
      <c r="L341" s="862"/>
      <c r="M341" s="862"/>
      <c r="N341" s="862" t="b">
        <f>IF('6 Caissons Objets'!Typedemousse6="Stratocell 35 Kg","Stratocell 50 mm",IF('6 Caissons Objets'!Typedemousse6="Stratocell 65 Kg","Stratocell 50 mm 65 kg"))</f>
        <v>0</v>
      </c>
      <c r="O341" s="862">
        <f>'6 Caissons Objets'!Lnec6</f>
        <v>0</v>
      </c>
      <c r="P341" s="862">
        <f>IF('6 Caissons Objets'!hnec6&lt;200,9.3,14.4)</f>
        <v>9.3000000000000007</v>
      </c>
      <c r="Q341" s="862">
        <f>'6 Caissons Objets'!nbcal6*2+1</f>
        <v>9</v>
      </c>
      <c r="R341" s="862" t="b">
        <f>IF('6 Caissons Objets'!Typedemousse6="Stratocell 35 Kg","Stratocell 50 mm",IF('6 Caissons Objets'!Typedemousse6="Stratocell 65 Kg","Stratocell 50 mm 65 kg"))</f>
        <v>0</v>
      </c>
      <c r="S341" s="862">
        <f>'6 Caissons Objets'!lanec6</f>
        <v>0</v>
      </c>
      <c r="T341" s="862">
        <f>IF('6 Caissons Objets'!hnec6&lt;200,9.3,14.4)</f>
        <v>9.3000000000000007</v>
      </c>
      <c r="U341" s="862">
        <f>'6 Caissons Objets'!nbcal6*2</f>
        <v>8</v>
      </c>
      <c r="V341" s="862" t="str">
        <f>'6 Caissons Objets'!Base6</f>
        <v>Aucun</v>
      </c>
      <c r="W341" s="862">
        <f t="shared" ref="W341:W352" si="130">VLOOKUP(V341,$A$222:$C$230,3)</f>
        <v>0</v>
      </c>
      <c r="X341" s="862">
        <f>VLOOKUP('6 Caissons Objets'!plat6,$A$214:$B$220,2)</f>
        <v>0</v>
      </c>
      <c r="Y341" s="862">
        <f>'6 Caissons Objets'!Lnec6</f>
        <v>0</v>
      </c>
      <c r="Z341" s="862">
        <f>'6 Caissons Objets'!lanec6</f>
        <v>0</v>
      </c>
      <c r="AA341" s="862">
        <f t="shared" ref="AA341:AA352" si="131">W341+X341</f>
        <v>0</v>
      </c>
      <c r="AB341" s="862"/>
      <c r="AC341" s="862"/>
      <c r="AD341" s="862"/>
      <c r="AE341" s="862"/>
      <c r="AF341" s="862">
        <v>14</v>
      </c>
      <c r="AG341" s="862">
        <v>14</v>
      </c>
      <c r="AH341" s="862">
        <v>7</v>
      </c>
      <c r="AI341" s="862" t="s">
        <v>317</v>
      </c>
      <c r="AJ341" s="863" t="s">
        <v>321</v>
      </c>
    </row>
    <row r="342" spans="1:36" ht="18" hidden="1" customHeight="1" x14ac:dyDescent="0.35">
      <c r="A342" s="861" t="s">
        <v>320</v>
      </c>
      <c r="B342" s="862"/>
      <c r="C342" s="862"/>
      <c r="D342" s="862"/>
      <c r="E342" s="862"/>
      <c r="F342" s="862"/>
      <c r="G342" s="862"/>
      <c r="H342" s="862"/>
      <c r="I342" s="862"/>
      <c r="J342" s="862"/>
      <c r="K342" s="862"/>
      <c r="L342" s="862"/>
      <c r="M342" s="862"/>
      <c r="N342" s="862">
        <f>IF('6 Caissons Objets'!nbcal6="PU","PU 30 mm",IF('6 Caissons Objets'!nbcal6="Stratocell","Stratocell 30 mm",0))</f>
        <v>0</v>
      </c>
      <c r="O342" s="862">
        <f>'6 Caissons Objets'!Lnec6</f>
        <v>0</v>
      </c>
      <c r="P342" s="862">
        <v>12</v>
      </c>
      <c r="Q342" s="862">
        <f>IF('6 Caissons Objets'!hnec6&lt;80,4,6)</f>
        <v>4</v>
      </c>
      <c r="R342" s="862">
        <f>IF('6 Caissons Objets'!nbcal6="PU","PU 30 mm",IF('6 Caissons Objets'!nbcal6="Stratocell","Stratocell 30 mm",0))</f>
        <v>0</v>
      </c>
      <c r="S342" s="862">
        <f>'6 Caissons Objets'!lanec6-6</f>
        <v>-6</v>
      </c>
      <c r="T342" s="862">
        <v>12</v>
      </c>
      <c r="U342" s="862">
        <f t="shared" ref="U342:U343" si="132">Q342</f>
        <v>4</v>
      </c>
      <c r="V342" s="862" t="str">
        <f>'6 Caissons Objets'!Base6</f>
        <v>Aucun</v>
      </c>
      <c r="W342" s="862">
        <f t="shared" si="130"/>
        <v>0</v>
      </c>
      <c r="X342" s="862">
        <f>VLOOKUP('6 Caissons Objets'!plat6,$A$214:$B$220,2)</f>
        <v>0</v>
      </c>
      <c r="Y342" s="862">
        <f>'6 Caissons Objets'!Lnec6</f>
        <v>0</v>
      </c>
      <c r="Z342" s="862">
        <f>'6 Caissons Objets'!lanec6</f>
        <v>0</v>
      </c>
      <c r="AA342" s="862">
        <f t="shared" si="131"/>
        <v>0</v>
      </c>
      <c r="AB342" s="862">
        <f>IF('6 Caissons Objets'!nbcal6="PU","PU 30 mm",IF('6 Caissons Objets'!nbcal6="Stratocell","Stratocell 30 mm",0))</f>
        <v>0</v>
      </c>
      <c r="AC342" s="862">
        <f>'6 Caissons Objets'!lanec6</f>
        <v>0</v>
      </c>
      <c r="AD342" s="862">
        <v>12</v>
      </c>
      <c r="AE342" s="862">
        <f>IF('6 Caissons Objets'!Lnec6&lt;100,3,4)</f>
        <v>3</v>
      </c>
      <c r="AF342" s="862" t="e">
        <f>VLOOKUP('6 Caissons Objets'!nbcal6,$A$238:$D$239,3)*2</f>
        <v>#N/A</v>
      </c>
      <c r="AG342" s="862" t="e">
        <f>VLOOKUP('6 Caissons Objets'!nbcal6,$A$238:$D$239,3)*2</f>
        <v>#N/A</v>
      </c>
      <c r="AH342" s="862" t="e">
        <f>VLOOKUP('6 Caissons Objets'!nbcal6,$A$238:$D$239,3)</f>
        <v>#N/A</v>
      </c>
      <c r="AI342" s="862" t="s">
        <v>321</v>
      </c>
      <c r="AJ342" s="863"/>
    </row>
    <row r="343" spans="1:36" ht="18" hidden="1" customHeight="1" x14ac:dyDescent="0.35">
      <c r="A343" s="861" t="s">
        <v>322</v>
      </c>
      <c r="B343" s="862"/>
      <c r="C343" s="862"/>
      <c r="D343" s="862"/>
      <c r="E343" s="862"/>
      <c r="F343" s="862"/>
      <c r="G343" s="862"/>
      <c r="H343" s="862"/>
      <c r="I343" s="862"/>
      <c r="J343" s="862"/>
      <c r="K343" s="862"/>
      <c r="L343" s="862"/>
      <c r="M343" s="862"/>
      <c r="N343" s="862">
        <f>IF('6 Caissons Objets'!nbcal6="PU","PU 50 mm",IF('6 Caissons Objets'!nbcal6="Stratocell","Stratocell 50 mm",0))</f>
        <v>0</v>
      </c>
      <c r="O343" s="862">
        <f>'6 Caissons Objets'!Lnec6</f>
        <v>0</v>
      </c>
      <c r="P343" s="862">
        <v>12</v>
      </c>
      <c r="Q343" s="862">
        <f>IF('6 Caissons Objets'!hnec6&lt;80,4,6)</f>
        <v>4</v>
      </c>
      <c r="R343" s="862">
        <f>IF('6 Caissons Objets'!nbcal6="PU","PU 50 mm",IF('6 Caissons Objets'!nbcal6="Stratocell","Stratocell 50 mm",0))</f>
        <v>0</v>
      </c>
      <c r="S343" s="862">
        <f>'6 Caissons Objets'!lanec6-10</f>
        <v>-10</v>
      </c>
      <c r="T343" s="862">
        <v>12</v>
      </c>
      <c r="U343" s="862">
        <f t="shared" si="132"/>
        <v>4</v>
      </c>
      <c r="V343" s="862" t="str">
        <f>'6 Caissons Objets'!Base6</f>
        <v>Aucun</v>
      </c>
      <c r="W343" s="862">
        <f t="shared" si="130"/>
        <v>0</v>
      </c>
      <c r="X343" s="862">
        <f>VLOOKUP('6 Caissons Objets'!plat6,$A$214:$B$220,2)</f>
        <v>0</v>
      </c>
      <c r="Y343" s="862">
        <f>'6 Caissons Objets'!Lnec6</f>
        <v>0</v>
      </c>
      <c r="Z343" s="862">
        <f>'6 Caissons Objets'!lanec6</f>
        <v>0</v>
      </c>
      <c r="AA343" s="862">
        <f t="shared" si="131"/>
        <v>0</v>
      </c>
      <c r="AB343" s="862">
        <f>IF('6 Caissons Objets'!nbcal6="PU","PU 50 mm",IF('6 Caissons Objets'!nbcal6="Stratocell","Stratocell 50 mm",0))</f>
        <v>0</v>
      </c>
      <c r="AC343" s="862">
        <f>'6 Caissons Objets'!lanec6</f>
        <v>0</v>
      </c>
      <c r="AD343" s="862">
        <v>12</v>
      </c>
      <c r="AE343" s="862">
        <f>IF('6 Caissons Objets'!Lnec6&lt;100,3,4)</f>
        <v>3</v>
      </c>
      <c r="AF343" s="862" t="e">
        <f>VLOOKUP('6 Caissons Objets'!nbcal6,$A$238:$D$239,4)*2</f>
        <v>#N/A</v>
      </c>
      <c r="AG343" s="862" t="e">
        <f>VLOOKUP('6 Caissons Objets'!nbcal6,$A$238:$D$239,4)*2</f>
        <v>#N/A</v>
      </c>
      <c r="AH343" s="862" t="e">
        <f>VLOOKUP('6 Caissons Objets'!nbcal6,$A$238:$D$239,4)</f>
        <v>#N/A</v>
      </c>
      <c r="AI343" s="862" t="s">
        <v>321</v>
      </c>
      <c r="AJ343" s="863"/>
    </row>
    <row r="344" spans="1:36" ht="18" hidden="1" customHeight="1" x14ac:dyDescent="0.35">
      <c r="A344" s="533" t="s">
        <v>496</v>
      </c>
      <c r="B344" s="862"/>
      <c r="C344" s="862"/>
      <c r="D344" s="862"/>
      <c r="E344" s="862"/>
      <c r="F344" s="862"/>
      <c r="G344" s="862"/>
      <c r="H344" s="862"/>
      <c r="I344" s="862"/>
      <c r="J344" s="862"/>
      <c r="K344" s="862"/>
      <c r="L344" s="862"/>
      <c r="M344" s="862"/>
      <c r="N344" s="862">
        <f>IF('6 Caissons Objets'!nbcal6="PU","PU 50 mm",IF('6 Caissons Objets'!nbcal6="Stratocell","Stratocell 50 mm",0))</f>
        <v>0</v>
      </c>
      <c r="O344" s="862">
        <f>'6 Caissons Objets'!Lnec6</f>
        <v>0</v>
      </c>
      <c r="P344" s="862">
        <f>'6 Caissons Objets'!lanec6</f>
        <v>0</v>
      </c>
      <c r="Q344" s="862">
        <f>('6 Caissons Objets'!hnec6-AA344)/5</f>
        <v>0</v>
      </c>
      <c r="R344" s="862"/>
      <c r="S344" s="862"/>
      <c r="T344" s="862"/>
      <c r="U344" s="862"/>
      <c r="V344" s="862" t="str">
        <f>'6 Caissons Objets'!Base6</f>
        <v>Aucun</v>
      </c>
      <c r="W344" s="862">
        <f t="shared" si="130"/>
        <v>0</v>
      </c>
      <c r="X344" s="862">
        <f>VLOOKUP('6 Caissons Objets'!plat6,$A$214:$B$220,2)</f>
        <v>0</v>
      </c>
      <c r="Y344" s="862">
        <f>'6 Caissons Objets'!Lnec6</f>
        <v>0</v>
      </c>
      <c r="Z344" s="862">
        <f>'6 Caissons Objets'!lanec6</f>
        <v>0</v>
      </c>
      <c r="AA344" s="862">
        <f t="shared" si="131"/>
        <v>0</v>
      </c>
      <c r="AB344" s="862"/>
      <c r="AC344" s="862"/>
      <c r="AD344" s="862"/>
      <c r="AE344" s="862"/>
      <c r="AF344" s="862" t="e">
        <f>VLOOKUP('6 Caissons Objets'!nbcal6,$A$238:$D$239,4)*2</f>
        <v>#N/A</v>
      </c>
      <c r="AG344" s="862" t="e">
        <f>VLOOKUP('6 Caissons Objets'!nbcal6,$A$238:$D$239,4)*2</f>
        <v>#N/A</v>
      </c>
      <c r="AH344" s="862" t="e">
        <f>VLOOKUP('6 Caissons Objets'!nbcal6,$A$238:$D$239,4)</f>
        <v>#N/A</v>
      </c>
      <c r="AI344" s="862" t="s">
        <v>321</v>
      </c>
      <c r="AJ344" s="863"/>
    </row>
    <row r="345" spans="1:36" ht="18" hidden="1" customHeight="1" x14ac:dyDescent="0.35">
      <c r="A345" s="861" t="s">
        <v>324</v>
      </c>
      <c r="B345" s="862"/>
      <c r="C345" s="862"/>
      <c r="D345" s="862"/>
      <c r="E345" s="862"/>
      <c r="F345" s="862"/>
      <c r="G345" s="862"/>
      <c r="H345" s="862"/>
      <c r="I345" s="862"/>
      <c r="J345" s="862"/>
      <c r="K345" s="862"/>
      <c r="L345" s="862"/>
      <c r="M345" s="862"/>
      <c r="N345" s="862">
        <f>IF('6 Caissons Objets'!nbcal6="PU","PU 50 mm",IF('6 Caissons Objets'!nbcal6="Stratocell","Stratocell 50 mm",0))</f>
        <v>0</v>
      </c>
      <c r="O345" s="862">
        <f>'6 Caissons Objets'!Lnec6-0.3</f>
        <v>-0.3</v>
      </c>
      <c r="P345" s="862">
        <f>'6 Caissons Objets'!lanec6-0.3</f>
        <v>-0.3</v>
      </c>
      <c r="Q345" s="862">
        <f>('6 Caissons Objets'!hnec6-AA345)/5</f>
        <v>0</v>
      </c>
      <c r="R345" s="862"/>
      <c r="S345" s="862"/>
      <c r="T345" s="862"/>
      <c r="U345" s="862"/>
      <c r="V345" s="862" t="str">
        <f>'6 Caissons Objets'!Base6</f>
        <v>Aucun</v>
      </c>
      <c r="W345" s="862">
        <f t="shared" si="130"/>
        <v>0</v>
      </c>
      <c r="X345" s="862">
        <f>VLOOKUP('6 Caissons Objets'!plat6,$A$214:$B$220,2)</f>
        <v>0</v>
      </c>
      <c r="Y345" s="862">
        <f>'6 Caissons Objets'!Lnec6</f>
        <v>0</v>
      </c>
      <c r="Z345" s="862">
        <f>'6 Caissons Objets'!lanec6</f>
        <v>0</v>
      </c>
      <c r="AA345" s="862">
        <f t="shared" si="131"/>
        <v>0</v>
      </c>
      <c r="AB345" s="862"/>
      <c r="AC345" s="862"/>
      <c r="AD345" s="862"/>
      <c r="AE345" s="862"/>
      <c r="AF345" s="862" t="e">
        <f>VLOOKUP('6 Caissons Objets'!nbcal6,$A$238:$D$239,4)*2</f>
        <v>#N/A</v>
      </c>
      <c r="AG345" s="862" t="e">
        <f>VLOOKUP('6 Caissons Objets'!nbcal6,$A$238:$D$239,4)*2</f>
        <v>#N/A</v>
      </c>
      <c r="AH345" s="862" t="e">
        <f>VLOOKUP('6 Caissons Objets'!nbcal6,$A$238:$D$239,4)</f>
        <v>#N/A</v>
      </c>
      <c r="AI345" s="862" t="s">
        <v>321</v>
      </c>
      <c r="AJ345" s="863"/>
    </row>
    <row r="346" spans="1:36" ht="18" hidden="1" customHeight="1" x14ac:dyDescent="0.35">
      <c r="A346" s="861" t="s">
        <v>325</v>
      </c>
      <c r="B346" s="862"/>
      <c r="C346" s="862"/>
      <c r="D346" s="862"/>
      <c r="E346" s="862"/>
      <c r="F346" s="862"/>
      <c r="G346" s="862"/>
      <c r="H346" s="862"/>
      <c r="I346" s="862"/>
      <c r="J346" s="862"/>
      <c r="K346" s="862"/>
      <c r="L346" s="862"/>
      <c r="M346" s="862"/>
      <c r="N346" s="862">
        <f>IF('6 Caissons Objets'!nbcal6="PU","PU 50 mm",IF('6 Caissons Objets'!nbcal6="Stratocell","Stratocell 50 mm",0))</f>
        <v>0</v>
      </c>
      <c r="O346" s="862">
        <f>'6 Caissons Objets'!Lnec6-0.3</f>
        <v>-0.3</v>
      </c>
      <c r="P346" s="862">
        <f>'6 Caissons Objets'!hnec6-AA346</f>
        <v>0</v>
      </c>
      <c r="Q346" s="862">
        <f>'6 Caissons Objets'!lanec6/5</f>
        <v>0</v>
      </c>
      <c r="R346" s="862"/>
      <c r="S346" s="862"/>
      <c r="T346" s="862"/>
      <c r="U346" s="862"/>
      <c r="V346" s="862" t="str">
        <f>'6 Caissons Objets'!Base6</f>
        <v>Aucun</v>
      </c>
      <c r="W346" s="862">
        <f t="shared" si="130"/>
        <v>0</v>
      </c>
      <c r="X346" s="862">
        <f>VLOOKUP('6 Caissons Objets'!plat6,$A$214:$B$220,2)</f>
        <v>0</v>
      </c>
      <c r="Y346" s="862">
        <f>'6 Caissons Objets'!Lnec6</f>
        <v>0</v>
      </c>
      <c r="Z346" s="862">
        <f>'6 Caissons Objets'!lanec6</f>
        <v>0</v>
      </c>
      <c r="AA346" s="862">
        <f t="shared" si="131"/>
        <v>0</v>
      </c>
      <c r="AB346" s="862"/>
      <c r="AC346" s="862"/>
      <c r="AD346" s="862"/>
      <c r="AE346" s="862"/>
      <c r="AF346" s="862" t="e">
        <f>VLOOKUP('6 Caissons Objets'!nbcal6,$A$238:$D$239,4)*2</f>
        <v>#N/A</v>
      </c>
      <c r="AG346" s="862" t="e">
        <f>VLOOKUP('6 Caissons Objets'!nbcal6,$A$238:$D$239,4)*2</f>
        <v>#N/A</v>
      </c>
      <c r="AH346" s="862" t="e">
        <f>VLOOKUP('6 Caissons Objets'!nbcal6,$A$238:$D$239,4)</f>
        <v>#N/A</v>
      </c>
      <c r="AI346" s="862" t="s">
        <v>321</v>
      </c>
      <c r="AJ346" s="863"/>
    </row>
    <row r="347" spans="1:36" ht="18" hidden="1" customHeight="1" x14ac:dyDescent="0.35">
      <c r="A347" s="861" t="s">
        <v>497</v>
      </c>
      <c r="B347" s="862"/>
      <c r="C347" s="862"/>
      <c r="D347" s="862"/>
      <c r="E347" s="862"/>
      <c r="F347" s="862"/>
      <c r="G347" s="862"/>
      <c r="H347" s="862"/>
      <c r="I347" s="862"/>
      <c r="J347" s="862"/>
      <c r="K347" s="862"/>
      <c r="L347" s="862"/>
      <c r="M347" s="862"/>
      <c r="N347" s="862">
        <f>IF('6 Caissons Objets'!nbcal6="PU","PU 20 mm",IF('6 Caissons Objets'!nbcal6="Stratocell","Stratocell 20 mm",0))</f>
        <v>0</v>
      </c>
      <c r="O347" s="862">
        <f>'6 Caissons Objets'!Lnec6</f>
        <v>0</v>
      </c>
      <c r="P347" s="862">
        <f>'6 Caissons Objets'!lanec6</f>
        <v>0</v>
      </c>
      <c r="Q347" s="862">
        <v>1</v>
      </c>
      <c r="R347" s="862">
        <f>IF('6 Caissons Objets'!nbcal6="PU","PU 20 mm",IF('6 Caissons Objets'!nbcal6="Stratocell","Stratocell 20 mm",0))</f>
        <v>0</v>
      </c>
      <c r="S347" s="862">
        <f>'6 Caissons Objets'!Lnec6</f>
        <v>0</v>
      </c>
      <c r="T347" s="862">
        <f>'6 Caissons Objets'!hnec6-5-AA347</f>
        <v>-5</v>
      </c>
      <c r="U347" s="862">
        <v>2</v>
      </c>
      <c r="V347" s="862" t="str">
        <f>'6 Caissons Objets'!Base6</f>
        <v>Aucun</v>
      </c>
      <c r="W347" s="862">
        <f t="shared" si="130"/>
        <v>0</v>
      </c>
      <c r="X347" s="862">
        <f>VLOOKUP('6 Caissons Objets'!plat6,$A$214:$B$220,2)</f>
        <v>0</v>
      </c>
      <c r="Y347" s="862">
        <f>'6 Caissons Objets'!Lnec6</f>
        <v>0</v>
      </c>
      <c r="Z347" s="862">
        <f>'6 Caissons Objets'!lanec6</f>
        <v>0</v>
      </c>
      <c r="AA347" s="862">
        <f t="shared" si="131"/>
        <v>0</v>
      </c>
      <c r="AB347" s="862">
        <f>IF('6 Caissons Objets'!nbcal6="PU","PU 20 mm",IF('6 Caissons Objets'!nbcal6="Stratocell","Stratocell 20 mm",0))</f>
        <v>0</v>
      </c>
      <c r="AC347" s="862" t="e">
        <f>'6 Caissons Objets'!lanec6-AF347</f>
        <v>#N/A</v>
      </c>
      <c r="AD347" s="862">
        <f>'6 Caissons Objets'!hnec6-2.2-AA347</f>
        <v>-2.2000000000000002</v>
      </c>
      <c r="AE347" s="862">
        <v>2</v>
      </c>
      <c r="AF347" s="862" t="e">
        <f>VLOOKUP('6 Caissons Objets'!nbcal6,$A$238:$D$239,2)*2</f>
        <v>#N/A</v>
      </c>
      <c r="AG347" s="862" t="e">
        <f>VLOOKUP('6 Caissons Objets'!nbcal6,$A$238:$D$239,2)*2</f>
        <v>#N/A</v>
      </c>
      <c r="AH347" s="862" t="e">
        <f>VLOOKUP('6 Caissons Objets'!nbcal6,$A$238:$D$239,2)</f>
        <v>#N/A</v>
      </c>
      <c r="AI347" s="862" t="s">
        <v>321</v>
      </c>
      <c r="AJ347" s="863"/>
    </row>
    <row r="348" spans="1:36" ht="18" hidden="1" customHeight="1" x14ac:dyDescent="0.35">
      <c r="A348" s="861" t="s">
        <v>498</v>
      </c>
      <c r="B348" s="862"/>
      <c r="C348" s="862"/>
      <c r="D348" s="862"/>
      <c r="E348" s="862"/>
      <c r="F348" s="862"/>
      <c r="G348" s="862"/>
      <c r="H348" s="862"/>
      <c r="I348" s="862"/>
      <c r="J348" s="862"/>
      <c r="K348" s="862"/>
      <c r="L348" s="862"/>
      <c r="M348" s="862"/>
      <c r="N348" s="862">
        <f>IF('6 Caissons Objets'!nbcal6="PU","PU 30 mm",IF('6 Caissons Objets'!nbcal6="Stratocell","Stratocell 30 mm",0))</f>
        <v>0</v>
      </c>
      <c r="O348" s="862">
        <f>'6 Caissons Objets'!Lnec6</f>
        <v>0</v>
      </c>
      <c r="P348" s="862">
        <f>'6 Caissons Objets'!lanec6</f>
        <v>0</v>
      </c>
      <c r="Q348" s="862">
        <v>1</v>
      </c>
      <c r="R348" s="862">
        <f>IF('6 Caissons Objets'!nbcal6="PU","PU 30 mm",IF('6 Caissons Objets'!nbcal6="Stratocell","Stratocell 30 mm",0))</f>
        <v>0</v>
      </c>
      <c r="S348" s="862">
        <f>'6 Caissons Objets'!Lnec6</f>
        <v>0</v>
      </c>
      <c r="T348" s="862">
        <f>'6 Caissons Objets'!hnec6-3-AA348</f>
        <v>-3</v>
      </c>
      <c r="U348" s="862">
        <v>2</v>
      </c>
      <c r="V348" s="862" t="str">
        <f>'6 Caissons Objets'!Base6</f>
        <v>Aucun</v>
      </c>
      <c r="W348" s="862">
        <f t="shared" si="130"/>
        <v>0</v>
      </c>
      <c r="X348" s="862">
        <f>VLOOKUP('6 Caissons Objets'!plat6,$A$214:$B$220,2)</f>
        <v>0</v>
      </c>
      <c r="Y348" s="862">
        <f>'6 Caissons Objets'!Lnec6</f>
        <v>0</v>
      </c>
      <c r="Z348" s="862">
        <f>'6 Caissons Objets'!lanec6</f>
        <v>0</v>
      </c>
      <c r="AA348" s="862">
        <f t="shared" si="131"/>
        <v>0</v>
      </c>
      <c r="AB348" s="862">
        <f>IF('6 Caissons Objets'!nbcal6="PU","PU 30 mm",IF('6 Caissons Objets'!nbcal6="Stratocell","Stratocell 30 mm",0))</f>
        <v>0</v>
      </c>
      <c r="AC348" s="862" t="e">
        <f>'6 Caissons Objets'!lanec6-AF348</f>
        <v>#N/A</v>
      </c>
      <c r="AD348" s="862">
        <f>'6 Caissons Objets'!hnec6-3.2-AA348</f>
        <v>-3.2</v>
      </c>
      <c r="AE348" s="862">
        <v>2</v>
      </c>
      <c r="AF348" s="862" t="e">
        <f>VLOOKUP('6 Caissons Objets'!nbcal6,$A$238:$D$239,3)*2</f>
        <v>#N/A</v>
      </c>
      <c r="AG348" s="862" t="e">
        <f>VLOOKUP('6 Caissons Objets'!nbcal6,$A$238:$D$239,3)*2</f>
        <v>#N/A</v>
      </c>
      <c r="AH348" s="862" t="e">
        <f>VLOOKUP('6 Caissons Objets'!nbcal6,$A$238:$D$239,3)</f>
        <v>#N/A</v>
      </c>
      <c r="AI348" s="862" t="s">
        <v>321</v>
      </c>
      <c r="AJ348" s="863"/>
    </row>
    <row r="349" spans="1:36" ht="18" hidden="1" customHeight="1" x14ac:dyDescent="0.35">
      <c r="A349" s="861" t="s">
        <v>479</v>
      </c>
      <c r="B349" s="862"/>
      <c r="C349" s="862"/>
      <c r="D349" s="862"/>
      <c r="E349" s="862"/>
      <c r="F349" s="862"/>
      <c r="G349" s="862"/>
      <c r="H349" s="862"/>
      <c r="I349" s="862"/>
      <c r="J349" s="862"/>
      <c r="K349" s="862"/>
      <c r="L349" s="862"/>
      <c r="M349" s="862"/>
      <c r="N349" s="862">
        <f>IF('6 Caissons Objets'!nbcal6="PU","PU 50 mm",IF('6 Caissons Objets'!nbcal6="Stratocell","Stratocell 50 mm",0))</f>
        <v>0</v>
      </c>
      <c r="O349" s="862">
        <f>'6 Caissons Objets'!Lnec6</f>
        <v>0</v>
      </c>
      <c r="P349" s="862">
        <f>'6 Caissons Objets'!lanec6</f>
        <v>0</v>
      </c>
      <c r="Q349" s="862">
        <v>1</v>
      </c>
      <c r="R349" s="862">
        <f>IF('6 Caissons Objets'!nbcal6="PU","PU 50 mm",IF('6 Caissons Objets'!nbcal6="Stratocell","Stratocell 50 mm",0))</f>
        <v>0</v>
      </c>
      <c r="S349" s="862">
        <f>'6 Caissons Objets'!Lnec6</f>
        <v>0</v>
      </c>
      <c r="T349" s="862">
        <f>'6 Caissons Objets'!hnec6-5-AA349</f>
        <v>-5</v>
      </c>
      <c r="U349" s="862">
        <v>2</v>
      </c>
      <c r="V349" s="862" t="str">
        <f>'6 Caissons Objets'!Base6</f>
        <v>Aucun</v>
      </c>
      <c r="W349" s="862">
        <f t="shared" si="130"/>
        <v>0</v>
      </c>
      <c r="X349" s="862">
        <f>VLOOKUP('6 Caissons Objets'!plat6,$A$214:$B$220,2)</f>
        <v>0</v>
      </c>
      <c r="Y349" s="862">
        <f>'6 Caissons Objets'!Lnec6</f>
        <v>0</v>
      </c>
      <c r="Z349" s="862">
        <f>'6 Caissons Objets'!lanec6</f>
        <v>0</v>
      </c>
      <c r="AA349" s="862">
        <f t="shared" si="131"/>
        <v>0</v>
      </c>
      <c r="AB349" s="862">
        <f>IF('6 Caissons Objets'!nbcal6="PU","PU 50 mm",IF('6 Caissons Objets'!nbcal6="Stratocell","Stratocell 50 mm",0))</f>
        <v>0</v>
      </c>
      <c r="AC349" s="862" t="e">
        <f>'6 Caissons Objets'!lanec6-AF349</f>
        <v>#N/A</v>
      </c>
      <c r="AD349" s="862">
        <f>'6 Caissons Objets'!hnec6-5.3-AA349</f>
        <v>-5.3</v>
      </c>
      <c r="AE349" s="862">
        <v>2</v>
      </c>
      <c r="AF349" s="862" t="e">
        <f>VLOOKUP('6 Caissons Objets'!nbcal6,$A$238:$D$239,4)*2</f>
        <v>#N/A</v>
      </c>
      <c r="AG349" s="862" t="e">
        <f>VLOOKUP('6 Caissons Objets'!nbcal6,$A$238:$D$239,4)*2</f>
        <v>#N/A</v>
      </c>
      <c r="AH349" s="862" t="e">
        <f>VLOOKUP('6 Caissons Objets'!nbcal6,$A$238:$D$239,4)</f>
        <v>#N/A</v>
      </c>
      <c r="AI349" s="862" t="s">
        <v>321</v>
      </c>
      <c r="AJ349" s="863"/>
    </row>
    <row r="350" spans="1:36" ht="18" hidden="1" customHeight="1" x14ac:dyDescent="0.35">
      <c r="A350" s="861" t="s">
        <v>326</v>
      </c>
      <c r="B350" s="862" t="s">
        <v>354</v>
      </c>
      <c r="C350" s="862">
        <f>'6 Caissons Objets'!Lnec6</f>
        <v>0</v>
      </c>
      <c r="D350" s="862">
        <v>9.3000000000000007</v>
      </c>
      <c r="E350" s="862">
        <f>1</f>
        <v>1</v>
      </c>
      <c r="F350" s="862" t="s">
        <v>355</v>
      </c>
      <c r="G350" s="862">
        <f>'6 Caissons Objets'!Lnec6</f>
        <v>0</v>
      </c>
      <c r="H350" s="862">
        <v>5.2</v>
      </c>
      <c r="I350" s="862">
        <f>'6 Caissons Objets'!nbcal6*2</f>
        <v>8</v>
      </c>
      <c r="J350" s="862" t="s">
        <v>349</v>
      </c>
      <c r="K350" s="862">
        <f>'6 Caissons Objets'!lanec6</f>
        <v>0</v>
      </c>
      <c r="L350" s="862">
        <v>7</v>
      </c>
      <c r="M350" s="862">
        <f>'6 Caissons Objets'!nbcal6*4</f>
        <v>16</v>
      </c>
      <c r="N350" s="862" t="b">
        <f>IF('6 Caissons Objets'!Typedemousse6="Stratocell 35 Kg","Stratocell 50 mm",IF('6 Caissons Objets'!Typedemousse6="Stratocell 65 Kg","Stratocell 50 mm 65 kg"))</f>
        <v>0</v>
      </c>
      <c r="O350" s="862">
        <f>'6 Caissons Objets'!Lnec6</f>
        <v>0</v>
      </c>
      <c r="P350" s="862">
        <f>('6 Caissons Objets'!lanec6-4.2)/2</f>
        <v>-2.1</v>
      </c>
      <c r="Q350" s="862">
        <f>'6 Caissons Objets'!nbcal6*2</f>
        <v>8</v>
      </c>
      <c r="R350" s="862" t="b">
        <f>IF('6 Caissons Objets'!Typedemousse6="Stratocell 35 Kg","Stratocell 50 mm",IF('6 Caissons Objets'!Typedemousse6="Stratocell 65 Kg","Stratocell 50 mm 65 kg"))</f>
        <v>0</v>
      </c>
      <c r="S350" s="862">
        <f>'6 Caissons Objets'!lanec6</f>
        <v>0</v>
      </c>
      <c r="T350" s="862">
        <f>IF('6 Caissons Objets'!hnec6&lt;120,9.3,14.4)</f>
        <v>9.3000000000000007</v>
      </c>
      <c r="U350" s="862">
        <f>1</f>
        <v>1</v>
      </c>
      <c r="V350" s="862" t="str">
        <f>'6 Caissons Objets'!Base6</f>
        <v>Aucun</v>
      </c>
      <c r="W350" s="862">
        <f t="shared" si="130"/>
        <v>0</v>
      </c>
      <c r="X350" s="862">
        <f>VLOOKUP('6 Caissons Objets'!plat6,$A$214:$B$220,2)</f>
        <v>0</v>
      </c>
      <c r="Y350" s="862">
        <f>'6 Caissons Objets'!Lnec6</f>
        <v>0</v>
      </c>
      <c r="Z350" s="862">
        <f>'6 Caissons Objets'!lanec6</f>
        <v>0</v>
      </c>
      <c r="AA350" s="862">
        <f t="shared" si="131"/>
        <v>0</v>
      </c>
      <c r="AB350" s="862"/>
      <c r="AC350" s="862"/>
      <c r="AD350" s="862"/>
      <c r="AE350" s="862"/>
      <c r="AF350" s="862">
        <v>14</v>
      </c>
      <c r="AG350" s="862">
        <v>14</v>
      </c>
      <c r="AH350" s="862">
        <v>7</v>
      </c>
      <c r="AI350" s="862" t="s">
        <v>317</v>
      </c>
      <c r="AJ350" s="863" t="s">
        <v>321</v>
      </c>
    </row>
    <row r="351" spans="1:36" ht="18" hidden="1" customHeight="1" x14ac:dyDescent="0.35">
      <c r="A351" s="861" t="s">
        <v>328</v>
      </c>
      <c r="B351" s="862"/>
      <c r="C351" s="862"/>
      <c r="D351" s="862"/>
      <c r="E351" s="862"/>
      <c r="F351" s="862" t="s">
        <v>355</v>
      </c>
      <c r="G351" s="862">
        <f>'6 Caissons Objets'!lanec6</f>
        <v>0</v>
      </c>
      <c r="H351" s="862">
        <v>5.2</v>
      </c>
      <c r="I351" s="862">
        <f>'6 Caissons Objets'!nbcal6</f>
        <v>4</v>
      </c>
      <c r="J351" s="862" t="s">
        <v>349</v>
      </c>
      <c r="K351" s="862">
        <f>'6 Caissons Objets'!hnec6-AA351</f>
        <v>0</v>
      </c>
      <c r="L351" s="862">
        <v>7</v>
      </c>
      <c r="M351" s="862">
        <f>'6 Caissons Objets'!nbcal6*4</f>
        <v>16</v>
      </c>
      <c r="N351" s="862" t="b">
        <f>IF('6 Caissons Objets'!Typedemousse6="Stratocell 35 Kg","Stratocell 50 mm",IF('6 Caissons Objets'!Typedemousse6="Stratocell 65 Kg","Stratocell 50 mm 65 kg"))</f>
        <v>0</v>
      </c>
      <c r="O351" s="862">
        <f>'6 Caissons Objets'!lanec6</f>
        <v>0</v>
      </c>
      <c r="P351" s="862">
        <f>'6 Caissons Objets'!hnec6-2.1-AA351</f>
        <v>-2.1</v>
      </c>
      <c r="Q351" s="862">
        <f>'6 Caissons Objets'!nbcal6</f>
        <v>4</v>
      </c>
      <c r="R351" s="862"/>
      <c r="S351" s="862"/>
      <c r="T351" s="862"/>
      <c r="U351" s="862"/>
      <c r="V351" s="862" t="str">
        <f>'6 Caissons Objets'!Base6</f>
        <v>Aucun</v>
      </c>
      <c r="W351" s="862">
        <f t="shared" si="130"/>
        <v>0</v>
      </c>
      <c r="X351" s="862">
        <f>VLOOKUP('6 Caissons Objets'!plat6,$A$214:$B$220,2)</f>
        <v>0</v>
      </c>
      <c r="Y351" s="862">
        <f>'6 Caissons Objets'!Lnec6</f>
        <v>0</v>
      </c>
      <c r="Z351" s="862">
        <f>'6 Caissons Objets'!lanec6</f>
        <v>0</v>
      </c>
      <c r="AA351" s="862">
        <f t="shared" si="131"/>
        <v>0</v>
      </c>
      <c r="AB351" s="862"/>
      <c r="AC351" s="862"/>
      <c r="AD351" s="862"/>
      <c r="AE351" s="862"/>
      <c r="AF351" s="862">
        <v>10.5</v>
      </c>
      <c r="AG351" s="862">
        <v>14</v>
      </c>
      <c r="AH351" s="862">
        <v>7</v>
      </c>
      <c r="AI351" s="862" t="s">
        <v>317</v>
      </c>
      <c r="AJ351" s="863" t="s">
        <v>321</v>
      </c>
    </row>
    <row r="352" spans="1:36" ht="18" hidden="1" customHeight="1" x14ac:dyDescent="0.35">
      <c r="A352" s="864" t="s">
        <v>329</v>
      </c>
      <c r="B352" s="865"/>
      <c r="C352" s="865"/>
      <c r="D352" s="865"/>
      <c r="E352" s="865"/>
      <c r="F352" s="862" t="s">
        <v>355</v>
      </c>
      <c r="G352" s="862">
        <f>'6 Caissons Objets'!lanec6</f>
        <v>0</v>
      </c>
      <c r="H352" s="862">
        <v>5.2</v>
      </c>
      <c r="I352" s="862">
        <f>'6 Caissons Objets'!nbcal6</f>
        <v>4</v>
      </c>
      <c r="J352" s="862" t="s">
        <v>349</v>
      </c>
      <c r="K352" s="862">
        <f>'6 Caissons Objets'!hnec6-AA352</f>
        <v>0</v>
      </c>
      <c r="L352" s="862">
        <v>7</v>
      </c>
      <c r="M352" s="862">
        <f>'6 Caissons Objets'!nbcal6*4</f>
        <v>16</v>
      </c>
      <c r="N352" s="865" t="b">
        <f>IF('6 Caissons Objets'!Typedemousse6="Stratocell 35 Kg","Stratocell 50 mm",IF('6 Caissons Objets'!Typedemousse6="Stratocell 65 Kg","Stratocell 50 mm 65 kg"))</f>
        <v>0</v>
      </c>
      <c r="O352" s="865">
        <f>'6 Caissons Objets'!lanec6</f>
        <v>0</v>
      </c>
      <c r="P352" s="865">
        <f>'6 Caissons Objets'!hnec6-2.1-AA352</f>
        <v>-2.1</v>
      </c>
      <c r="Q352" s="865">
        <f>'6 Caissons Objets'!nbcal6</f>
        <v>4</v>
      </c>
      <c r="R352" s="865" t="b">
        <f>IF('6 Caissons Objets'!Typedemousse6="Stratocell 35 Kg","Stratocell 50 mm",IF('6 Caissons Objets'!Typedemousse6="Stratocell 65 Kg","Stratocell 50 mm 65 kg"))</f>
        <v>0</v>
      </c>
      <c r="S352" s="865">
        <f>'6 Caissons Objets'!Lnec6</f>
        <v>0</v>
      </c>
      <c r="T352" s="865">
        <f>I40+AA352</f>
        <v>0</v>
      </c>
      <c r="U352" s="865">
        <v>2</v>
      </c>
      <c r="V352" s="862" t="str">
        <f>'6 Caissons Objets'!Base6</f>
        <v>Aucun</v>
      </c>
      <c r="W352" s="865">
        <f t="shared" si="130"/>
        <v>0</v>
      </c>
      <c r="X352" s="862">
        <f>VLOOKUP('6 Caissons Objets'!plat6,$A$214:$B$220,2)</f>
        <v>0</v>
      </c>
      <c r="Y352" s="865">
        <f>'6 Caissons Objets'!Lnec6-10.2</f>
        <v>-10.199999999999999</v>
      </c>
      <c r="Z352" s="865">
        <f>'6 Caissons Objets'!lanec6-10.2</f>
        <v>-10.199999999999999</v>
      </c>
      <c r="AA352" s="865">
        <f t="shared" si="131"/>
        <v>0</v>
      </c>
      <c r="AB352" s="865" t="b">
        <f>IF('6 Caissons Objets'!Typedemousse6="Stratocell 35 Kg","Stratocell 50 mm",IF('6 Caissons Objets'!Typedemousse6="Stratocell 65 Kg","Stratocell 50 mm 65 kg"))</f>
        <v>0</v>
      </c>
      <c r="AC352" s="865">
        <f>'6 Caissons Objets'!lanec6-VLOOKUP(H39,A340:AJ352,33)</f>
        <v>0</v>
      </c>
      <c r="AD352" s="865">
        <f>T352</f>
        <v>0</v>
      </c>
      <c r="AE352" s="865">
        <v>2</v>
      </c>
      <c r="AF352" s="865">
        <v>10.6</v>
      </c>
      <c r="AG352" s="865">
        <v>10.6</v>
      </c>
      <c r="AH352" s="865">
        <v>7</v>
      </c>
      <c r="AI352" s="865" t="s">
        <v>317</v>
      </c>
      <c r="AJ352" s="866" t="s">
        <v>321</v>
      </c>
    </row>
    <row r="353" spans="1:36" ht="18" hidden="1" customHeight="1" x14ac:dyDescent="0.35">
      <c r="A353" s="468"/>
      <c r="B353" s="468"/>
      <c r="C353" s="468"/>
      <c r="D353" s="468"/>
      <c r="E353" s="468"/>
      <c r="F353" s="468"/>
      <c r="G353" s="468"/>
      <c r="H353" s="468"/>
      <c r="I353" s="468"/>
      <c r="J353" s="468"/>
      <c r="K353" s="468"/>
      <c r="L353" s="468"/>
      <c r="M353" s="468"/>
      <c r="N353" s="468"/>
      <c r="O353" s="468"/>
      <c r="P353" s="468"/>
      <c r="Q353" s="468"/>
      <c r="R353" s="468"/>
      <c r="S353" s="468"/>
      <c r="T353" s="468"/>
      <c r="U353" s="468"/>
      <c r="V353" s="468"/>
      <c r="W353" s="468"/>
      <c r="X353" s="468"/>
      <c r="Y353" s="468"/>
      <c r="Z353" s="468"/>
      <c r="AA353" s="468"/>
      <c r="AB353" s="468"/>
      <c r="AC353" s="468"/>
      <c r="AD353" s="468"/>
      <c r="AE353" s="468"/>
      <c r="AF353" s="468"/>
      <c r="AG353" s="468"/>
      <c r="AH353" s="468"/>
      <c r="AI353" s="468"/>
      <c r="AJ353" s="468"/>
    </row>
    <row r="354" spans="1:36" ht="18" hidden="1" customHeight="1" x14ac:dyDescent="0.35">
      <c r="A354" s="468"/>
      <c r="B354" s="468"/>
      <c r="C354" s="468"/>
      <c r="D354" s="468"/>
      <c r="E354" s="468"/>
      <c r="F354" s="468"/>
      <c r="G354" s="468"/>
      <c r="H354" s="468"/>
      <c r="I354" s="468"/>
      <c r="J354" s="468"/>
      <c r="K354" s="468"/>
      <c r="L354" s="468"/>
      <c r="M354" s="468"/>
      <c r="N354" s="468"/>
      <c r="O354" s="468"/>
      <c r="P354" s="468"/>
      <c r="Q354" s="468"/>
      <c r="R354" s="468"/>
      <c r="S354" s="468"/>
      <c r="T354" s="468"/>
      <c r="U354" s="468"/>
      <c r="V354" s="468"/>
      <c r="W354" s="468"/>
      <c r="X354" s="468"/>
      <c r="Y354" s="468"/>
      <c r="Z354" s="468"/>
      <c r="AA354" s="468"/>
      <c r="AB354" s="468"/>
      <c r="AC354" s="468"/>
      <c r="AD354" s="468"/>
      <c r="AE354" s="468"/>
      <c r="AF354" s="468"/>
      <c r="AG354" s="468"/>
      <c r="AH354" s="468"/>
      <c r="AI354" s="468"/>
      <c r="AJ354" s="468"/>
    </row>
    <row r="355" spans="1:36" ht="18" customHeight="1" x14ac:dyDescent="0.35">
      <c r="A355" s="468"/>
      <c r="B355" s="468"/>
      <c r="C355" s="468"/>
      <c r="D355" s="468"/>
      <c r="E355" s="468"/>
      <c r="F355" s="468"/>
      <c r="G355" s="468"/>
      <c r="H355" s="468"/>
      <c r="I355" s="468"/>
      <c r="J355" s="468"/>
      <c r="K355" s="468"/>
      <c r="L355" s="468"/>
      <c r="M355" s="468"/>
      <c r="N355" s="468"/>
      <c r="O355" s="468"/>
      <c r="P355" s="468"/>
      <c r="Q355" s="468"/>
      <c r="R355" s="468"/>
      <c r="S355" s="468"/>
      <c r="T355" s="468"/>
      <c r="U355" s="468"/>
      <c r="V355" s="468"/>
      <c r="W355" s="468"/>
      <c r="X355" s="468"/>
      <c r="Y355" s="468"/>
      <c r="Z355" s="468"/>
      <c r="AA355" s="468"/>
      <c r="AB355" s="468"/>
      <c r="AC355" s="468"/>
      <c r="AD355" s="468"/>
      <c r="AE355" s="468"/>
      <c r="AF355" s="468"/>
      <c r="AG355" s="468"/>
      <c r="AH355" s="468"/>
      <c r="AI355" s="468"/>
      <c r="AJ355" s="468"/>
    </row>
    <row r="356" spans="1:36" ht="18" customHeight="1" x14ac:dyDescent="0.35">
      <c r="A356" s="468"/>
      <c r="B356" s="468"/>
      <c r="C356" s="468"/>
      <c r="D356" s="468"/>
      <c r="E356" s="468"/>
      <c r="F356" s="468"/>
      <c r="G356" s="468"/>
      <c r="H356" s="468"/>
      <c r="I356" s="468"/>
      <c r="J356" s="468"/>
      <c r="K356" s="468"/>
      <c r="L356" s="468"/>
      <c r="M356" s="468"/>
      <c r="N356" s="468"/>
      <c r="O356" s="468"/>
      <c r="P356" s="468"/>
      <c r="Q356" s="468"/>
      <c r="R356" s="468"/>
      <c r="S356" s="468"/>
      <c r="T356" s="468"/>
      <c r="U356" s="468"/>
      <c r="V356" s="468"/>
      <c r="W356" s="468"/>
      <c r="X356" s="468"/>
      <c r="Y356" s="468"/>
      <c r="Z356" s="468"/>
      <c r="AA356" s="468"/>
      <c r="AB356" s="468"/>
      <c r="AC356" s="468"/>
      <c r="AD356" s="468"/>
      <c r="AE356" s="468"/>
      <c r="AF356" s="468"/>
      <c r="AG356" s="468"/>
      <c r="AH356" s="468"/>
      <c r="AI356" s="468"/>
      <c r="AJ356" s="468"/>
    </row>
    <row r="357" spans="1:36" ht="18" customHeight="1" x14ac:dyDescent="0.35">
      <c r="A357" s="468"/>
      <c r="B357" s="468"/>
      <c r="C357" s="468"/>
      <c r="D357" s="468"/>
      <c r="E357" s="468"/>
      <c r="F357" s="468"/>
      <c r="G357" s="468"/>
      <c r="H357" s="468"/>
      <c r="I357" s="468"/>
      <c r="J357" s="468"/>
      <c r="K357" s="468"/>
      <c r="L357" s="468"/>
      <c r="M357" s="468"/>
      <c r="N357" s="468"/>
      <c r="O357" s="468"/>
      <c r="P357" s="468"/>
      <c r="Q357" s="468"/>
      <c r="R357" s="468"/>
      <c r="S357" s="468"/>
      <c r="T357" s="468"/>
      <c r="U357" s="468"/>
      <c r="V357" s="468"/>
      <c r="W357" s="468"/>
      <c r="X357" s="468"/>
      <c r="Y357" s="468"/>
      <c r="Z357" s="468"/>
      <c r="AA357" s="468"/>
      <c r="AB357" s="468"/>
      <c r="AC357" s="468"/>
      <c r="AD357" s="468"/>
      <c r="AE357" s="468"/>
      <c r="AF357" s="468"/>
      <c r="AG357" s="468"/>
      <c r="AH357" s="468"/>
      <c r="AI357" s="468"/>
      <c r="AJ357" s="468"/>
    </row>
    <row r="358" spans="1:36" ht="18" customHeight="1" x14ac:dyDescent="0.35">
      <c r="A358" s="468"/>
      <c r="B358" s="468"/>
      <c r="C358" s="468"/>
      <c r="D358" s="468"/>
      <c r="E358" s="468"/>
      <c r="F358" s="468"/>
      <c r="G358" s="468"/>
      <c r="H358" s="468"/>
      <c r="I358" s="468"/>
      <c r="J358" s="468"/>
      <c r="K358" s="468"/>
      <c r="L358" s="468"/>
      <c r="M358" s="468"/>
      <c r="N358" s="468"/>
      <c r="O358" s="468"/>
      <c r="P358" s="468"/>
      <c r="Q358" s="468"/>
      <c r="R358" s="468"/>
      <c r="S358" s="468"/>
      <c r="T358" s="468"/>
      <c r="U358" s="468"/>
      <c r="V358" s="468"/>
      <c r="W358" s="468"/>
      <c r="X358" s="468"/>
      <c r="Y358" s="468"/>
      <c r="Z358" s="468"/>
      <c r="AA358" s="468"/>
      <c r="AB358" s="468"/>
      <c r="AC358" s="468"/>
      <c r="AD358" s="468"/>
      <c r="AE358" s="468"/>
      <c r="AF358" s="468"/>
      <c r="AG358" s="468"/>
      <c r="AH358" s="468"/>
      <c r="AI358" s="468"/>
      <c r="AJ358" s="468"/>
    </row>
    <row r="359" spans="1:36" ht="18" customHeight="1" x14ac:dyDescent="0.35">
      <c r="A359" s="468"/>
      <c r="B359" s="468"/>
      <c r="C359" s="468"/>
      <c r="D359" s="468"/>
      <c r="E359" s="468"/>
      <c r="F359" s="468"/>
      <c r="G359" s="468"/>
      <c r="H359" s="468"/>
      <c r="I359" s="468"/>
      <c r="J359" s="468"/>
      <c r="K359" s="468"/>
      <c r="L359" s="468"/>
      <c r="M359" s="468"/>
      <c r="N359" s="468"/>
      <c r="O359" s="468"/>
      <c r="P359" s="468"/>
      <c r="Q359" s="468"/>
      <c r="R359" s="468"/>
      <c r="S359" s="468"/>
      <c r="T359" s="468"/>
      <c r="U359" s="468"/>
      <c r="V359" s="468"/>
      <c r="W359" s="468"/>
      <c r="X359" s="468"/>
      <c r="Y359" s="468"/>
      <c r="Z359" s="468"/>
      <c r="AA359" s="468"/>
      <c r="AB359" s="468"/>
      <c r="AC359" s="468"/>
      <c r="AD359" s="468"/>
      <c r="AE359" s="468"/>
      <c r="AF359" s="468"/>
      <c r="AG359" s="468"/>
      <c r="AH359" s="468"/>
      <c r="AI359" s="468"/>
      <c r="AJ359" s="468"/>
    </row>
    <row r="360" spans="1:36" ht="18" customHeight="1" x14ac:dyDescent="0.35">
      <c r="A360" s="468"/>
      <c r="B360" s="468"/>
      <c r="C360" s="468"/>
      <c r="D360" s="468"/>
      <c r="E360" s="468"/>
      <c r="F360" s="468"/>
      <c r="G360" s="468"/>
      <c r="H360" s="468"/>
      <c r="I360" s="468"/>
      <c r="J360" s="468"/>
      <c r="K360" s="468"/>
      <c r="L360" s="468"/>
      <c r="M360" s="468"/>
      <c r="N360" s="468"/>
      <c r="O360" s="468"/>
      <c r="P360" s="468"/>
      <c r="Q360" s="468"/>
      <c r="R360" s="468"/>
      <c r="S360" s="468"/>
      <c r="T360" s="468"/>
      <c r="U360" s="468"/>
      <c r="V360" s="468"/>
      <c r="W360" s="468"/>
      <c r="X360" s="468"/>
      <c r="Y360" s="468"/>
      <c r="Z360" s="468"/>
      <c r="AA360" s="468"/>
      <c r="AB360" s="468"/>
      <c r="AC360" s="468"/>
      <c r="AD360" s="468"/>
      <c r="AE360" s="468"/>
      <c r="AF360" s="468"/>
      <c r="AG360" s="468"/>
      <c r="AH360" s="468"/>
      <c r="AI360" s="468"/>
      <c r="AJ360" s="468"/>
    </row>
    <row r="361" spans="1:36" ht="18" customHeight="1" x14ac:dyDescent="0.35">
      <c r="A361" s="468"/>
      <c r="B361" s="468"/>
      <c r="C361" s="468"/>
      <c r="D361" s="468"/>
      <c r="E361" s="468"/>
      <c r="F361" s="468"/>
      <c r="G361" s="468"/>
      <c r="H361" s="468"/>
      <c r="I361" s="468"/>
      <c r="J361" s="468"/>
      <c r="K361" s="468"/>
      <c r="L361" s="468"/>
      <c r="M361" s="468"/>
      <c r="N361" s="468"/>
      <c r="O361" s="468"/>
      <c r="P361" s="468"/>
      <c r="Q361" s="468"/>
      <c r="R361" s="468"/>
      <c r="S361" s="468"/>
      <c r="T361" s="468"/>
      <c r="U361" s="468"/>
      <c r="V361" s="468"/>
      <c r="W361" s="468"/>
      <c r="X361" s="468"/>
      <c r="Y361" s="468"/>
      <c r="Z361" s="468"/>
      <c r="AA361" s="468"/>
      <c r="AB361" s="468"/>
      <c r="AC361" s="468"/>
      <c r="AD361" s="468"/>
      <c r="AE361" s="468"/>
      <c r="AF361" s="468"/>
      <c r="AG361" s="468"/>
      <c r="AH361" s="468"/>
      <c r="AI361" s="468"/>
      <c r="AJ361" s="468"/>
    </row>
    <row r="362" spans="1:36" ht="18" customHeight="1" x14ac:dyDescent="0.35">
      <c r="A362" s="468"/>
      <c r="B362" s="468"/>
      <c r="C362" s="468"/>
      <c r="D362" s="468"/>
      <c r="E362" s="468"/>
      <c r="F362" s="468"/>
      <c r="G362" s="468"/>
      <c r="H362" s="468"/>
      <c r="I362" s="468"/>
      <c r="J362" s="468"/>
      <c r="K362" s="468"/>
      <c r="L362" s="468"/>
      <c r="M362" s="468"/>
      <c r="N362" s="468"/>
      <c r="O362" s="468"/>
      <c r="P362" s="468"/>
      <c r="Q362" s="468"/>
      <c r="R362" s="468"/>
      <c r="S362" s="468"/>
      <c r="T362" s="468"/>
      <c r="U362" s="468"/>
      <c r="V362" s="468"/>
      <c r="W362" s="468"/>
      <c r="X362" s="468"/>
      <c r="Y362" s="468"/>
      <c r="Z362" s="468"/>
      <c r="AA362" s="468"/>
      <c r="AB362" s="468"/>
      <c r="AC362" s="468"/>
      <c r="AD362" s="468"/>
      <c r="AE362" s="468"/>
      <c r="AF362" s="468"/>
      <c r="AG362" s="468"/>
      <c r="AH362" s="468"/>
      <c r="AI362" s="468"/>
      <c r="AJ362" s="468"/>
    </row>
    <row r="363" spans="1:36" ht="18" customHeight="1" x14ac:dyDescent="0.35">
      <c r="A363" s="468"/>
      <c r="B363" s="468"/>
      <c r="C363" s="468"/>
      <c r="D363" s="468"/>
      <c r="E363" s="468"/>
      <c r="F363" s="468"/>
      <c r="G363" s="468"/>
      <c r="H363" s="468"/>
      <c r="I363" s="468"/>
      <c r="J363" s="468"/>
      <c r="K363" s="468"/>
      <c r="L363" s="468"/>
      <c r="M363" s="468"/>
      <c r="N363" s="468"/>
      <c r="O363" s="468"/>
      <c r="P363" s="468"/>
      <c r="Q363" s="468"/>
      <c r="R363" s="468"/>
      <c r="S363" s="468"/>
      <c r="T363" s="468"/>
      <c r="U363" s="468"/>
      <c r="V363" s="468"/>
      <c r="W363" s="468"/>
      <c r="X363" s="468"/>
      <c r="Y363" s="468"/>
      <c r="Z363" s="468"/>
      <c r="AA363" s="468"/>
      <c r="AB363" s="468"/>
      <c r="AC363" s="468"/>
      <c r="AD363" s="468"/>
      <c r="AE363" s="468"/>
      <c r="AF363" s="468"/>
      <c r="AG363" s="468"/>
      <c r="AH363" s="468"/>
      <c r="AI363" s="468"/>
      <c r="AJ363" s="468"/>
    </row>
    <row r="364" spans="1:36" ht="18" customHeight="1" x14ac:dyDescent="0.35">
      <c r="A364" s="468"/>
      <c r="B364" s="468"/>
      <c r="C364" s="468"/>
      <c r="D364" s="468"/>
      <c r="E364" s="468"/>
      <c r="F364" s="468"/>
      <c r="G364" s="468"/>
      <c r="H364" s="468"/>
      <c r="I364" s="468"/>
      <c r="J364" s="468"/>
      <c r="K364" s="468"/>
      <c r="L364" s="468"/>
      <c r="M364" s="468"/>
      <c r="N364" s="468"/>
      <c r="O364" s="468"/>
      <c r="P364" s="468"/>
      <c r="Q364" s="468"/>
      <c r="R364" s="468"/>
      <c r="S364" s="468"/>
      <c r="T364" s="468"/>
      <c r="U364" s="468"/>
      <c r="V364" s="468"/>
      <c r="W364" s="468"/>
      <c r="X364" s="468"/>
      <c r="Y364" s="468"/>
      <c r="Z364" s="468"/>
      <c r="AA364" s="468"/>
      <c r="AB364" s="468"/>
      <c r="AC364" s="468"/>
      <c r="AD364" s="468"/>
      <c r="AE364" s="468"/>
      <c r="AF364" s="468"/>
      <c r="AG364" s="468"/>
      <c r="AH364" s="468"/>
      <c r="AI364" s="468"/>
      <c r="AJ364" s="468"/>
    </row>
    <row r="365" spans="1:36" ht="18" customHeight="1" x14ac:dyDescent="0.35">
      <c r="A365" s="468"/>
      <c r="B365" s="468"/>
      <c r="C365" s="468"/>
      <c r="D365" s="468"/>
      <c r="E365" s="468"/>
      <c r="F365" s="468"/>
      <c r="G365" s="468"/>
      <c r="H365" s="468"/>
      <c r="I365" s="468"/>
      <c r="J365" s="468"/>
      <c r="K365" s="468"/>
      <c r="L365" s="468"/>
      <c r="M365" s="468"/>
      <c r="N365" s="468"/>
      <c r="O365" s="468"/>
      <c r="P365" s="468"/>
      <c r="Q365" s="468"/>
      <c r="R365" s="468"/>
      <c r="S365" s="468"/>
      <c r="T365" s="468"/>
      <c r="U365" s="468"/>
      <c r="V365" s="468"/>
      <c r="W365" s="468"/>
      <c r="X365" s="468"/>
      <c r="Y365" s="468"/>
      <c r="Z365" s="468"/>
      <c r="AA365" s="468"/>
      <c r="AB365" s="468"/>
      <c r="AC365" s="468"/>
      <c r="AD365" s="468"/>
      <c r="AE365" s="468"/>
      <c r="AF365" s="468"/>
      <c r="AG365" s="468"/>
      <c r="AH365" s="468"/>
      <c r="AI365" s="468"/>
      <c r="AJ365" s="468"/>
    </row>
    <row r="366" spans="1:36" ht="18" customHeight="1" x14ac:dyDescent="0.35">
      <c r="A366" s="468"/>
      <c r="B366" s="468"/>
      <c r="C366" s="468"/>
      <c r="D366" s="468"/>
      <c r="E366" s="468"/>
      <c r="F366" s="468"/>
      <c r="G366" s="468"/>
      <c r="H366" s="468"/>
      <c r="I366" s="468"/>
      <c r="J366" s="468"/>
      <c r="K366" s="468"/>
      <c r="L366" s="468"/>
      <c r="M366" s="468"/>
      <c r="N366" s="468"/>
      <c r="O366" s="468"/>
      <c r="P366" s="468"/>
      <c r="Q366" s="468"/>
      <c r="R366" s="468"/>
      <c r="S366" s="468"/>
      <c r="T366" s="468"/>
      <c r="U366" s="468"/>
      <c r="V366" s="468"/>
      <c r="W366" s="468"/>
      <c r="X366" s="468"/>
      <c r="Y366" s="468"/>
      <c r="Z366" s="468"/>
      <c r="AA366" s="468"/>
      <c r="AB366" s="468"/>
      <c r="AC366" s="468"/>
      <c r="AD366" s="468"/>
      <c r="AE366" s="468"/>
      <c r="AF366" s="468"/>
      <c r="AG366" s="468"/>
      <c r="AH366" s="468"/>
      <c r="AI366" s="468"/>
      <c r="AJ366" s="468"/>
    </row>
    <row r="367" spans="1:36" ht="18" customHeight="1" x14ac:dyDescent="0.35">
      <c r="A367" s="468"/>
      <c r="B367" s="468"/>
      <c r="C367" s="468"/>
      <c r="D367" s="468"/>
      <c r="E367" s="468"/>
      <c r="F367" s="468"/>
      <c r="G367" s="468"/>
      <c r="H367" s="468"/>
      <c r="I367" s="468"/>
      <c r="J367" s="468"/>
      <c r="K367" s="468"/>
      <c r="L367" s="468"/>
      <c r="M367" s="468"/>
      <c r="N367" s="468"/>
      <c r="O367" s="468"/>
      <c r="P367" s="468"/>
      <c r="Q367" s="468"/>
      <c r="R367" s="468"/>
      <c r="S367" s="468"/>
      <c r="T367" s="468"/>
      <c r="U367" s="468"/>
      <c r="V367" s="468"/>
      <c r="W367" s="468"/>
      <c r="X367" s="468"/>
      <c r="Y367" s="468"/>
      <c r="Z367" s="468"/>
      <c r="AA367" s="468"/>
      <c r="AB367" s="468"/>
      <c r="AC367" s="468"/>
      <c r="AD367" s="468"/>
      <c r="AE367" s="468"/>
      <c r="AF367" s="468"/>
      <c r="AG367" s="468"/>
      <c r="AH367" s="468"/>
      <c r="AI367" s="468"/>
      <c r="AJ367" s="468"/>
    </row>
    <row r="368" spans="1:36" ht="18" customHeight="1" x14ac:dyDescent="0.35">
      <c r="A368" s="468"/>
      <c r="B368" s="468"/>
      <c r="C368" s="468"/>
      <c r="D368" s="468"/>
      <c r="E368" s="468"/>
      <c r="F368" s="468"/>
      <c r="G368" s="468"/>
      <c r="H368" s="468"/>
      <c r="I368" s="468"/>
      <c r="J368" s="468"/>
      <c r="K368" s="468"/>
      <c r="L368" s="468"/>
      <c r="M368" s="468"/>
      <c r="N368" s="468"/>
      <c r="O368" s="468"/>
      <c r="P368" s="468"/>
      <c r="Q368" s="468"/>
      <c r="R368" s="468"/>
      <c r="S368" s="468"/>
      <c r="T368" s="468"/>
      <c r="U368" s="468"/>
      <c r="V368" s="468"/>
      <c r="W368" s="468"/>
      <c r="X368" s="468"/>
      <c r="Y368" s="468"/>
      <c r="Z368" s="468"/>
      <c r="AA368" s="468"/>
      <c r="AB368" s="468"/>
      <c r="AC368" s="468"/>
      <c r="AD368" s="468"/>
      <c r="AE368" s="468"/>
      <c r="AF368" s="468"/>
      <c r="AG368" s="468"/>
      <c r="AH368" s="468"/>
      <c r="AI368" s="468"/>
      <c r="AJ368" s="468"/>
    </row>
    <row r="369" spans="1:36" ht="18" customHeight="1" x14ac:dyDescent="0.35">
      <c r="A369" s="468"/>
      <c r="B369" s="468"/>
      <c r="C369" s="468"/>
      <c r="D369" s="468"/>
      <c r="E369" s="468"/>
      <c r="F369" s="468"/>
      <c r="G369" s="468"/>
      <c r="H369" s="468"/>
      <c r="I369" s="468"/>
      <c r="J369" s="468"/>
      <c r="K369" s="468"/>
      <c r="L369" s="468"/>
      <c r="M369" s="468"/>
      <c r="N369" s="468"/>
      <c r="O369" s="468"/>
      <c r="P369" s="468"/>
      <c r="Q369" s="468"/>
      <c r="R369" s="468"/>
      <c r="S369" s="468"/>
      <c r="T369" s="468"/>
      <c r="U369" s="468"/>
      <c r="V369" s="468"/>
      <c r="W369" s="468"/>
      <c r="X369" s="468"/>
      <c r="Y369" s="468"/>
      <c r="Z369" s="468"/>
      <c r="AA369" s="468"/>
      <c r="AB369" s="468"/>
      <c r="AC369" s="468"/>
      <c r="AD369" s="468"/>
      <c r="AE369" s="468"/>
      <c r="AF369" s="468"/>
      <c r="AG369" s="468"/>
      <c r="AH369" s="468"/>
      <c r="AI369" s="468"/>
      <c r="AJ369" s="468"/>
    </row>
    <row r="370" spans="1:36" ht="18" customHeight="1" x14ac:dyDescent="0.35">
      <c r="A370" s="468"/>
      <c r="B370" s="468"/>
      <c r="C370" s="468"/>
      <c r="D370" s="468"/>
      <c r="E370" s="468"/>
      <c r="F370" s="468"/>
      <c r="G370" s="468"/>
      <c r="H370" s="468"/>
      <c r="I370" s="468"/>
      <c r="J370" s="468"/>
      <c r="K370" s="468"/>
      <c r="L370" s="468"/>
      <c r="M370" s="468"/>
      <c r="N370" s="468"/>
      <c r="O370" s="468"/>
      <c r="P370" s="468"/>
      <c r="Q370" s="468"/>
      <c r="R370" s="468"/>
      <c r="S370" s="468"/>
      <c r="T370" s="468"/>
      <c r="U370" s="468"/>
      <c r="V370" s="468"/>
      <c r="W370" s="468"/>
      <c r="X370" s="468"/>
      <c r="Y370" s="468"/>
      <c r="Z370" s="468"/>
      <c r="AA370" s="468"/>
      <c r="AB370" s="468"/>
      <c r="AC370" s="468"/>
      <c r="AD370" s="468"/>
      <c r="AE370" s="468"/>
      <c r="AF370" s="468"/>
      <c r="AG370" s="468"/>
      <c r="AH370" s="468"/>
      <c r="AI370" s="468"/>
      <c r="AJ370" s="468"/>
    </row>
    <row r="371" spans="1:36" ht="18" customHeight="1" x14ac:dyDescent="0.35">
      <c r="A371" s="468"/>
      <c r="B371" s="468"/>
      <c r="C371" s="468"/>
      <c r="D371" s="468"/>
      <c r="E371" s="468"/>
      <c r="F371" s="468"/>
      <c r="G371" s="468"/>
      <c r="H371" s="468"/>
      <c r="I371" s="468"/>
      <c r="J371" s="468"/>
      <c r="K371" s="468"/>
      <c r="L371" s="468"/>
      <c r="M371" s="468"/>
      <c r="N371" s="468"/>
      <c r="O371" s="468"/>
      <c r="P371" s="468"/>
      <c r="Q371" s="468"/>
      <c r="R371" s="468"/>
      <c r="S371" s="468"/>
      <c r="T371" s="468"/>
      <c r="U371" s="468"/>
      <c r="V371" s="468"/>
      <c r="W371" s="468"/>
      <c r="X371" s="468"/>
      <c r="Y371" s="468"/>
      <c r="Z371" s="468"/>
      <c r="AA371" s="468"/>
      <c r="AB371" s="468"/>
      <c r="AC371" s="468"/>
      <c r="AD371" s="468"/>
      <c r="AE371" s="468"/>
      <c r="AF371" s="468"/>
      <c r="AG371" s="468"/>
      <c r="AH371" s="468"/>
      <c r="AI371" s="468"/>
      <c r="AJ371" s="468"/>
    </row>
    <row r="372" spans="1:36" ht="18" customHeight="1" x14ac:dyDescent="0.35">
      <c r="A372" s="468"/>
      <c r="B372" s="468"/>
      <c r="C372" s="468"/>
      <c r="D372" s="468"/>
      <c r="E372" s="468"/>
      <c r="F372" s="468"/>
      <c r="G372" s="468"/>
      <c r="H372" s="468"/>
      <c r="I372" s="468"/>
      <c r="J372" s="468"/>
      <c r="K372" s="468"/>
      <c r="L372" s="468"/>
      <c r="M372" s="468"/>
      <c r="N372" s="468"/>
      <c r="O372" s="468"/>
      <c r="P372" s="468"/>
      <c r="Q372" s="468"/>
      <c r="R372" s="468"/>
      <c r="S372" s="468"/>
      <c r="T372" s="468"/>
      <c r="U372" s="468"/>
      <c r="V372" s="468"/>
      <c r="W372" s="468"/>
      <c r="X372" s="468"/>
      <c r="Y372" s="468"/>
      <c r="Z372" s="468"/>
      <c r="AA372" s="468"/>
      <c r="AB372" s="468"/>
      <c r="AC372" s="468"/>
      <c r="AD372" s="468"/>
      <c r="AE372" s="468"/>
      <c r="AF372" s="468"/>
      <c r="AG372" s="468"/>
      <c r="AH372" s="468"/>
      <c r="AI372" s="468"/>
      <c r="AJ372" s="468"/>
    </row>
    <row r="373" spans="1:36" ht="18" customHeight="1" x14ac:dyDescent="0.35">
      <c r="A373" s="468"/>
      <c r="B373" s="468"/>
      <c r="C373" s="468"/>
      <c r="D373" s="468"/>
      <c r="E373" s="468"/>
      <c r="F373" s="468"/>
      <c r="G373" s="468"/>
      <c r="H373" s="468"/>
      <c r="I373" s="468"/>
      <c r="J373" s="468"/>
      <c r="K373" s="468"/>
      <c r="L373" s="468"/>
      <c r="M373" s="468"/>
      <c r="N373" s="468"/>
      <c r="O373" s="468"/>
      <c r="P373" s="468"/>
      <c r="Q373" s="468"/>
      <c r="R373" s="468"/>
      <c r="S373" s="468"/>
      <c r="T373" s="468"/>
      <c r="U373" s="468"/>
      <c r="V373" s="468"/>
      <c r="W373" s="468"/>
      <c r="X373" s="468"/>
      <c r="Y373" s="468"/>
      <c r="Z373" s="468"/>
      <c r="AA373" s="468"/>
      <c r="AB373" s="468"/>
      <c r="AC373" s="468"/>
      <c r="AD373" s="468"/>
      <c r="AE373" s="468"/>
      <c r="AF373" s="468"/>
      <c r="AG373" s="468"/>
      <c r="AH373" s="468"/>
      <c r="AI373" s="468"/>
      <c r="AJ373" s="468"/>
    </row>
    <row r="374" spans="1:36" ht="18" customHeight="1" x14ac:dyDescent="0.35">
      <c r="A374" s="468"/>
      <c r="B374" s="468"/>
      <c r="C374" s="468"/>
      <c r="D374" s="468"/>
      <c r="E374" s="468"/>
      <c r="F374" s="468"/>
      <c r="G374" s="468"/>
      <c r="H374" s="468"/>
      <c r="I374" s="468"/>
      <c r="J374" s="468"/>
      <c r="K374" s="468"/>
      <c r="L374" s="468"/>
      <c r="M374" s="468"/>
      <c r="N374" s="468"/>
      <c r="O374" s="468"/>
      <c r="P374" s="468"/>
      <c r="Q374" s="468"/>
      <c r="R374" s="468"/>
      <c r="S374" s="468"/>
      <c r="T374" s="468"/>
      <c r="U374" s="468"/>
      <c r="V374" s="468"/>
      <c r="W374" s="468"/>
      <c r="X374" s="468"/>
      <c r="Y374" s="468"/>
      <c r="Z374" s="468"/>
      <c r="AA374" s="468"/>
      <c r="AB374" s="468"/>
      <c r="AC374" s="468"/>
      <c r="AD374" s="468"/>
      <c r="AE374" s="468"/>
      <c r="AF374" s="468"/>
      <c r="AG374" s="468"/>
      <c r="AH374" s="468"/>
      <c r="AI374" s="468"/>
      <c r="AJ374" s="468"/>
    </row>
    <row r="375" spans="1:36" ht="18" customHeight="1" x14ac:dyDescent="0.35">
      <c r="A375" s="468"/>
      <c r="B375" s="468"/>
      <c r="C375" s="468"/>
      <c r="D375" s="468"/>
      <c r="E375" s="468"/>
      <c r="F375" s="468"/>
      <c r="G375" s="468"/>
      <c r="H375" s="468"/>
      <c r="I375" s="468"/>
      <c r="J375" s="468"/>
      <c r="K375" s="468"/>
      <c r="L375" s="468"/>
      <c r="M375" s="468"/>
      <c r="N375" s="468"/>
      <c r="O375" s="468"/>
      <c r="P375" s="468"/>
      <c r="Q375" s="468"/>
      <c r="R375" s="468"/>
      <c r="S375" s="468"/>
      <c r="T375" s="468"/>
      <c r="U375" s="468"/>
      <c r="V375" s="468"/>
      <c r="W375" s="468"/>
      <c r="X375" s="468"/>
      <c r="Y375" s="468"/>
      <c r="Z375" s="468"/>
      <c r="AA375" s="468"/>
      <c r="AB375" s="468"/>
      <c r="AC375" s="468"/>
      <c r="AD375" s="468"/>
      <c r="AE375" s="468"/>
      <c r="AF375" s="468"/>
      <c r="AG375" s="468"/>
      <c r="AH375" s="468"/>
      <c r="AI375" s="468"/>
      <c r="AJ375" s="468"/>
    </row>
    <row r="376" spans="1:36" ht="18" customHeight="1" x14ac:dyDescent="0.35">
      <c r="A376" s="468"/>
      <c r="B376" s="468"/>
      <c r="C376" s="468"/>
      <c r="D376" s="468"/>
      <c r="E376" s="468"/>
      <c r="F376" s="468"/>
      <c r="G376" s="468"/>
      <c r="H376" s="468"/>
      <c r="I376" s="468"/>
      <c r="J376" s="468"/>
      <c r="K376" s="468"/>
      <c r="L376" s="468"/>
      <c r="M376" s="468"/>
      <c r="N376" s="468"/>
      <c r="O376" s="468"/>
      <c r="P376" s="468"/>
      <c r="Q376" s="468"/>
      <c r="R376" s="468"/>
      <c r="S376" s="468"/>
      <c r="T376" s="468"/>
      <c r="U376" s="468"/>
      <c r="V376" s="468"/>
      <c r="W376" s="468"/>
      <c r="X376" s="468"/>
      <c r="Y376" s="468"/>
      <c r="Z376" s="468"/>
      <c r="AA376" s="468"/>
      <c r="AB376" s="468"/>
      <c r="AC376" s="468"/>
      <c r="AD376" s="468"/>
      <c r="AE376" s="468"/>
      <c r="AF376" s="468"/>
      <c r="AG376" s="468"/>
      <c r="AH376" s="468"/>
      <c r="AI376" s="468"/>
      <c r="AJ376" s="468"/>
    </row>
    <row r="377" spans="1:36" ht="18" customHeight="1" x14ac:dyDescent="0.35">
      <c r="A377" s="468"/>
      <c r="B377" s="468"/>
      <c r="C377" s="468"/>
      <c r="D377" s="468"/>
      <c r="E377" s="468"/>
      <c r="F377" s="468"/>
      <c r="G377" s="468"/>
      <c r="H377" s="468"/>
      <c r="I377" s="468"/>
      <c r="J377" s="468"/>
      <c r="K377" s="468"/>
      <c r="L377" s="468"/>
      <c r="M377" s="468"/>
      <c r="N377" s="468"/>
      <c r="O377" s="468"/>
      <c r="P377" s="468"/>
      <c r="Q377" s="468"/>
      <c r="R377" s="468"/>
      <c r="S377" s="468"/>
      <c r="T377" s="468"/>
      <c r="U377" s="468"/>
      <c r="V377" s="468"/>
      <c r="W377" s="468"/>
      <c r="X377" s="468"/>
      <c r="Y377" s="468"/>
      <c r="Z377" s="468"/>
      <c r="AA377" s="468"/>
      <c r="AB377" s="468"/>
      <c r="AC377" s="468"/>
      <c r="AD377" s="468"/>
      <c r="AE377" s="468"/>
      <c r="AF377" s="468"/>
      <c r="AG377" s="468"/>
      <c r="AH377" s="468"/>
      <c r="AI377" s="468"/>
      <c r="AJ377" s="468"/>
    </row>
    <row r="378" spans="1:36" ht="18" customHeight="1" x14ac:dyDescent="0.35">
      <c r="A378" s="468"/>
      <c r="B378" s="468"/>
      <c r="C378" s="468"/>
      <c r="D378" s="468"/>
      <c r="E378" s="468"/>
      <c r="F378" s="468"/>
      <c r="G378" s="468"/>
      <c r="H378" s="468"/>
      <c r="I378" s="468"/>
      <c r="J378" s="468"/>
      <c r="K378" s="468"/>
      <c r="L378" s="468"/>
      <c r="M378" s="468"/>
      <c r="N378" s="468"/>
      <c r="O378" s="468"/>
      <c r="P378" s="468"/>
      <c r="Q378" s="468"/>
      <c r="R378" s="468"/>
      <c r="S378" s="468"/>
      <c r="T378" s="468"/>
      <c r="U378" s="468"/>
      <c r="V378" s="468"/>
      <c r="W378" s="468"/>
      <c r="X378" s="468"/>
      <c r="Y378" s="468"/>
      <c r="Z378" s="468"/>
      <c r="AA378" s="468"/>
      <c r="AB378" s="468"/>
      <c r="AC378" s="468"/>
      <c r="AD378" s="468"/>
      <c r="AE378" s="468"/>
      <c r="AF378" s="468"/>
      <c r="AG378" s="468"/>
      <c r="AH378" s="468"/>
      <c r="AI378" s="468"/>
      <c r="AJ378" s="468"/>
    </row>
    <row r="379" spans="1:36" ht="18" customHeight="1" x14ac:dyDescent="0.35">
      <c r="A379" s="468"/>
      <c r="B379" s="468"/>
      <c r="C379" s="468"/>
      <c r="D379" s="468"/>
      <c r="E379" s="468"/>
      <c r="F379" s="468"/>
      <c r="G379" s="468"/>
      <c r="H379" s="468"/>
      <c r="I379" s="468"/>
      <c r="J379" s="468"/>
      <c r="K379" s="468"/>
      <c r="L379" s="468"/>
      <c r="M379" s="468"/>
      <c r="N379" s="468"/>
      <c r="O379" s="468"/>
      <c r="P379" s="468"/>
      <c r="Q379" s="468"/>
      <c r="R379" s="468"/>
      <c r="S379" s="468"/>
      <c r="T379" s="468"/>
      <c r="U379" s="468"/>
      <c r="V379" s="468"/>
      <c r="W379" s="468"/>
      <c r="X379" s="468"/>
      <c r="Y379" s="468"/>
      <c r="Z379" s="468"/>
      <c r="AA379" s="468"/>
      <c r="AB379" s="468"/>
      <c r="AC379" s="468"/>
      <c r="AD379" s="468"/>
      <c r="AE379" s="468"/>
      <c r="AF379" s="468"/>
      <c r="AG379" s="468"/>
      <c r="AH379" s="468"/>
      <c r="AI379" s="468"/>
      <c r="AJ379" s="468"/>
    </row>
    <row r="380" spans="1:36" ht="18" customHeight="1" x14ac:dyDescent="0.35">
      <c r="A380" s="468"/>
      <c r="B380" s="468"/>
      <c r="C380" s="468"/>
      <c r="D380" s="468"/>
      <c r="E380" s="468"/>
      <c r="F380" s="468"/>
      <c r="G380" s="468"/>
      <c r="H380" s="468"/>
      <c r="I380" s="468"/>
      <c r="J380" s="468"/>
      <c r="K380" s="468"/>
      <c r="L380" s="468"/>
      <c r="M380" s="468"/>
      <c r="N380" s="468"/>
      <c r="O380" s="468"/>
      <c r="P380" s="468"/>
      <c r="Q380" s="468"/>
      <c r="R380" s="468"/>
      <c r="S380" s="468"/>
      <c r="T380" s="468"/>
      <c r="U380" s="468"/>
      <c r="V380" s="468"/>
      <c r="W380" s="468"/>
      <c r="X380" s="468"/>
      <c r="Y380" s="468"/>
      <c r="Z380" s="468"/>
      <c r="AA380" s="468"/>
      <c r="AB380" s="468"/>
      <c r="AC380" s="468"/>
      <c r="AD380" s="468"/>
      <c r="AE380" s="468"/>
      <c r="AF380" s="468"/>
      <c r="AG380" s="468"/>
      <c r="AH380" s="468"/>
      <c r="AI380" s="468"/>
      <c r="AJ380" s="468"/>
    </row>
    <row r="381" spans="1:36" ht="18" customHeight="1" x14ac:dyDescent="0.35">
      <c r="A381" s="468"/>
      <c r="B381" s="468"/>
      <c r="C381" s="468"/>
      <c r="D381" s="468"/>
      <c r="E381" s="468"/>
      <c r="F381" s="468"/>
      <c r="G381" s="468"/>
      <c r="H381" s="468"/>
      <c r="I381" s="468"/>
      <c r="J381" s="468"/>
      <c r="K381" s="468"/>
      <c r="L381" s="468"/>
      <c r="M381" s="468"/>
      <c r="N381" s="468"/>
      <c r="O381" s="468"/>
      <c r="P381" s="468"/>
      <c r="Q381" s="468"/>
      <c r="R381" s="468"/>
      <c r="S381" s="468"/>
      <c r="T381" s="468"/>
      <c r="U381" s="468"/>
      <c r="V381" s="468"/>
      <c r="W381" s="468"/>
      <c r="X381" s="468"/>
      <c r="Y381" s="468"/>
      <c r="Z381" s="468"/>
      <c r="AA381" s="468"/>
      <c r="AB381" s="468"/>
      <c r="AC381" s="468"/>
      <c r="AD381" s="468"/>
      <c r="AE381" s="468"/>
      <c r="AF381" s="468"/>
      <c r="AG381" s="468"/>
      <c r="AH381" s="468"/>
      <c r="AI381" s="468"/>
      <c r="AJ381" s="468"/>
    </row>
    <row r="382" spans="1:36" ht="18" customHeight="1" x14ac:dyDescent="0.35">
      <c r="A382" s="468"/>
      <c r="B382" s="468"/>
      <c r="C382" s="468"/>
      <c r="D382" s="468"/>
      <c r="E382" s="468"/>
      <c r="F382" s="468"/>
      <c r="G382" s="468"/>
      <c r="H382" s="468"/>
      <c r="I382" s="468"/>
      <c r="J382" s="468"/>
      <c r="K382" s="468"/>
      <c r="L382" s="468"/>
      <c r="M382" s="468"/>
      <c r="N382" s="468"/>
      <c r="O382" s="468"/>
      <c r="P382" s="468"/>
      <c r="Q382" s="468"/>
      <c r="R382" s="468"/>
      <c r="S382" s="468"/>
      <c r="T382" s="468"/>
      <c r="U382" s="468"/>
      <c r="V382" s="468"/>
      <c r="W382" s="468"/>
      <c r="X382" s="468"/>
      <c r="Y382" s="468"/>
      <c r="Z382" s="468"/>
      <c r="AA382" s="468"/>
      <c r="AB382" s="468"/>
      <c r="AC382" s="468"/>
      <c r="AD382" s="468"/>
      <c r="AE382" s="468"/>
      <c r="AF382" s="468"/>
      <c r="AG382" s="468"/>
      <c r="AH382" s="468"/>
      <c r="AI382" s="468"/>
      <c r="AJ382" s="468"/>
    </row>
    <row r="383" spans="1:36" ht="18" customHeight="1" x14ac:dyDescent="0.35">
      <c r="A383" s="468"/>
      <c r="B383" s="468"/>
      <c r="C383" s="468"/>
      <c r="D383" s="468"/>
      <c r="E383" s="468"/>
      <c r="F383" s="468"/>
      <c r="G383" s="468"/>
      <c r="H383" s="468"/>
      <c r="I383" s="468"/>
      <c r="J383" s="468"/>
      <c r="K383" s="468"/>
      <c r="L383" s="468"/>
      <c r="M383" s="468"/>
      <c r="N383" s="468"/>
      <c r="O383" s="468"/>
      <c r="P383" s="468"/>
      <c r="Q383" s="468"/>
      <c r="R383" s="468"/>
      <c r="S383" s="468"/>
      <c r="T383" s="468"/>
      <c r="U383" s="468"/>
      <c r="V383" s="468"/>
      <c r="W383" s="468"/>
      <c r="X383" s="468"/>
      <c r="Y383" s="468"/>
      <c r="Z383" s="468"/>
      <c r="AA383" s="468"/>
      <c r="AB383" s="468"/>
      <c r="AC383" s="468"/>
      <c r="AD383" s="468"/>
      <c r="AE383" s="468"/>
      <c r="AF383" s="468"/>
      <c r="AG383" s="468"/>
      <c r="AH383" s="468"/>
      <c r="AI383" s="468"/>
      <c r="AJ383" s="468"/>
    </row>
    <row r="384" spans="1:36" ht="18" customHeight="1" x14ac:dyDescent="0.35">
      <c r="A384" s="468"/>
      <c r="B384" s="468"/>
      <c r="C384" s="468"/>
      <c r="D384" s="468"/>
      <c r="E384" s="468"/>
      <c r="F384" s="468"/>
      <c r="G384" s="468"/>
      <c r="H384" s="468"/>
      <c r="I384" s="468"/>
      <c r="J384" s="468"/>
      <c r="K384" s="468"/>
      <c r="L384" s="468"/>
      <c r="M384" s="468"/>
      <c r="N384" s="468"/>
      <c r="O384" s="468"/>
      <c r="P384" s="468"/>
      <c r="Q384" s="468"/>
      <c r="R384" s="468"/>
      <c r="S384" s="468"/>
      <c r="T384" s="468"/>
      <c r="U384" s="468"/>
      <c r="V384" s="468"/>
      <c r="W384" s="468"/>
      <c r="X384" s="468"/>
      <c r="Y384" s="468"/>
      <c r="Z384" s="468"/>
      <c r="AA384" s="468"/>
      <c r="AB384" s="468"/>
      <c r="AC384" s="468"/>
      <c r="AD384" s="468"/>
      <c r="AE384" s="468"/>
      <c r="AF384" s="468"/>
      <c r="AG384" s="468"/>
      <c r="AH384" s="468"/>
      <c r="AI384" s="468"/>
      <c r="AJ384" s="468"/>
    </row>
    <row r="385" spans="1:36" ht="18" customHeight="1" x14ac:dyDescent="0.35">
      <c r="A385" s="468"/>
      <c r="B385" s="468"/>
      <c r="C385" s="468"/>
      <c r="D385" s="468"/>
      <c r="E385" s="468"/>
      <c r="F385" s="468"/>
      <c r="G385" s="468"/>
      <c r="H385" s="468"/>
      <c r="I385" s="468"/>
      <c r="J385" s="468"/>
      <c r="K385" s="468"/>
      <c r="L385" s="468"/>
      <c r="M385" s="468"/>
      <c r="N385" s="468"/>
      <c r="O385" s="468"/>
      <c r="P385" s="468"/>
      <c r="Q385" s="468"/>
      <c r="R385" s="468"/>
      <c r="S385" s="468"/>
      <c r="T385" s="468"/>
      <c r="U385" s="468"/>
      <c r="V385" s="468"/>
      <c r="W385" s="468"/>
      <c r="X385" s="468"/>
      <c r="Y385" s="468"/>
      <c r="Z385" s="468"/>
      <c r="AA385" s="468"/>
      <c r="AB385" s="468"/>
      <c r="AC385" s="468"/>
      <c r="AD385" s="468"/>
      <c r="AE385" s="468"/>
      <c r="AF385" s="468"/>
      <c r="AG385" s="468"/>
      <c r="AH385" s="468"/>
      <c r="AI385" s="468"/>
      <c r="AJ385" s="468"/>
    </row>
    <row r="386" spans="1:36" ht="18" customHeight="1" x14ac:dyDescent="0.35">
      <c r="A386" s="468"/>
      <c r="B386" s="468"/>
      <c r="C386" s="468"/>
      <c r="D386" s="468"/>
      <c r="E386" s="468"/>
      <c r="F386" s="468"/>
      <c r="G386" s="468"/>
      <c r="H386" s="468"/>
      <c r="I386" s="468"/>
      <c r="J386" s="468"/>
      <c r="K386" s="468"/>
      <c r="L386" s="468"/>
      <c r="M386" s="468"/>
      <c r="N386" s="468"/>
      <c r="O386" s="468"/>
      <c r="P386" s="468"/>
      <c r="Q386" s="468"/>
      <c r="R386" s="468"/>
      <c r="S386" s="468"/>
      <c r="T386" s="468"/>
      <c r="U386" s="468"/>
      <c r="V386" s="468"/>
      <c r="W386" s="468"/>
      <c r="X386" s="468"/>
      <c r="Y386" s="468"/>
      <c r="Z386" s="468"/>
      <c r="AA386" s="468"/>
      <c r="AB386" s="468"/>
      <c r="AC386" s="468"/>
      <c r="AD386" s="468"/>
      <c r="AE386" s="468"/>
      <c r="AF386" s="468"/>
      <c r="AG386" s="468"/>
      <c r="AH386" s="468"/>
      <c r="AI386" s="468"/>
      <c r="AJ386" s="468"/>
    </row>
    <row r="387" spans="1:36" ht="18" customHeight="1" x14ac:dyDescent="0.35">
      <c r="A387" s="468"/>
      <c r="B387" s="468"/>
      <c r="C387" s="468"/>
      <c r="D387" s="468"/>
      <c r="E387" s="468"/>
      <c r="F387" s="468"/>
      <c r="G387" s="468"/>
      <c r="H387" s="468"/>
      <c r="I387" s="468"/>
      <c r="J387" s="468"/>
      <c r="K387" s="468"/>
      <c r="L387" s="468"/>
      <c r="M387" s="468"/>
      <c r="N387" s="468"/>
      <c r="O387" s="468"/>
      <c r="P387" s="468"/>
      <c r="Q387" s="468"/>
      <c r="R387" s="468"/>
      <c r="S387" s="468"/>
      <c r="T387" s="468"/>
      <c r="U387" s="468"/>
      <c r="V387" s="468"/>
      <c r="W387" s="468"/>
      <c r="X387" s="468"/>
      <c r="Y387" s="468"/>
      <c r="Z387" s="468"/>
      <c r="AA387" s="468"/>
      <c r="AB387" s="468"/>
      <c r="AC387" s="468"/>
      <c r="AD387" s="468"/>
      <c r="AE387" s="468"/>
      <c r="AF387" s="468"/>
      <c r="AG387" s="468"/>
      <c r="AH387" s="468"/>
      <c r="AI387" s="468"/>
      <c r="AJ387" s="468"/>
    </row>
    <row r="388" spans="1:36" ht="18" customHeight="1" x14ac:dyDescent="0.35">
      <c r="A388" s="468"/>
      <c r="B388" s="468"/>
      <c r="C388" s="468"/>
      <c r="D388" s="468"/>
      <c r="E388" s="468"/>
      <c r="F388" s="468"/>
      <c r="G388" s="468"/>
      <c r="H388" s="468"/>
      <c r="I388" s="468"/>
      <c r="J388" s="468"/>
      <c r="K388" s="468"/>
      <c r="L388" s="468"/>
      <c r="M388" s="468"/>
      <c r="N388" s="468"/>
      <c r="O388" s="468"/>
      <c r="P388" s="468"/>
      <c r="Q388" s="468"/>
      <c r="R388" s="468"/>
      <c r="S388" s="468"/>
      <c r="T388" s="468"/>
      <c r="U388" s="468"/>
      <c r="V388" s="468"/>
      <c r="W388" s="468"/>
      <c r="X388" s="468"/>
      <c r="Y388" s="468"/>
      <c r="Z388" s="468"/>
      <c r="AA388" s="468"/>
      <c r="AB388" s="468"/>
      <c r="AC388" s="468"/>
      <c r="AD388" s="468"/>
      <c r="AE388" s="468"/>
      <c r="AF388" s="468"/>
      <c r="AG388" s="468"/>
      <c r="AH388" s="468"/>
      <c r="AI388" s="468"/>
      <c r="AJ388" s="468"/>
    </row>
    <row r="389" spans="1:36" ht="18" customHeight="1" x14ac:dyDescent="0.35">
      <c r="A389" s="468"/>
      <c r="B389" s="468"/>
      <c r="C389" s="468"/>
      <c r="D389" s="468"/>
      <c r="E389" s="468"/>
      <c r="F389" s="468"/>
      <c r="G389" s="468"/>
      <c r="H389" s="468"/>
      <c r="I389" s="468"/>
      <c r="J389" s="468"/>
      <c r="K389" s="468"/>
      <c r="L389" s="468"/>
      <c r="M389" s="468"/>
      <c r="N389" s="468"/>
      <c r="O389" s="468"/>
      <c r="P389" s="468"/>
      <c r="Q389" s="468"/>
      <c r="R389" s="468"/>
      <c r="S389" s="468"/>
      <c r="T389" s="468"/>
      <c r="U389" s="468"/>
      <c r="V389" s="468"/>
      <c r="W389" s="468"/>
      <c r="X389" s="468"/>
      <c r="Y389" s="468"/>
      <c r="Z389" s="468"/>
      <c r="AA389" s="468"/>
      <c r="AB389" s="468"/>
      <c r="AC389" s="468"/>
      <c r="AD389" s="468"/>
      <c r="AE389" s="468"/>
      <c r="AF389" s="468"/>
      <c r="AG389" s="468"/>
      <c r="AH389" s="468"/>
      <c r="AI389" s="468"/>
      <c r="AJ389" s="468"/>
    </row>
    <row r="390" spans="1:36" ht="18" customHeight="1" x14ac:dyDescent="0.35">
      <c r="A390" s="468"/>
      <c r="B390" s="468"/>
      <c r="C390" s="468"/>
      <c r="D390" s="468"/>
      <c r="E390" s="468"/>
      <c r="F390" s="468"/>
      <c r="G390" s="468"/>
      <c r="H390" s="468"/>
      <c r="I390" s="468"/>
      <c r="J390" s="468"/>
      <c r="K390" s="468"/>
      <c r="L390" s="468"/>
      <c r="M390" s="468"/>
      <c r="N390" s="468"/>
      <c r="O390" s="468"/>
      <c r="P390" s="468"/>
      <c r="Q390" s="468"/>
      <c r="R390" s="468"/>
      <c r="S390" s="468"/>
      <c r="T390" s="468"/>
      <c r="U390" s="468"/>
      <c r="V390" s="468"/>
      <c r="W390" s="468"/>
      <c r="X390" s="468"/>
      <c r="Y390" s="468"/>
      <c r="Z390" s="468"/>
      <c r="AA390" s="468"/>
      <c r="AB390" s="468"/>
      <c r="AC390" s="468"/>
      <c r="AD390" s="468"/>
      <c r="AE390" s="468"/>
      <c r="AF390" s="468"/>
      <c r="AG390" s="468"/>
      <c r="AH390" s="468"/>
      <c r="AI390" s="468"/>
      <c r="AJ390" s="468"/>
    </row>
    <row r="391" spans="1:36" ht="18" customHeight="1" x14ac:dyDescent="0.35">
      <c r="A391" s="468"/>
      <c r="B391" s="468"/>
      <c r="C391" s="468"/>
      <c r="D391" s="468"/>
      <c r="E391" s="468"/>
      <c r="F391" s="468"/>
      <c r="G391" s="468"/>
      <c r="H391" s="468"/>
      <c r="I391" s="468"/>
      <c r="J391" s="468"/>
      <c r="K391" s="468"/>
      <c r="L391" s="468"/>
      <c r="M391" s="468"/>
      <c r="N391" s="468"/>
      <c r="O391" s="468"/>
      <c r="P391" s="468"/>
      <c r="Q391" s="468"/>
      <c r="R391" s="468"/>
      <c r="S391" s="468"/>
      <c r="T391" s="468"/>
      <c r="U391" s="468"/>
      <c r="V391" s="468"/>
      <c r="W391" s="468"/>
      <c r="X391" s="468"/>
      <c r="Y391" s="468"/>
      <c r="Z391" s="468"/>
      <c r="AA391" s="468"/>
      <c r="AB391" s="468"/>
      <c r="AC391" s="468"/>
      <c r="AD391" s="468"/>
      <c r="AE391" s="468"/>
      <c r="AF391" s="468"/>
      <c r="AG391" s="468"/>
      <c r="AH391" s="468"/>
      <c r="AI391" s="468"/>
      <c r="AJ391" s="468"/>
    </row>
    <row r="392" spans="1:36" ht="18" customHeight="1" x14ac:dyDescent="0.35">
      <c r="A392" s="468"/>
      <c r="B392" s="468"/>
      <c r="C392" s="468"/>
      <c r="D392" s="468"/>
      <c r="E392" s="468"/>
      <c r="F392" s="468"/>
      <c r="G392" s="468"/>
      <c r="H392" s="468"/>
      <c r="I392" s="468"/>
      <c r="J392" s="468"/>
      <c r="K392" s="468"/>
      <c r="L392" s="468"/>
      <c r="M392" s="468"/>
      <c r="N392" s="468"/>
      <c r="O392" s="468"/>
      <c r="P392" s="468"/>
      <c r="Q392" s="468"/>
      <c r="R392" s="468"/>
      <c r="S392" s="468"/>
      <c r="T392" s="468"/>
      <c r="U392" s="468"/>
      <c r="V392" s="468"/>
      <c r="W392" s="468"/>
      <c r="X392" s="468"/>
      <c r="Y392" s="468"/>
      <c r="Z392" s="468"/>
      <c r="AA392" s="468"/>
      <c r="AB392" s="468"/>
      <c r="AC392" s="468"/>
      <c r="AD392" s="468"/>
      <c r="AE392" s="468"/>
      <c r="AF392" s="468"/>
      <c r="AG392" s="468"/>
      <c r="AH392" s="468"/>
      <c r="AI392" s="468"/>
      <c r="AJ392" s="468"/>
    </row>
    <row r="393" spans="1:36" ht="18" customHeight="1" x14ac:dyDescent="0.35">
      <c r="A393" s="468"/>
      <c r="B393" s="468"/>
      <c r="C393" s="468"/>
      <c r="D393" s="468"/>
      <c r="E393" s="468"/>
      <c r="F393" s="468"/>
      <c r="G393" s="468"/>
      <c r="H393" s="468"/>
      <c r="I393" s="468"/>
      <c r="J393" s="468"/>
      <c r="K393" s="468"/>
      <c r="L393" s="468"/>
      <c r="M393" s="468"/>
      <c r="N393" s="468"/>
      <c r="O393" s="468"/>
      <c r="P393" s="468"/>
      <c r="Q393" s="468"/>
      <c r="R393" s="468"/>
      <c r="S393" s="468"/>
      <c r="T393" s="468"/>
      <c r="U393" s="468"/>
      <c r="V393" s="468"/>
      <c r="W393" s="468"/>
      <c r="X393" s="468"/>
      <c r="Y393" s="468"/>
      <c r="Z393" s="468"/>
      <c r="AA393" s="468"/>
      <c r="AB393" s="468"/>
      <c r="AC393" s="468"/>
      <c r="AD393" s="468"/>
      <c r="AE393" s="468"/>
      <c r="AF393" s="468"/>
      <c r="AG393" s="468"/>
      <c r="AH393" s="468"/>
      <c r="AI393" s="468"/>
      <c r="AJ393" s="468"/>
    </row>
    <row r="394" spans="1:36" ht="18" customHeight="1" x14ac:dyDescent="0.35">
      <c r="A394" s="468"/>
      <c r="B394" s="468"/>
      <c r="C394" s="468"/>
      <c r="D394" s="468"/>
      <c r="E394" s="468"/>
      <c r="F394" s="468"/>
      <c r="G394" s="468"/>
      <c r="H394" s="468"/>
      <c r="I394" s="468"/>
      <c r="J394" s="468"/>
      <c r="K394" s="468"/>
      <c r="L394" s="468"/>
      <c r="M394" s="468"/>
      <c r="N394" s="468"/>
      <c r="O394" s="468"/>
      <c r="P394" s="468"/>
      <c r="Q394" s="468"/>
      <c r="R394" s="468"/>
      <c r="S394" s="468"/>
      <c r="T394" s="468"/>
      <c r="U394" s="468"/>
      <c r="V394" s="468"/>
      <c r="W394" s="468"/>
      <c r="X394" s="468"/>
      <c r="Y394" s="468"/>
      <c r="Z394" s="468"/>
      <c r="AA394" s="468"/>
      <c r="AB394" s="468"/>
      <c r="AC394" s="468"/>
      <c r="AD394" s="468"/>
      <c r="AE394" s="468"/>
      <c r="AF394" s="468"/>
      <c r="AG394" s="468"/>
      <c r="AH394" s="468"/>
      <c r="AI394" s="468"/>
      <c r="AJ394" s="468"/>
    </row>
    <row r="395" spans="1:36" ht="18" customHeight="1" x14ac:dyDescent="0.35">
      <c r="A395" s="468"/>
      <c r="B395" s="468"/>
      <c r="C395" s="468"/>
      <c r="D395" s="468"/>
      <c r="E395" s="468"/>
      <c r="F395" s="468"/>
      <c r="G395" s="468"/>
      <c r="H395" s="468"/>
      <c r="I395" s="468"/>
      <c r="J395" s="468"/>
      <c r="K395" s="468"/>
      <c r="L395" s="468"/>
      <c r="M395" s="468"/>
      <c r="N395" s="468"/>
      <c r="O395" s="468"/>
      <c r="P395" s="468"/>
      <c r="Q395" s="468"/>
      <c r="R395" s="468"/>
      <c r="S395" s="468"/>
      <c r="T395" s="468"/>
      <c r="U395" s="468"/>
      <c r="V395" s="468"/>
      <c r="W395" s="468"/>
      <c r="X395" s="468"/>
      <c r="Y395" s="468"/>
      <c r="Z395" s="468"/>
      <c r="AA395" s="468"/>
      <c r="AB395" s="468"/>
      <c r="AC395" s="468"/>
      <c r="AD395" s="468"/>
      <c r="AE395" s="468"/>
      <c r="AF395" s="468"/>
      <c r="AG395" s="468"/>
      <c r="AH395" s="468"/>
      <c r="AI395" s="468"/>
      <c r="AJ395" s="468"/>
    </row>
    <row r="396" spans="1:36" ht="18" customHeight="1" x14ac:dyDescent="0.35">
      <c r="A396" s="468"/>
      <c r="B396" s="468"/>
      <c r="C396" s="468"/>
      <c r="D396" s="468"/>
      <c r="E396" s="468"/>
      <c r="F396" s="468"/>
      <c r="G396" s="468"/>
      <c r="H396" s="468"/>
      <c r="I396" s="468"/>
      <c r="J396" s="468"/>
      <c r="K396" s="468"/>
      <c r="L396" s="468"/>
      <c r="M396" s="468"/>
      <c r="N396" s="468"/>
      <c r="O396" s="468"/>
      <c r="P396" s="468"/>
      <c r="Q396" s="468"/>
      <c r="R396" s="468"/>
      <c r="S396" s="468"/>
      <c r="T396" s="468"/>
      <c r="U396" s="468"/>
      <c r="V396" s="468"/>
      <c r="W396" s="468"/>
      <c r="X396" s="468"/>
      <c r="Y396" s="468"/>
      <c r="Z396" s="468"/>
      <c r="AA396" s="468"/>
      <c r="AB396" s="468"/>
      <c r="AC396" s="468"/>
      <c r="AD396" s="468"/>
      <c r="AE396" s="468"/>
      <c r="AF396" s="468"/>
      <c r="AG396" s="468"/>
      <c r="AH396" s="468"/>
      <c r="AI396" s="468"/>
      <c r="AJ396" s="468"/>
    </row>
    <row r="397" spans="1:36" ht="18" customHeight="1" x14ac:dyDescent="0.35">
      <c r="A397" s="468"/>
      <c r="B397" s="468"/>
      <c r="C397" s="468"/>
      <c r="D397" s="468"/>
      <c r="E397" s="468"/>
      <c r="F397" s="468"/>
      <c r="G397" s="468"/>
      <c r="H397" s="468"/>
      <c r="I397" s="468"/>
      <c r="J397" s="468"/>
      <c r="K397" s="468"/>
      <c r="L397" s="468"/>
      <c r="M397" s="468"/>
      <c r="N397" s="468"/>
      <c r="O397" s="468"/>
      <c r="P397" s="468"/>
      <c r="Q397" s="468"/>
      <c r="R397" s="468"/>
      <c r="S397" s="468"/>
      <c r="T397" s="468"/>
      <c r="U397" s="468"/>
      <c r="V397" s="468"/>
      <c r="W397" s="468"/>
      <c r="X397" s="468"/>
      <c r="Y397" s="468"/>
      <c r="Z397" s="468"/>
      <c r="AA397" s="468"/>
      <c r="AB397" s="468"/>
      <c r="AC397" s="468"/>
      <c r="AD397" s="468"/>
      <c r="AE397" s="468"/>
      <c r="AF397" s="468"/>
      <c r="AG397" s="468"/>
      <c r="AH397" s="468"/>
      <c r="AI397" s="468"/>
      <c r="AJ397" s="468"/>
    </row>
    <row r="398" spans="1:36" ht="18" customHeight="1" x14ac:dyDescent="0.35">
      <c r="A398" s="468"/>
      <c r="B398" s="468"/>
      <c r="C398" s="468"/>
      <c r="D398" s="468"/>
      <c r="E398" s="468"/>
      <c r="F398" s="468"/>
      <c r="G398" s="468"/>
      <c r="H398" s="468"/>
      <c r="I398" s="468"/>
      <c r="J398" s="468"/>
      <c r="K398" s="468"/>
      <c r="L398" s="468"/>
      <c r="M398" s="468"/>
      <c r="N398" s="468"/>
      <c r="O398" s="468"/>
      <c r="P398" s="468"/>
      <c r="Q398" s="468"/>
      <c r="R398" s="468"/>
      <c r="S398" s="468"/>
      <c r="T398" s="468"/>
      <c r="U398" s="468"/>
      <c r="V398" s="468"/>
      <c r="W398" s="468"/>
      <c r="X398" s="468"/>
      <c r="Y398" s="468"/>
      <c r="Z398" s="468"/>
      <c r="AA398" s="468"/>
      <c r="AB398" s="468"/>
      <c r="AC398" s="468"/>
      <c r="AD398" s="468"/>
      <c r="AE398" s="468"/>
      <c r="AF398" s="468"/>
      <c r="AG398" s="468"/>
      <c r="AH398" s="468"/>
      <c r="AI398" s="468"/>
      <c r="AJ398" s="468"/>
    </row>
    <row r="399" spans="1:36" ht="18" customHeight="1" x14ac:dyDescent="0.35">
      <c r="A399" s="468"/>
      <c r="B399" s="468"/>
      <c r="C399" s="468"/>
      <c r="D399" s="468"/>
      <c r="E399" s="468"/>
      <c r="F399" s="468"/>
      <c r="G399" s="468"/>
      <c r="H399" s="468"/>
      <c r="I399" s="468"/>
      <c r="J399" s="468"/>
      <c r="K399" s="468"/>
      <c r="L399" s="468"/>
      <c r="M399" s="468"/>
      <c r="N399" s="468"/>
      <c r="O399" s="468"/>
      <c r="P399" s="468"/>
      <c r="Q399" s="468"/>
      <c r="R399" s="468"/>
      <c r="S399" s="468"/>
      <c r="T399" s="468"/>
      <c r="U399" s="468"/>
      <c r="V399" s="468"/>
      <c r="W399" s="468"/>
      <c r="X399" s="468"/>
      <c r="Y399" s="468"/>
      <c r="Z399" s="468"/>
      <c r="AA399" s="468"/>
      <c r="AB399" s="468"/>
      <c r="AC399" s="468"/>
      <c r="AD399" s="468"/>
      <c r="AE399" s="468"/>
      <c r="AF399" s="468"/>
      <c r="AG399" s="468"/>
      <c r="AH399" s="468"/>
      <c r="AI399" s="468"/>
      <c r="AJ399" s="468"/>
    </row>
    <row r="400" spans="1:36" ht="18" customHeight="1" x14ac:dyDescent="0.35">
      <c r="A400" s="468"/>
      <c r="B400" s="468"/>
      <c r="C400" s="468"/>
      <c r="D400" s="468"/>
      <c r="E400" s="468"/>
      <c r="F400" s="468"/>
      <c r="G400" s="468"/>
      <c r="H400" s="468"/>
      <c r="I400" s="468"/>
      <c r="J400" s="468"/>
      <c r="K400" s="468"/>
      <c r="L400" s="468"/>
      <c r="M400" s="468"/>
      <c r="N400" s="468"/>
      <c r="O400" s="468"/>
      <c r="P400" s="468"/>
      <c r="Q400" s="468"/>
      <c r="R400" s="468"/>
      <c r="S400" s="468"/>
      <c r="T400" s="468"/>
      <c r="U400" s="468"/>
      <c r="V400" s="468"/>
      <c r="W400" s="468"/>
      <c r="X400" s="468"/>
      <c r="Y400" s="468"/>
      <c r="Z400" s="468"/>
      <c r="AA400" s="468"/>
      <c r="AB400" s="468"/>
      <c r="AC400" s="468"/>
      <c r="AD400" s="468"/>
      <c r="AE400" s="468"/>
      <c r="AF400" s="468"/>
      <c r="AG400" s="468"/>
      <c r="AH400" s="468"/>
      <c r="AI400" s="468"/>
      <c r="AJ400" s="468"/>
    </row>
    <row r="401" spans="1:36" ht="18" customHeight="1" x14ac:dyDescent="0.35">
      <c r="A401" s="468"/>
      <c r="B401" s="468"/>
      <c r="C401" s="468"/>
      <c r="D401" s="468"/>
      <c r="E401" s="468"/>
      <c r="F401" s="468"/>
      <c r="G401" s="468"/>
      <c r="H401" s="468"/>
      <c r="I401" s="468"/>
      <c r="J401" s="468"/>
      <c r="K401" s="468"/>
      <c r="L401" s="468"/>
      <c r="M401" s="468"/>
      <c r="N401" s="468"/>
      <c r="O401" s="468"/>
      <c r="P401" s="468"/>
      <c r="Q401" s="468"/>
      <c r="R401" s="468"/>
      <c r="S401" s="468"/>
      <c r="T401" s="468"/>
      <c r="U401" s="468"/>
      <c r="V401" s="468"/>
      <c r="W401" s="468"/>
      <c r="X401" s="468"/>
      <c r="Y401" s="468"/>
      <c r="Z401" s="468"/>
      <c r="AA401" s="468"/>
      <c r="AB401" s="468"/>
      <c r="AC401" s="468"/>
      <c r="AD401" s="468"/>
      <c r="AE401" s="468"/>
      <c r="AF401" s="468"/>
      <c r="AG401" s="468"/>
      <c r="AH401" s="468"/>
      <c r="AI401" s="468"/>
      <c r="AJ401" s="468"/>
    </row>
    <row r="402" spans="1:36" ht="18" customHeight="1" x14ac:dyDescent="0.35">
      <c r="A402" s="468"/>
      <c r="B402" s="468"/>
      <c r="C402" s="468"/>
      <c r="D402" s="468"/>
      <c r="E402" s="468"/>
      <c r="F402" s="468"/>
      <c r="G402" s="468"/>
      <c r="H402" s="468"/>
      <c r="I402" s="468"/>
      <c r="J402" s="468"/>
      <c r="K402" s="468"/>
      <c r="L402" s="468"/>
      <c r="M402" s="468"/>
      <c r="N402" s="468"/>
      <c r="O402" s="468"/>
      <c r="P402" s="468"/>
      <c r="Q402" s="468"/>
      <c r="R402" s="468"/>
      <c r="S402" s="468"/>
      <c r="T402" s="468"/>
      <c r="U402" s="468"/>
      <c r="V402" s="468"/>
      <c r="W402" s="468"/>
      <c r="X402" s="468"/>
      <c r="Y402" s="468"/>
      <c r="Z402" s="468"/>
      <c r="AA402" s="468"/>
      <c r="AB402" s="468"/>
      <c r="AC402" s="468"/>
      <c r="AD402" s="468"/>
      <c r="AE402" s="468"/>
      <c r="AF402" s="468"/>
      <c r="AG402" s="468"/>
      <c r="AH402" s="468"/>
      <c r="AI402" s="468"/>
      <c r="AJ402" s="468"/>
    </row>
    <row r="403" spans="1:36" ht="18" customHeight="1" x14ac:dyDescent="0.35">
      <c r="A403" s="468"/>
      <c r="B403" s="468"/>
      <c r="C403" s="468"/>
      <c r="D403" s="468"/>
      <c r="E403" s="468"/>
      <c r="F403" s="468"/>
      <c r="G403" s="468"/>
      <c r="H403" s="468"/>
      <c r="I403" s="468"/>
      <c r="J403" s="468"/>
      <c r="K403" s="468"/>
      <c r="L403" s="468"/>
      <c r="M403" s="468"/>
      <c r="N403" s="468"/>
      <c r="O403" s="468"/>
      <c r="P403" s="468"/>
      <c r="Q403" s="468"/>
      <c r="R403" s="468"/>
      <c r="S403" s="468"/>
      <c r="T403" s="468"/>
      <c r="U403" s="468"/>
      <c r="V403" s="468"/>
      <c r="W403" s="468"/>
      <c r="X403" s="468"/>
      <c r="Y403" s="468"/>
      <c r="Z403" s="468"/>
      <c r="AA403" s="468"/>
      <c r="AB403" s="468"/>
      <c r="AC403" s="468"/>
      <c r="AD403" s="468"/>
      <c r="AE403" s="468"/>
      <c r="AF403" s="468"/>
      <c r="AG403" s="468"/>
      <c r="AH403" s="468"/>
      <c r="AI403" s="468"/>
      <c r="AJ403" s="468"/>
    </row>
    <row r="404" spans="1:36" ht="18" customHeight="1" x14ac:dyDescent="0.35">
      <c r="A404" s="468"/>
      <c r="B404" s="468"/>
      <c r="C404" s="468"/>
      <c r="D404" s="468"/>
      <c r="E404" s="468"/>
      <c r="F404" s="468"/>
      <c r="G404" s="468"/>
      <c r="H404" s="468"/>
      <c r="I404" s="468"/>
      <c r="J404" s="468"/>
      <c r="K404" s="468"/>
      <c r="L404" s="468"/>
      <c r="M404" s="468"/>
      <c r="N404" s="468"/>
      <c r="O404" s="468"/>
      <c r="P404" s="468"/>
      <c r="Q404" s="468"/>
      <c r="R404" s="468"/>
      <c r="S404" s="468"/>
      <c r="T404" s="468"/>
      <c r="U404" s="468"/>
      <c r="V404" s="468"/>
      <c r="W404" s="468"/>
      <c r="X404" s="468"/>
      <c r="Y404" s="468"/>
      <c r="Z404" s="468"/>
      <c r="AA404" s="468"/>
      <c r="AB404" s="468"/>
      <c r="AC404" s="468"/>
      <c r="AD404" s="468"/>
      <c r="AE404" s="468"/>
      <c r="AF404" s="468"/>
      <c r="AG404" s="468"/>
      <c r="AH404" s="468"/>
      <c r="AI404" s="468"/>
      <c r="AJ404" s="468"/>
    </row>
    <row r="405" spans="1:36" ht="18" customHeight="1" x14ac:dyDescent="0.35">
      <c r="A405" s="468"/>
      <c r="B405" s="468"/>
      <c r="C405" s="468"/>
      <c r="D405" s="468"/>
      <c r="E405" s="468"/>
      <c r="F405" s="468"/>
      <c r="G405" s="468"/>
      <c r="H405" s="468"/>
      <c r="I405" s="468"/>
      <c r="J405" s="468"/>
      <c r="K405" s="468"/>
      <c r="L405" s="468"/>
      <c r="M405" s="468"/>
      <c r="N405" s="468"/>
      <c r="O405" s="468"/>
      <c r="P405" s="468"/>
      <c r="Q405" s="468"/>
      <c r="R405" s="468"/>
      <c r="S405" s="468"/>
      <c r="T405" s="468"/>
      <c r="U405" s="468"/>
      <c r="V405" s="468"/>
      <c r="W405" s="468"/>
      <c r="X405" s="468"/>
      <c r="Y405" s="468"/>
      <c r="Z405" s="468"/>
      <c r="AA405" s="468"/>
      <c r="AB405" s="468"/>
      <c r="AC405" s="468"/>
      <c r="AD405" s="468"/>
      <c r="AE405" s="468"/>
      <c r="AF405" s="468"/>
      <c r="AG405" s="468"/>
      <c r="AH405" s="468"/>
      <c r="AI405" s="468"/>
      <c r="AJ405" s="468"/>
    </row>
    <row r="406" spans="1:36" ht="18" customHeight="1" x14ac:dyDescent="0.35">
      <c r="A406" s="468"/>
      <c r="B406" s="468"/>
      <c r="C406" s="468"/>
      <c r="D406" s="468"/>
      <c r="E406" s="468"/>
      <c r="F406" s="468"/>
      <c r="G406" s="468"/>
      <c r="H406" s="468"/>
      <c r="I406" s="468"/>
      <c r="J406" s="468"/>
      <c r="K406" s="468"/>
      <c r="L406" s="468"/>
      <c r="M406" s="468"/>
      <c r="N406" s="468"/>
      <c r="O406" s="468"/>
      <c r="P406" s="468"/>
      <c r="Q406" s="468"/>
      <c r="R406" s="468"/>
      <c r="S406" s="468"/>
      <c r="T406" s="468"/>
      <c r="U406" s="468"/>
      <c r="V406" s="468"/>
      <c r="W406" s="468"/>
      <c r="X406" s="468"/>
      <c r="Y406" s="468"/>
      <c r="Z406" s="468"/>
      <c r="AA406" s="468"/>
      <c r="AB406" s="468"/>
      <c r="AC406" s="468"/>
      <c r="AD406" s="468"/>
      <c r="AE406" s="468"/>
      <c r="AF406" s="468"/>
      <c r="AG406" s="468"/>
      <c r="AH406" s="468"/>
      <c r="AI406" s="468"/>
      <c r="AJ406" s="468"/>
    </row>
    <row r="407" spans="1:36" ht="18" customHeight="1" x14ac:dyDescent="0.35">
      <c r="A407" s="468"/>
      <c r="B407" s="468"/>
      <c r="C407" s="468"/>
      <c r="D407" s="468"/>
      <c r="E407" s="468"/>
      <c r="F407" s="468"/>
      <c r="G407" s="468"/>
      <c r="H407" s="468"/>
      <c r="I407" s="468"/>
      <c r="J407" s="468"/>
      <c r="K407" s="468"/>
      <c r="L407" s="468"/>
      <c r="M407" s="468"/>
      <c r="N407" s="468"/>
      <c r="O407" s="468"/>
      <c r="P407" s="468"/>
      <c r="Q407" s="468"/>
      <c r="R407" s="468"/>
      <c r="S407" s="468"/>
      <c r="T407" s="468"/>
      <c r="U407" s="468"/>
      <c r="V407" s="468"/>
      <c r="W407" s="468"/>
      <c r="X407" s="468"/>
      <c r="Y407" s="468"/>
      <c r="Z407" s="468"/>
      <c r="AA407" s="468"/>
      <c r="AB407" s="468"/>
      <c r="AC407" s="468"/>
      <c r="AD407" s="468"/>
      <c r="AE407" s="468"/>
      <c r="AF407" s="468"/>
      <c r="AG407" s="468"/>
      <c r="AH407" s="468"/>
      <c r="AI407" s="468"/>
      <c r="AJ407" s="468"/>
    </row>
    <row r="408" spans="1:36" ht="18" customHeight="1" x14ac:dyDescent="0.35">
      <c r="A408" s="468"/>
      <c r="B408" s="468"/>
      <c r="C408" s="468"/>
      <c r="D408" s="468"/>
      <c r="E408" s="468"/>
      <c r="F408" s="468"/>
      <c r="G408" s="468"/>
      <c r="H408" s="468"/>
      <c r="I408" s="468"/>
      <c r="J408" s="468"/>
      <c r="K408" s="468"/>
      <c r="L408" s="468"/>
      <c r="M408" s="468"/>
      <c r="N408" s="468"/>
      <c r="O408" s="468"/>
      <c r="P408" s="468"/>
      <c r="Q408" s="468"/>
      <c r="R408" s="468"/>
      <c r="S408" s="468"/>
      <c r="T408" s="468"/>
      <c r="U408" s="468"/>
      <c r="V408" s="468"/>
      <c r="W408" s="468"/>
      <c r="X408" s="468"/>
      <c r="Y408" s="468"/>
      <c r="Z408" s="468"/>
      <c r="AA408" s="468"/>
      <c r="AB408" s="468"/>
      <c r="AC408" s="468"/>
      <c r="AD408" s="468"/>
      <c r="AE408" s="468"/>
      <c r="AF408" s="468"/>
      <c r="AG408" s="468"/>
      <c r="AH408" s="468"/>
      <c r="AI408" s="468"/>
      <c r="AJ408" s="468"/>
    </row>
    <row r="409" spans="1:36" ht="18" customHeight="1" x14ac:dyDescent="0.35">
      <c r="A409" s="468"/>
      <c r="B409" s="468"/>
      <c r="C409" s="468"/>
      <c r="D409" s="468"/>
      <c r="E409" s="468"/>
      <c r="F409" s="468"/>
      <c r="G409" s="468"/>
      <c r="H409" s="468"/>
      <c r="I409" s="468"/>
      <c r="J409" s="468"/>
      <c r="K409" s="468"/>
      <c r="L409" s="468"/>
      <c r="M409" s="468"/>
      <c r="N409" s="468"/>
      <c r="O409" s="468"/>
      <c r="P409" s="468"/>
      <c r="Q409" s="468"/>
      <c r="R409" s="468"/>
      <c r="S409" s="468"/>
      <c r="T409" s="468"/>
      <c r="U409" s="468"/>
      <c r="V409" s="468"/>
      <c r="W409" s="468"/>
      <c r="X409" s="468"/>
      <c r="Y409" s="468"/>
      <c r="Z409" s="468"/>
      <c r="AA409" s="468"/>
      <c r="AB409" s="468"/>
      <c r="AC409" s="468"/>
      <c r="AD409" s="468"/>
      <c r="AE409" s="468"/>
      <c r="AF409" s="468"/>
      <c r="AG409" s="468"/>
      <c r="AH409" s="468"/>
      <c r="AI409" s="468"/>
      <c r="AJ409" s="468"/>
    </row>
    <row r="410" spans="1:36" ht="18" customHeight="1" x14ac:dyDescent="0.35">
      <c r="A410" s="468"/>
      <c r="B410" s="468"/>
      <c r="C410" s="468"/>
      <c r="D410" s="468"/>
      <c r="E410" s="468"/>
      <c r="F410" s="468"/>
      <c r="G410" s="468"/>
      <c r="H410" s="468"/>
      <c r="I410" s="468"/>
      <c r="J410" s="468"/>
      <c r="K410" s="468"/>
      <c r="L410" s="468"/>
      <c r="M410" s="468"/>
      <c r="N410" s="468"/>
      <c r="O410" s="468"/>
      <c r="P410" s="468"/>
      <c r="Q410" s="468"/>
      <c r="R410" s="468"/>
      <c r="S410" s="468"/>
      <c r="T410" s="468"/>
      <c r="U410" s="468"/>
      <c r="V410" s="468"/>
      <c r="W410" s="468"/>
      <c r="X410" s="468"/>
      <c r="Y410" s="468"/>
      <c r="Z410" s="468"/>
      <c r="AA410" s="468"/>
      <c r="AB410" s="468"/>
      <c r="AC410" s="468"/>
      <c r="AD410" s="468"/>
      <c r="AE410" s="468"/>
      <c r="AF410" s="468"/>
      <c r="AG410" s="468"/>
      <c r="AH410" s="468"/>
      <c r="AI410" s="468"/>
      <c r="AJ410" s="468"/>
    </row>
    <row r="411" spans="1:36" ht="18" customHeight="1" x14ac:dyDescent="0.35">
      <c r="A411" s="468"/>
      <c r="B411" s="468"/>
      <c r="C411" s="468"/>
      <c r="D411" s="468"/>
      <c r="E411" s="468"/>
      <c r="F411" s="468"/>
      <c r="G411" s="468"/>
      <c r="H411" s="468"/>
      <c r="I411" s="468"/>
      <c r="J411" s="468"/>
      <c r="K411" s="468"/>
      <c r="L411" s="468"/>
      <c r="M411" s="468"/>
      <c r="N411" s="468"/>
      <c r="O411" s="468"/>
      <c r="P411" s="468"/>
      <c r="Q411" s="468"/>
      <c r="R411" s="468"/>
      <c r="S411" s="468"/>
      <c r="T411" s="468"/>
      <c r="U411" s="468"/>
      <c r="V411" s="468"/>
      <c r="W411" s="468"/>
      <c r="X411" s="468"/>
      <c r="Y411" s="468"/>
      <c r="Z411" s="468"/>
      <c r="AA411" s="468"/>
      <c r="AB411" s="468"/>
      <c r="AC411" s="468"/>
      <c r="AD411" s="468"/>
      <c r="AE411" s="468"/>
      <c r="AF411" s="468"/>
      <c r="AG411" s="468"/>
      <c r="AH411" s="468"/>
      <c r="AI411" s="468"/>
      <c r="AJ411" s="468"/>
    </row>
    <row r="412" spans="1:36" ht="18" customHeight="1" x14ac:dyDescent="0.35">
      <c r="A412" s="468"/>
      <c r="B412" s="468"/>
      <c r="C412" s="468"/>
      <c r="D412" s="468"/>
      <c r="E412" s="468"/>
      <c r="F412" s="468"/>
      <c r="G412" s="468"/>
      <c r="H412" s="468"/>
      <c r="I412" s="468"/>
      <c r="J412" s="468"/>
      <c r="K412" s="468"/>
      <c r="L412" s="468"/>
      <c r="M412" s="468"/>
      <c r="N412" s="468"/>
      <c r="O412" s="468"/>
      <c r="P412" s="468"/>
      <c r="Q412" s="468"/>
      <c r="R412" s="468"/>
      <c r="S412" s="468"/>
      <c r="T412" s="468"/>
      <c r="U412" s="468"/>
      <c r="V412" s="468"/>
      <c r="W412" s="468"/>
      <c r="X412" s="468"/>
      <c r="Y412" s="468"/>
      <c r="Z412" s="468"/>
      <c r="AA412" s="468"/>
      <c r="AB412" s="468"/>
      <c r="AC412" s="468"/>
      <c r="AD412" s="468"/>
      <c r="AE412" s="468"/>
      <c r="AF412" s="468"/>
      <c r="AG412" s="468"/>
      <c r="AH412" s="468"/>
      <c r="AI412" s="468"/>
      <c r="AJ412" s="468"/>
    </row>
    <row r="413" spans="1:36" ht="18" customHeight="1" x14ac:dyDescent="0.35">
      <c r="A413" s="468"/>
      <c r="B413" s="468"/>
      <c r="C413" s="468"/>
      <c r="D413" s="468"/>
      <c r="E413" s="468"/>
      <c r="F413" s="468"/>
      <c r="G413" s="468"/>
      <c r="H413" s="468"/>
      <c r="I413" s="468"/>
      <c r="J413" s="468"/>
      <c r="K413" s="468"/>
      <c r="L413" s="468"/>
      <c r="M413" s="468"/>
      <c r="N413" s="468"/>
      <c r="O413" s="468"/>
      <c r="P413" s="468"/>
      <c r="Q413" s="468"/>
      <c r="R413" s="468"/>
      <c r="S413" s="468"/>
      <c r="T413" s="468"/>
      <c r="U413" s="468"/>
      <c r="V413" s="468"/>
      <c r="W413" s="468"/>
      <c r="X413" s="468"/>
      <c r="Y413" s="468"/>
      <c r="Z413" s="468"/>
      <c r="AA413" s="468"/>
      <c r="AB413" s="468"/>
      <c r="AC413" s="468"/>
      <c r="AD413" s="468"/>
      <c r="AE413" s="468"/>
      <c r="AF413" s="468"/>
      <c r="AG413" s="468"/>
      <c r="AH413" s="468"/>
      <c r="AI413" s="468"/>
      <c r="AJ413" s="468"/>
    </row>
    <row r="414" spans="1:36" ht="18" customHeight="1" x14ac:dyDescent="0.35">
      <c r="A414" s="468"/>
      <c r="B414" s="468"/>
      <c r="C414" s="468"/>
      <c r="D414" s="468"/>
      <c r="E414" s="468"/>
      <c r="F414" s="468"/>
      <c r="G414" s="468"/>
      <c r="H414" s="468"/>
      <c r="I414" s="468"/>
      <c r="J414" s="468"/>
      <c r="K414" s="468"/>
      <c r="L414" s="468"/>
      <c r="M414" s="468"/>
      <c r="N414" s="468"/>
      <c r="O414" s="468"/>
      <c r="P414" s="468"/>
      <c r="Q414" s="468"/>
      <c r="R414" s="468"/>
      <c r="S414" s="468"/>
      <c r="T414" s="468"/>
      <c r="U414" s="468"/>
      <c r="V414" s="468"/>
      <c r="W414" s="468"/>
      <c r="X414" s="468"/>
      <c r="Y414" s="468"/>
      <c r="Z414" s="468"/>
      <c r="AA414" s="468"/>
      <c r="AB414" s="468"/>
      <c r="AC414" s="468"/>
      <c r="AD414" s="468"/>
      <c r="AE414" s="468"/>
      <c r="AF414" s="468"/>
      <c r="AG414" s="468"/>
      <c r="AH414" s="468"/>
      <c r="AI414" s="468"/>
      <c r="AJ414" s="468"/>
    </row>
    <row r="415" spans="1:36" ht="18" customHeight="1" x14ac:dyDescent="0.35">
      <c r="A415" s="468"/>
      <c r="B415" s="468"/>
      <c r="C415" s="468"/>
      <c r="D415" s="468"/>
      <c r="E415" s="468"/>
      <c r="F415" s="468"/>
      <c r="G415" s="468"/>
      <c r="H415" s="468"/>
      <c r="I415" s="468"/>
      <c r="J415" s="468"/>
      <c r="K415" s="468"/>
      <c r="L415" s="468"/>
      <c r="M415" s="468"/>
      <c r="N415" s="468"/>
      <c r="O415" s="468"/>
      <c r="P415" s="468"/>
      <c r="Q415" s="468"/>
      <c r="R415" s="468"/>
      <c r="S415" s="468"/>
      <c r="T415" s="468"/>
      <c r="U415" s="468"/>
      <c r="V415" s="468"/>
      <c r="W415" s="468"/>
      <c r="X415" s="468"/>
      <c r="Y415" s="468"/>
      <c r="Z415" s="468"/>
      <c r="AA415" s="468"/>
      <c r="AB415" s="468"/>
      <c r="AC415" s="468"/>
      <c r="AD415" s="468"/>
      <c r="AE415" s="468"/>
      <c r="AF415" s="468"/>
      <c r="AG415" s="468"/>
      <c r="AH415" s="468"/>
      <c r="AI415" s="468"/>
      <c r="AJ415" s="468"/>
    </row>
    <row r="416" spans="1:36" ht="18" customHeight="1" x14ac:dyDescent="0.35">
      <c r="A416" s="468"/>
      <c r="B416" s="468"/>
      <c r="C416" s="468"/>
      <c r="D416" s="468"/>
      <c r="E416" s="468"/>
      <c r="F416" s="468"/>
      <c r="G416" s="468"/>
      <c r="H416" s="468"/>
      <c r="I416" s="468"/>
      <c r="J416" s="468"/>
      <c r="K416" s="468"/>
      <c r="L416" s="468"/>
      <c r="M416" s="468"/>
      <c r="N416" s="468"/>
      <c r="O416" s="468"/>
      <c r="P416" s="468"/>
      <c r="Q416" s="468"/>
      <c r="R416" s="468"/>
      <c r="S416" s="468"/>
      <c r="T416" s="468"/>
      <c r="U416" s="468"/>
      <c r="V416" s="468"/>
      <c r="W416" s="468"/>
      <c r="X416" s="468"/>
      <c r="Y416" s="468"/>
      <c r="Z416" s="468"/>
      <c r="AA416" s="468"/>
      <c r="AB416" s="468"/>
      <c r="AC416" s="468"/>
      <c r="AD416" s="468"/>
      <c r="AE416" s="468"/>
      <c r="AF416" s="468"/>
      <c r="AG416" s="468"/>
      <c r="AH416" s="468"/>
      <c r="AI416" s="468"/>
      <c r="AJ416" s="468"/>
    </row>
    <row r="417" spans="1:36" ht="18" customHeight="1" x14ac:dyDescent="0.35">
      <c r="A417" s="468"/>
      <c r="B417" s="468"/>
      <c r="C417" s="468"/>
      <c r="D417" s="468"/>
      <c r="E417" s="468"/>
      <c r="F417" s="468"/>
      <c r="G417" s="468"/>
      <c r="H417" s="468"/>
      <c r="I417" s="468"/>
      <c r="J417" s="468"/>
      <c r="K417" s="468"/>
      <c r="L417" s="468"/>
      <c r="M417" s="468"/>
      <c r="N417" s="468"/>
      <c r="O417" s="468"/>
      <c r="P417" s="468"/>
      <c r="Q417" s="468"/>
      <c r="R417" s="468"/>
      <c r="S417" s="468"/>
      <c r="T417" s="468"/>
      <c r="U417" s="468"/>
      <c r="V417" s="468"/>
      <c r="W417" s="468"/>
      <c r="X417" s="468"/>
      <c r="Y417" s="468"/>
      <c r="Z417" s="468"/>
      <c r="AA417" s="468"/>
      <c r="AB417" s="468"/>
      <c r="AC417" s="468"/>
      <c r="AD417" s="468"/>
      <c r="AE417" s="468"/>
      <c r="AF417" s="468"/>
      <c r="AG417" s="468"/>
      <c r="AH417" s="468"/>
      <c r="AI417" s="468"/>
      <c r="AJ417" s="468"/>
    </row>
    <row r="418" spans="1:36" ht="18" customHeight="1" x14ac:dyDescent="0.35">
      <c r="A418" s="468"/>
      <c r="B418" s="468"/>
      <c r="C418" s="468"/>
      <c r="D418" s="468"/>
      <c r="E418" s="468"/>
      <c r="F418" s="468"/>
      <c r="G418" s="468"/>
      <c r="H418" s="468"/>
      <c r="I418" s="468"/>
      <c r="J418" s="468"/>
      <c r="K418" s="468"/>
      <c r="L418" s="468"/>
      <c r="M418" s="468"/>
      <c r="N418" s="468"/>
      <c r="O418" s="468"/>
      <c r="P418" s="468"/>
      <c r="Q418" s="468"/>
      <c r="R418" s="468"/>
      <c r="S418" s="468"/>
      <c r="T418" s="468"/>
      <c r="U418" s="468"/>
      <c r="V418" s="468"/>
      <c r="W418" s="468"/>
      <c r="X418" s="468"/>
      <c r="Y418" s="468"/>
      <c r="Z418" s="468"/>
      <c r="AA418" s="468"/>
      <c r="AB418" s="468"/>
      <c r="AC418" s="468"/>
      <c r="AD418" s="468"/>
      <c r="AE418" s="468"/>
      <c r="AF418" s="468"/>
      <c r="AG418" s="468"/>
      <c r="AH418" s="468"/>
      <c r="AI418" s="468"/>
      <c r="AJ418" s="468"/>
    </row>
    <row r="419" spans="1:36" ht="18" customHeight="1" x14ac:dyDescent="0.35">
      <c r="A419" s="468"/>
      <c r="B419" s="468"/>
      <c r="C419" s="468"/>
      <c r="D419" s="468"/>
      <c r="E419" s="468"/>
      <c r="F419" s="468"/>
      <c r="G419" s="468"/>
      <c r="H419" s="468"/>
      <c r="I419" s="468"/>
      <c r="J419" s="468"/>
      <c r="K419" s="468"/>
      <c r="L419" s="468"/>
      <c r="M419" s="468"/>
      <c r="N419" s="468"/>
      <c r="O419" s="468"/>
      <c r="P419" s="468"/>
      <c r="Q419" s="468"/>
      <c r="R419" s="468"/>
      <c r="S419" s="468"/>
      <c r="T419" s="468"/>
      <c r="U419" s="468"/>
      <c r="V419" s="468"/>
      <c r="W419" s="468"/>
      <c r="X419" s="468"/>
      <c r="Y419" s="468"/>
      <c r="Z419" s="468"/>
      <c r="AA419" s="468"/>
      <c r="AB419" s="468"/>
      <c r="AC419" s="468"/>
      <c r="AD419" s="468"/>
      <c r="AE419" s="468"/>
      <c r="AF419" s="468"/>
      <c r="AG419" s="468"/>
      <c r="AH419" s="468"/>
      <c r="AI419" s="468"/>
      <c r="AJ419" s="468"/>
    </row>
    <row r="420" spans="1:36" ht="18" customHeight="1" x14ac:dyDescent="0.35">
      <c r="A420" s="468"/>
      <c r="B420" s="468"/>
      <c r="C420" s="468"/>
      <c r="D420" s="468"/>
      <c r="E420" s="468"/>
      <c r="F420" s="468"/>
      <c r="G420" s="468"/>
      <c r="H420" s="468"/>
      <c r="I420" s="468"/>
      <c r="J420" s="468"/>
      <c r="K420" s="468"/>
      <c r="L420" s="468"/>
      <c r="M420" s="468"/>
      <c r="N420" s="468"/>
      <c r="O420" s="468"/>
      <c r="P420" s="468"/>
      <c r="Q420" s="468"/>
      <c r="R420" s="468"/>
      <c r="S420" s="468"/>
      <c r="T420" s="468"/>
      <c r="U420" s="468"/>
      <c r="V420" s="468"/>
      <c r="W420" s="468"/>
      <c r="X420" s="468"/>
      <c r="Y420" s="468"/>
      <c r="Z420" s="468"/>
      <c r="AA420" s="468"/>
      <c r="AB420" s="468"/>
      <c r="AC420" s="468"/>
      <c r="AD420" s="468"/>
      <c r="AE420" s="468"/>
      <c r="AF420" s="468"/>
      <c r="AG420" s="468"/>
      <c r="AH420" s="468"/>
      <c r="AI420" s="468"/>
      <c r="AJ420" s="468"/>
    </row>
    <row r="421" spans="1:36" ht="18" customHeight="1" x14ac:dyDescent="0.35">
      <c r="A421" s="468"/>
      <c r="B421" s="468"/>
      <c r="C421" s="468"/>
      <c r="D421" s="468"/>
      <c r="E421" s="468"/>
      <c r="F421" s="468"/>
      <c r="G421" s="468"/>
      <c r="H421" s="468"/>
      <c r="I421" s="468"/>
      <c r="J421" s="468"/>
      <c r="K421" s="468"/>
      <c r="L421" s="468"/>
      <c r="M421" s="468"/>
      <c r="N421" s="468"/>
      <c r="O421" s="468"/>
      <c r="P421" s="468"/>
      <c r="Q421" s="468"/>
      <c r="R421" s="468"/>
      <c r="S421" s="468"/>
      <c r="T421" s="468"/>
      <c r="U421" s="468"/>
      <c r="V421" s="468"/>
      <c r="W421" s="468"/>
      <c r="X421" s="468"/>
      <c r="Y421" s="468"/>
      <c r="Z421" s="468"/>
      <c r="AA421" s="468"/>
      <c r="AB421" s="468"/>
      <c r="AC421" s="468"/>
      <c r="AD421" s="468"/>
      <c r="AE421" s="468"/>
      <c r="AF421" s="468"/>
      <c r="AG421" s="468"/>
      <c r="AH421" s="468"/>
      <c r="AI421" s="468"/>
      <c r="AJ421" s="468"/>
    </row>
    <row r="422" spans="1:36" ht="18" customHeight="1" x14ac:dyDescent="0.35">
      <c r="A422" s="468"/>
      <c r="B422" s="468"/>
      <c r="C422" s="468"/>
      <c r="D422" s="468"/>
      <c r="E422" s="468"/>
      <c r="F422" s="468"/>
      <c r="G422" s="468"/>
      <c r="H422" s="468"/>
      <c r="I422" s="468"/>
      <c r="J422" s="468"/>
      <c r="K422" s="468"/>
      <c r="L422" s="468"/>
      <c r="M422" s="468"/>
      <c r="N422" s="468"/>
      <c r="O422" s="468"/>
      <c r="P422" s="468"/>
      <c r="Q422" s="468"/>
      <c r="R422" s="468"/>
      <c r="S422" s="468"/>
      <c r="T422" s="468"/>
      <c r="U422" s="468"/>
      <c r="V422" s="468"/>
      <c r="W422" s="468"/>
      <c r="X422" s="468"/>
      <c r="Y422" s="468"/>
      <c r="Z422" s="468"/>
      <c r="AA422" s="468"/>
      <c r="AB422" s="468"/>
      <c r="AC422" s="468"/>
      <c r="AD422" s="468"/>
      <c r="AE422" s="468"/>
      <c r="AF422" s="468"/>
      <c r="AG422" s="468"/>
      <c r="AH422" s="468"/>
      <c r="AI422" s="468"/>
      <c r="AJ422" s="468"/>
    </row>
    <row r="423" spans="1:36" ht="18" customHeight="1" x14ac:dyDescent="0.35">
      <c r="A423" s="468"/>
      <c r="B423" s="468"/>
      <c r="C423" s="468"/>
      <c r="D423" s="468"/>
      <c r="E423" s="468"/>
      <c r="F423" s="468"/>
      <c r="G423" s="468"/>
      <c r="H423" s="468"/>
      <c r="I423" s="468"/>
      <c r="J423" s="468"/>
      <c r="K423" s="468"/>
      <c r="L423" s="468"/>
      <c r="M423" s="468"/>
      <c r="N423" s="468"/>
      <c r="O423" s="468"/>
      <c r="P423" s="468"/>
      <c r="Q423" s="468"/>
      <c r="R423" s="468"/>
      <c r="S423" s="468"/>
      <c r="T423" s="468"/>
      <c r="U423" s="468"/>
      <c r="V423" s="468"/>
      <c r="W423" s="468"/>
      <c r="X423" s="468"/>
      <c r="Y423" s="468"/>
      <c r="Z423" s="468"/>
      <c r="AA423" s="468"/>
      <c r="AB423" s="468"/>
      <c r="AC423" s="468"/>
      <c r="AD423" s="468"/>
      <c r="AE423" s="468"/>
      <c r="AF423" s="468"/>
      <c r="AG423" s="468"/>
      <c r="AH423" s="468"/>
      <c r="AI423" s="468"/>
      <c r="AJ423" s="468"/>
    </row>
    <row r="424" spans="1:36" ht="18" customHeight="1" x14ac:dyDescent="0.35">
      <c r="A424" s="468"/>
      <c r="B424" s="468"/>
      <c r="C424" s="468"/>
      <c r="D424" s="468"/>
      <c r="E424" s="468"/>
      <c r="F424" s="468"/>
      <c r="G424" s="468"/>
      <c r="H424" s="468"/>
      <c r="I424" s="468"/>
      <c r="J424" s="468"/>
      <c r="K424" s="468"/>
      <c r="L424" s="468"/>
      <c r="M424" s="468"/>
      <c r="N424" s="468"/>
      <c r="O424" s="468"/>
      <c r="P424" s="468"/>
      <c r="Q424" s="468"/>
      <c r="R424" s="468"/>
      <c r="S424" s="468"/>
      <c r="T424" s="468"/>
      <c r="U424" s="468"/>
      <c r="V424" s="468"/>
      <c r="W424" s="468"/>
      <c r="X424" s="468"/>
      <c r="Y424" s="468"/>
      <c r="Z424" s="468"/>
      <c r="AA424" s="468"/>
      <c r="AB424" s="468"/>
      <c r="AC424" s="468"/>
      <c r="AD424" s="468"/>
      <c r="AE424" s="468"/>
      <c r="AF424" s="468"/>
      <c r="AG424" s="468"/>
      <c r="AH424" s="468"/>
      <c r="AI424" s="468"/>
      <c r="AJ424" s="468"/>
    </row>
    <row r="425" spans="1:36" ht="18" customHeight="1" x14ac:dyDescent="0.35">
      <c r="A425" s="468"/>
      <c r="B425" s="468"/>
      <c r="C425" s="468"/>
      <c r="D425" s="468"/>
      <c r="E425" s="468"/>
      <c r="F425" s="468"/>
      <c r="G425" s="468"/>
      <c r="H425" s="468"/>
      <c r="I425" s="468"/>
      <c r="J425" s="468"/>
      <c r="K425" s="468"/>
      <c r="L425" s="468"/>
      <c r="M425" s="468"/>
      <c r="N425" s="468"/>
      <c r="O425" s="468"/>
      <c r="P425" s="468"/>
      <c r="Q425" s="468"/>
      <c r="R425" s="468"/>
      <c r="S425" s="468"/>
      <c r="T425" s="468"/>
      <c r="U425" s="468"/>
      <c r="V425" s="468"/>
      <c r="W425" s="468"/>
      <c r="X425" s="468"/>
      <c r="Y425" s="468"/>
      <c r="Z425" s="468"/>
      <c r="AA425" s="468"/>
      <c r="AB425" s="468"/>
      <c r="AC425" s="468"/>
      <c r="AD425" s="468"/>
      <c r="AE425" s="468"/>
      <c r="AF425" s="468"/>
      <c r="AG425" s="468"/>
      <c r="AH425" s="468"/>
      <c r="AI425" s="468"/>
      <c r="AJ425" s="468"/>
    </row>
    <row r="426" spans="1:36" ht="18" customHeight="1" x14ac:dyDescent="0.35">
      <c r="A426" s="468"/>
      <c r="B426" s="468"/>
      <c r="C426" s="468"/>
      <c r="D426" s="468"/>
      <c r="E426" s="468"/>
      <c r="F426" s="468"/>
      <c r="G426" s="468"/>
      <c r="H426" s="468"/>
      <c r="I426" s="468"/>
      <c r="J426" s="468"/>
      <c r="K426" s="468"/>
      <c r="L426" s="468"/>
      <c r="M426" s="468"/>
      <c r="N426" s="468"/>
      <c r="O426" s="468"/>
      <c r="P426" s="468"/>
      <c r="Q426" s="468"/>
      <c r="R426" s="468"/>
      <c r="S426" s="468"/>
      <c r="T426" s="468"/>
      <c r="U426" s="468"/>
      <c r="V426" s="468"/>
      <c r="W426" s="468"/>
      <c r="X426" s="468"/>
      <c r="Y426" s="468"/>
      <c r="Z426" s="468"/>
      <c r="AA426" s="468"/>
      <c r="AB426" s="468"/>
      <c r="AC426" s="468"/>
      <c r="AD426" s="468"/>
      <c r="AE426" s="468"/>
      <c r="AF426" s="468"/>
      <c r="AG426" s="468"/>
      <c r="AH426" s="468"/>
      <c r="AI426" s="468"/>
      <c r="AJ426" s="468"/>
    </row>
    <row r="427" spans="1:36" ht="18" customHeight="1" x14ac:dyDescent="0.35">
      <c r="A427" s="468"/>
      <c r="B427" s="468"/>
      <c r="C427" s="468"/>
      <c r="D427" s="468"/>
      <c r="E427" s="468"/>
      <c r="F427" s="468"/>
      <c r="G427" s="468"/>
      <c r="H427" s="468"/>
      <c r="I427" s="468"/>
      <c r="J427" s="468"/>
      <c r="K427" s="468"/>
      <c r="L427" s="468"/>
      <c r="M427" s="468"/>
      <c r="N427" s="468"/>
      <c r="O427" s="468"/>
      <c r="P427" s="468"/>
      <c r="Q427" s="468"/>
      <c r="R427" s="468"/>
      <c r="S427" s="468"/>
      <c r="T427" s="468"/>
      <c r="U427" s="468"/>
      <c r="V427" s="468"/>
      <c r="W427" s="468"/>
      <c r="X427" s="468"/>
      <c r="Y427" s="468"/>
      <c r="Z427" s="468"/>
      <c r="AA427" s="468"/>
      <c r="AB427" s="468"/>
      <c r="AC427" s="468"/>
      <c r="AD427" s="468"/>
      <c r="AE427" s="468"/>
      <c r="AF427" s="468"/>
      <c r="AG427" s="468"/>
      <c r="AH427" s="468"/>
      <c r="AI427" s="468"/>
      <c r="AJ427" s="468"/>
    </row>
    <row r="428" spans="1:36" ht="18" customHeight="1" x14ac:dyDescent="0.35">
      <c r="A428" s="468"/>
      <c r="B428" s="468"/>
      <c r="C428" s="468"/>
      <c r="D428" s="468"/>
      <c r="E428" s="468"/>
      <c r="F428" s="468"/>
      <c r="G428" s="468"/>
      <c r="H428" s="468"/>
      <c r="I428" s="468"/>
      <c r="J428" s="468"/>
      <c r="K428" s="468"/>
      <c r="L428" s="468"/>
      <c r="M428" s="468"/>
      <c r="N428" s="468"/>
      <c r="O428" s="468"/>
      <c r="P428" s="468"/>
      <c r="Q428" s="468"/>
      <c r="R428" s="468"/>
      <c r="S428" s="468"/>
      <c r="T428" s="468"/>
      <c r="U428" s="468"/>
      <c r="V428" s="468"/>
      <c r="W428" s="468"/>
      <c r="X428" s="468"/>
      <c r="Y428" s="468"/>
      <c r="Z428" s="468"/>
      <c r="AA428" s="468"/>
      <c r="AB428" s="468"/>
      <c r="AC428" s="468"/>
      <c r="AD428" s="468"/>
      <c r="AE428" s="468"/>
      <c r="AF428" s="468"/>
      <c r="AG428" s="468"/>
      <c r="AH428" s="468"/>
      <c r="AI428" s="468"/>
      <c r="AJ428" s="468"/>
    </row>
    <row r="429" spans="1:36" ht="18" customHeight="1" x14ac:dyDescent="0.35">
      <c r="A429" s="468"/>
      <c r="B429" s="468"/>
      <c r="C429" s="468"/>
      <c r="D429" s="468"/>
      <c r="E429" s="468"/>
      <c r="F429" s="468"/>
      <c r="G429" s="468"/>
      <c r="H429" s="468"/>
      <c r="I429" s="468"/>
      <c r="J429" s="468"/>
      <c r="K429" s="468"/>
      <c r="L429" s="468"/>
      <c r="M429" s="468"/>
      <c r="N429" s="468"/>
      <c r="O429" s="468"/>
      <c r="P429" s="468"/>
      <c r="Q429" s="468"/>
      <c r="R429" s="468"/>
      <c r="S429" s="468"/>
      <c r="T429" s="468"/>
      <c r="U429" s="468"/>
      <c r="V429" s="468"/>
      <c r="W429" s="468"/>
      <c r="X429" s="468"/>
      <c r="Y429" s="468"/>
      <c r="Z429" s="468"/>
      <c r="AA429" s="468"/>
      <c r="AB429" s="468"/>
      <c r="AC429" s="468"/>
      <c r="AD429" s="468"/>
      <c r="AE429" s="468"/>
      <c r="AF429" s="468"/>
      <c r="AG429" s="468"/>
      <c r="AH429" s="468"/>
      <c r="AI429" s="468"/>
      <c r="AJ429" s="468"/>
    </row>
    <row r="430" spans="1:36" ht="18" customHeight="1" x14ac:dyDescent="0.35">
      <c r="A430" s="468"/>
      <c r="B430" s="468"/>
      <c r="C430" s="468"/>
      <c r="D430" s="468"/>
      <c r="E430" s="468"/>
      <c r="F430" s="468"/>
      <c r="G430" s="468"/>
      <c r="H430" s="468"/>
      <c r="I430" s="468"/>
      <c r="J430" s="468"/>
      <c r="K430" s="468"/>
      <c r="L430" s="468"/>
      <c r="M430" s="468"/>
      <c r="N430" s="468"/>
      <c r="O430" s="468"/>
      <c r="P430" s="468"/>
      <c r="Q430" s="468"/>
      <c r="R430" s="468"/>
      <c r="S430" s="468"/>
      <c r="T430" s="468"/>
      <c r="U430" s="468"/>
      <c r="V430" s="468"/>
      <c r="W430" s="468"/>
      <c r="X430" s="468"/>
      <c r="Y430" s="468"/>
      <c r="Z430" s="468"/>
      <c r="AA430" s="468"/>
      <c r="AB430" s="468"/>
      <c r="AC430" s="468"/>
      <c r="AD430" s="468"/>
      <c r="AE430" s="468"/>
      <c r="AF430" s="468"/>
      <c r="AG430" s="468"/>
      <c r="AH430" s="468"/>
      <c r="AI430" s="468"/>
      <c r="AJ430" s="468"/>
    </row>
    <row r="431" spans="1:36" ht="18" customHeight="1" x14ac:dyDescent="0.35">
      <c r="A431" s="468"/>
      <c r="B431" s="468"/>
      <c r="C431" s="468"/>
      <c r="D431" s="468"/>
      <c r="E431" s="468"/>
      <c r="F431" s="468"/>
      <c r="G431" s="468"/>
      <c r="H431" s="468"/>
      <c r="I431" s="468"/>
      <c r="J431" s="468"/>
      <c r="K431" s="468"/>
      <c r="L431" s="468"/>
      <c r="M431" s="468"/>
      <c r="N431" s="468"/>
      <c r="O431" s="468"/>
      <c r="P431" s="468"/>
      <c r="Q431" s="468"/>
      <c r="R431" s="468"/>
      <c r="S431" s="468"/>
      <c r="T431" s="468"/>
      <c r="U431" s="468"/>
      <c r="V431" s="468"/>
      <c r="W431" s="468"/>
      <c r="X431" s="468"/>
      <c r="Y431" s="468"/>
      <c r="Z431" s="468"/>
      <c r="AA431" s="468"/>
      <c r="AB431" s="468"/>
      <c r="AC431" s="468"/>
      <c r="AD431" s="468"/>
      <c r="AE431" s="468"/>
      <c r="AF431" s="468"/>
      <c r="AG431" s="468"/>
      <c r="AH431" s="468"/>
      <c r="AI431" s="468"/>
      <c r="AJ431" s="468"/>
    </row>
    <row r="432" spans="1:36" ht="18" customHeight="1" x14ac:dyDescent="0.35">
      <c r="A432" s="468"/>
      <c r="B432" s="468"/>
      <c r="C432" s="468"/>
      <c r="D432" s="468"/>
      <c r="E432" s="468"/>
      <c r="F432" s="468"/>
      <c r="G432" s="468"/>
      <c r="H432" s="468"/>
      <c r="I432" s="468"/>
      <c r="J432" s="468"/>
      <c r="K432" s="468"/>
      <c r="L432" s="468"/>
      <c r="M432" s="468"/>
      <c r="N432" s="468"/>
      <c r="O432" s="468"/>
      <c r="P432" s="468"/>
      <c r="Q432" s="468"/>
      <c r="R432" s="468"/>
      <c r="S432" s="468"/>
      <c r="T432" s="468"/>
      <c r="U432" s="468"/>
      <c r="V432" s="468"/>
      <c r="W432" s="468"/>
      <c r="X432" s="468"/>
      <c r="Y432" s="468"/>
      <c r="Z432" s="468"/>
      <c r="AA432" s="468"/>
      <c r="AB432" s="468"/>
      <c r="AC432" s="468"/>
      <c r="AD432" s="468"/>
      <c r="AE432" s="468"/>
      <c r="AF432" s="468"/>
      <c r="AG432" s="468"/>
      <c r="AH432" s="468"/>
      <c r="AI432" s="468"/>
      <c r="AJ432" s="468"/>
    </row>
    <row r="433" spans="1:36" ht="18" customHeight="1" x14ac:dyDescent="0.35">
      <c r="A433" s="468"/>
      <c r="B433" s="468"/>
      <c r="C433" s="468"/>
      <c r="D433" s="468"/>
      <c r="E433" s="468"/>
      <c r="F433" s="468"/>
      <c r="G433" s="468"/>
      <c r="H433" s="468"/>
      <c r="I433" s="468"/>
      <c r="J433" s="468"/>
      <c r="K433" s="468"/>
      <c r="L433" s="468"/>
      <c r="M433" s="468"/>
      <c r="N433" s="468"/>
      <c r="O433" s="468"/>
      <c r="P433" s="468"/>
      <c r="Q433" s="468"/>
      <c r="R433" s="468"/>
      <c r="S433" s="468"/>
      <c r="T433" s="468"/>
      <c r="U433" s="468"/>
      <c r="V433" s="468"/>
      <c r="W433" s="468"/>
      <c r="X433" s="468"/>
      <c r="Y433" s="468"/>
      <c r="Z433" s="468"/>
      <c r="AA433" s="468"/>
      <c r="AB433" s="468"/>
      <c r="AC433" s="468"/>
      <c r="AD433" s="468"/>
      <c r="AE433" s="468"/>
      <c r="AF433" s="468"/>
      <c r="AG433" s="468"/>
      <c r="AH433" s="468"/>
      <c r="AI433" s="468"/>
      <c r="AJ433" s="468"/>
    </row>
    <row r="434" spans="1:36" ht="18" customHeight="1" x14ac:dyDescent="0.35">
      <c r="A434" s="468"/>
      <c r="B434" s="468"/>
      <c r="C434" s="468"/>
      <c r="D434" s="468"/>
      <c r="E434" s="468"/>
      <c r="F434" s="468"/>
      <c r="G434" s="468"/>
      <c r="H434" s="468"/>
      <c r="I434" s="468"/>
      <c r="J434" s="468"/>
      <c r="K434" s="468"/>
      <c r="L434" s="468"/>
      <c r="M434" s="468"/>
      <c r="N434" s="468"/>
      <c r="O434" s="468"/>
      <c r="P434" s="468"/>
      <c r="Q434" s="468"/>
      <c r="R434" s="468"/>
      <c r="S434" s="468"/>
      <c r="T434" s="468"/>
      <c r="U434" s="468"/>
      <c r="V434" s="468"/>
      <c r="W434" s="468"/>
      <c r="X434" s="468"/>
      <c r="Y434" s="468"/>
      <c r="Z434" s="468"/>
      <c r="AA434" s="468"/>
      <c r="AB434" s="468"/>
      <c r="AC434" s="468"/>
      <c r="AD434" s="468"/>
      <c r="AE434" s="468"/>
      <c r="AF434" s="468"/>
      <c r="AG434" s="468"/>
      <c r="AH434" s="468"/>
      <c r="AI434" s="468"/>
      <c r="AJ434" s="468"/>
    </row>
    <row r="435" spans="1:36" ht="18" customHeight="1" x14ac:dyDescent="0.35">
      <c r="A435" s="468"/>
      <c r="B435" s="468"/>
      <c r="C435" s="468"/>
      <c r="D435" s="468"/>
      <c r="E435" s="468"/>
      <c r="F435" s="468"/>
      <c r="G435" s="468"/>
      <c r="H435" s="468"/>
      <c r="I435" s="468"/>
      <c r="J435" s="468"/>
      <c r="K435" s="468"/>
      <c r="L435" s="468"/>
      <c r="M435" s="468"/>
      <c r="N435" s="468"/>
      <c r="O435" s="468"/>
      <c r="P435" s="468"/>
      <c r="Q435" s="468"/>
      <c r="R435" s="468"/>
      <c r="S435" s="468"/>
      <c r="T435" s="468"/>
      <c r="U435" s="468"/>
      <c r="V435" s="468"/>
      <c r="W435" s="468"/>
      <c r="X435" s="468"/>
      <c r="Y435" s="468"/>
      <c r="Z435" s="468"/>
      <c r="AA435" s="468"/>
      <c r="AB435" s="468"/>
      <c r="AC435" s="468"/>
      <c r="AD435" s="468"/>
      <c r="AE435" s="468"/>
      <c r="AF435" s="468"/>
      <c r="AG435" s="468"/>
      <c r="AH435" s="468"/>
      <c r="AI435" s="468"/>
      <c r="AJ435" s="468"/>
    </row>
    <row r="436" spans="1:36" ht="18" customHeight="1" x14ac:dyDescent="0.35">
      <c r="A436" s="468"/>
      <c r="B436" s="468"/>
      <c r="C436" s="468"/>
      <c r="D436" s="468"/>
      <c r="E436" s="468"/>
      <c r="F436" s="468"/>
      <c r="G436" s="468"/>
      <c r="H436" s="468"/>
      <c r="I436" s="468"/>
      <c r="J436" s="468"/>
      <c r="K436" s="468"/>
      <c r="L436" s="468"/>
      <c r="M436" s="468"/>
      <c r="N436" s="468"/>
      <c r="O436" s="468"/>
      <c r="P436" s="468"/>
      <c r="Q436" s="468"/>
      <c r="R436" s="468"/>
      <c r="S436" s="468"/>
      <c r="T436" s="468"/>
      <c r="U436" s="468"/>
      <c r="V436" s="468"/>
      <c r="W436" s="468"/>
      <c r="X436" s="468"/>
      <c r="Y436" s="468"/>
      <c r="Z436" s="468"/>
      <c r="AA436" s="468"/>
      <c r="AB436" s="468"/>
      <c r="AC436" s="468"/>
      <c r="AD436" s="468"/>
      <c r="AE436" s="468"/>
      <c r="AF436" s="468"/>
      <c r="AG436" s="468"/>
      <c r="AH436" s="468"/>
      <c r="AI436" s="468"/>
      <c r="AJ436" s="468"/>
    </row>
    <row r="437" spans="1:36" ht="18" customHeight="1" x14ac:dyDescent="0.35">
      <c r="A437" s="468"/>
      <c r="B437" s="468"/>
      <c r="C437" s="468"/>
      <c r="D437" s="468"/>
      <c r="E437" s="468"/>
      <c r="F437" s="468"/>
      <c r="G437" s="468"/>
      <c r="H437" s="468"/>
      <c r="I437" s="468"/>
      <c r="J437" s="468"/>
      <c r="K437" s="468"/>
      <c r="L437" s="468"/>
      <c r="M437" s="468"/>
      <c r="N437" s="468"/>
      <c r="O437" s="468"/>
      <c r="P437" s="468"/>
      <c r="Q437" s="468"/>
      <c r="R437" s="468"/>
      <c r="S437" s="468"/>
      <c r="T437" s="468"/>
      <c r="U437" s="468"/>
      <c r="V437" s="468"/>
      <c r="W437" s="468"/>
      <c r="X437" s="468"/>
      <c r="Y437" s="468"/>
      <c r="Z437" s="468"/>
      <c r="AA437" s="468"/>
      <c r="AB437" s="468"/>
      <c r="AC437" s="468"/>
      <c r="AD437" s="468"/>
      <c r="AE437" s="468"/>
      <c r="AF437" s="468"/>
      <c r="AG437" s="468"/>
      <c r="AH437" s="468"/>
      <c r="AI437" s="468"/>
      <c r="AJ437" s="468"/>
    </row>
    <row r="438" spans="1:36" ht="18" customHeight="1" x14ac:dyDescent="0.35">
      <c r="A438" s="468"/>
      <c r="B438" s="468"/>
      <c r="C438" s="468"/>
      <c r="D438" s="468"/>
      <c r="E438" s="468"/>
      <c r="F438" s="468"/>
      <c r="G438" s="468"/>
      <c r="H438" s="468"/>
      <c r="I438" s="468"/>
      <c r="J438" s="468"/>
      <c r="K438" s="468"/>
      <c r="L438" s="468"/>
      <c r="M438" s="468"/>
      <c r="N438" s="468"/>
      <c r="O438" s="468"/>
      <c r="P438" s="468"/>
      <c r="Q438" s="468"/>
      <c r="R438" s="468"/>
      <c r="S438" s="468"/>
      <c r="T438" s="468"/>
      <c r="U438" s="468"/>
      <c r="V438" s="468"/>
      <c r="W438" s="468"/>
      <c r="X438" s="468"/>
      <c r="Y438" s="468"/>
      <c r="Z438" s="468"/>
      <c r="AA438" s="468"/>
      <c r="AB438" s="468"/>
      <c r="AC438" s="468"/>
      <c r="AD438" s="468"/>
      <c r="AE438" s="468"/>
      <c r="AF438" s="468"/>
      <c r="AG438" s="468"/>
      <c r="AH438" s="468"/>
      <c r="AI438" s="468"/>
      <c r="AJ438" s="468"/>
    </row>
    <row r="439" spans="1:36" ht="18" customHeight="1" x14ac:dyDescent="0.35">
      <c r="A439" s="468"/>
      <c r="B439" s="468"/>
      <c r="C439" s="468"/>
      <c r="D439" s="468"/>
      <c r="E439" s="468"/>
      <c r="F439" s="468"/>
      <c r="G439" s="468"/>
      <c r="H439" s="468"/>
      <c r="I439" s="468"/>
      <c r="J439" s="468"/>
      <c r="K439" s="468"/>
      <c r="L439" s="468"/>
      <c r="M439" s="468"/>
      <c r="N439" s="468"/>
      <c r="O439" s="468"/>
      <c r="P439" s="468"/>
      <c r="Q439" s="468"/>
      <c r="R439" s="468"/>
      <c r="S439" s="468"/>
      <c r="T439" s="468"/>
      <c r="U439" s="468"/>
      <c r="V439" s="468"/>
      <c r="W439" s="468"/>
      <c r="X439" s="468"/>
      <c r="Y439" s="468"/>
      <c r="Z439" s="468"/>
      <c r="AA439" s="468"/>
      <c r="AB439" s="468"/>
      <c r="AC439" s="468"/>
      <c r="AD439" s="468"/>
      <c r="AE439" s="468"/>
      <c r="AF439" s="468"/>
      <c r="AG439" s="468"/>
      <c r="AH439" s="468"/>
      <c r="AI439" s="468"/>
      <c r="AJ439" s="468"/>
    </row>
    <row r="440" spans="1:36" ht="18" customHeight="1" x14ac:dyDescent="0.35">
      <c r="A440" s="468"/>
      <c r="B440" s="468"/>
      <c r="C440" s="468"/>
      <c r="D440" s="468"/>
      <c r="E440" s="468"/>
      <c r="F440" s="468"/>
      <c r="G440" s="468"/>
      <c r="H440" s="468"/>
      <c r="I440" s="468"/>
      <c r="J440" s="468"/>
      <c r="K440" s="468"/>
      <c r="L440" s="468"/>
      <c r="M440" s="468"/>
      <c r="N440" s="468"/>
      <c r="O440" s="468"/>
      <c r="P440" s="468"/>
      <c r="Q440" s="468"/>
      <c r="R440" s="468"/>
      <c r="S440" s="468"/>
      <c r="T440" s="468"/>
      <c r="U440" s="468"/>
      <c r="V440" s="468"/>
      <c r="W440" s="468"/>
      <c r="X440" s="468"/>
      <c r="Y440" s="468"/>
      <c r="Z440" s="468"/>
      <c r="AA440" s="468"/>
      <c r="AB440" s="468"/>
      <c r="AC440" s="468"/>
      <c r="AD440" s="468"/>
      <c r="AE440" s="468"/>
      <c r="AF440" s="468"/>
      <c r="AG440" s="468"/>
      <c r="AH440" s="468"/>
      <c r="AI440" s="468"/>
      <c r="AJ440" s="468"/>
    </row>
    <row r="441" spans="1:36" ht="18" customHeight="1" x14ac:dyDescent="0.35">
      <c r="A441" s="468"/>
      <c r="B441" s="468"/>
      <c r="C441" s="468"/>
      <c r="D441" s="468"/>
      <c r="E441" s="468"/>
      <c r="F441" s="468"/>
      <c r="G441" s="468"/>
      <c r="H441" s="468"/>
      <c r="I441" s="468"/>
      <c r="J441" s="468"/>
      <c r="K441" s="468"/>
      <c r="L441" s="468"/>
      <c r="M441" s="468"/>
      <c r="N441" s="468"/>
      <c r="O441" s="468"/>
      <c r="P441" s="468"/>
      <c r="Q441" s="468"/>
      <c r="R441" s="468"/>
      <c r="S441" s="468"/>
      <c r="T441" s="468"/>
      <c r="U441" s="468"/>
      <c r="V441" s="468"/>
      <c r="W441" s="468"/>
      <c r="X441" s="468"/>
      <c r="Y441" s="468"/>
      <c r="Z441" s="468"/>
      <c r="AA441" s="468"/>
      <c r="AB441" s="468"/>
      <c r="AC441" s="468"/>
      <c r="AD441" s="468"/>
      <c r="AE441" s="468"/>
      <c r="AF441" s="468"/>
      <c r="AG441" s="468"/>
      <c r="AH441" s="468"/>
      <c r="AI441" s="468"/>
      <c r="AJ441" s="468"/>
    </row>
    <row r="442" spans="1:36" ht="18" customHeight="1" x14ac:dyDescent="0.35">
      <c r="A442" s="468"/>
      <c r="B442" s="468"/>
      <c r="C442" s="468"/>
      <c r="D442" s="468"/>
      <c r="E442" s="468"/>
      <c r="F442" s="468"/>
      <c r="G442" s="468"/>
      <c r="H442" s="468"/>
      <c r="I442" s="468"/>
      <c r="J442" s="468"/>
      <c r="K442" s="468"/>
      <c r="L442" s="468"/>
      <c r="M442" s="468"/>
      <c r="N442" s="468"/>
      <c r="O442" s="468"/>
      <c r="P442" s="468"/>
      <c r="Q442" s="468"/>
      <c r="R442" s="468"/>
      <c r="S442" s="468"/>
      <c r="T442" s="468"/>
      <c r="U442" s="468"/>
      <c r="V442" s="468"/>
      <c r="W442" s="468"/>
      <c r="X442" s="468"/>
      <c r="Y442" s="468"/>
      <c r="Z442" s="468"/>
      <c r="AA442" s="468"/>
      <c r="AB442" s="468"/>
      <c r="AC442" s="468"/>
      <c r="AD442" s="468"/>
      <c r="AE442" s="468"/>
      <c r="AF442" s="468"/>
      <c r="AG442" s="468"/>
      <c r="AH442" s="468"/>
      <c r="AI442" s="468"/>
      <c r="AJ442" s="468"/>
    </row>
    <row r="443" spans="1:36" ht="18" customHeight="1" x14ac:dyDescent="0.35">
      <c r="A443" s="468"/>
      <c r="B443" s="468"/>
      <c r="C443" s="468"/>
      <c r="D443" s="468"/>
      <c r="E443" s="468"/>
      <c r="F443" s="468"/>
      <c r="G443" s="468"/>
      <c r="H443" s="468"/>
      <c r="I443" s="468"/>
      <c r="J443" s="468"/>
      <c r="K443" s="468"/>
      <c r="L443" s="468"/>
      <c r="M443" s="468"/>
      <c r="N443" s="468"/>
      <c r="O443" s="468"/>
      <c r="P443" s="468"/>
      <c r="Q443" s="468"/>
      <c r="R443" s="468"/>
      <c r="S443" s="468"/>
      <c r="T443" s="468"/>
      <c r="U443" s="468"/>
      <c r="V443" s="468"/>
      <c r="W443" s="468"/>
      <c r="X443" s="468"/>
      <c r="Y443" s="468"/>
      <c r="Z443" s="468"/>
      <c r="AA443" s="468"/>
      <c r="AB443" s="468"/>
      <c r="AC443" s="468"/>
      <c r="AD443" s="468"/>
      <c r="AE443" s="468"/>
      <c r="AF443" s="468"/>
      <c r="AG443" s="468"/>
      <c r="AH443" s="468"/>
      <c r="AI443" s="468"/>
      <c r="AJ443" s="468"/>
    </row>
    <row r="444" spans="1:36" ht="18" customHeight="1" x14ac:dyDescent="0.35">
      <c r="A444" s="468"/>
      <c r="B444" s="468"/>
      <c r="C444" s="468"/>
      <c r="D444" s="468"/>
      <c r="E444" s="468"/>
      <c r="F444" s="468"/>
      <c r="G444" s="468"/>
      <c r="H444" s="468"/>
      <c r="I444" s="468"/>
      <c r="J444" s="468"/>
      <c r="K444" s="468"/>
      <c r="L444" s="468"/>
      <c r="M444" s="468"/>
      <c r="N444" s="468"/>
      <c r="O444" s="468"/>
      <c r="P444" s="468"/>
      <c r="Q444" s="468"/>
      <c r="R444" s="468"/>
      <c r="S444" s="468"/>
      <c r="T444" s="468"/>
      <c r="U444" s="468"/>
      <c r="V444" s="468"/>
      <c r="W444" s="468"/>
      <c r="X444" s="468"/>
      <c r="Y444" s="468"/>
      <c r="Z444" s="468"/>
      <c r="AA444" s="468"/>
      <c r="AB444" s="468"/>
      <c r="AC444" s="468"/>
      <c r="AD444" s="468"/>
      <c r="AE444" s="468"/>
      <c r="AF444" s="468"/>
      <c r="AG444" s="468"/>
      <c r="AH444" s="468"/>
      <c r="AI444" s="468"/>
      <c r="AJ444" s="468"/>
    </row>
    <row r="445" spans="1:36" ht="18" customHeight="1" x14ac:dyDescent="0.35">
      <c r="A445" s="468"/>
      <c r="B445" s="468"/>
      <c r="C445" s="468"/>
      <c r="D445" s="468"/>
      <c r="E445" s="468"/>
      <c r="F445" s="468"/>
      <c r="G445" s="468"/>
      <c r="H445" s="468"/>
      <c r="I445" s="468"/>
      <c r="J445" s="468"/>
      <c r="K445" s="468"/>
      <c r="L445" s="468"/>
      <c r="M445" s="468"/>
      <c r="N445" s="468"/>
      <c r="O445" s="468"/>
      <c r="P445" s="468"/>
      <c r="Q445" s="468"/>
      <c r="R445" s="468"/>
      <c r="S445" s="468"/>
      <c r="T445" s="468"/>
      <c r="U445" s="468"/>
      <c r="V445" s="468"/>
      <c r="W445" s="468"/>
      <c r="X445" s="468"/>
      <c r="Y445" s="468"/>
      <c r="Z445" s="468"/>
      <c r="AA445" s="468"/>
      <c r="AB445" s="468"/>
      <c r="AC445" s="468"/>
      <c r="AD445" s="468"/>
      <c r="AE445" s="468"/>
      <c r="AF445" s="468"/>
      <c r="AG445" s="468"/>
      <c r="AH445" s="468"/>
      <c r="AI445" s="468"/>
      <c r="AJ445" s="468"/>
    </row>
    <row r="446" spans="1:36" ht="18" customHeight="1" x14ac:dyDescent="0.35">
      <c r="A446" s="468"/>
      <c r="B446" s="468"/>
      <c r="C446" s="468"/>
      <c r="D446" s="468"/>
      <c r="E446" s="468"/>
      <c r="F446" s="468"/>
      <c r="G446" s="468"/>
      <c r="H446" s="468"/>
      <c r="I446" s="468"/>
      <c r="J446" s="468"/>
      <c r="K446" s="468"/>
      <c r="L446" s="468"/>
      <c r="M446" s="468"/>
      <c r="N446" s="468"/>
      <c r="O446" s="468"/>
      <c r="P446" s="468"/>
      <c r="Q446" s="468"/>
      <c r="R446" s="468"/>
      <c r="S446" s="468"/>
      <c r="T446" s="468"/>
      <c r="U446" s="468"/>
      <c r="V446" s="468"/>
      <c r="W446" s="468"/>
      <c r="X446" s="468"/>
      <c r="Y446" s="468"/>
      <c r="Z446" s="468"/>
      <c r="AA446" s="468"/>
      <c r="AB446" s="468"/>
      <c r="AC446" s="468"/>
      <c r="AD446" s="468"/>
      <c r="AE446" s="468"/>
      <c r="AF446" s="468"/>
      <c r="AG446" s="468"/>
      <c r="AH446" s="468"/>
      <c r="AI446" s="468"/>
      <c r="AJ446" s="468"/>
    </row>
    <row r="447" spans="1:36" ht="18" customHeight="1" x14ac:dyDescent="0.35">
      <c r="A447" s="468"/>
      <c r="B447" s="468"/>
      <c r="C447" s="468"/>
      <c r="D447" s="468"/>
      <c r="E447" s="468"/>
      <c r="F447" s="468"/>
      <c r="G447" s="468"/>
      <c r="H447" s="468"/>
      <c r="I447" s="468"/>
      <c r="J447" s="468"/>
      <c r="K447" s="468"/>
      <c r="L447" s="468"/>
      <c r="M447" s="468"/>
      <c r="N447" s="468"/>
      <c r="O447" s="468"/>
      <c r="P447" s="468"/>
      <c r="Q447" s="468"/>
      <c r="R447" s="468"/>
      <c r="S447" s="468"/>
      <c r="T447" s="468"/>
      <c r="U447" s="468"/>
      <c r="V447" s="468"/>
      <c r="W447" s="468"/>
      <c r="X447" s="468"/>
      <c r="Y447" s="468"/>
      <c r="Z447" s="468"/>
      <c r="AA447" s="468"/>
      <c r="AB447" s="468"/>
      <c r="AC447" s="468"/>
      <c r="AD447" s="468"/>
      <c r="AE447" s="468"/>
      <c r="AF447" s="468"/>
      <c r="AG447" s="468"/>
      <c r="AH447" s="468"/>
      <c r="AI447" s="468"/>
      <c r="AJ447" s="468"/>
    </row>
    <row r="448" spans="1:36" ht="18" customHeight="1" x14ac:dyDescent="0.35">
      <c r="A448" s="468"/>
      <c r="B448" s="468"/>
      <c r="C448" s="468"/>
      <c r="D448" s="468"/>
      <c r="E448" s="468"/>
      <c r="F448" s="468"/>
      <c r="G448" s="468"/>
      <c r="H448" s="468"/>
      <c r="I448" s="468"/>
      <c r="J448" s="468"/>
      <c r="K448" s="468"/>
      <c r="L448" s="468"/>
      <c r="M448" s="468"/>
      <c r="N448" s="468"/>
      <c r="O448" s="468"/>
      <c r="P448" s="468"/>
      <c r="Q448" s="468"/>
      <c r="R448" s="468"/>
      <c r="S448" s="468"/>
      <c r="T448" s="468"/>
      <c r="U448" s="468"/>
      <c r="V448" s="468"/>
      <c r="W448" s="468"/>
      <c r="X448" s="468"/>
      <c r="Y448" s="468"/>
      <c r="Z448" s="468"/>
      <c r="AA448" s="468"/>
      <c r="AB448" s="468"/>
      <c r="AC448" s="468"/>
      <c r="AD448" s="468"/>
      <c r="AE448" s="468"/>
      <c r="AF448" s="468"/>
      <c r="AG448" s="468"/>
      <c r="AH448" s="468"/>
      <c r="AI448" s="468"/>
      <c r="AJ448" s="468"/>
    </row>
    <row r="449" spans="1:36" ht="18" customHeight="1" x14ac:dyDescent="0.35">
      <c r="A449" s="468"/>
      <c r="B449" s="468"/>
      <c r="C449" s="468"/>
      <c r="D449" s="468"/>
      <c r="E449" s="468"/>
      <c r="F449" s="468"/>
      <c r="G449" s="468"/>
      <c r="H449" s="468"/>
      <c r="I449" s="468"/>
      <c r="J449" s="468"/>
      <c r="K449" s="468"/>
      <c r="L449" s="468"/>
      <c r="M449" s="468"/>
      <c r="N449" s="468"/>
      <c r="O449" s="468"/>
      <c r="P449" s="468"/>
      <c r="Q449" s="468"/>
      <c r="R449" s="468"/>
      <c r="S449" s="468"/>
      <c r="T449" s="468"/>
      <c r="U449" s="468"/>
      <c r="V449" s="468"/>
      <c r="W449" s="468"/>
      <c r="X449" s="468"/>
      <c r="Y449" s="468"/>
      <c r="Z449" s="468"/>
      <c r="AA449" s="468"/>
      <c r="AB449" s="468"/>
      <c r="AC449" s="468"/>
      <c r="AD449" s="468"/>
      <c r="AE449" s="468"/>
      <c r="AF449" s="468"/>
      <c r="AG449" s="468"/>
      <c r="AH449" s="468"/>
      <c r="AI449" s="468"/>
      <c r="AJ449" s="468"/>
    </row>
    <row r="450" spans="1:36" ht="18" customHeight="1" x14ac:dyDescent="0.35">
      <c r="A450" s="468"/>
      <c r="B450" s="468"/>
      <c r="C450" s="468"/>
      <c r="D450" s="468"/>
      <c r="E450" s="468"/>
      <c r="F450" s="468"/>
      <c r="G450" s="468"/>
      <c r="H450" s="468"/>
      <c r="I450" s="468"/>
      <c r="J450" s="468"/>
      <c r="K450" s="468"/>
      <c r="L450" s="468"/>
      <c r="M450" s="468"/>
      <c r="N450" s="468"/>
      <c r="O450" s="468"/>
      <c r="P450" s="468"/>
      <c r="Q450" s="468"/>
      <c r="R450" s="468"/>
      <c r="S450" s="468"/>
      <c r="T450" s="468"/>
      <c r="U450" s="468"/>
      <c r="V450" s="468"/>
      <c r="W450" s="468"/>
      <c r="X450" s="468"/>
      <c r="Y450" s="468"/>
      <c r="Z450" s="468"/>
      <c r="AA450" s="468"/>
      <c r="AB450" s="468"/>
      <c r="AC450" s="468"/>
      <c r="AD450" s="468"/>
      <c r="AE450" s="468"/>
      <c r="AF450" s="468"/>
      <c r="AG450" s="468"/>
      <c r="AH450" s="468"/>
      <c r="AI450" s="468"/>
      <c r="AJ450" s="468"/>
    </row>
    <row r="451" spans="1:36" ht="18" customHeight="1" x14ac:dyDescent="0.35">
      <c r="A451" s="468"/>
      <c r="B451" s="468"/>
      <c r="C451" s="468"/>
      <c r="D451" s="468"/>
      <c r="E451" s="468"/>
      <c r="F451" s="468"/>
      <c r="G451" s="468"/>
      <c r="H451" s="468"/>
      <c r="I451" s="468"/>
      <c r="J451" s="468"/>
      <c r="K451" s="468"/>
      <c r="L451" s="468"/>
      <c r="M451" s="468"/>
      <c r="N451" s="468"/>
      <c r="O451" s="468"/>
      <c r="P451" s="468"/>
      <c r="Q451" s="468"/>
      <c r="R451" s="468"/>
      <c r="S451" s="468"/>
      <c r="T451" s="468"/>
      <c r="U451" s="468"/>
      <c r="V451" s="468"/>
      <c r="W451" s="468"/>
      <c r="X451" s="468"/>
      <c r="Y451" s="468"/>
      <c r="Z451" s="468"/>
      <c r="AA451" s="468"/>
      <c r="AB451" s="468"/>
      <c r="AC451" s="468"/>
      <c r="AD451" s="468"/>
      <c r="AE451" s="468"/>
      <c r="AF451" s="468"/>
      <c r="AG451" s="468"/>
      <c r="AH451" s="468"/>
      <c r="AI451" s="468"/>
      <c r="AJ451" s="468"/>
    </row>
    <row r="452" spans="1:36" ht="18" customHeight="1" x14ac:dyDescent="0.35">
      <c r="A452" s="468"/>
      <c r="B452" s="468"/>
      <c r="C452" s="468"/>
      <c r="D452" s="468"/>
      <c r="E452" s="468"/>
      <c r="F452" s="468"/>
      <c r="G452" s="468"/>
      <c r="H452" s="468"/>
      <c r="I452" s="468"/>
      <c r="J452" s="468"/>
      <c r="K452" s="468"/>
      <c r="L452" s="468"/>
      <c r="M452" s="468"/>
      <c r="N452" s="468"/>
      <c r="O452" s="468"/>
      <c r="P452" s="468"/>
      <c r="Q452" s="468"/>
      <c r="R452" s="468"/>
      <c r="S452" s="468"/>
      <c r="T452" s="468"/>
      <c r="U452" s="468"/>
      <c r="V452" s="468"/>
      <c r="W452" s="468"/>
      <c r="X452" s="468"/>
      <c r="Y452" s="468"/>
      <c r="Z452" s="468"/>
      <c r="AA452" s="468"/>
      <c r="AB452" s="468"/>
      <c r="AC452" s="468"/>
      <c r="AD452" s="468"/>
      <c r="AE452" s="468"/>
      <c r="AF452" s="468"/>
      <c r="AG452" s="468"/>
      <c r="AH452" s="468"/>
      <c r="AI452" s="468"/>
      <c r="AJ452" s="468"/>
    </row>
    <row r="453" spans="1:36" ht="18" customHeight="1" x14ac:dyDescent="0.35">
      <c r="A453" s="468"/>
      <c r="B453" s="468"/>
      <c r="C453" s="468"/>
      <c r="D453" s="468"/>
      <c r="E453" s="468"/>
      <c r="F453" s="468"/>
      <c r="G453" s="468"/>
      <c r="H453" s="468"/>
      <c r="I453" s="468"/>
      <c r="J453" s="468"/>
      <c r="K453" s="468"/>
      <c r="L453" s="468"/>
      <c r="M453" s="468"/>
      <c r="N453" s="468"/>
      <c r="O453" s="468"/>
      <c r="P453" s="468"/>
      <c r="Q453" s="468"/>
      <c r="R453" s="468"/>
      <c r="S453" s="468"/>
      <c r="T453" s="468"/>
      <c r="U453" s="468"/>
      <c r="V453" s="468"/>
      <c r="W453" s="468"/>
      <c r="X453" s="468"/>
      <c r="Y453" s="468"/>
      <c r="Z453" s="468"/>
      <c r="AA453" s="468"/>
      <c r="AB453" s="468"/>
      <c r="AC453" s="468"/>
      <c r="AD453" s="468"/>
      <c r="AE453" s="468"/>
      <c r="AF453" s="468"/>
      <c r="AG453" s="468"/>
      <c r="AH453" s="468"/>
      <c r="AI453" s="468"/>
      <c r="AJ453" s="468"/>
    </row>
    <row r="454" spans="1:36" ht="18" customHeight="1" x14ac:dyDescent="0.35">
      <c r="A454" s="468"/>
      <c r="B454" s="468"/>
      <c r="C454" s="468"/>
      <c r="D454" s="468"/>
      <c r="E454" s="468"/>
      <c r="F454" s="468"/>
      <c r="G454" s="468"/>
      <c r="H454" s="468"/>
      <c r="I454" s="468"/>
      <c r="J454" s="468"/>
      <c r="K454" s="468"/>
      <c r="L454" s="468"/>
      <c r="M454" s="468"/>
      <c r="N454" s="468"/>
      <c r="O454" s="468"/>
      <c r="P454" s="468"/>
      <c r="Q454" s="468"/>
      <c r="R454" s="468"/>
      <c r="S454" s="468"/>
      <c r="T454" s="468"/>
      <c r="U454" s="468"/>
      <c r="V454" s="468"/>
      <c r="W454" s="468"/>
      <c r="X454" s="468"/>
      <c r="Y454" s="468"/>
      <c r="Z454" s="468"/>
      <c r="AA454" s="468"/>
      <c r="AB454" s="468"/>
      <c r="AC454" s="468"/>
      <c r="AD454" s="468"/>
      <c r="AE454" s="468"/>
      <c r="AF454" s="468"/>
      <c r="AG454" s="468"/>
      <c r="AH454" s="468"/>
      <c r="AI454" s="468"/>
      <c r="AJ454" s="468"/>
    </row>
    <row r="455" spans="1:36" ht="18" customHeight="1" x14ac:dyDescent="0.35">
      <c r="A455" s="468"/>
      <c r="B455" s="468"/>
      <c r="C455" s="468"/>
      <c r="D455" s="468"/>
      <c r="E455" s="468"/>
      <c r="F455" s="468"/>
      <c r="G455" s="468"/>
      <c r="H455" s="468"/>
      <c r="I455" s="468"/>
      <c r="J455" s="468"/>
      <c r="K455" s="468"/>
      <c r="L455" s="468"/>
      <c r="M455" s="468"/>
      <c r="N455" s="468"/>
      <c r="O455" s="468"/>
      <c r="P455" s="468"/>
      <c r="Q455" s="468"/>
      <c r="R455" s="468"/>
      <c r="S455" s="468"/>
      <c r="T455" s="468"/>
      <c r="U455" s="468"/>
      <c r="V455" s="468"/>
      <c r="W455" s="468"/>
      <c r="X455" s="468"/>
      <c r="Y455" s="468"/>
      <c r="Z455" s="468"/>
      <c r="AA455" s="468"/>
      <c r="AB455" s="468"/>
      <c r="AC455" s="468"/>
      <c r="AD455" s="468"/>
      <c r="AE455" s="468"/>
      <c r="AF455" s="468"/>
      <c r="AG455" s="468"/>
      <c r="AH455" s="468"/>
      <c r="AI455" s="468"/>
      <c r="AJ455" s="468"/>
    </row>
    <row r="456" spans="1:36" ht="18" customHeight="1" x14ac:dyDescent="0.35">
      <c r="A456" s="468"/>
      <c r="B456" s="468"/>
      <c r="C456" s="468"/>
      <c r="D456" s="468"/>
      <c r="E456" s="468"/>
      <c r="F456" s="468"/>
      <c r="G456" s="468"/>
      <c r="H456" s="468"/>
      <c r="I456" s="468"/>
      <c r="J456" s="468"/>
      <c r="K456" s="468"/>
      <c r="L456" s="468"/>
      <c r="M456" s="468"/>
      <c r="N456" s="468"/>
      <c r="O456" s="468"/>
      <c r="P456" s="468"/>
      <c r="Q456" s="468"/>
      <c r="R456" s="468"/>
      <c r="S456" s="468"/>
      <c r="T456" s="468"/>
      <c r="U456" s="468"/>
      <c r="V456" s="468"/>
      <c r="W456" s="468"/>
      <c r="X456" s="468"/>
      <c r="Y456" s="468"/>
      <c r="Z456" s="468"/>
      <c r="AA456" s="468"/>
      <c r="AB456" s="468"/>
      <c r="AC456" s="468"/>
      <c r="AD456" s="468"/>
      <c r="AE456" s="468"/>
      <c r="AF456" s="468"/>
      <c r="AG456" s="468"/>
      <c r="AH456" s="468"/>
      <c r="AI456" s="468"/>
      <c r="AJ456" s="468"/>
    </row>
    <row r="457" spans="1:36" ht="18" customHeight="1" x14ac:dyDescent="0.35">
      <c r="A457" s="468"/>
      <c r="B457" s="468"/>
      <c r="C457" s="468"/>
      <c r="D457" s="468"/>
      <c r="E457" s="468"/>
      <c r="F457" s="468"/>
      <c r="G457" s="468"/>
      <c r="H457" s="468"/>
      <c r="I457" s="468"/>
      <c r="J457" s="468"/>
      <c r="K457" s="468"/>
      <c r="L457" s="468"/>
      <c r="M457" s="468"/>
      <c r="N457" s="468"/>
      <c r="O457" s="468"/>
      <c r="P457" s="468"/>
      <c r="Q457" s="468"/>
      <c r="R457" s="468"/>
      <c r="S457" s="468"/>
      <c r="T457" s="468"/>
      <c r="U457" s="468"/>
      <c r="V457" s="468"/>
      <c r="W457" s="468"/>
      <c r="X457" s="468"/>
      <c r="Y457" s="468"/>
      <c r="Z457" s="468"/>
      <c r="AA457" s="468"/>
      <c r="AB457" s="468"/>
      <c r="AC457" s="468"/>
      <c r="AD457" s="468"/>
      <c r="AE457" s="468"/>
      <c r="AF457" s="468"/>
      <c r="AG457" s="468"/>
      <c r="AH457" s="468"/>
      <c r="AI457" s="468"/>
      <c r="AJ457" s="468"/>
    </row>
    <row r="458" spans="1:36" ht="18" customHeight="1" x14ac:dyDescent="0.35">
      <c r="A458" s="468"/>
      <c r="B458" s="468"/>
      <c r="C458" s="468"/>
      <c r="D458" s="468"/>
      <c r="E458" s="468"/>
      <c r="F458" s="468"/>
      <c r="G458" s="468"/>
      <c r="H458" s="468"/>
      <c r="I458" s="468"/>
      <c r="J458" s="468"/>
      <c r="K458" s="468"/>
      <c r="L458" s="468"/>
      <c r="M458" s="468"/>
      <c r="N458" s="468"/>
      <c r="O458" s="468"/>
      <c r="P458" s="468"/>
      <c r="Q458" s="468"/>
      <c r="R458" s="468"/>
      <c r="S458" s="468"/>
      <c r="T458" s="468"/>
      <c r="U458" s="468"/>
      <c r="V458" s="468"/>
      <c r="W458" s="468"/>
      <c r="X458" s="468"/>
      <c r="Y458" s="468"/>
      <c r="Z458" s="468"/>
      <c r="AA458" s="468"/>
      <c r="AB458" s="468"/>
      <c r="AC458" s="468"/>
      <c r="AD458" s="468"/>
      <c r="AE458" s="468"/>
      <c r="AF458" s="468"/>
      <c r="AG458" s="468"/>
      <c r="AH458" s="468"/>
      <c r="AI458" s="468"/>
      <c r="AJ458" s="468"/>
    </row>
    <row r="459" spans="1:36" ht="18" customHeight="1" x14ac:dyDescent="0.35">
      <c r="A459" s="468"/>
      <c r="B459" s="468"/>
      <c r="C459" s="468"/>
      <c r="D459" s="468"/>
      <c r="E459" s="468"/>
      <c r="F459" s="468"/>
      <c r="G459" s="468"/>
      <c r="H459" s="468"/>
      <c r="I459" s="468"/>
      <c r="J459" s="468"/>
      <c r="K459" s="468"/>
      <c r="L459" s="468"/>
      <c r="M459" s="468"/>
      <c r="N459" s="468"/>
      <c r="O459" s="468"/>
      <c r="P459" s="468"/>
      <c r="Q459" s="468"/>
      <c r="R459" s="468"/>
      <c r="S459" s="468"/>
      <c r="T459" s="468"/>
      <c r="U459" s="468"/>
      <c r="V459" s="468"/>
      <c r="W459" s="468"/>
      <c r="X459" s="468"/>
      <c r="Y459" s="468"/>
      <c r="Z459" s="468"/>
      <c r="AA459" s="468"/>
      <c r="AB459" s="468"/>
      <c r="AC459" s="468"/>
      <c r="AD459" s="468"/>
      <c r="AE459" s="468"/>
      <c r="AF459" s="468"/>
      <c r="AG459" s="468"/>
      <c r="AH459" s="468"/>
      <c r="AI459" s="468"/>
      <c r="AJ459" s="468"/>
    </row>
    <row r="460" spans="1:36" ht="18" customHeight="1" x14ac:dyDescent="0.35">
      <c r="A460" s="468"/>
      <c r="B460" s="468"/>
      <c r="C460" s="468"/>
      <c r="D460" s="468"/>
      <c r="E460" s="468"/>
      <c r="F460" s="468"/>
      <c r="G460" s="468"/>
      <c r="H460" s="468"/>
      <c r="I460" s="468"/>
      <c r="J460" s="468"/>
      <c r="K460" s="468"/>
      <c r="L460" s="468"/>
      <c r="M460" s="468"/>
      <c r="N460" s="468"/>
      <c r="O460" s="468"/>
      <c r="P460" s="468"/>
      <c r="Q460" s="468"/>
      <c r="R460" s="468"/>
      <c r="S460" s="468"/>
      <c r="T460" s="468"/>
      <c r="U460" s="468"/>
      <c r="V460" s="468"/>
      <c r="W460" s="468"/>
      <c r="X460" s="468"/>
      <c r="Y460" s="468"/>
      <c r="Z460" s="468"/>
      <c r="AA460" s="468"/>
      <c r="AB460" s="468"/>
      <c r="AC460" s="468"/>
      <c r="AD460" s="468"/>
      <c r="AE460" s="468"/>
      <c r="AF460" s="468"/>
      <c r="AG460" s="468"/>
      <c r="AH460" s="468"/>
      <c r="AI460" s="468"/>
      <c r="AJ460" s="468"/>
    </row>
    <row r="461" spans="1:36" ht="18" customHeight="1" x14ac:dyDescent="0.35">
      <c r="A461" s="468"/>
      <c r="B461" s="468"/>
      <c r="C461" s="468"/>
      <c r="D461" s="468"/>
      <c r="E461" s="468"/>
      <c r="F461" s="468"/>
      <c r="G461" s="468"/>
      <c r="H461" s="468"/>
      <c r="I461" s="468"/>
      <c r="J461" s="468"/>
      <c r="K461" s="468"/>
      <c r="L461" s="468"/>
      <c r="M461" s="468"/>
      <c r="N461" s="468"/>
      <c r="O461" s="468"/>
      <c r="P461" s="468"/>
      <c r="Q461" s="468"/>
      <c r="R461" s="468"/>
      <c r="S461" s="468"/>
      <c r="T461" s="468"/>
      <c r="U461" s="468"/>
      <c r="V461" s="468"/>
      <c r="W461" s="468"/>
      <c r="X461" s="468"/>
      <c r="Y461" s="468"/>
      <c r="Z461" s="468"/>
      <c r="AA461" s="468"/>
      <c r="AB461" s="468"/>
      <c r="AC461" s="468"/>
      <c r="AD461" s="468"/>
      <c r="AE461" s="468"/>
      <c r="AF461" s="468"/>
      <c r="AG461" s="468"/>
      <c r="AH461" s="468"/>
      <c r="AI461" s="468"/>
      <c r="AJ461" s="468"/>
    </row>
    <row r="462" spans="1:36" ht="18" customHeight="1" x14ac:dyDescent="0.35">
      <c r="A462" s="468"/>
      <c r="B462" s="468"/>
      <c r="C462" s="468"/>
      <c r="D462" s="468"/>
      <c r="E462" s="468"/>
      <c r="F462" s="468"/>
      <c r="G462" s="468"/>
      <c r="H462" s="468"/>
      <c r="I462" s="468"/>
      <c r="J462" s="468"/>
      <c r="K462" s="468"/>
      <c r="L462" s="468"/>
      <c r="M462" s="468"/>
      <c r="N462" s="468"/>
      <c r="O462" s="468"/>
      <c r="P462" s="468"/>
      <c r="Q462" s="468"/>
      <c r="R462" s="468"/>
      <c r="S462" s="468"/>
      <c r="T462" s="468"/>
      <c r="U462" s="468"/>
      <c r="V462" s="468"/>
      <c r="W462" s="468"/>
      <c r="X462" s="468"/>
      <c r="Y462" s="468"/>
      <c r="Z462" s="468"/>
      <c r="AA462" s="468"/>
      <c r="AB462" s="468"/>
      <c r="AC462" s="468"/>
      <c r="AD462" s="468"/>
      <c r="AE462" s="468"/>
      <c r="AF462" s="468"/>
      <c r="AG462" s="468"/>
      <c r="AH462" s="468"/>
      <c r="AI462" s="468"/>
      <c r="AJ462" s="468"/>
    </row>
    <row r="463" spans="1:36" ht="18" customHeight="1" x14ac:dyDescent="0.35">
      <c r="A463" s="468"/>
      <c r="B463" s="468"/>
      <c r="C463" s="468"/>
      <c r="D463" s="468"/>
      <c r="E463" s="468"/>
      <c r="F463" s="468"/>
      <c r="G463" s="468"/>
      <c r="H463" s="468"/>
      <c r="I463" s="468"/>
      <c r="J463" s="468"/>
      <c r="K463" s="468"/>
      <c r="L463" s="468"/>
      <c r="M463" s="468"/>
      <c r="N463" s="468"/>
      <c r="O463" s="468"/>
      <c r="P463" s="468"/>
      <c r="Q463" s="468"/>
      <c r="R463" s="468"/>
      <c r="S463" s="468"/>
      <c r="T463" s="468"/>
      <c r="U463" s="468"/>
      <c r="V463" s="468"/>
      <c r="W463" s="468"/>
      <c r="X463" s="468"/>
      <c r="Y463" s="468"/>
      <c r="Z463" s="468"/>
      <c r="AA463" s="468"/>
      <c r="AB463" s="468"/>
      <c r="AC463" s="468"/>
      <c r="AD463" s="468"/>
      <c r="AE463" s="468"/>
      <c r="AF463" s="468"/>
      <c r="AG463" s="468"/>
      <c r="AH463" s="468"/>
      <c r="AI463" s="468"/>
      <c r="AJ463" s="468"/>
    </row>
    <row r="464" spans="1:36" ht="18" customHeight="1" x14ac:dyDescent="0.35">
      <c r="A464" s="468"/>
      <c r="B464" s="468"/>
      <c r="C464" s="468"/>
      <c r="D464" s="468"/>
      <c r="E464" s="468"/>
      <c r="F464" s="468"/>
      <c r="G464" s="468"/>
      <c r="H464" s="468"/>
      <c r="I464" s="468"/>
      <c r="J464" s="468"/>
      <c r="K464" s="468"/>
      <c r="L464" s="468"/>
      <c r="M464" s="468"/>
      <c r="N464" s="468"/>
      <c r="O464" s="468"/>
      <c r="P464" s="468"/>
      <c r="Q464" s="468"/>
      <c r="R464" s="468"/>
      <c r="S464" s="468"/>
      <c r="T464" s="468"/>
      <c r="U464" s="468"/>
      <c r="V464" s="468"/>
      <c r="W464" s="468"/>
      <c r="X464" s="468"/>
      <c r="Y464" s="468"/>
      <c r="Z464" s="468"/>
      <c r="AA464" s="468"/>
      <c r="AB464" s="468"/>
      <c r="AC464" s="468"/>
      <c r="AD464" s="468"/>
      <c r="AE464" s="468"/>
      <c r="AF464" s="468"/>
      <c r="AG464" s="468"/>
      <c r="AH464" s="468"/>
      <c r="AI464" s="468"/>
      <c r="AJ464" s="468"/>
    </row>
    <row r="465" spans="1:36" ht="18" customHeight="1" x14ac:dyDescent="0.35">
      <c r="A465" s="468"/>
      <c r="B465" s="468"/>
      <c r="C465" s="468"/>
      <c r="D465" s="468"/>
      <c r="E465" s="468"/>
      <c r="F465" s="468"/>
      <c r="G465" s="468"/>
      <c r="H465" s="468"/>
      <c r="I465" s="468"/>
      <c r="J465" s="468"/>
      <c r="K465" s="468"/>
      <c r="L465" s="468"/>
      <c r="M465" s="468"/>
      <c r="N465" s="468"/>
      <c r="O465" s="468"/>
      <c r="P465" s="468"/>
      <c r="Q465" s="468"/>
      <c r="R465" s="468"/>
      <c r="S465" s="468"/>
      <c r="T465" s="468"/>
      <c r="U465" s="468"/>
      <c r="V465" s="468"/>
      <c r="W465" s="468"/>
      <c r="X465" s="468"/>
      <c r="Y465" s="468"/>
      <c r="Z465" s="468"/>
      <c r="AA465" s="468"/>
      <c r="AB465" s="468"/>
      <c r="AC465" s="468"/>
      <c r="AD465" s="468"/>
      <c r="AE465" s="468"/>
      <c r="AF465" s="468"/>
      <c r="AG465" s="468"/>
      <c r="AH465" s="468"/>
      <c r="AI465" s="468"/>
      <c r="AJ465" s="468"/>
    </row>
    <row r="466" spans="1:36" ht="18" customHeight="1" x14ac:dyDescent="0.35">
      <c r="A466" s="468"/>
      <c r="B466" s="468"/>
      <c r="C466" s="468"/>
      <c r="D466" s="468"/>
      <c r="E466" s="468"/>
      <c r="F466" s="468"/>
      <c r="G466" s="468"/>
      <c r="H466" s="468"/>
      <c r="I466" s="468"/>
      <c r="J466" s="468"/>
      <c r="K466" s="468"/>
      <c r="L466" s="468"/>
      <c r="M466" s="468"/>
      <c r="N466" s="468"/>
      <c r="O466" s="468"/>
      <c r="P466" s="468"/>
      <c r="Q466" s="468"/>
      <c r="R466" s="468"/>
      <c r="S466" s="468"/>
      <c r="T466" s="468"/>
      <c r="U466" s="468"/>
      <c r="V466" s="468"/>
      <c r="W466" s="468"/>
      <c r="X466" s="468"/>
      <c r="Y466" s="468"/>
      <c r="Z466" s="468"/>
      <c r="AA466" s="468"/>
      <c r="AB466" s="468"/>
      <c r="AC466" s="468"/>
      <c r="AD466" s="468"/>
      <c r="AE466" s="468"/>
      <c r="AF466" s="468"/>
      <c r="AG466" s="468"/>
      <c r="AH466" s="468"/>
      <c r="AI466" s="468"/>
      <c r="AJ466" s="468"/>
    </row>
    <row r="467" spans="1:36" ht="18" customHeight="1" x14ac:dyDescent="0.35">
      <c r="A467" s="468"/>
      <c r="B467" s="468"/>
      <c r="C467" s="468"/>
      <c r="D467" s="468"/>
      <c r="E467" s="468"/>
      <c r="F467" s="468"/>
      <c r="G467" s="468"/>
      <c r="H467" s="468"/>
      <c r="I467" s="468"/>
      <c r="J467" s="468"/>
      <c r="K467" s="468"/>
      <c r="L467" s="468"/>
      <c r="M467" s="468"/>
      <c r="N467" s="468"/>
      <c r="O467" s="468"/>
      <c r="P467" s="468"/>
      <c r="Q467" s="468"/>
      <c r="R467" s="468"/>
      <c r="S467" s="468"/>
      <c r="T467" s="468"/>
      <c r="U467" s="468"/>
      <c r="V467" s="468"/>
      <c r="W467" s="468"/>
      <c r="X467" s="468"/>
      <c r="Y467" s="468"/>
      <c r="Z467" s="468"/>
      <c r="AA467" s="468"/>
      <c r="AB467" s="468"/>
      <c r="AC467" s="468"/>
      <c r="AD467" s="468"/>
      <c r="AE467" s="468"/>
      <c r="AF467" s="468"/>
      <c r="AG467" s="468"/>
      <c r="AH467" s="468"/>
      <c r="AI467" s="468"/>
      <c r="AJ467" s="468"/>
    </row>
    <row r="468" spans="1:36" ht="18" customHeight="1" x14ac:dyDescent="0.35">
      <c r="A468" s="468"/>
      <c r="B468" s="468"/>
      <c r="C468" s="468"/>
      <c r="D468" s="468"/>
      <c r="E468" s="468"/>
      <c r="F468" s="468"/>
      <c r="G468" s="468"/>
      <c r="H468" s="468"/>
      <c r="I468" s="468"/>
      <c r="J468" s="468"/>
      <c r="K468" s="468"/>
      <c r="L468" s="468"/>
      <c r="M468" s="468"/>
      <c r="N468" s="468"/>
      <c r="O468" s="468"/>
      <c r="P468" s="468"/>
      <c r="Q468" s="468"/>
      <c r="R468" s="468"/>
      <c r="S468" s="468"/>
      <c r="T468" s="468"/>
      <c r="U468" s="468"/>
      <c r="V468" s="468"/>
      <c r="W468" s="468"/>
      <c r="X468" s="468"/>
      <c r="Y468" s="468"/>
      <c r="Z468" s="468"/>
      <c r="AA468" s="468"/>
      <c r="AB468" s="468"/>
      <c r="AC468" s="468"/>
      <c r="AD468" s="468"/>
      <c r="AE468" s="468"/>
      <c r="AF468" s="468"/>
      <c r="AG468" s="468"/>
      <c r="AH468" s="468"/>
      <c r="AI468" s="468"/>
      <c r="AJ468" s="468"/>
    </row>
    <row r="469" spans="1:36" ht="18" customHeight="1" x14ac:dyDescent="0.35">
      <c r="A469" s="468"/>
      <c r="B469" s="468"/>
      <c r="C469" s="468"/>
      <c r="D469" s="468"/>
      <c r="E469" s="468"/>
      <c r="F469" s="468"/>
      <c r="G469" s="468"/>
      <c r="H469" s="468"/>
      <c r="I469" s="468"/>
      <c r="J469" s="468"/>
      <c r="K469" s="468"/>
      <c r="L469" s="468"/>
      <c r="M469" s="468"/>
      <c r="N469" s="468"/>
      <c r="O469" s="468"/>
      <c r="P469" s="468"/>
      <c r="Q469" s="468"/>
      <c r="R469" s="468"/>
      <c r="S469" s="468"/>
      <c r="T469" s="468"/>
      <c r="U469" s="468"/>
      <c r="V469" s="468"/>
      <c r="W469" s="468"/>
      <c r="X469" s="468"/>
      <c r="Y469" s="468"/>
      <c r="Z469" s="468"/>
      <c r="AA469" s="468"/>
      <c r="AB469" s="468"/>
      <c r="AC469" s="468"/>
      <c r="AD469" s="468"/>
      <c r="AE469" s="468"/>
      <c r="AF469" s="468"/>
      <c r="AG469" s="468"/>
      <c r="AH469" s="468"/>
      <c r="AI469" s="468"/>
      <c r="AJ469" s="468"/>
    </row>
    <row r="470" spans="1:36" ht="18" customHeight="1" x14ac:dyDescent="0.35">
      <c r="A470" s="468"/>
      <c r="B470" s="468"/>
      <c r="C470" s="468"/>
      <c r="D470" s="468"/>
      <c r="E470" s="468"/>
      <c r="F470" s="468"/>
      <c r="G470" s="468"/>
      <c r="H470" s="468"/>
      <c r="I470" s="468"/>
      <c r="J470" s="468"/>
      <c r="K470" s="468"/>
      <c r="L470" s="468"/>
      <c r="M470" s="468"/>
      <c r="N470" s="468"/>
      <c r="O470" s="468"/>
      <c r="P470" s="468"/>
      <c r="Q470" s="468"/>
      <c r="R470" s="468"/>
      <c r="S470" s="468"/>
      <c r="T470" s="468"/>
      <c r="U470" s="468"/>
      <c r="V470" s="468"/>
      <c r="W470" s="468"/>
      <c r="X470" s="468"/>
      <c r="Y470" s="468"/>
      <c r="Z470" s="468"/>
      <c r="AA470" s="468"/>
      <c r="AB470" s="468"/>
      <c r="AC470" s="468"/>
      <c r="AD470" s="468"/>
      <c r="AE470" s="468"/>
      <c r="AF470" s="468"/>
      <c r="AG470" s="468"/>
      <c r="AH470" s="468"/>
      <c r="AI470" s="468"/>
      <c r="AJ470" s="468"/>
    </row>
    <row r="471" spans="1:36" ht="18" customHeight="1" x14ac:dyDescent="0.35">
      <c r="A471" s="468"/>
      <c r="B471" s="468"/>
      <c r="C471" s="468"/>
      <c r="D471" s="468"/>
      <c r="E471" s="468"/>
      <c r="F471" s="468"/>
      <c r="G471" s="468"/>
      <c r="H471" s="468"/>
      <c r="I471" s="468"/>
      <c r="J471" s="468"/>
      <c r="K471" s="468"/>
      <c r="L471" s="468"/>
      <c r="M471" s="468"/>
      <c r="N471" s="468"/>
      <c r="O471" s="468"/>
      <c r="P471" s="468"/>
      <c r="Q471" s="468"/>
      <c r="R471" s="468"/>
      <c r="S471" s="468"/>
      <c r="T471" s="468"/>
      <c r="U471" s="468"/>
      <c r="V471" s="468"/>
      <c r="W471" s="468"/>
      <c r="X471" s="468"/>
      <c r="Y471" s="468"/>
      <c r="Z471" s="468"/>
      <c r="AA471" s="468"/>
      <c r="AB471" s="468"/>
      <c r="AC471" s="468"/>
      <c r="AD471" s="468"/>
      <c r="AE471" s="468"/>
      <c r="AF471" s="468"/>
      <c r="AG471" s="468"/>
      <c r="AH471" s="468"/>
      <c r="AI471" s="468"/>
      <c r="AJ471" s="468"/>
    </row>
    <row r="472" spans="1:36" ht="18" customHeight="1" x14ac:dyDescent="0.35">
      <c r="A472" s="468"/>
      <c r="B472" s="468"/>
      <c r="C472" s="468"/>
      <c r="D472" s="468"/>
      <c r="E472" s="468"/>
      <c r="F472" s="468"/>
      <c r="G472" s="468"/>
      <c r="H472" s="468"/>
      <c r="I472" s="468"/>
      <c r="J472" s="468"/>
      <c r="K472" s="468"/>
      <c r="L472" s="468"/>
      <c r="M472" s="468"/>
      <c r="N472" s="468"/>
      <c r="O472" s="468"/>
      <c r="P472" s="468"/>
      <c r="Q472" s="468"/>
      <c r="R472" s="468"/>
      <c r="S472" s="468"/>
      <c r="T472" s="468"/>
      <c r="U472" s="468"/>
      <c r="V472" s="468"/>
      <c r="W472" s="468"/>
      <c r="X472" s="468"/>
      <c r="Y472" s="468"/>
      <c r="Z472" s="468"/>
      <c r="AA472" s="468"/>
      <c r="AB472" s="468"/>
      <c r="AC472" s="468"/>
      <c r="AD472" s="468"/>
      <c r="AE472" s="468"/>
      <c r="AF472" s="468"/>
      <c r="AG472" s="468"/>
      <c r="AH472" s="468"/>
      <c r="AI472" s="468"/>
      <c r="AJ472" s="468"/>
    </row>
    <row r="473" spans="1:36" ht="18" customHeight="1" x14ac:dyDescent="0.35">
      <c r="A473" s="468"/>
      <c r="B473" s="468"/>
      <c r="C473" s="468"/>
      <c r="D473" s="468"/>
      <c r="E473" s="468"/>
      <c r="F473" s="468"/>
      <c r="G473" s="468"/>
      <c r="H473" s="468"/>
      <c r="I473" s="468"/>
      <c r="J473" s="468"/>
      <c r="K473" s="468"/>
      <c r="L473" s="468"/>
      <c r="M473" s="468"/>
      <c r="N473" s="468"/>
      <c r="O473" s="468"/>
      <c r="P473" s="468"/>
      <c r="Q473" s="468"/>
      <c r="R473" s="468"/>
      <c r="S473" s="468"/>
      <c r="T473" s="468"/>
      <c r="U473" s="468"/>
      <c r="V473" s="468"/>
      <c r="W473" s="468"/>
      <c r="X473" s="468"/>
      <c r="Y473" s="468"/>
      <c r="Z473" s="468"/>
      <c r="AA473" s="468"/>
      <c r="AB473" s="468"/>
      <c r="AC473" s="468"/>
      <c r="AD473" s="468"/>
      <c r="AE473" s="468"/>
      <c r="AF473" s="468"/>
      <c r="AG473" s="468"/>
      <c r="AH473" s="468"/>
      <c r="AI473" s="468"/>
      <c r="AJ473" s="468"/>
    </row>
    <row r="474" spans="1:36" ht="18" customHeight="1" x14ac:dyDescent="0.35">
      <c r="A474" s="468"/>
      <c r="B474" s="468"/>
      <c r="C474" s="468"/>
      <c r="D474" s="468"/>
      <c r="E474" s="468"/>
      <c r="F474" s="468"/>
      <c r="G474" s="468"/>
      <c r="H474" s="468"/>
      <c r="I474" s="468"/>
      <c r="J474" s="468"/>
      <c r="K474" s="468"/>
      <c r="L474" s="468"/>
      <c r="M474" s="468"/>
      <c r="N474" s="468"/>
      <c r="O474" s="468"/>
      <c r="P474" s="468"/>
      <c r="Q474" s="468"/>
      <c r="R474" s="468"/>
      <c r="S474" s="468"/>
      <c r="T474" s="468"/>
      <c r="U474" s="468"/>
      <c r="V474" s="468"/>
      <c r="W474" s="468"/>
      <c r="X474" s="468"/>
      <c r="Y474" s="468"/>
      <c r="Z474" s="468"/>
      <c r="AA474" s="468"/>
      <c r="AB474" s="468"/>
      <c r="AC474" s="468"/>
      <c r="AD474" s="468"/>
      <c r="AE474" s="468"/>
      <c r="AF474" s="468"/>
      <c r="AG474" s="468"/>
      <c r="AH474" s="468"/>
      <c r="AI474" s="468"/>
      <c r="AJ474" s="468"/>
    </row>
    <row r="475" spans="1:36" ht="18" customHeight="1" x14ac:dyDescent="0.35">
      <c r="A475" s="468"/>
      <c r="B475" s="468"/>
      <c r="C475" s="468"/>
      <c r="D475" s="468"/>
      <c r="E475" s="468"/>
      <c r="F475" s="468"/>
      <c r="G475" s="468"/>
      <c r="H475" s="468"/>
      <c r="I475" s="468"/>
      <c r="J475" s="468"/>
      <c r="K475" s="468"/>
      <c r="L475" s="468"/>
      <c r="M475" s="468"/>
      <c r="N475" s="468"/>
      <c r="O475" s="468"/>
      <c r="P475" s="468"/>
      <c r="Q475" s="468"/>
      <c r="R475" s="468"/>
      <c r="S475" s="468"/>
      <c r="T475" s="468"/>
      <c r="U475" s="468"/>
      <c r="V475" s="468"/>
      <c r="W475" s="468"/>
      <c r="X475" s="468"/>
      <c r="Y475" s="468"/>
      <c r="Z475" s="468"/>
      <c r="AA475" s="468"/>
      <c r="AB475" s="468"/>
      <c r="AC475" s="468"/>
      <c r="AD475" s="468"/>
      <c r="AE475" s="468"/>
      <c r="AF475" s="468"/>
      <c r="AG475" s="468"/>
      <c r="AH475" s="468"/>
      <c r="AI475" s="468"/>
      <c r="AJ475" s="468"/>
    </row>
    <row r="476" spans="1:36" ht="18" customHeight="1" x14ac:dyDescent="0.35">
      <c r="A476" s="468"/>
      <c r="B476" s="468"/>
      <c r="C476" s="468"/>
      <c r="D476" s="468"/>
      <c r="E476" s="468"/>
      <c r="F476" s="468"/>
      <c r="G476" s="468"/>
      <c r="H476" s="468"/>
      <c r="I476" s="468"/>
      <c r="J476" s="468"/>
      <c r="K476" s="468"/>
      <c r="L476" s="468"/>
      <c r="M476" s="468"/>
      <c r="N476" s="468"/>
      <c r="O476" s="468"/>
      <c r="P476" s="468"/>
      <c r="Q476" s="468"/>
      <c r="R476" s="468"/>
      <c r="S476" s="468"/>
      <c r="T476" s="468"/>
      <c r="U476" s="468"/>
      <c r="V476" s="468"/>
      <c r="W476" s="468"/>
      <c r="X476" s="468"/>
      <c r="Y476" s="468"/>
      <c r="Z476" s="468"/>
      <c r="AA476" s="468"/>
      <c r="AB476" s="468"/>
      <c r="AC476" s="468"/>
      <c r="AD476" s="468"/>
      <c r="AE476" s="468"/>
      <c r="AF476" s="468"/>
      <c r="AG476" s="468"/>
      <c r="AH476" s="468"/>
      <c r="AI476" s="468"/>
      <c r="AJ476" s="468"/>
    </row>
    <row r="477" spans="1:36" ht="18" customHeight="1" x14ac:dyDescent="0.35">
      <c r="A477" s="468"/>
      <c r="B477" s="468"/>
      <c r="C477" s="468"/>
      <c r="D477" s="468"/>
      <c r="E477" s="468"/>
      <c r="F477" s="468"/>
      <c r="G477" s="468"/>
      <c r="H477" s="468"/>
      <c r="I477" s="468"/>
      <c r="J477" s="468"/>
      <c r="K477" s="468"/>
      <c r="L477" s="468"/>
      <c r="M477" s="468"/>
      <c r="N477" s="468"/>
      <c r="O477" s="468"/>
      <c r="P477" s="468"/>
      <c r="Q477" s="468"/>
      <c r="R477" s="468"/>
      <c r="S477" s="468"/>
      <c r="T477" s="468"/>
      <c r="U477" s="468"/>
      <c r="V477" s="468"/>
      <c r="W477" s="468"/>
      <c r="X477" s="468"/>
      <c r="Y477" s="468"/>
      <c r="Z477" s="468"/>
      <c r="AA477" s="468"/>
      <c r="AB477" s="468"/>
      <c r="AC477" s="468"/>
      <c r="AD477" s="468"/>
      <c r="AE477" s="468"/>
      <c r="AF477" s="468"/>
      <c r="AG477" s="468"/>
      <c r="AH477" s="468"/>
      <c r="AI477" s="468"/>
      <c r="AJ477" s="468"/>
    </row>
    <row r="478" spans="1:36" ht="18" customHeight="1" x14ac:dyDescent="0.35">
      <c r="A478" s="468"/>
      <c r="B478" s="468"/>
      <c r="C478" s="468"/>
      <c r="D478" s="468"/>
      <c r="E478" s="468"/>
      <c r="F478" s="468"/>
      <c r="G478" s="468"/>
      <c r="H478" s="468"/>
      <c r="I478" s="468"/>
      <c r="J478" s="468"/>
      <c r="K478" s="468"/>
      <c r="L478" s="468"/>
      <c r="M478" s="468"/>
      <c r="N478" s="468"/>
      <c r="O478" s="468"/>
      <c r="P478" s="468"/>
      <c r="Q478" s="468"/>
      <c r="R478" s="468"/>
      <c r="S478" s="468"/>
      <c r="T478" s="468"/>
      <c r="U478" s="468"/>
      <c r="V478" s="468"/>
      <c r="W478" s="468"/>
      <c r="X478" s="468"/>
      <c r="Y478" s="468"/>
      <c r="Z478" s="468"/>
      <c r="AA478" s="468"/>
      <c r="AB478" s="468"/>
      <c r="AC478" s="468"/>
      <c r="AD478" s="468"/>
      <c r="AE478" s="468"/>
      <c r="AF478" s="468"/>
      <c r="AG478" s="468"/>
      <c r="AH478" s="468"/>
      <c r="AI478" s="468"/>
      <c r="AJ478" s="468"/>
    </row>
    <row r="479" spans="1:36" ht="18" customHeight="1" x14ac:dyDescent="0.35">
      <c r="A479" s="468"/>
      <c r="B479" s="468"/>
      <c r="C479" s="468"/>
      <c r="D479" s="468"/>
      <c r="E479" s="468"/>
      <c r="F479" s="468"/>
      <c r="G479" s="468"/>
      <c r="H479" s="468"/>
      <c r="I479" s="468"/>
      <c r="J479" s="468"/>
      <c r="K479" s="468"/>
      <c r="L479" s="468"/>
      <c r="M479" s="468"/>
      <c r="N479" s="468"/>
      <c r="O479" s="468"/>
      <c r="P479" s="468"/>
      <c r="Q479" s="468"/>
      <c r="R479" s="468"/>
      <c r="S479" s="468"/>
      <c r="T479" s="468"/>
      <c r="U479" s="468"/>
      <c r="V479" s="468"/>
      <c r="W479" s="468"/>
      <c r="X479" s="468"/>
      <c r="Y479" s="468"/>
      <c r="Z479" s="468"/>
      <c r="AA479" s="468"/>
      <c r="AB479" s="468"/>
      <c r="AC479" s="468"/>
      <c r="AD479" s="468"/>
      <c r="AE479" s="468"/>
      <c r="AF479" s="468"/>
      <c r="AG479" s="468"/>
      <c r="AH479" s="468"/>
      <c r="AI479" s="468"/>
      <c r="AJ479" s="468"/>
    </row>
    <row r="480" spans="1:36" ht="18" customHeight="1" x14ac:dyDescent="0.35">
      <c r="A480" s="468"/>
      <c r="B480" s="468"/>
      <c r="C480" s="468"/>
      <c r="D480" s="468"/>
      <c r="E480" s="468"/>
      <c r="F480" s="468"/>
      <c r="G480" s="468"/>
      <c r="H480" s="468"/>
      <c r="I480" s="468"/>
      <c r="J480" s="468"/>
      <c r="K480" s="468"/>
      <c r="L480" s="468"/>
      <c r="M480" s="468"/>
      <c r="N480" s="468"/>
      <c r="O480" s="468"/>
      <c r="P480" s="468"/>
      <c r="Q480" s="468"/>
      <c r="R480" s="468"/>
      <c r="S480" s="468"/>
      <c r="T480" s="468"/>
      <c r="U480" s="468"/>
      <c r="V480" s="468"/>
      <c r="W480" s="468"/>
      <c r="X480" s="468"/>
      <c r="Y480" s="468"/>
      <c r="Z480" s="468"/>
      <c r="AA480" s="468"/>
      <c r="AB480" s="468"/>
      <c r="AC480" s="468"/>
      <c r="AD480" s="468"/>
      <c r="AE480" s="468"/>
      <c r="AF480" s="468"/>
      <c r="AG480" s="468"/>
      <c r="AH480" s="468"/>
      <c r="AI480" s="468"/>
      <c r="AJ480" s="468"/>
    </row>
    <row r="481" spans="1:36" ht="18" customHeight="1" x14ac:dyDescent="0.35">
      <c r="A481" s="468"/>
      <c r="B481" s="468"/>
      <c r="C481" s="468"/>
      <c r="D481" s="468"/>
      <c r="E481" s="468"/>
      <c r="F481" s="468"/>
      <c r="G481" s="468"/>
      <c r="H481" s="468"/>
      <c r="I481" s="468"/>
      <c r="J481" s="468"/>
      <c r="K481" s="468"/>
      <c r="L481" s="468"/>
      <c r="M481" s="468"/>
      <c r="N481" s="468"/>
      <c r="O481" s="468"/>
      <c r="P481" s="468"/>
      <c r="Q481" s="468"/>
      <c r="R481" s="468"/>
      <c r="S481" s="468"/>
      <c r="T481" s="468"/>
      <c r="U481" s="468"/>
      <c r="V481" s="468"/>
      <c r="W481" s="468"/>
      <c r="X481" s="468"/>
      <c r="Y481" s="468"/>
      <c r="Z481" s="468"/>
      <c r="AA481" s="468"/>
      <c r="AB481" s="468"/>
      <c r="AC481" s="468"/>
      <c r="AD481" s="468"/>
      <c r="AE481" s="468"/>
      <c r="AF481" s="468"/>
      <c r="AG481" s="468"/>
      <c r="AH481" s="468"/>
      <c r="AI481" s="468"/>
      <c r="AJ481" s="468"/>
    </row>
    <row r="482" spans="1:36" ht="18" customHeight="1" x14ac:dyDescent="0.35">
      <c r="A482" s="468"/>
      <c r="B482" s="468"/>
      <c r="C482" s="468"/>
      <c r="D482" s="468"/>
      <c r="E482" s="468"/>
      <c r="F482" s="468"/>
      <c r="G482" s="468"/>
      <c r="H482" s="468"/>
      <c r="I482" s="468"/>
      <c r="J482" s="468"/>
      <c r="K482" s="468"/>
      <c r="L482" s="468"/>
      <c r="M482" s="468"/>
      <c r="N482" s="468"/>
      <c r="O482" s="468"/>
      <c r="P482" s="468"/>
      <c r="Q482" s="468"/>
      <c r="R482" s="468"/>
      <c r="S482" s="468"/>
      <c r="T482" s="468"/>
      <c r="U482" s="468"/>
      <c r="V482" s="468"/>
      <c r="W482" s="468"/>
      <c r="X482" s="468"/>
      <c r="Y482" s="468"/>
      <c r="Z482" s="468"/>
      <c r="AA482" s="468"/>
      <c r="AB482" s="468"/>
      <c r="AC482" s="468"/>
      <c r="AD482" s="468"/>
      <c r="AE482" s="468"/>
      <c r="AF482" s="468"/>
      <c r="AG482" s="468"/>
      <c r="AH482" s="468"/>
      <c r="AI482" s="468"/>
      <c r="AJ482" s="468"/>
    </row>
    <row r="483" spans="1:36" ht="18" customHeight="1" x14ac:dyDescent="0.35">
      <c r="A483" s="468"/>
      <c r="B483" s="468"/>
      <c r="C483" s="468"/>
      <c r="D483" s="468"/>
      <c r="E483" s="468"/>
      <c r="F483" s="468"/>
      <c r="G483" s="468"/>
      <c r="H483" s="468"/>
      <c r="I483" s="468"/>
      <c r="J483" s="468"/>
      <c r="K483" s="468"/>
      <c r="L483" s="468"/>
      <c r="M483" s="468"/>
      <c r="N483" s="468"/>
      <c r="O483" s="468"/>
      <c r="P483" s="468"/>
      <c r="Q483" s="468"/>
      <c r="R483" s="468"/>
      <c r="S483" s="468"/>
      <c r="T483" s="468"/>
      <c r="U483" s="468"/>
      <c r="V483" s="468"/>
      <c r="W483" s="468"/>
      <c r="X483" s="468"/>
      <c r="Y483" s="468"/>
      <c r="Z483" s="468"/>
      <c r="AA483" s="468"/>
      <c r="AB483" s="468"/>
      <c r="AC483" s="468"/>
      <c r="AD483" s="468"/>
      <c r="AE483" s="468"/>
      <c r="AF483" s="468"/>
      <c r="AG483" s="468"/>
      <c r="AH483" s="468"/>
      <c r="AI483" s="468"/>
      <c r="AJ483" s="468"/>
    </row>
    <row r="484" spans="1:36" ht="18" customHeight="1" x14ac:dyDescent="0.35">
      <c r="A484" s="468"/>
      <c r="B484" s="468"/>
      <c r="C484" s="468"/>
      <c r="D484" s="468"/>
      <c r="E484" s="468"/>
      <c r="F484" s="468"/>
      <c r="G484" s="468"/>
      <c r="H484" s="468"/>
      <c r="I484" s="468"/>
      <c r="J484" s="468"/>
      <c r="K484" s="468"/>
      <c r="L484" s="468"/>
      <c r="M484" s="468"/>
      <c r="N484" s="468"/>
      <c r="O484" s="468"/>
      <c r="P484" s="468"/>
      <c r="Q484" s="468"/>
      <c r="R484" s="468"/>
      <c r="S484" s="468"/>
      <c r="T484" s="468"/>
      <c r="U484" s="468"/>
      <c r="V484" s="468"/>
      <c r="W484" s="468"/>
      <c r="X484" s="468"/>
      <c r="Y484" s="468"/>
      <c r="Z484" s="468"/>
      <c r="AA484" s="468"/>
      <c r="AB484" s="468"/>
      <c r="AC484" s="468"/>
      <c r="AD484" s="468"/>
      <c r="AE484" s="468"/>
      <c r="AF484" s="468"/>
      <c r="AG484" s="468"/>
      <c r="AH484" s="468"/>
      <c r="AI484" s="468"/>
      <c r="AJ484" s="468"/>
    </row>
    <row r="485" spans="1:36" ht="18" customHeight="1" x14ac:dyDescent="0.35">
      <c r="A485" s="468"/>
      <c r="B485" s="468"/>
      <c r="C485" s="468"/>
      <c r="D485" s="468"/>
      <c r="E485" s="468"/>
      <c r="F485" s="468"/>
      <c r="G485" s="468"/>
      <c r="H485" s="468"/>
      <c r="I485" s="468"/>
      <c r="J485" s="468"/>
      <c r="K485" s="468"/>
      <c r="L485" s="468"/>
      <c r="M485" s="468"/>
      <c r="N485" s="468"/>
      <c r="O485" s="468"/>
      <c r="P485" s="468"/>
      <c r="Q485" s="468"/>
      <c r="R485" s="468"/>
      <c r="S485" s="468"/>
      <c r="T485" s="468"/>
      <c r="U485" s="468"/>
      <c r="V485" s="468"/>
      <c r="W485" s="468"/>
      <c r="X485" s="468"/>
      <c r="Y485" s="468"/>
      <c r="Z485" s="468"/>
      <c r="AA485" s="468"/>
      <c r="AB485" s="468"/>
      <c r="AC485" s="468"/>
      <c r="AD485" s="468"/>
      <c r="AE485" s="468"/>
      <c r="AF485" s="468"/>
      <c r="AG485" s="468"/>
      <c r="AH485" s="468"/>
      <c r="AI485" s="468"/>
      <c r="AJ485" s="468"/>
    </row>
    <row r="486" spans="1:36" ht="18" customHeight="1" x14ac:dyDescent="0.35">
      <c r="A486" s="468"/>
      <c r="B486" s="468"/>
      <c r="C486" s="468"/>
      <c r="D486" s="468"/>
      <c r="E486" s="468"/>
      <c r="F486" s="468"/>
      <c r="G486" s="468"/>
      <c r="H486" s="468"/>
      <c r="I486" s="468"/>
      <c r="J486" s="468"/>
      <c r="K486" s="468"/>
      <c r="L486" s="468"/>
      <c r="M486" s="468"/>
      <c r="N486" s="468"/>
      <c r="O486" s="468"/>
      <c r="P486" s="468"/>
      <c r="Q486" s="468"/>
      <c r="R486" s="468"/>
      <c r="S486" s="468"/>
      <c r="T486" s="468"/>
      <c r="U486" s="468"/>
      <c r="V486" s="468"/>
      <c r="W486" s="468"/>
      <c r="X486" s="468"/>
      <c r="Y486" s="468"/>
      <c r="Z486" s="468"/>
      <c r="AA486" s="468"/>
      <c r="AB486" s="468"/>
      <c r="AC486" s="468"/>
      <c r="AD486" s="468"/>
      <c r="AE486" s="468"/>
      <c r="AF486" s="468"/>
      <c r="AG486" s="468"/>
      <c r="AH486" s="468"/>
      <c r="AI486" s="468"/>
      <c r="AJ486" s="468"/>
    </row>
    <row r="487" spans="1:36" ht="18" customHeight="1" x14ac:dyDescent="0.35">
      <c r="A487" s="468"/>
      <c r="B487" s="468"/>
      <c r="C487" s="468"/>
      <c r="D487" s="468"/>
      <c r="E487" s="468"/>
      <c r="F487" s="468"/>
      <c r="G487" s="468"/>
      <c r="H487" s="468"/>
      <c r="I487" s="468"/>
      <c r="J487" s="468"/>
      <c r="K487" s="468"/>
      <c r="L487" s="468"/>
      <c r="M487" s="468"/>
      <c r="N487" s="468"/>
      <c r="O487" s="468"/>
      <c r="P487" s="468"/>
      <c r="Q487" s="468"/>
      <c r="R487" s="468"/>
      <c r="S487" s="468"/>
      <c r="T487" s="468"/>
      <c r="U487" s="468"/>
      <c r="V487" s="468"/>
      <c r="W487" s="468"/>
      <c r="X487" s="468"/>
      <c r="Y487" s="468"/>
      <c r="Z487" s="468"/>
      <c r="AA487" s="468"/>
      <c r="AB487" s="468"/>
      <c r="AC487" s="468"/>
      <c r="AD487" s="468"/>
      <c r="AE487" s="468"/>
      <c r="AF487" s="468"/>
      <c r="AG487" s="468"/>
      <c r="AH487" s="468"/>
      <c r="AI487" s="468"/>
      <c r="AJ487" s="468"/>
    </row>
    <row r="488" spans="1:36" ht="18" customHeight="1" x14ac:dyDescent="0.35">
      <c r="A488" s="468"/>
      <c r="B488" s="468"/>
      <c r="C488" s="468"/>
      <c r="D488" s="468"/>
      <c r="E488" s="468"/>
      <c r="F488" s="468"/>
      <c r="G488" s="468"/>
      <c r="H488" s="468"/>
      <c r="I488" s="468"/>
      <c r="J488" s="468"/>
      <c r="K488" s="468"/>
      <c r="L488" s="468"/>
      <c r="M488" s="468"/>
      <c r="N488" s="468"/>
      <c r="O488" s="468"/>
      <c r="P488" s="468"/>
      <c r="Q488" s="468"/>
      <c r="R488" s="468"/>
      <c r="S488" s="468"/>
      <c r="T488" s="468"/>
      <c r="U488" s="468"/>
      <c r="V488" s="468"/>
      <c r="W488" s="468"/>
      <c r="X488" s="468"/>
      <c r="Y488" s="468"/>
      <c r="Z488" s="468"/>
      <c r="AA488" s="468"/>
      <c r="AB488" s="468"/>
      <c r="AC488" s="468"/>
      <c r="AD488" s="468"/>
      <c r="AE488" s="468"/>
      <c r="AF488" s="468"/>
      <c r="AG488" s="468"/>
      <c r="AH488" s="468"/>
      <c r="AI488" s="468"/>
      <c r="AJ488" s="468"/>
    </row>
    <row r="489" spans="1:36" ht="18" customHeight="1" x14ac:dyDescent="0.35">
      <c r="A489" s="468"/>
      <c r="B489" s="468"/>
      <c r="C489" s="468"/>
      <c r="D489" s="468"/>
      <c r="E489" s="468"/>
      <c r="F489" s="468"/>
      <c r="G489" s="468"/>
      <c r="H489" s="468"/>
      <c r="I489" s="468"/>
      <c r="J489" s="468"/>
      <c r="K489" s="468"/>
      <c r="L489" s="468"/>
      <c r="M489" s="468"/>
      <c r="N489" s="468"/>
      <c r="O489" s="468"/>
      <c r="P489" s="468"/>
      <c r="Q489" s="468"/>
      <c r="R489" s="468"/>
      <c r="S489" s="468"/>
      <c r="T489" s="468"/>
      <c r="U489" s="468"/>
      <c r="V489" s="468"/>
      <c r="W489" s="468"/>
      <c r="X489" s="468"/>
      <c r="Y489" s="468"/>
      <c r="Z489" s="468"/>
      <c r="AA489" s="468"/>
      <c r="AB489" s="468"/>
      <c r="AC489" s="468"/>
      <c r="AD489" s="468"/>
      <c r="AE489" s="468"/>
      <c r="AF489" s="468"/>
      <c r="AG489" s="468"/>
      <c r="AH489" s="468"/>
      <c r="AI489" s="468"/>
      <c r="AJ489" s="468"/>
    </row>
    <row r="490" spans="1:36" ht="18" customHeight="1" x14ac:dyDescent="0.35">
      <c r="A490" s="468"/>
      <c r="B490" s="468"/>
      <c r="C490" s="468"/>
      <c r="D490" s="468"/>
      <c r="E490" s="468"/>
      <c r="F490" s="468"/>
      <c r="G490" s="468"/>
      <c r="H490" s="468"/>
      <c r="I490" s="468"/>
      <c r="J490" s="468"/>
      <c r="K490" s="468"/>
      <c r="L490" s="468"/>
      <c r="M490" s="468"/>
      <c r="N490" s="468"/>
      <c r="O490" s="468"/>
      <c r="P490" s="468"/>
      <c r="Q490" s="468"/>
      <c r="R490" s="468"/>
      <c r="S490" s="468"/>
      <c r="T490" s="468"/>
      <c r="U490" s="468"/>
      <c r="V490" s="468"/>
      <c r="W490" s="468"/>
      <c r="X490" s="468"/>
      <c r="Y490" s="468"/>
      <c r="Z490" s="468"/>
      <c r="AA490" s="468"/>
      <c r="AB490" s="468"/>
      <c r="AC490" s="468"/>
      <c r="AD490" s="468"/>
      <c r="AE490" s="468"/>
      <c r="AF490" s="468"/>
      <c r="AG490" s="468"/>
      <c r="AH490" s="468"/>
      <c r="AI490" s="468"/>
      <c r="AJ490" s="468"/>
    </row>
    <row r="491" spans="1:36" ht="18" customHeight="1" x14ac:dyDescent="0.35">
      <c r="A491" s="468"/>
      <c r="B491" s="468"/>
      <c r="C491" s="468"/>
      <c r="D491" s="468"/>
      <c r="E491" s="468"/>
      <c r="F491" s="468"/>
      <c r="G491" s="468"/>
      <c r="H491" s="468"/>
      <c r="I491" s="468"/>
      <c r="J491" s="468"/>
      <c r="K491" s="468"/>
      <c r="L491" s="468"/>
      <c r="M491" s="468"/>
      <c r="N491" s="468"/>
      <c r="O491" s="468"/>
      <c r="P491" s="468"/>
      <c r="Q491" s="468"/>
      <c r="R491" s="468"/>
      <c r="S491" s="468"/>
      <c r="T491" s="468"/>
      <c r="U491" s="468"/>
      <c r="V491" s="468"/>
      <c r="W491" s="468"/>
      <c r="X491" s="468"/>
      <c r="Y491" s="468"/>
      <c r="Z491" s="468"/>
      <c r="AA491" s="468"/>
      <c r="AB491" s="468"/>
      <c r="AC491" s="468"/>
      <c r="AD491" s="468"/>
      <c r="AE491" s="468"/>
      <c r="AF491" s="468"/>
      <c r="AG491" s="468"/>
      <c r="AH491" s="468"/>
      <c r="AI491" s="468"/>
      <c r="AJ491" s="468"/>
    </row>
    <row r="492" spans="1:36" ht="18" customHeight="1" x14ac:dyDescent="0.35">
      <c r="A492" s="468"/>
      <c r="B492" s="468"/>
      <c r="C492" s="468"/>
      <c r="D492" s="468"/>
      <c r="E492" s="468"/>
      <c r="F492" s="468"/>
      <c r="G492" s="468"/>
      <c r="H492" s="468"/>
      <c r="I492" s="468"/>
      <c r="J492" s="468"/>
      <c r="K492" s="468"/>
      <c r="L492" s="468"/>
      <c r="M492" s="468"/>
      <c r="N492" s="468"/>
      <c r="O492" s="468"/>
      <c r="P492" s="468"/>
      <c r="Q492" s="468"/>
      <c r="R492" s="468"/>
      <c r="S492" s="468"/>
      <c r="T492" s="468"/>
      <c r="U492" s="468"/>
      <c r="V492" s="468"/>
      <c r="W492" s="468"/>
      <c r="X492" s="468"/>
      <c r="Y492" s="468"/>
      <c r="Z492" s="468"/>
      <c r="AA492" s="468"/>
      <c r="AB492" s="468"/>
      <c r="AC492" s="468"/>
      <c r="AD492" s="468"/>
      <c r="AE492" s="468"/>
      <c r="AF492" s="468"/>
      <c r="AG492" s="468"/>
      <c r="AH492" s="468"/>
      <c r="AI492" s="468"/>
      <c r="AJ492" s="468"/>
    </row>
    <row r="493" spans="1:36" ht="18" customHeight="1" x14ac:dyDescent="0.35">
      <c r="A493" s="468"/>
      <c r="B493" s="468"/>
      <c r="C493" s="468"/>
      <c r="D493" s="468"/>
      <c r="E493" s="468"/>
      <c r="F493" s="468"/>
      <c r="G493" s="468"/>
      <c r="H493" s="468"/>
      <c r="I493" s="468"/>
      <c r="J493" s="468"/>
      <c r="K493" s="468"/>
      <c r="L493" s="468"/>
      <c r="M493" s="468"/>
      <c r="N493" s="468"/>
      <c r="O493" s="468"/>
      <c r="P493" s="468"/>
      <c r="Q493" s="468"/>
      <c r="R493" s="468"/>
      <c r="S493" s="468"/>
      <c r="T493" s="468"/>
      <c r="U493" s="468"/>
      <c r="V493" s="468"/>
      <c r="W493" s="468"/>
      <c r="X493" s="468"/>
      <c r="Y493" s="468"/>
      <c r="Z493" s="468"/>
      <c r="AA493" s="468"/>
      <c r="AB493" s="468"/>
      <c r="AC493" s="468"/>
      <c r="AD493" s="468"/>
      <c r="AE493" s="468"/>
      <c r="AF493" s="468"/>
      <c r="AG493" s="468"/>
      <c r="AH493" s="468"/>
      <c r="AI493" s="468"/>
      <c r="AJ493" s="468"/>
    </row>
    <row r="494" spans="1:36" ht="18" customHeight="1" x14ac:dyDescent="0.35">
      <c r="A494" s="468"/>
      <c r="B494" s="468"/>
      <c r="C494" s="468"/>
      <c r="D494" s="468"/>
      <c r="E494" s="468"/>
      <c r="F494" s="468"/>
      <c r="G494" s="468"/>
      <c r="H494" s="468"/>
      <c r="I494" s="468"/>
      <c r="J494" s="468"/>
      <c r="K494" s="468"/>
      <c r="L494" s="468"/>
      <c r="M494" s="468"/>
      <c r="N494" s="468"/>
      <c r="O494" s="468"/>
      <c r="P494" s="468"/>
      <c r="Q494" s="468"/>
      <c r="R494" s="468"/>
      <c r="S494" s="468"/>
      <c r="T494" s="468"/>
      <c r="U494" s="468"/>
      <c r="V494" s="468"/>
      <c r="W494" s="468"/>
      <c r="X494" s="468"/>
      <c r="Y494" s="468"/>
      <c r="Z494" s="468"/>
      <c r="AA494" s="468"/>
      <c r="AB494" s="468"/>
      <c r="AC494" s="468"/>
      <c r="AD494" s="468"/>
      <c r="AE494" s="468"/>
      <c r="AF494" s="468"/>
      <c r="AG494" s="468"/>
      <c r="AH494" s="468"/>
      <c r="AI494" s="468"/>
      <c r="AJ494" s="468"/>
    </row>
    <row r="495" spans="1:36" ht="18" customHeight="1" x14ac:dyDescent="0.35">
      <c r="A495" s="468"/>
      <c r="B495" s="468"/>
      <c r="C495" s="468"/>
      <c r="D495" s="468"/>
      <c r="E495" s="468"/>
      <c r="F495" s="468"/>
      <c r="G495" s="468"/>
      <c r="H495" s="468"/>
      <c r="I495" s="468"/>
      <c r="J495" s="468"/>
      <c r="K495" s="468"/>
      <c r="L495" s="468"/>
      <c r="M495" s="468"/>
      <c r="N495" s="468"/>
      <c r="O495" s="468"/>
      <c r="P495" s="468"/>
      <c r="Q495" s="468"/>
      <c r="R495" s="468"/>
      <c r="S495" s="468"/>
      <c r="T495" s="468"/>
      <c r="U495" s="468"/>
      <c r="V495" s="468"/>
      <c r="W495" s="468"/>
      <c r="X495" s="468"/>
      <c r="Y495" s="468"/>
      <c r="Z495" s="468"/>
      <c r="AA495" s="468"/>
      <c r="AB495" s="468"/>
      <c r="AC495" s="468"/>
      <c r="AD495" s="468"/>
      <c r="AE495" s="468"/>
      <c r="AF495" s="468"/>
      <c r="AG495" s="468"/>
      <c r="AH495" s="468"/>
      <c r="AI495" s="468"/>
      <c r="AJ495" s="468"/>
    </row>
    <row r="496" spans="1:36" ht="18" customHeight="1" x14ac:dyDescent="0.35">
      <c r="A496" s="468"/>
      <c r="B496" s="468"/>
      <c r="C496" s="468"/>
      <c r="D496" s="468"/>
      <c r="E496" s="468"/>
      <c r="F496" s="468"/>
      <c r="G496" s="468"/>
      <c r="H496" s="468"/>
      <c r="I496" s="468"/>
      <c r="J496" s="468"/>
      <c r="K496" s="468"/>
      <c r="L496" s="468"/>
      <c r="M496" s="468"/>
      <c r="N496" s="468"/>
      <c r="O496" s="468"/>
      <c r="P496" s="468"/>
      <c r="Q496" s="468"/>
      <c r="R496" s="468"/>
      <c r="S496" s="468"/>
      <c r="T496" s="468"/>
      <c r="U496" s="468"/>
      <c r="V496" s="468"/>
      <c r="W496" s="468"/>
      <c r="X496" s="468"/>
      <c r="Y496" s="468"/>
      <c r="Z496" s="468"/>
      <c r="AA496" s="468"/>
      <c r="AB496" s="468"/>
      <c r="AC496" s="468"/>
      <c r="AD496" s="468"/>
      <c r="AE496" s="468"/>
      <c r="AF496" s="468"/>
      <c r="AG496" s="468"/>
      <c r="AH496" s="468"/>
      <c r="AI496" s="468"/>
      <c r="AJ496" s="468"/>
    </row>
    <row r="497" spans="1:36" ht="18" customHeight="1" x14ac:dyDescent="0.35">
      <c r="A497" s="468"/>
      <c r="B497" s="468"/>
      <c r="C497" s="468"/>
      <c r="D497" s="468"/>
      <c r="E497" s="468"/>
      <c r="F497" s="468"/>
      <c r="G497" s="468"/>
      <c r="H497" s="468"/>
      <c r="I497" s="468"/>
      <c r="J497" s="468"/>
      <c r="K497" s="468"/>
      <c r="L497" s="468"/>
      <c r="M497" s="468"/>
      <c r="N497" s="468"/>
      <c r="O497" s="468"/>
      <c r="P497" s="468"/>
      <c r="Q497" s="468"/>
      <c r="R497" s="468"/>
      <c r="S497" s="468"/>
      <c r="T497" s="468"/>
      <c r="U497" s="468"/>
      <c r="V497" s="468"/>
      <c r="W497" s="468"/>
      <c r="X497" s="468"/>
      <c r="Y497" s="468"/>
      <c r="Z497" s="468"/>
      <c r="AA497" s="468"/>
      <c r="AB497" s="468"/>
      <c r="AC497" s="468"/>
      <c r="AD497" s="468"/>
      <c r="AE497" s="468"/>
      <c r="AF497" s="468"/>
      <c r="AG497" s="468"/>
      <c r="AH497" s="468"/>
      <c r="AI497" s="468"/>
      <c r="AJ497" s="468"/>
    </row>
    <row r="498" spans="1:36" ht="18" customHeight="1" x14ac:dyDescent="0.35">
      <c r="A498" s="468"/>
      <c r="B498" s="468"/>
      <c r="C498" s="468"/>
      <c r="D498" s="468"/>
      <c r="E498" s="468"/>
      <c r="F498" s="468"/>
      <c r="G498" s="468"/>
      <c r="H498" s="468"/>
      <c r="I498" s="468"/>
      <c r="J498" s="468"/>
      <c r="K498" s="468"/>
      <c r="L498" s="468"/>
      <c r="M498" s="468"/>
      <c r="N498" s="468"/>
      <c r="O498" s="468"/>
      <c r="P498" s="468"/>
      <c r="Q498" s="468"/>
      <c r="R498" s="468"/>
      <c r="S498" s="468"/>
      <c r="T498" s="468"/>
      <c r="U498" s="468"/>
      <c r="V498" s="468"/>
      <c r="W498" s="468"/>
      <c r="X498" s="468"/>
      <c r="Y498" s="468"/>
      <c r="Z498" s="468"/>
      <c r="AA498" s="468"/>
      <c r="AB498" s="468"/>
      <c r="AC498" s="468"/>
      <c r="AD498" s="468"/>
      <c r="AE498" s="468"/>
      <c r="AF498" s="468"/>
      <c r="AG498" s="468"/>
      <c r="AH498" s="468"/>
      <c r="AI498" s="468"/>
      <c r="AJ498" s="468"/>
    </row>
    <row r="499" spans="1:36" ht="18" customHeight="1" x14ac:dyDescent="0.35">
      <c r="A499" s="468"/>
      <c r="B499" s="468"/>
      <c r="C499" s="468"/>
      <c r="D499" s="468"/>
      <c r="E499" s="468"/>
      <c r="F499" s="468"/>
      <c r="G499" s="468"/>
      <c r="H499" s="468"/>
      <c r="I499" s="468"/>
      <c r="J499" s="468"/>
      <c r="K499" s="468"/>
      <c r="L499" s="468"/>
      <c r="M499" s="468"/>
      <c r="N499" s="468"/>
      <c r="O499" s="468"/>
      <c r="P499" s="468"/>
      <c r="Q499" s="468"/>
      <c r="R499" s="468"/>
      <c r="S499" s="468"/>
      <c r="T499" s="468"/>
      <c r="U499" s="468"/>
      <c r="V499" s="468"/>
      <c r="W499" s="468"/>
      <c r="X499" s="468"/>
      <c r="Y499" s="468"/>
      <c r="Z499" s="468"/>
      <c r="AA499" s="468"/>
      <c r="AB499" s="468"/>
      <c r="AC499" s="468"/>
      <c r="AD499" s="468"/>
      <c r="AE499" s="468"/>
      <c r="AF499" s="468"/>
      <c r="AG499" s="468"/>
      <c r="AH499" s="468"/>
      <c r="AI499" s="468"/>
      <c r="AJ499" s="468"/>
    </row>
    <row r="500" spans="1:36" ht="18" customHeight="1" x14ac:dyDescent="0.35">
      <c r="A500" s="468"/>
      <c r="B500" s="468"/>
      <c r="C500" s="468"/>
      <c r="D500" s="468"/>
      <c r="E500" s="468"/>
      <c r="F500" s="468"/>
      <c r="G500" s="468"/>
      <c r="H500" s="468"/>
      <c r="I500" s="468"/>
      <c r="J500" s="468"/>
      <c r="K500" s="468"/>
      <c r="L500" s="468"/>
      <c r="M500" s="468"/>
      <c r="N500" s="468"/>
      <c r="O500" s="468"/>
      <c r="P500" s="468"/>
      <c r="Q500" s="468"/>
      <c r="R500" s="468"/>
      <c r="S500" s="468"/>
      <c r="T500" s="468"/>
      <c r="U500" s="468"/>
      <c r="V500" s="468"/>
      <c r="W500" s="468"/>
      <c r="X500" s="468"/>
      <c r="Y500" s="468"/>
      <c r="Z500" s="468"/>
      <c r="AA500" s="468"/>
      <c r="AB500" s="468"/>
      <c r="AC500" s="468"/>
      <c r="AD500" s="468"/>
      <c r="AE500" s="468"/>
      <c r="AF500" s="468"/>
      <c r="AG500" s="468"/>
      <c r="AH500" s="468"/>
      <c r="AI500" s="468"/>
      <c r="AJ500" s="468"/>
    </row>
    <row r="501" spans="1:36" ht="18" customHeight="1" x14ac:dyDescent="0.35">
      <c r="A501" s="468"/>
      <c r="B501" s="468"/>
      <c r="C501" s="468"/>
      <c r="D501" s="468"/>
      <c r="E501" s="468"/>
      <c r="F501" s="468"/>
      <c r="G501" s="468"/>
      <c r="H501" s="468"/>
      <c r="I501" s="468"/>
      <c r="J501" s="468"/>
      <c r="K501" s="468"/>
      <c r="L501" s="468"/>
      <c r="M501" s="468"/>
      <c r="N501" s="468"/>
      <c r="O501" s="468"/>
      <c r="P501" s="468"/>
      <c r="Q501" s="468"/>
      <c r="R501" s="468"/>
      <c r="S501" s="468"/>
      <c r="T501" s="468"/>
      <c r="U501" s="468"/>
      <c r="V501" s="468"/>
      <c r="W501" s="468"/>
      <c r="X501" s="468"/>
      <c r="Y501" s="468"/>
      <c r="Z501" s="468"/>
      <c r="AA501" s="468"/>
      <c r="AB501" s="468"/>
      <c r="AC501" s="468"/>
      <c r="AD501" s="468"/>
      <c r="AE501" s="468"/>
      <c r="AF501" s="468"/>
      <c r="AG501" s="468"/>
      <c r="AH501" s="468"/>
      <c r="AI501" s="468"/>
      <c r="AJ501" s="468"/>
    </row>
    <row r="502" spans="1:36" ht="18" customHeight="1" x14ac:dyDescent="0.35">
      <c r="A502" s="468"/>
      <c r="B502" s="468"/>
      <c r="C502" s="468"/>
      <c r="D502" s="468"/>
      <c r="E502" s="468"/>
      <c r="F502" s="468"/>
      <c r="G502" s="468"/>
      <c r="H502" s="468"/>
      <c r="I502" s="468"/>
      <c r="J502" s="468"/>
      <c r="K502" s="468"/>
      <c r="L502" s="468"/>
      <c r="M502" s="468"/>
      <c r="N502" s="468"/>
      <c r="O502" s="468"/>
      <c r="P502" s="468"/>
      <c r="Q502" s="468"/>
      <c r="R502" s="468"/>
      <c r="S502" s="468"/>
      <c r="T502" s="468"/>
      <c r="U502" s="468"/>
      <c r="V502" s="468"/>
      <c r="W502" s="468"/>
      <c r="X502" s="468"/>
      <c r="Y502" s="468"/>
      <c r="Z502" s="468"/>
      <c r="AA502" s="468"/>
      <c r="AB502" s="468"/>
      <c r="AC502" s="468"/>
      <c r="AD502" s="468"/>
      <c r="AE502" s="468"/>
      <c r="AF502" s="468"/>
      <c r="AG502" s="468"/>
      <c r="AH502" s="468"/>
      <c r="AI502" s="468"/>
      <c r="AJ502" s="468"/>
    </row>
    <row r="503" spans="1:36" ht="18" customHeight="1" x14ac:dyDescent="0.35">
      <c r="A503" s="468"/>
      <c r="B503" s="468"/>
      <c r="C503" s="468"/>
      <c r="D503" s="468"/>
      <c r="E503" s="468"/>
      <c r="F503" s="468"/>
      <c r="G503" s="468"/>
      <c r="H503" s="468"/>
      <c r="I503" s="468"/>
      <c r="J503" s="468"/>
      <c r="K503" s="468"/>
      <c r="L503" s="468"/>
      <c r="M503" s="468"/>
      <c r="N503" s="468"/>
      <c r="O503" s="468"/>
      <c r="P503" s="468"/>
      <c r="Q503" s="468"/>
      <c r="R503" s="468"/>
      <c r="S503" s="468"/>
      <c r="T503" s="468"/>
      <c r="U503" s="468"/>
      <c r="V503" s="468"/>
      <c r="W503" s="468"/>
      <c r="X503" s="468"/>
      <c r="Y503" s="468"/>
      <c r="Z503" s="468"/>
      <c r="AA503" s="468"/>
      <c r="AB503" s="468"/>
      <c r="AC503" s="468"/>
      <c r="AD503" s="468"/>
      <c r="AE503" s="468"/>
      <c r="AF503" s="468"/>
      <c r="AG503" s="468"/>
      <c r="AH503" s="468"/>
      <c r="AI503" s="468"/>
      <c r="AJ503" s="468"/>
    </row>
    <row r="504" spans="1:36" ht="18" customHeight="1" x14ac:dyDescent="0.35">
      <c r="A504" s="468"/>
      <c r="B504" s="468"/>
      <c r="C504" s="468"/>
      <c r="D504" s="468"/>
      <c r="E504" s="468"/>
      <c r="F504" s="468"/>
      <c r="G504" s="468"/>
      <c r="H504" s="468"/>
      <c r="I504" s="468"/>
      <c r="J504" s="468"/>
      <c r="K504" s="468"/>
      <c r="L504" s="468"/>
      <c r="M504" s="468"/>
      <c r="N504" s="468"/>
      <c r="O504" s="468"/>
      <c r="P504" s="468"/>
      <c r="Q504" s="468"/>
      <c r="R504" s="468"/>
      <c r="S504" s="468"/>
      <c r="T504" s="468"/>
      <c r="U504" s="468"/>
      <c r="V504" s="468"/>
      <c r="W504" s="468"/>
      <c r="X504" s="468"/>
      <c r="Y504" s="468"/>
      <c r="Z504" s="468"/>
      <c r="AA504" s="468"/>
      <c r="AB504" s="468"/>
      <c r="AC504" s="468"/>
      <c r="AD504" s="468"/>
      <c r="AE504" s="468"/>
      <c r="AF504" s="468"/>
      <c r="AG504" s="468"/>
      <c r="AH504" s="468"/>
      <c r="AI504" s="468"/>
      <c r="AJ504" s="468"/>
    </row>
    <row r="505" spans="1:36" ht="18" customHeight="1" x14ac:dyDescent="0.35">
      <c r="A505" s="468"/>
      <c r="B505" s="468"/>
      <c r="C505" s="468"/>
      <c r="D505" s="468"/>
      <c r="E505" s="468"/>
      <c r="F505" s="468"/>
      <c r="G505" s="468"/>
      <c r="H505" s="468"/>
      <c r="I505" s="468"/>
      <c r="J505" s="468"/>
      <c r="K505" s="468"/>
      <c r="L505" s="468"/>
      <c r="M505" s="468"/>
      <c r="N505" s="468"/>
      <c r="O505" s="468"/>
      <c r="P505" s="468"/>
      <c r="Q505" s="468"/>
      <c r="R505" s="468"/>
      <c r="S505" s="468"/>
      <c r="T505" s="468"/>
      <c r="U505" s="468"/>
      <c r="V505" s="468"/>
      <c r="W505" s="468"/>
      <c r="X505" s="468"/>
      <c r="Y505" s="468"/>
      <c r="Z505" s="468"/>
      <c r="AA505" s="468"/>
      <c r="AB505" s="468"/>
      <c r="AC505" s="468"/>
      <c r="AD505" s="468"/>
      <c r="AE505" s="468"/>
      <c r="AF505" s="468"/>
      <c r="AG505" s="468"/>
      <c r="AH505" s="468"/>
      <c r="AI505" s="468"/>
      <c r="AJ505" s="468"/>
    </row>
    <row r="506" spans="1:36" ht="18" customHeight="1" x14ac:dyDescent="0.35">
      <c r="A506" s="468"/>
      <c r="B506" s="468"/>
      <c r="C506" s="468"/>
      <c r="D506" s="468"/>
      <c r="E506" s="468"/>
      <c r="F506" s="468"/>
      <c r="G506" s="468"/>
      <c r="H506" s="468"/>
      <c r="I506" s="468"/>
      <c r="J506" s="468"/>
      <c r="K506" s="468"/>
      <c r="L506" s="468"/>
      <c r="M506" s="468"/>
      <c r="N506" s="468"/>
      <c r="O506" s="468"/>
      <c r="P506" s="468"/>
      <c r="Q506" s="468"/>
      <c r="R506" s="468"/>
      <c r="S506" s="468"/>
      <c r="T506" s="468"/>
      <c r="U506" s="468"/>
      <c r="V506" s="468"/>
      <c r="W506" s="468"/>
      <c r="X506" s="468"/>
      <c r="Y506" s="468"/>
      <c r="Z506" s="468"/>
      <c r="AA506" s="468"/>
      <c r="AB506" s="468"/>
      <c r="AC506" s="468"/>
      <c r="AD506" s="468"/>
      <c r="AE506" s="468"/>
      <c r="AF506" s="468"/>
      <c r="AG506" s="468"/>
      <c r="AH506" s="468"/>
      <c r="AI506" s="468"/>
      <c r="AJ506" s="468"/>
    </row>
    <row r="507" spans="1:36" ht="18" customHeight="1" x14ac:dyDescent="0.35">
      <c r="A507" s="468"/>
      <c r="B507" s="468"/>
      <c r="C507" s="468"/>
      <c r="D507" s="468"/>
      <c r="E507" s="468"/>
      <c r="F507" s="468"/>
      <c r="G507" s="468"/>
      <c r="H507" s="468"/>
      <c r="I507" s="468"/>
      <c r="J507" s="468"/>
      <c r="K507" s="468"/>
      <c r="L507" s="468"/>
      <c r="M507" s="468"/>
      <c r="N507" s="468"/>
      <c r="O507" s="468"/>
      <c r="P507" s="468"/>
      <c r="Q507" s="468"/>
      <c r="R507" s="468"/>
      <c r="S507" s="468"/>
      <c r="T507" s="468"/>
      <c r="U507" s="468"/>
      <c r="V507" s="468"/>
      <c r="W507" s="468"/>
      <c r="X507" s="468"/>
      <c r="Y507" s="468"/>
      <c r="Z507" s="468"/>
      <c r="AA507" s="468"/>
      <c r="AB507" s="468"/>
      <c r="AC507" s="468"/>
      <c r="AD507" s="468"/>
      <c r="AE507" s="468"/>
      <c r="AF507" s="468"/>
      <c r="AG507" s="468"/>
      <c r="AH507" s="468"/>
      <c r="AI507" s="468"/>
      <c r="AJ507" s="468"/>
    </row>
    <row r="508" spans="1:36" ht="18" customHeight="1" x14ac:dyDescent="0.35">
      <c r="A508" s="468"/>
      <c r="B508" s="468"/>
      <c r="C508" s="468"/>
      <c r="D508" s="468"/>
      <c r="E508" s="468"/>
      <c r="F508" s="468"/>
      <c r="G508" s="468"/>
      <c r="H508" s="468"/>
      <c r="I508" s="468"/>
      <c r="J508" s="468"/>
      <c r="K508" s="468"/>
      <c r="L508" s="468"/>
      <c r="M508" s="468"/>
      <c r="N508" s="468"/>
      <c r="O508" s="468"/>
      <c r="P508" s="468"/>
      <c r="Q508" s="468"/>
      <c r="R508" s="468"/>
      <c r="S508" s="468"/>
      <c r="T508" s="468"/>
      <c r="U508" s="468"/>
      <c r="V508" s="468"/>
      <c r="W508" s="468"/>
      <c r="X508" s="468"/>
      <c r="Y508" s="468"/>
      <c r="Z508" s="468"/>
      <c r="AA508" s="468"/>
      <c r="AB508" s="468"/>
      <c r="AC508" s="468"/>
      <c r="AD508" s="468"/>
      <c r="AE508" s="468"/>
      <c r="AF508" s="468"/>
      <c r="AG508" s="468"/>
      <c r="AH508" s="468"/>
      <c r="AI508" s="468"/>
      <c r="AJ508" s="468"/>
    </row>
    <row r="509" spans="1:36" ht="18" customHeight="1" x14ac:dyDescent="0.35">
      <c r="A509" s="468"/>
      <c r="B509" s="468"/>
      <c r="C509" s="468"/>
      <c r="D509" s="468"/>
      <c r="E509" s="468"/>
      <c r="F509" s="468"/>
      <c r="G509" s="468"/>
      <c r="H509" s="468"/>
      <c r="I509" s="468"/>
      <c r="J509" s="468"/>
      <c r="K509" s="468"/>
      <c r="L509" s="468"/>
      <c r="M509" s="468"/>
      <c r="N509" s="468"/>
      <c r="O509" s="468"/>
      <c r="P509" s="468"/>
      <c r="Q509" s="468"/>
      <c r="R509" s="468"/>
      <c r="S509" s="468"/>
      <c r="T509" s="468"/>
      <c r="U509" s="468"/>
      <c r="V509" s="468"/>
      <c r="W509" s="468"/>
      <c r="X509" s="468"/>
      <c r="Y509" s="468"/>
      <c r="Z509" s="468"/>
      <c r="AA509" s="468"/>
      <c r="AB509" s="468"/>
      <c r="AC509" s="468"/>
      <c r="AD509" s="468"/>
      <c r="AE509" s="468"/>
      <c r="AF509" s="468"/>
      <c r="AG509" s="468"/>
      <c r="AH509" s="468"/>
      <c r="AI509" s="468"/>
      <c r="AJ509" s="468"/>
    </row>
    <row r="510" spans="1:36" ht="18" customHeight="1" x14ac:dyDescent="0.35">
      <c r="A510" s="468"/>
      <c r="B510" s="468"/>
      <c r="C510" s="468"/>
      <c r="D510" s="468"/>
      <c r="E510" s="468"/>
      <c r="F510" s="468"/>
      <c r="G510" s="468"/>
      <c r="H510" s="468"/>
      <c r="I510" s="468"/>
      <c r="J510" s="468"/>
      <c r="K510" s="468"/>
      <c r="L510" s="468"/>
      <c r="M510" s="468"/>
      <c r="N510" s="468"/>
      <c r="O510" s="468"/>
      <c r="P510" s="468"/>
      <c r="Q510" s="468"/>
      <c r="R510" s="468"/>
      <c r="S510" s="468"/>
      <c r="T510" s="468"/>
      <c r="U510" s="468"/>
      <c r="V510" s="468"/>
      <c r="W510" s="468"/>
      <c r="X510" s="468"/>
      <c r="Y510" s="468"/>
      <c r="Z510" s="468"/>
      <c r="AA510" s="468"/>
      <c r="AB510" s="468"/>
      <c r="AC510" s="468"/>
      <c r="AD510" s="468"/>
      <c r="AE510" s="468"/>
      <c r="AF510" s="468"/>
      <c r="AG510" s="468"/>
      <c r="AH510" s="468"/>
      <c r="AI510" s="468"/>
      <c r="AJ510" s="468"/>
    </row>
    <row r="511" spans="1:36" ht="18" customHeight="1" x14ac:dyDescent="0.35">
      <c r="A511" s="468"/>
      <c r="B511" s="468"/>
      <c r="C511" s="468"/>
      <c r="D511" s="468"/>
      <c r="E511" s="468"/>
      <c r="F511" s="468"/>
      <c r="G511" s="468"/>
      <c r="H511" s="468"/>
      <c r="I511" s="468"/>
      <c r="J511" s="468"/>
      <c r="K511" s="468"/>
      <c r="L511" s="468"/>
      <c r="M511" s="468"/>
      <c r="N511" s="468"/>
      <c r="O511" s="468"/>
      <c r="P511" s="468"/>
      <c r="Q511" s="468"/>
      <c r="R511" s="468"/>
      <c r="S511" s="468"/>
      <c r="T511" s="468"/>
      <c r="U511" s="468"/>
      <c r="V511" s="468"/>
      <c r="W511" s="468"/>
      <c r="X511" s="468"/>
      <c r="Y511" s="468"/>
      <c r="Z511" s="468"/>
      <c r="AA511" s="468"/>
      <c r="AB511" s="468"/>
      <c r="AC511" s="468"/>
      <c r="AD511" s="468"/>
      <c r="AE511" s="468"/>
      <c r="AF511" s="468"/>
      <c r="AG511" s="468"/>
      <c r="AH511" s="468"/>
      <c r="AI511" s="468"/>
      <c r="AJ511" s="468"/>
    </row>
    <row r="512" spans="1:36" ht="18" customHeight="1" x14ac:dyDescent="0.35">
      <c r="A512" s="468"/>
      <c r="B512" s="468"/>
      <c r="C512" s="468"/>
      <c r="D512" s="468"/>
      <c r="E512" s="468"/>
      <c r="F512" s="468"/>
      <c r="G512" s="468"/>
      <c r="H512" s="468"/>
      <c r="I512" s="468"/>
      <c r="J512" s="468"/>
      <c r="K512" s="468"/>
      <c r="L512" s="468"/>
      <c r="M512" s="468"/>
      <c r="N512" s="468"/>
      <c r="O512" s="468"/>
      <c r="P512" s="468"/>
      <c r="Q512" s="468"/>
      <c r="R512" s="468"/>
      <c r="S512" s="468"/>
      <c r="T512" s="468"/>
      <c r="U512" s="468"/>
      <c r="V512" s="468"/>
      <c r="W512" s="468"/>
      <c r="X512" s="468"/>
      <c r="Y512" s="468"/>
      <c r="Z512" s="468"/>
      <c r="AA512" s="468"/>
      <c r="AB512" s="468"/>
      <c r="AC512" s="468"/>
      <c r="AD512" s="468"/>
      <c r="AE512" s="468"/>
      <c r="AF512" s="468"/>
      <c r="AG512" s="468"/>
      <c r="AH512" s="468"/>
      <c r="AI512" s="468"/>
      <c r="AJ512" s="468"/>
    </row>
    <row r="513" spans="1:36" ht="18" customHeight="1" x14ac:dyDescent="0.35">
      <c r="A513" s="468"/>
      <c r="B513" s="468"/>
      <c r="C513" s="468"/>
      <c r="D513" s="468"/>
      <c r="E513" s="468"/>
      <c r="F513" s="468"/>
      <c r="G513" s="468"/>
      <c r="H513" s="468"/>
      <c r="I513" s="468"/>
      <c r="J513" s="468"/>
      <c r="K513" s="468"/>
      <c r="L513" s="468"/>
      <c r="M513" s="468"/>
      <c r="N513" s="468"/>
      <c r="O513" s="468"/>
      <c r="P513" s="468"/>
      <c r="Q513" s="468"/>
      <c r="R513" s="468"/>
      <c r="S513" s="468"/>
      <c r="T513" s="468"/>
      <c r="U513" s="468"/>
      <c r="V513" s="468"/>
      <c r="W513" s="468"/>
      <c r="X513" s="468"/>
      <c r="Y513" s="468"/>
      <c r="Z513" s="468"/>
      <c r="AA513" s="468"/>
      <c r="AB513" s="468"/>
      <c r="AC513" s="468"/>
      <c r="AD513" s="468"/>
      <c r="AE513" s="468"/>
      <c r="AF513" s="468"/>
      <c r="AG513" s="468"/>
      <c r="AH513" s="468"/>
      <c r="AI513" s="468"/>
      <c r="AJ513" s="468"/>
    </row>
    <row r="514" spans="1:36" ht="18" customHeight="1" x14ac:dyDescent="0.35">
      <c r="A514" s="468"/>
      <c r="B514" s="468"/>
      <c r="C514" s="468"/>
      <c r="D514" s="468"/>
      <c r="E514" s="468"/>
      <c r="F514" s="468"/>
      <c r="G514" s="468"/>
      <c r="H514" s="468"/>
      <c r="I514" s="468"/>
      <c r="J514" s="468"/>
      <c r="K514" s="468"/>
      <c r="L514" s="468"/>
      <c r="M514" s="468"/>
      <c r="N514" s="468"/>
      <c r="O514" s="468"/>
      <c r="P514" s="468"/>
      <c r="Q514" s="468"/>
      <c r="R514" s="468"/>
      <c r="S514" s="468"/>
      <c r="T514" s="468"/>
      <c r="U514" s="468"/>
      <c r="V514" s="468"/>
      <c r="W514" s="468"/>
      <c r="X514" s="468"/>
      <c r="Y514" s="468"/>
      <c r="Z514" s="468"/>
      <c r="AA514" s="468"/>
      <c r="AB514" s="468"/>
      <c r="AC514" s="468"/>
      <c r="AD514" s="468"/>
      <c r="AE514" s="468"/>
      <c r="AF514" s="468"/>
      <c r="AG514" s="468"/>
      <c r="AH514" s="468"/>
      <c r="AI514" s="468"/>
      <c r="AJ514" s="468"/>
    </row>
    <row r="515" spans="1:36" ht="18" customHeight="1" x14ac:dyDescent="0.35">
      <c r="A515" s="468"/>
      <c r="B515" s="468"/>
      <c r="C515" s="468"/>
      <c r="D515" s="468"/>
      <c r="E515" s="468"/>
      <c r="F515" s="468"/>
      <c r="G515" s="468"/>
      <c r="H515" s="468"/>
      <c r="I515" s="468"/>
      <c r="J515" s="468"/>
      <c r="K515" s="468"/>
      <c r="L515" s="468"/>
      <c r="M515" s="468"/>
      <c r="N515" s="468"/>
      <c r="O515" s="468"/>
      <c r="P515" s="468"/>
      <c r="Q515" s="468"/>
      <c r="R515" s="468"/>
      <c r="S515" s="468"/>
      <c r="T515" s="468"/>
      <c r="U515" s="468"/>
      <c r="V515" s="468"/>
      <c r="W515" s="468"/>
      <c r="X515" s="468"/>
      <c r="Y515" s="468"/>
      <c r="Z515" s="468"/>
      <c r="AA515" s="468"/>
      <c r="AB515" s="468"/>
      <c r="AC515" s="468"/>
      <c r="AD515" s="468"/>
      <c r="AE515" s="468"/>
      <c r="AF515" s="468"/>
      <c r="AG515" s="468"/>
      <c r="AH515" s="468"/>
      <c r="AI515" s="468"/>
      <c r="AJ515" s="468"/>
    </row>
    <row r="516" spans="1:36" ht="18" customHeight="1" x14ac:dyDescent="0.35">
      <c r="A516" s="468"/>
      <c r="B516" s="468"/>
      <c r="C516" s="468"/>
      <c r="D516" s="468"/>
      <c r="E516" s="468"/>
      <c r="F516" s="468"/>
      <c r="G516" s="468"/>
      <c r="H516" s="468"/>
      <c r="I516" s="468"/>
      <c r="J516" s="468"/>
      <c r="K516" s="468"/>
      <c r="L516" s="468"/>
      <c r="M516" s="468"/>
      <c r="N516" s="468"/>
      <c r="O516" s="468"/>
      <c r="P516" s="468"/>
      <c r="Q516" s="468"/>
      <c r="R516" s="468"/>
      <c r="S516" s="468"/>
      <c r="T516" s="468"/>
      <c r="U516" s="468"/>
      <c r="V516" s="468"/>
      <c r="W516" s="468"/>
      <c r="X516" s="468"/>
      <c r="Y516" s="468"/>
      <c r="Z516" s="468"/>
      <c r="AA516" s="468"/>
      <c r="AB516" s="468"/>
      <c r="AC516" s="468"/>
      <c r="AD516" s="468"/>
      <c r="AE516" s="468"/>
      <c r="AF516" s="468"/>
      <c r="AG516" s="468"/>
      <c r="AH516" s="468"/>
      <c r="AI516" s="468"/>
      <c r="AJ516" s="468"/>
    </row>
    <row r="517" spans="1:36" ht="18" customHeight="1" x14ac:dyDescent="0.35">
      <c r="A517" s="468"/>
      <c r="B517" s="468"/>
      <c r="C517" s="468"/>
      <c r="D517" s="468"/>
      <c r="E517" s="468"/>
      <c r="F517" s="468"/>
      <c r="G517" s="468"/>
      <c r="H517" s="468"/>
      <c r="I517" s="468"/>
      <c r="J517" s="468"/>
      <c r="K517" s="468"/>
      <c r="L517" s="468"/>
      <c r="M517" s="468"/>
      <c r="N517" s="468"/>
      <c r="O517" s="468"/>
      <c r="P517" s="468"/>
      <c r="Q517" s="468"/>
      <c r="R517" s="468"/>
      <c r="S517" s="468"/>
      <c r="T517" s="468"/>
      <c r="U517" s="468"/>
      <c r="V517" s="468"/>
      <c r="W517" s="468"/>
      <c r="X517" s="468"/>
      <c r="Y517" s="468"/>
      <c r="Z517" s="468"/>
      <c r="AA517" s="468"/>
      <c r="AB517" s="468"/>
      <c r="AC517" s="468"/>
      <c r="AD517" s="468"/>
      <c r="AE517" s="468"/>
      <c r="AF517" s="468"/>
      <c r="AG517" s="468"/>
      <c r="AH517" s="468"/>
      <c r="AI517" s="468"/>
      <c r="AJ517" s="468"/>
    </row>
    <row r="518" spans="1:36" ht="18" customHeight="1" x14ac:dyDescent="0.35">
      <c r="A518" s="468"/>
      <c r="B518" s="468"/>
      <c r="C518" s="468"/>
      <c r="D518" s="468"/>
      <c r="E518" s="468"/>
      <c r="F518" s="468"/>
      <c r="G518" s="468"/>
      <c r="H518" s="468"/>
      <c r="I518" s="468"/>
      <c r="J518" s="468"/>
      <c r="K518" s="468"/>
      <c r="L518" s="468"/>
      <c r="M518" s="468"/>
      <c r="N518" s="468"/>
      <c r="O518" s="468"/>
      <c r="P518" s="468"/>
      <c r="Q518" s="468"/>
      <c r="R518" s="468"/>
      <c r="S518" s="468"/>
      <c r="T518" s="468"/>
      <c r="U518" s="468"/>
      <c r="V518" s="468"/>
      <c r="W518" s="468"/>
      <c r="X518" s="468"/>
      <c r="Y518" s="468"/>
      <c r="Z518" s="468"/>
      <c r="AA518" s="468"/>
      <c r="AB518" s="468"/>
      <c r="AC518" s="468"/>
      <c r="AD518" s="468"/>
      <c r="AE518" s="468"/>
      <c r="AF518" s="468"/>
      <c r="AG518" s="468"/>
      <c r="AH518" s="468"/>
      <c r="AI518" s="468"/>
      <c r="AJ518" s="468"/>
    </row>
    <row r="519" spans="1:36" ht="18" customHeight="1" x14ac:dyDescent="0.35">
      <c r="A519" s="468"/>
      <c r="B519" s="468"/>
      <c r="C519" s="468"/>
      <c r="D519" s="468"/>
      <c r="E519" s="468"/>
      <c r="F519" s="468"/>
      <c r="G519" s="468"/>
      <c r="H519" s="468"/>
      <c r="I519" s="468"/>
      <c r="J519" s="468"/>
      <c r="K519" s="468"/>
      <c r="L519" s="468"/>
      <c r="M519" s="468"/>
      <c r="N519" s="468"/>
      <c r="O519" s="468"/>
      <c r="P519" s="468"/>
      <c r="Q519" s="468"/>
      <c r="R519" s="468"/>
      <c r="S519" s="468"/>
      <c r="T519" s="468"/>
      <c r="U519" s="468"/>
      <c r="V519" s="468"/>
      <c r="W519" s="468"/>
      <c r="X519" s="468"/>
      <c r="Y519" s="468"/>
      <c r="Z519" s="468"/>
      <c r="AA519" s="468"/>
      <c r="AB519" s="468"/>
      <c r="AC519" s="468"/>
      <c r="AD519" s="468"/>
      <c r="AE519" s="468"/>
      <c r="AF519" s="468"/>
      <c r="AG519" s="468"/>
      <c r="AH519" s="468"/>
      <c r="AI519" s="468"/>
      <c r="AJ519" s="468"/>
    </row>
    <row r="520" spans="1:36" ht="18" customHeight="1" x14ac:dyDescent="0.35">
      <c r="A520" s="468"/>
      <c r="B520" s="468"/>
      <c r="C520" s="468"/>
      <c r="D520" s="468"/>
      <c r="E520" s="468"/>
      <c r="F520" s="468"/>
      <c r="G520" s="468"/>
      <c r="H520" s="468"/>
      <c r="I520" s="468"/>
      <c r="J520" s="468"/>
      <c r="K520" s="468"/>
      <c r="L520" s="468"/>
      <c r="M520" s="468"/>
      <c r="N520" s="468"/>
      <c r="O520" s="468"/>
      <c r="P520" s="468"/>
      <c r="Q520" s="468"/>
      <c r="R520" s="468"/>
      <c r="S520" s="468"/>
      <c r="T520" s="468"/>
      <c r="U520" s="468"/>
      <c r="V520" s="468"/>
      <c r="W520" s="468"/>
      <c r="X520" s="468"/>
      <c r="Y520" s="468"/>
      <c r="Z520" s="468"/>
      <c r="AA520" s="468"/>
      <c r="AB520" s="468"/>
      <c r="AC520" s="468"/>
      <c r="AD520" s="468"/>
      <c r="AE520" s="468"/>
      <c r="AF520" s="468"/>
      <c r="AG520" s="468"/>
      <c r="AH520" s="468"/>
      <c r="AI520" s="468"/>
      <c r="AJ520" s="468"/>
    </row>
    <row r="521" spans="1:36" ht="18" customHeight="1" x14ac:dyDescent="0.35">
      <c r="A521" s="468"/>
      <c r="B521" s="468"/>
      <c r="C521" s="468"/>
      <c r="D521" s="468"/>
      <c r="E521" s="468"/>
      <c r="F521" s="468"/>
      <c r="G521" s="468"/>
      <c r="H521" s="468"/>
      <c r="I521" s="468"/>
      <c r="J521" s="468"/>
      <c r="K521" s="468"/>
      <c r="L521" s="468"/>
      <c r="M521" s="468"/>
      <c r="N521" s="468"/>
      <c r="O521" s="468"/>
      <c r="P521" s="468"/>
      <c r="Q521" s="468"/>
      <c r="R521" s="468"/>
      <c r="S521" s="468"/>
      <c r="T521" s="468"/>
      <c r="U521" s="468"/>
      <c r="V521" s="468"/>
      <c r="W521" s="468"/>
      <c r="X521" s="468"/>
      <c r="Y521" s="468"/>
      <c r="Z521" s="468"/>
      <c r="AA521" s="468"/>
      <c r="AB521" s="468"/>
      <c r="AC521" s="468"/>
      <c r="AD521" s="468"/>
      <c r="AE521" s="468"/>
      <c r="AF521" s="468"/>
      <c r="AG521" s="468"/>
      <c r="AH521" s="468"/>
      <c r="AI521" s="468"/>
      <c r="AJ521" s="468"/>
    </row>
    <row r="522" spans="1:36" ht="18" customHeight="1" x14ac:dyDescent="0.35">
      <c r="A522" s="468"/>
      <c r="B522" s="468"/>
      <c r="C522" s="468"/>
      <c r="D522" s="468"/>
      <c r="E522" s="468"/>
      <c r="F522" s="468"/>
      <c r="G522" s="468"/>
      <c r="H522" s="468"/>
      <c r="I522" s="468"/>
      <c r="J522" s="468"/>
      <c r="K522" s="468"/>
      <c r="L522" s="468"/>
      <c r="M522" s="468"/>
      <c r="N522" s="468"/>
      <c r="O522" s="468"/>
      <c r="P522" s="468"/>
      <c r="Q522" s="468"/>
      <c r="R522" s="468"/>
      <c r="S522" s="468"/>
      <c r="T522" s="468"/>
      <c r="U522" s="468"/>
      <c r="V522" s="468"/>
      <c r="W522" s="468"/>
      <c r="X522" s="468"/>
      <c r="Y522" s="468"/>
      <c r="Z522" s="468"/>
      <c r="AA522" s="468"/>
      <c r="AB522" s="468"/>
      <c r="AC522" s="468"/>
      <c r="AD522" s="468"/>
      <c r="AE522" s="468"/>
      <c r="AF522" s="468"/>
      <c r="AG522" s="468"/>
      <c r="AH522" s="468"/>
      <c r="AI522" s="468"/>
      <c r="AJ522" s="468"/>
    </row>
    <row r="523" spans="1:36" ht="18" customHeight="1" x14ac:dyDescent="0.35">
      <c r="A523" s="468"/>
      <c r="B523" s="468"/>
      <c r="C523" s="468"/>
      <c r="D523" s="468"/>
      <c r="E523" s="468"/>
      <c r="F523" s="468"/>
      <c r="G523" s="468"/>
      <c r="H523" s="468"/>
      <c r="I523" s="468"/>
      <c r="J523" s="468"/>
      <c r="K523" s="468"/>
      <c r="L523" s="468"/>
      <c r="M523" s="468"/>
      <c r="N523" s="468"/>
      <c r="O523" s="468"/>
      <c r="P523" s="468"/>
      <c r="Q523" s="468"/>
      <c r="R523" s="468"/>
      <c r="S523" s="468"/>
      <c r="T523" s="468"/>
      <c r="U523" s="468"/>
      <c r="V523" s="468"/>
      <c r="W523" s="468"/>
      <c r="X523" s="468"/>
      <c r="Y523" s="468"/>
      <c r="Z523" s="468"/>
      <c r="AA523" s="468"/>
      <c r="AB523" s="468"/>
      <c r="AC523" s="468"/>
      <c r="AD523" s="468"/>
      <c r="AE523" s="468"/>
      <c r="AF523" s="468"/>
      <c r="AG523" s="468"/>
      <c r="AH523" s="468"/>
      <c r="AI523" s="468"/>
      <c r="AJ523" s="468"/>
    </row>
    <row r="524" spans="1:36" ht="18" customHeight="1" x14ac:dyDescent="0.35">
      <c r="A524" s="468"/>
      <c r="B524" s="468"/>
      <c r="C524" s="468"/>
      <c r="D524" s="468"/>
      <c r="E524" s="468"/>
      <c r="F524" s="468"/>
      <c r="G524" s="468"/>
      <c r="H524" s="468"/>
      <c r="I524" s="468"/>
      <c r="J524" s="468"/>
      <c r="K524" s="468"/>
      <c r="L524" s="468"/>
      <c r="M524" s="468"/>
      <c r="N524" s="468"/>
      <c r="O524" s="468"/>
      <c r="P524" s="468"/>
      <c r="Q524" s="468"/>
      <c r="R524" s="468"/>
      <c r="S524" s="468"/>
      <c r="T524" s="468"/>
      <c r="U524" s="468"/>
      <c r="V524" s="468"/>
      <c r="W524" s="468"/>
      <c r="X524" s="468"/>
      <c r="Y524" s="468"/>
      <c r="Z524" s="468"/>
      <c r="AA524" s="468"/>
      <c r="AB524" s="468"/>
      <c r="AC524" s="468"/>
      <c r="AD524" s="468"/>
      <c r="AE524" s="468"/>
      <c r="AF524" s="468"/>
      <c r="AG524" s="468"/>
      <c r="AH524" s="468"/>
      <c r="AI524" s="468"/>
      <c r="AJ524" s="468"/>
    </row>
    <row r="525" spans="1:36" ht="18" customHeight="1" x14ac:dyDescent="0.35">
      <c r="A525" s="468"/>
      <c r="B525" s="468"/>
      <c r="C525" s="468"/>
      <c r="D525" s="468"/>
      <c r="E525" s="468"/>
      <c r="F525" s="468"/>
      <c r="G525" s="468"/>
      <c r="H525" s="468"/>
      <c r="I525" s="468"/>
      <c r="J525" s="468"/>
      <c r="K525" s="468"/>
      <c r="L525" s="468"/>
      <c r="M525" s="468"/>
      <c r="N525" s="468"/>
      <c r="O525" s="468"/>
      <c r="P525" s="468"/>
      <c r="Q525" s="468"/>
      <c r="R525" s="468"/>
      <c r="S525" s="468"/>
      <c r="T525" s="468"/>
      <c r="U525" s="468"/>
      <c r="V525" s="468"/>
      <c r="W525" s="468"/>
      <c r="X525" s="468"/>
      <c r="Y525" s="468"/>
      <c r="Z525" s="468"/>
      <c r="AA525" s="468"/>
      <c r="AB525" s="468"/>
      <c r="AC525" s="468"/>
      <c r="AD525" s="468"/>
      <c r="AE525" s="468"/>
      <c r="AF525" s="468"/>
      <c r="AG525" s="468"/>
      <c r="AH525" s="468"/>
      <c r="AI525" s="468"/>
      <c r="AJ525" s="468"/>
    </row>
    <row r="526" spans="1:36" ht="18" customHeight="1" x14ac:dyDescent="0.35">
      <c r="A526" s="468"/>
      <c r="B526" s="468"/>
      <c r="C526" s="468"/>
      <c r="D526" s="468"/>
      <c r="E526" s="468"/>
      <c r="F526" s="468"/>
      <c r="G526" s="468"/>
      <c r="H526" s="468"/>
      <c r="I526" s="468"/>
      <c r="J526" s="468"/>
      <c r="K526" s="468"/>
      <c r="L526" s="468"/>
      <c r="M526" s="468"/>
      <c r="N526" s="468"/>
      <c r="O526" s="468"/>
      <c r="P526" s="468"/>
      <c r="Q526" s="468"/>
      <c r="R526" s="468"/>
      <c r="S526" s="468"/>
      <c r="T526" s="468"/>
      <c r="U526" s="468"/>
      <c r="V526" s="468"/>
      <c r="W526" s="468"/>
      <c r="X526" s="468"/>
      <c r="Y526" s="468"/>
      <c r="Z526" s="468"/>
      <c r="AA526" s="468"/>
      <c r="AB526" s="468"/>
      <c r="AC526" s="468"/>
      <c r="AD526" s="468"/>
      <c r="AE526" s="468"/>
      <c r="AF526" s="468"/>
      <c r="AG526" s="468"/>
      <c r="AH526" s="468"/>
      <c r="AI526" s="468"/>
      <c r="AJ526" s="468"/>
    </row>
    <row r="527" spans="1:36" ht="18" customHeight="1" x14ac:dyDescent="0.35">
      <c r="A527" s="468"/>
      <c r="B527" s="468"/>
      <c r="C527" s="468"/>
      <c r="D527" s="468"/>
      <c r="E527" s="468"/>
      <c r="F527" s="468"/>
      <c r="G527" s="468"/>
      <c r="H527" s="468"/>
      <c r="I527" s="468"/>
      <c r="J527" s="468"/>
      <c r="K527" s="468"/>
      <c r="L527" s="468"/>
      <c r="M527" s="468"/>
      <c r="N527" s="468"/>
      <c r="O527" s="468"/>
      <c r="P527" s="468"/>
      <c r="Q527" s="468"/>
      <c r="R527" s="468"/>
      <c r="S527" s="468"/>
      <c r="T527" s="468"/>
      <c r="U527" s="468"/>
      <c r="V527" s="468"/>
      <c r="W527" s="468"/>
      <c r="X527" s="468"/>
      <c r="Y527" s="468"/>
      <c r="Z527" s="468"/>
      <c r="AA527" s="468"/>
      <c r="AB527" s="468"/>
      <c r="AC527" s="468"/>
      <c r="AD527" s="468"/>
      <c r="AE527" s="468"/>
      <c r="AF527" s="468"/>
      <c r="AG527" s="468"/>
      <c r="AH527" s="468"/>
      <c r="AI527" s="468"/>
      <c r="AJ527" s="468"/>
    </row>
    <row r="528" spans="1:36" ht="18" customHeight="1" x14ac:dyDescent="0.35">
      <c r="A528" s="468"/>
      <c r="B528" s="468"/>
      <c r="C528" s="468"/>
      <c r="D528" s="468"/>
      <c r="E528" s="468"/>
      <c r="F528" s="468"/>
      <c r="G528" s="468"/>
      <c r="H528" s="468"/>
      <c r="I528" s="468"/>
      <c r="J528" s="468"/>
      <c r="K528" s="468"/>
      <c r="L528" s="468"/>
      <c r="M528" s="468"/>
      <c r="N528" s="468"/>
      <c r="O528" s="468"/>
      <c r="P528" s="468"/>
      <c r="Q528" s="468"/>
      <c r="R528" s="468"/>
      <c r="S528" s="468"/>
      <c r="T528" s="468"/>
      <c r="U528" s="468"/>
      <c r="V528" s="468"/>
      <c r="W528" s="468"/>
      <c r="X528" s="468"/>
      <c r="Y528" s="468"/>
      <c r="Z528" s="468"/>
      <c r="AA528" s="468"/>
      <c r="AB528" s="468"/>
      <c r="AC528" s="468"/>
      <c r="AD528" s="468"/>
      <c r="AE528" s="468"/>
      <c r="AF528" s="468"/>
      <c r="AG528" s="468"/>
      <c r="AH528" s="468"/>
      <c r="AI528" s="468"/>
      <c r="AJ528" s="468"/>
    </row>
    <row r="529" spans="1:36" ht="18" customHeight="1" x14ac:dyDescent="0.35">
      <c r="A529" s="468"/>
      <c r="B529" s="468"/>
      <c r="C529" s="468"/>
      <c r="D529" s="468"/>
      <c r="E529" s="468"/>
      <c r="F529" s="468"/>
      <c r="G529" s="468"/>
      <c r="H529" s="468"/>
      <c r="I529" s="468"/>
      <c r="J529" s="468"/>
      <c r="K529" s="468"/>
      <c r="L529" s="468"/>
      <c r="M529" s="468"/>
      <c r="N529" s="468"/>
      <c r="O529" s="468"/>
      <c r="P529" s="468"/>
      <c r="Q529" s="468"/>
      <c r="R529" s="468"/>
      <c r="S529" s="468"/>
      <c r="T529" s="468"/>
      <c r="U529" s="468"/>
      <c r="V529" s="468"/>
      <c r="W529" s="468"/>
      <c r="X529" s="468"/>
      <c r="Y529" s="468"/>
      <c r="Z529" s="468"/>
      <c r="AA529" s="468"/>
      <c r="AB529" s="468"/>
      <c r="AC529" s="468"/>
      <c r="AD529" s="468"/>
      <c r="AE529" s="468"/>
      <c r="AF529" s="468"/>
      <c r="AG529" s="468"/>
      <c r="AH529" s="468"/>
      <c r="AI529" s="468"/>
      <c r="AJ529" s="468"/>
    </row>
    <row r="530" spans="1:36" ht="18" customHeight="1" x14ac:dyDescent="0.35">
      <c r="A530" s="468"/>
      <c r="B530" s="468"/>
      <c r="C530" s="468"/>
      <c r="D530" s="468"/>
      <c r="E530" s="468"/>
      <c r="F530" s="468"/>
      <c r="G530" s="468"/>
      <c r="H530" s="468"/>
      <c r="I530" s="468"/>
      <c r="J530" s="468"/>
      <c r="K530" s="468"/>
      <c r="L530" s="468"/>
      <c r="M530" s="468"/>
      <c r="N530" s="468"/>
      <c r="O530" s="468"/>
      <c r="P530" s="468"/>
      <c r="Q530" s="468"/>
      <c r="R530" s="468"/>
      <c r="S530" s="468"/>
      <c r="T530" s="468"/>
      <c r="U530" s="468"/>
      <c r="V530" s="468"/>
      <c r="W530" s="468"/>
      <c r="X530" s="468"/>
      <c r="Y530" s="468"/>
      <c r="Z530" s="468"/>
      <c r="AA530" s="468"/>
      <c r="AB530" s="468"/>
      <c r="AC530" s="468"/>
      <c r="AD530" s="468"/>
      <c r="AE530" s="468"/>
      <c r="AF530" s="468"/>
      <c r="AG530" s="468"/>
      <c r="AH530" s="468"/>
      <c r="AI530" s="468"/>
      <c r="AJ530" s="468"/>
    </row>
    <row r="531" spans="1:36" ht="18" customHeight="1" x14ac:dyDescent="0.35">
      <c r="A531" s="468"/>
      <c r="B531" s="468"/>
      <c r="C531" s="468"/>
      <c r="D531" s="468"/>
      <c r="E531" s="468"/>
      <c r="F531" s="468"/>
      <c r="G531" s="468"/>
      <c r="H531" s="468"/>
      <c r="I531" s="468"/>
      <c r="J531" s="468"/>
      <c r="K531" s="468"/>
      <c r="L531" s="468"/>
      <c r="M531" s="468"/>
      <c r="N531" s="468"/>
      <c r="O531" s="468"/>
      <c r="P531" s="468"/>
      <c r="Q531" s="468"/>
      <c r="R531" s="468"/>
      <c r="S531" s="468"/>
      <c r="T531" s="468"/>
      <c r="U531" s="468"/>
      <c r="V531" s="468"/>
      <c r="W531" s="468"/>
      <c r="X531" s="468"/>
      <c r="Y531" s="468"/>
      <c r="Z531" s="468"/>
      <c r="AA531" s="468"/>
      <c r="AB531" s="468"/>
      <c r="AC531" s="468"/>
      <c r="AD531" s="468"/>
      <c r="AE531" s="468"/>
      <c r="AF531" s="468"/>
      <c r="AG531" s="468"/>
      <c r="AH531" s="468"/>
      <c r="AI531" s="468"/>
      <c r="AJ531" s="468"/>
    </row>
    <row r="532" spans="1:36" ht="18" customHeight="1" x14ac:dyDescent="0.35">
      <c r="A532" s="468"/>
      <c r="B532" s="468"/>
      <c r="C532" s="468"/>
      <c r="D532" s="468"/>
      <c r="E532" s="468"/>
      <c r="F532" s="468"/>
      <c r="G532" s="468"/>
      <c r="H532" s="468"/>
      <c r="I532" s="468"/>
      <c r="J532" s="468"/>
      <c r="K532" s="468"/>
      <c r="L532" s="468"/>
      <c r="M532" s="468"/>
      <c r="N532" s="468"/>
      <c r="O532" s="468"/>
      <c r="P532" s="468"/>
      <c r="Q532" s="468"/>
      <c r="R532" s="468"/>
      <c r="S532" s="468"/>
      <c r="T532" s="468"/>
      <c r="U532" s="468"/>
      <c r="V532" s="468"/>
      <c r="W532" s="468"/>
      <c r="X532" s="468"/>
      <c r="Y532" s="468"/>
      <c r="Z532" s="468"/>
      <c r="AA532" s="468"/>
      <c r="AB532" s="468"/>
      <c r="AC532" s="468"/>
      <c r="AD532" s="468"/>
      <c r="AE532" s="468"/>
      <c r="AF532" s="468"/>
      <c r="AG532" s="468"/>
      <c r="AH532" s="468"/>
      <c r="AI532" s="468"/>
      <c r="AJ532" s="468"/>
    </row>
    <row r="533" spans="1:36" ht="18" customHeight="1" x14ac:dyDescent="0.35">
      <c r="A533" s="468"/>
      <c r="B533" s="468"/>
      <c r="C533" s="468"/>
      <c r="D533" s="468"/>
      <c r="E533" s="468"/>
      <c r="F533" s="468"/>
      <c r="G533" s="468"/>
      <c r="H533" s="468"/>
      <c r="I533" s="468"/>
      <c r="J533" s="468"/>
      <c r="K533" s="468"/>
      <c r="L533" s="468"/>
      <c r="M533" s="468"/>
      <c r="N533" s="468"/>
      <c r="O533" s="468"/>
      <c r="P533" s="468"/>
      <c r="Q533" s="468"/>
      <c r="R533" s="468"/>
      <c r="S533" s="468"/>
      <c r="T533" s="468"/>
      <c r="U533" s="468"/>
      <c r="V533" s="468"/>
      <c r="W533" s="468"/>
      <c r="X533" s="468"/>
      <c r="Y533" s="468"/>
      <c r="Z533" s="468"/>
      <c r="AA533" s="468"/>
      <c r="AB533" s="468"/>
      <c r="AC533" s="468"/>
      <c r="AD533" s="468"/>
      <c r="AE533" s="468"/>
      <c r="AF533" s="468"/>
      <c r="AG533" s="468"/>
      <c r="AH533" s="468"/>
      <c r="AI533" s="468"/>
      <c r="AJ533" s="468"/>
    </row>
    <row r="534" spans="1:36" ht="18" customHeight="1" x14ac:dyDescent="0.35">
      <c r="A534" s="468"/>
      <c r="B534" s="468"/>
      <c r="C534" s="468"/>
      <c r="D534" s="468"/>
      <c r="E534" s="468"/>
      <c r="F534" s="468"/>
      <c r="G534" s="468"/>
      <c r="H534" s="468"/>
      <c r="I534" s="468"/>
      <c r="J534" s="468"/>
      <c r="K534" s="468"/>
      <c r="L534" s="468"/>
      <c r="M534" s="468"/>
      <c r="N534" s="468"/>
      <c r="O534" s="468"/>
      <c r="P534" s="468"/>
      <c r="Q534" s="468"/>
      <c r="R534" s="468"/>
      <c r="S534" s="468"/>
      <c r="T534" s="468"/>
      <c r="U534" s="468"/>
      <c r="V534" s="468"/>
      <c r="W534" s="468"/>
      <c r="X534" s="468"/>
      <c r="Y534" s="468"/>
      <c r="Z534" s="468"/>
      <c r="AA534" s="468"/>
      <c r="AB534" s="468"/>
      <c r="AC534" s="468"/>
      <c r="AD534" s="468"/>
      <c r="AE534" s="468"/>
      <c r="AF534" s="468"/>
      <c r="AG534" s="468"/>
      <c r="AH534" s="468"/>
      <c r="AI534" s="468"/>
      <c r="AJ534" s="468"/>
    </row>
    <row r="535" spans="1:36" ht="18" customHeight="1" x14ac:dyDescent="0.35">
      <c r="A535" s="468"/>
      <c r="B535" s="468"/>
      <c r="C535" s="468"/>
      <c r="D535" s="468"/>
      <c r="E535" s="468"/>
      <c r="F535" s="468"/>
      <c r="G535" s="468"/>
      <c r="H535" s="468"/>
      <c r="I535" s="468"/>
      <c r="J535" s="468"/>
      <c r="K535" s="468"/>
      <c r="L535" s="468"/>
      <c r="M535" s="468"/>
      <c r="N535" s="468"/>
      <c r="O535" s="468"/>
      <c r="P535" s="468"/>
      <c r="Q535" s="468"/>
      <c r="R535" s="468"/>
      <c r="S535" s="468"/>
      <c r="T535" s="468"/>
      <c r="U535" s="468"/>
      <c r="V535" s="468"/>
      <c r="W535" s="468"/>
      <c r="X535" s="468"/>
      <c r="Y535" s="468"/>
      <c r="Z535" s="468"/>
      <c r="AA535" s="468"/>
      <c r="AB535" s="468"/>
      <c r="AC535" s="468"/>
      <c r="AD535" s="468"/>
      <c r="AE535" s="468"/>
      <c r="AF535" s="468"/>
      <c r="AG535" s="468"/>
      <c r="AH535" s="468"/>
      <c r="AI535" s="468"/>
      <c r="AJ535" s="468"/>
    </row>
    <row r="536" spans="1:36" ht="18" customHeight="1" x14ac:dyDescent="0.35">
      <c r="A536" s="468"/>
      <c r="B536" s="468"/>
      <c r="C536" s="468"/>
      <c r="D536" s="468"/>
      <c r="E536" s="468"/>
      <c r="F536" s="468"/>
      <c r="G536" s="468"/>
      <c r="H536" s="468"/>
      <c r="I536" s="468"/>
      <c r="J536" s="468"/>
      <c r="K536" s="468"/>
      <c r="L536" s="468"/>
      <c r="M536" s="468"/>
      <c r="N536" s="468"/>
      <c r="O536" s="468"/>
      <c r="P536" s="468"/>
      <c r="Q536" s="468"/>
      <c r="R536" s="468"/>
      <c r="S536" s="468"/>
      <c r="T536" s="468"/>
      <c r="U536" s="468"/>
      <c r="V536" s="468"/>
      <c r="W536" s="468"/>
      <c r="X536" s="468"/>
      <c r="Y536" s="468"/>
      <c r="Z536" s="468"/>
      <c r="AA536" s="468"/>
      <c r="AB536" s="468"/>
      <c r="AC536" s="468"/>
      <c r="AD536" s="468"/>
      <c r="AE536" s="468"/>
      <c r="AF536" s="468"/>
      <c r="AG536" s="468"/>
      <c r="AH536" s="468"/>
      <c r="AI536" s="468"/>
      <c r="AJ536" s="468"/>
    </row>
    <row r="537" spans="1:36" ht="18" customHeight="1" x14ac:dyDescent="0.35">
      <c r="A537" s="468"/>
      <c r="B537" s="468"/>
      <c r="C537" s="468"/>
      <c r="D537" s="468"/>
      <c r="E537" s="468"/>
      <c r="F537" s="468"/>
      <c r="G537" s="468"/>
      <c r="H537" s="468"/>
      <c r="I537" s="468"/>
      <c r="J537" s="468"/>
      <c r="K537" s="468"/>
      <c r="L537" s="468"/>
      <c r="M537" s="468"/>
      <c r="N537" s="468"/>
      <c r="O537" s="468"/>
      <c r="P537" s="468"/>
      <c r="Q537" s="468"/>
      <c r="R537" s="468"/>
      <c r="S537" s="468"/>
      <c r="T537" s="468"/>
      <c r="U537" s="468"/>
      <c r="V537" s="468"/>
      <c r="W537" s="468"/>
      <c r="X537" s="468"/>
      <c r="Y537" s="468"/>
      <c r="Z537" s="468"/>
      <c r="AA537" s="468"/>
      <c r="AB537" s="468"/>
      <c r="AC537" s="468"/>
      <c r="AD537" s="468"/>
      <c r="AE537" s="468"/>
      <c r="AF537" s="468"/>
      <c r="AG537" s="468"/>
      <c r="AH537" s="468"/>
      <c r="AI537" s="468"/>
      <c r="AJ537" s="468"/>
    </row>
    <row r="538" spans="1:36" ht="18" customHeight="1" x14ac:dyDescent="0.35">
      <c r="A538" s="468"/>
      <c r="B538" s="468"/>
      <c r="C538" s="468"/>
      <c r="D538" s="468"/>
      <c r="E538" s="468"/>
      <c r="F538" s="468"/>
      <c r="G538" s="468"/>
      <c r="H538" s="468"/>
      <c r="I538" s="468"/>
      <c r="J538" s="468"/>
      <c r="K538" s="468"/>
      <c r="L538" s="468"/>
      <c r="M538" s="468"/>
      <c r="N538" s="468"/>
      <c r="O538" s="468"/>
      <c r="P538" s="468"/>
      <c r="Q538" s="468"/>
      <c r="R538" s="468"/>
      <c r="S538" s="468"/>
      <c r="T538" s="468"/>
      <c r="U538" s="468"/>
      <c r="V538" s="468"/>
      <c r="W538" s="468"/>
      <c r="X538" s="468"/>
      <c r="Y538" s="468"/>
      <c r="Z538" s="468"/>
      <c r="AA538" s="468"/>
      <c r="AB538" s="468"/>
      <c r="AC538" s="468"/>
      <c r="AD538" s="468"/>
      <c r="AE538" s="468"/>
      <c r="AF538" s="468"/>
      <c r="AG538" s="468"/>
      <c r="AH538" s="468"/>
      <c r="AI538" s="468"/>
      <c r="AJ538" s="468"/>
    </row>
    <row r="539" spans="1:36" ht="18" customHeight="1" x14ac:dyDescent="0.35">
      <c r="A539" s="468"/>
      <c r="B539" s="468"/>
      <c r="C539" s="468"/>
      <c r="D539" s="468"/>
      <c r="E539" s="468"/>
      <c r="F539" s="468"/>
      <c r="G539" s="468"/>
      <c r="H539" s="468"/>
      <c r="I539" s="468"/>
      <c r="J539" s="468"/>
      <c r="K539" s="468"/>
      <c r="L539" s="468"/>
      <c r="M539" s="468"/>
      <c r="N539" s="468"/>
      <c r="O539" s="468"/>
      <c r="P539" s="468"/>
      <c r="Q539" s="468"/>
      <c r="R539" s="468"/>
      <c r="S539" s="468"/>
      <c r="T539" s="468"/>
      <c r="U539" s="468"/>
      <c r="V539" s="468"/>
      <c r="W539" s="468"/>
      <c r="X539" s="468"/>
      <c r="Y539" s="468"/>
      <c r="Z539" s="468"/>
      <c r="AA539" s="468"/>
      <c r="AB539" s="468"/>
      <c r="AC539" s="468"/>
      <c r="AD539" s="468"/>
      <c r="AE539" s="468"/>
      <c r="AF539" s="468"/>
      <c r="AG539" s="468"/>
      <c r="AH539" s="468"/>
      <c r="AI539" s="468"/>
      <c r="AJ539" s="468"/>
    </row>
    <row r="540" spans="1:36" ht="18" customHeight="1" x14ac:dyDescent="0.35">
      <c r="A540" s="468"/>
      <c r="B540" s="468"/>
      <c r="C540" s="468"/>
      <c r="D540" s="468"/>
      <c r="E540" s="468"/>
      <c r="F540" s="468"/>
      <c r="G540" s="468"/>
      <c r="H540" s="468"/>
      <c r="I540" s="468"/>
      <c r="J540" s="468"/>
      <c r="K540" s="468"/>
      <c r="L540" s="468"/>
      <c r="M540" s="468"/>
      <c r="N540" s="468"/>
      <c r="O540" s="468"/>
      <c r="P540" s="468"/>
      <c r="Q540" s="468"/>
      <c r="R540" s="468"/>
      <c r="S540" s="468"/>
      <c r="T540" s="468"/>
      <c r="U540" s="468"/>
      <c r="V540" s="468"/>
      <c r="W540" s="468"/>
      <c r="X540" s="468"/>
      <c r="Y540" s="468"/>
      <c r="Z540" s="468"/>
      <c r="AA540" s="468"/>
      <c r="AB540" s="468"/>
      <c r="AC540" s="468"/>
      <c r="AD540" s="468"/>
      <c r="AE540" s="468"/>
      <c r="AF540" s="468"/>
      <c r="AG540" s="468"/>
      <c r="AH540" s="468"/>
      <c r="AI540" s="468"/>
      <c r="AJ540" s="468"/>
    </row>
    <row r="541" spans="1:36" ht="18" customHeight="1" x14ac:dyDescent="0.35">
      <c r="A541" s="468"/>
      <c r="B541" s="468"/>
      <c r="C541" s="468"/>
      <c r="D541" s="468"/>
      <c r="E541" s="468"/>
      <c r="F541" s="468"/>
      <c r="G541" s="468"/>
      <c r="H541" s="468"/>
      <c r="I541" s="468"/>
      <c r="J541" s="468"/>
      <c r="K541" s="468"/>
      <c r="L541" s="468"/>
      <c r="M541" s="468"/>
      <c r="N541" s="468"/>
      <c r="O541" s="468"/>
      <c r="P541" s="468"/>
      <c r="Q541" s="468"/>
      <c r="R541" s="468"/>
      <c r="S541" s="468"/>
      <c r="T541" s="468"/>
      <c r="U541" s="468"/>
      <c r="V541" s="468"/>
      <c r="W541" s="468"/>
      <c r="X541" s="468"/>
      <c r="Y541" s="468"/>
      <c r="Z541" s="468"/>
      <c r="AA541" s="468"/>
      <c r="AB541" s="468"/>
      <c r="AC541" s="468"/>
      <c r="AD541" s="468"/>
      <c r="AE541" s="468"/>
      <c r="AF541" s="468"/>
      <c r="AG541" s="468"/>
      <c r="AH541" s="468"/>
      <c r="AI541" s="468"/>
      <c r="AJ541" s="468"/>
    </row>
    <row r="542" spans="1:36" ht="18" customHeight="1" x14ac:dyDescent="0.35">
      <c r="A542" s="468"/>
      <c r="B542" s="468"/>
      <c r="C542" s="468"/>
      <c r="D542" s="468"/>
      <c r="E542" s="468"/>
      <c r="F542" s="468"/>
      <c r="G542" s="468"/>
      <c r="H542" s="468"/>
      <c r="I542" s="468"/>
      <c r="J542" s="468"/>
      <c r="K542" s="468"/>
      <c r="L542" s="468"/>
      <c r="M542" s="468"/>
      <c r="N542" s="468"/>
      <c r="O542" s="468"/>
      <c r="P542" s="468"/>
      <c r="Q542" s="468"/>
      <c r="R542" s="468"/>
      <c r="S542" s="468"/>
      <c r="T542" s="468"/>
      <c r="U542" s="468"/>
      <c r="V542" s="468"/>
      <c r="W542" s="468"/>
      <c r="X542" s="468"/>
      <c r="Y542" s="468"/>
      <c r="Z542" s="468"/>
      <c r="AA542" s="468"/>
      <c r="AB542" s="468"/>
      <c r="AC542" s="468"/>
      <c r="AD542" s="468"/>
      <c r="AE542" s="468"/>
      <c r="AF542" s="468"/>
      <c r="AG542" s="468"/>
      <c r="AH542" s="468"/>
      <c r="AI542" s="468"/>
      <c r="AJ542" s="468"/>
    </row>
    <row r="543" spans="1:36" ht="18" customHeight="1" x14ac:dyDescent="0.35">
      <c r="A543" s="468"/>
      <c r="B543" s="468"/>
      <c r="C543" s="468"/>
      <c r="D543" s="468"/>
      <c r="E543" s="468"/>
      <c r="F543" s="468"/>
      <c r="G543" s="468"/>
      <c r="H543" s="468"/>
      <c r="I543" s="468"/>
      <c r="J543" s="468"/>
      <c r="K543" s="468"/>
      <c r="L543" s="468"/>
      <c r="M543" s="468"/>
      <c r="N543" s="468"/>
      <c r="O543" s="468"/>
      <c r="P543" s="468"/>
      <c r="Q543" s="468"/>
      <c r="R543" s="468"/>
      <c r="S543" s="468"/>
      <c r="T543" s="468"/>
      <c r="U543" s="468"/>
      <c r="V543" s="468"/>
      <c r="W543" s="468"/>
      <c r="X543" s="468"/>
      <c r="Y543" s="468"/>
      <c r="Z543" s="468"/>
      <c r="AA543" s="468"/>
      <c r="AB543" s="468"/>
      <c r="AC543" s="468"/>
      <c r="AD543" s="468"/>
      <c r="AE543" s="468"/>
      <c r="AF543" s="468"/>
      <c r="AG543" s="468"/>
      <c r="AH543" s="468"/>
      <c r="AI543" s="468"/>
      <c r="AJ543" s="468"/>
    </row>
    <row r="544" spans="1:36" ht="18" customHeight="1" x14ac:dyDescent="0.35">
      <c r="A544" s="468"/>
      <c r="B544" s="468"/>
      <c r="C544" s="468"/>
      <c r="D544" s="468"/>
      <c r="E544" s="468"/>
      <c r="F544" s="468"/>
      <c r="G544" s="468"/>
      <c r="H544" s="468"/>
      <c r="I544" s="468"/>
      <c r="J544" s="468"/>
      <c r="K544" s="468"/>
      <c r="L544" s="468"/>
      <c r="M544" s="468"/>
      <c r="N544" s="468"/>
      <c r="O544" s="468"/>
      <c r="P544" s="468"/>
      <c r="Q544" s="468"/>
      <c r="R544" s="468"/>
      <c r="S544" s="468"/>
      <c r="T544" s="468"/>
      <c r="U544" s="468"/>
      <c r="V544" s="468"/>
      <c r="W544" s="468"/>
      <c r="X544" s="468"/>
      <c r="Y544" s="468"/>
      <c r="Z544" s="468"/>
      <c r="AA544" s="468"/>
      <c r="AB544" s="468"/>
      <c r="AC544" s="468"/>
      <c r="AD544" s="468"/>
      <c r="AE544" s="468"/>
      <c r="AF544" s="468"/>
      <c r="AG544" s="468"/>
      <c r="AH544" s="468"/>
      <c r="AI544" s="468"/>
      <c r="AJ544" s="468"/>
    </row>
    <row r="545" spans="1:36" ht="18" customHeight="1" x14ac:dyDescent="0.35">
      <c r="A545" s="468"/>
      <c r="B545" s="468"/>
      <c r="C545" s="468"/>
      <c r="D545" s="468"/>
      <c r="E545" s="468"/>
      <c r="F545" s="468"/>
      <c r="G545" s="468"/>
      <c r="H545" s="468"/>
      <c r="I545" s="468"/>
      <c r="J545" s="468"/>
      <c r="K545" s="468"/>
      <c r="L545" s="468"/>
      <c r="M545" s="468"/>
      <c r="N545" s="468"/>
      <c r="O545" s="468"/>
      <c r="P545" s="468"/>
      <c r="Q545" s="468"/>
      <c r="R545" s="468"/>
      <c r="S545" s="468"/>
      <c r="T545" s="468"/>
      <c r="U545" s="468"/>
      <c r="V545" s="468"/>
      <c r="W545" s="468"/>
      <c r="X545" s="468"/>
      <c r="Y545" s="468"/>
      <c r="Z545" s="468"/>
      <c r="AA545" s="468"/>
      <c r="AB545" s="468"/>
      <c r="AC545" s="468"/>
      <c r="AD545" s="468"/>
      <c r="AE545" s="468"/>
      <c r="AF545" s="468"/>
      <c r="AG545" s="468"/>
      <c r="AH545" s="468"/>
      <c r="AI545" s="468"/>
      <c r="AJ545" s="468"/>
    </row>
    <row r="546" spans="1:36" ht="18" customHeight="1" x14ac:dyDescent="0.35">
      <c r="A546" s="468"/>
      <c r="B546" s="468"/>
      <c r="C546" s="468"/>
      <c r="D546" s="468"/>
      <c r="E546" s="468"/>
      <c r="F546" s="468"/>
      <c r="G546" s="468"/>
      <c r="H546" s="468"/>
      <c r="I546" s="468"/>
      <c r="J546" s="468"/>
      <c r="K546" s="468"/>
      <c r="L546" s="468"/>
      <c r="M546" s="468"/>
      <c r="N546" s="468"/>
      <c r="O546" s="468"/>
      <c r="P546" s="468"/>
      <c r="Q546" s="468"/>
      <c r="R546" s="468"/>
      <c r="S546" s="468"/>
      <c r="T546" s="468"/>
      <c r="U546" s="468"/>
      <c r="V546" s="468"/>
      <c r="W546" s="468"/>
      <c r="X546" s="468"/>
      <c r="Y546" s="468"/>
      <c r="Z546" s="468"/>
      <c r="AA546" s="468"/>
      <c r="AB546" s="468"/>
      <c r="AC546" s="468"/>
      <c r="AD546" s="468"/>
      <c r="AE546" s="468"/>
      <c r="AF546" s="468"/>
      <c r="AG546" s="468"/>
      <c r="AH546" s="468"/>
      <c r="AI546" s="468"/>
      <c r="AJ546" s="468"/>
    </row>
    <row r="547" spans="1:36" ht="18" customHeight="1" x14ac:dyDescent="0.35">
      <c r="A547" s="468"/>
      <c r="B547" s="468"/>
      <c r="C547" s="468"/>
      <c r="D547" s="468"/>
      <c r="E547" s="468"/>
      <c r="F547" s="468"/>
      <c r="G547" s="468"/>
      <c r="H547" s="468"/>
      <c r="I547" s="468"/>
      <c r="J547" s="468"/>
      <c r="K547" s="468"/>
      <c r="L547" s="468"/>
      <c r="M547" s="468"/>
      <c r="N547" s="468"/>
      <c r="O547" s="468"/>
      <c r="P547" s="468"/>
      <c r="Q547" s="468"/>
      <c r="R547" s="468"/>
      <c r="S547" s="468"/>
      <c r="T547" s="468"/>
      <c r="U547" s="468"/>
      <c r="V547" s="468"/>
      <c r="W547" s="468"/>
      <c r="X547" s="468"/>
      <c r="Y547" s="468"/>
      <c r="Z547" s="468"/>
      <c r="AA547" s="468"/>
      <c r="AB547" s="468"/>
      <c r="AC547" s="468"/>
      <c r="AD547" s="468"/>
      <c r="AE547" s="468"/>
      <c r="AF547" s="468"/>
      <c r="AG547" s="468"/>
      <c r="AH547" s="468"/>
      <c r="AI547" s="468"/>
      <c r="AJ547" s="468"/>
    </row>
    <row r="548" spans="1:36" ht="18" customHeight="1" x14ac:dyDescent="0.35">
      <c r="A548" s="468"/>
      <c r="B548" s="468"/>
      <c r="C548" s="468"/>
      <c r="D548" s="468"/>
      <c r="E548" s="468"/>
      <c r="F548" s="468"/>
      <c r="G548" s="468"/>
      <c r="H548" s="468"/>
      <c r="I548" s="468"/>
      <c r="J548" s="468"/>
      <c r="K548" s="468"/>
      <c r="L548" s="468"/>
      <c r="M548" s="468"/>
      <c r="N548" s="468"/>
      <c r="O548" s="468"/>
      <c r="P548" s="468"/>
      <c r="Q548" s="468"/>
      <c r="R548" s="468"/>
      <c r="S548" s="468"/>
      <c r="T548" s="468"/>
      <c r="U548" s="468"/>
      <c r="V548" s="468"/>
      <c r="W548" s="468"/>
      <c r="X548" s="468"/>
      <c r="Y548" s="468"/>
      <c r="Z548" s="468"/>
      <c r="AA548" s="468"/>
      <c r="AB548" s="468"/>
      <c r="AC548" s="468"/>
      <c r="AD548" s="468"/>
      <c r="AE548" s="468"/>
      <c r="AF548" s="468"/>
      <c r="AG548" s="468"/>
      <c r="AH548" s="468"/>
      <c r="AI548" s="468"/>
      <c r="AJ548" s="468"/>
    </row>
    <row r="549" spans="1:36" ht="18" customHeight="1" x14ac:dyDescent="0.35">
      <c r="A549" s="468"/>
      <c r="B549" s="468"/>
      <c r="C549" s="468"/>
      <c r="D549" s="468"/>
      <c r="E549" s="468"/>
      <c r="F549" s="468"/>
      <c r="G549" s="468"/>
      <c r="H549" s="468"/>
      <c r="I549" s="468"/>
      <c r="J549" s="468"/>
      <c r="K549" s="468"/>
      <c r="L549" s="468"/>
      <c r="M549" s="468"/>
      <c r="N549" s="468"/>
      <c r="O549" s="468"/>
      <c r="P549" s="468"/>
      <c r="Q549" s="468"/>
      <c r="R549" s="468"/>
      <c r="S549" s="468"/>
      <c r="T549" s="468"/>
      <c r="U549" s="468"/>
      <c r="V549" s="468"/>
      <c r="W549" s="468"/>
      <c r="X549" s="468"/>
      <c r="Y549" s="468"/>
      <c r="Z549" s="468"/>
      <c r="AA549" s="468"/>
      <c r="AB549" s="468"/>
      <c r="AC549" s="468"/>
      <c r="AD549" s="468"/>
      <c r="AE549" s="468"/>
      <c r="AF549" s="468"/>
      <c r="AG549" s="468"/>
      <c r="AH549" s="468"/>
      <c r="AI549" s="468"/>
      <c r="AJ549" s="468"/>
    </row>
    <row r="550" spans="1:36" ht="18" customHeight="1" x14ac:dyDescent="0.35">
      <c r="A550" s="468"/>
      <c r="B550" s="468"/>
      <c r="C550" s="468"/>
      <c r="D550" s="468"/>
      <c r="E550" s="468"/>
      <c r="F550" s="468"/>
      <c r="G550" s="468"/>
      <c r="H550" s="468"/>
      <c r="I550" s="468"/>
      <c r="J550" s="468"/>
      <c r="K550" s="468"/>
      <c r="L550" s="468"/>
      <c r="M550" s="468"/>
      <c r="N550" s="468"/>
      <c r="O550" s="468"/>
      <c r="P550" s="468"/>
      <c r="Q550" s="468"/>
      <c r="R550" s="468"/>
      <c r="S550" s="468"/>
      <c r="T550" s="468"/>
      <c r="U550" s="468"/>
      <c r="V550" s="468"/>
      <c r="W550" s="468"/>
      <c r="X550" s="468"/>
      <c r="Y550" s="468"/>
      <c r="Z550" s="468"/>
      <c r="AA550" s="468"/>
      <c r="AB550" s="468"/>
      <c r="AC550" s="468"/>
      <c r="AD550" s="468"/>
      <c r="AE550" s="468"/>
      <c r="AF550" s="468"/>
      <c r="AG550" s="468"/>
      <c r="AH550" s="468"/>
      <c r="AI550" s="468"/>
      <c r="AJ550" s="468"/>
    </row>
    <row r="551" spans="1:36" ht="18" customHeight="1" x14ac:dyDescent="0.35">
      <c r="A551" s="468"/>
      <c r="B551" s="468"/>
      <c r="C551" s="468"/>
      <c r="D551" s="468"/>
      <c r="E551" s="468"/>
      <c r="F551" s="468"/>
      <c r="G551" s="468"/>
      <c r="H551" s="468"/>
      <c r="I551" s="468"/>
      <c r="J551" s="468"/>
      <c r="K551" s="468"/>
      <c r="L551" s="468"/>
      <c r="M551" s="468"/>
      <c r="N551" s="468"/>
      <c r="O551" s="468"/>
      <c r="P551" s="468"/>
      <c r="Q551" s="468"/>
      <c r="R551" s="468"/>
      <c r="S551" s="468"/>
      <c r="T551" s="468"/>
      <c r="U551" s="468"/>
      <c r="V551" s="468"/>
      <c r="W551" s="468"/>
      <c r="X551" s="468"/>
      <c r="Y551" s="468"/>
      <c r="Z551" s="468"/>
      <c r="AA551" s="468"/>
      <c r="AB551" s="468"/>
      <c r="AC551" s="468"/>
      <c r="AD551" s="468"/>
      <c r="AE551" s="468"/>
      <c r="AF551" s="468"/>
      <c r="AG551" s="468"/>
      <c r="AH551" s="468"/>
      <c r="AI551" s="468"/>
      <c r="AJ551" s="468"/>
    </row>
    <row r="552" spans="1:36" ht="18" customHeight="1" x14ac:dyDescent="0.35">
      <c r="A552" s="468"/>
      <c r="B552" s="468"/>
      <c r="C552" s="468"/>
      <c r="D552" s="468"/>
      <c r="E552" s="468"/>
      <c r="F552" s="468"/>
      <c r="G552" s="468"/>
      <c r="H552" s="468"/>
      <c r="I552" s="468"/>
      <c r="J552" s="468"/>
      <c r="K552" s="468"/>
      <c r="L552" s="468"/>
      <c r="M552" s="468"/>
      <c r="N552" s="468"/>
      <c r="O552" s="468"/>
      <c r="P552" s="468"/>
      <c r="Q552" s="468"/>
      <c r="R552" s="468"/>
      <c r="S552" s="468"/>
      <c r="T552" s="468"/>
      <c r="U552" s="468"/>
      <c r="V552" s="468"/>
      <c r="W552" s="468"/>
      <c r="X552" s="468"/>
      <c r="Y552" s="468"/>
      <c r="Z552" s="468"/>
      <c r="AA552" s="468"/>
      <c r="AB552" s="468"/>
      <c r="AC552" s="468"/>
      <c r="AD552" s="468"/>
      <c r="AE552" s="468"/>
      <c r="AF552" s="468"/>
      <c r="AG552" s="468"/>
      <c r="AH552" s="468"/>
      <c r="AI552" s="468"/>
      <c r="AJ552" s="468"/>
    </row>
    <row r="553" spans="1:36" ht="18" customHeight="1" x14ac:dyDescent="0.35">
      <c r="A553" s="468"/>
      <c r="B553" s="468"/>
      <c r="C553" s="468"/>
      <c r="D553" s="468"/>
      <c r="E553" s="468"/>
      <c r="F553" s="468"/>
      <c r="G553" s="468"/>
      <c r="H553" s="468"/>
      <c r="I553" s="468"/>
      <c r="J553" s="468"/>
      <c r="K553" s="468"/>
      <c r="L553" s="468"/>
      <c r="M553" s="468"/>
      <c r="N553" s="468"/>
      <c r="O553" s="468"/>
      <c r="P553" s="468"/>
      <c r="Q553" s="468"/>
      <c r="R553" s="468"/>
      <c r="S553" s="468"/>
      <c r="T553" s="468"/>
      <c r="U553" s="468"/>
      <c r="V553" s="468"/>
      <c r="W553" s="468"/>
      <c r="X553" s="468"/>
      <c r="Y553" s="468"/>
      <c r="Z553" s="468"/>
      <c r="AA553" s="468"/>
      <c r="AB553" s="468"/>
      <c r="AC553" s="468"/>
      <c r="AD553" s="468"/>
      <c r="AE553" s="468"/>
      <c r="AF553" s="468"/>
      <c r="AG553" s="468"/>
      <c r="AH553" s="468"/>
      <c r="AI553" s="468"/>
      <c r="AJ553" s="468"/>
    </row>
    <row r="554" spans="1:36" ht="18" customHeight="1" x14ac:dyDescent="0.35">
      <c r="A554" s="468"/>
      <c r="B554" s="468"/>
      <c r="C554" s="468"/>
      <c r="D554" s="468"/>
      <c r="E554" s="468"/>
      <c r="F554" s="468"/>
      <c r="G554" s="468"/>
      <c r="H554" s="468"/>
      <c r="I554" s="468"/>
      <c r="J554" s="468"/>
      <c r="K554" s="468"/>
      <c r="L554" s="468"/>
      <c r="M554" s="468"/>
      <c r="N554" s="468"/>
      <c r="O554" s="468"/>
      <c r="P554" s="468"/>
      <c r="Q554" s="468"/>
      <c r="R554" s="468"/>
      <c r="S554" s="468"/>
      <c r="T554" s="468"/>
      <c r="U554" s="468"/>
      <c r="V554" s="468"/>
      <c r="W554" s="468"/>
      <c r="X554" s="468"/>
      <c r="Y554" s="468"/>
      <c r="Z554" s="468"/>
      <c r="AA554" s="468"/>
      <c r="AB554" s="468"/>
      <c r="AC554" s="468"/>
      <c r="AD554" s="468"/>
      <c r="AE554" s="468"/>
      <c r="AF554" s="468"/>
      <c r="AG554" s="468"/>
      <c r="AH554" s="468"/>
      <c r="AI554" s="468"/>
      <c r="AJ554" s="468"/>
    </row>
    <row r="555" spans="1:36" ht="18" customHeight="1" x14ac:dyDescent="0.35">
      <c r="A555" s="468"/>
      <c r="B555" s="468"/>
      <c r="C555" s="468"/>
      <c r="D555" s="468"/>
      <c r="E555" s="468"/>
      <c r="F555" s="468"/>
      <c r="G555" s="468"/>
      <c r="H555" s="468"/>
      <c r="I555" s="468"/>
      <c r="J555" s="468"/>
      <c r="K555" s="468"/>
      <c r="L555" s="468"/>
      <c r="M555" s="468"/>
      <c r="N555" s="468"/>
      <c r="O555" s="468"/>
      <c r="P555" s="468"/>
      <c r="Q555" s="468"/>
      <c r="R555" s="468"/>
      <c r="S555" s="468"/>
      <c r="T555" s="468"/>
      <c r="U555" s="468"/>
      <c r="V555" s="468"/>
      <c r="W555" s="468"/>
      <c r="X555" s="468"/>
      <c r="Y555" s="468"/>
      <c r="Z555" s="468"/>
      <c r="AA555" s="468"/>
      <c r="AB555" s="468"/>
      <c r="AC555" s="468"/>
      <c r="AD555" s="468"/>
      <c r="AE555" s="468"/>
      <c r="AF555" s="468"/>
      <c r="AG555" s="468"/>
      <c r="AH555" s="468"/>
      <c r="AI555" s="468"/>
      <c r="AJ555" s="468"/>
    </row>
    <row r="556" spans="1:36" ht="18" customHeight="1" x14ac:dyDescent="0.35">
      <c r="A556" s="468"/>
      <c r="B556" s="468"/>
      <c r="C556" s="468"/>
      <c r="D556" s="468"/>
      <c r="E556" s="468"/>
      <c r="F556" s="468"/>
      <c r="G556" s="468"/>
      <c r="H556" s="468"/>
      <c r="I556" s="468"/>
      <c r="J556" s="468"/>
      <c r="K556" s="468"/>
      <c r="L556" s="468"/>
      <c r="M556" s="468"/>
      <c r="N556" s="468"/>
      <c r="O556" s="468"/>
      <c r="P556" s="468"/>
      <c r="Q556" s="468"/>
      <c r="R556" s="468"/>
      <c r="S556" s="468"/>
      <c r="T556" s="468"/>
      <c r="U556" s="468"/>
      <c r="V556" s="468"/>
      <c r="W556" s="468"/>
      <c r="X556" s="468"/>
      <c r="Y556" s="468"/>
      <c r="Z556" s="468"/>
      <c r="AA556" s="468"/>
      <c r="AB556" s="468"/>
      <c r="AC556" s="468"/>
      <c r="AD556" s="468"/>
      <c r="AE556" s="468"/>
      <c r="AF556" s="468"/>
      <c r="AG556" s="468"/>
      <c r="AH556" s="468"/>
      <c r="AI556" s="468"/>
      <c r="AJ556" s="468"/>
    </row>
    <row r="557" spans="1:36" ht="18" customHeight="1" x14ac:dyDescent="0.35">
      <c r="A557" s="468"/>
      <c r="B557" s="468"/>
      <c r="C557" s="468"/>
      <c r="D557" s="468"/>
      <c r="E557" s="468"/>
      <c r="F557" s="468"/>
      <c r="G557" s="468"/>
      <c r="H557" s="468"/>
      <c r="I557" s="468"/>
      <c r="J557" s="468"/>
      <c r="K557" s="468"/>
      <c r="L557" s="468"/>
      <c r="M557" s="468"/>
      <c r="N557" s="468"/>
      <c r="O557" s="468"/>
      <c r="P557" s="468"/>
      <c r="Q557" s="468"/>
      <c r="R557" s="468"/>
      <c r="S557" s="468"/>
      <c r="T557" s="468"/>
      <c r="U557" s="468"/>
      <c r="V557" s="468"/>
      <c r="W557" s="468"/>
      <c r="X557" s="468"/>
      <c r="Y557" s="468"/>
      <c r="Z557" s="468"/>
      <c r="AA557" s="468"/>
      <c r="AB557" s="468"/>
      <c r="AC557" s="468"/>
      <c r="AD557" s="468"/>
      <c r="AE557" s="468"/>
      <c r="AF557" s="468"/>
      <c r="AG557" s="468"/>
      <c r="AH557" s="468"/>
      <c r="AI557" s="468"/>
      <c r="AJ557" s="468"/>
    </row>
    <row r="558" spans="1:36" ht="18" customHeight="1" x14ac:dyDescent="0.35">
      <c r="A558" s="468"/>
      <c r="B558" s="468"/>
      <c r="C558" s="468"/>
      <c r="D558" s="468"/>
      <c r="E558" s="468"/>
      <c r="F558" s="468"/>
      <c r="G558" s="468"/>
      <c r="H558" s="468"/>
      <c r="I558" s="468"/>
      <c r="J558" s="468"/>
      <c r="K558" s="468"/>
      <c r="L558" s="468"/>
      <c r="M558" s="468"/>
      <c r="N558" s="468"/>
      <c r="O558" s="468"/>
      <c r="P558" s="468"/>
      <c r="Q558" s="468"/>
      <c r="R558" s="468"/>
      <c r="S558" s="468"/>
      <c r="T558" s="468"/>
      <c r="U558" s="468"/>
      <c r="V558" s="468"/>
      <c r="W558" s="468"/>
      <c r="X558" s="468"/>
      <c r="Y558" s="468"/>
      <c r="Z558" s="468"/>
      <c r="AA558" s="468"/>
      <c r="AB558" s="468"/>
      <c r="AC558" s="468"/>
      <c r="AD558" s="468"/>
      <c r="AE558" s="468"/>
      <c r="AF558" s="468"/>
      <c r="AG558" s="468"/>
      <c r="AH558" s="468"/>
      <c r="AI558" s="468"/>
      <c r="AJ558" s="468"/>
    </row>
    <row r="559" spans="1:36" ht="18" customHeight="1" x14ac:dyDescent="0.35">
      <c r="A559" s="468"/>
      <c r="B559" s="468"/>
      <c r="C559" s="468"/>
      <c r="D559" s="468"/>
      <c r="E559" s="468"/>
      <c r="F559" s="468"/>
      <c r="G559" s="468"/>
      <c r="H559" s="468"/>
      <c r="I559" s="468"/>
      <c r="J559" s="468"/>
      <c r="K559" s="468"/>
      <c r="L559" s="468"/>
      <c r="M559" s="468"/>
      <c r="N559" s="468"/>
      <c r="O559" s="468"/>
      <c r="P559" s="468"/>
      <c r="Q559" s="468"/>
      <c r="R559" s="468"/>
      <c r="S559" s="468"/>
      <c r="T559" s="468"/>
      <c r="U559" s="468"/>
      <c r="V559" s="468"/>
      <c r="W559" s="468"/>
      <c r="X559" s="468"/>
      <c r="Y559" s="468"/>
      <c r="Z559" s="468"/>
      <c r="AA559" s="468"/>
      <c r="AB559" s="468"/>
      <c r="AC559" s="468"/>
      <c r="AD559" s="468"/>
      <c r="AE559" s="468"/>
      <c r="AF559" s="468"/>
      <c r="AG559" s="468"/>
      <c r="AH559" s="468"/>
      <c r="AI559" s="468"/>
      <c r="AJ559" s="468"/>
    </row>
    <row r="560" spans="1:36" ht="18" customHeight="1" x14ac:dyDescent="0.35">
      <c r="A560" s="468"/>
      <c r="B560" s="468"/>
      <c r="C560" s="468"/>
      <c r="D560" s="468"/>
      <c r="E560" s="468"/>
      <c r="F560" s="468"/>
      <c r="G560" s="468"/>
      <c r="H560" s="468"/>
      <c r="I560" s="468"/>
      <c r="J560" s="468"/>
      <c r="K560" s="468"/>
      <c r="L560" s="468"/>
      <c r="M560" s="468"/>
      <c r="N560" s="468"/>
      <c r="O560" s="468"/>
      <c r="P560" s="468"/>
      <c r="Q560" s="468"/>
      <c r="R560" s="468"/>
      <c r="S560" s="468"/>
      <c r="T560" s="468"/>
      <c r="U560" s="468"/>
      <c r="V560" s="468"/>
      <c r="W560" s="468"/>
      <c r="X560" s="468"/>
      <c r="Y560" s="468"/>
      <c r="Z560" s="468"/>
      <c r="AA560" s="468"/>
      <c r="AB560" s="468"/>
      <c r="AC560" s="468"/>
      <c r="AD560" s="468"/>
      <c r="AE560" s="468"/>
      <c r="AF560" s="468"/>
      <c r="AG560" s="468"/>
      <c r="AH560" s="468"/>
      <c r="AI560" s="468"/>
      <c r="AJ560" s="468"/>
    </row>
    <row r="561" spans="1:36" ht="18" customHeight="1" x14ac:dyDescent="0.35">
      <c r="A561" s="468"/>
      <c r="B561" s="468"/>
      <c r="C561" s="468"/>
      <c r="D561" s="468"/>
      <c r="E561" s="468"/>
      <c r="F561" s="468"/>
      <c r="G561" s="468"/>
      <c r="H561" s="468"/>
      <c r="I561" s="468"/>
      <c r="J561" s="468"/>
      <c r="K561" s="468"/>
      <c r="L561" s="468"/>
      <c r="M561" s="468"/>
      <c r="N561" s="468"/>
      <c r="O561" s="468"/>
      <c r="P561" s="468"/>
      <c r="Q561" s="468"/>
      <c r="R561" s="468"/>
      <c r="S561" s="468"/>
      <c r="T561" s="468"/>
      <c r="U561" s="468"/>
      <c r="V561" s="468"/>
      <c r="W561" s="468"/>
      <c r="X561" s="468"/>
      <c r="Y561" s="468"/>
      <c r="Z561" s="468"/>
      <c r="AA561" s="468"/>
      <c r="AB561" s="468"/>
      <c r="AC561" s="468"/>
      <c r="AD561" s="468"/>
      <c r="AE561" s="468"/>
      <c r="AF561" s="468"/>
      <c r="AG561" s="468"/>
      <c r="AH561" s="468"/>
      <c r="AI561" s="468"/>
      <c r="AJ561" s="468"/>
    </row>
    <row r="562" spans="1:36" ht="18" customHeight="1" x14ac:dyDescent="0.35">
      <c r="A562" s="468"/>
      <c r="B562" s="468"/>
      <c r="C562" s="468"/>
      <c r="D562" s="468"/>
      <c r="E562" s="468"/>
      <c r="F562" s="468"/>
      <c r="G562" s="468"/>
      <c r="H562" s="468"/>
      <c r="I562" s="468"/>
      <c r="J562" s="468"/>
      <c r="K562" s="468"/>
      <c r="L562" s="468"/>
      <c r="M562" s="468"/>
      <c r="N562" s="468"/>
      <c r="O562" s="468"/>
      <c r="P562" s="468"/>
      <c r="Q562" s="468"/>
      <c r="R562" s="468"/>
      <c r="S562" s="468"/>
      <c r="T562" s="468"/>
      <c r="U562" s="468"/>
      <c r="V562" s="468"/>
      <c r="W562" s="468"/>
      <c r="X562" s="468"/>
      <c r="Y562" s="468"/>
      <c r="Z562" s="468"/>
      <c r="AA562" s="468"/>
      <c r="AB562" s="468"/>
      <c r="AC562" s="468"/>
      <c r="AD562" s="468"/>
      <c r="AE562" s="468"/>
      <c r="AF562" s="468"/>
      <c r="AG562" s="468"/>
      <c r="AH562" s="468"/>
      <c r="AI562" s="468"/>
      <c r="AJ562" s="468"/>
    </row>
    <row r="563" spans="1:36" ht="18" customHeight="1" x14ac:dyDescent="0.35">
      <c r="A563" s="468"/>
      <c r="B563" s="468"/>
      <c r="C563" s="468"/>
      <c r="D563" s="468"/>
      <c r="E563" s="468"/>
      <c r="F563" s="468"/>
      <c r="G563" s="468"/>
      <c r="H563" s="468"/>
      <c r="I563" s="468"/>
      <c r="J563" s="468"/>
      <c r="K563" s="468"/>
      <c r="L563" s="468"/>
      <c r="M563" s="468"/>
      <c r="N563" s="468"/>
      <c r="O563" s="468"/>
      <c r="P563" s="468"/>
      <c r="Q563" s="468"/>
      <c r="R563" s="468"/>
      <c r="S563" s="468"/>
      <c r="T563" s="468"/>
      <c r="U563" s="468"/>
      <c r="V563" s="468"/>
      <c r="W563" s="468"/>
      <c r="X563" s="468"/>
      <c r="Y563" s="468"/>
      <c r="Z563" s="468"/>
      <c r="AA563" s="468"/>
      <c r="AB563" s="468"/>
      <c r="AC563" s="468"/>
      <c r="AD563" s="468"/>
      <c r="AE563" s="468"/>
      <c r="AF563" s="468"/>
      <c r="AG563" s="468"/>
      <c r="AH563" s="468"/>
      <c r="AI563" s="468"/>
      <c r="AJ563" s="468"/>
    </row>
    <row r="564" spans="1:36" ht="18" customHeight="1" x14ac:dyDescent="0.35">
      <c r="A564" s="468"/>
      <c r="B564" s="468"/>
      <c r="C564" s="468"/>
      <c r="D564" s="468"/>
      <c r="E564" s="468"/>
      <c r="F564" s="468"/>
      <c r="G564" s="468"/>
      <c r="H564" s="468"/>
      <c r="I564" s="468"/>
      <c r="J564" s="468"/>
      <c r="K564" s="468"/>
      <c r="L564" s="468"/>
      <c r="M564" s="468"/>
      <c r="N564" s="468"/>
      <c r="O564" s="468"/>
      <c r="P564" s="468"/>
      <c r="Q564" s="468"/>
      <c r="R564" s="468"/>
      <c r="S564" s="468"/>
      <c r="T564" s="468"/>
      <c r="U564" s="468"/>
      <c r="V564" s="468"/>
      <c r="W564" s="468"/>
      <c r="X564" s="468"/>
      <c r="Y564" s="468"/>
      <c r="Z564" s="468"/>
      <c r="AA564" s="468"/>
      <c r="AB564" s="468"/>
      <c r="AC564" s="468"/>
      <c r="AD564" s="468"/>
      <c r="AE564" s="468"/>
      <c r="AF564" s="468"/>
      <c r="AG564" s="468"/>
      <c r="AH564" s="468"/>
      <c r="AI564" s="468"/>
      <c r="AJ564" s="468"/>
    </row>
    <row r="565" spans="1:36" ht="18" customHeight="1" x14ac:dyDescent="0.35">
      <c r="A565" s="468"/>
      <c r="B565" s="468"/>
      <c r="C565" s="468"/>
      <c r="D565" s="468"/>
      <c r="E565" s="468"/>
      <c r="F565" s="468"/>
      <c r="G565" s="468"/>
      <c r="H565" s="468"/>
      <c r="I565" s="468"/>
      <c r="J565" s="468"/>
      <c r="K565" s="468"/>
      <c r="L565" s="468"/>
      <c r="M565" s="468"/>
      <c r="N565" s="468"/>
      <c r="O565" s="468"/>
      <c r="P565" s="468"/>
      <c r="Q565" s="468"/>
      <c r="R565" s="468"/>
      <c r="S565" s="468"/>
      <c r="T565" s="468"/>
      <c r="U565" s="468"/>
      <c r="V565" s="468"/>
      <c r="W565" s="468"/>
      <c r="X565" s="468"/>
      <c r="Y565" s="468"/>
      <c r="Z565" s="468"/>
      <c r="AA565" s="468"/>
      <c r="AB565" s="468"/>
      <c r="AC565" s="468"/>
      <c r="AD565" s="468"/>
      <c r="AE565" s="468"/>
      <c r="AF565" s="468"/>
      <c r="AG565" s="468"/>
      <c r="AH565" s="468"/>
      <c r="AI565" s="468"/>
      <c r="AJ565" s="468"/>
    </row>
    <row r="566" spans="1:36" ht="18" customHeight="1" x14ac:dyDescent="0.35">
      <c r="A566" s="468"/>
      <c r="B566" s="468"/>
      <c r="C566" s="468"/>
      <c r="D566" s="468"/>
      <c r="E566" s="468"/>
      <c r="F566" s="468"/>
      <c r="G566" s="468"/>
      <c r="H566" s="468"/>
      <c r="I566" s="468"/>
      <c r="J566" s="468"/>
      <c r="K566" s="468"/>
      <c r="L566" s="468"/>
      <c r="M566" s="468"/>
      <c r="N566" s="468"/>
      <c r="O566" s="468"/>
      <c r="P566" s="468"/>
      <c r="Q566" s="468"/>
      <c r="R566" s="468"/>
      <c r="S566" s="468"/>
      <c r="T566" s="468"/>
      <c r="U566" s="468"/>
      <c r="V566" s="468"/>
      <c r="W566" s="468"/>
      <c r="X566" s="468"/>
      <c r="Y566" s="468"/>
      <c r="Z566" s="468"/>
      <c r="AA566" s="468"/>
      <c r="AB566" s="468"/>
      <c r="AC566" s="468"/>
      <c r="AD566" s="468"/>
      <c r="AE566" s="468"/>
      <c r="AF566" s="468"/>
      <c r="AG566" s="468"/>
      <c r="AH566" s="468"/>
      <c r="AI566" s="468"/>
      <c r="AJ566" s="468"/>
    </row>
    <row r="567" spans="1:36" ht="18" customHeight="1" x14ac:dyDescent="0.35">
      <c r="A567" s="468"/>
      <c r="B567" s="468"/>
      <c r="C567" s="468"/>
      <c r="D567" s="468"/>
      <c r="E567" s="468"/>
      <c r="F567" s="468"/>
      <c r="G567" s="468"/>
      <c r="H567" s="468"/>
      <c r="I567" s="468"/>
      <c r="J567" s="468"/>
      <c r="K567" s="468"/>
      <c r="L567" s="468"/>
      <c r="M567" s="468"/>
      <c r="N567" s="468"/>
      <c r="O567" s="468"/>
      <c r="P567" s="468"/>
      <c r="Q567" s="468"/>
      <c r="R567" s="468"/>
      <c r="S567" s="468"/>
      <c r="T567" s="468"/>
      <c r="U567" s="468"/>
      <c r="V567" s="468"/>
      <c r="W567" s="468"/>
      <c r="X567" s="468"/>
      <c r="Y567" s="468"/>
      <c r="Z567" s="468"/>
      <c r="AA567" s="468"/>
      <c r="AB567" s="468"/>
      <c r="AC567" s="468"/>
      <c r="AD567" s="468"/>
      <c r="AE567" s="468"/>
      <c r="AF567" s="468"/>
      <c r="AG567" s="468"/>
      <c r="AH567" s="468"/>
      <c r="AI567" s="468"/>
      <c r="AJ567" s="468"/>
    </row>
    <row r="568" spans="1:36" ht="18" customHeight="1" x14ac:dyDescent="0.35">
      <c r="A568" s="468"/>
      <c r="B568" s="468"/>
      <c r="C568" s="468"/>
      <c r="D568" s="468"/>
      <c r="E568" s="468"/>
      <c r="F568" s="468"/>
      <c r="G568" s="468"/>
      <c r="H568" s="468"/>
      <c r="I568" s="468"/>
      <c r="J568" s="468"/>
      <c r="K568" s="468"/>
      <c r="L568" s="468"/>
      <c r="M568" s="468"/>
      <c r="N568" s="468"/>
      <c r="O568" s="468"/>
      <c r="P568" s="468"/>
      <c r="Q568" s="468"/>
      <c r="R568" s="468"/>
      <c r="S568" s="468"/>
      <c r="T568" s="468"/>
      <c r="U568" s="468"/>
      <c r="V568" s="468"/>
      <c r="W568" s="468"/>
      <c r="X568" s="468"/>
      <c r="Y568" s="468"/>
      <c r="Z568" s="468"/>
      <c r="AA568" s="468"/>
      <c r="AB568" s="468"/>
      <c r="AC568" s="468"/>
      <c r="AD568" s="468"/>
      <c r="AE568" s="468"/>
      <c r="AF568" s="468"/>
      <c r="AG568" s="468"/>
      <c r="AH568" s="468"/>
      <c r="AI568" s="468"/>
      <c r="AJ568" s="468"/>
    </row>
    <row r="569" spans="1:36" ht="18" customHeight="1" x14ac:dyDescent="0.35">
      <c r="A569" s="468"/>
      <c r="B569" s="468"/>
      <c r="C569" s="468"/>
      <c r="D569" s="468"/>
      <c r="E569" s="468"/>
      <c r="F569" s="468"/>
      <c r="G569" s="468"/>
      <c r="H569" s="468"/>
      <c r="I569" s="468"/>
      <c r="J569" s="468"/>
      <c r="K569" s="468"/>
      <c r="L569" s="468"/>
      <c r="M569" s="468"/>
      <c r="N569" s="468"/>
      <c r="O569" s="468"/>
      <c r="P569" s="468"/>
      <c r="Q569" s="468"/>
      <c r="R569" s="468"/>
      <c r="S569" s="468"/>
      <c r="T569" s="468"/>
      <c r="U569" s="468"/>
      <c r="V569" s="468"/>
      <c r="W569" s="468"/>
      <c r="X569" s="468"/>
      <c r="Y569" s="468"/>
      <c r="Z569" s="468"/>
      <c r="AA569" s="468"/>
      <c r="AB569" s="468"/>
      <c r="AC569" s="468"/>
      <c r="AD569" s="468"/>
      <c r="AE569" s="468"/>
      <c r="AF569" s="468"/>
      <c r="AG569" s="468"/>
      <c r="AH569" s="468"/>
      <c r="AI569" s="468"/>
      <c r="AJ569" s="468"/>
    </row>
    <row r="570" spans="1:36" ht="18" customHeight="1" x14ac:dyDescent="0.35">
      <c r="A570" s="468"/>
      <c r="B570" s="468"/>
      <c r="C570" s="468"/>
      <c r="D570" s="468"/>
      <c r="E570" s="468"/>
      <c r="F570" s="468"/>
      <c r="G570" s="468"/>
      <c r="H570" s="468"/>
      <c r="I570" s="468"/>
      <c r="J570" s="468"/>
      <c r="K570" s="468"/>
      <c r="L570" s="468"/>
      <c r="M570" s="468"/>
      <c r="N570" s="468"/>
      <c r="O570" s="468"/>
      <c r="P570" s="468"/>
      <c r="Q570" s="468"/>
      <c r="R570" s="468"/>
      <c r="S570" s="468"/>
      <c r="T570" s="468"/>
      <c r="U570" s="468"/>
      <c r="V570" s="468"/>
      <c r="W570" s="468"/>
      <c r="X570" s="468"/>
      <c r="Y570" s="468"/>
      <c r="Z570" s="468"/>
      <c r="AA570" s="468"/>
      <c r="AB570" s="468"/>
      <c r="AC570" s="468"/>
      <c r="AD570" s="468"/>
      <c r="AE570" s="468"/>
      <c r="AF570" s="468"/>
      <c r="AG570" s="468"/>
      <c r="AH570" s="468"/>
      <c r="AI570" s="468"/>
      <c r="AJ570" s="468"/>
    </row>
    <row r="571" spans="1:36" ht="18" customHeight="1" x14ac:dyDescent="0.35">
      <c r="A571" s="468"/>
      <c r="B571" s="468"/>
      <c r="C571" s="468"/>
      <c r="D571" s="468"/>
      <c r="E571" s="468"/>
      <c r="F571" s="468"/>
      <c r="G571" s="468"/>
      <c r="H571" s="468"/>
      <c r="I571" s="468"/>
      <c r="J571" s="468"/>
      <c r="K571" s="468"/>
      <c r="L571" s="468"/>
      <c r="M571" s="468"/>
      <c r="N571" s="468"/>
      <c r="O571" s="468"/>
      <c r="P571" s="468"/>
      <c r="Q571" s="468"/>
      <c r="R571" s="468"/>
      <c r="S571" s="468"/>
      <c r="T571" s="468"/>
      <c r="U571" s="468"/>
      <c r="V571" s="468"/>
      <c r="W571" s="468"/>
      <c r="X571" s="468"/>
      <c r="Y571" s="468"/>
      <c r="Z571" s="468"/>
      <c r="AA571" s="468"/>
      <c r="AB571" s="468"/>
      <c r="AC571" s="468"/>
      <c r="AD571" s="468"/>
      <c r="AE571" s="468"/>
      <c r="AF571" s="468"/>
      <c r="AG571" s="468"/>
      <c r="AH571" s="468"/>
      <c r="AI571" s="468"/>
      <c r="AJ571" s="468"/>
    </row>
    <row r="572" spans="1:36" ht="18" customHeight="1" x14ac:dyDescent="0.35">
      <c r="A572" s="468"/>
      <c r="B572" s="468"/>
      <c r="C572" s="468"/>
      <c r="D572" s="468"/>
      <c r="E572" s="468"/>
      <c r="F572" s="468"/>
      <c r="G572" s="468"/>
      <c r="H572" s="468"/>
      <c r="I572" s="468"/>
      <c r="J572" s="468"/>
      <c r="K572" s="468"/>
      <c r="L572" s="468"/>
      <c r="M572" s="468"/>
      <c r="N572" s="468"/>
      <c r="O572" s="468"/>
      <c r="P572" s="468"/>
      <c r="Q572" s="468"/>
      <c r="R572" s="468"/>
      <c r="S572" s="468"/>
      <c r="T572" s="468"/>
      <c r="U572" s="468"/>
      <c r="V572" s="468"/>
      <c r="W572" s="468"/>
      <c r="X572" s="468"/>
      <c r="Y572" s="468"/>
      <c r="Z572" s="468"/>
      <c r="AA572" s="468"/>
      <c r="AB572" s="468"/>
      <c r="AC572" s="468"/>
      <c r="AD572" s="468"/>
      <c r="AE572" s="468"/>
      <c r="AF572" s="468"/>
      <c r="AG572" s="468"/>
      <c r="AH572" s="468"/>
      <c r="AI572" s="468"/>
      <c r="AJ572" s="468"/>
    </row>
    <row r="573" spans="1:36" ht="18" customHeight="1" x14ac:dyDescent="0.35">
      <c r="A573" s="468"/>
      <c r="B573" s="468"/>
      <c r="C573" s="468"/>
      <c r="D573" s="468"/>
      <c r="E573" s="468"/>
      <c r="F573" s="468"/>
      <c r="G573" s="468"/>
      <c r="H573" s="468"/>
      <c r="I573" s="468"/>
      <c r="J573" s="468"/>
      <c r="K573" s="468"/>
      <c r="L573" s="468"/>
      <c r="M573" s="468"/>
      <c r="N573" s="468"/>
      <c r="O573" s="468"/>
      <c r="P573" s="468"/>
      <c r="Q573" s="468"/>
      <c r="R573" s="468"/>
      <c r="S573" s="468"/>
      <c r="T573" s="468"/>
      <c r="U573" s="468"/>
      <c r="V573" s="468"/>
      <c r="W573" s="468"/>
      <c r="X573" s="468"/>
      <c r="Y573" s="468"/>
      <c r="Z573" s="468"/>
      <c r="AA573" s="468"/>
      <c r="AB573" s="468"/>
      <c r="AC573" s="468"/>
      <c r="AD573" s="468"/>
      <c r="AE573" s="468"/>
      <c r="AF573" s="468"/>
      <c r="AG573" s="468"/>
      <c r="AH573" s="468"/>
      <c r="AI573" s="468"/>
      <c r="AJ573" s="468"/>
    </row>
    <row r="574" spans="1:36" ht="18" customHeight="1" x14ac:dyDescent="0.35">
      <c r="A574" s="468"/>
      <c r="B574" s="468"/>
      <c r="C574" s="468"/>
      <c r="D574" s="468"/>
      <c r="E574" s="468"/>
      <c r="F574" s="468"/>
      <c r="G574" s="468"/>
      <c r="H574" s="468"/>
      <c r="I574" s="468"/>
      <c r="J574" s="468"/>
      <c r="K574" s="468"/>
      <c r="L574" s="468"/>
      <c r="M574" s="468"/>
      <c r="N574" s="468"/>
      <c r="O574" s="468"/>
      <c r="P574" s="468"/>
      <c r="Q574" s="468"/>
      <c r="R574" s="468"/>
      <c r="S574" s="468"/>
      <c r="T574" s="468"/>
      <c r="U574" s="468"/>
      <c r="V574" s="468"/>
      <c r="W574" s="468"/>
      <c r="X574" s="468"/>
      <c r="Y574" s="468"/>
      <c r="Z574" s="468"/>
      <c r="AA574" s="468"/>
      <c r="AB574" s="468"/>
      <c r="AC574" s="468"/>
      <c r="AD574" s="468"/>
      <c r="AE574" s="468"/>
      <c r="AF574" s="468"/>
      <c r="AG574" s="468"/>
      <c r="AH574" s="468"/>
      <c r="AI574" s="468"/>
      <c r="AJ574" s="468"/>
    </row>
    <row r="575" spans="1:36" ht="18" customHeight="1" x14ac:dyDescent="0.35">
      <c r="A575" s="468"/>
      <c r="B575" s="468"/>
      <c r="C575" s="468"/>
      <c r="D575" s="468"/>
      <c r="E575" s="468"/>
      <c r="F575" s="468"/>
      <c r="G575" s="468"/>
      <c r="H575" s="468"/>
      <c r="I575" s="468"/>
      <c r="J575" s="468"/>
      <c r="K575" s="468"/>
      <c r="L575" s="468"/>
      <c r="M575" s="468"/>
      <c r="N575" s="468"/>
      <c r="O575" s="468"/>
      <c r="P575" s="468"/>
      <c r="Q575" s="468"/>
      <c r="R575" s="468"/>
      <c r="S575" s="468"/>
      <c r="T575" s="468"/>
      <c r="U575" s="468"/>
      <c r="V575" s="468"/>
      <c r="W575" s="468"/>
      <c r="X575" s="468"/>
      <c r="Y575" s="468"/>
      <c r="Z575" s="468"/>
      <c r="AA575" s="468"/>
      <c r="AB575" s="468"/>
      <c r="AC575" s="468"/>
      <c r="AD575" s="468"/>
      <c r="AE575" s="468"/>
      <c r="AF575" s="468"/>
      <c r="AG575" s="468"/>
      <c r="AH575" s="468"/>
      <c r="AI575" s="468"/>
      <c r="AJ575" s="468"/>
    </row>
    <row r="576" spans="1:36" ht="18" customHeight="1" x14ac:dyDescent="0.35">
      <c r="A576" s="468"/>
      <c r="B576" s="468"/>
      <c r="C576" s="468"/>
      <c r="D576" s="468"/>
      <c r="E576" s="468"/>
      <c r="F576" s="468"/>
      <c r="G576" s="468"/>
      <c r="H576" s="468"/>
      <c r="I576" s="468"/>
      <c r="J576" s="468"/>
      <c r="K576" s="468"/>
      <c r="L576" s="468"/>
      <c r="M576" s="468"/>
      <c r="N576" s="468"/>
      <c r="O576" s="468"/>
      <c r="P576" s="468"/>
      <c r="Q576" s="468"/>
      <c r="R576" s="468"/>
      <c r="S576" s="468"/>
      <c r="T576" s="468"/>
      <c r="U576" s="468"/>
      <c r="V576" s="468"/>
      <c r="W576" s="468"/>
      <c r="X576" s="468"/>
      <c r="Y576" s="468"/>
      <c r="Z576" s="468"/>
      <c r="AA576" s="468"/>
      <c r="AB576" s="468"/>
      <c r="AC576" s="468"/>
      <c r="AD576" s="468"/>
      <c r="AE576" s="468"/>
      <c r="AF576" s="468"/>
      <c r="AG576" s="468"/>
      <c r="AH576" s="468"/>
      <c r="AI576" s="468"/>
      <c r="AJ576" s="468"/>
    </row>
    <row r="577" spans="1:36" ht="18" customHeight="1" x14ac:dyDescent="0.35">
      <c r="A577" s="468"/>
      <c r="B577" s="468"/>
      <c r="C577" s="468"/>
      <c r="D577" s="468"/>
      <c r="E577" s="468"/>
      <c r="F577" s="468"/>
      <c r="G577" s="468"/>
      <c r="H577" s="468"/>
      <c r="I577" s="468"/>
      <c r="J577" s="468"/>
      <c r="K577" s="468"/>
      <c r="L577" s="468"/>
      <c r="M577" s="468"/>
      <c r="N577" s="468"/>
      <c r="O577" s="468"/>
      <c r="P577" s="468"/>
      <c r="Q577" s="468"/>
      <c r="R577" s="468"/>
      <c r="S577" s="468"/>
      <c r="T577" s="468"/>
      <c r="U577" s="468"/>
      <c r="V577" s="468"/>
      <c r="W577" s="468"/>
      <c r="X577" s="468"/>
      <c r="Y577" s="468"/>
      <c r="Z577" s="468"/>
      <c r="AA577" s="468"/>
      <c r="AB577" s="468"/>
      <c r="AC577" s="468"/>
      <c r="AD577" s="468"/>
      <c r="AE577" s="468"/>
      <c r="AF577" s="468"/>
      <c r="AG577" s="468"/>
      <c r="AH577" s="468"/>
      <c r="AI577" s="468"/>
      <c r="AJ577" s="468"/>
    </row>
    <row r="578" spans="1:36" ht="18" customHeight="1" x14ac:dyDescent="0.35">
      <c r="A578" s="468"/>
      <c r="B578" s="468"/>
      <c r="C578" s="468"/>
      <c r="D578" s="468"/>
      <c r="E578" s="468"/>
      <c r="F578" s="468"/>
      <c r="G578" s="468"/>
      <c r="H578" s="468"/>
      <c r="I578" s="468"/>
      <c r="J578" s="468"/>
      <c r="K578" s="468"/>
      <c r="L578" s="468"/>
      <c r="M578" s="468"/>
      <c r="N578" s="468"/>
      <c r="O578" s="468"/>
      <c r="P578" s="468"/>
      <c r="Q578" s="468"/>
      <c r="R578" s="468"/>
      <c r="S578" s="468"/>
      <c r="T578" s="468"/>
      <c r="U578" s="468"/>
      <c r="V578" s="468"/>
      <c r="W578" s="468"/>
      <c r="X578" s="468"/>
      <c r="Y578" s="468"/>
      <c r="Z578" s="468"/>
      <c r="AA578" s="468"/>
      <c r="AB578" s="468"/>
      <c r="AC578" s="468"/>
      <c r="AD578" s="468"/>
      <c r="AE578" s="468"/>
      <c r="AF578" s="468"/>
      <c r="AG578" s="468"/>
      <c r="AH578" s="468"/>
      <c r="AI578" s="468"/>
      <c r="AJ578" s="468"/>
    </row>
    <row r="579" spans="1:36" ht="18" customHeight="1" x14ac:dyDescent="0.35">
      <c r="A579" s="468"/>
      <c r="B579" s="468"/>
      <c r="C579" s="468"/>
      <c r="D579" s="468"/>
      <c r="E579" s="468"/>
      <c r="F579" s="468"/>
      <c r="G579" s="468"/>
      <c r="H579" s="468"/>
      <c r="I579" s="468"/>
      <c r="J579" s="468"/>
      <c r="K579" s="468"/>
      <c r="L579" s="468"/>
      <c r="M579" s="468"/>
      <c r="N579" s="468"/>
      <c r="O579" s="468"/>
      <c r="P579" s="468"/>
      <c r="Q579" s="468"/>
      <c r="R579" s="468"/>
      <c r="S579" s="468"/>
      <c r="T579" s="468"/>
      <c r="U579" s="468"/>
      <c r="V579" s="468"/>
      <c r="W579" s="468"/>
      <c r="X579" s="468"/>
      <c r="Y579" s="468"/>
      <c r="Z579" s="468"/>
      <c r="AA579" s="468"/>
      <c r="AB579" s="468"/>
      <c r="AC579" s="468"/>
      <c r="AD579" s="468"/>
      <c r="AE579" s="468"/>
      <c r="AF579" s="468"/>
      <c r="AG579" s="468"/>
      <c r="AH579" s="468"/>
      <c r="AI579" s="468"/>
      <c r="AJ579" s="468"/>
    </row>
    <row r="580" spans="1:36" ht="18" customHeight="1" x14ac:dyDescent="0.35">
      <c r="A580" s="468"/>
      <c r="B580" s="468"/>
      <c r="C580" s="468"/>
      <c r="D580" s="468"/>
      <c r="E580" s="468"/>
      <c r="F580" s="468"/>
      <c r="G580" s="468"/>
      <c r="H580" s="468"/>
      <c r="I580" s="468"/>
      <c r="J580" s="468"/>
      <c r="K580" s="468"/>
      <c r="L580" s="468"/>
      <c r="M580" s="468"/>
      <c r="N580" s="468"/>
      <c r="O580" s="468"/>
      <c r="P580" s="468"/>
      <c r="Q580" s="468"/>
      <c r="R580" s="468"/>
      <c r="S580" s="468"/>
      <c r="T580" s="468"/>
      <c r="U580" s="468"/>
      <c r="V580" s="468"/>
      <c r="W580" s="468"/>
      <c r="X580" s="468"/>
      <c r="Y580" s="468"/>
      <c r="Z580" s="468"/>
      <c r="AA580" s="468"/>
      <c r="AB580" s="468"/>
      <c r="AC580" s="468"/>
      <c r="AD580" s="468"/>
      <c r="AE580" s="468"/>
      <c r="AF580" s="468"/>
      <c r="AG580" s="468"/>
      <c r="AH580" s="468"/>
      <c r="AI580" s="468"/>
      <c r="AJ580" s="468"/>
    </row>
    <row r="581" spans="1:36" ht="18" customHeight="1" x14ac:dyDescent="0.35">
      <c r="A581" s="468"/>
      <c r="B581" s="468"/>
      <c r="C581" s="468"/>
      <c r="D581" s="468"/>
      <c r="E581" s="468"/>
      <c r="F581" s="468"/>
      <c r="G581" s="468"/>
      <c r="H581" s="468"/>
      <c r="I581" s="468"/>
      <c r="J581" s="468"/>
      <c r="K581" s="468"/>
      <c r="L581" s="468"/>
      <c r="M581" s="468"/>
      <c r="N581" s="468"/>
      <c r="O581" s="468"/>
      <c r="P581" s="468"/>
      <c r="Q581" s="468"/>
      <c r="R581" s="468"/>
      <c r="S581" s="468"/>
      <c r="T581" s="468"/>
      <c r="U581" s="468"/>
      <c r="V581" s="468"/>
      <c r="W581" s="468"/>
      <c r="X581" s="468"/>
      <c r="Y581" s="468"/>
      <c r="Z581" s="468"/>
      <c r="AA581" s="468"/>
      <c r="AB581" s="468"/>
      <c r="AC581" s="468"/>
      <c r="AD581" s="468"/>
      <c r="AE581" s="468"/>
      <c r="AF581" s="468"/>
      <c r="AG581" s="468"/>
      <c r="AH581" s="468"/>
      <c r="AI581" s="468"/>
      <c r="AJ581" s="468"/>
    </row>
    <row r="582" spans="1:36" ht="18" customHeight="1" x14ac:dyDescent="0.35">
      <c r="A582" s="468"/>
      <c r="B582" s="468"/>
      <c r="C582" s="468"/>
      <c r="D582" s="468"/>
      <c r="E582" s="468"/>
      <c r="F582" s="468"/>
      <c r="G582" s="468"/>
      <c r="H582" s="468"/>
      <c r="I582" s="468"/>
      <c r="J582" s="468"/>
      <c r="K582" s="468"/>
      <c r="L582" s="468"/>
      <c r="M582" s="468"/>
      <c r="N582" s="468"/>
      <c r="O582" s="468"/>
      <c r="P582" s="468"/>
      <c r="Q582" s="468"/>
      <c r="R582" s="468"/>
      <c r="S582" s="468"/>
      <c r="T582" s="468"/>
      <c r="U582" s="468"/>
      <c r="V582" s="468"/>
      <c r="W582" s="468"/>
      <c r="X582" s="468"/>
      <c r="Y582" s="468"/>
      <c r="Z582" s="468"/>
      <c r="AA582" s="468"/>
      <c r="AB582" s="468"/>
      <c r="AC582" s="468"/>
      <c r="AD582" s="468"/>
      <c r="AE582" s="468"/>
      <c r="AF582" s="468"/>
      <c r="AG582" s="468"/>
      <c r="AH582" s="468"/>
      <c r="AI582" s="468"/>
      <c r="AJ582" s="468"/>
    </row>
    <row r="583" spans="1:36" ht="18" customHeight="1" x14ac:dyDescent="0.35">
      <c r="A583" s="468"/>
      <c r="B583" s="468"/>
      <c r="C583" s="468"/>
      <c r="D583" s="468"/>
      <c r="E583" s="468"/>
      <c r="F583" s="468"/>
      <c r="G583" s="468"/>
      <c r="H583" s="468"/>
      <c r="I583" s="468"/>
      <c r="J583" s="468"/>
      <c r="K583" s="468"/>
      <c r="L583" s="468"/>
      <c r="M583" s="468"/>
      <c r="N583" s="468"/>
      <c r="O583" s="468"/>
      <c r="P583" s="468"/>
      <c r="Q583" s="468"/>
      <c r="R583" s="468"/>
      <c r="S583" s="468"/>
      <c r="T583" s="468"/>
      <c r="U583" s="468"/>
      <c r="V583" s="468"/>
      <c r="W583" s="468"/>
      <c r="X583" s="468"/>
      <c r="Y583" s="468"/>
      <c r="Z583" s="468"/>
      <c r="AA583" s="468"/>
      <c r="AB583" s="468"/>
      <c r="AC583" s="468"/>
      <c r="AD583" s="468"/>
      <c r="AE583" s="468"/>
      <c r="AF583" s="468"/>
      <c r="AG583" s="468"/>
      <c r="AH583" s="468"/>
      <c r="AI583" s="468"/>
      <c r="AJ583" s="468"/>
    </row>
    <row r="584" spans="1:36" ht="18" customHeight="1" x14ac:dyDescent="0.35">
      <c r="A584" s="468"/>
      <c r="B584" s="468"/>
      <c r="C584" s="468"/>
      <c r="D584" s="468"/>
      <c r="E584" s="468"/>
      <c r="F584" s="468"/>
      <c r="G584" s="468"/>
      <c r="H584" s="468"/>
      <c r="I584" s="468"/>
      <c r="J584" s="468"/>
      <c r="K584" s="468"/>
      <c r="L584" s="468"/>
      <c r="M584" s="468"/>
      <c r="N584" s="468"/>
      <c r="O584" s="468"/>
      <c r="P584" s="468"/>
      <c r="Q584" s="468"/>
      <c r="R584" s="468"/>
      <c r="S584" s="468"/>
      <c r="T584" s="468"/>
      <c r="U584" s="468"/>
      <c r="V584" s="468"/>
      <c r="W584" s="468"/>
      <c r="X584" s="468"/>
      <c r="Y584" s="468"/>
      <c r="Z584" s="468"/>
      <c r="AA584" s="468"/>
      <c r="AB584" s="468"/>
      <c r="AC584" s="468"/>
      <c r="AD584" s="468"/>
      <c r="AE584" s="468"/>
      <c r="AF584" s="468"/>
      <c r="AG584" s="468"/>
      <c r="AH584" s="468"/>
      <c r="AI584" s="468"/>
      <c r="AJ584" s="468"/>
    </row>
    <row r="585" spans="1:36" ht="18" customHeight="1" x14ac:dyDescent="0.35">
      <c r="A585" s="468"/>
      <c r="B585" s="468"/>
      <c r="C585" s="468"/>
      <c r="D585" s="468"/>
      <c r="E585" s="468"/>
      <c r="F585" s="468"/>
      <c r="G585" s="468"/>
      <c r="H585" s="468"/>
      <c r="I585" s="468"/>
      <c r="J585" s="468"/>
      <c r="K585" s="468"/>
      <c r="L585" s="468"/>
      <c r="M585" s="468"/>
      <c r="N585" s="468"/>
      <c r="O585" s="468"/>
      <c r="P585" s="468"/>
      <c r="Q585" s="468"/>
      <c r="R585" s="468"/>
      <c r="S585" s="468"/>
      <c r="T585" s="468"/>
      <c r="U585" s="468"/>
      <c r="V585" s="468"/>
      <c r="W585" s="468"/>
      <c r="X585" s="468"/>
      <c r="Y585" s="468"/>
      <c r="Z585" s="468"/>
      <c r="AA585" s="468"/>
      <c r="AB585" s="468"/>
      <c r="AC585" s="468"/>
      <c r="AD585" s="468"/>
      <c r="AE585" s="468"/>
      <c r="AF585" s="468"/>
      <c r="AG585" s="468"/>
      <c r="AH585" s="468"/>
      <c r="AI585" s="468"/>
      <c r="AJ585" s="468"/>
    </row>
    <row r="586" spans="1:36" ht="18" customHeight="1" x14ac:dyDescent="0.35">
      <c r="A586" s="468"/>
      <c r="B586" s="468"/>
      <c r="C586" s="468"/>
      <c r="D586" s="468"/>
      <c r="E586" s="468"/>
      <c r="F586" s="468"/>
      <c r="G586" s="468"/>
      <c r="H586" s="468"/>
      <c r="I586" s="468"/>
      <c r="J586" s="468"/>
      <c r="K586" s="468"/>
      <c r="L586" s="468"/>
      <c r="M586" s="468"/>
      <c r="N586" s="468"/>
      <c r="O586" s="468"/>
      <c r="P586" s="468"/>
      <c r="Q586" s="468"/>
      <c r="R586" s="468"/>
      <c r="S586" s="468"/>
      <c r="T586" s="468"/>
      <c r="U586" s="468"/>
      <c r="V586" s="468"/>
      <c r="W586" s="468"/>
      <c r="X586" s="468"/>
      <c r="Y586" s="468"/>
      <c r="Z586" s="468"/>
      <c r="AA586" s="468"/>
      <c r="AB586" s="468"/>
      <c r="AC586" s="468"/>
      <c r="AD586" s="468"/>
      <c r="AE586" s="468"/>
      <c r="AF586" s="468"/>
      <c r="AG586" s="468"/>
      <c r="AH586" s="468"/>
      <c r="AI586" s="468"/>
      <c r="AJ586" s="468"/>
    </row>
    <row r="587" spans="1:36" ht="18" customHeight="1" x14ac:dyDescent="0.35">
      <c r="A587" s="468"/>
      <c r="B587" s="468"/>
      <c r="C587" s="468"/>
      <c r="D587" s="468"/>
      <c r="E587" s="468"/>
      <c r="F587" s="468"/>
      <c r="G587" s="468"/>
      <c r="H587" s="468"/>
      <c r="I587" s="468"/>
      <c r="J587" s="468"/>
      <c r="K587" s="468"/>
      <c r="L587" s="468"/>
      <c r="M587" s="468"/>
      <c r="N587" s="468"/>
      <c r="O587" s="468"/>
      <c r="P587" s="468"/>
      <c r="Q587" s="468"/>
      <c r="R587" s="468"/>
      <c r="S587" s="468"/>
      <c r="T587" s="468"/>
      <c r="U587" s="468"/>
      <c r="V587" s="468"/>
      <c r="W587" s="468"/>
      <c r="X587" s="468"/>
      <c r="Y587" s="468"/>
      <c r="Z587" s="468"/>
      <c r="AA587" s="468"/>
      <c r="AB587" s="468"/>
      <c r="AC587" s="468"/>
      <c r="AD587" s="468"/>
      <c r="AE587" s="468"/>
      <c r="AF587" s="468"/>
      <c r="AG587" s="468"/>
      <c r="AH587" s="468"/>
      <c r="AI587" s="468"/>
      <c r="AJ587" s="468"/>
    </row>
    <row r="588" spans="1:36" ht="18" customHeight="1" x14ac:dyDescent="0.35">
      <c r="A588" s="468"/>
      <c r="B588" s="468"/>
      <c r="C588" s="468"/>
      <c r="D588" s="468"/>
      <c r="E588" s="468"/>
      <c r="F588" s="468"/>
      <c r="G588" s="468"/>
      <c r="H588" s="468"/>
      <c r="I588" s="468"/>
      <c r="J588" s="468"/>
      <c r="K588" s="468"/>
      <c r="L588" s="468"/>
      <c r="M588" s="468"/>
      <c r="N588" s="468"/>
      <c r="O588" s="468"/>
      <c r="P588" s="468"/>
      <c r="Q588" s="468"/>
      <c r="R588" s="468"/>
      <c r="S588" s="468"/>
      <c r="T588" s="468"/>
      <c r="U588" s="468"/>
      <c r="V588" s="468"/>
      <c r="W588" s="468"/>
      <c r="X588" s="468"/>
      <c r="Y588" s="468"/>
      <c r="Z588" s="468"/>
      <c r="AA588" s="468"/>
      <c r="AB588" s="468"/>
      <c r="AC588" s="468"/>
      <c r="AD588" s="468"/>
      <c r="AE588" s="468"/>
      <c r="AF588" s="468"/>
      <c r="AG588" s="468"/>
      <c r="AH588" s="468"/>
      <c r="AI588" s="468"/>
      <c r="AJ588" s="468"/>
    </row>
    <row r="589" spans="1:36" ht="18" customHeight="1" x14ac:dyDescent="0.35">
      <c r="A589" s="468"/>
      <c r="B589" s="468"/>
      <c r="C589" s="468"/>
      <c r="D589" s="468"/>
      <c r="E589" s="468"/>
      <c r="F589" s="468"/>
      <c r="G589" s="468"/>
      <c r="H589" s="468"/>
      <c r="I589" s="468"/>
      <c r="J589" s="468"/>
      <c r="K589" s="468"/>
      <c r="L589" s="468"/>
      <c r="M589" s="468"/>
      <c r="N589" s="468"/>
      <c r="O589" s="468"/>
      <c r="P589" s="468"/>
      <c r="Q589" s="468"/>
      <c r="R589" s="468"/>
      <c r="S589" s="468"/>
      <c r="T589" s="468"/>
      <c r="U589" s="468"/>
      <c r="V589" s="468"/>
      <c r="W589" s="468"/>
      <c r="X589" s="468"/>
      <c r="Y589" s="468"/>
      <c r="Z589" s="468"/>
      <c r="AA589" s="468"/>
      <c r="AB589" s="468"/>
      <c r="AC589" s="468"/>
      <c r="AD589" s="468"/>
      <c r="AE589" s="468"/>
      <c r="AF589" s="468"/>
      <c r="AG589" s="468"/>
      <c r="AH589" s="468"/>
      <c r="AI589" s="468"/>
      <c r="AJ589" s="468"/>
    </row>
    <row r="590" spans="1:36" ht="18" customHeight="1" x14ac:dyDescent="0.35">
      <c r="A590" s="468"/>
      <c r="B590" s="468"/>
      <c r="C590" s="468"/>
      <c r="D590" s="468"/>
      <c r="E590" s="468"/>
      <c r="F590" s="468"/>
      <c r="G590" s="468"/>
      <c r="H590" s="468"/>
      <c r="I590" s="468"/>
      <c r="J590" s="468"/>
      <c r="K590" s="468"/>
      <c r="L590" s="468"/>
      <c r="M590" s="468"/>
      <c r="N590" s="468"/>
      <c r="O590" s="468"/>
      <c r="P590" s="468"/>
      <c r="Q590" s="468"/>
      <c r="R590" s="468"/>
      <c r="S590" s="468"/>
      <c r="T590" s="468"/>
      <c r="U590" s="468"/>
      <c r="V590" s="468"/>
      <c r="W590" s="468"/>
      <c r="X590" s="468"/>
      <c r="Y590" s="468"/>
      <c r="Z590" s="468"/>
      <c r="AA590" s="468"/>
      <c r="AB590" s="468"/>
      <c r="AC590" s="468"/>
      <c r="AD590" s="468"/>
      <c r="AE590" s="468"/>
      <c r="AF590" s="468"/>
      <c r="AG590" s="468"/>
      <c r="AH590" s="468"/>
      <c r="AI590" s="468"/>
      <c r="AJ590" s="468"/>
    </row>
    <row r="591" spans="1:36" ht="18" customHeight="1" x14ac:dyDescent="0.35">
      <c r="A591" s="468"/>
      <c r="B591" s="468"/>
      <c r="C591" s="468"/>
      <c r="D591" s="468"/>
      <c r="E591" s="468"/>
      <c r="F591" s="468"/>
      <c r="G591" s="468"/>
      <c r="H591" s="468"/>
      <c r="I591" s="468"/>
      <c r="J591" s="468"/>
      <c r="K591" s="468"/>
      <c r="L591" s="468"/>
      <c r="M591" s="468"/>
      <c r="N591" s="468"/>
      <c r="O591" s="468"/>
      <c r="P591" s="468"/>
      <c r="Q591" s="468"/>
      <c r="R591" s="468"/>
      <c r="S591" s="468"/>
      <c r="T591" s="468"/>
      <c r="U591" s="468"/>
      <c r="V591" s="468"/>
      <c r="W591" s="468"/>
      <c r="X591" s="468"/>
      <c r="Y591" s="468"/>
      <c r="Z591" s="468"/>
      <c r="AA591" s="468"/>
      <c r="AB591" s="468"/>
      <c r="AC591" s="468"/>
      <c r="AD591" s="468"/>
      <c r="AE591" s="468"/>
      <c r="AF591" s="468"/>
      <c r="AG591" s="468"/>
      <c r="AH591" s="468"/>
      <c r="AI591" s="468"/>
      <c r="AJ591" s="468"/>
    </row>
    <row r="592" spans="1:36" ht="18" customHeight="1" x14ac:dyDescent="0.35">
      <c r="A592" s="468"/>
      <c r="B592" s="468"/>
      <c r="C592" s="468"/>
      <c r="D592" s="468"/>
      <c r="E592" s="468"/>
      <c r="F592" s="468"/>
      <c r="G592" s="468"/>
      <c r="H592" s="468"/>
      <c r="I592" s="468"/>
      <c r="J592" s="468"/>
      <c r="K592" s="468"/>
      <c r="L592" s="468"/>
      <c r="M592" s="468"/>
      <c r="N592" s="468"/>
      <c r="O592" s="468"/>
      <c r="P592" s="468"/>
      <c r="Q592" s="468"/>
      <c r="R592" s="468"/>
      <c r="S592" s="468"/>
      <c r="T592" s="468"/>
      <c r="U592" s="468"/>
      <c r="V592" s="468"/>
      <c r="W592" s="468"/>
      <c r="X592" s="468"/>
      <c r="Y592" s="468"/>
      <c r="Z592" s="468"/>
      <c r="AA592" s="468"/>
      <c r="AB592" s="468"/>
      <c r="AC592" s="468"/>
      <c r="AD592" s="468"/>
      <c r="AE592" s="468"/>
      <c r="AF592" s="468"/>
      <c r="AG592" s="468"/>
      <c r="AH592" s="468"/>
      <c r="AI592" s="468"/>
      <c r="AJ592" s="468"/>
    </row>
    <row r="593" spans="1:36" ht="18" customHeight="1" x14ac:dyDescent="0.35">
      <c r="A593" s="468"/>
      <c r="B593" s="468"/>
      <c r="C593" s="468"/>
      <c r="D593" s="468"/>
      <c r="E593" s="468"/>
      <c r="F593" s="468"/>
      <c r="G593" s="468"/>
      <c r="H593" s="468"/>
      <c r="I593" s="468"/>
      <c r="J593" s="468"/>
      <c r="K593" s="468"/>
      <c r="L593" s="468"/>
      <c r="M593" s="468"/>
      <c r="N593" s="468"/>
      <c r="O593" s="468"/>
      <c r="P593" s="468"/>
      <c r="Q593" s="468"/>
      <c r="R593" s="468"/>
      <c r="S593" s="468"/>
      <c r="T593" s="468"/>
      <c r="U593" s="468"/>
      <c r="V593" s="468"/>
      <c r="W593" s="468"/>
      <c r="X593" s="468"/>
      <c r="Y593" s="468"/>
      <c r="Z593" s="468"/>
      <c r="AA593" s="468"/>
      <c r="AB593" s="468"/>
      <c r="AC593" s="468"/>
      <c r="AD593" s="468"/>
      <c r="AE593" s="468"/>
      <c r="AF593" s="468"/>
      <c r="AG593" s="468"/>
      <c r="AH593" s="468"/>
      <c r="AI593" s="468"/>
      <c r="AJ593" s="468"/>
    </row>
    <row r="594" spans="1:36" ht="18" customHeight="1" x14ac:dyDescent="0.35">
      <c r="A594" s="468"/>
      <c r="B594" s="468"/>
      <c r="C594" s="468"/>
      <c r="D594" s="468"/>
      <c r="E594" s="468"/>
      <c r="F594" s="468"/>
      <c r="G594" s="468"/>
      <c r="H594" s="468"/>
      <c r="I594" s="468"/>
      <c r="J594" s="468"/>
      <c r="K594" s="468"/>
      <c r="L594" s="468"/>
      <c r="M594" s="468"/>
      <c r="N594" s="468"/>
      <c r="O594" s="468"/>
      <c r="P594" s="468"/>
      <c r="Q594" s="468"/>
      <c r="R594" s="468"/>
      <c r="S594" s="468"/>
      <c r="T594" s="468"/>
      <c r="U594" s="468"/>
      <c r="V594" s="468"/>
      <c r="W594" s="468"/>
      <c r="X594" s="468"/>
      <c r="Y594" s="468"/>
      <c r="Z594" s="468"/>
      <c r="AA594" s="468"/>
      <c r="AB594" s="468"/>
      <c r="AC594" s="468"/>
      <c r="AD594" s="468"/>
      <c r="AE594" s="468"/>
      <c r="AF594" s="468"/>
      <c r="AG594" s="468"/>
      <c r="AH594" s="468"/>
      <c r="AI594" s="468"/>
      <c r="AJ594" s="468"/>
    </row>
    <row r="595" spans="1:36" ht="18" customHeight="1" x14ac:dyDescent="0.35">
      <c r="A595" s="468"/>
      <c r="B595" s="468"/>
      <c r="C595" s="468"/>
      <c r="D595" s="468"/>
      <c r="E595" s="468"/>
      <c r="F595" s="468"/>
      <c r="G595" s="468"/>
      <c r="H595" s="468"/>
      <c r="I595" s="468"/>
      <c r="J595" s="468"/>
      <c r="K595" s="468"/>
      <c r="L595" s="468"/>
      <c r="M595" s="468"/>
      <c r="N595" s="468"/>
      <c r="O595" s="468"/>
      <c r="P595" s="468"/>
      <c r="Q595" s="468"/>
      <c r="R595" s="468"/>
      <c r="S595" s="468"/>
      <c r="T595" s="468"/>
      <c r="U595" s="468"/>
      <c r="V595" s="468"/>
      <c r="W595" s="468"/>
      <c r="X595" s="468"/>
      <c r="Y595" s="468"/>
      <c r="Z595" s="468"/>
      <c r="AA595" s="468"/>
      <c r="AB595" s="468"/>
      <c r="AC595" s="468"/>
      <c r="AD595" s="468"/>
      <c r="AE595" s="468"/>
      <c r="AF595" s="468"/>
      <c r="AG595" s="468"/>
      <c r="AH595" s="468"/>
      <c r="AI595" s="468"/>
      <c r="AJ595" s="468"/>
    </row>
    <row r="596" spans="1:36" ht="18" customHeight="1" x14ac:dyDescent="0.35">
      <c r="A596" s="468"/>
      <c r="B596" s="468"/>
      <c r="C596" s="468"/>
      <c r="D596" s="468"/>
      <c r="E596" s="468"/>
      <c r="F596" s="468"/>
      <c r="G596" s="468"/>
      <c r="H596" s="468"/>
      <c r="I596" s="468"/>
      <c r="J596" s="468"/>
      <c r="K596" s="468"/>
      <c r="L596" s="468"/>
      <c r="M596" s="468"/>
      <c r="N596" s="468"/>
      <c r="O596" s="468"/>
      <c r="P596" s="468"/>
      <c r="Q596" s="468"/>
      <c r="R596" s="468"/>
      <c r="S596" s="468"/>
      <c r="T596" s="468"/>
      <c r="U596" s="468"/>
      <c r="V596" s="468"/>
      <c r="W596" s="468"/>
      <c r="X596" s="468"/>
      <c r="Y596" s="468"/>
      <c r="Z596" s="468"/>
      <c r="AA596" s="468"/>
      <c r="AB596" s="468"/>
      <c r="AC596" s="468"/>
      <c r="AD596" s="468"/>
      <c r="AE596" s="468"/>
      <c r="AF596" s="468"/>
      <c r="AG596" s="468"/>
      <c r="AH596" s="468"/>
      <c r="AI596" s="468"/>
      <c r="AJ596" s="468"/>
    </row>
    <row r="597" spans="1:36" ht="18" customHeight="1" x14ac:dyDescent="0.35">
      <c r="A597" s="468"/>
      <c r="B597" s="468"/>
      <c r="C597" s="468"/>
      <c r="D597" s="468"/>
      <c r="E597" s="468"/>
      <c r="F597" s="468"/>
      <c r="G597" s="468"/>
      <c r="H597" s="468"/>
      <c r="I597" s="468"/>
      <c r="J597" s="468"/>
      <c r="K597" s="468"/>
      <c r="L597" s="468"/>
      <c r="M597" s="468"/>
      <c r="N597" s="468"/>
      <c r="O597" s="468"/>
      <c r="P597" s="468"/>
      <c r="Q597" s="468"/>
      <c r="R597" s="468"/>
      <c r="S597" s="468"/>
      <c r="T597" s="468"/>
      <c r="U597" s="468"/>
      <c r="V597" s="468"/>
      <c r="W597" s="468"/>
      <c r="X597" s="468"/>
      <c r="Y597" s="468"/>
      <c r="Z597" s="468"/>
      <c r="AA597" s="468"/>
      <c r="AB597" s="468"/>
      <c r="AC597" s="468"/>
      <c r="AD597" s="468"/>
      <c r="AE597" s="468"/>
      <c r="AF597" s="468"/>
      <c r="AG597" s="468"/>
      <c r="AH597" s="468"/>
      <c r="AI597" s="468"/>
      <c r="AJ597" s="468"/>
    </row>
    <row r="598" spans="1:36" ht="18" customHeight="1" x14ac:dyDescent="0.35">
      <c r="A598" s="468"/>
      <c r="B598" s="468"/>
      <c r="C598" s="468"/>
      <c r="D598" s="468"/>
      <c r="E598" s="468"/>
      <c r="F598" s="468"/>
      <c r="G598" s="468"/>
      <c r="H598" s="468"/>
      <c r="I598" s="468"/>
      <c r="J598" s="468"/>
      <c r="K598" s="468"/>
      <c r="L598" s="468"/>
      <c r="M598" s="468"/>
      <c r="N598" s="468"/>
      <c r="O598" s="468"/>
      <c r="P598" s="468"/>
      <c r="Q598" s="468"/>
      <c r="R598" s="468"/>
      <c r="S598" s="468"/>
      <c r="T598" s="468"/>
      <c r="U598" s="468"/>
      <c r="V598" s="468"/>
      <c r="W598" s="468"/>
      <c r="X598" s="468"/>
      <c r="Y598" s="468"/>
      <c r="Z598" s="468"/>
      <c r="AA598" s="468"/>
      <c r="AB598" s="468"/>
      <c r="AC598" s="468"/>
      <c r="AD598" s="468"/>
      <c r="AE598" s="468"/>
      <c r="AF598" s="468"/>
      <c r="AG598" s="468"/>
      <c r="AH598" s="468"/>
      <c r="AI598" s="468"/>
      <c r="AJ598" s="468"/>
    </row>
    <row r="599" spans="1:36" ht="18" customHeight="1" x14ac:dyDescent="0.35">
      <c r="A599" s="468"/>
      <c r="B599" s="468"/>
      <c r="C599" s="468"/>
      <c r="D599" s="468"/>
      <c r="E599" s="468"/>
      <c r="F599" s="468"/>
      <c r="G599" s="468"/>
      <c r="H599" s="468"/>
      <c r="I599" s="468"/>
      <c r="J599" s="468"/>
      <c r="K599" s="468"/>
      <c r="L599" s="468"/>
      <c r="M599" s="468"/>
      <c r="N599" s="468"/>
      <c r="O599" s="468"/>
      <c r="P599" s="468"/>
      <c r="Q599" s="468"/>
      <c r="R599" s="468"/>
      <c r="S599" s="468"/>
      <c r="T599" s="468"/>
      <c r="U599" s="468"/>
      <c r="V599" s="468"/>
      <c r="W599" s="468"/>
      <c r="X599" s="468"/>
      <c r="Y599" s="468"/>
      <c r="Z599" s="468"/>
      <c r="AA599" s="468"/>
      <c r="AB599" s="468"/>
      <c r="AC599" s="468"/>
      <c r="AD599" s="468"/>
      <c r="AE599" s="468"/>
      <c r="AF599" s="468"/>
      <c r="AG599" s="468"/>
      <c r="AH599" s="468"/>
      <c r="AI599" s="468"/>
      <c r="AJ599" s="468"/>
    </row>
    <row r="600" spans="1:36" ht="18" customHeight="1" x14ac:dyDescent="0.35">
      <c r="A600" s="468"/>
      <c r="B600" s="468"/>
      <c r="C600" s="468"/>
      <c r="D600" s="468"/>
      <c r="E600" s="468"/>
      <c r="F600" s="468"/>
      <c r="G600" s="468"/>
      <c r="H600" s="468"/>
      <c r="I600" s="468"/>
      <c r="J600" s="468"/>
      <c r="K600" s="468"/>
      <c r="L600" s="468"/>
      <c r="M600" s="468"/>
      <c r="N600" s="468"/>
      <c r="O600" s="468"/>
      <c r="P600" s="468"/>
      <c r="Q600" s="468"/>
      <c r="R600" s="468"/>
      <c r="S600" s="468"/>
      <c r="T600" s="468"/>
      <c r="U600" s="468"/>
      <c r="V600" s="468"/>
      <c r="W600" s="468"/>
      <c r="X600" s="468"/>
      <c r="Y600" s="468"/>
      <c r="Z600" s="468"/>
      <c r="AA600" s="468"/>
      <c r="AB600" s="468"/>
      <c r="AC600" s="468"/>
      <c r="AD600" s="468"/>
      <c r="AE600" s="468"/>
      <c r="AF600" s="468"/>
      <c r="AG600" s="468"/>
      <c r="AH600" s="468"/>
      <c r="AI600" s="468"/>
      <c r="AJ600" s="468"/>
    </row>
    <row r="601" spans="1:36" ht="18" customHeight="1" x14ac:dyDescent="0.35">
      <c r="A601" s="468"/>
      <c r="B601" s="468"/>
      <c r="C601" s="468"/>
      <c r="D601" s="468"/>
      <c r="E601" s="468"/>
      <c r="F601" s="468"/>
      <c r="G601" s="468"/>
      <c r="H601" s="468"/>
      <c r="I601" s="468"/>
      <c r="J601" s="468"/>
      <c r="K601" s="468"/>
      <c r="L601" s="468"/>
      <c r="M601" s="468"/>
      <c r="N601" s="468"/>
      <c r="O601" s="468"/>
      <c r="P601" s="468"/>
      <c r="Q601" s="468"/>
      <c r="R601" s="468"/>
      <c r="S601" s="468"/>
      <c r="T601" s="468"/>
      <c r="U601" s="468"/>
      <c r="V601" s="468"/>
      <c r="W601" s="468"/>
      <c r="X601" s="468"/>
      <c r="Y601" s="468"/>
      <c r="Z601" s="468"/>
      <c r="AA601" s="468"/>
      <c r="AB601" s="468"/>
      <c r="AC601" s="468"/>
      <c r="AD601" s="468"/>
      <c r="AE601" s="468"/>
      <c r="AF601" s="468"/>
      <c r="AG601" s="468"/>
      <c r="AH601" s="468"/>
      <c r="AI601" s="468"/>
      <c r="AJ601" s="468"/>
    </row>
    <row r="602" spans="1:36" ht="18" customHeight="1" x14ac:dyDescent="0.35">
      <c r="A602" s="468"/>
      <c r="B602" s="468"/>
      <c r="C602" s="468"/>
      <c r="D602" s="468"/>
      <c r="E602" s="468"/>
      <c r="F602" s="468"/>
      <c r="G602" s="468"/>
      <c r="H602" s="468"/>
      <c r="I602" s="468"/>
      <c r="J602" s="468"/>
      <c r="K602" s="468"/>
      <c r="L602" s="468"/>
      <c r="M602" s="468"/>
      <c r="N602" s="468"/>
      <c r="O602" s="468"/>
      <c r="P602" s="468"/>
      <c r="Q602" s="468"/>
      <c r="R602" s="468"/>
      <c r="S602" s="468"/>
      <c r="T602" s="468"/>
      <c r="U602" s="468"/>
      <c r="V602" s="468"/>
      <c r="W602" s="468"/>
      <c r="X602" s="468"/>
      <c r="Y602" s="468"/>
      <c r="Z602" s="468"/>
      <c r="AA602" s="468"/>
      <c r="AB602" s="468"/>
      <c r="AC602" s="468"/>
      <c r="AD602" s="468"/>
      <c r="AE602" s="468"/>
      <c r="AF602" s="468"/>
      <c r="AG602" s="468"/>
      <c r="AH602" s="468"/>
      <c r="AI602" s="468"/>
      <c r="AJ602" s="468"/>
    </row>
    <row r="603" spans="1:36" ht="18" customHeight="1" x14ac:dyDescent="0.35">
      <c r="A603" s="468"/>
      <c r="B603" s="468"/>
      <c r="C603" s="468"/>
      <c r="D603" s="468"/>
      <c r="E603" s="468"/>
      <c r="F603" s="468"/>
      <c r="G603" s="468"/>
      <c r="H603" s="468"/>
      <c r="I603" s="468"/>
      <c r="J603" s="468"/>
      <c r="K603" s="468"/>
      <c r="L603" s="468"/>
      <c r="M603" s="468"/>
      <c r="N603" s="468"/>
      <c r="O603" s="468"/>
      <c r="P603" s="468"/>
      <c r="Q603" s="468"/>
      <c r="R603" s="468"/>
      <c r="S603" s="468"/>
      <c r="T603" s="468"/>
      <c r="U603" s="468"/>
      <c r="V603" s="468"/>
      <c r="W603" s="468"/>
      <c r="X603" s="468"/>
      <c r="Y603" s="468"/>
      <c r="Z603" s="468"/>
      <c r="AA603" s="468"/>
      <c r="AB603" s="468"/>
      <c r="AC603" s="468"/>
      <c r="AD603" s="468"/>
      <c r="AE603" s="468"/>
      <c r="AF603" s="468"/>
      <c r="AG603" s="468"/>
      <c r="AH603" s="468"/>
      <c r="AI603" s="468"/>
      <c r="AJ603" s="468"/>
    </row>
    <row r="604" spans="1:36" ht="18" customHeight="1" x14ac:dyDescent="0.35">
      <c r="A604" s="468"/>
      <c r="B604" s="468"/>
      <c r="C604" s="468"/>
      <c r="D604" s="468"/>
      <c r="E604" s="468"/>
      <c r="F604" s="468"/>
      <c r="G604" s="468"/>
      <c r="H604" s="468"/>
      <c r="I604" s="468"/>
      <c r="J604" s="468"/>
      <c r="K604" s="468"/>
      <c r="L604" s="468"/>
      <c r="M604" s="468"/>
      <c r="N604" s="468"/>
      <c r="O604" s="468"/>
      <c r="P604" s="468"/>
      <c r="Q604" s="468"/>
      <c r="R604" s="468"/>
      <c r="S604" s="468"/>
      <c r="T604" s="468"/>
      <c r="U604" s="468"/>
      <c r="V604" s="468"/>
      <c r="W604" s="468"/>
      <c r="X604" s="468"/>
      <c r="Y604" s="468"/>
      <c r="Z604" s="468"/>
      <c r="AA604" s="468"/>
      <c r="AB604" s="468"/>
      <c r="AC604" s="468"/>
      <c r="AD604" s="468"/>
      <c r="AE604" s="468"/>
      <c r="AF604" s="468"/>
      <c r="AG604" s="468"/>
      <c r="AH604" s="468"/>
      <c r="AI604" s="468"/>
      <c r="AJ604" s="468"/>
    </row>
    <row r="605" spans="1:36" ht="18" customHeight="1" x14ac:dyDescent="0.35">
      <c r="A605" s="468"/>
      <c r="B605" s="468"/>
      <c r="C605" s="468"/>
      <c r="D605" s="468"/>
      <c r="E605" s="468"/>
      <c r="F605" s="468"/>
      <c r="G605" s="468"/>
      <c r="H605" s="468"/>
      <c r="I605" s="468"/>
      <c r="J605" s="468"/>
      <c r="K605" s="468"/>
      <c r="L605" s="468"/>
      <c r="M605" s="468"/>
      <c r="N605" s="468"/>
      <c r="O605" s="468"/>
      <c r="P605" s="468"/>
      <c r="Q605" s="468"/>
      <c r="R605" s="468"/>
      <c r="S605" s="468"/>
      <c r="T605" s="468"/>
      <c r="U605" s="468"/>
      <c r="V605" s="468"/>
      <c r="W605" s="468"/>
      <c r="X605" s="468"/>
      <c r="Y605" s="468"/>
      <c r="Z605" s="468"/>
      <c r="AA605" s="468"/>
      <c r="AB605" s="468"/>
      <c r="AC605" s="468"/>
      <c r="AD605" s="468"/>
      <c r="AE605" s="468"/>
      <c r="AF605" s="468"/>
      <c r="AG605" s="468"/>
      <c r="AH605" s="468"/>
      <c r="AI605" s="468"/>
      <c r="AJ605" s="468"/>
    </row>
    <row r="606" spans="1:36" ht="18" customHeight="1" x14ac:dyDescent="0.35">
      <c r="A606" s="468"/>
      <c r="B606" s="468"/>
      <c r="C606" s="468"/>
      <c r="D606" s="468"/>
      <c r="E606" s="468"/>
      <c r="F606" s="468"/>
      <c r="G606" s="468"/>
      <c r="H606" s="468"/>
      <c r="I606" s="468"/>
      <c r="J606" s="468"/>
      <c r="K606" s="468"/>
      <c r="L606" s="468"/>
      <c r="M606" s="468"/>
      <c r="N606" s="468"/>
      <c r="O606" s="468"/>
      <c r="P606" s="468"/>
      <c r="Q606" s="468"/>
      <c r="R606" s="468"/>
      <c r="S606" s="468"/>
      <c r="T606" s="468"/>
      <c r="U606" s="468"/>
      <c r="V606" s="468"/>
      <c r="W606" s="468"/>
      <c r="X606" s="468"/>
      <c r="Y606" s="468"/>
      <c r="Z606" s="468"/>
      <c r="AA606" s="468"/>
      <c r="AB606" s="468"/>
      <c r="AC606" s="468"/>
      <c r="AD606" s="468"/>
      <c r="AE606" s="468"/>
      <c r="AF606" s="468"/>
      <c r="AG606" s="468"/>
      <c r="AH606" s="468"/>
      <c r="AI606" s="468"/>
      <c r="AJ606" s="468"/>
    </row>
    <row r="607" spans="1:36" ht="18" customHeight="1" x14ac:dyDescent="0.35">
      <c r="A607" s="468"/>
      <c r="B607" s="468"/>
      <c r="C607" s="468"/>
      <c r="D607" s="468"/>
      <c r="E607" s="468"/>
      <c r="F607" s="468"/>
      <c r="G607" s="468"/>
      <c r="H607" s="468"/>
      <c r="I607" s="468"/>
      <c r="J607" s="468"/>
      <c r="K607" s="468"/>
      <c r="L607" s="468"/>
      <c r="M607" s="468"/>
      <c r="N607" s="468"/>
      <c r="O607" s="468"/>
      <c r="P607" s="468"/>
      <c r="Q607" s="468"/>
      <c r="R607" s="468"/>
      <c r="S607" s="468"/>
      <c r="T607" s="468"/>
      <c r="U607" s="468"/>
      <c r="V607" s="468"/>
      <c r="W607" s="468"/>
      <c r="X607" s="468"/>
      <c r="Y607" s="468"/>
      <c r="Z607" s="468"/>
      <c r="AA607" s="468"/>
      <c r="AB607" s="468"/>
      <c r="AC607" s="468"/>
      <c r="AD607" s="468"/>
      <c r="AE607" s="468"/>
      <c r="AF607" s="468"/>
      <c r="AG607" s="468"/>
      <c r="AH607" s="468"/>
      <c r="AI607" s="468"/>
      <c r="AJ607" s="468"/>
    </row>
    <row r="608" spans="1:36" ht="18" customHeight="1" x14ac:dyDescent="0.35">
      <c r="A608" s="468"/>
      <c r="B608" s="468"/>
      <c r="C608" s="468"/>
      <c r="D608" s="468"/>
      <c r="E608" s="468"/>
      <c r="F608" s="468"/>
      <c r="G608" s="468"/>
      <c r="H608" s="468"/>
      <c r="I608" s="468"/>
      <c r="J608" s="468"/>
      <c r="K608" s="468"/>
      <c r="L608" s="468"/>
      <c r="M608" s="468"/>
      <c r="N608" s="468"/>
      <c r="O608" s="468"/>
      <c r="P608" s="468"/>
      <c r="Q608" s="468"/>
      <c r="R608" s="468"/>
      <c r="S608" s="468"/>
      <c r="T608" s="468"/>
      <c r="U608" s="468"/>
      <c r="V608" s="468"/>
      <c r="W608" s="468"/>
      <c r="X608" s="468"/>
      <c r="Y608" s="468"/>
      <c r="Z608" s="468"/>
      <c r="AA608" s="468"/>
      <c r="AB608" s="468"/>
      <c r="AC608" s="468"/>
      <c r="AD608" s="468"/>
      <c r="AE608" s="468"/>
      <c r="AF608" s="468"/>
      <c r="AG608" s="468"/>
      <c r="AH608" s="468"/>
      <c r="AI608" s="468"/>
      <c r="AJ608" s="468"/>
    </row>
    <row r="609" spans="1:36" ht="18" customHeight="1" x14ac:dyDescent="0.35">
      <c r="A609" s="468"/>
      <c r="B609" s="468"/>
      <c r="C609" s="468"/>
      <c r="D609" s="468"/>
      <c r="E609" s="468"/>
      <c r="F609" s="468"/>
      <c r="G609" s="468"/>
      <c r="H609" s="468"/>
      <c r="I609" s="468"/>
      <c r="J609" s="468"/>
      <c r="K609" s="468"/>
      <c r="L609" s="468"/>
      <c r="M609" s="468"/>
      <c r="N609" s="468"/>
      <c r="O609" s="468"/>
      <c r="P609" s="468"/>
      <c r="Q609" s="468"/>
      <c r="R609" s="468"/>
      <c r="S609" s="468"/>
      <c r="T609" s="468"/>
      <c r="U609" s="468"/>
      <c r="V609" s="468"/>
      <c r="W609" s="468"/>
      <c r="X609" s="468"/>
      <c r="Y609" s="468"/>
      <c r="Z609" s="468"/>
      <c r="AA609" s="468"/>
      <c r="AB609" s="468"/>
      <c r="AC609" s="468"/>
      <c r="AD609" s="468"/>
      <c r="AE609" s="468"/>
      <c r="AF609" s="468"/>
      <c r="AG609" s="468"/>
      <c r="AH609" s="468"/>
      <c r="AI609" s="468"/>
      <c r="AJ609" s="468"/>
    </row>
    <row r="610" spans="1:36" ht="18" customHeight="1" x14ac:dyDescent="0.35">
      <c r="A610" s="468"/>
      <c r="B610" s="468"/>
      <c r="C610" s="468"/>
      <c r="D610" s="468"/>
      <c r="E610" s="468"/>
      <c r="F610" s="468"/>
      <c r="G610" s="468"/>
      <c r="H610" s="468"/>
      <c r="I610" s="468"/>
      <c r="J610" s="468"/>
      <c r="K610" s="468"/>
      <c r="L610" s="468"/>
      <c r="M610" s="468"/>
      <c r="N610" s="468"/>
      <c r="O610" s="468"/>
      <c r="P610" s="468"/>
      <c r="Q610" s="468"/>
      <c r="R610" s="468"/>
      <c r="S610" s="468"/>
      <c r="T610" s="468"/>
      <c r="U610" s="468"/>
      <c r="V610" s="468"/>
      <c r="W610" s="468"/>
      <c r="X610" s="468"/>
      <c r="Y610" s="468"/>
      <c r="Z610" s="468"/>
      <c r="AA610" s="468"/>
      <c r="AB610" s="468"/>
      <c r="AC610" s="468"/>
      <c r="AD610" s="468"/>
      <c r="AE610" s="468"/>
      <c r="AF610" s="468"/>
      <c r="AG610" s="468"/>
      <c r="AH610" s="468"/>
      <c r="AI610" s="468"/>
      <c r="AJ610" s="468"/>
    </row>
    <row r="611" spans="1:36" ht="18" customHeight="1" x14ac:dyDescent="0.35">
      <c r="A611" s="468"/>
      <c r="B611" s="468"/>
      <c r="C611" s="468"/>
      <c r="D611" s="468"/>
      <c r="E611" s="468"/>
      <c r="F611" s="468"/>
      <c r="G611" s="468"/>
      <c r="H611" s="468"/>
      <c r="I611" s="468"/>
      <c r="J611" s="468"/>
      <c r="K611" s="468"/>
      <c r="L611" s="468"/>
      <c r="M611" s="468"/>
      <c r="N611" s="468"/>
      <c r="O611" s="468"/>
      <c r="P611" s="468"/>
      <c r="Q611" s="468"/>
      <c r="R611" s="468"/>
      <c r="S611" s="468"/>
      <c r="T611" s="468"/>
      <c r="U611" s="468"/>
      <c r="V611" s="468"/>
      <c r="W611" s="468"/>
      <c r="X611" s="468"/>
      <c r="Y611" s="468"/>
      <c r="Z611" s="468"/>
      <c r="AA611" s="468"/>
      <c r="AB611" s="468"/>
      <c r="AC611" s="468"/>
      <c r="AD611" s="468"/>
      <c r="AE611" s="468"/>
      <c r="AF611" s="468"/>
      <c r="AG611" s="468"/>
      <c r="AH611" s="468"/>
      <c r="AI611" s="468"/>
      <c r="AJ611" s="468"/>
    </row>
    <row r="612" spans="1:36" ht="18" customHeight="1" x14ac:dyDescent="0.35">
      <c r="A612" s="468"/>
      <c r="B612" s="468"/>
      <c r="C612" s="468"/>
      <c r="D612" s="468"/>
      <c r="E612" s="468"/>
      <c r="F612" s="468"/>
      <c r="G612" s="468"/>
      <c r="H612" s="468"/>
      <c r="I612" s="468"/>
      <c r="J612" s="468"/>
      <c r="K612" s="468"/>
      <c r="L612" s="468"/>
      <c r="M612" s="468"/>
      <c r="N612" s="468"/>
      <c r="O612" s="468"/>
      <c r="P612" s="468"/>
      <c r="Q612" s="468"/>
      <c r="R612" s="468"/>
      <c r="S612" s="468"/>
      <c r="T612" s="468"/>
      <c r="U612" s="468"/>
      <c r="V612" s="468"/>
      <c r="W612" s="468"/>
      <c r="X612" s="468"/>
      <c r="Y612" s="468"/>
      <c r="Z612" s="468"/>
      <c r="AA612" s="468"/>
      <c r="AB612" s="468"/>
      <c r="AC612" s="468"/>
      <c r="AD612" s="468"/>
      <c r="AE612" s="468"/>
      <c r="AF612" s="468"/>
      <c r="AG612" s="468"/>
      <c r="AH612" s="468"/>
      <c r="AI612" s="468"/>
      <c r="AJ612" s="468"/>
    </row>
    <row r="613" spans="1:36" ht="18" customHeight="1" x14ac:dyDescent="0.35">
      <c r="A613" s="468"/>
      <c r="B613" s="468"/>
      <c r="C613" s="468"/>
      <c r="D613" s="468"/>
      <c r="E613" s="468"/>
      <c r="F613" s="468"/>
      <c r="G613" s="468"/>
      <c r="H613" s="468"/>
      <c r="I613" s="468"/>
      <c r="J613" s="468"/>
      <c r="K613" s="468"/>
      <c r="L613" s="468"/>
      <c r="M613" s="468"/>
      <c r="N613" s="468"/>
      <c r="O613" s="468"/>
      <c r="P613" s="468"/>
      <c r="Q613" s="468"/>
      <c r="R613" s="468"/>
      <c r="S613" s="468"/>
      <c r="T613" s="468"/>
      <c r="U613" s="468"/>
      <c r="V613" s="468"/>
      <c r="W613" s="468"/>
      <c r="X613" s="468"/>
      <c r="Y613" s="468"/>
      <c r="Z613" s="468"/>
      <c r="AA613" s="468"/>
      <c r="AB613" s="468"/>
      <c r="AC613" s="468"/>
      <c r="AD613" s="468"/>
      <c r="AE613" s="468"/>
      <c r="AF613" s="468"/>
      <c r="AG613" s="468"/>
      <c r="AH613" s="468"/>
      <c r="AI613" s="468"/>
      <c r="AJ613" s="468"/>
    </row>
    <row r="614" spans="1:36" ht="18" customHeight="1" x14ac:dyDescent="0.35">
      <c r="A614" s="468"/>
      <c r="B614" s="468"/>
      <c r="C614" s="468"/>
      <c r="D614" s="468"/>
      <c r="E614" s="468"/>
      <c r="F614" s="468"/>
      <c r="G614" s="468"/>
      <c r="H614" s="468"/>
      <c r="I614" s="468"/>
      <c r="J614" s="468"/>
      <c r="K614" s="468"/>
      <c r="L614" s="468"/>
      <c r="M614" s="468"/>
      <c r="N614" s="468"/>
      <c r="O614" s="468"/>
      <c r="P614" s="468"/>
      <c r="Q614" s="468"/>
      <c r="R614" s="468"/>
      <c r="S614" s="468"/>
      <c r="T614" s="468"/>
      <c r="U614" s="468"/>
      <c r="V614" s="468"/>
      <c r="W614" s="468"/>
      <c r="X614" s="468"/>
      <c r="Y614" s="468"/>
      <c r="Z614" s="468"/>
      <c r="AA614" s="468"/>
      <c r="AB614" s="468"/>
      <c r="AC614" s="468"/>
      <c r="AD614" s="468"/>
      <c r="AE614" s="468"/>
      <c r="AF614" s="468"/>
      <c r="AG614" s="468"/>
      <c r="AH614" s="468"/>
      <c r="AI614" s="468"/>
      <c r="AJ614" s="468"/>
    </row>
    <row r="615" spans="1:36" ht="18" customHeight="1" x14ac:dyDescent="0.35">
      <c r="A615" s="468"/>
      <c r="B615" s="468"/>
      <c r="C615" s="468"/>
      <c r="D615" s="468"/>
      <c r="E615" s="468"/>
      <c r="F615" s="468"/>
      <c r="G615" s="468"/>
      <c r="H615" s="468"/>
      <c r="I615" s="468"/>
      <c r="J615" s="468"/>
      <c r="K615" s="468"/>
      <c r="L615" s="468"/>
      <c r="M615" s="468"/>
      <c r="N615" s="468"/>
      <c r="O615" s="468"/>
      <c r="P615" s="468"/>
      <c r="Q615" s="468"/>
      <c r="R615" s="468"/>
      <c r="S615" s="468"/>
      <c r="T615" s="468"/>
      <c r="U615" s="468"/>
      <c r="V615" s="468"/>
      <c r="W615" s="468"/>
      <c r="X615" s="468"/>
      <c r="Y615" s="468"/>
      <c r="Z615" s="468"/>
      <c r="AA615" s="468"/>
      <c r="AB615" s="468"/>
      <c r="AC615" s="468"/>
      <c r="AD615" s="468"/>
      <c r="AE615" s="468"/>
      <c r="AF615" s="468"/>
      <c r="AG615" s="468"/>
      <c r="AH615" s="468"/>
      <c r="AI615" s="468"/>
      <c r="AJ615" s="468"/>
    </row>
    <row r="616" spans="1:36" ht="18" customHeight="1" x14ac:dyDescent="0.35">
      <c r="A616" s="468"/>
      <c r="B616" s="468"/>
      <c r="C616" s="468"/>
      <c r="D616" s="468"/>
      <c r="E616" s="468"/>
      <c r="F616" s="468"/>
      <c r="G616" s="468"/>
      <c r="H616" s="468"/>
      <c r="I616" s="468"/>
      <c r="J616" s="468"/>
      <c r="K616" s="468"/>
      <c r="L616" s="468"/>
      <c r="M616" s="468"/>
      <c r="N616" s="468"/>
      <c r="O616" s="468"/>
      <c r="P616" s="468"/>
      <c r="Q616" s="468"/>
      <c r="R616" s="468"/>
      <c r="S616" s="468"/>
      <c r="T616" s="468"/>
      <c r="U616" s="468"/>
      <c r="V616" s="468"/>
      <c r="W616" s="468"/>
      <c r="X616" s="468"/>
      <c r="Y616" s="468"/>
      <c r="Z616" s="468"/>
      <c r="AA616" s="468"/>
      <c r="AB616" s="468"/>
      <c r="AC616" s="468"/>
      <c r="AD616" s="468"/>
      <c r="AE616" s="468"/>
      <c r="AF616" s="468"/>
      <c r="AG616" s="468"/>
      <c r="AH616" s="468"/>
      <c r="AI616" s="468"/>
      <c r="AJ616" s="468"/>
    </row>
    <row r="617" spans="1:36" ht="18" customHeight="1" x14ac:dyDescent="0.35">
      <c r="A617" s="468"/>
      <c r="B617" s="468"/>
      <c r="C617" s="468"/>
      <c r="D617" s="468"/>
      <c r="E617" s="468"/>
      <c r="F617" s="468"/>
      <c r="G617" s="468"/>
      <c r="H617" s="468"/>
      <c r="I617" s="468"/>
      <c r="J617" s="468"/>
      <c r="K617" s="468"/>
      <c r="L617" s="468"/>
      <c r="M617" s="468"/>
      <c r="N617" s="468"/>
      <c r="O617" s="468"/>
      <c r="P617" s="468"/>
      <c r="Q617" s="468"/>
      <c r="R617" s="468"/>
      <c r="S617" s="468"/>
      <c r="T617" s="468"/>
      <c r="U617" s="468"/>
      <c r="V617" s="468"/>
      <c r="W617" s="468"/>
      <c r="X617" s="468"/>
      <c r="Y617" s="468"/>
      <c r="Z617" s="468"/>
      <c r="AA617" s="468"/>
      <c r="AB617" s="468"/>
      <c r="AC617" s="468"/>
      <c r="AD617" s="468"/>
      <c r="AE617" s="468"/>
      <c r="AF617" s="468"/>
      <c r="AG617" s="468"/>
      <c r="AH617" s="468"/>
      <c r="AI617" s="468"/>
      <c r="AJ617" s="468"/>
    </row>
    <row r="618" spans="1:36" ht="18" customHeight="1" x14ac:dyDescent="0.35">
      <c r="A618" s="468"/>
      <c r="B618" s="468"/>
      <c r="C618" s="468"/>
      <c r="D618" s="468"/>
      <c r="E618" s="468"/>
      <c r="F618" s="468"/>
      <c r="G618" s="468"/>
      <c r="H618" s="468"/>
      <c r="I618" s="468"/>
      <c r="J618" s="468"/>
      <c r="K618" s="468"/>
      <c r="L618" s="468"/>
      <c r="M618" s="468"/>
      <c r="N618" s="468"/>
      <c r="O618" s="468"/>
      <c r="P618" s="468"/>
      <c r="Q618" s="468"/>
      <c r="R618" s="468"/>
      <c r="S618" s="468"/>
      <c r="T618" s="468"/>
      <c r="U618" s="468"/>
      <c r="V618" s="468"/>
      <c r="W618" s="468"/>
      <c r="X618" s="468"/>
      <c r="Y618" s="468"/>
      <c r="Z618" s="468"/>
      <c r="AA618" s="468"/>
      <c r="AB618" s="468"/>
      <c r="AC618" s="468"/>
      <c r="AD618" s="468"/>
      <c r="AE618" s="468"/>
      <c r="AF618" s="468"/>
      <c r="AG618" s="468"/>
      <c r="AH618" s="468"/>
      <c r="AI618" s="468"/>
      <c r="AJ618" s="468"/>
    </row>
    <row r="619" spans="1:36" ht="18" customHeight="1" x14ac:dyDescent="0.35">
      <c r="A619" s="468"/>
      <c r="B619" s="468"/>
      <c r="C619" s="468"/>
      <c r="D619" s="468"/>
      <c r="E619" s="468"/>
      <c r="F619" s="468"/>
      <c r="G619" s="468"/>
      <c r="H619" s="468"/>
      <c r="I619" s="468"/>
      <c r="J619" s="468"/>
      <c r="K619" s="468"/>
      <c r="L619" s="468"/>
      <c r="M619" s="468"/>
      <c r="N619" s="468"/>
      <c r="O619" s="468"/>
      <c r="P619" s="468"/>
      <c r="Q619" s="468"/>
      <c r="R619" s="468"/>
      <c r="S619" s="468"/>
      <c r="T619" s="468"/>
      <c r="U619" s="468"/>
      <c r="V619" s="468"/>
      <c r="W619" s="468"/>
      <c r="X619" s="468"/>
      <c r="Y619" s="468"/>
      <c r="Z619" s="468"/>
      <c r="AA619" s="468"/>
      <c r="AB619" s="468"/>
      <c r="AC619" s="468"/>
      <c r="AD619" s="468"/>
      <c r="AE619" s="468"/>
      <c r="AF619" s="468"/>
      <c r="AG619" s="468"/>
      <c r="AH619" s="468"/>
      <c r="AI619" s="468"/>
      <c r="AJ619" s="468"/>
    </row>
    <row r="620" spans="1:36" ht="18" customHeight="1" x14ac:dyDescent="0.35">
      <c r="A620" s="468"/>
      <c r="B620" s="468"/>
      <c r="C620" s="468"/>
      <c r="D620" s="468"/>
      <c r="E620" s="468"/>
      <c r="F620" s="468"/>
      <c r="G620" s="468"/>
      <c r="H620" s="468"/>
      <c r="I620" s="468"/>
      <c r="J620" s="468"/>
      <c r="K620" s="468"/>
      <c r="L620" s="468"/>
      <c r="M620" s="468"/>
      <c r="N620" s="468"/>
      <c r="O620" s="468"/>
      <c r="P620" s="468"/>
      <c r="Q620" s="468"/>
      <c r="R620" s="468"/>
      <c r="S620" s="468"/>
      <c r="T620" s="468"/>
      <c r="U620" s="468"/>
      <c r="V620" s="468"/>
      <c r="W620" s="468"/>
      <c r="X620" s="468"/>
      <c r="Y620" s="468"/>
      <c r="Z620" s="468"/>
      <c r="AA620" s="468"/>
      <c r="AB620" s="468"/>
      <c r="AC620" s="468"/>
      <c r="AD620" s="468"/>
      <c r="AE620" s="468"/>
      <c r="AF620" s="468"/>
      <c r="AG620" s="468"/>
      <c r="AH620" s="468"/>
      <c r="AI620" s="468"/>
      <c r="AJ620" s="468"/>
    </row>
    <row r="621" spans="1:36" ht="18" customHeight="1" x14ac:dyDescent="0.35">
      <c r="A621" s="468"/>
      <c r="B621" s="468"/>
      <c r="C621" s="468"/>
      <c r="D621" s="468"/>
      <c r="E621" s="468"/>
      <c r="F621" s="468"/>
      <c r="G621" s="468"/>
      <c r="H621" s="468"/>
      <c r="I621" s="468"/>
      <c r="J621" s="468"/>
      <c r="K621" s="468"/>
      <c r="L621" s="468"/>
      <c r="M621" s="468"/>
      <c r="N621" s="468"/>
      <c r="O621" s="468"/>
      <c r="P621" s="468"/>
      <c r="Q621" s="468"/>
      <c r="R621" s="468"/>
      <c r="S621" s="468"/>
      <c r="T621" s="468"/>
      <c r="U621" s="468"/>
      <c r="V621" s="468"/>
      <c r="W621" s="468"/>
      <c r="X621" s="468"/>
      <c r="Y621" s="468"/>
      <c r="Z621" s="468"/>
      <c r="AA621" s="468"/>
      <c r="AB621" s="468"/>
      <c r="AC621" s="468"/>
      <c r="AD621" s="468"/>
      <c r="AE621" s="468"/>
      <c r="AF621" s="468"/>
      <c r="AG621" s="468"/>
      <c r="AH621" s="468"/>
      <c r="AI621" s="468"/>
      <c r="AJ621" s="468"/>
    </row>
    <row r="622" spans="1:36" ht="18" customHeight="1" x14ac:dyDescent="0.35">
      <c r="A622" s="468"/>
      <c r="B622" s="468"/>
      <c r="C622" s="468"/>
      <c r="D622" s="468"/>
      <c r="E622" s="468"/>
      <c r="F622" s="468"/>
      <c r="G622" s="468"/>
      <c r="H622" s="468"/>
      <c r="I622" s="468"/>
      <c r="J622" s="468"/>
      <c r="K622" s="468"/>
      <c r="L622" s="468"/>
      <c r="M622" s="468"/>
      <c r="N622" s="468"/>
      <c r="O622" s="468"/>
      <c r="P622" s="468"/>
      <c r="Q622" s="468"/>
      <c r="R622" s="468"/>
      <c r="S622" s="468"/>
      <c r="T622" s="468"/>
      <c r="U622" s="468"/>
      <c r="V622" s="468"/>
      <c r="W622" s="468"/>
      <c r="X622" s="468"/>
      <c r="Y622" s="468"/>
      <c r="Z622" s="468"/>
      <c r="AA622" s="468"/>
      <c r="AB622" s="468"/>
      <c r="AC622" s="468"/>
      <c r="AD622" s="468"/>
      <c r="AE622" s="468"/>
      <c r="AF622" s="468"/>
      <c r="AG622" s="468"/>
      <c r="AH622" s="468"/>
      <c r="AI622" s="468"/>
      <c r="AJ622" s="468"/>
    </row>
    <row r="623" spans="1:36" ht="18" customHeight="1" x14ac:dyDescent="0.35">
      <c r="A623" s="468"/>
      <c r="B623" s="468"/>
      <c r="C623" s="468"/>
      <c r="D623" s="468"/>
      <c r="E623" s="468"/>
      <c r="F623" s="468"/>
      <c r="G623" s="468"/>
      <c r="H623" s="468"/>
      <c r="I623" s="468"/>
      <c r="J623" s="468"/>
      <c r="K623" s="468"/>
      <c r="L623" s="468"/>
      <c r="M623" s="468"/>
      <c r="N623" s="468"/>
      <c r="O623" s="468"/>
      <c r="P623" s="468"/>
      <c r="Q623" s="468"/>
      <c r="R623" s="468"/>
      <c r="S623" s="468"/>
      <c r="T623" s="468"/>
      <c r="U623" s="468"/>
      <c r="V623" s="468"/>
      <c r="W623" s="468"/>
      <c r="X623" s="468"/>
      <c r="Y623" s="468"/>
      <c r="Z623" s="468"/>
      <c r="AA623" s="468"/>
      <c r="AB623" s="468"/>
      <c r="AC623" s="468"/>
      <c r="AD623" s="468"/>
      <c r="AE623" s="468"/>
      <c r="AF623" s="468"/>
      <c r="AG623" s="468"/>
      <c r="AH623" s="468"/>
      <c r="AI623" s="468"/>
      <c r="AJ623" s="468"/>
    </row>
    <row r="624" spans="1:36" ht="18" customHeight="1" x14ac:dyDescent="0.35">
      <c r="A624" s="468"/>
      <c r="B624" s="468"/>
      <c r="C624" s="468"/>
      <c r="D624" s="468"/>
      <c r="E624" s="468"/>
      <c r="F624" s="468"/>
      <c r="G624" s="468"/>
      <c r="H624" s="468"/>
      <c r="I624" s="468"/>
      <c r="J624" s="468"/>
      <c r="K624" s="468"/>
      <c r="L624" s="468"/>
      <c r="M624" s="468"/>
      <c r="N624" s="468"/>
      <c r="O624" s="468"/>
      <c r="P624" s="468"/>
      <c r="Q624" s="468"/>
      <c r="R624" s="468"/>
      <c r="S624" s="468"/>
      <c r="T624" s="468"/>
      <c r="U624" s="468"/>
      <c r="V624" s="468"/>
      <c r="W624" s="468"/>
      <c r="X624" s="468"/>
      <c r="Y624" s="468"/>
      <c r="Z624" s="468"/>
      <c r="AA624" s="468"/>
      <c r="AB624" s="468"/>
      <c r="AC624" s="468"/>
      <c r="AD624" s="468"/>
      <c r="AE624" s="468"/>
      <c r="AF624" s="468"/>
      <c r="AG624" s="468"/>
      <c r="AH624" s="468"/>
      <c r="AI624" s="468"/>
      <c r="AJ624" s="468"/>
    </row>
    <row r="625" spans="1:36" ht="18" customHeight="1" x14ac:dyDescent="0.35">
      <c r="A625" s="468"/>
      <c r="B625" s="468"/>
      <c r="C625" s="468"/>
      <c r="D625" s="468"/>
      <c r="E625" s="468"/>
      <c r="F625" s="468"/>
      <c r="G625" s="468"/>
      <c r="H625" s="468"/>
      <c r="I625" s="468"/>
      <c r="J625" s="468"/>
      <c r="K625" s="468"/>
      <c r="L625" s="468"/>
      <c r="M625" s="468"/>
      <c r="N625" s="468"/>
      <c r="O625" s="468"/>
      <c r="P625" s="468"/>
      <c r="Q625" s="468"/>
      <c r="R625" s="468"/>
      <c r="S625" s="468"/>
      <c r="T625" s="468"/>
      <c r="U625" s="468"/>
      <c r="V625" s="468"/>
      <c r="W625" s="468"/>
      <c r="X625" s="468"/>
      <c r="Y625" s="468"/>
      <c r="Z625" s="468"/>
      <c r="AA625" s="468"/>
      <c r="AB625" s="468"/>
      <c r="AC625" s="468"/>
      <c r="AD625" s="468"/>
      <c r="AE625" s="468"/>
      <c r="AF625" s="468"/>
      <c r="AG625" s="468"/>
      <c r="AH625" s="468"/>
      <c r="AI625" s="468"/>
      <c r="AJ625" s="468"/>
    </row>
    <row r="626" spans="1:36" ht="18" customHeight="1" x14ac:dyDescent="0.35">
      <c r="A626" s="468"/>
      <c r="B626" s="468"/>
      <c r="C626" s="468"/>
      <c r="D626" s="468"/>
      <c r="E626" s="468"/>
      <c r="F626" s="468"/>
      <c r="G626" s="468"/>
      <c r="H626" s="468"/>
      <c r="I626" s="468"/>
      <c r="J626" s="468"/>
      <c r="K626" s="468"/>
      <c r="L626" s="468"/>
      <c r="M626" s="468"/>
      <c r="N626" s="468"/>
      <c r="O626" s="468"/>
      <c r="P626" s="468"/>
      <c r="Q626" s="468"/>
      <c r="R626" s="468"/>
      <c r="S626" s="468"/>
      <c r="T626" s="468"/>
      <c r="U626" s="468"/>
      <c r="V626" s="468"/>
      <c r="W626" s="468"/>
      <c r="X626" s="468"/>
      <c r="Y626" s="468"/>
      <c r="Z626" s="468"/>
      <c r="AA626" s="468"/>
      <c r="AB626" s="468"/>
      <c r="AC626" s="468"/>
      <c r="AD626" s="468"/>
      <c r="AE626" s="468"/>
      <c r="AF626" s="468"/>
      <c r="AG626" s="468"/>
      <c r="AH626" s="468"/>
      <c r="AI626" s="468"/>
      <c r="AJ626" s="468"/>
    </row>
    <row r="627" spans="1:36" ht="18" customHeight="1" x14ac:dyDescent="0.35">
      <c r="A627" s="468"/>
      <c r="B627" s="468"/>
      <c r="C627" s="468"/>
      <c r="D627" s="468"/>
      <c r="E627" s="468"/>
      <c r="F627" s="468"/>
      <c r="G627" s="468"/>
      <c r="H627" s="468"/>
      <c r="I627" s="468"/>
      <c r="J627" s="468"/>
      <c r="K627" s="468"/>
      <c r="L627" s="468"/>
      <c r="M627" s="468"/>
      <c r="N627" s="468"/>
      <c r="O627" s="468"/>
      <c r="P627" s="468"/>
      <c r="Q627" s="468"/>
      <c r="R627" s="468"/>
      <c r="S627" s="468"/>
      <c r="T627" s="468"/>
      <c r="U627" s="468"/>
      <c r="V627" s="468"/>
      <c r="W627" s="468"/>
      <c r="X627" s="468"/>
      <c r="Y627" s="468"/>
      <c r="Z627" s="468"/>
      <c r="AA627" s="468"/>
      <c r="AB627" s="468"/>
      <c r="AC627" s="468"/>
      <c r="AD627" s="468"/>
      <c r="AE627" s="468"/>
      <c r="AF627" s="468"/>
      <c r="AG627" s="468"/>
      <c r="AH627" s="468"/>
      <c r="AI627" s="468"/>
      <c r="AJ627" s="468"/>
    </row>
    <row r="628" spans="1:36" ht="18" customHeight="1" x14ac:dyDescent="0.35">
      <c r="A628" s="468"/>
      <c r="B628" s="468"/>
      <c r="C628" s="468"/>
      <c r="D628" s="468"/>
      <c r="E628" s="468"/>
      <c r="F628" s="468"/>
      <c r="G628" s="468"/>
      <c r="H628" s="468"/>
      <c r="I628" s="468"/>
      <c r="J628" s="468"/>
      <c r="K628" s="468"/>
      <c r="L628" s="468"/>
      <c r="M628" s="468"/>
      <c r="N628" s="468"/>
      <c r="O628" s="468"/>
      <c r="P628" s="468"/>
      <c r="Q628" s="468"/>
      <c r="R628" s="468"/>
      <c r="S628" s="468"/>
      <c r="T628" s="468"/>
      <c r="U628" s="468"/>
      <c r="V628" s="468"/>
      <c r="W628" s="468"/>
      <c r="X628" s="468"/>
      <c r="Y628" s="468"/>
      <c r="Z628" s="468"/>
      <c r="AA628" s="468"/>
      <c r="AB628" s="468"/>
      <c r="AC628" s="468"/>
      <c r="AD628" s="468"/>
      <c r="AE628" s="468"/>
      <c r="AF628" s="468"/>
      <c r="AG628" s="468"/>
      <c r="AH628" s="468"/>
      <c r="AI628" s="468"/>
      <c r="AJ628" s="468"/>
    </row>
    <row r="629" spans="1:36" ht="18" customHeight="1" x14ac:dyDescent="0.35">
      <c r="A629" s="468"/>
      <c r="B629" s="468"/>
      <c r="C629" s="468"/>
      <c r="D629" s="468"/>
      <c r="E629" s="468"/>
      <c r="F629" s="468"/>
      <c r="G629" s="468"/>
      <c r="H629" s="468"/>
      <c r="I629" s="468"/>
      <c r="J629" s="468"/>
      <c r="K629" s="468"/>
      <c r="L629" s="468"/>
      <c r="M629" s="468"/>
      <c r="N629" s="468"/>
      <c r="O629" s="468"/>
      <c r="P629" s="468"/>
      <c r="Q629" s="468"/>
      <c r="R629" s="468"/>
      <c r="S629" s="468"/>
      <c r="T629" s="468"/>
      <c r="U629" s="468"/>
      <c r="V629" s="468"/>
      <c r="W629" s="468"/>
      <c r="X629" s="468"/>
      <c r="Y629" s="468"/>
      <c r="Z629" s="468"/>
      <c r="AA629" s="468"/>
      <c r="AB629" s="468"/>
      <c r="AC629" s="468"/>
      <c r="AD629" s="468"/>
      <c r="AE629" s="468"/>
      <c r="AF629" s="468"/>
      <c r="AG629" s="468"/>
      <c r="AH629" s="468"/>
      <c r="AI629" s="468"/>
      <c r="AJ629" s="468"/>
    </row>
    <row r="630" spans="1:36" ht="18" customHeight="1" x14ac:dyDescent="0.35">
      <c r="A630" s="468"/>
      <c r="B630" s="468"/>
      <c r="C630" s="468"/>
      <c r="D630" s="468"/>
      <c r="E630" s="468"/>
      <c r="F630" s="468"/>
      <c r="G630" s="468"/>
      <c r="H630" s="468"/>
      <c r="I630" s="468"/>
      <c r="J630" s="468"/>
      <c r="K630" s="468"/>
      <c r="L630" s="468"/>
      <c r="M630" s="468"/>
      <c r="N630" s="468"/>
      <c r="O630" s="468"/>
      <c r="P630" s="468"/>
      <c r="Q630" s="468"/>
      <c r="R630" s="468"/>
      <c r="S630" s="468"/>
      <c r="T630" s="468"/>
      <c r="U630" s="468"/>
      <c r="V630" s="468"/>
      <c r="W630" s="468"/>
      <c r="X630" s="468"/>
      <c r="Y630" s="468"/>
      <c r="Z630" s="468"/>
      <c r="AA630" s="468"/>
      <c r="AB630" s="468"/>
      <c r="AC630" s="468"/>
      <c r="AD630" s="468"/>
      <c r="AE630" s="468"/>
      <c r="AF630" s="468"/>
      <c r="AG630" s="468"/>
      <c r="AH630" s="468"/>
      <c r="AI630" s="468"/>
      <c r="AJ630" s="468"/>
    </row>
    <row r="631" spans="1:36" ht="18" customHeight="1" x14ac:dyDescent="0.35">
      <c r="A631" s="468"/>
      <c r="B631" s="468"/>
      <c r="C631" s="468"/>
      <c r="D631" s="468"/>
      <c r="E631" s="468"/>
      <c r="F631" s="468"/>
      <c r="G631" s="468"/>
      <c r="H631" s="468"/>
      <c r="I631" s="468"/>
      <c r="J631" s="468"/>
      <c r="K631" s="468"/>
      <c r="L631" s="468"/>
      <c r="M631" s="468"/>
      <c r="N631" s="468"/>
      <c r="O631" s="468"/>
      <c r="P631" s="468"/>
      <c r="Q631" s="468"/>
      <c r="R631" s="468"/>
      <c r="S631" s="468"/>
      <c r="T631" s="468"/>
      <c r="U631" s="468"/>
      <c r="V631" s="468"/>
      <c r="W631" s="468"/>
      <c r="X631" s="468"/>
      <c r="Y631" s="468"/>
      <c r="Z631" s="468"/>
      <c r="AA631" s="468"/>
      <c r="AB631" s="468"/>
      <c r="AC631" s="468"/>
      <c r="AD631" s="468"/>
      <c r="AE631" s="468"/>
      <c r="AF631" s="468"/>
      <c r="AG631" s="468"/>
      <c r="AH631" s="468"/>
      <c r="AI631" s="468"/>
      <c r="AJ631" s="468"/>
    </row>
    <row r="632" spans="1:36" ht="18" customHeight="1" x14ac:dyDescent="0.35">
      <c r="A632" s="468"/>
      <c r="B632" s="468"/>
      <c r="C632" s="468"/>
      <c r="D632" s="468"/>
      <c r="E632" s="468"/>
      <c r="F632" s="468"/>
      <c r="G632" s="468"/>
      <c r="H632" s="468"/>
      <c r="I632" s="468"/>
      <c r="J632" s="468"/>
      <c r="K632" s="468"/>
      <c r="L632" s="468"/>
      <c r="M632" s="468"/>
      <c r="N632" s="468"/>
      <c r="O632" s="468"/>
      <c r="P632" s="468"/>
      <c r="Q632" s="468"/>
      <c r="R632" s="468"/>
      <c r="S632" s="468"/>
      <c r="T632" s="468"/>
      <c r="U632" s="468"/>
      <c r="V632" s="468"/>
      <c r="W632" s="468"/>
      <c r="X632" s="468"/>
      <c r="Y632" s="468"/>
      <c r="Z632" s="468"/>
      <c r="AA632" s="468"/>
      <c r="AB632" s="468"/>
      <c r="AC632" s="468"/>
      <c r="AD632" s="468"/>
      <c r="AE632" s="468"/>
      <c r="AF632" s="468"/>
      <c r="AG632" s="468"/>
      <c r="AH632" s="468"/>
      <c r="AI632" s="468"/>
      <c r="AJ632" s="468"/>
    </row>
    <row r="633" spans="1:36" ht="18" customHeight="1" x14ac:dyDescent="0.35">
      <c r="A633" s="468"/>
      <c r="B633" s="468"/>
      <c r="C633" s="468"/>
      <c r="D633" s="468"/>
      <c r="E633" s="468"/>
      <c r="F633" s="468"/>
      <c r="G633" s="468"/>
      <c r="H633" s="468"/>
      <c r="I633" s="468"/>
      <c r="J633" s="468"/>
      <c r="K633" s="468"/>
      <c r="L633" s="468"/>
      <c r="M633" s="468"/>
      <c r="N633" s="468"/>
      <c r="O633" s="468"/>
      <c r="P633" s="468"/>
      <c r="Q633" s="468"/>
      <c r="R633" s="468"/>
      <c r="S633" s="468"/>
      <c r="T633" s="468"/>
      <c r="U633" s="468"/>
      <c r="V633" s="468"/>
      <c r="W633" s="468"/>
      <c r="X633" s="468"/>
      <c r="Y633" s="468"/>
      <c r="Z633" s="468"/>
      <c r="AA633" s="468"/>
      <c r="AB633" s="468"/>
      <c r="AC633" s="468"/>
      <c r="AD633" s="468"/>
      <c r="AE633" s="468"/>
      <c r="AF633" s="468"/>
      <c r="AG633" s="468"/>
      <c r="AH633" s="468"/>
      <c r="AI633" s="468"/>
      <c r="AJ633" s="468"/>
    </row>
    <row r="634" spans="1:36" ht="18" customHeight="1" x14ac:dyDescent="0.35">
      <c r="A634" s="468"/>
      <c r="B634" s="468"/>
      <c r="C634" s="468"/>
      <c r="D634" s="468"/>
      <c r="E634" s="468"/>
      <c r="F634" s="468"/>
      <c r="G634" s="468"/>
      <c r="H634" s="468"/>
      <c r="I634" s="468"/>
      <c r="J634" s="468"/>
      <c r="K634" s="468"/>
      <c r="L634" s="468"/>
      <c r="M634" s="468"/>
      <c r="N634" s="468"/>
      <c r="O634" s="468"/>
      <c r="P634" s="468"/>
      <c r="Q634" s="468"/>
      <c r="R634" s="468"/>
      <c r="S634" s="468"/>
      <c r="T634" s="468"/>
      <c r="U634" s="468"/>
      <c r="V634" s="468"/>
      <c r="W634" s="468"/>
      <c r="X634" s="468"/>
      <c r="Y634" s="468"/>
      <c r="Z634" s="468"/>
      <c r="AA634" s="468"/>
      <c r="AB634" s="468"/>
      <c r="AC634" s="468"/>
      <c r="AD634" s="468"/>
      <c r="AE634" s="468"/>
      <c r="AF634" s="468"/>
      <c r="AG634" s="468"/>
      <c r="AH634" s="468"/>
      <c r="AI634" s="468"/>
      <c r="AJ634" s="468"/>
    </row>
    <row r="635" spans="1:36" ht="18" customHeight="1" x14ac:dyDescent="0.35">
      <c r="A635" s="468"/>
      <c r="B635" s="468"/>
      <c r="C635" s="468"/>
      <c r="D635" s="468"/>
      <c r="E635" s="468"/>
      <c r="F635" s="468"/>
      <c r="G635" s="468"/>
      <c r="H635" s="468"/>
      <c r="I635" s="468"/>
      <c r="J635" s="468"/>
      <c r="K635" s="468"/>
      <c r="L635" s="468"/>
      <c r="M635" s="468"/>
      <c r="N635" s="468"/>
      <c r="O635" s="468"/>
      <c r="P635" s="468"/>
      <c r="Q635" s="468"/>
      <c r="R635" s="468"/>
      <c r="S635" s="468"/>
      <c r="T635" s="468"/>
      <c r="U635" s="468"/>
      <c r="V635" s="468"/>
      <c r="W635" s="468"/>
      <c r="X635" s="468"/>
      <c r="Y635" s="468"/>
      <c r="Z635" s="468"/>
      <c r="AA635" s="468"/>
      <c r="AB635" s="468"/>
      <c r="AC635" s="468"/>
      <c r="AD635" s="468"/>
      <c r="AE635" s="468"/>
      <c r="AF635" s="468"/>
      <c r="AG635" s="468"/>
      <c r="AH635" s="468"/>
      <c r="AI635" s="468"/>
      <c r="AJ635" s="468"/>
    </row>
    <row r="636" spans="1:36" ht="18" customHeight="1" x14ac:dyDescent="0.35">
      <c r="A636" s="468"/>
      <c r="B636" s="468"/>
      <c r="C636" s="468"/>
      <c r="D636" s="468"/>
      <c r="E636" s="468"/>
      <c r="F636" s="468"/>
      <c r="G636" s="468"/>
      <c r="H636" s="468"/>
      <c r="I636" s="468"/>
      <c r="J636" s="468"/>
      <c r="K636" s="468"/>
      <c r="L636" s="468"/>
      <c r="M636" s="468"/>
      <c r="N636" s="468"/>
      <c r="O636" s="468"/>
      <c r="P636" s="468"/>
      <c r="Q636" s="468"/>
      <c r="R636" s="468"/>
      <c r="S636" s="468"/>
      <c r="T636" s="468"/>
      <c r="U636" s="468"/>
      <c r="V636" s="468"/>
      <c r="W636" s="468"/>
      <c r="X636" s="468"/>
      <c r="Y636" s="468"/>
      <c r="Z636" s="468"/>
      <c r="AA636" s="468"/>
      <c r="AB636" s="468"/>
      <c r="AC636" s="468"/>
      <c r="AD636" s="468"/>
      <c r="AE636" s="468"/>
      <c r="AF636" s="468"/>
      <c r="AG636" s="468"/>
      <c r="AH636" s="468"/>
      <c r="AI636" s="468"/>
      <c r="AJ636" s="468"/>
    </row>
    <row r="637" spans="1:36" ht="18" customHeight="1" x14ac:dyDescent="0.35">
      <c r="A637" s="468"/>
      <c r="B637" s="468"/>
      <c r="C637" s="468"/>
      <c r="D637" s="468"/>
      <c r="E637" s="468"/>
      <c r="F637" s="468"/>
      <c r="G637" s="468"/>
      <c r="H637" s="468"/>
      <c r="I637" s="468"/>
      <c r="J637" s="468"/>
      <c r="K637" s="468"/>
      <c r="L637" s="468"/>
      <c r="M637" s="468"/>
      <c r="N637" s="468"/>
      <c r="O637" s="468"/>
      <c r="P637" s="468"/>
      <c r="Q637" s="468"/>
      <c r="R637" s="468"/>
      <c r="S637" s="468"/>
      <c r="T637" s="468"/>
      <c r="U637" s="468"/>
      <c r="V637" s="468"/>
      <c r="W637" s="468"/>
      <c r="X637" s="468"/>
      <c r="Y637" s="468"/>
      <c r="Z637" s="468"/>
      <c r="AA637" s="468"/>
      <c r="AB637" s="468"/>
      <c r="AC637" s="468"/>
      <c r="AD637" s="468"/>
      <c r="AE637" s="468"/>
      <c r="AF637" s="468"/>
      <c r="AG637" s="468"/>
      <c r="AH637" s="468"/>
      <c r="AI637" s="468"/>
      <c r="AJ637" s="468"/>
    </row>
    <row r="638" spans="1:36" ht="18" customHeight="1" x14ac:dyDescent="0.35">
      <c r="A638" s="468"/>
      <c r="B638" s="468"/>
      <c r="C638" s="468"/>
      <c r="D638" s="468"/>
      <c r="E638" s="468"/>
      <c r="F638" s="468"/>
      <c r="G638" s="468"/>
      <c r="H638" s="468"/>
      <c r="I638" s="468"/>
      <c r="J638" s="468"/>
      <c r="K638" s="468"/>
      <c r="L638" s="468"/>
      <c r="M638" s="468"/>
      <c r="N638" s="468"/>
      <c r="O638" s="468"/>
      <c r="P638" s="468"/>
      <c r="Q638" s="468"/>
      <c r="R638" s="468"/>
      <c r="S638" s="468"/>
      <c r="T638" s="468"/>
      <c r="U638" s="468"/>
      <c r="V638" s="468"/>
      <c r="W638" s="468"/>
      <c r="X638" s="468"/>
      <c r="Y638" s="468"/>
      <c r="Z638" s="468"/>
      <c r="AA638" s="468"/>
      <c r="AB638" s="468"/>
      <c r="AC638" s="468"/>
      <c r="AD638" s="468"/>
      <c r="AE638" s="468"/>
      <c r="AF638" s="468"/>
      <c r="AG638" s="468"/>
      <c r="AH638" s="468"/>
      <c r="AI638" s="468"/>
      <c r="AJ638" s="468"/>
    </row>
    <row r="639" spans="1:36" ht="18" customHeight="1" x14ac:dyDescent="0.35">
      <c r="A639" s="468"/>
      <c r="B639" s="468"/>
      <c r="C639" s="468"/>
      <c r="D639" s="468"/>
      <c r="E639" s="468"/>
      <c r="F639" s="468"/>
      <c r="G639" s="468"/>
      <c r="H639" s="468"/>
      <c r="I639" s="468"/>
      <c r="J639" s="468"/>
      <c r="K639" s="468"/>
      <c r="L639" s="468"/>
      <c r="M639" s="468"/>
      <c r="N639" s="468"/>
      <c r="O639" s="468"/>
      <c r="P639" s="468"/>
      <c r="Q639" s="468"/>
      <c r="R639" s="468"/>
      <c r="S639" s="468"/>
      <c r="T639" s="468"/>
      <c r="U639" s="468"/>
      <c r="V639" s="468"/>
      <c r="W639" s="468"/>
      <c r="X639" s="468"/>
      <c r="Y639" s="468"/>
      <c r="Z639" s="468"/>
      <c r="AA639" s="468"/>
      <c r="AB639" s="468"/>
      <c r="AC639" s="468"/>
      <c r="AD639" s="468"/>
      <c r="AE639" s="468"/>
      <c r="AF639" s="468"/>
      <c r="AG639" s="468"/>
      <c r="AH639" s="468"/>
      <c r="AI639" s="468"/>
      <c r="AJ639" s="468"/>
    </row>
    <row r="640" spans="1:36" ht="18" customHeight="1" x14ac:dyDescent="0.35">
      <c r="A640" s="468"/>
      <c r="B640" s="468"/>
      <c r="C640" s="468"/>
      <c r="D640" s="468"/>
      <c r="E640" s="468"/>
      <c r="F640" s="468"/>
      <c r="G640" s="468"/>
      <c r="H640" s="468"/>
      <c r="I640" s="468"/>
      <c r="J640" s="468"/>
      <c r="K640" s="468"/>
      <c r="L640" s="468"/>
      <c r="M640" s="468"/>
      <c r="N640" s="468"/>
      <c r="O640" s="468"/>
      <c r="P640" s="468"/>
      <c r="Q640" s="468"/>
      <c r="R640" s="468"/>
      <c r="S640" s="468"/>
      <c r="T640" s="468"/>
      <c r="U640" s="468"/>
      <c r="V640" s="468"/>
      <c r="W640" s="468"/>
      <c r="X640" s="468"/>
      <c r="Y640" s="468"/>
      <c r="Z640" s="468"/>
      <c r="AA640" s="468"/>
      <c r="AB640" s="468"/>
      <c r="AC640" s="468"/>
      <c r="AD640" s="468"/>
      <c r="AE640" s="468"/>
      <c r="AF640" s="468"/>
      <c r="AG640" s="468"/>
      <c r="AH640" s="468"/>
      <c r="AI640" s="468"/>
      <c r="AJ640" s="468"/>
    </row>
    <row r="641" spans="1:36" ht="18" customHeight="1" x14ac:dyDescent="0.35">
      <c r="A641" s="468"/>
      <c r="B641" s="468"/>
      <c r="C641" s="468"/>
      <c r="D641" s="468"/>
      <c r="E641" s="468"/>
      <c r="F641" s="468"/>
      <c r="G641" s="468"/>
      <c r="H641" s="468"/>
      <c r="I641" s="468"/>
      <c r="J641" s="468"/>
      <c r="K641" s="468"/>
      <c r="L641" s="468"/>
      <c r="M641" s="468"/>
      <c r="N641" s="468"/>
      <c r="O641" s="468"/>
      <c r="P641" s="468"/>
      <c r="Q641" s="468"/>
      <c r="R641" s="468"/>
      <c r="S641" s="468"/>
      <c r="T641" s="468"/>
      <c r="U641" s="468"/>
      <c r="V641" s="468"/>
      <c r="W641" s="468"/>
      <c r="X641" s="468"/>
      <c r="Y641" s="468"/>
      <c r="Z641" s="468"/>
      <c r="AA641" s="468"/>
      <c r="AB641" s="468"/>
      <c r="AC641" s="468"/>
      <c r="AD641" s="468"/>
      <c r="AE641" s="468"/>
      <c r="AF641" s="468"/>
      <c r="AG641" s="468"/>
      <c r="AH641" s="468"/>
      <c r="AI641" s="468"/>
      <c r="AJ641" s="468"/>
    </row>
    <row r="642" spans="1:36" ht="18" customHeight="1" x14ac:dyDescent="0.35">
      <c r="A642" s="468"/>
      <c r="B642" s="468"/>
      <c r="C642" s="468"/>
      <c r="D642" s="468"/>
      <c r="E642" s="468"/>
      <c r="F642" s="468"/>
      <c r="G642" s="468"/>
      <c r="H642" s="468"/>
      <c r="I642" s="468"/>
      <c r="J642" s="468"/>
      <c r="K642" s="468"/>
      <c r="L642" s="468"/>
      <c r="M642" s="468"/>
      <c r="N642" s="468"/>
      <c r="O642" s="468"/>
      <c r="P642" s="468"/>
      <c r="Q642" s="468"/>
      <c r="R642" s="468"/>
      <c r="S642" s="468"/>
      <c r="T642" s="468"/>
      <c r="U642" s="468"/>
      <c r="V642" s="468"/>
      <c r="W642" s="468"/>
      <c r="X642" s="468"/>
      <c r="Y642" s="468"/>
      <c r="Z642" s="468"/>
      <c r="AA642" s="468"/>
      <c r="AB642" s="468"/>
      <c r="AC642" s="468"/>
      <c r="AD642" s="468"/>
      <c r="AE642" s="468"/>
      <c r="AF642" s="468"/>
      <c r="AG642" s="468"/>
      <c r="AH642" s="468"/>
      <c r="AI642" s="468"/>
      <c r="AJ642" s="468"/>
    </row>
    <row r="643" spans="1:36" ht="18" customHeight="1" x14ac:dyDescent="0.35">
      <c r="A643" s="468"/>
      <c r="B643" s="468"/>
      <c r="C643" s="468"/>
      <c r="D643" s="468"/>
      <c r="E643" s="468"/>
      <c r="F643" s="468"/>
      <c r="G643" s="468"/>
      <c r="H643" s="468"/>
      <c r="I643" s="468"/>
      <c r="J643" s="468"/>
      <c r="K643" s="468"/>
      <c r="L643" s="468"/>
      <c r="M643" s="468"/>
      <c r="N643" s="468"/>
      <c r="O643" s="468"/>
      <c r="P643" s="468"/>
      <c r="Q643" s="468"/>
      <c r="R643" s="468"/>
      <c r="S643" s="468"/>
      <c r="T643" s="468"/>
      <c r="U643" s="468"/>
      <c r="V643" s="468"/>
      <c r="W643" s="468"/>
      <c r="X643" s="468"/>
      <c r="Y643" s="468"/>
      <c r="Z643" s="468"/>
      <c r="AA643" s="468"/>
      <c r="AB643" s="468"/>
      <c r="AC643" s="468"/>
      <c r="AD643" s="468"/>
      <c r="AE643" s="468"/>
      <c r="AF643" s="468"/>
      <c r="AG643" s="468"/>
      <c r="AH643" s="468"/>
      <c r="AI643" s="468"/>
      <c r="AJ643" s="468"/>
    </row>
    <row r="644" spans="1:36" ht="18" customHeight="1" x14ac:dyDescent="0.35">
      <c r="A644" s="468"/>
      <c r="B644" s="468"/>
      <c r="C644" s="468"/>
      <c r="D644" s="468"/>
      <c r="E644" s="468"/>
      <c r="F644" s="468"/>
      <c r="G644" s="468"/>
      <c r="H644" s="468"/>
      <c r="I644" s="468"/>
      <c r="J644" s="468"/>
      <c r="K644" s="468"/>
      <c r="L644" s="468"/>
      <c r="M644" s="468"/>
      <c r="N644" s="468"/>
      <c r="O644" s="468"/>
      <c r="P644" s="468"/>
      <c r="Q644" s="468"/>
      <c r="R644" s="468"/>
      <c r="S644" s="468"/>
      <c r="T644" s="468"/>
      <c r="U644" s="468"/>
      <c r="V644" s="468"/>
      <c r="W644" s="468"/>
      <c r="X644" s="468"/>
      <c r="Y644" s="468"/>
      <c r="Z644" s="468"/>
      <c r="AA644" s="468"/>
      <c r="AB644" s="468"/>
      <c r="AC644" s="468"/>
      <c r="AD644" s="468"/>
      <c r="AE644" s="468"/>
      <c r="AF644" s="468"/>
      <c r="AG644" s="468"/>
      <c r="AH644" s="468"/>
      <c r="AI644" s="468"/>
      <c r="AJ644" s="468"/>
    </row>
    <row r="645" spans="1:36" ht="18" customHeight="1" x14ac:dyDescent="0.35">
      <c r="A645" s="468"/>
      <c r="B645" s="468"/>
      <c r="C645" s="468"/>
      <c r="D645" s="468"/>
      <c r="E645" s="468"/>
      <c r="F645" s="468"/>
      <c r="G645" s="468"/>
      <c r="H645" s="468"/>
      <c r="I645" s="468"/>
      <c r="J645" s="468"/>
      <c r="K645" s="468"/>
      <c r="L645" s="468"/>
      <c r="M645" s="468"/>
      <c r="N645" s="468"/>
      <c r="O645" s="468"/>
      <c r="P645" s="468"/>
      <c r="Q645" s="468"/>
      <c r="R645" s="468"/>
      <c r="S645" s="468"/>
      <c r="T645" s="468"/>
      <c r="U645" s="468"/>
      <c r="V645" s="468"/>
      <c r="W645" s="468"/>
      <c r="X645" s="468"/>
      <c r="Y645" s="468"/>
      <c r="Z645" s="468"/>
      <c r="AA645" s="468"/>
      <c r="AB645" s="468"/>
      <c r="AC645" s="468"/>
      <c r="AD645" s="468"/>
      <c r="AE645" s="468"/>
      <c r="AF645" s="468"/>
      <c r="AG645" s="468"/>
      <c r="AH645" s="468"/>
      <c r="AI645" s="468"/>
      <c r="AJ645" s="468"/>
    </row>
    <row r="646" spans="1:36" ht="18" customHeight="1" x14ac:dyDescent="0.35">
      <c r="A646" s="468"/>
      <c r="B646" s="468"/>
      <c r="C646" s="468"/>
      <c r="D646" s="468"/>
      <c r="E646" s="468"/>
      <c r="F646" s="468"/>
      <c r="G646" s="468"/>
      <c r="H646" s="468"/>
      <c r="I646" s="468"/>
      <c r="J646" s="468"/>
      <c r="K646" s="468"/>
      <c r="L646" s="468"/>
      <c r="M646" s="468"/>
      <c r="N646" s="468"/>
      <c r="O646" s="468"/>
      <c r="P646" s="468"/>
      <c r="Q646" s="468"/>
      <c r="R646" s="468"/>
      <c r="S646" s="468"/>
      <c r="T646" s="468"/>
      <c r="U646" s="468"/>
      <c r="V646" s="468"/>
      <c r="W646" s="468"/>
      <c r="X646" s="468"/>
      <c r="Y646" s="468"/>
      <c r="Z646" s="468"/>
      <c r="AA646" s="468"/>
      <c r="AB646" s="468"/>
      <c r="AC646" s="468"/>
      <c r="AD646" s="468"/>
      <c r="AE646" s="468"/>
      <c r="AF646" s="468"/>
      <c r="AG646" s="468"/>
      <c r="AH646" s="468"/>
      <c r="AI646" s="468"/>
      <c r="AJ646" s="468"/>
    </row>
    <row r="647" spans="1:36" ht="18" customHeight="1" x14ac:dyDescent="0.35">
      <c r="A647" s="468"/>
      <c r="B647" s="468"/>
      <c r="C647" s="468"/>
      <c r="D647" s="468"/>
      <c r="E647" s="468"/>
      <c r="F647" s="468"/>
      <c r="G647" s="468"/>
      <c r="H647" s="468"/>
      <c r="I647" s="468"/>
      <c r="J647" s="468"/>
      <c r="K647" s="468"/>
      <c r="L647" s="468"/>
      <c r="M647" s="468"/>
      <c r="N647" s="468"/>
      <c r="O647" s="468"/>
      <c r="P647" s="468"/>
      <c r="Q647" s="468"/>
      <c r="R647" s="468"/>
      <c r="S647" s="468"/>
      <c r="T647" s="468"/>
      <c r="U647" s="468"/>
      <c r="V647" s="468"/>
      <c r="W647" s="468"/>
      <c r="X647" s="468"/>
      <c r="Y647" s="468"/>
      <c r="Z647" s="468"/>
      <c r="AA647" s="468"/>
      <c r="AB647" s="468"/>
      <c r="AC647" s="468"/>
      <c r="AD647" s="468"/>
      <c r="AE647" s="468"/>
      <c r="AF647" s="468"/>
      <c r="AG647" s="468"/>
      <c r="AH647" s="468"/>
      <c r="AI647" s="468"/>
      <c r="AJ647" s="468"/>
    </row>
    <row r="648" spans="1:36" ht="18" customHeight="1" x14ac:dyDescent="0.35">
      <c r="A648" s="468"/>
      <c r="B648" s="468"/>
      <c r="C648" s="468"/>
      <c r="D648" s="468"/>
      <c r="E648" s="468"/>
      <c r="F648" s="468"/>
      <c r="G648" s="468"/>
      <c r="H648" s="468"/>
      <c r="I648" s="468"/>
      <c r="J648" s="468"/>
      <c r="K648" s="468"/>
      <c r="L648" s="468"/>
      <c r="M648" s="468"/>
      <c r="N648" s="468"/>
      <c r="O648" s="468"/>
      <c r="P648" s="468"/>
      <c r="Q648" s="468"/>
      <c r="R648" s="468"/>
      <c r="S648" s="468"/>
      <c r="T648" s="468"/>
      <c r="U648" s="468"/>
      <c r="V648" s="468"/>
      <c r="W648" s="468"/>
      <c r="X648" s="468"/>
      <c r="Y648" s="468"/>
      <c r="Z648" s="468"/>
      <c r="AA648" s="468"/>
      <c r="AB648" s="468"/>
      <c r="AC648" s="468"/>
      <c r="AD648" s="468"/>
      <c r="AE648" s="468"/>
      <c r="AF648" s="468"/>
      <c r="AG648" s="468"/>
      <c r="AH648" s="468"/>
      <c r="AI648" s="468"/>
      <c r="AJ648" s="468"/>
    </row>
    <row r="649" spans="1:36" ht="18" customHeight="1" x14ac:dyDescent="0.35">
      <c r="A649" s="468"/>
      <c r="B649" s="468"/>
      <c r="C649" s="468"/>
      <c r="D649" s="468"/>
      <c r="E649" s="468"/>
      <c r="F649" s="468"/>
      <c r="G649" s="468"/>
      <c r="H649" s="468"/>
      <c r="I649" s="468"/>
      <c r="J649" s="468"/>
      <c r="K649" s="468"/>
      <c r="L649" s="468"/>
      <c r="M649" s="468"/>
      <c r="N649" s="468"/>
      <c r="O649" s="468"/>
      <c r="P649" s="468"/>
      <c r="Q649" s="468"/>
      <c r="R649" s="468"/>
      <c r="S649" s="468"/>
      <c r="T649" s="468"/>
      <c r="U649" s="468"/>
      <c r="V649" s="468"/>
      <c r="W649" s="468"/>
      <c r="X649" s="468"/>
      <c r="Y649" s="468"/>
      <c r="Z649" s="468"/>
      <c r="AA649" s="468"/>
      <c r="AB649" s="468"/>
      <c r="AC649" s="468"/>
      <c r="AD649" s="468"/>
      <c r="AE649" s="468"/>
      <c r="AF649" s="468"/>
      <c r="AG649" s="468"/>
      <c r="AH649" s="468"/>
      <c r="AI649" s="468"/>
      <c r="AJ649" s="468"/>
    </row>
    <row r="650" spans="1:36" ht="18" customHeight="1" x14ac:dyDescent="0.35">
      <c r="A650" s="468"/>
      <c r="B650" s="468"/>
      <c r="C650" s="468"/>
      <c r="D650" s="468"/>
      <c r="E650" s="468"/>
      <c r="F650" s="468"/>
      <c r="G650" s="468"/>
      <c r="H650" s="468"/>
      <c r="I650" s="468"/>
      <c r="J650" s="468"/>
      <c r="K650" s="468"/>
      <c r="L650" s="468"/>
      <c r="M650" s="468"/>
      <c r="N650" s="468"/>
      <c r="O650" s="468"/>
      <c r="P650" s="468"/>
      <c r="Q650" s="468"/>
      <c r="R650" s="468"/>
      <c r="S650" s="468"/>
      <c r="T650" s="468"/>
      <c r="U650" s="468"/>
      <c r="V650" s="468"/>
      <c r="W650" s="468"/>
      <c r="X650" s="468"/>
      <c r="Y650" s="468"/>
      <c r="Z650" s="468"/>
      <c r="AA650" s="468"/>
      <c r="AB650" s="468"/>
      <c r="AC650" s="468"/>
      <c r="AD650" s="468"/>
      <c r="AE650" s="468"/>
      <c r="AF650" s="468"/>
      <c r="AG650" s="468"/>
      <c r="AH650" s="468"/>
      <c r="AI650" s="468"/>
      <c r="AJ650" s="468"/>
    </row>
    <row r="651" spans="1:36" ht="18" customHeight="1" x14ac:dyDescent="0.35">
      <c r="A651" s="468"/>
      <c r="B651" s="468"/>
      <c r="C651" s="468"/>
      <c r="D651" s="468"/>
      <c r="E651" s="468"/>
      <c r="F651" s="468"/>
      <c r="G651" s="468"/>
      <c r="H651" s="468"/>
      <c r="I651" s="468"/>
      <c r="J651" s="468"/>
      <c r="K651" s="468"/>
      <c r="L651" s="468"/>
      <c r="M651" s="468"/>
      <c r="N651" s="468"/>
      <c r="O651" s="468"/>
      <c r="P651" s="468"/>
      <c r="Q651" s="468"/>
      <c r="R651" s="468"/>
      <c r="S651" s="468"/>
      <c r="T651" s="468"/>
      <c r="U651" s="468"/>
      <c r="V651" s="468"/>
      <c r="W651" s="468"/>
      <c r="X651" s="468"/>
      <c r="Y651" s="468"/>
      <c r="Z651" s="468"/>
      <c r="AA651" s="468"/>
      <c r="AB651" s="468"/>
      <c r="AC651" s="468"/>
      <c r="AD651" s="468"/>
      <c r="AE651" s="468"/>
      <c r="AF651" s="468"/>
      <c r="AG651" s="468"/>
      <c r="AH651" s="468"/>
      <c r="AI651" s="468"/>
      <c r="AJ651" s="468"/>
    </row>
    <row r="652" spans="1:36" ht="18" customHeight="1" x14ac:dyDescent="0.35">
      <c r="A652" s="468"/>
      <c r="B652" s="468"/>
      <c r="C652" s="468"/>
      <c r="D652" s="468"/>
      <c r="E652" s="468"/>
      <c r="F652" s="468"/>
      <c r="G652" s="468"/>
      <c r="H652" s="468"/>
      <c r="I652" s="468"/>
      <c r="J652" s="468"/>
      <c r="K652" s="468"/>
      <c r="L652" s="468"/>
      <c r="M652" s="468"/>
      <c r="N652" s="468"/>
      <c r="O652" s="468"/>
      <c r="P652" s="468"/>
      <c r="Q652" s="468"/>
      <c r="R652" s="468"/>
      <c r="S652" s="468"/>
      <c r="T652" s="468"/>
      <c r="U652" s="468"/>
      <c r="V652" s="468"/>
      <c r="W652" s="468"/>
      <c r="X652" s="468"/>
      <c r="Y652" s="468"/>
      <c r="Z652" s="468"/>
      <c r="AA652" s="468"/>
      <c r="AB652" s="468"/>
      <c r="AC652" s="468"/>
      <c r="AD652" s="468"/>
      <c r="AE652" s="468"/>
      <c r="AF652" s="468"/>
      <c r="AG652" s="468"/>
      <c r="AH652" s="468"/>
      <c r="AI652" s="468"/>
      <c r="AJ652" s="468"/>
    </row>
    <row r="653" spans="1:36" ht="18" customHeight="1" x14ac:dyDescent="0.35">
      <c r="A653" s="468"/>
      <c r="B653" s="468"/>
      <c r="C653" s="468"/>
      <c r="D653" s="468"/>
      <c r="E653" s="468"/>
      <c r="F653" s="468"/>
      <c r="G653" s="468"/>
      <c r="H653" s="468"/>
      <c r="I653" s="468"/>
      <c r="J653" s="468"/>
      <c r="K653" s="468"/>
      <c r="L653" s="468"/>
      <c r="M653" s="468"/>
      <c r="N653" s="468"/>
      <c r="O653" s="468"/>
      <c r="P653" s="468"/>
      <c r="Q653" s="468"/>
      <c r="R653" s="468"/>
      <c r="S653" s="468"/>
      <c r="T653" s="468"/>
      <c r="U653" s="468"/>
      <c r="V653" s="468"/>
      <c r="W653" s="468"/>
      <c r="X653" s="468"/>
      <c r="Y653" s="468"/>
      <c r="Z653" s="468"/>
      <c r="AA653" s="468"/>
      <c r="AB653" s="468"/>
      <c r="AC653" s="468"/>
      <c r="AD653" s="468"/>
      <c r="AE653" s="468"/>
      <c r="AF653" s="468"/>
      <c r="AG653" s="468"/>
      <c r="AH653" s="468"/>
      <c r="AI653" s="468"/>
      <c r="AJ653" s="468"/>
    </row>
    <row r="654" spans="1:36" ht="18" customHeight="1" x14ac:dyDescent="0.35">
      <c r="A654" s="468"/>
      <c r="B654" s="468"/>
      <c r="C654" s="468"/>
      <c r="D654" s="468"/>
      <c r="E654" s="468"/>
      <c r="F654" s="468"/>
      <c r="G654" s="468"/>
      <c r="H654" s="468"/>
      <c r="I654" s="468"/>
      <c r="J654" s="468"/>
      <c r="K654" s="468"/>
      <c r="L654" s="468"/>
      <c r="M654" s="468"/>
      <c r="N654" s="468"/>
      <c r="O654" s="468"/>
      <c r="P654" s="468"/>
      <c r="Q654" s="468"/>
      <c r="R654" s="468"/>
      <c r="S654" s="468"/>
      <c r="T654" s="468"/>
      <c r="U654" s="468"/>
      <c r="V654" s="468"/>
      <c r="W654" s="468"/>
      <c r="X654" s="468"/>
      <c r="Y654" s="468"/>
      <c r="Z654" s="468"/>
      <c r="AA654" s="468"/>
      <c r="AB654" s="468"/>
      <c r="AC654" s="468"/>
      <c r="AD654" s="468"/>
      <c r="AE654" s="468"/>
      <c r="AF654" s="468"/>
      <c r="AG654" s="468"/>
      <c r="AH654" s="468"/>
      <c r="AI654" s="468"/>
      <c r="AJ654" s="468"/>
    </row>
    <row r="655" spans="1:36" ht="18" customHeight="1" x14ac:dyDescent="0.35">
      <c r="A655" s="468"/>
      <c r="B655" s="468"/>
      <c r="C655" s="468"/>
      <c r="D655" s="468"/>
      <c r="E655" s="468"/>
      <c r="F655" s="468"/>
      <c r="G655" s="468"/>
      <c r="H655" s="468"/>
      <c r="I655" s="468"/>
      <c r="J655" s="468"/>
      <c r="K655" s="468"/>
      <c r="L655" s="468"/>
      <c r="M655" s="468"/>
      <c r="N655" s="468"/>
      <c r="O655" s="468"/>
      <c r="P655" s="468"/>
      <c r="Q655" s="468"/>
      <c r="R655" s="468"/>
      <c r="S655" s="468"/>
      <c r="T655" s="468"/>
      <c r="U655" s="468"/>
      <c r="V655" s="468"/>
      <c r="W655" s="468"/>
      <c r="X655" s="468"/>
      <c r="Y655" s="468"/>
      <c r="Z655" s="468"/>
      <c r="AA655" s="468"/>
      <c r="AB655" s="468"/>
      <c r="AC655" s="468"/>
      <c r="AD655" s="468"/>
      <c r="AE655" s="468"/>
      <c r="AF655" s="468"/>
      <c r="AG655" s="468"/>
      <c r="AH655" s="468"/>
      <c r="AI655" s="468"/>
      <c r="AJ655" s="468"/>
    </row>
    <row r="656" spans="1:36" ht="18" customHeight="1" x14ac:dyDescent="0.35">
      <c r="A656" s="468"/>
      <c r="B656" s="468"/>
      <c r="C656" s="468"/>
      <c r="D656" s="468"/>
      <c r="E656" s="468"/>
      <c r="F656" s="468"/>
      <c r="G656" s="468"/>
      <c r="H656" s="468"/>
      <c r="I656" s="468"/>
      <c r="J656" s="468"/>
      <c r="K656" s="468"/>
      <c r="L656" s="468"/>
      <c r="M656" s="468"/>
      <c r="N656" s="468"/>
      <c r="O656" s="468"/>
      <c r="P656" s="468"/>
      <c r="Q656" s="468"/>
      <c r="R656" s="468"/>
      <c r="S656" s="468"/>
      <c r="T656" s="468"/>
      <c r="U656" s="468"/>
      <c r="V656" s="468"/>
      <c r="W656" s="468"/>
      <c r="X656" s="468"/>
      <c r="Y656" s="468"/>
      <c r="Z656" s="468"/>
      <c r="AA656" s="468"/>
      <c r="AB656" s="468"/>
      <c r="AC656" s="468"/>
      <c r="AD656" s="468"/>
      <c r="AE656" s="468"/>
      <c r="AF656" s="468"/>
      <c r="AG656" s="468"/>
      <c r="AH656" s="468"/>
      <c r="AI656" s="468"/>
      <c r="AJ656" s="468"/>
    </row>
    <row r="657" spans="1:36" ht="18" customHeight="1" x14ac:dyDescent="0.35">
      <c r="A657" s="468"/>
      <c r="B657" s="468"/>
      <c r="C657" s="468"/>
      <c r="D657" s="468"/>
      <c r="E657" s="468"/>
      <c r="F657" s="468"/>
      <c r="G657" s="468"/>
      <c r="H657" s="468"/>
      <c r="I657" s="468"/>
      <c r="J657" s="468"/>
      <c r="K657" s="468"/>
      <c r="L657" s="468"/>
      <c r="M657" s="468"/>
      <c r="N657" s="468"/>
      <c r="O657" s="468"/>
      <c r="P657" s="468"/>
      <c r="Q657" s="468"/>
      <c r="R657" s="468"/>
      <c r="S657" s="468"/>
      <c r="T657" s="468"/>
      <c r="U657" s="468"/>
      <c r="V657" s="468"/>
      <c r="W657" s="468"/>
      <c r="X657" s="468"/>
      <c r="Y657" s="468"/>
      <c r="Z657" s="468"/>
      <c r="AA657" s="468"/>
      <c r="AB657" s="468"/>
      <c r="AC657" s="468"/>
      <c r="AD657" s="468"/>
      <c r="AE657" s="468"/>
      <c r="AF657" s="468"/>
      <c r="AG657" s="468"/>
      <c r="AH657" s="468"/>
      <c r="AI657" s="468"/>
      <c r="AJ657" s="468"/>
    </row>
    <row r="658" spans="1:36" ht="18" customHeight="1" x14ac:dyDescent="0.35">
      <c r="A658" s="468"/>
      <c r="B658" s="468"/>
      <c r="C658" s="468"/>
      <c r="D658" s="468"/>
      <c r="E658" s="468"/>
      <c r="F658" s="468"/>
      <c r="G658" s="468"/>
      <c r="H658" s="468"/>
      <c r="I658" s="468"/>
      <c r="J658" s="468"/>
      <c r="K658" s="468"/>
      <c r="L658" s="468"/>
      <c r="M658" s="468"/>
      <c r="N658" s="468"/>
      <c r="O658" s="468"/>
      <c r="P658" s="468"/>
      <c r="Q658" s="468"/>
      <c r="R658" s="468"/>
      <c r="S658" s="468"/>
      <c r="T658" s="468"/>
      <c r="U658" s="468"/>
      <c r="V658" s="468"/>
      <c r="W658" s="468"/>
      <c r="X658" s="468"/>
      <c r="Y658" s="468"/>
      <c r="Z658" s="468"/>
      <c r="AA658" s="468"/>
      <c r="AB658" s="468"/>
      <c r="AC658" s="468"/>
      <c r="AD658" s="468"/>
      <c r="AE658" s="468"/>
      <c r="AF658" s="468"/>
      <c r="AG658" s="468"/>
      <c r="AH658" s="468"/>
      <c r="AI658" s="468"/>
      <c r="AJ658" s="468"/>
    </row>
    <row r="659" spans="1:36" ht="18" customHeight="1" x14ac:dyDescent="0.35">
      <c r="A659" s="468"/>
      <c r="B659" s="468"/>
      <c r="C659" s="468"/>
      <c r="D659" s="468"/>
      <c r="E659" s="468"/>
      <c r="F659" s="468"/>
      <c r="G659" s="468"/>
      <c r="H659" s="468"/>
      <c r="I659" s="468"/>
      <c r="J659" s="468"/>
      <c r="K659" s="468"/>
      <c r="L659" s="468"/>
      <c r="M659" s="468"/>
      <c r="N659" s="468"/>
      <c r="O659" s="468"/>
      <c r="P659" s="468"/>
      <c r="Q659" s="468"/>
      <c r="R659" s="468"/>
      <c r="S659" s="468"/>
      <c r="T659" s="468"/>
      <c r="U659" s="468"/>
      <c r="V659" s="468"/>
      <c r="W659" s="468"/>
      <c r="X659" s="468"/>
      <c r="Y659" s="468"/>
      <c r="Z659" s="468"/>
      <c r="AA659" s="468"/>
      <c r="AB659" s="468"/>
      <c r="AC659" s="468"/>
      <c r="AD659" s="468"/>
      <c r="AE659" s="468"/>
      <c r="AF659" s="468"/>
      <c r="AG659" s="468"/>
      <c r="AH659" s="468"/>
      <c r="AI659" s="468"/>
      <c r="AJ659" s="468"/>
    </row>
    <row r="660" spans="1:36" ht="18" customHeight="1" x14ac:dyDescent="0.35">
      <c r="A660" s="468"/>
      <c r="B660" s="468"/>
      <c r="C660" s="468"/>
      <c r="D660" s="468"/>
      <c r="E660" s="468"/>
      <c r="F660" s="468"/>
      <c r="G660" s="468"/>
      <c r="H660" s="468"/>
      <c r="I660" s="468"/>
      <c r="J660" s="468"/>
      <c r="K660" s="468"/>
      <c r="L660" s="468"/>
      <c r="M660" s="468"/>
      <c r="N660" s="468"/>
      <c r="O660" s="468"/>
      <c r="P660" s="468"/>
      <c r="Q660" s="468"/>
      <c r="R660" s="468"/>
      <c r="S660" s="468"/>
      <c r="T660" s="468"/>
      <c r="U660" s="468"/>
      <c r="V660" s="468"/>
      <c r="W660" s="468"/>
      <c r="X660" s="468"/>
      <c r="Y660" s="468"/>
      <c r="Z660" s="468"/>
      <c r="AA660" s="468"/>
      <c r="AB660" s="468"/>
      <c r="AC660" s="468"/>
      <c r="AD660" s="468"/>
      <c r="AE660" s="468"/>
      <c r="AF660" s="468"/>
      <c r="AG660" s="468"/>
      <c r="AH660" s="468"/>
      <c r="AI660" s="468"/>
      <c r="AJ660" s="468"/>
    </row>
    <row r="661" spans="1:36" ht="18" customHeight="1" x14ac:dyDescent="0.35">
      <c r="A661" s="468"/>
      <c r="B661" s="468"/>
      <c r="C661" s="468"/>
      <c r="D661" s="468"/>
      <c r="E661" s="468"/>
      <c r="F661" s="468"/>
      <c r="G661" s="468"/>
      <c r="H661" s="468"/>
      <c r="I661" s="468"/>
      <c r="J661" s="468"/>
      <c r="K661" s="468"/>
      <c r="L661" s="468"/>
      <c r="M661" s="468"/>
      <c r="N661" s="468"/>
      <c r="O661" s="468"/>
      <c r="P661" s="468"/>
      <c r="Q661" s="468"/>
      <c r="R661" s="468"/>
      <c r="S661" s="468"/>
      <c r="T661" s="468"/>
      <c r="U661" s="468"/>
      <c r="V661" s="468"/>
      <c r="W661" s="468"/>
      <c r="X661" s="468"/>
      <c r="Y661" s="468"/>
      <c r="Z661" s="468"/>
      <c r="AA661" s="468"/>
      <c r="AB661" s="468"/>
      <c r="AC661" s="468"/>
      <c r="AD661" s="468"/>
      <c r="AE661" s="468"/>
      <c r="AF661" s="468"/>
      <c r="AG661" s="468"/>
      <c r="AH661" s="468"/>
      <c r="AI661" s="468"/>
      <c r="AJ661" s="468"/>
    </row>
    <row r="662" spans="1:36" ht="18" customHeight="1" x14ac:dyDescent="0.35">
      <c r="A662" s="468"/>
      <c r="B662" s="468"/>
      <c r="C662" s="468"/>
      <c r="D662" s="468"/>
      <c r="E662" s="468"/>
      <c r="F662" s="468"/>
      <c r="G662" s="468"/>
      <c r="H662" s="468"/>
      <c r="I662" s="468"/>
      <c r="J662" s="468"/>
      <c r="K662" s="468"/>
      <c r="L662" s="468"/>
      <c r="M662" s="468"/>
      <c r="N662" s="468"/>
      <c r="O662" s="468"/>
      <c r="P662" s="468"/>
      <c r="Q662" s="468"/>
      <c r="R662" s="468"/>
      <c r="S662" s="468"/>
      <c r="T662" s="468"/>
      <c r="U662" s="468"/>
      <c r="V662" s="468"/>
      <c r="W662" s="468"/>
      <c r="X662" s="468"/>
      <c r="Y662" s="468"/>
      <c r="Z662" s="468"/>
      <c r="AA662" s="468"/>
      <c r="AB662" s="468"/>
      <c r="AC662" s="468"/>
      <c r="AD662" s="468"/>
      <c r="AE662" s="468"/>
      <c r="AF662" s="468"/>
      <c r="AG662" s="468"/>
      <c r="AH662" s="468"/>
      <c r="AI662" s="468"/>
      <c r="AJ662" s="468"/>
    </row>
    <row r="663" spans="1:36" ht="18" customHeight="1" x14ac:dyDescent="0.35">
      <c r="A663" s="468"/>
      <c r="B663" s="468"/>
      <c r="C663" s="468"/>
      <c r="D663" s="468"/>
      <c r="E663" s="468"/>
      <c r="F663" s="468"/>
      <c r="G663" s="468"/>
      <c r="H663" s="468"/>
      <c r="I663" s="468"/>
      <c r="J663" s="468"/>
      <c r="K663" s="468"/>
      <c r="L663" s="468"/>
      <c r="M663" s="468"/>
      <c r="N663" s="468"/>
      <c r="O663" s="468"/>
      <c r="P663" s="468"/>
      <c r="Q663" s="468"/>
      <c r="R663" s="468"/>
      <c r="S663" s="468"/>
      <c r="T663" s="468"/>
      <c r="U663" s="468"/>
      <c r="V663" s="468"/>
      <c r="W663" s="468"/>
      <c r="X663" s="468"/>
      <c r="Y663" s="468"/>
      <c r="Z663" s="468"/>
      <c r="AA663" s="468"/>
      <c r="AB663" s="468"/>
      <c r="AC663" s="468"/>
      <c r="AD663" s="468"/>
      <c r="AE663" s="468"/>
      <c r="AF663" s="468"/>
      <c r="AG663" s="468"/>
      <c r="AH663" s="468"/>
      <c r="AI663" s="468"/>
      <c r="AJ663" s="468"/>
    </row>
    <row r="664" spans="1:36" ht="18" customHeight="1" x14ac:dyDescent="0.35">
      <c r="A664" s="468"/>
      <c r="B664" s="468"/>
      <c r="C664" s="468"/>
      <c r="D664" s="468"/>
      <c r="E664" s="468"/>
      <c r="F664" s="468"/>
      <c r="G664" s="468"/>
      <c r="H664" s="468"/>
      <c r="I664" s="468"/>
      <c r="J664" s="468"/>
      <c r="K664" s="468"/>
      <c r="L664" s="468"/>
      <c r="M664" s="468"/>
      <c r="N664" s="468"/>
      <c r="O664" s="468"/>
      <c r="P664" s="468"/>
      <c r="Q664" s="468"/>
      <c r="R664" s="468"/>
      <c r="S664" s="468"/>
      <c r="T664" s="468"/>
      <c r="U664" s="468"/>
      <c r="V664" s="468"/>
      <c r="W664" s="468"/>
      <c r="X664" s="468"/>
      <c r="Y664" s="468"/>
      <c r="Z664" s="468"/>
      <c r="AA664" s="468"/>
      <c r="AB664" s="468"/>
      <c r="AC664" s="468"/>
      <c r="AD664" s="468"/>
      <c r="AE664" s="468"/>
      <c r="AF664" s="468"/>
      <c r="AG664" s="468"/>
      <c r="AH664" s="468"/>
      <c r="AI664" s="468"/>
      <c r="AJ664" s="468"/>
    </row>
    <row r="665" spans="1:36" ht="18" customHeight="1" x14ac:dyDescent="0.35">
      <c r="A665" s="468"/>
      <c r="B665" s="468"/>
      <c r="C665" s="468"/>
      <c r="D665" s="468"/>
      <c r="E665" s="468"/>
      <c r="F665" s="468"/>
      <c r="G665" s="468"/>
      <c r="H665" s="468"/>
      <c r="I665" s="468"/>
      <c r="J665" s="468"/>
      <c r="K665" s="468"/>
      <c r="L665" s="468"/>
      <c r="M665" s="468"/>
      <c r="N665" s="468"/>
      <c r="O665" s="468"/>
      <c r="P665" s="468"/>
      <c r="Q665" s="468"/>
      <c r="R665" s="468"/>
      <c r="S665" s="468"/>
      <c r="T665" s="468"/>
      <c r="U665" s="468"/>
      <c r="V665" s="468"/>
      <c r="W665" s="468"/>
      <c r="X665" s="468"/>
      <c r="Y665" s="468"/>
      <c r="Z665" s="468"/>
      <c r="AA665" s="468"/>
      <c r="AB665" s="468"/>
      <c r="AC665" s="468"/>
      <c r="AD665" s="468"/>
      <c r="AE665" s="468"/>
      <c r="AF665" s="468"/>
      <c r="AG665" s="468"/>
      <c r="AH665" s="468"/>
      <c r="AI665" s="468"/>
      <c r="AJ665" s="468"/>
    </row>
    <row r="666" spans="1:36" ht="18" customHeight="1" x14ac:dyDescent="0.35">
      <c r="A666" s="468"/>
      <c r="B666" s="468"/>
      <c r="C666" s="468"/>
      <c r="D666" s="468"/>
      <c r="E666" s="468"/>
      <c r="F666" s="468"/>
      <c r="G666" s="468"/>
      <c r="H666" s="468"/>
      <c r="I666" s="468"/>
      <c r="J666" s="468"/>
      <c r="K666" s="468"/>
      <c r="L666" s="468"/>
      <c r="M666" s="468"/>
      <c r="N666" s="468"/>
      <c r="O666" s="468"/>
      <c r="P666" s="468"/>
      <c r="Q666" s="468"/>
      <c r="R666" s="468"/>
      <c r="S666" s="468"/>
      <c r="T666" s="468"/>
      <c r="U666" s="468"/>
      <c r="V666" s="468"/>
      <c r="W666" s="468"/>
      <c r="X666" s="468"/>
      <c r="Y666" s="468"/>
      <c r="Z666" s="468"/>
      <c r="AA666" s="468"/>
      <c r="AB666" s="468"/>
      <c r="AC666" s="468"/>
      <c r="AD666" s="468"/>
      <c r="AE666" s="468"/>
      <c r="AF666" s="468"/>
      <c r="AG666" s="468"/>
      <c r="AH666" s="468"/>
      <c r="AI666" s="468"/>
      <c r="AJ666" s="468"/>
    </row>
    <row r="667" spans="1:36" ht="18" customHeight="1" x14ac:dyDescent="0.35">
      <c r="A667" s="468"/>
      <c r="B667" s="468"/>
      <c r="C667" s="468"/>
      <c r="D667" s="468"/>
      <c r="E667" s="468"/>
      <c r="F667" s="468"/>
      <c r="G667" s="468"/>
      <c r="H667" s="468"/>
      <c r="I667" s="468"/>
      <c r="J667" s="468"/>
      <c r="K667" s="468"/>
      <c r="L667" s="468"/>
      <c r="M667" s="468"/>
      <c r="N667" s="468"/>
      <c r="O667" s="468"/>
      <c r="P667" s="468"/>
      <c r="Q667" s="468"/>
      <c r="R667" s="468"/>
      <c r="S667" s="468"/>
      <c r="T667" s="468"/>
      <c r="U667" s="468"/>
      <c r="V667" s="468"/>
      <c r="W667" s="468"/>
      <c r="X667" s="468"/>
      <c r="Y667" s="468"/>
      <c r="Z667" s="468"/>
      <c r="AA667" s="468"/>
      <c r="AB667" s="468"/>
      <c r="AC667" s="468"/>
      <c r="AD667" s="468"/>
      <c r="AE667" s="468"/>
      <c r="AF667" s="468"/>
      <c r="AG667" s="468"/>
      <c r="AH667" s="468"/>
      <c r="AI667" s="468"/>
      <c r="AJ667" s="468"/>
    </row>
    <row r="668" spans="1:36" ht="18" customHeight="1" x14ac:dyDescent="0.35">
      <c r="A668" s="468"/>
      <c r="B668" s="468"/>
      <c r="C668" s="468"/>
      <c r="D668" s="468"/>
      <c r="E668" s="468"/>
      <c r="F668" s="468"/>
      <c r="G668" s="468"/>
      <c r="H668" s="468"/>
      <c r="I668" s="468"/>
      <c r="J668" s="468"/>
      <c r="K668" s="468"/>
      <c r="L668" s="468"/>
      <c r="M668" s="468"/>
      <c r="N668" s="468"/>
      <c r="O668" s="468"/>
      <c r="P668" s="468"/>
      <c r="Q668" s="468"/>
      <c r="R668" s="468"/>
      <c r="S668" s="468"/>
      <c r="T668" s="468"/>
      <c r="U668" s="468"/>
      <c r="V668" s="468"/>
      <c r="W668" s="468"/>
      <c r="X668" s="468"/>
      <c r="Y668" s="468"/>
      <c r="Z668" s="468"/>
      <c r="AA668" s="468"/>
      <c r="AB668" s="468"/>
      <c r="AC668" s="468"/>
      <c r="AD668" s="468"/>
      <c r="AE668" s="468"/>
      <c r="AF668" s="468"/>
      <c r="AG668" s="468"/>
      <c r="AH668" s="468"/>
      <c r="AI668" s="468"/>
      <c r="AJ668" s="468"/>
    </row>
    <row r="669" spans="1:36" ht="18" customHeight="1" x14ac:dyDescent="0.35">
      <c r="A669" s="468"/>
      <c r="B669" s="468"/>
      <c r="C669" s="468"/>
      <c r="D669" s="468"/>
      <c r="E669" s="468"/>
      <c r="F669" s="468"/>
      <c r="G669" s="468"/>
      <c r="H669" s="468"/>
      <c r="I669" s="468"/>
      <c r="J669" s="468"/>
      <c r="K669" s="468"/>
      <c r="L669" s="468"/>
      <c r="M669" s="468"/>
      <c r="N669" s="468"/>
      <c r="O669" s="468"/>
      <c r="P669" s="468"/>
      <c r="Q669" s="468"/>
      <c r="R669" s="468"/>
      <c r="S669" s="468"/>
      <c r="T669" s="468"/>
      <c r="U669" s="468"/>
      <c r="V669" s="468"/>
      <c r="W669" s="468"/>
      <c r="X669" s="468"/>
      <c r="Y669" s="468"/>
      <c r="Z669" s="468"/>
      <c r="AA669" s="468"/>
      <c r="AB669" s="468"/>
      <c r="AC669" s="468"/>
      <c r="AD669" s="468"/>
      <c r="AE669" s="468"/>
      <c r="AF669" s="468"/>
      <c r="AG669" s="468"/>
      <c r="AH669" s="468"/>
      <c r="AI669" s="468"/>
      <c r="AJ669" s="468"/>
    </row>
    <row r="670" spans="1:36" ht="18" customHeight="1" x14ac:dyDescent="0.35">
      <c r="A670" s="468"/>
      <c r="B670" s="468"/>
      <c r="C670" s="468"/>
      <c r="D670" s="468"/>
      <c r="E670" s="468"/>
      <c r="F670" s="468"/>
      <c r="G670" s="468"/>
      <c r="H670" s="468"/>
      <c r="I670" s="468"/>
      <c r="J670" s="468"/>
      <c r="K670" s="468"/>
      <c r="L670" s="468"/>
      <c r="M670" s="468"/>
      <c r="N670" s="468"/>
      <c r="O670" s="468"/>
      <c r="P670" s="468"/>
      <c r="Q670" s="468"/>
      <c r="R670" s="468"/>
      <c r="S670" s="468"/>
      <c r="T670" s="468"/>
      <c r="U670" s="468"/>
      <c r="V670" s="468"/>
      <c r="W670" s="468"/>
      <c r="X670" s="468"/>
      <c r="Y670" s="468"/>
      <c r="Z670" s="468"/>
      <c r="AA670" s="468"/>
      <c r="AB670" s="468"/>
      <c r="AC670" s="468"/>
      <c r="AD670" s="468"/>
      <c r="AE670" s="468"/>
      <c r="AF670" s="468"/>
      <c r="AG670" s="468"/>
      <c r="AH670" s="468"/>
      <c r="AI670" s="468"/>
      <c r="AJ670" s="468"/>
    </row>
    <row r="671" spans="1:36" ht="18" customHeight="1" x14ac:dyDescent="0.35">
      <c r="A671" s="468"/>
      <c r="B671" s="468"/>
      <c r="C671" s="468"/>
      <c r="D671" s="468"/>
      <c r="E671" s="468"/>
      <c r="F671" s="468"/>
      <c r="G671" s="468"/>
      <c r="H671" s="468"/>
      <c r="I671" s="468"/>
      <c r="J671" s="468"/>
      <c r="K671" s="468"/>
      <c r="L671" s="468"/>
      <c r="M671" s="468"/>
      <c r="N671" s="468"/>
      <c r="O671" s="468"/>
      <c r="P671" s="468"/>
      <c r="Q671" s="468"/>
      <c r="R671" s="468"/>
      <c r="S671" s="468"/>
      <c r="T671" s="468"/>
      <c r="U671" s="468"/>
      <c r="V671" s="468"/>
      <c r="W671" s="468"/>
      <c r="X671" s="468"/>
      <c r="Y671" s="468"/>
      <c r="Z671" s="468"/>
      <c r="AA671" s="468"/>
      <c r="AB671" s="468"/>
      <c r="AC671" s="468"/>
      <c r="AD671" s="468"/>
      <c r="AE671" s="468"/>
      <c r="AF671" s="468"/>
      <c r="AG671" s="468"/>
      <c r="AH671" s="468"/>
      <c r="AI671" s="468"/>
      <c r="AJ671" s="468"/>
    </row>
    <row r="672" spans="1:36" ht="18" customHeight="1" x14ac:dyDescent="0.35">
      <c r="A672" s="468"/>
      <c r="B672" s="468"/>
      <c r="C672" s="468"/>
      <c r="D672" s="468"/>
      <c r="E672" s="468"/>
      <c r="F672" s="468"/>
      <c r="G672" s="468"/>
      <c r="H672" s="468"/>
      <c r="I672" s="468"/>
      <c r="J672" s="468"/>
      <c r="K672" s="468"/>
      <c r="L672" s="468"/>
      <c r="M672" s="468"/>
      <c r="N672" s="468"/>
      <c r="O672" s="468"/>
      <c r="P672" s="468"/>
      <c r="Q672" s="468"/>
      <c r="R672" s="468"/>
      <c r="S672" s="468"/>
      <c r="T672" s="468"/>
      <c r="U672" s="468"/>
      <c r="V672" s="468"/>
      <c r="W672" s="468"/>
      <c r="X672" s="468"/>
      <c r="Y672" s="468"/>
      <c r="Z672" s="468"/>
      <c r="AA672" s="468"/>
      <c r="AB672" s="468"/>
      <c r="AC672" s="468"/>
      <c r="AD672" s="468"/>
      <c r="AE672" s="468"/>
      <c r="AF672" s="468"/>
      <c r="AG672" s="468"/>
      <c r="AH672" s="468"/>
      <c r="AI672" s="468"/>
      <c r="AJ672" s="468"/>
    </row>
    <row r="673" spans="1:36" ht="18" customHeight="1" x14ac:dyDescent="0.35">
      <c r="A673" s="468"/>
      <c r="B673" s="468"/>
      <c r="C673" s="468"/>
      <c r="D673" s="468"/>
      <c r="E673" s="468"/>
      <c r="F673" s="468"/>
      <c r="G673" s="468"/>
      <c r="H673" s="468"/>
      <c r="I673" s="468"/>
      <c r="J673" s="468"/>
      <c r="K673" s="468"/>
      <c r="L673" s="468"/>
      <c r="M673" s="468"/>
      <c r="N673" s="468"/>
      <c r="O673" s="468"/>
      <c r="P673" s="468"/>
      <c r="Q673" s="468"/>
      <c r="R673" s="468"/>
      <c r="S673" s="468"/>
      <c r="T673" s="468"/>
      <c r="U673" s="468"/>
      <c r="V673" s="468"/>
      <c r="W673" s="468"/>
      <c r="X673" s="468"/>
      <c r="Y673" s="468"/>
      <c r="Z673" s="468"/>
      <c r="AA673" s="468"/>
      <c r="AB673" s="468"/>
      <c r="AC673" s="468"/>
      <c r="AD673" s="468"/>
      <c r="AE673" s="468"/>
      <c r="AF673" s="468"/>
      <c r="AG673" s="468"/>
      <c r="AH673" s="468"/>
      <c r="AI673" s="468"/>
      <c r="AJ673" s="468"/>
    </row>
    <row r="674" spans="1:36" ht="18" customHeight="1" x14ac:dyDescent="0.35">
      <c r="A674" s="468"/>
      <c r="B674" s="468"/>
      <c r="C674" s="468"/>
      <c r="D674" s="468"/>
      <c r="E674" s="468"/>
      <c r="F674" s="468"/>
      <c r="G674" s="468"/>
      <c r="H674" s="468"/>
      <c r="I674" s="468"/>
      <c r="J674" s="468"/>
      <c r="K674" s="468"/>
      <c r="L674" s="468"/>
      <c r="M674" s="468"/>
      <c r="N674" s="468"/>
      <c r="O674" s="468"/>
      <c r="P674" s="468"/>
      <c r="Q674" s="468"/>
      <c r="R674" s="468"/>
      <c r="S674" s="468"/>
      <c r="T674" s="468"/>
      <c r="U674" s="468"/>
      <c r="V674" s="468"/>
      <c r="W674" s="468"/>
      <c r="X674" s="468"/>
      <c r="Y674" s="468"/>
      <c r="Z674" s="468"/>
      <c r="AA674" s="468"/>
      <c r="AB674" s="468"/>
      <c r="AC674" s="468"/>
      <c r="AD674" s="468"/>
      <c r="AE674" s="468"/>
      <c r="AF674" s="468"/>
      <c r="AG674" s="468"/>
      <c r="AH674" s="468"/>
      <c r="AI674" s="468"/>
      <c r="AJ674" s="468"/>
    </row>
    <row r="675" spans="1:36" ht="18" customHeight="1" x14ac:dyDescent="0.35">
      <c r="A675" s="468"/>
      <c r="B675" s="468"/>
      <c r="C675" s="468"/>
      <c r="D675" s="468"/>
      <c r="E675" s="468"/>
      <c r="F675" s="468"/>
      <c r="G675" s="468"/>
      <c r="H675" s="468"/>
      <c r="I675" s="468"/>
      <c r="J675" s="468"/>
      <c r="K675" s="468"/>
      <c r="L675" s="468"/>
      <c r="M675" s="468"/>
      <c r="N675" s="468"/>
      <c r="O675" s="468"/>
      <c r="P675" s="468"/>
      <c r="Q675" s="468"/>
      <c r="R675" s="468"/>
      <c r="S675" s="468"/>
      <c r="T675" s="468"/>
      <c r="U675" s="468"/>
      <c r="V675" s="468"/>
      <c r="W675" s="468"/>
      <c r="X675" s="468"/>
      <c r="Y675" s="468"/>
      <c r="Z675" s="468"/>
      <c r="AA675" s="468"/>
      <c r="AB675" s="468"/>
      <c r="AC675" s="468"/>
      <c r="AD675" s="468"/>
      <c r="AE675" s="468"/>
      <c r="AF675" s="468"/>
      <c r="AG675" s="468"/>
      <c r="AH675" s="468"/>
      <c r="AI675" s="468"/>
      <c r="AJ675" s="468"/>
    </row>
    <row r="676" spans="1:36" ht="18" customHeight="1" x14ac:dyDescent="0.35">
      <c r="A676" s="468"/>
      <c r="B676" s="468"/>
      <c r="C676" s="468"/>
      <c r="D676" s="468"/>
      <c r="E676" s="468"/>
      <c r="F676" s="468"/>
      <c r="G676" s="468"/>
      <c r="H676" s="468"/>
      <c r="I676" s="468"/>
      <c r="J676" s="468"/>
      <c r="K676" s="468"/>
      <c r="L676" s="468"/>
      <c r="M676" s="468"/>
      <c r="N676" s="468"/>
      <c r="O676" s="468"/>
      <c r="P676" s="468"/>
      <c r="Q676" s="468"/>
      <c r="R676" s="468"/>
      <c r="S676" s="468"/>
      <c r="T676" s="468"/>
      <c r="U676" s="468"/>
      <c r="V676" s="468"/>
      <c r="W676" s="468"/>
      <c r="X676" s="468"/>
      <c r="Y676" s="468"/>
      <c r="Z676" s="468"/>
      <c r="AA676" s="468"/>
      <c r="AB676" s="468"/>
      <c r="AC676" s="468"/>
      <c r="AD676" s="468"/>
      <c r="AE676" s="468"/>
      <c r="AF676" s="468"/>
      <c r="AG676" s="468"/>
      <c r="AH676" s="468"/>
      <c r="AI676" s="468"/>
      <c r="AJ676" s="468"/>
    </row>
    <row r="677" spans="1:36" ht="18" customHeight="1" x14ac:dyDescent="0.35">
      <c r="A677" s="468"/>
      <c r="B677" s="468"/>
      <c r="C677" s="468"/>
      <c r="D677" s="468"/>
      <c r="E677" s="468"/>
      <c r="F677" s="468"/>
      <c r="G677" s="468"/>
      <c r="H677" s="468"/>
      <c r="I677" s="468"/>
      <c r="J677" s="468"/>
      <c r="K677" s="468"/>
      <c r="L677" s="468"/>
      <c r="M677" s="468"/>
      <c r="N677" s="468"/>
      <c r="O677" s="468"/>
      <c r="P677" s="468"/>
      <c r="Q677" s="468"/>
      <c r="R677" s="468"/>
      <c r="S677" s="468"/>
      <c r="T677" s="468"/>
      <c r="U677" s="468"/>
      <c r="V677" s="468"/>
      <c r="W677" s="468"/>
      <c r="X677" s="468"/>
      <c r="Y677" s="468"/>
      <c r="Z677" s="468"/>
      <c r="AA677" s="468"/>
      <c r="AB677" s="468"/>
      <c r="AC677" s="468"/>
      <c r="AD677" s="468"/>
      <c r="AE677" s="468"/>
      <c r="AF677" s="468"/>
      <c r="AG677" s="468"/>
      <c r="AH677" s="468"/>
      <c r="AI677" s="468"/>
      <c r="AJ677" s="468"/>
    </row>
    <row r="678" spans="1:36" ht="18" customHeight="1" x14ac:dyDescent="0.35">
      <c r="A678" s="468"/>
      <c r="B678" s="468"/>
      <c r="C678" s="468"/>
      <c r="D678" s="468"/>
      <c r="E678" s="468"/>
      <c r="F678" s="468"/>
      <c r="G678" s="468"/>
      <c r="H678" s="468"/>
      <c r="I678" s="468"/>
      <c r="J678" s="468"/>
      <c r="K678" s="468"/>
      <c r="L678" s="468"/>
      <c r="M678" s="468"/>
      <c r="N678" s="468"/>
      <c r="O678" s="468"/>
      <c r="P678" s="468"/>
      <c r="Q678" s="468"/>
      <c r="R678" s="468"/>
      <c r="S678" s="468"/>
      <c r="T678" s="468"/>
      <c r="U678" s="468"/>
      <c r="V678" s="468"/>
      <c r="W678" s="468"/>
      <c r="X678" s="468"/>
      <c r="Y678" s="468"/>
      <c r="Z678" s="468"/>
      <c r="AA678" s="468"/>
      <c r="AB678" s="468"/>
      <c r="AC678" s="468"/>
      <c r="AD678" s="468"/>
      <c r="AE678" s="468"/>
      <c r="AF678" s="468"/>
      <c r="AG678" s="468"/>
      <c r="AH678" s="468"/>
      <c r="AI678" s="468"/>
      <c r="AJ678" s="468"/>
    </row>
    <row r="679" spans="1:36" ht="18" customHeight="1" x14ac:dyDescent="0.35">
      <c r="A679" s="468"/>
      <c r="B679" s="468"/>
      <c r="C679" s="468"/>
      <c r="D679" s="468"/>
      <c r="E679" s="468"/>
      <c r="F679" s="468"/>
      <c r="G679" s="468"/>
      <c r="H679" s="468"/>
      <c r="I679" s="468"/>
      <c r="J679" s="468"/>
      <c r="K679" s="468"/>
      <c r="L679" s="468"/>
      <c r="M679" s="468"/>
      <c r="N679" s="468"/>
      <c r="O679" s="468"/>
      <c r="P679" s="468"/>
      <c r="Q679" s="468"/>
      <c r="R679" s="468"/>
      <c r="S679" s="468"/>
      <c r="T679" s="468"/>
      <c r="U679" s="468"/>
      <c r="V679" s="468"/>
      <c r="W679" s="468"/>
      <c r="X679" s="468"/>
      <c r="Y679" s="468"/>
      <c r="Z679" s="468"/>
      <c r="AA679" s="468"/>
      <c r="AB679" s="468"/>
      <c r="AC679" s="468"/>
      <c r="AD679" s="468"/>
      <c r="AE679" s="468"/>
      <c r="AF679" s="468"/>
      <c r="AG679" s="468"/>
      <c r="AH679" s="468"/>
      <c r="AI679" s="468"/>
      <c r="AJ679" s="468"/>
    </row>
    <row r="680" spans="1:36" ht="18" customHeight="1" x14ac:dyDescent="0.35">
      <c r="A680" s="468"/>
      <c r="B680" s="468"/>
      <c r="C680" s="468"/>
      <c r="D680" s="468"/>
      <c r="E680" s="468"/>
      <c r="F680" s="468"/>
      <c r="G680" s="468"/>
      <c r="H680" s="468"/>
      <c r="I680" s="468"/>
      <c r="J680" s="468"/>
      <c r="K680" s="468"/>
      <c r="L680" s="468"/>
      <c r="M680" s="468"/>
      <c r="N680" s="468"/>
      <c r="O680" s="468"/>
      <c r="P680" s="468"/>
      <c r="Q680" s="468"/>
      <c r="R680" s="468"/>
      <c r="S680" s="468"/>
      <c r="T680" s="468"/>
      <c r="U680" s="468"/>
      <c r="V680" s="468"/>
      <c r="W680" s="468"/>
      <c r="X680" s="468"/>
      <c r="Y680" s="468"/>
      <c r="Z680" s="468"/>
      <c r="AA680" s="468"/>
      <c r="AB680" s="468"/>
      <c r="AC680" s="468"/>
      <c r="AD680" s="468"/>
      <c r="AE680" s="468"/>
      <c r="AF680" s="468"/>
      <c r="AG680" s="468"/>
      <c r="AH680" s="468"/>
      <c r="AI680" s="468"/>
      <c r="AJ680" s="468"/>
    </row>
    <row r="681" spans="1:36" ht="18" customHeight="1" x14ac:dyDescent="0.35">
      <c r="A681" s="468"/>
      <c r="B681" s="468"/>
      <c r="C681" s="468"/>
      <c r="D681" s="468"/>
      <c r="E681" s="468"/>
      <c r="F681" s="468"/>
      <c r="G681" s="468"/>
      <c r="H681" s="468"/>
      <c r="I681" s="468"/>
      <c r="J681" s="468"/>
      <c r="K681" s="468"/>
      <c r="L681" s="468"/>
      <c r="M681" s="468"/>
      <c r="N681" s="468"/>
      <c r="O681" s="468"/>
      <c r="P681" s="468"/>
      <c r="Q681" s="468"/>
      <c r="R681" s="468"/>
      <c r="S681" s="468"/>
      <c r="T681" s="468"/>
      <c r="U681" s="468"/>
      <c r="V681" s="468"/>
      <c r="W681" s="468"/>
      <c r="X681" s="468"/>
      <c r="Y681" s="468"/>
      <c r="Z681" s="468"/>
      <c r="AA681" s="468"/>
      <c r="AB681" s="468"/>
      <c r="AC681" s="468"/>
      <c r="AD681" s="468"/>
      <c r="AE681" s="468"/>
      <c r="AF681" s="468"/>
      <c r="AG681" s="468"/>
      <c r="AH681" s="468"/>
      <c r="AI681" s="468"/>
      <c r="AJ681" s="468"/>
    </row>
    <row r="682" spans="1:36" ht="18" customHeight="1" x14ac:dyDescent="0.35">
      <c r="A682" s="468"/>
      <c r="B682" s="468"/>
      <c r="C682" s="468"/>
      <c r="D682" s="468"/>
      <c r="E682" s="468"/>
      <c r="F682" s="468"/>
      <c r="G682" s="468"/>
      <c r="H682" s="468"/>
      <c r="I682" s="468"/>
      <c r="J682" s="468"/>
      <c r="K682" s="468"/>
      <c r="L682" s="468"/>
      <c r="M682" s="468"/>
      <c r="N682" s="468"/>
      <c r="O682" s="468"/>
      <c r="P682" s="468"/>
      <c r="Q682" s="468"/>
      <c r="R682" s="468"/>
      <c r="S682" s="468"/>
      <c r="T682" s="468"/>
      <c r="U682" s="468"/>
      <c r="V682" s="468"/>
      <c r="W682" s="468"/>
      <c r="X682" s="468"/>
      <c r="Y682" s="468"/>
      <c r="Z682" s="468"/>
      <c r="AA682" s="468"/>
      <c r="AB682" s="468"/>
      <c r="AC682" s="468"/>
      <c r="AD682" s="468"/>
      <c r="AE682" s="468"/>
      <c r="AF682" s="468"/>
      <c r="AG682" s="468"/>
      <c r="AH682" s="468"/>
      <c r="AI682" s="468"/>
      <c r="AJ682" s="468"/>
    </row>
    <row r="683" spans="1:36" ht="18" customHeight="1" x14ac:dyDescent="0.35">
      <c r="A683" s="468"/>
      <c r="B683" s="468"/>
      <c r="C683" s="468"/>
      <c r="D683" s="468"/>
      <c r="E683" s="468"/>
      <c r="F683" s="468"/>
      <c r="G683" s="468"/>
      <c r="H683" s="468"/>
      <c r="I683" s="468"/>
      <c r="J683" s="468"/>
      <c r="K683" s="468"/>
      <c r="L683" s="468"/>
      <c r="M683" s="468"/>
      <c r="N683" s="468"/>
      <c r="O683" s="468"/>
      <c r="P683" s="468"/>
      <c r="Q683" s="468"/>
      <c r="R683" s="468"/>
      <c r="S683" s="468"/>
      <c r="T683" s="468"/>
      <c r="U683" s="468"/>
      <c r="V683" s="468"/>
      <c r="W683" s="468"/>
      <c r="X683" s="468"/>
      <c r="Y683" s="468"/>
      <c r="Z683" s="468"/>
      <c r="AA683" s="468"/>
      <c r="AB683" s="468"/>
      <c r="AC683" s="468"/>
      <c r="AD683" s="468"/>
      <c r="AE683" s="468"/>
      <c r="AF683" s="468"/>
      <c r="AG683" s="468"/>
      <c r="AH683" s="468"/>
      <c r="AI683" s="468"/>
      <c r="AJ683" s="468"/>
    </row>
    <row r="684" spans="1:36" ht="18" customHeight="1" x14ac:dyDescent="0.35">
      <c r="A684" s="468"/>
      <c r="B684" s="468"/>
      <c r="C684" s="468"/>
      <c r="D684" s="468"/>
      <c r="E684" s="468"/>
      <c r="F684" s="468"/>
      <c r="G684" s="468"/>
      <c r="H684" s="468"/>
      <c r="I684" s="468"/>
      <c r="J684" s="468"/>
      <c r="K684" s="468"/>
      <c r="L684" s="468"/>
      <c r="M684" s="468"/>
      <c r="N684" s="468"/>
      <c r="O684" s="468"/>
      <c r="P684" s="468"/>
      <c r="Q684" s="468"/>
      <c r="R684" s="468"/>
      <c r="S684" s="468"/>
      <c r="T684" s="468"/>
      <c r="U684" s="468"/>
      <c r="V684" s="468"/>
      <c r="W684" s="468"/>
      <c r="X684" s="468"/>
      <c r="Y684" s="468"/>
      <c r="Z684" s="468"/>
      <c r="AA684" s="468"/>
      <c r="AB684" s="468"/>
      <c r="AC684" s="468"/>
      <c r="AD684" s="468"/>
      <c r="AE684" s="468"/>
      <c r="AF684" s="468"/>
      <c r="AG684" s="468"/>
      <c r="AH684" s="468"/>
      <c r="AI684" s="468"/>
      <c r="AJ684" s="468"/>
    </row>
    <row r="685" spans="1:36" ht="18" customHeight="1" x14ac:dyDescent="0.35">
      <c r="A685" s="468"/>
      <c r="B685" s="468"/>
      <c r="C685" s="468"/>
      <c r="D685" s="468"/>
      <c r="E685" s="468"/>
      <c r="F685" s="468"/>
      <c r="G685" s="468"/>
      <c r="H685" s="468"/>
      <c r="I685" s="468"/>
      <c r="J685" s="468"/>
      <c r="K685" s="468"/>
      <c r="L685" s="468"/>
      <c r="M685" s="468"/>
      <c r="N685" s="468"/>
      <c r="O685" s="468"/>
      <c r="P685" s="468"/>
      <c r="Q685" s="468"/>
      <c r="R685" s="468"/>
      <c r="S685" s="468"/>
      <c r="T685" s="468"/>
      <c r="U685" s="468"/>
      <c r="V685" s="468"/>
      <c r="W685" s="468"/>
      <c r="X685" s="468"/>
      <c r="Y685" s="468"/>
      <c r="Z685" s="468"/>
      <c r="AA685" s="468"/>
      <c r="AB685" s="468"/>
      <c r="AC685" s="468"/>
      <c r="AD685" s="468"/>
      <c r="AE685" s="468"/>
      <c r="AF685" s="468"/>
      <c r="AG685" s="468"/>
      <c r="AH685" s="468"/>
      <c r="AI685" s="468"/>
      <c r="AJ685" s="468"/>
    </row>
    <row r="686" spans="1:36" ht="18" customHeight="1" x14ac:dyDescent="0.35">
      <c r="A686" s="468"/>
      <c r="B686" s="468"/>
      <c r="C686" s="468"/>
      <c r="D686" s="468"/>
      <c r="E686" s="468"/>
      <c r="F686" s="468"/>
      <c r="G686" s="468"/>
      <c r="H686" s="468"/>
      <c r="I686" s="468"/>
      <c r="J686" s="468"/>
      <c r="K686" s="468"/>
      <c r="L686" s="468"/>
      <c r="M686" s="468"/>
      <c r="N686" s="468"/>
      <c r="O686" s="468"/>
      <c r="P686" s="468"/>
      <c r="Q686" s="468"/>
      <c r="R686" s="468"/>
      <c r="S686" s="468"/>
      <c r="T686" s="468"/>
      <c r="U686" s="468"/>
      <c r="V686" s="468"/>
      <c r="W686" s="468"/>
      <c r="X686" s="468"/>
      <c r="Y686" s="468"/>
      <c r="Z686" s="468"/>
      <c r="AA686" s="468"/>
      <c r="AB686" s="468"/>
      <c r="AC686" s="468"/>
      <c r="AD686" s="468"/>
      <c r="AE686" s="468"/>
      <c r="AF686" s="468"/>
      <c r="AG686" s="468"/>
      <c r="AH686" s="468"/>
      <c r="AI686" s="468"/>
      <c r="AJ686" s="468"/>
    </row>
    <row r="687" spans="1:36" ht="18" customHeight="1" x14ac:dyDescent="0.35">
      <c r="A687" s="468"/>
      <c r="B687" s="468"/>
      <c r="C687" s="468"/>
      <c r="D687" s="468"/>
      <c r="E687" s="468"/>
      <c r="F687" s="468"/>
      <c r="G687" s="468"/>
      <c r="H687" s="468"/>
      <c r="I687" s="468"/>
      <c r="J687" s="468"/>
      <c r="K687" s="468"/>
      <c r="L687" s="468"/>
      <c r="M687" s="468"/>
      <c r="N687" s="468"/>
      <c r="O687" s="468"/>
      <c r="P687" s="468"/>
      <c r="Q687" s="468"/>
      <c r="R687" s="468"/>
      <c r="S687" s="468"/>
      <c r="T687" s="468"/>
      <c r="U687" s="468"/>
      <c r="V687" s="468"/>
      <c r="W687" s="468"/>
      <c r="X687" s="468"/>
      <c r="Y687" s="468"/>
      <c r="Z687" s="468"/>
      <c r="AA687" s="468"/>
      <c r="AB687" s="468"/>
      <c r="AC687" s="468"/>
      <c r="AD687" s="468"/>
      <c r="AE687" s="468"/>
      <c r="AF687" s="468"/>
      <c r="AG687" s="468"/>
      <c r="AH687" s="468"/>
      <c r="AI687" s="468"/>
      <c r="AJ687" s="468"/>
    </row>
    <row r="688" spans="1:36" ht="18" customHeight="1" x14ac:dyDescent="0.35">
      <c r="A688" s="468"/>
      <c r="B688" s="468"/>
      <c r="C688" s="468"/>
      <c r="D688" s="468"/>
      <c r="E688" s="468"/>
      <c r="F688" s="468"/>
      <c r="G688" s="468"/>
      <c r="H688" s="468"/>
      <c r="I688" s="468"/>
      <c r="J688" s="468"/>
      <c r="K688" s="468"/>
      <c r="L688" s="468"/>
      <c r="M688" s="468"/>
      <c r="N688" s="468"/>
      <c r="O688" s="468"/>
      <c r="P688" s="468"/>
      <c r="Q688" s="468"/>
      <c r="R688" s="468"/>
      <c r="S688" s="468"/>
      <c r="T688" s="468"/>
      <c r="U688" s="468"/>
      <c r="V688" s="468"/>
      <c r="W688" s="468"/>
      <c r="X688" s="468"/>
      <c r="Y688" s="468"/>
      <c r="Z688" s="468"/>
      <c r="AA688" s="468"/>
      <c r="AB688" s="468"/>
      <c r="AC688" s="468"/>
      <c r="AD688" s="468"/>
      <c r="AE688" s="468"/>
      <c r="AF688" s="468"/>
      <c r="AG688" s="468"/>
      <c r="AH688" s="468"/>
      <c r="AI688" s="468"/>
      <c r="AJ688" s="468"/>
    </row>
    <row r="689" spans="1:36" ht="18" customHeight="1" x14ac:dyDescent="0.35">
      <c r="A689" s="468"/>
      <c r="B689" s="468"/>
      <c r="C689" s="468"/>
      <c r="D689" s="468"/>
      <c r="E689" s="468"/>
      <c r="F689" s="468"/>
      <c r="G689" s="468"/>
      <c r="H689" s="468"/>
      <c r="I689" s="468"/>
      <c r="J689" s="468"/>
      <c r="K689" s="468"/>
      <c r="L689" s="468"/>
      <c r="M689" s="468"/>
      <c r="N689" s="468"/>
      <c r="O689" s="468"/>
      <c r="P689" s="468"/>
      <c r="Q689" s="468"/>
      <c r="R689" s="468"/>
      <c r="S689" s="468"/>
      <c r="T689" s="468"/>
      <c r="U689" s="468"/>
      <c r="V689" s="468"/>
      <c r="W689" s="468"/>
      <c r="X689" s="468"/>
      <c r="Y689" s="468"/>
      <c r="Z689" s="468"/>
      <c r="AA689" s="468"/>
      <c r="AB689" s="468"/>
      <c r="AC689" s="468"/>
      <c r="AD689" s="468"/>
      <c r="AE689" s="468"/>
      <c r="AF689" s="468"/>
      <c r="AG689" s="468"/>
      <c r="AH689" s="468"/>
      <c r="AI689" s="468"/>
      <c r="AJ689" s="468"/>
    </row>
    <row r="690" spans="1:36" ht="18" customHeight="1" x14ac:dyDescent="0.35">
      <c r="A690" s="468"/>
      <c r="B690" s="468"/>
      <c r="C690" s="468"/>
      <c r="D690" s="468"/>
      <c r="E690" s="468"/>
      <c r="F690" s="468"/>
      <c r="G690" s="468"/>
      <c r="H690" s="468"/>
      <c r="I690" s="468"/>
      <c r="J690" s="468"/>
      <c r="K690" s="468"/>
      <c r="L690" s="468"/>
      <c r="M690" s="468"/>
      <c r="N690" s="468"/>
      <c r="O690" s="468"/>
      <c r="P690" s="468"/>
      <c r="Q690" s="468"/>
      <c r="R690" s="468"/>
      <c r="S690" s="468"/>
      <c r="T690" s="468"/>
      <c r="U690" s="468"/>
      <c r="V690" s="468"/>
      <c r="W690" s="468"/>
      <c r="X690" s="468"/>
      <c r="Y690" s="468"/>
      <c r="Z690" s="468"/>
      <c r="AA690" s="468"/>
      <c r="AB690" s="468"/>
      <c r="AC690" s="468"/>
      <c r="AD690" s="468"/>
      <c r="AE690" s="468"/>
      <c r="AF690" s="468"/>
      <c r="AG690" s="468"/>
      <c r="AH690" s="468"/>
      <c r="AI690" s="468"/>
      <c r="AJ690" s="468"/>
    </row>
    <row r="691" spans="1:36" ht="18" customHeight="1" x14ac:dyDescent="0.35">
      <c r="A691" s="468"/>
      <c r="B691" s="468"/>
      <c r="C691" s="468"/>
      <c r="D691" s="468"/>
      <c r="E691" s="468"/>
      <c r="F691" s="468"/>
      <c r="G691" s="468"/>
      <c r="H691" s="468"/>
      <c r="I691" s="468"/>
      <c r="J691" s="468"/>
      <c r="K691" s="468"/>
      <c r="L691" s="468"/>
      <c r="M691" s="468"/>
      <c r="N691" s="468"/>
      <c r="O691" s="468"/>
      <c r="P691" s="468"/>
      <c r="Q691" s="468"/>
      <c r="R691" s="468"/>
      <c r="S691" s="468"/>
      <c r="T691" s="468"/>
      <c r="U691" s="468"/>
      <c r="V691" s="468"/>
      <c r="W691" s="468"/>
      <c r="X691" s="468"/>
      <c r="Y691" s="468"/>
      <c r="Z691" s="468"/>
      <c r="AA691" s="468"/>
      <c r="AB691" s="468"/>
      <c r="AC691" s="468"/>
      <c r="AD691" s="468"/>
      <c r="AE691" s="468"/>
      <c r="AF691" s="468"/>
      <c r="AG691" s="468"/>
      <c r="AH691" s="468"/>
      <c r="AI691" s="468"/>
      <c r="AJ691" s="468"/>
    </row>
    <row r="692" spans="1:36" ht="18" customHeight="1" x14ac:dyDescent="0.35">
      <c r="A692" s="468"/>
      <c r="B692" s="468"/>
      <c r="C692" s="468"/>
      <c r="D692" s="468"/>
      <c r="E692" s="468"/>
      <c r="F692" s="468"/>
      <c r="G692" s="468"/>
      <c r="H692" s="468"/>
      <c r="I692" s="468"/>
      <c r="J692" s="468"/>
      <c r="K692" s="468"/>
      <c r="L692" s="468"/>
      <c r="M692" s="468"/>
      <c r="N692" s="468"/>
      <c r="O692" s="468"/>
      <c r="P692" s="468"/>
      <c r="Q692" s="468"/>
      <c r="R692" s="468"/>
      <c r="S692" s="468"/>
      <c r="T692" s="468"/>
      <c r="U692" s="468"/>
      <c r="V692" s="468"/>
      <c r="W692" s="468"/>
      <c r="X692" s="468"/>
      <c r="Y692" s="468"/>
      <c r="Z692" s="468"/>
      <c r="AA692" s="468"/>
      <c r="AB692" s="468"/>
      <c r="AC692" s="468"/>
      <c r="AD692" s="468"/>
      <c r="AE692" s="468"/>
      <c r="AF692" s="468"/>
      <c r="AG692" s="468"/>
      <c r="AH692" s="468"/>
      <c r="AI692" s="468"/>
      <c r="AJ692" s="468"/>
    </row>
    <row r="693" spans="1:36" ht="18" customHeight="1" x14ac:dyDescent="0.35">
      <c r="A693" s="468"/>
      <c r="B693" s="468"/>
      <c r="C693" s="468"/>
      <c r="D693" s="468"/>
      <c r="E693" s="468"/>
      <c r="F693" s="468"/>
      <c r="G693" s="468"/>
      <c r="H693" s="468"/>
      <c r="I693" s="468"/>
      <c r="J693" s="468"/>
      <c r="K693" s="468"/>
      <c r="L693" s="468"/>
      <c r="M693" s="468"/>
      <c r="N693" s="468"/>
      <c r="O693" s="468"/>
      <c r="P693" s="468"/>
      <c r="Q693" s="468"/>
      <c r="R693" s="468"/>
      <c r="S693" s="468"/>
      <c r="T693" s="468"/>
      <c r="U693" s="468"/>
      <c r="V693" s="468"/>
      <c r="W693" s="468"/>
      <c r="X693" s="468"/>
      <c r="Y693" s="468"/>
      <c r="Z693" s="468"/>
      <c r="AA693" s="468"/>
      <c r="AB693" s="468"/>
      <c r="AC693" s="468"/>
      <c r="AD693" s="468"/>
      <c r="AE693" s="468"/>
      <c r="AF693" s="468"/>
      <c r="AG693" s="468"/>
      <c r="AH693" s="468"/>
      <c r="AI693" s="468"/>
      <c r="AJ693" s="468"/>
    </row>
    <row r="694" spans="1:36" ht="18" customHeight="1" x14ac:dyDescent="0.35">
      <c r="A694" s="468"/>
      <c r="B694" s="468"/>
      <c r="C694" s="468"/>
      <c r="D694" s="468"/>
      <c r="E694" s="468"/>
      <c r="F694" s="468"/>
      <c r="G694" s="468"/>
      <c r="H694" s="468"/>
      <c r="I694" s="468"/>
      <c r="J694" s="468"/>
      <c r="K694" s="468"/>
      <c r="L694" s="468"/>
      <c r="M694" s="468"/>
      <c r="N694" s="468"/>
      <c r="O694" s="468"/>
      <c r="P694" s="468"/>
      <c r="Q694" s="468"/>
      <c r="R694" s="468"/>
      <c r="S694" s="468"/>
      <c r="T694" s="468"/>
      <c r="U694" s="468"/>
      <c r="V694" s="468"/>
      <c r="W694" s="468"/>
      <c r="X694" s="468"/>
      <c r="Y694" s="468"/>
      <c r="Z694" s="468"/>
      <c r="AA694" s="468"/>
      <c r="AB694" s="468"/>
      <c r="AC694" s="468"/>
      <c r="AD694" s="468"/>
      <c r="AE694" s="468"/>
      <c r="AF694" s="468"/>
      <c r="AG694" s="468"/>
      <c r="AH694" s="468"/>
      <c r="AI694" s="468"/>
      <c r="AJ694" s="468"/>
    </row>
    <row r="695" spans="1:36" ht="18" customHeight="1" x14ac:dyDescent="0.35">
      <c r="A695" s="468"/>
      <c r="B695" s="468"/>
      <c r="C695" s="468"/>
      <c r="D695" s="468"/>
      <c r="E695" s="468"/>
      <c r="F695" s="468"/>
      <c r="G695" s="468"/>
      <c r="H695" s="468"/>
      <c r="I695" s="468"/>
      <c r="J695" s="468"/>
      <c r="K695" s="468"/>
      <c r="L695" s="468"/>
      <c r="M695" s="468"/>
      <c r="N695" s="468"/>
      <c r="O695" s="468"/>
      <c r="P695" s="468"/>
      <c r="Q695" s="468"/>
      <c r="R695" s="468"/>
      <c r="S695" s="468"/>
      <c r="T695" s="468"/>
      <c r="U695" s="468"/>
      <c r="V695" s="468"/>
      <c r="W695" s="468"/>
      <c r="X695" s="468"/>
      <c r="Y695" s="468"/>
      <c r="Z695" s="468"/>
      <c r="AA695" s="468"/>
      <c r="AB695" s="468"/>
      <c r="AC695" s="468"/>
      <c r="AD695" s="468"/>
      <c r="AE695" s="468"/>
      <c r="AF695" s="468"/>
      <c r="AG695" s="468"/>
      <c r="AH695" s="468"/>
      <c r="AI695" s="468"/>
      <c r="AJ695" s="468"/>
    </row>
    <row r="696" spans="1:36" ht="18" customHeight="1" x14ac:dyDescent="0.35">
      <c r="A696" s="468"/>
      <c r="B696" s="468"/>
      <c r="C696" s="468"/>
      <c r="D696" s="468"/>
      <c r="E696" s="468"/>
      <c r="F696" s="468"/>
      <c r="G696" s="468"/>
      <c r="H696" s="468"/>
      <c r="I696" s="468"/>
      <c r="J696" s="468"/>
      <c r="K696" s="468"/>
      <c r="L696" s="468"/>
      <c r="M696" s="468"/>
      <c r="N696" s="468"/>
      <c r="O696" s="468"/>
      <c r="P696" s="468"/>
      <c r="Q696" s="468"/>
      <c r="R696" s="468"/>
      <c r="S696" s="468"/>
      <c r="T696" s="468"/>
      <c r="U696" s="468"/>
      <c r="V696" s="468"/>
      <c r="W696" s="468"/>
      <c r="X696" s="468"/>
      <c r="Y696" s="468"/>
      <c r="Z696" s="468"/>
      <c r="AA696" s="468"/>
      <c r="AB696" s="468"/>
      <c r="AC696" s="468"/>
      <c r="AD696" s="468"/>
      <c r="AE696" s="468"/>
      <c r="AF696" s="468"/>
      <c r="AG696" s="468"/>
      <c r="AH696" s="468"/>
      <c r="AI696" s="468"/>
      <c r="AJ696" s="468"/>
    </row>
    <row r="697" spans="1:36" ht="18" customHeight="1" x14ac:dyDescent="0.35">
      <c r="A697" s="468"/>
      <c r="B697" s="468"/>
      <c r="C697" s="468"/>
      <c r="D697" s="468"/>
      <c r="E697" s="468"/>
      <c r="F697" s="468"/>
      <c r="G697" s="468"/>
      <c r="H697" s="468"/>
      <c r="I697" s="468"/>
      <c r="J697" s="468"/>
      <c r="K697" s="468"/>
      <c r="L697" s="468"/>
      <c r="M697" s="468"/>
      <c r="N697" s="468"/>
      <c r="O697" s="468"/>
      <c r="P697" s="468"/>
      <c r="Q697" s="468"/>
      <c r="R697" s="468"/>
      <c r="S697" s="468"/>
      <c r="T697" s="468"/>
      <c r="U697" s="468"/>
      <c r="V697" s="468"/>
      <c r="W697" s="468"/>
      <c r="X697" s="468"/>
      <c r="Y697" s="468"/>
      <c r="Z697" s="468"/>
      <c r="AA697" s="468"/>
      <c r="AB697" s="468"/>
      <c r="AC697" s="468"/>
      <c r="AD697" s="468"/>
      <c r="AE697" s="468"/>
      <c r="AF697" s="468"/>
      <c r="AG697" s="468"/>
      <c r="AH697" s="468"/>
      <c r="AI697" s="468"/>
      <c r="AJ697" s="468"/>
    </row>
    <row r="698" spans="1:36" ht="18" customHeight="1" x14ac:dyDescent="0.35">
      <c r="A698" s="468"/>
      <c r="B698" s="468"/>
      <c r="C698" s="468"/>
      <c r="D698" s="468"/>
      <c r="E698" s="468"/>
      <c r="F698" s="468"/>
      <c r="G698" s="468"/>
      <c r="H698" s="468"/>
      <c r="I698" s="468"/>
      <c r="J698" s="468"/>
      <c r="K698" s="468"/>
      <c r="L698" s="468"/>
      <c r="M698" s="468"/>
      <c r="N698" s="468"/>
      <c r="O698" s="468"/>
      <c r="P698" s="468"/>
      <c r="Q698" s="468"/>
      <c r="R698" s="468"/>
      <c r="S698" s="468"/>
      <c r="T698" s="468"/>
      <c r="U698" s="468"/>
      <c r="V698" s="468"/>
      <c r="W698" s="468"/>
      <c r="X698" s="468"/>
      <c r="Y698" s="468"/>
      <c r="Z698" s="468"/>
      <c r="AA698" s="468"/>
      <c r="AB698" s="468"/>
      <c r="AC698" s="468"/>
      <c r="AD698" s="468"/>
      <c r="AE698" s="468"/>
      <c r="AF698" s="468"/>
      <c r="AG698" s="468"/>
      <c r="AH698" s="468"/>
      <c r="AI698" s="468"/>
      <c r="AJ698" s="468"/>
    </row>
    <row r="699" spans="1:36" ht="18" customHeight="1" x14ac:dyDescent="0.35">
      <c r="A699" s="468"/>
      <c r="B699" s="468"/>
      <c r="C699" s="468"/>
      <c r="D699" s="468"/>
      <c r="E699" s="468"/>
      <c r="F699" s="468"/>
      <c r="G699" s="468"/>
      <c r="H699" s="468"/>
      <c r="I699" s="468"/>
      <c r="J699" s="468"/>
      <c r="K699" s="468"/>
      <c r="L699" s="468"/>
      <c r="M699" s="468"/>
      <c r="N699" s="468"/>
      <c r="O699" s="468"/>
      <c r="P699" s="468"/>
      <c r="Q699" s="468"/>
      <c r="R699" s="468"/>
      <c r="S699" s="468"/>
      <c r="T699" s="468"/>
      <c r="U699" s="468"/>
      <c r="V699" s="468"/>
      <c r="W699" s="468"/>
      <c r="X699" s="468"/>
      <c r="Y699" s="468"/>
      <c r="Z699" s="468"/>
      <c r="AA699" s="468"/>
      <c r="AB699" s="468"/>
      <c r="AC699" s="468"/>
      <c r="AD699" s="468"/>
      <c r="AE699" s="468"/>
      <c r="AF699" s="468"/>
      <c r="AG699" s="468"/>
      <c r="AH699" s="468"/>
      <c r="AI699" s="468"/>
      <c r="AJ699" s="468"/>
    </row>
    <row r="700" spans="1:36" ht="18" customHeight="1" x14ac:dyDescent="0.35">
      <c r="A700" s="468"/>
      <c r="B700" s="468"/>
      <c r="C700" s="468"/>
      <c r="D700" s="468"/>
      <c r="E700" s="468"/>
      <c r="F700" s="468"/>
      <c r="G700" s="468"/>
      <c r="H700" s="468"/>
      <c r="I700" s="468"/>
      <c r="J700" s="468"/>
      <c r="K700" s="468"/>
      <c r="L700" s="468"/>
      <c r="M700" s="468"/>
      <c r="N700" s="468"/>
      <c r="O700" s="468"/>
      <c r="P700" s="468"/>
      <c r="Q700" s="468"/>
      <c r="R700" s="468"/>
      <c r="S700" s="468"/>
      <c r="T700" s="468"/>
      <c r="U700" s="468"/>
      <c r="V700" s="468"/>
      <c r="W700" s="468"/>
      <c r="X700" s="468"/>
      <c r="Y700" s="468"/>
      <c r="Z700" s="468"/>
      <c r="AA700" s="468"/>
      <c r="AB700" s="468"/>
      <c r="AC700" s="468"/>
      <c r="AD700" s="468"/>
      <c r="AE700" s="468"/>
      <c r="AF700" s="468"/>
      <c r="AG700" s="468"/>
      <c r="AH700" s="468"/>
      <c r="AI700" s="468"/>
      <c r="AJ700" s="468"/>
    </row>
    <row r="701" spans="1:36" ht="18" customHeight="1" x14ac:dyDescent="0.35">
      <c r="A701" s="468"/>
      <c r="B701" s="468"/>
      <c r="C701" s="468"/>
      <c r="D701" s="468"/>
      <c r="E701" s="468"/>
      <c r="F701" s="468"/>
      <c r="G701" s="468"/>
      <c r="H701" s="468"/>
      <c r="I701" s="468"/>
      <c r="J701" s="468"/>
      <c r="K701" s="468"/>
      <c r="L701" s="468"/>
      <c r="M701" s="468"/>
      <c r="N701" s="468"/>
      <c r="O701" s="468"/>
      <c r="P701" s="468"/>
      <c r="Q701" s="468"/>
      <c r="R701" s="468"/>
      <c r="S701" s="468"/>
      <c r="T701" s="468"/>
      <c r="U701" s="468"/>
      <c r="V701" s="468"/>
      <c r="W701" s="468"/>
      <c r="X701" s="468"/>
      <c r="Y701" s="468"/>
      <c r="Z701" s="468"/>
      <c r="AA701" s="468"/>
      <c r="AB701" s="468"/>
      <c r="AC701" s="468"/>
      <c r="AD701" s="468"/>
      <c r="AE701" s="468"/>
      <c r="AF701" s="468"/>
      <c r="AG701" s="468"/>
      <c r="AH701" s="468"/>
      <c r="AI701" s="468"/>
      <c r="AJ701" s="468"/>
    </row>
    <row r="702" spans="1:36" ht="18" customHeight="1" x14ac:dyDescent="0.35">
      <c r="A702" s="468"/>
      <c r="B702" s="468"/>
      <c r="C702" s="468"/>
      <c r="D702" s="468"/>
      <c r="E702" s="468"/>
      <c r="F702" s="468"/>
      <c r="G702" s="468"/>
      <c r="H702" s="468"/>
      <c r="I702" s="468"/>
      <c r="J702" s="468"/>
      <c r="K702" s="468"/>
      <c r="L702" s="468"/>
      <c r="M702" s="468"/>
      <c r="N702" s="468"/>
      <c r="O702" s="468"/>
      <c r="P702" s="468"/>
      <c r="Q702" s="468"/>
      <c r="R702" s="468"/>
      <c r="S702" s="468"/>
      <c r="T702" s="468"/>
      <c r="U702" s="468"/>
      <c r="V702" s="468"/>
      <c r="W702" s="468"/>
      <c r="X702" s="468"/>
      <c r="Y702" s="468"/>
      <c r="Z702" s="468"/>
      <c r="AA702" s="468"/>
      <c r="AB702" s="468"/>
      <c r="AC702" s="468"/>
      <c r="AD702" s="468"/>
      <c r="AE702" s="468"/>
      <c r="AF702" s="468"/>
      <c r="AG702" s="468"/>
      <c r="AH702" s="468"/>
      <c r="AI702" s="468"/>
      <c r="AJ702" s="468"/>
    </row>
    <row r="703" spans="1:36" ht="18" customHeight="1" x14ac:dyDescent="0.35">
      <c r="A703" s="468"/>
      <c r="B703" s="468"/>
      <c r="C703" s="468"/>
      <c r="D703" s="468"/>
      <c r="E703" s="468"/>
      <c r="F703" s="468"/>
      <c r="G703" s="468"/>
      <c r="H703" s="468"/>
      <c r="I703" s="468"/>
      <c r="J703" s="468"/>
      <c r="K703" s="468"/>
      <c r="L703" s="468"/>
      <c r="M703" s="468"/>
      <c r="N703" s="468"/>
      <c r="O703" s="468"/>
      <c r="P703" s="468"/>
      <c r="Q703" s="468"/>
      <c r="R703" s="468"/>
      <c r="S703" s="468"/>
      <c r="T703" s="468"/>
      <c r="U703" s="468"/>
      <c r="V703" s="468"/>
      <c r="W703" s="468"/>
      <c r="X703" s="468"/>
      <c r="Y703" s="468"/>
      <c r="Z703" s="468"/>
      <c r="AA703" s="468"/>
      <c r="AB703" s="468"/>
      <c r="AC703" s="468"/>
      <c r="AD703" s="468"/>
      <c r="AE703" s="468"/>
      <c r="AF703" s="468"/>
      <c r="AG703" s="468"/>
      <c r="AH703" s="468"/>
      <c r="AI703" s="468"/>
      <c r="AJ703" s="468"/>
    </row>
    <row r="704" spans="1:36" ht="18" customHeight="1" x14ac:dyDescent="0.35">
      <c r="A704" s="468"/>
      <c r="B704" s="468"/>
      <c r="C704" s="468"/>
      <c r="D704" s="468"/>
      <c r="E704" s="468"/>
      <c r="F704" s="468"/>
      <c r="G704" s="468"/>
      <c r="H704" s="468"/>
      <c r="I704" s="468"/>
      <c r="J704" s="468"/>
      <c r="K704" s="468"/>
      <c r="L704" s="468"/>
      <c r="M704" s="468"/>
      <c r="N704" s="468"/>
      <c r="O704" s="468"/>
      <c r="P704" s="468"/>
      <c r="Q704" s="468"/>
      <c r="R704" s="468"/>
      <c r="S704" s="468"/>
      <c r="T704" s="468"/>
      <c r="U704" s="468"/>
      <c r="V704" s="468"/>
      <c r="W704" s="468"/>
      <c r="X704" s="468"/>
      <c r="Y704" s="468"/>
      <c r="Z704" s="468"/>
      <c r="AA704" s="468"/>
      <c r="AB704" s="468"/>
      <c r="AC704" s="468"/>
      <c r="AD704" s="468"/>
      <c r="AE704" s="468"/>
      <c r="AF704" s="468"/>
      <c r="AG704" s="468"/>
      <c r="AH704" s="468"/>
      <c r="AI704" s="468"/>
      <c r="AJ704" s="468"/>
    </row>
    <row r="705" spans="1:36" ht="18" customHeight="1" x14ac:dyDescent="0.35">
      <c r="A705" s="468"/>
      <c r="B705" s="468"/>
      <c r="C705" s="468"/>
      <c r="D705" s="468"/>
      <c r="E705" s="468"/>
      <c r="F705" s="468"/>
      <c r="G705" s="468"/>
      <c r="H705" s="468"/>
      <c r="I705" s="468"/>
      <c r="J705" s="468"/>
      <c r="K705" s="468"/>
      <c r="L705" s="468"/>
      <c r="M705" s="468"/>
      <c r="N705" s="468"/>
      <c r="O705" s="468"/>
      <c r="P705" s="468"/>
      <c r="Q705" s="468"/>
      <c r="R705" s="468"/>
      <c r="S705" s="468"/>
      <c r="T705" s="468"/>
      <c r="U705" s="468"/>
      <c r="V705" s="468"/>
      <c r="W705" s="468"/>
      <c r="X705" s="468"/>
      <c r="Y705" s="468"/>
      <c r="Z705" s="468"/>
      <c r="AA705" s="468"/>
      <c r="AB705" s="468"/>
      <c r="AC705" s="468"/>
      <c r="AD705" s="468"/>
      <c r="AE705" s="468"/>
      <c r="AF705" s="468"/>
      <c r="AG705" s="468"/>
      <c r="AH705" s="468"/>
      <c r="AI705" s="468"/>
      <c r="AJ705" s="468"/>
    </row>
    <row r="706" spans="1:36" ht="18" customHeight="1" x14ac:dyDescent="0.35">
      <c r="A706" s="468"/>
      <c r="B706" s="468"/>
      <c r="C706" s="468"/>
      <c r="D706" s="468"/>
      <c r="E706" s="468"/>
      <c r="F706" s="468"/>
      <c r="G706" s="468"/>
      <c r="H706" s="468"/>
      <c r="I706" s="468"/>
      <c r="J706" s="468"/>
      <c r="K706" s="468"/>
      <c r="L706" s="468"/>
      <c r="M706" s="468"/>
      <c r="N706" s="468"/>
      <c r="O706" s="468"/>
      <c r="P706" s="468"/>
      <c r="Q706" s="468"/>
      <c r="R706" s="468"/>
      <c r="S706" s="468"/>
      <c r="T706" s="468"/>
      <c r="U706" s="468"/>
      <c r="V706" s="468"/>
      <c r="W706" s="468"/>
      <c r="X706" s="468"/>
      <c r="Y706" s="468"/>
      <c r="Z706" s="468"/>
      <c r="AA706" s="468"/>
      <c r="AB706" s="468"/>
      <c r="AC706" s="468"/>
      <c r="AD706" s="468"/>
      <c r="AE706" s="468"/>
      <c r="AF706" s="468"/>
      <c r="AG706" s="468"/>
      <c r="AH706" s="468"/>
      <c r="AI706" s="468"/>
      <c r="AJ706" s="468"/>
    </row>
    <row r="707" spans="1:36" ht="18" customHeight="1" x14ac:dyDescent="0.35">
      <c r="A707" s="468"/>
      <c r="B707" s="468"/>
      <c r="C707" s="468"/>
      <c r="D707" s="468"/>
      <c r="E707" s="468"/>
      <c r="F707" s="468"/>
      <c r="G707" s="468"/>
      <c r="H707" s="468"/>
      <c r="I707" s="468"/>
      <c r="J707" s="468"/>
      <c r="K707" s="468"/>
      <c r="L707" s="468"/>
      <c r="M707" s="468"/>
      <c r="N707" s="468"/>
      <c r="O707" s="468"/>
      <c r="P707" s="468"/>
      <c r="Q707" s="468"/>
      <c r="R707" s="468"/>
      <c r="S707" s="468"/>
      <c r="T707" s="468"/>
      <c r="U707" s="468"/>
      <c r="V707" s="468"/>
      <c r="W707" s="468"/>
      <c r="X707" s="468"/>
      <c r="Y707" s="468"/>
      <c r="Z707" s="468"/>
      <c r="AA707" s="468"/>
      <c r="AB707" s="468"/>
      <c r="AC707" s="468"/>
      <c r="AD707" s="468"/>
      <c r="AE707" s="468"/>
      <c r="AF707" s="468"/>
      <c r="AG707" s="468"/>
      <c r="AH707" s="468"/>
      <c r="AI707" s="468"/>
      <c r="AJ707" s="468"/>
    </row>
    <row r="708" spans="1:36" ht="18" customHeight="1" x14ac:dyDescent="0.35">
      <c r="A708" s="468"/>
      <c r="B708" s="468"/>
      <c r="C708" s="468"/>
      <c r="D708" s="468"/>
      <c r="E708" s="468"/>
      <c r="F708" s="468"/>
      <c r="G708" s="468"/>
      <c r="H708" s="468"/>
      <c r="I708" s="468"/>
      <c r="J708" s="468"/>
      <c r="K708" s="468"/>
      <c r="L708" s="468"/>
      <c r="M708" s="468"/>
      <c r="N708" s="468"/>
      <c r="O708" s="468"/>
      <c r="P708" s="468"/>
      <c r="Q708" s="468"/>
      <c r="R708" s="468"/>
      <c r="S708" s="468"/>
      <c r="T708" s="468"/>
      <c r="U708" s="468"/>
      <c r="V708" s="468"/>
      <c r="W708" s="468"/>
      <c r="X708" s="468"/>
      <c r="Y708" s="468"/>
      <c r="Z708" s="468"/>
      <c r="AA708" s="468"/>
      <c r="AB708" s="468"/>
      <c r="AC708" s="468"/>
      <c r="AD708" s="468"/>
      <c r="AE708" s="468"/>
      <c r="AF708" s="468"/>
      <c r="AG708" s="468"/>
      <c r="AH708" s="468"/>
      <c r="AI708" s="468"/>
      <c r="AJ708" s="468"/>
    </row>
    <row r="709" spans="1:36" ht="18" customHeight="1" x14ac:dyDescent="0.35">
      <c r="A709" s="468"/>
      <c r="B709" s="468"/>
      <c r="C709" s="468"/>
      <c r="D709" s="468"/>
      <c r="E709" s="468"/>
      <c r="F709" s="468"/>
      <c r="G709" s="468"/>
      <c r="H709" s="468"/>
      <c r="I709" s="468"/>
      <c r="J709" s="468"/>
      <c r="K709" s="468"/>
      <c r="L709" s="468"/>
      <c r="M709" s="468"/>
      <c r="N709" s="468"/>
      <c r="O709" s="468"/>
      <c r="P709" s="468"/>
      <c r="Q709" s="468"/>
      <c r="R709" s="468"/>
      <c r="S709" s="468"/>
      <c r="T709" s="468"/>
      <c r="U709" s="468"/>
      <c r="V709" s="468"/>
      <c r="W709" s="468"/>
      <c r="X709" s="468"/>
      <c r="Y709" s="468"/>
      <c r="Z709" s="468"/>
      <c r="AA709" s="468"/>
      <c r="AB709" s="468"/>
      <c r="AC709" s="468"/>
      <c r="AD709" s="468"/>
      <c r="AE709" s="468"/>
      <c r="AF709" s="468"/>
      <c r="AG709" s="468"/>
      <c r="AH709" s="468"/>
      <c r="AI709" s="468"/>
      <c r="AJ709" s="468"/>
    </row>
    <row r="710" spans="1:36" ht="18" customHeight="1" x14ac:dyDescent="0.35">
      <c r="A710" s="468"/>
      <c r="B710" s="468"/>
      <c r="C710" s="468"/>
      <c r="D710" s="468"/>
      <c r="E710" s="468"/>
      <c r="F710" s="468"/>
      <c r="G710" s="468"/>
      <c r="H710" s="468"/>
      <c r="I710" s="468"/>
      <c r="J710" s="468"/>
      <c r="K710" s="468"/>
      <c r="L710" s="468"/>
      <c r="M710" s="468"/>
      <c r="N710" s="468"/>
      <c r="O710" s="468"/>
      <c r="P710" s="468"/>
      <c r="Q710" s="468"/>
      <c r="R710" s="468"/>
      <c r="S710" s="468"/>
      <c r="T710" s="468"/>
      <c r="U710" s="468"/>
      <c r="V710" s="468"/>
      <c r="W710" s="468"/>
      <c r="X710" s="468"/>
      <c r="Y710" s="468"/>
      <c r="Z710" s="468"/>
      <c r="AA710" s="468"/>
      <c r="AB710" s="468"/>
      <c r="AC710" s="468"/>
      <c r="AD710" s="468"/>
      <c r="AE710" s="468"/>
      <c r="AF710" s="468"/>
      <c r="AG710" s="468"/>
      <c r="AH710" s="468"/>
      <c r="AI710" s="468"/>
      <c r="AJ710" s="468"/>
    </row>
    <row r="711" spans="1:36" ht="18" customHeight="1" x14ac:dyDescent="0.35">
      <c r="A711" s="468"/>
      <c r="B711" s="468"/>
      <c r="C711" s="468"/>
      <c r="D711" s="468"/>
      <c r="E711" s="468"/>
      <c r="F711" s="468"/>
      <c r="G711" s="468"/>
      <c r="H711" s="468"/>
      <c r="I711" s="468"/>
      <c r="J711" s="468"/>
      <c r="K711" s="468"/>
      <c r="L711" s="468"/>
      <c r="M711" s="468"/>
      <c r="N711" s="468"/>
      <c r="O711" s="468"/>
      <c r="P711" s="468"/>
      <c r="Q711" s="468"/>
      <c r="R711" s="468"/>
      <c r="S711" s="468"/>
      <c r="T711" s="468"/>
      <c r="U711" s="468"/>
      <c r="V711" s="468"/>
      <c r="W711" s="468"/>
      <c r="X711" s="468"/>
      <c r="Y711" s="468"/>
      <c r="Z711" s="468"/>
      <c r="AA711" s="468"/>
      <c r="AB711" s="468"/>
      <c r="AC711" s="468"/>
      <c r="AD711" s="468"/>
      <c r="AE711" s="468"/>
      <c r="AF711" s="468"/>
      <c r="AG711" s="468"/>
      <c r="AH711" s="468"/>
      <c r="AI711" s="468"/>
      <c r="AJ711" s="468"/>
    </row>
    <row r="712" spans="1:36" ht="18" customHeight="1" x14ac:dyDescent="0.35">
      <c r="A712" s="468"/>
      <c r="B712" s="468"/>
      <c r="C712" s="468"/>
      <c r="D712" s="468"/>
      <c r="E712" s="468"/>
      <c r="F712" s="468"/>
      <c r="G712" s="468"/>
      <c r="H712" s="468"/>
      <c r="I712" s="468"/>
      <c r="J712" s="468"/>
      <c r="K712" s="468"/>
      <c r="L712" s="468"/>
      <c r="M712" s="468"/>
      <c r="N712" s="468"/>
      <c r="O712" s="468"/>
      <c r="P712" s="468"/>
      <c r="Q712" s="468"/>
      <c r="R712" s="468"/>
      <c r="S712" s="468"/>
      <c r="T712" s="468"/>
      <c r="U712" s="468"/>
      <c r="V712" s="468"/>
      <c r="W712" s="468"/>
      <c r="X712" s="468"/>
      <c r="Y712" s="468"/>
      <c r="Z712" s="468"/>
      <c r="AA712" s="468"/>
      <c r="AB712" s="468"/>
      <c r="AC712" s="468"/>
      <c r="AD712" s="468"/>
      <c r="AE712" s="468"/>
      <c r="AF712" s="468"/>
      <c r="AG712" s="468"/>
      <c r="AH712" s="468"/>
      <c r="AI712" s="468"/>
      <c r="AJ712" s="468"/>
    </row>
    <row r="713" spans="1:36" ht="18" customHeight="1" x14ac:dyDescent="0.35">
      <c r="A713" s="468"/>
      <c r="B713" s="468"/>
      <c r="C713" s="468"/>
      <c r="D713" s="468"/>
      <c r="E713" s="468"/>
      <c r="F713" s="468"/>
      <c r="G713" s="468"/>
      <c r="H713" s="468"/>
      <c r="I713" s="468"/>
      <c r="J713" s="468"/>
      <c r="K713" s="468"/>
      <c r="L713" s="468"/>
      <c r="M713" s="468"/>
      <c r="N713" s="468"/>
      <c r="O713" s="468"/>
      <c r="P713" s="468"/>
      <c r="Q713" s="468"/>
      <c r="R713" s="468"/>
      <c r="S713" s="468"/>
      <c r="T713" s="468"/>
      <c r="U713" s="468"/>
      <c r="V713" s="468"/>
      <c r="W713" s="468"/>
      <c r="X713" s="468"/>
      <c r="Y713" s="468"/>
      <c r="Z713" s="468"/>
      <c r="AA713" s="468"/>
      <c r="AB713" s="468"/>
      <c r="AC713" s="468"/>
      <c r="AD713" s="468"/>
      <c r="AE713" s="468"/>
      <c r="AF713" s="468"/>
      <c r="AG713" s="468"/>
      <c r="AH713" s="468"/>
      <c r="AI713" s="468"/>
      <c r="AJ713" s="468"/>
    </row>
    <row r="714" spans="1:36" ht="18" customHeight="1" x14ac:dyDescent="0.35">
      <c r="A714" s="468"/>
      <c r="B714" s="468"/>
      <c r="C714" s="468"/>
      <c r="D714" s="468"/>
      <c r="E714" s="468"/>
      <c r="F714" s="468"/>
      <c r="G714" s="468"/>
      <c r="H714" s="468"/>
      <c r="I714" s="468"/>
      <c r="J714" s="468"/>
      <c r="K714" s="468"/>
      <c r="L714" s="468"/>
      <c r="M714" s="468"/>
      <c r="N714" s="468"/>
      <c r="O714" s="468"/>
      <c r="P714" s="468"/>
      <c r="Q714" s="468"/>
      <c r="R714" s="468"/>
      <c r="S714" s="468"/>
      <c r="T714" s="468"/>
      <c r="U714" s="468"/>
      <c r="V714" s="468"/>
      <c r="W714" s="468"/>
      <c r="X714" s="468"/>
      <c r="Y714" s="468"/>
      <c r="Z714" s="468"/>
      <c r="AA714" s="468"/>
      <c r="AB714" s="468"/>
      <c r="AC714" s="468"/>
      <c r="AD714" s="468"/>
      <c r="AE714" s="468"/>
      <c r="AF714" s="468"/>
      <c r="AG714" s="468"/>
      <c r="AH714" s="468"/>
      <c r="AI714" s="468"/>
      <c r="AJ714" s="468"/>
    </row>
    <row r="715" spans="1:36" ht="18" customHeight="1" x14ac:dyDescent="0.35">
      <c r="A715" s="468"/>
      <c r="B715" s="468"/>
      <c r="C715" s="468"/>
      <c r="D715" s="468"/>
      <c r="E715" s="468"/>
      <c r="F715" s="468"/>
      <c r="G715" s="468"/>
      <c r="H715" s="468"/>
      <c r="I715" s="468"/>
      <c r="J715" s="468"/>
      <c r="K715" s="468"/>
      <c r="L715" s="468"/>
      <c r="M715" s="468"/>
      <c r="N715" s="468"/>
      <c r="O715" s="468"/>
      <c r="P715" s="468"/>
      <c r="Q715" s="468"/>
      <c r="R715" s="468"/>
      <c r="S715" s="468"/>
      <c r="T715" s="468"/>
      <c r="U715" s="468"/>
      <c r="V715" s="468"/>
      <c r="W715" s="468"/>
      <c r="X715" s="468"/>
      <c r="Y715" s="468"/>
      <c r="Z715" s="468"/>
      <c r="AA715" s="468"/>
      <c r="AB715" s="468"/>
      <c r="AC715" s="468"/>
      <c r="AD715" s="468"/>
      <c r="AE715" s="468"/>
      <c r="AF715" s="468"/>
      <c r="AG715" s="468"/>
      <c r="AH715" s="468"/>
      <c r="AI715" s="468"/>
      <c r="AJ715" s="468"/>
    </row>
    <row r="716" spans="1:36" ht="18" customHeight="1" x14ac:dyDescent="0.35">
      <c r="A716" s="468"/>
      <c r="B716" s="468"/>
      <c r="C716" s="468"/>
      <c r="D716" s="468"/>
      <c r="E716" s="468"/>
      <c r="F716" s="468"/>
      <c r="G716" s="468"/>
      <c r="H716" s="468"/>
      <c r="I716" s="468"/>
      <c r="J716" s="468"/>
      <c r="K716" s="468"/>
      <c r="L716" s="468"/>
      <c r="M716" s="468"/>
      <c r="N716" s="468"/>
      <c r="O716" s="468"/>
      <c r="P716" s="468"/>
      <c r="Q716" s="468"/>
      <c r="R716" s="468"/>
      <c r="S716" s="468"/>
      <c r="T716" s="468"/>
      <c r="U716" s="468"/>
      <c r="V716" s="468"/>
      <c r="W716" s="468"/>
      <c r="X716" s="468"/>
      <c r="Y716" s="468"/>
      <c r="Z716" s="468"/>
      <c r="AA716" s="468"/>
      <c r="AB716" s="468"/>
      <c r="AC716" s="468"/>
      <c r="AD716" s="468"/>
      <c r="AE716" s="468"/>
      <c r="AF716" s="468"/>
      <c r="AG716" s="468"/>
      <c r="AH716" s="468"/>
      <c r="AI716" s="468"/>
      <c r="AJ716" s="468"/>
    </row>
    <row r="717" spans="1:36" ht="18" customHeight="1" x14ac:dyDescent="0.35">
      <c r="A717" s="468"/>
      <c r="B717" s="468"/>
      <c r="C717" s="468"/>
      <c r="D717" s="468"/>
      <c r="E717" s="468"/>
      <c r="F717" s="468"/>
      <c r="G717" s="468"/>
      <c r="H717" s="468"/>
      <c r="I717" s="468"/>
      <c r="J717" s="468"/>
      <c r="K717" s="468"/>
      <c r="L717" s="468"/>
      <c r="M717" s="468"/>
      <c r="N717" s="468"/>
      <c r="O717" s="468"/>
      <c r="P717" s="468"/>
      <c r="Q717" s="468"/>
      <c r="R717" s="468"/>
      <c r="S717" s="468"/>
      <c r="T717" s="468"/>
      <c r="U717" s="468"/>
      <c r="V717" s="468"/>
      <c r="W717" s="468"/>
      <c r="X717" s="468"/>
      <c r="Y717" s="468"/>
      <c r="Z717" s="468"/>
      <c r="AA717" s="468"/>
      <c r="AB717" s="468"/>
      <c r="AC717" s="468"/>
      <c r="AD717" s="468"/>
      <c r="AE717" s="468"/>
      <c r="AF717" s="468"/>
      <c r="AG717" s="468"/>
      <c r="AH717" s="468"/>
      <c r="AI717" s="468"/>
      <c r="AJ717" s="468"/>
    </row>
    <row r="718" spans="1:36" ht="18" customHeight="1" x14ac:dyDescent="0.35">
      <c r="A718" s="468"/>
      <c r="B718" s="468"/>
      <c r="C718" s="468"/>
      <c r="D718" s="468"/>
      <c r="E718" s="468"/>
      <c r="F718" s="468"/>
      <c r="G718" s="468"/>
      <c r="H718" s="468"/>
      <c r="I718" s="468"/>
      <c r="J718" s="468"/>
      <c r="K718" s="468"/>
      <c r="L718" s="468"/>
      <c r="M718" s="468"/>
      <c r="N718" s="468"/>
      <c r="O718" s="468"/>
      <c r="P718" s="468"/>
      <c r="Q718" s="468"/>
      <c r="R718" s="468"/>
      <c r="S718" s="468"/>
      <c r="T718" s="468"/>
      <c r="U718" s="468"/>
      <c r="V718" s="468"/>
      <c r="W718" s="468"/>
      <c r="X718" s="468"/>
      <c r="Y718" s="468"/>
      <c r="Z718" s="468"/>
      <c r="AA718" s="468"/>
      <c r="AB718" s="468"/>
      <c r="AC718" s="468"/>
      <c r="AD718" s="468"/>
      <c r="AE718" s="468"/>
      <c r="AF718" s="468"/>
      <c r="AG718" s="468"/>
      <c r="AH718" s="468"/>
      <c r="AI718" s="468"/>
      <c r="AJ718" s="468"/>
    </row>
    <row r="719" spans="1:36" ht="18" customHeight="1" x14ac:dyDescent="0.35">
      <c r="A719" s="468"/>
      <c r="B719" s="468"/>
      <c r="C719" s="468"/>
      <c r="D719" s="468"/>
      <c r="E719" s="468"/>
      <c r="F719" s="468"/>
      <c r="G719" s="468"/>
      <c r="H719" s="468"/>
      <c r="I719" s="468"/>
      <c r="J719" s="468"/>
      <c r="K719" s="468"/>
      <c r="L719" s="468"/>
      <c r="M719" s="468"/>
      <c r="N719" s="468"/>
      <c r="O719" s="468"/>
      <c r="P719" s="468"/>
      <c r="Q719" s="468"/>
      <c r="R719" s="468"/>
      <c r="S719" s="468"/>
      <c r="T719" s="468"/>
      <c r="U719" s="468"/>
      <c r="V719" s="468"/>
      <c r="W719" s="468"/>
      <c r="X719" s="468"/>
      <c r="Y719" s="468"/>
      <c r="Z719" s="468"/>
      <c r="AA719" s="468"/>
      <c r="AB719" s="468"/>
      <c r="AC719" s="468"/>
      <c r="AD719" s="468"/>
      <c r="AE719" s="468"/>
      <c r="AF719" s="468"/>
      <c r="AG719" s="468"/>
      <c r="AH719" s="468"/>
      <c r="AI719" s="468"/>
      <c r="AJ719" s="468"/>
    </row>
    <row r="720" spans="1:36" ht="18" customHeight="1" x14ac:dyDescent="0.35">
      <c r="A720" s="468"/>
      <c r="B720" s="468"/>
      <c r="C720" s="468"/>
      <c r="D720" s="468"/>
      <c r="E720" s="468"/>
      <c r="F720" s="468"/>
      <c r="G720" s="468"/>
      <c r="H720" s="468"/>
      <c r="I720" s="468"/>
      <c r="J720" s="468"/>
      <c r="K720" s="468"/>
      <c r="L720" s="468"/>
      <c r="M720" s="468"/>
      <c r="N720" s="468"/>
      <c r="O720" s="468"/>
      <c r="P720" s="468"/>
      <c r="Q720" s="468"/>
      <c r="R720" s="468"/>
      <c r="S720" s="468"/>
      <c r="T720" s="468"/>
      <c r="U720" s="468"/>
      <c r="V720" s="468"/>
      <c r="W720" s="468"/>
      <c r="X720" s="468"/>
      <c r="Y720" s="468"/>
      <c r="Z720" s="468"/>
      <c r="AA720" s="468"/>
      <c r="AB720" s="468"/>
      <c r="AC720" s="468"/>
      <c r="AD720" s="468"/>
      <c r="AE720" s="468"/>
      <c r="AF720" s="468"/>
      <c r="AG720" s="468"/>
      <c r="AH720" s="468"/>
      <c r="AI720" s="468"/>
      <c r="AJ720" s="468"/>
    </row>
    <row r="721" spans="1:36" ht="18" customHeight="1" x14ac:dyDescent="0.35">
      <c r="A721" s="468"/>
      <c r="B721" s="468"/>
      <c r="C721" s="468"/>
      <c r="D721" s="468"/>
      <c r="E721" s="468"/>
      <c r="F721" s="468"/>
      <c r="G721" s="468"/>
      <c r="H721" s="468"/>
      <c r="I721" s="468"/>
      <c r="J721" s="468"/>
      <c r="K721" s="468"/>
      <c r="L721" s="468"/>
      <c r="M721" s="468"/>
      <c r="N721" s="468"/>
      <c r="O721" s="468"/>
      <c r="P721" s="468"/>
      <c r="Q721" s="468"/>
      <c r="R721" s="468"/>
      <c r="S721" s="468"/>
      <c r="T721" s="468"/>
      <c r="U721" s="468"/>
      <c r="V721" s="468"/>
      <c r="W721" s="468"/>
      <c r="X721" s="468"/>
      <c r="Y721" s="468"/>
      <c r="Z721" s="468"/>
      <c r="AA721" s="468"/>
      <c r="AB721" s="468"/>
      <c r="AC721" s="468"/>
      <c r="AD721" s="468"/>
      <c r="AE721" s="468"/>
      <c r="AF721" s="468"/>
      <c r="AG721" s="468"/>
      <c r="AH721" s="468"/>
      <c r="AI721" s="468"/>
      <c r="AJ721" s="468"/>
    </row>
    <row r="722" spans="1:36" ht="18" customHeight="1" x14ac:dyDescent="0.35">
      <c r="A722" s="468"/>
      <c r="B722" s="468"/>
      <c r="C722" s="468"/>
      <c r="D722" s="468"/>
      <c r="E722" s="468"/>
      <c r="F722" s="468"/>
      <c r="G722" s="468"/>
      <c r="H722" s="468"/>
      <c r="I722" s="468"/>
      <c r="J722" s="468"/>
      <c r="K722" s="468"/>
      <c r="L722" s="468"/>
      <c r="M722" s="468"/>
      <c r="N722" s="468"/>
      <c r="O722" s="468"/>
      <c r="P722" s="468"/>
      <c r="Q722" s="468"/>
      <c r="R722" s="468"/>
      <c r="S722" s="468"/>
      <c r="T722" s="468"/>
      <c r="U722" s="468"/>
      <c r="V722" s="468"/>
      <c r="W722" s="468"/>
      <c r="X722" s="468"/>
      <c r="Y722" s="468"/>
      <c r="Z722" s="468"/>
      <c r="AA722" s="468"/>
      <c r="AB722" s="468"/>
      <c r="AC722" s="468"/>
      <c r="AD722" s="468"/>
      <c r="AE722" s="468"/>
      <c r="AF722" s="468"/>
      <c r="AG722" s="468"/>
      <c r="AH722" s="468"/>
      <c r="AI722" s="468"/>
      <c r="AJ722" s="468"/>
    </row>
    <row r="723" spans="1:36" ht="18" customHeight="1" x14ac:dyDescent="0.35">
      <c r="A723" s="468"/>
      <c r="B723" s="468"/>
      <c r="C723" s="468"/>
      <c r="D723" s="468"/>
      <c r="E723" s="468"/>
      <c r="F723" s="468"/>
      <c r="G723" s="468"/>
      <c r="H723" s="468"/>
      <c r="I723" s="468"/>
      <c r="J723" s="468"/>
      <c r="K723" s="468"/>
      <c r="L723" s="468"/>
      <c r="M723" s="468"/>
      <c r="N723" s="468"/>
      <c r="O723" s="468"/>
      <c r="P723" s="468"/>
      <c r="Q723" s="468"/>
      <c r="R723" s="468"/>
      <c r="S723" s="468"/>
      <c r="T723" s="468"/>
      <c r="U723" s="468"/>
      <c r="V723" s="468"/>
      <c r="W723" s="468"/>
      <c r="X723" s="468"/>
      <c r="Y723" s="468"/>
      <c r="Z723" s="468"/>
      <c r="AA723" s="468"/>
      <c r="AB723" s="468"/>
      <c r="AC723" s="468"/>
      <c r="AD723" s="468"/>
      <c r="AE723" s="468"/>
      <c r="AF723" s="468"/>
      <c r="AG723" s="468"/>
      <c r="AH723" s="468"/>
      <c r="AI723" s="468"/>
      <c r="AJ723" s="468"/>
    </row>
    <row r="724" spans="1:36" ht="18" customHeight="1" x14ac:dyDescent="0.35">
      <c r="A724" s="468"/>
      <c r="B724" s="468"/>
      <c r="C724" s="468"/>
      <c r="D724" s="468"/>
      <c r="E724" s="468"/>
      <c r="F724" s="468"/>
      <c r="G724" s="468"/>
      <c r="H724" s="468"/>
      <c r="I724" s="468"/>
      <c r="J724" s="468"/>
      <c r="K724" s="468"/>
      <c r="L724" s="468"/>
      <c r="M724" s="468"/>
      <c r="N724" s="468"/>
      <c r="O724" s="468"/>
      <c r="P724" s="468"/>
      <c r="Q724" s="468"/>
      <c r="R724" s="468"/>
      <c r="S724" s="468"/>
      <c r="T724" s="468"/>
      <c r="U724" s="468"/>
      <c r="V724" s="468"/>
      <c r="W724" s="468"/>
      <c r="X724" s="468"/>
      <c r="Y724" s="468"/>
      <c r="Z724" s="468"/>
      <c r="AA724" s="468"/>
      <c r="AB724" s="468"/>
      <c r="AC724" s="468"/>
      <c r="AD724" s="468"/>
      <c r="AE724" s="468"/>
      <c r="AF724" s="468"/>
      <c r="AG724" s="468"/>
      <c r="AH724" s="468"/>
      <c r="AI724" s="468"/>
      <c r="AJ724" s="468"/>
    </row>
    <row r="725" spans="1:36" ht="18" customHeight="1" x14ac:dyDescent="0.35">
      <c r="A725" s="468"/>
      <c r="B725" s="468"/>
      <c r="C725" s="468"/>
      <c r="D725" s="468"/>
      <c r="E725" s="468"/>
      <c r="F725" s="468"/>
      <c r="G725" s="468"/>
      <c r="H725" s="468"/>
      <c r="I725" s="468"/>
      <c r="J725" s="468"/>
      <c r="K725" s="468"/>
      <c r="L725" s="468"/>
      <c r="M725" s="468"/>
      <c r="N725" s="468"/>
      <c r="O725" s="468"/>
      <c r="P725" s="468"/>
      <c r="Q725" s="468"/>
      <c r="R725" s="468"/>
      <c r="S725" s="468"/>
      <c r="T725" s="468"/>
      <c r="U725" s="468"/>
      <c r="V725" s="468"/>
      <c r="W725" s="468"/>
      <c r="X725" s="468"/>
      <c r="Y725" s="468"/>
      <c r="Z725" s="468"/>
      <c r="AA725" s="468"/>
      <c r="AB725" s="468"/>
      <c r="AC725" s="468"/>
      <c r="AD725" s="468"/>
      <c r="AE725" s="468"/>
      <c r="AF725" s="468"/>
      <c r="AG725" s="468"/>
      <c r="AH725" s="468"/>
      <c r="AI725" s="468"/>
      <c r="AJ725" s="468"/>
    </row>
    <row r="726" spans="1:36" ht="18" customHeight="1" x14ac:dyDescent="0.35">
      <c r="A726" s="468"/>
      <c r="B726" s="468"/>
      <c r="C726" s="468"/>
      <c r="D726" s="468"/>
      <c r="E726" s="468"/>
      <c r="F726" s="468"/>
      <c r="G726" s="468"/>
      <c r="H726" s="468"/>
      <c r="I726" s="468"/>
      <c r="J726" s="468"/>
      <c r="K726" s="468"/>
      <c r="L726" s="468"/>
      <c r="M726" s="468"/>
      <c r="N726" s="468"/>
      <c r="O726" s="468"/>
      <c r="P726" s="468"/>
      <c r="Q726" s="468"/>
      <c r="R726" s="468"/>
      <c r="S726" s="468"/>
      <c r="T726" s="468"/>
      <c r="U726" s="468"/>
      <c r="V726" s="468"/>
      <c r="W726" s="468"/>
      <c r="X726" s="468"/>
      <c r="Y726" s="468"/>
      <c r="Z726" s="468"/>
      <c r="AA726" s="468"/>
      <c r="AB726" s="468"/>
      <c r="AC726" s="468"/>
      <c r="AD726" s="468"/>
      <c r="AE726" s="468"/>
      <c r="AF726" s="468"/>
      <c r="AG726" s="468"/>
      <c r="AH726" s="468"/>
      <c r="AI726" s="468"/>
      <c r="AJ726" s="468"/>
    </row>
    <row r="727" spans="1:36" ht="18" customHeight="1" x14ac:dyDescent="0.35">
      <c r="A727" s="468"/>
      <c r="B727" s="468"/>
      <c r="C727" s="468"/>
      <c r="D727" s="468"/>
      <c r="E727" s="468"/>
      <c r="F727" s="468"/>
      <c r="G727" s="468"/>
      <c r="H727" s="468"/>
      <c r="I727" s="468"/>
      <c r="J727" s="468"/>
      <c r="K727" s="468"/>
      <c r="L727" s="468"/>
      <c r="M727" s="468"/>
      <c r="N727" s="468"/>
      <c r="O727" s="468"/>
      <c r="P727" s="468"/>
      <c r="Q727" s="468"/>
      <c r="R727" s="468"/>
      <c r="S727" s="468"/>
      <c r="T727" s="468"/>
      <c r="U727" s="468"/>
      <c r="V727" s="468"/>
      <c r="W727" s="468"/>
      <c r="X727" s="468"/>
      <c r="Y727" s="468"/>
      <c r="Z727" s="468"/>
      <c r="AA727" s="468"/>
      <c r="AB727" s="468"/>
      <c r="AC727" s="468"/>
      <c r="AD727" s="468"/>
      <c r="AE727" s="468"/>
      <c r="AF727" s="468"/>
      <c r="AG727" s="468"/>
      <c r="AH727" s="468"/>
      <c r="AI727" s="468"/>
      <c r="AJ727" s="468"/>
    </row>
    <row r="728" spans="1:36" ht="18" customHeight="1" x14ac:dyDescent="0.35">
      <c r="A728" s="468"/>
      <c r="B728" s="468"/>
      <c r="C728" s="468"/>
      <c r="D728" s="468"/>
      <c r="E728" s="468"/>
      <c r="F728" s="468"/>
      <c r="G728" s="468"/>
      <c r="H728" s="468"/>
      <c r="I728" s="468"/>
      <c r="J728" s="468"/>
      <c r="K728" s="468"/>
      <c r="L728" s="468"/>
      <c r="M728" s="468"/>
      <c r="N728" s="468"/>
      <c r="O728" s="468"/>
      <c r="P728" s="468"/>
      <c r="Q728" s="468"/>
      <c r="R728" s="468"/>
      <c r="S728" s="468"/>
      <c r="T728" s="468"/>
      <c r="U728" s="468"/>
      <c r="V728" s="468"/>
      <c r="W728" s="468"/>
      <c r="X728" s="468"/>
      <c r="Y728" s="468"/>
      <c r="Z728" s="468"/>
      <c r="AA728" s="468"/>
      <c r="AB728" s="468"/>
      <c r="AC728" s="468"/>
      <c r="AD728" s="468"/>
      <c r="AE728" s="468"/>
      <c r="AF728" s="468"/>
      <c r="AG728" s="468"/>
      <c r="AH728" s="468"/>
      <c r="AI728" s="468"/>
      <c r="AJ728" s="468"/>
    </row>
    <row r="729" spans="1:36" ht="18" customHeight="1" x14ac:dyDescent="0.35">
      <c r="A729" s="468"/>
      <c r="B729" s="468"/>
      <c r="C729" s="468"/>
      <c r="D729" s="468"/>
      <c r="E729" s="468"/>
      <c r="F729" s="468"/>
      <c r="G729" s="468"/>
      <c r="H729" s="468"/>
      <c r="I729" s="468"/>
      <c r="J729" s="468"/>
      <c r="K729" s="468"/>
      <c r="L729" s="468"/>
      <c r="M729" s="468"/>
      <c r="N729" s="468"/>
      <c r="O729" s="468"/>
      <c r="P729" s="468"/>
      <c r="Q729" s="468"/>
      <c r="R729" s="468"/>
      <c r="S729" s="468"/>
      <c r="T729" s="468"/>
      <c r="U729" s="468"/>
      <c r="V729" s="468"/>
      <c r="W729" s="468"/>
      <c r="X729" s="468"/>
      <c r="Y729" s="468"/>
      <c r="Z729" s="468"/>
      <c r="AA729" s="468"/>
      <c r="AB729" s="468"/>
      <c r="AC729" s="468"/>
      <c r="AD729" s="468"/>
      <c r="AE729" s="468"/>
      <c r="AF729" s="468"/>
      <c r="AG729" s="468"/>
      <c r="AH729" s="468"/>
      <c r="AI729" s="468"/>
      <c r="AJ729" s="468"/>
    </row>
    <row r="730" spans="1:36" ht="18" customHeight="1" x14ac:dyDescent="0.35">
      <c r="A730" s="468"/>
      <c r="B730" s="468"/>
      <c r="C730" s="468"/>
      <c r="D730" s="468"/>
      <c r="E730" s="468"/>
      <c r="F730" s="468"/>
      <c r="G730" s="468"/>
      <c r="H730" s="468"/>
      <c r="I730" s="468"/>
      <c r="J730" s="468"/>
      <c r="K730" s="468"/>
      <c r="L730" s="468"/>
      <c r="M730" s="468"/>
      <c r="N730" s="468"/>
      <c r="O730" s="468"/>
      <c r="P730" s="468"/>
      <c r="Q730" s="468"/>
      <c r="R730" s="468"/>
      <c r="S730" s="468"/>
      <c r="T730" s="468"/>
      <c r="U730" s="468"/>
      <c r="V730" s="468"/>
      <c r="W730" s="468"/>
      <c r="X730" s="468"/>
      <c r="Y730" s="468"/>
      <c r="Z730" s="468"/>
      <c r="AA730" s="468"/>
      <c r="AB730" s="468"/>
      <c r="AC730" s="468"/>
      <c r="AD730" s="468"/>
      <c r="AE730" s="468"/>
      <c r="AF730" s="468"/>
      <c r="AG730" s="468"/>
      <c r="AH730" s="468"/>
      <c r="AI730" s="468"/>
      <c r="AJ730" s="468"/>
    </row>
    <row r="731" spans="1:36" ht="18" customHeight="1" x14ac:dyDescent="0.35">
      <c r="A731" s="468"/>
      <c r="B731" s="468"/>
      <c r="C731" s="468"/>
      <c r="D731" s="468"/>
      <c r="E731" s="468"/>
      <c r="F731" s="468"/>
      <c r="G731" s="468"/>
      <c r="H731" s="468"/>
      <c r="I731" s="468"/>
      <c r="J731" s="468"/>
      <c r="K731" s="468"/>
      <c r="L731" s="468"/>
      <c r="M731" s="468"/>
      <c r="N731" s="468"/>
      <c r="O731" s="468"/>
      <c r="P731" s="468"/>
      <c r="Q731" s="468"/>
      <c r="R731" s="468"/>
      <c r="S731" s="468"/>
      <c r="T731" s="468"/>
      <c r="U731" s="468"/>
      <c r="V731" s="468"/>
      <c r="W731" s="468"/>
      <c r="X731" s="468"/>
      <c r="Y731" s="468"/>
      <c r="Z731" s="468"/>
      <c r="AA731" s="468"/>
      <c r="AB731" s="468"/>
      <c r="AC731" s="468"/>
      <c r="AD731" s="468"/>
      <c r="AE731" s="468"/>
      <c r="AF731" s="468"/>
      <c r="AG731" s="468"/>
      <c r="AH731" s="468"/>
      <c r="AI731" s="468"/>
      <c r="AJ731" s="468"/>
    </row>
    <row r="732" spans="1:36" ht="18" customHeight="1" x14ac:dyDescent="0.35">
      <c r="A732" s="468"/>
      <c r="B732" s="468"/>
      <c r="C732" s="468"/>
      <c r="D732" s="468"/>
      <c r="E732" s="468"/>
      <c r="F732" s="468"/>
      <c r="G732" s="468"/>
      <c r="H732" s="468"/>
      <c r="I732" s="468"/>
      <c r="J732" s="468"/>
      <c r="K732" s="468"/>
      <c r="L732" s="468"/>
      <c r="M732" s="468"/>
      <c r="N732" s="468"/>
      <c r="O732" s="468"/>
      <c r="P732" s="468"/>
      <c r="Q732" s="468"/>
      <c r="R732" s="468"/>
      <c r="S732" s="468"/>
      <c r="T732" s="468"/>
      <c r="U732" s="468"/>
      <c r="V732" s="468"/>
      <c r="W732" s="468"/>
      <c r="X732" s="468"/>
      <c r="Y732" s="468"/>
      <c r="Z732" s="468"/>
      <c r="AA732" s="468"/>
      <c r="AB732" s="468"/>
      <c r="AC732" s="468"/>
      <c r="AD732" s="468"/>
      <c r="AE732" s="468"/>
      <c r="AF732" s="468"/>
      <c r="AG732" s="468"/>
      <c r="AH732" s="468"/>
      <c r="AI732" s="468"/>
      <c r="AJ732" s="468"/>
    </row>
    <row r="733" spans="1:36" ht="18" customHeight="1" x14ac:dyDescent="0.35">
      <c r="A733" s="468"/>
      <c r="B733" s="468"/>
      <c r="C733" s="468"/>
      <c r="D733" s="468"/>
      <c r="E733" s="468"/>
      <c r="F733" s="468"/>
      <c r="G733" s="468"/>
      <c r="H733" s="468"/>
      <c r="I733" s="468"/>
      <c r="J733" s="468"/>
      <c r="K733" s="468"/>
      <c r="L733" s="468"/>
      <c r="M733" s="468"/>
      <c r="N733" s="468"/>
      <c r="O733" s="468"/>
      <c r="P733" s="468"/>
      <c r="Q733" s="468"/>
      <c r="R733" s="468"/>
      <c r="S733" s="468"/>
      <c r="T733" s="468"/>
      <c r="U733" s="468"/>
      <c r="V733" s="468"/>
      <c r="W733" s="468"/>
      <c r="X733" s="468"/>
      <c r="Y733" s="468"/>
      <c r="Z733" s="468"/>
      <c r="AA733" s="468"/>
      <c r="AB733" s="468"/>
      <c r="AC733" s="468"/>
      <c r="AD733" s="468"/>
      <c r="AE733" s="468"/>
      <c r="AF733" s="468"/>
      <c r="AG733" s="468"/>
      <c r="AH733" s="468"/>
      <c r="AI733" s="468"/>
      <c r="AJ733" s="468"/>
    </row>
    <row r="734" spans="1:36" ht="18" customHeight="1" x14ac:dyDescent="0.35">
      <c r="A734" s="468"/>
      <c r="B734" s="468"/>
      <c r="C734" s="468"/>
      <c r="D734" s="468"/>
      <c r="E734" s="468"/>
      <c r="F734" s="468"/>
      <c r="G734" s="468"/>
      <c r="H734" s="468"/>
      <c r="I734" s="468"/>
      <c r="J734" s="468"/>
      <c r="K734" s="468"/>
      <c r="L734" s="468"/>
      <c r="M734" s="468"/>
      <c r="N734" s="468"/>
      <c r="O734" s="468"/>
      <c r="P734" s="468"/>
      <c r="Q734" s="468"/>
      <c r="R734" s="468"/>
      <c r="S734" s="468"/>
      <c r="T734" s="468"/>
      <c r="U734" s="468"/>
      <c r="V734" s="468"/>
      <c r="W734" s="468"/>
      <c r="X734" s="468"/>
      <c r="Y734" s="468"/>
      <c r="Z734" s="468"/>
      <c r="AA734" s="468"/>
      <c r="AB734" s="468"/>
      <c r="AC734" s="468"/>
      <c r="AD734" s="468"/>
      <c r="AE734" s="468"/>
      <c r="AF734" s="468"/>
      <c r="AG734" s="468"/>
      <c r="AH734" s="468"/>
      <c r="AI734" s="468"/>
      <c r="AJ734" s="468"/>
    </row>
    <row r="735" spans="1:36" ht="18" customHeight="1" x14ac:dyDescent="0.35">
      <c r="A735" s="468"/>
      <c r="B735" s="468"/>
      <c r="C735" s="468"/>
      <c r="D735" s="468"/>
      <c r="E735" s="468"/>
      <c r="F735" s="468"/>
      <c r="G735" s="468"/>
      <c r="H735" s="468"/>
      <c r="I735" s="468"/>
      <c r="J735" s="468"/>
      <c r="K735" s="468"/>
      <c r="L735" s="468"/>
      <c r="M735" s="468"/>
      <c r="N735" s="468"/>
      <c r="O735" s="468"/>
      <c r="P735" s="468"/>
      <c r="Q735" s="468"/>
      <c r="R735" s="468"/>
      <c r="S735" s="468"/>
      <c r="T735" s="468"/>
      <c r="U735" s="468"/>
      <c r="V735" s="468"/>
      <c r="W735" s="468"/>
      <c r="X735" s="468"/>
      <c r="Y735" s="468"/>
      <c r="Z735" s="468"/>
      <c r="AA735" s="468"/>
      <c r="AB735" s="468"/>
      <c r="AC735" s="468"/>
      <c r="AD735" s="468"/>
      <c r="AE735" s="468"/>
      <c r="AF735" s="468"/>
      <c r="AG735" s="468"/>
      <c r="AH735" s="468"/>
      <c r="AI735" s="468"/>
      <c r="AJ735" s="468"/>
    </row>
    <row r="736" spans="1:36" ht="18" customHeight="1" x14ac:dyDescent="0.35">
      <c r="A736" s="468"/>
      <c r="B736" s="468"/>
      <c r="C736" s="468"/>
      <c r="D736" s="468"/>
      <c r="E736" s="468"/>
      <c r="F736" s="468"/>
      <c r="G736" s="468"/>
      <c r="H736" s="468"/>
      <c r="I736" s="468"/>
      <c r="J736" s="468"/>
      <c r="K736" s="468"/>
      <c r="L736" s="468"/>
      <c r="M736" s="468"/>
      <c r="N736" s="468"/>
      <c r="O736" s="468"/>
      <c r="P736" s="468"/>
      <c r="Q736" s="468"/>
      <c r="R736" s="468"/>
      <c r="S736" s="468"/>
      <c r="T736" s="468"/>
      <c r="U736" s="468"/>
      <c r="V736" s="468"/>
      <c r="W736" s="468"/>
      <c r="X736" s="468"/>
      <c r="Y736" s="468"/>
      <c r="Z736" s="468"/>
      <c r="AA736" s="468"/>
      <c r="AB736" s="468"/>
      <c r="AC736" s="468"/>
      <c r="AD736" s="468"/>
      <c r="AE736" s="468"/>
      <c r="AF736" s="468"/>
      <c r="AG736" s="468"/>
      <c r="AH736" s="468"/>
      <c r="AI736" s="468"/>
      <c r="AJ736" s="468"/>
    </row>
    <row r="737" spans="1:36" ht="18" customHeight="1" x14ac:dyDescent="0.35">
      <c r="A737" s="468"/>
      <c r="B737" s="468"/>
      <c r="C737" s="468"/>
      <c r="D737" s="468"/>
      <c r="E737" s="468"/>
      <c r="F737" s="468"/>
      <c r="G737" s="468"/>
      <c r="H737" s="468"/>
      <c r="I737" s="468"/>
      <c r="J737" s="468"/>
      <c r="K737" s="468"/>
      <c r="L737" s="468"/>
      <c r="M737" s="468"/>
      <c r="N737" s="468"/>
      <c r="O737" s="468"/>
      <c r="P737" s="468"/>
      <c r="Q737" s="468"/>
      <c r="R737" s="468"/>
      <c r="S737" s="468"/>
      <c r="T737" s="468"/>
      <c r="U737" s="468"/>
      <c r="V737" s="468"/>
      <c r="W737" s="468"/>
      <c r="X737" s="468"/>
      <c r="Y737" s="468"/>
      <c r="Z737" s="468"/>
      <c r="AA737" s="468"/>
      <c r="AB737" s="468"/>
      <c r="AC737" s="468"/>
      <c r="AD737" s="468"/>
      <c r="AE737" s="468"/>
      <c r="AF737" s="468"/>
      <c r="AG737" s="468"/>
      <c r="AH737" s="468"/>
      <c r="AI737" s="468"/>
      <c r="AJ737" s="468"/>
    </row>
    <row r="738" spans="1:36" ht="18" customHeight="1" x14ac:dyDescent="0.35">
      <c r="A738" s="468"/>
      <c r="B738" s="468"/>
      <c r="C738" s="468"/>
      <c r="D738" s="468"/>
      <c r="E738" s="468"/>
      <c r="F738" s="468"/>
      <c r="G738" s="468"/>
      <c r="H738" s="468"/>
      <c r="I738" s="468"/>
      <c r="J738" s="468"/>
      <c r="K738" s="468"/>
      <c r="L738" s="468"/>
      <c r="M738" s="468"/>
      <c r="N738" s="468"/>
      <c r="O738" s="468"/>
      <c r="P738" s="468"/>
      <c r="Q738" s="468"/>
      <c r="R738" s="468"/>
      <c r="S738" s="468"/>
      <c r="T738" s="468"/>
      <c r="U738" s="468"/>
      <c r="V738" s="468"/>
      <c r="W738" s="468"/>
      <c r="X738" s="468"/>
      <c r="Y738" s="468"/>
      <c r="Z738" s="468"/>
      <c r="AA738" s="468"/>
      <c r="AB738" s="468"/>
      <c r="AC738" s="468"/>
      <c r="AD738" s="468"/>
      <c r="AE738" s="468"/>
      <c r="AF738" s="468"/>
      <c r="AG738" s="468"/>
      <c r="AH738" s="468"/>
      <c r="AI738" s="468"/>
      <c r="AJ738" s="468"/>
    </row>
    <row r="739" spans="1:36" ht="18" customHeight="1" x14ac:dyDescent="0.35">
      <c r="A739" s="468"/>
      <c r="B739" s="468"/>
      <c r="C739" s="468"/>
      <c r="D739" s="468"/>
      <c r="E739" s="468"/>
      <c r="F739" s="468"/>
      <c r="G739" s="468"/>
      <c r="H739" s="468"/>
      <c r="I739" s="468"/>
      <c r="J739" s="468"/>
      <c r="K739" s="468"/>
      <c r="L739" s="468"/>
      <c r="M739" s="468"/>
      <c r="N739" s="468"/>
      <c r="O739" s="468"/>
      <c r="P739" s="468"/>
      <c r="Q739" s="468"/>
      <c r="R739" s="468"/>
      <c r="S739" s="468"/>
      <c r="T739" s="468"/>
      <c r="U739" s="468"/>
      <c r="V739" s="468"/>
      <c r="W739" s="468"/>
      <c r="X739" s="468"/>
      <c r="Y739" s="468"/>
      <c r="Z739" s="468"/>
      <c r="AA739" s="468"/>
      <c r="AB739" s="468"/>
      <c r="AC739" s="468"/>
      <c r="AD739" s="468"/>
      <c r="AE739" s="468"/>
      <c r="AF739" s="468"/>
      <c r="AG739" s="468"/>
      <c r="AH739" s="468"/>
      <c r="AI739" s="468"/>
      <c r="AJ739" s="468"/>
    </row>
    <row r="740" spans="1:36" ht="18" customHeight="1" x14ac:dyDescent="0.35">
      <c r="A740" s="468"/>
      <c r="B740" s="468"/>
      <c r="C740" s="468"/>
      <c r="D740" s="468"/>
      <c r="E740" s="468"/>
      <c r="F740" s="468"/>
      <c r="G740" s="468"/>
      <c r="H740" s="468"/>
      <c r="I740" s="468"/>
      <c r="J740" s="468"/>
      <c r="K740" s="468"/>
      <c r="L740" s="468"/>
      <c r="M740" s="468"/>
      <c r="N740" s="468"/>
      <c r="O740" s="468"/>
      <c r="P740" s="468"/>
      <c r="Q740" s="468"/>
      <c r="R740" s="468"/>
      <c r="S740" s="468"/>
      <c r="T740" s="468"/>
      <c r="U740" s="468"/>
      <c r="V740" s="468"/>
      <c r="W740" s="468"/>
      <c r="X740" s="468"/>
      <c r="Y740" s="468"/>
      <c r="Z740" s="468"/>
      <c r="AA740" s="468"/>
      <c r="AB740" s="468"/>
      <c r="AC740" s="468"/>
      <c r="AD740" s="468"/>
      <c r="AE740" s="468"/>
      <c r="AF740" s="468"/>
      <c r="AG740" s="468"/>
      <c r="AH740" s="468"/>
      <c r="AI740" s="468"/>
      <c r="AJ740" s="468"/>
    </row>
    <row r="741" spans="1:36" ht="18" customHeight="1" x14ac:dyDescent="0.35">
      <c r="A741" s="468"/>
      <c r="B741" s="468"/>
      <c r="C741" s="468"/>
      <c r="D741" s="468"/>
      <c r="E741" s="468"/>
      <c r="F741" s="468"/>
      <c r="G741" s="468"/>
      <c r="H741" s="468"/>
      <c r="I741" s="468"/>
      <c r="J741" s="468"/>
      <c r="K741" s="468"/>
      <c r="L741" s="468"/>
      <c r="M741" s="468"/>
      <c r="N741" s="468"/>
      <c r="O741" s="468"/>
      <c r="P741" s="468"/>
      <c r="Q741" s="468"/>
      <c r="R741" s="468"/>
      <c r="S741" s="468"/>
      <c r="T741" s="468"/>
      <c r="U741" s="468"/>
      <c r="V741" s="468"/>
      <c r="W741" s="468"/>
      <c r="X741" s="468"/>
      <c r="Y741" s="468"/>
      <c r="Z741" s="468"/>
      <c r="AA741" s="468"/>
      <c r="AB741" s="468"/>
      <c r="AC741" s="468"/>
      <c r="AD741" s="468"/>
      <c r="AE741" s="468"/>
      <c r="AF741" s="468"/>
      <c r="AG741" s="468"/>
      <c r="AH741" s="468"/>
      <c r="AI741" s="468"/>
      <c r="AJ741" s="468"/>
    </row>
    <row r="742" spans="1:36" ht="18" customHeight="1" x14ac:dyDescent="0.35">
      <c r="A742" s="468"/>
      <c r="B742" s="468"/>
      <c r="C742" s="468"/>
      <c r="D742" s="468"/>
      <c r="E742" s="468"/>
      <c r="F742" s="468"/>
      <c r="G742" s="468"/>
      <c r="H742" s="468"/>
      <c r="I742" s="468"/>
      <c r="J742" s="468"/>
      <c r="K742" s="468"/>
      <c r="L742" s="468"/>
      <c r="M742" s="468"/>
      <c r="N742" s="468"/>
      <c r="O742" s="468"/>
      <c r="P742" s="468"/>
      <c r="Q742" s="468"/>
      <c r="R742" s="468"/>
      <c r="S742" s="468"/>
      <c r="T742" s="468"/>
      <c r="U742" s="468"/>
      <c r="V742" s="468"/>
      <c r="W742" s="468"/>
      <c r="X742" s="468"/>
      <c r="Y742" s="468"/>
      <c r="Z742" s="468"/>
      <c r="AA742" s="468"/>
      <c r="AB742" s="468"/>
      <c r="AC742" s="468"/>
      <c r="AD742" s="468"/>
      <c r="AE742" s="468"/>
      <c r="AF742" s="468"/>
      <c r="AG742" s="468"/>
      <c r="AH742" s="468"/>
      <c r="AI742" s="468"/>
      <c r="AJ742" s="468"/>
    </row>
    <row r="743" spans="1:36" ht="18" customHeight="1" x14ac:dyDescent="0.35">
      <c r="A743" s="468"/>
      <c r="B743" s="468"/>
      <c r="C743" s="468"/>
      <c r="D743" s="468"/>
      <c r="E743" s="468"/>
      <c r="F743" s="468"/>
      <c r="G743" s="468"/>
      <c r="H743" s="468"/>
      <c r="I743" s="468"/>
      <c r="J743" s="468"/>
      <c r="K743" s="468"/>
      <c r="L743" s="468"/>
      <c r="M743" s="468"/>
      <c r="N743" s="468"/>
      <c r="O743" s="468"/>
      <c r="P743" s="468"/>
      <c r="Q743" s="468"/>
      <c r="R743" s="468"/>
      <c r="S743" s="468"/>
      <c r="T743" s="468"/>
      <c r="U743" s="468"/>
      <c r="V743" s="468"/>
      <c r="W743" s="468"/>
      <c r="X743" s="468"/>
      <c r="Y743" s="468"/>
      <c r="Z743" s="468"/>
      <c r="AA743" s="468"/>
      <c r="AB743" s="468"/>
      <c r="AC743" s="468"/>
      <c r="AD743" s="468"/>
      <c r="AE743" s="468"/>
      <c r="AF743" s="468"/>
      <c r="AG743" s="468"/>
      <c r="AH743" s="468"/>
      <c r="AI743" s="468"/>
      <c r="AJ743" s="468"/>
    </row>
    <row r="744" spans="1:36" ht="18" customHeight="1" x14ac:dyDescent="0.35">
      <c r="A744" s="468"/>
      <c r="B744" s="468"/>
      <c r="C744" s="468"/>
      <c r="D744" s="468"/>
      <c r="E744" s="468"/>
      <c r="F744" s="468"/>
      <c r="G744" s="468"/>
      <c r="H744" s="468"/>
      <c r="I744" s="468"/>
      <c r="J744" s="468"/>
      <c r="K744" s="468"/>
      <c r="L744" s="468"/>
      <c r="M744" s="468"/>
      <c r="N744" s="468"/>
      <c r="O744" s="468"/>
      <c r="P744" s="468"/>
      <c r="Q744" s="468"/>
      <c r="R744" s="468"/>
      <c r="S744" s="468"/>
      <c r="T744" s="468"/>
      <c r="U744" s="468"/>
      <c r="V744" s="468"/>
      <c r="W744" s="468"/>
      <c r="X744" s="468"/>
      <c r="Y744" s="468"/>
      <c r="Z744" s="468"/>
      <c r="AA744" s="468"/>
      <c r="AB744" s="468"/>
      <c r="AC744" s="468"/>
      <c r="AD744" s="468"/>
      <c r="AE744" s="468"/>
      <c r="AF744" s="468"/>
      <c r="AG744" s="468"/>
      <c r="AH744" s="468"/>
      <c r="AI744" s="468"/>
      <c r="AJ744" s="468"/>
    </row>
    <row r="745" spans="1:36" ht="18" customHeight="1" x14ac:dyDescent="0.35">
      <c r="A745" s="468"/>
      <c r="B745" s="468"/>
      <c r="C745" s="468"/>
      <c r="D745" s="468"/>
      <c r="E745" s="468"/>
      <c r="F745" s="468"/>
      <c r="G745" s="468"/>
      <c r="H745" s="468"/>
      <c r="I745" s="468"/>
      <c r="J745" s="468"/>
      <c r="K745" s="468"/>
      <c r="L745" s="468"/>
      <c r="M745" s="468"/>
      <c r="N745" s="468"/>
      <c r="O745" s="468"/>
      <c r="P745" s="468"/>
      <c r="Q745" s="468"/>
      <c r="R745" s="468"/>
      <c r="S745" s="468"/>
      <c r="T745" s="468"/>
      <c r="U745" s="468"/>
      <c r="V745" s="468"/>
      <c r="W745" s="468"/>
      <c r="X745" s="468"/>
      <c r="Y745" s="468"/>
      <c r="Z745" s="468"/>
      <c r="AA745" s="468"/>
      <c r="AB745" s="468"/>
      <c r="AC745" s="468"/>
      <c r="AD745" s="468"/>
      <c r="AE745" s="468"/>
      <c r="AF745" s="468"/>
      <c r="AG745" s="468"/>
      <c r="AH745" s="468"/>
      <c r="AI745" s="468"/>
      <c r="AJ745" s="468"/>
    </row>
    <row r="746" spans="1:36" ht="18" customHeight="1" x14ac:dyDescent="0.35">
      <c r="A746" s="468"/>
      <c r="B746" s="468"/>
      <c r="C746" s="468"/>
      <c r="D746" s="468"/>
      <c r="E746" s="468"/>
      <c r="F746" s="468"/>
      <c r="G746" s="468"/>
      <c r="H746" s="468"/>
      <c r="I746" s="468"/>
      <c r="J746" s="468"/>
      <c r="K746" s="468"/>
      <c r="L746" s="468"/>
      <c r="M746" s="468"/>
      <c r="N746" s="468"/>
      <c r="O746" s="468"/>
      <c r="P746" s="468"/>
      <c r="Q746" s="468"/>
      <c r="R746" s="468"/>
      <c r="S746" s="468"/>
      <c r="T746" s="468"/>
      <c r="U746" s="468"/>
      <c r="V746" s="468"/>
      <c r="W746" s="468"/>
      <c r="X746" s="468"/>
      <c r="Y746" s="468"/>
      <c r="Z746" s="468"/>
      <c r="AA746" s="468"/>
      <c r="AB746" s="468"/>
      <c r="AC746" s="468"/>
      <c r="AD746" s="468"/>
      <c r="AE746" s="468"/>
      <c r="AF746" s="468"/>
      <c r="AG746" s="468"/>
      <c r="AH746" s="468"/>
      <c r="AI746" s="468"/>
      <c r="AJ746" s="468"/>
    </row>
    <row r="747" spans="1:36" ht="18" customHeight="1" x14ac:dyDescent="0.35">
      <c r="A747" s="468"/>
      <c r="B747" s="468"/>
      <c r="C747" s="468"/>
      <c r="D747" s="468"/>
      <c r="E747" s="468"/>
      <c r="F747" s="468"/>
      <c r="G747" s="468"/>
      <c r="H747" s="468"/>
      <c r="I747" s="468"/>
      <c r="J747" s="468"/>
      <c r="K747" s="468"/>
      <c r="L747" s="468"/>
      <c r="M747" s="468"/>
      <c r="N747" s="468"/>
      <c r="O747" s="468"/>
      <c r="P747" s="468"/>
      <c r="Q747" s="468"/>
      <c r="R747" s="468"/>
      <c r="S747" s="468"/>
      <c r="T747" s="468"/>
      <c r="U747" s="468"/>
      <c r="V747" s="468"/>
      <c r="W747" s="468"/>
      <c r="X747" s="468"/>
      <c r="Y747" s="468"/>
      <c r="Z747" s="468"/>
      <c r="AA747" s="468"/>
      <c r="AB747" s="468"/>
      <c r="AC747" s="468"/>
      <c r="AD747" s="468"/>
      <c r="AE747" s="468"/>
      <c r="AF747" s="468"/>
      <c r="AG747" s="468"/>
      <c r="AH747" s="468"/>
      <c r="AI747" s="468"/>
      <c r="AJ747" s="468"/>
    </row>
    <row r="748" spans="1:36" ht="18" customHeight="1" x14ac:dyDescent="0.35">
      <c r="A748" s="468"/>
      <c r="B748" s="468"/>
      <c r="C748" s="468"/>
      <c r="D748" s="468"/>
      <c r="E748" s="468"/>
      <c r="F748" s="468"/>
      <c r="G748" s="468"/>
      <c r="H748" s="468"/>
      <c r="I748" s="468"/>
      <c r="J748" s="468"/>
      <c r="K748" s="468"/>
      <c r="L748" s="468"/>
      <c r="M748" s="468"/>
      <c r="N748" s="468"/>
      <c r="O748" s="468"/>
      <c r="P748" s="468"/>
      <c r="Q748" s="468"/>
      <c r="R748" s="468"/>
      <c r="S748" s="468"/>
      <c r="T748" s="468"/>
      <c r="U748" s="468"/>
      <c r="V748" s="468"/>
      <c r="W748" s="468"/>
      <c r="X748" s="468"/>
      <c r="Y748" s="468"/>
      <c r="Z748" s="468"/>
      <c r="AA748" s="468"/>
      <c r="AB748" s="468"/>
      <c r="AC748" s="468"/>
      <c r="AD748" s="468"/>
      <c r="AE748" s="468"/>
      <c r="AF748" s="468"/>
      <c r="AG748" s="468"/>
      <c r="AH748" s="468"/>
      <c r="AI748" s="468"/>
      <c r="AJ748" s="468"/>
    </row>
    <row r="749" spans="1:36" ht="18" customHeight="1" x14ac:dyDescent="0.35">
      <c r="A749" s="468"/>
      <c r="B749" s="468"/>
      <c r="C749" s="468"/>
      <c r="D749" s="468"/>
      <c r="E749" s="468"/>
      <c r="F749" s="468"/>
      <c r="G749" s="468"/>
      <c r="H749" s="468"/>
      <c r="I749" s="468"/>
      <c r="J749" s="468"/>
      <c r="K749" s="468"/>
      <c r="L749" s="468"/>
      <c r="M749" s="468"/>
      <c r="N749" s="468"/>
      <c r="O749" s="468"/>
      <c r="P749" s="468"/>
      <c r="Q749" s="468"/>
      <c r="R749" s="468"/>
      <c r="S749" s="468"/>
      <c r="T749" s="468"/>
      <c r="U749" s="468"/>
      <c r="V749" s="468"/>
      <c r="W749" s="468"/>
      <c r="X749" s="468"/>
      <c r="Y749" s="468"/>
      <c r="Z749" s="468"/>
      <c r="AA749" s="468"/>
      <c r="AB749" s="468"/>
      <c r="AC749" s="468"/>
      <c r="AD749" s="468"/>
      <c r="AE749" s="468"/>
      <c r="AF749" s="468"/>
      <c r="AG749" s="468"/>
      <c r="AH749" s="468"/>
      <c r="AI749" s="468"/>
      <c r="AJ749" s="468"/>
    </row>
    <row r="750" spans="1:36" ht="18" customHeight="1" x14ac:dyDescent="0.35">
      <c r="A750" s="468"/>
      <c r="B750" s="468"/>
      <c r="C750" s="468"/>
      <c r="D750" s="468"/>
      <c r="E750" s="468"/>
      <c r="F750" s="468"/>
      <c r="G750" s="468"/>
      <c r="H750" s="468"/>
      <c r="I750" s="468"/>
      <c r="J750" s="468"/>
      <c r="K750" s="468"/>
      <c r="L750" s="468"/>
      <c r="M750" s="468"/>
      <c r="N750" s="468"/>
      <c r="O750" s="468"/>
      <c r="P750" s="468"/>
      <c r="Q750" s="468"/>
      <c r="R750" s="468"/>
      <c r="S750" s="468"/>
      <c r="T750" s="468"/>
      <c r="U750" s="468"/>
      <c r="V750" s="468"/>
      <c r="W750" s="468"/>
      <c r="X750" s="468"/>
      <c r="Y750" s="468"/>
      <c r="Z750" s="468"/>
      <c r="AA750" s="468"/>
      <c r="AB750" s="468"/>
      <c r="AC750" s="468"/>
      <c r="AD750" s="468"/>
      <c r="AE750" s="468"/>
      <c r="AF750" s="468"/>
      <c r="AG750" s="468"/>
      <c r="AH750" s="468"/>
      <c r="AI750" s="468"/>
      <c r="AJ750" s="468"/>
    </row>
    <row r="751" spans="1:36" ht="18" customHeight="1" x14ac:dyDescent="0.35">
      <c r="A751" s="468"/>
      <c r="B751" s="468"/>
      <c r="C751" s="468"/>
      <c r="D751" s="468"/>
      <c r="E751" s="468"/>
      <c r="F751" s="468"/>
      <c r="G751" s="468"/>
      <c r="H751" s="468"/>
      <c r="I751" s="468"/>
      <c r="J751" s="468"/>
      <c r="K751" s="468"/>
      <c r="L751" s="468"/>
      <c r="M751" s="468"/>
      <c r="N751" s="468"/>
      <c r="O751" s="468"/>
      <c r="P751" s="468"/>
      <c r="Q751" s="468"/>
      <c r="R751" s="468"/>
      <c r="S751" s="468"/>
      <c r="T751" s="468"/>
      <c r="U751" s="468"/>
      <c r="V751" s="468"/>
      <c r="W751" s="468"/>
      <c r="X751" s="468"/>
      <c r="Y751" s="468"/>
      <c r="Z751" s="468"/>
      <c r="AA751" s="468"/>
      <c r="AB751" s="468"/>
      <c r="AC751" s="468"/>
      <c r="AD751" s="468"/>
      <c r="AE751" s="468"/>
      <c r="AF751" s="468"/>
      <c r="AG751" s="468"/>
      <c r="AH751" s="468"/>
      <c r="AI751" s="468"/>
      <c r="AJ751" s="468"/>
    </row>
    <row r="752" spans="1:36" ht="18" customHeight="1" x14ac:dyDescent="0.35">
      <c r="A752" s="468"/>
      <c r="B752" s="468"/>
      <c r="C752" s="468"/>
      <c r="D752" s="468"/>
      <c r="E752" s="468"/>
      <c r="F752" s="468"/>
      <c r="G752" s="468"/>
      <c r="H752" s="468"/>
      <c r="I752" s="468"/>
      <c r="J752" s="468"/>
      <c r="K752" s="468"/>
      <c r="L752" s="468"/>
      <c r="M752" s="468"/>
      <c r="N752" s="468"/>
      <c r="O752" s="468"/>
      <c r="P752" s="468"/>
      <c r="Q752" s="468"/>
      <c r="R752" s="468"/>
      <c r="S752" s="468"/>
      <c r="T752" s="468"/>
      <c r="U752" s="468"/>
      <c r="V752" s="468"/>
      <c r="W752" s="468"/>
      <c r="X752" s="468"/>
      <c r="Y752" s="468"/>
      <c r="Z752" s="468"/>
      <c r="AA752" s="468"/>
      <c r="AB752" s="468"/>
      <c r="AC752" s="468"/>
      <c r="AD752" s="468"/>
      <c r="AE752" s="468"/>
      <c r="AF752" s="468"/>
      <c r="AG752" s="468"/>
      <c r="AH752" s="468"/>
      <c r="AI752" s="468"/>
      <c r="AJ752" s="468"/>
    </row>
    <row r="753" spans="1:36" ht="18" customHeight="1" x14ac:dyDescent="0.35">
      <c r="A753" s="468"/>
      <c r="B753" s="468"/>
      <c r="C753" s="468"/>
      <c r="D753" s="468"/>
      <c r="E753" s="468"/>
      <c r="F753" s="468"/>
      <c r="G753" s="468"/>
      <c r="H753" s="468"/>
      <c r="I753" s="468"/>
      <c r="J753" s="468"/>
      <c r="K753" s="468"/>
      <c r="L753" s="468"/>
      <c r="M753" s="468"/>
      <c r="N753" s="468"/>
      <c r="O753" s="468"/>
      <c r="P753" s="468"/>
      <c r="Q753" s="468"/>
      <c r="R753" s="468"/>
      <c r="S753" s="468"/>
      <c r="T753" s="468"/>
      <c r="U753" s="468"/>
      <c r="V753" s="468"/>
      <c r="W753" s="468"/>
      <c r="X753" s="468"/>
      <c r="Y753" s="468"/>
      <c r="Z753" s="468"/>
      <c r="AA753" s="468"/>
      <c r="AB753" s="468"/>
      <c r="AC753" s="468"/>
      <c r="AD753" s="468"/>
      <c r="AE753" s="468"/>
      <c r="AF753" s="468"/>
      <c r="AG753" s="468"/>
      <c r="AH753" s="468"/>
      <c r="AI753" s="468"/>
      <c r="AJ753" s="468"/>
    </row>
    <row r="754" spans="1:36" ht="18" customHeight="1" x14ac:dyDescent="0.35">
      <c r="A754" s="468"/>
      <c r="B754" s="468"/>
      <c r="C754" s="468"/>
      <c r="D754" s="468"/>
      <c r="E754" s="468"/>
      <c r="F754" s="468"/>
      <c r="G754" s="468"/>
      <c r="H754" s="468"/>
      <c r="I754" s="468"/>
      <c r="J754" s="468"/>
      <c r="K754" s="468"/>
      <c r="L754" s="468"/>
      <c r="M754" s="468"/>
      <c r="N754" s="468"/>
      <c r="O754" s="468"/>
      <c r="P754" s="468"/>
      <c r="Q754" s="468"/>
      <c r="R754" s="468"/>
      <c r="S754" s="468"/>
      <c r="T754" s="468"/>
      <c r="U754" s="468"/>
      <c r="V754" s="468"/>
      <c r="W754" s="468"/>
      <c r="X754" s="468"/>
      <c r="Y754" s="468"/>
      <c r="Z754" s="468"/>
      <c r="AA754" s="468"/>
      <c r="AB754" s="468"/>
      <c r="AC754" s="468"/>
      <c r="AD754" s="468"/>
      <c r="AE754" s="468"/>
      <c r="AF754" s="468"/>
      <c r="AG754" s="468"/>
      <c r="AH754" s="468"/>
      <c r="AI754" s="468"/>
      <c r="AJ754" s="468"/>
    </row>
    <row r="755" spans="1:36" ht="18" customHeight="1" x14ac:dyDescent="0.35">
      <c r="A755" s="468"/>
      <c r="B755" s="468"/>
      <c r="C755" s="468"/>
      <c r="D755" s="468"/>
      <c r="E755" s="468"/>
      <c r="F755" s="468"/>
      <c r="G755" s="468"/>
      <c r="H755" s="468"/>
      <c r="I755" s="468"/>
      <c r="J755" s="468"/>
      <c r="K755" s="468"/>
      <c r="L755" s="468"/>
      <c r="M755" s="468"/>
      <c r="N755" s="468"/>
      <c r="O755" s="468"/>
      <c r="P755" s="468"/>
      <c r="Q755" s="468"/>
      <c r="R755" s="468"/>
      <c r="S755" s="468"/>
      <c r="T755" s="468"/>
      <c r="U755" s="468"/>
      <c r="V755" s="468"/>
      <c r="W755" s="468"/>
      <c r="X755" s="468"/>
      <c r="Y755" s="468"/>
      <c r="Z755" s="468"/>
      <c r="AA755" s="468"/>
      <c r="AB755" s="468"/>
      <c r="AC755" s="468"/>
      <c r="AD755" s="468"/>
      <c r="AE755" s="468"/>
      <c r="AF755" s="468"/>
      <c r="AG755" s="468"/>
      <c r="AH755" s="468"/>
      <c r="AI755" s="468"/>
      <c r="AJ755" s="468"/>
    </row>
    <row r="756" spans="1:36" ht="18" customHeight="1" x14ac:dyDescent="0.35">
      <c r="A756" s="468"/>
      <c r="B756" s="468"/>
      <c r="C756" s="468"/>
      <c r="D756" s="468"/>
      <c r="E756" s="468"/>
      <c r="F756" s="468"/>
      <c r="G756" s="468"/>
      <c r="H756" s="468"/>
      <c r="I756" s="468"/>
      <c r="J756" s="468"/>
      <c r="K756" s="468"/>
      <c r="L756" s="468"/>
      <c r="M756" s="468"/>
      <c r="N756" s="468"/>
      <c r="O756" s="468"/>
      <c r="P756" s="468"/>
      <c r="Q756" s="468"/>
      <c r="R756" s="468"/>
      <c r="S756" s="468"/>
      <c r="T756" s="468"/>
      <c r="U756" s="468"/>
      <c r="V756" s="468"/>
      <c r="W756" s="468"/>
      <c r="X756" s="468"/>
      <c r="Y756" s="468"/>
      <c r="Z756" s="468"/>
      <c r="AA756" s="468"/>
      <c r="AB756" s="468"/>
      <c r="AC756" s="468"/>
      <c r="AD756" s="468"/>
      <c r="AE756" s="468"/>
      <c r="AF756" s="468"/>
      <c r="AG756" s="468"/>
      <c r="AH756" s="468"/>
      <c r="AI756" s="468"/>
      <c r="AJ756" s="468"/>
    </row>
    <row r="757" spans="1:36" ht="18" customHeight="1" x14ac:dyDescent="0.35">
      <c r="A757" s="468"/>
      <c r="B757" s="468"/>
      <c r="C757" s="468"/>
      <c r="D757" s="468"/>
      <c r="E757" s="468"/>
      <c r="F757" s="468"/>
      <c r="G757" s="468"/>
      <c r="H757" s="468"/>
      <c r="I757" s="468"/>
      <c r="J757" s="468"/>
      <c r="K757" s="468"/>
      <c r="L757" s="468"/>
      <c r="M757" s="468"/>
      <c r="N757" s="468"/>
      <c r="O757" s="468"/>
      <c r="P757" s="468"/>
      <c r="Q757" s="468"/>
      <c r="R757" s="468"/>
      <c r="S757" s="468"/>
      <c r="T757" s="468"/>
      <c r="U757" s="468"/>
      <c r="V757" s="468"/>
      <c r="W757" s="468"/>
      <c r="X757" s="468"/>
      <c r="Y757" s="468"/>
      <c r="Z757" s="468"/>
      <c r="AA757" s="468"/>
      <c r="AB757" s="468"/>
      <c r="AC757" s="468"/>
      <c r="AD757" s="468"/>
      <c r="AE757" s="468"/>
      <c r="AF757" s="468"/>
      <c r="AG757" s="468"/>
      <c r="AH757" s="468"/>
      <c r="AI757" s="468"/>
      <c r="AJ757" s="468"/>
    </row>
    <row r="758" spans="1:36" ht="18" customHeight="1" x14ac:dyDescent="0.35">
      <c r="A758" s="468"/>
      <c r="B758" s="468"/>
      <c r="C758" s="468"/>
      <c r="D758" s="468"/>
      <c r="E758" s="468"/>
      <c r="F758" s="468"/>
      <c r="G758" s="468"/>
      <c r="H758" s="468"/>
      <c r="I758" s="468"/>
      <c r="J758" s="468"/>
      <c r="K758" s="468"/>
      <c r="L758" s="468"/>
      <c r="M758" s="468"/>
      <c r="N758" s="468"/>
      <c r="O758" s="468"/>
      <c r="P758" s="468"/>
      <c r="Q758" s="468"/>
      <c r="R758" s="468"/>
      <c r="S758" s="468"/>
      <c r="T758" s="468"/>
      <c r="U758" s="468"/>
      <c r="V758" s="468"/>
      <c r="W758" s="468"/>
      <c r="X758" s="468"/>
      <c r="Y758" s="468"/>
      <c r="Z758" s="468"/>
      <c r="AA758" s="468"/>
      <c r="AB758" s="468"/>
      <c r="AC758" s="468"/>
      <c r="AD758" s="468"/>
      <c r="AE758" s="468"/>
      <c r="AF758" s="468"/>
      <c r="AG758" s="468"/>
      <c r="AH758" s="468"/>
      <c r="AI758" s="468"/>
      <c r="AJ758" s="468"/>
    </row>
    <row r="759" spans="1:36" ht="18" customHeight="1" x14ac:dyDescent="0.35">
      <c r="A759" s="468"/>
      <c r="B759" s="468"/>
      <c r="C759" s="468"/>
      <c r="D759" s="468"/>
      <c r="E759" s="468"/>
      <c r="F759" s="468"/>
      <c r="G759" s="468"/>
      <c r="H759" s="468"/>
      <c r="I759" s="468"/>
      <c r="J759" s="468"/>
      <c r="K759" s="468"/>
      <c r="L759" s="468"/>
      <c r="M759" s="468"/>
      <c r="N759" s="468"/>
      <c r="O759" s="468"/>
      <c r="P759" s="468"/>
      <c r="Q759" s="468"/>
      <c r="R759" s="468"/>
      <c r="S759" s="468"/>
      <c r="T759" s="468"/>
      <c r="U759" s="468"/>
      <c r="V759" s="468"/>
      <c r="W759" s="468"/>
      <c r="X759" s="468"/>
      <c r="Y759" s="468"/>
      <c r="Z759" s="468"/>
      <c r="AA759" s="468"/>
      <c r="AB759" s="468"/>
      <c r="AC759" s="468"/>
      <c r="AD759" s="468"/>
      <c r="AE759" s="468"/>
      <c r="AF759" s="468"/>
      <c r="AG759" s="468"/>
      <c r="AH759" s="468"/>
      <c r="AI759" s="468"/>
      <c r="AJ759" s="468"/>
    </row>
    <row r="760" spans="1:36" ht="18" customHeight="1" x14ac:dyDescent="0.35">
      <c r="A760" s="468"/>
      <c r="B760" s="468"/>
      <c r="C760" s="468"/>
      <c r="D760" s="468"/>
      <c r="E760" s="468"/>
      <c r="F760" s="468"/>
      <c r="G760" s="468"/>
      <c r="H760" s="468"/>
      <c r="I760" s="468"/>
      <c r="J760" s="468"/>
      <c r="K760" s="468"/>
      <c r="L760" s="468"/>
      <c r="M760" s="468"/>
      <c r="N760" s="468"/>
      <c r="O760" s="468"/>
      <c r="P760" s="468"/>
      <c r="Q760" s="468"/>
      <c r="R760" s="468"/>
      <c r="S760" s="468"/>
      <c r="T760" s="468"/>
      <c r="U760" s="468"/>
      <c r="V760" s="468"/>
      <c r="W760" s="468"/>
      <c r="X760" s="468"/>
      <c r="Y760" s="468"/>
      <c r="Z760" s="468"/>
      <c r="AA760" s="468"/>
      <c r="AB760" s="468"/>
      <c r="AC760" s="468"/>
      <c r="AD760" s="468"/>
      <c r="AE760" s="468"/>
      <c r="AF760" s="468"/>
      <c r="AG760" s="468"/>
      <c r="AH760" s="468"/>
      <c r="AI760" s="468"/>
      <c r="AJ760" s="468"/>
    </row>
    <row r="761" spans="1:36" ht="18" customHeight="1" x14ac:dyDescent="0.35">
      <c r="A761" s="468"/>
      <c r="B761" s="468"/>
      <c r="C761" s="468"/>
      <c r="D761" s="468"/>
      <c r="E761" s="468"/>
      <c r="F761" s="468"/>
      <c r="G761" s="468"/>
      <c r="H761" s="468"/>
      <c r="I761" s="468"/>
      <c r="J761" s="468"/>
      <c r="K761" s="468"/>
      <c r="L761" s="468"/>
      <c r="M761" s="468"/>
      <c r="N761" s="468"/>
      <c r="O761" s="468"/>
      <c r="P761" s="468"/>
      <c r="Q761" s="468"/>
      <c r="R761" s="468"/>
      <c r="S761" s="468"/>
      <c r="T761" s="468"/>
      <c r="U761" s="468"/>
      <c r="V761" s="468"/>
      <c r="W761" s="468"/>
      <c r="X761" s="468"/>
      <c r="Y761" s="468"/>
      <c r="Z761" s="468"/>
      <c r="AA761" s="468"/>
      <c r="AB761" s="468"/>
      <c r="AC761" s="468"/>
      <c r="AD761" s="468"/>
      <c r="AE761" s="468"/>
      <c r="AF761" s="468"/>
      <c r="AG761" s="468"/>
      <c r="AH761" s="468"/>
      <c r="AI761" s="468"/>
      <c r="AJ761" s="468"/>
    </row>
    <row r="762" spans="1:36" ht="18" customHeight="1" x14ac:dyDescent="0.35">
      <c r="A762" s="468"/>
      <c r="B762" s="468"/>
      <c r="C762" s="468"/>
      <c r="D762" s="468"/>
      <c r="E762" s="468"/>
      <c r="F762" s="468"/>
      <c r="G762" s="468"/>
      <c r="H762" s="468"/>
      <c r="I762" s="468"/>
      <c r="J762" s="468"/>
      <c r="K762" s="468"/>
      <c r="L762" s="468"/>
      <c r="M762" s="468"/>
      <c r="N762" s="468"/>
      <c r="O762" s="468"/>
      <c r="P762" s="468"/>
      <c r="Q762" s="468"/>
      <c r="R762" s="468"/>
      <c r="S762" s="468"/>
      <c r="T762" s="468"/>
      <c r="U762" s="468"/>
      <c r="V762" s="468"/>
      <c r="W762" s="468"/>
      <c r="X762" s="468"/>
      <c r="Y762" s="468"/>
      <c r="Z762" s="468"/>
      <c r="AA762" s="468"/>
      <c r="AB762" s="468"/>
      <c r="AC762" s="468"/>
      <c r="AD762" s="468"/>
      <c r="AE762" s="468"/>
      <c r="AF762" s="468"/>
      <c r="AG762" s="468"/>
      <c r="AH762" s="468"/>
      <c r="AI762" s="468"/>
      <c r="AJ762" s="468"/>
    </row>
    <row r="763" spans="1:36" ht="18" customHeight="1" x14ac:dyDescent="0.35">
      <c r="A763" s="468"/>
      <c r="B763" s="468"/>
      <c r="C763" s="468"/>
      <c r="D763" s="468"/>
      <c r="E763" s="468"/>
      <c r="F763" s="468"/>
      <c r="G763" s="468"/>
      <c r="H763" s="468"/>
      <c r="I763" s="468"/>
      <c r="J763" s="468"/>
      <c r="K763" s="468"/>
      <c r="L763" s="468"/>
      <c r="M763" s="468"/>
      <c r="N763" s="468"/>
      <c r="O763" s="468"/>
      <c r="P763" s="468"/>
      <c r="Q763" s="468"/>
      <c r="R763" s="468"/>
      <c r="S763" s="468"/>
      <c r="T763" s="468"/>
      <c r="U763" s="468"/>
      <c r="V763" s="468"/>
      <c r="W763" s="468"/>
      <c r="X763" s="468"/>
      <c r="Y763" s="468"/>
      <c r="Z763" s="468"/>
      <c r="AA763" s="468"/>
      <c r="AB763" s="468"/>
      <c r="AC763" s="468"/>
      <c r="AD763" s="468"/>
      <c r="AE763" s="468"/>
      <c r="AF763" s="468"/>
      <c r="AG763" s="468"/>
      <c r="AH763" s="468"/>
      <c r="AI763" s="468"/>
      <c r="AJ763" s="468"/>
    </row>
    <row r="764" spans="1:36" ht="18" customHeight="1" x14ac:dyDescent="0.35">
      <c r="A764" s="468"/>
      <c r="B764" s="468"/>
      <c r="C764" s="468"/>
      <c r="D764" s="468"/>
      <c r="E764" s="468"/>
      <c r="F764" s="468"/>
      <c r="G764" s="468"/>
      <c r="H764" s="468"/>
      <c r="I764" s="468"/>
      <c r="J764" s="468"/>
      <c r="K764" s="468"/>
      <c r="L764" s="468"/>
      <c r="M764" s="468"/>
      <c r="N764" s="468"/>
      <c r="O764" s="468"/>
      <c r="P764" s="468"/>
      <c r="Q764" s="468"/>
      <c r="R764" s="468"/>
      <c r="S764" s="468"/>
      <c r="T764" s="468"/>
      <c r="U764" s="468"/>
      <c r="V764" s="468"/>
      <c r="W764" s="468"/>
      <c r="X764" s="468"/>
      <c r="Y764" s="468"/>
      <c r="Z764" s="468"/>
      <c r="AA764" s="468"/>
      <c r="AB764" s="468"/>
      <c r="AC764" s="468"/>
      <c r="AD764" s="468"/>
      <c r="AE764" s="468"/>
      <c r="AF764" s="468"/>
      <c r="AG764" s="468"/>
      <c r="AH764" s="468"/>
      <c r="AI764" s="468"/>
      <c r="AJ764" s="468"/>
    </row>
    <row r="765" spans="1:36" ht="18" customHeight="1" x14ac:dyDescent="0.35">
      <c r="A765" s="468"/>
      <c r="B765" s="468"/>
      <c r="C765" s="468"/>
      <c r="D765" s="468"/>
      <c r="E765" s="468"/>
      <c r="F765" s="468"/>
      <c r="G765" s="468"/>
      <c r="H765" s="468"/>
      <c r="I765" s="468"/>
      <c r="J765" s="468"/>
      <c r="K765" s="468"/>
      <c r="L765" s="468"/>
      <c r="M765" s="468"/>
      <c r="N765" s="468"/>
      <c r="O765" s="468"/>
      <c r="P765" s="468"/>
      <c r="Q765" s="468"/>
      <c r="R765" s="468"/>
      <c r="S765" s="468"/>
      <c r="T765" s="468"/>
      <c r="U765" s="468"/>
      <c r="V765" s="468"/>
      <c r="W765" s="468"/>
      <c r="X765" s="468"/>
      <c r="Y765" s="468"/>
      <c r="Z765" s="468"/>
      <c r="AA765" s="468"/>
      <c r="AB765" s="468"/>
      <c r="AC765" s="468"/>
      <c r="AD765" s="468"/>
      <c r="AE765" s="468"/>
      <c r="AF765" s="468"/>
      <c r="AG765" s="468"/>
      <c r="AH765" s="468"/>
      <c r="AI765" s="468"/>
      <c r="AJ765" s="468"/>
    </row>
    <row r="766" spans="1:36" ht="18" customHeight="1" x14ac:dyDescent="0.35">
      <c r="A766" s="468"/>
      <c r="B766" s="468"/>
      <c r="C766" s="468"/>
      <c r="D766" s="468"/>
      <c r="E766" s="468"/>
      <c r="F766" s="468"/>
      <c r="G766" s="468"/>
      <c r="H766" s="468"/>
      <c r="I766" s="468"/>
      <c r="J766" s="468"/>
      <c r="K766" s="468"/>
      <c r="L766" s="468"/>
      <c r="M766" s="468"/>
      <c r="N766" s="468"/>
      <c r="O766" s="468"/>
      <c r="P766" s="468"/>
      <c r="Q766" s="468"/>
      <c r="R766" s="468"/>
      <c r="S766" s="468"/>
      <c r="T766" s="468"/>
      <c r="U766" s="468"/>
      <c r="V766" s="468"/>
      <c r="W766" s="468"/>
      <c r="X766" s="468"/>
      <c r="Y766" s="468"/>
      <c r="Z766" s="468"/>
      <c r="AA766" s="468"/>
      <c r="AB766" s="468"/>
      <c r="AC766" s="468"/>
      <c r="AD766" s="468"/>
      <c r="AE766" s="468"/>
      <c r="AF766" s="468"/>
      <c r="AG766" s="468"/>
      <c r="AH766" s="468"/>
      <c r="AI766" s="468"/>
      <c r="AJ766" s="468"/>
    </row>
    <row r="767" spans="1:36" ht="18" customHeight="1" x14ac:dyDescent="0.35">
      <c r="A767" s="468"/>
      <c r="B767" s="468"/>
      <c r="C767" s="468"/>
      <c r="D767" s="468"/>
      <c r="E767" s="468"/>
      <c r="F767" s="468"/>
      <c r="G767" s="468"/>
      <c r="H767" s="468"/>
      <c r="I767" s="468"/>
      <c r="J767" s="468"/>
      <c r="K767" s="468"/>
      <c r="L767" s="468"/>
      <c r="M767" s="468"/>
      <c r="N767" s="468"/>
      <c r="O767" s="468"/>
      <c r="P767" s="468"/>
      <c r="Q767" s="468"/>
      <c r="R767" s="468"/>
      <c r="S767" s="468"/>
      <c r="T767" s="468"/>
      <c r="U767" s="468"/>
      <c r="V767" s="468"/>
      <c r="W767" s="468"/>
      <c r="X767" s="468"/>
      <c r="Y767" s="468"/>
      <c r="Z767" s="468"/>
      <c r="AA767" s="468"/>
      <c r="AB767" s="468"/>
      <c r="AC767" s="468"/>
      <c r="AD767" s="468"/>
      <c r="AE767" s="468"/>
      <c r="AF767" s="468"/>
      <c r="AG767" s="468"/>
      <c r="AH767" s="468"/>
      <c r="AI767" s="468"/>
      <c r="AJ767" s="468"/>
    </row>
    <row r="768" spans="1:36" ht="18" customHeight="1" x14ac:dyDescent="0.35">
      <c r="A768" s="468"/>
      <c r="B768" s="468"/>
      <c r="C768" s="468"/>
      <c r="D768" s="468"/>
      <c r="E768" s="468"/>
      <c r="F768" s="468"/>
      <c r="G768" s="468"/>
      <c r="H768" s="468"/>
      <c r="I768" s="468"/>
      <c r="J768" s="468"/>
      <c r="K768" s="468"/>
      <c r="L768" s="468"/>
      <c r="M768" s="468"/>
      <c r="N768" s="468"/>
      <c r="O768" s="468"/>
      <c r="P768" s="468"/>
      <c r="Q768" s="468"/>
      <c r="R768" s="468"/>
      <c r="S768" s="468"/>
      <c r="T768" s="468"/>
      <c r="U768" s="468"/>
      <c r="V768" s="468"/>
      <c r="W768" s="468"/>
      <c r="X768" s="468"/>
      <c r="Y768" s="468"/>
      <c r="Z768" s="468"/>
      <c r="AA768" s="468"/>
      <c r="AB768" s="468"/>
      <c r="AC768" s="468"/>
      <c r="AD768" s="468"/>
      <c r="AE768" s="468"/>
      <c r="AF768" s="468"/>
      <c r="AG768" s="468"/>
      <c r="AH768" s="468"/>
      <c r="AI768" s="468"/>
      <c r="AJ768" s="468"/>
    </row>
    <row r="769" spans="1:36" ht="18" customHeight="1" x14ac:dyDescent="0.35">
      <c r="A769" s="468"/>
      <c r="B769" s="468"/>
      <c r="C769" s="468"/>
      <c r="D769" s="468"/>
      <c r="E769" s="468"/>
      <c r="F769" s="468"/>
      <c r="G769" s="468"/>
      <c r="H769" s="468"/>
      <c r="I769" s="468"/>
      <c r="J769" s="468"/>
      <c r="K769" s="468"/>
      <c r="L769" s="468"/>
      <c r="M769" s="468"/>
      <c r="N769" s="468"/>
      <c r="O769" s="468"/>
      <c r="P769" s="468"/>
      <c r="Q769" s="468"/>
      <c r="R769" s="468"/>
      <c r="S769" s="468"/>
      <c r="T769" s="468"/>
      <c r="U769" s="468"/>
      <c r="V769" s="468"/>
      <c r="W769" s="468"/>
      <c r="X769" s="468"/>
      <c r="Y769" s="468"/>
      <c r="Z769" s="468"/>
      <c r="AA769" s="468"/>
      <c r="AB769" s="468"/>
      <c r="AC769" s="468"/>
      <c r="AD769" s="468"/>
      <c r="AE769" s="468"/>
      <c r="AF769" s="468"/>
      <c r="AG769" s="468"/>
      <c r="AH769" s="468"/>
      <c r="AI769" s="468"/>
      <c r="AJ769" s="468"/>
    </row>
    <row r="770" spans="1:36" ht="18" customHeight="1" x14ac:dyDescent="0.35">
      <c r="A770" s="468"/>
      <c r="B770" s="468"/>
      <c r="C770" s="468"/>
      <c r="D770" s="468"/>
      <c r="E770" s="468"/>
      <c r="F770" s="468"/>
      <c r="G770" s="468"/>
      <c r="H770" s="468"/>
      <c r="I770" s="468"/>
      <c r="J770" s="468"/>
      <c r="K770" s="468"/>
      <c r="L770" s="468"/>
      <c r="M770" s="468"/>
      <c r="N770" s="468"/>
      <c r="O770" s="468"/>
      <c r="P770" s="468"/>
      <c r="Q770" s="468"/>
      <c r="R770" s="468"/>
      <c r="S770" s="468"/>
      <c r="T770" s="468"/>
      <c r="U770" s="468"/>
      <c r="V770" s="468"/>
      <c r="W770" s="468"/>
      <c r="X770" s="468"/>
      <c r="Y770" s="468"/>
      <c r="Z770" s="468"/>
      <c r="AA770" s="468"/>
      <c r="AB770" s="468"/>
      <c r="AC770" s="468"/>
      <c r="AD770" s="468"/>
      <c r="AE770" s="468"/>
      <c r="AF770" s="468"/>
      <c r="AG770" s="468"/>
      <c r="AH770" s="468"/>
      <c r="AI770" s="468"/>
      <c r="AJ770" s="468"/>
    </row>
    <row r="771" spans="1:36" ht="18" customHeight="1" x14ac:dyDescent="0.35">
      <c r="A771" s="468"/>
      <c r="B771" s="468"/>
      <c r="C771" s="468"/>
      <c r="D771" s="468"/>
      <c r="E771" s="468"/>
      <c r="F771" s="468"/>
      <c r="G771" s="468"/>
      <c r="H771" s="468"/>
      <c r="I771" s="468"/>
      <c r="J771" s="468"/>
      <c r="K771" s="468"/>
      <c r="L771" s="468"/>
      <c r="M771" s="468"/>
      <c r="N771" s="468"/>
      <c r="O771" s="468"/>
      <c r="P771" s="468"/>
      <c r="Q771" s="468"/>
      <c r="R771" s="468"/>
      <c r="S771" s="468"/>
      <c r="T771" s="468"/>
      <c r="U771" s="468"/>
      <c r="V771" s="468"/>
      <c r="W771" s="468"/>
      <c r="X771" s="468"/>
      <c r="Y771" s="468"/>
      <c r="Z771" s="468"/>
      <c r="AA771" s="468"/>
      <c r="AB771" s="468"/>
      <c r="AC771" s="468"/>
      <c r="AD771" s="468"/>
      <c r="AE771" s="468"/>
      <c r="AF771" s="468"/>
      <c r="AG771" s="468"/>
      <c r="AH771" s="468"/>
      <c r="AI771" s="468"/>
      <c r="AJ771" s="468"/>
    </row>
    <row r="772" spans="1:36" ht="18" customHeight="1" x14ac:dyDescent="0.35">
      <c r="A772" s="468"/>
      <c r="B772" s="468"/>
      <c r="C772" s="468"/>
      <c r="D772" s="468"/>
      <c r="E772" s="468"/>
      <c r="F772" s="468"/>
      <c r="G772" s="468"/>
      <c r="H772" s="468"/>
      <c r="I772" s="468"/>
      <c r="J772" s="468"/>
      <c r="K772" s="468"/>
      <c r="L772" s="468"/>
      <c r="M772" s="468"/>
      <c r="N772" s="468"/>
      <c r="O772" s="468"/>
      <c r="P772" s="468"/>
      <c r="Q772" s="468"/>
      <c r="R772" s="468"/>
      <c r="S772" s="468"/>
      <c r="T772" s="468"/>
      <c r="U772" s="468"/>
      <c r="V772" s="468"/>
      <c r="W772" s="468"/>
      <c r="X772" s="468"/>
      <c r="Y772" s="468"/>
      <c r="Z772" s="468"/>
      <c r="AA772" s="468"/>
      <c r="AB772" s="468"/>
      <c r="AC772" s="468"/>
      <c r="AD772" s="468"/>
      <c r="AE772" s="468"/>
      <c r="AF772" s="468"/>
      <c r="AG772" s="468"/>
      <c r="AH772" s="468"/>
      <c r="AI772" s="468"/>
      <c r="AJ772" s="468"/>
    </row>
    <row r="773" spans="1:36" ht="18" customHeight="1" x14ac:dyDescent="0.35">
      <c r="A773" s="468"/>
      <c r="B773" s="468"/>
      <c r="C773" s="468"/>
      <c r="D773" s="468"/>
      <c r="E773" s="468"/>
      <c r="F773" s="468"/>
      <c r="G773" s="468"/>
      <c r="H773" s="468"/>
      <c r="I773" s="468"/>
      <c r="J773" s="468"/>
      <c r="K773" s="468"/>
      <c r="L773" s="468"/>
      <c r="M773" s="468"/>
      <c r="N773" s="468"/>
      <c r="O773" s="468"/>
      <c r="P773" s="468"/>
      <c r="Q773" s="468"/>
      <c r="R773" s="468"/>
      <c r="S773" s="468"/>
      <c r="T773" s="468"/>
      <c r="U773" s="468"/>
      <c r="V773" s="468"/>
      <c r="W773" s="468"/>
      <c r="X773" s="468"/>
      <c r="Y773" s="468"/>
      <c r="Z773" s="468"/>
      <c r="AA773" s="468"/>
      <c r="AB773" s="468"/>
      <c r="AC773" s="468"/>
      <c r="AD773" s="468"/>
      <c r="AE773" s="468"/>
      <c r="AF773" s="468"/>
      <c r="AG773" s="468"/>
      <c r="AH773" s="468"/>
      <c r="AI773" s="468"/>
      <c r="AJ773" s="468"/>
    </row>
    <row r="774" spans="1:36" ht="18" customHeight="1" x14ac:dyDescent="0.35">
      <c r="A774" s="468"/>
      <c r="B774" s="468"/>
      <c r="C774" s="468"/>
      <c r="D774" s="468"/>
      <c r="E774" s="468"/>
      <c r="F774" s="468"/>
      <c r="G774" s="468"/>
      <c r="H774" s="468"/>
      <c r="I774" s="468"/>
      <c r="J774" s="468"/>
      <c r="K774" s="468"/>
      <c r="L774" s="468"/>
      <c r="M774" s="468"/>
      <c r="N774" s="468"/>
      <c r="O774" s="468"/>
      <c r="P774" s="468"/>
      <c r="Q774" s="468"/>
      <c r="R774" s="468"/>
      <c r="S774" s="468"/>
      <c r="T774" s="468"/>
      <c r="U774" s="468"/>
      <c r="V774" s="468"/>
      <c r="W774" s="468"/>
      <c r="X774" s="468"/>
      <c r="Y774" s="468"/>
      <c r="Z774" s="468"/>
      <c r="AA774" s="468"/>
      <c r="AB774" s="468"/>
      <c r="AC774" s="468"/>
      <c r="AD774" s="468"/>
      <c r="AE774" s="468"/>
      <c r="AF774" s="468"/>
      <c r="AG774" s="468"/>
      <c r="AH774" s="468"/>
      <c r="AI774" s="468"/>
      <c r="AJ774" s="468"/>
    </row>
    <row r="775" spans="1:36" ht="18" customHeight="1" x14ac:dyDescent="0.35">
      <c r="A775" s="468"/>
      <c r="B775" s="468"/>
      <c r="C775" s="468"/>
      <c r="D775" s="468"/>
      <c r="E775" s="468"/>
      <c r="F775" s="468"/>
      <c r="G775" s="468"/>
      <c r="H775" s="468"/>
      <c r="I775" s="468"/>
      <c r="J775" s="468"/>
      <c r="K775" s="468"/>
      <c r="L775" s="468"/>
      <c r="M775" s="468"/>
      <c r="N775" s="468"/>
      <c r="O775" s="468"/>
      <c r="P775" s="468"/>
      <c r="Q775" s="468"/>
      <c r="R775" s="468"/>
      <c r="S775" s="468"/>
      <c r="T775" s="468"/>
      <c r="U775" s="468"/>
      <c r="V775" s="468"/>
      <c r="W775" s="468"/>
      <c r="X775" s="468"/>
      <c r="Y775" s="468"/>
      <c r="Z775" s="468"/>
      <c r="AA775" s="468"/>
      <c r="AB775" s="468"/>
      <c r="AC775" s="468"/>
      <c r="AD775" s="468"/>
      <c r="AE775" s="468"/>
      <c r="AF775" s="468"/>
      <c r="AG775" s="468"/>
      <c r="AH775" s="468"/>
      <c r="AI775" s="468"/>
      <c r="AJ775" s="468"/>
    </row>
    <row r="776" spans="1:36" ht="18" customHeight="1" x14ac:dyDescent="0.35">
      <c r="A776" s="468"/>
      <c r="B776" s="468"/>
      <c r="C776" s="468"/>
      <c r="D776" s="468"/>
      <c r="E776" s="468"/>
      <c r="F776" s="468"/>
      <c r="G776" s="468"/>
      <c r="H776" s="468"/>
      <c r="I776" s="468"/>
      <c r="J776" s="468"/>
      <c r="K776" s="468"/>
      <c r="L776" s="468"/>
      <c r="M776" s="468"/>
      <c r="N776" s="468"/>
      <c r="O776" s="468"/>
      <c r="P776" s="468"/>
      <c r="Q776" s="468"/>
      <c r="R776" s="468"/>
      <c r="S776" s="468"/>
      <c r="T776" s="468"/>
      <c r="U776" s="468"/>
      <c r="V776" s="468"/>
      <c r="W776" s="468"/>
      <c r="X776" s="468"/>
      <c r="Y776" s="468"/>
      <c r="Z776" s="468"/>
      <c r="AA776" s="468"/>
      <c r="AB776" s="468"/>
      <c r="AC776" s="468"/>
      <c r="AD776" s="468"/>
      <c r="AE776" s="468"/>
      <c r="AF776" s="468"/>
      <c r="AG776" s="468"/>
      <c r="AH776" s="468"/>
      <c r="AI776" s="468"/>
      <c r="AJ776" s="468"/>
    </row>
    <row r="777" spans="1:36" ht="18" customHeight="1" x14ac:dyDescent="0.35">
      <c r="A777" s="468"/>
      <c r="B777" s="468"/>
      <c r="C777" s="468"/>
      <c r="D777" s="468"/>
      <c r="E777" s="468"/>
      <c r="F777" s="468"/>
      <c r="G777" s="468"/>
      <c r="H777" s="468"/>
      <c r="I777" s="468"/>
      <c r="J777" s="468"/>
      <c r="K777" s="468"/>
      <c r="L777" s="468"/>
      <c r="M777" s="468"/>
      <c r="N777" s="468"/>
      <c r="O777" s="468"/>
      <c r="P777" s="468"/>
      <c r="Q777" s="468"/>
      <c r="R777" s="468"/>
      <c r="S777" s="468"/>
      <c r="T777" s="468"/>
      <c r="U777" s="468"/>
      <c r="V777" s="468"/>
      <c r="W777" s="468"/>
      <c r="X777" s="468"/>
      <c r="Y777" s="468"/>
      <c r="Z777" s="468"/>
      <c r="AA777" s="468"/>
      <c r="AB777" s="468"/>
      <c r="AC777" s="468"/>
      <c r="AD777" s="468"/>
      <c r="AE777" s="468"/>
      <c r="AF777" s="468"/>
      <c r="AG777" s="468"/>
      <c r="AH777" s="468"/>
      <c r="AI777" s="468"/>
      <c r="AJ777" s="468"/>
    </row>
    <row r="778" spans="1:36" ht="18" customHeight="1" x14ac:dyDescent="0.35">
      <c r="A778" s="468"/>
      <c r="B778" s="468"/>
      <c r="C778" s="468"/>
      <c r="D778" s="468"/>
      <c r="E778" s="468"/>
      <c r="F778" s="468"/>
      <c r="G778" s="468"/>
      <c r="H778" s="468"/>
      <c r="I778" s="468"/>
      <c r="J778" s="468"/>
      <c r="K778" s="468"/>
      <c r="L778" s="468"/>
      <c r="M778" s="468"/>
      <c r="N778" s="468"/>
      <c r="O778" s="468"/>
      <c r="P778" s="468"/>
      <c r="Q778" s="468"/>
      <c r="R778" s="468"/>
      <c r="S778" s="468"/>
      <c r="T778" s="468"/>
      <c r="U778" s="468"/>
      <c r="V778" s="468"/>
      <c r="W778" s="468"/>
      <c r="X778" s="468"/>
      <c r="Y778" s="468"/>
      <c r="Z778" s="468"/>
      <c r="AA778" s="468"/>
      <c r="AB778" s="468"/>
      <c r="AC778" s="468"/>
      <c r="AD778" s="468"/>
      <c r="AE778" s="468"/>
      <c r="AF778" s="468"/>
      <c r="AG778" s="468"/>
      <c r="AH778" s="468"/>
      <c r="AI778" s="468"/>
      <c r="AJ778" s="468"/>
    </row>
    <row r="779" spans="1:36" ht="18" customHeight="1" x14ac:dyDescent="0.35">
      <c r="A779" s="468"/>
      <c r="B779" s="468"/>
      <c r="C779" s="468"/>
      <c r="D779" s="468"/>
      <c r="E779" s="468"/>
      <c r="F779" s="468"/>
      <c r="G779" s="468"/>
      <c r="H779" s="468"/>
      <c r="I779" s="468"/>
      <c r="J779" s="468"/>
      <c r="K779" s="468"/>
      <c r="L779" s="468"/>
      <c r="M779" s="468"/>
      <c r="N779" s="468"/>
      <c r="O779" s="468"/>
      <c r="P779" s="468"/>
      <c r="Q779" s="468"/>
      <c r="R779" s="468"/>
      <c r="S779" s="468"/>
      <c r="T779" s="468"/>
      <c r="U779" s="468"/>
      <c r="V779" s="468"/>
      <c r="W779" s="468"/>
      <c r="X779" s="468"/>
      <c r="Y779" s="468"/>
      <c r="Z779" s="468"/>
      <c r="AA779" s="468"/>
      <c r="AB779" s="468"/>
      <c r="AC779" s="468"/>
      <c r="AD779" s="468"/>
      <c r="AE779" s="468"/>
      <c r="AF779" s="468"/>
      <c r="AG779" s="468"/>
      <c r="AH779" s="468"/>
      <c r="AI779" s="468"/>
      <c r="AJ779" s="468"/>
    </row>
    <row r="780" spans="1:36" ht="18" customHeight="1" x14ac:dyDescent="0.35">
      <c r="A780" s="468"/>
      <c r="B780" s="468"/>
      <c r="C780" s="468"/>
      <c r="D780" s="468"/>
      <c r="E780" s="468"/>
      <c r="F780" s="468"/>
      <c r="G780" s="468"/>
      <c r="H780" s="468"/>
      <c r="I780" s="468"/>
      <c r="J780" s="468"/>
      <c r="K780" s="468"/>
      <c r="L780" s="468"/>
      <c r="M780" s="468"/>
      <c r="N780" s="468"/>
      <c r="O780" s="468"/>
      <c r="P780" s="468"/>
      <c r="Q780" s="468"/>
      <c r="R780" s="468"/>
      <c r="S780" s="468"/>
      <c r="T780" s="468"/>
      <c r="U780" s="468"/>
      <c r="V780" s="468"/>
      <c r="W780" s="468"/>
      <c r="X780" s="468"/>
      <c r="Y780" s="468"/>
      <c r="Z780" s="468"/>
      <c r="AA780" s="468"/>
      <c r="AB780" s="468"/>
      <c r="AC780" s="468"/>
      <c r="AD780" s="468"/>
      <c r="AE780" s="468"/>
      <c r="AF780" s="468"/>
      <c r="AG780" s="468"/>
      <c r="AH780" s="468"/>
      <c r="AI780" s="468"/>
      <c r="AJ780" s="468"/>
    </row>
    <row r="781" spans="1:36" ht="18" customHeight="1" x14ac:dyDescent="0.35">
      <c r="A781" s="468"/>
      <c r="B781" s="468"/>
      <c r="C781" s="468"/>
      <c r="D781" s="468"/>
      <c r="E781" s="468"/>
      <c r="F781" s="468"/>
      <c r="G781" s="468"/>
      <c r="H781" s="468"/>
      <c r="I781" s="468"/>
      <c r="J781" s="468"/>
      <c r="K781" s="468"/>
      <c r="L781" s="468"/>
      <c r="M781" s="468"/>
      <c r="N781" s="468"/>
      <c r="O781" s="468"/>
      <c r="P781" s="468"/>
      <c r="Q781" s="468"/>
      <c r="R781" s="468"/>
      <c r="S781" s="468"/>
      <c r="T781" s="468"/>
      <c r="U781" s="468"/>
      <c r="V781" s="468"/>
      <c r="W781" s="468"/>
      <c r="X781" s="468"/>
      <c r="Y781" s="468"/>
      <c r="Z781" s="468"/>
      <c r="AA781" s="468"/>
      <c r="AB781" s="468"/>
      <c r="AC781" s="468"/>
      <c r="AD781" s="468"/>
      <c r="AE781" s="468"/>
      <c r="AF781" s="468"/>
      <c r="AG781" s="468"/>
      <c r="AH781" s="468"/>
      <c r="AI781" s="468"/>
      <c r="AJ781" s="468"/>
    </row>
    <row r="782" spans="1:36" ht="18" customHeight="1" x14ac:dyDescent="0.35">
      <c r="A782" s="468"/>
      <c r="B782" s="468"/>
      <c r="C782" s="468"/>
      <c r="D782" s="468"/>
      <c r="E782" s="468"/>
      <c r="F782" s="468"/>
      <c r="G782" s="468"/>
      <c r="H782" s="468"/>
      <c r="I782" s="468"/>
      <c r="J782" s="468"/>
      <c r="K782" s="468"/>
      <c r="L782" s="468"/>
      <c r="M782" s="468"/>
      <c r="N782" s="468"/>
      <c r="O782" s="468"/>
      <c r="P782" s="468"/>
      <c r="Q782" s="468"/>
      <c r="R782" s="468"/>
      <c r="S782" s="468"/>
      <c r="T782" s="468"/>
      <c r="U782" s="468"/>
      <c r="V782" s="468"/>
      <c r="W782" s="468"/>
      <c r="X782" s="468"/>
      <c r="Y782" s="468"/>
      <c r="Z782" s="468"/>
      <c r="AA782" s="468"/>
      <c r="AB782" s="468"/>
      <c r="AC782" s="468"/>
      <c r="AD782" s="468"/>
      <c r="AE782" s="468"/>
      <c r="AF782" s="468"/>
      <c r="AG782" s="468"/>
      <c r="AH782" s="468"/>
      <c r="AI782" s="468"/>
      <c r="AJ782" s="468"/>
    </row>
    <row r="783" spans="1:36" ht="18" customHeight="1" x14ac:dyDescent="0.35">
      <c r="A783" s="468"/>
      <c r="B783" s="468"/>
      <c r="C783" s="468"/>
      <c r="D783" s="468"/>
      <c r="E783" s="468"/>
      <c r="F783" s="468"/>
      <c r="G783" s="468"/>
      <c r="H783" s="468"/>
      <c r="I783" s="468"/>
      <c r="J783" s="468"/>
      <c r="K783" s="468"/>
      <c r="L783" s="468"/>
      <c r="M783" s="468"/>
      <c r="N783" s="468"/>
      <c r="O783" s="468"/>
      <c r="P783" s="468"/>
      <c r="Q783" s="468"/>
      <c r="R783" s="468"/>
      <c r="S783" s="468"/>
      <c r="T783" s="468"/>
      <c r="U783" s="468"/>
      <c r="V783" s="468"/>
      <c r="W783" s="468"/>
      <c r="X783" s="468"/>
      <c r="Y783" s="468"/>
      <c r="Z783" s="468"/>
      <c r="AA783" s="468"/>
      <c r="AB783" s="468"/>
      <c r="AC783" s="468"/>
      <c r="AD783" s="468"/>
      <c r="AE783" s="468"/>
      <c r="AF783" s="468"/>
      <c r="AG783" s="468"/>
      <c r="AH783" s="468"/>
      <c r="AI783" s="468"/>
      <c r="AJ783" s="468"/>
    </row>
    <row r="784" spans="1:36" ht="18" customHeight="1" x14ac:dyDescent="0.35">
      <c r="A784" s="468"/>
      <c r="B784" s="468"/>
      <c r="C784" s="468"/>
      <c r="D784" s="468"/>
      <c r="E784" s="468"/>
      <c r="F784" s="468"/>
      <c r="G784" s="468"/>
      <c r="H784" s="468"/>
      <c r="I784" s="468"/>
      <c r="J784" s="468"/>
      <c r="K784" s="468"/>
      <c r="L784" s="468"/>
      <c r="M784" s="468"/>
      <c r="N784" s="468"/>
      <c r="O784" s="468"/>
      <c r="P784" s="468"/>
      <c r="Q784" s="468"/>
      <c r="R784" s="468"/>
      <c r="S784" s="468"/>
      <c r="T784" s="468"/>
      <c r="U784" s="468"/>
      <c r="V784" s="468"/>
      <c r="W784" s="468"/>
      <c r="X784" s="468"/>
      <c r="Y784" s="468"/>
      <c r="Z784" s="468"/>
      <c r="AA784" s="468"/>
      <c r="AB784" s="468"/>
      <c r="AC784" s="468"/>
      <c r="AD784" s="468"/>
      <c r="AE784" s="468"/>
      <c r="AF784" s="468"/>
      <c r="AG784" s="468"/>
      <c r="AH784" s="468"/>
      <c r="AI784" s="468"/>
      <c r="AJ784" s="468"/>
    </row>
    <row r="785" spans="1:36" ht="18" customHeight="1" x14ac:dyDescent="0.35">
      <c r="A785" s="468"/>
      <c r="B785" s="468"/>
      <c r="C785" s="468"/>
      <c r="D785" s="468"/>
      <c r="E785" s="468"/>
      <c r="F785" s="468"/>
      <c r="G785" s="468"/>
      <c r="H785" s="468"/>
      <c r="I785" s="468"/>
      <c r="J785" s="468"/>
      <c r="K785" s="468"/>
      <c r="L785" s="468"/>
      <c r="M785" s="468"/>
      <c r="N785" s="468"/>
      <c r="O785" s="468"/>
      <c r="P785" s="468"/>
      <c r="Q785" s="468"/>
      <c r="R785" s="468"/>
      <c r="S785" s="468"/>
      <c r="T785" s="468"/>
      <c r="U785" s="468"/>
      <c r="V785" s="468"/>
      <c r="W785" s="468"/>
      <c r="X785" s="468"/>
      <c r="Y785" s="468"/>
      <c r="Z785" s="468"/>
      <c r="AA785" s="468"/>
      <c r="AB785" s="468"/>
      <c r="AC785" s="468"/>
      <c r="AD785" s="468"/>
      <c r="AE785" s="468"/>
      <c r="AF785" s="468"/>
      <c r="AG785" s="468"/>
      <c r="AH785" s="468"/>
      <c r="AI785" s="468"/>
      <c r="AJ785" s="468"/>
    </row>
    <row r="786" spans="1:36" ht="18" customHeight="1" x14ac:dyDescent="0.35">
      <c r="A786" s="468"/>
      <c r="B786" s="468"/>
      <c r="C786" s="468"/>
      <c r="D786" s="468"/>
      <c r="E786" s="468"/>
      <c r="F786" s="468"/>
      <c r="G786" s="468"/>
      <c r="H786" s="468"/>
      <c r="I786" s="468"/>
      <c r="J786" s="468"/>
      <c r="K786" s="468"/>
      <c r="L786" s="468"/>
      <c r="M786" s="468"/>
      <c r="N786" s="468"/>
      <c r="O786" s="468"/>
      <c r="P786" s="468"/>
      <c r="Q786" s="468"/>
      <c r="R786" s="468"/>
      <c r="S786" s="468"/>
      <c r="T786" s="468"/>
      <c r="U786" s="468"/>
      <c r="V786" s="468"/>
      <c r="W786" s="468"/>
      <c r="X786" s="468"/>
      <c r="Y786" s="468"/>
      <c r="Z786" s="468"/>
      <c r="AA786" s="468"/>
      <c r="AB786" s="468"/>
      <c r="AC786" s="468"/>
      <c r="AD786" s="468"/>
      <c r="AE786" s="468"/>
      <c r="AF786" s="468"/>
      <c r="AG786" s="468"/>
      <c r="AH786" s="468"/>
      <c r="AI786" s="468"/>
      <c r="AJ786" s="468"/>
    </row>
    <row r="787" spans="1:36" ht="18" customHeight="1" x14ac:dyDescent="0.35">
      <c r="A787" s="468"/>
      <c r="B787" s="468"/>
      <c r="C787" s="468"/>
      <c r="D787" s="468"/>
      <c r="E787" s="468"/>
      <c r="F787" s="468"/>
      <c r="G787" s="468"/>
      <c r="H787" s="468"/>
      <c r="I787" s="468"/>
      <c r="J787" s="468"/>
      <c r="K787" s="468"/>
      <c r="L787" s="468"/>
      <c r="M787" s="468"/>
      <c r="N787" s="468"/>
      <c r="O787" s="468"/>
      <c r="P787" s="468"/>
      <c r="Q787" s="468"/>
      <c r="R787" s="468"/>
      <c r="S787" s="468"/>
      <c r="T787" s="468"/>
      <c r="U787" s="468"/>
      <c r="V787" s="468"/>
      <c r="W787" s="468"/>
      <c r="X787" s="468"/>
      <c r="Y787" s="468"/>
      <c r="Z787" s="468"/>
      <c r="AA787" s="468"/>
      <c r="AB787" s="468"/>
      <c r="AC787" s="468"/>
      <c r="AD787" s="468"/>
      <c r="AE787" s="468"/>
      <c r="AF787" s="468"/>
      <c r="AG787" s="468"/>
      <c r="AH787" s="468"/>
      <c r="AI787" s="468"/>
      <c r="AJ787" s="468"/>
    </row>
    <row r="788" spans="1:36" ht="18" customHeight="1" x14ac:dyDescent="0.35">
      <c r="A788" s="468"/>
      <c r="B788" s="468"/>
      <c r="C788" s="468"/>
      <c r="D788" s="468"/>
      <c r="E788" s="468"/>
      <c r="F788" s="468"/>
      <c r="G788" s="468"/>
      <c r="H788" s="468"/>
      <c r="I788" s="468"/>
      <c r="J788" s="468"/>
      <c r="K788" s="468"/>
      <c r="L788" s="468"/>
      <c r="M788" s="468"/>
      <c r="N788" s="468"/>
      <c r="O788" s="468"/>
      <c r="P788" s="468"/>
      <c r="Q788" s="468"/>
      <c r="R788" s="468"/>
      <c r="S788" s="468"/>
      <c r="T788" s="468"/>
      <c r="U788" s="468"/>
      <c r="V788" s="468"/>
      <c r="W788" s="468"/>
      <c r="X788" s="468"/>
      <c r="Y788" s="468"/>
      <c r="Z788" s="468"/>
      <c r="AA788" s="468"/>
      <c r="AB788" s="468"/>
      <c r="AC788" s="468"/>
      <c r="AD788" s="468"/>
      <c r="AE788" s="468"/>
      <c r="AF788" s="468"/>
      <c r="AG788" s="468"/>
      <c r="AH788" s="468"/>
      <c r="AI788" s="468"/>
      <c r="AJ788" s="468"/>
    </row>
    <row r="789" spans="1:36" ht="18" customHeight="1" x14ac:dyDescent="0.35">
      <c r="A789" s="468"/>
      <c r="B789" s="468"/>
      <c r="C789" s="468"/>
      <c r="D789" s="468"/>
      <c r="E789" s="468"/>
      <c r="F789" s="468"/>
      <c r="G789" s="468"/>
      <c r="H789" s="468"/>
      <c r="I789" s="468"/>
      <c r="J789" s="468"/>
      <c r="K789" s="468"/>
      <c r="L789" s="468"/>
      <c r="M789" s="468"/>
      <c r="N789" s="468"/>
      <c r="O789" s="468"/>
      <c r="P789" s="468"/>
      <c r="Q789" s="468"/>
      <c r="R789" s="468"/>
      <c r="S789" s="468"/>
      <c r="T789" s="468"/>
      <c r="U789" s="468"/>
      <c r="V789" s="468"/>
      <c r="W789" s="468"/>
      <c r="X789" s="468"/>
      <c r="Y789" s="468"/>
      <c r="Z789" s="468"/>
      <c r="AA789" s="468"/>
      <c r="AB789" s="468"/>
      <c r="AC789" s="468"/>
      <c r="AD789" s="468"/>
      <c r="AE789" s="468"/>
      <c r="AF789" s="468"/>
      <c r="AG789" s="468"/>
      <c r="AH789" s="468"/>
      <c r="AI789" s="468"/>
      <c r="AJ789" s="468"/>
    </row>
    <row r="790" spans="1:36" ht="18" customHeight="1" x14ac:dyDescent="0.35">
      <c r="A790" s="468"/>
      <c r="B790" s="468"/>
      <c r="C790" s="468"/>
      <c r="D790" s="468"/>
      <c r="E790" s="468"/>
      <c r="F790" s="468"/>
      <c r="G790" s="468"/>
      <c r="H790" s="468"/>
      <c r="I790" s="468"/>
      <c r="J790" s="468"/>
      <c r="K790" s="468"/>
      <c r="L790" s="468"/>
      <c r="M790" s="468"/>
      <c r="N790" s="468"/>
      <c r="O790" s="468"/>
      <c r="P790" s="468"/>
      <c r="Q790" s="468"/>
      <c r="R790" s="468"/>
      <c r="S790" s="468"/>
      <c r="T790" s="468"/>
      <c r="U790" s="468"/>
      <c r="V790" s="468"/>
      <c r="W790" s="468"/>
      <c r="X790" s="468"/>
      <c r="Y790" s="468"/>
      <c r="Z790" s="468"/>
      <c r="AA790" s="468"/>
      <c r="AB790" s="468"/>
      <c r="AC790" s="468"/>
      <c r="AD790" s="468"/>
      <c r="AE790" s="468"/>
      <c r="AF790" s="468"/>
      <c r="AG790" s="468"/>
      <c r="AH790" s="468"/>
      <c r="AI790" s="468"/>
      <c r="AJ790" s="468"/>
    </row>
    <row r="791" spans="1:36" ht="18" customHeight="1" x14ac:dyDescent="0.35">
      <c r="A791" s="468"/>
      <c r="B791" s="468"/>
      <c r="C791" s="468"/>
      <c r="D791" s="468"/>
      <c r="E791" s="468"/>
      <c r="F791" s="468"/>
      <c r="G791" s="468"/>
      <c r="H791" s="468"/>
      <c r="I791" s="468"/>
      <c r="J791" s="468"/>
      <c r="K791" s="468"/>
      <c r="L791" s="468"/>
      <c r="M791" s="468"/>
      <c r="N791" s="468"/>
      <c r="O791" s="468"/>
      <c r="P791" s="468"/>
      <c r="Q791" s="468"/>
      <c r="R791" s="468"/>
      <c r="S791" s="468"/>
      <c r="T791" s="468"/>
      <c r="U791" s="468"/>
      <c r="V791" s="468"/>
      <c r="W791" s="468"/>
      <c r="X791" s="468"/>
      <c r="Y791" s="468"/>
      <c r="Z791" s="468"/>
      <c r="AA791" s="468"/>
      <c r="AB791" s="468"/>
      <c r="AC791" s="468"/>
      <c r="AD791" s="468"/>
      <c r="AE791" s="468"/>
      <c r="AF791" s="468"/>
      <c r="AG791" s="468"/>
      <c r="AH791" s="468"/>
      <c r="AI791" s="468"/>
      <c r="AJ791" s="468"/>
    </row>
    <row r="792" spans="1:36" ht="18" customHeight="1" x14ac:dyDescent="0.35">
      <c r="A792" s="468"/>
      <c r="B792" s="468"/>
      <c r="C792" s="468"/>
      <c r="D792" s="468"/>
      <c r="E792" s="468"/>
      <c r="F792" s="468"/>
      <c r="G792" s="468"/>
      <c r="H792" s="468"/>
      <c r="I792" s="468"/>
      <c r="J792" s="468"/>
      <c r="K792" s="468"/>
      <c r="L792" s="468"/>
      <c r="M792" s="468"/>
      <c r="N792" s="468"/>
      <c r="O792" s="468"/>
      <c r="P792" s="468"/>
      <c r="Q792" s="468"/>
      <c r="R792" s="468"/>
      <c r="S792" s="468"/>
      <c r="T792" s="468"/>
      <c r="U792" s="468"/>
      <c r="V792" s="468"/>
      <c r="W792" s="468"/>
      <c r="X792" s="468"/>
      <c r="Y792" s="468"/>
      <c r="Z792" s="468"/>
      <c r="AA792" s="468"/>
      <c r="AB792" s="468"/>
      <c r="AC792" s="468"/>
      <c r="AD792" s="468"/>
      <c r="AE792" s="468"/>
      <c r="AF792" s="468"/>
      <c r="AG792" s="468"/>
      <c r="AH792" s="468"/>
      <c r="AI792" s="468"/>
      <c r="AJ792" s="468"/>
    </row>
    <row r="793" spans="1:36" ht="18" customHeight="1" x14ac:dyDescent="0.35">
      <c r="A793" s="468"/>
      <c r="B793" s="468"/>
      <c r="C793" s="468"/>
      <c r="D793" s="468"/>
      <c r="E793" s="468"/>
      <c r="F793" s="468"/>
      <c r="G793" s="468"/>
      <c r="H793" s="468"/>
      <c r="I793" s="468"/>
      <c r="J793" s="468"/>
      <c r="K793" s="468"/>
      <c r="L793" s="468"/>
      <c r="M793" s="468"/>
      <c r="N793" s="468"/>
      <c r="O793" s="468"/>
      <c r="P793" s="468"/>
      <c r="Q793" s="468"/>
      <c r="R793" s="468"/>
      <c r="S793" s="468"/>
      <c r="T793" s="468"/>
      <c r="U793" s="468"/>
      <c r="V793" s="468"/>
      <c r="W793" s="468"/>
      <c r="X793" s="468"/>
      <c r="Y793" s="468"/>
      <c r="Z793" s="468"/>
      <c r="AA793" s="468"/>
      <c r="AB793" s="468"/>
      <c r="AC793" s="468"/>
      <c r="AD793" s="468"/>
      <c r="AE793" s="468"/>
      <c r="AF793" s="468"/>
      <c r="AG793" s="468"/>
      <c r="AH793" s="468"/>
      <c r="AI793" s="468"/>
      <c r="AJ793" s="468"/>
    </row>
    <row r="794" spans="1:36" ht="18" customHeight="1" x14ac:dyDescent="0.35">
      <c r="A794" s="468"/>
      <c r="B794" s="468"/>
      <c r="C794" s="468"/>
      <c r="D794" s="468"/>
      <c r="E794" s="468"/>
      <c r="F794" s="468"/>
      <c r="G794" s="468"/>
      <c r="H794" s="468"/>
      <c r="I794" s="468"/>
      <c r="J794" s="468"/>
      <c r="K794" s="468"/>
      <c r="L794" s="468"/>
      <c r="M794" s="468"/>
      <c r="N794" s="468"/>
      <c r="O794" s="468"/>
      <c r="P794" s="468"/>
      <c r="Q794" s="468"/>
      <c r="R794" s="468"/>
      <c r="S794" s="468"/>
      <c r="T794" s="468"/>
      <c r="U794" s="468"/>
      <c r="V794" s="468"/>
      <c r="W794" s="468"/>
      <c r="X794" s="468"/>
      <c r="Y794" s="468"/>
      <c r="Z794" s="468"/>
      <c r="AA794" s="468"/>
      <c r="AB794" s="468"/>
      <c r="AC794" s="468"/>
      <c r="AD794" s="468"/>
      <c r="AE794" s="468"/>
      <c r="AF794" s="468"/>
      <c r="AG794" s="468"/>
      <c r="AH794" s="468"/>
      <c r="AI794" s="468"/>
      <c r="AJ794" s="468"/>
    </row>
    <row r="795" spans="1:36" ht="18" customHeight="1" x14ac:dyDescent="0.35">
      <c r="A795" s="468"/>
      <c r="B795" s="468"/>
      <c r="C795" s="468"/>
      <c r="D795" s="468"/>
      <c r="E795" s="468"/>
      <c r="F795" s="468"/>
      <c r="G795" s="468"/>
      <c r="H795" s="468"/>
      <c r="I795" s="468"/>
      <c r="J795" s="468"/>
      <c r="K795" s="468"/>
      <c r="L795" s="468"/>
      <c r="M795" s="468"/>
      <c r="N795" s="468"/>
      <c r="O795" s="468"/>
      <c r="P795" s="468"/>
      <c r="Q795" s="468"/>
      <c r="R795" s="468"/>
      <c r="S795" s="468"/>
      <c r="T795" s="468"/>
      <c r="U795" s="468"/>
      <c r="V795" s="468"/>
      <c r="W795" s="468"/>
      <c r="X795" s="468"/>
      <c r="Y795" s="468"/>
      <c r="Z795" s="468"/>
      <c r="AA795" s="468"/>
      <c r="AB795" s="468"/>
      <c r="AC795" s="468"/>
      <c r="AD795" s="468"/>
      <c r="AE795" s="468"/>
      <c r="AF795" s="468"/>
      <c r="AG795" s="468"/>
      <c r="AH795" s="468"/>
      <c r="AI795" s="468"/>
      <c r="AJ795" s="468"/>
    </row>
    <row r="796" spans="1:36" ht="18" customHeight="1" x14ac:dyDescent="0.35">
      <c r="A796" s="468"/>
      <c r="B796" s="468"/>
      <c r="C796" s="468"/>
      <c r="D796" s="468"/>
      <c r="E796" s="468"/>
      <c r="F796" s="468"/>
      <c r="G796" s="468"/>
      <c r="H796" s="468"/>
      <c r="I796" s="468"/>
      <c r="J796" s="468"/>
      <c r="K796" s="468"/>
      <c r="L796" s="468"/>
      <c r="M796" s="468"/>
      <c r="N796" s="468"/>
      <c r="O796" s="468"/>
      <c r="P796" s="468"/>
      <c r="Q796" s="468"/>
      <c r="R796" s="468"/>
      <c r="S796" s="468"/>
      <c r="T796" s="468"/>
      <c r="U796" s="468"/>
      <c r="V796" s="468"/>
      <c r="W796" s="468"/>
      <c r="X796" s="468"/>
      <c r="Y796" s="468"/>
      <c r="Z796" s="468"/>
      <c r="AA796" s="468"/>
      <c r="AB796" s="468"/>
      <c r="AC796" s="468"/>
      <c r="AD796" s="468"/>
      <c r="AE796" s="468"/>
      <c r="AF796" s="468"/>
      <c r="AG796" s="468"/>
      <c r="AH796" s="468"/>
      <c r="AI796" s="468"/>
      <c r="AJ796" s="468"/>
    </row>
    <row r="797" spans="1:36" ht="18" customHeight="1" x14ac:dyDescent="0.35">
      <c r="A797" s="468"/>
      <c r="B797" s="468"/>
      <c r="C797" s="468"/>
      <c r="D797" s="468"/>
      <c r="E797" s="468"/>
      <c r="F797" s="468"/>
      <c r="G797" s="468"/>
      <c r="H797" s="468"/>
      <c r="I797" s="468"/>
      <c r="J797" s="468"/>
      <c r="K797" s="468"/>
      <c r="L797" s="468"/>
      <c r="M797" s="468"/>
      <c r="N797" s="468"/>
      <c r="O797" s="468"/>
      <c r="P797" s="468"/>
      <c r="Q797" s="468"/>
      <c r="R797" s="468"/>
      <c r="S797" s="468"/>
      <c r="T797" s="468"/>
      <c r="U797" s="468"/>
      <c r="V797" s="468"/>
      <c r="W797" s="468"/>
      <c r="X797" s="468"/>
      <c r="Y797" s="468"/>
      <c r="Z797" s="468"/>
      <c r="AA797" s="468"/>
      <c r="AB797" s="468"/>
      <c r="AC797" s="468"/>
      <c r="AD797" s="468"/>
      <c r="AE797" s="468"/>
      <c r="AF797" s="468"/>
      <c r="AG797" s="468"/>
      <c r="AH797" s="468"/>
      <c r="AI797" s="468"/>
      <c r="AJ797" s="468"/>
    </row>
    <row r="798" spans="1:36" ht="18" customHeight="1" x14ac:dyDescent="0.35">
      <c r="A798" s="468"/>
      <c r="B798" s="468"/>
      <c r="C798" s="468"/>
      <c r="D798" s="468"/>
      <c r="E798" s="468"/>
      <c r="F798" s="468"/>
      <c r="G798" s="468"/>
      <c r="H798" s="468"/>
      <c r="I798" s="468"/>
      <c r="J798" s="468"/>
      <c r="K798" s="468"/>
      <c r="L798" s="468"/>
      <c r="M798" s="468"/>
      <c r="N798" s="468"/>
      <c r="O798" s="468"/>
      <c r="P798" s="468"/>
      <c r="Q798" s="468"/>
      <c r="R798" s="468"/>
      <c r="S798" s="468"/>
      <c r="T798" s="468"/>
      <c r="U798" s="468"/>
      <c r="V798" s="468"/>
      <c r="W798" s="468"/>
      <c r="X798" s="468"/>
      <c r="Y798" s="468"/>
      <c r="Z798" s="468"/>
      <c r="AA798" s="468"/>
      <c r="AB798" s="468"/>
      <c r="AC798" s="468"/>
      <c r="AD798" s="468"/>
      <c r="AE798" s="468"/>
      <c r="AF798" s="468"/>
      <c r="AG798" s="468"/>
      <c r="AH798" s="468"/>
      <c r="AI798" s="468"/>
      <c r="AJ798" s="468"/>
    </row>
    <row r="799" spans="1:36" ht="18" customHeight="1" x14ac:dyDescent="0.35">
      <c r="A799" s="468"/>
      <c r="B799" s="468"/>
      <c r="C799" s="468"/>
      <c r="D799" s="468"/>
      <c r="E799" s="468"/>
      <c r="F799" s="468"/>
      <c r="G799" s="468"/>
      <c r="H799" s="468"/>
      <c r="I799" s="468"/>
      <c r="J799" s="468"/>
      <c r="K799" s="468"/>
      <c r="L799" s="468"/>
      <c r="M799" s="468"/>
      <c r="N799" s="468"/>
      <c r="O799" s="468"/>
      <c r="P799" s="468"/>
      <c r="Q799" s="468"/>
      <c r="R799" s="468"/>
      <c r="S799" s="468"/>
      <c r="T799" s="468"/>
      <c r="U799" s="468"/>
      <c r="V799" s="468"/>
      <c r="W799" s="468"/>
      <c r="X799" s="468"/>
      <c r="Y799" s="468"/>
      <c r="Z799" s="468"/>
      <c r="AA799" s="468"/>
      <c r="AB799" s="468"/>
      <c r="AC799" s="468"/>
      <c r="AD799" s="468"/>
      <c r="AE799" s="468"/>
      <c r="AF799" s="468"/>
      <c r="AG799" s="468"/>
      <c r="AH799" s="468"/>
      <c r="AI799" s="468"/>
      <c r="AJ799" s="468"/>
    </row>
    <row r="800" spans="1:36" ht="18" customHeight="1" x14ac:dyDescent="0.35">
      <c r="A800" s="468"/>
      <c r="B800" s="468"/>
      <c r="C800" s="468"/>
      <c r="D800" s="468"/>
      <c r="E800" s="468"/>
      <c r="F800" s="468"/>
      <c r="G800" s="468"/>
      <c r="H800" s="468"/>
      <c r="I800" s="468"/>
      <c r="J800" s="468"/>
      <c r="K800" s="468"/>
      <c r="L800" s="468"/>
      <c r="M800" s="468"/>
      <c r="N800" s="468"/>
      <c r="O800" s="468"/>
      <c r="P800" s="468"/>
      <c r="Q800" s="468"/>
      <c r="R800" s="468"/>
      <c r="S800" s="468"/>
      <c r="T800" s="468"/>
      <c r="U800" s="468"/>
      <c r="V800" s="468"/>
      <c r="W800" s="468"/>
      <c r="X800" s="468"/>
      <c r="Y800" s="468"/>
      <c r="Z800" s="468"/>
      <c r="AA800" s="468"/>
      <c r="AB800" s="468"/>
      <c r="AC800" s="468"/>
      <c r="AD800" s="468"/>
      <c r="AE800" s="468"/>
      <c r="AF800" s="468"/>
      <c r="AG800" s="468"/>
      <c r="AH800" s="468"/>
      <c r="AI800" s="468"/>
      <c r="AJ800" s="468"/>
    </row>
    <row r="801" spans="1:36" ht="18" customHeight="1" x14ac:dyDescent="0.35">
      <c r="A801" s="468"/>
      <c r="B801" s="468"/>
      <c r="C801" s="468"/>
      <c r="D801" s="468"/>
      <c r="E801" s="468"/>
      <c r="F801" s="468"/>
      <c r="G801" s="468"/>
      <c r="H801" s="468"/>
      <c r="I801" s="468"/>
      <c r="J801" s="468"/>
      <c r="K801" s="468"/>
      <c r="L801" s="468"/>
      <c r="M801" s="468"/>
      <c r="N801" s="468"/>
      <c r="O801" s="468"/>
      <c r="P801" s="468"/>
      <c r="Q801" s="468"/>
      <c r="R801" s="468"/>
      <c r="S801" s="468"/>
      <c r="T801" s="468"/>
      <c r="U801" s="468"/>
      <c r="V801" s="468"/>
      <c r="W801" s="468"/>
      <c r="X801" s="468"/>
      <c r="Y801" s="468"/>
      <c r="Z801" s="468"/>
      <c r="AA801" s="468"/>
      <c r="AB801" s="468"/>
      <c r="AC801" s="468"/>
      <c r="AD801" s="468"/>
      <c r="AE801" s="468"/>
      <c r="AF801" s="468"/>
      <c r="AG801" s="468"/>
      <c r="AH801" s="468"/>
      <c r="AI801" s="468"/>
      <c r="AJ801" s="468"/>
    </row>
    <row r="802" spans="1:36" ht="18" customHeight="1" x14ac:dyDescent="0.35">
      <c r="A802" s="468"/>
      <c r="B802" s="468"/>
      <c r="C802" s="468"/>
      <c r="D802" s="468"/>
      <c r="E802" s="468"/>
      <c r="F802" s="468"/>
      <c r="G802" s="468"/>
      <c r="H802" s="468"/>
      <c r="I802" s="468"/>
      <c r="J802" s="468"/>
      <c r="K802" s="468"/>
      <c r="L802" s="468"/>
      <c r="M802" s="468"/>
      <c r="N802" s="468"/>
      <c r="O802" s="468"/>
      <c r="P802" s="468"/>
      <c r="Q802" s="468"/>
      <c r="R802" s="468"/>
      <c r="S802" s="468"/>
      <c r="T802" s="468"/>
      <c r="U802" s="468"/>
      <c r="V802" s="468"/>
      <c r="W802" s="468"/>
      <c r="X802" s="468"/>
      <c r="Y802" s="468"/>
      <c r="Z802" s="468"/>
      <c r="AA802" s="468"/>
      <c r="AB802" s="468"/>
      <c r="AC802" s="468"/>
      <c r="AD802" s="468"/>
      <c r="AE802" s="468"/>
      <c r="AF802" s="468"/>
      <c r="AG802" s="468"/>
      <c r="AH802" s="468"/>
      <c r="AI802" s="468"/>
      <c r="AJ802" s="468"/>
    </row>
    <row r="803" spans="1:36" ht="18" customHeight="1" x14ac:dyDescent="0.35">
      <c r="A803" s="468"/>
      <c r="B803" s="468"/>
      <c r="C803" s="468"/>
      <c r="D803" s="468"/>
      <c r="E803" s="468"/>
      <c r="F803" s="468"/>
      <c r="G803" s="468"/>
      <c r="H803" s="468"/>
      <c r="I803" s="468"/>
      <c r="J803" s="468"/>
      <c r="K803" s="468"/>
      <c r="L803" s="468"/>
      <c r="M803" s="468"/>
      <c r="N803" s="468"/>
      <c r="O803" s="468"/>
      <c r="P803" s="468"/>
      <c r="Q803" s="468"/>
      <c r="R803" s="468"/>
      <c r="S803" s="468"/>
      <c r="T803" s="468"/>
      <c r="U803" s="468"/>
      <c r="V803" s="468"/>
      <c r="W803" s="468"/>
      <c r="X803" s="468"/>
      <c r="Y803" s="468"/>
      <c r="Z803" s="468"/>
      <c r="AA803" s="468"/>
      <c r="AB803" s="468"/>
      <c r="AC803" s="468"/>
      <c r="AD803" s="468"/>
      <c r="AE803" s="468"/>
      <c r="AF803" s="468"/>
      <c r="AG803" s="468"/>
      <c r="AH803" s="468"/>
      <c r="AI803" s="468"/>
      <c r="AJ803" s="468"/>
    </row>
    <row r="804" spans="1:36" ht="18" customHeight="1" x14ac:dyDescent="0.35">
      <c r="A804" s="468"/>
      <c r="B804" s="468"/>
      <c r="C804" s="468"/>
      <c r="D804" s="468"/>
      <c r="E804" s="468"/>
      <c r="F804" s="468"/>
      <c r="G804" s="468"/>
      <c r="H804" s="468"/>
      <c r="I804" s="468"/>
      <c r="J804" s="468"/>
      <c r="K804" s="468"/>
      <c r="L804" s="468"/>
      <c r="M804" s="468"/>
      <c r="N804" s="468"/>
      <c r="O804" s="468"/>
      <c r="P804" s="468"/>
      <c r="Q804" s="468"/>
      <c r="R804" s="468"/>
      <c r="S804" s="468"/>
      <c r="T804" s="468"/>
      <c r="U804" s="468"/>
      <c r="V804" s="468"/>
      <c r="W804" s="468"/>
      <c r="X804" s="468"/>
      <c r="Y804" s="468"/>
      <c r="Z804" s="468"/>
      <c r="AA804" s="468"/>
      <c r="AB804" s="468"/>
      <c r="AC804" s="468"/>
      <c r="AD804" s="468"/>
      <c r="AE804" s="468"/>
      <c r="AF804" s="468"/>
      <c r="AG804" s="468"/>
      <c r="AH804" s="468"/>
      <c r="AI804" s="468"/>
      <c r="AJ804" s="468"/>
    </row>
    <row r="805" spans="1:36" ht="18" customHeight="1" x14ac:dyDescent="0.35">
      <c r="A805" s="468"/>
      <c r="B805" s="468"/>
      <c r="C805" s="468"/>
      <c r="D805" s="468"/>
      <c r="E805" s="468"/>
      <c r="F805" s="468"/>
      <c r="G805" s="468"/>
      <c r="H805" s="468"/>
      <c r="I805" s="468"/>
      <c r="J805" s="468"/>
      <c r="K805" s="468"/>
      <c r="L805" s="468"/>
      <c r="M805" s="468"/>
      <c r="N805" s="468"/>
      <c r="O805" s="468"/>
      <c r="P805" s="468"/>
      <c r="Q805" s="468"/>
      <c r="R805" s="468"/>
      <c r="S805" s="468"/>
      <c r="T805" s="468"/>
      <c r="U805" s="468"/>
      <c r="V805" s="468"/>
      <c r="W805" s="468"/>
      <c r="X805" s="468"/>
      <c r="Y805" s="468"/>
      <c r="Z805" s="468"/>
      <c r="AA805" s="468"/>
      <c r="AB805" s="468"/>
      <c r="AC805" s="468"/>
      <c r="AD805" s="468"/>
      <c r="AE805" s="468"/>
      <c r="AF805" s="468"/>
      <c r="AG805" s="468"/>
      <c r="AH805" s="468"/>
      <c r="AI805" s="468"/>
      <c r="AJ805" s="468"/>
    </row>
    <row r="806" spans="1:36" ht="18" customHeight="1" x14ac:dyDescent="0.35">
      <c r="A806" s="468"/>
      <c r="B806" s="468"/>
      <c r="C806" s="468"/>
      <c r="D806" s="468"/>
      <c r="E806" s="468"/>
      <c r="F806" s="468"/>
      <c r="G806" s="468"/>
      <c r="H806" s="468"/>
      <c r="I806" s="468"/>
      <c r="J806" s="468"/>
      <c r="K806" s="468"/>
      <c r="L806" s="468"/>
      <c r="M806" s="468"/>
      <c r="N806" s="468"/>
      <c r="O806" s="468"/>
      <c r="P806" s="468"/>
      <c r="Q806" s="468"/>
      <c r="R806" s="468"/>
      <c r="S806" s="468"/>
      <c r="T806" s="468"/>
      <c r="U806" s="468"/>
      <c r="V806" s="468"/>
      <c r="W806" s="468"/>
      <c r="X806" s="468"/>
      <c r="Y806" s="468"/>
      <c r="Z806" s="468"/>
      <c r="AA806" s="468"/>
      <c r="AB806" s="468"/>
      <c r="AC806" s="468"/>
      <c r="AD806" s="468"/>
      <c r="AE806" s="468"/>
      <c r="AF806" s="468"/>
      <c r="AG806" s="468"/>
      <c r="AH806" s="468"/>
      <c r="AI806" s="468"/>
      <c r="AJ806" s="468"/>
    </row>
    <row r="807" spans="1:36" ht="18" customHeight="1" x14ac:dyDescent="0.35">
      <c r="A807" s="468"/>
      <c r="B807" s="468"/>
      <c r="C807" s="468"/>
      <c r="D807" s="468"/>
      <c r="E807" s="468"/>
      <c r="F807" s="468"/>
      <c r="G807" s="468"/>
      <c r="H807" s="468"/>
      <c r="I807" s="468"/>
      <c r="J807" s="468"/>
      <c r="K807" s="468"/>
      <c r="L807" s="468"/>
      <c r="M807" s="468"/>
      <c r="N807" s="468"/>
      <c r="O807" s="468"/>
      <c r="P807" s="468"/>
      <c r="Q807" s="468"/>
      <c r="R807" s="468"/>
      <c r="S807" s="468"/>
      <c r="T807" s="468"/>
      <c r="U807" s="468"/>
      <c r="V807" s="468"/>
      <c r="W807" s="468"/>
      <c r="X807" s="468"/>
      <c r="Y807" s="468"/>
      <c r="Z807" s="468"/>
      <c r="AA807" s="468"/>
      <c r="AB807" s="468"/>
      <c r="AC807" s="468"/>
      <c r="AD807" s="468"/>
      <c r="AE807" s="468"/>
      <c r="AF807" s="468"/>
      <c r="AG807" s="468"/>
      <c r="AH807" s="468"/>
      <c r="AI807" s="468"/>
      <c r="AJ807" s="468"/>
    </row>
    <row r="808" spans="1:36" ht="18" customHeight="1" x14ac:dyDescent="0.35">
      <c r="A808" s="468"/>
      <c r="B808" s="468"/>
      <c r="C808" s="468"/>
      <c r="D808" s="468"/>
      <c r="E808" s="468"/>
      <c r="F808" s="468"/>
      <c r="G808" s="468"/>
      <c r="H808" s="468"/>
      <c r="I808" s="468"/>
      <c r="J808" s="468"/>
      <c r="K808" s="468"/>
      <c r="L808" s="468"/>
      <c r="M808" s="468"/>
      <c r="N808" s="468"/>
      <c r="O808" s="468"/>
      <c r="P808" s="468"/>
      <c r="Q808" s="468"/>
      <c r="R808" s="468"/>
      <c r="S808" s="468"/>
      <c r="T808" s="468"/>
      <c r="U808" s="468"/>
      <c r="V808" s="468"/>
      <c r="W808" s="468"/>
      <c r="X808" s="468"/>
      <c r="Y808" s="468"/>
      <c r="Z808" s="468"/>
      <c r="AA808" s="468"/>
      <c r="AB808" s="468"/>
      <c r="AC808" s="468"/>
      <c r="AD808" s="468"/>
      <c r="AE808" s="468"/>
      <c r="AF808" s="468"/>
      <c r="AG808" s="468"/>
      <c r="AH808" s="468"/>
      <c r="AI808" s="468"/>
      <c r="AJ808" s="468"/>
    </row>
    <row r="809" spans="1:36" ht="18" customHeight="1" x14ac:dyDescent="0.35">
      <c r="A809" s="468"/>
      <c r="B809" s="468"/>
      <c r="C809" s="468"/>
      <c r="D809" s="468"/>
      <c r="E809" s="468"/>
      <c r="F809" s="468"/>
      <c r="G809" s="468"/>
      <c r="H809" s="468"/>
      <c r="I809" s="468"/>
      <c r="J809" s="468"/>
      <c r="K809" s="468"/>
      <c r="L809" s="468"/>
      <c r="M809" s="468"/>
      <c r="N809" s="468"/>
      <c r="O809" s="468"/>
      <c r="P809" s="468"/>
      <c r="Q809" s="468"/>
      <c r="R809" s="468"/>
      <c r="S809" s="468"/>
      <c r="T809" s="468"/>
      <c r="U809" s="468"/>
      <c r="V809" s="468"/>
      <c r="W809" s="468"/>
      <c r="X809" s="468"/>
      <c r="Y809" s="468"/>
      <c r="Z809" s="468"/>
      <c r="AA809" s="468"/>
      <c r="AB809" s="468"/>
      <c r="AC809" s="468"/>
      <c r="AD809" s="468"/>
      <c r="AE809" s="468"/>
      <c r="AF809" s="468"/>
      <c r="AG809" s="468"/>
      <c r="AH809" s="468"/>
      <c r="AI809" s="468"/>
      <c r="AJ809" s="468"/>
    </row>
    <row r="810" spans="1:36" ht="18" customHeight="1" x14ac:dyDescent="0.35">
      <c r="A810" s="468"/>
      <c r="B810" s="468"/>
      <c r="C810" s="468"/>
      <c r="D810" s="468"/>
      <c r="E810" s="468"/>
      <c r="F810" s="468"/>
      <c r="G810" s="468"/>
      <c r="H810" s="468"/>
      <c r="I810" s="468"/>
      <c r="J810" s="468"/>
      <c r="K810" s="468"/>
      <c r="L810" s="468"/>
      <c r="M810" s="468"/>
      <c r="N810" s="468"/>
      <c r="O810" s="468"/>
      <c r="P810" s="468"/>
      <c r="Q810" s="468"/>
      <c r="R810" s="468"/>
      <c r="S810" s="468"/>
      <c r="T810" s="468"/>
      <c r="U810" s="468"/>
      <c r="V810" s="468"/>
      <c r="W810" s="468"/>
      <c r="X810" s="468"/>
      <c r="Y810" s="468"/>
      <c r="Z810" s="468"/>
      <c r="AA810" s="468"/>
      <c r="AB810" s="468"/>
      <c r="AC810" s="468"/>
      <c r="AD810" s="468"/>
      <c r="AE810" s="468"/>
      <c r="AF810" s="468"/>
      <c r="AG810" s="468"/>
      <c r="AH810" s="468"/>
      <c r="AI810" s="468"/>
      <c r="AJ810" s="468"/>
    </row>
    <row r="811" spans="1:36" ht="18" customHeight="1" x14ac:dyDescent="0.35">
      <c r="A811" s="468"/>
      <c r="B811" s="468"/>
      <c r="C811" s="468"/>
      <c r="D811" s="468"/>
      <c r="E811" s="468"/>
      <c r="F811" s="468"/>
      <c r="G811" s="468"/>
      <c r="H811" s="468"/>
      <c r="I811" s="468"/>
      <c r="J811" s="468"/>
      <c r="K811" s="468"/>
      <c r="L811" s="468"/>
      <c r="M811" s="468"/>
      <c r="N811" s="468"/>
      <c r="O811" s="468"/>
      <c r="P811" s="468"/>
      <c r="Q811" s="468"/>
      <c r="R811" s="468"/>
      <c r="S811" s="468"/>
      <c r="T811" s="468"/>
      <c r="U811" s="468"/>
      <c r="V811" s="468"/>
      <c r="W811" s="468"/>
      <c r="X811" s="468"/>
      <c r="Y811" s="468"/>
      <c r="Z811" s="468"/>
      <c r="AA811" s="468"/>
      <c r="AB811" s="468"/>
      <c r="AC811" s="468"/>
      <c r="AD811" s="468"/>
      <c r="AE811" s="468"/>
      <c r="AF811" s="468"/>
      <c r="AG811" s="468"/>
      <c r="AH811" s="468"/>
      <c r="AI811" s="468"/>
      <c r="AJ811" s="468"/>
    </row>
    <row r="812" spans="1:36" ht="18" customHeight="1" x14ac:dyDescent="0.35">
      <c r="A812" s="468"/>
      <c r="B812" s="468"/>
      <c r="C812" s="468"/>
      <c r="D812" s="468"/>
      <c r="E812" s="468"/>
      <c r="F812" s="468"/>
      <c r="G812" s="468"/>
      <c r="H812" s="468"/>
      <c r="I812" s="468"/>
      <c r="J812" s="468"/>
      <c r="K812" s="468"/>
      <c r="L812" s="468"/>
      <c r="M812" s="468"/>
      <c r="N812" s="468"/>
      <c r="O812" s="468"/>
      <c r="P812" s="468"/>
      <c r="Q812" s="468"/>
      <c r="R812" s="468"/>
      <c r="S812" s="468"/>
      <c r="T812" s="468"/>
      <c r="U812" s="468"/>
      <c r="V812" s="468"/>
      <c r="W812" s="468"/>
      <c r="X812" s="468"/>
      <c r="Y812" s="468"/>
      <c r="Z812" s="468"/>
      <c r="AA812" s="468"/>
      <c r="AB812" s="468"/>
      <c r="AC812" s="468"/>
      <c r="AD812" s="468"/>
      <c r="AE812" s="468"/>
      <c r="AF812" s="468"/>
      <c r="AG812" s="468"/>
      <c r="AH812" s="468"/>
      <c r="AI812" s="468"/>
      <c r="AJ812" s="468"/>
    </row>
    <row r="813" spans="1:36" ht="18" customHeight="1" x14ac:dyDescent="0.35">
      <c r="A813" s="468"/>
      <c r="B813" s="468"/>
      <c r="C813" s="468"/>
      <c r="D813" s="468"/>
      <c r="E813" s="468"/>
      <c r="F813" s="468"/>
      <c r="G813" s="468"/>
      <c r="H813" s="468"/>
      <c r="I813" s="468"/>
      <c r="J813" s="468"/>
      <c r="K813" s="468"/>
      <c r="L813" s="468"/>
      <c r="M813" s="468"/>
      <c r="N813" s="468"/>
      <c r="O813" s="468"/>
      <c r="P813" s="468"/>
      <c r="Q813" s="468"/>
      <c r="R813" s="468"/>
      <c r="S813" s="468"/>
      <c r="T813" s="468"/>
      <c r="U813" s="468"/>
      <c r="V813" s="468"/>
      <c r="W813" s="468"/>
      <c r="X813" s="468"/>
      <c r="Y813" s="468"/>
      <c r="Z813" s="468"/>
      <c r="AA813" s="468"/>
      <c r="AB813" s="468"/>
      <c r="AC813" s="468"/>
      <c r="AD813" s="468"/>
      <c r="AE813" s="468"/>
      <c r="AF813" s="468"/>
      <c r="AG813" s="468"/>
      <c r="AH813" s="468"/>
      <c r="AI813" s="468"/>
      <c r="AJ813" s="468"/>
    </row>
    <row r="814" spans="1:36" ht="18" customHeight="1" x14ac:dyDescent="0.35">
      <c r="A814" s="468"/>
      <c r="B814" s="468"/>
      <c r="C814" s="468"/>
      <c r="D814" s="468"/>
      <c r="E814" s="468"/>
      <c r="F814" s="468"/>
      <c r="G814" s="468"/>
      <c r="H814" s="468"/>
      <c r="I814" s="468"/>
      <c r="J814" s="468"/>
      <c r="K814" s="468"/>
      <c r="L814" s="468"/>
      <c r="M814" s="468"/>
      <c r="N814" s="468"/>
      <c r="O814" s="468"/>
      <c r="P814" s="468"/>
      <c r="Q814" s="468"/>
      <c r="R814" s="468"/>
      <c r="S814" s="468"/>
      <c r="T814" s="468"/>
      <c r="U814" s="468"/>
      <c r="V814" s="468"/>
      <c r="W814" s="468"/>
      <c r="X814" s="468"/>
      <c r="Y814" s="468"/>
      <c r="Z814" s="468"/>
      <c r="AA814" s="468"/>
      <c r="AB814" s="468"/>
      <c r="AC814" s="468"/>
      <c r="AD814" s="468"/>
      <c r="AE814" s="468"/>
      <c r="AF814" s="468"/>
      <c r="AG814" s="468"/>
      <c r="AH814" s="468"/>
      <c r="AI814" s="468"/>
      <c r="AJ814" s="468"/>
    </row>
    <row r="815" spans="1:36" ht="18" customHeight="1" x14ac:dyDescent="0.35">
      <c r="A815" s="468"/>
      <c r="B815" s="468"/>
      <c r="C815" s="468"/>
      <c r="D815" s="468"/>
      <c r="E815" s="468"/>
      <c r="F815" s="468"/>
      <c r="G815" s="468"/>
      <c r="H815" s="468"/>
      <c r="I815" s="468"/>
      <c r="J815" s="468"/>
      <c r="K815" s="468"/>
      <c r="L815" s="468"/>
      <c r="M815" s="468"/>
      <c r="N815" s="468"/>
      <c r="O815" s="468"/>
      <c r="P815" s="468"/>
      <c r="Q815" s="468"/>
      <c r="R815" s="468"/>
      <c r="S815" s="468"/>
      <c r="T815" s="468"/>
      <c r="U815" s="468"/>
      <c r="V815" s="468"/>
      <c r="W815" s="468"/>
      <c r="X815" s="468"/>
      <c r="Y815" s="468"/>
      <c r="Z815" s="468"/>
      <c r="AA815" s="468"/>
      <c r="AB815" s="468"/>
      <c r="AC815" s="468"/>
      <c r="AD815" s="468"/>
      <c r="AE815" s="468"/>
      <c r="AF815" s="468"/>
      <c r="AG815" s="468"/>
      <c r="AH815" s="468"/>
      <c r="AI815" s="468"/>
      <c r="AJ815" s="468"/>
    </row>
    <row r="816" spans="1:36" ht="18" customHeight="1" x14ac:dyDescent="0.35">
      <c r="A816" s="468"/>
      <c r="B816" s="468"/>
      <c r="C816" s="468"/>
      <c r="D816" s="468"/>
      <c r="E816" s="468"/>
      <c r="F816" s="468"/>
      <c r="G816" s="468"/>
      <c r="H816" s="468"/>
      <c r="I816" s="468"/>
      <c r="J816" s="468"/>
      <c r="K816" s="468"/>
      <c r="L816" s="468"/>
      <c r="M816" s="468"/>
      <c r="N816" s="468"/>
      <c r="O816" s="468"/>
      <c r="P816" s="468"/>
      <c r="Q816" s="468"/>
      <c r="R816" s="468"/>
      <c r="S816" s="468"/>
      <c r="T816" s="468"/>
      <c r="U816" s="468"/>
      <c r="V816" s="468"/>
      <c r="W816" s="468"/>
      <c r="X816" s="468"/>
      <c r="Y816" s="468"/>
      <c r="Z816" s="468"/>
      <c r="AA816" s="468"/>
      <c r="AB816" s="468"/>
      <c r="AC816" s="468"/>
      <c r="AD816" s="468"/>
      <c r="AE816" s="468"/>
      <c r="AF816" s="468"/>
      <c r="AG816" s="468"/>
      <c r="AH816" s="468"/>
      <c r="AI816" s="468"/>
      <c r="AJ816" s="468"/>
    </row>
    <row r="817" spans="1:36" ht="18" customHeight="1" x14ac:dyDescent="0.35">
      <c r="A817" s="468"/>
      <c r="B817" s="468"/>
      <c r="C817" s="468"/>
      <c r="D817" s="468"/>
      <c r="E817" s="468"/>
      <c r="F817" s="468"/>
      <c r="G817" s="468"/>
      <c r="H817" s="468"/>
      <c r="I817" s="468"/>
      <c r="J817" s="468"/>
      <c r="K817" s="468"/>
      <c r="L817" s="468"/>
      <c r="M817" s="468"/>
      <c r="N817" s="468"/>
      <c r="O817" s="468"/>
      <c r="P817" s="468"/>
      <c r="Q817" s="468"/>
      <c r="R817" s="468"/>
      <c r="S817" s="468"/>
      <c r="T817" s="468"/>
      <c r="U817" s="468"/>
      <c r="V817" s="468"/>
      <c r="W817" s="468"/>
      <c r="X817" s="468"/>
      <c r="Y817" s="468"/>
      <c r="Z817" s="468"/>
      <c r="AA817" s="468"/>
      <c r="AB817" s="468"/>
      <c r="AC817" s="468"/>
      <c r="AD817" s="468"/>
      <c r="AE817" s="468"/>
      <c r="AF817" s="468"/>
      <c r="AG817" s="468"/>
      <c r="AH817" s="468"/>
      <c r="AI817" s="468"/>
      <c r="AJ817" s="468"/>
    </row>
    <row r="818" spans="1:36" ht="18" customHeight="1" x14ac:dyDescent="0.35">
      <c r="A818" s="468"/>
      <c r="B818" s="468"/>
      <c r="C818" s="468"/>
      <c r="D818" s="468"/>
      <c r="E818" s="468"/>
      <c r="F818" s="468"/>
      <c r="G818" s="468"/>
      <c r="H818" s="468"/>
      <c r="I818" s="468"/>
      <c r="J818" s="468"/>
      <c r="K818" s="468"/>
      <c r="L818" s="468"/>
      <c r="M818" s="468"/>
      <c r="N818" s="468"/>
      <c r="O818" s="468"/>
      <c r="P818" s="468"/>
      <c r="Q818" s="468"/>
      <c r="R818" s="468"/>
      <c r="S818" s="468"/>
      <c r="T818" s="468"/>
      <c r="U818" s="468"/>
      <c r="V818" s="468"/>
      <c r="W818" s="468"/>
      <c r="X818" s="468"/>
      <c r="Y818" s="468"/>
      <c r="Z818" s="468"/>
      <c r="AA818" s="468"/>
      <c r="AB818" s="468"/>
      <c r="AC818" s="468"/>
      <c r="AD818" s="468"/>
      <c r="AE818" s="468"/>
      <c r="AF818" s="468"/>
      <c r="AG818" s="468"/>
      <c r="AH818" s="468"/>
      <c r="AI818" s="468"/>
      <c r="AJ818" s="468"/>
    </row>
    <row r="819" spans="1:36" ht="18" customHeight="1" x14ac:dyDescent="0.35">
      <c r="A819" s="468"/>
      <c r="B819" s="468"/>
      <c r="C819" s="468"/>
      <c r="D819" s="468"/>
      <c r="E819" s="468"/>
      <c r="F819" s="468"/>
      <c r="G819" s="468"/>
      <c r="H819" s="468"/>
      <c r="I819" s="468"/>
      <c r="J819" s="468"/>
      <c r="K819" s="468"/>
      <c r="L819" s="468"/>
      <c r="M819" s="468"/>
      <c r="N819" s="468"/>
      <c r="O819" s="468"/>
      <c r="P819" s="468"/>
      <c r="Q819" s="468"/>
      <c r="R819" s="468"/>
      <c r="S819" s="468"/>
      <c r="T819" s="468"/>
      <c r="U819" s="468"/>
      <c r="V819" s="468"/>
      <c r="W819" s="468"/>
      <c r="X819" s="468"/>
      <c r="Y819" s="468"/>
      <c r="Z819" s="468"/>
      <c r="AA819" s="468"/>
      <c r="AB819" s="468"/>
      <c r="AC819" s="468"/>
      <c r="AD819" s="468"/>
      <c r="AE819" s="468"/>
      <c r="AF819" s="468"/>
      <c r="AG819" s="468"/>
      <c r="AH819" s="468"/>
      <c r="AI819" s="468"/>
      <c r="AJ819" s="468"/>
    </row>
    <row r="820" spans="1:36" ht="18" customHeight="1" x14ac:dyDescent="0.35">
      <c r="A820" s="468"/>
      <c r="B820" s="468"/>
      <c r="C820" s="468"/>
      <c r="D820" s="468"/>
      <c r="E820" s="468"/>
      <c r="F820" s="468"/>
      <c r="G820" s="468"/>
      <c r="H820" s="468"/>
      <c r="I820" s="468"/>
      <c r="J820" s="468"/>
      <c r="K820" s="468"/>
      <c r="L820" s="468"/>
      <c r="M820" s="468"/>
      <c r="N820" s="468"/>
      <c r="O820" s="468"/>
      <c r="P820" s="468"/>
      <c r="Q820" s="468"/>
      <c r="R820" s="468"/>
      <c r="S820" s="468"/>
      <c r="T820" s="468"/>
      <c r="U820" s="468"/>
      <c r="V820" s="468"/>
      <c r="W820" s="468"/>
      <c r="X820" s="468"/>
      <c r="Y820" s="468"/>
      <c r="Z820" s="468"/>
      <c r="AA820" s="468"/>
      <c r="AB820" s="468"/>
      <c r="AC820" s="468"/>
      <c r="AD820" s="468"/>
      <c r="AE820" s="468"/>
      <c r="AF820" s="468"/>
      <c r="AG820" s="468"/>
      <c r="AH820" s="468"/>
      <c r="AI820" s="468"/>
      <c r="AJ820" s="468"/>
    </row>
    <row r="821" spans="1:36" ht="18" customHeight="1" x14ac:dyDescent="0.35">
      <c r="A821" s="468"/>
      <c r="B821" s="468"/>
      <c r="C821" s="468"/>
      <c r="D821" s="468"/>
      <c r="E821" s="468"/>
      <c r="F821" s="468"/>
      <c r="G821" s="468"/>
      <c r="H821" s="468"/>
      <c r="I821" s="468"/>
      <c r="J821" s="468"/>
      <c r="K821" s="468"/>
      <c r="L821" s="468"/>
      <c r="M821" s="468"/>
      <c r="N821" s="468"/>
      <c r="O821" s="468"/>
      <c r="P821" s="468"/>
      <c r="Q821" s="468"/>
      <c r="R821" s="468"/>
      <c r="S821" s="468"/>
      <c r="T821" s="468"/>
      <c r="U821" s="468"/>
      <c r="V821" s="468"/>
      <c r="W821" s="468"/>
      <c r="X821" s="468"/>
      <c r="Y821" s="468"/>
      <c r="Z821" s="468"/>
      <c r="AA821" s="468"/>
      <c r="AB821" s="468"/>
      <c r="AC821" s="468"/>
      <c r="AD821" s="468"/>
      <c r="AE821" s="468"/>
      <c r="AF821" s="468"/>
      <c r="AG821" s="468"/>
      <c r="AH821" s="468"/>
      <c r="AI821" s="468"/>
      <c r="AJ821" s="468"/>
    </row>
    <row r="822" spans="1:36" ht="18" customHeight="1" x14ac:dyDescent="0.35">
      <c r="A822" s="468"/>
      <c r="B822" s="468"/>
      <c r="C822" s="468"/>
      <c r="D822" s="468"/>
      <c r="E822" s="468"/>
      <c r="F822" s="468"/>
      <c r="G822" s="468"/>
      <c r="H822" s="468"/>
      <c r="I822" s="468"/>
      <c r="J822" s="468"/>
      <c r="K822" s="468"/>
      <c r="L822" s="468"/>
      <c r="M822" s="468"/>
      <c r="N822" s="468"/>
      <c r="O822" s="468"/>
      <c r="P822" s="468"/>
      <c r="Q822" s="468"/>
      <c r="R822" s="468"/>
      <c r="S822" s="468"/>
      <c r="T822" s="468"/>
      <c r="U822" s="468"/>
      <c r="V822" s="468"/>
      <c r="W822" s="468"/>
      <c r="X822" s="468"/>
      <c r="Y822" s="468"/>
      <c r="Z822" s="468"/>
      <c r="AA822" s="468"/>
      <c r="AB822" s="468"/>
      <c r="AC822" s="468"/>
      <c r="AD822" s="468"/>
      <c r="AE822" s="468"/>
      <c r="AF822" s="468"/>
      <c r="AG822" s="468"/>
      <c r="AH822" s="468"/>
      <c r="AI822" s="468"/>
      <c r="AJ822" s="468"/>
    </row>
    <row r="823" spans="1:36" ht="18" customHeight="1" x14ac:dyDescent="0.35">
      <c r="A823" s="468"/>
      <c r="B823" s="468"/>
      <c r="C823" s="468"/>
      <c r="D823" s="468"/>
      <c r="E823" s="468"/>
      <c r="F823" s="468"/>
      <c r="G823" s="468"/>
      <c r="H823" s="468"/>
      <c r="I823" s="468"/>
      <c r="J823" s="468"/>
      <c r="K823" s="468"/>
      <c r="L823" s="468"/>
      <c r="M823" s="468"/>
      <c r="N823" s="468"/>
      <c r="O823" s="468"/>
      <c r="P823" s="468"/>
      <c r="Q823" s="468"/>
      <c r="R823" s="468"/>
      <c r="S823" s="468"/>
      <c r="T823" s="468"/>
      <c r="U823" s="468"/>
      <c r="V823" s="468"/>
      <c r="W823" s="468"/>
      <c r="X823" s="468"/>
      <c r="Y823" s="468"/>
      <c r="Z823" s="468"/>
      <c r="AA823" s="468"/>
      <c r="AB823" s="468"/>
      <c r="AC823" s="468"/>
      <c r="AD823" s="468"/>
      <c r="AE823" s="468"/>
      <c r="AF823" s="468"/>
      <c r="AG823" s="468"/>
      <c r="AH823" s="468"/>
      <c r="AI823" s="468"/>
      <c r="AJ823" s="468"/>
    </row>
    <row r="824" spans="1:36" ht="18" customHeight="1" x14ac:dyDescent="0.35">
      <c r="A824" s="468"/>
      <c r="B824" s="468"/>
      <c r="C824" s="468"/>
      <c r="D824" s="468"/>
      <c r="E824" s="468"/>
      <c r="F824" s="468"/>
      <c r="G824" s="468"/>
      <c r="H824" s="468"/>
      <c r="I824" s="468"/>
      <c r="J824" s="468"/>
      <c r="K824" s="468"/>
      <c r="L824" s="468"/>
      <c r="M824" s="468"/>
      <c r="N824" s="468"/>
      <c r="O824" s="468"/>
      <c r="P824" s="468"/>
      <c r="Q824" s="468"/>
      <c r="R824" s="468"/>
      <c r="S824" s="468"/>
      <c r="T824" s="468"/>
      <c r="U824" s="468"/>
      <c r="V824" s="468"/>
      <c r="W824" s="468"/>
      <c r="X824" s="468"/>
      <c r="Y824" s="468"/>
      <c r="Z824" s="468"/>
      <c r="AA824" s="468"/>
      <c r="AB824" s="468"/>
      <c r="AC824" s="468"/>
      <c r="AD824" s="468"/>
      <c r="AE824" s="468"/>
      <c r="AF824" s="468"/>
      <c r="AG824" s="468"/>
      <c r="AH824" s="468"/>
      <c r="AI824" s="468"/>
      <c r="AJ824" s="468"/>
    </row>
    <row r="825" spans="1:36" ht="18" customHeight="1" x14ac:dyDescent="0.35">
      <c r="A825" s="468"/>
      <c r="B825" s="468"/>
      <c r="C825" s="468"/>
      <c r="D825" s="468"/>
      <c r="E825" s="468"/>
      <c r="F825" s="468"/>
      <c r="G825" s="468"/>
      <c r="H825" s="468"/>
      <c r="I825" s="468"/>
      <c r="J825" s="468"/>
      <c r="K825" s="468"/>
      <c r="L825" s="468"/>
      <c r="M825" s="468"/>
      <c r="N825" s="468"/>
      <c r="O825" s="468"/>
      <c r="P825" s="468"/>
      <c r="Q825" s="468"/>
      <c r="R825" s="468"/>
      <c r="S825" s="468"/>
      <c r="T825" s="468"/>
      <c r="U825" s="468"/>
      <c r="V825" s="468"/>
      <c r="W825" s="468"/>
      <c r="X825" s="468"/>
      <c r="Y825" s="468"/>
      <c r="Z825" s="468"/>
      <c r="AA825" s="468"/>
      <c r="AB825" s="468"/>
      <c r="AC825" s="468"/>
      <c r="AD825" s="468"/>
      <c r="AE825" s="468"/>
      <c r="AF825" s="468"/>
      <c r="AG825" s="468"/>
      <c r="AH825" s="468"/>
      <c r="AI825" s="468"/>
      <c r="AJ825" s="468"/>
    </row>
    <row r="826" spans="1:36" ht="18" customHeight="1" x14ac:dyDescent="0.35">
      <c r="A826" s="468"/>
      <c r="B826" s="468"/>
      <c r="C826" s="468"/>
      <c r="D826" s="468"/>
      <c r="E826" s="468"/>
      <c r="F826" s="468"/>
      <c r="G826" s="468"/>
      <c r="H826" s="468"/>
      <c r="I826" s="468"/>
      <c r="J826" s="468"/>
      <c r="K826" s="468"/>
      <c r="L826" s="468"/>
      <c r="M826" s="468"/>
      <c r="N826" s="468"/>
      <c r="O826" s="468"/>
      <c r="P826" s="468"/>
      <c r="Q826" s="468"/>
      <c r="R826" s="468"/>
      <c r="S826" s="468"/>
      <c r="T826" s="468"/>
      <c r="U826" s="468"/>
      <c r="V826" s="468"/>
      <c r="W826" s="468"/>
      <c r="X826" s="468"/>
      <c r="Y826" s="468"/>
      <c r="Z826" s="468"/>
      <c r="AA826" s="468"/>
      <c r="AB826" s="468"/>
      <c r="AC826" s="468"/>
      <c r="AD826" s="468"/>
      <c r="AE826" s="468"/>
      <c r="AF826" s="468"/>
      <c r="AG826" s="468"/>
      <c r="AH826" s="468"/>
      <c r="AI826" s="468"/>
      <c r="AJ826" s="468"/>
    </row>
    <row r="827" spans="1:36" ht="18" customHeight="1" x14ac:dyDescent="0.35">
      <c r="A827" s="468"/>
      <c r="B827" s="468"/>
      <c r="C827" s="468"/>
      <c r="D827" s="468"/>
      <c r="E827" s="468"/>
      <c r="F827" s="468"/>
      <c r="G827" s="468"/>
      <c r="H827" s="468"/>
      <c r="I827" s="468"/>
      <c r="J827" s="468"/>
      <c r="K827" s="468"/>
      <c r="L827" s="468"/>
      <c r="M827" s="468"/>
      <c r="N827" s="468"/>
      <c r="O827" s="468"/>
      <c r="P827" s="468"/>
      <c r="Q827" s="468"/>
      <c r="R827" s="468"/>
      <c r="S827" s="468"/>
      <c r="T827" s="468"/>
      <c r="U827" s="468"/>
      <c r="V827" s="468"/>
      <c r="W827" s="468"/>
      <c r="X827" s="468"/>
      <c r="Y827" s="468"/>
      <c r="Z827" s="468"/>
      <c r="AA827" s="468"/>
      <c r="AB827" s="468"/>
      <c r="AC827" s="468"/>
      <c r="AD827" s="468"/>
      <c r="AE827" s="468"/>
      <c r="AF827" s="468"/>
      <c r="AG827" s="468"/>
      <c r="AH827" s="468"/>
      <c r="AI827" s="468"/>
      <c r="AJ827" s="468"/>
    </row>
    <row r="828" spans="1:36" ht="18" customHeight="1" x14ac:dyDescent="0.35">
      <c r="A828" s="468"/>
      <c r="B828" s="468"/>
      <c r="C828" s="468"/>
      <c r="D828" s="468"/>
      <c r="E828" s="468"/>
      <c r="F828" s="468"/>
      <c r="G828" s="468"/>
      <c r="H828" s="468"/>
      <c r="I828" s="468"/>
      <c r="J828" s="468"/>
      <c r="K828" s="468"/>
      <c r="L828" s="468"/>
      <c r="M828" s="468"/>
      <c r="N828" s="468"/>
      <c r="O828" s="468"/>
      <c r="P828" s="468"/>
      <c r="Q828" s="468"/>
      <c r="R828" s="468"/>
      <c r="S828" s="468"/>
      <c r="T828" s="468"/>
      <c r="U828" s="468"/>
      <c r="V828" s="468"/>
      <c r="W828" s="468"/>
      <c r="X828" s="468"/>
      <c r="Y828" s="468"/>
      <c r="Z828" s="468"/>
      <c r="AA828" s="468"/>
      <c r="AB828" s="468"/>
      <c r="AC828" s="468"/>
      <c r="AD828" s="468"/>
      <c r="AE828" s="468"/>
      <c r="AF828" s="468"/>
      <c r="AG828" s="468"/>
      <c r="AH828" s="468"/>
      <c r="AI828" s="468"/>
      <c r="AJ828" s="468"/>
    </row>
    <row r="829" spans="1:36" ht="18" customHeight="1" x14ac:dyDescent="0.35">
      <c r="A829" s="468"/>
      <c r="B829" s="468"/>
      <c r="C829" s="468"/>
      <c r="D829" s="468"/>
      <c r="E829" s="468"/>
      <c r="F829" s="468"/>
      <c r="G829" s="468"/>
      <c r="H829" s="468"/>
      <c r="I829" s="468"/>
      <c r="J829" s="468"/>
      <c r="K829" s="468"/>
      <c r="L829" s="468"/>
      <c r="M829" s="468"/>
      <c r="N829" s="468"/>
      <c r="O829" s="468"/>
      <c r="P829" s="468"/>
      <c r="Q829" s="468"/>
      <c r="R829" s="468"/>
      <c r="S829" s="468"/>
      <c r="T829" s="468"/>
      <c r="U829" s="468"/>
      <c r="V829" s="468"/>
      <c r="W829" s="468"/>
      <c r="X829" s="468"/>
      <c r="Y829" s="468"/>
      <c r="Z829" s="468"/>
      <c r="AA829" s="468"/>
      <c r="AB829" s="468"/>
      <c r="AC829" s="468"/>
      <c r="AD829" s="468"/>
      <c r="AE829" s="468"/>
      <c r="AF829" s="468"/>
      <c r="AG829" s="468"/>
      <c r="AH829" s="468"/>
      <c r="AI829" s="468"/>
      <c r="AJ829" s="468"/>
    </row>
    <row r="830" spans="1:36" ht="18" customHeight="1" x14ac:dyDescent="0.35">
      <c r="A830" s="468"/>
      <c r="B830" s="468"/>
      <c r="C830" s="468"/>
      <c r="D830" s="468"/>
      <c r="E830" s="468"/>
      <c r="F830" s="468"/>
      <c r="G830" s="468"/>
      <c r="H830" s="468"/>
      <c r="I830" s="468"/>
      <c r="J830" s="468"/>
      <c r="K830" s="468"/>
      <c r="L830" s="468"/>
      <c r="M830" s="468"/>
      <c r="N830" s="468"/>
      <c r="O830" s="468"/>
      <c r="P830" s="468"/>
      <c r="Q830" s="468"/>
      <c r="R830" s="468"/>
      <c r="S830" s="468"/>
      <c r="T830" s="468"/>
      <c r="U830" s="468"/>
      <c r="V830" s="468"/>
      <c r="W830" s="468"/>
      <c r="X830" s="468"/>
      <c r="Y830" s="468"/>
      <c r="Z830" s="468"/>
      <c r="AA830" s="468"/>
      <c r="AB830" s="468"/>
      <c r="AC830" s="468"/>
      <c r="AD830" s="468"/>
      <c r="AE830" s="468"/>
      <c r="AF830" s="468"/>
      <c r="AG830" s="468"/>
      <c r="AH830" s="468"/>
      <c r="AI830" s="468"/>
      <c r="AJ830" s="468"/>
    </row>
    <row r="831" spans="1:36" ht="18" customHeight="1" x14ac:dyDescent="0.35">
      <c r="A831" s="468"/>
      <c r="B831" s="468"/>
      <c r="C831" s="468"/>
      <c r="D831" s="468"/>
      <c r="E831" s="468"/>
      <c r="F831" s="468"/>
      <c r="G831" s="468"/>
      <c r="H831" s="468"/>
      <c r="I831" s="468"/>
      <c r="J831" s="468"/>
      <c r="K831" s="468"/>
      <c r="L831" s="468"/>
      <c r="M831" s="468"/>
      <c r="N831" s="468"/>
      <c r="O831" s="468"/>
      <c r="P831" s="468"/>
      <c r="Q831" s="468"/>
      <c r="R831" s="468"/>
      <c r="S831" s="468"/>
      <c r="T831" s="468"/>
      <c r="U831" s="468"/>
      <c r="V831" s="468"/>
      <c r="W831" s="468"/>
      <c r="X831" s="468"/>
      <c r="Y831" s="468"/>
      <c r="Z831" s="468"/>
      <c r="AA831" s="468"/>
      <c r="AB831" s="468"/>
      <c r="AC831" s="468"/>
      <c r="AD831" s="468"/>
      <c r="AE831" s="468"/>
      <c r="AF831" s="468"/>
      <c r="AG831" s="468"/>
      <c r="AH831" s="468"/>
      <c r="AI831" s="468"/>
      <c r="AJ831" s="468"/>
    </row>
    <row r="832" spans="1:36" ht="18" customHeight="1" x14ac:dyDescent="0.35">
      <c r="A832" s="468"/>
      <c r="B832" s="468"/>
      <c r="C832" s="468"/>
      <c r="D832" s="468"/>
      <c r="E832" s="468"/>
      <c r="F832" s="468"/>
      <c r="G832" s="468"/>
      <c r="H832" s="468"/>
      <c r="I832" s="468"/>
      <c r="J832" s="468"/>
      <c r="K832" s="468"/>
      <c r="L832" s="468"/>
      <c r="M832" s="468"/>
      <c r="N832" s="468"/>
      <c r="O832" s="468"/>
      <c r="P832" s="468"/>
      <c r="Q832" s="468"/>
      <c r="R832" s="468"/>
      <c r="S832" s="468"/>
      <c r="T832" s="468"/>
      <c r="U832" s="468"/>
      <c r="V832" s="468"/>
      <c r="W832" s="468"/>
      <c r="X832" s="468"/>
      <c r="Y832" s="468"/>
      <c r="Z832" s="468"/>
      <c r="AA832" s="468"/>
      <c r="AB832" s="468"/>
      <c r="AC832" s="468"/>
      <c r="AD832" s="468"/>
      <c r="AE832" s="468"/>
      <c r="AF832" s="468"/>
      <c r="AG832" s="468"/>
      <c r="AH832" s="468"/>
      <c r="AI832" s="468"/>
      <c r="AJ832" s="468"/>
    </row>
    <row r="833" spans="1:36" ht="18" customHeight="1" x14ac:dyDescent="0.35">
      <c r="A833" s="468"/>
      <c r="B833" s="468"/>
      <c r="C833" s="468"/>
      <c r="D833" s="468"/>
      <c r="E833" s="468"/>
      <c r="F833" s="468"/>
      <c r="G833" s="468"/>
      <c r="H833" s="468"/>
      <c r="I833" s="468"/>
      <c r="J833" s="468"/>
      <c r="K833" s="468"/>
      <c r="L833" s="468"/>
      <c r="M833" s="468"/>
      <c r="N833" s="468"/>
      <c r="O833" s="468"/>
      <c r="P833" s="468"/>
      <c r="Q833" s="468"/>
      <c r="R833" s="468"/>
      <c r="S833" s="468"/>
      <c r="T833" s="468"/>
      <c r="U833" s="468"/>
      <c r="V833" s="468"/>
      <c r="W833" s="468"/>
      <c r="X833" s="468"/>
      <c r="Y833" s="468"/>
      <c r="Z833" s="468"/>
      <c r="AA833" s="468"/>
      <c r="AB833" s="468"/>
      <c r="AC833" s="468"/>
      <c r="AD833" s="468"/>
      <c r="AE833" s="468"/>
      <c r="AF833" s="468"/>
      <c r="AG833" s="468"/>
      <c r="AH833" s="468"/>
      <c r="AI833" s="468"/>
      <c r="AJ833" s="468"/>
    </row>
    <row r="834" spans="1:36" ht="18" customHeight="1" x14ac:dyDescent="0.35">
      <c r="A834" s="468"/>
      <c r="B834" s="468"/>
      <c r="C834" s="468"/>
      <c r="D834" s="468"/>
      <c r="E834" s="468"/>
      <c r="F834" s="468"/>
      <c r="G834" s="468"/>
      <c r="H834" s="468"/>
      <c r="I834" s="468"/>
      <c r="J834" s="468"/>
      <c r="K834" s="468"/>
      <c r="L834" s="468"/>
      <c r="M834" s="468"/>
      <c r="N834" s="468"/>
      <c r="O834" s="468"/>
      <c r="P834" s="468"/>
      <c r="Q834" s="468"/>
      <c r="R834" s="468"/>
      <c r="S834" s="468"/>
      <c r="T834" s="468"/>
      <c r="U834" s="468"/>
      <c r="V834" s="468"/>
      <c r="W834" s="468"/>
      <c r="X834" s="468"/>
      <c r="Y834" s="468"/>
      <c r="Z834" s="468"/>
      <c r="AA834" s="468"/>
      <c r="AB834" s="468"/>
      <c r="AC834" s="468"/>
      <c r="AD834" s="468"/>
      <c r="AE834" s="468"/>
      <c r="AF834" s="468"/>
      <c r="AG834" s="468"/>
      <c r="AH834" s="468"/>
      <c r="AI834" s="468"/>
      <c r="AJ834" s="468"/>
    </row>
    <row r="835" spans="1:36" ht="18" customHeight="1" x14ac:dyDescent="0.35">
      <c r="A835" s="468"/>
      <c r="B835" s="468"/>
      <c r="C835" s="468"/>
      <c r="D835" s="468"/>
      <c r="E835" s="468"/>
      <c r="F835" s="468"/>
      <c r="G835" s="468"/>
      <c r="H835" s="468"/>
      <c r="I835" s="468"/>
      <c r="J835" s="468"/>
      <c r="K835" s="468"/>
      <c r="L835" s="468"/>
      <c r="M835" s="468"/>
      <c r="N835" s="468"/>
      <c r="O835" s="468"/>
      <c r="P835" s="468"/>
      <c r="Q835" s="468"/>
      <c r="R835" s="468"/>
      <c r="S835" s="468"/>
      <c r="T835" s="468"/>
      <c r="U835" s="468"/>
      <c r="V835" s="468"/>
      <c r="W835" s="468"/>
      <c r="X835" s="468"/>
      <c r="Y835" s="468"/>
      <c r="Z835" s="468"/>
      <c r="AA835" s="468"/>
      <c r="AB835" s="468"/>
      <c r="AC835" s="468"/>
      <c r="AD835" s="468"/>
      <c r="AE835" s="468"/>
      <c r="AF835" s="468"/>
      <c r="AG835" s="468"/>
      <c r="AH835" s="468"/>
      <c r="AI835" s="468"/>
      <c r="AJ835" s="468"/>
    </row>
    <row r="836" spans="1:36" ht="18" customHeight="1" x14ac:dyDescent="0.35">
      <c r="A836" s="468"/>
      <c r="B836" s="468"/>
      <c r="C836" s="468"/>
      <c r="D836" s="468"/>
      <c r="E836" s="468"/>
      <c r="F836" s="468"/>
      <c r="G836" s="468"/>
      <c r="H836" s="468"/>
      <c r="I836" s="468"/>
      <c r="J836" s="468"/>
      <c r="K836" s="468"/>
      <c r="L836" s="468"/>
      <c r="M836" s="468"/>
      <c r="N836" s="468"/>
      <c r="O836" s="468"/>
      <c r="P836" s="468"/>
      <c r="Q836" s="468"/>
      <c r="R836" s="468"/>
      <c r="S836" s="468"/>
      <c r="T836" s="468"/>
      <c r="U836" s="468"/>
      <c r="V836" s="468"/>
      <c r="W836" s="468"/>
      <c r="X836" s="468"/>
      <c r="Y836" s="468"/>
      <c r="Z836" s="468"/>
      <c r="AA836" s="468"/>
      <c r="AB836" s="468"/>
      <c r="AC836" s="468"/>
      <c r="AD836" s="468"/>
      <c r="AE836" s="468"/>
      <c r="AF836" s="468"/>
      <c r="AG836" s="468"/>
      <c r="AH836" s="468"/>
      <c r="AI836" s="468"/>
      <c r="AJ836" s="468"/>
    </row>
    <row r="837" spans="1:36" ht="18" customHeight="1" x14ac:dyDescent="0.35">
      <c r="A837" s="468"/>
      <c r="B837" s="468"/>
      <c r="C837" s="468"/>
      <c r="D837" s="468"/>
      <c r="E837" s="468"/>
      <c r="F837" s="468"/>
      <c r="G837" s="468"/>
      <c r="H837" s="468"/>
      <c r="I837" s="468"/>
      <c r="J837" s="468"/>
      <c r="K837" s="468"/>
      <c r="L837" s="468"/>
      <c r="M837" s="468"/>
      <c r="N837" s="468"/>
      <c r="O837" s="468"/>
      <c r="P837" s="468"/>
      <c r="Q837" s="468"/>
      <c r="R837" s="468"/>
      <c r="S837" s="468"/>
      <c r="T837" s="468"/>
      <c r="U837" s="468"/>
      <c r="V837" s="468"/>
      <c r="W837" s="468"/>
      <c r="X837" s="468"/>
      <c r="Y837" s="468"/>
      <c r="Z837" s="468"/>
      <c r="AA837" s="468"/>
      <c r="AB837" s="468"/>
      <c r="AC837" s="468"/>
      <c r="AD837" s="468"/>
      <c r="AE837" s="468"/>
      <c r="AF837" s="468"/>
      <c r="AG837" s="468"/>
      <c r="AH837" s="468"/>
      <c r="AI837" s="468"/>
      <c r="AJ837" s="468"/>
    </row>
    <row r="838" spans="1:36" ht="18" customHeight="1" x14ac:dyDescent="0.35">
      <c r="A838" s="468"/>
      <c r="B838" s="468"/>
      <c r="C838" s="468"/>
      <c r="D838" s="468"/>
      <c r="E838" s="468"/>
      <c r="F838" s="468"/>
      <c r="G838" s="468"/>
      <c r="H838" s="468"/>
      <c r="I838" s="468"/>
      <c r="J838" s="468"/>
      <c r="K838" s="468"/>
      <c r="L838" s="468"/>
      <c r="M838" s="468"/>
      <c r="N838" s="468"/>
      <c r="O838" s="468"/>
      <c r="P838" s="468"/>
      <c r="Q838" s="468"/>
      <c r="R838" s="468"/>
      <c r="S838" s="468"/>
      <c r="T838" s="468"/>
      <c r="U838" s="468"/>
      <c r="V838" s="468"/>
      <c r="W838" s="468"/>
      <c r="X838" s="468"/>
      <c r="Y838" s="468"/>
      <c r="Z838" s="468"/>
      <c r="AA838" s="468"/>
      <c r="AB838" s="468"/>
      <c r="AC838" s="468"/>
      <c r="AD838" s="468"/>
      <c r="AE838" s="468"/>
      <c r="AF838" s="468"/>
      <c r="AG838" s="468"/>
      <c r="AH838" s="468"/>
      <c r="AI838" s="468"/>
      <c r="AJ838" s="468"/>
    </row>
    <row r="839" spans="1:36" ht="18" customHeight="1" x14ac:dyDescent="0.35">
      <c r="A839" s="468"/>
      <c r="B839" s="468"/>
      <c r="C839" s="468"/>
      <c r="D839" s="468"/>
      <c r="E839" s="468"/>
      <c r="F839" s="468"/>
      <c r="G839" s="468"/>
      <c r="H839" s="468"/>
      <c r="I839" s="468"/>
      <c r="J839" s="468"/>
      <c r="K839" s="468"/>
      <c r="L839" s="468"/>
      <c r="M839" s="468"/>
      <c r="N839" s="468"/>
      <c r="O839" s="468"/>
      <c r="P839" s="468"/>
      <c r="Q839" s="468"/>
      <c r="R839" s="468"/>
      <c r="S839" s="468"/>
      <c r="T839" s="468"/>
      <c r="U839" s="468"/>
      <c r="V839" s="468"/>
      <c r="W839" s="468"/>
      <c r="X839" s="468"/>
      <c r="Y839" s="468"/>
      <c r="Z839" s="468"/>
      <c r="AA839" s="468"/>
      <c r="AB839" s="468"/>
      <c r="AC839" s="468"/>
      <c r="AD839" s="468"/>
      <c r="AE839" s="468"/>
      <c r="AF839" s="468"/>
      <c r="AG839" s="468"/>
      <c r="AH839" s="468"/>
      <c r="AI839" s="468"/>
      <c r="AJ839" s="468"/>
    </row>
    <row r="840" spans="1:36" ht="18" customHeight="1" x14ac:dyDescent="0.35">
      <c r="A840" s="468"/>
      <c r="B840" s="468"/>
      <c r="C840" s="468"/>
      <c r="D840" s="468"/>
      <c r="E840" s="468"/>
      <c r="F840" s="468"/>
      <c r="G840" s="468"/>
      <c r="H840" s="468"/>
      <c r="I840" s="468"/>
      <c r="J840" s="468"/>
      <c r="K840" s="468"/>
      <c r="L840" s="468"/>
      <c r="M840" s="468"/>
      <c r="N840" s="468"/>
      <c r="O840" s="468"/>
      <c r="P840" s="468"/>
      <c r="Q840" s="468"/>
      <c r="R840" s="468"/>
      <c r="S840" s="468"/>
      <c r="T840" s="468"/>
      <c r="U840" s="468"/>
      <c r="V840" s="468"/>
      <c r="W840" s="468"/>
      <c r="X840" s="468"/>
      <c r="Y840" s="468"/>
      <c r="Z840" s="468"/>
      <c r="AA840" s="468"/>
      <c r="AB840" s="468"/>
      <c r="AC840" s="468"/>
      <c r="AD840" s="468"/>
      <c r="AE840" s="468"/>
      <c r="AF840" s="468"/>
      <c r="AG840" s="468"/>
      <c r="AH840" s="468"/>
      <c r="AI840" s="468"/>
      <c r="AJ840" s="468"/>
    </row>
    <row r="841" spans="1:36" ht="18" customHeight="1" x14ac:dyDescent="0.35">
      <c r="A841" s="468"/>
      <c r="B841" s="468"/>
      <c r="C841" s="468"/>
      <c r="D841" s="468"/>
      <c r="E841" s="468"/>
      <c r="F841" s="468"/>
      <c r="G841" s="468"/>
      <c r="H841" s="468"/>
      <c r="I841" s="468"/>
      <c r="J841" s="468"/>
      <c r="K841" s="468"/>
      <c r="L841" s="468"/>
      <c r="M841" s="468"/>
      <c r="N841" s="468"/>
      <c r="O841" s="468"/>
      <c r="P841" s="468"/>
      <c r="Q841" s="468"/>
      <c r="R841" s="468"/>
      <c r="S841" s="468"/>
      <c r="T841" s="468"/>
      <c r="U841" s="468"/>
      <c r="V841" s="468"/>
      <c r="W841" s="468"/>
      <c r="X841" s="468"/>
      <c r="Y841" s="468"/>
      <c r="Z841" s="468"/>
      <c r="AA841" s="468"/>
      <c r="AB841" s="468"/>
      <c r="AC841" s="468"/>
      <c r="AD841" s="468"/>
      <c r="AE841" s="468"/>
      <c r="AF841" s="468"/>
      <c r="AG841" s="468"/>
      <c r="AH841" s="468"/>
      <c r="AI841" s="468"/>
      <c r="AJ841" s="468"/>
    </row>
    <row r="842" spans="1:36" ht="18" customHeight="1" x14ac:dyDescent="0.35">
      <c r="A842" s="468"/>
      <c r="B842" s="468"/>
      <c r="C842" s="468"/>
      <c r="D842" s="468"/>
      <c r="E842" s="468"/>
      <c r="F842" s="468"/>
      <c r="G842" s="468"/>
      <c r="H842" s="468"/>
      <c r="I842" s="468"/>
      <c r="J842" s="468"/>
      <c r="K842" s="468"/>
      <c r="L842" s="468"/>
      <c r="M842" s="468"/>
      <c r="N842" s="468"/>
      <c r="O842" s="468"/>
      <c r="P842" s="468"/>
      <c r="Q842" s="468"/>
      <c r="R842" s="468"/>
      <c r="S842" s="468"/>
      <c r="T842" s="468"/>
      <c r="U842" s="468"/>
      <c r="V842" s="468"/>
      <c r="W842" s="468"/>
      <c r="X842" s="468"/>
      <c r="Y842" s="468"/>
      <c r="Z842" s="468"/>
      <c r="AA842" s="468"/>
      <c r="AB842" s="468"/>
      <c r="AC842" s="468"/>
      <c r="AD842" s="468"/>
      <c r="AE842" s="468"/>
      <c r="AF842" s="468"/>
      <c r="AG842" s="468"/>
      <c r="AH842" s="468"/>
      <c r="AI842" s="468"/>
      <c r="AJ842" s="468"/>
    </row>
    <row r="843" spans="1:36" ht="18" customHeight="1" x14ac:dyDescent="0.35">
      <c r="A843" s="468"/>
      <c r="B843" s="468"/>
      <c r="C843" s="468"/>
      <c r="D843" s="468"/>
      <c r="E843" s="468"/>
      <c r="F843" s="468"/>
      <c r="G843" s="468"/>
      <c r="H843" s="468"/>
      <c r="I843" s="468"/>
      <c r="J843" s="468"/>
      <c r="K843" s="468"/>
      <c r="L843" s="468"/>
      <c r="M843" s="468"/>
      <c r="N843" s="468"/>
      <c r="O843" s="468"/>
      <c r="P843" s="468"/>
      <c r="Q843" s="468"/>
      <c r="R843" s="468"/>
      <c r="S843" s="468"/>
      <c r="T843" s="468"/>
      <c r="U843" s="468"/>
      <c r="V843" s="468"/>
      <c r="W843" s="468"/>
      <c r="X843" s="468"/>
      <c r="Y843" s="468"/>
      <c r="Z843" s="468"/>
      <c r="AA843" s="468"/>
      <c r="AB843" s="468"/>
      <c r="AC843" s="468"/>
      <c r="AD843" s="468"/>
      <c r="AE843" s="468"/>
      <c r="AF843" s="468"/>
      <c r="AG843" s="468"/>
      <c r="AH843" s="468"/>
      <c r="AI843" s="468"/>
      <c r="AJ843" s="468"/>
    </row>
    <row r="844" spans="1:36" ht="18" customHeight="1" x14ac:dyDescent="0.35">
      <c r="A844" s="468"/>
      <c r="B844" s="468"/>
      <c r="C844" s="468"/>
      <c r="D844" s="468"/>
      <c r="E844" s="468"/>
      <c r="F844" s="468"/>
      <c r="G844" s="468"/>
      <c r="H844" s="468"/>
      <c r="I844" s="468"/>
      <c r="J844" s="468"/>
      <c r="K844" s="468"/>
      <c r="L844" s="468"/>
      <c r="M844" s="468"/>
      <c r="N844" s="468"/>
      <c r="O844" s="468"/>
      <c r="P844" s="468"/>
      <c r="Q844" s="468"/>
      <c r="R844" s="468"/>
      <c r="S844" s="468"/>
      <c r="T844" s="468"/>
      <c r="U844" s="468"/>
      <c r="V844" s="468"/>
      <c r="W844" s="468"/>
      <c r="X844" s="468"/>
      <c r="Y844" s="468"/>
      <c r="Z844" s="468"/>
      <c r="AA844" s="468"/>
      <c r="AB844" s="468"/>
      <c r="AC844" s="468"/>
      <c r="AD844" s="468"/>
      <c r="AE844" s="468"/>
      <c r="AF844" s="468"/>
      <c r="AG844" s="468"/>
      <c r="AH844" s="468"/>
      <c r="AI844" s="468"/>
      <c r="AJ844" s="468"/>
    </row>
    <row r="845" spans="1:36" ht="18" customHeight="1" x14ac:dyDescent="0.35">
      <c r="A845" s="468"/>
      <c r="B845" s="468"/>
      <c r="C845" s="468"/>
      <c r="D845" s="468"/>
      <c r="E845" s="468"/>
      <c r="F845" s="468"/>
      <c r="G845" s="468"/>
      <c r="H845" s="468"/>
      <c r="I845" s="468"/>
      <c r="J845" s="468"/>
      <c r="K845" s="468"/>
      <c r="L845" s="468"/>
      <c r="M845" s="468"/>
      <c r="N845" s="468"/>
      <c r="O845" s="468"/>
      <c r="P845" s="468"/>
      <c r="Q845" s="468"/>
      <c r="R845" s="468"/>
      <c r="S845" s="468"/>
      <c r="T845" s="468"/>
      <c r="U845" s="468"/>
      <c r="V845" s="468"/>
      <c r="W845" s="468"/>
      <c r="X845" s="468"/>
      <c r="Y845" s="468"/>
      <c r="Z845" s="468"/>
      <c r="AA845" s="468"/>
      <c r="AB845" s="468"/>
      <c r="AC845" s="468"/>
      <c r="AD845" s="468"/>
      <c r="AE845" s="468"/>
      <c r="AF845" s="468"/>
      <c r="AG845" s="468"/>
      <c r="AH845" s="468"/>
      <c r="AI845" s="468"/>
      <c r="AJ845" s="468"/>
    </row>
    <row r="846" spans="1:36" ht="18" customHeight="1" x14ac:dyDescent="0.35">
      <c r="A846" s="468"/>
      <c r="B846" s="468"/>
      <c r="C846" s="468"/>
      <c r="D846" s="468"/>
      <c r="E846" s="468"/>
      <c r="F846" s="468"/>
      <c r="G846" s="468"/>
      <c r="H846" s="468"/>
      <c r="I846" s="468"/>
      <c r="J846" s="468"/>
      <c r="K846" s="468"/>
      <c r="L846" s="468"/>
      <c r="M846" s="468"/>
      <c r="N846" s="468"/>
      <c r="O846" s="468"/>
      <c r="P846" s="468"/>
      <c r="Q846" s="468"/>
      <c r="R846" s="468"/>
      <c r="S846" s="468"/>
      <c r="T846" s="468"/>
      <c r="U846" s="468"/>
      <c r="V846" s="468"/>
      <c r="W846" s="468"/>
      <c r="X846" s="468"/>
      <c r="Y846" s="468"/>
      <c r="Z846" s="468"/>
      <c r="AA846" s="468"/>
      <c r="AB846" s="468"/>
      <c r="AC846" s="468"/>
      <c r="AD846" s="468"/>
      <c r="AE846" s="468"/>
      <c r="AF846" s="468"/>
      <c r="AG846" s="468"/>
      <c r="AH846" s="468"/>
      <c r="AI846" s="468"/>
      <c r="AJ846" s="468"/>
    </row>
    <row r="847" spans="1:36" ht="18" customHeight="1" x14ac:dyDescent="0.35">
      <c r="A847" s="468"/>
      <c r="B847" s="468"/>
      <c r="C847" s="468"/>
      <c r="D847" s="468"/>
      <c r="E847" s="468"/>
      <c r="F847" s="468"/>
      <c r="G847" s="468"/>
      <c r="H847" s="468"/>
      <c r="I847" s="468"/>
      <c r="J847" s="468"/>
      <c r="K847" s="468"/>
      <c r="L847" s="468"/>
      <c r="M847" s="468"/>
      <c r="N847" s="468"/>
      <c r="O847" s="468"/>
      <c r="P847" s="468"/>
      <c r="Q847" s="468"/>
      <c r="R847" s="468"/>
      <c r="S847" s="468"/>
      <c r="T847" s="468"/>
      <c r="U847" s="468"/>
      <c r="V847" s="468"/>
      <c r="W847" s="468"/>
      <c r="X847" s="468"/>
      <c r="Y847" s="468"/>
      <c r="Z847" s="468"/>
      <c r="AA847" s="468"/>
      <c r="AB847" s="468"/>
      <c r="AC847" s="468"/>
      <c r="AD847" s="468"/>
      <c r="AE847" s="468"/>
      <c r="AF847" s="468"/>
      <c r="AG847" s="468"/>
      <c r="AH847" s="468"/>
      <c r="AI847" s="468"/>
      <c r="AJ847" s="468"/>
    </row>
    <row r="848" spans="1:36" ht="18" customHeight="1" x14ac:dyDescent="0.35">
      <c r="A848" s="468"/>
      <c r="B848" s="468"/>
      <c r="C848" s="468"/>
      <c r="D848" s="468"/>
      <c r="E848" s="468"/>
      <c r="F848" s="468"/>
      <c r="G848" s="468"/>
      <c r="H848" s="468"/>
      <c r="I848" s="468"/>
      <c r="J848" s="468"/>
      <c r="K848" s="468"/>
      <c r="L848" s="468"/>
      <c r="M848" s="468"/>
      <c r="N848" s="468"/>
      <c r="O848" s="468"/>
      <c r="P848" s="468"/>
      <c r="Q848" s="468"/>
      <c r="R848" s="468"/>
      <c r="S848" s="468"/>
      <c r="T848" s="468"/>
      <c r="U848" s="468"/>
      <c r="V848" s="468"/>
      <c r="W848" s="468"/>
      <c r="X848" s="468"/>
      <c r="Y848" s="468"/>
      <c r="Z848" s="468"/>
      <c r="AA848" s="468"/>
      <c r="AB848" s="468"/>
      <c r="AC848" s="468"/>
      <c r="AD848" s="468"/>
      <c r="AE848" s="468"/>
      <c r="AF848" s="468"/>
      <c r="AG848" s="468"/>
      <c r="AH848" s="468"/>
      <c r="AI848" s="468"/>
      <c r="AJ848" s="468"/>
    </row>
    <row r="849" spans="1:36" ht="18" customHeight="1" x14ac:dyDescent="0.35">
      <c r="A849" s="468"/>
      <c r="B849" s="468"/>
      <c r="C849" s="468"/>
      <c r="D849" s="468"/>
      <c r="E849" s="468"/>
      <c r="F849" s="468"/>
      <c r="G849" s="468"/>
      <c r="H849" s="468"/>
      <c r="I849" s="468"/>
      <c r="J849" s="468"/>
      <c r="K849" s="468"/>
      <c r="L849" s="468"/>
      <c r="M849" s="468"/>
      <c r="N849" s="468"/>
      <c r="O849" s="468"/>
      <c r="P849" s="468"/>
      <c r="Q849" s="468"/>
      <c r="R849" s="468"/>
      <c r="S849" s="468"/>
      <c r="T849" s="468"/>
      <c r="U849" s="468"/>
      <c r="V849" s="468"/>
      <c r="W849" s="468"/>
      <c r="X849" s="468"/>
      <c r="Y849" s="468"/>
      <c r="Z849" s="468"/>
      <c r="AA849" s="468"/>
      <c r="AB849" s="468"/>
      <c r="AC849" s="468"/>
      <c r="AD849" s="468"/>
      <c r="AE849" s="468"/>
      <c r="AF849" s="468"/>
      <c r="AG849" s="468"/>
      <c r="AH849" s="468"/>
      <c r="AI849" s="468"/>
      <c r="AJ849" s="468"/>
    </row>
    <row r="850" spans="1:36" ht="18" customHeight="1" x14ac:dyDescent="0.35">
      <c r="A850" s="468"/>
      <c r="B850" s="468"/>
      <c r="C850" s="468"/>
      <c r="D850" s="468"/>
      <c r="E850" s="468"/>
      <c r="F850" s="468"/>
      <c r="G850" s="468"/>
      <c r="H850" s="468"/>
      <c r="I850" s="468"/>
      <c r="J850" s="468"/>
      <c r="K850" s="468"/>
      <c r="L850" s="468"/>
      <c r="M850" s="468"/>
      <c r="N850" s="468"/>
      <c r="O850" s="468"/>
      <c r="P850" s="468"/>
      <c r="Q850" s="468"/>
      <c r="R850" s="468"/>
      <c r="S850" s="468"/>
      <c r="T850" s="468"/>
      <c r="U850" s="468"/>
      <c r="V850" s="468"/>
      <c r="W850" s="468"/>
      <c r="X850" s="468"/>
      <c r="Y850" s="468"/>
      <c r="Z850" s="468"/>
      <c r="AA850" s="468"/>
      <c r="AB850" s="468"/>
      <c r="AC850" s="468"/>
      <c r="AD850" s="468"/>
      <c r="AE850" s="468"/>
      <c r="AF850" s="468"/>
      <c r="AG850" s="468"/>
      <c r="AH850" s="468"/>
      <c r="AI850" s="468"/>
      <c r="AJ850" s="468"/>
    </row>
    <row r="851" spans="1:36" ht="18" customHeight="1" x14ac:dyDescent="0.35">
      <c r="A851" s="468"/>
      <c r="B851" s="468"/>
      <c r="C851" s="468"/>
      <c r="D851" s="468"/>
      <c r="E851" s="468"/>
      <c r="F851" s="468"/>
      <c r="G851" s="468"/>
      <c r="H851" s="468"/>
      <c r="I851" s="468"/>
      <c r="J851" s="468"/>
      <c r="K851" s="468"/>
      <c r="L851" s="468"/>
      <c r="M851" s="468"/>
      <c r="N851" s="468"/>
      <c r="O851" s="468"/>
      <c r="P851" s="468"/>
      <c r="Q851" s="468"/>
      <c r="R851" s="468"/>
      <c r="S851" s="468"/>
      <c r="T851" s="468"/>
      <c r="U851" s="468"/>
      <c r="V851" s="468"/>
      <c r="W851" s="468"/>
      <c r="X851" s="468"/>
      <c r="Y851" s="468"/>
      <c r="Z851" s="468"/>
      <c r="AA851" s="468"/>
      <c r="AB851" s="468"/>
      <c r="AC851" s="468"/>
      <c r="AD851" s="468"/>
      <c r="AE851" s="468"/>
      <c r="AF851" s="468"/>
      <c r="AG851" s="468"/>
      <c r="AH851" s="468"/>
      <c r="AI851" s="468"/>
      <c r="AJ851" s="468"/>
    </row>
    <row r="852" spans="1:36" ht="18" customHeight="1" x14ac:dyDescent="0.35">
      <c r="A852" s="468"/>
      <c r="B852" s="468"/>
      <c r="C852" s="468"/>
      <c r="D852" s="468"/>
      <c r="E852" s="468"/>
      <c r="F852" s="468"/>
      <c r="G852" s="468"/>
      <c r="H852" s="468"/>
      <c r="I852" s="468"/>
      <c r="J852" s="468"/>
      <c r="K852" s="468"/>
      <c r="L852" s="468"/>
      <c r="M852" s="468"/>
      <c r="N852" s="468"/>
      <c r="O852" s="468"/>
      <c r="P852" s="468"/>
      <c r="Q852" s="468"/>
      <c r="R852" s="468"/>
      <c r="S852" s="468"/>
      <c r="T852" s="468"/>
      <c r="U852" s="468"/>
      <c r="V852" s="468"/>
      <c r="W852" s="468"/>
      <c r="X852" s="468"/>
      <c r="Y852" s="468"/>
      <c r="Z852" s="468"/>
      <c r="AA852" s="468"/>
      <c r="AB852" s="468"/>
      <c r="AC852" s="468"/>
      <c r="AD852" s="468"/>
      <c r="AE852" s="468"/>
      <c r="AF852" s="468"/>
      <c r="AG852" s="468"/>
      <c r="AH852" s="468"/>
      <c r="AI852" s="468"/>
      <c r="AJ852" s="468"/>
    </row>
    <row r="853" spans="1:36" ht="18" customHeight="1" x14ac:dyDescent="0.35">
      <c r="A853" s="468"/>
      <c r="B853" s="468"/>
      <c r="C853" s="468"/>
      <c r="D853" s="468"/>
      <c r="E853" s="468"/>
      <c r="F853" s="468"/>
      <c r="G853" s="468"/>
      <c r="H853" s="468"/>
      <c r="I853" s="468"/>
      <c r="J853" s="468"/>
      <c r="K853" s="468"/>
      <c r="L853" s="468"/>
      <c r="M853" s="468"/>
      <c r="N853" s="468"/>
      <c r="O853" s="468"/>
      <c r="P853" s="468"/>
      <c r="Q853" s="468"/>
      <c r="R853" s="468"/>
      <c r="S853" s="468"/>
      <c r="T853" s="468"/>
      <c r="U853" s="468"/>
      <c r="V853" s="468"/>
      <c r="W853" s="468"/>
      <c r="X853" s="468"/>
      <c r="Y853" s="468"/>
      <c r="Z853" s="468"/>
      <c r="AA853" s="468"/>
      <c r="AB853" s="468"/>
      <c r="AC853" s="468"/>
      <c r="AD853" s="468"/>
      <c r="AE853" s="468"/>
      <c r="AF853" s="468"/>
      <c r="AG853" s="468"/>
      <c r="AH853" s="468"/>
      <c r="AI853" s="468"/>
      <c r="AJ853" s="468"/>
    </row>
    <row r="854" spans="1:36" ht="18" customHeight="1" x14ac:dyDescent="0.35">
      <c r="A854" s="468"/>
      <c r="B854" s="468"/>
      <c r="C854" s="468"/>
      <c r="D854" s="468"/>
      <c r="E854" s="468"/>
      <c r="F854" s="468"/>
      <c r="G854" s="468"/>
      <c r="H854" s="468"/>
      <c r="I854" s="468"/>
      <c r="J854" s="468"/>
      <c r="K854" s="468"/>
      <c r="L854" s="468"/>
      <c r="M854" s="468"/>
      <c r="N854" s="468"/>
      <c r="O854" s="468"/>
      <c r="P854" s="468"/>
      <c r="Q854" s="468"/>
      <c r="R854" s="468"/>
      <c r="S854" s="468"/>
      <c r="T854" s="468"/>
      <c r="U854" s="468"/>
      <c r="V854" s="468"/>
      <c r="W854" s="468"/>
      <c r="X854" s="468"/>
      <c r="Y854" s="468"/>
      <c r="Z854" s="468"/>
      <c r="AA854" s="468"/>
      <c r="AB854" s="468"/>
      <c r="AC854" s="468"/>
      <c r="AD854" s="468"/>
      <c r="AE854" s="468"/>
      <c r="AF854" s="468"/>
      <c r="AG854" s="468"/>
      <c r="AH854" s="468"/>
      <c r="AI854" s="468"/>
      <c r="AJ854" s="468"/>
    </row>
    <row r="855" spans="1:36" ht="18" customHeight="1" x14ac:dyDescent="0.35">
      <c r="A855" s="468"/>
      <c r="B855" s="468"/>
      <c r="C855" s="468"/>
      <c r="D855" s="468"/>
      <c r="E855" s="468"/>
      <c r="F855" s="468"/>
      <c r="G855" s="468"/>
      <c r="H855" s="468"/>
      <c r="I855" s="468"/>
      <c r="J855" s="468"/>
      <c r="K855" s="468"/>
      <c r="L855" s="468"/>
      <c r="M855" s="468"/>
      <c r="N855" s="468"/>
      <c r="O855" s="468"/>
      <c r="P855" s="468"/>
      <c r="Q855" s="468"/>
      <c r="R855" s="468"/>
      <c r="S855" s="468"/>
      <c r="T855" s="468"/>
      <c r="U855" s="468"/>
      <c r="V855" s="468"/>
      <c r="W855" s="468"/>
      <c r="X855" s="468"/>
      <c r="Y855" s="468"/>
      <c r="Z855" s="468"/>
      <c r="AA855" s="468"/>
      <c r="AB855" s="468"/>
      <c r="AC855" s="468"/>
      <c r="AD855" s="468"/>
      <c r="AE855" s="468"/>
      <c r="AF855" s="468"/>
      <c r="AG855" s="468"/>
      <c r="AH855" s="468"/>
      <c r="AI855" s="468"/>
      <c r="AJ855" s="468"/>
    </row>
    <row r="856" spans="1:36" ht="18" customHeight="1" x14ac:dyDescent="0.35">
      <c r="A856" s="468"/>
      <c r="B856" s="468"/>
      <c r="C856" s="468"/>
      <c r="D856" s="468"/>
      <c r="E856" s="468"/>
      <c r="F856" s="468"/>
      <c r="G856" s="468"/>
      <c r="H856" s="468"/>
      <c r="I856" s="468"/>
      <c r="J856" s="468"/>
      <c r="K856" s="468"/>
      <c r="L856" s="468"/>
      <c r="M856" s="468"/>
      <c r="N856" s="468"/>
      <c r="O856" s="468"/>
      <c r="P856" s="468"/>
      <c r="Q856" s="468"/>
      <c r="R856" s="468"/>
      <c r="S856" s="468"/>
      <c r="T856" s="468"/>
      <c r="U856" s="468"/>
      <c r="V856" s="468"/>
      <c r="W856" s="468"/>
      <c r="X856" s="468"/>
      <c r="Y856" s="468"/>
      <c r="Z856" s="468"/>
      <c r="AA856" s="468"/>
      <c r="AB856" s="468"/>
      <c r="AC856" s="468"/>
      <c r="AD856" s="468"/>
      <c r="AE856" s="468"/>
      <c r="AF856" s="468"/>
      <c r="AG856" s="468"/>
      <c r="AH856" s="468"/>
      <c r="AI856" s="468"/>
      <c r="AJ856" s="468"/>
    </row>
    <row r="857" spans="1:36" ht="18" customHeight="1" x14ac:dyDescent="0.35">
      <c r="A857" s="468"/>
      <c r="B857" s="468"/>
      <c r="C857" s="468"/>
      <c r="D857" s="468"/>
      <c r="E857" s="468"/>
      <c r="F857" s="468"/>
      <c r="G857" s="468"/>
      <c r="H857" s="468"/>
      <c r="I857" s="468"/>
      <c r="J857" s="468"/>
      <c r="K857" s="468"/>
      <c r="L857" s="468"/>
      <c r="M857" s="468"/>
      <c r="N857" s="468"/>
      <c r="O857" s="468"/>
      <c r="P857" s="468"/>
      <c r="Q857" s="468"/>
      <c r="R857" s="468"/>
      <c r="S857" s="468"/>
      <c r="T857" s="468"/>
      <c r="U857" s="468"/>
      <c r="V857" s="468"/>
      <c r="W857" s="468"/>
      <c r="X857" s="468"/>
      <c r="Y857" s="468"/>
      <c r="Z857" s="468"/>
      <c r="AA857" s="468"/>
      <c r="AB857" s="468"/>
      <c r="AC857" s="468"/>
      <c r="AD857" s="468"/>
      <c r="AE857" s="468"/>
      <c r="AF857" s="468"/>
      <c r="AG857" s="468"/>
      <c r="AH857" s="468"/>
      <c r="AI857" s="468"/>
      <c r="AJ857" s="468"/>
    </row>
    <row r="858" spans="1:36" ht="18" customHeight="1" x14ac:dyDescent="0.35">
      <c r="A858" s="468"/>
      <c r="B858" s="468"/>
      <c r="C858" s="468"/>
      <c r="D858" s="468"/>
      <c r="E858" s="468"/>
      <c r="F858" s="468"/>
      <c r="G858" s="468"/>
      <c r="H858" s="468"/>
      <c r="I858" s="468"/>
      <c r="J858" s="468"/>
      <c r="K858" s="468"/>
      <c r="L858" s="468"/>
      <c r="M858" s="468"/>
      <c r="N858" s="468"/>
      <c r="O858" s="468"/>
      <c r="P858" s="468"/>
      <c r="Q858" s="468"/>
      <c r="R858" s="468"/>
      <c r="S858" s="468"/>
      <c r="T858" s="468"/>
      <c r="U858" s="468"/>
      <c r="V858" s="468"/>
      <c r="W858" s="468"/>
      <c r="X858" s="468"/>
      <c r="Y858" s="468"/>
      <c r="Z858" s="468"/>
      <c r="AA858" s="468"/>
      <c r="AB858" s="468"/>
      <c r="AC858" s="468"/>
      <c r="AD858" s="468"/>
      <c r="AE858" s="468"/>
      <c r="AF858" s="468"/>
      <c r="AG858" s="468"/>
      <c r="AH858" s="468"/>
      <c r="AI858" s="468"/>
      <c r="AJ858" s="468"/>
    </row>
    <row r="859" spans="1:36" ht="18" customHeight="1" x14ac:dyDescent="0.35">
      <c r="A859" s="468"/>
      <c r="B859" s="468"/>
      <c r="C859" s="468"/>
      <c r="D859" s="468"/>
      <c r="E859" s="468"/>
      <c r="F859" s="468"/>
      <c r="G859" s="468"/>
      <c r="H859" s="468"/>
      <c r="I859" s="468"/>
      <c r="J859" s="468"/>
      <c r="K859" s="468"/>
      <c r="L859" s="468"/>
      <c r="M859" s="468"/>
      <c r="N859" s="468"/>
      <c r="O859" s="468"/>
      <c r="P859" s="468"/>
      <c r="Q859" s="468"/>
      <c r="R859" s="468"/>
      <c r="S859" s="468"/>
      <c r="T859" s="468"/>
      <c r="U859" s="468"/>
      <c r="V859" s="468"/>
      <c r="W859" s="468"/>
      <c r="X859" s="468"/>
      <c r="Y859" s="468"/>
      <c r="Z859" s="468"/>
      <c r="AA859" s="468"/>
      <c r="AB859" s="468"/>
      <c r="AC859" s="468"/>
      <c r="AD859" s="468"/>
      <c r="AE859" s="468"/>
      <c r="AF859" s="468"/>
      <c r="AG859" s="468"/>
      <c r="AH859" s="468"/>
      <c r="AI859" s="468"/>
      <c r="AJ859" s="468"/>
    </row>
    <row r="860" spans="1:36" ht="18" customHeight="1" x14ac:dyDescent="0.35">
      <c r="A860" s="468"/>
      <c r="B860" s="468"/>
      <c r="C860" s="468"/>
      <c r="D860" s="468"/>
      <c r="E860" s="468"/>
      <c r="F860" s="468"/>
      <c r="G860" s="468"/>
      <c r="H860" s="468"/>
      <c r="I860" s="468"/>
      <c r="J860" s="468"/>
      <c r="K860" s="468"/>
      <c r="L860" s="468"/>
      <c r="M860" s="468"/>
      <c r="N860" s="468"/>
      <c r="O860" s="468"/>
      <c r="P860" s="468"/>
      <c r="Q860" s="468"/>
      <c r="R860" s="468"/>
      <c r="S860" s="468"/>
      <c r="T860" s="468"/>
      <c r="U860" s="468"/>
      <c r="V860" s="468"/>
      <c r="W860" s="468"/>
      <c r="X860" s="468"/>
      <c r="Y860" s="468"/>
      <c r="Z860" s="468"/>
      <c r="AA860" s="468"/>
      <c r="AB860" s="468"/>
      <c r="AC860" s="468"/>
      <c r="AD860" s="468"/>
      <c r="AE860" s="468"/>
      <c r="AF860" s="468"/>
      <c r="AG860" s="468"/>
      <c r="AH860" s="468"/>
      <c r="AI860" s="468"/>
      <c r="AJ860" s="468"/>
    </row>
    <row r="861" spans="1:36" ht="18" customHeight="1" x14ac:dyDescent="0.35">
      <c r="A861" s="468"/>
      <c r="B861" s="468"/>
      <c r="C861" s="468"/>
      <c r="D861" s="468"/>
      <c r="E861" s="468"/>
      <c r="F861" s="468"/>
      <c r="G861" s="468"/>
      <c r="H861" s="468"/>
      <c r="I861" s="468"/>
      <c r="J861" s="468"/>
      <c r="K861" s="468"/>
      <c r="L861" s="468"/>
      <c r="M861" s="468"/>
      <c r="N861" s="468"/>
      <c r="O861" s="468"/>
      <c r="P861" s="468"/>
      <c r="Q861" s="468"/>
      <c r="R861" s="468"/>
      <c r="S861" s="468"/>
      <c r="T861" s="468"/>
      <c r="U861" s="468"/>
      <c r="V861" s="468"/>
      <c r="W861" s="468"/>
      <c r="X861" s="468"/>
      <c r="Y861" s="468"/>
      <c r="Z861" s="468"/>
      <c r="AA861" s="468"/>
      <c r="AB861" s="468"/>
      <c r="AC861" s="468"/>
      <c r="AD861" s="468"/>
      <c r="AE861" s="468"/>
      <c r="AF861" s="468"/>
      <c r="AG861" s="468"/>
      <c r="AH861" s="468"/>
      <c r="AI861" s="468"/>
      <c r="AJ861" s="468"/>
    </row>
    <row r="862" spans="1:36" ht="18" customHeight="1" x14ac:dyDescent="0.35">
      <c r="A862" s="468"/>
      <c r="B862" s="468"/>
      <c r="C862" s="468"/>
      <c r="D862" s="468"/>
      <c r="E862" s="468"/>
      <c r="F862" s="468"/>
      <c r="G862" s="468"/>
      <c r="H862" s="468"/>
      <c r="I862" s="468"/>
      <c r="J862" s="468"/>
      <c r="K862" s="468"/>
      <c r="L862" s="468"/>
      <c r="M862" s="468"/>
      <c r="N862" s="468"/>
      <c r="O862" s="468"/>
      <c r="P862" s="468"/>
      <c r="Q862" s="468"/>
      <c r="R862" s="468"/>
      <c r="S862" s="468"/>
      <c r="T862" s="468"/>
      <c r="U862" s="468"/>
      <c r="V862" s="468"/>
      <c r="W862" s="468"/>
      <c r="X862" s="468"/>
      <c r="Y862" s="468"/>
      <c r="Z862" s="468"/>
      <c r="AA862" s="468"/>
      <c r="AB862" s="468"/>
      <c r="AC862" s="468"/>
      <c r="AD862" s="468"/>
      <c r="AE862" s="468"/>
      <c r="AF862" s="468"/>
      <c r="AG862" s="468"/>
      <c r="AH862" s="468"/>
      <c r="AI862" s="468"/>
      <c r="AJ862" s="468"/>
    </row>
    <row r="863" spans="1:36" ht="18" customHeight="1" x14ac:dyDescent="0.35">
      <c r="A863" s="468"/>
      <c r="B863" s="468"/>
      <c r="C863" s="468"/>
      <c r="D863" s="468"/>
      <c r="E863" s="468"/>
      <c r="F863" s="468"/>
      <c r="G863" s="468"/>
      <c r="H863" s="468"/>
      <c r="I863" s="468"/>
      <c r="J863" s="468"/>
      <c r="K863" s="468"/>
      <c r="L863" s="468"/>
      <c r="M863" s="468"/>
      <c r="N863" s="468"/>
      <c r="O863" s="468"/>
      <c r="P863" s="468"/>
      <c r="Q863" s="468"/>
      <c r="R863" s="468"/>
      <c r="S863" s="468"/>
      <c r="T863" s="468"/>
      <c r="U863" s="468"/>
      <c r="V863" s="468"/>
      <c r="W863" s="468"/>
      <c r="X863" s="468"/>
      <c r="Y863" s="468"/>
      <c r="Z863" s="468"/>
      <c r="AA863" s="468"/>
      <c r="AB863" s="468"/>
      <c r="AC863" s="468"/>
      <c r="AD863" s="468"/>
      <c r="AE863" s="468"/>
      <c r="AF863" s="468"/>
      <c r="AG863" s="468"/>
      <c r="AH863" s="468"/>
      <c r="AI863" s="468"/>
      <c r="AJ863" s="468"/>
    </row>
    <row r="864" spans="1:36" ht="18" customHeight="1" x14ac:dyDescent="0.35">
      <c r="A864" s="468"/>
      <c r="B864" s="468"/>
      <c r="C864" s="468"/>
      <c r="D864" s="468"/>
      <c r="E864" s="468"/>
      <c r="F864" s="468"/>
      <c r="G864" s="468"/>
      <c r="H864" s="468"/>
      <c r="I864" s="468"/>
      <c r="J864" s="468"/>
      <c r="K864" s="468"/>
      <c r="L864" s="468"/>
      <c r="M864" s="468"/>
      <c r="N864" s="468"/>
      <c r="O864" s="468"/>
      <c r="P864" s="468"/>
      <c r="Q864" s="468"/>
      <c r="R864" s="468"/>
      <c r="S864" s="468"/>
      <c r="T864" s="468"/>
      <c r="U864" s="468"/>
      <c r="V864" s="468"/>
      <c r="W864" s="468"/>
      <c r="X864" s="468"/>
      <c r="Y864" s="468"/>
      <c r="Z864" s="468"/>
      <c r="AA864" s="468"/>
      <c r="AB864" s="468"/>
      <c r="AC864" s="468"/>
      <c r="AD864" s="468"/>
      <c r="AE864" s="468"/>
      <c r="AF864" s="468"/>
      <c r="AG864" s="468"/>
      <c r="AH864" s="468"/>
      <c r="AI864" s="468"/>
      <c r="AJ864" s="468"/>
    </row>
    <row r="865" spans="1:36" ht="18" customHeight="1" x14ac:dyDescent="0.35">
      <c r="A865" s="468"/>
      <c r="B865" s="468"/>
      <c r="C865" s="468"/>
      <c r="D865" s="468"/>
      <c r="E865" s="468"/>
      <c r="F865" s="468"/>
      <c r="G865" s="468"/>
      <c r="H865" s="468"/>
      <c r="I865" s="468"/>
      <c r="J865" s="468"/>
      <c r="K865" s="468"/>
      <c r="L865" s="468"/>
      <c r="M865" s="468"/>
      <c r="N865" s="468"/>
      <c r="O865" s="468"/>
      <c r="P865" s="468"/>
      <c r="Q865" s="468"/>
      <c r="R865" s="468"/>
      <c r="S865" s="468"/>
      <c r="T865" s="468"/>
      <c r="U865" s="468"/>
      <c r="V865" s="468"/>
      <c r="W865" s="468"/>
      <c r="X865" s="468"/>
      <c r="Y865" s="468"/>
      <c r="Z865" s="468"/>
      <c r="AA865" s="468"/>
      <c r="AB865" s="468"/>
      <c r="AC865" s="468"/>
      <c r="AD865" s="468"/>
      <c r="AE865" s="468"/>
      <c r="AF865" s="468"/>
      <c r="AG865" s="468"/>
      <c r="AH865" s="468"/>
      <c r="AI865" s="468"/>
      <c r="AJ865" s="468"/>
    </row>
    <row r="866" spans="1:36" ht="18" customHeight="1" x14ac:dyDescent="0.35">
      <c r="A866" s="468"/>
      <c r="B866" s="468"/>
      <c r="C866" s="468"/>
      <c r="D866" s="468"/>
      <c r="E866" s="468"/>
      <c r="F866" s="468"/>
      <c r="G866" s="468"/>
      <c r="H866" s="468"/>
      <c r="I866" s="468"/>
      <c r="J866" s="468"/>
      <c r="K866" s="468"/>
      <c r="L866" s="468"/>
      <c r="M866" s="468"/>
      <c r="N866" s="468"/>
      <c r="O866" s="468"/>
      <c r="P866" s="468"/>
      <c r="Q866" s="468"/>
      <c r="R866" s="468"/>
      <c r="S866" s="468"/>
      <c r="T866" s="468"/>
      <c r="U866" s="468"/>
      <c r="V866" s="468"/>
      <c r="W866" s="468"/>
      <c r="X866" s="468"/>
      <c r="Y866" s="468"/>
      <c r="Z866" s="468"/>
      <c r="AA866" s="468"/>
      <c r="AB866" s="468"/>
      <c r="AC866" s="468"/>
      <c r="AD866" s="468"/>
      <c r="AE866" s="468"/>
      <c r="AF866" s="468"/>
      <c r="AG866" s="468"/>
      <c r="AH866" s="468"/>
      <c r="AI866" s="468"/>
      <c r="AJ866" s="468"/>
    </row>
    <row r="867" spans="1:36" ht="18" customHeight="1" x14ac:dyDescent="0.35">
      <c r="A867" s="468"/>
      <c r="B867" s="468"/>
      <c r="C867" s="468"/>
      <c r="D867" s="468"/>
      <c r="E867" s="468"/>
      <c r="F867" s="468"/>
      <c r="G867" s="468"/>
      <c r="H867" s="468"/>
      <c r="I867" s="468"/>
      <c r="J867" s="468"/>
      <c r="K867" s="468"/>
      <c r="L867" s="468"/>
      <c r="M867" s="468"/>
      <c r="N867" s="468"/>
      <c r="O867" s="468"/>
      <c r="P867" s="468"/>
      <c r="Q867" s="468"/>
      <c r="R867" s="468"/>
      <c r="S867" s="468"/>
      <c r="T867" s="468"/>
      <c r="U867" s="468"/>
      <c r="V867" s="468"/>
      <c r="W867" s="468"/>
      <c r="X867" s="468"/>
      <c r="Y867" s="468"/>
      <c r="Z867" s="468"/>
      <c r="AA867" s="468"/>
      <c r="AB867" s="468"/>
      <c r="AC867" s="468"/>
      <c r="AD867" s="468"/>
      <c r="AE867" s="468"/>
      <c r="AF867" s="468"/>
      <c r="AG867" s="468"/>
      <c r="AH867" s="468"/>
      <c r="AI867" s="468"/>
      <c r="AJ867" s="468"/>
    </row>
    <row r="868" spans="1:36" ht="18" customHeight="1" x14ac:dyDescent="0.35">
      <c r="A868" s="468"/>
      <c r="B868" s="468"/>
      <c r="C868" s="468"/>
      <c r="D868" s="468"/>
      <c r="E868" s="468"/>
      <c r="F868" s="468"/>
      <c r="G868" s="468"/>
      <c r="H868" s="468"/>
      <c r="I868" s="468"/>
      <c r="J868" s="468"/>
      <c r="K868" s="468"/>
      <c r="L868" s="468"/>
      <c r="M868" s="468"/>
      <c r="N868" s="468"/>
      <c r="O868" s="468"/>
      <c r="P868" s="468"/>
      <c r="Q868" s="468"/>
      <c r="R868" s="468"/>
      <c r="S868" s="468"/>
      <c r="T868" s="468"/>
      <c r="U868" s="468"/>
      <c r="V868" s="468"/>
      <c r="W868" s="468"/>
      <c r="X868" s="468"/>
      <c r="Y868" s="468"/>
      <c r="Z868" s="468"/>
      <c r="AA868" s="468"/>
      <c r="AB868" s="468"/>
      <c r="AC868" s="468"/>
      <c r="AD868" s="468"/>
      <c r="AE868" s="468"/>
      <c r="AF868" s="468"/>
      <c r="AG868" s="468"/>
      <c r="AH868" s="468"/>
      <c r="AI868" s="468"/>
      <c r="AJ868" s="468"/>
    </row>
    <row r="869" spans="1:36" ht="18" customHeight="1" x14ac:dyDescent="0.35">
      <c r="A869" s="468"/>
      <c r="B869" s="468"/>
      <c r="C869" s="468"/>
      <c r="D869" s="468"/>
      <c r="E869" s="468"/>
      <c r="F869" s="468"/>
      <c r="G869" s="468"/>
      <c r="H869" s="468"/>
      <c r="I869" s="468"/>
      <c r="J869" s="468"/>
      <c r="K869" s="468"/>
      <c r="L869" s="468"/>
      <c r="M869" s="468"/>
      <c r="N869" s="468"/>
      <c r="O869" s="468"/>
      <c r="P869" s="468"/>
      <c r="Q869" s="468"/>
      <c r="R869" s="468"/>
      <c r="S869" s="468"/>
      <c r="T869" s="468"/>
      <c r="U869" s="468"/>
      <c r="V869" s="468"/>
      <c r="W869" s="468"/>
      <c r="X869" s="468"/>
      <c r="Y869" s="468"/>
      <c r="Z869" s="468"/>
      <c r="AA869" s="468"/>
      <c r="AB869" s="468"/>
      <c r="AC869" s="468"/>
      <c r="AD869" s="468"/>
      <c r="AE869" s="468"/>
      <c r="AF869" s="468"/>
      <c r="AG869" s="468"/>
      <c r="AH869" s="468"/>
      <c r="AI869" s="468"/>
      <c r="AJ869" s="468"/>
    </row>
    <row r="870" spans="1:36" ht="18" customHeight="1" x14ac:dyDescent="0.35">
      <c r="A870" s="468"/>
      <c r="B870" s="468"/>
      <c r="C870" s="468"/>
      <c r="D870" s="468"/>
      <c r="E870" s="468"/>
      <c r="F870" s="468"/>
      <c r="G870" s="468"/>
      <c r="H870" s="468"/>
      <c r="I870" s="468"/>
      <c r="J870" s="468"/>
      <c r="K870" s="468"/>
      <c r="L870" s="468"/>
      <c r="M870" s="468"/>
      <c r="N870" s="468"/>
      <c r="O870" s="468"/>
      <c r="P870" s="468"/>
      <c r="Q870" s="468"/>
      <c r="R870" s="468"/>
      <c r="S870" s="468"/>
      <c r="T870" s="468"/>
      <c r="U870" s="468"/>
      <c r="V870" s="468"/>
      <c r="W870" s="468"/>
      <c r="X870" s="468"/>
      <c r="Y870" s="468"/>
      <c r="Z870" s="468"/>
      <c r="AA870" s="468"/>
      <c r="AB870" s="468"/>
      <c r="AC870" s="468"/>
      <c r="AD870" s="468"/>
      <c r="AE870" s="468"/>
      <c r="AF870" s="468"/>
      <c r="AG870" s="468"/>
      <c r="AH870" s="468"/>
      <c r="AI870" s="468"/>
      <c r="AJ870" s="468"/>
    </row>
    <row r="871" spans="1:36" ht="18" customHeight="1" x14ac:dyDescent="0.35">
      <c r="A871" s="468"/>
      <c r="B871" s="468"/>
      <c r="C871" s="468"/>
      <c r="D871" s="468"/>
      <c r="E871" s="468"/>
      <c r="F871" s="468"/>
      <c r="G871" s="468"/>
      <c r="H871" s="468"/>
      <c r="I871" s="468"/>
      <c r="J871" s="468"/>
      <c r="K871" s="468"/>
      <c r="L871" s="468"/>
      <c r="M871" s="468"/>
      <c r="N871" s="468"/>
      <c r="O871" s="468"/>
      <c r="P871" s="468"/>
      <c r="Q871" s="468"/>
      <c r="R871" s="468"/>
      <c r="S871" s="468"/>
      <c r="T871" s="468"/>
      <c r="U871" s="468"/>
      <c r="V871" s="468"/>
      <c r="W871" s="468"/>
      <c r="X871" s="468"/>
      <c r="Y871" s="468"/>
      <c r="Z871" s="468"/>
      <c r="AA871" s="468"/>
      <c r="AB871" s="468"/>
      <c r="AC871" s="468"/>
      <c r="AD871" s="468"/>
      <c r="AE871" s="468"/>
      <c r="AF871" s="468"/>
      <c r="AG871" s="468"/>
      <c r="AH871" s="468"/>
      <c r="AI871" s="468"/>
      <c r="AJ871" s="468"/>
    </row>
    <row r="872" spans="1:36" ht="18" customHeight="1" x14ac:dyDescent="0.35">
      <c r="A872" s="468"/>
      <c r="B872" s="468"/>
      <c r="C872" s="468"/>
      <c r="D872" s="468"/>
      <c r="E872" s="468"/>
      <c r="F872" s="468"/>
      <c r="G872" s="468"/>
      <c r="H872" s="468"/>
      <c r="I872" s="468"/>
      <c r="J872" s="468"/>
      <c r="K872" s="468"/>
      <c r="L872" s="468"/>
      <c r="M872" s="468"/>
      <c r="N872" s="468"/>
      <c r="O872" s="468"/>
      <c r="P872" s="468"/>
      <c r="Q872" s="468"/>
      <c r="R872" s="468"/>
      <c r="S872" s="468"/>
      <c r="T872" s="468"/>
      <c r="U872" s="468"/>
      <c r="V872" s="468"/>
      <c r="W872" s="468"/>
      <c r="X872" s="468"/>
      <c r="Y872" s="468"/>
      <c r="Z872" s="468"/>
      <c r="AA872" s="468"/>
      <c r="AB872" s="468"/>
      <c r="AC872" s="468"/>
      <c r="AD872" s="468"/>
      <c r="AE872" s="468"/>
      <c r="AF872" s="468"/>
      <c r="AG872" s="468"/>
      <c r="AH872" s="468"/>
      <c r="AI872" s="468"/>
      <c r="AJ872" s="468"/>
    </row>
    <row r="873" spans="1:36" ht="18" customHeight="1" x14ac:dyDescent="0.35">
      <c r="A873" s="468"/>
      <c r="B873" s="468"/>
      <c r="C873" s="468"/>
      <c r="D873" s="468"/>
      <c r="E873" s="468"/>
      <c r="F873" s="468"/>
      <c r="G873" s="468"/>
      <c r="H873" s="468"/>
      <c r="I873" s="468"/>
      <c r="J873" s="468"/>
      <c r="K873" s="468"/>
      <c r="L873" s="468"/>
      <c r="M873" s="468"/>
      <c r="N873" s="468"/>
      <c r="O873" s="468"/>
      <c r="P873" s="468"/>
      <c r="Q873" s="468"/>
      <c r="R873" s="468"/>
      <c r="S873" s="468"/>
      <c r="T873" s="468"/>
      <c r="U873" s="468"/>
      <c r="V873" s="468"/>
      <c r="W873" s="468"/>
      <c r="X873" s="468"/>
      <c r="Y873" s="468"/>
      <c r="Z873" s="468"/>
      <c r="AA873" s="468"/>
      <c r="AB873" s="468"/>
      <c r="AC873" s="468"/>
      <c r="AD873" s="468"/>
      <c r="AE873" s="468"/>
      <c r="AF873" s="468"/>
      <c r="AG873" s="468"/>
      <c r="AH873" s="468"/>
      <c r="AI873" s="468"/>
      <c r="AJ873" s="468"/>
    </row>
    <row r="874" spans="1:36" ht="18" customHeight="1" x14ac:dyDescent="0.35">
      <c r="A874" s="468"/>
      <c r="B874" s="468"/>
      <c r="C874" s="468"/>
      <c r="D874" s="468"/>
      <c r="E874" s="468"/>
      <c r="F874" s="468"/>
      <c r="G874" s="468"/>
      <c r="H874" s="468"/>
      <c r="I874" s="468"/>
      <c r="J874" s="468"/>
      <c r="K874" s="468"/>
      <c r="L874" s="468"/>
      <c r="M874" s="468"/>
      <c r="N874" s="468"/>
      <c r="O874" s="468"/>
      <c r="P874" s="468"/>
      <c r="Q874" s="468"/>
      <c r="R874" s="468"/>
      <c r="S874" s="468"/>
      <c r="T874" s="468"/>
      <c r="U874" s="468"/>
      <c r="V874" s="468"/>
      <c r="W874" s="468"/>
      <c r="X874" s="468"/>
      <c r="Y874" s="468"/>
      <c r="Z874" s="468"/>
      <c r="AA874" s="468"/>
      <c r="AB874" s="468"/>
      <c r="AC874" s="468"/>
      <c r="AD874" s="468"/>
      <c r="AE874" s="468"/>
      <c r="AF874" s="468"/>
      <c r="AG874" s="468"/>
      <c r="AH874" s="468"/>
      <c r="AI874" s="468"/>
      <c r="AJ874" s="468"/>
    </row>
    <row r="875" spans="1:36" ht="18" customHeight="1" x14ac:dyDescent="0.35">
      <c r="A875" s="468"/>
      <c r="B875" s="468"/>
      <c r="C875" s="468"/>
      <c r="D875" s="468"/>
      <c r="E875" s="468"/>
      <c r="F875" s="468"/>
      <c r="G875" s="468"/>
      <c r="H875" s="468"/>
      <c r="I875" s="468"/>
      <c r="J875" s="468"/>
      <c r="K875" s="468"/>
      <c r="L875" s="468"/>
      <c r="M875" s="468"/>
      <c r="N875" s="468"/>
      <c r="O875" s="468"/>
      <c r="P875" s="468"/>
      <c r="Q875" s="468"/>
      <c r="R875" s="468"/>
      <c r="S875" s="468"/>
      <c r="T875" s="468"/>
      <c r="U875" s="468"/>
      <c r="V875" s="468"/>
      <c r="W875" s="468"/>
      <c r="X875" s="468"/>
      <c r="Y875" s="468"/>
      <c r="Z875" s="468"/>
      <c r="AA875" s="468"/>
      <c r="AB875" s="468"/>
      <c r="AC875" s="468"/>
      <c r="AD875" s="468"/>
      <c r="AE875" s="468"/>
      <c r="AF875" s="468"/>
      <c r="AG875" s="468"/>
      <c r="AH875" s="468"/>
      <c r="AI875" s="468"/>
      <c r="AJ875" s="468"/>
    </row>
    <row r="876" spans="1:36" ht="18" customHeight="1" x14ac:dyDescent="0.35">
      <c r="A876" s="468"/>
      <c r="B876" s="468"/>
      <c r="C876" s="468"/>
      <c r="D876" s="468"/>
      <c r="E876" s="468"/>
      <c r="F876" s="468"/>
      <c r="G876" s="468"/>
      <c r="H876" s="468"/>
      <c r="I876" s="468"/>
      <c r="J876" s="468"/>
      <c r="K876" s="468"/>
      <c r="L876" s="468"/>
      <c r="M876" s="468"/>
      <c r="N876" s="468"/>
      <c r="O876" s="468"/>
      <c r="P876" s="468"/>
      <c r="Q876" s="468"/>
      <c r="R876" s="468"/>
      <c r="S876" s="468"/>
      <c r="T876" s="468"/>
      <c r="U876" s="468"/>
      <c r="V876" s="468"/>
      <c r="W876" s="468"/>
      <c r="X876" s="468"/>
      <c r="Y876" s="468"/>
      <c r="Z876" s="468"/>
      <c r="AA876" s="468"/>
      <c r="AB876" s="468"/>
      <c r="AC876" s="468"/>
      <c r="AD876" s="468"/>
      <c r="AE876" s="468"/>
      <c r="AF876" s="468"/>
      <c r="AG876" s="468"/>
      <c r="AH876" s="468"/>
      <c r="AI876" s="468"/>
      <c r="AJ876" s="468"/>
    </row>
    <row r="877" spans="1:36" ht="18" customHeight="1" x14ac:dyDescent="0.35">
      <c r="A877" s="468"/>
      <c r="B877" s="468"/>
      <c r="C877" s="468"/>
      <c r="D877" s="468"/>
      <c r="E877" s="468"/>
      <c r="F877" s="468"/>
      <c r="G877" s="468"/>
      <c r="H877" s="468"/>
      <c r="I877" s="468"/>
      <c r="J877" s="468"/>
      <c r="K877" s="468"/>
      <c r="L877" s="468"/>
      <c r="M877" s="468"/>
      <c r="N877" s="468"/>
      <c r="O877" s="468"/>
      <c r="P877" s="468"/>
      <c r="Q877" s="468"/>
      <c r="R877" s="468"/>
      <c r="S877" s="468"/>
      <c r="T877" s="468"/>
      <c r="U877" s="468"/>
      <c r="V877" s="468"/>
      <c r="W877" s="468"/>
      <c r="X877" s="468"/>
      <c r="Y877" s="468"/>
      <c r="Z877" s="468"/>
      <c r="AA877" s="468"/>
      <c r="AB877" s="468"/>
      <c r="AC877" s="468"/>
      <c r="AD877" s="468"/>
      <c r="AE877" s="468"/>
      <c r="AF877" s="468"/>
      <c r="AG877" s="468"/>
      <c r="AH877" s="468"/>
      <c r="AI877" s="468"/>
      <c r="AJ877" s="468"/>
    </row>
    <row r="878" spans="1:36" ht="18" customHeight="1" x14ac:dyDescent="0.35">
      <c r="A878" s="468"/>
      <c r="B878" s="468"/>
      <c r="C878" s="468"/>
      <c r="D878" s="468"/>
      <c r="E878" s="468"/>
      <c r="F878" s="468"/>
      <c r="G878" s="468"/>
      <c r="H878" s="468"/>
      <c r="I878" s="468"/>
      <c r="J878" s="468"/>
      <c r="K878" s="468"/>
      <c r="L878" s="468"/>
      <c r="M878" s="468"/>
      <c r="N878" s="468"/>
      <c r="O878" s="468"/>
      <c r="P878" s="468"/>
      <c r="Q878" s="468"/>
      <c r="R878" s="468"/>
      <c r="S878" s="468"/>
      <c r="T878" s="468"/>
      <c r="U878" s="468"/>
      <c r="V878" s="468"/>
      <c r="W878" s="468"/>
      <c r="X878" s="468"/>
      <c r="Y878" s="468"/>
      <c r="Z878" s="468"/>
      <c r="AA878" s="468"/>
      <c r="AB878" s="468"/>
      <c r="AC878" s="468"/>
      <c r="AD878" s="468"/>
      <c r="AE878" s="468"/>
      <c r="AF878" s="468"/>
      <c r="AG878" s="468"/>
      <c r="AH878" s="468"/>
      <c r="AI878" s="468"/>
      <c r="AJ878" s="468"/>
    </row>
    <row r="879" spans="1:36" ht="18" customHeight="1" x14ac:dyDescent="0.35">
      <c r="A879" s="468"/>
      <c r="B879" s="468"/>
      <c r="C879" s="468"/>
      <c r="D879" s="468"/>
      <c r="E879" s="468"/>
      <c r="F879" s="468"/>
      <c r="G879" s="468"/>
      <c r="H879" s="468"/>
      <c r="I879" s="468"/>
      <c r="J879" s="468"/>
      <c r="K879" s="468"/>
      <c r="L879" s="468"/>
      <c r="M879" s="468"/>
      <c r="N879" s="468"/>
      <c r="O879" s="468"/>
      <c r="P879" s="468"/>
      <c r="Q879" s="468"/>
      <c r="R879" s="468"/>
      <c r="S879" s="468"/>
      <c r="T879" s="468"/>
      <c r="U879" s="468"/>
      <c r="V879" s="468"/>
      <c r="W879" s="468"/>
      <c r="X879" s="468"/>
      <c r="Y879" s="468"/>
      <c r="Z879" s="468"/>
      <c r="AA879" s="468"/>
      <c r="AB879" s="468"/>
      <c r="AC879" s="468"/>
      <c r="AD879" s="468"/>
      <c r="AE879" s="468"/>
      <c r="AF879" s="468"/>
      <c r="AG879" s="468"/>
      <c r="AH879" s="468"/>
      <c r="AI879" s="468"/>
      <c r="AJ879" s="468"/>
    </row>
    <row r="880" spans="1:36" ht="18" customHeight="1" x14ac:dyDescent="0.35">
      <c r="A880" s="468"/>
      <c r="B880" s="468"/>
      <c r="C880" s="468"/>
      <c r="D880" s="468"/>
      <c r="E880" s="468"/>
      <c r="F880" s="468"/>
      <c r="G880" s="468"/>
      <c r="H880" s="468"/>
      <c r="I880" s="468"/>
      <c r="J880" s="468"/>
      <c r="K880" s="468"/>
      <c r="L880" s="468"/>
      <c r="M880" s="468"/>
      <c r="N880" s="468"/>
      <c r="O880" s="468"/>
      <c r="P880" s="468"/>
      <c r="Q880" s="468"/>
      <c r="R880" s="468"/>
      <c r="S880" s="468"/>
      <c r="T880" s="468"/>
      <c r="U880" s="468"/>
      <c r="V880" s="468"/>
      <c r="W880" s="468"/>
      <c r="X880" s="468"/>
      <c r="Y880" s="468"/>
      <c r="Z880" s="468"/>
      <c r="AA880" s="468"/>
      <c r="AB880" s="468"/>
      <c r="AC880" s="468"/>
      <c r="AD880" s="468"/>
      <c r="AE880" s="468"/>
      <c r="AF880" s="468"/>
      <c r="AG880" s="468"/>
      <c r="AH880" s="468"/>
      <c r="AI880" s="468"/>
      <c r="AJ880" s="468"/>
    </row>
    <row r="881" spans="1:36" ht="18" customHeight="1" x14ac:dyDescent="0.35">
      <c r="A881" s="468"/>
      <c r="B881" s="468"/>
      <c r="C881" s="468"/>
      <c r="D881" s="468"/>
      <c r="E881" s="468"/>
      <c r="F881" s="468"/>
      <c r="G881" s="468"/>
      <c r="H881" s="468"/>
      <c r="I881" s="468"/>
      <c r="J881" s="468"/>
      <c r="K881" s="468"/>
      <c r="L881" s="468"/>
      <c r="M881" s="468"/>
      <c r="N881" s="468"/>
      <c r="O881" s="468"/>
      <c r="P881" s="468"/>
      <c r="Q881" s="468"/>
      <c r="R881" s="468"/>
      <c r="S881" s="468"/>
      <c r="T881" s="468"/>
      <c r="U881" s="468"/>
      <c r="V881" s="468"/>
      <c r="W881" s="468"/>
      <c r="X881" s="468"/>
      <c r="Y881" s="468"/>
      <c r="Z881" s="468"/>
      <c r="AA881" s="468"/>
      <c r="AB881" s="468"/>
      <c r="AC881" s="468"/>
      <c r="AD881" s="468"/>
      <c r="AE881" s="468"/>
      <c r="AF881" s="468"/>
      <c r="AG881" s="468"/>
      <c r="AH881" s="468"/>
      <c r="AI881" s="468"/>
      <c r="AJ881" s="468"/>
    </row>
    <row r="882" spans="1:36" ht="18" customHeight="1" x14ac:dyDescent="0.35">
      <c r="A882" s="468"/>
      <c r="B882" s="468"/>
      <c r="C882" s="468"/>
      <c r="D882" s="468"/>
      <c r="E882" s="468"/>
      <c r="F882" s="468"/>
      <c r="G882" s="468"/>
      <c r="H882" s="468"/>
      <c r="I882" s="468"/>
      <c r="J882" s="468"/>
      <c r="K882" s="468"/>
      <c r="L882" s="468"/>
      <c r="M882" s="468"/>
      <c r="N882" s="468"/>
      <c r="O882" s="468"/>
      <c r="P882" s="468"/>
      <c r="Q882" s="468"/>
      <c r="R882" s="468"/>
      <c r="S882" s="468"/>
      <c r="T882" s="468"/>
      <c r="U882" s="468"/>
      <c r="V882" s="468"/>
      <c r="W882" s="468"/>
      <c r="X882" s="468"/>
      <c r="Y882" s="468"/>
      <c r="Z882" s="468"/>
      <c r="AA882" s="468"/>
      <c r="AB882" s="468"/>
      <c r="AC882" s="468"/>
      <c r="AD882" s="468"/>
      <c r="AE882" s="468"/>
      <c r="AF882" s="468"/>
      <c r="AG882" s="468"/>
      <c r="AH882" s="468"/>
      <c r="AI882" s="468"/>
      <c r="AJ882" s="468"/>
    </row>
    <row r="883" spans="1:36" ht="18" customHeight="1" x14ac:dyDescent="0.35">
      <c r="A883" s="468"/>
      <c r="B883" s="468"/>
      <c r="C883" s="468"/>
      <c r="D883" s="468"/>
      <c r="E883" s="468"/>
      <c r="F883" s="468"/>
      <c r="G883" s="468"/>
      <c r="H883" s="468"/>
      <c r="I883" s="468"/>
      <c r="J883" s="468"/>
      <c r="K883" s="468"/>
      <c r="L883" s="468"/>
      <c r="M883" s="468"/>
      <c r="N883" s="468"/>
      <c r="O883" s="468"/>
      <c r="P883" s="468"/>
      <c r="Q883" s="468"/>
      <c r="R883" s="468"/>
      <c r="S883" s="468"/>
      <c r="T883" s="468"/>
      <c r="U883" s="468"/>
      <c r="V883" s="468"/>
      <c r="W883" s="468"/>
      <c r="X883" s="468"/>
      <c r="Y883" s="468"/>
      <c r="Z883" s="468"/>
      <c r="AA883" s="468"/>
      <c r="AB883" s="468"/>
      <c r="AC883" s="468"/>
      <c r="AD883" s="468"/>
      <c r="AE883" s="468"/>
      <c r="AF883" s="468"/>
      <c r="AG883" s="468"/>
      <c r="AH883" s="468"/>
      <c r="AI883" s="468"/>
      <c r="AJ883" s="468"/>
    </row>
    <row r="884" spans="1:36" ht="18" customHeight="1" x14ac:dyDescent="0.35">
      <c r="A884" s="468"/>
      <c r="B884" s="468"/>
      <c r="C884" s="468"/>
      <c r="D884" s="468"/>
      <c r="E884" s="468"/>
      <c r="F884" s="468"/>
      <c r="G884" s="468"/>
      <c r="H884" s="468"/>
      <c r="I884" s="468"/>
      <c r="J884" s="468"/>
      <c r="K884" s="468"/>
      <c r="L884" s="468"/>
      <c r="M884" s="468"/>
      <c r="N884" s="468"/>
      <c r="O884" s="468"/>
      <c r="P884" s="468"/>
      <c r="Q884" s="468"/>
      <c r="R884" s="468"/>
      <c r="S884" s="468"/>
      <c r="T884" s="468"/>
      <c r="U884" s="468"/>
      <c r="V884" s="468"/>
      <c r="W884" s="468"/>
      <c r="X884" s="468"/>
      <c r="Y884" s="468"/>
      <c r="Z884" s="468"/>
      <c r="AA884" s="468"/>
      <c r="AB884" s="468"/>
      <c r="AC884" s="468"/>
      <c r="AD884" s="468"/>
      <c r="AE884" s="468"/>
      <c r="AF884" s="468"/>
      <c r="AG884" s="468"/>
      <c r="AH884" s="468"/>
      <c r="AI884" s="468"/>
      <c r="AJ884" s="468"/>
    </row>
    <row r="885" spans="1:36" ht="18" customHeight="1" x14ac:dyDescent="0.35">
      <c r="A885" s="468"/>
      <c r="B885" s="468"/>
      <c r="C885" s="468"/>
      <c r="D885" s="468"/>
      <c r="E885" s="468"/>
      <c r="F885" s="468"/>
      <c r="G885" s="468"/>
      <c r="H885" s="468"/>
      <c r="I885" s="468"/>
      <c r="J885" s="468"/>
      <c r="K885" s="468"/>
      <c r="L885" s="468"/>
      <c r="M885" s="468"/>
      <c r="N885" s="468"/>
      <c r="O885" s="468"/>
      <c r="P885" s="468"/>
      <c r="Q885" s="468"/>
      <c r="R885" s="468"/>
      <c r="S885" s="468"/>
      <c r="T885" s="468"/>
      <c r="U885" s="468"/>
      <c r="V885" s="468"/>
      <c r="W885" s="468"/>
      <c r="X885" s="468"/>
      <c r="Y885" s="468"/>
      <c r="Z885" s="468"/>
      <c r="AA885" s="468"/>
      <c r="AB885" s="468"/>
      <c r="AC885" s="468"/>
      <c r="AD885" s="468"/>
      <c r="AE885" s="468"/>
      <c r="AF885" s="468"/>
      <c r="AG885" s="468"/>
      <c r="AH885" s="468"/>
      <c r="AI885" s="468"/>
      <c r="AJ885" s="468"/>
    </row>
    <row r="886" spans="1:36" ht="18" customHeight="1" x14ac:dyDescent="0.35">
      <c r="A886" s="468"/>
      <c r="B886" s="468"/>
      <c r="C886" s="468"/>
      <c r="D886" s="468"/>
      <c r="E886" s="468"/>
      <c r="F886" s="468"/>
      <c r="G886" s="468"/>
      <c r="H886" s="468"/>
      <c r="I886" s="468"/>
      <c r="J886" s="468"/>
      <c r="K886" s="468"/>
      <c r="L886" s="468"/>
      <c r="M886" s="468"/>
      <c r="N886" s="468"/>
      <c r="O886" s="468"/>
      <c r="P886" s="468"/>
      <c r="Q886" s="468"/>
      <c r="R886" s="468"/>
      <c r="S886" s="468"/>
      <c r="T886" s="468"/>
      <c r="U886" s="468"/>
      <c r="V886" s="468"/>
      <c r="W886" s="468"/>
      <c r="X886" s="468"/>
      <c r="Y886" s="468"/>
      <c r="Z886" s="468"/>
      <c r="AA886" s="468"/>
      <c r="AB886" s="468"/>
      <c r="AC886" s="468"/>
      <c r="AD886" s="468"/>
      <c r="AE886" s="468"/>
      <c r="AF886" s="468"/>
      <c r="AG886" s="468"/>
      <c r="AH886" s="468"/>
      <c r="AI886" s="468"/>
      <c r="AJ886" s="468"/>
    </row>
    <row r="887" spans="1:36" ht="18" customHeight="1" x14ac:dyDescent="0.35">
      <c r="A887" s="468"/>
      <c r="B887" s="468"/>
      <c r="C887" s="468"/>
      <c r="D887" s="468"/>
      <c r="E887" s="468"/>
      <c r="F887" s="468"/>
      <c r="G887" s="468"/>
      <c r="H887" s="468"/>
      <c r="I887" s="468"/>
      <c r="J887" s="468"/>
      <c r="K887" s="468"/>
      <c r="L887" s="468"/>
      <c r="M887" s="468"/>
      <c r="N887" s="468"/>
      <c r="O887" s="468"/>
      <c r="P887" s="468"/>
      <c r="Q887" s="468"/>
      <c r="R887" s="468"/>
      <c r="S887" s="468"/>
      <c r="T887" s="468"/>
      <c r="U887" s="468"/>
      <c r="V887" s="468"/>
      <c r="W887" s="468"/>
      <c r="X887" s="468"/>
      <c r="Y887" s="468"/>
      <c r="Z887" s="468"/>
      <c r="AA887" s="468"/>
      <c r="AB887" s="468"/>
      <c r="AC887" s="468"/>
      <c r="AD887" s="468"/>
      <c r="AE887" s="468"/>
      <c r="AF887" s="468"/>
      <c r="AG887" s="468"/>
      <c r="AH887" s="468"/>
      <c r="AI887" s="468"/>
      <c r="AJ887" s="468"/>
    </row>
    <row r="888" spans="1:36" ht="18" customHeight="1" x14ac:dyDescent="0.35">
      <c r="A888" s="468"/>
      <c r="B888" s="468"/>
      <c r="C888" s="468"/>
      <c r="D888" s="468"/>
      <c r="E888" s="468"/>
      <c r="F888" s="468"/>
      <c r="G888" s="468"/>
      <c r="H888" s="468"/>
      <c r="I888" s="468"/>
      <c r="J888" s="468"/>
      <c r="K888" s="468"/>
      <c r="L888" s="468"/>
      <c r="M888" s="468"/>
      <c r="N888" s="468"/>
      <c r="O888" s="468"/>
      <c r="P888" s="468"/>
      <c r="Q888" s="468"/>
      <c r="R888" s="468"/>
      <c r="S888" s="468"/>
      <c r="T888" s="468"/>
      <c r="U888" s="468"/>
      <c r="V888" s="468"/>
      <c r="W888" s="468"/>
      <c r="X888" s="468"/>
      <c r="Y888" s="468"/>
      <c r="Z888" s="468"/>
      <c r="AA888" s="468"/>
      <c r="AB888" s="468"/>
      <c r="AC888" s="468"/>
      <c r="AD888" s="468"/>
      <c r="AE888" s="468"/>
      <c r="AF888" s="468"/>
      <c r="AG888" s="468"/>
      <c r="AH888" s="468"/>
      <c r="AI888" s="468"/>
      <c r="AJ888" s="468"/>
    </row>
    <row r="889" spans="1:36" ht="18" customHeight="1" x14ac:dyDescent="0.35">
      <c r="A889" s="468"/>
      <c r="B889" s="468"/>
      <c r="C889" s="468"/>
      <c r="D889" s="468"/>
      <c r="E889" s="468"/>
      <c r="F889" s="468"/>
      <c r="G889" s="468"/>
      <c r="H889" s="468"/>
      <c r="I889" s="468"/>
      <c r="J889" s="468"/>
      <c r="K889" s="468"/>
      <c r="L889" s="468"/>
      <c r="M889" s="468"/>
      <c r="N889" s="468"/>
      <c r="O889" s="468"/>
      <c r="P889" s="468"/>
      <c r="Q889" s="468"/>
      <c r="R889" s="468"/>
      <c r="S889" s="468"/>
      <c r="T889" s="468"/>
      <c r="U889" s="468"/>
      <c r="V889" s="468"/>
      <c r="W889" s="468"/>
      <c r="X889" s="468"/>
      <c r="Y889" s="468"/>
      <c r="Z889" s="468"/>
      <c r="AA889" s="468"/>
      <c r="AB889" s="468"/>
      <c r="AC889" s="468"/>
      <c r="AD889" s="468"/>
      <c r="AE889" s="468"/>
      <c r="AF889" s="468"/>
      <c r="AG889" s="468"/>
      <c r="AH889" s="468"/>
      <c r="AI889" s="468"/>
      <c r="AJ889" s="468"/>
    </row>
    <row r="890" spans="1:36" ht="18" customHeight="1" x14ac:dyDescent="0.35">
      <c r="A890" s="468"/>
      <c r="B890" s="468"/>
      <c r="C890" s="468"/>
      <c r="D890" s="468"/>
      <c r="E890" s="468"/>
      <c r="F890" s="468"/>
      <c r="G890" s="468"/>
      <c r="H890" s="468"/>
      <c r="I890" s="468"/>
      <c r="J890" s="468"/>
      <c r="K890" s="468"/>
      <c r="L890" s="468"/>
      <c r="M890" s="468"/>
      <c r="N890" s="468"/>
      <c r="O890" s="468"/>
      <c r="P890" s="468"/>
      <c r="Q890" s="468"/>
      <c r="R890" s="468"/>
      <c r="S890" s="468"/>
      <c r="T890" s="468"/>
      <c r="U890" s="468"/>
      <c r="V890" s="468"/>
      <c r="W890" s="468"/>
      <c r="X890" s="468"/>
      <c r="Y890" s="468"/>
      <c r="Z890" s="468"/>
      <c r="AA890" s="468"/>
      <c r="AB890" s="468"/>
      <c r="AC890" s="468"/>
      <c r="AD890" s="468"/>
      <c r="AE890" s="468"/>
      <c r="AF890" s="468"/>
      <c r="AG890" s="468"/>
      <c r="AH890" s="468"/>
      <c r="AI890" s="468"/>
      <c r="AJ890" s="468"/>
    </row>
    <row r="891" spans="1:36" ht="18" customHeight="1" x14ac:dyDescent="0.35">
      <c r="A891" s="468"/>
      <c r="B891" s="468"/>
      <c r="C891" s="468"/>
      <c r="D891" s="468"/>
      <c r="E891" s="468"/>
      <c r="F891" s="468"/>
      <c r="G891" s="468"/>
      <c r="H891" s="468"/>
      <c r="I891" s="468"/>
      <c r="J891" s="468"/>
      <c r="K891" s="468"/>
      <c r="L891" s="468"/>
      <c r="M891" s="468"/>
      <c r="N891" s="468"/>
      <c r="O891" s="468"/>
      <c r="P891" s="468"/>
      <c r="Q891" s="468"/>
      <c r="R891" s="468"/>
      <c r="S891" s="468"/>
      <c r="T891" s="468"/>
      <c r="U891" s="468"/>
      <c r="V891" s="468"/>
      <c r="W891" s="468"/>
      <c r="X891" s="468"/>
      <c r="Y891" s="468"/>
      <c r="Z891" s="468"/>
      <c r="AA891" s="468"/>
      <c r="AB891" s="468"/>
      <c r="AC891" s="468"/>
      <c r="AD891" s="468"/>
      <c r="AE891" s="468"/>
      <c r="AF891" s="468"/>
      <c r="AG891" s="468"/>
      <c r="AH891" s="468"/>
      <c r="AI891" s="468"/>
      <c r="AJ891" s="468"/>
    </row>
    <row r="892" spans="1:36" ht="18" customHeight="1" x14ac:dyDescent="0.35">
      <c r="A892" s="468"/>
      <c r="B892" s="468"/>
      <c r="C892" s="468"/>
      <c r="D892" s="468"/>
      <c r="E892" s="468"/>
      <c r="F892" s="468"/>
      <c r="G892" s="468"/>
      <c r="H892" s="468"/>
      <c r="I892" s="468"/>
      <c r="J892" s="468"/>
      <c r="K892" s="468"/>
      <c r="L892" s="468"/>
      <c r="M892" s="468"/>
      <c r="N892" s="468"/>
      <c r="O892" s="468"/>
      <c r="P892" s="468"/>
      <c r="Q892" s="468"/>
      <c r="R892" s="468"/>
      <c r="S892" s="468"/>
      <c r="T892" s="468"/>
      <c r="U892" s="468"/>
      <c r="V892" s="468"/>
      <c r="W892" s="468"/>
      <c r="X892" s="468"/>
      <c r="Y892" s="468"/>
      <c r="Z892" s="468"/>
      <c r="AA892" s="468"/>
      <c r="AB892" s="468"/>
      <c r="AC892" s="468"/>
      <c r="AD892" s="468"/>
      <c r="AE892" s="468"/>
      <c r="AF892" s="468"/>
      <c r="AG892" s="468"/>
      <c r="AH892" s="468"/>
      <c r="AI892" s="468"/>
      <c r="AJ892" s="468"/>
    </row>
    <row r="893" spans="1:36" ht="18" customHeight="1" x14ac:dyDescent="0.35">
      <c r="A893" s="468"/>
      <c r="B893" s="468"/>
      <c r="C893" s="468"/>
      <c r="D893" s="468"/>
      <c r="E893" s="468"/>
      <c r="F893" s="468"/>
      <c r="G893" s="468"/>
      <c r="H893" s="468"/>
      <c r="I893" s="468"/>
      <c r="J893" s="468"/>
      <c r="K893" s="468"/>
      <c r="L893" s="468"/>
      <c r="M893" s="468"/>
      <c r="N893" s="468"/>
      <c r="O893" s="468"/>
      <c r="P893" s="468"/>
      <c r="Q893" s="468"/>
      <c r="R893" s="468"/>
      <c r="S893" s="468"/>
      <c r="T893" s="468"/>
      <c r="U893" s="468"/>
      <c r="V893" s="468"/>
      <c r="W893" s="468"/>
      <c r="X893" s="468"/>
      <c r="Y893" s="468"/>
      <c r="Z893" s="468"/>
      <c r="AA893" s="468"/>
      <c r="AB893" s="468"/>
      <c r="AC893" s="468"/>
      <c r="AD893" s="468"/>
      <c r="AE893" s="468"/>
      <c r="AF893" s="468"/>
      <c r="AG893" s="468"/>
      <c r="AH893" s="468"/>
      <c r="AI893" s="468"/>
      <c r="AJ893" s="468"/>
    </row>
    <row r="894" spans="1:36" ht="18" customHeight="1" x14ac:dyDescent="0.35">
      <c r="A894" s="468"/>
      <c r="B894" s="468"/>
      <c r="C894" s="468"/>
      <c r="D894" s="468"/>
      <c r="E894" s="468"/>
      <c r="F894" s="468"/>
      <c r="G894" s="468"/>
      <c r="H894" s="468"/>
      <c r="I894" s="468"/>
      <c r="J894" s="468"/>
      <c r="K894" s="468"/>
      <c r="L894" s="468"/>
      <c r="M894" s="468"/>
      <c r="N894" s="468"/>
      <c r="O894" s="468"/>
      <c r="P894" s="468"/>
      <c r="Q894" s="468"/>
      <c r="R894" s="468"/>
      <c r="S894" s="468"/>
      <c r="T894" s="468"/>
      <c r="U894" s="468"/>
      <c r="V894" s="468"/>
      <c r="W894" s="468"/>
      <c r="X894" s="468"/>
      <c r="Y894" s="468"/>
      <c r="Z894" s="468"/>
      <c r="AA894" s="468"/>
      <c r="AB894" s="468"/>
      <c r="AC894" s="468"/>
      <c r="AD894" s="468"/>
      <c r="AE894" s="468"/>
      <c r="AF894" s="468"/>
      <c r="AG894" s="468"/>
      <c r="AH894" s="468"/>
      <c r="AI894" s="468"/>
      <c r="AJ894" s="468"/>
    </row>
    <row r="895" spans="1:36" ht="18" customHeight="1" x14ac:dyDescent="0.35">
      <c r="A895" s="468"/>
      <c r="B895" s="468"/>
      <c r="C895" s="468"/>
      <c r="D895" s="468"/>
      <c r="E895" s="468"/>
      <c r="F895" s="468"/>
      <c r="G895" s="468"/>
      <c r="H895" s="468"/>
      <c r="I895" s="468"/>
      <c r="J895" s="468"/>
      <c r="K895" s="468"/>
      <c r="L895" s="468"/>
      <c r="M895" s="468"/>
      <c r="N895" s="468"/>
      <c r="O895" s="468"/>
      <c r="P895" s="468"/>
      <c r="Q895" s="468"/>
      <c r="R895" s="468"/>
      <c r="S895" s="468"/>
      <c r="T895" s="468"/>
      <c r="U895" s="468"/>
      <c r="V895" s="468"/>
      <c r="W895" s="468"/>
      <c r="X895" s="468"/>
      <c r="Y895" s="468"/>
      <c r="Z895" s="468"/>
      <c r="AA895" s="468"/>
      <c r="AB895" s="468"/>
      <c r="AC895" s="468"/>
      <c r="AD895" s="468"/>
      <c r="AE895" s="468"/>
      <c r="AF895" s="468"/>
      <c r="AG895" s="468"/>
      <c r="AH895" s="468"/>
      <c r="AI895" s="468"/>
      <c r="AJ895" s="468"/>
    </row>
    <row r="896" spans="1:36" ht="18" customHeight="1" x14ac:dyDescent="0.35">
      <c r="A896" s="468"/>
      <c r="B896" s="468"/>
      <c r="C896" s="468"/>
      <c r="D896" s="468"/>
      <c r="E896" s="468"/>
      <c r="F896" s="468"/>
      <c r="G896" s="468"/>
      <c r="H896" s="468"/>
      <c r="I896" s="468"/>
      <c r="J896" s="468"/>
      <c r="K896" s="468"/>
      <c r="L896" s="468"/>
      <c r="M896" s="468"/>
      <c r="N896" s="468"/>
      <c r="O896" s="468"/>
      <c r="P896" s="468"/>
      <c r="Q896" s="468"/>
      <c r="R896" s="468"/>
      <c r="S896" s="468"/>
      <c r="T896" s="468"/>
      <c r="U896" s="468"/>
      <c r="V896" s="468"/>
      <c r="W896" s="468"/>
      <c r="X896" s="468"/>
      <c r="Y896" s="468"/>
      <c r="Z896" s="468"/>
      <c r="AA896" s="468"/>
      <c r="AB896" s="468"/>
      <c r="AC896" s="468"/>
      <c r="AD896" s="468"/>
      <c r="AE896" s="468"/>
      <c r="AF896" s="468"/>
      <c r="AG896" s="468"/>
      <c r="AH896" s="468"/>
      <c r="AI896" s="468"/>
      <c r="AJ896" s="468"/>
    </row>
    <row r="897" spans="1:36" ht="18" customHeight="1" x14ac:dyDescent="0.35">
      <c r="A897" s="468"/>
      <c r="B897" s="468"/>
      <c r="C897" s="468"/>
      <c r="D897" s="468"/>
      <c r="E897" s="468"/>
      <c r="F897" s="468"/>
      <c r="G897" s="468"/>
      <c r="H897" s="468"/>
      <c r="I897" s="468"/>
      <c r="J897" s="468"/>
      <c r="K897" s="468"/>
      <c r="L897" s="468"/>
      <c r="M897" s="468"/>
      <c r="N897" s="468"/>
      <c r="O897" s="468"/>
      <c r="P897" s="468"/>
      <c r="Q897" s="468"/>
      <c r="R897" s="468"/>
      <c r="S897" s="468"/>
      <c r="T897" s="468"/>
      <c r="U897" s="468"/>
      <c r="V897" s="468"/>
      <c r="W897" s="468"/>
      <c r="X897" s="468"/>
      <c r="Y897" s="468"/>
      <c r="Z897" s="468"/>
      <c r="AA897" s="468"/>
      <c r="AB897" s="468"/>
      <c r="AC897" s="468"/>
      <c r="AD897" s="468"/>
      <c r="AE897" s="468"/>
      <c r="AF897" s="468"/>
      <c r="AG897" s="468"/>
      <c r="AH897" s="468"/>
      <c r="AI897" s="468"/>
      <c r="AJ897" s="468"/>
    </row>
    <row r="898" spans="1:36" ht="18" customHeight="1" x14ac:dyDescent="0.35">
      <c r="A898" s="468"/>
      <c r="B898" s="468"/>
      <c r="C898" s="468"/>
      <c r="D898" s="468"/>
      <c r="E898" s="468"/>
      <c r="F898" s="468"/>
      <c r="G898" s="468"/>
      <c r="H898" s="468"/>
      <c r="I898" s="468"/>
      <c r="J898" s="468"/>
      <c r="K898" s="468"/>
      <c r="L898" s="468"/>
      <c r="M898" s="468"/>
      <c r="N898" s="468"/>
      <c r="O898" s="468"/>
      <c r="P898" s="468"/>
      <c r="Q898" s="468"/>
      <c r="R898" s="468"/>
      <c r="S898" s="468"/>
      <c r="T898" s="468"/>
      <c r="U898" s="468"/>
      <c r="V898" s="468"/>
      <c r="W898" s="468"/>
      <c r="X898" s="468"/>
      <c r="Y898" s="468"/>
      <c r="Z898" s="468"/>
      <c r="AA898" s="468"/>
      <c r="AB898" s="468"/>
      <c r="AC898" s="468"/>
      <c r="AD898" s="468"/>
      <c r="AE898" s="468"/>
      <c r="AF898" s="468"/>
      <c r="AG898" s="468"/>
      <c r="AH898" s="468"/>
      <c r="AI898" s="468"/>
      <c r="AJ898" s="468"/>
    </row>
    <row r="899" spans="1:36" ht="18" customHeight="1" x14ac:dyDescent="0.35">
      <c r="A899" s="468"/>
      <c r="B899" s="468"/>
      <c r="C899" s="468"/>
      <c r="D899" s="468"/>
      <c r="E899" s="468"/>
      <c r="F899" s="468"/>
      <c r="G899" s="468"/>
      <c r="H899" s="468"/>
      <c r="I899" s="468"/>
      <c r="J899" s="468"/>
      <c r="K899" s="468"/>
      <c r="L899" s="468"/>
      <c r="M899" s="468"/>
      <c r="N899" s="468"/>
      <c r="O899" s="468"/>
      <c r="P899" s="468"/>
      <c r="Q899" s="468"/>
      <c r="R899" s="468"/>
      <c r="S899" s="468"/>
      <c r="T899" s="468"/>
      <c r="U899" s="468"/>
      <c r="V899" s="468"/>
      <c r="W899" s="468"/>
      <c r="X899" s="468"/>
      <c r="Y899" s="468"/>
      <c r="Z899" s="468"/>
      <c r="AA899" s="468"/>
      <c r="AB899" s="468"/>
      <c r="AC899" s="468"/>
      <c r="AD899" s="468"/>
      <c r="AE899" s="468"/>
      <c r="AF899" s="468"/>
      <c r="AG899" s="468"/>
      <c r="AH899" s="468"/>
      <c r="AI899" s="468"/>
      <c r="AJ899" s="468"/>
    </row>
    <row r="900" spans="1:36" ht="18" customHeight="1" x14ac:dyDescent="0.35">
      <c r="A900" s="468"/>
      <c r="B900" s="468"/>
      <c r="C900" s="468"/>
      <c r="D900" s="468"/>
      <c r="E900" s="468"/>
      <c r="F900" s="468"/>
      <c r="G900" s="468"/>
      <c r="H900" s="468"/>
      <c r="I900" s="468"/>
      <c r="J900" s="468"/>
      <c r="K900" s="468"/>
      <c r="L900" s="468"/>
      <c r="M900" s="468"/>
      <c r="N900" s="468"/>
      <c r="O900" s="468"/>
      <c r="P900" s="468"/>
      <c r="Q900" s="468"/>
      <c r="R900" s="468"/>
      <c r="S900" s="468"/>
      <c r="T900" s="468"/>
      <c r="U900" s="468"/>
      <c r="V900" s="468"/>
      <c r="W900" s="468"/>
      <c r="X900" s="468"/>
      <c r="Y900" s="468"/>
      <c r="Z900" s="468"/>
      <c r="AA900" s="468"/>
      <c r="AB900" s="468"/>
      <c r="AC900" s="468"/>
      <c r="AD900" s="468"/>
      <c r="AE900" s="468"/>
      <c r="AF900" s="468"/>
      <c r="AG900" s="468"/>
      <c r="AH900" s="468"/>
      <c r="AI900" s="468"/>
      <c r="AJ900" s="468"/>
    </row>
    <row r="901" spans="1:36" ht="18" customHeight="1" x14ac:dyDescent="0.35">
      <c r="A901" s="468"/>
      <c r="B901" s="468"/>
      <c r="C901" s="468"/>
      <c r="D901" s="468"/>
      <c r="E901" s="468"/>
      <c r="F901" s="468"/>
      <c r="G901" s="468"/>
      <c r="H901" s="468"/>
      <c r="I901" s="468"/>
      <c r="J901" s="468"/>
      <c r="K901" s="468"/>
      <c r="L901" s="468"/>
      <c r="M901" s="468"/>
      <c r="N901" s="468"/>
      <c r="O901" s="468"/>
      <c r="P901" s="468"/>
      <c r="Q901" s="468"/>
      <c r="R901" s="468"/>
      <c r="S901" s="468"/>
      <c r="T901" s="468"/>
      <c r="U901" s="468"/>
      <c r="V901" s="468"/>
      <c r="W901" s="468"/>
      <c r="X901" s="468"/>
      <c r="Y901" s="468"/>
      <c r="Z901" s="468"/>
      <c r="AA901" s="468"/>
      <c r="AB901" s="468"/>
      <c r="AC901" s="468"/>
      <c r="AD901" s="468"/>
      <c r="AE901" s="468"/>
      <c r="AF901" s="468"/>
      <c r="AG901" s="468"/>
      <c r="AH901" s="468"/>
      <c r="AI901" s="468"/>
      <c r="AJ901" s="468"/>
    </row>
    <row r="902" spans="1:36" ht="18" customHeight="1" x14ac:dyDescent="0.35">
      <c r="A902" s="468"/>
      <c r="B902" s="468"/>
      <c r="C902" s="468"/>
      <c r="D902" s="468"/>
      <c r="E902" s="468"/>
      <c r="F902" s="468"/>
      <c r="G902" s="468"/>
      <c r="H902" s="468"/>
      <c r="I902" s="468"/>
      <c r="J902" s="468"/>
      <c r="K902" s="468"/>
      <c r="L902" s="468"/>
      <c r="M902" s="468"/>
      <c r="N902" s="468"/>
      <c r="O902" s="468"/>
      <c r="P902" s="468"/>
      <c r="Q902" s="468"/>
      <c r="R902" s="468"/>
      <c r="S902" s="468"/>
      <c r="T902" s="468"/>
      <c r="U902" s="468"/>
      <c r="V902" s="468"/>
      <c r="W902" s="468"/>
      <c r="X902" s="468"/>
      <c r="Y902" s="468"/>
      <c r="Z902" s="468"/>
      <c r="AA902" s="468"/>
      <c r="AB902" s="468"/>
      <c r="AC902" s="468"/>
      <c r="AD902" s="468"/>
      <c r="AE902" s="468"/>
      <c r="AF902" s="468"/>
      <c r="AG902" s="468"/>
      <c r="AH902" s="468"/>
      <c r="AI902" s="468"/>
      <c r="AJ902" s="468"/>
    </row>
    <row r="903" spans="1:36" ht="18" customHeight="1" x14ac:dyDescent="0.35">
      <c r="A903" s="468"/>
      <c r="B903" s="468"/>
      <c r="C903" s="468"/>
      <c r="D903" s="468"/>
      <c r="E903" s="468"/>
      <c r="F903" s="468"/>
      <c r="G903" s="468"/>
      <c r="H903" s="468"/>
      <c r="I903" s="468"/>
      <c r="J903" s="468"/>
      <c r="K903" s="468"/>
      <c r="L903" s="468"/>
      <c r="M903" s="468"/>
      <c r="N903" s="468"/>
      <c r="O903" s="468"/>
      <c r="P903" s="468"/>
      <c r="Q903" s="468"/>
      <c r="R903" s="468"/>
      <c r="S903" s="468"/>
      <c r="T903" s="468"/>
      <c r="U903" s="468"/>
      <c r="V903" s="468"/>
      <c r="W903" s="468"/>
      <c r="X903" s="468"/>
      <c r="Y903" s="468"/>
      <c r="Z903" s="468"/>
      <c r="AA903" s="468"/>
      <c r="AB903" s="468"/>
      <c r="AC903" s="468"/>
      <c r="AD903" s="468"/>
      <c r="AE903" s="468"/>
      <c r="AF903" s="468"/>
      <c r="AG903" s="468"/>
      <c r="AH903" s="468"/>
      <c r="AI903" s="468"/>
      <c r="AJ903" s="468"/>
    </row>
    <row r="904" spans="1:36" ht="18" customHeight="1" x14ac:dyDescent="0.35">
      <c r="A904" s="468"/>
      <c r="B904" s="468"/>
      <c r="C904" s="468"/>
      <c r="D904" s="468"/>
      <c r="E904" s="468"/>
      <c r="F904" s="468"/>
      <c r="G904" s="468"/>
      <c r="H904" s="468"/>
      <c r="I904" s="468"/>
      <c r="J904" s="468"/>
      <c r="K904" s="468"/>
      <c r="L904" s="468"/>
      <c r="M904" s="468"/>
      <c r="N904" s="468"/>
      <c r="O904" s="468"/>
      <c r="P904" s="468"/>
      <c r="Q904" s="468"/>
      <c r="R904" s="468"/>
      <c r="S904" s="468"/>
      <c r="T904" s="468"/>
      <c r="U904" s="468"/>
      <c r="V904" s="468"/>
      <c r="W904" s="468"/>
      <c r="X904" s="468"/>
      <c r="Y904" s="468"/>
      <c r="Z904" s="468"/>
      <c r="AA904" s="468"/>
      <c r="AB904" s="468"/>
      <c r="AC904" s="468"/>
      <c r="AD904" s="468"/>
      <c r="AE904" s="468"/>
      <c r="AF904" s="468"/>
      <c r="AG904" s="468"/>
      <c r="AH904" s="468"/>
      <c r="AI904" s="468"/>
      <c r="AJ904" s="468"/>
    </row>
    <row r="905" spans="1:36" ht="18" customHeight="1" x14ac:dyDescent="0.35">
      <c r="A905" s="468"/>
      <c r="B905" s="468"/>
      <c r="C905" s="468"/>
      <c r="D905" s="468"/>
      <c r="E905" s="468"/>
      <c r="F905" s="468"/>
      <c r="G905" s="468"/>
      <c r="H905" s="468"/>
      <c r="I905" s="468"/>
      <c r="J905" s="468"/>
      <c r="K905" s="468"/>
      <c r="L905" s="468"/>
      <c r="M905" s="468"/>
      <c r="N905" s="468"/>
      <c r="O905" s="468"/>
      <c r="P905" s="468"/>
      <c r="Q905" s="468"/>
      <c r="R905" s="468"/>
      <c r="S905" s="468"/>
      <c r="T905" s="468"/>
      <c r="U905" s="468"/>
      <c r="V905" s="468"/>
      <c r="W905" s="468"/>
      <c r="X905" s="468"/>
      <c r="Y905" s="468"/>
      <c r="Z905" s="468"/>
      <c r="AA905" s="468"/>
      <c r="AB905" s="468"/>
      <c r="AC905" s="468"/>
      <c r="AD905" s="468"/>
      <c r="AE905" s="468"/>
      <c r="AF905" s="468"/>
      <c r="AG905" s="468"/>
      <c r="AH905" s="468"/>
      <c r="AI905" s="468"/>
      <c r="AJ905" s="468"/>
    </row>
    <row r="906" spans="1:36" ht="18" customHeight="1" x14ac:dyDescent="0.35">
      <c r="A906" s="468"/>
      <c r="B906" s="468"/>
      <c r="C906" s="468"/>
      <c r="D906" s="468"/>
      <c r="E906" s="468"/>
      <c r="F906" s="468"/>
      <c r="G906" s="468"/>
      <c r="H906" s="468"/>
      <c r="I906" s="468"/>
      <c r="J906" s="468"/>
      <c r="K906" s="468"/>
      <c r="L906" s="468"/>
      <c r="M906" s="468"/>
      <c r="N906" s="468"/>
      <c r="O906" s="468"/>
      <c r="P906" s="468"/>
      <c r="Q906" s="468"/>
      <c r="R906" s="468"/>
      <c r="S906" s="468"/>
      <c r="T906" s="468"/>
      <c r="U906" s="468"/>
      <c r="V906" s="468"/>
      <c r="W906" s="468"/>
      <c r="X906" s="468"/>
      <c r="Y906" s="468"/>
      <c r="Z906" s="468"/>
      <c r="AA906" s="468"/>
      <c r="AB906" s="468"/>
      <c r="AC906" s="468"/>
      <c r="AD906" s="468"/>
      <c r="AE906" s="468"/>
      <c r="AF906" s="468"/>
      <c r="AG906" s="468"/>
      <c r="AH906" s="468"/>
      <c r="AI906" s="468"/>
      <c r="AJ906" s="468"/>
    </row>
    <row r="907" spans="1:36" ht="18" customHeight="1" x14ac:dyDescent="0.35">
      <c r="A907" s="468"/>
      <c r="B907" s="468"/>
      <c r="C907" s="468"/>
      <c r="D907" s="468"/>
      <c r="E907" s="468"/>
      <c r="F907" s="468"/>
      <c r="G907" s="468"/>
      <c r="H907" s="468"/>
      <c r="I907" s="468"/>
      <c r="J907" s="468"/>
      <c r="K907" s="468"/>
      <c r="L907" s="468"/>
      <c r="M907" s="468"/>
      <c r="N907" s="468"/>
      <c r="O907" s="468"/>
      <c r="P907" s="468"/>
      <c r="Q907" s="468"/>
      <c r="R907" s="468"/>
      <c r="S907" s="468"/>
      <c r="T907" s="468"/>
      <c r="U907" s="468"/>
      <c r="V907" s="468"/>
      <c r="W907" s="468"/>
      <c r="X907" s="468"/>
      <c r="Y907" s="468"/>
      <c r="Z907" s="468"/>
      <c r="AA907" s="468"/>
      <c r="AB907" s="468"/>
      <c r="AC907" s="468"/>
      <c r="AD907" s="468"/>
      <c r="AE907" s="468"/>
      <c r="AF907" s="468"/>
      <c r="AG907" s="468"/>
      <c r="AH907" s="468"/>
      <c r="AI907" s="468"/>
      <c r="AJ907" s="468"/>
    </row>
    <row r="908" spans="1:36" ht="18" customHeight="1" x14ac:dyDescent="0.35">
      <c r="A908" s="468"/>
      <c r="B908" s="468"/>
      <c r="C908" s="468"/>
      <c r="D908" s="468"/>
      <c r="E908" s="468"/>
      <c r="F908" s="468"/>
      <c r="G908" s="468"/>
      <c r="H908" s="468"/>
      <c r="I908" s="468"/>
      <c r="J908" s="468"/>
      <c r="K908" s="468"/>
      <c r="L908" s="468"/>
      <c r="M908" s="468"/>
      <c r="N908" s="468"/>
      <c r="O908" s="468"/>
      <c r="P908" s="468"/>
      <c r="Q908" s="468"/>
      <c r="R908" s="468"/>
      <c r="S908" s="468"/>
      <c r="T908" s="468"/>
      <c r="U908" s="468"/>
      <c r="V908" s="468"/>
      <c r="W908" s="468"/>
      <c r="X908" s="468"/>
      <c r="Y908" s="468"/>
      <c r="Z908" s="468"/>
      <c r="AA908" s="468"/>
      <c r="AB908" s="468"/>
      <c r="AC908" s="468"/>
      <c r="AD908" s="468"/>
      <c r="AE908" s="468"/>
      <c r="AF908" s="468"/>
      <c r="AG908" s="468"/>
      <c r="AH908" s="468"/>
      <c r="AI908" s="468"/>
      <c r="AJ908" s="468"/>
    </row>
    <row r="909" spans="1:36" ht="18" customHeight="1" x14ac:dyDescent="0.35">
      <c r="A909" s="468"/>
      <c r="B909" s="468"/>
      <c r="C909" s="468"/>
      <c r="D909" s="468"/>
      <c r="E909" s="468"/>
      <c r="F909" s="468"/>
      <c r="G909" s="468"/>
      <c r="H909" s="468"/>
      <c r="I909" s="468"/>
      <c r="J909" s="468"/>
      <c r="K909" s="468"/>
      <c r="L909" s="468"/>
      <c r="M909" s="468"/>
      <c r="N909" s="468"/>
      <c r="O909" s="468"/>
      <c r="P909" s="468"/>
      <c r="Q909" s="468"/>
      <c r="R909" s="468"/>
      <c r="S909" s="468"/>
      <c r="T909" s="468"/>
      <c r="U909" s="468"/>
      <c r="V909" s="468"/>
      <c r="W909" s="468"/>
      <c r="X909" s="468"/>
      <c r="Y909" s="468"/>
      <c r="Z909" s="468"/>
      <c r="AA909" s="468"/>
      <c r="AB909" s="468"/>
      <c r="AC909" s="468"/>
      <c r="AD909" s="468"/>
      <c r="AE909" s="468"/>
      <c r="AF909" s="468"/>
      <c r="AG909" s="468"/>
      <c r="AH909" s="468"/>
      <c r="AI909" s="468"/>
      <c r="AJ909" s="468"/>
    </row>
    <row r="910" spans="1:36" ht="18" customHeight="1" x14ac:dyDescent="0.35">
      <c r="A910" s="468"/>
      <c r="B910" s="468"/>
      <c r="C910" s="468"/>
      <c r="D910" s="468"/>
      <c r="E910" s="468"/>
      <c r="F910" s="468"/>
      <c r="G910" s="468"/>
      <c r="H910" s="468"/>
      <c r="I910" s="468"/>
      <c r="J910" s="468"/>
      <c r="K910" s="468"/>
      <c r="L910" s="468"/>
      <c r="M910" s="468"/>
      <c r="N910" s="468"/>
      <c r="O910" s="468"/>
      <c r="P910" s="468"/>
      <c r="Q910" s="468"/>
      <c r="R910" s="468"/>
      <c r="S910" s="468"/>
      <c r="T910" s="468"/>
      <c r="U910" s="468"/>
      <c r="V910" s="468"/>
      <c r="W910" s="468"/>
      <c r="X910" s="468"/>
      <c r="Y910" s="468"/>
      <c r="Z910" s="468"/>
      <c r="AA910" s="468"/>
      <c r="AB910" s="468"/>
      <c r="AC910" s="468"/>
      <c r="AD910" s="468"/>
      <c r="AE910" s="468"/>
      <c r="AF910" s="468"/>
      <c r="AG910" s="468"/>
      <c r="AH910" s="468"/>
      <c r="AI910" s="468"/>
      <c r="AJ910" s="468"/>
    </row>
    <row r="911" spans="1:36" ht="18" customHeight="1" x14ac:dyDescent="0.35">
      <c r="A911" s="468"/>
      <c r="B911" s="468"/>
      <c r="C911" s="468"/>
      <c r="D911" s="468"/>
      <c r="E911" s="468"/>
      <c r="F911" s="468"/>
      <c r="G911" s="468"/>
      <c r="H911" s="468"/>
      <c r="I911" s="468"/>
      <c r="J911" s="468"/>
      <c r="K911" s="468"/>
      <c r="L911" s="468"/>
      <c r="M911" s="468"/>
      <c r="N911" s="468"/>
      <c r="O911" s="468"/>
      <c r="P911" s="468"/>
      <c r="Q911" s="468"/>
      <c r="R911" s="468"/>
      <c r="S911" s="468"/>
      <c r="T911" s="468"/>
      <c r="U911" s="468"/>
      <c r="V911" s="468"/>
      <c r="W911" s="468"/>
      <c r="X911" s="468"/>
      <c r="Y911" s="468"/>
      <c r="Z911" s="468"/>
      <c r="AA911" s="468"/>
      <c r="AB911" s="468"/>
      <c r="AC911" s="468"/>
      <c r="AD911" s="468"/>
      <c r="AE911" s="468"/>
      <c r="AF911" s="468"/>
      <c r="AG911" s="468"/>
      <c r="AH911" s="468"/>
      <c r="AI911" s="468"/>
      <c r="AJ911" s="468"/>
    </row>
    <row r="912" spans="1:36" ht="18" customHeight="1" x14ac:dyDescent="0.35">
      <c r="A912" s="468"/>
      <c r="B912" s="468"/>
      <c r="C912" s="468"/>
      <c r="D912" s="468"/>
      <c r="E912" s="468"/>
      <c r="F912" s="468"/>
      <c r="G912" s="468"/>
      <c r="H912" s="468"/>
      <c r="I912" s="468"/>
      <c r="J912" s="468"/>
      <c r="K912" s="468"/>
      <c r="L912" s="468"/>
      <c r="M912" s="468"/>
      <c r="N912" s="468"/>
      <c r="O912" s="468"/>
      <c r="P912" s="468"/>
      <c r="Q912" s="468"/>
      <c r="R912" s="468"/>
      <c r="S912" s="468"/>
      <c r="T912" s="468"/>
      <c r="U912" s="468"/>
      <c r="V912" s="468"/>
      <c r="W912" s="468"/>
      <c r="X912" s="468"/>
      <c r="Y912" s="468"/>
      <c r="Z912" s="468"/>
      <c r="AA912" s="468"/>
      <c r="AB912" s="468"/>
      <c r="AC912" s="468"/>
      <c r="AD912" s="468"/>
      <c r="AE912" s="468"/>
      <c r="AF912" s="468"/>
      <c r="AG912" s="468"/>
      <c r="AH912" s="468"/>
      <c r="AI912" s="468"/>
      <c r="AJ912" s="468"/>
    </row>
    <row r="913" spans="1:36" ht="18" customHeight="1" x14ac:dyDescent="0.35">
      <c r="A913" s="468"/>
      <c r="B913" s="468"/>
      <c r="C913" s="468"/>
      <c r="D913" s="468"/>
      <c r="E913" s="468"/>
      <c r="F913" s="468"/>
      <c r="G913" s="468"/>
      <c r="H913" s="468"/>
      <c r="I913" s="468"/>
      <c r="J913" s="468"/>
      <c r="K913" s="468"/>
      <c r="L913" s="468"/>
      <c r="M913" s="468"/>
      <c r="N913" s="468"/>
      <c r="O913" s="468"/>
      <c r="P913" s="468"/>
      <c r="Q913" s="468"/>
      <c r="R913" s="468"/>
      <c r="S913" s="468"/>
      <c r="T913" s="468"/>
      <c r="U913" s="468"/>
      <c r="V913" s="468"/>
      <c r="W913" s="468"/>
      <c r="X913" s="468"/>
      <c r="Y913" s="468"/>
      <c r="Z913" s="468"/>
      <c r="AA913" s="468"/>
      <c r="AB913" s="468"/>
      <c r="AC913" s="468"/>
      <c r="AD913" s="468"/>
      <c r="AE913" s="468"/>
      <c r="AF913" s="468"/>
      <c r="AG913" s="468"/>
      <c r="AH913" s="468"/>
      <c r="AI913" s="468"/>
      <c r="AJ913" s="468"/>
    </row>
    <row r="914" spans="1:36" ht="18" customHeight="1" x14ac:dyDescent="0.35">
      <c r="A914" s="468"/>
      <c r="B914" s="468"/>
      <c r="C914" s="468"/>
      <c r="D914" s="468"/>
      <c r="E914" s="468"/>
      <c r="F914" s="468"/>
      <c r="G914" s="468"/>
      <c r="H914" s="468"/>
      <c r="I914" s="468"/>
      <c r="J914" s="468"/>
      <c r="K914" s="468"/>
      <c r="L914" s="468"/>
      <c r="M914" s="468"/>
      <c r="N914" s="468"/>
      <c r="O914" s="468"/>
      <c r="P914" s="468"/>
      <c r="Q914" s="468"/>
      <c r="R914" s="468"/>
      <c r="S914" s="468"/>
      <c r="T914" s="468"/>
      <c r="U914" s="468"/>
      <c r="V914" s="468"/>
      <c r="W914" s="468"/>
      <c r="X914" s="468"/>
      <c r="Y914" s="468"/>
      <c r="Z914" s="468"/>
      <c r="AA914" s="468"/>
      <c r="AB914" s="468"/>
      <c r="AC914" s="468"/>
      <c r="AD914" s="468"/>
      <c r="AE914" s="468"/>
      <c r="AF914" s="468"/>
      <c r="AG914" s="468"/>
      <c r="AH914" s="468"/>
      <c r="AI914" s="468"/>
      <c r="AJ914" s="468"/>
    </row>
    <row r="915" spans="1:36" ht="18" customHeight="1" x14ac:dyDescent="0.35">
      <c r="A915" s="468"/>
      <c r="B915" s="468"/>
      <c r="C915" s="468"/>
      <c r="D915" s="468"/>
      <c r="E915" s="468"/>
      <c r="F915" s="468"/>
      <c r="G915" s="468"/>
      <c r="H915" s="468"/>
      <c r="I915" s="468"/>
      <c r="J915" s="468"/>
      <c r="K915" s="468"/>
      <c r="L915" s="468"/>
      <c r="M915" s="468"/>
      <c r="N915" s="468"/>
      <c r="O915" s="468"/>
      <c r="P915" s="468"/>
      <c r="Q915" s="468"/>
      <c r="R915" s="468"/>
      <c r="S915" s="468"/>
      <c r="T915" s="468"/>
      <c r="U915" s="468"/>
      <c r="V915" s="468"/>
      <c r="W915" s="468"/>
      <c r="X915" s="468"/>
      <c r="Y915" s="468"/>
      <c r="Z915" s="468"/>
      <c r="AA915" s="468"/>
      <c r="AB915" s="468"/>
      <c r="AC915" s="468"/>
      <c r="AD915" s="468"/>
      <c r="AE915" s="468"/>
      <c r="AF915" s="468"/>
      <c r="AG915" s="468"/>
      <c r="AH915" s="468"/>
      <c r="AI915" s="468"/>
      <c r="AJ915" s="468"/>
    </row>
    <row r="916" spans="1:36" ht="18" customHeight="1" x14ac:dyDescent="0.35">
      <c r="A916" s="468"/>
      <c r="B916" s="468"/>
      <c r="C916" s="468"/>
      <c r="D916" s="468"/>
      <c r="E916" s="468"/>
      <c r="F916" s="468"/>
      <c r="G916" s="468"/>
      <c r="H916" s="468"/>
      <c r="I916" s="468"/>
      <c r="J916" s="468"/>
      <c r="K916" s="468"/>
      <c r="L916" s="468"/>
      <c r="M916" s="468"/>
      <c r="N916" s="468"/>
      <c r="O916" s="468"/>
      <c r="P916" s="468"/>
      <c r="Q916" s="468"/>
      <c r="R916" s="468"/>
      <c r="S916" s="468"/>
      <c r="T916" s="468"/>
      <c r="U916" s="468"/>
      <c r="V916" s="468"/>
      <c r="W916" s="468"/>
      <c r="X916" s="468"/>
      <c r="Y916" s="468"/>
      <c r="Z916" s="468"/>
      <c r="AA916" s="468"/>
      <c r="AB916" s="468"/>
      <c r="AC916" s="468"/>
      <c r="AD916" s="468"/>
      <c r="AE916" s="468"/>
      <c r="AF916" s="468"/>
      <c r="AG916" s="468"/>
      <c r="AH916" s="468"/>
      <c r="AI916" s="468"/>
      <c r="AJ916" s="468"/>
    </row>
    <row r="917" spans="1:36" ht="18" customHeight="1" x14ac:dyDescent="0.35">
      <c r="A917" s="468"/>
      <c r="B917" s="468"/>
      <c r="C917" s="468"/>
      <c r="D917" s="468"/>
      <c r="E917" s="468"/>
      <c r="F917" s="468"/>
      <c r="G917" s="468"/>
      <c r="H917" s="468"/>
      <c r="I917" s="468"/>
      <c r="J917" s="468"/>
      <c r="K917" s="468"/>
      <c r="L917" s="468"/>
      <c r="M917" s="468"/>
      <c r="N917" s="468"/>
      <c r="O917" s="468"/>
      <c r="P917" s="468"/>
      <c r="Q917" s="468"/>
      <c r="R917" s="468"/>
      <c r="S917" s="468"/>
      <c r="T917" s="468"/>
      <c r="U917" s="468"/>
      <c r="V917" s="468"/>
      <c r="W917" s="468"/>
      <c r="X917" s="468"/>
      <c r="Y917" s="468"/>
      <c r="Z917" s="468"/>
      <c r="AA917" s="468"/>
      <c r="AB917" s="468"/>
      <c r="AC917" s="468"/>
      <c r="AD917" s="468"/>
      <c r="AE917" s="468"/>
      <c r="AF917" s="468"/>
      <c r="AG917" s="468"/>
      <c r="AH917" s="468"/>
      <c r="AI917" s="468"/>
      <c r="AJ917" s="468"/>
    </row>
    <row r="918" spans="1:36" ht="18" customHeight="1" x14ac:dyDescent="0.35">
      <c r="A918" s="468"/>
      <c r="B918" s="468"/>
      <c r="C918" s="468"/>
      <c r="D918" s="468"/>
      <c r="E918" s="468"/>
      <c r="F918" s="468"/>
      <c r="G918" s="468"/>
      <c r="H918" s="468"/>
      <c r="I918" s="468"/>
      <c r="J918" s="468"/>
      <c r="K918" s="468"/>
      <c r="L918" s="468"/>
      <c r="M918" s="468"/>
      <c r="N918" s="468"/>
      <c r="O918" s="468"/>
      <c r="P918" s="468"/>
      <c r="Q918" s="468"/>
      <c r="R918" s="468"/>
      <c r="S918" s="468"/>
      <c r="T918" s="468"/>
      <c r="U918" s="468"/>
      <c r="V918" s="468"/>
      <c r="W918" s="468"/>
      <c r="X918" s="468"/>
      <c r="Y918" s="468"/>
      <c r="Z918" s="468"/>
      <c r="AA918" s="468"/>
      <c r="AB918" s="468"/>
      <c r="AC918" s="468"/>
      <c r="AD918" s="468"/>
      <c r="AE918" s="468"/>
      <c r="AF918" s="468"/>
      <c r="AG918" s="468"/>
      <c r="AH918" s="468"/>
      <c r="AI918" s="468"/>
      <c r="AJ918" s="468"/>
    </row>
    <row r="919" spans="1:36" ht="18" customHeight="1" x14ac:dyDescent="0.35">
      <c r="A919" s="468"/>
      <c r="B919" s="468"/>
      <c r="C919" s="468"/>
      <c r="D919" s="468"/>
      <c r="E919" s="468"/>
      <c r="F919" s="468"/>
      <c r="G919" s="468"/>
      <c r="H919" s="468"/>
      <c r="I919" s="468"/>
      <c r="J919" s="468"/>
      <c r="K919" s="468"/>
      <c r="L919" s="468"/>
      <c r="M919" s="468"/>
      <c r="N919" s="468"/>
      <c r="O919" s="468"/>
      <c r="P919" s="468"/>
      <c r="Q919" s="468"/>
      <c r="R919" s="468"/>
      <c r="S919" s="468"/>
      <c r="T919" s="468"/>
      <c r="U919" s="468"/>
      <c r="V919" s="468"/>
      <c r="W919" s="468"/>
      <c r="X919" s="468"/>
      <c r="Y919" s="468"/>
      <c r="Z919" s="468"/>
      <c r="AA919" s="468"/>
      <c r="AB919" s="468"/>
      <c r="AC919" s="468"/>
      <c r="AD919" s="468"/>
      <c r="AE919" s="468"/>
      <c r="AF919" s="468"/>
      <c r="AG919" s="468"/>
      <c r="AH919" s="468"/>
      <c r="AI919" s="468"/>
      <c r="AJ919" s="468"/>
    </row>
    <row r="920" spans="1:36" ht="18" customHeight="1" x14ac:dyDescent="0.35">
      <c r="A920" s="468"/>
      <c r="B920" s="468"/>
      <c r="C920" s="468"/>
      <c r="D920" s="468"/>
      <c r="E920" s="468"/>
      <c r="F920" s="468"/>
      <c r="G920" s="468"/>
      <c r="H920" s="468"/>
      <c r="I920" s="468"/>
      <c r="J920" s="468"/>
      <c r="K920" s="468"/>
      <c r="L920" s="468"/>
      <c r="M920" s="468"/>
      <c r="N920" s="468"/>
      <c r="O920" s="468"/>
      <c r="P920" s="468"/>
      <c r="Q920" s="468"/>
      <c r="R920" s="468"/>
      <c r="S920" s="468"/>
      <c r="T920" s="468"/>
      <c r="U920" s="468"/>
      <c r="V920" s="468"/>
      <c r="W920" s="468"/>
      <c r="X920" s="468"/>
      <c r="Y920" s="468"/>
      <c r="Z920" s="468"/>
      <c r="AA920" s="468"/>
      <c r="AB920" s="468"/>
      <c r="AC920" s="468"/>
      <c r="AD920" s="468"/>
      <c r="AE920" s="468"/>
      <c r="AF920" s="468"/>
      <c r="AG920" s="468"/>
      <c r="AH920" s="468"/>
      <c r="AI920" s="468"/>
      <c r="AJ920" s="468"/>
    </row>
    <row r="921" spans="1:36" ht="18" customHeight="1" x14ac:dyDescent="0.35">
      <c r="A921" s="468"/>
      <c r="B921" s="468"/>
      <c r="C921" s="468"/>
      <c r="D921" s="468"/>
      <c r="E921" s="468"/>
      <c r="F921" s="468"/>
      <c r="G921" s="468"/>
      <c r="H921" s="468"/>
      <c r="I921" s="468"/>
      <c r="J921" s="468"/>
      <c r="K921" s="468"/>
      <c r="L921" s="468"/>
      <c r="M921" s="468"/>
      <c r="N921" s="468"/>
      <c r="O921" s="468"/>
      <c r="P921" s="468"/>
      <c r="Q921" s="468"/>
      <c r="R921" s="468"/>
      <c r="S921" s="468"/>
      <c r="T921" s="468"/>
      <c r="U921" s="468"/>
      <c r="V921" s="468"/>
      <c r="W921" s="468"/>
      <c r="X921" s="468"/>
      <c r="Y921" s="468"/>
      <c r="Z921" s="468"/>
      <c r="AA921" s="468"/>
      <c r="AB921" s="468"/>
      <c r="AC921" s="468"/>
      <c r="AD921" s="468"/>
      <c r="AE921" s="468"/>
      <c r="AF921" s="468"/>
      <c r="AG921" s="468"/>
      <c r="AH921" s="468"/>
      <c r="AI921" s="468"/>
      <c r="AJ921" s="468"/>
    </row>
    <row r="922" spans="1:36" ht="18" customHeight="1" x14ac:dyDescent="0.35">
      <c r="A922" s="468"/>
      <c r="B922" s="468"/>
      <c r="C922" s="468"/>
      <c r="D922" s="468"/>
      <c r="E922" s="468"/>
      <c r="F922" s="468"/>
      <c r="G922" s="468"/>
      <c r="H922" s="468"/>
      <c r="I922" s="468"/>
      <c r="J922" s="468"/>
      <c r="K922" s="468"/>
      <c r="L922" s="468"/>
      <c r="M922" s="468"/>
      <c r="N922" s="468"/>
      <c r="O922" s="468"/>
      <c r="P922" s="468"/>
      <c r="Q922" s="468"/>
      <c r="R922" s="468"/>
      <c r="S922" s="468"/>
      <c r="T922" s="468"/>
      <c r="U922" s="468"/>
      <c r="V922" s="468"/>
      <c r="W922" s="468"/>
      <c r="X922" s="468"/>
      <c r="Y922" s="468"/>
      <c r="Z922" s="468"/>
      <c r="AA922" s="468"/>
      <c r="AB922" s="468"/>
      <c r="AC922" s="468"/>
      <c r="AD922" s="468"/>
      <c r="AE922" s="468"/>
      <c r="AF922" s="468"/>
      <c r="AG922" s="468"/>
      <c r="AH922" s="468"/>
      <c r="AI922" s="468"/>
      <c r="AJ922" s="468"/>
    </row>
    <row r="923" spans="1:36" ht="18" customHeight="1" x14ac:dyDescent="0.35">
      <c r="A923" s="468"/>
      <c r="B923" s="468"/>
      <c r="C923" s="468"/>
      <c r="D923" s="468"/>
      <c r="E923" s="468"/>
      <c r="F923" s="468"/>
      <c r="G923" s="468"/>
      <c r="H923" s="468"/>
      <c r="I923" s="468"/>
      <c r="J923" s="468"/>
      <c r="K923" s="468"/>
      <c r="L923" s="468"/>
      <c r="M923" s="468"/>
      <c r="N923" s="468"/>
      <c r="O923" s="468"/>
      <c r="P923" s="468"/>
      <c r="Q923" s="468"/>
      <c r="R923" s="468"/>
      <c r="S923" s="468"/>
      <c r="T923" s="468"/>
      <c r="U923" s="468"/>
      <c r="V923" s="468"/>
      <c r="W923" s="468"/>
      <c r="X923" s="468"/>
      <c r="Y923" s="468"/>
      <c r="Z923" s="468"/>
      <c r="AA923" s="468"/>
      <c r="AB923" s="468"/>
      <c r="AC923" s="468"/>
      <c r="AD923" s="468"/>
      <c r="AE923" s="468"/>
      <c r="AF923" s="468"/>
      <c r="AG923" s="468"/>
      <c r="AH923" s="468"/>
      <c r="AI923" s="468"/>
      <c r="AJ923" s="468"/>
    </row>
    <row r="924" spans="1:36" ht="18" customHeight="1" x14ac:dyDescent="0.35">
      <c r="A924" s="468"/>
      <c r="B924" s="468"/>
      <c r="C924" s="468"/>
      <c r="D924" s="468"/>
      <c r="E924" s="468"/>
      <c r="F924" s="468"/>
      <c r="G924" s="468"/>
      <c r="H924" s="468"/>
      <c r="I924" s="468"/>
      <c r="J924" s="468"/>
      <c r="K924" s="468"/>
      <c r="L924" s="468"/>
      <c r="M924" s="468"/>
      <c r="N924" s="468"/>
      <c r="O924" s="468"/>
      <c r="P924" s="468"/>
      <c r="Q924" s="468"/>
      <c r="R924" s="468"/>
      <c r="S924" s="468"/>
      <c r="T924" s="468"/>
      <c r="U924" s="468"/>
      <c r="V924" s="468"/>
      <c r="W924" s="468"/>
      <c r="X924" s="468"/>
      <c r="Y924" s="468"/>
      <c r="Z924" s="468"/>
      <c r="AA924" s="468"/>
      <c r="AB924" s="468"/>
      <c r="AC924" s="468"/>
      <c r="AD924" s="468"/>
      <c r="AE924" s="468"/>
      <c r="AF924" s="468"/>
      <c r="AG924" s="468"/>
      <c r="AH924" s="468"/>
      <c r="AI924" s="468"/>
      <c r="AJ924" s="468"/>
    </row>
    <row r="925" spans="1:36" ht="18" customHeight="1" x14ac:dyDescent="0.35">
      <c r="A925" s="468"/>
      <c r="B925" s="468"/>
      <c r="C925" s="468"/>
      <c r="D925" s="468"/>
      <c r="E925" s="468"/>
      <c r="F925" s="468"/>
      <c r="G925" s="468"/>
      <c r="H925" s="468"/>
      <c r="I925" s="468"/>
      <c r="J925" s="468"/>
      <c r="K925" s="468"/>
      <c r="L925" s="468"/>
      <c r="M925" s="468"/>
      <c r="N925" s="468"/>
      <c r="O925" s="468"/>
      <c r="P925" s="468"/>
      <c r="Q925" s="468"/>
      <c r="R925" s="468"/>
      <c r="S925" s="468"/>
      <c r="T925" s="468"/>
      <c r="U925" s="468"/>
      <c r="V925" s="468"/>
      <c r="W925" s="468"/>
      <c r="X925" s="468"/>
      <c r="Y925" s="468"/>
      <c r="Z925" s="468"/>
      <c r="AA925" s="468"/>
      <c r="AB925" s="468"/>
      <c r="AC925" s="468"/>
      <c r="AD925" s="468"/>
      <c r="AE925" s="468"/>
      <c r="AF925" s="468"/>
      <c r="AG925" s="468"/>
      <c r="AH925" s="468"/>
      <c r="AI925" s="468"/>
      <c r="AJ925" s="468"/>
    </row>
    <row r="926" spans="1:36" ht="18" customHeight="1" x14ac:dyDescent="0.35">
      <c r="A926" s="468"/>
      <c r="B926" s="468"/>
      <c r="C926" s="468"/>
      <c r="D926" s="468"/>
      <c r="E926" s="468"/>
      <c r="F926" s="468"/>
      <c r="G926" s="468"/>
      <c r="H926" s="468"/>
      <c r="I926" s="468"/>
      <c r="J926" s="468"/>
      <c r="K926" s="468"/>
      <c r="L926" s="468"/>
      <c r="M926" s="468"/>
      <c r="N926" s="468"/>
      <c r="O926" s="468"/>
      <c r="P926" s="468"/>
      <c r="Q926" s="468"/>
      <c r="R926" s="468"/>
      <c r="S926" s="468"/>
      <c r="T926" s="468"/>
      <c r="U926" s="468"/>
      <c r="V926" s="468"/>
      <c r="W926" s="468"/>
      <c r="X926" s="468"/>
      <c r="Y926" s="468"/>
      <c r="Z926" s="468"/>
      <c r="AA926" s="468"/>
      <c r="AB926" s="468"/>
      <c r="AC926" s="468"/>
      <c r="AD926" s="468"/>
      <c r="AE926" s="468"/>
      <c r="AF926" s="468"/>
      <c r="AG926" s="468"/>
      <c r="AH926" s="468"/>
      <c r="AI926" s="468"/>
      <c r="AJ926" s="468"/>
    </row>
    <row r="927" spans="1:36" ht="18" customHeight="1" x14ac:dyDescent="0.35">
      <c r="A927" s="468"/>
      <c r="B927" s="468"/>
      <c r="C927" s="468"/>
      <c r="D927" s="468"/>
      <c r="E927" s="468"/>
      <c r="F927" s="468"/>
      <c r="G927" s="468"/>
      <c r="H927" s="468"/>
      <c r="I927" s="468"/>
      <c r="J927" s="468"/>
      <c r="K927" s="468"/>
      <c r="L927" s="468"/>
      <c r="M927" s="468"/>
      <c r="N927" s="468"/>
      <c r="O927" s="468"/>
      <c r="P927" s="468"/>
      <c r="Q927" s="468"/>
      <c r="R927" s="468"/>
      <c r="S927" s="468"/>
      <c r="T927" s="468"/>
      <c r="U927" s="468"/>
      <c r="V927" s="468"/>
      <c r="W927" s="468"/>
      <c r="X927" s="468"/>
      <c r="Y927" s="468"/>
      <c r="Z927" s="468"/>
      <c r="AA927" s="468"/>
      <c r="AB927" s="468"/>
      <c r="AC927" s="468"/>
      <c r="AD927" s="468"/>
      <c r="AE927" s="468"/>
      <c r="AF927" s="468"/>
      <c r="AG927" s="468"/>
      <c r="AH927" s="468"/>
      <c r="AI927" s="468"/>
      <c r="AJ927" s="468"/>
    </row>
    <row r="928" spans="1:36" ht="18" customHeight="1" x14ac:dyDescent="0.35">
      <c r="A928" s="468"/>
      <c r="B928" s="468"/>
      <c r="C928" s="468"/>
      <c r="D928" s="468"/>
      <c r="E928" s="468"/>
      <c r="F928" s="468"/>
      <c r="G928" s="468"/>
      <c r="H928" s="468"/>
      <c r="I928" s="468"/>
      <c r="J928" s="468"/>
      <c r="K928" s="468"/>
      <c r="L928" s="468"/>
      <c r="M928" s="468"/>
      <c r="N928" s="468"/>
      <c r="O928" s="468"/>
      <c r="P928" s="468"/>
      <c r="Q928" s="468"/>
      <c r="R928" s="468"/>
      <c r="S928" s="468"/>
      <c r="T928" s="468"/>
      <c r="U928" s="468"/>
      <c r="V928" s="468"/>
      <c r="W928" s="468"/>
      <c r="X928" s="468"/>
      <c r="Y928" s="468"/>
      <c r="Z928" s="468"/>
      <c r="AA928" s="468"/>
      <c r="AB928" s="468"/>
      <c r="AC928" s="468"/>
      <c r="AD928" s="468"/>
      <c r="AE928" s="468"/>
      <c r="AF928" s="468"/>
      <c r="AG928" s="468"/>
      <c r="AH928" s="468"/>
      <c r="AI928" s="468"/>
      <c r="AJ928" s="468"/>
    </row>
    <row r="929" spans="1:36" ht="18" customHeight="1" x14ac:dyDescent="0.35">
      <c r="A929" s="468"/>
      <c r="B929" s="468"/>
      <c r="C929" s="468"/>
      <c r="D929" s="468"/>
      <c r="E929" s="468"/>
      <c r="F929" s="468"/>
      <c r="G929" s="468"/>
      <c r="H929" s="468"/>
      <c r="I929" s="468"/>
      <c r="J929" s="468"/>
      <c r="K929" s="468"/>
      <c r="L929" s="468"/>
      <c r="M929" s="468"/>
      <c r="N929" s="468"/>
      <c r="O929" s="468"/>
      <c r="P929" s="468"/>
      <c r="Q929" s="468"/>
      <c r="R929" s="468"/>
      <c r="S929" s="468"/>
      <c r="T929" s="468"/>
      <c r="U929" s="468"/>
      <c r="V929" s="468"/>
      <c r="W929" s="468"/>
      <c r="X929" s="468"/>
      <c r="Y929" s="468"/>
      <c r="Z929" s="468"/>
      <c r="AA929" s="468"/>
      <c r="AB929" s="468"/>
      <c r="AC929" s="468"/>
      <c r="AD929" s="468"/>
      <c r="AE929" s="468"/>
      <c r="AF929" s="468"/>
      <c r="AG929" s="468"/>
      <c r="AH929" s="468"/>
      <c r="AI929" s="468"/>
      <c r="AJ929" s="468"/>
    </row>
    <row r="930" spans="1:36" ht="18" customHeight="1" x14ac:dyDescent="0.35">
      <c r="A930" s="468"/>
      <c r="B930" s="468"/>
      <c r="C930" s="468"/>
      <c r="D930" s="468"/>
      <c r="E930" s="468"/>
      <c r="F930" s="468"/>
      <c r="G930" s="468"/>
      <c r="H930" s="468"/>
      <c r="I930" s="468"/>
      <c r="J930" s="468"/>
      <c r="K930" s="468"/>
      <c r="L930" s="468"/>
      <c r="M930" s="468"/>
      <c r="N930" s="468"/>
      <c r="O930" s="468"/>
      <c r="P930" s="468"/>
      <c r="Q930" s="468"/>
      <c r="R930" s="468"/>
      <c r="S930" s="468"/>
      <c r="T930" s="468"/>
      <c r="U930" s="468"/>
      <c r="V930" s="468"/>
      <c r="W930" s="468"/>
      <c r="X930" s="468"/>
      <c r="Y930" s="468"/>
      <c r="Z930" s="468"/>
      <c r="AA930" s="468"/>
      <c r="AB930" s="468"/>
      <c r="AC930" s="468"/>
      <c r="AD930" s="468"/>
      <c r="AE930" s="468"/>
      <c r="AF930" s="468"/>
      <c r="AG930" s="468"/>
      <c r="AH930" s="468"/>
      <c r="AI930" s="468"/>
      <c r="AJ930" s="468"/>
    </row>
    <row r="931" spans="1:36" ht="18" customHeight="1" x14ac:dyDescent="0.35">
      <c r="A931" s="468"/>
      <c r="B931" s="468"/>
      <c r="C931" s="468"/>
      <c r="D931" s="468"/>
      <c r="E931" s="468"/>
      <c r="F931" s="468"/>
      <c r="G931" s="468"/>
      <c r="H931" s="468"/>
      <c r="I931" s="468"/>
      <c r="J931" s="468"/>
      <c r="K931" s="468"/>
      <c r="L931" s="468"/>
      <c r="M931" s="468"/>
      <c r="N931" s="468"/>
      <c r="O931" s="468"/>
      <c r="P931" s="468"/>
      <c r="Q931" s="468"/>
      <c r="R931" s="468"/>
      <c r="S931" s="468"/>
      <c r="T931" s="468"/>
      <c r="U931" s="468"/>
      <c r="V931" s="468"/>
      <c r="W931" s="468"/>
      <c r="X931" s="468"/>
      <c r="Y931" s="468"/>
      <c r="Z931" s="468"/>
      <c r="AA931" s="468"/>
      <c r="AB931" s="468"/>
      <c r="AC931" s="468"/>
      <c r="AD931" s="468"/>
      <c r="AE931" s="468"/>
      <c r="AF931" s="468"/>
      <c r="AG931" s="468"/>
      <c r="AH931" s="468"/>
      <c r="AI931" s="468"/>
      <c r="AJ931" s="468"/>
    </row>
    <row r="932" spans="1:36" ht="18" customHeight="1" x14ac:dyDescent="0.35">
      <c r="A932" s="468"/>
      <c r="B932" s="468"/>
      <c r="C932" s="468"/>
      <c r="D932" s="468"/>
      <c r="E932" s="468"/>
      <c r="F932" s="468"/>
      <c r="G932" s="468"/>
      <c r="H932" s="468"/>
      <c r="I932" s="468"/>
      <c r="J932" s="468"/>
      <c r="K932" s="468"/>
      <c r="L932" s="468"/>
      <c r="M932" s="468"/>
      <c r="N932" s="468"/>
      <c r="O932" s="468"/>
      <c r="P932" s="468"/>
      <c r="Q932" s="468"/>
      <c r="R932" s="468"/>
      <c r="S932" s="468"/>
      <c r="T932" s="468"/>
      <c r="U932" s="468"/>
      <c r="V932" s="468"/>
      <c r="W932" s="468"/>
      <c r="X932" s="468"/>
      <c r="Y932" s="468"/>
      <c r="Z932" s="468"/>
      <c r="AA932" s="468"/>
      <c r="AB932" s="468"/>
      <c r="AC932" s="468"/>
      <c r="AD932" s="468"/>
      <c r="AE932" s="468"/>
      <c r="AF932" s="468"/>
      <c r="AG932" s="468"/>
      <c r="AH932" s="468"/>
      <c r="AI932" s="468"/>
      <c r="AJ932" s="468"/>
    </row>
    <row r="933" spans="1:36" ht="18" customHeight="1" x14ac:dyDescent="0.35">
      <c r="A933" s="468"/>
      <c r="B933" s="468"/>
      <c r="C933" s="468"/>
      <c r="D933" s="468"/>
      <c r="E933" s="468"/>
      <c r="F933" s="468"/>
      <c r="G933" s="468"/>
      <c r="H933" s="468"/>
      <c r="I933" s="468"/>
      <c r="J933" s="468"/>
      <c r="K933" s="468"/>
      <c r="L933" s="468"/>
      <c r="M933" s="468"/>
      <c r="N933" s="468"/>
      <c r="O933" s="468"/>
      <c r="P933" s="468"/>
      <c r="Q933" s="468"/>
      <c r="R933" s="468"/>
      <c r="S933" s="468"/>
      <c r="T933" s="468"/>
      <c r="U933" s="468"/>
      <c r="V933" s="468"/>
      <c r="W933" s="468"/>
      <c r="X933" s="468"/>
      <c r="Y933" s="468"/>
      <c r="Z933" s="468"/>
      <c r="AA933" s="468"/>
      <c r="AB933" s="468"/>
      <c r="AC933" s="468"/>
      <c r="AD933" s="468"/>
      <c r="AE933" s="468"/>
      <c r="AF933" s="468"/>
      <c r="AG933" s="468"/>
      <c r="AH933" s="468"/>
      <c r="AI933" s="468"/>
      <c r="AJ933" s="468"/>
    </row>
    <row r="934" spans="1:36" ht="18" customHeight="1" x14ac:dyDescent="0.35">
      <c r="A934" s="468"/>
      <c r="B934" s="468"/>
      <c r="C934" s="468"/>
      <c r="D934" s="468"/>
      <c r="E934" s="468"/>
      <c r="F934" s="468"/>
      <c r="G934" s="468"/>
      <c r="H934" s="468"/>
      <c r="I934" s="468"/>
      <c r="J934" s="468"/>
      <c r="K934" s="468"/>
      <c r="L934" s="468"/>
      <c r="M934" s="468"/>
      <c r="N934" s="468"/>
      <c r="O934" s="468"/>
      <c r="P934" s="468"/>
      <c r="Q934" s="468"/>
      <c r="R934" s="468"/>
      <c r="S934" s="468"/>
      <c r="T934" s="468"/>
      <c r="U934" s="468"/>
      <c r="V934" s="468"/>
      <c r="W934" s="468"/>
      <c r="X934" s="468"/>
      <c r="Y934" s="468"/>
      <c r="Z934" s="468"/>
      <c r="AA934" s="468"/>
      <c r="AB934" s="468"/>
      <c r="AC934" s="468"/>
      <c r="AD934" s="468"/>
      <c r="AE934" s="468"/>
      <c r="AF934" s="468"/>
      <c r="AG934" s="468"/>
      <c r="AH934" s="468"/>
      <c r="AI934" s="468"/>
      <c r="AJ934" s="468"/>
    </row>
    <row r="935" spans="1:36" ht="18" customHeight="1" x14ac:dyDescent="0.35">
      <c r="A935" s="468"/>
      <c r="B935" s="468"/>
      <c r="C935" s="468"/>
      <c r="D935" s="468"/>
      <c r="E935" s="468"/>
      <c r="F935" s="468"/>
      <c r="G935" s="468"/>
      <c r="H935" s="468"/>
      <c r="I935" s="468"/>
      <c r="J935" s="468"/>
      <c r="K935" s="468"/>
      <c r="L935" s="468"/>
      <c r="M935" s="468"/>
      <c r="N935" s="468"/>
      <c r="O935" s="468"/>
      <c r="P935" s="468"/>
      <c r="Q935" s="468"/>
      <c r="R935" s="468"/>
      <c r="S935" s="468"/>
      <c r="T935" s="468"/>
      <c r="U935" s="468"/>
      <c r="V935" s="468"/>
      <c r="W935" s="468"/>
      <c r="X935" s="468"/>
      <c r="Y935" s="468"/>
      <c r="Z935" s="468"/>
      <c r="AA935" s="468"/>
      <c r="AB935" s="468"/>
      <c r="AC935" s="468"/>
      <c r="AD935" s="468"/>
      <c r="AE935" s="468"/>
      <c r="AF935" s="468"/>
      <c r="AG935" s="468"/>
      <c r="AH935" s="468"/>
      <c r="AI935" s="468"/>
      <c r="AJ935" s="468"/>
    </row>
    <row r="936" spans="1:36" ht="18" customHeight="1" x14ac:dyDescent="0.35">
      <c r="A936" s="468"/>
      <c r="B936" s="468"/>
      <c r="C936" s="468"/>
      <c r="D936" s="468"/>
      <c r="E936" s="468"/>
      <c r="F936" s="468"/>
      <c r="G936" s="468"/>
      <c r="H936" s="468"/>
      <c r="I936" s="468"/>
      <c r="J936" s="468"/>
      <c r="K936" s="468"/>
      <c r="L936" s="468"/>
      <c r="M936" s="468"/>
      <c r="N936" s="468"/>
      <c r="O936" s="468"/>
      <c r="P936" s="468"/>
      <c r="Q936" s="468"/>
      <c r="R936" s="468"/>
      <c r="S936" s="468"/>
      <c r="T936" s="468"/>
      <c r="U936" s="468"/>
      <c r="V936" s="468"/>
      <c r="W936" s="468"/>
      <c r="X936" s="468"/>
      <c r="Y936" s="468"/>
      <c r="Z936" s="468"/>
      <c r="AA936" s="468"/>
      <c r="AB936" s="468"/>
      <c r="AC936" s="468"/>
      <c r="AD936" s="468"/>
      <c r="AE936" s="468"/>
      <c r="AF936" s="468"/>
      <c r="AG936" s="468"/>
      <c r="AH936" s="468"/>
      <c r="AI936" s="468"/>
      <c r="AJ936" s="468"/>
    </row>
    <row r="937" spans="1:36" ht="18" customHeight="1" x14ac:dyDescent="0.35">
      <c r="A937" s="468"/>
      <c r="B937" s="468"/>
      <c r="C937" s="468"/>
      <c r="D937" s="468"/>
      <c r="E937" s="468"/>
      <c r="F937" s="468"/>
      <c r="G937" s="468"/>
      <c r="H937" s="468"/>
      <c r="I937" s="468"/>
      <c r="J937" s="468"/>
      <c r="K937" s="468"/>
      <c r="L937" s="468"/>
      <c r="M937" s="468"/>
      <c r="N937" s="468"/>
      <c r="O937" s="468"/>
      <c r="P937" s="468"/>
      <c r="Q937" s="468"/>
      <c r="R937" s="468"/>
      <c r="S937" s="468"/>
      <c r="T937" s="468"/>
      <c r="U937" s="468"/>
      <c r="V937" s="468"/>
      <c r="W937" s="468"/>
      <c r="X937" s="468"/>
      <c r="Y937" s="468"/>
      <c r="Z937" s="468"/>
      <c r="AA937" s="468"/>
      <c r="AB937" s="468"/>
      <c r="AC937" s="468"/>
      <c r="AD937" s="468"/>
      <c r="AE937" s="468"/>
      <c r="AF937" s="468"/>
      <c r="AG937" s="468"/>
      <c r="AH937" s="468"/>
      <c r="AI937" s="468"/>
      <c r="AJ937" s="468"/>
    </row>
    <row r="938" spans="1:36" ht="18" customHeight="1" x14ac:dyDescent="0.35">
      <c r="A938" s="468"/>
      <c r="B938" s="468"/>
      <c r="C938" s="468"/>
      <c r="D938" s="468"/>
      <c r="E938" s="468"/>
      <c r="F938" s="468"/>
      <c r="G938" s="468"/>
      <c r="H938" s="468"/>
      <c r="I938" s="468"/>
      <c r="J938" s="468"/>
      <c r="K938" s="468"/>
      <c r="L938" s="468"/>
      <c r="M938" s="468"/>
      <c r="N938" s="468"/>
      <c r="O938" s="468"/>
      <c r="P938" s="468"/>
      <c r="Q938" s="468"/>
      <c r="R938" s="468"/>
      <c r="S938" s="468"/>
      <c r="T938" s="468"/>
      <c r="U938" s="468"/>
      <c r="V938" s="468"/>
      <c r="W938" s="468"/>
      <c r="X938" s="468"/>
      <c r="Y938" s="468"/>
      <c r="Z938" s="468"/>
      <c r="AA938" s="468"/>
      <c r="AB938" s="468"/>
      <c r="AC938" s="468"/>
      <c r="AD938" s="468"/>
      <c r="AE938" s="468"/>
      <c r="AF938" s="468"/>
      <c r="AG938" s="468"/>
      <c r="AH938" s="468"/>
      <c r="AI938" s="468"/>
      <c r="AJ938" s="468"/>
    </row>
    <row r="939" spans="1:36" ht="18" customHeight="1" x14ac:dyDescent="0.35">
      <c r="A939" s="468"/>
      <c r="B939" s="468"/>
      <c r="C939" s="468"/>
      <c r="D939" s="468"/>
      <c r="E939" s="468"/>
      <c r="F939" s="468"/>
      <c r="G939" s="468"/>
      <c r="H939" s="468"/>
      <c r="I939" s="468"/>
      <c r="J939" s="468"/>
      <c r="K939" s="468"/>
      <c r="L939" s="468"/>
      <c r="M939" s="468"/>
      <c r="N939" s="468"/>
      <c r="O939" s="468"/>
      <c r="P939" s="468"/>
      <c r="Q939" s="468"/>
      <c r="R939" s="468"/>
      <c r="S939" s="468"/>
      <c r="T939" s="468"/>
      <c r="U939" s="468"/>
      <c r="V939" s="468"/>
      <c r="W939" s="468"/>
      <c r="X939" s="468"/>
      <c r="Y939" s="468"/>
      <c r="Z939" s="468"/>
      <c r="AA939" s="468"/>
      <c r="AB939" s="468"/>
      <c r="AC939" s="468"/>
      <c r="AD939" s="468"/>
      <c r="AE939" s="468"/>
      <c r="AF939" s="468"/>
      <c r="AG939" s="468"/>
      <c r="AH939" s="468"/>
      <c r="AI939" s="468"/>
      <c r="AJ939" s="468"/>
    </row>
    <row r="940" spans="1:36" ht="18" customHeight="1" x14ac:dyDescent="0.35">
      <c r="A940" s="468"/>
      <c r="B940" s="468"/>
      <c r="C940" s="468"/>
      <c r="D940" s="468"/>
      <c r="E940" s="468"/>
      <c r="F940" s="468"/>
      <c r="G940" s="468"/>
      <c r="H940" s="468"/>
      <c r="I940" s="468"/>
      <c r="J940" s="468"/>
      <c r="K940" s="468"/>
      <c r="L940" s="468"/>
      <c r="M940" s="468"/>
      <c r="N940" s="468"/>
      <c r="O940" s="468"/>
      <c r="P940" s="468"/>
      <c r="Q940" s="468"/>
      <c r="R940" s="468"/>
      <c r="S940" s="468"/>
      <c r="T940" s="468"/>
      <c r="U940" s="468"/>
      <c r="V940" s="468"/>
      <c r="W940" s="468"/>
      <c r="X940" s="468"/>
      <c r="Y940" s="468"/>
      <c r="Z940" s="468"/>
      <c r="AA940" s="468"/>
      <c r="AB940" s="468"/>
      <c r="AC940" s="468"/>
      <c r="AD940" s="468"/>
      <c r="AE940" s="468"/>
      <c r="AF940" s="468"/>
      <c r="AG940" s="468"/>
      <c r="AH940" s="468"/>
      <c r="AI940" s="468"/>
      <c r="AJ940" s="468"/>
    </row>
    <row r="941" spans="1:36" ht="18" customHeight="1" x14ac:dyDescent="0.35">
      <c r="A941" s="468"/>
      <c r="B941" s="468"/>
      <c r="C941" s="468"/>
      <c r="D941" s="468"/>
      <c r="E941" s="468"/>
      <c r="F941" s="468"/>
      <c r="G941" s="468"/>
      <c r="H941" s="468"/>
      <c r="I941" s="468"/>
      <c r="J941" s="468"/>
      <c r="K941" s="468"/>
      <c r="L941" s="468"/>
      <c r="M941" s="468"/>
      <c r="N941" s="468"/>
      <c r="O941" s="468"/>
      <c r="P941" s="468"/>
      <c r="Q941" s="468"/>
      <c r="R941" s="468"/>
      <c r="S941" s="468"/>
      <c r="T941" s="468"/>
      <c r="U941" s="468"/>
      <c r="V941" s="468"/>
      <c r="W941" s="468"/>
      <c r="X941" s="468"/>
      <c r="Y941" s="468"/>
      <c r="Z941" s="468"/>
      <c r="AA941" s="468"/>
      <c r="AB941" s="468"/>
      <c r="AC941" s="468"/>
      <c r="AD941" s="468"/>
      <c r="AE941" s="468"/>
      <c r="AF941" s="468"/>
      <c r="AG941" s="468"/>
      <c r="AH941" s="468"/>
      <c r="AI941" s="468"/>
      <c r="AJ941" s="468"/>
    </row>
    <row r="942" spans="1:36" ht="18" customHeight="1" x14ac:dyDescent="0.35">
      <c r="A942" s="468"/>
      <c r="B942" s="468"/>
      <c r="C942" s="468"/>
      <c r="D942" s="468"/>
      <c r="E942" s="468"/>
      <c r="F942" s="468"/>
      <c r="G942" s="468"/>
      <c r="H942" s="468"/>
      <c r="I942" s="468"/>
      <c r="J942" s="468"/>
      <c r="K942" s="468"/>
      <c r="L942" s="468"/>
      <c r="M942" s="468"/>
      <c r="N942" s="468"/>
      <c r="O942" s="468"/>
      <c r="P942" s="468"/>
      <c r="Q942" s="468"/>
      <c r="R942" s="468"/>
      <c r="S942" s="468"/>
      <c r="T942" s="468"/>
      <c r="U942" s="468"/>
      <c r="V942" s="468"/>
      <c r="W942" s="468"/>
      <c r="X942" s="468"/>
      <c r="Y942" s="468"/>
      <c r="Z942" s="468"/>
      <c r="AA942" s="468"/>
      <c r="AB942" s="468"/>
      <c r="AC942" s="468"/>
      <c r="AD942" s="468"/>
      <c r="AE942" s="468"/>
      <c r="AF942" s="468"/>
      <c r="AG942" s="468"/>
      <c r="AH942" s="468"/>
      <c r="AI942" s="468"/>
      <c r="AJ942" s="468"/>
    </row>
    <row r="943" spans="1:36" ht="18" customHeight="1" x14ac:dyDescent="0.35">
      <c r="A943" s="468"/>
      <c r="B943" s="468"/>
      <c r="C943" s="468"/>
      <c r="D943" s="468"/>
      <c r="E943" s="468"/>
      <c r="F943" s="468"/>
      <c r="G943" s="468"/>
      <c r="H943" s="468"/>
      <c r="I943" s="468"/>
      <c r="J943" s="468"/>
      <c r="K943" s="468"/>
      <c r="L943" s="468"/>
      <c r="M943" s="468"/>
      <c r="N943" s="468"/>
      <c r="O943" s="468"/>
      <c r="P943" s="468"/>
      <c r="Q943" s="468"/>
      <c r="R943" s="468"/>
      <c r="S943" s="468"/>
      <c r="T943" s="468"/>
      <c r="U943" s="468"/>
      <c r="V943" s="468"/>
      <c r="W943" s="468"/>
      <c r="X943" s="468"/>
      <c r="Y943" s="468"/>
      <c r="Z943" s="468"/>
      <c r="AA943" s="468"/>
      <c r="AB943" s="468"/>
      <c r="AC943" s="468"/>
      <c r="AD943" s="468"/>
      <c r="AE943" s="468"/>
      <c r="AF943" s="468"/>
      <c r="AG943" s="468"/>
      <c r="AH943" s="468"/>
      <c r="AI943" s="468"/>
      <c r="AJ943" s="468"/>
    </row>
    <row r="944" spans="1:36" ht="18" customHeight="1" x14ac:dyDescent="0.35">
      <c r="A944" s="468"/>
      <c r="B944" s="468"/>
      <c r="C944" s="468"/>
      <c r="D944" s="468"/>
      <c r="E944" s="468"/>
      <c r="F944" s="468"/>
      <c r="G944" s="468"/>
      <c r="H944" s="468"/>
      <c r="I944" s="468"/>
      <c r="J944" s="468"/>
      <c r="K944" s="468"/>
      <c r="L944" s="468"/>
      <c r="M944" s="468"/>
      <c r="N944" s="468"/>
      <c r="O944" s="468"/>
      <c r="P944" s="468"/>
      <c r="Q944" s="468"/>
      <c r="R944" s="468"/>
      <c r="S944" s="468"/>
      <c r="T944" s="468"/>
      <c r="U944" s="468"/>
      <c r="V944" s="468"/>
      <c r="W944" s="468"/>
      <c r="X944" s="468"/>
      <c r="Y944" s="468"/>
      <c r="Z944" s="468"/>
      <c r="AA944" s="468"/>
      <c r="AB944" s="468"/>
      <c r="AC944" s="468"/>
      <c r="AD944" s="468"/>
      <c r="AE944" s="468"/>
      <c r="AF944" s="468"/>
      <c r="AG944" s="468"/>
      <c r="AH944" s="468"/>
      <c r="AI944" s="468"/>
      <c r="AJ944" s="468"/>
    </row>
    <row r="945" spans="1:36" ht="18" customHeight="1" x14ac:dyDescent="0.35">
      <c r="A945" s="468"/>
      <c r="B945" s="468"/>
      <c r="C945" s="468"/>
      <c r="D945" s="468"/>
      <c r="E945" s="468"/>
      <c r="F945" s="468"/>
      <c r="G945" s="468"/>
      <c r="H945" s="468"/>
      <c r="I945" s="468"/>
      <c r="J945" s="468"/>
      <c r="K945" s="468"/>
      <c r="L945" s="468"/>
      <c r="M945" s="468"/>
      <c r="N945" s="468"/>
      <c r="O945" s="468"/>
      <c r="P945" s="468"/>
      <c r="Q945" s="468"/>
      <c r="R945" s="468"/>
      <c r="S945" s="468"/>
      <c r="T945" s="468"/>
      <c r="U945" s="468"/>
      <c r="V945" s="468"/>
      <c r="W945" s="468"/>
      <c r="X945" s="468"/>
      <c r="Y945" s="468"/>
      <c r="Z945" s="468"/>
      <c r="AA945" s="468"/>
      <c r="AB945" s="468"/>
      <c r="AC945" s="468"/>
      <c r="AD945" s="468"/>
      <c r="AE945" s="468"/>
      <c r="AF945" s="468"/>
      <c r="AG945" s="468"/>
      <c r="AH945" s="468"/>
      <c r="AI945" s="468"/>
      <c r="AJ945" s="468"/>
    </row>
    <row r="946" spans="1:36" ht="18" customHeight="1" x14ac:dyDescent="0.35">
      <c r="A946" s="468"/>
      <c r="B946" s="468"/>
      <c r="C946" s="468"/>
      <c r="D946" s="468"/>
      <c r="E946" s="468"/>
      <c r="F946" s="468"/>
      <c r="G946" s="468"/>
      <c r="H946" s="468"/>
      <c r="I946" s="468"/>
      <c r="J946" s="468"/>
      <c r="K946" s="468"/>
      <c r="L946" s="468"/>
      <c r="M946" s="468"/>
      <c r="N946" s="468"/>
      <c r="O946" s="468"/>
      <c r="P946" s="468"/>
      <c r="Q946" s="468"/>
      <c r="R946" s="468"/>
      <c r="S946" s="468"/>
      <c r="T946" s="468"/>
      <c r="U946" s="468"/>
      <c r="V946" s="468"/>
      <c r="W946" s="468"/>
      <c r="X946" s="468"/>
      <c r="Y946" s="468"/>
      <c r="Z946" s="468"/>
      <c r="AA946" s="468"/>
      <c r="AB946" s="468"/>
      <c r="AC946" s="468"/>
      <c r="AD946" s="468"/>
      <c r="AE946" s="468"/>
      <c r="AF946" s="468"/>
      <c r="AG946" s="468"/>
      <c r="AH946" s="468"/>
      <c r="AI946" s="468"/>
      <c r="AJ946" s="468"/>
    </row>
    <row r="947" spans="1:36" ht="18" customHeight="1" x14ac:dyDescent="0.35">
      <c r="A947" s="468"/>
      <c r="B947" s="468"/>
      <c r="C947" s="468"/>
      <c r="D947" s="468"/>
      <c r="E947" s="468"/>
      <c r="F947" s="468"/>
      <c r="G947" s="468"/>
      <c r="H947" s="468"/>
      <c r="I947" s="468"/>
      <c r="J947" s="468"/>
      <c r="K947" s="468"/>
      <c r="L947" s="468"/>
      <c r="M947" s="468"/>
      <c r="N947" s="468"/>
      <c r="O947" s="468"/>
      <c r="P947" s="468"/>
      <c r="Q947" s="468"/>
      <c r="R947" s="468"/>
      <c r="S947" s="468"/>
      <c r="T947" s="468"/>
      <c r="U947" s="468"/>
      <c r="V947" s="468"/>
      <c r="W947" s="468"/>
      <c r="X947" s="468"/>
      <c r="Y947" s="468"/>
      <c r="Z947" s="468"/>
      <c r="AA947" s="468"/>
      <c r="AB947" s="468"/>
      <c r="AC947" s="468"/>
      <c r="AD947" s="468"/>
      <c r="AE947" s="468"/>
      <c r="AF947" s="468"/>
      <c r="AG947" s="468"/>
      <c r="AH947" s="468"/>
      <c r="AI947" s="468"/>
      <c r="AJ947" s="468"/>
    </row>
    <row r="948" spans="1:36" ht="18" customHeight="1" x14ac:dyDescent="0.35">
      <c r="A948" s="468"/>
      <c r="B948" s="468"/>
      <c r="C948" s="468"/>
      <c r="D948" s="468"/>
      <c r="E948" s="468"/>
      <c r="F948" s="468"/>
      <c r="G948" s="468"/>
      <c r="H948" s="468"/>
      <c r="I948" s="468"/>
      <c r="J948" s="468"/>
      <c r="K948" s="468"/>
      <c r="L948" s="468"/>
      <c r="M948" s="468"/>
      <c r="N948" s="468"/>
      <c r="O948" s="468"/>
      <c r="P948" s="468"/>
      <c r="Q948" s="468"/>
      <c r="R948" s="468"/>
      <c r="S948" s="468"/>
      <c r="T948" s="468"/>
      <c r="U948" s="468"/>
      <c r="V948" s="468"/>
      <c r="W948" s="468"/>
      <c r="X948" s="468"/>
      <c r="Y948" s="468"/>
      <c r="Z948" s="468"/>
      <c r="AA948" s="468"/>
      <c r="AB948" s="468"/>
      <c r="AC948" s="468"/>
      <c r="AD948" s="468"/>
      <c r="AE948" s="468"/>
      <c r="AF948" s="468"/>
      <c r="AG948" s="468"/>
      <c r="AH948" s="468"/>
      <c r="AI948" s="468"/>
      <c r="AJ948" s="468"/>
    </row>
    <row r="949" spans="1:36" ht="18" customHeight="1" x14ac:dyDescent="0.35">
      <c r="A949" s="468"/>
      <c r="B949" s="468"/>
      <c r="C949" s="468"/>
      <c r="D949" s="468"/>
      <c r="E949" s="468"/>
      <c r="F949" s="468"/>
      <c r="G949" s="468"/>
      <c r="H949" s="468"/>
      <c r="I949" s="468"/>
      <c r="J949" s="468"/>
      <c r="K949" s="468"/>
      <c r="L949" s="468"/>
      <c r="M949" s="468"/>
      <c r="N949" s="468"/>
      <c r="O949" s="468"/>
      <c r="P949" s="468"/>
      <c r="Q949" s="468"/>
      <c r="R949" s="468"/>
      <c r="S949" s="468"/>
      <c r="T949" s="468"/>
      <c r="U949" s="468"/>
      <c r="V949" s="468"/>
      <c r="W949" s="468"/>
      <c r="X949" s="468"/>
      <c r="Y949" s="468"/>
      <c r="Z949" s="468"/>
      <c r="AA949" s="468"/>
      <c r="AB949" s="468"/>
      <c r="AC949" s="468"/>
      <c r="AD949" s="468"/>
      <c r="AE949" s="468"/>
      <c r="AF949" s="468"/>
      <c r="AG949" s="468"/>
      <c r="AH949" s="468"/>
      <c r="AI949" s="468"/>
      <c r="AJ949" s="468"/>
    </row>
    <row r="950" spans="1:36" ht="18" customHeight="1" x14ac:dyDescent="0.35">
      <c r="A950" s="468"/>
      <c r="B950" s="468"/>
      <c r="C950" s="468"/>
      <c r="D950" s="468"/>
      <c r="E950" s="468"/>
      <c r="F950" s="468"/>
      <c r="G950" s="468"/>
      <c r="H950" s="468"/>
      <c r="I950" s="468"/>
      <c r="J950" s="468"/>
      <c r="K950" s="468"/>
      <c r="L950" s="468"/>
      <c r="M950" s="468"/>
      <c r="N950" s="468"/>
      <c r="O950" s="468"/>
      <c r="P950" s="468"/>
      <c r="Q950" s="468"/>
      <c r="R950" s="468"/>
      <c r="S950" s="468"/>
      <c r="T950" s="468"/>
      <c r="U950" s="468"/>
      <c r="V950" s="468"/>
      <c r="W950" s="468"/>
      <c r="X950" s="468"/>
      <c r="Y950" s="468"/>
      <c r="Z950" s="468"/>
      <c r="AA950" s="468"/>
      <c r="AB950" s="468"/>
      <c r="AC950" s="468"/>
      <c r="AD950" s="468"/>
      <c r="AE950" s="468"/>
      <c r="AF950" s="468"/>
      <c r="AG950" s="468"/>
      <c r="AH950" s="468"/>
      <c r="AI950" s="468"/>
      <c r="AJ950" s="468"/>
    </row>
    <row r="951" spans="1:36" ht="18" customHeight="1" x14ac:dyDescent="0.35">
      <c r="A951" s="468"/>
      <c r="B951" s="468"/>
      <c r="C951" s="468"/>
      <c r="D951" s="468"/>
      <c r="E951" s="468"/>
      <c r="F951" s="468"/>
      <c r="G951" s="468"/>
      <c r="H951" s="468"/>
      <c r="I951" s="468"/>
      <c r="J951" s="468"/>
      <c r="K951" s="468"/>
      <c r="L951" s="468"/>
      <c r="M951" s="468"/>
      <c r="N951" s="468"/>
      <c r="O951" s="468"/>
      <c r="P951" s="468"/>
      <c r="Q951" s="468"/>
      <c r="R951" s="468"/>
      <c r="S951" s="468"/>
      <c r="T951" s="468"/>
      <c r="U951" s="468"/>
      <c r="V951" s="468"/>
      <c r="W951" s="468"/>
      <c r="X951" s="468"/>
      <c r="Y951" s="468"/>
      <c r="Z951" s="468"/>
      <c r="AA951" s="468"/>
      <c r="AB951" s="468"/>
      <c r="AC951" s="468"/>
      <c r="AD951" s="468"/>
      <c r="AE951" s="468"/>
      <c r="AF951" s="468"/>
      <c r="AG951" s="468"/>
      <c r="AH951" s="468"/>
      <c r="AI951" s="468"/>
      <c r="AJ951" s="468"/>
    </row>
    <row r="952" spans="1:36" ht="18" customHeight="1" x14ac:dyDescent="0.35">
      <c r="A952" s="468"/>
      <c r="B952" s="468"/>
      <c r="C952" s="468"/>
      <c r="D952" s="468"/>
      <c r="E952" s="468"/>
      <c r="F952" s="468"/>
      <c r="G952" s="468"/>
      <c r="H952" s="468"/>
      <c r="I952" s="468"/>
      <c r="J952" s="468"/>
      <c r="K952" s="468"/>
      <c r="L952" s="468"/>
      <c r="M952" s="468"/>
      <c r="N952" s="468"/>
      <c r="O952" s="468"/>
      <c r="P952" s="468"/>
      <c r="Q952" s="468"/>
      <c r="R952" s="468"/>
      <c r="S952" s="468"/>
      <c r="T952" s="468"/>
      <c r="U952" s="468"/>
      <c r="V952" s="468"/>
      <c r="W952" s="468"/>
      <c r="X952" s="468"/>
      <c r="Y952" s="468"/>
      <c r="Z952" s="468"/>
      <c r="AA952" s="468"/>
      <c r="AB952" s="468"/>
      <c r="AC952" s="468"/>
      <c r="AD952" s="468"/>
      <c r="AE952" s="468"/>
      <c r="AF952" s="468"/>
      <c r="AG952" s="468"/>
      <c r="AH952" s="468"/>
      <c r="AI952" s="468"/>
      <c r="AJ952" s="468"/>
    </row>
    <row r="953" spans="1:36" ht="18" customHeight="1" x14ac:dyDescent="0.35">
      <c r="A953" s="468"/>
      <c r="B953" s="468"/>
      <c r="C953" s="468"/>
      <c r="D953" s="468"/>
      <c r="E953" s="468"/>
      <c r="F953" s="468"/>
      <c r="G953" s="468"/>
      <c r="H953" s="468"/>
      <c r="I953" s="468"/>
      <c r="J953" s="468"/>
      <c r="K953" s="468"/>
      <c r="L953" s="468"/>
      <c r="M953" s="468"/>
      <c r="N953" s="468"/>
      <c r="O953" s="468"/>
      <c r="P953" s="468"/>
      <c r="Q953" s="468"/>
      <c r="R953" s="468"/>
      <c r="S953" s="468"/>
      <c r="T953" s="468"/>
      <c r="U953" s="468"/>
      <c r="V953" s="468"/>
      <c r="W953" s="468"/>
      <c r="X953" s="468"/>
      <c r="Y953" s="468"/>
      <c r="Z953" s="468"/>
      <c r="AA953" s="468"/>
      <c r="AB953" s="468"/>
      <c r="AC953" s="468"/>
      <c r="AD953" s="468"/>
      <c r="AE953" s="468"/>
      <c r="AF953" s="468"/>
      <c r="AG953" s="468"/>
      <c r="AH953" s="468"/>
      <c r="AI953" s="468"/>
      <c r="AJ953" s="468"/>
    </row>
    <row r="954" spans="1:36" ht="18" customHeight="1" x14ac:dyDescent="0.35">
      <c r="A954" s="468"/>
      <c r="B954" s="468"/>
      <c r="C954" s="468"/>
      <c r="D954" s="468"/>
      <c r="E954" s="468"/>
      <c r="F954" s="468"/>
      <c r="G954" s="468"/>
      <c r="H954" s="468"/>
      <c r="I954" s="468"/>
      <c r="J954" s="468"/>
      <c r="K954" s="468"/>
      <c r="L954" s="468"/>
      <c r="M954" s="468"/>
      <c r="N954" s="468"/>
      <c r="O954" s="468"/>
      <c r="P954" s="468"/>
      <c r="Q954" s="468"/>
      <c r="R954" s="468"/>
      <c r="S954" s="468"/>
      <c r="T954" s="468"/>
      <c r="U954" s="468"/>
      <c r="V954" s="468"/>
      <c r="W954" s="468"/>
      <c r="X954" s="468"/>
      <c r="Y954" s="468"/>
      <c r="Z954" s="468"/>
      <c r="AA954" s="468"/>
      <c r="AB954" s="468"/>
      <c r="AC954" s="468"/>
      <c r="AD954" s="468"/>
      <c r="AE954" s="468"/>
      <c r="AF954" s="468"/>
      <c r="AG954" s="468"/>
      <c r="AH954" s="468"/>
      <c r="AI954" s="468"/>
      <c r="AJ954" s="468"/>
    </row>
    <row r="955" spans="1:36" ht="18" customHeight="1" x14ac:dyDescent="0.35">
      <c r="A955" s="468"/>
      <c r="B955" s="468"/>
      <c r="C955" s="468"/>
      <c r="D955" s="468"/>
      <c r="E955" s="468"/>
      <c r="F955" s="468"/>
      <c r="G955" s="468"/>
      <c r="H955" s="468"/>
      <c r="I955" s="468"/>
      <c r="J955" s="468"/>
      <c r="K955" s="468"/>
      <c r="L955" s="468"/>
      <c r="M955" s="468"/>
      <c r="N955" s="468"/>
      <c r="O955" s="468"/>
      <c r="P955" s="468"/>
      <c r="Q955" s="468"/>
      <c r="R955" s="468"/>
      <c r="S955" s="468"/>
      <c r="T955" s="468"/>
      <c r="U955" s="468"/>
      <c r="V955" s="468"/>
      <c r="W955" s="468"/>
      <c r="X955" s="468"/>
      <c r="Y955" s="468"/>
      <c r="Z955" s="468"/>
      <c r="AA955" s="468"/>
      <c r="AB955" s="468"/>
      <c r="AC955" s="468"/>
      <c r="AD955" s="468"/>
      <c r="AE955" s="468"/>
      <c r="AF955" s="468"/>
      <c r="AG955" s="468"/>
      <c r="AH955" s="468"/>
      <c r="AI955" s="468"/>
      <c r="AJ955" s="468"/>
    </row>
    <row r="956" spans="1:36" ht="18" customHeight="1" x14ac:dyDescent="0.35">
      <c r="A956" s="468"/>
      <c r="B956" s="468"/>
      <c r="C956" s="468"/>
      <c r="D956" s="468"/>
      <c r="E956" s="468"/>
      <c r="F956" s="468"/>
      <c r="G956" s="468"/>
      <c r="H956" s="468"/>
      <c r="I956" s="468"/>
      <c r="J956" s="468"/>
      <c r="K956" s="468"/>
      <c r="L956" s="468"/>
      <c r="M956" s="468"/>
      <c r="N956" s="468"/>
      <c r="O956" s="468"/>
      <c r="P956" s="468"/>
      <c r="Q956" s="468"/>
      <c r="R956" s="468"/>
      <c r="S956" s="468"/>
      <c r="T956" s="468"/>
      <c r="U956" s="468"/>
      <c r="V956" s="468"/>
      <c r="W956" s="468"/>
      <c r="X956" s="468"/>
      <c r="Y956" s="468"/>
      <c r="Z956" s="468"/>
      <c r="AA956" s="468"/>
      <c r="AB956" s="468"/>
      <c r="AC956" s="468"/>
      <c r="AD956" s="468"/>
      <c r="AE956" s="468"/>
      <c r="AF956" s="468"/>
      <c r="AG956" s="468"/>
      <c r="AH956" s="468"/>
      <c r="AI956" s="468"/>
      <c r="AJ956" s="468"/>
    </row>
    <row r="957" spans="1:36" ht="18" customHeight="1" x14ac:dyDescent="0.35">
      <c r="A957" s="468"/>
      <c r="B957" s="468"/>
      <c r="C957" s="468"/>
      <c r="D957" s="468"/>
      <c r="E957" s="468"/>
      <c r="F957" s="468"/>
      <c r="G957" s="468"/>
      <c r="H957" s="468"/>
      <c r="I957" s="468"/>
      <c r="J957" s="468"/>
      <c r="K957" s="468"/>
      <c r="L957" s="468"/>
      <c r="M957" s="468"/>
      <c r="N957" s="468"/>
      <c r="O957" s="468"/>
      <c r="P957" s="468"/>
      <c r="Q957" s="468"/>
      <c r="R957" s="468"/>
      <c r="S957" s="468"/>
      <c r="T957" s="468"/>
      <c r="U957" s="468"/>
      <c r="V957" s="468"/>
      <c r="W957" s="468"/>
      <c r="X957" s="468"/>
      <c r="Y957" s="468"/>
      <c r="Z957" s="468"/>
      <c r="AA957" s="468"/>
      <c r="AB957" s="468"/>
      <c r="AC957" s="468"/>
      <c r="AD957" s="468"/>
      <c r="AE957" s="468"/>
      <c r="AF957" s="468"/>
      <c r="AG957" s="468"/>
      <c r="AH957" s="468"/>
      <c r="AI957" s="468"/>
      <c r="AJ957" s="468"/>
    </row>
    <row r="958" spans="1:36" ht="18" customHeight="1" x14ac:dyDescent="0.35">
      <c r="A958" s="468"/>
      <c r="B958" s="468"/>
      <c r="C958" s="468"/>
      <c r="D958" s="468"/>
      <c r="E958" s="468"/>
      <c r="F958" s="468"/>
      <c r="G958" s="468"/>
      <c r="H958" s="468"/>
      <c r="I958" s="468"/>
      <c r="J958" s="468"/>
      <c r="K958" s="468"/>
      <c r="L958" s="468"/>
      <c r="M958" s="468"/>
      <c r="N958" s="468"/>
      <c r="O958" s="468"/>
      <c r="P958" s="468"/>
      <c r="Q958" s="468"/>
      <c r="R958" s="468"/>
      <c r="S958" s="468"/>
      <c r="T958" s="468"/>
      <c r="U958" s="468"/>
      <c r="V958" s="468"/>
      <c r="W958" s="468"/>
      <c r="X958" s="468"/>
      <c r="Y958" s="468"/>
      <c r="Z958" s="468"/>
      <c r="AA958" s="468"/>
      <c r="AB958" s="468"/>
      <c r="AC958" s="468"/>
      <c r="AD958" s="468"/>
      <c r="AE958" s="468"/>
      <c r="AF958" s="468"/>
      <c r="AG958" s="468"/>
      <c r="AH958" s="468"/>
      <c r="AI958" s="468"/>
      <c r="AJ958" s="468"/>
    </row>
    <row r="959" spans="1:36" ht="18" customHeight="1" x14ac:dyDescent="0.35">
      <c r="A959" s="468"/>
      <c r="B959" s="468"/>
      <c r="C959" s="468"/>
      <c r="D959" s="468"/>
      <c r="E959" s="468"/>
      <c r="F959" s="468"/>
      <c r="G959" s="468"/>
      <c r="H959" s="468"/>
      <c r="I959" s="468"/>
      <c r="J959" s="468"/>
      <c r="K959" s="468"/>
      <c r="L959" s="468"/>
      <c r="M959" s="468"/>
      <c r="N959" s="468"/>
      <c r="O959" s="468"/>
      <c r="P959" s="468"/>
      <c r="Q959" s="468"/>
      <c r="R959" s="468"/>
      <c r="S959" s="468"/>
      <c r="T959" s="468"/>
      <c r="U959" s="468"/>
      <c r="V959" s="468"/>
      <c r="W959" s="468"/>
      <c r="X959" s="468"/>
      <c r="Y959" s="468"/>
      <c r="Z959" s="468"/>
      <c r="AA959" s="468"/>
      <c r="AB959" s="468"/>
      <c r="AC959" s="468"/>
      <c r="AD959" s="468"/>
      <c r="AE959" s="468"/>
      <c r="AF959" s="468"/>
      <c r="AG959" s="468"/>
      <c r="AH959" s="468"/>
      <c r="AI959" s="468"/>
      <c r="AJ959" s="468"/>
    </row>
    <row r="960" spans="1:36" ht="18" customHeight="1" x14ac:dyDescent="0.35">
      <c r="A960" s="468"/>
      <c r="B960" s="468"/>
      <c r="C960" s="468"/>
      <c r="D960" s="468"/>
      <c r="E960" s="468"/>
      <c r="F960" s="468"/>
      <c r="G960" s="468"/>
      <c r="H960" s="468"/>
      <c r="I960" s="468"/>
      <c r="J960" s="468"/>
      <c r="K960" s="468"/>
      <c r="L960" s="468"/>
      <c r="M960" s="468"/>
      <c r="N960" s="468"/>
      <c r="O960" s="468"/>
      <c r="P960" s="468"/>
      <c r="Q960" s="468"/>
      <c r="R960" s="468"/>
      <c r="S960" s="468"/>
      <c r="T960" s="468"/>
      <c r="U960" s="468"/>
      <c r="V960" s="468"/>
      <c r="W960" s="468"/>
      <c r="X960" s="468"/>
      <c r="Y960" s="468"/>
      <c r="Z960" s="468"/>
      <c r="AA960" s="468"/>
      <c r="AB960" s="468"/>
      <c r="AC960" s="468"/>
      <c r="AD960" s="468"/>
      <c r="AE960" s="468"/>
      <c r="AF960" s="468"/>
      <c r="AG960" s="468"/>
      <c r="AH960" s="468"/>
      <c r="AI960" s="468"/>
      <c r="AJ960" s="468"/>
    </row>
    <row r="961" spans="1:36" ht="18" customHeight="1" x14ac:dyDescent="0.35">
      <c r="A961" s="468"/>
      <c r="B961" s="468"/>
      <c r="C961" s="468"/>
      <c r="D961" s="468"/>
      <c r="E961" s="468"/>
      <c r="F961" s="468"/>
      <c r="G961" s="468"/>
      <c r="H961" s="468"/>
      <c r="I961" s="468"/>
      <c r="J961" s="468"/>
      <c r="K961" s="468"/>
      <c r="L961" s="468"/>
      <c r="M961" s="468"/>
      <c r="N961" s="468"/>
      <c r="O961" s="468"/>
      <c r="P961" s="468"/>
      <c r="Q961" s="468"/>
      <c r="R961" s="468"/>
      <c r="S961" s="468"/>
      <c r="T961" s="468"/>
      <c r="U961" s="468"/>
      <c r="V961" s="468"/>
      <c r="W961" s="468"/>
      <c r="X961" s="468"/>
      <c r="Y961" s="468"/>
      <c r="Z961" s="468"/>
      <c r="AA961" s="468"/>
      <c r="AB961" s="468"/>
      <c r="AC961" s="468"/>
      <c r="AD961" s="468"/>
      <c r="AE961" s="468"/>
      <c r="AF961" s="468"/>
      <c r="AG961" s="468"/>
      <c r="AH961" s="468"/>
      <c r="AI961" s="468"/>
      <c r="AJ961" s="468"/>
    </row>
    <row r="962" spans="1:36" ht="18" customHeight="1" x14ac:dyDescent="0.35">
      <c r="A962" s="468"/>
      <c r="B962" s="468"/>
      <c r="C962" s="468"/>
      <c r="D962" s="468"/>
      <c r="E962" s="468"/>
      <c r="F962" s="468"/>
      <c r="G962" s="468"/>
      <c r="H962" s="468"/>
      <c r="I962" s="468"/>
      <c r="J962" s="468"/>
      <c r="K962" s="468"/>
      <c r="L962" s="468"/>
      <c r="M962" s="468"/>
      <c r="N962" s="468"/>
      <c r="O962" s="468"/>
      <c r="P962" s="468"/>
      <c r="Q962" s="468"/>
      <c r="R962" s="468"/>
      <c r="S962" s="468"/>
      <c r="T962" s="468"/>
      <c r="U962" s="468"/>
      <c r="V962" s="468"/>
      <c r="W962" s="468"/>
      <c r="X962" s="468"/>
      <c r="Y962" s="468"/>
      <c r="Z962" s="468"/>
      <c r="AA962" s="468"/>
      <c r="AB962" s="468"/>
      <c r="AC962" s="468"/>
      <c r="AD962" s="468"/>
      <c r="AE962" s="468"/>
      <c r="AF962" s="468"/>
      <c r="AG962" s="468"/>
      <c r="AH962" s="468"/>
      <c r="AI962" s="468"/>
      <c r="AJ962" s="468"/>
    </row>
    <row r="963" spans="1:36" ht="18" customHeight="1" x14ac:dyDescent="0.35">
      <c r="A963" s="468"/>
      <c r="B963" s="468"/>
      <c r="C963" s="468"/>
      <c r="D963" s="468"/>
      <c r="E963" s="468"/>
      <c r="F963" s="468"/>
      <c r="G963" s="468"/>
      <c r="H963" s="468"/>
      <c r="I963" s="468"/>
      <c r="J963" s="468"/>
      <c r="K963" s="468"/>
      <c r="L963" s="468"/>
      <c r="M963" s="468"/>
      <c r="N963" s="468"/>
      <c r="O963" s="468"/>
      <c r="P963" s="468"/>
      <c r="Q963" s="468"/>
      <c r="R963" s="468"/>
      <c r="S963" s="468"/>
      <c r="T963" s="468"/>
      <c r="U963" s="468"/>
      <c r="V963" s="468"/>
      <c r="W963" s="468"/>
      <c r="X963" s="468"/>
      <c r="Y963" s="468"/>
      <c r="Z963" s="468"/>
      <c r="AA963" s="468"/>
      <c r="AB963" s="468"/>
      <c r="AC963" s="468"/>
      <c r="AD963" s="468"/>
      <c r="AE963" s="468"/>
      <c r="AF963" s="468"/>
      <c r="AG963" s="468"/>
      <c r="AH963" s="468"/>
      <c r="AI963" s="468"/>
      <c r="AJ963" s="468"/>
    </row>
    <row r="964" spans="1:36" ht="18" customHeight="1" x14ac:dyDescent="0.35">
      <c r="A964" s="468"/>
      <c r="B964" s="468"/>
      <c r="C964" s="468"/>
      <c r="D964" s="468"/>
      <c r="E964" s="468"/>
      <c r="F964" s="468"/>
      <c r="G964" s="468"/>
      <c r="H964" s="468"/>
      <c r="I964" s="468"/>
      <c r="J964" s="468"/>
      <c r="K964" s="468"/>
      <c r="L964" s="468"/>
      <c r="M964" s="468"/>
      <c r="N964" s="468"/>
      <c r="O964" s="468"/>
      <c r="P964" s="468"/>
      <c r="Q964" s="468"/>
      <c r="R964" s="468"/>
      <c r="S964" s="468"/>
      <c r="T964" s="468"/>
      <c r="U964" s="468"/>
      <c r="V964" s="468"/>
      <c r="W964" s="468"/>
      <c r="X964" s="468"/>
      <c r="Y964" s="468"/>
      <c r="Z964" s="468"/>
      <c r="AA964" s="468"/>
      <c r="AB964" s="468"/>
      <c r="AC964" s="468"/>
      <c r="AD964" s="468"/>
      <c r="AE964" s="468"/>
      <c r="AF964" s="468"/>
      <c r="AG964" s="468"/>
      <c r="AH964" s="468"/>
      <c r="AI964" s="468"/>
      <c r="AJ964" s="468"/>
    </row>
    <row r="965" spans="1:36" ht="18" customHeight="1" x14ac:dyDescent="0.35">
      <c r="A965" s="468"/>
      <c r="B965" s="468"/>
      <c r="C965" s="468"/>
      <c r="D965" s="468"/>
      <c r="E965" s="468"/>
      <c r="F965" s="468"/>
      <c r="G965" s="468"/>
      <c r="H965" s="468"/>
      <c r="I965" s="468"/>
      <c r="J965" s="468"/>
      <c r="K965" s="468"/>
      <c r="L965" s="468"/>
      <c r="M965" s="468"/>
      <c r="N965" s="468"/>
      <c r="O965" s="468"/>
      <c r="P965" s="468"/>
      <c r="Q965" s="468"/>
      <c r="R965" s="468"/>
      <c r="S965" s="468"/>
      <c r="T965" s="468"/>
      <c r="U965" s="468"/>
      <c r="V965" s="468"/>
      <c r="W965" s="468"/>
      <c r="X965" s="468"/>
      <c r="Y965" s="468"/>
      <c r="Z965" s="468"/>
      <c r="AA965" s="468"/>
      <c r="AB965" s="468"/>
      <c r="AC965" s="468"/>
      <c r="AD965" s="468"/>
      <c r="AE965" s="468"/>
      <c r="AF965" s="468"/>
      <c r="AG965" s="468"/>
      <c r="AH965" s="468"/>
      <c r="AI965" s="468"/>
      <c r="AJ965" s="468"/>
    </row>
    <row r="966" spans="1:36" ht="18" customHeight="1" x14ac:dyDescent="0.35">
      <c r="A966" s="468"/>
      <c r="B966" s="468"/>
      <c r="C966" s="468"/>
      <c r="D966" s="468"/>
      <c r="E966" s="468"/>
      <c r="F966" s="468"/>
      <c r="G966" s="468"/>
      <c r="H966" s="468"/>
      <c r="I966" s="468"/>
      <c r="J966" s="468"/>
      <c r="K966" s="468"/>
      <c r="L966" s="468"/>
      <c r="M966" s="468"/>
      <c r="N966" s="468"/>
      <c r="O966" s="468"/>
      <c r="P966" s="468"/>
      <c r="Q966" s="468"/>
      <c r="R966" s="468"/>
      <c r="S966" s="468"/>
      <c r="T966" s="468"/>
      <c r="U966" s="468"/>
      <c r="V966" s="468"/>
      <c r="W966" s="468"/>
      <c r="X966" s="468"/>
      <c r="Y966" s="468"/>
      <c r="Z966" s="468"/>
      <c r="AA966" s="468"/>
      <c r="AB966" s="468"/>
      <c r="AC966" s="468"/>
      <c r="AD966" s="468"/>
      <c r="AE966" s="468"/>
      <c r="AF966" s="468"/>
      <c r="AG966" s="468"/>
      <c r="AH966" s="468"/>
      <c r="AI966" s="468"/>
      <c r="AJ966" s="468"/>
    </row>
    <row r="967" spans="1:36" ht="18" customHeight="1" x14ac:dyDescent="0.35">
      <c r="A967" s="468"/>
      <c r="B967" s="468"/>
      <c r="C967" s="468"/>
      <c r="D967" s="468"/>
      <c r="E967" s="468"/>
      <c r="F967" s="468"/>
      <c r="G967" s="468"/>
      <c r="H967" s="468"/>
      <c r="I967" s="468"/>
      <c r="J967" s="468"/>
      <c r="K967" s="468"/>
      <c r="L967" s="468"/>
      <c r="M967" s="468"/>
      <c r="N967" s="468"/>
      <c r="O967" s="468"/>
      <c r="P967" s="468"/>
      <c r="Q967" s="468"/>
      <c r="R967" s="468"/>
      <c r="S967" s="468"/>
      <c r="T967" s="468"/>
      <c r="U967" s="468"/>
      <c r="V967" s="468"/>
      <c r="W967" s="468"/>
      <c r="X967" s="468"/>
      <c r="Y967" s="468"/>
      <c r="Z967" s="468"/>
      <c r="AA967" s="468"/>
      <c r="AB967" s="468"/>
      <c r="AC967" s="468"/>
      <c r="AD967" s="468"/>
      <c r="AE967" s="468"/>
      <c r="AF967" s="468"/>
      <c r="AG967" s="468"/>
      <c r="AH967" s="468"/>
      <c r="AI967" s="468"/>
      <c r="AJ967" s="468"/>
    </row>
    <row r="968" spans="1:36" ht="18" customHeight="1" x14ac:dyDescent="0.35">
      <c r="A968" s="468"/>
      <c r="B968" s="468"/>
      <c r="C968" s="468"/>
      <c r="D968" s="468"/>
      <c r="E968" s="468"/>
      <c r="F968" s="468"/>
      <c r="G968" s="468"/>
      <c r="H968" s="468"/>
      <c r="I968" s="468"/>
      <c r="J968" s="468"/>
      <c r="K968" s="468"/>
      <c r="L968" s="468"/>
      <c r="M968" s="468"/>
      <c r="N968" s="468"/>
      <c r="O968" s="468"/>
      <c r="P968" s="468"/>
      <c r="Q968" s="468"/>
      <c r="R968" s="468"/>
      <c r="S968" s="468"/>
      <c r="T968" s="468"/>
      <c r="U968" s="468"/>
      <c r="V968" s="468"/>
      <c r="W968" s="468"/>
      <c r="X968" s="468"/>
      <c r="Y968" s="468"/>
      <c r="Z968" s="468"/>
      <c r="AA968" s="468"/>
      <c r="AB968" s="468"/>
      <c r="AC968" s="468"/>
      <c r="AD968" s="468"/>
      <c r="AE968" s="468"/>
      <c r="AF968" s="468"/>
      <c r="AG968" s="468"/>
      <c r="AH968" s="468"/>
      <c r="AI968" s="468"/>
      <c r="AJ968" s="468"/>
    </row>
    <row r="969" spans="1:36" ht="18" customHeight="1" x14ac:dyDescent="0.35">
      <c r="A969" s="468"/>
      <c r="B969" s="468"/>
      <c r="C969" s="468"/>
      <c r="D969" s="468"/>
      <c r="E969" s="468"/>
      <c r="F969" s="468"/>
      <c r="G969" s="468"/>
      <c r="H969" s="468"/>
      <c r="I969" s="468"/>
      <c r="J969" s="468"/>
      <c r="K969" s="468"/>
      <c r="L969" s="468"/>
      <c r="M969" s="468"/>
      <c r="N969" s="468"/>
      <c r="O969" s="468"/>
      <c r="P969" s="468"/>
      <c r="Q969" s="468"/>
      <c r="R969" s="468"/>
      <c r="S969" s="468"/>
      <c r="T969" s="468"/>
      <c r="U969" s="468"/>
      <c r="V969" s="468"/>
      <c r="W969" s="468"/>
      <c r="X969" s="468"/>
      <c r="Y969" s="468"/>
      <c r="Z969" s="468"/>
      <c r="AA969" s="468"/>
      <c r="AB969" s="468"/>
      <c r="AC969" s="468"/>
      <c r="AD969" s="468"/>
      <c r="AE969" s="468"/>
      <c r="AF969" s="468"/>
      <c r="AG969" s="468"/>
      <c r="AH969" s="468"/>
      <c r="AI969" s="468"/>
      <c r="AJ969" s="468"/>
    </row>
    <row r="970" spans="1:36" ht="18" customHeight="1" x14ac:dyDescent="0.35">
      <c r="A970" s="468"/>
      <c r="B970" s="468"/>
      <c r="C970" s="468"/>
      <c r="D970" s="468"/>
      <c r="E970" s="468"/>
      <c r="F970" s="468"/>
      <c r="G970" s="468"/>
      <c r="H970" s="468"/>
      <c r="I970" s="468"/>
      <c r="J970" s="468"/>
      <c r="K970" s="468"/>
      <c r="L970" s="468"/>
      <c r="M970" s="468"/>
      <c r="N970" s="468"/>
      <c r="O970" s="468"/>
      <c r="P970" s="468"/>
      <c r="Q970" s="468"/>
      <c r="R970" s="468"/>
      <c r="S970" s="468"/>
      <c r="T970" s="468"/>
      <c r="U970" s="468"/>
      <c r="V970" s="468"/>
      <c r="W970" s="468"/>
      <c r="X970" s="468"/>
      <c r="Y970" s="468"/>
      <c r="Z970" s="468"/>
      <c r="AA970" s="468"/>
      <c r="AB970" s="468"/>
      <c r="AC970" s="468"/>
      <c r="AD970" s="468"/>
      <c r="AE970" s="468"/>
      <c r="AF970" s="468"/>
      <c r="AG970" s="468"/>
      <c r="AH970" s="468"/>
      <c r="AI970" s="468"/>
      <c r="AJ970" s="468"/>
    </row>
    <row r="971" spans="1:36" ht="18" customHeight="1" x14ac:dyDescent="0.35">
      <c r="A971" s="468"/>
      <c r="B971" s="468"/>
      <c r="C971" s="468"/>
      <c r="D971" s="468"/>
      <c r="E971" s="468"/>
      <c r="F971" s="468"/>
      <c r="G971" s="468"/>
      <c r="H971" s="468"/>
      <c r="I971" s="468"/>
      <c r="J971" s="468"/>
      <c r="K971" s="468"/>
      <c r="L971" s="468"/>
      <c r="M971" s="468"/>
      <c r="N971" s="468"/>
      <c r="O971" s="468"/>
      <c r="P971" s="468"/>
      <c r="Q971" s="468"/>
      <c r="R971" s="468"/>
      <c r="S971" s="468"/>
      <c r="T971" s="468"/>
      <c r="U971" s="468"/>
      <c r="V971" s="468"/>
      <c r="W971" s="468"/>
      <c r="X971" s="468"/>
      <c r="Y971" s="468"/>
      <c r="Z971" s="468"/>
      <c r="AA971" s="468"/>
      <c r="AB971" s="468"/>
      <c r="AC971" s="468"/>
      <c r="AD971" s="468"/>
      <c r="AE971" s="468"/>
      <c r="AF971" s="468"/>
      <c r="AG971" s="468"/>
      <c r="AH971" s="468"/>
      <c r="AI971" s="468"/>
      <c r="AJ971" s="468"/>
    </row>
    <row r="972" spans="1:36" ht="18" customHeight="1" x14ac:dyDescent="0.35">
      <c r="A972" s="468"/>
      <c r="B972" s="468"/>
      <c r="C972" s="468"/>
      <c r="D972" s="468"/>
      <c r="E972" s="468"/>
      <c r="F972" s="468"/>
      <c r="G972" s="468"/>
      <c r="H972" s="468"/>
      <c r="I972" s="468"/>
      <c r="J972" s="468"/>
      <c r="K972" s="468"/>
      <c r="L972" s="468"/>
      <c r="M972" s="468"/>
      <c r="N972" s="468"/>
      <c r="O972" s="468"/>
      <c r="P972" s="468"/>
      <c r="Q972" s="468"/>
      <c r="R972" s="468"/>
      <c r="S972" s="468"/>
      <c r="T972" s="468"/>
      <c r="U972" s="468"/>
      <c r="V972" s="468"/>
      <c r="W972" s="468"/>
      <c r="X972" s="468"/>
      <c r="Y972" s="468"/>
      <c r="Z972" s="468"/>
      <c r="AA972" s="468"/>
      <c r="AB972" s="468"/>
      <c r="AC972" s="468"/>
      <c r="AD972" s="468"/>
      <c r="AE972" s="468"/>
      <c r="AF972" s="468"/>
      <c r="AG972" s="468"/>
      <c r="AH972" s="468"/>
      <c r="AI972" s="468"/>
      <c r="AJ972" s="468"/>
    </row>
    <row r="973" spans="1:36" ht="18" customHeight="1" x14ac:dyDescent="0.35">
      <c r="A973" s="468"/>
      <c r="B973" s="468"/>
      <c r="C973" s="468"/>
      <c r="D973" s="468"/>
      <c r="E973" s="468"/>
      <c r="F973" s="468"/>
      <c r="G973" s="468"/>
      <c r="H973" s="468"/>
      <c r="I973" s="468"/>
      <c r="J973" s="468"/>
      <c r="K973" s="468"/>
      <c r="L973" s="468"/>
      <c r="M973" s="468"/>
      <c r="N973" s="468"/>
      <c r="O973" s="468"/>
      <c r="P973" s="468"/>
      <c r="Q973" s="468"/>
      <c r="R973" s="468"/>
      <c r="S973" s="468"/>
      <c r="T973" s="468"/>
      <c r="U973" s="468"/>
      <c r="V973" s="468"/>
      <c r="W973" s="468"/>
      <c r="X973" s="468"/>
      <c r="Y973" s="468"/>
      <c r="Z973" s="468"/>
      <c r="AA973" s="468"/>
      <c r="AB973" s="468"/>
      <c r="AC973" s="468"/>
      <c r="AD973" s="468"/>
      <c r="AE973" s="468"/>
      <c r="AF973" s="468"/>
      <c r="AG973" s="468"/>
      <c r="AH973" s="468"/>
      <c r="AI973" s="468"/>
      <c r="AJ973" s="468"/>
    </row>
    <row r="974" spans="1:36" ht="18" customHeight="1" x14ac:dyDescent="0.35">
      <c r="A974" s="468"/>
      <c r="B974" s="468"/>
      <c r="C974" s="468"/>
      <c r="D974" s="468"/>
      <c r="E974" s="468"/>
      <c r="F974" s="468"/>
      <c r="G974" s="468"/>
      <c r="H974" s="468"/>
      <c r="I974" s="468"/>
      <c r="J974" s="468"/>
      <c r="K974" s="468"/>
      <c r="L974" s="468"/>
      <c r="M974" s="468"/>
      <c r="N974" s="468"/>
      <c r="O974" s="468"/>
      <c r="P974" s="468"/>
      <c r="Q974" s="468"/>
      <c r="R974" s="468"/>
      <c r="S974" s="468"/>
      <c r="T974" s="468"/>
      <c r="U974" s="468"/>
      <c r="V974" s="468"/>
      <c r="W974" s="468"/>
      <c r="X974" s="468"/>
      <c r="Y974" s="468"/>
      <c r="Z974" s="468"/>
      <c r="AA974" s="468"/>
      <c r="AB974" s="468"/>
      <c r="AC974" s="468"/>
      <c r="AD974" s="468"/>
      <c r="AE974" s="468"/>
      <c r="AF974" s="468"/>
      <c r="AG974" s="468"/>
      <c r="AH974" s="468"/>
      <c r="AI974" s="468"/>
      <c r="AJ974" s="468"/>
    </row>
    <row r="975" spans="1:36" ht="18" customHeight="1" x14ac:dyDescent="0.35">
      <c r="A975" s="468"/>
      <c r="B975" s="468"/>
      <c r="C975" s="468"/>
      <c r="D975" s="468"/>
      <c r="E975" s="468"/>
      <c r="F975" s="468"/>
      <c r="G975" s="468"/>
      <c r="H975" s="468"/>
      <c r="I975" s="468"/>
      <c r="J975" s="468"/>
      <c r="K975" s="468"/>
      <c r="L975" s="468"/>
      <c r="M975" s="468"/>
      <c r="N975" s="468"/>
      <c r="O975" s="468"/>
      <c r="P975" s="468"/>
      <c r="Q975" s="468"/>
      <c r="R975" s="468"/>
      <c r="S975" s="468"/>
      <c r="T975" s="468"/>
      <c r="U975" s="468"/>
      <c r="V975" s="468"/>
      <c r="W975" s="468"/>
      <c r="X975" s="468"/>
      <c r="Y975" s="468"/>
      <c r="Z975" s="468"/>
      <c r="AA975" s="468"/>
      <c r="AB975" s="468"/>
      <c r="AC975" s="468"/>
      <c r="AD975" s="468"/>
      <c r="AE975" s="468"/>
      <c r="AF975" s="468"/>
      <c r="AG975" s="468"/>
      <c r="AH975" s="468"/>
      <c r="AI975" s="468"/>
      <c r="AJ975" s="468"/>
    </row>
    <row r="976" spans="1:36" ht="18" customHeight="1" x14ac:dyDescent="0.35">
      <c r="A976" s="468"/>
      <c r="B976" s="468"/>
      <c r="C976" s="468"/>
      <c r="D976" s="468"/>
      <c r="E976" s="468"/>
      <c r="F976" s="468"/>
      <c r="G976" s="468"/>
      <c r="H976" s="468"/>
      <c r="I976" s="468"/>
      <c r="J976" s="468"/>
      <c r="K976" s="468"/>
      <c r="L976" s="468"/>
      <c r="M976" s="468"/>
      <c r="N976" s="468"/>
      <c r="O976" s="468"/>
      <c r="P976" s="468"/>
      <c r="Q976" s="468"/>
      <c r="R976" s="468"/>
      <c r="S976" s="468"/>
      <c r="T976" s="468"/>
      <c r="U976" s="468"/>
      <c r="V976" s="468"/>
      <c r="W976" s="468"/>
      <c r="X976" s="468"/>
      <c r="Y976" s="468"/>
      <c r="Z976" s="468"/>
      <c r="AA976" s="468"/>
      <c r="AB976" s="468"/>
      <c r="AC976" s="468"/>
      <c r="AD976" s="468"/>
      <c r="AE976" s="468"/>
      <c r="AF976" s="468"/>
      <c r="AG976" s="468"/>
      <c r="AH976" s="468"/>
      <c r="AI976" s="468"/>
      <c r="AJ976" s="468"/>
    </row>
    <row r="977" spans="1:36" ht="18" customHeight="1" x14ac:dyDescent="0.35">
      <c r="A977" s="468"/>
      <c r="B977" s="468"/>
      <c r="C977" s="468"/>
      <c r="D977" s="468"/>
      <c r="E977" s="468"/>
      <c r="F977" s="468"/>
      <c r="G977" s="468"/>
      <c r="H977" s="468"/>
      <c r="I977" s="468"/>
      <c r="J977" s="468"/>
      <c r="K977" s="468"/>
      <c r="L977" s="468"/>
      <c r="M977" s="468"/>
      <c r="N977" s="468"/>
      <c r="O977" s="468"/>
      <c r="P977" s="468"/>
      <c r="Q977" s="468"/>
      <c r="R977" s="468"/>
      <c r="S977" s="468"/>
      <c r="T977" s="468"/>
      <c r="U977" s="468"/>
      <c r="V977" s="468"/>
      <c r="W977" s="468"/>
      <c r="X977" s="468"/>
      <c r="Y977" s="468"/>
      <c r="Z977" s="468"/>
      <c r="AA977" s="468"/>
      <c r="AB977" s="468"/>
      <c r="AC977" s="468"/>
      <c r="AD977" s="468"/>
      <c r="AE977" s="468"/>
      <c r="AF977" s="468"/>
      <c r="AG977" s="468"/>
      <c r="AH977" s="468"/>
      <c r="AI977" s="468"/>
      <c r="AJ977" s="468"/>
    </row>
    <row r="978" spans="1:36" ht="18" customHeight="1" x14ac:dyDescent="0.35">
      <c r="A978" s="468"/>
      <c r="B978" s="468"/>
      <c r="C978" s="468"/>
      <c r="D978" s="468"/>
      <c r="E978" s="468"/>
      <c r="F978" s="468"/>
      <c r="G978" s="468"/>
      <c r="H978" s="468"/>
      <c r="I978" s="468"/>
      <c r="J978" s="468"/>
      <c r="K978" s="468"/>
      <c r="L978" s="468"/>
      <c r="M978" s="468"/>
      <c r="N978" s="468"/>
      <c r="O978" s="468"/>
      <c r="P978" s="468"/>
      <c r="Q978" s="468"/>
      <c r="R978" s="468"/>
      <c r="S978" s="468"/>
      <c r="T978" s="468"/>
      <c r="U978" s="468"/>
      <c r="V978" s="468"/>
      <c r="W978" s="468"/>
      <c r="X978" s="468"/>
      <c r="Y978" s="468"/>
      <c r="Z978" s="468"/>
      <c r="AA978" s="468"/>
      <c r="AB978" s="468"/>
      <c r="AC978" s="468"/>
      <c r="AD978" s="468"/>
      <c r="AE978" s="468"/>
      <c r="AF978" s="468"/>
      <c r="AG978" s="468"/>
      <c r="AH978" s="468"/>
      <c r="AI978" s="468"/>
      <c r="AJ978" s="468"/>
    </row>
    <row r="979" spans="1:36" ht="18" customHeight="1" x14ac:dyDescent="0.35">
      <c r="A979" s="468"/>
      <c r="B979" s="468"/>
      <c r="C979" s="468"/>
      <c r="D979" s="468"/>
      <c r="E979" s="468"/>
      <c r="F979" s="468"/>
      <c r="G979" s="468"/>
      <c r="H979" s="468"/>
      <c r="I979" s="468"/>
      <c r="J979" s="468"/>
      <c r="K979" s="468"/>
      <c r="L979" s="468"/>
      <c r="M979" s="468"/>
      <c r="N979" s="468"/>
      <c r="O979" s="468"/>
      <c r="P979" s="468"/>
      <c r="Q979" s="468"/>
      <c r="R979" s="468"/>
      <c r="S979" s="468"/>
      <c r="T979" s="468"/>
      <c r="U979" s="468"/>
      <c r="V979" s="468"/>
      <c r="W979" s="468"/>
      <c r="X979" s="468"/>
      <c r="Y979" s="468"/>
      <c r="Z979" s="468"/>
      <c r="AA979" s="468"/>
      <c r="AB979" s="468"/>
      <c r="AC979" s="468"/>
      <c r="AD979" s="468"/>
      <c r="AE979" s="468"/>
      <c r="AF979" s="468"/>
      <c r="AG979" s="468"/>
      <c r="AH979" s="468"/>
      <c r="AI979" s="468"/>
      <c r="AJ979" s="468"/>
    </row>
    <row r="980" spans="1:36" ht="18" customHeight="1" x14ac:dyDescent="0.35">
      <c r="A980" s="468"/>
      <c r="B980" s="468"/>
      <c r="C980" s="468"/>
      <c r="D980" s="468"/>
      <c r="E980" s="468"/>
      <c r="F980" s="468"/>
      <c r="G980" s="468"/>
      <c r="H980" s="468"/>
      <c r="I980" s="468"/>
      <c r="J980" s="468"/>
      <c r="K980" s="468"/>
      <c r="L980" s="468"/>
      <c r="M980" s="468"/>
      <c r="N980" s="468"/>
      <c r="O980" s="468"/>
      <c r="P980" s="468"/>
      <c r="Q980" s="468"/>
      <c r="R980" s="468"/>
      <c r="S980" s="468"/>
      <c r="T980" s="468"/>
      <c r="U980" s="468"/>
      <c r="V980" s="468"/>
      <c r="W980" s="468"/>
      <c r="X980" s="468"/>
      <c r="Y980" s="468"/>
      <c r="Z980" s="468"/>
      <c r="AA980" s="468"/>
      <c r="AB980" s="468"/>
      <c r="AC980" s="468"/>
      <c r="AD980" s="468"/>
      <c r="AE980" s="468"/>
      <c r="AF980" s="468"/>
      <c r="AG980" s="468"/>
      <c r="AH980" s="468"/>
      <c r="AI980" s="468"/>
      <c r="AJ980" s="468"/>
    </row>
    <row r="981" spans="1:36" ht="18" customHeight="1" x14ac:dyDescent="0.35">
      <c r="A981" s="468"/>
      <c r="B981" s="468"/>
      <c r="C981" s="468"/>
      <c r="D981" s="468"/>
      <c r="E981" s="468"/>
      <c r="F981" s="468"/>
      <c r="G981" s="468"/>
      <c r="H981" s="468"/>
      <c r="I981" s="468"/>
      <c r="J981" s="468"/>
      <c r="K981" s="468"/>
      <c r="L981" s="468"/>
      <c r="M981" s="468"/>
      <c r="N981" s="468"/>
      <c r="O981" s="468"/>
      <c r="P981" s="468"/>
      <c r="Q981" s="468"/>
      <c r="R981" s="468"/>
      <c r="S981" s="468"/>
      <c r="T981" s="468"/>
      <c r="U981" s="468"/>
      <c r="V981" s="468"/>
      <c r="W981" s="468"/>
      <c r="X981" s="468"/>
      <c r="Y981" s="468"/>
      <c r="Z981" s="468"/>
      <c r="AA981" s="468"/>
      <c r="AB981" s="468"/>
      <c r="AC981" s="468"/>
      <c r="AD981" s="468"/>
      <c r="AE981" s="468"/>
      <c r="AF981" s="468"/>
      <c r="AG981" s="468"/>
      <c r="AH981" s="468"/>
      <c r="AI981" s="468"/>
      <c r="AJ981" s="468"/>
    </row>
    <row r="982" spans="1:36" ht="18" customHeight="1" x14ac:dyDescent="0.35">
      <c r="A982" s="468"/>
      <c r="B982" s="468"/>
      <c r="C982" s="468"/>
      <c r="D982" s="468"/>
      <c r="E982" s="468"/>
      <c r="F982" s="468"/>
      <c r="G982" s="468"/>
      <c r="H982" s="468"/>
      <c r="I982" s="468"/>
      <c r="J982" s="468"/>
      <c r="K982" s="468"/>
      <c r="L982" s="468"/>
      <c r="M982" s="468"/>
      <c r="N982" s="468"/>
      <c r="O982" s="468"/>
      <c r="P982" s="468"/>
      <c r="Q982" s="468"/>
      <c r="R982" s="468"/>
      <c r="S982" s="468"/>
      <c r="T982" s="468"/>
      <c r="U982" s="468"/>
      <c r="V982" s="468"/>
      <c r="W982" s="468"/>
      <c r="X982" s="468"/>
      <c r="Y982" s="468"/>
      <c r="Z982" s="468"/>
      <c r="AA982" s="468"/>
      <c r="AB982" s="468"/>
      <c r="AC982" s="468"/>
      <c r="AD982" s="468"/>
      <c r="AE982" s="468"/>
      <c r="AF982" s="468"/>
      <c r="AG982" s="468"/>
      <c r="AH982" s="468"/>
      <c r="AI982" s="468"/>
      <c r="AJ982" s="468"/>
    </row>
    <row r="983" spans="1:36" ht="18" customHeight="1" x14ac:dyDescent="0.35">
      <c r="A983" s="468"/>
      <c r="B983" s="468"/>
      <c r="C983" s="468"/>
      <c r="D983" s="468"/>
      <c r="E983" s="468"/>
      <c r="F983" s="468"/>
      <c r="G983" s="468"/>
      <c r="H983" s="468"/>
      <c r="I983" s="468"/>
      <c r="J983" s="468"/>
      <c r="K983" s="468"/>
      <c r="L983" s="468"/>
      <c r="M983" s="468"/>
      <c r="N983" s="468"/>
      <c r="O983" s="468"/>
      <c r="P983" s="468"/>
      <c r="Q983" s="468"/>
      <c r="R983" s="468"/>
      <c r="S983" s="468"/>
      <c r="T983" s="468"/>
      <c r="U983" s="468"/>
      <c r="V983" s="468"/>
      <c r="W983" s="468"/>
      <c r="X983" s="468"/>
      <c r="Y983" s="468"/>
      <c r="Z983" s="468"/>
      <c r="AA983" s="468"/>
      <c r="AB983" s="468"/>
      <c r="AC983" s="468"/>
      <c r="AD983" s="468"/>
      <c r="AE983" s="468"/>
      <c r="AF983" s="468"/>
      <c r="AG983" s="468"/>
      <c r="AH983" s="468"/>
      <c r="AI983" s="468"/>
      <c r="AJ983" s="468"/>
    </row>
    <row r="984" spans="1:36" ht="18" customHeight="1" x14ac:dyDescent="0.35">
      <c r="A984" s="468"/>
      <c r="B984" s="468"/>
      <c r="C984" s="468"/>
      <c r="D984" s="468"/>
      <c r="E984" s="468"/>
      <c r="F984" s="468"/>
      <c r="G984" s="468"/>
      <c r="H984" s="468"/>
      <c r="I984" s="468"/>
      <c r="J984" s="468"/>
      <c r="K984" s="468"/>
      <c r="L984" s="468"/>
      <c r="M984" s="468"/>
      <c r="N984" s="468"/>
      <c r="O984" s="468"/>
      <c r="P984" s="468"/>
      <c r="Q984" s="468"/>
      <c r="R984" s="468"/>
      <c r="S984" s="468"/>
      <c r="T984" s="468"/>
      <c r="U984" s="468"/>
      <c r="V984" s="468"/>
      <c r="W984" s="468"/>
      <c r="X984" s="468"/>
      <c r="Y984" s="468"/>
      <c r="Z984" s="468"/>
      <c r="AA984" s="468"/>
      <c r="AB984" s="468"/>
      <c r="AC984" s="468"/>
      <c r="AD984" s="468"/>
      <c r="AE984" s="468"/>
      <c r="AF984" s="468"/>
      <c r="AG984" s="468"/>
      <c r="AH984" s="468"/>
      <c r="AI984" s="468"/>
      <c r="AJ984" s="468"/>
    </row>
    <row r="985" spans="1:36" ht="18" customHeight="1" x14ac:dyDescent="0.35">
      <c r="A985" s="468"/>
      <c r="B985" s="468"/>
      <c r="C985" s="468"/>
      <c r="D985" s="468"/>
      <c r="E985" s="468"/>
      <c r="F985" s="468"/>
      <c r="G985" s="468"/>
      <c r="H985" s="468"/>
      <c r="I985" s="468"/>
      <c r="J985" s="468"/>
      <c r="K985" s="468"/>
      <c r="L985" s="468"/>
      <c r="M985" s="468"/>
      <c r="N985" s="468"/>
      <c r="O985" s="468"/>
      <c r="P985" s="468"/>
      <c r="Q985" s="468"/>
      <c r="R985" s="468"/>
      <c r="S985" s="468"/>
      <c r="T985" s="468"/>
      <c r="U985" s="468"/>
      <c r="V985" s="468"/>
      <c r="W985" s="468"/>
      <c r="X985" s="468"/>
      <c r="Y985" s="468"/>
      <c r="Z985" s="468"/>
      <c r="AA985" s="468"/>
      <c r="AB985" s="468"/>
      <c r="AC985" s="468"/>
      <c r="AD985" s="468"/>
      <c r="AE985" s="468"/>
      <c r="AF985" s="468"/>
      <c r="AG985" s="468"/>
      <c r="AH985" s="468"/>
      <c r="AI985" s="468"/>
      <c r="AJ985" s="468"/>
    </row>
    <row r="986" spans="1:36" ht="18" customHeight="1" x14ac:dyDescent="0.35">
      <c r="A986" s="468"/>
      <c r="B986" s="468"/>
      <c r="C986" s="468"/>
      <c r="D986" s="468"/>
      <c r="E986" s="468"/>
      <c r="F986" s="468"/>
      <c r="G986" s="468"/>
      <c r="H986" s="468"/>
      <c r="I986" s="468"/>
      <c r="J986" s="468"/>
      <c r="K986" s="468"/>
      <c r="L986" s="468"/>
      <c r="M986" s="468"/>
      <c r="N986" s="468"/>
      <c r="O986" s="468"/>
      <c r="P986" s="468"/>
      <c r="Q986" s="468"/>
      <c r="R986" s="468"/>
      <c r="S986" s="468"/>
      <c r="T986" s="468"/>
      <c r="U986" s="468"/>
      <c r="V986" s="468"/>
      <c r="W986" s="468"/>
      <c r="X986" s="468"/>
      <c r="Y986" s="468"/>
      <c r="Z986" s="468"/>
      <c r="AA986" s="468"/>
      <c r="AB986" s="468"/>
      <c r="AC986" s="468"/>
      <c r="AD986" s="468"/>
      <c r="AE986" s="468"/>
      <c r="AF986" s="468"/>
      <c r="AG986" s="468"/>
      <c r="AH986" s="468"/>
      <c r="AI986" s="468"/>
      <c r="AJ986" s="468"/>
    </row>
    <row r="987" spans="1:36" ht="18" customHeight="1" x14ac:dyDescent="0.35">
      <c r="A987" s="468"/>
      <c r="B987" s="468"/>
      <c r="C987" s="468"/>
      <c r="D987" s="468"/>
      <c r="E987" s="468"/>
      <c r="F987" s="468"/>
      <c r="G987" s="468"/>
      <c r="H987" s="468"/>
      <c r="I987" s="468"/>
      <c r="J987" s="468"/>
      <c r="K987" s="468"/>
      <c r="L987" s="468"/>
      <c r="M987" s="468"/>
      <c r="N987" s="468"/>
      <c r="O987" s="468"/>
      <c r="P987" s="468"/>
      <c r="Q987" s="468"/>
      <c r="R987" s="468"/>
      <c r="S987" s="468"/>
      <c r="T987" s="468"/>
      <c r="U987" s="468"/>
      <c r="V987" s="468"/>
      <c r="W987" s="468"/>
      <c r="X987" s="468"/>
      <c r="Y987" s="468"/>
      <c r="Z987" s="468"/>
      <c r="AA987" s="468"/>
      <c r="AB987" s="468"/>
      <c r="AC987" s="468"/>
      <c r="AD987" s="468"/>
      <c r="AE987" s="468"/>
      <c r="AF987" s="468"/>
      <c r="AG987" s="468"/>
      <c r="AH987" s="468"/>
      <c r="AI987" s="468"/>
      <c r="AJ987" s="468"/>
    </row>
    <row r="988" spans="1:36" ht="18" customHeight="1" x14ac:dyDescent="0.35">
      <c r="A988" s="468"/>
      <c r="B988" s="468"/>
      <c r="C988" s="468"/>
      <c r="D988" s="468"/>
      <c r="E988" s="468"/>
      <c r="F988" s="468"/>
      <c r="G988" s="468"/>
      <c r="H988" s="468"/>
      <c r="I988" s="468"/>
      <c r="J988" s="468"/>
      <c r="K988" s="468"/>
      <c r="L988" s="468"/>
      <c r="M988" s="468"/>
      <c r="N988" s="468"/>
      <c r="O988" s="468"/>
      <c r="P988" s="468"/>
      <c r="Q988" s="468"/>
      <c r="R988" s="468"/>
      <c r="S988" s="468"/>
      <c r="T988" s="468"/>
      <c r="U988" s="468"/>
      <c r="V988" s="468"/>
      <c r="W988" s="468"/>
      <c r="X988" s="468"/>
      <c r="Y988" s="468"/>
      <c r="Z988" s="468"/>
      <c r="AA988" s="468"/>
      <c r="AB988" s="468"/>
      <c r="AC988" s="468"/>
      <c r="AD988" s="468"/>
      <c r="AE988" s="468"/>
      <c r="AF988" s="468"/>
      <c r="AG988" s="468"/>
      <c r="AH988" s="468"/>
      <c r="AI988" s="468"/>
      <c r="AJ988" s="468"/>
    </row>
    <row r="989" spans="1:36" ht="18" customHeight="1" x14ac:dyDescent="0.35">
      <c r="A989" s="468"/>
      <c r="B989" s="468"/>
      <c r="C989" s="468"/>
      <c r="D989" s="468"/>
      <c r="E989" s="468"/>
      <c r="F989" s="468"/>
      <c r="G989" s="468"/>
      <c r="H989" s="468"/>
      <c r="I989" s="468"/>
      <c r="J989" s="468"/>
      <c r="K989" s="468"/>
      <c r="L989" s="468"/>
      <c r="M989" s="468"/>
      <c r="N989" s="468"/>
      <c r="O989" s="468"/>
      <c r="P989" s="468"/>
      <c r="Q989" s="468"/>
      <c r="R989" s="468"/>
      <c r="S989" s="468"/>
      <c r="T989" s="468"/>
      <c r="U989" s="468"/>
      <c r="V989" s="468"/>
      <c r="W989" s="468"/>
      <c r="X989" s="468"/>
      <c r="Y989" s="468"/>
      <c r="Z989" s="468"/>
      <c r="AA989" s="468"/>
      <c r="AB989" s="468"/>
      <c r="AC989" s="468"/>
      <c r="AD989" s="468"/>
      <c r="AE989" s="468"/>
      <c r="AF989" s="468"/>
      <c r="AG989" s="468"/>
      <c r="AH989" s="468"/>
      <c r="AI989" s="468"/>
      <c r="AJ989" s="468"/>
    </row>
    <row r="990" spans="1:36" ht="18" customHeight="1" x14ac:dyDescent="0.35">
      <c r="A990" s="468"/>
      <c r="B990" s="468"/>
      <c r="C990" s="468"/>
      <c r="D990" s="468"/>
      <c r="E990" s="468"/>
      <c r="F990" s="468"/>
      <c r="G990" s="468"/>
      <c r="H990" s="468"/>
      <c r="I990" s="468"/>
      <c r="J990" s="468"/>
      <c r="K990" s="468"/>
      <c r="L990" s="468"/>
      <c r="M990" s="468"/>
      <c r="N990" s="468"/>
      <c r="O990" s="468"/>
      <c r="P990" s="468"/>
      <c r="Q990" s="468"/>
      <c r="R990" s="468"/>
      <c r="S990" s="468"/>
      <c r="T990" s="468"/>
      <c r="U990" s="468"/>
      <c r="V990" s="468"/>
      <c r="W990" s="468"/>
      <c r="X990" s="468"/>
      <c r="Y990" s="468"/>
      <c r="Z990" s="468"/>
      <c r="AA990" s="468"/>
      <c r="AB990" s="468"/>
      <c r="AC990" s="468"/>
      <c r="AD990" s="468"/>
      <c r="AE990" s="468"/>
      <c r="AF990" s="468"/>
      <c r="AG990" s="468"/>
      <c r="AH990" s="468"/>
      <c r="AI990" s="468"/>
      <c r="AJ990" s="468"/>
    </row>
    <row r="991" spans="1:36" ht="18" customHeight="1" x14ac:dyDescent="0.35">
      <c r="A991" s="468"/>
      <c r="B991" s="468"/>
      <c r="C991" s="468"/>
      <c r="D991" s="468"/>
      <c r="E991" s="468"/>
      <c r="F991" s="468"/>
      <c r="G991" s="468"/>
      <c r="H991" s="468"/>
      <c r="I991" s="468"/>
      <c r="J991" s="468"/>
      <c r="K991" s="468"/>
      <c r="L991" s="468"/>
      <c r="M991" s="468"/>
      <c r="N991" s="468"/>
      <c r="O991" s="468"/>
      <c r="P991" s="468"/>
      <c r="Q991" s="468"/>
      <c r="R991" s="468"/>
      <c r="S991" s="468"/>
      <c r="T991" s="468"/>
      <c r="U991" s="468"/>
      <c r="V991" s="468"/>
      <c r="W991" s="468"/>
      <c r="X991" s="468"/>
      <c r="Y991" s="468"/>
      <c r="Z991" s="468"/>
      <c r="AA991" s="468"/>
      <c r="AB991" s="468"/>
      <c r="AC991" s="468"/>
      <c r="AD991" s="468"/>
      <c r="AE991" s="468"/>
      <c r="AF991" s="468"/>
      <c r="AG991" s="468"/>
      <c r="AH991" s="468"/>
      <c r="AI991" s="468"/>
      <c r="AJ991" s="468"/>
    </row>
    <row r="992" spans="1:36" ht="18" customHeight="1" x14ac:dyDescent="0.35">
      <c r="A992" s="468"/>
      <c r="B992" s="468"/>
      <c r="C992" s="468"/>
      <c r="D992" s="468"/>
      <c r="E992" s="468"/>
      <c r="F992" s="468"/>
      <c r="G992" s="468"/>
      <c r="H992" s="468"/>
      <c r="I992" s="468"/>
      <c r="J992" s="468"/>
      <c r="K992" s="468"/>
      <c r="L992" s="468"/>
      <c r="M992" s="468"/>
      <c r="N992" s="468"/>
      <c r="O992" s="468"/>
      <c r="P992" s="468"/>
      <c r="Q992" s="468"/>
      <c r="R992" s="468"/>
      <c r="S992" s="468"/>
      <c r="T992" s="468"/>
      <c r="U992" s="468"/>
      <c r="V992" s="468"/>
      <c r="W992" s="468"/>
      <c r="X992" s="468"/>
      <c r="Y992" s="468"/>
      <c r="Z992" s="468"/>
      <c r="AA992" s="468"/>
      <c r="AB992" s="468"/>
      <c r="AC992" s="468"/>
      <c r="AD992" s="468"/>
      <c r="AE992" s="468"/>
      <c r="AF992" s="468"/>
      <c r="AG992" s="468"/>
      <c r="AH992" s="468"/>
      <c r="AI992" s="468"/>
      <c r="AJ992" s="468"/>
    </row>
    <row r="993" spans="1:36" ht="18" customHeight="1" x14ac:dyDescent="0.35">
      <c r="A993" s="468"/>
      <c r="B993" s="468"/>
      <c r="C993" s="468"/>
      <c r="D993" s="468"/>
      <c r="E993" s="468"/>
      <c r="F993" s="468"/>
      <c r="G993" s="468"/>
      <c r="H993" s="468"/>
      <c r="I993" s="468"/>
      <c r="J993" s="468"/>
      <c r="K993" s="468"/>
      <c r="L993" s="468"/>
      <c r="M993" s="468"/>
      <c r="N993" s="468"/>
      <c r="O993" s="468"/>
      <c r="P993" s="468"/>
      <c r="Q993" s="468"/>
      <c r="R993" s="468"/>
      <c r="S993" s="468"/>
      <c r="T993" s="468"/>
      <c r="U993" s="468"/>
      <c r="V993" s="468"/>
      <c r="W993" s="468"/>
      <c r="X993" s="468"/>
      <c r="Y993" s="468"/>
      <c r="Z993" s="468"/>
      <c r="AA993" s="468"/>
      <c r="AB993" s="468"/>
      <c r="AC993" s="468"/>
      <c r="AD993" s="468"/>
      <c r="AE993" s="468"/>
      <c r="AF993" s="468"/>
      <c r="AG993" s="468"/>
      <c r="AH993" s="468"/>
      <c r="AI993" s="468"/>
      <c r="AJ993" s="468"/>
    </row>
    <row r="994" spans="1:36" ht="18" customHeight="1" x14ac:dyDescent="0.35">
      <c r="A994" s="468"/>
      <c r="B994" s="468"/>
      <c r="C994" s="468"/>
      <c r="D994" s="468"/>
      <c r="E994" s="468"/>
      <c r="F994" s="468"/>
      <c r="G994" s="468"/>
      <c r="H994" s="468"/>
      <c r="I994" s="468"/>
      <c r="J994" s="468"/>
      <c r="K994" s="468"/>
      <c r="L994" s="468"/>
      <c r="M994" s="468"/>
      <c r="N994" s="468"/>
      <c r="O994" s="468"/>
      <c r="P994" s="468"/>
      <c r="Q994" s="468"/>
      <c r="R994" s="468"/>
      <c r="S994" s="468"/>
      <c r="T994" s="468"/>
      <c r="U994" s="468"/>
      <c r="V994" s="468"/>
      <c r="W994" s="468"/>
      <c r="X994" s="468"/>
      <c r="Y994" s="468"/>
      <c r="Z994" s="468"/>
      <c r="AA994" s="468"/>
      <c r="AB994" s="468"/>
      <c r="AC994" s="468"/>
      <c r="AD994" s="468"/>
      <c r="AE994" s="468"/>
      <c r="AF994" s="468"/>
      <c r="AG994" s="468"/>
      <c r="AH994" s="468"/>
      <c r="AI994" s="468"/>
      <c r="AJ994" s="468"/>
    </row>
    <row r="995" spans="1:36" ht="18" customHeight="1" x14ac:dyDescent="0.35">
      <c r="A995" s="468"/>
      <c r="B995" s="468"/>
      <c r="C995" s="468"/>
      <c r="D995" s="468"/>
      <c r="E995" s="468"/>
      <c r="F995" s="468"/>
      <c r="G995" s="468"/>
      <c r="H995" s="468"/>
      <c r="I995" s="468"/>
      <c r="J995" s="468"/>
      <c r="K995" s="468"/>
      <c r="L995" s="468"/>
      <c r="M995" s="468"/>
      <c r="N995" s="468"/>
      <c r="O995" s="468"/>
      <c r="P995" s="468"/>
      <c r="Q995" s="468"/>
      <c r="R995" s="468"/>
      <c r="S995" s="468"/>
      <c r="T995" s="468"/>
      <c r="U995" s="468"/>
      <c r="V995" s="468"/>
      <c r="W995" s="468"/>
      <c r="X995" s="468"/>
      <c r="Y995" s="468"/>
      <c r="Z995" s="468"/>
      <c r="AA995" s="468"/>
      <c r="AB995" s="468"/>
      <c r="AC995" s="468"/>
      <c r="AD995" s="468"/>
      <c r="AE995" s="468"/>
      <c r="AF995" s="468"/>
      <c r="AG995" s="468"/>
      <c r="AH995" s="468"/>
      <c r="AI995" s="468"/>
      <c r="AJ995" s="468"/>
    </row>
    <row r="996" spans="1:36" ht="18" customHeight="1" x14ac:dyDescent="0.35">
      <c r="A996" s="468"/>
      <c r="B996" s="468"/>
      <c r="C996" s="468"/>
      <c r="D996" s="468"/>
      <c r="E996" s="468"/>
      <c r="F996" s="468"/>
      <c r="G996" s="468"/>
      <c r="H996" s="468"/>
      <c r="I996" s="468"/>
      <c r="J996" s="468"/>
      <c r="K996" s="468"/>
      <c r="L996" s="468"/>
      <c r="M996" s="468"/>
      <c r="N996" s="468"/>
      <c r="O996" s="468"/>
      <c r="P996" s="468"/>
      <c r="Q996" s="468"/>
      <c r="R996" s="468"/>
      <c r="S996" s="468"/>
      <c r="T996" s="468"/>
      <c r="U996" s="468"/>
      <c r="V996" s="468"/>
      <c r="W996" s="468"/>
      <c r="X996" s="468"/>
      <c r="Y996" s="468"/>
      <c r="Z996" s="468"/>
      <c r="AA996" s="468"/>
      <c r="AB996" s="468"/>
      <c r="AC996" s="468"/>
      <c r="AD996" s="468"/>
      <c r="AE996" s="468"/>
      <c r="AF996" s="468"/>
      <c r="AG996" s="468"/>
      <c r="AH996" s="468"/>
      <c r="AI996" s="468"/>
      <c r="AJ996" s="468"/>
    </row>
    <row r="997" spans="1:36" ht="18" customHeight="1" x14ac:dyDescent="0.35">
      <c r="A997" s="468"/>
      <c r="B997" s="468"/>
      <c r="C997" s="468"/>
      <c r="D997" s="468"/>
      <c r="E997" s="468"/>
      <c r="F997" s="468"/>
      <c r="G997" s="468"/>
      <c r="H997" s="468"/>
      <c r="I997" s="468"/>
      <c r="J997" s="468"/>
      <c r="K997" s="468"/>
      <c r="L997" s="468"/>
      <c r="M997" s="468"/>
      <c r="N997" s="468"/>
      <c r="O997" s="468"/>
      <c r="P997" s="468"/>
      <c r="Q997" s="468"/>
      <c r="R997" s="468"/>
      <c r="S997" s="468"/>
      <c r="T997" s="468"/>
      <c r="U997" s="468"/>
      <c r="V997" s="468"/>
      <c r="W997" s="468"/>
      <c r="X997" s="468"/>
      <c r="Y997" s="468"/>
      <c r="Z997" s="468"/>
      <c r="AA997" s="468"/>
      <c r="AB997" s="468"/>
      <c r="AC997" s="468"/>
      <c r="AD997" s="468"/>
      <c r="AE997" s="468"/>
      <c r="AF997" s="468"/>
      <c r="AG997" s="468"/>
      <c r="AH997" s="468"/>
      <c r="AI997" s="468"/>
      <c r="AJ997" s="468"/>
    </row>
    <row r="998" spans="1:36" ht="18" customHeight="1" x14ac:dyDescent="0.35">
      <c r="A998" s="468"/>
      <c r="B998" s="468"/>
      <c r="C998" s="468"/>
      <c r="D998" s="468"/>
      <c r="E998" s="468"/>
      <c r="F998" s="468"/>
      <c r="G998" s="468"/>
      <c r="H998" s="468"/>
      <c r="I998" s="468"/>
      <c r="J998" s="468"/>
      <c r="K998" s="468"/>
      <c r="L998" s="468"/>
      <c r="M998" s="468"/>
      <c r="N998" s="468"/>
      <c r="O998" s="468"/>
      <c r="P998" s="468"/>
      <c r="Q998" s="468"/>
      <c r="R998" s="468"/>
      <c r="S998" s="468"/>
      <c r="T998" s="468"/>
      <c r="U998" s="468"/>
      <c r="V998" s="468"/>
      <c r="W998" s="468"/>
      <c r="X998" s="468"/>
      <c r="Y998" s="468"/>
      <c r="Z998" s="468"/>
      <c r="AA998" s="468"/>
      <c r="AB998" s="468"/>
      <c r="AC998" s="468"/>
      <c r="AD998" s="468"/>
      <c r="AE998" s="468"/>
      <c r="AF998" s="468"/>
      <c r="AG998" s="468"/>
      <c r="AH998" s="468"/>
      <c r="AI998" s="468"/>
      <c r="AJ998" s="468"/>
    </row>
    <row r="999" spans="1:36" ht="18" customHeight="1" x14ac:dyDescent="0.35">
      <c r="A999" s="468"/>
      <c r="B999" s="468"/>
      <c r="C999" s="468"/>
      <c r="D999" s="468"/>
      <c r="E999" s="468"/>
      <c r="F999" s="468"/>
      <c r="G999" s="468"/>
      <c r="H999" s="468"/>
      <c r="I999" s="468"/>
      <c r="J999" s="468"/>
      <c r="K999" s="468"/>
      <c r="L999" s="468"/>
      <c r="M999" s="468"/>
      <c r="N999" s="468"/>
      <c r="O999" s="468"/>
      <c r="P999" s="468"/>
      <c r="Q999" s="468"/>
      <c r="R999" s="468"/>
      <c r="S999" s="468"/>
      <c r="T999" s="468"/>
      <c r="U999" s="468"/>
      <c r="V999" s="468"/>
      <c r="W999" s="468"/>
      <c r="X999" s="468"/>
      <c r="Y999" s="468"/>
      <c r="Z999" s="468"/>
      <c r="AA999" s="468"/>
      <c r="AB999" s="468"/>
      <c r="AC999" s="468"/>
      <c r="AD999" s="468"/>
      <c r="AE999" s="468"/>
      <c r="AF999" s="468"/>
      <c r="AG999" s="468"/>
      <c r="AH999" s="468"/>
      <c r="AI999" s="468"/>
      <c r="AJ999" s="468"/>
    </row>
    <row r="1000" spans="1:36" ht="18" customHeight="1" x14ac:dyDescent="0.35">
      <c r="A1000" s="468"/>
      <c r="B1000" s="468"/>
      <c r="C1000" s="468"/>
      <c r="D1000" s="468"/>
      <c r="E1000" s="468"/>
      <c r="F1000" s="468"/>
      <c r="G1000" s="468"/>
      <c r="H1000" s="468"/>
      <c r="I1000" s="468"/>
      <c r="J1000" s="468"/>
      <c r="K1000" s="468"/>
      <c r="L1000" s="468"/>
      <c r="M1000" s="468"/>
      <c r="N1000" s="468"/>
      <c r="O1000" s="468"/>
      <c r="P1000" s="468"/>
      <c r="Q1000" s="468"/>
      <c r="R1000" s="468"/>
      <c r="S1000" s="468"/>
      <c r="T1000" s="468"/>
      <c r="U1000" s="468"/>
      <c r="V1000" s="468"/>
      <c r="W1000" s="468"/>
      <c r="X1000" s="468"/>
      <c r="Y1000" s="468"/>
      <c r="Z1000" s="468"/>
      <c r="AA1000" s="468"/>
      <c r="AB1000" s="468"/>
      <c r="AC1000" s="468"/>
      <c r="AD1000" s="468"/>
      <c r="AE1000" s="468"/>
      <c r="AF1000" s="468"/>
      <c r="AG1000" s="468"/>
      <c r="AH1000" s="468"/>
      <c r="AI1000" s="468"/>
      <c r="AJ1000" s="468"/>
    </row>
  </sheetData>
  <mergeCells count="8">
    <mergeCell ref="B37:B38"/>
    <mergeCell ref="G37:G38"/>
    <mergeCell ref="A1:J2"/>
    <mergeCell ref="E9:G14"/>
    <mergeCell ref="B17:B18"/>
    <mergeCell ref="G17:G18"/>
    <mergeCell ref="B27:B28"/>
    <mergeCell ref="G27:G28"/>
  </mergeCells>
  <dataValidations count="23">
    <dataValidation type="list" allowBlank="1" showErrorMessage="1" sqref="C19" xr:uid="{00000000-0002-0000-1400-000000000000}">
      <formula1>$A$260:$A$272</formula1>
    </dataValidation>
    <dataValidation type="list" allowBlank="1" showErrorMessage="1" sqref="J29" xr:uid="{00000000-0002-0000-1400-000001000000}">
      <formula1>IF($I$29="Type de mousse",$A$238:$A$239,IF($I$29="Nombre",$A$243:$A$250,0))</formula1>
    </dataValidation>
    <dataValidation type="list" allowBlank="1" showErrorMessage="1" sqref="J19" xr:uid="{00000000-0002-0000-1400-000002000000}">
      <formula1>IF($I$19="Type de mousse",$A$238:$A$239,IF($I$19="Nombre",$A$243:$A$250,0))</formula1>
    </dataValidation>
    <dataValidation type="list" allowBlank="1" showErrorMessage="1" sqref="H29" xr:uid="{00000000-0002-0000-1400-000003000000}">
      <formula1>$A$324:$A$336</formula1>
    </dataValidation>
    <dataValidation type="list" allowBlank="1" showErrorMessage="1" sqref="J21" xr:uid="{00000000-0002-0000-1400-000004000000}">
      <formula1>IF($I$21="Type de mousse",$A$255:$A$256,0)</formula1>
    </dataValidation>
    <dataValidation type="list" allowBlank="1" showErrorMessage="1" sqref="J41" xr:uid="{00000000-0002-0000-1400-000005000000}">
      <formula1>IF($I$41="Type de mousse",$A$255:$A$256,0)</formula1>
    </dataValidation>
    <dataValidation type="list" allowBlank="1" showErrorMessage="1" sqref="E19" xr:uid="{00000000-0002-0000-1400-000006000000}">
      <formula1>IF($D$19="Type de mousse",$A$238:$A$239,IF($D$19="Nombre",$A$243:$A$250,0))</formula1>
    </dataValidation>
    <dataValidation type="list" allowBlank="1" showErrorMessage="1" sqref="C23 H23 C33 H33 C43 H43" xr:uid="{00000000-0002-0000-1400-000007000000}">
      <formula1>$A$232:$A$234</formula1>
    </dataValidation>
    <dataValidation type="list" allowBlank="1" showErrorMessage="1" sqref="E41" xr:uid="{00000000-0002-0000-1400-000008000000}">
      <formula1>IF($D$41="Type de mousse",$A$255:$A$256,0)</formula1>
    </dataValidation>
    <dataValidation type="list" allowBlank="1" showErrorMessage="1" sqref="H19" xr:uid="{00000000-0002-0000-1400-000009000000}">
      <formula1>$A$308:$A$320</formula1>
    </dataValidation>
    <dataValidation type="list" allowBlank="1" showErrorMessage="1" sqref="J31" xr:uid="{00000000-0002-0000-1400-00000A000000}">
      <formula1>IF($I$31="Type de mousse",$A$255:$A$256,0)</formula1>
    </dataValidation>
    <dataValidation type="list" allowBlank="1" showErrorMessage="1" sqref="H39" xr:uid="{00000000-0002-0000-1400-00000B000000}">
      <formula1>$A$340:$A$352</formula1>
    </dataValidation>
    <dataValidation type="list" allowBlank="1" showErrorMessage="1" sqref="C22 H22 C32 H32 C42 H42" xr:uid="{00000000-0002-0000-1400-00000C000000}">
      <formula1>$A$222:$A$230</formula1>
    </dataValidation>
    <dataValidation type="list" allowBlank="1" showErrorMessage="1" sqref="E22 J22 E32 J32 E42 J42" xr:uid="{00000000-0002-0000-1400-00000D000000}">
      <formula1>$A$252:$A$253</formula1>
    </dataValidation>
    <dataValidation type="list" allowBlank="1" showErrorMessage="1" sqref="E39" xr:uid="{00000000-0002-0000-1400-00000E000000}">
      <formula1>IF($D$39="Type de mousse",$A$238:$A$239,IF($D$39="Nombre",$A$243:$A$250,0))</formula1>
    </dataValidation>
    <dataValidation type="list" allowBlank="1" showErrorMessage="1" sqref="E29" xr:uid="{00000000-0002-0000-1400-00000F000000}">
      <formula1>IF($D$29="Type de mousse",$A$238:$A$239,IF($D$29="Nombre",$A$243:$A$250,0))</formula1>
    </dataValidation>
    <dataValidation type="list" allowBlank="1" showErrorMessage="1" sqref="E31" xr:uid="{00000000-0002-0000-1400-000010000000}">
      <formula1>IF($D$31="Type de mousse",$A$255:$A$256,0)</formula1>
    </dataValidation>
    <dataValidation type="list" allowBlank="1" showErrorMessage="1" sqref="C29" xr:uid="{00000000-0002-0000-1400-000011000000}">
      <formula1>$A$276:$A$288</formula1>
    </dataValidation>
    <dataValidation type="list" allowBlank="1" showErrorMessage="1" sqref="C21 H21 C31 H31 C41 H41" xr:uid="{00000000-0002-0000-1400-000012000000}">
      <formula1>$A$214:$A$220</formula1>
    </dataValidation>
    <dataValidation type="list" allowBlank="1" showErrorMessage="1" sqref="J39" xr:uid="{00000000-0002-0000-1400-000013000000}">
      <formula1>IF($I$39="Type de mousse",$A$238:$A$239,IF($I$39="Nombre",$A$243:$A$250,0))</formula1>
    </dataValidation>
    <dataValidation type="list" allowBlank="1" showErrorMessage="1" sqref="E21" xr:uid="{00000000-0002-0000-1400-000014000000}">
      <formula1>IF($D$21="Type de mousse",$A$255:$A$256,0)</formula1>
    </dataValidation>
    <dataValidation type="list" allowBlank="1" showErrorMessage="1" sqref="C39" xr:uid="{00000000-0002-0000-1400-000015000000}">
      <formula1>$A$292:$A$304</formula1>
    </dataValidation>
    <dataValidation type="list" allowBlank="1" showErrorMessage="1" sqref="C14" xr:uid="{00000000-0002-0000-1400-000016000000}">
      <formula1>$A$210:$A$212</formula1>
    </dataValidation>
  </dataValidations>
  <pageMargins left="0.31496062992125984" right="0.31496062992125984" top="0.55118110236220474" bottom="0.55118110236220474" header="0" footer="0"/>
  <pageSetup paperSize="9" orientation="landscape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rgb="FFFFC000"/>
  </sheetPr>
  <dimension ref="A1:Z1000"/>
  <sheetViews>
    <sheetView workbookViewId="0"/>
  </sheetViews>
  <sheetFormatPr baseColWidth="10" defaultColWidth="14.44140625" defaultRowHeight="15" customHeight="1" x14ac:dyDescent="0.3"/>
  <cols>
    <col min="1" max="1" width="24" customWidth="1"/>
    <col min="2" max="2" width="31.88671875" customWidth="1"/>
    <col min="3" max="3" width="26.6640625" customWidth="1"/>
    <col min="4" max="4" width="22.6640625" customWidth="1"/>
    <col min="5" max="5" width="23.6640625" customWidth="1"/>
    <col min="6" max="6" width="18.109375" customWidth="1"/>
    <col min="7" max="7" width="30.6640625" customWidth="1"/>
    <col min="8" max="8" width="23.88671875" customWidth="1"/>
    <col min="9" max="12" width="18.88671875" customWidth="1"/>
    <col min="13" max="13" width="14.44140625" customWidth="1"/>
    <col min="14" max="14" width="18.33203125" customWidth="1"/>
    <col min="15" max="15" width="14.5546875" customWidth="1"/>
    <col min="16" max="26" width="11.44140625" customWidth="1"/>
  </cols>
  <sheetData>
    <row r="1" spans="1:26" ht="18.75" customHeight="1" x14ac:dyDescent="0.35">
      <c r="A1" s="1203" t="s">
        <v>500</v>
      </c>
      <c r="B1" s="1085"/>
      <c r="C1" s="1085"/>
      <c r="D1" s="1085"/>
      <c r="E1" s="1085"/>
      <c r="F1" s="1085"/>
      <c r="G1" s="1086"/>
      <c r="H1" s="873"/>
      <c r="I1" s="874"/>
      <c r="J1" s="874"/>
      <c r="K1" s="874"/>
      <c r="L1" s="874"/>
      <c r="M1" s="874"/>
      <c r="N1" s="874"/>
      <c r="O1" s="874"/>
      <c r="P1" s="874"/>
      <c r="Q1" s="874"/>
      <c r="R1" s="874"/>
      <c r="S1" s="874"/>
      <c r="T1" s="874"/>
      <c r="U1" s="874"/>
      <c r="V1" s="874"/>
      <c r="W1" s="874"/>
      <c r="X1" s="874"/>
      <c r="Y1" s="874"/>
      <c r="Z1" s="874"/>
    </row>
    <row r="2" spans="1:26" ht="18.75" customHeight="1" x14ac:dyDescent="0.35">
      <c r="A2" s="1087"/>
      <c r="B2" s="1088"/>
      <c r="C2" s="1088"/>
      <c r="D2" s="1088"/>
      <c r="E2" s="1088"/>
      <c r="F2" s="1088"/>
      <c r="G2" s="1089"/>
      <c r="H2" s="873"/>
      <c r="I2" s="874"/>
      <c r="J2" s="874"/>
      <c r="K2" s="874"/>
      <c r="L2" s="874"/>
      <c r="M2" s="874"/>
      <c r="N2" s="874"/>
      <c r="O2" s="874"/>
      <c r="P2" s="874"/>
      <c r="Q2" s="874"/>
      <c r="R2" s="874"/>
      <c r="S2" s="874"/>
      <c r="T2" s="874"/>
      <c r="U2" s="874"/>
      <c r="V2" s="874"/>
      <c r="W2" s="874"/>
      <c r="X2" s="874"/>
      <c r="Y2" s="874"/>
      <c r="Z2" s="874"/>
    </row>
    <row r="3" spans="1:26" ht="21" customHeight="1" x14ac:dyDescent="0.35">
      <c r="A3" s="1204"/>
      <c r="B3" s="1205" t="str">
        <f>VLOOKUP($F$10,'Infos Clients'!$B$2:$G$10,2)</f>
        <v>#VALUE!</v>
      </c>
      <c r="C3" s="1086"/>
      <c r="D3" s="874"/>
      <c r="E3" s="874"/>
      <c r="F3" s="874"/>
      <c r="G3" s="874"/>
      <c r="H3" s="874"/>
      <c r="I3" s="874"/>
      <c r="J3" s="874"/>
      <c r="K3" s="874"/>
      <c r="L3" s="874"/>
      <c r="M3" s="874"/>
      <c r="N3" s="874"/>
      <c r="O3" s="874"/>
      <c r="P3" s="874"/>
      <c r="Q3" s="874"/>
      <c r="R3" s="874"/>
      <c r="S3" s="874"/>
      <c r="T3" s="874"/>
      <c r="U3" s="874"/>
      <c r="V3" s="874"/>
      <c r="W3" s="874"/>
      <c r="X3" s="874"/>
      <c r="Y3" s="874"/>
      <c r="Z3" s="874"/>
    </row>
    <row r="4" spans="1:26" ht="19.5" customHeight="1" x14ac:dyDescent="0.35">
      <c r="A4" s="1108"/>
      <c r="B4" s="1091"/>
      <c r="C4" s="1092"/>
      <c r="D4" s="874"/>
      <c r="E4" s="874"/>
      <c r="F4" s="874"/>
      <c r="G4" s="874"/>
      <c r="H4" s="874"/>
      <c r="I4" s="874"/>
      <c r="J4" s="874"/>
      <c r="K4" s="874"/>
      <c r="L4" s="874"/>
      <c r="M4" s="874"/>
      <c r="N4" s="874"/>
      <c r="O4" s="874"/>
      <c r="P4" s="874"/>
      <c r="Q4" s="874"/>
      <c r="R4" s="874"/>
      <c r="S4" s="874"/>
      <c r="T4" s="874"/>
      <c r="U4" s="874"/>
      <c r="V4" s="874"/>
      <c r="W4" s="874"/>
      <c r="X4" s="874"/>
      <c r="Y4" s="874"/>
      <c r="Z4" s="874"/>
    </row>
    <row r="5" spans="1:26" ht="18" customHeight="1" x14ac:dyDescent="0.35">
      <c r="A5" s="874"/>
      <c r="B5" s="1091"/>
      <c r="C5" s="1092"/>
      <c r="D5" s="874"/>
      <c r="E5" s="874"/>
      <c r="F5" s="874"/>
      <c r="G5" s="874"/>
      <c r="H5" s="874"/>
      <c r="I5" s="874"/>
      <c r="J5" s="874"/>
      <c r="K5" s="874"/>
      <c r="L5" s="874"/>
      <c r="M5" s="874"/>
      <c r="N5" s="874"/>
      <c r="O5" s="874"/>
      <c r="P5" s="874"/>
      <c r="Q5" s="874"/>
      <c r="R5" s="874"/>
      <c r="S5" s="874"/>
      <c r="T5" s="874"/>
      <c r="U5" s="874"/>
      <c r="V5" s="874"/>
      <c r="W5" s="874"/>
      <c r="X5" s="874"/>
      <c r="Y5" s="874"/>
      <c r="Z5" s="874"/>
    </row>
    <row r="6" spans="1:26" ht="18" customHeight="1" x14ac:dyDescent="0.35">
      <c r="A6" s="874"/>
      <c r="B6" s="1091"/>
      <c r="C6" s="1092"/>
      <c r="D6" s="874"/>
      <c r="E6" s="874"/>
      <c r="F6" s="874"/>
      <c r="G6" s="874"/>
      <c r="H6" s="874"/>
      <c r="I6" s="874"/>
      <c r="J6" s="874"/>
      <c r="K6" s="874"/>
      <c r="L6" s="874"/>
      <c r="M6" s="874"/>
      <c r="N6" s="874"/>
      <c r="O6" s="874"/>
      <c r="P6" s="874"/>
      <c r="Q6" s="874"/>
      <c r="R6" s="874"/>
      <c r="S6" s="874"/>
      <c r="T6" s="874"/>
      <c r="U6" s="874"/>
      <c r="V6" s="874"/>
      <c r="W6" s="874"/>
      <c r="X6" s="874"/>
      <c r="Y6" s="874"/>
      <c r="Z6" s="874"/>
    </row>
    <row r="7" spans="1:26" ht="18" customHeight="1" x14ac:dyDescent="0.35">
      <c r="A7" s="874"/>
      <c r="B7" s="1087"/>
      <c r="C7" s="1089"/>
      <c r="D7" s="874"/>
      <c r="E7" s="874"/>
      <c r="F7" s="874"/>
      <c r="G7" s="874"/>
      <c r="H7" s="874"/>
      <c r="I7" s="874"/>
      <c r="J7" s="874"/>
      <c r="K7" s="874"/>
      <c r="L7" s="874"/>
      <c r="M7" s="874"/>
      <c r="N7" s="874"/>
      <c r="O7" s="874"/>
      <c r="P7" s="874"/>
      <c r="Q7" s="874"/>
      <c r="R7" s="874"/>
      <c r="S7" s="874"/>
      <c r="T7" s="874"/>
      <c r="U7" s="874"/>
      <c r="V7" s="874"/>
      <c r="W7" s="874"/>
      <c r="X7" s="874"/>
      <c r="Y7" s="874"/>
      <c r="Z7" s="874"/>
    </row>
    <row r="8" spans="1:26" ht="18" customHeight="1" x14ac:dyDescent="0.35">
      <c r="A8" s="874"/>
      <c r="B8" s="874"/>
      <c r="C8" s="874"/>
      <c r="D8" s="874"/>
      <c r="E8" s="874"/>
      <c r="F8" s="874"/>
      <c r="G8" s="874"/>
      <c r="H8" s="874"/>
      <c r="I8" s="874"/>
      <c r="J8" s="874"/>
      <c r="K8" s="874"/>
      <c r="L8" s="874"/>
      <c r="M8" s="874"/>
      <c r="N8" s="874"/>
      <c r="O8" s="874"/>
      <c r="P8" s="874"/>
      <c r="Q8" s="874"/>
      <c r="R8" s="874"/>
      <c r="S8" s="874"/>
      <c r="T8" s="874"/>
      <c r="U8" s="874"/>
      <c r="V8" s="874"/>
      <c r="W8" s="874"/>
      <c r="X8" s="874"/>
      <c r="Y8" s="874"/>
      <c r="Z8" s="874"/>
    </row>
    <row r="9" spans="1:26" ht="18" customHeight="1" x14ac:dyDescent="0.35">
      <c r="A9" s="874"/>
      <c r="B9" s="874" t="s">
        <v>1</v>
      </c>
      <c r="C9" s="20"/>
      <c r="D9" s="874"/>
      <c r="E9" s="875" t="s">
        <v>2</v>
      </c>
      <c r="F9" s="22"/>
      <c r="G9" s="874"/>
      <c r="H9" s="874"/>
      <c r="I9" s="874"/>
      <c r="J9" s="874"/>
      <c r="K9" s="874"/>
      <c r="L9" s="874"/>
      <c r="M9" s="874"/>
      <c r="N9" s="874"/>
      <c r="O9" s="874"/>
      <c r="P9" s="874"/>
      <c r="Q9" s="874"/>
      <c r="R9" s="874"/>
      <c r="S9" s="874"/>
      <c r="T9" s="874"/>
      <c r="U9" s="874"/>
      <c r="V9" s="874"/>
      <c r="W9" s="874"/>
      <c r="X9" s="874"/>
      <c r="Y9" s="874"/>
      <c r="Z9" s="874"/>
    </row>
    <row r="10" spans="1:26" ht="18" customHeight="1" x14ac:dyDescent="0.35">
      <c r="A10" s="874"/>
      <c r="B10" s="874" t="s">
        <v>4</v>
      </c>
      <c r="C10" s="23"/>
      <c r="D10" s="874"/>
      <c r="E10" s="875" t="s">
        <v>5</v>
      </c>
      <c r="F10" s="876" t="s">
        <v>6</v>
      </c>
      <c r="G10" s="874"/>
      <c r="H10" s="874"/>
      <c r="I10" s="874"/>
      <c r="J10" s="874"/>
      <c r="K10" s="874"/>
      <c r="L10" s="874"/>
      <c r="M10" s="874"/>
      <c r="N10" s="874"/>
      <c r="O10" s="874"/>
      <c r="P10" s="874"/>
      <c r="Q10" s="874"/>
      <c r="R10" s="874"/>
      <c r="S10" s="874"/>
      <c r="T10" s="874"/>
      <c r="U10" s="874"/>
      <c r="V10" s="874"/>
      <c r="W10" s="874"/>
      <c r="X10" s="874"/>
      <c r="Y10" s="874"/>
      <c r="Z10" s="874"/>
    </row>
    <row r="11" spans="1:26" ht="18" customHeight="1" x14ac:dyDescent="0.35">
      <c r="A11" s="874"/>
      <c r="B11" s="874" t="s">
        <v>138</v>
      </c>
      <c r="C11" s="23"/>
      <c r="D11" s="874"/>
      <c r="E11" s="875" t="s">
        <v>8</v>
      </c>
      <c r="F11" s="25"/>
      <c r="G11" s="874"/>
      <c r="H11" s="874"/>
      <c r="I11" s="874"/>
      <c r="J11" s="874"/>
      <c r="K11" s="874"/>
      <c r="L11" s="874"/>
      <c r="M11" s="874"/>
      <c r="N11" s="874"/>
      <c r="O11" s="874"/>
      <c r="P11" s="874"/>
      <c r="Q11" s="874"/>
      <c r="R11" s="874"/>
      <c r="S11" s="874"/>
      <c r="T11" s="874"/>
      <c r="U11" s="874"/>
      <c r="V11" s="874"/>
      <c r="W11" s="874"/>
      <c r="X11" s="874"/>
      <c r="Y11" s="874"/>
      <c r="Z11" s="874"/>
    </row>
    <row r="12" spans="1:26" ht="18" customHeight="1" x14ac:dyDescent="0.35">
      <c r="A12" s="874"/>
      <c r="B12" s="874"/>
      <c r="C12" s="875"/>
      <c r="D12" s="874"/>
      <c r="E12" s="874"/>
      <c r="F12" s="874"/>
      <c r="G12" s="874"/>
      <c r="H12" s="874"/>
      <c r="I12" s="874"/>
      <c r="J12" s="874"/>
      <c r="K12" s="874"/>
      <c r="L12" s="874"/>
      <c r="M12" s="874"/>
      <c r="N12" s="874"/>
      <c r="O12" s="874"/>
      <c r="P12" s="874"/>
      <c r="Q12" s="874"/>
      <c r="R12" s="874"/>
      <c r="S12" s="874"/>
      <c r="T12" s="874"/>
      <c r="U12" s="874"/>
      <c r="V12" s="874"/>
      <c r="W12" s="874"/>
      <c r="X12" s="874"/>
      <c r="Y12" s="874"/>
      <c r="Z12" s="874"/>
    </row>
    <row r="13" spans="1:26" ht="18" customHeight="1" x14ac:dyDescent="0.35">
      <c r="A13" s="874"/>
      <c r="B13" s="877" t="s">
        <v>9</v>
      </c>
      <c r="C13" s="23" t="s">
        <v>10</v>
      </c>
      <c r="D13" s="874"/>
      <c r="E13" s="877"/>
      <c r="F13" s="875"/>
      <c r="G13" s="874"/>
      <c r="H13" s="874"/>
      <c r="I13" s="874"/>
      <c r="J13" s="874"/>
      <c r="K13" s="874"/>
      <c r="L13" s="874"/>
      <c r="M13" s="874"/>
      <c r="N13" s="874"/>
      <c r="O13" s="874"/>
      <c r="P13" s="874"/>
      <c r="Q13" s="874"/>
      <c r="R13" s="874"/>
      <c r="S13" s="874"/>
      <c r="T13" s="874"/>
      <c r="U13" s="874"/>
      <c r="V13" s="874"/>
      <c r="W13" s="874"/>
      <c r="X13" s="874"/>
      <c r="Y13" s="874"/>
      <c r="Z13" s="874"/>
    </row>
    <row r="14" spans="1:26" ht="18" customHeight="1" x14ac:dyDescent="0.35">
      <c r="A14" s="874"/>
      <c r="B14" s="877" t="s">
        <v>501</v>
      </c>
      <c r="C14" s="581"/>
      <c r="D14" s="874"/>
      <c r="E14" s="877"/>
      <c r="F14" s="874"/>
      <c r="G14" s="874"/>
      <c r="H14" s="874"/>
      <c r="I14" s="874"/>
      <c r="J14" s="874"/>
      <c r="K14" s="874"/>
      <c r="L14" s="874"/>
      <c r="M14" s="874"/>
      <c r="N14" s="874"/>
      <c r="O14" s="874"/>
      <c r="P14" s="874"/>
      <c r="Q14" s="874"/>
      <c r="R14" s="874"/>
      <c r="S14" s="874"/>
      <c r="T14" s="874"/>
      <c r="U14" s="874"/>
      <c r="V14" s="874"/>
      <c r="W14" s="874"/>
      <c r="X14" s="874"/>
      <c r="Y14" s="874"/>
      <c r="Z14" s="874"/>
    </row>
    <row r="15" spans="1:26" ht="18" customHeight="1" x14ac:dyDescent="0.35">
      <c r="A15" s="874"/>
      <c r="B15" s="874"/>
      <c r="C15" s="875"/>
      <c r="D15" s="874"/>
      <c r="E15" s="878"/>
      <c r="F15" s="878"/>
      <c r="G15" s="878"/>
      <c r="H15" s="874"/>
      <c r="I15" s="874"/>
      <c r="J15" s="874"/>
      <c r="K15" s="874"/>
      <c r="L15" s="874"/>
      <c r="M15" s="874"/>
      <c r="N15" s="874"/>
      <c r="O15" s="874"/>
      <c r="P15" s="874"/>
      <c r="Q15" s="874"/>
      <c r="R15" s="874"/>
      <c r="S15" s="874"/>
      <c r="T15" s="874"/>
      <c r="U15" s="874"/>
      <c r="V15" s="874"/>
      <c r="W15" s="874"/>
      <c r="X15" s="874"/>
      <c r="Y15" s="874"/>
      <c r="Z15" s="874"/>
    </row>
    <row r="16" spans="1:26" ht="18" customHeight="1" x14ac:dyDescent="0.35">
      <c r="A16" s="874"/>
      <c r="B16" s="877" t="s">
        <v>17</v>
      </c>
      <c r="C16" s="23" t="s">
        <v>18</v>
      </c>
      <c r="D16" s="874"/>
      <c r="E16" s="877"/>
      <c r="F16" s="879"/>
      <c r="G16" s="874"/>
      <c r="H16" s="874"/>
      <c r="I16" s="874"/>
      <c r="J16" s="874"/>
      <c r="K16" s="874"/>
      <c r="L16" s="874"/>
      <c r="M16" s="874"/>
      <c r="N16" s="874"/>
      <c r="O16" s="874"/>
      <c r="P16" s="874"/>
      <c r="Q16" s="874"/>
      <c r="R16" s="874"/>
      <c r="S16" s="874"/>
      <c r="T16" s="874"/>
      <c r="U16" s="874"/>
      <c r="V16" s="874"/>
      <c r="W16" s="874"/>
      <c r="X16" s="874"/>
      <c r="Y16" s="874"/>
      <c r="Z16" s="874"/>
    </row>
    <row r="17" spans="1:26" ht="18" customHeight="1" x14ac:dyDescent="0.35">
      <c r="A17" s="874"/>
      <c r="B17" s="874"/>
      <c r="C17" s="875"/>
      <c r="D17" s="874"/>
      <c r="E17" s="877"/>
      <c r="F17" s="880"/>
      <c r="G17" s="874"/>
      <c r="H17" s="874"/>
      <c r="I17" s="874"/>
      <c r="J17" s="874"/>
      <c r="K17" s="874"/>
      <c r="L17" s="874"/>
      <c r="M17" s="874"/>
      <c r="N17" s="874"/>
      <c r="O17" s="874"/>
      <c r="P17" s="874"/>
      <c r="Q17" s="874"/>
      <c r="R17" s="874"/>
      <c r="S17" s="874"/>
      <c r="T17" s="874"/>
      <c r="U17" s="874"/>
      <c r="V17" s="874"/>
      <c r="W17" s="874"/>
      <c r="X17" s="874"/>
      <c r="Y17" s="874"/>
      <c r="Z17" s="874"/>
    </row>
    <row r="18" spans="1:26" ht="18" customHeight="1" x14ac:dyDescent="0.35">
      <c r="A18" s="874"/>
      <c r="B18" s="877" t="s">
        <v>21</v>
      </c>
      <c r="C18" s="23" t="s">
        <v>108</v>
      </c>
      <c r="D18" s="874"/>
      <c r="E18" s="881"/>
      <c r="F18" s="875"/>
      <c r="G18" s="882"/>
      <c r="H18" s="874"/>
      <c r="I18" s="874"/>
      <c r="J18" s="874"/>
      <c r="K18" s="874"/>
      <c r="L18" s="874"/>
      <c r="M18" s="874"/>
      <c r="N18" s="874"/>
      <c r="O18" s="874"/>
      <c r="P18" s="874"/>
      <c r="Q18" s="874"/>
      <c r="R18" s="874"/>
      <c r="S18" s="874"/>
      <c r="T18" s="874"/>
      <c r="U18" s="874"/>
      <c r="V18" s="874"/>
      <c r="W18" s="874"/>
      <c r="X18" s="874"/>
      <c r="Y18" s="874"/>
      <c r="Z18" s="874"/>
    </row>
    <row r="19" spans="1:26" ht="18" customHeight="1" x14ac:dyDescent="0.35">
      <c r="A19" s="874"/>
      <c r="B19" s="877"/>
      <c r="C19" s="874"/>
      <c r="D19" s="874"/>
      <c r="E19" s="882"/>
      <c r="F19" s="882"/>
      <c r="G19" s="882"/>
      <c r="H19" s="874"/>
      <c r="I19" s="874"/>
      <c r="J19" s="874"/>
      <c r="K19" s="874"/>
      <c r="L19" s="874"/>
      <c r="M19" s="874"/>
      <c r="N19" s="874"/>
      <c r="O19" s="874"/>
      <c r="P19" s="874"/>
      <c r="Q19" s="874"/>
      <c r="R19" s="874"/>
      <c r="S19" s="874"/>
      <c r="T19" s="874"/>
      <c r="U19" s="874"/>
      <c r="V19" s="874"/>
      <c r="W19" s="874"/>
      <c r="X19" s="874"/>
      <c r="Y19" s="874"/>
      <c r="Z19" s="874"/>
    </row>
    <row r="20" spans="1:26" ht="18" customHeight="1" x14ac:dyDescent="0.35">
      <c r="A20" s="883"/>
      <c r="B20" s="877"/>
      <c r="C20" s="874"/>
      <c r="D20" s="874"/>
      <c r="E20" s="882"/>
      <c r="F20" s="882"/>
      <c r="G20" s="882"/>
      <c r="H20" s="874"/>
      <c r="I20" s="874"/>
      <c r="J20" s="874"/>
      <c r="K20" s="874"/>
      <c r="L20" s="874"/>
      <c r="M20" s="874"/>
      <c r="N20" s="874"/>
      <c r="O20" s="874"/>
      <c r="P20" s="874"/>
      <c r="Q20" s="874"/>
      <c r="R20" s="874"/>
      <c r="S20" s="874"/>
      <c r="T20" s="874"/>
      <c r="U20" s="874"/>
      <c r="V20" s="874"/>
      <c r="W20" s="874"/>
      <c r="X20" s="874"/>
      <c r="Y20" s="874"/>
      <c r="Z20" s="874"/>
    </row>
    <row r="21" spans="1:26" ht="18" customHeight="1" x14ac:dyDescent="0.4">
      <c r="A21" s="874"/>
      <c r="B21" s="884" t="str">
        <f>IF(C22="Aucun","Dimensions intérieures utiles","Dimensions de l'œuvre")</f>
        <v>Dimensions de l'œuvre</v>
      </c>
      <c r="C21" s="885" t="s">
        <v>28</v>
      </c>
      <c r="D21" s="885" t="s">
        <v>33</v>
      </c>
      <c r="E21" s="886" t="s">
        <v>30</v>
      </c>
      <c r="F21" s="874"/>
      <c r="G21" s="887"/>
      <c r="H21" s="875"/>
      <c r="I21" s="875"/>
      <c r="J21" s="875"/>
      <c r="K21" s="874"/>
      <c r="L21" s="874"/>
      <c r="M21" s="874"/>
      <c r="N21" s="874"/>
      <c r="O21" s="874"/>
      <c r="P21" s="874"/>
      <c r="Q21" s="874"/>
      <c r="R21" s="874"/>
      <c r="S21" s="874"/>
      <c r="T21" s="874"/>
      <c r="U21" s="874"/>
      <c r="V21" s="874"/>
      <c r="W21" s="874"/>
      <c r="X21" s="874"/>
      <c r="Y21" s="874"/>
      <c r="Z21" s="874"/>
    </row>
    <row r="22" spans="1:26" ht="18" customHeight="1" x14ac:dyDescent="0.4">
      <c r="A22" s="874"/>
      <c r="B22" s="888"/>
      <c r="C22" s="316"/>
      <c r="D22" s="316"/>
      <c r="E22" s="317"/>
      <c r="F22" s="874"/>
      <c r="G22" s="887"/>
      <c r="H22" s="889"/>
      <c r="I22" s="889"/>
      <c r="J22" s="889"/>
      <c r="K22" s="874"/>
      <c r="L22" s="874"/>
      <c r="M22" s="874"/>
      <c r="N22" s="874"/>
      <c r="O22" s="874"/>
      <c r="P22" s="874"/>
      <c r="Q22" s="874"/>
      <c r="R22" s="874"/>
      <c r="S22" s="874"/>
      <c r="T22" s="874"/>
      <c r="U22" s="874"/>
      <c r="V22" s="874"/>
      <c r="W22" s="874"/>
      <c r="X22" s="874"/>
      <c r="Y22" s="874"/>
      <c r="Z22" s="874"/>
    </row>
    <row r="23" spans="1:26" ht="18" customHeight="1" x14ac:dyDescent="0.35">
      <c r="A23" s="874"/>
      <c r="B23" s="890" t="s">
        <v>31</v>
      </c>
      <c r="C23" s="891" t="s">
        <v>16</v>
      </c>
      <c r="D23" s="892" t="s">
        <v>502</v>
      </c>
      <c r="E23" s="581" t="s">
        <v>203</v>
      </c>
      <c r="F23" s="874"/>
      <c r="G23" s="877"/>
      <c r="H23" s="889"/>
      <c r="I23" s="893"/>
      <c r="J23" s="889"/>
      <c r="K23" s="874"/>
      <c r="L23" s="874"/>
      <c r="M23" s="874"/>
      <c r="N23" s="874"/>
      <c r="O23" s="874"/>
      <c r="P23" s="874"/>
      <c r="Q23" s="874"/>
      <c r="R23" s="874"/>
      <c r="S23" s="874"/>
      <c r="T23" s="874"/>
      <c r="U23" s="874"/>
      <c r="V23" s="874"/>
      <c r="W23" s="874"/>
      <c r="X23" s="874"/>
      <c r="Y23" s="874"/>
      <c r="Z23" s="874"/>
    </row>
    <row r="24" spans="1:26" ht="18" customHeight="1" x14ac:dyDescent="0.35">
      <c r="A24" s="874"/>
      <c r="B24" s="894" t="s">
        <v>308</v>
      </c>
      <c r="C24" s="317" t="s">
        <v>16</v>
      </c>
      <c r="D24" s="874"/>
      <c r="E24" s="874"/>
      <c r="F24" s="874"/>
      <c r="G24" s="874"/>
      <c r="H24" s="874"/>
      <c r="I24" s="874"/>
      <c r="J24" s="874"/>
      <c r="K24" s="874"/>
      <c r="L24" s="874"/>
      <c r="M24" s="874"/>
      <c r="N24" s="874"/>
      <c r="O24" s="874"/>
      <c r="P24" s="874"/>
      <c r="Q24" s="874"/>
      <c r="R24" s="874"/>
      <c r="S24" s="874"/>
      <c r="T24" s="874"/>
      <c r="U24" s="874"/>
      <c r="V24" s="874"/>
      <c r="W24" s="874"/>
      <c r="X24" s="874"/>
      <c r="Y24" s="874"/>
      <c r="Z24" s="874"/>
    </row>
    <row r="25" spans="1:26" ht="18" customHeight="1" x14ac:dyDescent="0.35">
      <c r="A25" s="895"/>
      <c r="B25" s="889"/>
      <c r="C25" s="874"/>
      <c r="D25" s="874"/>
      <c r="E25" s="889"/>
      <c r="F25" s="889"/>
      <c r="G25" s="895"/>
      <c r="H25" s="889"/>
      <c r="I25" s="874"/>
      <c r="J25" s="874"/>
      <c r="K25" s="889"/>
      <c r="L25" s="874"/>
      <c r="M25" s="874"/>
      <c r="N25" s="874"/>
      <c r="O25" s="874"/>
      <c r="P25" s="874"/>
      <c r="Q25" s="874"/>
      <c r="R25" s="874"/>
      <c r="S25" s="874"/>
      <c r="T25" s="874"/>
      <c r="U25" s="874"/>
      <c r="V25" s="874"/>
      <c r="W25" s="874"/>
      <c r="X25" s="874"/>
      <c r="Y25" s="874"/>
      <c r="Z25" s="874"/>
    </row>
    <row r="26" spans="1:26" ht="18" customHeight="1" x14ac:dyDescent="0.35">
      <c r="A26" s="877"/>
      <c r="B26" s="874"/>
      <c r="C26" s="874"/>
      <c r="D26" s="874"/>
      <c r="E26" s="874"/>
      <c r="F26" s="874"/>
      <c r="G26" s="877"/>
      <c r="H26" s="874"/>
      <c r="I26" s="874"/>
      <c r="J26" s="875"/>
      <c r="K26" s="874"/>
      <c r="L26" s="874"/>
      <c r="M26" s="874"/>
      <c r="N26" s="874"/>
      <c r="O26" s="874"/>
      <c r="P26" s="874"/>
      <c r="Q26" s="874"/>
      <c r="R26" s="874"/>
      <c r="S26" s="874"/>
      <c r="T26" s="874"/>
      <c r="U26" s="874"/>
      <c r="V26" s="874"/>
      <c r="W26" s="874"/>
      <c r="X26" s="874"/>
      <c r="Y26" s="874"/>
      <c r="Z26" s="874"/>
    </row>
    <row r="27" spans="1:26" ht="18" customHeight="1" x14ac:dyDescent="0.35">
      <c r="A27" s="874"/>
      <c r="B27" s="896" t="s">
        <v>42</v>
      </c>
      <c r="C27" s="897">
        <f>C22+VLOOKUP(C23,A67:L70,2)</f>
        <v>0</v>
      </c>
      <c r="D27" s="897">
        <f>D22+VLOOKUP(C23,A67:L70,3)</f>
        <v>0</v>
      </c>
      <c r="E27" s="898">
        <f>IF(E22=0,0,E22+VLOOKUP(C23,A67:L70,4)+VLOOKUP(C24,A75:C81,3))</f>
        <v>0</v>
      </c>
      <c r="F27" s="874"/>
      <c r="G27" s="874"/>
      <c r="H27" s="874"/>
      <c r="I27" s="874"/>
      <c r="J27" s="874"/>
      <c r="K27" s="874"/>
      <c r="L27" s="874"/>
      <c r="M27" s="874"/>
      <c r="N27" s="874"/>
      <c r="O27" s="874"/>
      <c r="P27" s="874"/>
      <c r="Q27" s="874"/>
      <c r="R27" s="874"/>
      <c r="S27" s="874"/>
      <c r="T27" s="874"/>
      <c r="U27" s="874"/>
      <c r="V27" s="874"/>
      <c r="W27" s="874"/>
      <c r="X27" s="874"/>
      <c r="Y27" s="874"/>
      <c r="Z27" s="874"/>
    </row>
    <row r="28" spans="1:26" ht="18" customHeight="1" x14ac:dyDescent="0.35">
      <c r="A28" s="874"/>
      <c r="B28" s="877"/>
      <c r="C28" s="877"/>
      <c r="D28" s="877"/>
      <c r="E28" s="877"/>
      <c r="F28" s="874"/>
      <c r="G28" s="899" t="s">
        <v>256</v>
      </c>
      <c r="H28" s="893"/>
      <c r="I28" s="874"/>
      <c r="J28" s="874"/>
      <c r="K28" s="874"/>
      <c r="L28" s="874"/>
      <c r="M28" s="874"/>
      <c r="N28" s="874"/>
      <c r="O28" s="874"/>
      <c r="P28" s="874"/>
      <c r="Q28" s="874"/>
      <c r="R28" s="874"/>
      <c r="S28" s="874"/>
      <c r="T28" s="874"/>
      <c r="U28" s="874"/>
      <c r="V28" s="874"/>
      <c r="W28" s="874"/>
      <c r="X28" s="874"/>
      <c r="Y28" s="874"/>
      <c r="Z28" s="874"/>
    </row>
    <row r="29" spans="1:26" ht="18" customHeight="1" x14ac:dyDescent="0.35">
      <c r="A29" s="874"/>
      <c r="B29" s="896" t="s">
        <v>44</v>
      </c>
      <c r="C29" s="900">
        <f>IF(C27=0,0,C27+3)</f>
        <v>0</v>
      </c>
      <c r="D29" s="900">
        <f t="shared" ref="D29:E29" si="0">IF(D27=0,0,D27+0.9+0.9)</f>
        <v>0</v>
      </c>
      <c r="E29" s="901">
        <f t="shared" si="0"/>
        <v>0</v>
      </c>
      <c r="F29" s="874"/>
      <c r="G29" s="902">
        <f>C58</f>
        <v>0</v>
      </c>
      <c r="H29" s="903"/>
      <c r="I29" s="874"/>
      <c r="J29" s="874"/>
      <c r="K29" s="874"/>
      <c r="L29" s="874"/>
      <c r="M29" s="874"/>
      <c r="N29" s="874"/>
      <c r="O29" s="874"/>
      <c r="P29" s="874"/>
      <c r="Q29" s="874"/>
      <c r="R29" s="874"/>
      <c r="S29" s="874"/>
      <c r="T29" s="874"/>
      <c r="U29" s="874"/>
      <c r="V29" s="874"/>
      <c r="W29" s="874"/>
      <c r="X29" s="874"/>
      <c r="Y29" s="874"/>
      <c r="Z29" s="874"/>
    </row>
    <row r="30" spans="1:26" ht="18" customHeight="1" x14ac:dyDescent="0.35">
      <c r="A30" s="877"/>
      <c r="B30" s="874"/>
      <c r="C30" s="874"/>
      <c r="D30" s="874"/>
      <c r="E30" s="874"/>
      <c r="F30" s="874"/>
      <c r="G30" s="877"/>
      <c r="H30" s="874"/>
      <c r="I30" s="874"/>
      <c r="J30" s="874"/>
      <c r="K30" s="874"/>
      <c r="L30" s="874"/>
      <c r="M30" s="874"/>
      <c r="N30" s="874"/>
      <c r="O30" s="874"/>
      <c r="P30" s="874"/>
      <c r="Q30" s="874"/>
      <c r="R30" s="874"/>
      <c r="S30" s="874"/>
      <c r="T30" s="874"/>
      <c r="U30" s="874"/>
      <c r="V30" s="874"/>
      <c r="W30" s="874"/>
      <c r="X30" s="874"/>
      <c r="Y30" s="874"/>
      <c r="Z30" s="874"/>
    </row>
    <row r="31" spans="1:26" ht="18" customHeight="1" x14ac:dyDescent="0.35">
      <c r="A31" s="874"/>
      <c r="B31" s="904" t="s">
        <v>45</v>
      </c>
      <c r="C31" s="905">
        <f>Q50</f>
        <v>0</v>
      </c>
      <c r="D31" s="906" t="s">
        <v>46</v>
      </c>
      <c r="E31" s="874"/>
      <c r="F31" s="874"/>
      <c r="G31" s="874"/>
      <c r="H31" s="874"/>
      <c r="I31" s="874"/>
      <c r="J31" s="874"/>
      <c r="K31" s="874"/>
      <c r="L31" s="880"/>
      <c r="M31" s="874"/>
      <c r="N31" s="907"/>
      <c r="O31" s="880"/>
      <c r="P31" s="874"/>
      <c r="Q31" s="874"/>
      <c r="R31" s="874"/>
      <c r="S31" s="874"/>
      <c r="T31" s="874"/>
      <c r="U31" s="874"/>
      <c r="V31" s="874"/>
      <c r="W31" s="874"/>
      <c r="X31" s="874"/>
      <c r="Y31" s="874"/>
      <c r="Z31" s="874"/>
    </row>
    <row r="32" spans="1:26" ht="18" hidden="1" customHeight="1" x14ac:dyDescent="0.35">
      <c r="A32" s="874"/>
      <c r="B32" s="908" t="s">
        <v>48</v>
      </c>
      <c r="C32" s="909">
        <f>D52</f>
        <v>0</v>
      </c>
      <c r="D32" s="910" t="s">
        <v>49</v>
      </c>
      <c r="E32" s="874"/>
      <c r="F32" s="874"/>
      <c r="G32" s="874"/>
      <c r="H32" s="874"/>
      <c r="I32" s="874"/>
      <c r="J32" s="874"/>
      <c r="K32" s="874"/>
      <c r="L32" s="880"/>
      <c r="M32" s="874"/>
      <c r="N32" s="907"/>
      <c r="O32" s="880"/>
      <c r="P32" s="874"/>
      <c r="Q32" s="874"/>
      <c r="R32" s="874"/>
      <c r="S32" s="874"/>
      <c r="T32" s="874"/>
      <c r="U32" s="874"/>
      <c r="V32" s="874"/>
      <c r="W32" s="874"/>
      <c r="X32" s="874"/>
      <c r="Y32" s="874"/>
      <c r="Z32" s="874"/>
    </row>
    <row r="33" spans="1:26" ht="18" hidden="1" customHeight="1" x14ac:dyDescent="0.35">
      <c r="A33" s="877"/>
      <c r="B33" s="874"/>
      <c r="C33" s="874"/>
      <c r="D33" s="874"/>
      <c r="E33" s="874"/>
      <c r="F33" s="874"/>
      <c r="G33" s="874"/>
      <c r="H33" s="874"/>
      <c r="I33" s="874"/>
      <c r="J33" s="874"/>
      <c r="K33" s="874"/>
      <c r="L33" s="880"/>
      <c r="M33" s="880"/>
      <c r="N33" s="907"/>
      <c r="O33" s="880"/>
      <c r="P33" s="874"/>
      <c r="Q33" s="874"/>
      <c r="R33" s="874"/>
      <c r="S33" s="874"/>
      <c r="T33" s="874"/>
      <c r="U33" s="874"/>
      <c r="V33" s="874"/>
      <c r="W33" s="874"/>
      <c r="X33" s="874"/>
      <c r="Y33" s="874"/>
      <c r="Z33" s="874"/>
    </row>
    <row r="34" spans="1:26" ht="18" hidden="1" customHeight="1" x14ac:dyDescent="0.35">
      <c r="A34" s="874"/>
      <c r="B34" s="874"/>
      <c r="C34" s="874"/>
      <c r="D34" s="874"/>
      <c r="E34" s="874"/>
      <c r="F34" s="874"/>
      <c r="G34" s="874"/>
      <c r="H34" s="874"/>
      <c r="I34" s="874"/>
      <c r="J34" s="874"/>
      <c r="K34" s="874"/>
      <c r="L34" s="880"/>
      <c r="M34" s="880"/>
      <c r="N34" s="907"/>
      <c r="O34" s="880"/>
      <c r="P34" s="874"/>
      <c r="Q34" s="874" t="s">
        <v>157</v>
      </c>
      <c r="R34" s="874"/>
      <c r="S34" s="874"/>
      <c r="T34" s="874"/>
      <c r="U34" s="874"/>
      <c r="V34" s="874"/>
      <c r="W34" s="874"/>
      <c r="X34" s="874"/>
      <c r="Y34" s="874"/>
      <c r="Z34" s="874"/>
    </row>
    <row r="35" spans="1:26" ht="18" hidden="1" customHeight="1" x14ac:dyDescent="0.35">
      <c r="A35" s="874"/>
      <c r="B35" s="911">
        <f>IF(C22=0,0,"Bout Peuplier 15 mm")</f>
        <v>0</v>
      </c>
      <c r="C35" s="912">
        <f>IF(C22=0,0,D27)</f>
        <v>0</v>
      </c>
      <c r="D35" s="912">
        <f>IF(C35=0,0,E27)</f>
        <v>0</v>
      </c>
      <c r="E35" s="912">
        <f>IF(C22=0,0,"Peuplier 15 mm")</f>
        <v>0</v>
      </c>
      <c r="F35" s="911">
        <f>IF(C22=0,0,2)</f>
        <v>0</v>
      </c>
      <c r="G35" s="874"/>
      <c r="H35" s="874"/>
      <c r="I35" s="874"/>
      <c r="J35" s="874">
        <f>IF(C35=0,0,(C35/100)*(D35/100)*F35)</f>
        <v>0</v>
      </c>
      <c r="K35" s="874">
        <f>J35/0.8</f>
        <v>0</v>
      </c>
      <c r="L35" s="880">
        <f>IF(E35=0,0,VLOOKUP(E35,'[1]Prix Matiere'!$A$4:$J$65,10))</f>
        <v>0</v>
      </c>
      <c r="M35" s="880">
        <f>L35*K35</f>
        <v>0</v>
      </c>
      <c r="N35" s="913">
        <f>IF(J35=0,0,4.7283*J35+2)</f>
        <v>0</v>
      </c>
      <c r="O35" s="880">
        <f>N35*Wrapp!MinuteMO</f>
        <v>0</v>
      </c>
      <c r="P35" s="874"/>
      <c r="Q35" s="914">
        <v>0</v>
      </c>
      <c r="R35" s="874"/>
      <c r="S35" s="874"/>
      <c r="T35" s="874"/>
      <c r="U35" s="874"/>
      <c r="V35" s="874"/>
      <c r="W35" s="874"/>
      <c r="X35" s="874"/>
      <c r="Y35" s="874"/>
      <c r="Z35" s="874"/>
    </row>
    <row r="36" spans="1:26" ht="18" hidden="1" customHeight="1" x14ac:dyDescent="0.35">
      <c r="A36" s="874"/>
      <c r="B36" s="911"/>
      <c r="C36" s="912"/>
      <c r="D36" s="912"/>
      <c r="E36" s="912"/>
      <c r="F36" s="911"/>
      <c r="G36" s="874"/>
      <c r="H36" s="874"/>
      <c r="I36" s="874"/>
      <c r="J36" s="874"/>
      <c r="K36" s="874"/>
      <c r="L36" s="880"/>
      <c r="M36" s="880"/>
      <c r="N36" s="913"/>
      <c r="O36" s="880"/>
      <c r="P36" s="874"/>
      <c r="Q36" s="914">
        <v>0</v>
      </c>
      <c r="R36" s="874"/>
      <c r="S36" s="874"/>
      <c r="T36" s="874"/>
      <c r="U36" s="874"/>
      <c r="V36" s="874"/>
      <c r="W36" s="874"/>
      <c r="X36" s="874"/>
      <c r="Y36" s="874"/>
      <c r="Z36" s="874"/>
    </row>
    <row r="37" spans="1:26" ht="18" hidden="1" customHeight="1" x14ac:dyDescent="0.35">
      <c r="A37" s="874"/>
      <c r="B37" s="911">
        <f>IF(C22=0,0,"Carton")</f>
        <v>0</v>
      </c>
      <c r="C37" s="912">
        <f>C29</f>
        <v>0</v>
      </c>
      <c r="D37" s="912">
        <f>IF(C37=0,0,C35*2+D35*2+0.9*4+10)</f>
        <v>0</v>
      </c>
      <c r="E37" s="912">
        <f>IF(C22=0,0,"Carton")</f>
        <v>0</v>
      </c>
      <c r="F37" s="911">
        <f>IF(C22=0,0,1)</f>
        <v>0</v>
      </c>
      <c r="G37" s="874"/>
      <c r="H37" s="874"/>
      <c r="I37" s="874"/>
      <c r="J37" s="874">
        <f>IF(C37=0,0,(C37/100)*(D37/100)*F37)</f>
        <v>0</v>
      </c>
      <c r="K37" s="874">
        <f>J37/0.8</f>
        <v>0</v>
      </c>
      <c r="L37" s="880">
        <f>IF(E37=0,0,Wrapp!Carton)</f>
        <v>0</v>
      </c>
      <c r="M37" s="880">
        <f>L37*K37</f>
        <v>0</v>
      </c>
      <c r="N37" s="913">
        <f>IF(J37=0,0,4.7283*J37+2)</f>
        <v>0</v>
      </c>
      <c r="O37" s="880">
        <f>N37*Wrapp!MinuteMO</f>
        <v>0</v>
      </c>
      <c r="P37" s="874"/>
      <c r="Q37" s="914">
        <f>IF(J37=0,0,J37*1)</f>
        <v>0</v>
      </c>
      <c r="R37" s="874"/>
      <c r="S37" s="874"/>
      <c r="T37" s="874"/>
      <c r="U37" s="874"/>
      <c r="V37" s="874"/>
      <c r="W37" s="874"/>
      <c r="X37" s="874"/>
      <c r="Y37" s="874"/>
      <c r="Z37" s="874"/>
    </row>
    <row r="38" spans="1:26" ht="18" hidden="1" customHeight="1" x14ac:dyDescent="0.35">
      <c r="A38" s="874"/>
      <c r="B38" s="911"/>
      <c r="C38" s="912"/>
      <c r="D38" s="912"/>
      <c r="E38" s="912"/>
      <c r="F38" s="911"/>
      <c r="G38" s="874"/>
      <c r="H38" s="874"/>
      <c r="I38" s="874"/>
      <c r="J38" s="874"/>
      <c r="K38" s="874"/>
      <c r="L38" s="880"/>
      <c r="M38" s="880"/>
      <c r="N38" s="913"/>
      <c r="O38" s="880"/>
      <c r="P38" s="874"/>
      <c r="Q38" s="914">
        <v>0</v>
      </c>
      <c r="R38" s="874"/>
      <c r="S38" s="874"/>
      <c r="T38" s="874"/>
      <c r="U38" s="874"/>
      <c r="V38" s="874"/>
      <c r="W38" s="874"/>
      <c r="X38" s="874"/>
      <c r="Y38" s="874"/>
      <c r="Z38" s="874"/>
    </row>
    <row r="39" spans="1:26" ht="18" hidden="1" customHeight="1" x14ac:dyDescent="0.35">
      <c r="A39" s="874"/>
      <c r="B39" s="915" t="s">
        <v>503</v>
      </c>
      <c r="C39" s="912"/>
      <c r="D39" s="912"/>
      <c r="E39" s="912"/>
      <c r="F39" s="911"/>
      <c r="G39" s="874"/>
      <c r="H39" s="874"/>
      <c r="I39" s="874"/>
      <c r="J39" s="874"/>
      <c r="K39" s="874"/>
      <c r="L39" s="880"/>
      <c r="M39" s="880"/>
      <c r="N39" s="913"/>
      <c r="O39" s="880"/>
      <c r="P39" s="874"/>
      <c r="Q39" s="914">
        <v>0</v>
      </c>
      <c r="R39" s="874"/>
      <c r="S39" s="874"/>
      <c r="T39" s="874"/>
      <c r="U39" s="874"/>
      <c r="V39" s="874"/>
      <c r="W39" s="874"/>
      <c r="X39" s="874"/>
      <c r="Y39" s="874"/>
      <c r="Z39" s="874"/>
    </row>
    <row r="40" spans="1:26" ht="18" hidden="1" customHeight="1" x14ac:dyDescent="0.35">
      <c r="A40" s="874"/>
      <c r="B40" s="911">
        <f>IF($C$23="Aucun",0,"GC")</f>
        <v>0</v>
      </c>
      <c r="C40" s="912">
        <f>IF(C23="Aucun",0,C27)</f>
        <v>0</v>
      </c>
      <c r="D40" s="912">
        <f>IF(C23="Aucun",0,E27-VLOOKUP(C23,A67:L70,4)-VLOOKUP(C24,A75:C81,3))</f>
        <v>0</v>
      </c>
      <c r="E40" s="912">
        <f>VLOOKUP(C23,$A$67:$L$70,8)</f>
        <v>0</v>
      </c>
      <c r="F40" s="911">
        <f>IF(C23="Aucun",0,2)</f>
        <v>0</v>
      </c>
      <c r="G40" s="874"/>
      <c r="H40" s="874"/>
      <c r="I40" s="874"/>
      <c r="J40" s="874">
        <f t="shared" ref="J40:J43" si="1">IF(C40=0,0,(C40/100)*(D40/100)*F40)</f>
        <v>0</v>
      </c>
      <c r="K40" s="874">
        <f t="shared" ref="K40:K43" si="2">J40/0.8</f>
        <v>0</v>
      </c>
      <c r="L40" s="880">
        <v>0</v>
      </c>
      <c r="M40" s="880">
        <f t="shared" ref="M40:M43" si="3">L40*K40</f>
        <v>0</v>
      </c>
      <c r="N40" s="913">
        <f t="shared" ref="N40:N43" si="4">IF(J40=0,0,4.7283*J40+2)</f>
        <v>0</v>
      </c>
      <c r="O40" s="880">
        <f t="shared" ref="O40:O43" si="5">N40*Wrapp!MinuteMO</f>
        <v>0</v>
      </c>
      <c r="P40" s="874"/>
      <c r="Q40" s="914">
        <v>0</v>
      </c>
      <c r="R40" s="874"/>
      <c r="S40" s="874"/>
      <c r="T40" s="874"/>
      <c r="U40" s="874"/>
      <c r="V40" s="874"/>
      <c r="W40" s="874"/>
      <c r="X40" s="874"/>
      <c r="Y40" s="874"/>
      <c r="Z40" s="874"/>
    </row>
    <row r="41" spans="1:26" ht="18" hidden="1" customHeight="1" x14ac:dyDescent="0.35">
      <c r="A41" s="874"/>
      <c r="B41" s="911">
        <f>IF($C$23="Aucun",0,"Bouts")</f>
        <v>0</v>
      </c>
      <c r="C41" s="912">
        <f>IF(C23="Aucun",0,D27-VLOOKUP(C23,A67:L70,3))</f>
        <v>0</v>
      </c>
      <c r="D41" s="912">
        <f>D40</f>
        <v>0</v>
      </c>
      <c r="E41" s="912">
        <f>IF(C41=0,0,VLOOKUP(C23,$A$67:$L$70,8))</f>
        <v>0</v>
      </c>
      <c r="F41" s="911">
        <f>IF(C23="Aucun",0,2)</f>
        <v>0</v>
      </c>
      <c r="G41" s="874"/>
      <c r="H41" s="874"/>
      <c r="I41" s="874"/>
      <c r="J41" s="874">
        <f t="shared" si="1"/>
        <v>0</v>
      </c>
      <c r="K41" s="874">
        <f t="shared" si="2"/>
        <v>0</v>
      </c>
      <c r="L41" s="880">
        <v>0</v>
      </c>
      <c r="M41" s="880">
        <f t="shared" si="3"/>
        <v>0</v>
      </c>
      <c r="N41" s="913">
        <f t="shared" si="4"/>
        <v>0</v>
      </c>
      <c r="O41" s="880">
        <f t="shared" si="5"/>
        <v>0</v>
      </c>
      <c r="P41" s="874"/>
      <c r="Q41" s="914">
        <v>0</v>
      </c>
      <c r="R41" s="874"/>
      <c r="S41" s="874"/>
      <c r="T41" s="874"/>
      <c r="U41" s="874"/>
      <c r="V41" s="874"/>
      <c r="W41" s="874"/>
      <c r="X41" s="874"/>
      <c r="Y41" s="874"/>
      <c r="Z41" s="874"/>
    </row>
    <row r="42" spans="1:26" ht="18" hidden="1" customHeight="1" x14ac:dyDescent="0.35">
      <c r="A42" s="874"/>
      <c r="B42" s="911">
        <f>IF($C$23="Aucun",0,"CV")</f>
        <v>0</v>
      </c>
      <c r="C42" s="912">
        <f>C40</f>
        <v>0</v>
      </c>
      <c r="D42" s="912">
        <f>D27</f>
        <v>0</v>
      </c>
      <c r="E42" s="912">
        <f>VLOOKUP(C23,$A$67:$L$70,9)</f>
        <v>0</v>
      </c>
      <c r="F42" s="911">
        <f>IF(C24="Aucun",0,1)</f>
        <v>0</v>
      </c>
      <c r="G42" s="874"/>
      <c r="H42" s="874"/>
      <c r="I42" s="874"/>
      <c r="J42" s="874">
        <f t="shared" si="1"/>
        <v>0</v>
      </c>
      <c r="K42" s="874">
        <f t="shared" si="2"/>
        <v>0</v>
      </c>
      <c r="L42" s="880">
        <v>0</v>
      </c>
      <c r="M42" s="880">
        <f t="shared" si="3"/>
        <v>0</v>
      </c>
      <c r="N42" s="913">
        <f t="shared" si="4"/>
        <v>0</v>
      </c>
      <c r="O42" s="880">
        <f t="shared" si="5"/>
        <v>0</v>
      </c>
      <c r="P42" s="874"/>
      <c r="Q42" s="914">
        <v>0</v>
      </c>
      <c r="R42" s="874"/>
      <c r="S42" s="874"/>
      <c r="T42" s="874"/>
      <c r="U42" s="874"/>
      <c r="V42" s="874"/>
      <c r="W42" s="874"/>
      <c r="X42" s="874"/>
      <c r="Y42" s="874"/>
      <c r="Z42" s="874"/>
    </row>
    <row r="43" spans="1:26" ht="18" hidden="1" customHeight="1" x14ac:dyDescent="0.35">
      <c r="A43" s="874"/>
      <c r="B43" s="911">
        <f>IF($C$24="Aucun",0,"Base")</f>
        <v>0</v>
      </c>
      <c r="C43" s="912">
        <f>IF(C24="Aucun",0,C27)</f>
        <v>0</v>
      </c>
      <c r="D43" s="912">
        <f>IF(C24="Aucun",0,D27)</f>
        <v>0</v>
      </c>
      <c r="E43" s="912">
        <f>IF(C43=0,0,C24)</f>
        <v>0</v>
      </c>
      <c r="F43" s="911">
        <f>IF(C24="Aucun",0,1)</f>
        <v>0</v>
      </c>
      <c r="G43" s="874"/>
      <c r="H43" s="874"/>
      <c r="I43" s="874"/>
      <c r="J43" s="874">
        <f t="shared" si="1"/>
        <v>0</v>
      </c>
      <c r="K43" s="874">
        <f t="shared" si="2"/>
        <v>0</v>
      </c>
      <c r="L43" s="880">
        <v>0</v>
      </c>
      <c r="M43" s="880">
        <f t="shared" si="3"/>
        <v>0</v>
      </c>
      <c r="N43" s="913">
        <f t="shared" si="4"/>
        <v>0</v>
      </c>
      <c r="O43" s="880">
        <f t="shared" si="5"/>
        <v>0</v>
      </c>
      <c r="P43" s="874"/>
      <c r="Q43" s="914">
        <v>0</v>
      </c>
      <c r="R43" s="874"/>
      <c r="S43" s="874"/>
      <c r="T43" s="874"/>
      <c r="U43" s="874"/>
      <c r="V43" s="874"/>
      <c r="W43" s="874"/>
      <c r="X43" s="874"/>
      <c r="Y43" s="874"/>
      <c r="Z43" s="874"/>
    </row>
    <row r="44" spans="1:26" ht="18" hidden="1" customHeight="1" x14ac:dyDescent="0.35">
      <c r="A44" s="874"/>
      <c r="B44" s="874"/>
      <c r="C44" s="874"/>
      <c r="D44" s="874"/>
      <c r="E44" s="874"/>
      <c r="F44" s="874"/>
      <c r="G44" s="874"/>
      <c r="H44" s="874"/>
      <c r="I44" s="874"/>
      <c r="J44" s="874"/>
      <c r="K44" s="874"/>
      <c r="L44" s="880"/>
      <c r="M44" s="874"/>
      <c r="N44" s="913"/>
      <c r="O44" s="880"/>
      <c r="P44" s="874"/>
      <c r="Q44" s="874"/>
      <c r="R44" s="874"/>
      <c r="S44" s="874"/>
      <c r="T44" s="874"/>
      <c r="U44" s="874"/>
      <c r="V44" s="874"/>
      <c r="W44" s="874"/>
      <c r="X44" s="874"/>
      <c r="Y44" s="874"/>
      <c r="Z44" s="874"/>
    </row>
    <row r="45" spans="1:26" ht="18" hidden="1" customHeight="1" x14ac:dyDescent="0.35">
      <c r="A45" s="874"/>
      <c r="B45" s="874"/>
      <c r="C45" s="916"/>
      <c r="D45" s="916"/>
      <c r="E45" s="916"/>
      <c r="F45" s="874"/>
      <c r="G45" s="874"/>
      <c r="H45" s="874"/>
      <c r="I45" s="874"/>
      <c r="J45" s="874"/>
      <c r="K45" s="874"/>
      <c r="L45" s="880"/>
      <c r="M45" s="880"/>
      <c r="N45" s="913"/>
      <c r="O45" s="880"/>
      <c r="P45" s="874"/>
      <c r="Q45" s="874"/>
      <c r="R45" s="874"/>
      <c r="S45" s="874"/>
      <c r="T45" s="874"/>
      <c r="U45" s="874"/>
      <c r="V45" s="874"/>
      <c r="W45" s="874"/>
      <c r="X45" s="874"/>
      <c r="Y45" s="874"/>
      <c r="Z45" s="874"/>
    </row>
    <row r="46" spans="1:26" ht="18" hidden="1" customHeight="1" x14ac:dyDescent="0.35">
      <c r="A46" s="874"/>
      <c r="B46" s="874"/>
      <c r="C46" s="916"/>
      <c r="D46" s="916"/>
      <c r="E46" s="916"/>
      <c r="F46" s="874"/>
      <c r="G46" s="874"/>
      <c r="H46" s="874"/>
      <c r="I46" s="874"/>
      <c r="J46" s="874"/>
      <c r="K46" s="874"/>
      <c r="L46" s="880"/>
      <c r="M46" s="880"/>
      <c r="N46" s="913"/>
      <c r="O46" s="880"/>
      <c r="P46" s="874"/>
      <c r="Q46" s="874"/>
      <c r="R46" s="874"/>
      <c r="S46" s="874"/>
      <c r="T46" s="874"/>
      <c r="U46" s="874"/>
      <c r="V46" s="874"/>
      <c r="W46" s="874"/>
      <c r="X46" s="874"/>
      <c r="Y46" s="874"/>
      <c r="Z46" s="874"/>
    </row>
    <row r="47" spans="1:26" ht="18" hidden="1" customHeight="1" x14ac:dyDescent="0.35">
      <c r="A47" s="874"/>
      <c r="B47" s="874"/>
      <c r="C47" s="874"/>
      <c r="D47" s="874"/>
      <c r="E47" s="874"/>
      <c r="F47" s="874"/>
      <c r="G47" s="874"/>
      <c r="H47" s="874"/>
      <c r="I47" s="874"/>
      <c r="J47" s="874"/>
      <c r="K47" s="874"/>
      <c r="L47" s="880"/>
      <c r="M47" s="880"/>
      <c r="N47" s="913"/>
      <c r="O47" s="880"/>
      <c r="P47" s="874"/>
      <c r="Q47" s="874"/>
      <c r="R47" s="874"/>
      <c r="S47" s="874"/>
      <c r="T47" s="874"/>
      <c r="U47" s="874"/>
      <c r="V47" s="874"/>
      <c r="W47" s="874"/>
      <c r="X47" s="874"/>
      <c r="Y47" s="874"/>
      <c r="Z47" s="874"/>
    </row>
    <row r="48" spans="1:26" ht="18" hidden="1" customHeight="1" x14ac:dyDescent="0.35">
      <c r="A48" s="874" t="s">
        <v>21</v>
      </c>
      <c r="B48" s="874" t="str">
        <f>C18</f>
        <v>Métal x 2 sur bouts</v>
      </c>
      <c r="C48" s="874"/>
      <c r="D48" s="874"/>
      <c r="E48" s="874"/>
      <c r="F48" s="874"/>
      <c r="G48" s="874"/>
      <c r="H48" s="874"/>
      <c r="I48" s="874"/>
      <c r="J48" s="874"/>
      <c r="K48" s="874"/>
      <c r="L48" s="880"/>
      <c r="M48" s="880">
        <f>IF(B48="Métal x 4 sur GC",4*2,IF(B48="Métal x 2 sur bouts",2*2,0))</f>
        <v>4</v>
      </c>
      <c r="N48" s="913">
        <f>IF(B48="Métal x 4 sur GC",4*3,IF(B48="Métal x 2 sur bouts",2*3,0))</f>
        <v>6</v>
      </c>
      <c r="O48" s="880">
        <f>N48*Wrapp!MinuteMO</f>
        <v>5.0999999999999996</v>
      </c>
      <c r="P48" s="874"/>
      <c r="Q48" s="874"/>
      <c r="R48" s="874"/>
      <c r="S48" s="874"/>
      <c r="T48" s="874"/>
      <c r="U48" s="874"/>
      <c r="V48" s="874"/>
      <c r="W48" s="874"/>
      <c r="X48" s="874"/>
      <c r="Y48" s="874"/>
      <c r="Z48" s="874"/>
    </row>
    <row r="49" spans="1:26" ht="18" hidden="1" customHeight="1" x14ac:dyDescent="0.35">
      <c r="A49" s="874"/>
      <c r="B49" s="874"/>
      <c r="C49" s="874"/>
      <c r="D49" s="874"/>
      <c r="E49" s="874"/>
      <c r="F49" s="874"/>
      <c r="G49" s="874"/>
      <c r="H49" s="874"/>
      <c r="I49" s="874"/>
      <c r="J49" s="874"/>
      <c r="K49" s="874"/>
      <c r="L49" s="880"/>
      <c r="M49" s="874"/>
      <c r="N49" s="913"/>
      <c r="O49" s="880"/>
      <c r="P49" s="874"/>
      <c r="Q49" s="874"/>
      <c r="R49" s="874"/>
      <c r="S49" s="874"/>
      <c r="T49" s="874"/>
      <c r="U49" s="874"/>
      <c r="V49" s="874"/>
      <c r="W49" s="874"/>
      <c r="X49" s="874"/>
      <c r="Y49" s="874"/>
      <c r="Z49" s="874"/>
    </row>
    <row r="50" spans="1:26" ht="18" hidden="1" customHeight="1" x14ac:dyDescent="0.35">
      <c r="A50" s="874"/>
      <c r="B50" s="874"/>
      <c r="C50" s="874"/>
      <c r="D50" s="874"/>
      <c r="E50" s="874"/>
      <c r="F50" s="874"/>
      <c r="G50" s="874"/>
      <c r="H50" s="874"/>
      <c r="I50" s="874"/>
      <c r="J50" s="874"/>
      <c r="K50" s="874"/>
      <c r="L50" s="880">
        <f>IF(E50=0,0,VLOOKUP(E50,'[1]Prix Matiere'!$A$4:$J$65,10))</f>
        <v>0</v>
      </c>
      <c r="M50" s="903">
        <f t="shared" ref="M50:N50" si="6">SUM(M31:M49)</f>
        <v>4</v>
      </c>
      <c r="N50" s="917">
        <f t="shared" si="6"/>
        <v>6</v>
      </c>
      <c r="O50" s="880">
        <f>N50*Wrapp!MinuteMO</f>
        <v>5.0999999999999996</v>
      </c>
      <c r="P50" s="874"/>
      <c r="Q50" s="914">
        <f>SUM(Q35:Q49)</f>
        <v>0</v>
      </c>
      <c r="R50" s="874"/>
      <c r="S50" s="874"/>
      <c r="T50" s="874"/>
      <c r="U50" s="874"/>
      <c r="V50" s="874"/>
      <c r="W50" s="874"/>
      <c r="X50" s="874"/>
      <c r="Y50" s="874"/>
      <c r="Z50" s="874"/>
    </row>
    <row r="51" spans="1:26" ht="18" hidden="1" customHeight="1" x14ac:dyDescent="0.35">
      <c r="A51" s="874"/>
      <c r="B51" s="918" t="s">
        <v>73</v>
      </c>
      <c r="C51" s="919">
        <f>IF($F$9=0,0,M50)</f>
        <v>0</v>
      </c>
      <c r="D51" s="920"/>
      <c r="E51" s="921" t="s">
        <v>74</v>
      </c>
      <c r="F51" s="922" t="str">
        <f>CONCATENATE(ROUNDUP(K35,2)," m²")</f>
        <v>0 m²</v>
      </c>
      <c r="G51" s="923">
        <f>M35</f>
        <v>0</v>
      </c>
      <c r="H51" s="924"/>
      <c r="I51" s="874"/>
      <c r="J51" s="874"/>
      <c r="K51" s="874"/>
      <c r="L51" s="874"/>
      <c r="M51" s="874"/>
      <c r="N51" s="874"/>
      <c r="O51" s="874"/>
      <c r="P51" s="874"/>
      <c r="Q51" s="874"/>
      <c r="R51" s="874"/>
      <c r="S51" s="874"/>
      <c r="T51" s="874"/>
      <c r="U51" s="874"/>
      <c r="V51" s="874"/>
      <c r="W51" s="874"/>
      <c r="X51" s="874"/>
      <c r="Y51" s="874"/>
      <c r="Z51" s="874"/>
    </row>
    <row r="52" spans="1:26" ht="18" hidden="1" customHeight="1" x14ac:dyDescent="0.35">
      <c r="A52" s="874"/>
      <c r="B52" s="883" t="s">
        <v>75</v>
      </c>
      <c r="C52" s="880">
        <f>IF($F$9=0,0,O50)</f>
        <v>0</v>
      </c>
      <c r="D52" s="925">
        <f>IF($F$9=0,0,N50)</f>
        <v>0</v>
      </c>
      <c r="E52" s="882"/>
      <c r="F52" s="926"/>
      <c r="G52" s="927"/>
      <c r="H52" s="924"/>
      <c r="I52" s="874"/>
      <c r="J52" s="874"/>
      <c r="K52" s="874"/>
      <c r="L52" s="874"/>
      <c r="M52" s="874"/>
      <c r="N52" s="874"/>
      <c r="O52" s="874"/>
      <c r="P52" s="874"/>
      <c r="Q52" s="874"/>
      <c r="R52" s="874"/>
      <c r="S52" s="874"/>
      <c r="T52" s="874"/>
      <c r="U52" s="874"/>
      <c r="V52" s="874"/>
      <c r="W52" s="874"/>
      <c r="X52" s="874"/>
      <c r="Y52" s="874"/>
      <c r="Z52" s="874"/>
    </row>
    <row r="53" spans="1:26" ht="18" hidden="1" customHeight="1" x14ac:dyDescent="0.35">
      <c r="A53" s="874"/>
      <c r="B53" s="883" t="s">
        <v>77</v>
      </c>
      <c r="C53" s="880">
        <f>IF($F$9=0,0,((C51+C52)/Wrapp!Frais_Généraux)-(C51+C52))</f>
        <v>0</v>
      </c>
      <c r="D53" s="928"/>
      <c r="E53" s="882"/>
      <c r="F53" s="926"/>
      <c r="G53" s="927"/>
      <c r="H53" s="924"/>
      <c r="I53" s="874"/>
      <c r="J53" s="874"/>
      <c r="K53" s="874"/>
      <c r="L53" s="874"/>
      <c r="M53" s="874"/>
      <c r="N53" s="874"/>
      <c r="O53" s="874"/>
      <c r="P53" s="874"/>
      <c r="Q53" s="874"/>
      <c r="R53" s="874"/>
      <c r="S53" s="874"/>
      <c r="T53" s="874"/>
      <c r="U53" s="874"/>
      <c r="V53" s="874"/>
      <c r="W53" s="874"/>
      <c r="X53" s="874"/>
      <c r="Y53" s="874"/>
      <c r="Z53" s="874"/>
    </row>
    <row r="54" spans="1:26" ht="18" hidden="1" customHeight="1" x14ac:dyDescent="0.35">
      <c r="A54" s="874"/>
      <c r="B54" s="883" t="s">
        <v>79</v>
      </c>
      <c r="C54" s="880">
        <f>IF($F$9=0,0,SUM(C51:C53))</f>
        <v>0</v>
      </c>
      <c r="D54" s="928"/>
      <c r="E54" s="882" t="s">
        <v>80</v>
      </c>
      <c r="F54" s="926" t="str">
        <f>CONCATENATE(ROUNDUP(SUM(K40:K43),2)," m²")</f>
        <v>0 m²</v>
      </c>
      <c r="G54" s="927">
        <f>SUM(M40:M43)</f>
        <v>0</v>
      </c>
      <c r="H54" s="874"/>
      <c r="I54" s="874"/>
      <c r="J54" s="874"/>
      <c r="K54" s="874"/>
      <c r="L54" s="874"/>
      <c r="M54" s="874"/>
      <c r="N54" s="874"/>
      <c r="O54" s="874"/>
      <c r="P54" s="874"/>
      <c r="Q54" s="874"/>
      <c r="R54" s="874"/>
      <c r="S54" s="874"/>
      <c r="T54" s="874"/>
      <c r="U54" s="874"/>
      <c r="V54" s="874"/>
      <c r="W54" s="874"/>
      <c r="X54" s="874"/>
      <c r="Y54" s="874"/>
      <c r="Z54" s="874"/>
    </row>
    <row r="55" spans="1:26" ht="18" hidden="1" customHeight="1" x14ac:dyDescent="0.35">
      <c r="A55" s="874"/>
      <c r="B55" s="883" t="s">
        <v>81</v>
      </c>
      <c r="C55" s="880">
        <f>IF($F$9=0,0,(C54/(1-Wrapp!Marge)-C54))</f>
        <v>0</v>
      </c>
      <c r="D55" s="929">
        <f>C54+C55</f>
        <v>0</v>
      </c>
      <c r="E55" s="882" t="s">
        <v>82</v>
      </c>
      <c r="F55" s="926" t="str">
        <f>CONCATENATE(ROUNDUP(K37,2)," m²")</f>
        <v>0 m²</v>
      </c>
      <c r="G55" s="927">
        <f>M37</f>
        <v>0</v>
      </c>
      <c r="H55" s="874"/>
      <c r="I55" s="874"/>
      <c r="J55" s="874"/>
      <c r="K55" s="874"/>
      <c r="L55" s="874"/>
      <c r="M55" s="874"/>
      <c r="N55" s="874"/>
      <c r="O55" s="874"/>
      <c r="P55" s="874"/>
      <c r="Q55" s="874"/>
      <c r="R55" s="874"/>
      <c r="S55" s="874"/>
      <c r="T55" s="874"/>
      <c r="U55" s="874"/>
      <c r="V55" s="874"/>
      <c r="W55" s="874"/>
      <c r="X55" s="874"/>
      <c r="Y55" s="874"/>
      <c r="Z55" s="874"/>
    </row>
    <row r="56" spans="1:26" ht="18" hidden="1" customHeight="1" x14ac:dyDescent="0.35">
      <c r="A56" s="874"/>
      <c r="B56" s="883" t="s">
        <v>83</v>
      </c>
      <c r="C56" s="880">
        <f>IF($F$10="BOVIS",((C54+C55)*(1+C57))-(C54+C55),((C54+C55)*(1+D56))-(C54+C55))</f>
        <v>0</v>
      </c>
      <c r="D56" s="22"/>
      <c r="E56" s="882"/>
      <c r="F56" s="926"/>
      <c r="G56" s="927"/>
      <c r="H56" s="874"/>
      <c r="I56" s="874"/>
      <c r="J56" s="874"/>
      <c r="K56" s="874"/>
      <c r="L56" s="874"/>
      <c r="M56" s="874"/>
      <c r="N56" s="874"/>
      <c r="O56" s="874"/>
      <c r="P56" s="874"/>
      <c r="Q56" s="874"/>
      <c r="R56" s="874"/>
      <c r="S56" s="874"/>
      <c r="T56" s="874"/>
      <c r="U56" s="874"/>
      <c r="V56" s="874"/>
      <c r="W56" s="874"/>
      <c r="X56" s="874"/>
      <c r="Y56" s="874"/>
      <c r="Z56" s="874"/>
    </row>
    <row r="57" spans="1:26" ht="18" hidden="1" customHeight="1" x14ac:dyDescent="0.35">
      <c r="A57" s="874"/>
      <c r="B57" s="883"/>
      <c r="C57" s="924">
        <f>IF($F$10="BOVIS",0.03,0)</f>
        <v>0</v>
      </c>
      <c r="D57" s="930"/>
      <c r="E57" s="882"/>
      <c r="F57" s="926"/>
      <c r="G57" s="927"/>
      <c r="H57" s="874"/>
      <c r="I57" s="874"/>
      <c r="J57" s="874"/>
      <c r="K57" s="874"/>
      <c r="L57" s="874"/>
      <c r="M57" s="874"/>
      <c r="N57" s="874"/>
      <c r="O57" s="874"/>
      <c r="P57" s="874"/>
      <c r="Q57" s="874"/>
      <c r="R57" s="874"/>
      <c r="S57" s="874"/>
      <c r="T57" s="874"/>
      <c r="U57" s="874"/>
      <c r="V57" s="874"/>
      <c r="W57" s="874"/>
      <c r="X57" s="874"/>
      <c r="Y57" s="874"/>
      <c r="Z57" s="874"/>
    </row>
    <row r="58" spans="1:26" ht="18" hidden="1" customHeight="1" x14ac:dyDescent="0.35">
      <c r="A58" s="874"/>
      <c r="B58" s="931" t="s">
        <v>84</v>
      </c>
      <c r="C58" s="932">
        <f>SUM(C54:C57)</f>
        <v>0</v>
      </c>
      <c r="D58" s="933"/>
      <c r="E58" s="934" t="s">
        <v>85</v>
      </c>
      <c r="F58" s="935"/>
      <c r="G58" s="936">
        <f>C51-SUM(G51:G55)</f>
        <v>0</v>
      </c>
      <c r="H58" s="874"/>
      <c r="I58" s="874"/>
      <c r="J58" s="874"/>
      <c r="K58" s="874"/>
      <c r="L58" s="874"/>
      <c r="M58" s="874"/>
      <c r="N58" s="874"/>
      <c r="O58" s="874"/>
      <c r="P58" s="874"/>
      <c r="Q58" s="874"/>
      <c r="R58" s="874"/>
      <c r="S58" s="874"/>
      <c r="T58" s="874"/>
      <c r="U58" s="874"/>
      <c r="V58" s="874"/>
      <c r="W58" s="874"/>
      <c r="X58" s="874"/>
      <c r="Y58" s="874"/>
      <c r="Z58" s="874"/>
    </row>
    <row r="59" spans="1:26" ht="18" hidden="1" customHeight="1" x14ac:dyDescent="0.35">
      <c r="A59" s="144"/>
      <c r="B59" s="144"/>
      <c r="C59" s="144"/>
      <c r="D59" s="144"/>
      <c r="E59" s="144"/>
      <c r="F59" s="875"/>
      <c r="G59" s="144"/>
      <c r="H59" s="144"/>
      <c r="I59" s="144"/>
      <c r="J59" s="144"/>
      <c r="K59" s="144"/>
      <c r="L59" s="144"/>
      <c r="M59" s="144"/>
      <c r="N59" s="144"/>
      <c r="O59" s="144"/>
      <c r="P59" s="874"/>
      <c r="Q59" s="874"/>
      <c r="R59" s="874"/>
      <c r="S59" s="874"/>
      <c r="T59" s="874"/>
      <c r="U59" s="874"/>
      <c r="V59" s="874"/>
      <c r="W59" s="874"/>
      <c r="X59" s="874"/>
      <c r="Y59" s="874"/>
      <c r="Z59" s="874"/>
    </row>
    <row r="60" spans="1:26" ht="18" customHeight="1" x14ac:dyDescent="0.35">
      <c r="A60" s="874"/>
      <c r="B60" s="874"/>
      <c r="C60" s="874"/>
      <c r="D60" s="874"/>
      <c r="E60" s="874"/>
      <c r="F60" s="874"/>
      <c r="G60" s="874"/>
      <c r="H60" s="874"/>
      <c r="I60" s="874"/>
      <c r="J60" s="874"/>
      <c r="K60" s="874"/>
      <c r="L60" s="874"/>
      <c r="M60" s="874"/>
      <c r="N60" s="874"/>
      <c r="O60" s="874"/>
      <c r="P60" s="874"/>
      <c r="Q60" s="874"/>
      <c r="R60" s="874"/>
      <c r="S60" s="874"/>
      <c r="T60" s="874"/>
      <c r="U60" s="874"/>
      <c r="V60" s="874"/>
      <c r="W60" s="874"/>
      <c r="X60" s="874"/>
      <c r="Y60" s="874"/>
      <c r="Z60" s="874"/>
    </row>
    <row r="61" spans="1:26" ht="18" hidden="1" customHeight="1" x14ac:dyDescent="0.35">
      <c r="A61" s="937" t="s">
        <v>10</v>
      </c>
      <c r="B61" s="937" t="s">
        <v>10</v>
      </c>
      <c r="C61" s="937" t="s">
        <v>10</v>
      </c>
      <c r="D61" s="938">
        <v>1.5</v>
      </c>
      <c r="E61" s="144"/>
      <c r="F61" s="144"/>
      <c r="G61" s="144"/>
      <c r="H61" s="144"/>
      <c r="I61" s="144"/>
      <c r="J61" s="144"/>
      <c r="K61" s="144"/>
      <c r="L61" s="144"/>
      <c r="M61" s="144"/>
      <c r="N61" s="144"/>
      <c r="O61" s="144"/>
      <c r="P61" s="144"/>
      <c r="Q61" s="874"/>
      <c r="R61" s="874"/>
      <c r="S61" s="874"/>
      <c r="T61" s="874"/>
      <c r="U61" s="874"/>
      <c r="V61" s="874"/>
      <c r="W61" s="874"/>
      <c r="X61" s="874"/>
      <c r="Y61" s="874"/>
      <c r="Z61" s="874"/>
    </row>
    <row r="62" spans="1:26" ht="18" hidden="1" customHeight="1" x14ac:dyDescent="0.35">
      <c r="A62" s="874"/>
      <c r="B62" s="874"/>
      <c r="C62" s="874"/>
      <c r="D62" s="874"/>
      <c r="E62" s="874"/>
      <c r="F62" s="874"/>
      <c r="G62" s="874"/>
      <c r="H62" s="874"/>
      <c r="I62" s="874"/>
      <c r="J62" s="874"/>
      <c r="K62" s="874"/>
      <c r="L62" s="874"/>
      <c r="M62" s="874"/>
      <c r="N62" s="874"/>
      <c r="O62" s="874"/>
      <c r="P62" s="874"/>
      <c r="Q62" s="874"/>
      <c r="R62" s="874"/>
      <c r="S62" s="874"/>
      <c r="T62" s="874"/>
      <c r="U62" s="874"/>
      <c r="V62" s="874"/>
      <c r="W62" s="874"/>
      <c r="X62" s="874"/>
      <c r="Y62" s="874"/>
      <c r="Z62" s="874"/>
    </row>
    <row r="63" spans="1:26" ht="18" hidden="1" customHeight="1" x14ac:dyDescent="0.35">
      <c r="A63" s="939" t="s">
        <v>108</v>
      </c>
      <c r="B63" s="938">
        <v>2</v>
      </c>
      <c r="C63" s="144"/>
      <c r="D63" s="144"/>
      <c r="E63" s="144"/>
      <c r="F63" s="144"/>
      <c r="G63" s="144"/>
      <c r="H63" s="144"/>
      <c r="I63" s="144"/>
      <c r="J63" s="144"/>
      <c r="K63" s="144"/>
      <c r="L63" s="144"/>
      <c r="M63" s="144"/>
      <c r="N63" s="144"/>
      <c r="O63" s="144"/>
      <c r="P63" s="144"/>
      <c r="Q63" s="874"/>
      <c r="R63" s="874"/>
      <c r="S63" s="874"/>
      <c r="T63" s="874"/>
      <c r="U63" s="874"/>
      <c r="V63" s="874"/>
      <c r="W63" s="874"/>
      <c r="X63" s="874"/>
      <c r="Y63" s="874"/>
      <c r="Z63" s="874"/>
    </row>
    <row r="64" spans="1:26" ht="18" hidden="1" customHeight="1" x14ac:dyDescent="0.35">
      <c r="A64" s="144"/>
      <c r="B64" s="144"/>
      <c r="C64" s="144"/>
      <c r="D64" s="144"/>
      <c r="E64" s="144"/>
      <c r="F64" s="144"/>
      <c r="G64" s="144"/>
      <c r="H64" s="144"/>
      <c r="I64" s="144"/>
      <c r="J64" s="144"/>
      <c r="K64" s="144"/>
      <c r="L64" s="144"/>
      <c r="M64" s="144"/>
      <c r="N64" s="144"/>
      <c r="O64" s="144"/>
      <c r="P64" s="144"/>
      <c r="Q64" s="874"/>
      <c r="R64" s="874"/>
      <c r="S64" s="874"/>
      <c r="T64" s="874"/>
      <c r="U64" s="874"/>
      <c r="V64" s="874"/>
      <c r="W64" s="874"/>
      <c r="X64" s="874"/>
      <c r="Y64" s="874"/>
      <c r="Z64" s="874"/>
    </row>
    <row r="65" spans="1:26" ht="18" hidden="1" customHeight="1" x14ac:dyDescent="0.35">
      <c r="A65" s="918"/>
      <c r="B65" s="132" t="s">
        <v>114</v>
      </c>
      <c r="C65" s="132" t="s">
        <v>115</v>
      </c>
      <c r="D65" s="132" t="s">
        <v>116</v>
      </c>
      <c r="E65" s="132" t="s">
        <v>117</v>
      </c>
      <c r="F65" s="132" t="s">
        <v>118</v>
      </c>
      <c r="G65" s="132" t="s">
        <v>119</v>
      </c>
      <c r="H65" s="132" t="s">
        <v>120</v>
      </c>
      <c r="I65" s="132" t="s">
        <v>121</v>
      </c>
      <c r="J65" s="132" t="s">
        <v>122</v>
      </c>
      <c r="K65" s="132" t="s">
        <v>123</v>
      </c>
      <c r="L65" s="940" t="s">
        <v>82</v>
      </c>
      <c r="M65" s="144"/>
      <c r="N65" s="144"/>
      <c r="O65" s="144"/>
      <c r="P65" s="144"/>
      <c r="Q65" s="874"/>
      <c r="R65" s="874"/>
      <c r="S65" s="874"/>
      <c r="T65" s="874"/>
      <c r="U65" s="874"/>
      <c r="V65" s="874"/>
      <c r="W65" s="874"/>
      <c r="X65" s="874"/>
      <c r="Y65" s="874"/>
      <c r="Z65" s="874"/>
    </row>
    <row r="66" spans="1:26" ht="18" hidden="1" customHeight="1" x14ac:dyDescent="0.35">
      <c r="A66" s="941">
        <v>1</v>
      </c>
      <c r="B66" s="144">
        <v>2</v>
      </c>
      <c r="C66" s="144">
        <v>3</v>
      </c>
      <c r="D66" s="144">
        <v>4</v>
      </c>
      <c r="E66" s="144">
        <v>5</v>
      </c>
      <c r="F66" s="144">
        <v>6</v>
      </c>
      <c r="G66" s="144">
        <v>7</v>
      </c>
      <c r="H66" s="144">
        <v>8</v>
      </c>
      <c r="I66" s="144">
        <v>9</v>
      </c>
      <c r="J66" s="144">
        <v>10</v>
      </c>
      <c r="K66" s="144">
        <v>11</v>
      </c>
      <c r="L66" s="942">
        <v>12</v>
      </c>
      <c r="M66" s="144"/>
      <c r="N66" s="144"/>
      <c r="O66" s="144"/>
      <c r="P66" s="144"/>
      <c r="Q66" s="874"/>
      <c r="R66" s="874"/>
      <c r="S66" s="874"/>
      <c r="T66" s="874"/>
      <c r="U66" s="874"/>
      <c r="V66" s="874"/>
      <c r="W66" s="874"/>
      <c r="X66" s="874"/>
      <c r="Y66" s="874"/>
      <c r="Z66" s="874"/>
    </row>
    <row r="67" spans="1:26" ht="18" hidden="1" customHeight="1" x14ac:dyDescent="0.35">
      <c r="A67" s="941" t="s">
        <v>16</v>
      </c>
      <c r="B67" s="144">
        <v>0</v>
      </c>
      <c r="C67" s="144">
        <v>0</v>
      </c>
      <c r="D67" s="144">
        <v>0</v>
      </c>
      <c r="E67" s="144">
        <v>0</v>
      </c>
      <c r="F67" s="144">
        <v>0</v>
      </c>
      <c r="G67" s="144">
        <v>0</v>
      </c>
      <c r="H67" s="144">
        <v>0</v>
      </c>
      <c r="I67" s="144">
        <v>0</v>
      </c>
      <c r="J67" s="144">
        <v>0</v>
      </c>
      <c r="K67" s="144">
        <v>0</v>
      </c>
      <c r="L67" s="942">
        <v>0</v>
      </c>
      <c r="M67" s="144"/>
      <c r="N67" s="144"/>
      <c r="O67" s="144"/>
      <c r="P67" s="144"/>
      <c r="Q67" s="874"/>
      <c r="R67" s="874"/>
      <c r="S67" s="874"/>
      <c r="T67" s="874"/>
      <c r="U67" s="874"/>
      <c r="V67" s="874"/>
      <c r="W67" s="874"/>
      <c r="X67" s="874"/>
      <c r="Y67" s="874"/>
      <c r="Z67" s="874"/>
    </row>
    <row r="68" spans="1:26" ht="18" hidden="1" customHeight="1" x14ac:dyDescent="0.35">
      <c r="A68" s="941" t="s">
        <v>330</v>
      </c>
      <c r="B68" s="144">
        <f t="shared" ref="B68:C68" si="7">VLOOKUP($E$23,$A$75:$C$81,3)*2</f>
        <v>10.8</v>
      </c>
      <c r="C68" s="144">
        <f t="shared" si="7"/>
        <v>10.8</v>
      </c>
      <c r="D68" s="144">
        <f>VLOOKUP(E23,A75:C81,3)</f>
        <v>5.4</v>
      </c>
      <c r="E68" s="144">
        <v>10.9</v>
      </c>
      <c r="F68" s="144">
        <v>0.2</v>
      </c>
      <c r="G68" s="144">
        <f t="shared" ref="G68:G69" si="8">2</f>
        <v>2</v>
      </c>
      <c r="H68" s="144" t="str">
        <f t="shared" ref="H68:I68" si="9">VLOOKUP($E$23,$A$75:$C$81,1)</f>
        <v>Stratocell 50 mm</v>
      </c>
      <c r="I68" s="144" t="str">
        <f t="shared" si="9"/>
        <v>Stratocell 50 mm</v>
      </c>
      <c r="J68" s="144">
        <v>-0.5</v>
      </c>
      <c r="K68" s="144">
        <v>2</v>
      </c>
      <c r="L68" s="942">
        <v>1</v>
      </c>
      <c r="M68" s="144"/>
      <c r="N68" s="144"/>
      <c r="O68" s="144"/>
      <c r="P68" s="144"/>
      <c r="Q68" s="874"/>
      <c r="R68" s="874"/>
      <c r="S68" s="874"/>
      <c r="T68" s="874"/>
      <c r="U68" s="874"/>
      <c r="V68" s="874"/>
      <c r="W68" s="874"/>
      <c r="X68" s="874"/>
      <c r="Y68" s="874"/>
      <c r="Z68" s="874"/>
    </row>
    <row r="69" spans="1:26" ht="18" hidden="1" customHeight="1" x14ac:dyDescent="0.35">
      <c r="A69" s="941" t="s">
        <v>504</v>
      </c>
      <c r="B69" s="144">
        <f t="shared" ref="B69:C69" si="10">VLOOKUP($E$23,$A$75:$C$81,3)*2</f>
        <v>10.8</v>
      </c>
      <c r="C69" s="144">
        <f t="shared" si="10"/>
        <v>10.8</v>
      </c>
      <c r="D69" s="144">
        <f>VLOOKUP(E23,A75:C81,3)</f>
        <v>5.4</v>
      </c>
      <c r="E69" s="144">
        <v>10.9</v>
      </c>
      <c r="F69" s="144">
        <v>0.2</v>
      </c>
      <c r="G69" s="144">
        <f t="shared" si="8"/>
        <v>2</v>
      </c>
      <c r="H69" s="144" t="str">
        <f t="shared" ref="H69:I69" si="11">VLOOKUP($E$23,$A$75:$C$81,1)</f>
        <v>Stratocell 50 mm</v>
      </c>
      <c r="I69" s="144" t="str">
        <f t="shared" si="11"/>
        <v>Stratocell 50 mm</v>
      </c>
      <c r="J69" s="144">
        <v>-0.5</v>
      </c>
      <c r="K69" s="144">
        <v>2</v>
      </c>
      <c r="L69" s="942">
        <v>1</v>
      </c>
      <c r="M69" s="144"/>
      <c r="N69" s="144"/>
      <c r="O69" s="144"/>
      <c r="P69" s="144"/>
      <c r="Q69" s="874"/>
      <c r="R69" s="874"/>
      <c r="S69" s="874"/>
      <c r="T69" s="874"/>
      <c r="U69" s="874"/>
      <c r="V69" s="874"/>
      <c r="W69" s="874"/>
      <c r="X69" s="874"/>
      <c r="Y69" s="874"/>
      <c r="Z69" s="874"/>
    </row>
    <row r="70" spans="1:26" ht="18" hidden="1" customHeight="1" x14ac:dyDescent="0.35">
      <c r="A70" s="943" t="s">
        <v>304</v>
      </c>
      <c r="B70" s="151">
        <f t="shared" ref="B70:C70" si="12">VLOOKUP($E$23,$A$75:$C$81,3)*2</f>
        <v>10.8</v>
      </c>
      <c r="C70" s="151">
        <f t="shared" si="12"/>
        <v>10.8</v>
      </c>
      <c r="D70" s="151">
        <f>VLOOKUP(E23,A75:C81,3)</f>
        <v>5.4</v>
      </c>
      <c r="E70" s="151">
        <v>5</v>
      </c>
      <c r="F70" s="151">
        <v>0.2</v>
      </c>
      <c r="G70" s="151">
        <v>2</v>
      </c>
      <c r="H70" s="151" t="str">
        <f t="shared" ref="H70:I70" si="13">VLOOKUP($E$23,$A$75:$C$81,1)</f>
        <v>Stratocell 50 mm</v>
      </c>
      <c r="I70" s="151" t="str">
        <f t="shared" si="13"/>
        <v>Stratocell 50 mm</v>
      </c>
      <c r="J70" s="151">
        <v>9.4</v>
      </c>
      <c r="K70" s="151">
        <v>2</v>
      </c>
      <c r="L70" s="944">
        <v>1</v>
      </c>
      <c r="M70" s="144"/>
      <c r="N70" s="144"/>
      <c r="O70" s="144"/>
      <c r="P70" s="144"/>
      <c r="Q70" s="874"/>
      <c r="R70" s="874"/>
      <c r="S70" s="874"/>
      <c r="T70" s="874"/>
      <c r="U70" s="874"/>
      <c r="V70" s="874"/>
      <c r="W70" s="874"/>
      <c r="X70" s="874"/>
      <c r="Y70" s="874"/>
      <c r="Z70" s="874"/>
    </row>
    <row r="71" spans="1:26" ht="18" hidden="1" customHeight="1" x14ac:dyDescent="0.35">
      <c r="A71" s="874"/>
      <c r="B71" s="874"/>
      <c r="C71" s="874"/>
      <c r="D71" s="874"/>
      <c r="E71" s="874"/>
      <c r="F71" s="874"/>
      <c r="G71" s="874"/>
      <c r="H71" s="874"/>
      <c r="I71" s="874"/>
      <c r="J71" s="874"/>
      <c r="K71" s="874"/>
      <c r="L71" s="874"/>
      <c r="M71" s="874"/>
      <c r="N71" s="874"/>
      <c r="O71" s="874"/>
      <c r="P71" s="874"/>
      <c r="Q71" s="874"/>
      <c r="R71" s="874"/>
      <c r="S71" s="874"/>
      <c r="T71" s="874"/>
      <c r="U71" s="874"/>
      <c r="V71" s="874"/>
      <c r="W71" s="874"/>
      <c r="X71" s="874"/>
      <c r="Y71" s="874"/>
      <c r="Z71" s="874"/>
    </row>
    <row r="72" spans="1:26" ht="18" hidden="1" customHeight="1" x14ac:dyDescent="0.35">
      <c r="A72" s="945" t="s">
        <v>20</v>
      </c>
      <c r="B72" s="144"/>
      <c r="C72" s="144"/>
      <c r="D72" s="144"/>
      <c r="E72" s="144"/>
      <c r="F72" s="144"/>
      <c r="G72" s="144"/>
      <c r="H72" s="144"/>
      <c r="I72" s="144"/>
      <c r="J72" s="144"/>
      <c r="K72" s="144"/>
      <c r="L72" s="144"/>
      <c r="M72" s="144"/>
      <c r="N72" s="144"/>
      <c r="O72" s="144"/>
      <c r="P72" s="144"/>
      <c r="Q72" s="874"/>
      <c r="R72" s="874"/>
      <c r="S72" s="874"/>
      <c r="T72" s="874"/>
      <c r="U72" s="874"/>
      <c r="V72" s="874"/>
      <c r="W72" s="874"/>
      <c r="X72" s="874"/>
      <c r="Y72" s="874"/>
      <c r="Z72" s="874"/>
    </row>
    <row r="73" spans="1:26" ht="18" hidden="1" customHeight="1" x14ac:dyDescent="0.35">
      <c r="A73" s="946" t="s">
        <v>14</v>
      </c>
      <c r="B73" s="874"/>
      <c r="C73" s="874"/>
      <c r="D73" s="874"/>
      <c r="E73" s="874"/>
      <c r="F73" s="874"/>
      <c r="G73" s="874"/>
      <c r="H73" s="874"/>
      <c r="I73" s="874"/>
      <c r="J73" s="874"/>
      <c r="K73" s="874"/>
      <c r="L73" s="874"/>
      <c r="M73" s="874"/>
      <c r="N73" s="874"/>
      <c r="O73" s="874"/>
      <c r="P73" s="874"/>
      <c r="Q73" s="874"/>
      <c r="R73" s="874"/>
      <c r="S73" s="874"/>
      <c r="T73" s="874"/>
      <c r="U73" s="874"/>
      <c r="V73" s="874"/>
      <c r="W73" s="874"/>
      <c r="X73" s="874"/>
      <c r="Y73" s="874"/>
      <c r="Z73" s="874"/>
    </row>
    <row r="74" spans="1:26" ht="18" hidden="1" customHeight="1" x14ac:dyDescent="0.35">
      <c r="A74" s="874"/>
      <c r="B74" s="874"/>
      <c r="C74" s="874"/>
      <c r="D74" s="874"/>
      <c r="E74" s="874"/>
      <c r="F74" s="874"/>
      <c r="G74" s="874"/>
      <c r="H74" s="874"/>
      <c r="I74" s="874"/>
      <c r="J74" s="874"/>
      <c r="K74" s="874"/>
      <c r="L74" s="874"/>
      <c r="M74" s="874"/>
      <c r="N74" s="874"/>
      <c r="O74" s="874"/>
      <c r="P74" s="874"/>
      <c r="Q74" s="874"/>
      <c r="R74" s="874"/>
      <c r="S74" s="874"/>
      <c r="T74" s="874"/>
      <c r="U74" s="874"/>
      <c r="V74" s="874"/>
      <c r="W74" s="874"/>
      <c r="X74" s="874"/>
      <c r="Y74" s="874"/>
      <c r="Z74" s="874"/>
    </row>
    <row r="75" spans="1:26" ht="18" hidden="1" customHeight="1" x14ac:dyDescent="0.3">
      <c r="A75" s="144" t="s">
        <v>16</v>
      </c>
      <c r="B75" s="144"/>
      <c r="C75" s="144"/>
      <c r="D75" s="144"/>
      <c r="E75" s="144"/>
      <c r="F75" s="144"/>
      <c r="G75" s="144"/>
      <c r="H75" s="144"/>
      <c r="I75" s="144"/>
      <c r="J75" s="144"/>
      <c r="K75" s="144"/>
      <c r="L75" s="144"/>
      <c r="M75" s="144"/>
      <c r="N75" s="144"/>
      <c r="O75" s="144"/>
      <c r="P75" s="144"/>
      <c r="Q75" s="144"/>
      <c r="R75" s="144"/>
      <c r="S75" s="144"/>
      <c r="T75" s="144"/>
      <c r="U75" s="144"/>
      <c r="V75" s="144"/>
      <c r="W75" s="144"/>
      <c r="X75" s="144"/>
      <c r="Y75" s="144"/>
      <c r="Z75" s="144"/>
    </row>
    <row r="76" spans="1:26" ht="18" hidden="1" customHeight="1" x14ac:dyDescent="0.3">
      <c r="A76" s="144" t="s">
        <v>505</v>
      </c>
      <c r="B76" s="144">
        <v>1</v>
      </c>
      <c r="C76" s="144">
        <v>2</v>
      </c>
      <c r="D76" s="144"/>
      <c r="E76" s="144"/>
      <c r="F76" s="144"/>
      <c r="G76" s="144"/>
      <c r="H76" s="144"/>
      <c r="I76" s="144"/>
      <c r="J76" s="144"/>
      <c r="K76" s="144"/>
      <c r="L76" s="144"/>
      <c r="M76" s="144"/>
      <c r="N76" s="144"/>
      <c r="O76" s="144"/>
      <c r="P76" s="144"/>
      <c r="Q76" s="144"/>
      <c r="R76" s="144"/>
      <c r="S76" s="144"/>
      <c r="T76" s="144"/>
      <c r="U76" s="144"/>
      <c r="V76" s="144"/>
      <c r="W76" s="144"/>
      <c r="X76" s="144"/>
      <c r="Y76" s="144"/>
      <c r="Z76" s="144"/>
    </row>
    <row r="77" spans="1:26" ht="18" hidden="1" customHeight="1" x14ac:dyDescent="0.3">
      <c r="A77" s="144" t="s">
        <v>105</v>
      </c>
      <c r="B77" s="144">
        <v>1</v>
      </c>
      <c r="C77" s="144">
        <v>3</v>
      </c>
      <c r="D77" s="144"/>
      <c r="E77" s="144"/>
      <c r="F77" s="144"/>
      <c r="G77" s="144"/>
      <c r="H77" s="144"/>
      <c r="I77" s="144"/>
      <c r="J77" s="144"/>
      <c r="K77" s="144"/>
      <c r="L77" s="144"/>
      <c r="M77" s="144"/>
      <c r="N77" s="144"/>
      <c r="O77" s="144"/>
      <c r="P77" s="144"/>
      <c r="Q77" s="144"/>
      <c r="R77" s="144"/>
      <c r="S77" s="144"/>
      <c r="T77" s="144"/>
      <c r="U77" s="144"/>
      <c r="V77" s="144"/>
      <c r="W77" s="144"/>
      <c r="X77" s="144"/>
      <c r="Y77" s="144"/>
      <c r="Z77" s="144"/>
    </row>
    <row r="78" spans="1:26" ht="18" hidden="1" customHeight="1" x14ac:dyDescent="0.3">
      <c r="A78" s="144" t="s">
        <v>27</v>
      </c>
      <c r="B78" s="144">
        <v>1</v>
      </c>
      <c r="C78" s="144">
        <v>5</v>
      </c>
      <c r="D78" s="144"/>
      <c r="E78" s="144"/>
      <c r="F78" s="144"/>
      <c r="G78" s="144"/>
      <c r="H78" s="144"/>
      <c r="I78" s="144"/>
      <c r="J78" s="144"/>
      <c r="K78" s="144"/>
      <c r="L78" s="144"/>
      <c r="M78" s="144"/>
      <c r="N78" s="144"/>
      <c r="O78" s="144"/>
      <c r="P78" s="144"/>
      <c r="Q78" s="144"/>
      <c r="R78" s="144"/>
      <c r="S78" s="144"/>
      <c r="T78" s="144"/>
      <c r="U78" s="144"/>
      <c r="V78" s="144"/>
      <c r="W78" s="144"/>
      <c r="X78" s="144"/>
      <c r="Y78" s="144"/>
      <c r="Z78" s="144"/>
    </row>
    <row r="79" spans="1:26" ht="18" hidden="1" customHeight="1" x14ac:dyDescent="0.3">
      <c r="A79" s="144" t="s">
        <v>126</v>
      </c>
      <c r="B79" s="144">
        <v>1</v>
      </c>
      <c r="C79" s="144">
        <v>2.1</v>
      </c>
      <c r="D79" s="144"/>
      <c r="E79" s="144"/>
      <c r="F79" s="144"/>
      <c r="G79" s="144"/>
      <c r="H79" s="144"/>
      <c r="I79" s="144"/>
      <c r="J79" s="144"/>
      <c r="K79" s="144"/>
      <c r="L79" s="144"/>
      <c r="M79" s="144"/>
      <c r="N79" s="144"/>
      <c r="O79" s="144"/>
      <c r="P79" s="144"/>
      <c r="Q79" s="144"/>
      <c r="R79" s="144"/>
      <c r="S79" s="144"/>
      <c r="T79" s="144"/>
      <c r="U79" s="144"/>
      <c r="V79" s="144"/>
      <c r="W79" s="144"/>
      <c r="X79" s="144"/>
      <c r="Y79" s="144"/>
      <c r="Z79" s="144"/>
    </row>
    <row r="80" spans="1:26" ht="18" hidden="1" customHeight="1" x14ac:dyDescent="0.3">
      <c r="A80" s="144" t="s">
        <v>128</v>
      </c>
      <c r="B80" s="144">
        <v>1</v>
      </c>
      <c r="C80" s="144">
        <v>3.3</v>
      </c>
      <c r="D80" s="144"/>
      <c r="E80" s="144"/>
      <c r="F80" s="144"/>
      <c r="G80" s="144"/>
      <c r="H80" s="144"/>
      <c r="I80" s="144"/>
      <c r="J80" s="144"/>
      <c r="K80" s="144"/>
      <c r="L80" s="144"/>
      <c r="M80" s="144"/>
      <c r="N80" s="144"/>
      <c r="O80" s="144"/>
      <c r="P80" s="144"/>
      <c r="Q80" s="144"/>
      <c r="R80" s="144"/>
      <c r="S80" s="144"/>
      <c r="T80" s="144"/>
      <c r="U80" s="144"/>
      <c r="V80" s="144"/>
      <c r="W80" s="144"/>
      <c r="X80" s="144"/>
      <c r="Y80" s="144"/>
      <c r="Z80" s="144"/>
    </row>
    <row r="81" spans="1:26" ht="18" hidden="1" customHeight="1" x14ac:dyDescent="0.3">
      <c r="A81" s="144" t="s">
        <v>203</v>
      </c>
      <c r="B81" s="144">
        <v>1</v>
      </c>
      <c r="C81" s="144">
        <v>5.4</v>
      </c>
      <c r="D81" s="144"/>
      <c r="E81" s="144"/>
      <c r="F81" s="144"/>
      <c r="G81" s="144"/>
      <c r="H81" s="144"/>
      <c r="I81" s="144"/>
      <c r="J81" s="144"/>
      <c r="K81" s="144"/>
      <c r="L81" s="144"/>
      <c r="M81" s="144"/>
      <c r="N81" s="144"/>
      <c r="O81" s="144"/>
      <c r="P81" s="144"/>
      <c r="Q81" s="144"/>
      <c r="R81" s="144"/>
      <c r="S81" s="144"/>
      <c r="T81" s="144"/>
      <c r="U81" s="144"/>
      <c r="V81" s="144"/>
      <c r="W81" s="144"/>
      <c r="X81" s="144"/>
      <c r="Y81" s="144"/>
      <c r="Z81" s="144"/>
    </row>
    <row r="82" spans="1:26" ht="18" hidden="1" customHeight="1" x14ac:dyDescent="0.35">
      <c r="A82" s="874"/>
      <c r="B82" s="874"/>
      <c r="C82" s="874"/>
      <c r="D82" s="874"/>
      <c r="E82" s="874"/>
      <c r="F82" s="874"/>
      <c r="G82" s="874"/>
      <c r="H82" s="874"/>
      <c r="I82" s="874"/>
      <c r="J82" s="874"/>
      <c r="K82" s="874"/>
      <c r="L82" s="874"/>
      <c r="M82" s="874"/>
      <c r="N82" s="874"/>
      <c r="O82" s="874"/>
      <c r="P82" s="874"/>
      <c r="Q82" s="874"/>
      <c r="R82" s="874"/>
      <c r="S82" s="874"/>
      <c r="T82" s="874"/>
      <c r="U82" s="874"/>
      <c r="V82" s="874"/>
      <c r="W82" s="874"/>
      <c r="X82" s="874"/>
      <c r="Y82" s="874"/>
      <c r="Z82" s="874"/>
    </row>
    <row r="83" spans="1:26" ht="18" hidden="1" customHeight="1" x14ac:dyDescent="0.35">
      <c r="A83" s="945" t="s">
        <v>105</v>
      </c>
      <c r="B83" s="144"/>
      <c r="C83" s="144"/>
      <c r="D83" s="144"/>
      <c r="E83" s="144"/>
      <c r="F83" s="144"/>
      <c r="G83" s="144"/>
      <c r="H83" s="144"/>
      <c r="I83" s="144"/>
      <c r="J83" s="144"/>
      <c r="K83" s="144"/>
      <c r="L83" s="144"/>
      <c r="M83" s="144"/>
      <c r="N83" s="144"/>
      <c r="O83" s="144"/>
      <c r="P83" s="144"/>
      <c r="Q83" s="874"/>
      <c r="R83" s="874"/>
      <c r="S83" s="874"/>
      <c r="T83" s="874"/>
      <c r="U83" s="874"/>
      <c r="V83" s="874"/>
      <c r="W83" s="874"/>
      <c r="X83" s="874"/>
      <c r="Y83" s="874"/>
      <c r="Z83" s="874"/>
    </row>
    <row r="84" spans="1:26" ht="18" hidden="1" customHeight="1" x14ac:dyDescent="0.35">
      <c r="A84" s="946" t="s">
        <v>128</v>
      </c>
      <c r="B84" s="874"/>
      <c r="C84" s="874"/>
      <c r="D84" s="874"/>
      <c r="E84" s="874"/>
      <c r="F84" s="874"/>
      <c r="G84" s="874"/>
      <c r="H84" s="874"/>
      <c r="I84" s="874"/>
      <c r="J84" s="874"/>
      <c r="K84" s="874"/>
      <c r="L84" s="874"/>
      <c r="M84" s="874"/>
      <c r="N84" s="874"/>
      <c r="O84" s="874"/>
      <c r="P84" s="874"/>
      <c r="Q84" s="874"/>
      <c r="R84" s="874"/>
      <c r="S84" s="874"/>
      <c r="T84" s="874"/>
      <c r="U84" s="874"/>
      <c r="V84" s="874"/>
      <c r="W84" s="874"/>
      <c r="X84" s="874"/>
      <c r="Y84" s="874"/>
      <c r="Z84" s="874"/>
    </row>
    <row r="85" spans="1:26" ht="18" hidden="1" customHeight="1" x14ac:dyDescent="0.35">
      <c r="A85" s="874"/>
      <c r="B85" s="874"/>
      <c r="C85" s="874"/>
      <c r="D85" s="874"/>
      <c r="E85" s="874"/>
      <c r="F85" s="874"/>
      <c r="G85" s="874"/>
      <c r="H85" s="874"/>
      <c r="I85" s="874"/>
      <c r="J85" s="874"/>
      <c r="K85" s="874"/>
      <c r="L85" s="874"/>
      <c r="M85" s="874"/>
      <c r="N85" s="874"/>
      <c r="O85" s="874"/>
      <c r="P85" s="874"/>
      <c r="Q85" s="874"/>
      <c r="R85" s="874"/>
      <c r="S85" s="874"/>
      <c r="T85" s="874"/>
      <c r="U85" s="874"/>
      <c r="V85" s="874"/>
      <c r="W85" s="874"/>
      <c r="X85" s="874"/>
      <c r="Y85" s="874"/>
      <c r="Z85" s="874"/>
    </row>
    <row r="86" spans="1:26" ht="18" hidden="1" customHeight="1" x14ac:dyDescent="0.35">
      <c r="A86" s="947" t="s">
        <v>27</v>
      </c>
      <c r="B86" s="874"/>
      <c r="C86" s="874"/>
      <c r="D86" s="874"/>
      <c r="E86" s="874"/>
      <c r="F86" s="874"/>
      <c r="G86" s="874"/>
      <c r="H86" s="874"/>
      <c r="I86" s="874"/>
      <c r="J86" s="874"/>
      <c r="K86" s="874"/>
      <c r="L86" s="874"/>
      <c r="M86" s="874"/>
      <c r="N86" s="874"/>
      <c r="O86" s="874"/>
      <c r="P86" s="874"/>
      <c r="Q86" s="874"/>
      <c r="R86" s="874"/>
      <c r="S86" s="874"/>
      <c r="T86" s="874"/>
      <c r="U86" s="874"/>
      <c r="V86" s="874"/>
      <c r="W86" s="874"/>
      <c r="X86" s="874"/>
      <c r="Y86" s="874"/>
      <c r="Z86" s="874"/>
    </row>
    <row r="87" spans="1:26" ht="18" hidden="1" customHeight="1" x14ac:dyDescent="0.35">
      <c r="A87" s="948" t="s">
        <v>203</v>
      </c>
      <c r="B87" s="874"/>
      <c r="C87" s="874"/>
      <c r="D87" s="874"/>
      <c r="E87" s="874"/>
      <c r="F87" s="874"/>
      <c r="G87" s="874"/>
      <c r="H87" s="874"/>
      <c r="I87" s="874"/>
      <c r="J87" s="874"/>
      <c r="K87" s="874"/>
      <c r="L87" s="874"/>
      <c r="M87" s="874"/>
      <c r="N87" s="874"/>
      <c r="O87" s="874"/>
      <c r="P87" s="874"/>
      <c r="Q87" s="874"/>
      <c r="R87" s="874"/>
      <c r="S87" s="874"/>
      <c r="T87" s="874"/>
      <c r="U87" s="874"/>
      <c r="V87" s="874"/>
      <c r="W87" s="874"/>
      <c r="X87" s="874"/>
      <c r="Y87" s="874"/>
      <c r="Z87" s="874"/>
    </row>
    <row r="88" spans="1:26" ht="18" hidden="1" customHeight="1" x14ac:dyDescent="0.35">
      <c r="A88" s="874"/>
      <c r="B88" s="874"/>
      <c r="C88" s="874"/>
      <c r="D88" s="874"/>
      <c r="E88" s="874"/>
      <c r="F88" s="874"/>
      <c r="G88" s="874"/>
      <c r="H88" s="874"/>
      <c r="I88" s="874"/>
      <c r="J88" s="874"/>
      <c r="K88" s="874"/>
      <c r="L88" s="874"/>
      <c r="M88" s="874"/>
      <c r="N88" s="874"/>
      <c r="O88" s="874"/>
      <c r="P88" s="874"/>
      <c r="Q88" s="874"/>
      <c r="R88" s="874"/>
      <c r="S88" s="874"/>
      <c r="T88" s="874"/>
      <c r="U88" s="874"/>
      <c r="V88" s="874"/>
      <c r="W88" s="874"/>
      <c r="X88" s="874"/>
      <c r="Y88" s="874"/>
      <c r="Z88" s="874"/>
    </row>
    <row r="89" spans="1:26" ht="18" hidden="1" customHeight="1" x14ac:dyDescent="0.35">
      <c r="A89" s="947" t="s">
        <v>505</v>
      </c>
      <c r="B89" s="874"/>
      <c r="C89" s="874"/>
      <c r="D89" s="874"/>
      <c r="E89" s="874"/>
      <c r="F89" s="874"/>
      <c r="G89" s="874"/>
      <c r="H89" s="874"/>
      <c r="I89" s="874"/>
      <c r="J89" s="874"/>
      <c r="K89" s="874"/>
      <c r="L89" s="874"/>
      <c r="M89" s="874"/>
      <c r="N89" s="874"/>
      <c r="O89" s="874"/>
      <c r="P89" s="874"/>
      <c r="Q89" s="874"/>
      <c r="R89" s="874"/>
      <c r="S89" s="874"/>
      <c r="T89" s="874"/>
      <c r="U89" s="874"/>
      <c r="V89" s="874"/>
      <c r="W89" s="874"/>
      <c r="X89" s="874"/>
      <c r="Y89" s="874"/>
      <c r="Z89" s="874"/>
    </row>
    <row r="90" spans="1:26" ht="18" hidden="1" customHeight="1" x14ac:dyDescent="0.35">
      <c r="A90" s="948" t="s">
        <v>126</v>
      </c>
      <c r="B90" s="874"/>
      <c r="C90" s="874"/>
      <c r="D90" s="874"/>
      <c r="E90" s="874"/>
      <c r="F90" s="874"/>
      <c r="G90" s="874"/>
      <c r="H90" s="874"/>
      <c r="I90" s="874"/>
      <c r="J90" s="874"/>
      <c r="K90" s="874"/>
      <c r="L90" s="874"/>
      <c r="M90" s="874"/>
      <c r="N90" s="874"/>
      <c r="O90" s="874"/>
      <c r="P90" s="874"/>
      <c r="Q90" s="874"/>
      <c r="R90" s="874"/>
      <c r="S90" s="874"/>
      <c r="T90" s="874"/>
      <c r="U90" s="874"/>
      <c r="V90" s="874"/>
      <c r="W90" s="874"/>
      <c r="X90" s="874"/>
      <c r="Y90" s="874"/>
      <c r="Z90" s="874"/>
    </row>
    <row r="91" spans="1:26" ht="18" hidden="1" customHeight="1" x14ac:dyDescent="0.35">
      <c r="A91" s="874"/>
      <c r="B91" s="874"/>
      <c r="C91" s="874"/>
      <c r="D91" s="874"/>
      <c r="E91" s="874"/>
      <c r="F91" s="874"/>
      <c r="G91" s="874"/>
      <c r="H91" s="874"/>
      <c r="I91" s="874"/>
      <c r="J91" s="874"/>
      <c r="K91" s="874"/>
      <c r="L91" s="874"/>
      <c r="M91" s="874"/>
      <c r="N91" s="874"/>
      <c r="O91" s="874"/>
      <c r="P91" s="874"/>
      <c r="Q91" s="874"/>
      <c r="R91" s="874"/>
      <c r="S91" s="874"/>
      <c r="T91" s="874"/>
      <c r="U91" s="874"/>
      <c r="V91" s="874"/>
      <c r="W91" s="874"/>
      <c r="X91" s="874"/>
      <c r="Y91" s="874"/>
      <c r="Z91" s="874"/>
    </row>
    <row r="92" spans="1:26" ht="18" customHeight="1" x14ac:dyDescent="0.35">
      <c r="A92" s="874"/>
      <c r="B92" s="874"/>
      <c r="C92" s="874"/>
      <c r="D92" s="874"/>
      <c r="E92" s="874"/>
      <c r="F92" s="874"/>
      <c r="G92" s="874"/>
      <c r="H92" s="874"/>
      <c r="I92" s="874"/>
      <c r="J92" s="874"/>
      <c r="K92" s="874"/>
      <c r="L92" s="874"/>
      <c r="M92" s="874"/>
      <c r="N92" s="874"/>
      <c r="O92" s="874"/>
      <c r="P92" s="874"/>
      <c r="Q92" s="874"/>
      <c r="R92" s="874"/>
      <c r="S92" s="874"/>
      <c r="T92" s="874"/>
      <c r="U92" s="874"/>
      <c r="V92" s="874"/>
      <c r="W92" s="874"/>
      <c r="X92" s="874"/>
      <c r="Y92" s="874"/>
      <c r="Z92" s="874"/>
    </row>
    <row r="93" spans="1:26" ht="18" customHeight="1" x14ac:dyDescent="0.35">
      <c r="A93" s="874"/>
      <c r="B93" s="874"/>
      <c r="C93" s="874"/>
      <c r="D93" s="874"/>
      <c r="E93" s="874"/>
      <c r="F93" s="874"/>
      <c r="G93" s="874"/>
      <c r="H93" s="874"/>
      <c r="I93" s="874"/>
      <c r="J93" s="874"/>
      <c r="K93" s="874"/>
      <c r="L93" s="874"/>
      <c r="M93" s="874"/>
      <c r="N93" s="874"/>
      <c r="O93" s="874"/>
      <c r="P93" s="874"/>
      <c r="Q93" s="874"/>
      <c r="R93" s="874"/>
      <c r="S93" s="874"/>
      <c r="T93" s="874"/>
      <c r="U93" s="874"/>
      <c r="V93" s="874"/>
      <c r="W93" s="874"/>
      <c r="X93" s="874"/>
      <c r="Y93" s="874"/>
      <c r="Z93" s="874"/>
    </row>
    <row r="94" spans="1:26" ht="18" customHeight="1" x14ac:dyDescent="0.35">
      <c r="A94" s="874"/>
      <c r="B94" s="874"/>
      <c r="C94" s="874"/>
      <c r="D94" s="874"/>
      <c r="E94" s="874"/>
      <c r="F94" s="874"/>
      <c r="G94" s="874"/>
      <c r="H94" s="874"/>
      <c r="I94" s="874"/>
      <c r="J94" s="874"/>
      <c r="K94" s="874"/>
      <c r="L94" s="874"/>
      <c r="M94" s="874"/>
      <c r="N94" s="874"/>
      <c r="O94" s="874"/>
      <c r="P94" s="874"/>
      <c r="Q94" s="874"/>
      <c r="R94" s="874"/>
      <c r="S94" s="874"/>
      <c r="T94" s="874"/>
      <c r="U94" s="874"/>
      <c r="V94" s="874"/>
      <c r="W94" s="874"/>
      <c r="X94" s="874"/>
      <c r="Y94" s="874"/>
      <c r="Z94" s="874"/>
    </row>
    <row r="95" spans="1:26" ht="18" customHeight="1" x14ac:dyDescent="0.35">
      <c r="A95" s="874"/>
      <c r="B95" s="874"/>
      <c r="C95" s="874"/>
      <c r="D95" s="874"/>
      <c r="E95" s="874"/>
      <c r="F95" s="874"/>
      <c r="G95" s="874"/>
      <c r="H95" s="874"/>
      <c r="I95" s="874"/>
      <c r="J95" s="874"/>
      <c r="K95" s="874"/>
      <c r="L95" s="874"/>
      <c r="M95" s="874"/>
      <c r="N95" s="874"/>
      <c r="O95" s="874"/>
      <c r="P95" s="874"/>
      <c r="Q95" s="874"/>
      <c r="R95" s="874"/>
      <c r="S95" s="874"/>
      <c r="T95" s="874"/>
      <c r="U95" s="874"/>
      <c r="V95" s="874"/>
      <c r="W95" s="874"/>
      <c r="X95" s="874"/>
      <c r="Y95" s="874"/>
      <c r="Z95" s="874"/>
    </row>
    <row r="96" spans="1:26" ht="18" customHeight="1" x14ac:dyDescent="0.35">
      <c r="A96" s="874"/>
      <c r="B96" s="874"/>
      <c r="C96" s="874"/>
      <c r="D96" s="874"/>
      <c r="E96" s="874"/>
      <c r="F96" s="874"/>
      <c r="G96" s="874"/>
      <c r="H96" s="874"/>
      <c r="I96" s="874"/>
      <c r="J96" s="874"/>
      <c r="K96" s="874"/>
      <c r="L96" s="874"/>
      <c r="M96" s="874"/>
      <c r="N96" s="874"/>
      <c r="O96" s="874"/>
      <c r="P96" s="874"/>
      <c r="Q96" s="874"/>
      <c r="R96" s="874"/>
      <c r="S96" s="874"/>
      <c r="T96" s="874"/>
      <c r="U96" s="874"/>
      <c r="V96" s="874"/>
      <c r="W96" s="874"/>
      <c r="X96" s="874"/>
      <c r="Y96" s="874"/>
      <c r="Z96" s="874"/>
    </row>
    <row r="97" spans="1:26" ht="18" customHeight="1" x14ac:dyDescent="0.35">
      <c r="A97" s="874"/>
      <c r="B97" s="874"/>
      <c r="C97" s="874"/>
      <c r="D97" s="874"/>
      <c r="E97" s="874"/>
      <c r="F97" s="874"/>
      <c r="G97" s="874"/>
      <c r="H97" s="874"/>
      <c r="I97" s="874"/>
      <c r="J97" s="874"/>
      <c r="K97" s="874"/>
      <c r="L97" s="874"/>
      <c r="M97" s="874"/>
      <c r="N97" s="874"/>
      <c r="O97" s="874"/>
      <c r="P97" s="874"/>
      <c r="Q97" s="874"/>
      <c r="R97" s="874"/>
      <c r="S97" s="874"/>
      <c r="T97" s="874"/>
      <c r="U97" s="874"/>
      <c r="V97" s="874"/>
      <c r="W97" s="874"/>
      <c r="X97" s="874"/>
      <c r="Y97" s="874"/>
      <c r="Z97" s="874"/>
    </row>
    <row r="98" spans="1:26" ht="18" customHeight="1" x14ac:dyDescent="0.35">
      <c r="A98" s="874"/>
      <c r="B98" s="874"/>
      <c r="C98" s="874"/>
      <c r="D98" s="874"/>
      <c r="E98" s="874"/>
      <c r="F98" s="874"/>
      <c r="G98" s="874"/>
      <c r="H98" s="874"/>
      <c r="I98" s="874"/>
      <c r="J98" s="874"/>
      <c r="K98" s="874"/>
      <c r="L98" s="874"/>
      <c r="M98" s="874"/>
      <c r="N98" s="874"/>
      <c r="O98" s="874"/>
      <c r="P98" s="874"/>
      <c r="Q98" s="874"/>
      <c r="R98" s="874"/>
      <c r="S98" s="874"/>
      <c r="T98" s="874"/>
      <c r="U98" s="874"/>
      <c r="V98" s="874"/>
      <c r="W98" s="874"/>
      <c r="X98" s="874"/>
      <c r="Y98" s="874"/>
      <c r="Z98" s="874"/>
    </row>
    <row r="99" spans="1:26" ht="18" customHeight="1" x14ac:dyDescent="0.35">
      <c r="A99" s="874"/>
      <c r="B99" s="874"/>
      <c r="C99" s="874"/>
      <c r="D99" s="874"/>
      <c r="E99" s="874"/>
      <c r="F99" s="874"/>
      <c r="G99" s="874"/>
      <c r="H99" s="874"/>
      <c r="I99" s="874"/>
      <c r="J99" s="874"/>
      <c r="K99" s="874"/>
      <c r="L99" s="874"/>
      <c r="M99" s="874"/>
      <c r="N99" s="874"/>
      <c r="O99" s="874"/>
      <c r="P99" s="874"/>
      <c r="Q99" s="874"/>
      <c r="R99" s="874"/>
      <c r="S99" s="874"/>
      <c r="T99" s="874"/>
      <c r="U99" s="874"/>
      <c r="V99" s="874"/>
      <c r="W99" s="874"/>
      <c r="X99" s="874"/>
      <c r="Y99" s="874"/>
      <c r="Z99" s="874"/>
    </row>
    <row r="100" spans="1:26" ht="18" customHeight="1" x14ac:dyDescent="0.35">
      <c r="A100" s="874"/>
      <c r="B100" s="874"/>
      <c r="C100" s="874"/>
      <c r="D100" s="874"/>
      <c r="E100" s="874"/>
      <c r="F100" s="874"/>
      <c r="G100" s="874"/>
      <c r="H100" s="874"/>
      <c r="I100" s="874"/>
      <c r="J100" s="874"/>
      <c r="K100" s="874"/>
      <c r="L100" s="874"/>
      <c r="M100" s="874"/>
      <c r="N100" s="874"/>
      <c r="O100" s="874"/>
      <c r="P100" s="874"/>
      <c r="Q100" s="874"/>
      <c r="R100" s="874"/>
      <c r="S100" s="874"/>
      <c r="T100" s="874"/>
      <c r="U100" s="874"/>
      <c r="V100" s="874"/>
      <c r="W100" s="874"/>
      <c r="X100" s="874"/>
      <c r="Y100" s="874"/>
      <c r="Z100" s="874"/>
    </row>
    <row r="101" spans="1:26" ht="18" customHeight="1" x14ac:dyDescent="0.35">
      <c r="A101" s="874"/>
      <c r="B101" s="874"/>
      <c r="C101" s="874"/>
      <c r="D101" s="874"/>
      <c r="E101" s="874"/>
      <c r="F101" s="874"/>
      <c r="G101" s="874"/>
      <c r="H101" s="874"/>
      <c r="I101" s="874"/>
      <c r="J101" s="874"/>
      <c r="K101" s="874"/>
      <c r="L101" s="874"/>
      <c r="M101" s="874"/>
      <c r="N101" s="874"/>
      <c r="O101" s="874"/>
      <c r="P101" s="874"/>
      <c r="Q101" s="874"/>
      <c r="R101" s="874"/>
      <c r="S101" s="874"/>
      <c r="T101" s="874"/>
      <c r="U101" s="874"/>
      <c r="V101" s="874"/>
      <c r="W101" s="874"/>
      <c r="X101" s="874"/>
      <c r="Y101" s="874"/>
      <c r="Z101" s="874"/>
    </row>
    <row r="102" spans="1:26" ht="18" customHeight="1" x14ac:dyDescent="0.35">
      <c r="A102" s="874"/>
      <c r="B102" s="874"/>
      <c r="C102" s="874"/>
      <c r="D102" s="874"/>
      <c r="E102" s="874"/>
      <c r="F102" s="874"/>
      <c r="G102" s="874"/>
      <c r="H102" s="874"/>
      <c r="I102" s="874"/>
      <c r="J102" s="874"/>
      <c r="K102" s="874"/>
      <c r="L102" s="874"/>
      <c r="M102" s="874"/>
      <c r="N102" s="874"/>
      <c r="O102" s="874"/>
      <c r="P102" s="874"/>
      <c r="Q102" s="874"/>
      <c r="R102" s="874"/>
      <c r="S102" s="874"/>
      <c r="T102" s="874"/>
      <c r="U102" s="874"/>
      <c r="V102" s="874"/>
      <c r="W102" s="874"/>
      <c r="X102" s="874"/>
      <c r="Y102" s="874"/>
      <c r="Z102" s="874"/>
    </row>
    <row r="103" spans="1:26" ht="18" customHeight="1" x14ac:dyDescent="0.35">
      <c r="A103" s="874"/>
      <c r="B103" s="874"/>
      <c r="C103" s="874"/>
      <c r="D103" s="874"/>
      <c r="E103" s="874"/>
      <c r="F103" s="874"/>
      <c r="G103" s="874"/>
      <c r="H103" s="874"/>
      <c r="I103" s="874"/>
      <c r="J103" s="874"/>
      <c r="K103" s="874"/>
      <c r="L103" s="874"/>
      <c r="M103" s="874"/>
      <c r="N103" s="874"/>
      <c r="O103" s="874"/>
      <c r="P103" s="874"/>
      <c r="Q103" s="874"/>
      <c r="R103" s="874"/>
      <c r="S103" s="874"/>
      <c r="T103" s="874"/>
      <c r="U103" s="874"/>
      <c r="V103" s="874"/>
      <c r="W103" s="874"/>
      <c r="X103" s="874"/>
      <c r="Y103" s="874"/>
      <c r="Z103" s="874"/>
    </row>
    <row r="104" spans="1:26" ht="18" customHeight="1" x14ac:dyDescent="0.35">
      <c r="A104" s="874"/>
      <c r="B104" s="874"/>
      <c r="C104" s="874"/>
      <c r="D104" s="874"/>
      <c r="E104" s="874"/>
      <c r="F104" s="874"/>
      <c r="G104" s="874"/>
      <c r="H104" s="874"/>
      <c r="I104" s="874"/>
      <c r="J104" s="874"/>
      <c r="K104" s="874"/>
      <c r="L104" s="874"/>
      <c r="M104" s="874"/>
      <c r="N104" s="874"/>
      <c r="O104" s="874"/>
      <c r="P104" s="874"/>
      <c r="Q104" s="874"/>
      <c r="R104" s="874"/>
      <c r="S104" s="874"/>
      <c r="T104" s="874"/>
      <c r="U104" s="874"/>
      <c r="V104" s="874"/>
      <c r="W104" s="874"/>
      <c r="X104" s="874"/>
      <c r="Y104" s="874"/>
      <c r="Z104" s="874"/>
    </row>
    <row r="105" spans="1:26" ht="18" customHeight="1" x14ac:dyDescent="0.35">
      <c r="A105" s="874"/>
      <c r="B105" s="874"/>
      <c r="C105" s="874"/>
      <c r="D105" s="874"/>
      <c r="E105" s="874"/>
      <c r="F105" s="874"/>
      <c r="G105" s="874"/>
      <c r="H105" s="874"/>
      <c r="I105" s="874"/>
      <c r="J105" s="874"/>
      <c r="K105" s="874"/>
      <c r="L105" s="874"/>
      <c r="M105" s="874"/>
      <c r="N105" s="874"/>
      <c r="O105" s="874"/>
      <c r="P105" s="874"/>
      <c r="Q105" s="874"/>
      <c r="R105" s="874"/>
      <c r="S105" s="874"/>
      <c r="T105" s="874"/>
      <c r="U105" s="874"/>
      <c r="V105" s="874"/>
      <c r="W105" s="874"/>
      <c r="X105" s="874"/>
      <c r="Y105" s="874"/>
      <c r="Z105" s="874"/>
    </row>
    <row r="106" spans="1:26" ht="18" customHeight="1" x14ac:dyDescent="0.35">
      <c r="A106" s="874"/>
      <c r="B106" s="874"/>
      <c r="C106" s="874"/>
      <c r="D106" s="874"/>
      <c r="E106" s="874"/>
      <c r="F106" s="874"/>
      <c r="G106" s="874"/>
      <c r="H106" s="874"/>
      <c r="I106" s="874"/>
      <c r="J106" s="874"/>
      <c r="K106" s="874"/>
      <c r="L106" s="874"/>
      <c r="M106" s="874"/>
      <c r="N106" s="874"/>
      <c r="O106" s="874"/>
      <c r="P106" s="874"/>
      <c r="Q106" s="874"/>
      <c r="R106" s="874"/>
      <c r="S106" s="874"/>
      <c r="T106" s="874"/>
      <c r="U106" s="874"/>
      <c r="V106" s="874"/>
      <c r="W106" s="874"/>
      <c r="X106" s="874"/>
      <c r="Y106" s="874"/>
      <c r="Z106" s="874"/>
    </row>
    <row r="107" spans="1:26" ht="18" customHeight="1" x14ac:dyDescent="0.35">
      <c r="A107" s="874"/>
      <c r="B107" s="874"/>
      <c r="C107" s="874"/>
      <c r="D107" s="874"/>
      <c r="E107" s="874"/>
      <c r="F107" s="874"/>
      <c r="G107" s="874"/>
      <c r="H107" s="874"/>
      <c r="I107" s="874"/>
      <c r="J107" s="874"/>
      <c r="K107" s="874"/>
      <c r="L107" s="874"/>
      <c r="M107" s="874"/>
      <c r="N107" s="874"/>
      <c r="O107" s="874"/>
      <c r="P107" s="874"/>
      <c r="Q107" s="874"/>
      <c r="R107" s="874"/>
      <c r="S107" s="874"/>
      <c r="T107" s="874"/>
      <c r="U107" s="874"/>
      <c r="V107" s="874"/>
      <c r="W107" s="874"/>
      <c r="X107" s="874"/>
      <c r="Y107" s="874"/>
      <c r="Z107" s="874"/>
    </row>
    <row r="108" spans="1:26" ht="18" customHeight="1" x14ac:dyDescent="0.35">
      <c r="A108" s="874"/>
      <c r="B108" s="874"/>
      <c r="C108" s="874"/>
      <c r="D108" s="874"/>
      <c r="E108" s="874"/>
      <c r="F108" s="874"/>
      <c r="G108" s="874"/>
      <c r="H108" s="874"/>
      <c r="I108" s="874"/>
      <c r="J108" s="874"/>
      <c r="K108" s="874"/>
      <c r="L108" s="874"/>
      <c r="M108" s="874"/>
      <c r="N108" s="874"/>
      <c r="O108" s="874"/>
      <c r="P108" s="874"/>
      <c r="Q108" s="874"/>
      <c r="R108" s="874"/>
      <c r="S108" s="874"/>
      <c r="T108" s="874"/>
      <c r="U108" s="874"/>
      <c r="V108" s="874"/>
      <c r="W108" s="874"/>
      <c r="X108" s="874"/>
      <c r="Y108" s="874"/>
      <c r="Z108" s="874"/>
    </row>
    <row r="109" spans="1:26" ht="18" customHeight="1" x14ac:dyDescent="0.35">
      <c r="A109" s="874"/>
      <c r="B109" s="874"/>
      <c r="C109" s="874"/>
      <c r="D109" s="874"/>
      <c r="E109" s="874"/>
      <c r="F109" s="874"/>
      <c r="G109" s="874"/>
      <c r="H109" s="874"/>
      <c r="I109" s="874"/>
      <c r="J109" s="874"/>
      <c r="K109" s="874"/>
      <c r="L109" s="874"/>
      <c r="M109" s="874"/>
      <c r="N109" s="874"/>
      <c r="O109" s="874"/>
      <c r="P109" s="874"/>
      <c r="Q109" s="874"/>
      <c r="R109" s="874"/>
      <c r="S109" s="874"/>
      <c r="T109" s="874"/>
      <c r="U109" s="874"/>
      <c r="V109" s="874"/>
      <c r="W109" s="874"/>
      <c r="X109" s="874"/>
      <c r="Y109" s="874"/>
      <c r="Z109" s="874"/>
    </row>
    <row r="110" spans="1:26" ht="18" customHeight="1" x14ac:dyDescent="0.35">
      <c r="A110" s="874"/>
      <c r="B110" s="874"/>
      <c r="C110" s="874"/>
      <c r="D110" s="874"/>
      <c r="E110" s="874"/>
      <c r="F110" s="874"/>
      <c r="G110" s="874"/>
      <c r="H110" s="874"/>
      <c r="I110" s="874"/>
      <c r="J110" s="874"/>
      <c r="K110" s="874"/>
      <c r="L110" s="874"/>
      <c r="M110" s="874"/>
      <c r="N110" s="874"/>
      <c r="O110" s="874"/>
      <c r="P110" s="874"/>
      <c r="Q110" s="874"/>
      <c r="R110" s="874"/>
      <c r="S110" s="874"/>
      <c r="T110" s="874"/>
      <c r="U110" s="874"/>
      <c r="V110" s="874"/>
      <c r="W110" s="874"/>
      <c r="X110" s="874"/>
      <c r="Y110" s="874"/>
      <c r="Z110" s="874"/>
    </row>
    <row r="111" spans="1:26" ht="18" customHeight="1" x14ac:dyDescent="0.35">
      <c r="A111" s="874"/>
      <c r="B111" s="874"/>
      <c r="C111" s="874"/>
      <c r="D111" s="874"/>
      <c r="E111" s="874"/>
      <c r="F111" s="874"/>
      <c r="G111" s="874"/>
      <c r="H111" s="874"/>
      <c r="I111" s="874"/>
      <c r="J111" s="874"/>
      <c r="K111" s="874"/>
      <c r="L111" s="874"/>
      <c r="M111" s="874"/>
      <c r="N111" s="874"/>
      <c r="O111" s="874"/>
      <c r="P111" s="874"/>
      <c r="Q111" s="874"/>
      <c r="R111" s="874"/>
      <c r="S111" s="874"/>
      <c r="T111" s="874"/>
      <c r="U111" s="874"/>
      <c r="V111" s="874"/>
      <c r="W111" s="874"/>
      <c r="X111" s="874"/>
      <c r="Y111" s="874"/>
      <c r="Z111" s="874"/>
    </row>
    <row r="112" spans="1:26" ht="18" customHeight="1" x14ac:dyDescent="0.35">
      <c r="A112" s="874"/>
      <c r="B112" s="874"/>
      <c r="C112" s="874"/>
      <c r="D112" s="874"/>
      <c r="E112" s="874"/>
      <c r="F112" s="874"/>
      <c r="G112" s="874"/>
      <c r="H112" s="874"/>
      <c r="I112" s="874"/>
      <c r="J112" s="874"/>
      <c r="K112" s="874"/>
      <c r="L112" s="874"/>
      <c r="M112" s="874"/>
      <c r="N112" s="874"/>
      <c r="O112" s="874"/>
      <c r="P112" s="874"/>
      <c r="Q112" s="874"/>
      <c r="R112" s="874"/>
      <c r="S112" s="874"/>
      <c r="T112" s="874"/>
      <c r="U112" s="874"/>
      <c r="V112" s="874"/>
      <c r="W112" s="874"/>
      <c r="X112" s="874"/>
      <c r="Y112" s="874"/>
      <c r="Z112" s="874"/>
    </row>
    <row r="113" spans="1:26" ht="18" customHeight="1" x14ac:dyDescent="0.35">
      <c r="A113" s="874"/>
      <c r="B113" s="874"/>
      <c r="C113" s="874"/>
      <c r="D113" s="874"/>
      <c r="E113" s="874"/>
      <c r="F113" s="874"/>
      <c r="G113" s="874"/>
      <c r="H113" s="874"/>
      <c r="I113" s="874"/>
      <c r="J113" s="874"/>
      <c r="K113" s="874"/>
      <c r="L113" s="874"/>
      <c r="M113" s="874"/>
      <c r="N113" s="874"/>
      <c r="O113" s="874"/>
      <c r="P113" s="874"/>
      <c r="Q113" s="874"/>
      <c r="R113" s="874"/>
      <c r="S113" s="874"/>
      <c r="T113" s="874"/>
      <c r="U113" s="874"/>
      <c r="V113" s="874"/>
      <c r="W113" s="874"/>
      <c r="X113" s="874"/>
      <c r="Y113" s="874"/>
      <c r="Z113" s="874"/>
    </row>
    <row r="114" spans="1:26" ht="18" customHeight="1" x14ac:dyDescent="0.35">
      <c r="A114" s="874"/>
      <c r="B114" s="874"/>
      <c r="C114" s="874"/>
      <c r="D114" s="874"/>
      <c r="E114" s="874"/>
      <c r="F114" s="874"/>
      <c r="G114" s="874"/>
      <c r="H114" s="874"/>
      <c r="I114" s="874"/>
      <c r="J114" s="874"/>
      <c r="K114" s="874"/>
      <c r="L114" s="874"/>
      <c r="M114" s="874"/>
      <c r="N114" s="874"/>
      <c r="O114" s="874"/>
      <c r="P114" s="874"/>
      <c r="Q114" s="874"/>
      <c r="R114" s="874"/>
      <c r="S114" s="874"/>
      <c r="T114" s="874"/>
      <c r="U114" s="874"/>
      <c r="V114" s="874"/>
      <c r="W114" s="874"/>
      <c r="X114" s="874"/>
      <c r="Y114" s="874"/>
      <c r="Z114" s="874"/>
    </row>
    <row r="115" spans="1:26" ht="18" customHeight="1" x14ac:dyDescent="0.35">
      <c r="A115" s="874"/>
      <c r="B115" s="874"/>
      <c r="C115" s="874"/>
      <c r="D115" s="874"/>
      <c r="E115" s="874"/>
      <c r="F115" s="874"/>
      <c r="G115" s="874"/>
      <c r="H115" s="874"/>
      <c r="I115" s="874"/>
      <c r="J115" s="874"/>
      <c r="K115" s="874"/>
      <c r="L115" s="874"/>
      <c r="M115" s="874"/>
      <c r="N115" s="874"/>
      <c r="O115" s="874"/>
      <c r="P115" s="874"/>
      <c r="Q115" s="874"/>
      <c r="R115" s="874"/>
      <c r="S115" s="874"/>
      <c r="T115" s="874"/>
      <c r="U115" s="874"/>
      <c r="V115" s="874"/>
      <c r="W115" s="874"/>
      <c r="X115" s="874"/>
      <c r="Y115" s="874"/>
      <c r="Z115" s="874"/>
    </row>
    <row r="116" spans="1:26" ht="18" customHeight="1" x14ac:dyDescent="0.35">
      <c r="A116" s="874"/>
      <c r="B116" s="874"/>
      <c r="C116" s="874"/>
      <c r="D116" s="874"/>
      <c r="E116" s="874"/>
      <c r="F116" s="874"/>
      <c r="G116" s="874"/>
      <c r="H116" s="874"/>
      <c r="I116" s="874"/>
      <c r="J116" s="874"/>
      <c r="K116" s="874"/>
      <c r="L116" s="874"/>
      <c r="M116" s="874"/>
      <c r="N116" s="874"/>
      <c r="O116" s="874"/>
      <c r="P116" s="874"/>
      <c r="Q116" s="874"/>
      <c r="R116" s="874"/>
      <c r="S116" s="874"/>
      <c r="T116" s="874"/>
      <c r="U116" s="874"/>
      <c r="V116" s="874"/>
      <c r="W116" s="874"/>
      <c r="X116" s="874"/>
      <c r="Y116" s="874"/>
      <c r="Z116" s="874"/>
    </row>
    <row r="117" spans="1:26" ht="18" customHeight="1" x14ac:dyDescent="0.35">
      <c r="A117" s="874"/>
      <c r="B117" s="874"/>
      <c r="C117" s="874"/>
      <c r="D117" s="874"/>
      <c r="E117" s="874"/>
      <c r="F117" s="874"/>
      <c r="G117" s="874"/>
      <c r="H117" s="874"/>
      <c r="I117" s="874"/>
      <c r="J117" s="874"/>
      <c r="K117" s="874"/>
      <c r="L117" s="874"/>
      <c r="M117" s="874"/>
      <c r="N117" s="874"/>
      <c r="O117" s="874"/>
      <c r="P117" s="874"/>
      <c r="Q117" s="874"/>
      <c r="R117" s="874"/>
      <c r="S117" s="874"/>
      <c r="T117" s="874"/>
      <c r="U117" s="874"/>
      <c r="V117" s="874"/>
      <c r="W117" s="874"/>
      <c r="X117" s="874"/>
      <c r="Y117" s="874"/>
      <c r="Z117" s="874"/>
    </row>
    <row r="118" spans="1:26" ht="18" customHeight="1" x14ac:dyDescent="0.35">
      <c r="A118" s="874"/>
      <c r="B118" s="874"/>
      <c r="C118" s="874"/>
      <c r="D118" s="874"/>
      <c r="E118" s="874"/>
      <c r="F118" s="874"/>
      <c r="G118" s="874"/>
      <c r="H118" s="874"/>
      <c r="I118" s="874"/>
      <c r="J118" s="874"/>
      <c r="K118" s="874"/>
      <c r="L118" s="874"/>
      <c r="M118" s="874"/>
      <c r="N118" s="874"/>
      <c r="O118" s="874"/>
      <c r="P118" s="874"/>
      <c r="Q118" s="874"/>
      <c r="R118" s="874"/>
      <c r="S118" s="874"/>
      <c r="T118" s="874"/>
      <c r="U118" s="874"/>
      <c r="V118" s="874"/>
      <c r="W118" s="874"/>
      <c r="X118" s="874"/>
      <c r="Y118" s="874"/>
      <c r="Z118" s="874"/>
    </row>
    <row r="119" spans="1:26" ht="18" customHeight="1" x14ac:dyDescent="0.35">
      <c r="A119" s="874"/>
      <c r="B119" s="874"/>
      <c r="C119" s="874"/>
      <c r="D119" s="874"/>
      <c r="E119" s="874"/>
      <c r="F119" s="874"/>
      <c r="G119" s="874"/>
      <c r="H119" s="874"/>
      <c r="I119" s="874"/>
      <c r="J119" s="874"/>
      <c r="K119" s="874"/>
      <c r="L119" s="874"/>
      <c r="M119" s="874"/>
      <c r="N119" s="874"/>
      <c r="O119" s="874"/>
      <c r="P119" s="874"/>
      <c r="Q119" s="874"/>
      <c r="R119" s="874"/>
      <c r="S119" s="874"/>
      <c r="T119" s="874"/>
      <c r="U119" s="874"/>
      <c r="V119" s="874"/>
      <c r="W119" s="874"/>
      <c r="X119" s="874"/>
      <c r="Y119" s="874"/>
      <c r="Z119" s="874"/>
    </row>
    <row r="120" spans="1:26" ht="18" customHeight="1" x14ac:dyDescent="0.35">
      <c r="A120" s="874"/>
      <c r="B120" s="874"/>
      <c r="C120" s="874"/>
      <c r="D120" s="874"/>
      <c r="E120" s="874"/>
      <c r="F120" s="874"/>
      <c r="G120" s="874"/>
      <c r="H120" s="874"/>
      <c r="I120" s="874"/>
      <c r="J120" s="874"/>
      <c r="K120" s="874"/>
      <c r="L120" s="874"/>
      <c r="M120" s="874"/>
      <c r="N120" s="874"/>
      <c r="O120" s="874"/>
      <c r="P120" s="874"/>
      <c r="Q120" s="874"/>
      <c r="R120" s="874"/>
      <c r="S120" s="874"/>
      <c r="T120" s="874"/>
      <c r="U120" s="874"/>
      <c r="V120" s="874"/>
      <c r="W120" s="874"/>
      <c r="X120" s="874"/>
      <c r="Y120" s="874"/>
      <c r="Z120" s="874"/>
    </row>
    <row r="121" spans="1:26" ht="18" customHeight="1" x14ac:dyDescent="0.35">
      <c r="A121" s="874"/>
      <c r="B121" s="874"/>
      <c r="C121" s="874"/>
      <c r="D121" s="874"/>
      <c r="E121" s="874"/>
      <c r="F121" s="874"/>
      <c r="G121" s="874"/>
      <c r="H121" s="874"/>
      <c r="I121" s="874"/>
      <c r="J121" s="874"/>
      <c r="K121" s="874"/>
      <c r="L121" s="874"/>
      <c r="M121" s="874"/>
      <c r="N121" s="874"/>
      <c r="O121" s="874"/>
      <c r="P121" s="874"/>
      <c r="Q121" s="874"/>
      <c r="R121" s="874"/>
      <c r="S121" s="874"/>
      <c r="T121" s="874"/>
      <c r="U121" s="874"/>
      <c r="V121" s="874"/>
      <c r="W121" s="874"/>
      <c r="X121" s="874"/>
      <c r="Y121" s="874"/>
      <c r="Z121" s="874"/>
    </row>
    <row r="122" spans="1:26" ht="18" customHeight="1" x14ac:dyDescent="0.35">
      <c r="A122" s="874"/>
      <c r="B122" s="874"/>
      <c r="C122" s="874"/>
      <c r="D122" s="874"/>
      <c r="E122" s="874"/>
      <c r="F122" s="874"/>
      <c r="G122" s="874"/>
      <c r="H122" s="874"/>
      <c r="I122" s="874"/>
      <c r="J122" s="874"/>
      <c r="K122" s="874"/>
      <c r="L122" s="874"/>
      <c r="M122" s="874"/>
      <c r="N122" s="874"/>
      <c r="O122" s="874"/>
      <c r="P122" s="874"/>
      <c r="Q122" s="874"/>
      <c r="R122" s="874"/>
      <c r="S122" s="874"/>
      <c r="T122" s="874"/>
      <c r="U122" s="874"/>
      <c r="V122" s="874"/>
      <c r="W122" s="874"/>
      <c r="X122" s="874"/>
      <c r="Y122" s="874"/>
      <c r="Z122" s="874"/>
    </row>
    <row r="123" spans="1:26" ht="18" customHeight="1" x14ac:dyDescent="0.35">
      <c r="A123" s="874"/>
      <c r="B123" s="874"/>
      <c r="C123" s="874"/>
      <c r="D123" s="874"/>
      <c r="E123" s="874"/>
      <c r="F123" s="874"/>
      <c r="G123" s="874"/>
      <c r="H123" s="874"/>
      <c r="I123" s="874"/>
      <c r="J123" s="874"/>
      <c r="K123" s="874"/>
      <c r="L123" s="874"/>
      <c r="M123" s="874"/>
      <c r="N123" s="874"/>
      <c r="O123" s="874"/>
      <c r="P123" s="874"/>
      <c r="Q123" s="874"/>
      <c r="R123" s="874"/>
      <c r="S123" s="874"/>
      <c r="T123" s="874"/>
      <c r="U123" s="874"/>
      <c r="V123" s="874"/>
      <c r="W123" s="874"/>
      <c r="X123" s="874"/>
      <c r="Y123" s="874"/>
      <c r="Z123" s="874"/>
    </row>
    <row r="124" spans="1:26" ht="18" customHeight="1" x14ac:dyDescent="0.35">
      <c r="A124" s="874"/>
      <c r="B124" s="874"/>
      <c r="C124" s="874"/>
      <c r="D124" s="874"/>
      <c r="E124" s="874"/>
      <c r="F124" s="874"/>
      <c r="G124" s="874"/>
      <c r="H124" s="874"/>
      <c r="I124" s="874"/>
      <c r="J124" s="874"/>
      <c r="K124" s="874"/>
      <c r="L124" s="874"/>
      <c r="M124" s="874"/>
      <c r="N124" s="874"/>
      <c r="O124" s="874"/>
      <c r="P124" s="874"/>
      <c r="Q124" s="874"/>
      <c r="R124" s="874"/>
      <c r="S124" s="874"/>
      <c r="T124" s="874"/>
      <c r="U124" s="874"/>
      <c r="V124" s="874"/>
      <c r="W124" s="874"/>
      <c r="X124" s="874"/>
      <c r="Y124" s="874"/>
      <c r="Z124" s="874"/>
    </row>
    <row r="125" spans="1:26" ht="18" customHeight="1" x14ac:dyDescent="0.35">
      <c r="A125" s="874"/>
      <c r="B125" s="874"/>
      <c r="C125" s="874"/>
      <c r="D125" s="874"/>
      <c r="E125" s="874"/>
      <c r="F125" s="874"/>
      <c r="G125" s="874"/>
      <c r="H125" s="874"/>
      <c r="I125" s="874"/>
      <c r="J125" s="874"/>
      <c r="K125" s="874"/>
      <c r="L125" s="874"/>
      <c r="M125" s="874"/>
      <c r="N125" s="874"/>
      <c r="O125" s="874"/>
      <c r="P125" s="874"/>
      <c r="Q125" s="874"/>
      <c r="R125" s="874"/>
      <c r="S125" s="874"/>
      <c r="T125" s="874"/>
      <c r="U125" s="874"/>
      <c r="V125" s="874"/>
      <c r="W125" s="874"/>
      <c r="X125" s="874"/>
      <c r="Y125" s="874"/>
      <c r="Z125" s="874"/>
    </row>
    <row r="126" spans="1:26" ht="18" customHeight="1" x14ac:dyDescent="0.35">
      <c r="A126" s="874"/>
      <c r="B126" s="874"/>
      <c r="C126" s="874"/>
      <c r="D126" s="874"/>
      <c r="E126" s="874"/>
      <c r="F126" s="874"/>
      <c r="G126" s="874"/>
      <c r="H126" s="874"/>
      <c r="I126" s="874"/>
      <c r="J126" s="874"/>
      <c r="K126" s="874"/>
      <c r="L126" s="874"/>
      <c r="M126" s="874"/>
      <c r="N126" s="874"/>
      <c r="O126" s="874"/>
      <c r="P126" s="874"/>
      <c r="Q126" s="874"/>
      <c r="R126" s="874"/>
      <c r="S126" s="874"/>
      <c r="T126" s="874"/>
      <c r="U126" s="874"/>
      <c r="V126" s="874"/>
      <c r="W126" s="874"/>
      <c r="X126" s="874"/>
      <c r="Y126" s="874"/>
      <c r="Z126" s="874"/>
    </row>
    <row r="127" spans="1:26" ht="18" customHeight="1" x14ac:dyDescent="0.35">
      <c r="A127" s="874"/>
      <c r="B127" s="874"/>
      <c r="C127" s="874"/>
      <c r="D127" s="874"/>
      <c r="E127" s="874"/>
      <c r="F127" s="874"/>
      <c r="G127" s="874"/>
      <c r="H127" s="874"/>
      <c r="I127" s="874"/>
      <c r="J127" s="874"/>
      <c r="K127" s="874"/>
      <c r="L127" s="874"/>
      <c r="M127" s="874"/>
      <c r="N127" s="874"/>
      <c r="O127" s="874"/>
      <c r="P127" s="874"/>
      <c r="Q127" s="874"/>
      <c r="R127" s="874"/>
      <c r="S127" s="874"/>
      <c r="T127" s="874"/>
      <c r="U127" s="874"/>
      <c r="V127" s="874"/>
      <c r="W127" s="874"/>
      <c r="X127" s="874"/>
      <c r="Y127" s="874"/>
      <c r="Z127" s="874"/>
    </row>
    <row r="128" spans="1:26" ht="18" customHeight="1" x14ac:dyDescent="0.35">
      <c r="A128" s="874"/>
      <c r="B128" s="874"/>
      <c r="C128" s="874"/>
      <c r="D128" s="874"/>
      <c r="E128" s="874"/>
      <c r="F128" s="874"/>
      <c r="G128" s="874"/>
      <c r="H128" s="874"/>
      <c r="I128" s="874"/>
      <c r="J128" s="874"/>
      <c r="K128" s="874"/>
      <c r="L128" s="874"/>
      <c r="M128" s="874"/>
      <c r="N128" s="874"/>
      <c r="O128" s="874"/>
      <c r="P128" s="874"/>
      <c r="Q128" s="874"/>
      <c r="R128" s="874"/>
      <c r="S128" s="874"/>
      <c r="T128" s="874"/>
      <c r="U128" s="874"/>
      <c r="V128" s="874"/>
      <c r="W128" s="874"/>
      <c r="X128" s="874"/>
      <c r="Y128" s="874"/>
      <c r="Z128" s="874"/>
    </row>
    <row r="129" spans="1:26" ht="18" customHeight="1" x14ac:dyDescent="0.35">
      <c r="A129" s="874"/>
      <c r="B129" s="874"/>
      <c r="C129" s="874"/>
      <c r="D129" s="874"/>
      <c r="E129" s="874"/>
      <c r="F129" s="874"/>
      <c r="G129" s="874"/>
      <c r="H129" s="874"/>
      <c r="I129" s="874"/>
      <c r="J129" s="874"/>
      <c r="K129" s="874"/>
      <c r="L129" s="874"/>
      <c r="M129" s="874"/>
      <c r="N129" s="874"/>
      <c r="O129" s="874"/>
      <c r="P129" s="874"/>
      <c r="Q129" s="874"/>
      <c r="R129" s="874"/>
      <c r="S129" s="874"/>
      <c r="T129" s="874"/>
      <c r="U129" s="874"/>
      <c r="V129" s="874"/>
      <c r="W129" s="874"/>
      <c r="X129" s="874"/>
      <c r="Y129" s="874"/>
      <c r="Z129" s="874"/>
    </row>
    <row r="130" spans="1:26" ht="18" customHeight="1" x14ac:dyDescent="0.35">
      <c r="A130" s="874"/>
      <c r="B130" s="874"/>
      <c r="C130" s="874"/>
      <c r="D130" s="874"/>
      <c r="E130" s="874"/>
      <c r="F130" s="874"/>
      <c r="G130" s="874"/>
      <c r="H130" s="874"/>
      <c r="I130" s="874"/>
      <c r="J130" s="874"/>
      <c r="K130" s="874"/>
      <c r="L130" s="874"/>
      <c r="M130" s="874"/>
      <c r="N130" s="874"/>
      <c r="O130" s="874"/>
      <c r="P130" s="874"/>
      <c r="Q130" s="874"/>
      <c r="R130" s="874"/>
      <c r="S130" s="874"/>
      <c r="T130" s="874"/>
      <c r="U130" s="874"/>
      <c r="V130" s="874"/>
      <c r="W130" s="874"/>
      <c r="X130" s="874"/>
      <c r="Y130" s="874"/>
      <c r="Z130" s="874"/>
    </row>
    <row r="131" spans="1:26" ht="18" customHeight="1" x14ac:dyDescent="0.35">
      <c r="A131" s="874"/>
      <c r="B131" s="874"/>
      <c r="C131" s="874"/>
      <c r="D131" s="874"/>
      <c r="E131" s="874"/>
      <c r="F131" s="874"/>
      <c r="G131" s="874"/>
      <c r="H131" s="874"/>
      <c r="I131" s="874"/>
      <c r="J131" s="874"/>
      <c r="K131" s="874"/>
      <c r="L131" s="874"/>
      <c r="M131" s="874"/>
      <c r="N131" s="874"/>
      <c r="O131" s="874"/>
      <c r="P131" s="874"/>
      <c r="Q131" s="874"/>
      <c r="R131" s="874"/>
      <c r="S131" s="874"/>
      <c r="T131" s="874"/>
      <c r="U131" s="874"/>
      <c r="V131" s="874"/>
      <c r="W131" s="874"/>
      <c r="X131" s="874"/>
      <c r="Y131" s="874"/>
      <c r="Z131" s="874"/>
    </row>
    <row r="132" spans="1:26" ht="18" customHeight="1" x14ac:dyDescent="0.35">
      <c r="A132" s="874"/>
      <c r="B132" s="874"/>
      <c r="C132" s="874"/>
      <c r="D132" s="874"/>
      <c r="E132" s="874"/>
      <c r="F132" s="874"/>
      <c r="G132" s="874"/>
      <c r="H132" s="874"/>
      <c r="I132" s="874"/>
      <c r="J132" s="874"/>
      <c r="K132" s="874"/>
      <c r="L132" s="874"/>
      <c r="M132" s="874"/>
      <c r="N132" s="874"/>
      <c r="O132" s="874"/>
      <c r="P132" s="874"/>
      <c r="Q132" s="874"/>
      <c r="R132" s="874"/>
      <c r="S132" s="874"/>
      <c r="T132" s="874"/>
      <c r="U132" s="874"/>
      <c r="V132" s="874"/>
      <c r="W132" s="874"/>
      <c r="X132" s="874"/>
      <c r="Y132" s="874"/>
      <c r="Z132" s="874"/>
    </row>
    <row r="133" spans="1:26" ht="18" customHeight="1" x14ac:dyDescent="0.35">
      <c r="A133" s="874"/>
      <c r="B133" s="874"/>
      <c r="C133" s="874"/>
      <c r="D133" s="874"/>
      <c r="E133" s="874"/>
      <c r="F133" s="874"/>
      <c r="G133" s="874"/>
      <c r="H133" s="874"/>
      <c r="I133" s="874"/>
      <c r="J133" s="874"/>
      <c r="K133" s="874"/>
      <c r="L133" s="874"/>
      <c r="M133" s="874"/>
      <c r="N133" s="874"/>
      <c r="O133" s="874"/>
      <c r="P133" s="874"/>
      <c r="Q133" s="874"/>
      <c r="R133" s="874"/>
      <c r="S133" s="874"/>
      <c r="T133" s="874"/>
      <c r="U133" s="874"/>
      <c r="V133" s="874"/>
      <c r="W133" s="874"/>
      <c r="X133" s="874"/>
      <c r="Y133" s="874"/>
      <c r="Z133" s="874"/>
    </row>
    <row r="134" spans="1:26" ht="18" customHeight="1" x14ac:dyDescent="0.35">
      <c r="A134" s="874"/>
      <c r="B134" s="874"/>
      <c r="C134" s="874"/>
      <c r="D134" s="874"/>
      <c r="E134" s="874"/>
      <c r="F134" s="874"/>
      <c r="G134" s="874"/>
      <c r="H134" s="874"/>
      <c r="I134" s="874"/>
      <c r="J134" s="874"/>
      <c r="K134" s="874"/>
      <c r="L134" s="874"/>
      <c r="M134" s="874"/>
      <c r="N134" s="874"/>
      <c r="O134" s="874"/>
      <c r="P134" s="874"/>
      <c r="Q134" s="874"/>
      <c r="R134" s="874"/>
      <c r="S134" s="874"/>
      <c r="T134" s="874"/>
      <c r="U134" s="874"/>
      <c r="V134" s="874"/>
      <c r="W134" s="874"/>
      <c r="X134" s="874"/>
      <c r="Y134" s="874"/>
      <c r="Z134" s="874"/>
    </row>
    <row r="135" spans="1:26" ht="18" customHeight="1" x14ac:dyDescent="0.35">
      <c r="A135" s="874"/>
      <c r="B135" s="874"/>
      <c r="C135" s="874"/>
      <c r="D135" s="874"/>
      <c r="E135" s="874"/>
      <c r="F135" s="874"/>
      <c r="G135" s="874"/>
      <c r="H135" s="874"/>
      <c r="I135" s="874"/>
      <c r="J135" s="874"/>
      <c r="K135" s="874"/>
      <c r="L135" s="874"/>
      <c r="M135" s="874"/>
      <c r="N135" s="874"/>
      <c r="O135" s="874"/>
      <c r="P135" s="874"/>
      <c r="Q135" s="874"/>
      <c r="R135" s="874"/>
      <c r="S135" s="874"/>
      <c r="T135" s="874"/>
      <c r="U135" s="874"/>
      <c r="V135" s="874"/>
      <c r="W135" s="874"/>
      <c r="X135" s="874"/>
      <c r="Y135" s="874"/>
      <c r="Z135" s="874"/>
    </row>
    <row r="136" spans="1:26" ht="18" customHeight="1" x14ac:dyDescent="0.35">
      <c r="A136" s="874"/>
      <c r="B136" s="874"/>
      <c r="C136" s="874"/>
      <c r="D136" s="874"/>
      <c r="E136" s="874"/>
      <c r="F136" s="874"/>
      <c r="G136" s="874"/>
      <c r="H136" s="874"/>
      <c r="I136" s="874"/>
      <c r="J136" s="874"/>
      <c r="K136" s="874"/>
      <c r="L136" s="874"/>
      <c r="M136" s="874"/>
      <c r="N136" s="874"/>
      <c r="O136" s="874"/>
      <c r="P136" s="874"/>
      <c r="Q136" s="874"/>
      <c r="R136" s="874"/>
      <c r="S136" s="874"/>
      <c r="T136" s="874"/>
      <c r="U136" s="874"/>
      <c r="V136" s="874"/>
      <c r="W136" s="874"/>
      <c r="X136" s="874"/>
      <c r="Y136" s="874"/>
      <c r="Z136" s="874"/>
    </row>
    <row r="137" spans="1:26" ht="18" customHeight="1" x14ac:dyDescent="0.35">
      <c r="A137" s="874"/>
      <c r="B137" s="874"/>
      <c r="C137" s="874"/>
      <c r="D137" s="874"/>
      <c r="E137" s="874"/>
      <c r="F137" s="874"/>
      <c r="G137" s="874"/>
      <c r="H137" s="874"/>
      <c r="I137" s="874"/>
      <c r="J137" s="874"/>
      <c r="K137" s="874"/>
      <c r="L137" s="874"/>
      <c r="M137" s="874"/>
      <c r="N137" s="874"/>
      <c r="O137" s="874"/>
      <c r="P137" s="874"/>
      <c r="Q137" s="874"/>
      <c r="R137" s="874"/>
      <c r="S137" s="874"/>
      <c r="T137" s="874"/>
      <c r="U137" s="874"/>
      <c r="V137" s="874"/>
      <c r="W137" s="874"/>
      <c r="X137" s="874"/>
      <c r="Y137" s="874"/>
      <c r="Z137" s="874"/>
    </row>
    <row r="138" spans="1:26" ht="18" customHeight="1" x14ac:dyDescent="0.35">
      <c r="A138" s="874"/>
      <c r="B138" s="874"/>
      <c r="C138" s="874"/>
      <c r="D138" s="874"/>
      <c r="E138" s="874"/>
      <c r="F138" s="874"/>
      <c r="G138" s="874"/>
      <c r="H138" s="874"/>
      <c r="I138" s="874"/>
      <c r="J138" s="874"/>
      <c r="K138" s="874"/>
      <c r="L138" s="874"/>
      <c r="M138" s="874"/>
      <c r="N138" s="874"/>
      <c r="O138" s="874"/>
      <c r="P138" s="874"/>
      <c r="Q138" s="874"/>
      <c r="R138" s="874"/>
      <c r="S138" s="874"/>
      <c r="T138" s="874"/>
      <c r="U138" s="874"/>
      <c r="V138" s="874"/>
      <c r="W138" s="874"/>
      <c r="X138" s="874"/>
      <c r="Y138" s="874"/>
      <c r="Z138" s="874"/>
    </row>
    <row r="139" spans="1:26" ht="18" customHeight="1" x14ac:dyDescent="0.35">
      <c r="A139" s="874"/>
      <c r="B139" s="874"/>
      <c r="C139" s="874"/>
      <c r="D139" s="874"/>
      <c r="E139" s="874"/>
      <c r="F139" s="874"/>
      <c r="G139" s="874"/>
      <c r="H139" s="874"/>
      <c r="I139" s="874"/>
      <c r="J139" s="874"/>
      <c r="K139" s="874"/>
      <c r="L139" s="874"/>
      <c r="M139" s="874"/>
      <c r="N139" s="874"/>
      <c r="O139" s="874"/>
      <c r="P139" s="874"/>
      <c r="Q139" s="874"/>
      <c r="R139" s="874"/>
      <c r="S139" s="874"/>
      <c r="T139" s="874"/>
      <c r="U139" s="874"/>
      <c r="V139" s="874"/>
      <c r="W139" s="874"/>
      <c r="X139" s="874"/>
      <c r="Y139" s="874"/>
      <c r="Z139" s="874"/>
    </row>
    <row r="140" spans="1:26" ht="18" customHeight="1" x14ac:dyDescent="0.35">
      <c r="A140" s="874"/>
      <c r="B140" s="874"/>
      <c r="C140" s="874"/>
      <c r="D140" s="874"/>
      <c r="E140" s="874"/>
      <c r="F140" s="874"/>
      <c r="G140" s="874"/>
      <c r="H140" s="874"/>
      <c r="I140" s="874"/>
      <c r="J140" s="874"/>
      <c r="K140" s="874"/>
      <c r="L140" s="874"/>
      <c r="M140" s="874"/>
      <c r="N140" s="874"/>
      <c r="O140" s="874"/>
      <c r="P140" s="874"/>
      <c r="Q140" s="874"/>
      <c r="R140" s="874"/>
      <c r="S140" s="874"/>
      <c r="T140" s="874"/>
      <c r="U140" s="874"/>
      <c r="V140" s="874"/>
      <c r="W140" s="874"/>
      <c r="X140" s="874"/>
      <c r="Y140" s="874"/>
      <c r="Z140" s="874"/>
    </row>
    <row r="141" spans="1:26" ht="18" customHeight="1" x14ac:dyDescent="0.35">
      <c r="A141" s="874"/>
      <c r="B141" s="874"/>
      <c r="C141" s="874"/>
      <c r="D141" s="874"/>
      <c r="E141" s="874"/>
      <c r="F141" s="874"/>
      <c r="G141" s="874"/>
      <c r="H141" s="874"/>
      <c r="I141" s="874"/>
      <c r="J141" s="874"/>
      <c r="K141" s="874"/>
      <c r="L141" s="874"/>
      <c r="M141" s="874"/>
      <c r="N141" s="874"/>
      <c r="O141" s="874"/>
      <c r="P141" s="874"/>
      <c r="Q141" s="874"/>
      <c r="R141" s="874"/>
      <c r="S141" s="874"/>
      <c r="T141" s="874"/>
      <c r="U141" s="874"/>
      <c r="V141" s="874"/>
      <c r="W141" s="874"/>
      <c r="X141" s="874"/>
      <c r="Y141" s="874"/>
      <c r="Z141" s="874"/>
    </row>
    <row r="142" spans="1:26" ht="18" customHeight="1" x14ac:dyDescent="0.35">
      <c r="A142" s="874"/>
      <c r="B142" s="874"/>
      <c r="C142" s="874"/>
      <c r="D142" s="874"/>
      <c r="E142" s="874"/>
      <c r="F142" s="874"/>
      <c r="G142" s="874"/>
      <c r="H142" s="874"/>
      <c r="I142" s="874"/>
      <c r="J142" s="874"/>
      <c r="K142" s="874"/>
      <c r="L142" s="874"/>
      <c r="M142" s="874"/>
      <c r="N142" s="874"/>
      <c r="O142" s="874"/>
      <c r="P142" s="874"/>
      <c r="Q142" s="874"/>
      <c r="R142" s="874"/>
      <c r="S142" s="874"/>
      <c r="T142" s="874"/>
      <c r="U142" s="874"/>
      <c r="V142" s="874"/>
      <c r="W142" s="874"/>
      <c r="X142" s="874"/>
      <c r="Y142" s="874"/>
      <c r="Z142" s="874"/>
    </row>
    <row r="143" spans="1:26" ht="18" customHeight="1" x14ac:dyDescent="0.35">
      <c r="A143" s="874"/>
      <c r="B143" s="874"/>
      <c r="C143" s="874"/>
      <c r="D143" s="874"/>
      <c r="E143" s="874"/>
      <c r="F143" s="874"/>
      <c r="G143" s="874"/>
      <c r="H143" s="874"/>
      <c r="I143" s="874"/>
      <c r="J143" s="874"/>
      <c r="K143" s="874"/>
      <c r="L143" s="874"/>
      <c r="M143" s="874"/>
      <c r="N143" s="874"/>
      <c r="O143" s="874"/>
      <c r="P143" s="874"/>
      <c r="Q143" s="874"/>
      <c r="R143" s="874"/>
      <c r="S143" s="874"/>
      <c r="T143" s="874"/>
      <c r="U143" s="874"/>
      <c r="V143" s="874"/>
      <c r="W143" s="874"/>
      <c r="X143" s="874"/>
      <c r="Y143" s="874"/>
      <c r="Z143" s="874"/>
    </row>
    <row r="144" spans="1:26" ht="18" customHeight="1" x14ac:dyDescent="0.35">
      <c r="A144" s="874"/>
      <c r="B144" s="874"/>
      <c r="C144" s="874"/>
      <c r="D144" s="874"/>
      <c r="E144" s="874"/>
      <c r="F144" s="874"/>
      <c r="G144" s="874"/>
      <c r="H144" s="874"/>
      <c r="I144" s="874"/>
      <c r="J144" s="874"/>
      <c r="K144" s="874"/>
      <c r="L144" s="874"/>
      <c r="M144" s="874"/>
      <c r="N144" s="874"/>
      <c r="O144" s="874"/>
      <c r="P144" s="874"/>
      <c r="Q144" s="874"/>
      <c r="R144" s="874"/>
      <c r="S144" s="874"/>
      <c r="T144" s="874"/>
      <c r="U144" s="874"/>
      <c r="V144" s="874"/>
      <c r="W144" s="874"/>
      <c r="X144" s="874"/>
      <c r="Y144" s="874"/>
      <c r="Z144" s="874"/>
    </row>
    <row r="145" spans="1:26" ht="18" customHeight="1" x14ac:dyDescent="0.35">
      <c r="A145" s="874"/>
      <c r="B145" s="874"/>
      <c r="C145" s="874"/>
      <c r="D145" s="874"/>
      <c r="E145" s="874"/>
      <c r="F145" s="874"/>
      <c r="G145" s="874"/>
      <c r="H145" s="874"/>
      <c r="I145" s="874"/>
      <c r="J145" s="874"/>
      <c r="K145" s="874"/>
      <c r="L145" s="874"/>
      <c r="M145" s="874"/>
      <c r="N145" s="874"/>
      <c r="O145" s="874"/>
      <c r="P145" s="874"/>
      <c r="Q145" s="874"/>
      <c r="R145" s="874"/>
      <c r="S145" s="874"/>
      <c r="T145" s="874"/>
      <c r="U145" s="874"/>
      <c r="V145" s="874"/>
      <c r="W145" s="874"/>
      <c r="X145" s="874"/>
      <c r="Y145" s="874"/>
      <c r="Z145" s="874"/>
    </row>
    <row r="146" spans="1:26" ht="18" customHeight="1" x14ac:dyDescent="0.35">
      <c r="A146" s="874"/>
      <c r="B146" s="874"/>
      <c r="C146" s="874"/>
      <c r="D146" s="874"/>
      <c r="E146" s="874"/>
      <c r="F146" s="874"/>
      <c r="G146" s="874"/>
      <c r="H146" s="874"/>
      <c r="I146" s="874"/>
      <c r="J146" s="874"/>
      <c r="K146" s="874"/>
      <c r="L146" s="874"/>
      <c r="M146" s="874"/>
      <c r="N146" s="874"/>
      <c r="O146" s="874"/>
      <c r="P146" s="874"/>
      <c r="Q146" s="874"/>
      <c r="R146" s="874"/>
      <c r="S146" s="874"/>
      <c r="T146" s="874"/>
      <c r="U146" s="874"/>
      <c r="V146" s="874"/>
      <c r="W146" s="874"/>
      <c r="X146" s="874"/>
      <c r="Y146" s="874"/>
      <c r="Z146" s="874"/>
    </row>
    <row r="147" spans="1:26" ht="18" customHeight="1" x14ac:dyDescent="0.35">
      <c r="A147" s="874"/>
      <c r="B147" s="874"/>
      <c r="C147" s="874"/>
      <c r="D147" s="874"/>
      <c r="E147" s="874"/>
      <c r="F147" s="874"/>
      <c r="G147" s="874"/>
      <c r="H147" s="874"/>
      <c r="I147" s="874"/>
      <c r="J147" s="874"/>
      <c r="K147" s="874"/>
      <c r="L147" s="874"/>
      <c r="M147" s="874"/>
      <c r="N147" s="874"/>
      <c r="O147" s="874"/>
      <c r="P147" s="874"/>
      <c r="Q147" s="874"/>
      <c r="R147" s="874"/>
      <c r="S147" s="874"/>
      <c r="T147" s="874"/>
      <c r="U147" s="874"/>
      <c r="V147" s="874"/>
      <c r="W147" s="874"/>
      <c r="X147" s="874"/>
      <c r="Y147" s="874"/>
      <c r="Z147" s="874"/>
    </row>
    <row r="148" spans="1:26" ht="18" customHeight="1" x14ac:dyDescent="0.35">
      <c r="A148" s="874"/>
      <c r="B148" s="874"/>
      <c r="C148" s="874"/>
      <c r="D148" s="874"/>
      <c r="E148" s="874"/>
      <c r="F148" s="874"/>
      <c r="G148" s="874"/>
      <c r="H148" s="874"/>
      <c r="I148" s="874"/>
      <c r="J148" s="874"/>
      <c r="K148" s="874"/>
      <c r="L148" s="874"/>
      <c r="M148" s="874"/>
      <c r="N148" s="874"/>
      <c r="O148" s="874"/>
      <c r="P148" s="874"/>
      <c r="Q148" s="874"/>
      <c r="R148" s="874"/>
      <c r="S148" s="874"/>
      <c r="T148" s="874"/>
      <c r="U148" s="874"/>
      <c r="V148" s="874"/>
      <c r="W148" s="874"/>
      <c r="X148" s="874"/>
      <c r="Y148" s="874"/>
      <c r="Z148" s="874"/>
    </row>
    <row r="149" spans="1:26" ht="18" customHeight="1" x14ac:dyDescent="0.35">
      <c r="A149" s="874"/>
      <c r="B149" s="874"/>
      <c r="C149" s="874"/>
      <c r="D149" s="874"/>
      <c r="E149" s="874"/>
      <c r="F149" s="874"/>
      <c r="G149" s="874"/>
      <c r="H149" s="874"/>
      <c r="I149" s="874"/>
      <c r="J149" s="874"/>
      <c r="K149" s="874"/>
      <c r="L149" s="874"/>
      <c r="M149" s="874"/>
      <c r="N149" s="874"/>
      <c r="O149" s="874"/>
      <c r="P149" s="874"/>
      <c r="Q149" s="874"/>
      <c r="R149" s="874"/>
      <c r="S149" s="874"/>
      <c r="T149" s="874"/>
      <c r="U149" s="874"/>
      <c r="V149" s="874"/>
      <c r="W149" s="874"/>
      <c r="X149" s="874"/>
      <c r="Y149" s="874"/>
      <c r="Z149" s="874"/>
    </row>
    <row r="150" spans="1:26" ht="18" customHeight="1" x14ac:dyDescent="0.35">
      <c r="A150" s="874"/>
      <c r="B150" s="874"/>
      <c r="C150" s="874"/>
      <c r="D150" s="874"/>
      <c r="E150" s="874"/>
      <c r="F150" s="874"/>
      <c r="G150" s="874"/>
      <c r="H150" s="874"/>
      <c r="I150" s="874"/>
      <c r="J150" s="874"/>
      <c r="K150" s="874"/>
      <c r="L150" s="874"/>
      <c r="M150" s="874"/>
      <c r="N150" s="874"/>
      <c r="O150" s="874"/>
      <c r="P150" s="874"/>
      <c r="Q150" s="874"/>
      <c r="R150" s="874"/>
      <c r="S150" s="874"/>
      <c r="T150" s="874"/>
      <c r="U150" s="874"/>
      <c r="V150" s="874"/>
      <c r="W150" s="874"/>
      <c r="X150" s="874"/>
      <c r="Y150" s="874"/>
      <c r="Z150" s="874"/>
    </row>
    <row r="151" spans="1:26" ht="18" customHeight="1" x14ac:dyDescent="0.35">
      <c r="A151" s="874"/>
      <c r="B151" s="874"/>
      <c r="C151" s="874"/>
      <c r="D151" s="874"/>
      <c r="E151" s="874"/>
      <c r="F151" s="874"/>
      <c r="G151" s="874"/>
      <c r="H151" s="874"/>
      <c r="I151" s="874"/>
      <c r="J151" s="874"/>
      <c r="K151" s="874"/>
      <c r="L151" s="874"/>
      <c r="M151" s="874"/>
      <c r="N151" s="874"/>
      <c r="O151" s="874"/>
      <c r="P151" s="874"/>
      <c r="Q151" s="874"/>
      <c r="R151" s="874"/>
      <c r="S151" s="874"/>
      <c r="T151" s="874"/>
      <c r="U151" s="874"/>
      <c r="V151" s="874"/>
      <c r="W151" s="874"/>
      <c r="X151" s="874"/>
      <c r="Y151" s="874"/>
      <c r="Z151" s="874"/>
    </row>
    <row r="152" spans="1:26" ht="18" customHeight="1" x14ac:dyDescent="0.35">
      <c r="A152" s="874"/>
      <c r="B152" s="874"/>
      <c r="C152" s="874"/>
      <c r="D152" s="874"/>
      <c r="E152" s="874"/>
      <c r="F152" s="874"/>
      <c r="G152" s="874"/>
      <c r="H152" s="874"/>
      <c r="I152" s="874"/>
      <c r="J152" s="874"/>
      <c r="K152" s="874"/>
      <c r="L152" s="874"/>
      <c r="M152" s="874"/>
      <c r="N152" s="874"/>
      <c r="O152" s="874"/>
      <c r="P152" s="874"/>
      <c r="Q152" s="874"/>
      <c r="R152" s="874"/>
      <c r="S152" s="874"/>
      <c r="T152" s="874"/>
      <c r="U152" s="874"/>
      <c r="V152" s="874"/>
      <c r="W152" s="874"/>
      <c r="X152" s="874"/>
      <c r="Y152" s="874"/>
      <c r="Z152" s="874"/>
    </row>
    <row r="153" spans="1:26" ht="18" customHeight="1" x14ac:dyDescent="0.35">
      <c r="A153" s="874"/>
      <c r="B153" s="874"/>
      <c r="C153" s="874"/>
      <c r="D153" s="874"/>
      <c r="E153" s="874"/>
      <c r="F153" s="874"/>
      <c r="G153" s="874"/>
      <c r="H153" s="874"/>
      <c r="I153" s="874"/>
      <c r="J153" s="874"/>
      <c r="K153" s="874"/>
      <c r="L153" s="874"/>
      <c r="M153" s="874"/>
      <c r="N153" s="874"/>
      <c r="O153" s="874"/>
      <c r="P153" s="874"/>
      <c r="Q153" s="874"/>
      <c r="R153" s="874"/>
      <c r="S153" s="874"/>
      <c r="T153" s="874"/>
      <c r="U153" s="874"/>
      <c r="V153" s="874"/>
      <c r="W153" s="874"/>
      <c r="X153" s="874"/>
      <c r="Y153" s="874"/>
      <c r="Z153" s="874"/>
    </row>
    <row r="154" spans="1:26" ht="18" customHeight="1" x14ac:dyDescent="0.35">
      <c r="A154" s="874"/>
      <c r="B154" s="874"/>
      <c r="C154" s="874"/>
      <c r="D154" s="874"/>
      <c r="E154" s="874"/>
      <c r="F154" s="874"/>
      <c r="G154" s="874"/>
      <c r="H154" s="874"/>
      <c r="I154" s="874"/>
      <c r="J154" s="874"/>
      <c r="K154" s="874"/>
      <c r="L154" s="874"/>
      <c r="M154" s="874"/>
      <c r="N154" s="874"/>
      <c r="O154" s="874"/>
      <c r="P154" s="874"/>
      <c r="Q154" s="874"/>
      <c r="R154" s="874"/>
      <c r="S154" s="874"/>
      <c r="T154" s="874"/>
      <c r="U154" s="874"/>
      <c r="V154" s="874"/>
      <c r="W154" s="874"/>
      <c r="X154" s="874"/>
      <c r="Y154" s="874"/>
      <c r="Z154" s="874"/>
    </row>
    <row r="155" spans="1:26" ht="18" customHeight="1" x14ac:dyDescent="0.35">
      <c r="A155" s="874"/>
      <c r="B155" s="874"/>
      <c r="C155" s="874"/>
      <c r="D155" s="874"/>
      <c r="E155" s="874"/>
      <c r="F155" s="874"/>
      <c r="G155" s="874"/>
      <c r="H155" s="874"/>
      <c r="I155" s="874"/>
      <c r="J155" s="874"/>
      <c r="K155" s="874"/>
      <c r="L155" s="874"/>
      <c r="M155" s="874"/>
      <c r="N155" s="874"/>
      <c r="O155" s="874"/>
      <c r="P155" s="874"/>
      <c r="Q155" s="874"/>
      <c r="R155" s="874"/>
      <c r="S155" s="874"/>
      <c r="T155" s="874"/>
      <c r="U155" s="874"/>
      <c r="V155" s="874"/>
      <c r="W155" s="874"/>
      <c r="X155" s="874"/>
      <c r="Y155" s="874"/>
      <c r="Z155" s="874"/>
    </row>
    <row r="156" spans="1:26" ht="18" customHeight="1" x14ac:dyDescent="0.35">
      <c r="A156" s="874"/>
      <c r="B156" s="874"/>
      <c r="C156" s="874"/>
      <c r="D156" s="874"/>
      <c r="E156" s="874"/>
      <c r="F156" s="874"/>
      <c r="G156" s="874"/>
      <c r="H156" s="874"/>
      <c r="I156" s="874"/>
      <c r="J156" s="874"/>
      <c r="K156" s="874"/>
      <c r="L156" s="874"/>
      <c r="M156" s="874"/>
      <c r="N156" s="874"/>
      <c r="O156" s="874"/>
      <c r="P156" s="874"/>
      <c r="Q156" s="874"/>
      <c r="R156" s="874"/>
      <c r="S156" s="874"/>
      <c r="T156" s="874"/>
      <c r="U156" s="874"/>
      <c r="V156" s="874"/>
      <c r="W156" s="874"/>
      <c r="X156" s="874"/>
      <c r="Y156" s="874"/>
      <c r="Z156" s="874"/>
    </row>
    <row r="157" spans="1:26" ht="18" customHeight="1" x14ac:dyDescent="0.35">
      <c r="A157" s="874"/>
      <c r="B157" s="874"/>
      <c r="C157" s="874"/>
      <c r="D157" s="874"/>
      <c r="E157" s="874"/>
      <c r="F157" s="874"/>
      <c r="G157" s="874"/>
      <c r="H157" s="874"/>
      <c r="I157" s="874"/>
      <c r="J157" s="874"/>
      <c r="K157" s="874"/>
      <c r="L157" s="874"/>
      <c r="M157" s="874"/>
      <c r="N157" s="874"/>
      <c r="O157" s="874"/>
      <c r="P157" s="874"/>
      <c r="Q157" s="874"/>
      <c r="R157" s="874"/>
      <c r="S157" s="874"/>
      <c r="T157" s="874"/>
      <c r="U157" s="874"/>
      <c r="V157" s="874"/>
      <c r="W157" s="874"/>
      <c r="X157" s="874"/>
      <c r="Y157" s="874"/>
      <c r="Z157" s="874"/>
    </row>
    <row r="158" spans="1:26" ht="18" customHeight="1" x14ac:dyDescent="0.35">
      <c r="A158" s="874"/>
      <c r="B158" s="874"/>
      <c r="C158" s="874"/>
      <c r="D158" s="874"/>
      <c r="E158" s="874"/>
      <c r="F158" s="874"/>
      <c r="G158" s="874"/>
      <c r="H158" s="874"/>
      <c r="I158" s="874"/>
      <c r="J158" s="874"/>
      <c r="K158" s="874"/>
      <c r="L158" s="874"/>
      <c r="M158" s="874"/>
      <c r="N158" s="874"/>
      <c r="O158" s="874"/>
      <c r="P158" s="874"/>
      <c r="Q158" s="874"/>
      <c r="R158" s="874"/>
      <c r="S158" s="874"/>
      <c r="T158" s="874"/>
      <c r="U158" s="874"/>
      <c r="V158" s="874"/>
      <c r="W158" s="874"/>
      <c r="X158" s="874"/>
      <c r="Y158" s="874"/>
      <c r="Z158" s="874"/>
    </row>
    <row r="159" spans="1:26" ht="18" customHeight="1" x14ac:dyDescent="0.35">
      <c r="A159" s="874"/>
      <c r="B159" s="874"/>
      <c r="C159" s="874"/>
      <c r="D159" s="874"/>
      <c r="E159" s="874"/>
      <c r="F159" s="874"/>
      <c r="G159" s="874"/>
      <c r="H159" s="874"/>
      <c r="I159" s="874"/>
      <c r="J159" s="874"/>
      <c r="K159" s="874"/>
      <c r="L159" s="874"/>
      <c r="M159" s="874"/>
      <c r="N159" s="874"/>
      <c r="O159" s="874"/>
      <c r="P159" s="874"/>
      <c r="Q159" s="874"/>
      <c r="R159" s="874"/>
      <c r="S159" s="874"/>
      <c r="T159" s="874"/>
      <c r="U159" s="874"/>
      <c r="V159" s="874"/>
      <c r="W159" s="874"/>
      <c r="X159" s="874"/>
      <c r="Y159" s="874"/>
      <c r="Z159" s="874"/>
    </row>
    <row r="160" spans="1:26" ht="18" customHeight="1" x14ac:dyDescent="0.35">
      <c r="A160" s="874"/>
      <c r="B160" s="874"/>
      <c r="C160" s="874"/>
      <c r="D160" s="874"/>
      <c r="E160" s="874"/>
      <c r="F160" s="874"/>
      <c r="G160" s="874"/>
      <c r="H160" s="874"/>
      <c r="I160" s="874"/>
      <c r="J160" s="874"/>
      <c r="K160" s="874"/>
      <c r="L160" s="874"/>
      <c r="M160" s="874"/>
      <c r="N160" s="874"/>
      <c r="O160" s="874"/>
      <c r="P160" s="874"/>
      <c r="Q160" s="874"/>
      <c r="R160" s="874"/>
      <c r="S160" s="874"/>
      <c r="T160" s="874"/>
      <c r="U160" s="874"/>
      <c r="V160" s="874"/>
      <c r="W160" s="874"/>
      <c r="X160" s="874"/>
      <c r="Y160" s="874"/>
      <c r="Z160" s="874"/>
    </row>
    <row r="161" spans="1:26" ht="18" customHeight="1" x14ac:dyDescent="0.35">
      <c r="A161" s="874"/>
      <c r="B161" s="874"/>
      <c r="C161" s="874"/>
      <c r="D161" s="874"/>
      <c r="E161" s="874"/>
      <c r="F161" s="874"/>
      <c r="G161" s="874"/>
      <c r="H161" s="874"/>
      <c r="I161" s="874"/>
      <c r="J161" s="874"/>
      <c r="K161" s="874"/>
      <c r="L161" s="874"/>
      <c r="M161" s="874"/>
      <c r="N161" s="874"/>
      <c r="O161" s="874"/>
      <c r="P161" s="874"/>
      <c r="Q161" s="874"/>
      <c r="R161" s="874"/>
      <c r="S161" s="874"/>
      <c r="T161" s="874"/>
      <c r="U161" s="874"/>
      <c r="V161" s="874"/>
      <c r="W161" s="874"/>
      <c r="X161" s="874"/>
      <c r="Y161" s="874"/>
      <c r="Z161" s="874"/>
    </row>
    <row r="162" spans="1:26" ht="18" customHeight="1" x14ac:dyDescent="0.35">
      <c r="A162" s="874"/>
      <c r="B162" s="874"/>
      <c r="C162" s="874"/>
      <c r="D162" s="874"/>
      <c r="E162" s="874"/>
      <c r="F162" s="874"/>
      <c r="G162" s="874"/>
      <c r="H162" s="874"/>
      <c r="I162" s="874"/>
      <c r="J162" s="874"/>
      <c r="K162" s="874"/>
      <c r="L162" s="874"/>
      <c r="M162" s="874"/>
      <c r="N162" s="874"/>
      <c r="O162" s="874"/>
      <c r="P162" s="874"/>
      <c r="Q162" s="874"/>
      <c r="R162" s="874"/>
      <c r="S162" s="874"/>
      <c r="T162" s="874"/>
      <c r="U162" s="874"/>
      <c r="V162" s="874"/>
      <c r="W162" s="874"/>
      <c r="X162" s="874"/>
      <c r="Y162" s="874"/>
      <c r="Z162" s="874"/>
    </row>
    <row r="163" spans="1:26" ht="18" customHeight="1" x14ac:dyDescent="0.35">
      <c r="A163" s="874"/>
      <c r="B163" s="874"/>
      <c r="C163" s="874"/>
      <c r="D163" s="874"/>
      <c r="E163" s="874"/>
      <c r="F163" s="874"/>
      <c r="G163" s="874"/>
      <c r="H163" s="874"/>
      <c r="I163" s="874"/>
      <c r="J163" s="874"/>
      <c r="K163" s="874"/>
      <c r="L163" s="874"/>
      <c r="M163" s="874"/>
      <c r="N163" s="874"/>
      <c r="O163" s="874"/>
      <c r="P163" s="874"/>
      <c r="Q163" s="874"/>
      <c r="R163" s="874"/>
      <c r="S163" s="874"/>
      <c r="T163" s="874"/>
      <c r="U163" s="874"/>
      <c r="V163" s="874"/>
      <c r="W163" s="874"/>
      <c r="X163" s="874"/>
      <c r="Y163" s="874"/>
      <c r="Z163" s="874"/>
    </row>
    <row r="164" spans="1:26" ht="18" customHeight="1" x14ac:dyDescent="0.35">
      <c r="A164" s="874"/>
      <c r="B164" s="874"/>
      <c r="C164" s="874"/>
      <c r="D164" s="874"/>
      <c r="E164" s="874"/>
      <c r="F164" s="874"/>
      <c r="G164" s="874"/>
      <c r="H164" s="874"/>
      <c r="I164" s="874"/>
      <c r="J164" s="874"/>
      <c r="K164" s="874"/>
      <c r="L164" s="874"/>
      <c r="M164" s="874"/>
      <c r="N164" s="874"/>
      <c r="O164" s="874"/>
      <c r="P164" s="874"/>
      <c r="Q164" s="874"/>
      <c r="R164" s="874"/>
      <c r="S164" s="874"/>
      <c r="T164" s="874"/>
      <c r="U164" s="874"/>
      <c r="V164" s="874"/>
      <c r="W164" s="874"/>
      <c r="X164" s="874"/>
      <c r="Y164" s="874"/>
      <c r="Z164" s="874"/>
    </row>
    <row r="165" spans="1:26" ht="18" customHeight="1" x14ac:dyDescent="0.35">
      <c r="A165" s="874"/>
      <c r="B165" s="874"/>
      <c r="C165" s="874"/>
      <c r="D165" s="874"/>
      <c r="E165" s="874"/>
      <c r="F165" s="874"/>
      <c r="G165" s="874"/>
      <c r="H165" s="874"/>
      <c r="I165" s="874"/>
      <c r="J165" s="874"/>
      <c r="K165" s="874"/>
      <c r="L165" s="874"/>
      <c r="M165" s="874"/>
      <c r="N165" s="874"/>
      <c r="O165" s="874"/>
      <c r="P165" s="874"/>
      <c r="Q165" s="874"/>
      <c r="R165" s="874"/>
      <c r="S165" s="874"/>
      <c r="T165" s="874"/>
      <c r="U165" s="874"/>
      <c r="V165" s="874"/>
      <c r="W165" s="874"/>
      <c r="X165" s="874"/>
      <c r="Y165" s="874"/>
      <c r="Z165" s="874"/>
    </row>
    <row r="166" spans="1:26" ht="18" customHeight="1" x14ac:dyDescent="0.35">
      <c r="A166" s="874"/>
      <c r="B166" s="874"/>
      <c r="C166" s="874"/>
      <c r="D166" s="874"/>
      <c r="E166" s="874"/>
      <c r="F166" s="874"/>
      <c r="G166" s="874"/>
      <c r="H166" s="874"/>
      <c r="I166" s="874"/>
      <c r="J166" s="874"/>
      <c r="K166" s="874"/>
      <c r="L166" s="874"/>
      <c r="M166" s="874"/>
      <c r="N166" s="874"/>
      <c r="O166" s="874"/>
      <c r="P166" s="874"/>
      <c r="Q166" s="874"/>
      <c r="R166" s="874"/>
      <c r="S166" s="874"/>
      <c r="T166" s="874"/>
      <c r="U166" s="874"/>
      <c r="V166" s="874"/>
      <c r="W166" s="874"/>
      <c r="X166" s="874"/>
      <c r="Y166" s="874"/>
      <c r="Z166" s="874"/>
    </row>
    <row r="167" spans="1:26" ht="18" customHeight="1" x14ac:dyDescent="0.35">
      <c r="A167" s="874"/>
      <c r="B167" s="874"/>
      <c r="C167" s="874"/>
      <c r="D167" s="874"/>
      <c r="E167" s="874"/>
      <c r="F167" s="874"/>
      <c r="G167" s="874"/>
      <c r="H167" s="874"/>
      <c r="I167" s="874"/>
      <c r="J167" s="874"/>
      <c r="K167" s="874"/>
      <c r="L167" s="874"/>
      <c r="M167" s="874"/>
      <c r="N167" s="874"/>
      <c r="O167" s="874"/>
      <c r="P167" s="874"/>
      <c r="Q167" s="874"/>
      <c r="R167" s="874"/>
      <c r="S167" s="874"/>
      <c r="T167" s="874"/>
      <c r="U167" s="874"/>
      <c r="V167" s="874"/>
      <c r="W167" s="874"/>
      <c r="X167" s="874"/>
      <c r="Y167" s="874"/>
      <c r="Z167" s="874"/>
    </row>
    <row r="168" spans="1:26" ht="18" customHeight="1" x14ac:dyDescent="0.35">
      <c r="A168" s="874"/>
      <c r="B168" s="874"/>
      <c r="C168" s="874"/>
      <c r="D168" s="874"/>
      <c r="E168" s="874"/>
      <c r="F168" s="874"/>
      <c r="G168" s="874"/>
      <c r="H168" s="874"/>
      <c r="I168" s="874"/>
      <c r="J168" s="874"/>
      <c r="K168" s="874"/>
      <c r="L168" s="874"/>
      <c r="M168" s="874"/>
      <c r="N168" s="874"/>
      <c r="O168" s="874"/>
      <c r="P168" s="874"/>
      <c r="Q168" s="874"/>
      <c r="R168" s="874"/>
      <c r="S168" s="874"/>
      <c r="T168" s="874"/>
      <c r="U168" s="874"/>
      <c r="V168" s="874"/>
      <c r="W168" s="874"/>
      <c r="X168" s="874"/>
      <c r="Y168" s="874"/>
      <c r="Z168" s="874"/>
    </row>
    <row r="169" spans="1:26" ht="18" customHeight="1" x14ac:dyDescent="0.35">
      <c r="A169" s="874"/>
      <c r="B169" s="874"/>
      <c r="C169" s="874"/>
      <c r="D169" s="874"/>
      <c r="E169" s="874"/>
      <c r="F169" s="874"/>
      <c r="G169" s="874"/>
      <c r="H169" s="874"/>
      <c r="I169" s="874"/>
      <c r="J169" s="874"/>
      <c r="K169" s="874"/>
      <c r="L169" s="874"/>
      <c r="M169" s="874"/>
      <c r="N169" s="874"/>
      <c r="O169" s="874"/>
      <c r="P169" s="874"/>
      <c r="Q169" s="874"/>
      <c r="R169" s="874"/>
      <c r="S169" s="874"/>
      <c r="T169" s="874"/>
      <c r="U169" s="874"/>
      <c r="V169" s="874"/>
      <c r="W169" s="874"/>
      <c r="X169" s="874"/>
      <c r="Y169" s="874"/>
      <c r="Z169" s="874"/>
    </row>
    <row r="170" spans="1:26" ht="18" customHeight="1" x14ac:dyDescent="0.35">
      <c r="A170" s="874"/>
      <c r="B170" s="874"/>
      <c r="C170" s="874"/>
      <c r="D170" s="874"/>
      <c r="E170" s="874"/>
      <c r="F170" s="874"/>
      <c r="G170" s="874"/>
      <c r="H170" s="874"/>
      <c r="I170" s="874"/>
      <c r="J170" s="874"/>
      <c r="K170" s="874"/>
      <c r="L170" s="874"/>
      <c r="M170" s="874"/>
      <c r="N170" s="874"/>
      <c r="O170" s="874"/>
      <c r="P170" s="874"/>
      <c r="Q170" s="874"/>
      <c r="R170" s="874"/>
      <c r="S170" s="874"/>
      <c r="T170" s="874"/>
      <c r="U170" s="874"/>
      <c r="V170" s="874"/>
      <c r="W170" s="874"/>
      <c r="X170" s="874"/>
      <c r="Y170" s="874"/>
      <c r="Z170" s="874"/>
    </row>
    <row r="171" spans="1:26" ht="18" customHeight="1" x14ac:dyDescent="0.35">
      <c r="A171" s="874"/>
      <c r="B171" s="874"/>
      <c r="C171" s="874"/>
      <c r="D171" s="874"/>
      <c r="E171" s="874"/>
      <c r="F171" s="874"/>
      <c r="G171" s="874"/>
      <c r="H171" s="874"/>
      <c r="I171" s="874"/>
      <c r="J171" s="874"/>
      <c r="K171" s="874"/>
      <c r="L171" s="874"/>
      <c r="M171" s="874"/>
      <c r="N171" s="874"/>
      <c r="O171" s="874"/>
      <c r="P171" s="874"/>
      <c r="Q171" s="874"/>
      <c r="R171" s="874"/>
      <c r="S171" s="874"/>
      <c r="T171" s="874"/>
      <c r="U171" s="874"/>
      <c r="V171" s="874"/>
      <c r="W171" s="874"/>
      <c r="X171" s="874"/>
      <c r="Y171" s="874"/>
      <c r="Z171" s="874"/>
    </row>
    <row r="172" spans="1:26" ht="18" customHeight="1" x14ac:dyDescent="0.35">
      <c r="A172" s="874"/>
      <c r="B172" s="874"/>
      <c r="C172" s="874"/>
      <c r="D172" s="874"/>
      <c r="E172" s="874"/>
      <c r="F172" s="874"/>
      <c r="G172" s="874"/>
      <c r="H172" s="874"/>
      <c r="I172" s="874"/>
      <c r="J172" s="874"/>
      <c r="K172" s="874"/>
      <c r="L172" s="874"/>
      <c r="M172" s="874"/>
      <c r="N172" s="874"/>
      <c r="O172" s="874"/>
      <c r="P172" s="874"/>
      <c r="Q172" s="874"/>
      <c r="R172" s="874"/>
      <c r="S172" s="874"/>
      <c r="T172" s="874"/>
      <c r="U172" s="874"/>
      <c r="V172" s="874"/>
      <c r="W172" s="874"/>
      <c r="X172" s="874"/>
      <c r="Y172" s="874"/>
      <c r="Z172" s="874"/>
    </row>
    <row r="173" spans="1:26" ht="18" customHeight="1" x14ac:dyDescent="0.35">
      <c r="A173" s="874"/>
      <c r="B173" s="874"/>
      <c r="C173" s="874"/>
      <c r="D173" s="874"/>
      <c r="E173" s="874"/>
      <c r="F173" s="874"/>
      <c r="G173" s="874"/>
      <c r="H173" s="874"/>
      <c r="I173" s="874"/>
      <c r="J173" s="874"/>
      <c r="K173" s="874"/>
      <c r="L173" s="874"/>
      <c r="M173" s="874"/>
      <c r="N173" s="874"/>
      <c r="O173" s="874"/>
      <c r="P173" s="874"/>
      <c r="Q173" s="874"/>
      <c r="R173" s="874"/>
      <c r="S173" s="874"/>
      <c r="T173" s="874"/>
      <c r="U173" s="874"/>
      <c r="V173" s="874"/>
      <c r="W173" s="874"/>
      <c r="X173" s="874"/>
      <c r="Y173" s="874"/>
      <c r="Z173" s="874"/>
    </row>
    <row r="174" spans="1:26" ht="18" customHeight="1" x14ac:dyDescent="0.35">
      <c r="A174" s="874"/>
      <c r="B174" s="874"/>
      <c r="C174" s="874"/>
      <c r="D174" s="874"/>
      <c r="E174" s="874"/>
      <c r="F174" s="874"/>
      <c r="G174" s="874"/>
      <c r="H174" s="874"/>
      <c r="I174" s="874"/>
      <c r="J174" s="874"/>
      <c r="K174" s="874"/>
      <c r="L174" s="874"/>
      <c r="M174" s="874"/>
      <c r="N174" s="874"/>
      <c r="O174" s="874"/>
      <c r="P174" s="874"/>
      <c r="Q174" s="874"/>
      <c r="R174" s="874"/>
      <c r="S174" s="874"/>
      <c r="T174" s="874"/>
      <c r="U174" s="874"/>
      <c r="V174" s="874"/>
      <c r="W174" s="874"/>
      <c r="X174" s="874"/>
      <c r="Y174" s="874"/>
      <c r="Z174" s="874"/>
    </row>
    <row r="175" spans="1:26" ht="18" customHeight="1" x14ac:dyDescent="0.35">
      <c r="A175" s="874"/>
      <c r="B175" s="874"/>
      <c r="C175" s="874"/>
      <c r="D175" s="874"/>
      <c r="E175" s="874"/>
      <c r="F175" s="874"/>
      <c r="G175" s="874"/>
      <c r="H175" s="874"/>
      <c r="I175" s="874"/>
      <c r="J175" s="874"/>
      <c r="K175" s="874"/>
      <c r="L175" s="874"/>
      <c r="M175" s="874"/>
      <c r="N175" s="874"/>
      <c r="O175" s="874"/>
      <c r="P175" s="874"/>
      <c r="Q175" s="874"/>
      <c r="R175" s="874"/>
      <c r="S175" s="874"/>
      <c r="T175" s="874"/>
      <c r="U175" s="874"/>
      <c r="V175" s="874"/>
      <c r="W175" s="874"/>
      <c r="X175" s="874"/>
      <c r="Y175" s="874"/>
      <c r="Z175" s="874"/>
    </row>
    <row r="176" spans="1:26" ht="18" customHeight="1" x14ac:dyDescent="0.35">
      <c r="A176" s="874"/>
      <c r="B176" s="874"/>
      <c r="C176" s="874"/>
      <c r="D176" s="874"/>
      <c r="E176" s="874"/>
      <c r="F176" s="874"/>
      <c r="G176" s="874"/>
      <c r="H176" s="874"/>
      <c r="I176" s="874"/>
      <c r="J176" s="874"/>
      <c r="K176" s="874"/>
      <c r="L176" s="874"/>
      <c r="M176" s="874"/>
      <c r="N176" s="874"/>
      <c r="O176" s="874"/>
      <c r="P176" s="874"/>
      <c r="Q176" s="874"/>
      <c r="R176" s="874"/>
      <c r="S176" s="874"/>
      <c r="T176" s="874"/>
      <c r="U176" s="874"/>
      <c r="V176" s="874"/>
      <c r="W176" s="874"/>
      <c r="X176" s="874"/>
      <c r="Y176" s="874"/>
      <c r="Z176" s="874"/>
    </row>
    <row r="177" spans="1:26" ht="18" customHeight="1" x14ac:dyDescent="0.35">
      <c r="A177" s="874"/>
      <c r="B177" s="874"/>
      <c r="C177" s="874"/>
      <c r="D177" s="874"/>
      <c r="E177" s="874"/>
      <c r="F177" s="874"/>
      <c r="G177" s="874"/>
      <c r="H177" s="874"/>
      <c r="I177" s="874"/>
      <c r="J177" s="874"/>
      <c r="K177" s="874"/>
      <c r="L177" s="874"/>
      <c r="M177" s="874"/>
      <c r="N177" s="874"/>
      <c r="O177" s="874"/>
      <c r="P177" s="874"/>
      <c r="Q177" s="874"/>
      <c r="R177" s="874"/>
      <c r="S177" s="874"/>
      <c r="T177" s="874"/>
      <c r="U177" s="874"/>
      <c r="V177" s="874"/>
      <c r="W177" s="874"/>
      <c r="X177" s="874"/>
      <c r="Y177" s="874"/>
      <c r="Z177" s="874"/>
    </row>
    <row r="178" spans="1:26" ht="18" customHeight="1" x14ac:dyDescent="0.35">
      <c r="A178" s="874"/>
      <c r="B178" s="874"/>
      <c r="C178" s="874"/>
      <c r="D178" s="874"/>
      <c r="E178" s="874"/>
      <c r="F178" s="874"/>
      <c r="G178" s="874"/>
      <c r="H178" s="874"/>
      <c r="I178" s="874"/>
      <c r="J178" s="874"/>
      <c r="K178" s="874"/>
      <c r="L178" s="874"/>
      <c r="M178" s="874"/>
      <c r="N178" s="874"/>
      <c r="O178" s="874"/>
      <c r="P178" s="874"/>
      <c r="Q178" s="874"/>
      <c r="R178" s="874"/>
      <c r="S178" s="874"/>
      <c r="T178" s="874"/>
      <c r="U178" s="874"/>
      <c r="V178" s="874"/>
      <c r="W178" s="874"/>
      <c r="X178" s="874"/>
      <c r="Y178" s="874"/>
      <c r="Z178" s="874"/>
    </row>
    <row r="179" spans="1:26" ht="18" customHeight="1" x14ac:dyDescent="0.35">
      <c r="A179" s="874"/>
      <c r="B179" s="874"/>
      <c r="C179" s="874"/>
      <c r="D179" s="874"/>
      <c r="E179" s="874"/>
      <c r="F179" s="874"/>
      <c r="G179" s="874"/>
      <c r="H179" s="874"/>
      <c r="I179" s="874"/>
      <c r="J179" s="874"/>
      <c r="K179" s="874"/>
      <c r="L179" s="874"/>
      <c r="M179" s="874"/>
      <c r="N179" s="874"/>
      <c r="O179" s="874"/>
      <c r="P179" s="874"/>
      <c r="Q179" s="874"/>
      <c r="R179" s="874"/>
      <c r="S179" s="874"/>
      <c r="T179" s="874"/>
      <c r="U179" s="874"/>
      <c r="V179" s="874"/>
      <c r="W179" s="874"/>
      <c r="X179" s="874"/>
      <c r="Y179" s="874"/>
      <c r="Z179" s="874"/>
    </row>
    <row r="180" spans="1:26" ht="18" customHeight="1" x14ac:dyDescent="0.35">
      <c r="A180" s="874"/>
      <c r="B180" s="874"/>
      <c r="C180" s="874"/>
      <c r="D180" s="874"/>
      <c r="E180" s="874"/>
      <c r="F180" s="874"/>
      <c r="G180" s="874"/>
      <c r="H180" s="874"/>
      <c r="I180" s="874"/>
      <c r="J180" s="874"/>
      <c r="K180" s="874"/>
      <c r="L180" s="874"/>
      <c r="M180" s="874"/>
      <c r="N180" s="874"/>
      <c r="O180" s="874"/>
      <c r="P180" s="874"/>
      <c r="Q180" s="874"/>
      <c r="R180" s="874"/>
      <c r="S180" s="874"/>
      <c r="T180" s="874"/>
      <c r="U180" s="874"/>
      <c r="V180" s="874"/>
      <c r="W180" s="874"/>
      <c r="X180" s="874"/>
      <c r="Y180" s="874"/>
      <c r="Z180" s="874"/>
    </row>
    <row r="181" spans="1:26" ht="18" customHeight="1" x14ac:dyDescent="0.35">
      <c r="A181" s="874"/>
      <c r="B181" s="874"/>
      <c r="C181" s="874"/>
      <c r="D181" s="874"/>
      <c r="E181" s="874"/>
      <c r="F181" s="874"/>
      <c r="G181" s="874"/>
      <c r="H181" s="874"/>
      <c r="I181" s="874"/>
      <c r="J181" s="874"/>
      <c r="K181" s="874"/>
      <c r="L181" s="874"/>
      <c r="M181" s="874"/>
      <c r="N181" s="874"/>
      <c r="O181" s="874"/>
      <c r="P181" s="874"/>
      <c r="Q181" s="874"/>
      <c r="R181" s="874"/>
      <c r="S181" s="874"/>
      <c r="T181" s="874"/>
      <c r="U181" s="874"/>
      <c r="V181" s="874"/>
      <c r="W181" s="874"/>
      <c r="X181" s="874"/>
      <c r="Y181" s="874"/>
      <c r="Z181" s="874"/>
    </row>
    <row r="182" spans="1:26" ht="18" customHeight="1" x14ac:dyDescent="0.35">
      <c r="A182" s="874"/>
      <c r="B182" s="874"/>
      <c r="C182" s="874"/>
      <c r="D182" s="874"/>
      <c r="E182" s="874"/>
      <c r="F182" s="874"/>
      <c r="G182" s="874"/>
      <c r="H182" s="874"/>
      <c r="I182" s="874"/>
      <c r="J182" s="874"/>
      <c r="K182" s="874"/>
      <c r="L182" s="874"/>
      <c r="M182" s="874"/>
      <c r="N182" s="874"/>
      <c r="O182" s="874"/>
      <c r="P182" s="874"/>
      <c r="Q182" s="874"/>
      <c r="R182" s="874"/>
      <c r="S182" s="874"/>
      <c r="T182" s="874"/>
      <c r="U182" s="874"/>
      <c r="V182" s="874"/>
      <c r="W182" s="874"/>
      <c r="X182" s="874"/>
      <c r="Y182" s="874"/>
      <c r="Z182" s="874"/>
    </row>
    <row r="183" spans="1:26" ht="18" customHeight="1" x14ac:dyDescent="0.35">
      <c r="A183" s="874"/>
      <c r="B183" s="874"/>
      <c r="C183" s="874"/>
      <c r="D183" s="874"/>
      <c r="E183" s="874"/>
      <c r="F183" s="874"/>
      <c r="G183" s="874"/>
      <c r="H183" s="874"/>
      <c r="I183" s="874"/>
      <c r="J183" s="874"/>
      <c r="K183" s="874"/>
      <c r="L183" s="874"/>
      <c r="M183" s="874"/>
      <c r="N183" s="874"/>
      <c r="O183" s="874"/>
      <c r="P183" s="874"/>
      <c r="Q183" s="874"/>
      <c r="R183" s="874"/>
      <c r="S183" s="874"/>
      <c r="T183" s="874"/>
      <c r="U183" s="874"/>
      <c r="V183" s="874"/>
      <c r="W183" s="874"/>
      <c r="X183" s="874"/>
      <c r="Y183" s="874"/>
      <c r="Z183" s="874"/>
    </row>
    <row r="184" spans="1:26" ht="18" customHeight="1" x14ac:dyDescent="0.35">
      <c r="A184" s="874"/>
      <c r="B184" s="874"/>
      <c r="C184" s="874"/>
      <c r="D184" s="874"/>
      <c r="E184" s="874"/>
      <c r="F184" s="874"/>
      <c r="G184" s="874"/>
      <c r="H184" s="874"/>
      <c r="I184" s="874"/>
      <c r="J184" s="874"/>
      <c r="K184" s="874"/>
      <c r="L184" s="874"/>
      <c r="M184" s="874"/>
      <c r="N184" s="874"/>
      <c r="O184" s="874"/>
      <c r="P184" s="874"/>
      <c r="Q184" s="874"/>
      <c r="R184" s="874"/>
      <c r="S184" s="874"/>
      <c r="T184" s="874"/>
      <c r="U184" s="874"/>
      <c r="V184" s="874"/>
      <c r="W184" s="874"/>
      <c r="X184" s="874"/>
      <c r="Y184" s="874"/>
      <c r="Z184" s="874"/>
    </row>
    <row r="185" spans="1:26" ht="18" customHeight="1" x14ac:dyDescent="0.35">
      <c r="A185" s="874"/>
      <c r="B185" s="874"/>
      <c r="C185" s="874"/>
      <c r="D185" s="874"/>
      <c r="E185" s="874"/>
      <c r="F185" s="874"/>
      <c r="G185" s="874"/>
      <c r="H185" s="874"/>
      <c r="I185" s="874"/>
      <c r="J185" s="874"/>
      <c r="K185" s="874"/>
      <c r="L185" s="874"/>
      <c r="M185" s="874"/>
      <c r="N185" s="874"/>
      <c r="O185" s="874"/>
      <c r="P185" s="874"/>
      <c r="Q185" s="874"/>
      <c r="R185" s="874"/>
      <c r="S185" s="874"/>
      <c r="T185" s="874"/>
      <c r="U185" s="874"/>
      <c r="V185" s="874"/>
      <c r="W185" s="874"/>
      <c r="X185" s="874"/>
      <c r="Y185" s="874"/>
      <c r="Z185" s="874"/>
    </row>
    <row r="186" spans="1:26" ht="18" customHeight="1" x14ac:dyDescent="0.35">
      <c r="A186" s="874"/>
      <c r="B186" s="874"/>
      <c r="C186" s="874"/>
      <c r="D186" s="874"/>
      <c r="E186" s="874"/>
      <c r="F186" s="874"/>
      <c r="G186" s="874"/>
      <c r="H186" s="874"/>
      <c r="I186" s="874"/>
      <c r="J186" s="874"/>
      <c r="K186" s="874"/>
      <c r="L186" s="874"/>
      <c r="M186" s="874"/>
      <c r="N186" s="874"/>
      <c r="O186" s="874"/>
      <c r="P186" s="874"/>
      <c r="Q186" s="874"/>
      <c r="R186" s="874"/>
      <c r="S186" s="874"/>
      <c r="T186" s="874"/>
      <c r="U186" s="874"/>
      <c r="V186" s="874"/>
      <c r="W186" s="874"/>
      <c r="X186" s="874"/>
      <c r="Y186" s="874"/>
      <c r="Z186" s="874"/>
    </row>
    <row r="187" spans="1:26" ht="18" customHeight="1" x14ac:dyDescent="0.35">
      <c r="A187" s="874"/>
      <c r="B187" s="874"/>
      <c r="C187" s="874"/>
      <c r="D187" s="874"/>
      <c r="E187" s="874"/>
      <c r="F187" s="874"/>
      <c r="G187" s="874"/>
      <c r="H187" s="874"/>
      <c r="I187" s="874"/>
      <c r="J187" s="874"/>
      <c r="K187" s="874"/>
      <c r="L187" s="874"/>
      <c r="M187" s="874"/>
      <c r="N187" s="874"/>
      <c r="O187" s="874"/>
      <c r="P187" s="874"/>
      <c r="Q187" s="874"/>
      <c r="R187" s="874"/>
      <c r="S187" s="874"/>
      <c r="T187" s="874"/>
      <c r="U187" s="874"/>
      <c r="V187" s="874"/>
      <c r="W187" s="874"/>
      <c r="X187" s="874"/>
      <c r="Y187" s="874"/>
      <c r="Z187" s="874"/>
    </row>
    <row r="188" spans="1:26" ht="18" customHeight="1" x14ac:dyDescent="0.35">
      <c r="A188" s="874"/>
      <c r="B188" s="874"/>
      <c r="C188" s="874"/>
      <c r="D188" s="874"/>
      <c r="E188" s="874"/>
      <c r="F188" s="874"/>
      <c r="G188" s="874"/>
      <c r="H188" s="874"/>
      <c r="I188" s="874"/>
      <c r="J188" s="874"/>
      <c r="K188" s="874"/>
      <c r="L188" s="874"/>
      <c r="M188" s="874"/>
      <c r="N188" s="874"/>
      <c r="O188" s="874"/>
      <c r="P188" s="874"/>
      <c r="Q188" s="874"/>
      <c r="R188" s="874"/>
      <c r="S188" s="874"/>
      <c r="T188" s="874"/>
      <c r="U188" s="874"/>
      <c r="V188" s="874"/>
      <c r="W188" s="874"/>
      <c r="X188" s="874"/>
      <c r="Y188" s="874"/>
      <c r="Z188" s="874"/>
    </row>
    <row r="189" spans="1:26" ht="18" customHeight="1" x14ac:dyDescent="0.35">
      <c r="A189" s="874"/>
      <c r="B189" s="874"/>
      <c r="C189" s="874"/>
      <c r="D189" s="874"/>
      <c r="E189" s="874"/>
      <c r="F189" s="874"/>
      <c r="G189" s="874"/>
      <c r="H189" s="874"/>
      <c r="I189" s="874"/>
      <c r="J189" s="874"/>
      <c r="K189" s="874"/>
      <c r="L189" s="874"/>
      <c r="M189" s="874"/>
      <c r="N189" s="874"/>
      <c r="O189" s="874"/>
      <c r="P189" s="874"/>
      <c r="Q189" s="874"/>
      <c r="R189" s="874"/>
      <c r="S189" s="874"/>
      <c r="T189" s="874"/>
      <c r="U189" s="874"/>
      <c r="V189" s="874"/>
      <c r="W189" s="874"/>
      <c r="X189" s="874"/>
      <c r="Y189" s="874"/>
      <c r="Z189" s="874"/>
    </row>
    <row r="190" spans="1:26" ht="18" customHeight="1" x14ac:dyDescent="0.35">
      <c r="A190" s="874"/>
      <c r="B190" s="874"/>
      <c r="C190" s="874"/>
      <c r="D190" s="874"/>
      <c r="E190" s="874"/>
      <c r="F190" s="874"/>
      <c r="G190" s="874"/>
      <c r="H190" s="874"/>
      <c r="I190" s="874"/>
      <c r="J190" s="874"/>
      <c r="K190" s="874"/>
      <c r="L190" s="874"/>
      <c r="M190" s="874"/>
      <c r="N190" s="874"/>
      <c r="O190" s="874"/>
      <c r="P190" s="874"/>
      <c r="Q190" s="874"/>
      <c r="R190" s="874"/>
      <c r="S190" s="874"/>
      <c r="T190" s="874"/>
      <c r="U190" s="874"/>
      <c r="V190" s="874"/>
      <c r="W190" s="874"/>
      <c r="X190" s="874"/>
      <c r="Y190" s="874"/>
      <c r="Z190" s="874"/>
    </row>
    <row r="191" spans="1:26" ht="18" customHeight="1" x14ac:dyDescent="0.35">
      <c r="A191" s="874"/>
      <c r="B191" s="874"/>
      <c r="C191" s="874"/>
      <c r="D191" s="874"/>
      <c r="E191" s="874"/>
      <c r="F191" s="874"/>
      <c r="G191" s="874"/>
      <c r="H191" s="874"/>
      <c r="I191" s="874"/>
      <c r="J191" s="874"/>
      <c r="K191" s="874"/>
      <c r="L191" s="874"/>
      <c r="M191" s="874"/>
      <c r="N191" s="874"/>
      <c r="O191" s="874"/>
      <c r="P191" s="874"/>
      <c r="Q191" s="874"/>
      <c r="R191" s="874"/>
      <c r="S191" s="874"/>
      <c r="T191" s="874"/>
      <c r="U191" s="874"/>
      <c r="V191" s="874"/>
      <c r="W191" s="874"/>
      <c r="X191" s="874"/>
      <c r="Y191" s="874"/>
      <c r="Z191" s="874"/>
    </row>
    <row r="192" spans="1:26" ht="18" customHeight="1" x14ac:dyDescent="0.35">
      <c r="A192" s="874"/>
      <c r="B192" s="874"/>
      <c r="C192" s="874"/>
      <c r="D192" s="874"/>
      <c r="E192" s="874"/>
      <c r="F192" s="874"/>
      <c r="G192" s="874"/>
      <c r="H192" s="874"/>
      <c r="I192" s="874"/>
      <c r="J192" s="874"/>
      <c r="K192" s="874"/>
      <c r="L192" s="874"/>
      <c r="M192" s="874"/>
      <c r="N192" s="874"/>
      <c r="O192" s="874"/>
      <c r="P192" s="874"/>
      <c r="Q192" s="874"/>
      <c r="R192" s="874"/>
      <c r="S192" s="874"/>
      <c r="T192" s="874"/>
      <c r="U192" s="874"/>
      <c r="V192" s="874"/>
      <c r="W192" s="874"/>
      <c r="X192" s="874"/>
      <c r="Y192" s="874"/>
      <c r="Z192" s="874"/>
    </row>
    <row r="193" spans="1:26" ht="18" customHeight="1" x14ac:dyDescent="0.35">
      <c r="A193" s="874"/>
      <c r="B193" s="874"/>
      <c r="C193" s="874"/>
      <c r="D193" s="874"/>
      <c r="E193" s="874"/>
      <c r="F193" s="874"/>
      <c r="G193" s="874"/>
      <c r="H193" s="874"/>
      <c r="I193" s="874"/>
      <c r="J193" s="874"/>
      <c r="K193" s="874"/>
      <c r="L193" s="874"/>
      <c r="M193" s="874"/>
      <c r="N193" s="874"/>
      <c r="O193" s="874"/>
      <c r="P193" s="874"/>
      <c r="Q193" s="874"/>
      <c r="R193" s="874"/>
      <c r="S193" s="874"/>
      <c r="T193" s="874"/>
      <c r="U193" s="874"/>
      <c r="V193" s="874"/>
      <c r="W193" s="874"/>
      <c r="X193" s="874"/>
      <c r="Y193" s="874"/>
      <c r="Z193" s="874"/>
    </row>
    <row r="194" spans="1:26" ht="18" customHeight="1" x14ac:dyDescent="0.35">
      <c r="A194" s="874"/>
      <c r="B194" s="874"/>
      <c r="C194" s="874"/>
      <c r="D194" s="874"/>
      <c r="E194" s="874"/>
      <c r="F194" s="874"/>
      <c r="G194" s="874"/>
      <c r="H194" s="874"/>
      <c r="I194" s="874"/>
      <c r="J194" s="874"/>
      <c r="K194" s="874"/>
      <c r="L194" s="874"/>
      <c r="M194" s="874"/>
      <c r="N194" s="874"/>
      <c r="O194" s="874"/>
      <c r="P194" s="874"/>
      <c r="Q194" s="874"/>
      <c r="R194" s="874"/>
      <c r="S194" s="874"/>
      <c r="T194" s="874"/>
      <c r="U194" s="874"/>
      <c r="V194" s="874"/>
      <c r="W194" s="874"/>
      <c r="X194" s="874"/>
      <c r="Y194" s="874"/>
      <c r="Z194" s="874"/>
    </row>
    <row r="195" spans="1:26" ht="18" customHeight="1" x14ac:dyDescent="0.35">
      <c r="A195" s="874"/>
      <c r="B195" s="874"/>
      <c r="C195" s="874"/>
      <c r="D195" s="874"/>
      <c r="E195" s="874"/>
      <c r="F195" s="874"/>
      <c r="G195" s="874"/>
      <c r="H195" s="874"/>
      <c r="I195" s="874"/>
      <c r="J195" s="874"/>
      <c r="K195" s="874"/>
      <c r="L195" s="874"/>
      <c r="M195" s="874"/>
      <c r="N195" s="874"/>
      <c r="O195" s="874"/>
      <c r="P195" s="874"/>
      <c r="Q195" s="874"/>
      <c r="R195" s="874"/>
      <c r="S195" s="874"/>
      <c r="T195" s="874"/>
      <c r="U195" s="874"/>
      <c r="V195" s="874"/>
      <c r="W195" s="874"/>
      <c r="X195" s="874"/>
      <c r="Y195" s="874"/>
      <c r="Z195" s="874"/>
    </row>
    <row r="196" spans="1:26" ht="18" customHeight="1" x14ac:dyDescent="0.35">
      <c r="A196" s="874"/>
      <c r="B196" s="874"/>
      <c r="C196" s="874"/>
      <c r="D196" s="874"/>
      <c r="E196" s="874"/>
      <c r="F196" s="874"/>
      <c r="G196" s="874"/>
      <c r="H196" s="874"/>
      <c r="I196" s="874"/>
      <c r="J196" s="874"/>
      <c r="K196" s="874"/>
      <c r="L196" s="874"/>
      <c r="M196" s="874"/>
      <c r="N196" s="874"/>
      <c r="O196" s="874"/>
      <c r="P196" s="874"/>
      <c r="Q196" s="874"/>
      <c r="R196" s="874"/>
      <c r="S196" s="874"/>
      <c r="T196" s="874"/>
      <c r="U196" s="874"/>
      <c r="V196" s="874"/>
      <c r="W196" s="874"/>
      <c r="X196" s="874"/>
      <c r="Y196" s="874"/>
      <c r="Z196" s="874"/>
    </row>
    <row r="197" spans="1:26" ht="18" customHeight="1" x14ac:dyDescent="0.35">
      <c r="A197" s="874"/>
      <c r="B197" s="874"/>
      <c r="C197" s="874"/>
      <c r="D197" s="874"/>
      <c r="E197" s="874"/>
      <c r="F197" s="874"/>
      <c r="G197" s="874"/>
      <c r="H197" s="874"/>
      <c r="I197" s="874"/>
      <c r="J197" s="874"/>
      <c r="K197" s="874"/>
      <c r="L197" s="874"/>
      <c r="M197" s="874"/>
      <c r="N197" s="874"/>
      <c r="O197" s="874"/>
      <c r="P197" s="874"/>
      <c r="Q197" s="874"/>
      <c r="R197" s="874"/>
      <c r="S197" s="874"/>
      <c r="T197" s="874"/>
      <c r="U197" s="874"/>
      <c r="V197" s="874"/>
      <c r="W197" s="874"/>
      <c r="X197" s="874"/>
      <c r="Y197" s="874"/>
      <c r="Z197" s="874"/>
    </row>
    <row r="198" spans="1:26" ht="18" customHeight="1" x14ac:dyDescent="0.35">
      <c r="A198" s="874"/>
      <c r="B198" s="874"/>
      <c r="C198" s="874"/>
      <c r="D198" s="874"/>
      <c r="E198" s="874"/>
      <c r="F198" s="874"/>
      <c r="G198" s="874"/>
      <c r="H198" s="874"/>
      <c r="I198" s="874"/>
      <c r="J198" s="874"/>
      <c r="K198" s="874"/>
      <c r="L198" s="874"/>
      <c r="M198" s="874"/>
      <c r="N198" s="874"/>
      <c r="O198" s="874"/>
      <c r="P198" s="874"/>
      <c r="Q198" s="874"/>
      <c r="R198" s="874"/>
      <c r="S198" s="874"/>
      <c r="T198" s="874"/>
      <c r="U198" s="874"/>
      <c r="V198" s="874"/>
      <c r="W198" s="874"/>
      <c r="X198" s="874"/>
      <c r="Y198" s="874"/>
      <c r="Z198" s="874"/>
    </row>
    <row r="199" spans="1:26" ht="18" customHeight="1" x14ac:dyDescent="0.35">
      <c r="A199" s="874"/>
      <c r="B199" s="874"/>
      <c r="C199" s="874"/>
      <c r="D199" s="874"/>
      <c r="E199" s="874"/>
      <c r="F199" s="874"/>
      <c r="G199" s="874"/>
      <c r="H199" s="874"/>
      <c r="I199" s="874"/>
      <c r="J199" s="874"/>
      <c r="K199" s="874"/>
      <c r="L199" s="874"/>
      <c r="M199" s="874"/>
      <c r="N199" s="874"/>
      <c r="O199" s="874"/>
      <c r="P199" s="874"/>
      <c r="Q199" s="874"/>
      <c r="R199" s="874"/>
      <c r="S199" s="874"/>
      <c r="T199" s="874"/>
      <c r="U199" s="874"/>
      <c r="V199" s="874"/>
      <c r="W199" s="874"/>
      <c r="X199" s="874"/>
      <c r="Y199" s="874"/>
      <c r="Z199" s="874"/>
    </row>
    <row r="200" spans="1:26" ht="18" customHeight="1" x14ac:dyDescent="0.35">
      <c r="A200" s="874"/>
      <c r="B200" s="874"/>
      <c r="C200" s="874"/>
      <c r="D200" s="874"/>
      <c r="E200" s="874"/>
      <c r="F200" s="874"/>
      <c r="G200" s="874"/>
      <c r="H200" s="874"/>
      <c r="I200" s="874"/>
      <c r="J200" s="874"/>
      <c r="K200" s="874"/>
      <c r="L200" s="874"/>
      <c r="M200" s="874"/>
      <c r="N200" s="874"/>
      <c r="O200" s="874"/>
      <c r="P200" s="874"/>
      <c r="Q200" s="874"/>
      <c r="R200" s="874"/>
      <c r="S200" s="874"/>
      <c r="T200" s="874"/>
      <c r="U200" s="874"/>
      <c r="V200" s="874"/>
      <c r="W200" s="874"/>
      <c r="X200" s="874"/>
      <c r="Y200" s="874"/>
      <c r="Z200" s="874"/>
    </row>
    <row r="201" spans="1:26" ht="18" customHeight="1" x14ac:dyDescent="0.35">
      <c r="A201" s="874"/>
      <c r="B201" s="874"/>
      <c r="C201" s="874"/>
      <c r="D201" s="874"/>
      <c r="E201" s="874"/>
      <c r="F201" s="874"/>
      <c r="G201" s="874"/>
      <c r="H201" s="874"/>
      <c r="I201" s="874"/>
      <c r="J201" s="874"/>
      <c r="K201" s="874"/>
      <c r="L201" s="874"/>
      <c r="M201" s="874"/>
      <c r="N201" s="874"/>
      <c r="O201" s="874"/>
      <c r="P201" s="874"/>
      <c r="Q201" s="874"/>
      <c r="R201" s="874"/>
      <c r="S201" s="874"/>
      <c r="T201" s="874"/>
      <c r="U201" s="874"/>
      <c r="V201" s="874"/>
      <c r="W201" s="874"/>
      <c r="X201" s="874"/>
      <c r="Y201" s="874"/>
      <c r="Z201" s="874"/>
    </row>
    <row r="202" spans="1:26" ht="18" customHeight="1" x14ac:dyDescent="0.35">
      <c r="A202" s="874"/>
      <c r="B202" s="874"/>
      <c r="C202" s="874"/>
      <c r="D202" s="874"/>
      <c r="E202" s="874"/>
      <c r="F202" s="874"/>
      <c r="G202" s="874"/>
      <c r="H202" s="874"/>
      <c r="I202" s="874"/>
      <c r="J202" s="874"/>
      <c r="K202" s="874"/>
      <c r="L202" s="874"/>
      <c r="M202" s="874"/>
      <c r="N202" s="874"/>
      <c r="O202" s="874"/>
      <c r="P202" s="874"/>
      <c r="Q202" s="874"/>
      <c r="R202" s="874"/>
      <c r="S202" s="874"/>
      <c r="T202" s="874"/>
      <c r="U202" s="874"/>
      <c r="V202" s="874"/>
      <c r="W202" s="874"/>
      <c r="X202" s="874"/>
      <c r="Y202" s="874"/>
      <c r="Z202" s="874"/>
    </row>
    <row r="203" spans="1:26" ht="18" customHeight="1" x14ac:dyDescent="0.35">
      <c r="A203" s="874"/>
      <c r="B203" s="874"/>
      <c r="C203" s="874"/>
      <c r="D203" s="874"/>
      <c r="E203" s="874"/>
      <c r="F203" s="874"/>
      <c r="G203" s="874"/>
      <c r="H203" s="874"/>
      <c r="I203" s="874"/>
      <c r="J203" s="874"/>
      <c r="K203" s="874"/>
      <c r="L203" s="874"/>
      <c r="M203" s="874"/>
      <c r="N203" s="874"/>
      <c r="O203" s="874"/>
      <c r="P203" s="874"/>
      <c r="Q203" s="874"/>
      <c r="R203" s="874"/>
      <c r="S203" s="874"/>
      <c r="T203" s="874"/>
      <c r="U203" s="874"/>
      <c r="V203" s="874"/>
      <c r="W203" s="874"/>
      <c r="X203" s="874"/>
      <c r="Y203" s="874"/>
      <c r="Z203" s="874"/>
    </row>
    <row r="204" spans="1:26" ht="18" customHeight="1" x14ac:dyDescent="0.35">
      <c r="A204" s="874"/>
      <c r="B204" s="874"/>
      <c r="C204" s="874"/>
      <c r="D204" s="874"/>
      <c r="E204" s="874"/>
      <c r="F204" s="874"/>
      <c r="G204" s="874"/>
      <c r="H204" s="874"/>
      <c r="I204" s="874"/>
      <c r="J204" s="874"/>
      <c r="K204" s="874"/>
      <c r="L204" s="874"/>
      <c r="M204" s="874"/>
      <c r="N204" s="874"/>
      <c r="O204" s="874"/>
      <c r="P204" s="874"/>
      <c r="Q204" s="874"/>
      <c r="R204" s="874"/>
      <c r="S204" s="874"/>
      <c r="T204" s="874"/>
      <c r="U204" s="874"/>
      <c r="V204" s="874"/>
      <c r="W204" s="874"/>
      <c r="X204" s="874"/>
      <c r="Y204" s="874"/>
      <c r="Z204" s="874"/>
    </row>
    <row r="205" spans="1:26" ht="18" customHeight="1" x14ac:dyDescent="0.35">
      <c r="A205" s="874"/>
      <c r="B205" s="874"/>
      <c r="C205" s="874"/>
      <c r="D205" s="874"/>
      <c r="E205" s="874"/>
      <c r="F205" s="874"/>
      <c r="G205" s="874"/>
      <c r="H205" s="874"/>
      <c r="I205" s="874"/>
      <c r="J205" s="874"/>
      <c r="K205" s="874"/>
      <c r="L205" s="874"/>
      <c r="M205" s="874"/>
      <c r="N205" s="874"/>
      <c r="O205" s="874"/>
      <c r="P205" s="874"/>
      <c r="Q205" s="874"/>
      <c r="R205" s="874"/>
      <c r="S205" s="874"/>
      <c r="T205" s="874"/>
      <c r="U205" s="874"/>
      <c r="V205" s="874"/>
      <c r="W205" s="874"/>
      <c r="X205" s="874"/>
      <c r="Y205" s="874"/>
      <c r="Z205" s="874"/>
    </row>
    <row r="206" spans="1:26" ht="18" customHeight="1" x14ac:dyDescent="0.35">
      <c r="A206" s="874"/>
      <c r="B206" s="874"/>
      <c r="C206" s="874"/>
      <c r="D206" s="874"/>
      <c r="E206" s="874"/>
      <c r="F206" s="874"/>
      <c r="G206" s="874"/>
      <c r="H206" s="874"/>
      <c r="I206" s="874"/>
      <c r="J206" s="874"/>
      <c r="K206" s="874"/>
      <c r="L206" s="874"/>
      <c r="M206" s="874"/>
      <c r="N206" s="874"/>
      <c r="O206" s="874"/>
      <c r="P206" s="874"/>
      <c r="Q206" s="874"/>
      <c r="R206" s="874"/>
      <c r="S206" s="874"/>
      <c r="T206" s="874"/>
      <c r="U206" s="874"/>
      <c r="V206" s="874"/>
      <c r="W206" s="874"/>
      <c r="X206" s="874"/>
      <c r="Y206" s="874"/>
      <c r="Z206" s="874"/>
    </row>
    <row r="207" spans="1:26" ht="18" customHeight="1" x14ac:dyDescent="0.35">
      <c r="A207" s="874"/>
      <c r="B207" s="874"/>
      <c r="C207" s="874"/>
      <c r="D207" s="874"/>
      <c r="E207" s="874"/>
      <c r="F207" s="874"/>
      <c r="G207" s="874"/>
      <c r="H207" s="874"/>
      <c r="I207" s="874"/>
      <c r="J207" s="874"/>
      <c r="K207" s="874"/>
      <c r="L207" s="874"/>
      <c r="M207" s="874"/>
      <c r="N207" s="874"/>
      <c r="O207" s="874"/>
      <c r="P207" s="874"/>
      <c r="Q207" s="874"/>
      <c r="R207" s="874"/>
      <c r="S207" s="874"/>
      <c r="T207" s="874"/>
      <c r="U207" s="874"/>
      <c r="V207" s="874"/>
      <c r="W207" s="874"/>
      <c r="X207" s="874"/>
      <c r="Y207" s="874"/>
      <c r="Z207" s="874"/>
    </row>
    <row r="208" spans="1:26" ht="18" customHeight="1" x14ac:dyDescent="0.35">
      <c r="A208" s="874"/>
      <c r="B208" s="874"/>
      <c r="C208" s="874"/>
      <c r="D208" s="874"/>
      <c r="E208" s="874"/>
      <c r="F208" s="874"/>
      <c r="G208" s="874"/>
      <c r="H208" s="874"/>
      <c r="I208" s="874"/>
      <c r="J208" s="874"/>
      <c r="K208" s="874"/>
      <c r="L208" s="874"/>
      <c r="M208" s="874"/>
      <c r="N208" s="874"/>
      <c r="O208" s="874"/>
      <c r="P208" s="874"/>
      <c r="Q208" s="874"/>
      <c r="R208" s="874"/>
      <c r="S208" s="874"/>
      <c r="T208" s="874"/>
      <c r="U208" s="874"/>
      <c r="V208" s="874"/>
      <c r="W208" s="874"/>
      <c r="X208" s="874"/>
      <c r="Y208" s="874"/>
      <c r="Z208" s="874"/>
    </row>
    <row r="209" spans="1:26" ht="18" customHeight="1" x14ac:dyDescent="0.35">
      <c r="A209" s="874"/>
      <c r="B209" s="874"/>
      <c r="C209" s="874"/>
      <c r="D209" s="874"/>
      <c r="E209" s="874"/>
      <c r="F209" s="874"/>
      <c r="G209" s="874"/>
      <c r="H209" s="874"/>
      <c r="I209" s="874"/>
      <c r="J209" s="874"/>
      <c r="K209" s="874"/>
      <c r="L209" s="874"/>
      <c r="M209" s="874"/>
      <c r="N209" s="874"/>
      <c r="O209" s="874"/>
      <c r="P209" s="874"/>
      <c r="Q209" s="874"/>
      <c r="R209" s="874"/>
      <c r="S209" s="874"/>
      <c r="T209" s="874"/>
      <c r="U209" s="874"/>
      <c r="V209" s="874"/>
      <c r="W209" s="874"/>
      <c r="X209" s="874"/>
      <c r="Y209" s="874"/>
      <c r="Z209" s="874"/>
    </row>
    <row r="210" spans="1:26" ht="18" customHeight="1" x14ac:dyDescent="0.35">
      <c r="A210" s="874"/>
      <c r="B210" s="874"/>
      <c r="C210" s="874"/>
      <c r="D210" s="874"/>
      <c r="E210" s="874"/>
      <c r="F210" s="874"/>
      <c r="G210" s="874"/>
      <c r="H210" s="874"/>
      <c r="I210" s="874"/>
      <c r="J210" s="874"/>
      <c r="K210" s="874"/>
      <c r="L210" s="874"/>
      <c r="M210" s="874"/>
      <c r="N210" s="874"/>
      <c r="O210" s="874"/>
      <c r="P210" s="874"/>
      <c r="Q210" s="874"/>
      <c r="R210" s="874"/>
      <c r="S210" s="874"/>
      <c r="T210" s="874"/>
      <c r="U210" s="874"/>
      <c r="V210" s="874"/>
      <c r="W210" s="874"/>
      <c r="X210" s="874"/>
      <c r="Y210" s="874"/>
      <c r="Z210" s="874"/>
    </row>
    <row r="211" spans="1:26" ht="18" customHeight="1" x14ac:dyDescent="0.35">
      <c r="A211" s="874"/>
      <c r="B211" s="874"/>
      <c r="C211" s="874"/>
      <c r="D211" s="874"/>
      <c r="E211" s="874"/>
      <c r="F211" s="874"/>
      <c r="G211" s="874"/>
      <c r="H211" s="874"/>
      <c r="I211" s="874"/>
      <c r="J211" s="874"/>
      <c r="K211" s="874"/>
      <c r="L211" s="874"/>
      <c r="M211" s="874"/>
      <c r="N211" s="874"/>
      <c r="O211" s="874"/>
      <c r="P211" s="874"/>
      <c r="Q211" s="874"/>
      <c r="R211" s="874"/>
      <c r="S211" s="874"/>
      <c r="T211" s="874"/>
      <c r="U211" s="874"/>
      <c r="V211" s="874"/>
      <c r="W211" s="874"/>
      <c r="X211" s="874"/>
      <c r="Y211" s="874"/>
      <c r="Z211" s="874"/>
    </row>
    <row r="212" spans="1:26" ht="18" customHeight="1" x14ac:dyDescent="0.35">
      <c r="A212" s="874"/>
      <c r="B212" s="874"/>
      <c r="C212" s="874"/>
      <c r="D212" s="874"/>
      <c r="E212" s="874"/>
      <c r="F212" s="874"/>
      <c r="G212" s="874"/>
      <c r="H212" s="874"/>
      <c r="I212" s="874"/>
      <c r="J212" s="874"/>
      <c r="K212" s="874"/>
      <c r="L212" s="874"/>
      <c r="M212" s="874"/>
      <c r="N212" s="874"/>
      <c r="O212" s="874"/>
      <c r="P212" s="874"/>
      <c r="Q212" s="874"/>
      <c r="R212" s="874"/>
      <c r="S212" s="874"/>
      <c r="T212" s="874"/>
      <c r="U212" s="874"/>
      <c r="V212" s="874"/>
      <c r="W212" s="874"/>
      <c r="X212" s="874"/>
      <c r="Y212" s="874"/>
      <c r="Z212" s="874"/>
    </row>
    <row r="213" spans="1:26" ht="18" customHeight="1" x14ac:dyDescent="0.35">
      <c r="A213" s="874"/>
      <c r="B213" s="874"/>
      <c r="C213" s="874"/>
      <c r="D213" s="874"/>
      <c r="E213" s="874"/>
      <c r="F213" s="874"/>
      <c r="G213" s="874"/>
      <c r="H213" s="874"/>
      <c r="I213" s="874"/>
      <c r="J213" s="874"/>
      <c r="K213" s="874"/>
      <c r="L213" s="874"/>
      <c r="M213" s="874"/>
      <c r="N213" s="874"/>
      <c r="O213" s="874"/>
      <c r="P213" s="874"/>
      <c r="Q213" s="874"/>
      <c r="R213" s="874"/>
      <c r="S213" s="874"/>
      <c r="T213" s="874"/>
      <c r="U213" s="874"/>
      <c r="V213" s="874"/>
      <c r="W213" s="874"/>
      <c r="X213" s="874"/>
      <c r="Y213" s="874"/>
      <c r="Z213" s="874"/>
    </row>
    <row r="214" spans="1:26" ht="18" customHeight="1" x14ac:dyDescent="0.35">
      <c r="A214" s="874"/>
      <c r="B214" s="874"/>
      <c r="C214" s="874"/>
      <c r="D214" s="874"/>
      <c r="E214" s="874"/>
      <c r="F214" s="874"/>
      <c r="G214" s="874"/>
      <c r="H214" s="874"/>
      <c r="I214" s="874"/>
      <c r="J214" s="874"/>
      <c r="K214" s="874"/>
      <c r="L214" s="874"/>
      <c r="M214" s="874"/>
      <c r="N214" s="874"/>
      <c r="O214" s="874"/>
      <c r="P214" s="874"/>
      <c r="Q214" s="874"/>
      <c r="R214" s="874"/>
      <c r="S214" s="874"/>
      <c r="T214" s="874"/>
      <c r="U214" s="874"/>
      <c r="V214" s="874"/>
      <c r="W214" s="874"/>
      <c r="X214" s="874"/>
      <c r="Y214" s="874"/>
      <c r="Z214" s="874"/>
    </row>
    <row r="215" spans="1:26" ht="18" customHeight="1" x14ac:dyDescent="0.35">
      <c r="A215" s="874"/>
      <c r="B215" s="874"/>
      <c r="C215" s="874"/>
      <c r="D215" s="874"/>
      <c r="E215" s="874"/>
      <c r="F215" s="874"/>
      <c r="G215" s="874"/>
      <c r="H215" s="874"/>
      <c r="I215" s="874"/>
      <c r="J215" s="874"/>
      <c r="K215" s="874"/>
      <c r="L215" s="874"/>
      <c r="M215" s="874"/>
      <c r="N215" s="874"/>
      <c r="O215" s="874"/>
      <c r="P215" s="874"/>
      <c r="Q215" s="874"/>
      <c r="R215" s="874"/>
      <c r="S215" s="874"/>
      <c r="T215" s="874"/>
      <c r="U215" s="874"/>
      <c r="V215" s="874"/>
      <c r="W215" s="874"/>
      <c r="X215" s="874"/>
      <c r="Y215" s="874"/>
      <c r="Z215" s="874"/>
    </row>
    <row r="216" spans="1:26" ht="18" customHeight="1" x14ac:dyDescent="0.35">
      <c r="A216" s="874"/>
      <c r="B216" s="874"/>
      <c r="C216" s="874"/>
      <c r="D216" s="874"/>
      <c r="E216" s="874"/>
      <c r="F216" s="874"/>
      <c r="G216" s="874"/>
      <c r="H216" s="874"/>
      <c r="I216" s="874"/>
      <c r="J216" s="874"/>
      <c r="K216" s="874"/>
      <c r="L216" s="874"/>
      <c r="M216" s="874"/>
      <c r="N216" s="874"/>
      <c r="O216" s="874"/>
      <c r="P216" s="874"/>
      <c r="Q216" s="874"/>
      <c r="R216" s="874"/>
      <c r="S216" s="874"/>
      <c r="T216" s="874"/>
      <c r="U216" s="874"/>
      <c r="V216" s="874"/>
      <c r="W216" s="874"/>
      <c r="X216" s="874"/>
      <c r="Y216" s="874"/>
      <c r="Z216" s="874"/>
    </row>
    <row r="217" spans="1:26" ht="18" customHeight="1" x14ac:dyDescent="0.35">
      <c r="A217" s="874"/>
      <c r="B217" s="874"/>
      <c r="C217" s="874"/>
      <c r="D217" s="874"/>
      <c r="E217" s="874"/>
      <c r="F217" s="874"/>
      <c r="G217" s="874"/>
      <c r="H217" s="874"/>
      <c r="I217" s="874"/>
      <c r="J217" s="874"/>
      <c r="K217" s="874"/>
      <c r="L217" s="874"/>
      <c r="M217" s="874"/>
      <c r="N217" s="874"/>
      <c r="O217" s="874"/>
      <c r="P217" s="874"/>
      <c r="Q217" s="874"/>
      <c r="R217" s="874"/>
      <c r="S217" s="874"/>
      <c r="T217" s="874"/>
      <c r="U217" s="874"/>
      <c r="V217" s="874"/>
      <c r="W217" s="874"/>
      <c r="X217" s="874"/>
      <c r="Y217" s="874"/>
      <c r="Z217" s="874"/>
    </row>
    <row r="218" spans="1:26" ht="18" customHeight="1" x14ac:dyDescent="0.35">
      <c r="A218" s="874"/>
      <c r="B218" s="874"/>
      <c r="C218" s="874"/>
      <c r="D218" s="874"/>
      <c r="E218" s="874"/>
      <c r="F218" s="874"/>
      <c r="G218" s="874"/>
      <c r="H218" s="874"/>
      <c r="I218" s="874"/>
      <c r="J218" s="874"/>
      <c r="K218" s="874"/>
      <c r="L218" s="874"/>
      <c r="M218" s="874"/>
      <c r="N218" s="874"/>
      <c r="O218" s="874"/>
      <c r="P218" s="874"/>
      <c r="Q218" s="874"/>
      <c r="R218" s="874"/>
      <c r="S218" s="874"/>
      <c r="T218" s="874"/>
      <c r="U218" s="874"/>
      <c r="V218" s="874"/>
      <c r="W218" s="874"/>
      <c r="X218" s="874"/>
      <c r="Y218" s="874"/>
      <c r="Z218" s="874"/>
    </row>
    <row r="219" spans="1:26" ht="18" customHeight="1" x14ac:dyDescent="0.35">
      <c r="A219" s="874"/>
      <c r="B219" s="874"/>
      <c r="C219" s="874"/>
      <c r="D219" s="874"/>
      <c r="E219" s="874"/>
      <c r="F219" s="874"/>
      <c r="G219" s="874"/>
      <c r="H219" s="874"/>
      <c r="I219" s="874"/>
      <c r="J219" s="874"/>
      <c r="K219" s="874"/>
      <c r="L219" s="874"/>
      <c r="M219" s="874"/>
      <c r="N219" s="874"/>
      <c r="O219" s="874"/>
      <c r="P219" s="874"/>
      <c r="Q219" s="874"/>
      <c r="R219" s="874"/>
      <c r="S219" s="874"/>
      <c r="T219" s="874"/>
      <c r="U219" s="874"/>
      <c r="V219" s="874"/>
      <c r="W219" s="874"/>
      <c r="X219" s="874"/>
      <c r="Y219" s="874"/>
      <c r="Z219" s="874"/>
    </row>
    <row r="220" spans="1:26" ht="18" customHeight="1" x14ac:dyDescent="0.35">
      <c r="A220" s="874"/>
      <c r="B220" s="874"/>
      <c r="C220" s="874"/>
      <c r="D220" s="874"/>
      <c r="E220" s="874"/>
      <c r="F220" s="874"/>
      <c r="G220" s="874"/>
      <c r="H220" s="874"/>
      <c r="I220" s="874"/>
      <c r="J220" s="874"/>
      <c r="K220" s="874"/>
      <c r="L220" s="874"/>
      <c r="M220" s="874"/>
      <c r="N220" s="874"/>
      <c r="O220" s="874"/>
      <c r="P220" s="874"/>
      <c r="Q220" s="874"/>
      <c r="R220" s="874"/>
      <c r="S220" s="874"/>
      <c r="T220" s="874"/>
      <c r="U220" s="874"/>
      <c r="V220" s="874"/>
      <c r="W220" s="874"/>
      <c r="X220" s="874"/>
      <c r="Y220" s="874"/>
      <c r="Z220" s="874"/>
    </row>
    <row r="221" spans="1:26" ht="18" customHeight="1" x14ac:dyDescent="0.35">
      <c r="A221" s="874"/>
      <c r="B221" s="874"/>
      <c r="C221" s="874"/>
      <c r="D221" s="874"/>
      <c r="E221" s="874"/>
      <c r="F221" s="874"/>
      <c r="G221" s="874"/>
      <c r="H221" s="874"/>
      <c r="I221" s="874"/>
      <c r="J221" s="874"/>
      <c r="K221" s="874"/>
      <c r="L221" s="874"/>
      <c r="M221" s="874"/>
      <c r="N221" s="874"/>
      <c r="O221" s="874"/>
      <c r="P221" s="874"/>
      <c r="Q221" s="874"/>
      <c r="R221" s="874"/>
      <c r="S221" s="874"/>
      <c r="T221" s="874"/>
      <c r="U221" s="874"/>
      <c r="V221" s="874"/>
      <c r="W221" s="874"/>
      <c r="X221" s="874"/>
      <c r="Y221" s="874"/>
      <c r="Z221" s="874"/>
    </row>
    <row r="222" spans="1:26" ht="18" customHeight="1" x14ac:dyDescent="0.35">
      <c r="A222" s="874"/>
      <c r="B222" s="874"/>
      <c r="C222" s="874"/>
      <c r="D222" s="874"/>
      <c r="E222" s="874"/>
      <c r="F222" s="874"/>
      <c r="G222" s="874"/>
      <c r="H222" s="874"/>
      <c r="I222" s="874"/>
      <c r="J222" s="874"/>
      <c r="K222" s="874"/>
      <c r="L222" s="874"/>
      <c r="M222" s="874"/>
      <c r="N222" s="874"/>
      <c r="O222" s="874"/>
      <c r="P222" s="874"/>
      <c r="Q222" s="874"/>
      <c r="R222" s="874"/>
      <c r="S222" s="874"/>
      <c r="T222" s="874"/>
      <c r="U222" s="874"/>
      <c r="V222" s="874"/>
      <c r="W222" s="874"/>
      <c r="X222" s="874"/>
      <c r="Y222" s="874"/>
      <c r="Z222" s="874"/>
    </row>
    <row r="223" spans="1:26" ht="18" customHeight="1" x14ac:dyDescent="0.35">
      <c r="A223" s="874"/>
      <c r="B223" s="874"/>
      <c r="C223" s="874"/>
      <c r="D223" s="874"/>
      <c r="E223" s="874"/>
      <c r="F223" s="874"/>
      <c r="G223" s="874"/>
      <c r="H223" s="874"/>
      <c r="I223" s="874"/>
      <c r="J223" s="874"/>
      <c r="K223" s="874"/>
      <c r="L223" s="874"/>
      <c r="M223" s="874"/>
      <c r="N223" s="874"/>
      <c r="O223" s="874"/>
      <c r="P223" s="874"/>
      <c r="Q223" s="874"/>
      <c r="R223" s="874"/>
      <c r="S223" s="874"/>
      <c r="T223" s="874"/>
      <c r="U223" s="874"/>
      <c r="V223" s="874"/>
      <c r="W223" s="874"/>
      <c r="X223" s="874"/>
      <c r="Y223" s="874"/>
      <c r="Z223" s="874"/>
    </row>
    <row r="224" spans="1:26" ht="18" customHeight="1" x14ac:dyDescent="0.35">
      <c r="A224" s="874"/>
      <c r="B224" s="874"/>
      <c r="C224" s="874"/>
      <c r="D224" s="874"/>
      <c r="E224" s="874"/>
      <c r="F224" s="874"/>
      <c r="G224" s="874"/>
      <c r="H224" s="874"/>
      <c r="I224" s="874"/>
      <c r="J224" s="874"/>
      <c r="K224" s="874"/>
      <c r="L224" s="874"/>
      <c r="M224" s="874"/>
      <c r="N224" s="874"/>
      <c r="O224" s="874"/>
      <c r="P224" s="874"/>
      <c r="Q224" s="874"/>
      <c r="R224" s="874"/>
      <c r="S224" s="874"/>
      <c r="T224" s="874"/>
      <c r="U224" s="874"/>
      <c r="V224" s="874"/>
      <c r="W224" s="874"/>
      <c r="X224" s="874"/>
      <c r="Y224" s="874"/>
      <c r="Z224" s="874"/>
    </row>
    <row r="225" spans="1:26" ht="18" customHeight="1" x14ac:dyDescent="0.35">
      <c r="A225" s="874"/>
      <c r="B225" s="874"/>
      <c r="C225" s="874"/>
      <c r="D225" s="874"/>
      <c r="E225" s="874"/>
      <c r="F225" s="874"/>
      <c r="G225" s="874"/>
      <c r="H225" s="874"/>
      <c r="I225" s="874"/>
      <c r="J225" s="874"/>
      <c r="K225" s="874"/>
      <c r="L225" s="874"/>
      <c r="M225" s="874"/>
      <c r="N225" s="874"/>
      <c r="O225" s="874"/>
      <c r="P225" s="874"/>
      <c r="Q225" s="874"/>
      <c r="R225" s="874"/>
      <c r="S225" s="874"/>
      <c r="T225" s="874"/>
      <c r="U225" s="874"/>
      <c r="V225" s="874"/>
      <c r="W225" s="874"/>
      <c r="X225" s="874"/>
      <c r="Y225" s="874"/>
      <c r="Z225" s="874"/>
    </row>
    <row r="226" spans="1:26" ht="18" customHeight="1" x14ac:dyDescent="0.35">
      <c r="A226" s="874"/>
      <c r="B226" s="874"/>
      <c r="C226" s="874"/>
      <c r="D226" s="874"/>
      <c r="E226" s="874"/>
      <c r="F226" s="874"/>
      <c r="G226" s="874"/>
      <c r="H226" s="874"/>
      <c r="I226" s="874"/>
      <c r="J226" s="874"/>
      <c r="K226" s="874"/>
      <c r="L226" s="874"/>
      <c r="M226" s="874"/>
      <c r="N226" s="874"/>
      <c r="O226" s="874"/>
      <c r="P226" s="874"/>
      <c r="Q226" s="874"/>
      <c r="R226" s="874"/>
      <c r="S226" s="874"/>
      <c r="T226" s="874"/>
      <c r="U226" s="874"/>
      <c r="V226" s="874"/>
      <c r="W226" s="874"/>
      <c r="X226" s="874"/>
      <c r="Y226" s="874"/>
      <c r="Z226" s="874"/>
    </row>
    <row r="227" spans="1:26" ht="18" customHeight="1" x14ac:dyDescent="0.35">
      <c r="A227" s="874"/>
      <c r="B227" s="874"/>
      <c r="C227" s="874"/>
      <c r="D227" s="874"/>
      <c r="E227" s="874"/>
      <c r="F227" s="874"/>
      <c r="G227" s="874"/>
      <c r="H227" s="874"/>
      <c r="I227" s="874"/>
      <c r="J227" s="874"/>
      <c r="K227" s="874"/>
      <c r="L227" s="874"/>
      <c r="M227" s="874"/>
      <c r="N227" s="874"/>
      <c r="O227" s="874"/>
      <c r="P227" s="874"/>
      <c r="Q227" s="874"/>
      <c r="R227" s="874"/>
      <c r="S227" s="874"/>
      <c r="T227" s="874"/>
      <c r="U227" s="874"/>
      <c r="V227" s="874"/>
      <c r="W227" s="874"/>
      <c r="X227" s="874"/>
      <c r="Y227" s="874"/>
      <c r="Z227" s="874"/>
    </row>
    <row r="228" spans="1:26" ht="18" customHeight="1" x14ac:dyDescent="0.35">
      <c r="A228" s="874"/>
      <c r="B228" s="874"/>
      <c r="C228" s="874"/>
      <c r="D228" s="874"/>
      <c r="E228" s="874"/>
      <c r="F228" s="874"/>
      <c r="G228" s="874"/>
      <c r="H228" s="874"/>
      <c r="I228" s="874"/>
      <c r="J228" s="874"/>
      <c r="K228" s="874"/>
      <c r="L228" s="874"/>
      <c r="M228" s="874"/>
      <c r="N228" s="874"/>
      <c r="O228" s="874"/>
      <c r="P228" s="874"/>
      <c r="Q228" s="874"/>
      <c r="R228" s="874"/>
      <c r="S228" s="874"/>
      <c r="T228" s="874"/>
      <c r="U228" s="874"/>
      <c r="V228" s="874"/>
      <c r="W228" s="874"/>
      <c r="X228" s="874"/>
      <c r="Y228" s="874"/>
      <c r="Z228" s="874"/>
    </row>
    <row r="229" spans="1:26" ht="18" customHeight="1" x14ac:dyDescent="0.35">
      <c r="A229" s="874"/>
      <c r="B229" s="874"/>
      <c r="C229" s="874"/>
      <c r="D229" s="874"/>
      <c r="E229" s="874"/>
      <c r="F229" s="874"/>
      <c r="G229" s="874"/>
      <c r="H229" s="874"/>
      <c r="I229" s="874"/>
      <c r="J229" s="874"/>
      <c r="K229" s="874"/>
      <c r="L229" s="874"/>
      <c r="M229" s="874"/>
      <c r="N229" s="874"/>
      <c r="O229" s="874"/>
      <c r="P229" s="874"/>
      <c r="Q229" s="874"/>
      <c r="R229" s="874"/>
      <c r="S229" s="874"/>
      <c r="T229" s="874"/>
      <c r="U229" s="874"/>
      <c r="V229" s="874"/>
      <c r="W229" s="874"/>
      <c r="X229" s="874"/>
      <c r="Y229" s="874"/>
      <c r="Z229" s="874"/>
    </row>
    <row r="230" spans="1:26" ht="18" customHeight="1" x14ac:dyDescent="0.35">
      <c r="A230" s="874"/>
      <c r="B230" s="874"/>
      <c r="C230" s="874"/>
      <c r="D230" s="874"/>
      <c r="E230" s="874"/>
      <c r="F230" s="874"/>
      <c r="G230" s="874"/>
      <c r="H230" s="874"/>
      <c r="I230" s="874"/>
      <c r="J230" s="874"/>
      <c r="K230" s="874"/>
      <c r="L230" s="874"/>
      <c r="M230" s="874"/>
      <c r="N230" s="874"/>
      <c r="O230" s="874"/>
      <c r="P230" s="874"/>
      <c r="Q230" s="874"/>
      <c r="R230" s="874"/>
      <c r="S230" s="874"/>
      <c r="T230" s="874"/>
      <c r="U230" s="874"/>
      <c r="V230" s="874"/>
      <c r="W230" s="874"/>
      <c r="X230" s="874"/>
      <c r="Y230" s="874"/>
      <c r="Z230" s="874"/>
    </row>
    <row r="231" spans="1:26" ht="18" customHeight="1" x14ac:dyDescent="0.35">
      <c r="A231" s="874"/>
      <c r="B231" s="874"/>
      <c r="C231" s="874"/>
      <c r="D231" s="874"/>
      <c r="E231" s="874"/>
      <c r="F231" s="874"/>
      <c r="G231" s="874"/>
      <c r="H231" s="874"/>
      <c r="I231" s="874"/>
      <c r="J231" s="874"/>
      <c r="K231" s="874"/>
      <c r="L231" s="874"/>
      <c r="M231" s="874"/>
      <c r="N231" s="874"/>
      <c r="O231" s="874"/>
      <c r="P231" s="874"/>
      <c r="Q231" s="874"/>
      <c r="R231" s="874"/>
      <c r="S231" s="874"/>
      <c r="T231" s="874"/>
      <c r="U231" s="874"/>
      <c r="V231" s="874"/>
      <c r="W231" s="874"/>
      <c r="X231" s="874"/>
      <c r="Y231" s="874"/>
      <c r="Z231" s="874"/>
    </row>
    <row r="232" spans="1:26" ht="18" customHeight="1" x14ac:dyDescent="0.35">
      <c r="A232" s="874"/>
      <c r="B232" s="874"/>
      <c r="C232" s="874"/>
      <c r="D232" s="874"/>
      <c r="E232" s="874"/>
      <c r="F232" s="874"/>
      <c r="G232" s="874"/>
      <c r="H232" s="874"/>
      <c r="I232" s="874"/>
      <c r="J232" s="874"/>
      <c r="K232" s="874"/>
      <c r="L232" s="874"/>
      <c r="M232" s="874"/>
      <c r="N232" s="874"/>
      <c r="O232" s="874"/>
      <c r="P232" s="874"/>
      <c r="Q232" s="874"/>
      <c r="R232" s="874"/>
      <c r="S232" s="874"/>
      <c r="T232" s="874"/>
      <c r="U232" s="874"/>
      <c r="V232" s="874"/>
      <c r="W232" s="874"/>
      <c r="X232" s="874"/>
      <c r="Y232" s="874"/>
      <c r="Z232" s="874"/>
    </row>
    <row r="233" spans="1:26" ht="18" customHeight="1" x14ac:dyDescent="0.35">
      <c r="A233" s="874"/>
      <c r="B233" s="874"/>
      <c r="C233" s="874"/>
      <c r="D233" s="874"/>
      <c r="E233" s="874"/>
      <c r="F233" s="874"/>
      <c r="G233" s="874"/>
      <c r="H233" s="874"/>
      <c r="I233" s="874"/>
      <c r="J233" s="874"/>
      <c r="K233" s="874"/>
      <c r="L233" s="874"/>
      <c r="M233" s="874"/>
      <c r="N233" s="874"/>
      <c r="O233" s="874"/>
      <c r="P233" s="874"/>
      <c r="Q233" s="874"/>
      <c r="R233" s="874"/>
      <c r="S233" s="874"/>
      <c r="T233" s="874"/>
      <c r="U233" s="874"/>
      <c r="V233" s="874"/>
      <c r="W233" s="874"/>
      <c r="X233" s="874"/>
      <c r="Y233" s="874"/>
      <c r="Z233" s="874"/>
    </row>
    <row r="234" spans="1:26" ht="18" customHeight="1" x14ac:dyDescent="0.35">
      <c r="A234" s="874"/>
      <c r="B234" s="874"/>
      <c r="C234" s="874"/>
      <c r="D234" s="874"/>
      <c r="E234" s="874"/>
      <c r="F234" s="874"/>
      <c r="G234" s="874"/>
      <c r="H234" s="874"/>
      <c r="I234" s="874"/>
      <c r="J234" s="874"/>
      <c r="K234" s="874"/>
      <c r="L234" s="874"/>
      <c r="M234" s="874"/>
      <c r="N234" s="874"/>
      <c r="O234" s="874"/>
      <c r="P234" s="874"/>
      <c r="Q234" s="874"/>
      <c r="R234" s="874"/>
      <c r="S234" s="874"/>
      <c r="T234" s="874"/>
      <c r="U234" s="874"/>
      <c r="V234" s="874"/>
      <c r="W234" s="874"/>
      <c r="X234" s="874"/>
      <c r="Y234" s="874"/>
      <c r="Z234" s="874"/>
    </row>
    <row r="235" spans="1:26" ht="18" customHeight="1" x14ac:dyDescent="0.35">
      <c r="A235" s="874"/>
      <c r="B235" s="874"/>
      <c r="C235" s="874"/>
      <c r="D235" s="874"/>
      <c r="E235" s="874"/>
      <c r="F235" s="874"/>
      <c r="G235" s="874"/>
      <c r="H235" s="874"/>
      <c r="I235" s="874"/>
      <c r="J235" s="874"/>
      <c r="K235" s="874"/>
      <c r="L235" s="874"/>
      <c r="M235" s="874"/>
      <c r="N235" s="874"/>
      <c r="O235" s="874"/>
      <c r="P235" s="874"/>
      <c r="Q235" s="874"/>
      <c r="R235" s="874"/>
      <c r="S235" s="874"/>
      <c r="T235" s="874"/>
      <c r="U235" s="874"/>
      <c r="V235" s="874"/>
      <c r="W235" s="874"/>
      <c r="X235" s="874"/>
      <c r="Y235" s="874"/>
      <c r="Z235" s="874"/>
    </row>
    <row r="236" spans="1:26" ht="18" customHeight="1" x14ac:dyDescent="0.35">
      <c r="A236" s="874"/>
      <c r="B236" s="874"/>
      <c r="C236" s="874"/>
      <c r="D236" s="874"/>
      <c r="E236" s="874"/>
      <c r="F236" s="874"/>
      <c r="G236" s="874"/>
      <c r="H236" s="874"/>
      <c r="I236" s="874"/>
      <c r="J236" s="874"/>
      <c r="K236" s="874"/>
      <c r="L236" s="874"/>
      <c r="M236" s="874"/>
      <c r="N236" s="874"/>
      <c r="O236" s="874"/>
      <c r="P236" s="874"/>
      <c r="Q236" s="874"/>
      <c r="R236" s="874"/>
      <c r="S236" s="874"/>
      <c r="T236" s="874"/>
      <c r="U236" s="874"/>
      <c r="V236" s="874"/>
      <c r="W236" s="874"/>
      <c r="X236" s="874"/>
      <c r="Y236" s="874"/>
      <c r="Z236" s="874"/>
    </row>
    <row r="237" spans="1:26" ht="18" customHeight="1" x14ac:dyDescent="0.35">
      <c r="A237" s="874"/>
      <c r="B237" s="874"/>
      <c r="C237" s="874"/>
      <c r="D237" s="874"/>
      <c r="E237" s="874"/>
      <c r="F237" s="874"/>
      <c r="G237" s="874"/>
      <c r="H237" s="874"/>
      <c r="I237" s="874"/>
      <c r="J237" s="874"/>
      <c r="K237" s="874"/>
      <c r="L237" s="874"/>
      <c r="M237" s="874"/>
      <c r="N237" s="874"/>
      <c r="O237" s="874"/>
      <c r="P237" s="874"/>
      <c r="Q237" s="874"/>
      <c r="R237" s="874"/>
      <c r="S237" s="874"/>
      <c r="T237" s="874"/>
      <c r="U237" s="874"/>
      <c r="V237" s="874"/>
      <c r="W237" s="874"/>
      <c r="X237" s="874"/>
      <c r="Y237" s="874"/>
      <c r="Z237" s="874"/>
    </row>
    <row r="238" spans="1:26" ht="18" customHeight="1" x14ac:dyDescent="0.35">
      <c r="A238" s="874"/>
      <c r="B238" s="874"/>
      <c r="C238" s="874"/>
      <c r="D238" s="874"/>
      <c r="E238" s="874"/>
      <c r="F238" s="874"/>
      <c r="G238" s="874"/>
      <c r="H238" s="874"/>
      <c r="I238" s="874"/>
      <c r="J238" s="874"/>
      <c r="K238" s="874"/>
      <c r="L238" s="874"/>
      <c r="M238" s="874"/>
      <c r="N238" s="874"/>
      <c r="O238" s="874"/>
      <c r="P238" s="874"/>
      <c r="Q238" s="874"/>
      <c r="R238" s="874"/>
      <c r="S238" s="874"/>
      <c r="T238" s="874"/>
      <c r="U238" s="874"/>
      <c r="V238" s="874"/>
      <c r="W238" s="874"/>
      <c r="X238" s="874"/>
      <c r="Y238" s="874"/>
      <c r="Z238" s="874"/>
    </row>
    <row r="239" spans="1:26" ht="18" customHeight="1" x14ac:dyDescent="0.35">
      <c r="A239" s="874"/>
      <c r="B239" s="874"/>
      <c r="C239" s="874"/>
      <c r="D239" s="874"/>
      <c r="E239" s="874"/>
      <c r="F239" s="874"/>
      <c r="G239" s="874"/>
      <c r="H239" s="874"/>
      <c r="I239" s="874"/>
      <c r="J239" s="874"/>
      <c r="K239" s="874"/>
      <c r="L239" s="874"/>
      <c r="M239" s="874"/>
      <c r="N239" s="874"/>
      <c r="O239" s="874"/>
      <c r="P239" s="874"/>
      <c r="Q239" s="874"/>
      <c r="R239" s="874"/>
      <c r="S239" s="874"/>
      <c r="T239" s="874"/>
      <c r="U239" s="874"/>
      <c r="V239" s="874"/>
      <c r="W239" s="874"/>
      <c r="X239" s="874"/>
      <c r="Y239" s="874"/>
      <c r="Z239" s="874"/>
    </row>
    <row r="240" spans="1:26" ht="18" customHeight="1" x14ac:dyDescent="0.35">
      <c r="A240" s="874"/>
      <c r="B240" s="874"/>
      <c r="C240" s="874"/>
      <c r="D240" s="874"/>
      <c r="E240" s="874"/>
      <c r="F240" s="874"/>
      <c r="G240" s="874"/>
      <c r="H240" s="874"/>
      <c r="I240" s="874"/>
      <c r="J240" s="874"/>
      <c r="K240" s="874"/>
      <c r="L240" s="874"/>
      <c r="M240" s="874"/>
      <c r="N240" s="874"/>
      <c r="O240" s="874"/>
      <c r="P240" s="874"/>
      <c r="Q240" s="874"/>
      <c r="R240" s="874"/>
      <c r="S240" s="874"/>
      <c r="T240" s="874"/>
      <c r="U240" s="874"/>
      <c r="V240" s="874"/>
      <c r="W240" s="874"/>
      <c r="X240" s="874"/>
      <c r="Y240" s="874"/>
      <c r="Z240" s="874"/>
    </row>
    <row r="241" spans="1:26" ht="18" customHeight="1" x14ac:dyDescent="0.35">
      <c r="A241" s="874"/>
      <c r="B241" s="874"/>
      <c r="C241" s="874"/>
      <c r="D241" s="874"/>
      <c r="E241" s="874"/>
      <c r="F241" s="874"/>
      <c r="G241" s="874"/>
      <c r="H241" s="874"/>
      <c r="I241" s="874"/>
      <c r="J241" s="874"/>
      <c r="K241" s="874"/>
      <c r="L241" s="874"/>
      <c r="M241" s="874"/>
      <c r="N241" s="874"/>
      <c r="O241" s="874"/>
      <c r="P241" s="874"/>
      <c r="Q241" s="874"/>
      <c r="R241" s="874"/>
      <c r="S241" s="874"/>
      <c r="T241" s="874"/>
      <c r="U241" s="874"/>
      <c r="V241" s="874"/>
      <c r="W241" s="874"/>
      <c r="X241" s="874"/>
      <c r="Y241" s="874"/>
      <c r="Z241" s="874"/>
    </row>
    <row r="242" spans="1:26" ht="18" customHeight="1" x14ac:dyDescent="0.35">
      <c r="A242" s="874"/>
      <c r="B242" s="874"/>
      <c r="C242" s="874"/>
      <c r="D242" s="874"/>
      <c r="E242" s="874"/>
      <c r="F242" s="874"/>
      <c r="G242" s="874"/>
      <c r="H242" s="874"/>
      <c r="I242" s="874"/>
      <c r="J242" s="874"/>
      <c r="K242" s="874"/>
      <c r="L242" s="874"/>
      <c r="M242" s="874"/>
      <c r="N242" s="874"/>
      <c r="O242" s="874"/>
      <c r="P242" s="874"/>
      <c r="Q242" s="874"/>
      <c r="R242" s="874"/>
      <c r="S242" s="874"/>
      <c r="T242" s="874"/>
      <c r="U242" s="874"/>
      <c r="V242" s="874"/>
      <c r="W242" s="874"/>
      <c r="X242" s="874"/>
      <c r="Y242" s="874"/>
      <c r="Z242" s="874"/>
    </row>
    <row r="243" spans="1:26" ht="18" customHeight="1" x14ac:dyDescent="0.35">
      <c r="A243" s="874"/>
      <c r="B243" s="874"/>
      <c r="C243" s="874"/>
      <c r="D243" s="874"/>
      <c r="E243" s="874"/>
      <c r="F243" s="874"/>
      <c r="G243" s="874"/>
      <c r="H243" s="874"/>
      <c r="I243" s="874"/>
      <c r="J243" s="874"/>
      <c r="K243" s="874"/>
      <c r="L243" s="874"/>
      <c r="M243" s="874"/>
      <c r="N243" s="874"/>
      <c r="O243" s="874"/>
      <c r="P243" s="874"/>
      <c r="Q243" s="874"/>
      <c r="R243" s="874"/>
      <c r="S243" s="874"/>
      <c r="T243" s="874"/>
      <c r="U243" s="874"/>
      <c r="V243" s="874"/>
      <c r="W243" s="874"/>
      <c r="X243" s="874"/>
      <c r="Y243" s="874"/>
      <c r="Z243" s="874"/>
    </row>
    <row r="244" spans="1:26" ht="18" customHeight="1" x14ac:dyDescent="0.35">
      <c r="A244" s="874"/>
      <c r="B244" s="874"/>
      <c r="C244" s="874"/>
      <c r="D244" s="874"/>
      <c r="E244" s="874"/>
      <c r="F244" s="874"/>
      <c r="G244" s="874"/>
      <c r="H244" s="874"/>
      <c r="I244" s="874"/>
      <c r="J244" s="874"/>
      <c r="K244" s="874"/>
      <c r="L244" s="874"/>
      <c r="M244" s="874"/>
      <c r="N244" s="874"/>
      <c r="O244" s="874"/>
      <c r="P244" s="874"/>
      <c r="Q244" s="874"/>
      <c r="R244" s="874"/>
      <c r="S244" s="874"/>
      <c r="T244" s="874"/>
      <c r="U244" s="874"/>
      <c r="V244" s="874"/>
      <c r="W244" s="874"/>
      <c r="X244" s="874"/>
      <c r="Y244" s="874"/>
      <c r="Z244" s="874"/>
    </row>
    <row r="245" spans="1:26" ht="18" customHeight="1" x14ac:dyDescent="0.35">
      <c r="A245" s="874"/>
      <c r="B245" s="874"/>
      <c r="C245" s="874"/>
      <c r="D245" s="874"/>
      <c r="E245" s="874"/>
      <c r="F245" s="874"/>
      <c r="G245" s="874"/>
      <c r="H245" s="874"/>
      <c r="I245" s="874"/>
      <c r="J245" s="874"/>
      <c r="K245" s="874"/>
      <c r="L245" s="874"/>
      <c r="M245" s="874"/>
      <c r="N245" s="874"/>
      <c r="O245" s="874"/>
      <c r="P245" s="874"/>
      <c r="Q245" s="874"/>
      <c r="R245" s="874"/>
      <c r="S245" s="874"/>
      <c r="T245" s="874"/>
      <c r="U245" s="874"/>
      <c r="V245" s="874"/>
      <c r="W245" s="874"/>
      <c r="X245" s="874"/>
      <c r="Y245" s="874"/>
      <c r="Z245" s="874"/>
    </row>
    <row r="246" spans="1:26" ht="18" customHeight="1" x14ac:dyDescent="0.35">
      <c r="A246" s="874"/>
      <c r="B246" s="874"/>
      <c r="C246" s="874"/>
      <c r="D246" s="874"/>
      <c r="E246" s="874"/>
      <c r="F246" s="874"/>
      <c r="G246" s="874"/>
      <c r="H246" s="874"/>
      <c r="I246" s="874"/>
      <c r="J246" s="874"/>
      <c r="K246" s="874"/>
      <c r="L246" s="874"/>
      <c r="M246" s="874"/>
      <c r="N246" s="874"/>
      <c r="O246" s="874"/>
      <c r="P246" s="874"/>
      <c r="Q246" s="874"/>
      <c r="R246" s="874"/>
      <c r="S246" s="874"/>
      <c r="T246" s="874"/>
      <c r="U246" s="874"/>
      <c r="V246" s="874"/>
      <c r="W246" s="874"/>
      <c r="X246" s="874"/>
      <c r="Y246" s="874"/>
      <c r="Z246" s="874"/>
    </row>
    <row r="247" spans="1:26" ht="18" customHeight="1" x14ac:dyDescent="0.35">
      <c r="A247" s="874"/>
      <c r="B247" s="874"/>
      <c r="C247" s="874"/>
      <c r="D247" s="874"/>
      <c r="E247" s="874"/>
      <c r="F247" s="874"/>
      <c r="G247" s="874"/>
      <c r="H247" s="874"/>
      <c r="I247" s="874"/>
      <c r="J247" s="874"/>
      <c r="K247" s="874"/>
      <c r="L247" s="874"/>
      <c r="M247" s="874"/>
      <c r="N247" s="874"/>
      <c r="O247" s="874"/>
      <c r="P247" s="874"/>
      <c r="Q247" s="874"/>
      <c r="R247" s="874"/>
      <c r="S247" s="874"/>
      <c r="T247" s="874"/>
      <c r="U247" s="874"/>
      <c r="V247" s="874"/>
      <c r="W247" s="874"/>
      <c r="X247" s="874"/>
      <c r="Y247" s="874"/>
      <c r="Z247" s="874"/>
    </row>
    <row r="248" spans="1:26" ht="18" customHeight="1" x14ac:dyDescent="0.35">
      <c r="A248" s="874"/>
      <c r="B248" s="874"/>
      <c r="C248" s="874"/>
      <c r="D248" s="874"/>
      <c r="E248" s="874"/>
      <c r="F248" s="874"/>
      <c r="G248" s="874"/>
      <c r="H248" s="874"/>
      <c r="I248" s="874"/>
      <c r="J248" s="874"/>
      <c r="K248" s="874"/>
      <c r="L248" s="874"/>
      <c r="M248" s="874"/>
      <c r="N248" s="874"/>
      <c r="O248" s="874"/>
      <c r="P248" s="874"/>
      <c r="Q248" s="874"/>
      <c r="R248" s="874"/>
      <c r="S248" s="874"/>
      <c r="T248" s="874"/>
      <c r="U248" s="874"/>
      <c r="V248" s="874"/>
      <c r="W248" s="874"/>
      <c r="X248" s="874"/>
      <c r="Y248" s="874"/>
      <c r="Z248" s="874"/>
    </row>
    <row r="249" spans="1:26" ht="18" customHeight="1" x14ac:dyDescent="0.35">
      <c r="A249" s="874"/>
      <c r="B249" s="874"/>
      <c r="C249" s="874"/>
      <c r="D249" s="874"/>
      <c r="E249" s="874"/>
      <c r="F249" s="874"/>
      <c r="G249" s="874"/>
      <c r="H249" s="874"/>
      <c r="I249" s="874"/>
      <c r="J249" s="874"/>
      <c r="K249" s="874"/>
      <c r="L249" s="874"/>
      <c r="M249" s="874"/>
      <c r="N249" s="874"/>
      <c r="O249" s="874"/>
      <c r="P249" s="874"/>
      <c r="Q249" s="874"/>
      <c r="R249" s="874"/>
      <c r="S249" s="874"/>
      <c r="T249" s="874"/>
      <c r="U249" s="874"/>
      <c r="V249" s="874"/>
      <c r="W249" s="874"/>
      <c r="X249" s="874"/>
      <c r="Y249" s="874"/>
      <c r="Z249" s="874"/>
    </row>
    <row r="250" spans="1:26" ht="18" customHeight="1" x14ac:dyDescent="0.35">
      <c r="A250" s="874"/>
      <c r="B250" s="874"/>
      <c r="C250" s="874"/>
      <c r="D250" s="874"/>
      <c r="E250" s="874"/>
      <c r="F250" s="874"/>
      <c r="G250" s="874"/>
      <c r="H250" s="874"/>
      <c r="I250" s="874"/>
      <c r="J250" s="874"/>
      <c r="K250" s="874"/>
      <c r="L250" s="874"/>
      <c r="M250" s="874"/>
      <c r="N250" s="874"/>
      <c r="O250" s="874"/>
      <c r="P250" s="874"/>
      <c r="Q250" s="874"/>
      <c r="R250" s="874"/>
      <c r="S250" s="874"/>
      <c r="T250" s="874"/>
      <c r="U250" s="874"/>
      <c r="V250" s="874"/>
      <c r="W250" s="874"/>
      <c r="X250" s="874"/>
      <c r="Y250" s="874"/>
      <c r="Z250" s="874"/>
    </row>
    <row r="251" spans="1:26" ht="18" customHeight="1" x14ac:dyDescent="0.35">
      <c r="A251" s="874"/>
      <c r="B251" s="874"/>
      <c r="C251" s="874"/>
      <c r="D251" s="874"/>
      <c r="E251" s="874"/>
      <c r="F251" s="874"/>
      <c r="G251" s="874"/>
      <c r="H251" s="874"/>
      <c r="I251" s="874"/>
      <c r="J251" s="874"/>
      <c r="K251" s="874"/>
      <c r="L251" s="874"/>
      <c r="M251" s="874"/>
      <c r="N251" s="874"/>
      <c r="O251" s="874"/>
      <c r="P251" s="874"/>
      <c r="Q251" s="874"/>
      <c r="R251" s="874"/>
      <c r="S251" s="874"/>
      <c r="T251" s="874"/>
      <c r="U251" s="874"/>
      <c r="V251" s="874"/>
      <c r="W251" s="874"/>
      <c r="X251" s="874"/>
      <c r="Y251" s="874"/>
      <c r="Z251" s="874"/>
    </row>
    <row r="252" spans="1:26" ht="18" customHeight="1" x14ac:dyDescent="0.35">
      <c r="A252" s="874"/>
      <c r="B252" s="874"/>
      <c r="C252" s="874"/>
      <c r="D252" s="874"/>
      <c r="E252" s="874"/>
      <c r="F252" s="874"/>
      <c r="G252" s="874"/>
      <c r="H252" s="874"/>
      <c r="I252" s="874"/>
      <c r="J252" s="874"/>
      <c r="K252" s="874"/>
      <c r="L252" s="874"/>
      <c r="M252" s="874"/>
      <c r="N252" s="874"/>
      <c r="O252" s="874"/>
      <c r="P252" s="874"/>
      <c r="Q252" s="874"/>
      <c r="R252" s="874"/>
      <c r="S252" s="874"/>
      <c r="T252" s="874"/>
      <c r="U252" s="874"/>
      <c r="V252" s="874"/>
      <c r="W252" s="874"/>
      <c r="X252" s="874"/>
      <c r="Y252" s="874"/>
      <c r="Z252" s="874"/>
    </row>
    <row r="253" spans="1:26" ht="18" customHeight="1" x14ac:dyDescent="0.35">
      <c r="A253" s="874"/>
      <c r="B253" s="874"/>
      <c r="C253" s="874"/>
      <c r="D253" s="874"/>
      <c r="E253" s="874"/>
      <c r="F253" s="874"/>
      <c r="G253" s="874"/>
      <c r="H253" s="874"/>
      <c r="I253" s="874"/>
      <c r="J253" s="874"/>
      <c r="K253" s="874"/>
      <c r="L253" s="874"/>
      <c r="M253" s="874"/>
      <c r="N253" s="874"/>
      <c r="O253" s="874"/>
      <c r="P253" s="874"/>
      <c r="Q253" s="874"/>
      <c r="R253" s="874"/>
      <c r="S253" s="874"/>
      <c r="T253" s="874"/>
      <c r="U253" s="874"/>
      <c r="V253" s="874"/>
      <c r="W253" s="874"/>
      <c r="X253" s="874"/>
      <c r="Y253" s="874"/>
      <c r="Z253" s="874"/>
    </row>
    <row r="254" spans="1:26" ht="18" customHeight="1" x14ac:dyDescent="0.35">
      <c r="A254" s="874"/>
      <c r="B254" s="874"/>
      <c r="C254" s="874"/>
      <c r="D254" s="874"/>
      <c r="E254" s="874"/>
      <c r="F254" s="874"/>
      <c r="G254" s="874"/>
      <c r="H254" s="874"/>
      <c r="I254" s="874"/>
      <c r="J254" s="874"/>
      <c r="K254" s="874"/>
      <c r="L254" s="874"/>
      <c r="M254" s="874"/>
      <c r="N254" s="874"/>
      <c r="O254" s="874"/>
      <c r="P254" s="874"/>
      <c r="Q254" s="874"/>
      <c r="R254" s="874"/>
      <c r="S254" s="874"/>
      <c r="T254" s="874"/>
      <c r="U254" s="874"/>
      <c r="V254" s="874"/>
      <c r="W254" s="874"/>
      <c r="X254" s="874"/>
      <c r="Y254" s="874"/>
      <c r="Z254" s="874"/>
    </row>
    <row r="255" spans="1:26" ht="18" customHeight="1" x14ac:dyDescent="0.35">
      <c r="A255" s="874"/>
      <c r="B255" s="874"/>
      <c r="C255" s="874"/>
      <c r="D255" s="874"/>
      <c r="E255" s="874"/>
      <c r="F255" s="874"/>
      <c r="G255" s="874"/>
      <c r="H255" s="874"/>
      <c r="I255" s="874"/>
      <c r="J255" s="874"/>
      <c r="K255" s="874"/>
      <c r="L255" s="874"/>
      <c r="M255" s="874"/>
      <c r="N255" s="874"/>
      <c r="O255" s="874"/>
      <c r="P255" s="874"/>
      <c r="Q255" s="874"/>
      <c r="R255" s="874"/>
      <c r="S255" s="874"/>
      <c r="T255" s="874"/>
      <c r="U255" s="874"/>
      <c r="V255" s="874"/>
      <c r="W255" s="874"/>
      <c r="X255" s="874"/>
      <c r="Y255" s="874"/>
      <c r="Z255" s="874"/>
    </row>
    <row r="256" spans="1:26" ht="18" customHeight="1" x14ac:dyDescent="0.35">
      <c r="A256" s="874"/>
      <c r="B256" s="874"/>
      <c r="C256" s="874"/>
      <c r="D256" s="874"/>
      <c r="E256" s="874"/>
      <c r="F256" s="874"/>
      <c r="G256" s="874"/>
      <c r="H256" s="874"/>
      <c r="I256" s="874"/>
      <c r="J256" s="874"/>
      <c r="K256" s="874"/>
      <c r="L256" s="874"/>
      <c r="M256" s="874"/>
      <c r="N256" s="874"/>
      <c r="O256" s="874"/>
      <c r="P256" s="874"/>
      <c r="Q256" s="874"/>
      <c r="R256" s="874"/>
      <c r="S256" s="874"/>
      <c r="T256" s="874"/>
      <c r="U256" s="874"/>
      <c r="V256" s="874"/>
      <c r="W256" s="874"/>
      <c r="X256" s="874"/>
      <c r="Y256" s="874"/>
      <c r="Z256" s="874"/>
    </row>
    <row r="257" spans="1:26" ht="18" customHeight="1" x14ac:dyDescent="0.35">
      <c r="A257" s="874"/>
      <c r="B257" s="874"/>
      <c r="C257" s="874"/>
      <c r="D257" s="874"/>
      <c r="E257" s="874"/>
      <c r="F257" s="874"/>
      <c r="G257" s="874"/>
      <c r="H257" s="874"/>
      <c r="I257" s="874"/>
      <c r="J257" s="874"/>
      <c r="K257" s="874"/>
      <c r="L257" s="874"/>
      <c r="M257" s="874"/>
      <c r="N257" s="874"/>
      <c r="O257" s="874"/>
      <c r="P257" s="874"/>
      <c r="Q257" s="874"/>
      <c r="R257" s="874"/>
      <c r="S257" s="874"/>
      <c r="T257" s="874"/>
      <c r="U257" s="874"/>
      <c r="V257" s="874"/>
      <c r="W257" s="874"/>
      <c r="X257" s="874"/>
      <c r="Y257" s="874"/>
      <c r="Z257" s="874"/>
    </row>
    <row r="258" spans="1:26" ht="18" customHeight="1" x14ac:dyDescent="0.35">
      <c r="A258" s="874"/>
      <c r="B258" s="874"/>
      <c r="C258" s="874"/>
      <c r="D258" s="874"/>
      <c r="E258" s="874"/>
      <c r="F258" s="874"/>
      <c r="G258" s="874"/>
      <c r="H258" s="874"/>
      <c r="I258" s="874"/>
      <c r="J258" s="874"/>
      <c r="K258" s="874"/>
      <c r="L258" s="874"/>
      <c r="M258" s="874"/>
      <c r="N258" s="874"/>
      <c r="O258" s="874"/>
      <c r="P258" s="874"/>
      <c r="Q258" s="874"/>
      <c r="R258" s="874"/>
      <c r="S258" s="874"/>
      <c r="T258" s="874"/>
      <c r="U258" s="874"/>
      <c r="V258" s="874"/>
      <c r="W258" s="874"/>
      <c r="X258" s="874"/>
      <c r="Y258" s="874"/>
      <c r="Z258" s="874"/>
    </row>
    <row r="259" spans="1:26" ht="18" customHeight="1" x14ac:dyDescent="0.35">
      <c r="A259" s="874"/>
      <c r="B259" s="874"/>
      <c r="C259" s="874"/>
      <c r="D259" s="874"/>
      <c r="E259" s="874"/>
      <c r="F259" s="874"/>
      <c r="G259" s="874"/>
      <c r="H259" s="874"/>
      <c r="I259" s="874"/>
      <c r="J259" s="874"/>
      <c r="K259" s="874"/>
      <c r="L259" s="874"/>
      <c r="M259" s="874"/>
      <c r="N259" s="874"/>
      <c r="O259" s="874"/>
      <c r="P259" s="874"/>
      <c r="Q259" s="874"/>
      <c r="R259" s="874"/>
      <c r="S259" s="874"/>
      <c r="T259" s="874"/>
      <c r="U259" s="874"/>
      <c r="V259" s="874"/>
      <c r="W259" s="874"/>
      <c r="X259" s="874"/>
      <c r="Y259" s="874"/>
      <c r="Z259" s="874"/>
    </row>
    <row r="260" spans="1:26" ht="18" customHeight="1" x14ac:dyDescent="0.35">
      <c r="A260" s="874"/>
      <c r="B260" s="874"/>
      <c r="C260" s="874"/>
      <c r="D260" s="874"/>
      <c r="E260" s="874"/>
      <c r="F260" s="874"/>
      <c r="G260" s="874"/>
      <c r="H260" s="874"/>
      <c r="I260" s="874"/>
      <c r="J260" s="874"/>
      <c r="K260" s="874"/>
      <c r="L260" s="874"/>
      <c r="M260" s="874"/>
      <c r="N260" s="874"/>
      <c r="O260" s="874"/>
      <c r="P260" s="874"/>
      <c r="Q260" s="874"/>
      <c r="R260" s="874"/>
      <c r="S260" s="874"/>
      <c r="T260" s="874"/>
      <c r="U260" s="874"/>
      <c r="V260" s="874"/>
      <c r="W260" s="874"/>
      <c r="X260" s="874"/>
      <c r="Y260" s="874"/>
      <c r="Z260" s="874"/>
    </row>
    <row r="261" spans="1:26" ht="18" customHeight="1" x14ac:dyDescent="0.35">
      <c r="A261" s="874"/>
      <c r="B261" s="874"/>
      <c r="C261" s="874"/>
      <c r="D261" s="874"/>
      <c r="E261" s="874"/>
      <c r="F261" s="874"/>
      <c r="G261" s="874"/>
      <c r="H261" s="874"/>
      <c r="I261" s="874"/>
      <c r="J261" s="874"/>
      <c r="K261" s="874"/>
      <c r="L261" s="874"/>
      <c r="M261" s="874"/>
      <c r="N261" s="874"/>
      <c r="O261" s="874"/>
      <c r="P261" s="874"/>
      <c r="Q261" s="874"/>
      <c r="R261" s="874"/>
      <c r="S261" s="874"/>
      <c r="T261" s="874"/>
      <c r="U261" s="874"/>
      <c r="V261" s="874"/>
      <c r="W261" s="874"/>
      <c r="X261" s="874"/>
      <c r="Y261" s="874"/>
      <c r="Z261" s="874"/>
    </row>
    <row r="262" spans="1:26" ht="18" customHeight="1" x14ac:dyDescent="0.35">
      <c r="A262" s="874"/>
      <c r="B262" s="874"/>
      <c r="C262" s="874"/>
      <c r="D262" s="874"/>
      <c r="E262" s="874"/>
      <c r="F262" s="874"/>
      <c r="G262" s="874"/>
      <c r="H262" s="874"/>
      <c r="I262" s="874"/>
      <c r="J262" s="874"/>
      <c r="K262" s="874"/>
      <c r="L262" s="874"/>
      <c r="M262" s="874"/>
      <c r="N262" s="874"/>
      <c r="O262" s="874"/>
      <c r="P262" s="874"/>
      <c r="Q262" s="874"/>
      <c r="R262" s="874"/>
      <c r="S262" s="874"/>
      <c r="T262" s="874"/>
      <c r="U262" s="874"/>
      <c r="V262" s="874"/>
      <c r="W262" s="874"/>
      <c r="X262" s="874"/>
      <c r="Y262" s="874"/>
      <c r="Z262" s="874"/>
    </row>
    <row r="263" spans="1:26" ht="18" customHeight="1" x14ac:dyDescent="0.35">
      <c r="A263" s="874"/>
      <c r="B263" s="874"/>
      <c r="C263" s="874"/>
      <c r="D263" s="874"/>
      <c r="E263" s="874"/>
      <c r="F263" s="874"/>
      <c r="G263" s="874"/>
      <c r="H263" s="874"/>
      <c r="I263" s="874"/>
      <c r="J263" s="874"/>
      <c r="K263" s="874"/>
      <c r="L263" s="874"/>
      <c r="M263" s="874"/>
      <c r="N263" s="874"/>
      <c r="O263" s="874"/>
      <c r="P263" s="874"/>
      <c r="Q263" s="874"/>
      <c r="R263" s="874"/>
      <c r="S263" s="874"/>
      <c r="T263" s="874"/>
      <c r="U263" s="874"/>
      <c r="V263" s="874"/>
      <c r="W263" s="874"/>
      <c r="X263" s="874"/>
      <c r="Y263" s="874"/>
      <c r="Z263" s="874"/>
    </row>
    <row r="264" spans="1:26" ht="18" customHeight="1" x14ac:dyDescent="0.35">
      <c r="A264" s="874"/>
      <c r="B264" s="874"/>
      <c r="C264" s="874"/>
      <c r="D264" s="874"/>
      <c r="E264" s="874"/>
      <c r="F264" s="874"/>
      <c r="G264" s="874"/>
      <c r="H264" s="874"/>
      <c r="I264" s="874"/>
      <c r="J264" s="874"/>
      <c r="K264" s="874"/>
      <c r="L264" s="874"/>
      <c r="M264" s="874"/>
      <c r="N264" s="874"/>
      <c r="O264" s="874"/>
      <c r="P264" s="874"/>
      <c r="Q264" s="874"/>
      <c r="R264" s="874"/>
      <c r="S264" s="874"/>
      <c r="T264" s="874"/>
      <c r="U264" s="874"/>
      <c r="V264" s="874"/>
      <c r="W264" s="874"/>
      <c r="X264" s="874"/>
      <c r="Y264" s="874"/>
      <c r="Z264" s="874"/>
    </row>
    <row r="265" spans="1:26" ht="18" customHeight="1" x14ac:dyDescent="0.35">
      <c r="A265" s="874"/>
      <c r="B265" s="874"/>
      <c r="C265" s="874"/>
      <c r="D265" s="874"/>
      <c r="E265" s="874"/>
      <c r="F265" s="874"/>
      <c r="G265" s="874"/>
      <c r="H265" s="874"/>
      <c r="I265" s="874"/>
      <c r="J265" s="874"/>
      <c r="K265" s="874"/>
      <c r="L265" s="874"/>
      <c r="M265" s="874"/>
      <c r="N265" s="874"/>
      <c r="O265" s="874"/>
      <c r="P265" s="874"/>
      <c r="Q265" s="874"/>
      <c r="R265" s="874"/>
      <c r="S265" s="874"/>
      <c r="T265" s="874"/>
      <c r="U265" s="874"/>
      <c r="V265" s="874"/>
      <c r="W265" s="874"/>
      <c r="X265" s="874"/>
      <c r="Y265" s="874"/>
      <c r="Z265" s="874"/>
    </row>
    <row r="266" spans="1:26" ht="18" customHeight="1" x14ac:dyDescent="0.35">
      <c r="A266" s="874"/>
      <c r="B266" s="874"/>
      <c r="C266" s="874"/>
      <c r="D266" s="874"/>
      <c r="E266" s="874"/>
      <c r="F266" s="874"/>
      <c r="G266" s="874"/>
      <c r="H266" s="874"/>
      <c r="I266" s="874"/>
      <c r="J266" s="874"/>
      <c r="K266" s="874"/>
      <c r="L266" s="874"/>
      <c r="M266" s="874"/>
      <c r="N266" s="874"/>
      <c r="O266" s="874"/>
      <c r="P266" s="874"/>
      <c r="Q266" s="874"/>
      <c r="R266" s="874"/>
      <c r="S266" s="874"/>
      <c r="T266" s="874"/>
      <c r="U266" s="874"/>
      <c r="V266" s="874"/>
      <c r="W266" s="874"/>
      <c r="X266" s="874"/>
      <c r="Y266" s="874"/>
      <c r="Z266" s="874"/>
    </row>
    <row r="267" spans="1:26" ht="18" customHeight="1" x14ac:dyDescent="0.35">
      <c r="A267" s="874"/>
      <c r="B267" s="874"/>
      <c r="C267" s="874"/>
      <c r="D267" s="874"/>
      <c r="E267" s="874"/>
      <c r="F267" s="874"/>
      <c r="G267" s="874"/>
      <c r="H267" s="874"/>
      <c r="I267" s="874"/>
      <c r="J267" s="874"/>
      <c r="K267" s="874"/>
      <c r="L267" s="874"/>
      <c r="M267" s="874"/>
      <c r="N267" s="874"/>
      <c r="O267" s="874"/>
      <c r="P267" s="874"/>
      <c r="Q267" s="874"/>
      <c r="R267" s="874"/>
      <c r="S267" s="874"/>
      <c r="T267" s="874"/>
      <c r="U267" s="874"/>
      <c r="V267" s="874"/>
      <c r="W267" s="874"/>
      <c r="X267" s="874"/>
      <c r="Y267" s="874"/>
      <c r="Z267" s="874"/>
    </row>
    <row r="268" spans="1:26" ht="18" customHeight="1" x14ac:dyDescent="0.35">
      <c r="A268" s="874"/>
      <c r="B268" s="874"/>
      <c r="C268" s="874"/>
      <c r="D268" s="874"/>
      <c r="E268" s="874"/>
      <c r="F268" s="874"/>
      <c r="G268" s="874"/>
      <c r="H268" s="874"/>
      <c r="I268" s="874"/>
      <c r="J268" s="874"/>
      <c r="K268" s="874"/>
      <c r="L268" s="874"/>
      <c r="M268" s="874"/>
      <c r="N268" s="874"/>
      <c r="O268" s="874"/>
      <c r="P268" s="874"/>
      <c r="Q268" s="874"/>
      <c r="R268" s="874"/>
      <c r="S268" s="874"/>
      <c r="T268" s="874"/>
      <c r="U268" s="874"/>
      <c r="V268" s="874"/>
      <c r="W268" s="874"/>
      <c r="X268" s="874"/>
      <c r="Y268" s="874"/>
      <c r="Z268" s="874"/>
    </row>
    <row r="269" spans="1:26" ht="18" customHeight="1" x14ac:dyDescent="0.35">
      <c r="A269" s="874"/>
      <c r="B269" s="874"/>
      <c r="C269" s="874"/>
      <c r="D269" s="874"/>
      <c r="E269" s="874"/>
      <c r="F269" s="874"/>
      <c r="G269" s="874"/>
      <c r="H269" s="874"/>
      <c r="I269" s="874"/>
      <c r="J269" s="874"/>
      <c r="K269" s="874"/>
      <c r="L269" s="874"/>
      <c r="M269" s="874"/>
      <c r="N269" s="874"/>
      <c r="O269" s="874"/>
      <c r="P269" s="874"/>
      <c r="Q269" s="874"/>
      <c r="R269" s="874"/>
      <c r="S269" s="874"/>
      <c r="T269" s="874"/>
      <c r="U269" s="874"/>
      <c r="V269" s="874"/>
      <c r="W269" s="874"/>
      <c r="X269" s="874"/>
      <c r="Y269" s="874"/>
      <c r="Z269" s="874"/>
    </row>
    <row r="270" spans="1:26" ht="18" customHeight="1" x14ac:dyDescent="0.35">
      <c r="A270" s="874"/>
      <c r="B270" s="874"/>
      <c r="C270" s="874"/>
      <c r="D270" s="874"/>
      <c r="E270" s="874"/>
      <c r="F270" s="874"/>
      <c r="G270" s="874"/>
      <c r="H270" s="874"/>
      <c r="I270" s="874"/>
      <c r="J270" s="874"/>
      <c r="K270" s="874"/>
      <c r="L270" s="874"/>
      <c r="M270" s="874"/>
      <c r="N270" s="874"/>
      <c r="O270" s="874"/>
      <c r="P270" s="874"/>
      <c r="Q270" s="874"/>
      <c r="R270" s="874"/>
      <c r="S270" s="874"/>
      <c r="T270" s="874"/>
      <c r="U270" s="874"/>
      <c r="V270" s="874"/>
      <c r="W270" s="874"/>
      <c r="X270" s="874"/>
      <c r="Y270" s="874"/>
      <c r="Z270" s="874"/>
    </row>
    <row r="271" spans="1:26" ht="18" customHeight="1" x14ac:dyDescent="0.35">
      <c r="A271" s="874"/>
      <c r="B271" s="874"/>
      <c r="C271" s="874"/>
      <c r="D271" s="874"/>
      <c r="E271" s="874"/>
      <c r="F271" s="874"/>
      <c r="G271" s="874"/>
      <c r="H271" s="874"/>
      <c r="I271" s="874"/>
      <c r="J271" s="874"/>
      <c r="K271" s="874"/>
      <c r="L271" s="874"/>
      <c r="M271" s="874"/>
      <c r="N271" s="874"/>
      <c r="O271" s="874"/>
      <c r="P271" s="874"/>
      <c r="Q271" s="874"/>
      <c r="R271" s="874"/>
      <c r="S271" s="874"/>
      <c r="T271" s="874"/>
      <c r="U271" s="874"/>
      <c r="V271" s="874"/>
      <c r="W271" s="874"/>
      <c r="X271" s="874"/>
      <c r="Y271" s="874"/>
      <c r="Z271" s="874"/>
    </row>
    <row r="272" spans="1:26" ht="18" customHeight="1" x14ac:dyDescent="0.35">
      <c r="A272" s="874"/>
      <c r="B272" s="874"/>
      <c r="C272" s="874"/>
      <c r="D272" s="874"/>
      <c r="E272" s="874"/>
      <c r="F272" s="874"/>
      <c r="G272" s="874"/>
      <c r="H272" s="874"/>
      <c r="I272" s="874"/>
      <c r="J272" s="874"/>
      <c r="K272" s="874"/>
      <c r="L272" s="874"/>
      <c r="M272" s="874"/>
      <c r="N272" s="874"/>
      <c r="O272" s="874"/>
      <c r="P272" s="874"/>
      <c r="Q272" s="874"/>
      <c r="R272" s="874"/>
      <c r="S272" s="874"/>
      <c r="T272" s="874"/>
      <c r="U272" s="874"/>
      <c r="V272" s="874"/>
      <c r="W272" s="874"/>
      <c r="X272" s="874"/>
      <c r="Y272" s="874"/>
      <c r="Z272" s="874"/>
    </row>
    <row r="273" spans="1:26" ht="18" customHeight="1" x14ac:dyDescent="0.35">
      <c r="A273" s="874"/>
      <c r="B273" s="874"/>
      <c r="C273" s="874"/>
      <c r="D273" s="874"/>
      <c r="E273" s="874"/>
      <c r="F273" s="874"/>
      <c r="G273" s="874"/>
      <c r="H273" s="874"/>
      <c r="I273" s="874"/>
      <c r="J273" s="874"/>
      <c r="K273" s="874"/>
      <c r="L273" s="874"/>
      <c r="M273" s="874"/>
      <c r="N273" s="874"/>
      <c r="O273" s="874"/>
      <c r="P273" s="874"/>
      <c r="Q273" s="874"/>
      <c r="R273" s="874"/>
      <c r="S273" s="874"/>
      <c r="T273" s="874"/>
      <c r="U273" s="874"/>
      <c r="V273" s="874"/>
      <c r="W273" s="874"/>
      <c r="X273" s="874"/>
      <c r="Y273" s="874"/>
      <c r="Z273" s="874"/>
    </row>
    <row r="274" spans="1:26" ht="18" customHeight="1" x14ac:dyDescent="0.35">
      <c r="A274" s="874"/>
      <c r="B274" s="874"/>
      <c r="C274" s="874"/>
      <c r="D274" s="874"/>
      <c r="E274" s="874"/>
      <c r="F274" s="874"/>
      <c r="G274" s="874"/>
      <c r="H274" s="874"/>
      <c r="I274" s="874"/>
      <c r="J274" s="874"/>
      <c r="K274" s="874"/>
      <c r="L274" s="874"/>
      <c r="M274" s="874"/>
      <c r="N274" s="874"/>
      <c r="O274" s="874"/>
      <c r="P274" s="874"/>
      <c r="Q274" s="874"/>
      <c r="R274" s="874"/>
      <c r="S274" s="874"/>
      <c r="T274" s="874"/>
      <c r="U274" s="874"/>
      <c r="V274" s="874"/>
      <c r="W274" s="874"/>
      <c r="X274" s="874"/>
      <c r="Y274" s="874"/>
      <c r="Z274" s="874"/>
    </row>
    <row r="275" spans="1:26" ht="18" customHeight="1" x14ac:dyDescent="0.35">
      <c r="A275" s="874"/>
      <c r="B275" s="874"/>
      <c r="C275" s="874"/>
      <c r="D275" s="874"/>
      <c r="E275" s="874"/>
      <c r="F275" s="874"/>
      <c r="G275" s="874"/>
      <c r="H275" s="874"/>
      <c r="I275" s="874"/>
      <c r="J275" s="874"/>
      <c r="K275" s="874"/>
      <c r="L275" s="874"/>
      <c r="M275" s="874"/>
      <c r="N275" s="874"/>
      <c r="O275" s="874"/>
      <c r="P275" s="874"/>
      <c r="Q275" s="874"/>
      <c r="R275" s="874"/>
      <c r="S275" s="874"/>
      <c r="T275" s="874"/>
      <c r="U275" s="874"/>
      <c r="V275" s="874"/>
      <c r="W275" s="874"/>
      <c r="X275" s="874"/>
      <c r="Y275" s="874"/>
      <c r="Z275" s="874"/>
    </row>
    <row r="276" spans="1:26" ht="18" customHeight="1" x14ac:dyDescent="0.35">
      <c r="A276" s="874"/>
      <c r="B276" s="874"/>
      <c r="C276" s="874"/>
      <c r="D276" s="874"/>
      <c r="E276" s="874"/>
      <c r="F276" s="874"/>
      <c r="G276" s="874"/>
      <c r="H276" s="874"/>
      <c r="I276" s="874"/>
      <c r="J276" s="874"/>
      <c r="K276" s="874"/>
      <c r="L276" s="874"/>
      <c r="M276" s="874"/>
      <c r="N276" s="874"/>
      <c r="O276" s="874"/>
      <c r="P276" s="874"/>
      <c r="Q276" s="874"/>
      <c r="R276" s="874"/>
      <c r="S276" s="874"/>
      <c r="T276" s="874"/>
      <c r="U276" s="874"/>
      <c r="V276" s="874"/>
      <c r="W276" s="874"/>
      <c r="X276" s="874"/>
      <c r="Y276" s="874"/>
      <c r="Z276" s="874"/>
    </row>
    <row r="277" spans="1:26" ht="18" customHeight="1" x14ac:dyDescent="0.35">
      <c r="A277" s="874"/>
      <c r="B277" s="874"/>
      <c r="C277" s="874"/>
      <c r="D277" s="874"/>
      <c r="E277" s="874"/>
      <c r="F277" s="874"/>
      <c r="G277" s="874"/>
      <c r="H277" s="874"/>
      <c r="I277" s="874"/>
      <c r="J277" s="874"/>
      <c r="K277" s="874"/>
      <c r="L277" s="874"/>
      <c r="M277" s="874"/>
      <c r="N277" s="874"/>
      <c r="O277" s="874"/>
      <c r="P277" s="874"/>
      <c r="Q277" s="874"/>
      <c r="R277" s="874"/>
      <c r="S277" s="874"/>
      <c r="T277" s="874"/>
      <c r="U277" s="874"/>
      <c r="V277" s="874"/>
      <c r="W277" s="874"/>
      <c r="X277" s="874"/>
      <c r="Y277" s="874"/>
      <c r="Z277" s="874"/>
    </row>
    <row r="278" spans="1:26" ht="18" customHeight="1" x14ac:dyDescent="0.35">
      <c r="A278" s="874"/>
      <c r="B278" s="874"/>
      <c r="C278" s="874"/>
      <c r="D278" s="874"/>
      <c r="E278" s="874"/>
      <c r="F278" s="874"/>
      <c r="G278" s="874"/>
      <c r="H278" s="874"/>
      <c r="I278" s="874"/>
      <c r="J278" s="874"/>
      <c r="K278" s="874"/>
      <c r="L278" s="874"/>
      <c r="M278" s="874"/>
      <c r="N278" s="874"/>
      <c r="O278" s="874"/>
      <c r="P278" s="874"/>
      <c r="Q278" s="874"/>
      <c r="R278" s="874"/>
      <c r="S278" s="874"/>
      <c r="T278" s="874"/>
      <c r="U278" s="874"/>
      <c r="V278" s="874"/>
      <c r="W278" s="874"/>
      <c r="X278" s="874"/>
      <c r="Y278" s="874"/>
      <c r="Z278" s="874"/>
    </row>
    <row r="279" spans="1:26" ht="18" customHeight="1" x14ac:dyDescent="0.35">
      <c r="A279" s="874"/>
      <c r="B279" s="874"/>
      <c r="C279" s="874"/>
      <c r="D279" s="874"/>
      <c r="E279" s="874"/>
      <c r="F279" s="874"/>
      <c r="G279" s="874"/>
      <c r="H279" s="874"/>
      <c r="I279" s="874"/>
      <c r="J279" s="874"/>
      <c r="K279" s="874"/>
      <c r="L279" s="874"/>
      <c r="M279" s="874"/>
      <c r="N279" s="874"/>
      <c r="O279" s="874"/>
      <c r="P279" s="874"/>
      <c r="Q279" s="874"/>
      <c r="R279" s="874"/>
      <c r="S279" s="874"/>
      <c r="T279" s="874"/>
      <c r="U279" s="874"/>
      <c r="V279" s="874"/>
      <c r="W279" s="874"/>
      <c r="X279" s="874"/>
      <c r="Y279" s="874"/>
      <c r="Z279" s="874"/>
    </row>
    <row r="280" spans="1:26" ht="18" customHeight="1" x14ac:dyDescent="0.35">
      <c r="A280" s="874"/>
      <c r="B280" s="874"/>
      <c r="C280" s="874"/>
      <c r="D280" s="874"/>
      <c r="E280" s="874"/>
      <c r="F280" s="874"/>
      <c r="G280" s="874"/>
      <c r="H280" s="874"/>
      <c r="I280" s="874"/>
      <c r="J280" s="874"/>
      <c r="K280" s="874"/>
      <c r="L280" s="874"/>
      <c r="M280" s="874"/>
      <c r="N280" s="874"/>
      <c r="O280" s="874"/>
      <c r="P280" s="874"/>
      <c r="Q280" s="874"/>
      <c r="R280" s="874"/>
      <c r="S280" s="874"/>
      <c r="T280" s="874"/>
      <c r="U280" s="874"/>
      <c r="V280" s="874"/>
      <c r="W280" s="874"/>
      <c r="X280" s="874"/>
      <c r="Y280" s="874"/>
      <c r="Z280" s="874"/>
    </row>
    <row r="281" spans="1:26" ht="18" customHeight="1" x14ac:dyDescent="0.35">
      <c r="A281" s="874"/>
      <c r="B281" s="874"/>
      <c r="C281" s="874"/>
      <c r="D281" s="874"/>
      <c r="E281" s="874"/>
      <c r="F281" s="874"/>
      <c r="G281" s="874"/>
      <c r="H281" s="874"/>
      <c r="I281" s="874"/>
      <c r="J281" s="874"/>
      <c r="K281" s="874"/>
      <c r="L281" s="874"/>
      <c r="M281" s="874"/>
      <c r="N281" s="874"/>
      <c r="O281" s="874"/>
      <c r="P281" s="874"/>
      <c r="Q281" s="874"/>
      <c r="R281" s="874"/>
      <c r="S281" s="874"/>
      <c r="T281" s="874"/>
      <c r="U281" s="874"/>
      <c r="V281" s="874"/>
      <c r="W281" s="874"/>
      <c r="X281" s="874"/>
      <c r="Y281" s="874"/>
      <c r="Z281" s="874"/>
    </row>
    <row r="282" spans="1:26" ht="18" customHeight="1" x14ac:dyDescent="0.35">
      <c r="A282" s="874"/>
      <c r="B282" s="874"/>
      <c r="C282" s="874"/>
      <c r="D282" s="874"/>
      <c r="E282" s="874"/>
      <c r="F282" s="874"/>
      <c r="G282" s="874"/>
      <c r="H282" s="874"/>
      <c r="I282" s="874"/>
      <c r="J282" s="874"/>
      <c r="K282" s="874"/>
      <c r="L282" s="874"/>
      <c r="M282" s="874"/>
      <c r="N282" s="874"/>
      <c r="O282" s="874"/>
      <c r="P282" s="874"/>
      <c r="Q282" s="874"/>
      <c r="R282" s="874"/>
      <c r="S282" s="874"/>
      <c r="T282" s="874"/>
      <c r="U282" s="874"/>
      <c r="V282" s="874"/>
      <c r="W282" s="874"/>
      <c r="X282" s="874"/>
      <c r="Y282" s="874"/>
      <c r="Z282" s="874"/>
    </row>
    <row r="283" spans="1:26" ht="18" customHeight="1" x14ac:dyDescent="0.35">
      <c r="A283" s="874"/>
      <c r="B283" s="874"/>
      <c r="C283" s="874"/>
      <c r="D283" s="874"/>
      <c r="E283" s="874"/>
      <c r="F283" s="874"/>
      <c r="G283" s="874"/>
      <c r="H283" s="874"/>
      <c r="I283" s="874"/>
      <c r="J283" s="874"/>
      <c r="K283" s="874"/>
      <c r="L283" s="874"/>
      <c r="M283" s="874"/>
      <c r="N283" s="874"/>
      <c r="O283" s="874"/>
      <c r="P283" s="874"/>
      <c r="Q283" s="874"/>
      <c r="R283" s="874"/>
      <c r="S283" s="874"/>
      <c r="T283" s="874"/>
      <c r="U283" s="874"/>
      <c r="V283" s="874"/>
      <c r="W283" s="874"/>
      <c r="X283" s="874"/>
      <c r="Y283" s="874"/>
      <c r="Z283" s="874"/>
    </row>
    <row r="284" spans="1:26" ht="18" customHeight="1" x14ac:dyDescent="0.35">
      <c r="A284" s="874"/>
      <c r="B284" s="874"/>
      <c r="C284" s="874"/>
      <c r="D284" s="874"/>
      <c r="E284" s="874"/>
      <c r="F284" s="874"/>
      <c r="G284" s="874"/>
      <c r="H284" s="874"/>
      <c r="I284" s="874"/>
      <c r="J284" s="874"/>
      <c r="K284" s="874"/>
      <c r="L284" s="874"/>
      <c r="M284" s="874"/>
      <c r="N284" s="874"/>
      <c r="O284" s="874"/>
      <c r="P284" s="874"/>
      <c r="Q284" s="874"/>
      <c r="R284" s="874"/>
      <c r="S284" s="874"/>
      <c r="T284" s="874"/>
      <c r="U284" s="874"/>
      <c r="V284" s="874"/>
      <c r="W284" s="874"/>
      <c r="X284" s="874"/>
      <c r="Y284" s="874"/>
      <c r="Z284" s="874"/>
    </row>
    <row r="285" spans="1:26" ht="18" customHeight="1" x14ac:dyDescent="0.35">
      <c r="A285" s="874"/>
      <c r="B285" s="874"/>
      <c r="C285" s="874"/>
      <c r="D285" s="874"/>
      <c r="E285" s="874"/>
      <c r="F285" s="874"/>
      <c r="G285" s="874"/>
      <c r="H285" s="874"/>
      <c r="I285" s="874"/>
      <c r="J285" s="874"/>
      <c r="K285" s="874"/>
      <c r="L285" s="874"/>
      <c r="M285" s="874"/>
      <c r="N285" s="874"/>
      <c r="O285" s="874"/>
      <c r="P285" s="874"/>
      <c r="Q285" s="874"/>
      <c r="R285" s="874"/>
      <c r="S285" s="874"/>
      <c r="T285" s="874"/>
      <c r="U285" s="874"/>
      <c r="V285" s="874"/>
      <c r="W285" s="874"/>
      <c r="X285" s="874"/>
      <c r="Y285" s="874"/>
      <c r="Z285" s="874"/>
    </row>
    <row r="286" spans="1:26" ht="18" customHeight="1" x14ac:dyDescent="0.35">
      <c r="A286" s="874"/>
      <c r="B286" s="874"/>
      <c r="C286" s="874"/>
      <c r="D286" s="874"/>
      <c r="E286" s="874"/>
      <c r="F286" s="874"/>
      <c r="G286" s="874"/>
      <c r="H286" s="874"/>
      <c r="I286" s="874"/>
      <c r="J286" s="874"/>
      <c r="K286" s="874"/>
      <c r="L286" s="874"/>
      <c r="M286" s="874"/>
      <c r="N286" s="874"/>
      <c r="O286" s="874"/>
      <c r="P286" s="874"/>
      <c r="Q286" s="874"/>
      <c r="R286" s="874"/>
      <c r="S286" s="874"/>
      <c r="T286" s="874"/>
      <c r="U286" s="874"/>
      <c r="V286" s="874"/>
      <c r="W286" s="874"/>
      <c r="X286" s="874"/>
      <c r="Y286" s="874"/>
      <c r="Z286" s="874"/>
    </row>
    <row r="287" spans="1:26" ht="18" customHeight="1" x14ac:dyDescent="0.35">
      <c r="A287" s="874"/>
      <c r="B287" s="874"/>
      <c r="C287" s="874"/>
      <c r="D287" s="874"/>
      <c r="E287" s="874"/>
      <c r="F287" s="874"/>
      <c r="G287" s="874"/>
      <c r="H287" s="874"/>
      <c r="I287" s="874"/>
      <c r="J287" s="874"/>
      <c r="K287" s="874"/>
      <c r="L287" s="874"/>
      <c r="M287" s="874"/>
      <c r="N287" s="874"/>
      <c r="O287" s="874"/>
      <c r="P287" s="874"/>
      <c r="Q287" s="874"/>
      <c r="R287" s="874"/>
      <c r="S287" s="874"/>
      <c r="T287" s="874"/>
      <c r="U287" s="874"/>
      <c r="V287" s="874"/>
      <c r="W287" s="874"/>
      <c r="X287" s="874"/>
      <c r="Y287" s="874"/>
      <c r="Z287" s="874"/>
    </row>
    <row r="288" spans="1:26" ht="18" customHeight="1" x14ac:dyDescent="0.35">
      <c r="A288" s="874"/>
      <c r="B288" s="874"/>
      <c r="C288" s="874"/>
      <c r="D288" s="874"/>
      <c r="E288" s="874"/>
      <c r="F288" s="874"/>
      <c r="G288" s="874"/>
      <c r="H288" s="874"/>
      <c r="I288" s="874"/>
      <c r="J288" s="874"/>
      <c r="K288" s="874"/>
      <c r="L288" s="874"/>
      <c r="M288" s="874"/>
      <c r="N288" s="874"/>
      <c r="O288" s="874"/>
      <c r="P288" s="874"/>
      <c r="Q288" s="874"/>
      <c r="R288" s="874"/>
      <c r="S288" s="874"/>
      <c r="T288" s="874"/>
      <c r="U288" s="874"/>
      <c r="V288" s="874"/>
      <c r="W288" s="874"/>
      <c r="X288" s="874"/>
      <c r="Y288" s="874"/>
      <c r="Z288" s="874"/>
    </row>
    <row r="289" spans="1:26" ht="18" customHeight="1" x14ac:dyDescent="0.35">
      <c r="A289" s="874"/>
      <c r="B289" s="874"/>
      <c r="C289" s="874"/>
      <c r="D289" s="874"/>
      <c r="E289" s="874"/>
      <c r="F289" s="874"/>
      <c r="G289" s="874"/>
      <c r="H289" s="874"/>
      <c r="I289" s="874"/>
      <c r="J289" s="874"/>
      <c r="K289" s="874"/>
      <c r="L289" s="874"/>
      <c r="M289" s="874"/>
      <c r="N289" s="874"/>
      <c r="O289" s="874"/>
      <c r="P289" s="874"/>
      <c r="Q289" s="874"/>
      <c r="R289" s="874"/>
      <c r="S289" s="874"/>
      <c r="T289" s="874"/>
      <c r="U289" s="874"/>
      <c r="V289" s="874"/>
      <c r="W289" s="874"/>
      <c r="X289" s="874"/>
      <c r="Y289" s="874"/>
      <c r="Z289" s="874"/>
    </row>
    <row r="290" spans="1:26" ht="18" customHeight="1" x14ac:dyDescent="0.35">
      <c r="A290" s="874"/>
      <c r="B290" s="874"/>
      <c r="C290" s="874"/>
      <c r="D290" s="874"/>
      <c r="E290" s="874"/>
      <c r="F290" s="874"/>
      <c r="G290" s="874"/>
      <c r="H290" s="874"/>
      <c r="I290" s="874"/>
      <c r="J290" s="874"/>
      <c r="K290" s="874"/>
      <c r="L290" s="874"/>
      <c r="M290" s="874"/>
      <c r="N290" s="874"/>
      <c r="O290" s="874"/>
      <c r="P290" s="874"/>
      <c r="Q290" s="874"/>
      <c r="R290" s="874"/>
      <c r="S290" s="874"/>
      <c r="T290" s="874"/>
      <c r="U290" s="874"/>
      <c r="V290" s="874"/>
      <c r="W290" s="874"/>
      <c r="X290" s="874"/>
      <c r="Y290" s="874"/>
      <c r="Z290" s="874"/>
    </row>
    <row r="291" spans="1:26" ht="18" customHeight="1" x14ac:dyDescent="0.35">
      <c r="A291" s="874"/>
      <c r="B291" s="874"/>
      <c r="C291" s="874"/>
      <c r="D291" s="874"/>
      <c r="E291" s="874"/>
      <c r="F291" s="874"/>
      <c r="G291" s="874"/>
      <c r="H291" s="874"/>
      <c r="I291" s="874"/>
      <c r="J291" s="874"/>
      <c r="K291" s="874"/>
      <c r="L291" s="874"/>
      <c r="M291" s="874"/>
      <c r="N291" s="874"/>
      <c r="O291" s="874"/>
      <c r="P291" s="874"/>
      <c r="Q291" s="874"/>
      <c r="R291" s="874"/>
      <c r="S291" s="874"/>
      <c r="T291" s="874"/>
      <c r="U291" s="874"/>
      <c r="V291" s="874"/>
      <c r="W291" s="874"/>
      <c r="X291" s="874"/>
      <c r="Y291" s="874"/>
      <c r="Z291" s="874"/>
    </row>
    <row r="292" spans="1:26" ht="18" customHeight="1" x14ac:dyDescent="0.35">
      <c r="A292" s="874"/>
      <c r="B292" s="874"/>
      <c r="C292" s="874"/>
      <c r="D292" s="874"/>
      <c r="E292" s="874"/>
      <c r="F292" s="874"/>
      <c r="G292" s="874"/>
      <c r="H292" s="874"/>
      <c r="I292" s="874"/>
      <c r="J292" s="874"/>
      <c r="K292" s="874"/>
      <c r="L292" s="874"/>
      <c r="M292" s="874"/>
      <c r="N292" s="874"/>
      <c r="O292" s="874"/>
      <c r="P292" s="874"/>
      <c r="Q292" s="874"/>
      <c r="R292" s="874"/>
      <c r="S292" s="874"/>
      <c r="T292" s="874"/>
      <c r="U292" s="874"/>
      <c r="V292" s="874"/>
      <c r="W292" s="874"/>
      <c r="X292" s="874"/>
      <c r="Y292" s="874"/>
      <c r="Z292" s="874"/>
    </row>
    <row r="293" spans="1:26" ht="18" customHeight="1" x14ac:dyDescent="0.35">
      <c r="A293" s="874"/>
      <c r="B293" s="874"/>
      <c r="C293" s="874"/>
      <c r="D293" s="874"/>
      <c r="E293" s="874"/>
      <c r="F293" s="874"/>
      <c r="G293" s="874"/>
      <c r="H293" s="874"/>
      <c r="I293" s="874"/>
      <c r="J293" s="874"/>
      <c r="K293" s="874"/>
      <c r="L293" s="874"/>
      <c r="M293" s="874"/>
      <c r="N293" s="874"/>
      <c r="O293" s="874"/>
      <c r="P293" s="874"/>
      <c r="Q293" s="874"/>
      <c r="R293" s="874"/>
      <c r="S293" s="874"/>
      <c r="T293" s="874"/>
      <c r="U293" s="874"/>
      <c r="V293" s="874"/>
      <c r="W293" s="874"/>
      <c r="X293" s="874"/>
      <c r="Y293" s="874"/>
      <c r="Z293" s="874"/>
    </row>
    <row r="294" spans="1:26" ht="18" customHeight="1" x14ac:dyDescent="0.35">
      <c r="A294" s="874"/>
      <c r="B294" s="874"/>
      <c r="C294" s="874"/>
      <c r="D294" s="874"/>
      <c r="E294" s="874"/>
      <c r="F294" s="874"/>
      <c r="G294" s="874"/>
      <c r="H294" s="874"/>
      <c r="I294" s="874"/>
      <c r="J294" s="874"/>
      <c r="K294" s="874"/>
      <c r="L294" s="874"/>
      <c r="M294" s="874"/>
      <c r="N294" s="874"/>
      <c r="O294" s="874"/>
      <c r="P294" s="874"/>
      <c r="Q294" s="874"/>
      <c r="R294" s="874"/>
      <c r="S294" s="874"/>
      <c r="T294" s="874"/>
      <c r="U294" s="874"/>
      <c r="V294" s="874"/>
      <c r="W294" s="874"/>
      <c r="X294" s="874"/>
      <c r="Y294" s="874"/>
      <c r="Z294" s="874"/>
    </row>
    <row r="295" spans="1:26" ht="18" customHeight="1" x14ac:dyDescent="0.35">
      <c r="A295" s="874"/>
      <c r="B295" s="874"/>
      <c r="C295" s="874"/>
      <c r="D295" s="874"/>
      <c r="E295" s="874"/>
      <c r="F295" s="874"/>
      <c r="G295" s="874"/>
      <c r="H295" s="874"/>
      <c r="I295" s="874"/>
      <c r="J295" s="874"/>
      <c r="K295" s="874"/>
      <c r="L295" s="874"/>
      <c r="M295" s="874"/>
      <c r="N295" s="874"/>
      <c r="O295" s="874"/>
      <c r="P295" s="874"/>
      <c r="Q295" s="874"/>
      <c r="R295" s="874"/>
      <c r="S295" s="874"/>
      <c r="T295" s="874"/>
      <c r="U295" s="874"/>
      <c r="V295" s="874"/>
      <c r="W295" s="874"/>
      <c r="X295" s="874"/>
      <c r="Y295" s="874"/>
      <c r="Z295" s="874"/>
    </row>
    <row r="296" spans="1:26" ht="18" customHeight="1" x14ac:dyDescent="0.35">
      <c r="A296" s="874"/>
      <c r="B296" s="874"/>
      <c r="C296" s="874"/>
      <c r="D296" s="874"/>
      <c r="E296" s="874"/>
      <c r="F296" s="874"/>
      <c r="G296" s="874"/>
      <c r="H296" s="874"/>
      <c r="I296" s="874"/>
      <c r="J296" s="874"/>
      <c r="K296" s="874"/>
      <c r="L296" s="874"/>
      <c r="M296" s="874"/>
      <c r="N296" s="874"/>
      <c r="O296" s="874"/>
      <c r="P296" s="874"/>
      <c r="Q296" s="874"/>
      <c r="R296" s="874"/>
      <c r="S296" s="874"/>
      <c r="T296" s="874"/>
      <c r="U296" s="874"/>
      <c r="V296" s="874"/>
      <c r="W296" s="874"/>
      <c r="X296" s="874"/>
      <c r="Y296" s="874"/>
      <c r="Z296" s="874"/>
    </row>
    <row r="297" spans="1:26" ht="18" customHeight="1" x14ac:dyDescent="0.35">
      <c r="A297" s="874"/>
      <c r="B297" s="874"/>
      <c r="C297" s="874"/>
      <c r="D297" s="874"/>
      <c r="E297" s="874"/>
      <c r="F297" s="874"/>
      <c r="G297" s="874"/>
      <c r="H297" s="874"/>
      <c r="I297" s="874"/>
      <c r="J297" s="874"/>
      <c r="K297" s="874"/>
      <c r="L297" s="874"/>
      <c r="M297" s="874"/>
      <c r="N297" s="874"/>
      <c r="O297" s="874"/>
      <c r="P297" s="874"/>
      <c r="Q297" s="874"/>
      <c r="R297" s="874"/>
      <c r="S297" s="874"/>
      <c r="T297" s="874"/>
      <c r="U297" s="874"/>
      <c r="V297" s="874"/>
      <c r="W297" s="874"/>
      <c r="X297" s="874"/>
      <c r="Y297" s="874"/>
      <c r="Z297" s="874"/>
    </row>
    <row r="298" spans="1:26" ht="18" customHeight="1" x14ac:dyDescent="0.35">
      <c r="A298" s="874"/>
      <c r="B298" s="874"/>
      <c r="C298" s="874"/>
      <c r="D298" s="874"/>
      <c r="E298" s="874"/>
      <c r="F298" s="874"/>
      <c r="G298" s="874"/>
      <c r="H298" s="874"/>
      <c r="I298" s="874"/>
      <c r="J298" s="874"/>
      <c r="K298" s="874"/>
      <c r="L298" s="874"/>
      <c r="M298" s="874"/>
      <c r="N298" s="874"/>
      <c r="O298" s="874"/>
      <c r="P298" s="874"/>
      <c r="Q298" s="874"/>
      <c r="R298" s="874"/>
      <c r="S298" s="874"/>
      <c r="T298" s="874"/>
      <c r="U298" s="874"/>
      <c r="V298" s="874"/>
      <c r="W298" s="874"/>
      <c r="X298" s="874"/>
      <c r="Y298" s="874"/>
      <c r="Z298" s="874"/>
    </row>
    <row r="299" spans="1:26" ht="18" customHeight="1" x14ac:dyDescent="0.35">
      <c r="A299" s="874"/>
      <c r="B299" s="874"/>
      <c r="C299" s="874"/>
      <c r="D299" s="874"/>
      <c r="E299" s="874"/>
      <c r="F299" s="874"/>
      <c r="G299" s="874"/>
      <c r="H299" s="874"/>
      <c r="I299" s="874"/>
      <c r="J299" s="874"/>
      <c r="K299" s="874"/>
      <c r="L299" s="874"/>
      <c r="M299" s="874"/>
      <c r="N299" s="874"/>
      <c r="O299" s="874"/>
      <c r="P299" s="874"/>
      <c r="Q299" s="874"/>
      <c r="R299" s="874"/>
      <c r="S299" s="874"/>
      <c r="T299" s="874"/>
      <c r="U299" s="874"/>
      <c r="V299" s="874"/>
      <c r="W299" s="874"/>
      <c r="X299" s="874"/>
      <c r="Y299" s="874"/>
      <c r="Z299" s="874"/>
    </row>
    <row r="300" spans="1:26" ht="18" customHeight="1" x14ac:dyDescent="0.35">
      <c r="A300" s="874"/>
      <c r="B300" s="874"/>
      <c r="C300" s="874"/>
      <c r="D300" s="874"/>
      <c r="E300" s="874"/>
      <c r="F300" s="874"/>
      <c r="G300" s="874"/>
      <c r="H300" s="874"/>
      <c r="I300" s="874"/>
      <c r="J300" s="874"/>
      <c r="K300" s="874"/>
      <c r="L300" s="874"/>
      <c r="M300" s="874"/>
      <c r="N300" s="874"/>
      <c r="O300" s="874"/>
      <c r="P300" s="874"/>
      <c r="Q300" s="874"/>
      <c r="R300" s="874"/>
      <c r="S300" s="874"/>
      <c r="T300" s="874"/>
      <c r="U300" s="874"/>
      <c r="V300" s="874"/>
      <c r="W300" s="874"/>
      <c r="X300" s="874"/>
      <c r="Y300" s="874"/>
      <c r="Z300" s="874"/>
    </row>
    <row r="301" spans="1:26" ht="18" customHeight="1" x14ac:dyDescent="0.35">
      <c r="A301" s="874"/>
      <c r="B301" s="874"/>
      <c r="C301" s="874"/>
      <c r="D301" s="874"/>
      <c r="E301" s="874"/>
      <c r="F301" s="874"/>
      <c r="G301" s="874"/>
      <c r="H301" s="874"/>
      <c r="I301" s="874"/>
      <c r="J301" s="874"/>
      <c r="K301" s="874"/>
      <c r="L301" s="874"/>
      <c r="M301" s="874"/>
      <c r="N301" s="874"/>
      <c r="O301" s="874"/>
      <c r="P301" s="874"/>
      <c r="Q301" s="874"/>
      <c r="R301" s="874"/>
      <c r="S301" s="874"/>
      <c r="T301" s="874"/>
      <c r="U301" s="874"/>
      <c r="V301" s="874"/>
      <c r="W301" s="874"/>
      <c r="X301" s="874"/>
      <c r="Y301" s="874"/>
      <c r="Z301" s="874"/>
    </row>
    <row r="302" spans="1:26" ht="18" customHeight="1" x14ac:dyDescent="0.35">
      <c r="A302" s="874"/>
      <c r="B302" s="874"/>
      <c r="C302" s="874"/>
      <c r="D302" s="874"/>
      <c r="E302" s="874"/>
      <c r="F302" s="874"/>
      <c r="G302" s="874"/>
      <c r="H302" s="874"/>
      <c r="I302" s="874"/>
      <c r="J302" s="874"/>
      <c r="K302" s="874"/>
      <c r="L302" s="874"/>
      <c r="M302" s="874"/>
      <c r="N302" s="874"/>
      <c r="O302" s="874"/>
      <c r="P302" s="874"/>
      <c r="Q302" s="874"/>
      <c r="R302" s="874"/>
      <c r="S302" s="874"/>
      <c r="T302" s="874"/>
      <c r="U302" s="874"/>
      <c r="V302" s="874"/>
      <c r="W302" s="874"/>
      <c r="X302" s="874"/>
      <c r="Y302" s="874"/>
      <c r="Z302" s="874"/>
    </row>
    <row r="303" spans="1:26" ht="18" customHeight="1" x14ac:dyDescent="0.35">
      <c r="A303" s="874"/>
      <c r="B303" s="874"/>
      <c r="C303" s="874"/>
      <c r="D303" s="874"/>
      <c r="E303" s="874"/>
      <c r="F303" s="874"/>
      <c r="G303" s="874"/>
      <c r="H303" s="874"/>
      <c r="I303" s="874"/>
      <c r="J303" s="874"/>
      <c r="K303" s="874"/>
      <c r="L303" s="874"/>
      <c r="M303" s="874"/>
      <c r="N303" s="874"/>
      <c r="O303" s="874"/>
      <c r="P303" s="874"/>
      <c r="Q303" s="874"/>
      <c r="R303" s="874"/>
      <c r="S303" s="874"/>
      <c r="T303" s="874"/>
      <c r="U303" s="874"/>
      <c r="V303" s="874"/>
      <c r="W303" s="874"/>
      <c r="X303" s="874"/>
      <c r="Y303" s="874"/>
      <c r="Z303" s="874"/>
    </row>
    <row r="304" spans="1:26" ht="18" customHeight="1" x14ac:dyDescent="0.35">
      <c r="A304" s="874"/>
      <c r="B304" s="874"/>
      <c r="C304" s="874"/>
      <c r="D304" s="874"/>
      <c r="E304" s="874"/>
      <c r="F304" s="874"/>
      <c r="G304" s="874"/>
      <c r="H304" s="874"/>
      <c r="I304" s="874"/>
      <c r="J304" s="874"/>
      <c r="K304" s="874"/>
      <c r="L304" s="874"/>
      <c r="M304" s="874"/>
      <c r="N304" s="874"/>
      <c r="O304" s="874"/>
      <c r="P304" s="874"/>
      <c r="Q304" s="874"/>
      <c r="R304" s="874"/>
      <c r="S304" s="874"/>
      <c r="T304" s="874"/>
      <c r="U304" s="874"/>
      <c r="V304" s="874"/>
      <c r="W304" s="874"/>
      <c r="X304" s="874"/>
      <c r="Y304" s="874"/>
      <c r="Z304" s="874"/>
    </row>
    <row r="305" spans="1:26" ht="18" customHeight="1" x14ac:dyDescent="0.35">
      <c r="A305" s="874"/>
      <c r="B305" s="874"/>
      <c r="C305" s="874"/>
      <c r="D305" s="874"/>
      <c r="E305" s="874"/>
      <c r="F305" s="874"/>
      <c r="G305" s="874"/>
      <c r="H305" s="874"/>
      <c r="I305" s="874"/>
      <c r="J305" s="874"/>
      <c r="K305" s="874"/>
      <c r="L305" s="874"/>
      <c r="M305" s="874"/>
      <c r="N305" s="874"/>
      <c r="O305" s="874"/>
      <c r="P305" s="874"/>
      <c r="Q305" s="874"/>
      <c r="R305" s="874"/>
      <c r="S305" s="874"/>
      <c r="T305" s="874"/>
      <c r="U305" s="874"/>
      <c r="V305" s="874"/>
      <c r="W305" s="874"/>
      <c r="X305" s="874"/>
      <c r="Y305" s="874"/>
      <c r="Z305" s="874"/>
    </row>
    <row r="306" spans="1:26" ht="18" customHeight="1" x14ac:dyDescent="0.35">
      <c r="A306" s="874"/>
      <c r="B306" s="874"/>
      <c r="C306" s="874"/>
      <c r="D306" s="874"/>
      <c r="E306" s="874"/>
      <c r="F306" s="874"/>
      <c r="G306" s="874"/>
      <c r="H306" s="874"/>
      <c r="I306" s="874"/>
      <c r="J306" s="874"/>
      <c r="K306" s="874"/>
      <c r="L306" s="874"/>
      <c r="M306" s="874"/>
      <c r="N306" s="874"/>
      <c r="O306" s="874"/>
      <c r="P306" s="874"/>
      <c r="Q306" s="874"/>
      <c r="R306" s="874"/>
      <c r="S306" s="874"/>
      <c r="T306" s="874"/>
      <c r="U306" s="874"/>
      <c r="V306" s="874"/>
      <c r="W306" s="874"/>
      <c r="X306" s="874"/>
      <c r="Y306" s="874"/>
      <c r="Z306" s="874"/>
    </row>
    <row r="307" spans="1:26" ht="18" customHeight="1" x14ac:dyDescent="0.35">
      <c r="A307" s="874"/>
      <c r="B307" s="874"/>
      <c r="C307" s="874"/>
      <c r="D307" s="874"/>
      <c r="E307" s="874"/>
      <c r="F307" s="874"/>
      <c r="G307" s="874"/>
      <c r="H307" s="874"/>
      <c r="I307" s="874"/>
      <c r="J307" s="874"/>
      <c r="K307" s="874"/>
      <c r="L307" s="874"/>
      <c r="M307" s="874"/>
      <c r="N307" s="874"/>
      <c r="O307" s="874"/>
      <c r="P307" s="874"/>
      <c r="Q307" s="874"/>
      <c r="R307" s="874"/>
      <c r="S307" s="874"/>
      <c r="T307" s="874"/>
      <c r="U307" s="874"/>
      <c r="V307" s="874"/>
      <c r="W307" s="874"/>
      <c r="X307" s="874"/>
      <c r="Y307" s="874"/>
      <c r="Z307" s="874"/>
    </row>
    <row r="308" spans="1:26" ht="18" customHeight="1" x14ac:dyDescent="0.35">
      <c r="A308" s="874"/>
      <c r="B308" s="874"/>
      <c r="C308" s="874"/>
      <c r="D308" s="874"/>
      <c r="E308" s="874"/>
      <c r="F308" s="874"/>
      <c r="G308" s="874"/>
      <c r="H308" s="874"/>
      <c r="I308" s="874"/>
      <c r="J308" s="874"/>
      <c r="K308" s="874"/>
      <c r="L308" s="874"/>
      <c r="M308" s="874"/>
      <c r="N308" s="874"/>
      <c r="O308" s="874"/>
      <c r="P308" s="874"/>
      <c r="Q308" s="874"/>
      <c r="R308" s="874"/>
      <c r="S308" s="874"/>
      <c r="T308" s="874"/>
      <c r="U308" s="874"/>
      <c r="V308" s="874"/>
      <c r="W308" s="874"/>
      <c r="X308" s="874"/>
      <c r="Y308" s="874"/>
      <c r="Z308" s="874"/>
    </row>
    <row r="309" spans="1:26" ht="18" customHeight="1" x14ac:dyDescent="0.35">
      <c r="A309" s="874"/>
      <c r="B309" s="874"/>
      <c r="C309" s="874"/>
      <c r="D309" s="874"/>
      <c r="E309" s="874"/>
      <c r="F309" s="874"/>
      <c r="G309" s="874"/>
      <c r="H309" s="874"/>
      <c r="I309" s="874"/>
      <c r="J309" s="874"/>
      <c r="K309" s="874"/>
      <c r="L309" s="874"/>
      <c r="M309" s="874"/>
      <c r="N309" s="874"/>
      <c r="O309" s="874"/>
      <c r="P309" s="874"/>
      <c r="Q309" s="874"/>
      <c r="R309" s="874"/>
      <c r="S309" s="874"/>
      <c r="T309" s="874"/>
      <c r="U309" s="874"/>
      <c r="V309" s="874"/>
      <c r="W309" s="874"/>
      <c r="X309" s="874"/>
      <c r="Y309" s="874"/>
      <c r="Z309" s="874"/>
    </row>
    <row r="310" spans="1:26" ht="18" customHeight="1" x14ac:dyDescent="0.35">
      <c r="A310" s="874"/>
      <c r="B310" s="874"/>
      <c r="C310" s="874"/>
      <c r="D310" s="874"/>
      <c r="E310" s="874"/>
      <c r="F310" s="874"/>
      <c r="G310" s="874"/>
      <c r="H310" s="874"/>
      <c r="I310" s="874"/>
      <c r="J310" s="874"/>
      <c r="K310" s="874"/>
      <c r="L310" s="874"/>
      <c r="M310" s="874"/>
      <c r="N310" s="874"/>
      <c r="O310" s="874"/>
      <c r="P310" s="874"/>
      <c r="Q310" s="874"/>
      <c r="R310" s="874"/>
      <c r="S310" s="874"/>
      <c r="T310" s="874"/>
      <c r="U310" s="874"/>
      <c r="V310" s="874"/>
      <c r="W310" s="874"/>
      <c r="X310" s="874"/>
      <c r="Y310" s="874"/>
      <c r="Z310" s="874"/>
    </row>
    <row r="311" spans="1:26" ht="18" customHeight="1" x14ac:dyDescent="0.35">
      <c r="A311" s="874"/>
      <c r="B311" s="874"/>
      <c r="C311" s="874"/>
      <c r="D311" s="874"/>
      <c r="E311" s="874"/>
      <c r="F311" s="874"/>
      <c r="G311" s="874"/>
      <c r="H311" s="874"/>
      <c r="I311" s="874"/>
      <c r="J311" s="874"/>
      <c r="K311" s="874"/>
      <c r="L311" s="874"/>
      <c r="M311" s="874"/>
      <c r="N311" s="874"/>
      <c r="O311" s="874"/>
      <c r="P311" s="874"/>
      <c r="Q311" s="874"/>
      <c r="R311" s="874"/>
      <c r="S311" s="874"/>
      <c r="T311" s="874"/>
      <c r="U311" s="874"/>
      <c r="V311" s="874"/>
      <c r="W311" s="874"/>
      <c r="X311" s="874"/>
      <c r="Y311" s="874"/>
      <c r="Z311" s="874"/>
    </row>
    <row r="312" spans="1:26" ht="18" customHeight="1" x14ac:dyDescent="0.35">
      <c r="A312" s="874"/>
      <c r="B312" s="874"/>
      <c r="C312" s="874"/>
      <c r="D312" s="874"/>
      <c r="E312" s="874"/>
      <c r="F312" s="874"/>
      <c r="G312" s="874"/>
      <c r="H312" s="874"/>
      <c r="I312" s="874"/>
      <c r="J312" s="874"/>
      <c r="K312" s="874"/>
      <c r="L312" s="874"/>
      <c r="M312" s="874"/>
      <c r="N312" s="874"/>
      <c r="O312" s="874"/>
      <c r="P312" s="874"/>
      <c r="Q312" s="874"/>
      <c r="R312" s="874"/>
      <c r="S312" s="874"/>
      <c r="T312" s="874"/>
      <c r="U312" s="874"/>
      <c r="V312" s="874"/>
      <c r="W312" s="874"/>
      <c r="X312" s="874"/>
      <c r="Y312" s="874"/>
      <c r="Z312" s="874"/>
    </row>
    <row r="313" spans="1:26" ht="18" customHeight="1" x14ac:dyDescent="0.35">
      <c r="A313" s="874"/>
      <c r="B313" s="874"/>
      <c r="C313" s="874"/>
      <c r="D313" s="874"/>
      <c r="E313" s="874"/>
      <c r="F313" s="874"/>
      <c r="G313" s="874"/>
      <c r="H313" s="874"/>
      <c r="I313" s="874"/>
      <c r="J313" s="874"/>
      <c r="K313" s="874"/>
      <c r="L313" s="874"/>
      <c r="M313" s="874"/>
      <c r="N313" s="874"/>
      <c r="O313" s="874"/>
      <c r="P313" s="874"/>
      <c r="Q313" s="874"/>
      <c r="R313" s="874"/>
      <c r="S313" s="874"/>
      <c r="T313" s="874"/>
      <c r="U313" s="874"/>
      <c r="V313" s="874"/>
      <c r="W313" s="874"/>
      <c r="X313" s="874"/>
      <c r="Y313" s="874"/>
      <c r="Z313" s="874"/>
    </row>
    <row r="314" spans="1:26" ht="18" customHeight="1" x14ac:dyDescent="0.35">
      <c r="A314" s="874"/>
      <c r="B314" s="874"/>
      <c r="C314" s="874"/>
      <c r="D314" s="874"/>
      <c r="E314" s="874"/>
      <c r="F314" s="874"/>
      <c r="G314" s="874"/>
      <c r="H314" s="874"/>
      <c r="I314" s="874"/>
      <c r="J314" s="874"/>
      <c r="K314" s="874"/>
      <c r="L314" s="874"/>
      <c r="M314" s="874"/>
      <c r="N314" s="874"/>
      <c r="O314" s="874"/>
      <c r="P314" s="874"/>
      <c r="Q314" s="874"/>
      <c r="R314" s="874"/>
      <c r="S314" s="874"/>
      <c r="T314" s="874"/>
      <c r="U314" s="874"/>
      <c r="V314" s="874"/>
      <c r="W314" s="874"/>
      <c r="X314" s="874"/>
      <c r="Y314" s="874"/>
      <c r="Z314" s="874"/>
    </row>
    <row r="315" spans="1:26" ht="18" customHeight="1" x14ac:dyDescent="0.35">
      <c r="A315" s="874"/>
      <c r="B315" s="874"/>
      <c r="C315" s="874"/>
      <c r="D315" s="874"/>
      <c r="E315" s="874"/>
      <c r="F315" s="874"/>
      <c r="G315" s="874"/>
      <c r="H315" s="874"/>
      <c r="I315" s="874"/>
      <c r="J315" s="874"/>
      <c r="K315" s="874"/>
      <c r="L315" s="874"/>
      <c r="M315" s="874"/>
      <c r="N315" s="874"/>
      <c r="O315" s="874"/>
      <c r="P315" s="874"/>
      <c r="Q315" s="874"/>
      <c r="R315" s="874"/>
      <c r="S315" s="874"/>
      <c r="T315" s="874"/>
      <c r="U315" s="874"/>
      <c r="V315" s="874"/>
      <c r="W315" s="874"/>
      <c r="X315" s="874"/>
      <c r="Y315" s="874"/>
      <c r="Z315" s="874"/>
    </row>
    <row r="316" spans="1:26" ht="18" customHeight="1" x14ac:dyDescent="0.35">
      <c r="A316" s="874"/>
      <c r="B316" s="874"/>
      <c r="C316" s="874"/>
      <c r="D316" s="874"/>
      <c r="E316" s="874"/>
      <c r="F316" s="874"/>
      <c r="G316" s="874"/>
      <c r="H316" s="874"/>
      <c r="I316" s="874"/>
      <c r="J316" s="874"/>
      <c r="K316" s="874"/>
      <c r="L316" s="874"/>
      <c r="M316" s="874"/>
      <c r="N316" s="874"/>
      <c r="O316" s="874"/>
      <c r="P316" s="874"/>
      <c r="Q316" s="874"/>
      <c r="R316" s="874"/>
      <c r="S316" s="874"/>
      <c r="T316" s="874"/>
      <c r="U316" s="874"/>
      <c r="V316" s="874"/>
      <c r="W316" s="874"/>
      <c r="X316" s="874"/>
      <c r="Y316" s="874"/>
      <c r="Z316" s="874"/>
    </row>
    <row r="317" spans="1:26" ht="18" customHeight="1" x14ac:dyDescent="0.35">
      <c r="A317" s="874"/>
      <c r="B317" s="874"/>
      <c r="C317" s="874"/>
      <c r="D317" s="874"/>
      <c r="E317" s="874"/>
      <c r="F317" s="874"/>
      <c r="G317" s="874"/>
      <c r="H317" s="874"/>
      <c r="I317" s="874"/>
      <c r="J317" s="874"/>
      <c r="K317" s="874"/>
      <c r="L317" s="874"/>
      <c r="M317" s="874"/>
      <c r="N317" s="874"/>
      <c r="O317" s="874"/>
      <c r="P317" s="874"/>
      <c r="Q317" s="874"/>
      <c r="R317" s="874"/>
      <c r="S317" s="874"/>
      <c r="T317" s="874"/>
      <c r="U317" s="874"/>
      <c r="V317" s="874"/>
      <c r="W317" s="874"/>
      <c r="X317" s="874"/>
      <c r="Y317" s="874"/>
      <c r="Z317" s="874"/>
    </row>
    <row r="318" spans="1:26" ht="18" customHeight="1" x14ac:dyDescent="0.35">
      <c r="A318" s="874"/>
      <c r="B318" s="874"/>
      <c r="C318" s="874"/>
      <c r="D318" s="874"/>
      <c r="E318" s="874"/>
      <c r="F318" s="874"/>
      <c r="G318" s="874"/>
      <c r="H318" s="874"/>
      <c r="I318" s="874"/>
      <c r="J318" s="874"/>
      <c r="K318" s="874"/>
      <c r="L318" s="874"/>
      <c r="M318" s="874"/>
      <c r="N318" s="874"/>
      <c r="O318" s="874"/>
      <c r="P318" s="874"/>
      <c r="Q318" s="874"/>
      <c r="R318" s="874"/>
      <c r="S318" s="874"/>
      <c r="T318" s="874"/>
      <c r="U318" s="874"/>
      <c r="V318" s="874"/>
      <c r="W318" s="874"/>
      <c r="X318" s="874"/>
      <c r="Y318" s="874"/>
      <c r="Z318" s="874"/>
    </row>
    <row r="319" spans="1:26" ht="18" customHeight="1" x14ac:dyDescent="0.35">
      <c r="A319" s="874"/>
      <c r="B319" s="874"/>
      <c r="C319" s="874"/>
      <c r="D319" s="874"/>
      <c r="E319" s="874"/>
      <c r="F319" s="874"/>
      <c r="G319" s="874"/>
      <c r="H319" s="874"/>
      <c r="I319" s="874"/>
      <c r="J319" s="874"/>
      <c r="K319" s="874"/>
      <c r="L319" s="874"/>
      <c r="M319" s="874"/>
      <c r="N319" s="874"/>
      <c r="O319" s="874"/>
      <c r="P319" s="874"/>
      <c r="Q319" s="874"/>
      <c r="R319" s="874"/>
      <c r="S319" s="874"/>
      <c r="T319" s="874"/>
      <c r="U319" s="874"/>
      <c r="V319" s="874"/>
      <c r="W319" s="874"/>
      <c r="X319" s="874"/>
      <c r="Y319" s="874"/>
      <c r="Z319" s="874"/>
    </row>
    <row r="320" spans="1:26" ht="18" customHeight="1" x14ac:dyDescent="0.35">
      <c r="A320" s="874"/>
      <c r="B320" s="874"/>
      <c r="C320" s="874"/>
      <c r="D320" s="874"/>
      <c r="E320" s="874"/>
      <c r="F320" s="874"/>
      <c r="G320" s="874"/>
      <c r="H320" s="874"/>
      <c r="I320" s="874"/>
      <c r="J320" s="874"/>
      <c r="K320" s="874"/>
      <c r="L320" s="874"/>
      <c r="M320" s="874"/>
      <c r="N320" s="874"/>
      <c r="O320" s="874"/>
      <c r="P320" s="874"/>
      <c r="Q320" s="874"/>
      <c r="R320" s="874"/>
      <c r="S320" s="874"/>
      <c r="T320" s="874"/>
      <c r="U320" s="874"/>
      <c r="V320" s="874"/>
      <c r="W320" s="874"/>
      <c r="X320" s="874"/>
      <c r="Y320" s="874"/>
      <c r="Z320" s="874"/>
    </row>
    <row r="321" spans="1:26" ht="18" customHeight="1" x14ac:dyDescent="0.35">
      <c r="A321" s="874"/>
      <c r="B321" s="874"/>
      <c r="C321" s="874"/>
      <c r="D321" s="874"/>
      <c r="E321" s="874"/>
      <c r="F321" s="874"/>
      <c r="G321" s="874"/>
      <c r="H321" s="874"/>
      <c r="I321" s="874"/>
      <c r="J321" s="874"/>
      <c r="K321" s="874"/>
      <c r="L321" s="874"/>
      <c r="M321" s="874"/>
      <c r="N321" s="874"/>
      <c r="O321" s="874"/>
      <c r="P321" s="874"/>
      <c r="Q321" s="874"/>
      <c r="R321" s="874"/>
      <c r="S321" s="874"/>
      <c r="T321" s="874"/>
      <c r="U321" s="874"/>
      <c r="V321" s="874"/>
      <c r="W321" s="874"/>
      <c r="X321" s="874"/>
      <c r="Y321" s="874"/>
      <c r="Z321" s="874"/>
    </row>
    <row r="322" spans="1:26" ht="18" customHeight="1" x14ac:dyDescent="0.35">
      <c r="A322" s="874"/>
      <c r="B322" s="874"/>
      <c r="C322" s="874"/>
      <c r="D322" s="874"/>
      <c r="E322" s="874"/>
      <c r="F322" s="874"/>
      <c r="G322" s="874"/>
      <c r="H322" s="874"/>
      <c r="I322" s="874"/>
      <c r="J322" s="874"/>
      <c r="K322" s="874"/>
      <c r="L322" s="874"/>
      <c r="M322" s="874"/>
      <c r="N322" s="874"/>
      <c r="O322" s="874"/>
      <c r="P322" s="874"/>
      <c r="Q322" s="874"/>
      <c r="R322" s="874"/>
      <c r="S322" s="874"/>
      <c r="T322" s="874"/>
      <c r="U322" s="874"/>
      <c r="V322" s="874"/>
      <c r="W322" s="874"/>
      <c r="X322" s="874"/>
      <c r="Y322" s="874"/>
      <c r="Z322" s="874"/>
    </row>
    <row r="323" spans="1:26" ht="18" customHeight="1" x14ac:dyDescent="0.35">
      <c r="A323" s="874"/>
      <c r="B323" s="874"/>
      <c r="C323" s="874"/>
      <c r="D323" s="874"/>
      <c r="E323" s="874"/>
      <c r="F323" s="874"/>
      <c r="G323" s="874"/>
      <c r="H323" s="874"/>
      <c r="I323" s="874"/>
      <c r="J323" s="874"/>
      <c r="K323" s="874"/>
      <c r="L323" s="874"/>
      <c r="M323" s="874"/>
      <c r="N323" s="874"/>
      <c r="O323" s="874"/>
      <c r="P323" s="874"/>
      <c r="Q323" s="874"/>
      <c r="R323" s="874"/>
      <c r="S323" s="874"/>
      <c r="T323" s="874"/>
      <c r="U323" s="874"/>
      <c r="V323" s="874"/>
      <c r="W323" s="874"/>
      <c r="X323" s="874"/>
      <c r="Y323" s="874"/>
      <c r="Z323" s="874"/>
    </row>
    <row r="324" spans="1:26" ht="18" customHeight="1" x14ac:dyDescent="0.35">
      <c r="A324" s="874"/>
      <c r="B324" s="874"/>
      <c r="C324" s="874"/>
      <c r="D324" s="874"/>
      <c r="E324" s="874"/>
      <c r="F324" s="874"/>
      <c r="G324" s="874"/>
      <c r="H324" s="874"/>
      <c r="I324" s="874"/>
      <c r="J324" s="874"/>
      <c r="K324" s="874"/>
      <c r="L324" s="874"/>
      <c r="M324" s="874"/>
      <c r="N324" s="874"/>
      <c r="O324" s="874"/>
      <c r="P324" s="874"/>
      <c r="Q324" s="874"/>
      <c r="R324" s="874"/>
      <c r="S324" s="874"/>
      <c r="T324" s="874"/>
      <c r="U324" s="874"/>
      <c r="V324" s="874"/>
      <c r="W324" s="874"/>
      <c r="X324" s="874"/>
      <c r="Y324" s="874"/>
      <c r="Z324" s="874"/>
    </row>
    <row r="325" spans="1:26" ht="18" customHeight="1" x14ac:dyDescent="0.35">
      <c r="A325" s="874"/>
      <c r="B325" s="874"/>
      <c r="C325" s="874"/>
      <c r="D325" s="874"/>
      <c r="E325" s="874"/>
      <c r="F325" s="874"/>
      <c r="G325" s="874"/>
      <c r="H325" s="874"/>
      <c r="I325" s="874"/>
      <c r="J325" s="874"/>
      <c r="K325" s="874"/>
      <c r="L325" s="874"/>
      <c r="M325" s="874"/>
      <c r="N325" s="874"/>
      <c r="O325" s="874"/>
      <c r="P325" s="874"/>
      <c r="Q325" s="874"/>
      <c r="R325" s="874"/>
      <c r="S325" s="874"/>
      <c r="T325" s="874"/>
      <c r="U325" s="874"/>
      <c r="V325" s="874"/>
      <c r="W325" s="874"/>
      <c r="X325" s="874"/>
      <c r="Y325" s="874"/>
      <c r="Z325" s="874"/>
    </row>
    <row r="326" spans="1:26" ht="18" customHeight="1" x14ac:dyDescent="0.35">
      <c r="A326" s="874"/>
      <c r="B326" s="874"/>
      <c r="C326" s="874"/>
      <c r="D326" s="874"/>
      <c r="E326" s="874"/>
      <c r="F326" s="874"/>
      <c r="G326" s="874"/>
      <c r="H326" s="874"/>
      <c r="I326" s="874"/>
      <c r="J326" s="874"/>
      <c r="K326" s="874"/>
      <c r="L326" s="874"/>
      <c r="M326" s="874"/>
      <c r="N326" s="874"/>
      <c r="O326" s="874"/>
      <c r="P326" s="874"/>
      <c r="Q326" s="874"/>
      <c r="R326" s="874"/>
      <c r="S326" s="874"/>
      <c r="T326" s="874"/>
      <c r="U326" s="874"/>
      <c r="V326" s="874"/>
      <c r="W326" s="874"/>
      <c r="X326" s="874"/>
      <c r="Y326" s="874"/>
      <c r="Z326" s="874"/>
    </row>
    <row r="327" spans="1:26" ht="18" customHeight="1" x14ac:dyDescent="0.35">
      <c r="A327" s="874"/>
      <c r="B327" s="874"/>
      <c r="C327" s="874"/>
      <c r="D327" s="874"/>
      <c r="E327" s="874"/>
      <c r="F327" s="874"/>
      <c r="G327" s="874"/>
      <c r="H327" s="874"/>
      <c r="I327" s="874"/>
      <c r="J327" s="874"/>
      <c r="K327" s="874"/>
      <c r="L327" s="874"/>
      <c r="M327" s="874"/>
      <c r="N327" s="874"/>
      <c r="O327" s="874"/>
      <c r="P327" s="874"/>
      <c r="Q327" s="874"/>
      <c r="R327" s="874"/>
      <c r="S327" s="874"/>
      <c r="T327" s="874"/>
      <c r="U327" s="874"/>
      <c r="V327" s="874"/>
      <c r="W327" s="874"/>
      <c r="X327" s="874"/>
      <c r="Y327" s="874"/>
      <c r="Z327" s="874"/>
    </row>
    <row r="328" spans="1:26" ht="18" customHeight="1" x14ac:dyDescent="0.35">
      <c r="A328" s="874"/>
      <c r="B328" s="874"/>
      <c r="C328" s="874"/>
      <c r="D328" s="874"/>
      <c r="E328" s="874"/>
      <c r="F328" s="874"/>
      <c r="G328" s="874"/>
      <c r="H328" s="874"/>
      <c r="I328" s="874"/>
      <c r="J328" s="874"/>
      <c r="K328" s="874"/>
      <c r="L328" s="874"/>
      <c r="M328" s="874"/>
      <c r="N328" s="874"/>
      <c r="O328" s="874"/>
      <c r="P328" s="874"/>
      <c r="Q328" s="874"/>
      <c r="R328" s="874"/>
      <c r="S328" s="874"/>
      <c r="T328" s="874"/>
      <c r="U328" s="874"/>
      <c r="V328" s="874"/>
      <c r="W328" s="874"/>
      <c r="X328" s="874"/>
      <c r="Y328" s="874"/>
      <c r="Z328" s="874"/>
    </row>
    <row r="329" spans="1:26" ht="18" customHeight="1" x14ac:dyDescent="0.35">
      <c r="A329" s="874"/>
      <c r="B329" s="874"/>
      <c r="C329" s="874"/>
      <c r="D329" s="874"/>
      <c r="E329" s="874"/>
      <c r="F329" s="874"/>
      <c r="G329" s="874"/>
      <c r="H329" s="874"/>
      <c r="I329" s="874"/>
      <c r="J329" s="874"/>
      <c r="K329" s="874"/>
      <c r="L329" s="874"/>
      <c r="M329" s="874"/>
      <c r="N329" s="874"/>
      <c r="O329" s="874"/>
      <c r="P329" s="874"/>
      <c r="Q329" s="874"/>
      <c r="R329" s="874"/>
      <c r="S329" s="874"/>
      <c r="T329" s="874"/>
      <c r="U329" s="874"/>
      <c r="V329" s="874"/>
      <c r="W329" s="874"/>
      <c r="X329" s="874"/>
      <c r="Y329" s="874"/>
      <c r="Z329" s="874"/>
    </row>
    <row r="330" spans="1:26" ht="18" customHeight="1" x14ac:dyDescent="0.35">
      <c r="A330" s="874"/>
      <c r="B330" s="874"/>
      <c r="C330" s="874"/>
      <c r="D330" s="874"/>
      <c r="E330" s="874"/>
      <c r="F330" s="874"/>
      <c r="G330" s="874"/>
      <c r="H330" s="874"/>
      <c r="I330" s="874"/>
      <c r="J330" s="874"/>
      <c r="K330" s="874"/>
      <c r="L330" s="874"/>
      <c r="M330" s="874"/>
      <c r="N330" s="874"/>
      <c r="O330" s="874"/>
      <c r="P330" s="874"/>
      <c r="Q330" s="874"/>
      <c r="R330" s="874"/>
      <c r="S330" s="874"/>
      <c r="T330" s="874"/>
      <c r="U330" s="874"/>
      <c r="V330" s="874"/>
      <c r="W330" s="874"/>
      <c r="X330" s="874"/>
      <c r="Y330" s="874"/>
      <c r="Z330" s="874"/>
    </row>
    <row r="331" spans="1:26" ht="18" customHeight="1" x14ac:dyDescent="0.35">
      <c r="A331" s="874"/>
      <c r="B331" s="874"/>
      <c r="C331" s="874"/>
      <c r="D331" s="874"/>
      <c r="E331" s="874"/>
      <c r="F331" s="874"/>
      <c r="G331" s="874"/>
      <c r="H331" s="874"/>
      <c r="I331" s="874"/>
      <c r="J331" s="874"/>
      <c r="K331" s="874"/>
      <c r="L331" s="874"/>
      <c r="M331" s="874"/>
      <c r="N331" s="874"/>
      <c r="O331" s="874"/>
      <c r="P331" s="874"/>
      <c r="Q331" s="874"/>
      <c r="R331" s="874"/>
      <c r="S331" s="874"/>
      <c r="T331" s="874"/>
      <c r="U331" s="874"/>
      <c r="V331" s="874"/>
      <c r="W331" s="874"/>
      <c r="X331" s="874"/>
      <c r="Y331" s="874"/>
      <c r="Z331" s="874"/>
    </row>
    <row r="332" spans="1:26" ht="18" customHeight="1" x14ac:dyDescent="0.35">
      <c r="A332" s="874"/>
      <c r="B332" s="874"/>
      <c r="C332" s="874"/>
      <c r="D332" s="874"/>
      <c r="E332" s="874"/>
      <c r="F332" s="874"/>
      <c r="G332" s="874"/>
      <c r="H332" s="874"/>
      <c r="I332" s="874"/>
      <c r="J332" s="874"/>
      <c r="K332" s="874"/>
      <c r="L332" s="874"/>
      <c r="M332" s="874"/>
      <c r="N332" s="874"/>
      <c r="O332" s="874"/>
      <c r="P332" s="874"/>
      <c r="Q332" s="874"/>
      <c r="R332" s="874"/>
      <c r="S332" s="874"/>
      <c r="T332" s="874"/>
      <c r="U332" s="874"/>
      <c r="V332" s="874"/>
      <c r="W332" s="874"/>
      <c r="X332" s="874"/>
      <c r="Y332" s="874"/>
      <c r="Z332" s="874"/>
    </row>
    <row r="333" spans="1:26" ht="18" customHeight="1" x14ac:dyDescent="0.35">
      <c r="A333" s="874"/>
      <c r="B333" s="874"/>
      <c r="C333" s="874"/>
      <c r="D333" s="874"/>
      <c r="E333" s="874"/>
      <c r="F333" s="874"/>
      <c r="G333" s="874"/>
      <c r="H333" s="874"/>
      <c r="I333" s="874"/>
      <c r="J333" s="874"/>
      <c r="K333" s="874"/>
      <c r="L333" s="874"/>
      <c r="M333" s="874"/>
      <c r="N333" s="874"/>
      <c r="O333" s="874"/>
      <c r="P333" s="874"/>
      <c r="Q333" s="874"/>
      <c r="R333" s="874"/>
      <c r="S333" s="874"/>
      <c r="T333" s="874"/>
      <c r="U333" s="874"/>
      <c r="V333" s="874"/>
      <c r="W333" s="874"/>
      <c r="X333" s="874"/>
      <c r="Y333" s="874"/>
      <c r="Z333" s="874"/>
    </row>
    <row r="334" spans="1:26" ht="18" customHeight="1" x14ac:dyDescent="0.35">
      <c r="A334" s="874"/>
      <c r="B334" s="874"/>
      <c r="C334" s="874"/>
      <c r="D334" s="874"/>
      <c r="E334" s="874"/>
      <c r="F334" s="874"/>
      <c r="G334" s="874"/>
      <c r="H334" s="874"/>
      <c r="I334" s="874"/>
      <c r="J334" s="874"/>
      <c r="K334" s="874"/>
      <c r="L334" s="874"/>
      <c r="M334" s="874"/>
      <c r="N334" s="874"/>
      <c r="O334" s="874"/>
      <c r="P334" s="874"/>
      <c r="Q334" s="874"/>
      <c r="R334" s="874"/>
      <c r="S334" s="874"/>
      <c r="T334" s="874"/>
      <c r="U334" s="874"/>
      <c r="V334" s="874"/>
      <c r="W334" s="874"/>
      <c r="X334" s="874"/>
      <c r="Y334" s="874"/>
      <c r="Z334" s="874"/>
    </row>
    <row r="335" spans="1:26" ht="18" customHeight="1" x14ac:dyDescent="0.35">
      <c r="A335" s="874"/>
      <c r="B335" s="874"/>
      <c r="C335" s="874"/>
      <c r="D335" s="874"/>
      <c r="E335" s="874"/>
      <c r="F335" s="874"/>
      <c r="G335" s="874"/>
      <c r="H335" s="874"/>
      <c r="I335" s="874"/>
      <c r="J335" s="874"/>
      <c r="K335" s="874"/>
      <c r="L335" s="874"/>
      <c r="M335" s="874"/>
      <c r="N335" s="874"/>
      <c r="O335" s="874"/>
      <c r="P335" s="874"/>
      <c r="Q335" s="874"/>
      <c r="R335" s="874"/>
      <c r="S335" s="874"/>
      <c r="T335" s="874"/>
      <c r="U335" s="874"/>
      <c r="V335" s="874"/>
      <c r="W335" s="874"/>
      <c r="X335" s="874"/>
      <c r="Y335" s="874"/>
      <c r="Z335" s="874"/>
    </row>
    <row r="336" spans="1:26" ht="18" customHeight="1" x14ac:dyDescent="0.35">
      <c r="A336" s="874"/>
      <c r="B336" s="874"/>
      <c r="C336" s="874"/>
      <c r="D336" s="874"/>
      <c r="E336" s="874"/>
      <c r="F336" s="874"/>
      <c r="G336" s="874"/>
      <c r="H336" s="874"/>
      <c r="I336" s="874"/>
      <c r="J336" s="874"/>
      <c r="K336" s="874"/>
      <c r="L336" s="874"/>
      <c r="M336" s="874"/>
      <c r="N336" s="874"/>
      <c r="O336" s="874"/>
      <c r="P336" s="874"/>
      <c r="Q336" s="874"/>
      <c r="R336" s="874"/>
      <c r="S336" s="874"/>
      <c r="T336" s="874"/>
      <c r="U336" s="874"/>
      <c r="V336" s="874"/>
      <c r="W336" s="874"/>
      <c r="X336" s="874"/>
      <c r="Y336" s="874"/>
      <c r="Z336" s="874"/>
    </row>
    <row r="337" spans="1:26" ht="18" customHeight="1" x14ac:dyDescent="0.35">
      <c r="A337" s="874"/>
      <c r="B337" s="874"/>
      <c r="C337" s="874"/>
      <c r="D337" s="874"/>
      <c r="E337" s="874"/>
      <c r="F337" s="874"/>
      <c r="G337" s="874"/>
      <c r="H337" s="874"/>
      <c r="I337" s="874"/>
      <c r="J337" s="874"/>
      <c r="K337" s="874"/>
      <c r="L337" s="874"/>
      <c r="M337" s="874"/>
      <c r="N337" s="874"/>
      <c r="O337" s="874"/>
      <c r="P337" s="874"/>
      <c r="Q337" s="874"/>
      <c r="R337" s="874"/>
      <c r="S337" s="874"/>
      <c r="T337" s="874"/>
      <c r="U337" s="874"/>
      <c r="V337" s="874"/>
      <c r="W337" s="874"/>
      <c r="X337" s="874"/>
      <c r="Y337" s="874"/>
      <c r="Z337" s="874"/>
    </row>
    <row r="338" spans="1:26" ht="18" customHeight="1" x14ac:dyDescent="0.35">
      <c r="A338" s="874"/>
      <c r="B338" s="874"/>
      <c r="C338" s="874"/>
      <c r="D338" s="874"/>
      <c r="E338" s="874"/>
      <c r="F338" s="874"/>
      <c r="G338" s="874"/>
      <c r="H338" s="874"/>
      <c r="I338" s="874"/>
      <c r="J338" s="874"/>
      <c r="K338" s="874"/>
      <c r="L338" s="874"/>
      <c r="M338" s="874"/>
      <c r="N338" s="874"/>
      <c r="O338" s="874"/>
      <c r="P338" s="874"/>
      <c r="Q338" s="874"/>
      <c r="R338" s="874"/>
      <c r="S338" s="874"/>
      <c r="T338" s="874"/>
      <c r="U338" s="874"/>
      <c r="V338" s="874"/>
      <c r="W338" s="874"/>
      <c r="X338" s="874"/>
      <c r="Y338" s="874"/>
      <c r="Z338" s="874"/>
    </row>
    <row r="339" spans="1:26" ht="18" customHeight="1" x14ac:dyDescent="0.35">
      <c r="A339" s="874"/>
      <c r="B339" s="874"/>
      <c r="C339" s="874"/>
      <c r="D339" s="874"/>
      <c r="E339" s="874"/>
      <c r="F339" s="874"/>
      <c r="G339" s="874"/>
      <c r="H339" s="874"/>
      <c r="I339" s="874"/>
      <c r="J339" s="874"/>
      <c r="K339" s="874"/>
      <c r="L339" s="874"/>
      <c r="M339" s="874"/>
      <c r="N339" s="874"/>
      <c r="O339" s="874"/>
      <c r="P339" s="874"/>
      <c r="Q339" s="874"/>
      <c r="R339" s="874"/>
      <c r="S339" s="874"/>
      <c r="T339" s="874"/>
      <c r="U339" s="874"/>
      <c r="V339" s="874"/>
      <c r="W339" s="874"/>
      <c r="X339" s="874"/>
      <c r="Y339" s="874"/>
      <c r="Z339" s="874"/>
    </row>
    <row r="340" spans="1:26" ht="18" customHeight="1" x14ac:dyDescent="0.35">
      <c r="A340" s="874"/>
      <c r="B340" s="874"/>
      <c r="C340" s="874"/>
      <c r="D340" s="874"/>
      <c r="E340" s="874"/>
      <c r="F340" s="874"/>
      <c r="G340" s="874"/>
      <c r="H340" s="874"/>
      <c r="I340" s="874"/>
      <c r="J340" s="874"/>
      <c r="K340" s="874"/>
      <c r="L340" s="874"/>
      <c r="M340" s="874"/>
      <c r="N340" s="874"/>
      <c r="O340" s="874"/>
      <c r="P340" s="874"/>
      <c r="Q340" s="874"/>
      <c r="R340" s="874"/>
      <c r="S340" s="874"/>
      <c r="T340" s="874"/>
      <c r="U340" s="874"/>
      <c r="V340" s="874"/>
      <c r="W340" s="874"/>
      <c r="X340" s="874"/>
      <c r="Y340" s="874"/>
      <c r="Z340" s="874"/>
    </row>
    <row r="341" spans="1:26" ht="18" customHeight="1" x14ac:dyDescent="0.35">
      <c r="A341" s="874"/>
      <c r="B341" s="874"/>
      <c r="C341" s="874"/>
      <c r="D341" s="874"/>
      <c r="E341" s="874"/>
      <c r="F341" s="874"/>
      <c r="G341" s="874"/>
      <c r="H341" s="874"/>
      <c r="I341" s="874"/>
      <c r="J341" s="874"/>
      <c r="K341" s="874"/>
      <c r="L341" s="874"/>
      <c r="M341" s="874"/>
      <c r="N341" s="874"/>
      <c r="O341" s="874"/>
      <c r="P341" s="874"/>
      <c r="Q341" s="874"/>
      <c r="R341" s="874"/>
      <c r="S341" s="874"/>
      <c r="T341" s="874"/>
      <c r="U341" s="874"/>
      <c r="V341" s="874"/>
      <c r="W341" s="874"/>
      <c r="X341" s="874"/>
      <c r="Y341" s="874"/>
      <c r="Z341" s="874"/>
    </row>
    <row r="342" spans="1:26" ht="18" customHeight="1" x14ac:dyDescent="0.35">
      <c r="A342" s="874"/>
      <c r="B342" s="874"/>
      <c r="C342" s="874"/>
      <c r="D342" s="874"/>
      <c r="E342" s="874"/>
      <c r="F342" s="874"/>
      <c r="G342" s="874"/>
      <c r="H342" s="874"/>
      <c r="I342" s="874"/>
      <c r="J342" s="874"/>
      <c r="K342" s="874"/>
      <c r="L342" s="874"/>
      <c r="M342" s="874"/>
      <c r="N342" s="874"/>
      <c r="O342" s="874"/>
      <c r="P342" s="874"/>
      <c r="Q342" s="874"/>
      <c r="R342" s="874"/>
      <c r="S342" s="874"/>
      <c r="T342" s="874"/>
      <c r="U342" s="874"/>
      <c r="V342" s="874"/>
      <c r="W342" s="874"/>
      <c r="X342" s="874"/>
      <c r="Y342" s="874"/>
      <c r="Z342" s="874"/>
    </row>
    <row r="343" spans="1:26" ht="18" customHeight="1" x14ac:dyDescent="0.35">
      <c r="A343" s="874"/>
      <c r="B343" s="874"/>
      <c r="C343" s="874"/>
      <c r="D343" s="874"/>
      <c r="E343" s="874"/>
      <c r="F343" s="874"/>
      <c r="G343" s="874"/>
      <c r="H343" s="874"/>
      <c r="I343" s="874"/>
      <c r="J343" s="874"/>
      <c r="K343" s="874"/>
      <c r="L343" s="874"/>
      <c r="M343" s="874"/>
      <c r="N343" s="874"/>
      <c r="O343" s="874"/>
      <c r="P343" s="874"/>
      <c r="Q343" s="874"/>
      <c r="R343" s="874"/>
      <c r="S343" s="874"/>
      <c r="T343" s="874"/>
      <c r="U343" s="874"/>
      <c r="V343" s="874"/>
      <c r="W343" s="874"/>
      <c r="X343" s="874"/>
      <c r="Y343" s="874"/>
      <c r="Z343" s="874"/>
    </row>
    <row r="344" spans="1:26" ht="18" customHeight="1" x14ac:dyDescent="0.35">
      <c r="A344" s="874"/>
      <c r="B344" s="874"/>
      <c r="C344" s="874"/>
      <c r="D344" s="874"/>
      <c r="E344" s="874"/>
      <c r="F344" s="874"/>
      <c r="G344" s="874"/>
      <c r="H344" s="874"/>
      <c r="I344" s="874"/>
      <c r="J344" s="874"/>
      <c r="K344" s="874"/>
      <c r="L344" s="874"/>
      <c r="M344" s="874"/>
      <c r="N344" s="874"/>
      <c r="O344" s="874"/>
      <c r="P344" s="874"/>
      <c r="Q344" s="874"/>
      <c r="R344" s="874"/>
      <c r="S344" s="874"/>
      <c r="T344" s="874"/>
      <c r="U344" s="874"/>
      <c r="V344" s="874"/>
      <c r="W344" s="874"/>
      <c r="X344" s="874"/>
      <c r="Y344" s="874"/>
      <c r="Z344" s="874"/>
    </row>
    <row r="345" spans="1:26" ht="18" customHeight="1" x14ac:dyDescent="0.35">
      <c r="A345" s="874"/>
      <c r="B345" s="874"/>
      <c r="C345" s="874"/>
      <c r="D345" s="874"/>
      <c r="E345" s="874"/>
      <c r="F345" s="874"/>
      <c r="G345" s="874"/>
      <c r="H345" s="874"/>
      <c r="I345" s="874"/>
      <c r="J345" s="874"/>
      <c r="K345" s="874"/>
      <c r="L345" s="874"/>
      <c r="M345" s="874"/>
      <c r="N345" s="874"/>
      <c r="O345" s="874"/>
      <c r="P345" s="874"/>
      <c r="Q345" s="874"/>
      <c r="R345" s="874"/>
      <c r="S345" s="874"/>
      <c r="T345" s="874"/>
      <c r="U345" s="874"/>
      <c r="V345" s="874"/>
      <c r="W345" s="874"/>
      <c r="X345" s="874"/>
      <c r="Y345" s="874"/>
      <c r="Z345" s="874"/>
    </row>
    <row r="346" spans="1:26" ht="18" customHeight="1" x14ac:dyDescent="0.35">
      <c r="A346" s="874"/>
      <c r="B346" s="874"/>
      <c r="C346" s="874"/>
      <c r="D346" s="874"/>
      <c r="E346" s="874"/>
      <c r="F346" s="874"/>
      <c r="G346" s="874"/>
      <c r="H346" s="874"/>
      <c r="I346" s="874"/>
      <c r="J346" s="874"/>
      <c r="K346" s="874"/>
      <c r="L346" s="874"/>
      <c r="M346" s="874"/>
      <c r="N346" s="874"/>
      <c r="O346" s="874"/>
      <c r="P346" s="874"/>
      <c r="Q346" s="874"/>
      <c r="R346" s="874"/>
      <c r="S346" s="874"/>
      <c r="T346" s="874"/>
      <c r="U346" s="874"/>
      <c r="V346" s="874"/>
      <c r="W346" s="874"/>
      <c r="X346" s="874"/>
      <c r="Y346" s="874"/>
      <c r="Z346" s="874"/>
    </row>
    <row r="347" spans="1:26" ht="18" customHeight="1" x14ac:dyDescent="0.35">
      <c r="A347" s="874"/>
      <c r="B347" s="874"/>
      <c r="C347" s="874"/>
      <c r="D347" s="874"/>
      <c r="E347" s="874"/>
      <c r="F347" s="874"/>
      <c r="G347" s="874"/>
      <c r="H347" s="874"/>
      <c r="I347" s="874"/>
      <c r="J347" s="874"/>
      <c r="K347" s="874"/>
      <c r="L347" s="874"/>
      <c r="M347" s="874"/>
      <c r="N347" s="874"/>
      <c r="O347" s="874"/>
      <c r="P347" s="874"/>
      <c r="Q347" s="874"/>
      <c r="R347" s="874"/>
      <c r="S347" s="874"/>
      <c r="T347" s="874"/>
      <c r="U347" s="874"/>
      <c r="V347" s="874"/>
      <c r="W347" s="874"/>
      <c r="X347" s="874"/>
      <c r="Y347" s="874"/>
      <c r="Z347" s="874"/>
    </row>
    <row r="348" spans="1:26" ht="18" customHeight="1" x14ac:dyDescent="0.35">
      <c r="A348" s="874"/>
      <c r="B348" s="874"/>
      <c r="C348" s="874"/>
      <c r="D348" s="874"/>
      <c r="E348" s="874"/>
      <c r="F348" s="874"/>
      <c r="G348" s="874"/>
      <c r="H348" s="874"/>
      <c r="I348" s="874"/>
      <c r="J348" s="874"/>
      <c r="K348" s="874"/>
      <c r="L348" s="874"/>
      <c r="M348" s="874"/>
      <c r="N348" s="874"/>
      <c r="O348" s="874"/>
      <c r="P348" s="874"/>
      <c r="Q348" s="874"/>
      <c r="R348" s="874"/>
      <c r="S348" s="874"/>
      <c r="T348" s="874"/>
      <c r="U348" s="874"/>
      <c r="V348" s="874"/>
      <c r="W348" s="874"/>
      <c r="X348" s="874"/>
      <c r="Y348" s="874"/>
      <c r="Z348" s="874"/>
    </row>
    <row r="349" spans="1:26" ht="18" customHeight="1" x14ac:dyDescent="0.35">
      <c r="A349" s="874"/>
      <c r="B349" s="874"/>
      <c r="C349" s="874"/>
      <c r="D349" s="874"/>
      <c r="E349" s="874"/>
      <c r="F349" s="874"/>
      <c r="G349" s="874"/>
      <c r="H349" s="874"/>
      <c r="I349" s="874"/>
      <c r="J349" s="874"/>
      <c r="K349" s="874"/>
      <c r="L349" s="874"/>
      <c r="M349" s="874"/>
      <c r="N349" s="874"/>
      <c r="O349" s="874"/>
      <c r="P349" s="874"/>
      <c r="Q349" s="874"/>
      <c r="R349" s="874"/>
      <c r="S349" s="874"/>
      <c r="T349" s="874"/>
      <c r="U349" s="874"/>
      <c r="V349" s="874"/>
      <c r="W349" s="874"/>
      <c r="X349" s="874"/>
      <c r="Y349" s="874"/>
      <c r="Z349" s="874"/>
    </row>
    <row r="350" spans="1:26" ht="18" customHeight="1" x14ac:dyDescent="0.35">
      <c r="A350" s="874"/>
      <c r="B350" s="874"/>
      <c r="C350" s="874"/>
      <c r="D350" s="874"/>
      <c r="E350" s="874"/>
      <c r="F350" s="874"/>
      <c r="G350" s="874"/>
      <c r="H350" s="874"/>
      <c r="I350" s="874"/>
      <c r="J350" s="874"/>
      <c r="K350" s="874"/>
      <c r="L350" s="874"/>
      <c r="M350" s="874"/>
      <c r="N350" s="874"/>
      <c r="O350" s="874"/>
      <c r="P350" s="874"/>
      <c r="Q350" s="874"/>
      <c r="R350" s="874"/>
      <c r="S350" s="874"/>
      <c r="T350" s="874"/>
      <c r="U350" s="874"/>
      <c r="V350" s="874"/>
      <c r="W350" s="874"/>
      <c r="X350" s="874"/>
      <c r="Y350" s="874"/>
      <c r="Z350" s="874"/>
    </row>
    <row r="351" spans="1:26" ht="18" customHeight="1" x14ac:dyDescent="0.35">
      <c r="A351" s="874"/>
      <c r="B351" s="874"/>
      <c r="C351" s="874"/>
      <c r="D351" s="874"/>
      <c r="E351" s="874"/>
      <c r="F351" s="874"/>
      <c r="G351" s="874"/>
      <c r="H351" s="874"/>
      <c r="I351" s="874"/>
      <c r="J351" s="874"/>
      <c r="K351" s="874"/>
      <c r="L351" s="874"/>
      <c r="M351" s="874"/>
      <c r="N351" s="874"/>
      <c r="O351" s="874"/>
      <c r="P351" s="874"/>
      <c r="Q351" s="874"/>
      <c r="R351" s="874"/>
      <c r="S351" s="874"/>
      <c r="T351" s="874"/>
      <c r="U351" s="874"/>
      <c r="V351" s="874"/>
      <c r="W351" s="874"/>
      <c r="X351" s="874"/>
      <c r="Y351" s="874"/>
      <c r="Z351" s="874"/>
    </row>
    <row r="352" spans="1:26" ht="18" customHeight="1" x14ac:dyDescent="0.35">
      <c r="A352" s="874"/>
      <c r="B352" s="874"/>
      <c r="C352" s="874"/>
      <c r="D352" s="874"/>
      <c r="E352" s="874"/>
      <c r="F352" s="874"/>
      <c r="G352" s="874"/>
      <c r="H352" s="874"/>
      <c r="I352" s="874"/>
      <c r="J352" s="874"/>
      <c r="K352" s="874"/>
      <c r="L352" s="874"/>
      <c r="M352" s="874"/>
      <c r="N352" s="874"/>
      <c r="O352" s="874"/>
      <c r="P352" s="874"/>
      <c r="Q352" s="874"/>
      <c r="R352" s="874"/>
      <c r="S352" s="874"/>
      <c r="T352" s="874"/>
      <c r="U352" s="874"/>
      <c r="V352" s="874"/>
      <c r="W352" s="874"/>
      <c r="X352" s="874"/>
      <c r="Y352" s="874"/>
      <c r="Z352" s="874"/>
    </row>
    <row r="353" spans="1:26" ht="18" customHeight="1" x14ac:dyDescent="0.35">
      <c r="A353" s="874"/>
      <c r="B353" s="874"/>
      <c r="C353" s="874"/>
      <c r="D353" s="874"/>
      <c r="E353" s="874"/>
      <c r="F353" s="874"/>
      <c r="G353" s="874"/>
      <c r="H353" s="874"/>
      <c r="I353" s="874"/>
      <c r="J353" s="874"/>
      <c r="K353" s="874"/>
      <c r="L353" s="874"/>
      <c r="M353" s="874"/>
      <c r="N353" s="874"/>
      <c r="O353" s="874"/>
      <c r="P353" s="874"/>
      <c r="Q353" s="874"/>
      <c r="R353" s="874"/>
      <c r="S353" s="874"/>
      <c r="T353" s="874"/>
      <c r="U353" s="874"/>
      <c r="V353" s="874"/>
      <c r="W353" s="874"/>
      <c r="X353" s="874"/>
      <c r="Y353" s="874"/>
      <c r="Z353" s="874"/>
    </row>
    <row r="354" spans="1:26" ht="18" customHeight="1" x14ac:dyDescent="0.35">
      <c r="A354" s="874"/>
      <c r="B354" s="874"/>
      <c r="C354" s="874"/>
      <c r="D354" s="874"/>
      <c r="E354" s="874"/>
      <c r="F354" s="874"/>
      <c r="G354" s="874"/>
      <c r="H354" s="874"/>
      <c r="I354" s="874"/>
      <c r="J354" s="874"/>
      <c r="K354" s="874"/>
      <c r="L354" s="874"/>
      <c r="M354" s="874"/>
      <c r="N354" s="874"/>
      <c r="O354" s="874"/>
      <c r="P354" s="874"/>
      <c r="Q354" s="874"/>
      <c r="R354" s="874"/>
      <c r="S354" s="874"/>
      <c r="T354" s="874"/>
      <c r="U354" s="874"/>
      <c r="V354" s="874"/>
      <c r="W354" s="874"/>
      <c r="X354" s="874"/>
      <c r="Y354" s="874"/>
      <c r="Z354" s="874"/>
    </row>
    <row r="355" spans="1:26" ht="18" customHeight="1" x14ac:dyDescent="0.35">
      <c r="A355" s="874"/>
      <c r="B355" s="874"/>
      <c r="C355" s="874"/>
      <c r="D355" s="874"/>
      <c r="E355" s="874"/>
      <c r="F355" s="874"/>
      <c r="G355" s="874"/>
      <c r="H355" s="874"/>
      <c r="I355" s="874"/>
      <c r="J355" s="874"/>
      <c r="K355" s="874"/>
      <c r="L355" s="874"/>
      <c r="M355" s="874"/>
      <c r="N355" s="874"/>
      <c r="O355" s="874"/>
      <c r="P355" s="874"/>
      <c r="Q355" s="874"/>
      <c r="R355" s="874"/>
      <c r="S355" s="874"/>
      <c r="T355" s="874"/>
      <c r="U355" s="874"/>
      <c r="V355" s="874"/>
      <c r="W355" s="874"/>
      <c r="X355" s="874"/>
      <c r="Y355" s="874"/>
      <c r="Z355" s="874"/>
    </row>
    <row r="356" spans="1:26" ht="18" customHeight="1" x14ac:dyDescent="0.35">
      <c r="A356" s="874"/>
      <c r="B356" s="874"/>
      <c r="C356" s="874"/>
      <c r="D356" s="874"/>
      <c r="E356" s="874"/>
      <c r="F356" s="874"/>
      <c r="G356" s="874"/>
      <c r="H356" s="874"/>
      <c r="I356" s="874"/>
      <c r="J356" s="874"/>
      <c r="K356" s="874"/>
      <c r="L356" s="874"/>
      <c r="M356" s="874"/>
      <c r="N356" s="874"/>
      <c r="O356" s="874"/>
      <c r="P356" s="874"/>
      <c r="Q356" s="874"/>
      <c r="R356" s="874"/>
      <c r="S356" s="874"/>
      <c r="T356" s="874"/>
      <c r="U356" s="874"/>
      <c r="V356" s="874"/>
      <c r="W356" s="874"/>
      <c r="X356" s="874"/>
      <c r="Y356" s="874"/>
      <c r="Z356" s="874"/>
    </row>
    <row r="357" spans="1:26" ht="18" customHeight="1" x14ac:dyDescent="0.35">
      <c r="A357" s="874"/>
      <c r="B357" s="874"/>
      <c r="C357" s="874"/>
      <c r="D357" s="874"/>
      <c r="E357" s="874"/>
      <c r="F357" s="874"/>
      <c r="G357" s="874"/>
      <c r="H357" s="874"/>
      <c r="I357" s="874"/>
      <c r="J357" s="874"/>
      <c r="K357" s="874"/>
      <c r="L357" s="874"/>
      <c r="M357" s="874"/>
      <c r="N357" s="874"/>
      <c r="O357" s="874"/>
      <c r="P357" s="874"/>
      <c r="Q357" s="874"/>
      <c r="R357" s="874"/>
      <c r="S357" s="874"/>
      <c r="T357" s="874"/>
      <c r="U357" s="874"/>
      <c r="V357" s="874"/>
      <c r="W357" s="874"/>
      <c r="X357" s="874"/>
      <c r="Y357" s="874"/>
      <c r="Z357" s="874"/>
    </row>
    <row r="358" spans="1:26" ht="18" customHeight="1" x14ac:dyDescent="0.35">
      <c r="A358" s="874"/>
      <c r="B358" s="874"/>
      <c r="C358" s="874"/>
      <c r="D358" s="874"/>
      <c r="E358" s="874"/>
      <c r="F358" s="874"/>
      <c r="G358" s="874"/>
      <c r="H358" s="874"/>
      <c r="I358" s="874"/>
      <c r="J358" s="874"/>
      <c r="K358" s="874"/>
      <c r="L358" s="874"/>
      <c r="M358" s="874"/>
      <c r="N358" s="874"/>
      <c r="O358" s="874"/>
      <c r="P358" s="874"/>
      <c r="Q358" s="874"/>
      <c r="R358" s="874"/>
      <c r="S358" s="874"/>
      <c r="T358" s="874"/>
      <c r="U358" s="874"/>
      <c r="V358" s="874"/>
      <c r="W358" s="874"/>
      <c r="X358" s="874"/>
      <c r="Y358" s="874"/>
      <c r="Z358" s="874"/>
    </row>
    <row r="359" spans="1:26" ht="18" customHeight="1" x14ac:dyDescent="0.35">
      <c r="A359" s="874"/>
      <c r="B359" s="874"/>
      <c r="C359" s="874"/>
      <c r="D359" s="874"/>
      <c r="E359" s="874"/>
      <c r="F359" s="874"/>
      <c r="G359" s="874"/>
      <c r="H359" s="874"/>
      <c r="I359" s="874"/>
      <c r="J359" s="874"/>
      <c r="K359" s="874"/>
      <c r="L359" s="874"/>
      <c r="M359" s="874"/>
      <c r="N359" s="874"/>
      <c r="O359" s="874"/>
      <c r="P359" s="874"/>
      <c r="Q359" s="874"/>
      <c r="R359" s="874"/>
      <c r="S359" s="874"/>
      <c r="T359" s="874"/>
      <c r="U359" s="874"/>
      <c r="V359" s="874"/>
      <c r="W359" s="874"/>
      <c r="X359" s="874"/>
      <c r="Y359" s="874"/>
      <c r="Z359" s="874"/>
    </row>
    <row r="360" spans="1:26" ht="18" customHeight="1" x14ac:dyDescent="0.35">
      <c r="A360" s="874"/>
      <c r="B360" s="874"/>
      <c r="C360" s="874"/>
      <c r="D360" s="874"/>
      <c r="E360" s="874"/>
      <c r="F360" s="874"/>
      <c r="G360" s="874"/>
      <c r="H360" s="874"/>
      <c r="I360" s="874"/>
      <c r="J360" s="874"/>
      <c r="K360" s="874"/>
      <c r="L360" s="874"/>
      <c r="M360" s="874"/>
      <c r="N360" s="874"/>
      <c r="O360" s="874"/>
      <c r="P360" s="874"/>
      <c r="Q360" s="874"/>
      <c r="R360" s="874"/>
      <c r="S360" s="874"/>
      <c r="T360" s="874"/>
      <c r="U360" s="874"/>
      <c r="V360" s="874"/>
      <c r="W360" s="874"/>
      <c r="X360" s="874"/>
      <c r="Y360" s="874"/>
      <c r="Z360" s="874"/>
    </row>
    <row r="361" spans="1:26" ht="18" customHeight="1" x14ac:dyDescent="0.35">
      <c r="A361" s="874"/>
      <c r="B361" s="874"/>
      <c r="C361" s="874"/>
      <c r="D361" s="874"/>
      <c r="E361" s="874"/>
      <c r="F361" s="874"/>
      <c r="G361" s="874"/>
      <c r="H361" s="874"/>
      <c r="I361" s="874"/>
      <c r="J361" s="874"/>
      <c r="K361" s="874"/>
      <c r="L361" s="874"/>
      <c r="M361" s="874"/>
      <c r="N361" s="874"/>
      <c r="O361" s="874"/>
      <c r="P361" s="874"/>
      <c r="Q361" s="874"/>
      <c r="R361" s="874"/>
      <c r="S361" s="874"/>
      <c r="T361" s="874"/>
      <c r="U361" s="874"/>
      <c r="V361" s="874"/>
      <c r="W361" s="874"/>
      <c r="X361" s="874"/>
      <c r="Y361" s="874"/>
      <c r="Z361" s="874"/>
    </row>
    <row r="362" spans="1:26" ht="18" customHeight="1" x14ac:dyDescent="0.35">
      <c r="A362" s="874"/>
      <c r="B362" s="874"/>
      <c r="C362" s="874"/>
      <c r="D362" s="874"/>
      <c r="E362" s="874"/>
      <c r="F362" s="874"/>
      <c r="G362" s="874"/>
      <c r="H362" s="874"/>
      <c r="I362" s="874"/>
      <c r="J362" s="874"/>
      <c r="K362" s="874"/>
      <c r="L362" s="874"/>
      <c r="M362" s="874"/>
      <c r="N362" s="874"/>
      <c r="O362" s="874"/>
      <c r="P362" s="874"/>
      <c r="Q362" s="874"/>
      <c r="R362" s="874"/>
      <c r="S362" s="874"/>
      <c r="T362" s="874"/>
      <c r="U362" s="874"/>
      <c r="V362" s="874"/>
      <c r="W362" s="874"/>
      <c r="X362" s="874"/>
      <c r="Y362" s="874"/>
      <c r="Z362" s="874"/>
    </row>
    <row r="363" spans="1:26" ht="18" customHeight="1" x14ac:dyDescent="0.35">
      <c r="A363" s="874"/>
      <c r="B363" s="874"/>
      <c r="C363" s="874"/>
      <c r="D363" s="874"/>
      <c r="E363" s="874"/>
      <c r="F363" s="874"/>
      <c r="G363" s="874"/>
      <c r="H363" s="874"/>
      <c r="I363" s="874"/>
      <c r="J363" s="874"/>
      <c r="K363" s="874"/>
      <c r="L363" s="874"/>
      <c r="M363" s="874"/>
      <c r="N363" s="874"/>
      <c r="O363" s="874"/>
      <c r="P363" s="874"/>
      <c r="Q363" s="874"/>
      <c r="R363" s="874"/>
      <c r="S363" s="874"/>
      <c r="T363" s="874"/>
      <c r="U363" s="874"/>
      <c r="V363" s="874"/>
      <c r="W363" s="874"/>
      <c r="X363" s="874"/>
      <c r="Y363" s="874"/>
      <c r="Z363" s="874"/>
    </row>
    <row r="364" spans="1:26" ht="18" customHeight="1" x14ac:dyDescent="0.35">
      <c r="A364" s="874"/>
      <c r="B364" s="874"/>
      <c r="C364" s="874"/>
      <c r="D364" s="874"/>
      <c r="E364" s="874"/>
      <c r="F364" s="874"/>
      <c r="G364" s="874"/>
      <c r="H364" s="874"/>
      <c r="I364" s="874"/>
      <c r="J364" s="874"/>
      <c r="K364" s="874"/>
      <c r="L364" s="874"/>
      <c r="M364" s="874"/>
      <c r="N364" s="874"/>
      <c r="O364" s="874"/>
      <c r="P364" s="874"/>
      <c r="Q364" s="874"/>
      <c r="R364" s="874"/>
      <c r="S364" s="874"/>
      <c r="T364" s="874"/>
      <c r="U364" s="874"/>
      <c r="V364" s="874"/>
      <c r="W364" s="874"/>
      <c r="X364" s="874"/>
      <c r="Y364" s="874"/>
      <c r="Z364" s="874"/>
    </row>
    <row r="365" spans="1:26" ht="18" customHeight="1" x14ac:dyDescent="0.35">
      <c r="A365" s="874"/>
      <c r="B365" s="874"/>
      <c r="C365" s="874"/>
      <c r="D365" s="874"/>
      <c r="E365" s="874"/>
      <c r="F365" s="874"/>
      <c r="G365" s="874"/>
      <c r="H365" s="874"/>
      <c r="I365" s="874"/>
      <c r="J365" s="874"/>
      <c r="K365" s="874"/>
      <c r="L365" s="874"/>
      <c r="M365" s="874"/>
      <c r="N365" s="874"/>
      <c r="O365" s="874"/>
      <c r="P365" s="874"/>
      <c r="Q365" s="874"/>
      <c r="R365" s="874"/>
      <c r="S365" s="874"/>
      <c r="T365" s="874"/>
      <c r="U365" s="874"/>
      <c r="V365" s="874"/>
      <c r="W365" s="874"/>
      <c r="X365" s="874"/>
      <c r="Y365" s="874"/>
      <c r="Z365" s="874"/>
    </row>
    <row r="366" spans="1:26" ht="18" customHeight="1" x14ac:dyDescent="0.35">
      <c r="A366" s="874"/>
      <c r="B366" s="874"/>
      <c r="C366" s="874"/>
      <c r="D366" s="874"/>
      <c r="E366" s="874"/>
      <c r="F366" s="874"/>
      <c r="G366" s="874"/>
      <c r="H366" s="874"/>
      <c r="I366" s="874"/>
      <c r="J366" s="874"/>
      <c r="K366" s="874"/>
      <c r="L366" s="874"/>
      <c r="M366" s="874"/>
      <c r="N366" s="874"/>
      <c r="O366" s="874"/>
      <c r="P366" s="874"/>
      <c r="Q366" s="874"/>
      <c r="R366" s="874"/>
      <c r="S366" s="874"/>
      <c r="T366" s="874"/>
      <c r="U366" s="874"/>
      <c r="V366" s="874"/>
      <c r="W366" s="874"/>
      <c r="X366" s="874"/>
      <c r="Y366" s="874"/>
      <c r="Z366" s="874"/>
    </row>
    <row r="367" spans="1:26" ht="18" customHeight="1" x14ac:dyDescent="0.35">
      <c r="A367" s="874"/>
      <c r="B367" s="874"/>
      <c r="C367" s="874"/>
      <c r="D367" s="874"/>
      <c r="E367" s="874"/>
      <c r="F367" s="874"/>
      <c r="G367" s="874"/>
      <c r="H367" s="874"/>
      <c r="I367" s="874"/>
      <c r="J367" s="874"/>
      <c r="K367" s="874"/>
      <c r="L367" s="874"/>
      <c r="M367" s="874"/>
      <c r="N367" s="874"/>
      <c r="O367" s="874"/>
      <c r="P367" s="874"/>
      <c r="Q367" s="874"/>
      <c r="R367" s="874"/>
      <c r="S367" s="874"/>
      <c r="T367" s="874"/>
      <c r="U367" s="874"/>
      <c r="V367" s="874"/>
      <c r="W367" s="874"/>
      <c r="X367" s="874"/>
      <c r="Y367" s="874"/>
      <c r="Z367" s="874"/>
    </row>
    <row r="368" spans="1:26" ht="18" customHeight="1" x14ac:dyDescent="0.35">
      <c r="A368" s="874"/>
      <c r="B368" s="874"/>
      <c r="C368" s="874"/>
      <c r="D368" s="874"/>
      <c r="E368" s="874"/>
      <c r="F368" s="874"/>
      <c r="G368" s="874"/>
      <c r="H368" s="874"/>
      <c r="I368" s="874"/>
      <c r="J368" s="874"/>
      <c r="K368" s="874"/>
      <c r="L368" s="874"/>
      <c r="M368" s="874"/>
      <c r="N368" s="874"/>
      <c r="O368" s="874"/>
      <c r="P368" s="874"/>
      <c r="Q368" s="874"/>
      <c r="R368" s="874"/>
      <c r="S368" s="874"/>
      <c r="T368" s="874"/>
      <c r="U368" s="874"/>
      <c r="V368" s="874"/>
      <c r="W368" s="874"/>
      <c r="X368" s="874"/>
      <c r="Y368" s="874"/>
      <c r="Z368" s="874"/>
    </row>
    <row r="369" spans="1:26" ht="18" customHeight="1" x14ac:dyDescent="0.35">
      <c r="A369" s="874"/>
      <c r="B369" s="874"/>
      <c r="C369" s="874"/>
      <c r="D369" s="874"/>
      <c r="E369" s="874"/>
      <c r="F369" s="874"/>
      <c r="G369" s="874"/>
      <c r="H369" s="874"/>
      <c r="I369" s="874"/>
      <c r="J369" s="874"/>
      <c r="K369" s="874"/>
      <c r="L369" s="874"/>
      <c r="M369" s="874"/>
      <c r="N369" s="874"/>
      <c r="O369" s="874"/>
      <c r="P369" s="874"/>
      <c r="Q369" s="874"/>
      <c r="R369" s="874"/>
      <c r="S369" s="874"/>
      <c r="T369" s="874"/>
      <c r="U369" s="874"/>
      <c r="V369" s="874"/>
      <c r="W369" s="874"/>
      <c r="X369" s="874"/>
      <c r="Y369" s="874"/>
      <c r="Z369" s="874"/>
    </row>
    <row r="370" spans="1:26" ht="18" customHeight="1" x14ac:dyDescent="0.35">
      <c r="A370" s="874"/>
      <c r="B370" s="874"/>
      <c r="C370" s="874"/>
      <c r="D370" s="874"/>
      <c r="E370" s="874"/>
      <c r="F370" s="874"/>
      <c r="G370" s="874"/>
      <c r="H370" s="874"/>
      <c r="I370" s="874"/>
      <c r="J370" s="874"/>
      <c r="K370" s="874"/>
      <c r="L370" s="874"/>
      <c r="M370" s="874"/>
      <c r="N370" s="874"/>
      <c r="O370" s="874"/>
      <c r="P370" s="874"/>
      <c r="Q370" s="874"/>
      <c r="R370" s="874"/>
      <c r="S370" s="874"/>
      <c r="T370" s="874"/>
      <c r="U370" s="874"/>
      <c r="V370" s="874"/>
      <c r="W370" s="874"/>
      <c r="X370" s="874"/>
      <c r="Y370" s="874"/>
      <c r="Z370" s="874"/>
    </row>
    <row r="371" spans="1:26" ht="18" customHeight="1" x14ac:dyDescent="0.35">
      <c r="A371" s="874"/>
      <c r="B371" s="874"/>
      <c r="C371" s="874"/>
      <c r="D371" s="874"/>
      <c r="E371" s="874"/>
      <c r="F371" s="874"/>
      <c r="G371" s="874"/>
      <c r="H371" s="874"/>
      <c r="I371" s="874"/>
      <c r="J371" s="874"/>
      <c r="K371" s="874"/>
      <c r="L371" s="874"/>
      <c r="M371" s="874"/>
      <c r="N371" s="874"/>
      <c r="O371" s="874"/>
      <c r="P371" s="874"/>
      <c r="Q371" s="874"/>
      <c r="R371" s="874"/>
      <c r="S371" s="874"/>
      <c r="T371" s="874"/>
      <c r="U371" s="874"/>
      <c r="V371" s="874"/>
      <c r="W371" s="874"/>
      <c r="X371" s="874"/>
      <c r="Y371" s="874"/>
      <c r="Z371" s="874"/>
    </row>
    <row r="372" spans="1:26" ht="18" customHeight="1" x14ac:dyDescent="0.35">
      <c r="A372" s="874"/>
      <c r="B372" s="874"/>
      <c r="C372" s="874"/>
      <c r="D372" s="874"/>
      <c r="E372" s="874"/>
      <c r="F372" s="874"/>
      <c r="G372" s="874"/>
      <c r="H372" s="874"/>
      <c r="I372" s="874"/>
      <c r="J372" s="874"/>
      <c r="K372" s="874"/>
      <c r="L372" s="874"/>
      <c r="M372" s="874"/>
      <c r="N372" s="874"/>
      <c r="O372" s="874"/>
      <c r="P372" s="874"/>
      <c r="Q372" s="874"/>
      <c r="R372" s="874"/>
      <c r="S372" s="874"/>
      <c r="T372" s="874"/>
      <c r="U372" s="874"/>
      <c r="V372" s="874"/>
      <c r="W372" s="874"/>
      <c r="X372" s="874"/>
      <c r="Y372" s="874"/>
      <c r="Z372" s="874"/>
    </row>
    <row r="373" spans="1:26" ht="18" customHeight="1" x14ac:dyDescent="0.35">
      <c r="A373" s="874"/>
      <c r="B373" s="874"/>
      <c r="C373" s="874"/>
      <c r="D373" s="874"/>
      <c r="E373" s="874"/>
      <c r="F373" s="874"/>
      <c r="G373" s="874"/>
      <c r="H373" s="874"/>
      <c r="I373" s="874"/>
      <c r="J373" s="874"/>
      <c r="K373" s="874"/>
      <c r="L373" s="874"/>
      <c r="M373" s="874"/>
      <c r="N373" s="874"/>
      <c r="O373" s="874"/>
      <c r="P373" s="874"/>
      <c r="Q373" s="874"/>
      <c r="R373" s="874"/>
      <c r="S373" s="874"/>
      <c r="T373" s="874"/>
      <c r="U373" s="874"/>
      <c r="V373" s="874"/>
      <c r="W373" s="874"/>
      <c r="X373" s="874"/>
      <c r="Y373" s="874"/>
      <c r="Z373" s="874"/>
    </row>
    <row r="374" spans="1:26" ht="18" customHeight="1" x14ac:dyDescent="0.35">
      <c r="A374" s="874"/>
      <c r="B374" s="874"/>
      <c r="C374" s="874"/>
      <c r="D374" s="874"/>
      <c r="E374" s="874"/>
      <c r="F374" s="874"/>
      <c r="G374" s="874"/>
      <c r="H374" s="874"/>
      <c r="I374" s="874"/>
      <c r="J374" s="874"/>
      <c r="K374" s="874"/>
      <c r="L374" s="874"/>
      <c r="M374" s="874"/>
      <c r="N374" s="874"/>
      <c r="O374" s="874"/>
      <c r="P374" s="874"/>
      <c r="Q374" s="874"/>
      <c r="R374" s="874"/>
      <c r="S374" s="874"/>
      <c r="T374" s="874"/>
      <c r="U374" s="874"/>
      <c r="V374" s="874"/>
      <c r="W374" s="874"/>
      <c r="X374" s="874"/>
      <c r="Y374" s="874"/>
      <c r="Z374" s="874"/>
    </row>
    <row r="375" spans="1:26" ht="18" customHeight="1" x14ac:dyDescent="0.35">
      <c r="A375" s="874"/>
      <c r="B375" s="874"/>
      <c r="C375" s="874"/>
      <c r="D375" s="874"/>
      <c r="E375" s="874"/>
      <c r="F375" s="874"/>
      <c r="G375" s="874"/>
      <c r="H375" s="874"/>
      <c r="I375" s="874"/>
      <c r="J375" s="874"/>
      <c r="K375" s="874"/>
      <c r="L375" s="874"/>
      <c r="M375" s="874"/>
      <c r="N375" s="874"/>
      <c r="O375" s="874"/>
      <c r="P375" s="874"/>
      <c r="Q375" s="874"/>
      <c r="R375" s="874"/>
      <c r="S375" s="874"/>
      <c r="T375" s="874"/>
      <c r="U375" s="874"/>
      <c r="V375" s="874"/>
      <c r="W375" s="874"/>
      <c r="X375" s="874"/>
      <c r="Y375" s="874"/>
      <c r="Z375" s="874"/>
    </row>
    <row r="376" spans="1:26" ht="18" customHeight="1" x14ac:dyDescent="0.35">
      <c r="A376" s="874"/>
      <c r="B376" s="874"/>
      <c r="C376" s="874"/>
      <c r="D376" s="874"/>
      <c r="E376" s="874"/>
      <c r="F376" s="874"/>
      <c r="G376" s="874"/>
      <c r="H376" s="874"/>
      <c r="I376" s="874"/>
      <c r="J376" s="874"/>
      <c r="K376" s="874"/>
      <c r="L376" s="874"/>
      <c r="M376" s="874"/>
      <c r="N376" s="874"/>
      <c r="O376" s="874"/>
      <c r="P376" s="874"/>
      <c r="Q376" s="874"/>
      <c r="R376" s="874"/>
      <c r="S376" s="874"/>
      <c r="T376" s="874"/>
      <c r="U376" s="874"/>
      <c r="V376" s="874"/>
      <c r="W376" s="874"/>
      <c r="X376" s="874"/>
      <c r="Y376" s="874"/>
      <c r="Z376" s="874"/>
    </row>
    <row r="377" spans="1:26" ht="18" customHeight="1" x14ac:dyDescent="0.35">
      <c r="A377" s="874"/>
      <c r="B377" s="874"/>
      <c r="C377" s="874"/>
      <c r="D377" s="874"/>
      <c r="E377" s="874"/>
      <c r="F377" s="874"/>
      <c r="G377" s="874"/>
      <c r="H377" s="874"/>
      <c r="I377" s="874"/>
      <c r="J377" s="874"/>
      <c r="K377" s="874"/>
      <c r="L377" s="874"/>
      <c r="M377" s="874"/>
      <c r="N377" s="874"/>
      <c r="O377" s="874"/>
      <c r="P377" s="874"/>
      <c r="Q377" s="874"/>
      <c r="R377" s="874"/>
      <c r="S377" s="874"/>
      <c r="T377" s="874"/>
      <c r="U377" s="874"/>
      <c r="V377" s="874"/>
      <c r="W377" s="874"/>
      <c r="X377" s="874"/>
      <c r="Y377" s="874"/>
      <c r="Z377" s="874"/>
    </row>
    <row r="378" spans="1:26" ht="18" customHeight="1" x14ac:dyDescent="0.35">
      <c r="A378" s="874"/>
      <c r="B378" s="874"/>
      <c r="C378" s="874"/>
      <c r="D378" s="874"/>
      <c r="E378" s="874"/>
      <c r="F378" s="874"/>
      <c r="G378" s="874"/>
      <c r="H378" s="874"/>
      <c r="I378" s="874"/>
      <c r="J378" s="874"/>
      <c r="K378" s="874"/>
      <c r="L378" s="874"/>
      <c r="M378" s="874"/>
      <c r="N378" s="874"/>
      <c r="O378" s="874"/>
      <c r="P378" s="874"/>
      <c r="Q378" s="874"/>
      <c r="R378" s="874"/>
      <c r="S378" s="874"/>
      <c r="T378" s="874"/>
      <c r="U378" s="874"/>
      <c r="V378" s="874"/>
      <c r="W378" s="874"/>
      <c r="X378" s="874"/>
      <c r="Y378" s="874"/>
      <c r="Z378" s="874"/>
    </row>
    <row r="379" spans="1:26" ht="18" customHeight="1" x14ac:dyDescent="0.35">
      <c r="A379" s="874"/>
      <c r="B379" s="874"/>
      <c r="C379" s="874"/>
      <c r="D379" s="874"/>
      <c r="E379" s="874"/>
      <c r="F379" s="874"/>
      <c r="G379" s="874"/>
      <c r="H379" s="874"/>
      <c r="I379" s="874"/>
      <c r="J379" s="874"/>
      <c r="K379" s="874"/>
      <c r="L379" s="874"/>
      <c r="M379" s="874"/>
      <c r="N379" s="874"/>
      <c r="O379" s="874"/>
      <c r="P379" s="874"/>
      <c r="Q379" s="874"/>
      <c r="R379" s="874"/>
      <c r="S379" s="874"/>
      <c r="T379" s="874"/>
      <c r="U379" s="874"/>
      <c r="V379" s="874"/>
      <c r="W379" s="874"/>
      <c r="X379" s="874"/>
      <c r="Y379" s="874"/>
      <c r="Z379" s="874"/>
    </row>
    <row r="380" spans="1:26" ht="18" customHeight="1" x14ac:dyDescent="0.35">
      <c r="A380" s="874"/>
      <c r="B380" s="874"/>
      <c r="C380" s="874"/>
      <c r="D380" s="874"/>
      <c r="E380" s="874"/>
      <c r="F380" s="874"/>
      <c r="G380" s="874"/>
      <c r="H380" s="874"/>
      <c r="I380" s="874"/>
      <c r="J380" s="874"/>
      <c r="K380" s="874"/>
      <c r="L380" s="874"/>
      <c r="M380" s="874"/>
      <c r="N380" s="874"/>
      <c r="O380" s="874"/>
      <c r="P380" s="874"/>
      <c r="Q380" s="874"/>
      <c r="R380" s="874"/>
      <c r="S380" s="874"/>
      <c r="T380" s="874"/>
      <c r="U380" s="874"/>
      <c r="V380" s="874"/>
      <c r="W380" s="874"/>
      <c r="X380" s="874"/>
      <c r="Y380" s="874"/>
      <c r="Z380" s="874"/>
    </row>
    <row r="381" spans="1:26" ht="18" customHeight="1" x14ac:dyDescent="0.35">
      <c r="A381" s="874"/>
      <c r="B381" s="874"/>
      <c r="C381" s="874"/>
      <c r="D381" s="874"/>
      <c r="E381" s="874"/>
      <c r="F381" s="874"/>
      <c r="G381" s="874"/>
      <c r="H381" s="874"/>
      <c r="I381" s="874"/>
      <c r="J381" s="874"/>
      <c r="K381" s="874"/>
      <c r="L381" s="874"/>
      <c r="M381" s="874"/>
      <c r="N381" s="874"/>
      <c r="O381" s="874"/>
      <c r="P381" s="874"/>
      <c r="Q381" s="874"/>
      <c r="R381" s="874"/>
      <c r="S381" s="874"/>
      <c r="T381" s="874"/>
      <c r="U381" s="874"/>
      <c r="V381" s="874"/>
      <c r="W381" s="874"/>
      <c r="X381" s="874"/>
      <c r="Y381" s="874"/>
      <c r="Z381" s="874"/>
    </row>
    <row r="382" spans="1:26" ht="18" customHeight="1" x14ac:dyDescent="0.35">
      <c r="A382" s="874"/>
      <c r="B382" s="874"/>
      <c r="C382" s="874"/>
      <c r="D382" s="874"/>
      <c r="E382" s="874"/>
      <c r="F382" s="874"/>
      <c r="G382" s="874"/>
      <c r="H382" s="874"/>
      <c r="I382" s="874"/>
      <c r="J382" s="874"/>
      <c r="K382" s="874"/>
      <c r="L382" s="874"/>
      <c r="M382" s="874"/>
      <c r="N382" s="874"/>
      <c r="O382" s="874"/>
      <c r="P382" s="874"/>
      <c r="Q382" s="874"/>
      <c r="R382" s="874"/>
      <c r="S382" s="874"/>
      <c r="T382" s="874"/>
      <c r="U382" s="874"/>
      <c r="V382" s="874"/>
      <c r="W382" s="874"/>
      <c r="X382" s="874"/>
      <c r="Y382" s="874"/>
      <c r="Z382" s="874"/>
    </row>
    <row r="383" spans="1:26" ht="18" customHeight="1" x14ac:dyDescent="0.35">
      <c r="A383" s="874"/>
      <c r="B383" s="874"/>
      <c r="C383" s="874"/>
      <c r="D383" s="874"/>
      <c r="E383" s="874"/>
      <c r="F383" s="874"/>
      <c r="G383" s="874"/>
      <c r="H383" s="874"/>
      <c r="I383" s="874"/>
      <c r="J383" s="874"/>
      <c r="K383" s="874"/>
      <c r="L383" s="874"/>
      <c r="M383" s="874"/>
      <c r="N383" s="874"/>
      <c r="O383" s="874"/>
      <c r="P383" s="874"/>
      <c r="Q383" s="874"/>
      <c r="R383" s="874"/>
      <c r="S383" s="874"/>
      <c r="T383" s="874"/>
      <c r="U383" s="874"/>
      <c r="V383" s="874"/>
      <c r="W383" s="874"/>
      <c r="X383" s="874"/>
      <c r="Y383" s="874"/>
      <c r="Z383" s="874"/>
    </row>
    <row r="384" spans="1:26" ht="18" customHeight="1" x14ac:dyDescent="0.35">
      <c r="A384" s="874"/>
      <c r="B384" s="874"/>
      <c r="C384" s="874"/>
      <c r="D384" s="874"/>
      <c r="E384" s="874"/>
      <c r="F384" s="874"/>
      <c r="G384" s="874"/>
      <c r="H384" s="874"/>
      <c r="I384" s="874"/>
      <c r="J384" s="874"/>
      <c r="K384" s="874"/>
      <c r="L384" s="874"/>
      <c r="M384" s="874"/>
      <c r="N384" s="874"/>
      <c r="O384" s="874"/>
      <c r="P384" s="874"/>
      <c r="Q384" s="874"/>
      <c r="R384" s="874"/>
      <c r="S384" s="874"/>
      <c r="T384" s="874"/>
      <c r="U384" s="874"/>
      <c r="V384" s="874"/>
      <c r="W384" s="874"/>
      <c r="X384" s="874"/>
      <c r="Y384" s="874"/>
      <c r="Z384" s="874"/>
    </row>
    <row r="385" spans="1:26" ht="18" customHeight="1" x14ac:dyDescent="0.35">
      <c r="A385" s="874"/>
      <c r="B385" s="874"/>
      <c r="C385" s="874"/>
      <c r="D385" s="874"/>
      <c r="E385" s="874"/>
      <c r="F385" s="874"/>
      <c r="G385" s="874"/>
      <c r="H385" s="874"/>
      <c r="I385" s="874"/>
      <c r="J385" s="874"/>
      <c r="K385" s="874"/>
      <c r="L385" s="874"/>
      <c r="M385" s="874"/>
      <c r="N385" s="874"/>
      <c r="O385" s="874"/>
      <c r="P385" s="874"/>
      <c r="Q385" s="874"/>
      <c r="R385" s="874"/>
      <c r="S385" s="874"/>
      <c r="T385" s="874"/>
      <c r="U385" s="874"/>
      <c r="V385" s="874"/>
      <c r="W385" s="874"/>
      <c r="X385" s="874"/>
      <c r="Y385" s="874"/>
      <c r="Z385" s="874"/>
    </row>
    <row r="386" spans="1:26" ht="18" customHeight="1" x14ac:dyDescent="0.35">
      <c r="A386" s="874"/>
      <c r="B386" s="874"/>
      <c r="C386" s="874"/>
      <c r="D386" s="874"/>
      <c r="E386" s="874"/>
      <c r="F386" s="874"/>
      <c r="G386" s="874"/>
      <c r="H386" s="874"/>
      <c r="I386" s="874"/>
      <c r="J386" s="874"/>
      <c r="K386" s="874"/>
      <c r="L386" s="874"/>
      <c r="M386" s="874"/>
      <c r="N386" s="874"/>
      <c r="O386" s="874"/>
      <c r="P386" s="874"/>
      <c r="Q386" s="874"/>
      <c r="R386" s="874"/>
      <c r="S386" s="874"/>
      <c r="T386" s="874"/>
      <c r="U386" s="874"/>
      <c r="V386" s="874"/>
      <c r="W386" s="874"/>
      <c r="X386" s="874"/>
      <c r="Y386" s="874"/>
      <c r="Z386" s="874"/>
    </row>
    <row r="387" spans="1:26" ht="18" customHeight="1" x14ac:dyDescent="0.35">
      <c r="A387" s="874"/>
      <c r="B387" s="874"/>
      <c r="C387" s="874"/>
      <c r="D387" s="874"/>
      <c r="E387" s="874"/>
      <c r="F387" s="874"/>
      <c r="G387" s="874"/>
      <c r="H387" s="874"/>
      <c r="I387" s="874"/>
      <c r="J387" s="874"/>
      <c r="K387" s="874"/>
      <c r="L387" s="874"/>
      <c r="M387" s="874"/>
      <c r="N387" s="874"/>
      <c r="O387" s="874"/>
      <c r="P387" s="874"/>
      <c r="Q387" s="874"/>
      <c r="R387" s="874"/>
      <c r="S387" s="874"/>
      <c r="T387" s="874"/>
      <c r="U387" s="874"/>
      <c r="V387" s="874"/>
      <c r="W387" s="874"/>
      <c r="X387" s="874"/>
      <c r="Y387" s="874"/>
      <c r="Z387" s="874"/>
    </row>
    <row r="388" spans="1:26" ht="18" customHeight="1" x14ac:dyDescent="0.35">
      <c r="A388" s="874"/>
      <c r="B388" s="874"/>
      <c r="C388" s="874"/>
      <c r="D388" s="874"/>
      <c r="E388" s="874"/>
      <c r="F388" s="874"/>
      <c r="G388" s="874"/>
      <c r="H388" s="874"/>
      <c r="I388" s="874"/>
      <c r="J388" s="874"/>
      <c r="K388" s="874"/>
      <c r="L388" s="874"/>
      <c r="M388" s="874"/>
      <c r="N388" s="874"/>
      <c r="O388" s="874"/>
      <c r="P388" s="874"/>
      <c r="Q388" s="874"/>
      <c r="R388" s="874"/>
      <c r="S388" s="874"/>
      <c r="T388" s="874"/>
      <c r="U388" s="874"/>
      <c r="V388" s="874"/>
      <c r="W388" s="874"/>
      <c r="X388" s="874"/>
      <c r="Y388" s="874"/>
      <c r="Z388" s="874"/>
    </row>
    <row r="389" spans="1:26" ht="18" customHeight="1" x14ac:dyDescent="0.35">
      <c r="A389" s="874"/>
      <c r="B389" s="874"/>
      <c r="C389" s="874"/>
      <c r="D389" s="874"/>
      <c r="E389" s="874"/>
      <c r="F389" s="874"/>
      <c r="G389" s="874"/>
      <c r="H389" s="874"/>
      <c r="I389" s="874"/>
      <c r="J389" s="874"/>
      <c r="K389" s="874"/>
      <c r="L389" s="874"/>
      <c r="M389" s="874"/>
      <c r="N389" s="874"/>
      <c r="O389" s="874"/>
      <c r="P389" s="874"/>
      <c r="Q389" s="874"/>
      <c r="R389" s="874"/>
      <c r="S389" s="874"/>
      <c r="T389" s="874"/>
      <c r="U389" s="874"/>
      <c r="V389" s="874"/>
      <c r="W389" s="874"/>
      <c r="X389" s="874"/>
      <c r="Y389" s="874"/>
      <c r="Z389" s="874"/>
    </row>
    <row r="390" spans="1:26" ht="18" customHeight="1" x14ac:dyDescent="0.35">
      <c r="A390" s="874"/>
      <c r="B390" s="874"/>
      <c r="C390" s="874"/>
      <c r="D390" s="874"/>
      <c r="E390" s="874"/>
      <c r="F390" s="874"/>
      <c r="G390" s="874"/>
      <c r="H390" s="874"/>
      <c r="I390" s="874"/>
      <c r="J390" s="874"/>
      <c r="K390" s="874"/>
      <c r="L390" s="874"/>
      <c r="M390" s="874"/>
      <c r="N390" s="874"/>
      <c r="O390" s="874"/>
      <c r="P390" s="874"/>
      <c r="Q390" s="874"/>
      <c r="R390" s="874"/>
      <c r="S390" s="874"/>
      <c r="T390" s="874"/>
      <c r="U390" s="874"/>
      <c r="V390" s="874"/>
      <c r="W390" s="874"/>
      <c r="X390" s="874"/>
      <c r="Y390" s="874"/>
      <c r="Z390" s="874"/>
    </row>
    <row r="391" spans="1:26" ht="18" customHeight="1" x14ac:dyDescent="0.35">
      <c r="A391" s="874"/>
      <c r="B391" s="874"/>
      <c r="C391" s="874"/>
      <c r="D391" s="874"/>
      <c r="E391" s="874"/>
      <c r="F391" s="874"/>
      <c r="G391" s="874"/>
      <c r="H391" s="874"/>
      <c r="I391" s="874"/>
      <c r="J391" s="874"/>
      <c r="K391" s="874"/>
      <c r="L391" s="874"/>
      <c r="M391" s="874"/>
      <c r="N391" s="874"/>
      <c r="O391" s="874"/>
      <c r="P391" s="874"/>
      <c r="Q391" s="874"/>
      <c r="R391" s="874"/>
      <c r="S391" s="874"/>
      <c r="T391" s="874"/>
      <c r="U391" s="874"/>
      <c r="V391" s="874"/>
      <c r="W391" s="874"/>
      <c r="X391" s="874"/>
      <c r="Y391" s="874"/>
      <c r="Z391" s="874"/>
    </row>
    <row r="392" spans="1:26" ht="18" customHeight="1" x14ac:dyDescent="0.35">
      <c r="A392" s="874"/>
      <c r="B392" s="874"/>
      <c r="C392" s="874"/>
      <c r="D392" s="874"/>
      <c r="E392" s="874"/>
      <c r="F392" s="874"/>
      <c r="G392" s="874"/>
      <c r="H392" s="874"/>
      <c r="I392" s="874"/>
      <c r="J392" s="874"/>
      <c r="K392" s="874"/>
      <c r="L392" s="874"/>
      <c r="M392" s="874"/>
      <c r="N392" s="874"/>
      <c r="O392" s="874"/>
      <c r="P392" s="874"/>
      <c r="Q392" s="874"/>
      <c r="R392" s="874"/>
      <c r="S392" s="874"/>
      <c r="T392" s="874"/>
      <c r="U392" s="874"/>
      <c r="V392" s="874"/>
      <c r="W392" s="874"/>
      <c r="X392" s="874"/>
      <c r="Y392" s="874"/>
      <c r="Z392" s="874"/>
    </row>
    <row r="393" spans="1:26" ht="18" customHeight="1" x14ac:dyDescent="0.35">
      <c r="A393" s="874"/>
      <c r="B393" s="874"/>
      <c r="C393" s="874"/>
      <c r="D393" s="874"/>
      <c r="E393" s="874"/>
      <c r="F393" s="874"/>
      <c r="G393" s="874"/>
      <c r="H393" s="874"/>
      <c r="I393" s="874"/>
      <c r="J393" s="874"/>
      <c r="K393" s="874"/>
      <c r="L393" s="874"/>
      <c r="M393" s="874"/>
      <c r="N393" s="874"/>
      <c r="O393" s="874"/>
      <c r="P393" s="874"/>
      <c r="Q393" s="874"/>
      <c r="R393" s="874"/>
      <c r="S393" s="874"/>
      <c r="T393" s="874"/>
      <c r="U393" s="874"/>
      <c r="V393" s="874"/>
      <c r="W393" s="874"/>
      <c r="X393" s="874"/>
      <c r="Y393" s="874"/>
      <c r="Z393" s="874"/>
    </row>
    <row r="394" spans="1:26" ht="18" customHeight="1" x14ac:dyDescent="0.35">
      <c r="A394" s="874"/>
      <c r="B394" s="874"/>
      <c r="C394" s="874"/>
      <c r="D394" s="874"/>
      <c r="E394" s="874"/>
      <c r="F394" s="874"/>
      <c r="G394" s="874"/>
      <c r="H394" s="874"/>
      <c r="I394" s="874"/>
      <c r="J394" s="874"/>
      <c r="K394" s="874"/>
      <c r="L394" s="874"/>
      <c r="M394" s="874"/>
      <c r="N394" s="874"/>
      <c r="O394" s="874"/>
      <c r="P394" s="874"/>
      <c r="Q394" s="874"/>
      <c r="R394" s="874"/>
      <c r="S394" s="874"/>
      <c r="T394" s="874"/>
      <c r="U394" s="874"/>
      <c r="V394" s="874"/>
      <c r="W394" s="874"/>
      <c r="X394" s="874"/>
      <c r="Y394" s="874"/>
      <c r="Z394" s="874"/>
    </row>
    <row r="395" spans="1:26" ht="18" customHeight="1" x14ac:dyDescent="0.35">
      <c r="A395" s="874"/>
      <c r="B395" s="874"/>
      <c r="C395" s="874"/>
      <c r="D395" s="874"/>
      <c r="E395" s="874"/>
      <c r="F395" s="874"/>
      <c r="G395" s="874"/>
      <c r="H395" s="874"/>
      <c r="I395" s="874"/>
      <c r="J395" s="874"/>
      <c r="K395" s="874"/>
      <c r="L395" s="874"/>
      <c r="M395" s="874"/>
      <c r="N395" s="874"/>
      <c r="O395" s="874"/>
      <c r="P395" s="874"/>
      <c r="Q395" s="874"/>
      <c r="R395" s="874"/>
      <c r="S395" s="874"/>
      <c r="T395" s="874"/>
      <c r="U395" s="874"/>
      <c r="V395" s="874"/>
      <c r="W395" s="874"/>
      <c r="X395" s="874"/>
      <c r="Y395" s="874"/>
      <c r="Z395" s="874"/>
    </row>
    <row r="396" spans="1:26" ht="18" customHeight="1" x14ac:dyDescent="0.35">
      <c r="A396" s="874"/>
      <c r="B396" s="874"/>
      <c r="C396" s="874"/>
      <c r="D396" s="874"/>
      <c r="E396" s="874"/>
      <c r="F396" s="874"/>
      <c r="G396" s="874"/>
      <c r="H396" s="874"/>
      <c r="I396" s="874"/>
      <c r="J396" s="874"/>
      <c r="K396" s="874"/>
      <c r="L396" s="874"/>
      <c r="M396" s="874"/>
      <c r="N396" s="874"/>
      <c r="O396" s="874"/>
      <c r="P396" s="874"/>
      <c r="Q396" s="874"/>
      <c r="R396" s="874"/>
      <c r="S396" s="874"/>
      <c r="T396" s="874"/>
      <c r="U396" s="874"/>
      <c r="V396" s="874"/>
      <c r="W396" s="874"/>
      <c r="X396" s="874"/>
      <c r="Y396" s="874"/>
      <c r="Z396" s="874"/>
    </row>
    <row r="397" spans="1:26" ht="18" customHeight="1" x14ac:dyDescent="0.35">
      <c r="A397" s="874"/>
      <c r="B397" s="874"/>
      <c r="C397" s="874"/>
      <c r="D397" s="874"/>
      <c r="E397" s="874"/>
      <c r="F397" s="874"/>
      <c r="G397" s="874"/>
      <c r="H397" s="874"/>
      <c r="I397" s="874"/>
      <c r="J397" s="874"/>
      <c r="K397" s="874"/>
      <c r="L397" s="874"/>
      <c r="M397" s="874"/>
      <c r="N397" s="874"/>
      <c r="O397" s="874"/>
      <c r="P397" s="874"/>
      <c r="Q397" s="874"/>
      <c r="R397" s="874"/>
      <c r="S397" s="874"/>
      <c r="T397" s="874"/>
      <c r="U397" s="874"/>
      <c r="V397" s="874"/>
      <c r="W397" s="874"/>
      <c r="X397" s="874"/>
      <c r="Y397" s="874"/>
      <c r="Z397" s="874"/>
    </row>
    <row r="398" spans="1:26" ht="18" customHeight="1" x14ac:dyDescent="0.35">
      <c r="A398" s="874"/>
      <c r="B398" s="874"/>
      <c r="C398" s="874"/>
      <c r="D398" s="874"/>
      <c r="E398" s="874"/>
      <c r="F398" s="874"/>
      <c r="G398" s="874"/>
      <c r="H398" s="874"/>
      <c r="I398" s="874"/>
      <c r="J398" s="874"/>
      <c r="K398" s="874"/>
      <c r="L398" s="874"/>
      <c r="M398" s="874"/>
      <c r="N398" s="874"/>
      <c r="O398" s="874"/>
      <c r="P398" s="874"/>
      <c r="Q398" s="874"/>
      <c r="R398" s="874"/>
      <c r="S398" s="874"/>
      <c r="T398" s="874"/>
      <c r="U398" s="874"/>
      <c r="V398" s="874"/>
      <c r="W398" s="874"/>
      <c r="X398" s="874"/>
      <c r="Y398" s="874"/>
      <c r="Z398" s="874"/>
    </row>
    <row r="399" spans="1:26" ht="18" customHeight="1" x14ac:dyDescent="0.35">
      <c r="A399" s="874"/>
      <c r="B399" s="874"/>
      <c r="C399" s="874"/>
      <c r="D399" s="874"/>
      <c r="E399" s="874"/>
      <c r="F399" s="874"/>
      <c r="G399" s="874"/>
      <c r="H399" s="874"/>
      <c r="I399" s="874"/>
      <c r="J399" s="874"/>
      <c r="K399" s="874"/>
      <c r="L399" s="874"/>
      <c r="M399" s="874"/>
      <c r="N399" s="874"/>
      <c r="O399" s="874"/>
      <c r="P399" s="874"/>
      <c r="Q399" s="874"/>
      <c r="R399" s="874"/>
      <c r="S399" s="874"/>
      <c r="T399" s="874"/>
      <c r="U399" s="874"/>
      <c r="V399" s="874"/>
      <c r="W399" s="874"/>
      <c r="X399" s="874"/>
      <c r="Y399" s="874"/>
      <c r="Z399" s="874"/>
    </row>
    <row r="400" spans="1:26" ht="18" customHeight="1" x14ac:dyDescent="0.35">
      <c r="A400" s="874"/>
      <c r="B400" s="874"/>
      <c r="C400" s="874"/>
      <c r="D400" s="874"/>
      <c r="E400" s="874"/>
      <c r="F400" s="874"/>
      <c r="G400" s="874"/>
      <c r="H400" s="874"/>
      <c r="I400" s="874"/>
      <c r="J400" s="874"/>
      <c r="K400" s="874"/>
      <c r="L400" s="874"/>
      <c r="M400" s="874"/>
      <c r="N400" s="874"/>
      <c r="O400" s="874"/>
      <c r="P400" s="874"/>
      <c r="Q400" s="874"/>
      <c r="R400" s="874"/>
      <c r="S400" s="874"/>
      <c r="T400" s="874"/>
      <c r="U400" s="874"/>
      <c r="V400" s="874"/>
      <c r="W400" s="874"/>
      <c r="X400" s="874"/>
      <c r="Y400" s="874"/>
      <c r="Z400" s="874"/>
    </row>
    <row r="401" spans="1:26" ht="18" customHeight="1" x14ac:dyDescent="0.35">
      <c r="A401" s="874"/>
      <c r="B401" s="874"/>
      <c r="C401" s="874"/>
      <c r="D401" s="874"/>
      <c r="E401" s="874"/>
      <c r="F401" s="874"/>
      <c r="G401" s="874"/>
      <c r="H401" s="874"/>
      <c r="I401" s="874"/>
      <c r="J401" s="874"/>
      <c r="K401" s="874"/>
      <c r="L401" s="874"/>
      <c r="M401" s="874"/>
      <c r="N401" s="874"/>
      <c r="O401" s="874"/>
      <c r="P401" s="874"/>
      <c r="Q401" s="874"/>
      <c r="R401" s="874"/>
      <c r="S401" s="874"/>
      <c r="T401" s="874"/>
      <c r="U401" s="874"/>
      <c r="V401" s="874"/>
      <c r="W401" s="874"/>
      <c r="X401" s="874"/>
      <c r="Y401" s="874"/>
      <c r="Z401" s="874"/>
    </row>
    <row r="402" spans="1:26" ht="18" customHeight="1" x14ac:dyDescent="0.35">
      <c r="A402" s="874"/>
      <c r="B402" s="874"/>
      <c r="C402" s="874"/>
      <c r="D402" s="874"/>
      <c r="E402" s="874"/>
      <c r="F402" s="874"/>
      <c r="G402" s="874"/>
      <c r="H402" s="874"/>
      <c r="I402" s="874"/>
      <c r="J402" s="874"/>
      <c r="K402" s="874"/>
      <c r="L402" s="874"/>
      <c r="M402" s="874"/>
      <c r="N402" s="874"/>
      <c r="O402" s="874"/>
      <c r="P402" s="874"/>
      <c r="Q402" s="874"/>
      <c r="R402" s="874"/>
      <c r="S402" s="874"/>
      <c r="T402" s="874"/>
      <c r="U402" s="874"/>
      <c r="V402" s="874"/>
      <c r="W402" s="874"/>
      <c r="X402" s="874"/>
      <c r="Y402" s="874"/>
      <c r="Z402" s="874"/>
    </row>
    <row r="403" spans="1:26" ht="18" customHeight="1" x14ac:dyDescent="0.35">
      <c r="A403" s="874"/>
      <c r="B403" s="874"/>
      <c r="C403" s="874"/>
      <c r="D403" s="874"/>
      <c r="E403" s="874"/>
      <c r="F403" s="874"/>
      <c r="G403" s="874"/>
      <c r="H403" s="874"/>
      <c r="I403" s="874"/>
      <c r="J403" s="874"/>
      <c r="K403" s="874"/>
      <c r="L403" s="874"/>
      <c r="M403" s="874"/>
      <c r="N403" s="874"/>
      <c r="O403" s="874"/>
      <c r="P403" s="874"/>
      <c r="Q403" s="874"/>
      <c r="R403" s="874"/>
      <c r="S403" s="874"/>
      <c r="T403" s="874"/>
      <c r="U403" s="874"/>
      <c r="V403" s="874"/>
      <c r="W403" s="874"/>
      <c r="X403" s="874"/>
      <c r="Y403" s="874"/>
      <c r="Z403" s="874"/>
    </row>
    <row r="404" spans="1:26" ht="18" customHeight="1" x14ac:dyDescent="0.35">
      <c r="A404" s="874"/>
      <c r="B404" s="874"/>
      <c r="C404" s="874"/>
      <c r="D404" s="874"/>
      <c r="E404" s="874"/>
      <c r="F404" s="874"/>
      <c r="G404" s="874"/>
      <c r="H404" s="874"/>
      <c r="I404" s="874"/>
      <c r="J404" s="874"/>
      <c r="K404" s="874"/>
      <c r="L404" s="874"/>
      <c r="M404" s="874"/>
      <c r="N404" s="874"/>
      <c r="O404" s="874"/>
      <c r="P404" s="874"/>
      <c r="Q404" s="874"/>
      <c r="R404" s="874"/>
      <c r="S404" s="874"/>
      <c r="T404" s="874"/>
      <c r="U404" s="874"/>
      <c r="V404" s="874"/>
      <c r="W404" s="874"/>
      <c r="X404" s="874"/>
      <c r="Y404" s="874"/>
      <c r="Z404" s="874"/>
    </row>
    <row r="405" spans="1:26" ht="18" customHeight="1" x14ac:dyDescent="0.35">
      <c r="A405" s="874"/>
      <c r="B405" s="874"/>
      <c r="C405" s="874"/>
      <c r="D405" s="874"/>
      <c r="E405" s="874"/>
      <c r="F405" s="874"/>
      <c r="G405" s="874"/>
      <c r="H405" s="874"/>
      <c r="I405" s="874"/>
      <c r="J405" s="874"/>
      <c r="K405" s="874"/>
      <c r="L405" s="874"/>
      <c r="M405" s="874"/>
      <c r="N405" s="874"/>
      <c r="O405" s="874"/>
      <c r="P405" s="874"/>
      <c r="Q405" s="874"/>
      <c r="R405" s="874"/>
      <c r="S405" s="874"/>
      <c r="T405" s="874"/>
      <c r="U405" s="874"/>
      <c r="V405" s="874"/>
      <c r="W405" s="874"/>
      <c r="X405" s="874"/>
      <c r="Y405" s="874"/>
      <c r="Z405" s="874"/>
    </row>
    <row r="406" spans="1:26" ht="18" customHeight="1" x14ac:dyDescent="0.35">
      <c r="A406" s="874"/>
      <c r="B406" s="874"/>
      <c r="C406" s="874"/>
      <c r="D406" s="874"/>
      <c r="E406" s="874"/>
      <c r="F406" s="874"/>
      <c r="G406" s="874"/>
      <c r="H406" s="874"/>
      <c r="I406" s="874"/>
      <c r="J406" s="874"/>
      <c r="K406" s="874"/>
      <c r="L406" s="874"/>
      <c r="M406" s="874"/>
      <c r="N406" s="874"/>
      <c r="O406" s="874"/>
      <c r="P406" s="874"/>
      <c r="Q406" s="874"/>
      <c r="R406" s="874"/>
      <c r="S406" s="874"/>
      <c r="T406" s="874"/>
      <c r="U406" s="874"/>
      <c r="V406" s="874"/>
      <c r="W406" s="874"/>
      <c r="X406" s="874"/>
      <c r="Y406" s="874"/>
      <c r="Z406" s="874"/>
    </row>
    <row r="407" spans="1:26" ht="18" customHeight="1" x14ac:dyDescent="0.35">
      <c r="A407" s="874"/>
      <c r="B407" s="874"/>
      <c r="C407" s="874"/>
      <c r="D407" s="874"/>
      <c r="E407" s="874"/>
      <c r="F407" s="874"/>
      <c r="G407" s="874"/>
      <c r="H407" s="874"/>
      <c r="I407" s="874"/>
      <c r="J407" s="874"/>
      <c r="K407" s="874"/>
      <c r="L407" s="874"/>
      <c r="M407" s="874"/>
      <c r="N407" s="874"/>
      <c r="O407" s="874"/>
      <c r="P407" s="874"/>
      <c r="Q407" s="874"/>
      <c r="R407" s="874"/>
      <c r="S407" s="874"/>
      <c r="T407" s="874"/>
      <c r="U407" s="874"/>
      <c r="V407" s="874"/>
      <c r="W407" s="874"/>
      <c r="X407" s="874"/>
      <c r="Y407" s="874"/>
      <c r="Z407" s="874"/>
    </row>
    <row r="408" spans="1:26" ht="18" customHeight="1" x14ac:dyDescent="0.35">
      <c r="A408" s="874"/>
      <c r="B408" s="874"/>
      <c r="C408" s="874"/>
      <c r="D408" s="874"/>
      <c r="E408" s="874"/>
      <c r="F408" s="874"/>
      <c r="G408" s="874"/>
      <c r="H408" s="874"/>
      <c r="I408" s="874"/>
      <c r="J408" s="874"/>
      <c r="K408" s="874"/>
      <c r="L408" s="874"/>
      <c r="M408" s="874"/>
      <c r="N408" s="874"/>
      <c r="O408" s="874"/>
      <c r="P408" s="874"/>
      <c r="Q408" s="874"/>
      <c r="R408" s="874"/>
      <c r="S408" s="874"/>
      <c r="T408" s="874"/>
      <c r="U408" s="874"/>
      <c r="V408" s="874"/>
      <c r="W408" s="874"/>
      <c r="X408" s="874"/>
      <c r="Y408" s="874"/>
      <c r="Z408" s="874"/>
    </row>
    <row r="409" spans="1:26" ht="18" customHeight="1" x14ac:dyDescent="0.35">
      <c r="A409" s="874"/>
      <c r="B409" s="874"/>
      <c r="C409" s="874"/>
      <c r="D409" s="874"/>
      <c r="E409" s="874"/>
      <c r="F409" s="874"/>
      <c r="G409" s="874"/>
      <c r="H409" s="874"/>
      <c r="I409" s="874"/>
      <c r="J409" s="874"/>
      <c r="K409" s="874"/>
      <c r="L409" s="874"/>
      <c r="M409" s="874"/>
      <c r="N409" s="874"/>
      <c r="O409" s="874"/>
      <c r="P409" s="874"/>
      <c r="Q409" s="874"/>
      <c r="R409" s="874"/>
      <c r="S409" s="874"/>
      <c r="T409" s="874"/>
      <c r="U409" s="874"/>
      <c r="V409" s="874"/>
      <c r="W409" s="874"/>
      <c r="X409" s="874"/>
      <c r="Y409" s="874"/>
      <c r="Z409" s="874"/>
    </row>
    <row r="410" spans="1:26" ht="18" customHeight="1" x14ac:dyDescent="0.35">
      <c r="A410" s="874"/>
      <c r="B410" s="874"/>
      <c r="C410" s="874"/>
      <c r="D410" s="874"/>
      <c r="E410" s="874"/>
      <c r="F410" s="874"/>
      <c r="G410" s="874"/>
      <c r="H410" s="874"/>
      <c r="I410" s="874"/>
      <c r="J410" s="874"/>
      <c r="K410" s="874"/>
      <c r="L410" s="874"/>
      <c r="M410" s="874"/>
      <c r="N410" s="874"/>
      <c r="O410" s="874"/>
      <c r="P410" s="874"/>
      <c r="Q410" s="874"/>
      <c r="R410" s="874"/>
      <c r="S410" s="874"/>
      <c r="T410" s="874"/>
      <c r="U410" s="874"/>
      <c r="V410" s="874"/>
      <c r="W410" s="874"/>
      <c r="X410" s="874"/>
      <c r="Y410" s="874"/>
      <c r="Z410" s="874"/>
    </row>
    <row r="411" spans="1:26" ht="18" customHeight="1" x14ac:dyDescent="0.35">
      <c r="A411" s="874"/>
      <c r="B411" s="874"/>
      <c r="C411" s="874"/>
      <c r="D411" s="874"/>
      <c r="E411" s="874"/>
      <c r="F411" s="874"/>
      <c r="G411" s="874"/>
      <c r="H411" s="874"/>
      <c r="I411" s="874"/>
      <c r="J411" s="874"/>
      <c r="K411" s="874"/>
      <c r="L411" s="874"/>
      <c r="M411" s="874"/>
      <c r="N411" s="874"/>
      <c r="O411" s="874"/>
      <c r="P411" s="874"/>
      <c r="Q411" s="874"/>
      <c r="R411" s="874"/>
      <c r="S411" s="874"/>
      <c r="T411" s="874"/>
      <c r="U411" s="874"/>
      <c r="V411" s="874"/>
      <c r="W411" s="874"/>
      <c r="X411" s="874"/>
      <c r="Y411" s="874"/>
      <c r="Z411" s="874"/>
    </row>
    <row r="412" spans="1:26" ht="18" customHeight="1" x14ac:dyDescent="0.35">
      <c r="A412" s="874"/>
      <c r="B412" s="874"/>
      <c r="C412" s="874"/>
      <c r="D412" s="874"/>
      <c r="E412" s="874"/>
      <c r="F412" s="874"/>
      <c r="G412" s="874"/>
      <c r="H412" s="874"/>
      <c r="I412" s="874"/>
      <c r="J412" s="874"/>
      <c r="K412" s="874"/>
      <c r="L412" s="874"/>
      <c r="M412" s="874"/>
      <c r="N412" s="874"/>
      <c r="O412" s="874"/>
      <c r="P412" s="874"/>
      <c r="Q412" s="874"/>
      <c r="R412" s="874"/>
      <c r="S412" s="874"/>
      <c r="T412" s="874"/>
      <c r="U412" s="874"/>
      <c r="V412" s="874"/>
      <c r="W412" s="874"/>
      <c r="X412" s="874"/>
      <c r="Y412" s="874"/>
      <c r="Z412" s="874"/>
    </row>
    <row r="413" spans="1:26" ht="18" customHeight="1" x14ac:dyDescent="0.35">
      <c r="A413" s="874"/>
      <c r="B413" s="874"/>
      <c r="C413" s="874"/>
      <c r="D413" s="874"/>
      <c r="E413" s="874"/>
      <c r="F413" s="874"/>
      <c r="G413" s="874"/>
      <c r="H413" s="874"/>
      <c r="I413" s="874"/>
      <c r="J413" s="874"/>
      <c r="K413" s="874"/>
      <c r="L413" s="874"/>
      <c r="M413" s="874"/>
      <c r="N413" s="874"/>
      <c r="O413" s="874"/>
      <c r="P413" s="874"/>
      <c r="Q413" s="874"/>
      <c r="R413" s="874"/>
      <c r="S413" s="874"/>
      <c r="T413" s="874"/>
      <c r="U413" s="874"/>
      <c r="V413" s="874"/>
      <c r="W413" s="874"/>
      <c r="X413" s="874"/>
      <c r="Y413" s="874"/>
      <c r="Z413" s="874"/>
    </row>
    <row r="414" spans="1:26" ht="18" customHeight="1" x14ac:dyDescent="0.35">
      <c r="A414" s="874"/>
      <c r="B414" s="874"/>
      <c r="C414" s="874"/>
      <c r="D414" s="874"/>
      <c r="E414" s="874"/>
      <c r="F414" s="874"/>
      <c r="G414" s="874"/>
      <c r="H414" s="874"/>
      <c r="I414" s="874"/>
      <c r="J414" s="874"/>
      <c r="K414" s="874"/>
      <c r="L414" s="874"/>
      <c r="M414" s="874"/>
      <c r="N414" s="874"/>
      <c r="O414" s="874"/>
      <c r="P414" s="874"/>
      <c r="Q414" s="874"/>
      <c r="R414" s="874"/>
      <c r="S414" s="874"/>
      <c r="T414" s="874"/>
      <c r="U414" s="874"/>
      <c r="V414" s="874"/>
      <c r="W414" s="874"/>
      <c r="X414" s="874"/>
      <c r="Y414" s="874"/>
      <c r="Z414" s="874"/>
    </row>
    <row r="415" spans="1:26" ht="18" customHeight="1" x14ac:dyDescent="0.35">
      <c r="A415" s="874"/>
      <c r="B415" s="874"/>
      <c r="C415" s="874"/>
      <c r="D415" s="874"/>
      <c r="E415" s="874"/>
      <c r="F415" s="874"/>
      <c r="G415" s="874"/>
      <c r="H415" s="874"/>
      <c r="I415" s="874"/>
      <c r="J415" s="874"/>
      <c r="K415" s="874"/>
      <c r="L415" s="874"/>
      <c r="M415" s="874"/>
      <c r="N415" s="874"/>
      <c r="O415" s="874"/>
      <c r="P415" s="874"/>
      <c r="Q415" s="874"/>
      <c r="R415" s="874"/>
      <c r="S415" s="874"/>
      <c r="T415" s="874"/>
      <c r="U415" s="874"/>
      <c r="V415" s="874"/>
      <c r="W415" s="874"/>
      <c r="X415" s="874"/>
      <c r="Y415" s="874"/>
      <c r="Z415" s="874"/>
    </row>
    <row r="416" spans="1:26" ht="18" customHeight="1" x14ac:dyDescent="0.35">
      <c r="A416" s="874"/>
      <c r="B416" s="874"/>
      <c r="C416" s="874"/>
      <c r="D416" s="874"/>
      <c r="E416" s="874"/>
      <c r="F416" s="874"/>
      <c r="G416" s="874"/>
      <c r="H416" s="874"/>
      <c r="I416" s="874"/>
      <c r="J416" s="874"/>
      <c r="K416" s="874"/>
      <c r="L416" s="874"/>
      <c r="M416" s="874"/>
      <c r="N416" s="874"/>
      <c r="O416" s="874"/>
      <c r="P416" s="874"/>
      <c r="Q416" s="874"/>
      <c r="R416" s="874"/>
      <c r="S416" s="874"/>
      <c r="T416" s="874"/>
      <c r="U416" s="874"/>
      <c r="V416" s="874"/>
      <c r="W416" s="874"/>
      <c r="X416" s="874"/>
      <c r="Y416" s="874"/>
      <c r="Z416" s="874"/>
    </row>
    <row r="417" spans="1:26" ht="18" customHeight="1" x14ac:dyDescent="0.35">
      <c r="A417" s="874"/>
      <c r="B417" s="874"/>
      <c r="C417" s="874"/>
      <c r="D417" s="874"/>
      <c r="E417" s="874"/>
      <c r="F417" s="874"/>
      <c r="G417" s="874"/>
      <c r="H417" s="874"/>
      <c r="I417" s="874"/>
      <c r="J417" s="874"/>
      <c r="K417" s="874"/>
      <c r="L417" s="874"/>
      <c r="M417" s="874"/>
      <c r="N417" s="874"/>
      <c r="O417" s="874"/>
      <c r="P417" s="874"/>
      <c r="Q417" s="874"/>
      <c r="R417" s="874"/>
      <c r="S417" s="874"/>
      <c r="T417" s="874"/>
      <c r="U417" s="874"/>
      <c r="V417" s="874"/>
      <c r="W417" s="874"/>
      <c r="X417" s="874"/>
      <c r="Y417" s="874"/>
      <c r="Z417" s="874"/>
    </row>
    <row r="418" spans="1:26" ht="18" customHeight="1" x14ac:dyDescent="0.35">
      <c r="A418" s="874"/>
      <c r="B418" s="874"/>
      <c r="C418" s="874"/>
      <c r="D418" s="874"/>
      <c r="E418" s="874"/>
      <c r="F418" s="874"/>
      <c r="G418" s="874"/>
      <c r="H418" s="874"/>
      <c r="I418" s="874"/>
      <c r="J418" s="874"/>
      <c r="K418" s="874"/>
      <c r="L418" s="874"/>
      <c r="M418" s="874"/>
      <c r="N418" s="874"/>
      <c r="O418" s="874"/>
      <c r="P418" s="874"/>
      <c r="Q418" s="874"/>
      <c r="R418" s="874"/>
      <c r="S418" s="874"/>
      <c r="T418" s="874"/>
      <c r="U418" s="874"/>
      <c r="V418" s="874"/>
      <c r="W418" s="874"/>
      <c r="X418" s="874"/>
      <c r="Y418" s="874"/>
      <c r="Z418" s="874"/>
    </row>
    <row r="419" spans="1:26" ht="18" customHeight="1" x14ac:dyDescent="0.35">
      <c r="A419" s="874"/>
      <c r="B419" s="874"/>
      <c r="C419" s="874"/>
      <c r="D419" s="874"/>
      <c r="E419" s="874"/>
      <c r="F419" s="874"/>
      <c r="G419" s="874"/>
      <c r="H419" s="874"/>
      <c r="I419" s="874"/>
      <c r="J419" s="874"/>
      <c r="K419" s="874"/>
      <c r="L419" s="874"/>
      <c r="M419" s="874"/>
      <c r="N419" s="874"/>
      <c r="O419" s="874"/>
      <c r="P419" s="874"/>
      <c r="Q419" s="874"/>
      <c r="R419" s="874"/>
      <c r="S419" s="874"/>
      <c r="T419" s="874"/>
      <c r="U419" s="874"/>
      <c r="V419" s="874"/>
      <c r="W419" s="874"/>
      <c r="X419" s="874"/>
      <c r="Y419" s="874"/>
      <c r="Z419" s="874"/>
    </row>
    <row r="420" spans="1:26" ht="18" customHeight="1" x14ac:dyDescent="0.35">
      <c r="A420" s="874"/>
      <c r="B420" s="874"/>
      <c r="C420" s="874"/>
      <c r="D420" s="874"/>
      <c r="E420" s="874"/>
      <c r="F420" s="874"/>
      <c r="G420" s="874"/>
      <c r="H420" s="874"/>
      <c r="I420" s="874"/>
      <c r="J420" s="874"/>
      <c r="K420" s="874"/>
      <c r="L420" s="874"/>
      <c r="M420" s="874"/>
      <c r="N420" s="874"/>
      <c r="O420" s="874"/>
      <c r="P420" s="874"/>
      <c r="Q420" s="874"/>
      <c r="R420" s="874"/>
      <c r="S420" s="874"/>
      <c r="T420" s="874"/>
      <c r="U420" s="874"/>
      <c r="V420" s="874"/>
      <c r="W420" s="874"/>
      <c r="X420" s="874"/>
      <c r="Y420" s="874"/>
      <c r="Z420" s="874"/>
    </row>
    <row r="421" spans="1:26" ht="18" customHeight="1" x14ac:dyDescent="0.35">
      <c r="A421" s="874"/>
      <c r="B421" s="874"/>
      <c r="C421" s="874"/>
      <c r="D421" s="874"/>
      <c r="E421" s="874"/>
      <c r="F421" s="874"/>
      <c r="G421" s="874"/>
      <c r="H421" s="874"/>
      <c r="I421" s="874"/>
      <c r="J421" s="874"/>
      <c r="K421" s="874"/>
      <c r="L421" s="874"/>
      <c r="M421" s="874"/>
      <c r="N421" s="874"/>
      <c r="O421" s="874"/>
      <c r="P421" s="874"/>
      <c r="Q421" s="874"/>
      <c r="R421" s="874"/>
      <c r="S421" s="874"/>
      <c r="T421" s="874"/>
      <c r="U421" s="874"/>
      <c r="V421" s="874"/>
      <c r="W421" s="874"/>
      <c r="X421" s="874"/>
      <c r="Y421" s="874"/>
      <c r="Z421" s="874"/>
    </row>
    <row r="422" spans="1:26" ht="18" customHeight="1" x14ac:dyDescent="0.35">
      <c r="A422" s="874"/>
      <c r="B422" s="874"/>
      <c r="C422" s="874"/>
      <c r="D422" s="874"/>
      <c r="E422" s="874"/>
      <c r="F422" s="874"/>
      <c r="G422" s="874"/>
      <c r="H422" s="874"/>
      <c r="I422" s="874"/>
      <c r="J422" s="874"/>
      <c r="K422" s="874"/>
      <c r="L422" s="874"/>
      <c r="M422" s="874"/>
      <c r="N422" s="874"/>
      <c r="O422" s="874"/>
      <c r="P422" s="874"/>
      <c r="Q422" s="874"/>
      <c r="R422" s="874"/>
      <c r="S422" s="874"/>
      <c r="T422" s="874"/>
      <c r="U422" s="874"/>
      <c r="V422" s="874"/>
      <c r="W422" s="874"/>
      <c r="X422" s="874"/>
      <c r="Y422" s="874"/>
      <c r="Z422" s="874"/>
    </row>
    <row r="423" spans="1:26" ht="18" customHeight="1" x14ac:dyDescent="0.35">
      <c r="A423" s="874"/>
      <c r="B423" s="874"/>
      <c r="C423" s="874"/>
      <c r="D423" s="874"/>
      <c r="E423" s="874"/>
      <c r="F423" s="874"/>
      <c r="G423" s="874"/>
      <c r="H423" s="874"/>
      <c r="I423" s="874"/>
      <c r="J423" s="874"/>
      <c r="K423" s="874"/>
      <c r="L423" s="874"/>
      <c r="M423" s="874"/>
      <c r="N423" s="874"/>
      <c r="O423" s="874"/>
      <c r="P423" s="874"/>
      <c r="Q423" s="874"/>
      <c r="R423" s="874"/>
      <c r="S423" s="874"/>
      <c r="T423" s="874"/>
      <c r="U423" s="874"/>
      <c r="V423" s="874"/>
      <c r="W423" s="874"/>
      <c r="X423" s="874"/>
      <c r="Y423" s="874"/>
      <c r="Z423" s="874"/>
    </row>
    <row r="424" spans="1:26" ht="18" customHeight="1" x14ac:dyDescent="0.35">
      <c r="A424" s="874"/>
      <c r="B424" s="874"/>
      <c r="C424" s="874"/>
      <c r="D424" s="874"/>
      <c r="E424" s="874"/>
      <c r="F424" s="874"/>
      <c r="G424" s="874"/>
      <c r="H424" s="874"/>
      <c r="I424" s="874"/>
      <c r="J424" s="874"/>
      <c r="K424" s="874"/>
      <c r="L424" s="874"/>
      <c r="M424" s="874"/>
      <c r="N424" s="874"/>
      <c r="O424" s="874"/>
      <c r="P424" s="874"/>
      <c r="Q424" s="874"/>
      <c r="R424" s="874"/>
      <c r="S424" s="874"/>
      <c r="T424" s="874"/>
      <c r="U424" s="874"/>
      <c r="V424" s="874"/>
      <c r="W424" s="874"/>
      <c r="X424" s="874"/>
      <c r="Y424" s="874"/>
      <c r="Z424" s="874"/>
    </row>
    <row r="425" spans="1:26" ht="18" customHeight="1" x14ac:dyDescent="0.35">
      <c r="A425" s="874"/>
      <c r="B425" s="874"/>
      <c r="C425" s="874"/>
      <c r="D425" s="874"/>
      <c r="E425" s="874"/>
      <c r="F425" s="874"/>
      <c r="G425" s="874"/>
      <c r="H425" s="874"/>
      <c r="I425" s="874"/>
      <c r="J425" s="874"/>
      <c r="K425" s="874"/>
      <c r="L425" s="874"/>
      <c r="M425" s="874"/>
      <c r="N425" s="874"/>
      <c r="O425" s="874"/>
      <c r="P425" s="874"/>
      <c r="Q425" s="874"/>
      <c r="R425" s="874"/>
      <c r="S425" s="874"/>
      <c r="T425" s="874"/>
      <c r="U425" s="874"/>
      <c r="V425" s="874"/>
      <c r="W425" s="874"/>
      <c r="X425" s="874"/>
      <c r="Y425" s="874"/>
      <c r="Z425" s="874"/>
    </row>
    <row r="426" spans="1:26" ht="18" customHeight="1" x14ac:dyDescent="0.35">
      <c r="A426" s="874"/>
      <c r="B426" s="874"/>
      <c r="C426" s="874"/>
      <c r="D426" s="874"/>
      <c r="E426" s="874"/>
      <c r="F426" s="874"/>
      <c r="G426" s="874"/>
      <c r="H426" s="874"/>
      <c r="I426" s="874"/>
      <c r="J426" s="874"/>
      <c r="K426" s="874"/>
      <c r="L426" s="874"/>
      <c r="M426" s="874"/>
      <c r="N426" s="874"/>
      <c r="O426" s="874"/>
      <c r="P426" s="874"/>
      <c r="Q426" s="874"/>
      <c r="R426" s="874"/>
      <c r="S426" s="874"/>
      <c r="T426" s="874"/>
      <c r="U426" s="874"/>
      <c r="V426" s="874"/>
      <c r="W426" s="874"/>
      <c r="X426" s="874"/>
      <c r="Y426" s="874"/>
      <c r="Z426" s="874"/>
    </row>
    <row r="427" spans="1:26" ht="18" customHeight="1" x14ac:dyDescent="0.35">
      <c r="A427" s="874"/>
      <c r="B427" s="874"/>
      <c r="C427" s="874"/>
      <c r="D427" s="874"/>
      <c r="E427" s="874"/>
      <c r="F427" s="874"/>
      <c r="G427" s="874"/>
      <c r="H427" s="874"/>
      <c r="I427" s="874"/>
      <c r="J427" s="874"/>
      <c r="K427" s="874"/>
      <c r="L427" s="874"/>
      <c r="M427" s="874"/>
      <c r="N427" s="874"/>
      <c r="O427" s="874"/>
      <c r="P427" s="874"/>
      <c r="Q427" s="874"/>
      <c r="R427" s="874"/>
      <c r="S427" s="874"/>
      <c r="T427" s="874"/>
      <c r="U427" s="874"/>
      <c r="V427" s="874"/>
      <c r="W427" s="874"/>
      <c r="X427" s="874"/>
      <c r="Y427" s="874"/>
      <c r="Z427" s="874"/>
    </row>
    <row r="428" spans="1:26" ht="18" customHeight="1" x14ac:dyDescent="0.35">
      <c r="A428" s="874"/>
      <c r="B428" s="874"/>
      <c r="C428" s="874"/>
      <c r="D428" s="874"/>
      <c r="E428" s="874"/>
      <c r="F428" s="874"/>
      <c r="G428" s="874"/>
      <c r="H428" s="874"/>
      <c r="I428" s="874"/>
      <c r="J428" s="874"/>
      <c r="K428" s="874"/>
      <c r="L428" s="874"/>
      <c r="M428" s="874"/>
      <c r="N428" s="874"/>
      <c r="O428" s="874"/>
      <c r="P428" s="874"/>
      <c r="Q428" s="874"/>
      <c r="R428" s="874"/>
      <c r="S428" s="874"/>
      <c r="T428" s="874"/>
      <c r="U428" s="874"/>
      <c r="V428" s="874"/>
      <c r="W428" s="874"/>
      <c r="X428" s="874"/>
      <c r="Y428" s="874"/>
      <c r="Z428" s="874"/>
    </row>
    <row r="429" spans="1:26" ht="18" customHeight="1" x14ac:dyDescent="0.35">
      <c r="A429" s="874"/>
      <c r="B429" s="874"/>
      <c r="C429" s="874"/>
      <c r="D429" s="874"/>
      <c r="E429" s="874"/>
      <c r="F429" s="874"/>
      <c r="G429" s="874"/>
      <c r="H429" s="874"/>
      <c r="I429" s="874"/>
      <c r="J429" s="874"/>
      <c r="K429" s="874"/>
      <c r="L429" s="874"/>
      <c r="M429" s="874"/>
      <c r="N429" s="874"/>
      <c r="O429" s="874"/>
      <c r="P429" s="874"/>
      <c r="Q429" s="874"/>
      <c r="R429" s="874"/>
      <c r="S429" s="874"/>
      <c r="T429" s="874"/>
      <c r="U429" s="874"/>
      <c r="V429" s="874"/>
      <c r="W429" s="874"/>
      <c r="X429" s="874"/>
      <c r="Y429" s="874"/>
      <c r="Z429" s="874"/>
    </row>
    <row r="430" spans="1:26" ht="18" customHeight="1" x14ac:dyDescent="0.35">
      <c r="A430" s="874"/>
      <c r="B430" s="874"/>
      <c r="C430" s="874"/>
      <c r="D430" s="874"/>
      <c r="E430" s="874"/>
      <c r="F430" s="874"/>
      <c r="G430" s="874"/>
      <c r="H430" s="874"/>
      <c r="I430" s="874"/>
      <c r="J430" s="874"/>
      <c r="K430" s="874"/>
      <c r="L430" s="874"/>
      <c r="M430" s="874"/>
      <c r="N430" s="874"/>
      <c r="O430" s="874"/>
      <c r="P430" s="874"/>
      <c r="Q430" s="874"/>
      <c r="R430" s="874"/>
      <c r="S430" s="874"/>
      <c r="T430" s="874"/>
      <c r="U430" s="874"/>
      <c r="V430" s="874"/>
      <c r="W430" s="874"/>
      <c r="X430" s="874"/>
      <c r="Y430" s="874"/>
      <c r="Z430" s="874"/>
    </row>
    <row r="431" spans="1:26" ht="18" customHeight="1" x14ac:dyDescent="0.35">
      <c r="A431" s="874"/>
      <c r="B431" s="874"/>
      <c r="C431" s="874"/>
      <c r="D431" s="874"/>
      <c r="E431" s="874"/>
      <c r="F431" s="874"/>
      <c r="G431" s="874"/>
      <c r="H431" s="874"/>
      <c r="I431" s="874"/>
      <c r="J431" s="874"/>
      <c r="K431" s="874"/>
      <c r="L431" s="874"/>
      <c r="M431" s="874"/>
      <c r="N431" s="874"/>
      <c r="O431" s="874"/>
      <c r="P431" s="874"/>
      <c r="Q431" s="874"/>
      <c r="R431" s="874"/>
      <c r="S431" s="874"/>
      <c r="T431" s="874"/>
      <c r="U431" s="874"/>
      <c r="V431" s="874"/>
      <c r="W431" s="874"/>
      <c r="X431" s="874"/>
      <c r="Y431" s="874"/>
      <c r="Z431" s="874"/>
    </row>
    <row r="432" spans="1:26" ht="18" customHeight="1" x14ac:dyDescent="0.35">
      <c r="A432" s="874"/>
      <c r="B432" s="874"/>
      <c r="C432" s="874"/>
      <c r="D432" s="874"/>
      <c r="E432" s="874"/>
      <c r="F432" s="874"/>
      <c r="G432" s="874"/>
      <c r="H432" s="874"/>
      <c r="I432" s="874"/>
      <c r="J432" s="874"/>
      <c r="K432" s="874"/>
      <c r="L432" s="874"/>
      <c r="M432" s="874"/>
      <c r="N432" s="874"/>
      <c r="O432" s="874"/>
      <c r="P432" s="874"/>
      <c r="Q432" s="874"/>
      <c r="R432" s="874"/>
      <c r="S432" s="874"/>
      <c r="T432" s="874"/>
      <c r="U432" s="874"/>
      <c r="V432" s="874"/>
      <c r="W432" s="874"/>
      <c r="X432" s="874"/>
      <c r="Y432" s="874"/>
      <c r="Z432" s="874"/>
    </row>
    <row r="433" spans="1:26" ht="18" customHeight="1" x14ac:dyDescent="0.35">
      <c r="A433" s="874"/>
      <c r="B433" s="874"/>
      <c r="C433" s="874"/>
      <c r="D433" s="874"/>
      <c r="E433" s="874"/>
      <c r="F433" s="874"/>
      <c r="G433" s="874"/>
      <c r="H433" s="874"/>
      <c r="I433" s="874"/>
      <c r="J433" s="874"/>
      <c r="K433" s="874"/>
      <c r="L433" s="874"/>
      <c r="M433" s="874"/>
      <c r="N433" s="874"/>
      <c r="O433" s="874"/>
      <c r="P433" s="874"/>
      <c r="Q433" s="874"/>
      <c r="R433" s="874"/>
      <c r="S433" s="874"/>
      <c r="T433" s="874"/>
      <c r="U433" s="874"/>
      <c r="V433" s="874"/>
      <c r="W433" s="874"/>
      <c r="X433" s="874"/>
      <c r="Y433" s="874"/>
      <c r="Z433" s="874"/>
    </row>
    <row r="434" spans="1:26" ht="18" customHeight="1" x14ac:dyDescent="0.35">
      <c r="A434" s="874"/>
      <c r="B434" s="874"/>
      <c r="C434" s="874"/>
      <c r="D434" s="874"/>
      <c r="E434" s="874"/>
      <c r="F434" s="874"/>
      <c r="G434" s="874"/>
      <c r="H434" s="874"/>
      <c r="I434" s="874"/>
      <c r="J434" s="874"/>
      <c r="K434" s="874"/>
      <c r="L434" s="874"/>
      <c r="M434" s="874"/>
      <c r="N434" s="874"/>
      <c r="O434" s="874"/>
      <c r="P434" s="874"/>
      <c r="Q434" s="874"/>
      <c r="R434" s="874"/>
      <c r="S434" s="874"/>
      <c r="T434" s="874"/>
      <c r="U434" s="874"/>
      <c r="V434" s="874"/>
      <c r="W434" s="874"/>
      <c r="X434" s="874"/>
      <c r="Y434" s="874"/>
      <c r="Z434" s="874"/>
    </row>
    <row r="435" spans="1:26" ht="18" customHeight="1" x14ac:dyDescent="0.35">
      <c r="A435" s="874"/>
      <c r="B435" s="874"/>
      <c r="C435" s="874"/>
      <c r="D435" s="874"/>
      <c r="E435" s="874"/>
      <c r="F435" s="874"/>
      <c r="G435" s="874"/>
      <c r="H435" s="874"/>
      <c r="I435" s="874"/>
      <c r="J435" s="874"/>
      <c r="K435" s="874"/>
      <c r="L435" s="874"/>
      <c r="M435" s="874"/>
      <c r="N435" s="874"/>
      <c r="O435" s="874"/>
      <c r="P435" s="874"/>
      <c r="Q435" s="874"/>
      <c r="R435" s="874"/>
      <c r="S435" s="874"/>
      <c r="T435" s="874"/>
      <c r="U435" s="874"/>
      <c r="V435" s="874"/>
      <c r="W435" s="874"/>
      <c r="X435" s="874"/>
      <c r="Y435" s="874"/>
      <c r="Z435" s="874"/>
    </row>
    <row r="436" spans="1:26" ht="18" customHeight="1" x14ac:dyDescent="0.35">
      <c r="A436" s="874"/>
      <c r="B436" s="874"/>
      <c r="C436" s="874"/>
      <c r="D436" s="874"/>
      <c r="E436" s="874"/>
      <c r="F436" s="874"/>
      <c r="G436" s="874"/>
      <c r="H436" s="874"/>
      <c r="I436" s="874"/>
      <c r="J436" s="874"/>
      <c r="K436" s="874"/>
      <c r="L436" s="874"/>
      <c r="M436" s="874"/>
      <c r="N436" s="874"/>
      <c r="O436" s="874"/>
      <c r="P436" s="874"/>
      <c r="Q436" s="874"/>
      <c r="R436" s="874"/>
      <c r="S436" s="874"/>
      <c r="T436" s="874"/>
      <c r="U436" s="874"/>
      <c r="V436" s="874"/>
      <c r="W436" s="874"/>
      <c r="X436" s="874"/>
      <c r="Y436" s="874"/>
      <c r="Z436" s="874"/>
    </row>
    <row r="437" spans="1:26" ht="18" customHeight="1" x14ac:dyDescent="0.35">
      <c r="A437" s="874"/>
      <c r="B437" s="874"/>
      <c r="C437" s="874"/>
      <c r="D437" s="874"/>
      <c r="E437" s="874"/>
      <c r="F437" s="874"/>
      <c r="G437" s="874"/>
      <c r="H437" s="874"/>
      <c r="I437" s="874"/>
      <c r="J437" s="874"/>
      <c r="K437" s="874"/>
      <c r="L437" s="874"/>
      <c r="M437" s="874"/>
      <c r="N437" s="874"/>
      <c r="O437" s="874"/>
      <c r="P437" s="874"/>
      <c r="Q437" s="874"/>
      <c r="R437" s="874"/>
      <c r="S437" s="874"/>
      <c r="T437" s="874"/>
      <c r="U437" s="874"/>
      <c r="V437" s="874"/>
      <c r="W437" s="874"/>
      <c r="X437" s="874"/>
      <c r="Y437" s="874"/>
      <c r="Z437" s="874"/>
    </row>
    <row r="438" spans="1:26" ht="18" customHeight="1" x14ac:dyDescent="0.35">
      <c r="A438" s="874"/>
      <c r="B438" s="874"/>
      <c r="C438" s="874"/>
      <c r="D438" s="874"/>
      <c r="E438" s="874"/>
      <c r="F438" s="874"/>
      <c r="G438" s="874"/>
      <c r="H438" s="874"/>
      <c r="I438" s="874"/>
      <c r="J438" s="874"/>
      <c r="K438" s="874"/>
      <c r="L438" s="874"/>
      <c r="M438" s="874"/>
      <c r="N438" s="874"/>
      <c r="O438" s="874"/>
      <c r="P438" s="874"/>
      <c r="Q438" s="874"/>
      <c r="R438" s="874"/>
      <c r="S438" s="874"/>
      <c r="T438" s="874"/>
      <c r="U438" s="874"/>
      <c r="V438" s="874"/>
      <c r="W438" s="874"/>
      <c r="X438" s="874"/>
      <c r="Y438" s="874"/>
      <c r="Z438" s="874"/>
    </row>
    <row r="439" spans="1:26" ht="18" customHeight="1" x14ac:dyDescent="0.35">
      <c r="A439" s="874"/>
      <c r="B439" s="874"/>
      <c r="C439" s="874"/>
      <c r="D439" s="874"/>
      <c r="E439" s="874"/>
      <c r="F439" s="874"/>
      <c r="G439" s="874"/>
      <c r="H439" s="874"/>
      <c r="I439" s="874"/>
      <c r="J439" s="874"/>
      <c r="K439" s="874"/>
      <c r="L439" s="874"/>
      <c r="M439" s="874"/>
      <c r="N439" s="874"/>
      <c r="O439" s="874"/>
      <c r="P439" s="874"/>
      <c r="Q439" s="874"/>
      <c r="R439" s="874"/>
      <c r="S439" s="874"/>
      <c r="T439" s="874"/>
      <c r="U439" s="874"/>
      <c r="V439" s="874"/>
      <c r="W439" s="874"/>
      <c r="X439" s="874"/>
      <c r="Y439" s="874"/>
      <c r="Z439" s="874"/>
    </row>
    <row r="440" spans="1:26" ht="18" customHeight="1" x14ac:dyDescent="0.35">
      <c r="A440" s="874"/>
      <c r="B440" s="874"/>
      <c r="C440" s="874"/>
      <c r="D440" s="874"/>
      <c r="E440" s="874"/>
      <c r="F440" s="874"/>
      <c r="G440" s="874"/>
      <c r="H440" s="874"/>
      <c r="I440" s="874"/>
      <c r="J440" s="874"/>
      <c r="K440" s="874"/>
      <c r="L440" s="874"/>
      <c r="M440" s="874"/>
      <c r="N440" s="874"/>
      <c r="O440" s="874"/>
      <c r="P440" s="874"/>
      <c r="Q440" s="874"/>
      <c r="R440" s="874"/>
      <c r="S440" s="874"/>
      <c r="T440" s="874"/>
      <c r="U440" s="874"/>
      <c r="V440" s="874"/>
      <c r="W440" s="874"/>
      <c r="X440" s="874"/>
      <c r="Y440" s="874"/>
      <c r="Z440" s="874"/>
    </row>
    <row r="441" spans="1:26" ht="18" customHeight="1" x14ac:dyDescent="0.35">
      <c r="A441" s="874"/>
      <c r="B441" s="874"/>
      <c r="C441" s="874"/>
      <c r="D441" s="874"/>
      <c r="E441" s="874"/>
      <c r="F441" s="874"/>
      <c r="G441" s="874"/>
      <c r="H441" s="874"/>
      <c r="I441" s="874"/>
      <c r="J441" s="874"/>
      <c r="K441" s="874"/>
      <c r="L441" s="874"/>
      <c r="M441" s="874"/>
      <c r="N441" s="874"/>
      <c r="O441" s="874"/>
      <c r="P441" s="874"/>
      <c r="Q441" s="874"/>
      <c r="R441" s="874"/>
      <c r="S441" s="874"/>
      <c r="T441" s="874"/>
      <c r="U441" s="874"/>
      <c r="V441" s="874"/>
      <c r="W441" s="874"/>
      <c r="X441" s="874"/>
      <c r="Y441" s="874"/>
      <c r="Z441" s="874"/>
    </row>
    <row r="442" spans="1:26" ht="18" customHeight="1" x14ac:dyDescent="0.35">
      <c r="A442" s="874"/>
      <c r="B442" s="874"/>
      <c r="C442" s="874"/>
      <c r="D442" s="874"/>
      <c r="E442" s="874"/>
      <c r="F442" s="874"/>
      <c r="G442" s="874"/>
      <c r="H442" s="874"/>
      <c r="I442" s="874"/>
      <c r="J442" s="874"/>
      <c r="K442" s="874"/>
      <c r="L442" s="874"/>
      <c r="M442" s="874"/>
      <c r="N442" s="874"/>
      <c r="O442" s="874"/>
      <c r="P442" s="874"/>
      <c r="Q442" s="874"/>
      <c r="R442" s="874"/>
      <c r="S442" s="874"/>
      <c r="T442" s="874"/>
      <c r="U442" s="874"/>
      <c r="V442" s="874"/>
      <c r="W442" s="874"/>
      <c r="X442" s="874"/>
      <c r="Y442" s="874"/>
      <c r="Z442" s="874"/>
    </row>
    <row r="443" spans="1:26" ht="18" customHeight="1" x14ac:dyDescent="0.35">
      <c r="A443" s="874"/>
      <c r="B443" s="874"/>
      <c r="C443" s="874"/>
      <c r="D443" s="874"/>
      <c r="E443" s="874"/>
      <c r="F443" s="874"/>
      <c r="G443" s="874"/>
      <c r="H443" s="874"/>
      <c r="I443" s="874"/>
      <c r="J443" s="874"/>
      <c r="K443" s="874"/>
      <c r="L443" s="874"/>
      <c r="M443" s="874"/>
      <c r="N443" s="874"/>
      <c r="O443" s="874"/>
      <c r="P443" s="874"/>
      <c r="Q443" s="874"/>
      <c r="R443" s="874"/>
      <c r="S443" s="874"/>
      <c r="T443" s="874"/>
      <c r="U443" s="874"/>
      <c r="V443" s="874"/>
      <c r="W443" s="874"/>
      <c r="X443" s="874"/>
      <c r="Y443" s="874"/>
      <c r="Z443" s="874"/>
    </row>
    <row r="444" spans="1:26" ht="18" customHeight="1" x14ac:dyDescent="0.35">
      <c r="A444" s="874"/>
      <c r="B444" s="874"/>
      <c r="C444" s="874"/>
      <c r="D444" s="874"/>
      <c r="E444" s="874"/>
      <c r="F444" s="874"/>
      <c r="G444" s="874"/>
      <c r="H444" s="874"/>
      <c r="I444" s="874"/>
      <c r="J444" s="874"/>
      <c r="K444" s="874"/>
      <c r="L444" s="874"/>
      <c r="M444" s="874"/>
      <c r="N444" s="874"/>
      <c r="O444" s="874"/>
      <c r="P444" s="874"/>
      <c r="Q444" s="874"/>
      <c r="R444" s="874"/>
      <c r="S444" s="874"/>
      <c r="T444" s="874"/>
      <c r="U444" s="874"/>
      <c r="V444" s="874"/>
      <c r="W444" s="874"/>
      <c r="X444" s="874"/>
      <c r="Y444" s="874"/>
      <c r="Z444" s="874"/>
    </row>
    <row r="445" spans="1:26" ht="18" customHeight="1" x14ac:dyDescent="0.35">
      <c r="A445" s="874"/>
      <c r="B445" s="874"/>
      <c r="C445" s="874"/>
      <c r="D445" s="874"/>
      <c r="E445" s="874"/>
      <c r="F445" s="874"/>
      <c r="G445" s="874"/>
      <c r="H445" s="874"/>
      <c r="I445" s="874"/>
      <c r="J445" s="874"/>
      <c r="K445" s="874"/>
      <c r="L445" s="874"/>
      <c r="M445" s="874"/>
      <c r="N445" s="874"/>
      <c r="O445" s="874"/>
      <c r="P445" s="874"/>
      <c r="Q445" s="874"/>
      <c r="R445" s="874"/>
      <c r="S445" s="874"/>
      <c r="T445" s="874"/>
      <c r="U445" s="874"/>
      <c r="V445" s="874"/>
      <c r="W445" s="874"/>
      <c r="X445" s="874"/>
      <c r="Y445" s="874"/>
      <c r="Z445" s="874"/>
    </row>
    <row r="446" spans="1:26" ht="18" customHeight="1" x14ac:dyDescent="0.35">
      <c r="A446" s="874"/>
      <c r="B446" s="874"/>
      <c r="C446" s="874"/>
      <c r="D446" s="874"/>
      <c r="E446" s="874"/>
      <c r="F446" s="874"/>
      <c r="G446" s="874"/>
      <c r="H446" s="874"/>
      <c r="I446" s="874"/>
      <c r="J446" s="874"/>
      <c r="K446" s="874"/>
      <c r="L446" s="874"/>
      <c r="M446" s="874"/>
      <c r="N446" s="874"/>
      <c r="O446" s="874"/>
      <c r="P446" s="874"/>
      <c r="Q446" s="874"/>
      <c r="R446" s="874"/>
      <c r="S446" s="874"/>
      <c r="T446" s="874"/>
      <c r="U446" s="874"/>
      <c r="V446" s="874"/>
      <c r="W446" s="874"/>
      <c r="X446" s="874"/>
      <c r="Y446" s="874"/>
      <c r="Z446" s="874"/>
    </row>
    <row r="447" spans="1:26" ht="18" customHeight="1" x14ac:dyDescent="0.35">
      <c r="A447" s="874"/>
      <c r="B447" s="874"/>
      <c r="C447" s="874"/>
      <c r="D447" s="874"/>
      <c r="E447" s="874"/>
      <c r="F447" s="874"/>
      <c r="G447" s="874"/>
      <c r="H447" s="874"/>
      <c r="I447" s="874"/>
      <c r="J447" s="874"/>
      <c r="K447" s="874"/>
      <c r="L447" s="874"/>
      <c r="M447" s="874"/>
      <c r="N447" s="874"/>
      <c r="O447" s="874"/>
      <c r="P447" s="874"/>
      <c r="Q447" s="874"/>
      <c r="R447" s="874"/>
      <c r="S447" s="874"/>
      <c r="T447" s="874"/>
      <c r="U447" s="874"/>
      <c r="V447" s="874"/>
      <c r="W447" s="874"/>
      <c r="X447" s="874"/>
      <c r="Y447" s="874"/>
      <c r="Z447" s="874"/>
    </row>
    <row r="448" spans="1:26" ht="18" customHeight="1" x14ac:dyDescent="0.35">
      <c r="A448" s="874"/>
      <c r="B448" s="874"/>
      <c r="C448" s="874"/>
      <c r="D448" s="874"/>
      <c r="E448" s="874"/>
      <c r="F448" s="874"/>
      <c r="G448" s="874"/>
      <c r="H448" s="874"/>
      <c r="I448" s="874"/>
      <c r="J448" s="874"/>
      <c r="K448" s="874"/>
      <c r="L448" s="874"/>
      <c r="M448" s="874"/>
      <c r="N448" s="874"/>
      <c r="O448" s="874"/>
      <c r="P448" s="874"/>
      <c r="Q448" s="874"/>
      <c r="R448" s="874"/>
      <c r="S448" s="874"/>
      <c r="T448" s="874"/>
      <c r="U448" s="874"/>
      <c r="V448" s="874"/>
      <c r="W448" s="874"/>
      <c r="X448" s="874"/>
      <c r="Y448" s="874"/>
      <c r="Z448" s="874"/>
    </row>
    <row r="449" spans="1:26" ht="18" customHeight="1" x14ac:dyDescent="0.35">
      <c r="A449" s="874"/>
      <c r="B449" s="874"/>
      <c r="C449" s="874"/>
      <c r="D449" s="874"/>
      <c r="E449" s="874"/>
      <c r="F449" s="874"/>
      <c r="G449" s="874"/>
      <c r="H449" s="874"/>
      <c r="I449" s="874"/>
      <c r="J449" s="874"/>
      <c r="K449" s="874"/>
      <c r="L449" s="874"/>
      <c r="M449" s="874"/>
      <c r="N449" s="874"/>
      <c r="O449" s="874"/>
      <c r="P449" s="874"/>
      <c r="Q449" s="874"/>
      <c r="R449" s="874"/>
      <c r="S449" s="874"/>
      <c r="T449" s="874"/>
      <c r="U449" s="874"/>
      <c r="V449" s="874"/>
      <c r="W449" s="874"/>
      <c r="X449" s="874"/>
      <c r="Y449" s="874"/>
      <c r="Z449" s="874"/>
    </row>
    <row r="450" spans="1:26" ht="18" customHeight="1" x14ac:dyDescent="0.35">
      <c r="A450" s="874"/>
      <c r="B450" s="874"/>
      <c r="C450" s="874"/>
      <c r="D450" s="874"/>
      <c r="E450" s="874"/>
      <c r="F450" s="874"/>
      <c r="G450" s="874"/>
      <c r="H450" s="874"/>
      <c r="I450" s="874"/>
      <c r="J450" s="874"/>
      <c r="K450" s="874"/>
      <c r="L450" s="874"/>
      <c r="M450" s="874"/>
      <c r="N450" s="874"/>
      <c r="O450" s="874"/>
      <c r="P450" s="874"/>
      <c r="Q450" s="874"/>
      <c r="R450" s="874"/>
      <c r="S450" s="874"/>
      <c r="T450" s="874"/>
      <c r="U450" s="874"/>
      <c r="V450" s="874"/>
      <c r="W450" s="874"/>
      <c r="X450" s="874"/>
      <c r="Y450" s="874"/>
      <c r="Z450" s="874"/>
    </row>
    <row r="451" spans="1:26" ht="18" customHeight="1" x14ac:dyDescent="0.35">
      <c r="A451" s="874"/>
      <c r="B451" s="874"/>
      <c r="C451" s="874"/>
      <c r="D451" s="874"/>
      <c r="E451" s="874"/>
      <c r="F451" s="874"/>
      <c r="G451" s="874"/>
      <c r="H451" s="874"/>
      <c r="I451" s="874"/>
      <c r="J451" s="874"/>
      <c r="K451" s="874"/>
      <c r="L451" s="874"/>
      <c r="M451" s="874"/>
      <c r="N451" s="874"/>
      <c r="O451" s="874"/>
      <c r="P451" s="874"/>
      <c r="Q451" s="874"/>
      <c r="R451" s="874"/>
      <c r="S451" s="874"/>
      <c r="T451" s="874"/>
      <c r="U451" s="874"/>
      <c r="V451" s="874"/>
      <c r="W451" s="874"/>
      <c r="X451" s="874"/>
      <c r="Y451" s="874"/>
      <c r="Z451" s="874"/>
    </row>
    <row r="452" spans="1:26" ht="18" customHeight="1" x14ac:dyDescent="0.35">
      <c r="A452" s="874"/>
      <c r="B452" s="874"/>
      <c r="C452" s="874"/>
      <c r="D452" s="874"/>
      <c r="E452" s="874"/>
      <c r="F452" s="874"/>
      <c r="G452" s="874"/>
      <c r="H452" s="874"/>
      <c r="I452" s="874"/>
      <c r="J452" s="874"/>
      <c r="K452" s="874"/>
      <c r="L452" s="874"/>
      <c r="M452" s="874"/>
      <c r="N452" s="874"/>
      <c r="O452" s="874"/>
      <c r="P452" s="874"/>
      <c r="Q452" s="874"/>
      <c r="R452" s="874"/>
      <c r="S452" s="874"/>
      <c r="T452" s="874"/>
      <c r="U452" s="874"/>
      <c r="V452" s="874"/>
      <c r="W452" s="874"/>
      <c r="X452" s="874"/>
      <c r="Y452" s="874"/>
      <c r="Z452" s="874"/>
    </row>
    <row r="453" spans="1:26" ht="18" customHeight="1" x14ac:dyDescent="0.35">
      <c r="A453" s="874"/>
      <c r="B453" s="874"/>
      <c r="C453" s="874"/>
      <c r="D453" s="874"/>
      <c r="E453" s="874"/>
      <c r="F453" s="874"/>
      <c r="G453" s="874"/>
      <c r="H453" s="874"/>
      <c r="I453" s="874"/>
      <c r="J453" s="874"/>
      <c r="K453" s="874"/>
      <c r="L453" s="874"/>
      <c r="M453" s="874"/>
      <c r="N453" s="874"/>
      <c r="O453" s="874"/>
      <c r="P453" s="874"/>
      <c r="Q453" s="874"/>
      <c r="R453" s="874"/>
      <c r="S453" s="874"/>
      <c r="T453" s="874"/>
      <c r="U453" s="874"/>
      <c r="V453" s="874"/>
      <c r="W453" s="874"/>
      <c r="X453" s="874"/>
      <c r="Y453" s="874"/>
      <c r="Z453" s="874"/>
    </row>
    <row r="454" spans="1:26" ht="18" customHeight="1" x14ac:dyDescent="0.35">
      <c r="A454" s="874"/>
      <c r="B454" s="874"/>
      <c r="C454" s="874"/>
      <c r="D454" s="874"/>
      <c r="E454" s="874"/>
      <c r="F454" s="874"/>
      <c r="G454" s="874"/>
      <c r="H454" s="874"/>
      <c r="I454" s="874"/>
      <c r="J454" s="874"/>
      <c r="K454" s="874"/>
      <c r="L454" s="874"/>
      <c r="M454" s="874"/>
      <c r="N454" s="874"/>
      <c r="O454" s="874"/>
      <c r="P454" s="874"/>
      <c r="Q454" s="874"/>
      <c r="R454" s="874"/>
      <c r="S454" s="874"/>
      <c r="T454" s="874"/>
      <c r="U454" s="874"/>
      <c r="V454" s="874"/>
      <c r="W454" s="874"/>
      <c r="X454" s="874"/>
      <c r="Y454" s="874"/>
      <c r="Z454" s="874"/>
    </row>
    <row r="455" spans="1:26" ht="18" customHeight="1" x14ac:dyDescent="0.35">
      <c r="A455" s="874"/>
      <c r="B455" s="874"/>
      <c r="C455" s="874"/>
      <c r="D455" s="874"/>
      <c r="E455" s="874"/>
      <c r="F455" s="874"/>
      <c r="G455" s="874"/>
      <c r="H455" s="874"/>
      <c r="I455" s="874"/>
      <c r="J455" s="874"/>
      <c r="K455" s="874"/>
      <c r="L455" s="874"/>
      <c r="M455" s="874"/>
      <c r="N455" s="874"/>
      <c r="O455" s="874"/>
      <c r="P455" s="874"/>
      <c r="Q455" s="874"/>
      <c r="R455" s="874"/>
      <c r="S455" s="874"/>
      <c r="T455" s="874"/>
      <c r="U455" s="874"/>
      <c r="V455" s="874"/>
      <c r="W455" s="874"/>
      <c r="X455" s="874"/>
      <c r="Y455" s="874"/>
      <c r="Z455" s="874"/>
    </row>
    <row r="456" spans="1:26" ht="18" customHeight="1" x14ac:dyDescent="0.35">
      <c r="A456" s="874"/>
      <c r="B456" s="874"/>
      <c r="C456" s="874"/>
      <c r="D456" s="874"/>
      <c r="E456" s="874"/>
      <c r="F456" s="874"/>
      <c r="G456" s="874"/>
      <c r="H456" s="874"/>
      <c r="I456" s="874"/>
      <c r="J456" s="874"/>
      <c r="K456" s="874"/>
      <c r="L456" s="874"/>
      <c r="M456" s="874"/>
      <c r="N456" s="874"/>
      <c r="O456" s="874"/>
      <c r="P456" s="874"/>
      <c r="Q456" s="874"/>
      <c r="R456" s="874"/>
      <c r="S456" s="874"/>
      <c r="T456" s="874"/>
      <c r="U456" s="874"/>
      <c r="V456" s="874"/>
      <c r="W456" s="874"/>
      <c r="X456" s="874"/>
      <c r="Y456" s="874"/>
      <c r="Z456" s="874"/>
    </row>
    <row r="457" spans="1:26" ht="18" customHeight="1" x14ac:dyDescent="0.35">
      <c r="A457" s="874"/>
      <c r="B457" s="874"/>
      <c r="C457" s="874"/>
      <c r="D457" s="874"/>
      <c r="E457" s="874"/>
      <c r="F457" s="874"/>
      <c r="G457" s="874"/>
      <c r="H457" s="874"/>
      <c r="I457" s="874"/>
      <c r="J457" s="874"/>
      <c r="K457" s="874"/>
      <c r="L457" s="874"/>
      <c r="M457" s="874"/>
      <c r="N457" s="874"/>
      <c r="O457" s="874"/>
      <c r="P457" s="874"/>
      <c r="Q457" s="874"/>
      <c r="R457" s="874"/>
      <c r="S457" s="874"/>
      <c r="T457" s="874"/>
      <c r="U457" s="874"/>
      <c r="V457" s="874"/>
      <c r="W457" s="874"/>
      <c r="X457" s="874"/>
      <c r="Y457" s="874"/>
      <c r="Z457" s="874"/>
    </row>
    <row r="458" spans="1:26" ht="18" customHeight="1" x14ac:dyDescent="0.35">
      <c r="A458" s="874"/>
      <c r="B458" s="874"/>
      <c r="C458" s="874"/>
      <c r="D458" s="874"/>
      <c r="E458" s="874"/>
      <c r="F458" s="874"/>
      <c r="G458" s="874"/>
      <c r="H458" s="874"/>
      <c r="I458" s="874"/>
      <c r="J458" s="874"/>
      <c r="K458" s="874"/>
      <c r="L458" s="874"/>
      <c r="M458" s="874"/>
      <c r="N458" s="874"/>
      <c r="O458" s="874"/>
      <c r="P458" s="874"/>
      <c r="Q458" s="874"/>
      <c r="R458" s="874"/>
      <c r="S458" s="874"/>
      <c r="T458" s="874"/>
      <c r="U458" s="874"/>
      <c r="V458" s="874"/>
      <c r="W458" s="874"/>
      <c r="X458" s="874"/>
      <c r="Y458" s="874"/>
      <c r="Z458" s="874"/>
    </row>
    <row r="459" spans="1:26" ht="18" customHeight="1" x14ac:dyDescent="0.35">
      <c r="A459" s="874"/>
      <c r="B459" s="874"/>
      <c r="C459" s="874"/>
      <c r="D459" s="874"/>
      <c r="E459" s="874"/>
      <c r="F459" s="874"/>
      <c r="G459" s="874"/>
      <c r="H459" s="874"/>
      <c r="I459" s="874"/>
      <c r="J459" s="874"/>
      <c r="K459" s="874"/>
      <c r="L459" s="874"/>
      <c r="M459" s="874"/>
      <c r="N459" s="874"/>
      <c r="O459" s="874"/>
      <c r="P459" s="874"/>
      <c r="Q459" s="874"/>
      <c r="R459" s="874"/>
      <c r="S459" s="874"/>
      <c r="T459" s="874"/>
      <c r="U459" s="874"/>
      <c r="V459" s="874"/>
      <c r="W459" s="874"/>
      <c r="X459" s="874"/>
      <c r="Y459" s="874"/>
      <c r="Z459" s="874"/>
    </row>
    <row r="460" spans="1:26" ht="18" customHeight="1" x14ac:dyDescent="0.35">
      <c r="A460" s="874"/>
      <c r="B460" s="874"/>
      <c r="C460" s="874"/>
      <c r="D460" s="874"/>
      <c r="E460" s="874"/>
      <c r="F460" s="874"/>
      <c r="G460" s="874"/>
      <c r="H460" s="874"/>
      <c r="I460" s="874"/>
      <c r="J460" s="874"/>
      <c r="K460" s="874"/>
      <c r="L460" s="874"/>
      <c r="M460" s="874"/>
      <c r="N460" s="874"/>
      <c r="O460" s="874"/>
      <c r="P460" s="874"/>
      <c r="Q460" s="874"/>
      <c r="R460" s="874"/>
      <c r="S460" s="874"/>
      <c r="T460" s="874"/>
      <c r="U460" s="874"/>
      <c r="V460" s="874"/>
      <c r="W460" s="874"/>
      <c r="X460" s="874"/>
      <c r="Y460" s="874"/>
      <c r="Z460" s="874"/>
    </row>
    <row r="461" spans="1:26" ht="18" customHeight="1" x14ac:dyDescent="0.35">
      <c r="A461" s="874"/>
      <c r="B461" s="874"/>
      <c r="C461" s="874"/>
      <c r="D461" s="874"/>
      <c r="E461" s="874"/>
      <c r="F461" s="874"/>
      <c r="G461" s="874"/>
      <c r="H461" s="874"/>
      <c r="I461" s="874"/>
      <c r="J461" s="874"/>
      <c r="K461" s="874"/>
      <c r="L461" s="874"/>
      <c r="M461" s="874"/>
      <c r="N461" s="874"/>
      <c r="O461" s="874"/>
      <c r="P461" s="874"/>
      <c r="Q461" s="874"/>
      <c r="R461" s="874"/>
      <c r="S461" s="874"/>
      <c r="T461" s="874"/>
      <c r="U461" s="874"/>
      <c r="V461" s="874"/>
      <c r="W461" s="874"/>
      <c r="X461" s="874"/>
      <c r="Y461" s="874"/>
      <c r="Z461" s="874"/>
    </row>
    <row r="462" spans="1:26" ht="18" customHeight="1" x14ac:dyDescent="0.35">
      <c r="A462" s="874"/>
      <c r="B462" s="874"/>
      <c r="C462" s="874"/>
      <c r="D462" s="874"/>
      <c r="E462" s="874"/>
      <c r="F462" s="874"/>
      <c r="G462" s="874"/>
      <c r="H462" s="874"/>
      <c r="I462" s="874"/>
      <c r="J462" s="874"/>
      <c r="K462" s="874"/>
      <c r="L462" s="874"/>
      <c r="M462" s="874"/>
      <c r="N462" s="874"/>
      <c r="O462" s="874"/>
      <c r="P462" s="874"/>
      <c r="Q462" s="874"/>
      <c r="R462" s="874"/>
      <c r="S462" s="874"/>
      <c r="T462" s="874"/>
      <c r="U462" s="874"/>
      <c r="V462" s="874"/>
      <c r="W462" s="874"/>
      <c r="X462" s="874"/>
      <c r="Y462" s="874"/>
      <c r="Z462" s="874"/>
    </row>
    <row r="463" spans="1:26" ht="18" customHeight="1" x14ac:dyDescent="0.35">
      <c r="A463" s="874"/>
      <c r="B463" s="874"/>
      <c r="C463" s="874"/>
      <c r="D463" s="874"/>
      <c r="E463" s="874"/>
      <c r="F463" s="874"/>
      <c r="G463" s="874"/>
      <c r="H463" s="874"/>
      <c r="I463" s="874"/>
      <c r="J463" s="874"/>
      <c r="K463" s="874"/>
      <c r="L463" s="874"/>
      <c r="M463" s="874"/>
      <c r="N463" s="874"/>
      <c r="O463" s="874"/>
      <c r="P463" s="874"/>
      <c r="Q463" s="874"/>
      <c r="R463" s="874"/>
      <c r="S463" s="874"/>
      <c r="T463" s="874"/>
      <c r="U463" s="874"/>
      <c r="V463" s="874"/>
      <c r="W463" s="874"/>
      <c r="X463" s="874"/>
      <c r="Y463" s="874"/>
      <c r="Z463" s="874"/>
    </row>
    <row r="464" spans="1:26" ht="18" customHeight="1" x14ac:dyDescent="0.35">
      <c r="A464" s="874"/>
      <c r="B464" s="874"/>
      <c r="C464" s="874"/>
      <c r="D464" s="874"/>
      <c r="E464" s="874"/>
      <c r="F464" s="874"/>
      <c r="G464" s="874"/>
      <c r="H464" s="874"/>
      <c r="I464" s="874"/>
      <c r="J464" s="874"/>
      <c r="K464" s="874"/>
      <c r="L464" s="874"/>
      <c r="M464" s="874"/>
      <c r="N464" s="874"/>
      <c r="O464" s="874"/>
      <c r="P464" s="874"/>
      <c r="Q464" s="874"/>
      <c r="R464" s="874"/>
      <c r="S464" s="874"/>
      <c r="T464" s="874"/>
      <c r="U464" s="874"/>
      <c r="V464" s="874"/>
      <c r="W464" s="874"/>
      <c r="X464" s="874"/>
      <c r="Y464" s="874"/>
      <c r="Z464" s="874"/>
    </row>
    <row r="465" spans="1:26" ht="18" customHeight="1" x14ac:dyDescent="0.35">
      <c r="A465" s="874"/>
      <c r="B465" s="874"/>
      <c r="C465" s="874"/>
      <c r="D465" s="874"/>
      <c r="E465" s="874"/>
      <c r="F465" s="874"/>
      <c r="G465" s="874"/>
      <c r="H465" s="874"/>
      <c r="I465" s="874"/>
      <c r="J465" s="874"/>
      <c r="K465" s="874"/>
      <c r="L465" s="874"/>
      <c r="M465" s="874"/>
      <c r="N465" s="874"/>
      <c r="O465" s="874"/>
      <c r="P465" s="874"/>
      <c r="Q465" s="874"/>
      <c r="R465" s="874"/>
      <c r="S465" s="874"/>
      <c r="T465" s="874"/>
      <c r="U465" s="874"/>
      <c r="V465" s="874"/>
      <c r="W465" s="874"/>
      <c r="X465" s="874"/>
      <c r="Y465" s="874"/>
      <c r="Z465" s="874"/>
    </row>
    <row r="466" spans="1:26" ht="18" customHeight="1" x14ac:dyDescent="0.35">
      <c r="A466" s="874"/>
      <c r="B466" s="874"/>
      <c r="C466" s="874"/>
      <c r="D466" s="874"/>
      <c r="E466" s="874"/>
      <c r="F466" s="874"/>
      <c r="G466" s="874"/>
      <c r="H466" s="874"/>
      <c r="I466" s="874"/>
      <c r="J466" s="874"/>
      <c r="K466" s="874"/>
      <c r="L466" s="874"/>
      <c r="M466" s="874"/>
      <c r="N466" s="874"/>
      <c r="O466" s="874"/>
      <c r="P466" s="874"/>
      <c r="Q466" s="874"/>
      <c r="R466" s="874"/>
      <c r="S466" s="874"/>
      <c r="T466" s="874"/>
      <c r="U466" s="874"/>
      <c r="V466" s="874"/>
      <c r="W466" s="874"/>
      <c r="X466" s="874"/>
      <c r="Y466" s="874"/>
      <c r="Z466" s="874"/>
    </row>
    <row r="467" spans="1:26" ht="18" customHeight="1" x14ac:dyDescent="0.35">
      <c r="A467" s="874"/>
      <c r="B467" s="874"/>
      <c r="C467" s="874"/>
      <c r="D467" s="874"/>
      <c r="E467" s="874"/>
      <c r="F467" s="874"/>
      <c r="G467" s="874"/>
      <c r="H467" s="874"/>
      <c r="I467" s="874"/>
      <c r="J467" s="874"/>
      <c r="K467" s="874"/>
      <c r="L467" s="874"/>
      <c r="M467" s="874"/>
      <c r="N467" s="874"/>
      <c r="O467" s="874"/>
      <c r="P467" s="874"/>
      <c r="Q467" s="874"/>
      <c r="R467" s="874"/>
      <c r="S467" s="874"/>
      <c r="T467" s="874"/>
      <c r="U467" s="874"/>
      <c r="V467" s="874"/>
      <c r="W467" s="874"/>
      <c r="X467" s="874"/>
      <c r="Y467" s="874"/>
      <c r="Z467" s="874"/>
    </row>
    <row r="468" spans="1:26" ht="18" customHeight="1" x14ac:dyDescent="0.35">
      <c r="A468" s="874"/>
      <c r="B468" s="874"/>
      <c r="C468" s="874"/>
      <c r="D468" s="874"/>
      <c r="E468" s="874"/>
      <c r="F468" s="874"/>
      <c r="G468" s="874"/>
      <c r="H468" s="874"/>
      <c r="I468" s="874"/>
      <c r="J468" s="874"/>
      <c r="K468" s="874"/>
      <c r="L468" s="874"/>
      <c r="M468" s="874"/>
      <c r="N468" s="874"/>
      <c r="O468" s="874"/>
      <c r="P468" s="874"/>
      <c r="Q468" s="874"/>
      <c r="R468" s="874"/>
      <c r="S468" s="874"/>
      <c r="T468" s="874"/>
      <c r="U468" s="874"/>
      <c r="V468" s="874"/>
      <c r="W468" s="874"/>
      <c r="X468" s="874"/>
      <c r="Y468" s="874"/>
      <c r="Z468" s="874"/>
    </row>
    <row r="469" spans="1:26" ht="18" customHeight="1" x14ac:dyDescent="0.35">
      <c r="A469" s="874"/>
      <c r="B469" s="874"/>
      <c r="C469" s="874"/>
      <c r="D469" s="874"/>
      <c r="E469" s="874"/>
      <c r="F469" s="874"/>
      <c r="G469" s="874"/>
      <c r="H469" s="874"/>
      <c r="I469" s="874"/>
      <c r="J469" s="874"/>
      <c r="K469" s="874"/>
      <c r="L469" s="874"/>
      <c r="M469" s="874"/>
      <c r="N469" s="874"/>
      <c r="O469" s="874"/>
      <c r="P469" s="874"/>
      <c r="Q469" s="874"/>
      <c r="R469" s="874"/>
      <c r="S469" s="874"/>
      <c r="T469" s="874"/>
      <c r="U469" s="874"/>
      <c r="V469" s="874"/>
      <c r="W469" s="874"/>
      <c r="X469" s="874"/>
      <c r="Y469" s="874"/>
      <c r="Z469" s="874"/>
    </row>
    <row r="470" spans="1:26" ht="18" customHeight="1" x14ac:dyDescent="0.35">
      <c r="A470" s="874"/>
      <c r="B470" s="874"/>
      <c r="C470" s="874"/>
      <c r="D470" s="874"/>
      <c r="E470" s="874"/>
      <c r="F470" s="874"/>
      <c r="G470" s="874"/>
      <c r="H470" s="874"/>
      <c r="I470" s="874"/>
      <c r="J470" s="874"/>
      <c r="K470" s="874"/>
      <c r="L470" s="874"/>
      <c r="M470" s="874"/>
      <c r="N470" s="874"/>
      <c r="O470" s="874"/>
      <c r="P470" s="874"/>
      <c r="Q470" s="874"/>
      <c r="R470" s="874"/>
      <c r="S470" s="874"/>
      <c r="T470" s="874"/>
      <c r="U470" s="874"/>
      <c r="V470" s="874"/>
      <c r="W470" s="874"/>
      <c r="X470" s="874"/>
      <c r="Y470" s="874"/>
      <c r="Z470" s="874"/>
    </row>
    <row r="471" spans="1:26" ht="18" customHeight="1" x14ac:dyDescent="0.35">
      <c r="A471" s="874"/>
      <c r="B471" s="874"/>
      <c r="C471" s="874"/>
      <c r="D471" s="874"/>
      <c r="E471" s="874"/>
      <c r="F471" s="874"/>
      <c r="G471" s="874"/>
      <c r="H471" s="874"/>
      <c r="I471" s="874"/>
      <c r="J471" s="874"/>
      <c r="K471" s="874"/>
      <c r="L471" s="874"/>
      <c r="M471" s="874"/>
      <c r="N471" s="874"/>
      <c r="O471" s="874"/>
      <c r="P471" s="874"/>
      <c r="Q471" s="874"/>
      <c r="R471" s="874"/>
      <c r="S471" s="874"/>
      <c r="T471" s="874"/>
      <c r="U471" s="874"/>
      <c r="V471" s="874"/>
      <c r="W471" s="874"/>
      <c r="X471" s="874"/>
      <c r="Y471" s="874"/>
      <c r="Z471" s="874"/>
    </row>
    <row r="472" spans="1:26" ht="18" customHeight="1" x14ac:dyDescent="0.35">
      <c r="A472" s="874"/>
      <c r="B472" s="874"/>
      <c r="C472" s="874"/>
      <c r="D472" s="874"/>
      <c r="E472" s="874"/>
      <c r="F472" s="874"/>
      <c r="G472" s="874"/>
      <c r="H472" s="874"/>
      <c r="I472" s="874"/>
      <c r="J472" s="874"/>
      <c r="K472" s="874"/>
      <c r="L472" s="874"/>
      <c r="M472" s="874"/>
      <c r="N472" s="874"/>
      <c r="O472" s="874"/>
      <c r="P472" s="874"/>
      <c r="Q472" s="874"/>
      <c r="R472" s="874"/>
      <c r="S472" s="874"/>
      <c r="T472" s="874"/>
      <c r="U472" s="874"/>
      <c r="V472" s="874"/>
      <c r="W472" s="874"/>
      <c r="X472" s="874"/>
      <c r="Y472" s="874"/>
      <c r="Z472" s="874"/>
    </row>
    <row r="473" spans="1:26" ht="18" customHeight="1" x14ac:dyDescent="0.35">
      <c r="A473" s="874"/>
      <c r="B473" s="874"/>
      <c r="C473" s="874"/>
      <c r="D473" s="874"/>
      <c r="E473" s="874"/>
      <c r="F473" s="874"/>
      <c r="G473" s="874"/>
      <c r="H473" s="874"/>
      <c r="I473" s="874"/>
      <c r="J473" s="874"/>
      <c r="K473" s="874"/>
      <c r="L473" s="874"/>
      <c r="M473" s="874"/>
      <c r="N473" s="874"/>
      <c r="O473" s="874"/>
      <c r="P473" s="874"/>
      <c r="Q473" s="874"/>
      <c r="R473" s="874"/>
      <c r="S473" s="874"/>
      <c r="T473" s="874"/>
      <c r="U473" s="874"/>
      <c r="V473" s="874"/>
      <c r="W473" s="874"/>
      <c r="X473" s="874"/>
      <c r="Y473" s="874"/>
      <c r="Z473" s="874"/>
    </row>
    <row r="474" spans="1:26" ht="18" customHeight="1" x14ac:dyDescent="0.35">
      <c r="A474" s="874"/>
      <c r="B474" s="874"/>
      <c r="C474" s="874"/>
      <c r="D474" s="874"/>
      <c r="E474" s="874"/>
      <c r="F474" s="874"/>
      <c r="G474" s="874"/>
      <c r="H474" s="874"/>
      <c r="I474" s="874"/>
      <c r="J474" s="874"/>
      <c r="K474" s="874"/>
      <c r="L474" s="874"/>
      <c r="M474" s="874"/>
      <c r="N474" s="874"/>
      <c r="O474" s="874"/>
      <c r="P474" s="874"/>
      <c r="Q474" s="874"/>
      <c r="R474" s="874"/>
      <c r="S474" s="874"/>
      <c r="T474" s="874"/>
      <c r="U474" s="874"/>
      <c r="V474" s="874"/>
      <c r="W474" s="874"/>
      <c r="X474" s="874"/>
      <c r="Y474" s="874"/>
      <c r="Z474" s="874"/>
    </row>
    <row r="475" spans="1:26" ht="18" customHeight="1" x14ac:dyDescent="0.35">
      <c r="A475" s="874"/>
      <c r="B475" s="874"/>
      <c r="C475" s="874"/>
      <c r="D475" s="874"/>
      <c r="E475" s="874"/>
      <c r="F475" s="874"/>
      <c r="G475" s="874"/>
      <c r="H475" s="874"/>
      <c r="I475" s="874"/>
      <c r="J475" s="874"/>
      <c r="K475" s="874"/>
      <c r="L475" s="874"/>
      <c r="M475" s="874"/>
      <c r="N475" s="874"/>
      <c r="O475" s="874"/>
      <c r="P475" s="874"/>
      <c r="Q475" s="874"/>
      <c r="R475" s="874"/>
      <c r="S475" s="874"/>
      <c r="T475" s="874"/>
      <c r="U475" s="874"/>
      <c r="V475" s="874"/>
      <c r="W475" s="874"/>
      <c r="X475" s="874"/>
      <c r="Y475" s="874"/>
      <c r="Z475" s="874"/>
    </row>
    <row r="476" spans="1:26" ht="18" customHeight="1" x14ac:dyDescent="0.35">
      <c r="A476" s="874"/>
      <c r="B476" s="874"/>
      <c r="C476" s="874"/>
      <c r="D476" s="874"/>
      <c r="E476" s="874"/>
      <c r="F476" s="874"/>
      <c r="G476" s="874"/>
      <c r="H476" s="874"/>
      <c r="I476" s="874"/>
      <c r="J476" s="874"/>
      <c r="K476" s="874"/>
      <c r="L476" s="874"/>
      <c r="M476" s="874"/>
      <c r="N476" s="874"/>
      <c r="O476" s="874"/>
      <c r="P476" s="874"/>
      <c r="Q476" s="874"/>
      <c r="R476" s="874"/>
      <c r="S476" s="874"/>
      <c r="T476" s="874"/>
      <c r="U476" s="874"/>
      <c r="V476" s="874"/>
      <c r="W476" s="874"/>
      <c r="X476" s="874"/>
      <c r="Y476" s="874"/>
      <c r="Z476" s="874"/>
    </row>
    <row r="477" spans="1:26" ht="18" customHeight="1" x14ac:dyDescent="0.35">
      <c r="A477" s="874"/>
      <c r="B477" s="874"/>
      <c r="C477" s="874"/>
      <c r="D477" s="874"/>
      <c r="E477" s="874"/>
      <c r="F477" s="874"/>
      <c r="G477" s="874"/>
      <c r="H477" s="874"/>
      <c r="I477" s="874"/>
      <c r="J477" s="874"/>
      <c r="K477" s="874"/>
      <c r="L477" s="874"/>
      <c r="M477" s="874"/>
      <c r="N477" s="874"/>
      <c r="O477" s="874"/>
      <c r="P477" s="874"/>
      <c r="Q477" s="874"/>
      <c r="R477" s="874"/>
      <c r="S477" s="874"/>
      <c r="T477" s="874"/>
      <c r="U477" s="874"/>
      <c r="V477" s="874"/>
      <c r="W477" s="874"/>
      <c r="X477" s="874"/>
      <c r="Y477" s="874"/>
      <c r="Z477" s="874"/>
    </row>
    <row r="478" spans="1:26" ht="18" customHeight="1" x14ac:dyDescent="0.35">
      <c r="A478" s="874"/>
      <c r="B478" s="874"/>
      <c r="C478" s="874"/>
      <c r="D478" s="874"/>
      <c r="E478" s="874"/>
      <c r="F478" s="874"/>
      <c r="G478" s="874"/>
      <c r="H478" s="874"/>
      <c r="I478" s="874"/>
      <c r="J478" s="874"/>
      <c r="K478" s="874"/>
      <c r="L478" s="874"/>
      <c r="M478" s="874"/>
      <c r="N478" s="874"/>
      <c r="O478" s="874"/>
      <c r="P478" s="874"/>
      <c r="Q478" s="874"/>
      <c r="R478" s="874"/>
      <c r="S478" s="874"/>
      <c r="T478" s="874"/>
      <c r="U478" s="874"/>
      <c r="V478" s="874"/>
      <c r="W478" s="874"/>
      <c r="X478" s="874"/>
      <c r="Y478" s="874"/>
      <c r="Z478" s="874"/>
    </row>
    <row r="479" spans="1:26" ht="18" customHeight="1" x14ac:dyDescent="0.35">
      <c r="A479" s="874"/>
      <c r="B479" s="874"/>
      <c r="C479" s="874"/>
      <c r="D479" s="874"/>
      <c r="E479" s="874"/>
      <c r="F479" s="874"/>
      <c r="G479" s="874"/>
      <c r="H479" s="874"/>
      <c r="I479" s="874"/>
      <c r="J479" s="874"/>
      <c r="K479" s="874"/>
      <c r="L479" s="874"/>
      <c r="M479" s="874"/>
      <c r="N479" s="874"/>
      <c r="O479" s="874"/>
      <c r="P479" s="874"/>
      <c r="Q479" s="874"/>
      <c r="R479" s="874"/>
      <c r="S479" s="874"/>
      <c r="T479" s="874"/>
      <c r="U479" s="874"/>
      <c r="V479" s="874"/>
      <c r="W479" s="874"/>
      <c r="X479" s="874"/>
      <c r="Y479" s="874"/>
      <c r="Z479" s="874"/>
    </row>
    <row r="480" spans="1:26" ht="18" customHeight="1" x14ac:dyDescent="0.35">
      <c r="A480" s="874"/>
      <c r="B480" s="874"/>
      <c r="C480" s="874"/>
      <c r="D480" s="874"/>
      <c r="E480" s="874"/>
      <c r="F480" s="874"/>
      <c r="G480" s="874"/>
      <c r="H480" s="874"/>
      <c r="I480" s="874"/>
      <c r="J480" s="874"/>
      <c r="K480" s="874"/>
      <c r="L480" s="874"/>
      <c r="M480" s="874"/>
      <c r="N480" s="874"/>
      <c r="O480" s="874"/>
      <c r="P480" s="874"/>
      <c r="Q480" s="874"/>
      <c r="R480" s="874"/>
      <c r="S480" s="874"/>
      <c r="T480" s="874"/>
      <c r="U480" s="874"/>
      <c r="V480" s="874"/>
      <c r="W480" s="874"/>
      <c r="X480" s="874"/>
      <c r="Y480" s="874"/>
      <c r="Z480" s="874"/>
    </row>
    <row r="481" spans="1:26" ht="18" customHeight="1" x14ac:dyDescent="0.35">
      <c r="A481" s="874"/>
      <c r="B481" s="874"/>
      <c r="C481" s="874"/>
      <c r="D481" s="874"/>
      <c r="E481" s="874"/>
      <c r="F481" s="874"/>
      <c r="G481" s="874"/>
      <c r="H481" s="874"/>
      <c r="I481" s="874"/>
      <c r="J481" s="874"/>
      <c r="K481" s="874"/>
      <c r="L481" s="874"/>
      <c r="M481" s="874"/>
      <c r="N481" s="874"/>
      <c r="O481" s="874"/>
      <c r="P481" s="874"/>
      <c r="Q481" s="874"/>
      <c r="R481" s="874"/>
      <c r="S481" s="874"/>
      <c r="T481" s="874"/>
      <c r="U481" s="874"/>
      <c r="V481" s="874"/>
      <c r="W481" s="874"/>
      <c r="X481" s="874"/>
      <c r="Y481" s="874"/>
      <c r="Z481" s="874"/>
    </row>
    <row r="482" spans="1:26" ht="18" customHeight="1" x14ac:dyDescent="0.35">
      <c r="A482" s="874"/>
      <c r="B482" s="874"/>
      <c r="C482" s="874"/>
      <c r="D482" s="874"/>
      <c r="E482" s="874"/>
      <c r="F482" s="874"/>
      <c r="G482" s="874"/>
      <c r="H482" s="874"/>
      <c r="I482" s="874"/>
      <c r="J482" s="874"/>
      <c r="K482" s="874"/>
      <c r="L482" s="874"/>
      <c r="M482" s="874"/>
      <c r="N482" s="874"/>
      <c r="O482" s="874"/>
      <c r="P482" s="874"/>
      <c r="Q482" s="874"/>
      <c r="R482" s="874"/>
      <c r="S482" s="874"/>
      <c r="T482" s="874"/>
      <c r="U482" s="874"/>
      <c r="V482" s="874"/>
      <c r="W482" s="874"/>
      <c r="X482" s="874"/>
      <c r="Y482" s="874"/>
      <c r="Z482" s="874"/>
    </row>
    <row r="483" spans="1:26" ht="18" customHeight="1" x14ac:dyDescent="0.35">
      <c r="A483" s="874"/>
      <c r="B483" s="874"/>
      <c r="C483" s="874"/>
      <c r="D483" s="874"/>
      <c r="E483" s="874"/>
      <c r="F483" s="874"/>
      <c r="G483" s="874"/>
      <c r="H483" s="874"/>
      <c r="I483" s="874"/>
      <c r="J483" s="874"/>
      <c r="K483" s="874"/>
      <c r="L483" s="874"/>
      <c r="M483" s="874"/>
      <c r="N483" s="874"/>
      <c r="O483" s="874"/>
      <c r="P483" s="874"/>
      <c r="Q483" s="874"/>
      <c r="R483" s="874"/>
      <c r="S483" s="874"/>
      <c r="T483" s="874"/>
      <c r="U483" s="874"/>
      <c r="V483" s="874"/>
      <c r="W483" s="874"/>
      <c r="X483" s="874"/>
      <c r="Y483" s="874"/>
      <c r="Z483" s="874"/>
    </row>
    <row r="484" spans="1:26" ht="18" customHeight="1" x14ac:dyDescent="0.35">
      <c r="A484" s="874"/>
      <c r="B484" s="874"/>
      <c r="C484" s="874"/>
      <c r="D484" s="874"/>
      <c r="E484" s="874"/>
      <c r="F484" s="874"/>
      <c r="G484" s="874"/>
      <c r="H484" s="874"/>
      <c r="I484" s="874"/>
      <c r="J484" s="874"/>
      <c r="K484" s="874"/>
      <c r="L484" s="874"/>
      <c r="M484" s="874"/>
      <c r="N484" s="874"/>
      <c r="O484" s="874"/>
      <c r="P484" s="874"/>
      <c r="Q484" s="874"/>
      <c r="R484" s="874"/>
      <c r="S484" s="874"/>
      <c r="T484" s="874"/>
      <c r="U484" s="874"/>
      <c r="V484" s="874"/>
      <c r="W484" s="874"/>
      <c r="X484" s="874"/>
      <c r="Y484" s="874"/>
      <c r="Z484" s="874"/>
    </row>
    <row r="485" spans="1:26" ht="18" customHeight="1" x14ac:dyDescent="0.35">
      <c r="A485" s="874"/>
      <c r="B485" s="874"/>
      <c r="C485" s="874"/>
      <c r="D485" s="874"/>
      <c r="E485" s="874"/>
      <c r="F485" s="874"/>
      <c r="G485" s="874"/>
      <c r="H485" s="874"/>
      <c r="I485" s="874"/>
      <c r="J485" s="874"/>
      <c r="K485" s="874"/>
      <c r="L485" s="874"/>
      <c r="M485" s="874"/>
      <c r="N485" s="874"/>
      <c r="O485" s="874"/>
      <c r="P485" s="874"/>
      <c r="Q485" s="874"/>
      <c r="R485" s="874"/>
      <c r="S485" s="874"/>
      <c r="T485" s="874"/>
      <c r="U485" s="874"/>
      <c r="V485" s="874"/>
      <c r="W485" s="874"/>
      <c r="X485" s="874"/>
      <c r="Y485" s="874"/>
      <c r="Z485" s="874"/>
    </row>
    <row r="486" spans="1:26" ht="18" customHeight="1" x14ac:dyDescent="0.35">
      <c r="A486" s="874"/>
      <c r="B486" s="874"/>
      <c r="C486" s="874"/>
      <c r="D486" s="874"/>
      <c r="E486" s="874"/>
      <c r="F486" s="874"/>
      <c r="G486" s="874"/>
      <c r="H486" s="874"/>
      <c r="I486" s="874"/>
      <c r="J486" s="874"/>
      <c r="K486" s="874"/>
      <c r="L486" s="874"/>
      <c r="M486" s="874"/>
      <c r="N486" s="874"/>
      <c r="O486" s="874"/>
      <c r="P486" s="874"/>
      <c r="Q486" s="874"/>
      <c r="R486" s="874"/>
      <c r="S486" s="874"/>
      <c r="T486" s="874"/>
      <c r="U486" s="874"/>
      <c r="V486" s="874"/>
      <c r="W486" s="874"/>
      <c r="X486" s="874"/>
      <c r="Y486" s="874"/>
      <c r="Z486" s="874"/>
    </row>
    <row r="487" spans="1:26" ht="18" customHeight="1" x14ac:dyDescent="0.35">
      <c r="A487" s="874"/>
      <c r="B487" s="874"/>
      <c r="C487" s="874"/>
      <c r="D487" s="874"/>
      <c r="E487" s="874"/>
      <c r="F487" s="874"/>
      <c r="G487" s="874"/>
      <c r="H487" s="874"/>
      <c r="I487" s="874"/>
      <c r="J487" s="874"/>
      <c r="K487" s="874"/>
      <c r="L487" s="874"/>
      <c r="M487" s="874"/>
      <c r="N487" s="874"/>
      <c r="O487" s="874"/>
      <c r="P487" s="874"/>
      <c r="Q487" s="874"/>
      <c r="R487" s="874"/>
      <c r="S487" s="874"/>
      <c r="T487" s="874"/>
      <c r="U487" s="874"/>
      <c r="V487" s="874"/>
      <c r="W487" s="874"/>
      <c r="X487" s="874"/>
      <c r="Y487" s="874"/>
      <c r="Z487" s="874"/>
    </row>
    <row r="488" spans="1:26" ht="18" customHeight="1" x14ac:dyDescent="0.35">
      <c r="A488" s="874"/>
      <c r="B488" s="874"/>
      <c r="C488" s="874"/>
      <c r="D488" s="874"/>
      <c r="E488" s="874"/>
      <c r="F488" s="874"/>
      <c r="G488" s="874"/>
      <c r="H488" s="874"/>
      <c r="I488" s="874"/>
      <c r="J488" s="874"/>
      <c r="K488" s="874"/>
      <c r="L488" s="874"/>
      <c r="M488" s="874"/>
      <c r="N488" s="874"/>
      <c r="O488" s="874"/>
      <c r="P488" s="874"/>
      <c r="Q488" s="874"/>
      <c r="R488" s="874"/>
      <c r="S488" s="874"/>
      <c r="T488" s="874"/>
      <c r="U488" s="874"/>
      <c r="V488" s="874"/>
      <c r="W488" s="874"/>
      <c r="X488" s="874"/>
      <c r="Y488" s="874"/>
      <c r="Z488" s="874"/>
    </row>
    <row r="489" spans="1:26" ht="18" customHeight="1" x14ac:dyDescent="0.35">
      <c r="A489" s="874"/>
      <c r="B489" s="874"/>
      <c r="C489" s="874"/>
      <c r="D489" s="874"/>
      <c r="E489" s="874"/>
      <c r="F489" s="874"/>
      <c r="G489" s="874"/>
      <c r="H489" s="874"/>
      <c r="I489" s="874"/>
      <c r="J489" s="874"/>
      <c r="K489" s="874"/>
      <c r="L489" s="874"/>
      <c r="M489" s="874"/>
      <c r="N489" s="874"/>
      <c r="O489" s="874"/>
      <c r="P489" s="874"/>
      <c r="Q489" s="874"/>
      <c r="R489" s="874"/>
      <c r="S489" s="874"/>
      <c r="T489" s="874"/>
      <c r="U489" s="874"/>
      <c r="V489" s="874"/>
      <c r="W489" s="874"/>
      <c r="X489" s="874"/>
      <c r="Y489" s="874"/>
      <c r="Z489" s="874"/>
    </row>
    <row r="490" spans="1:26" ht="18" customHeight="1" x14ac:dyDescent="0.35">
      <c r="A490" s="874"/>
      <c r="B490" s="874"/>
      <c r="C490" s="874"/>
      <c r="D490" s="874"/>
      <c r="E490" s="874"/>
      <c r="F490" s="874"/>
      <c r="G490" s="874"/>
      <c r="H490" s="874"/>
      <c r="I490" s="874"/>
      <c r="J490" s="874"/>
      <c r="K490" s="874"/>
      <c r="L490" s="874"/>
      <c r="M490" s="874"/>
      <c r="N490" s="874"/>
      <c r="O490" s="874"/>
      <c r="P490" s="874"/>
      <c r="Q490" s="874"/>
      <c r="R490" s="874"/>
      <c r="S490" s="874"/>
      <c r="T490" s="874"/>
      <c r="U490" s="874"/>
      <c r="V490" s="874"/>
      <c r="W490" s="874"/>
      <c r="X490" s="874"/>
      <c r="Y490" s="874"/>
      <c r="Z490" s="874"/>
    </row>
    <row r="491" spans="1:26" ht="18" customHeight="1" x14ac:dyDescent="0.35">
      <c r="A491" s="874"/>
      <c r="B491" s="874"/>
      <c r="C491" s="874"/>
      <c r="D491" s="874"/>
      <c r="E491" s="874"/>
      <c r="F491" s="874"/>
      <c r="G491" s="874"/>
      <c r="H491" s="874"/>
      <c r="I491" s="874"/>
      <c r="J491" s="874"/>
      <c r="K491" s="874"/>
      <c r="L491" s="874"/>
      <c r="M491" s="874"/>
      <c r="N491" s="874"/>
      <c r="O491" s="874"/>
      <c r="P491" s="874"/>
      <c r="Q491" s="874"/>
      <c r="R491" s="874"/>
      <c r="S491" s="874"/>
      <c r="T491" s="874"/>
      <c r="U491" s="874"/>
      <c r="V491" s="874"/>
      <c r="W491" s="874"/>
      <c r="X491" s="874"/>
      <c r="Y491" s="874"/>
      <c r="Z491" s="874"/>
    </row>
    <row r="492" spans="1:26" ht="18" customHeight="1" x14ac:dyDescent="0.35">
      <c r="A492" s="874"/>
      <c r="B492" s="874"/>
      <c r="C492" s="874"/>
      <c r="D492" s="874"/>
      <c r="E492" s="874"/>
      <c r="F492" s="874"/>
      <c r="G492" s="874"/>
      <c r="H492" s="874"/>
      <c r="I492" s="874"/>
      <c r="J492" s="874"/>
      <c r="K492" s="874"/>
      <c r="L492" s="874"/>
      <c r="M492" s="874"/>
      <c r="N492" s="874"/>
      <c r="O492" s="874"/>
      <c r="P492" s="874"/>
      <c r="Q492" s="874"/>
      <c r="R492" s="874"/>
      <c r="S492" s="874"/>
      <c r="T492" s="874"/>
      <c r="U492" s="874"/>
      <c r="V492" s="874"/>
      <c r="W492" s="874"/>
      <c r="X492" s="874"/>
      <c r="Y492" s="874"/>
      <c r="Z492" s="874"/>
    </row>
    <row r="493" spans="1:26" ht="18" customHeight="1" x14ac:dyDescent="0.35">
      <c r="A493" s="874"/>
      <c r="B493" s="874"/>
      <c r="C493" s="874"/>
      <c r="D493" s="874"/>
      <c r="E493" s="874"/>
      <c r="F493" s="874"/>
      <c r="G493" s="874"/>
      <c r="H493" s="874"/>
      <c r="I493" s="874"/>
      <c r="J493" s="874"/>
      <c r="K493" s="874"/>
      <c r="L493" s="874"/>
      <c r="M493" s="874"/>
      <c r="N493" s="874"/>
      <c r="O493" s="874"/>
      <c r="P493" s="874"/>
      <c r="Q493" s="874"/>
      <c r="R493" s="874"/>
      <c r="S493" s="874"/>
      <c r="T493" s="874"/>
      <c r="U493" s="874"/>
      <c r="V493" s="874"/>
      <c r="W493" s="874"/>
      <c r="X493" s="874"/>
      <c r="Y493" s="874"/>
      <c r="Z493" s="874"/>
    </row>
    <row r="494" spans="1:26" ht="18" customHeight="1" x14ac:dyDescent="0.35">
      <c r="A494" s="874"/>
      <c r="B494" s="874"/>
      <c r="C494" s="874"/>
      <c r="D494" s="874"/>
      <c r="E494" s="874"/>
      <c r="F494" s="874"/>
      <c r="G494" s="874"/>
      <c r="H494" s="874"/>
      <c r="I494" s="874"/>
      <c r="J494" s="874"/>
      <c r="K494" s="874"/>
      <c r="L494" s="874"/>
      <c r="M494" s="874"/>
      <c r="N494" s="874"/>
      <c r="O494" s="874"/>
      <c r="P494" s="874"/>
      <c r="Q494" s="874"/>
      <c r="R494" s="874"/>
      <c r="S494" s="874"/>
      <c r="T494" s="874"/>
      <c r="U494" s="874"/>
      <c r="V494" s="874"/>
      <c r="W494" s="874"/>
      <c r="X494" s="874"/>
      <c r="Y494" s="874"/>
      <c r="Z494" s="874"/>
    </row>
    <row r="495" spans="1:26" ht="18" customHeight="1" x14ac:dyDescent="0.35">
      <c r="A495" s="874"/>
      <c r="B495" s="874"/>
      <c r="C495" s="874"/>
      <c r="D495" s="874"/>
      <c r="E495" s="874"/>
      <c r="F495" s="874"/>
      <c r="G495" s="874"/>
      <c r="H495" s="874"/>
      <c r="I495" s="874"/>
      <c r="J495" s="874"/>
      <c r="K495" s="874"/>
      <c r="L495" s="874"/>
      <c r="M495" s="874"/>
      <c r="N495" s="874"/>
      <c r="O495" s="874"/>
      <c r="P495" s="874"/>
      <c r="Q495" s="874"/>
      <c r="R495" s="874"/>
      <c r="S495" s="874"/>
      <c r="T495" s="874"/>
      <c r="U495" s="874"/>
      <c r="V495" s="874"/>
      <c r="W495" s="874"/>
      <c r="X495" s="874"/>
      <c r="Y495" s="874"/>
      <c r="Z495" s="874"/>
    </row>
    <row r="496" spans="1:26" ht="18" customHeight="1" x14ac:dyDescent="0.35">
      <c r="A496" s="874"/>
      <c r="B496" s="874"/>
      <c r="C496" s="874"/>
      <c r="D496" s="874"/>
      <c r="E496" s="874"/>
      <c r="F496" s="874"/>
      <c r="G496" s="874"/>
      <c r="H496" s="874"/>
      <c r="I496" s="874"/>
      <c r="J496" s="874"/>
      <c r="K496" s="874"/>
      <c r="L496" s="874"/>
      <c r="M496" s="874"/>
      <c r="N496" s="874"/>
      <c r="O496" s="874"/>
      <c r="P496" s="874"/>
      <c r="Q496" s="874"/>
      <c r="R496" s="874"/>
      <c r="S496" s="874"/>
      <c r="T496" s="874"/>
      <c r="U496" s="874"/>
      <c r="V496" s="874"/>
      <c r="W496" s="874"/>
      <c r="X496" s="874"/>
      <c r="Y496" s="874"/>
      <c r="Z496" s="874"/>
    </row>
    <row r="497" spans="1:26" ht="18" customHeight="1" x14ac:dyDescent="0.35">
      <c r="A497" s="874"/>
      <c r="B497" s="874"/>
      <c r="C497" s="874"/>
      <c r="D497" s="874"/>
      <c r="E497" s="874"/>
      <c r="F497" s="874"/>
      <c r="G497" s="874"/>
      <c r="H497" s="874"/>
      <c r="I497" s="874"/>
      <c r="J497" s="874"/>
      <c r="K497" s="874"/>
      <c r="L497" s="874"/>
      <c r="M497" s="874"/>
      <c r="N497" s="874"/>
      <c r="O497" s="874"/>
      <c r="P497" s="874"/>
      <c r="Q497" s="874"/>
      <c r="R497" s="874"/>
      <c r="S497" s="874"/>
      <c r="T497" s="874"/>
      <c r="U497" s="874"/>
      <c r="V497" s="874"/>
      <c r="W497" s="874"/>
      <c r="X497" s="874"/>
      <c r="Y497" s="874"/>
      <c r="Z497" s="874"/>
    </row>
    <row r="498" spans="1:26" ht="18" customHeight="1" x14ac:dyDescent="0.35">
      <c r="A498" s="874"/>
      <c r="B498" s="874"/>
      <c r="C498" s="874"/>
      <c r="D498" s="874"/>
      <c r="E498" s="874"/>
      <c r="F498" s="874"/>
      <c r="G498" s="874"/>
      <c r="H498" s="874"/>
      <c r="I498" s="874"/>
      <c r="J498" s="874"/>
      <c r="K498" s="874"/>
      <c r="L498" s="874"/>
      <c r="M498" s="874"/>
      <c r="N498" s="874"/>
      <c r="O498" s="874"/>
      <c r="P498" s="874"/>
      <c r="Q498" s="874"/>
      <c r="R498" s="874"/>
      <c r="S498" s="874"/>
      <c r="T498" s="874"/>
      <c r="U498" s="874"/>
      <c r="V498" s="874"/>
      <c r="W498" s="874"/>
      <c r="X498" s="874"/>
      <c r="Y498" s="874"/>
      <c r="Z498" s="874"/>
    </row>
    <row r="499" spans="1:26" ht="18" customHeight="1" x14ac:dyDescent="0.35">
      <c r="A499" s="874"/>
      <c r="B499" s="874"/>
      <c r="C499" s="874"/>
      <c r="D499" s="874"/>
      <c r="E499" s="874"/>
      <c r="F499" s="874"/>
      <c r="G499" s="874"/>
      <c r="H499" s="874"/>
      <c r="I499" s="874"/>
      <c r="J499" s="874"/>
      <c r="K499" s="874"/>
      <c r="L499" s="874"/>
      <c r="M499" s="874"/>
      <c r="N499" s="874"/>
      <c r="O499" s="874"/>
      <c r="P499" s="874"/>
      <c r="Q499" s="874"/>
      <c r="R499" s="874"/>
      <c r="S499" s="874"/>
      <c r="T499" s="874"/>
      <c r="U499" s="874"/>
      <c r="V499" s="874"/>
      <c r="W499" s="874"/>
      <c r="X499" s="874"/>
      <c r="Y499" s="874"/>
      <c r="Z499" s="874"/>
    </row>
    <row r="500" spans="1:26" ht="18" customHeight="1" x14ac:dyDescent="0.35">
      <c r="A500" s="874"/>
      <c r="B500" s="874"/>
      <c r="C500" s="874"/>
      <c r="D500" s="874"/>
      <c r="E500" s="874"/>
      <c r="F500" s="874"/>
      <c r="G500" s="874"/>
      <c r="H500" s="874"/>
      <c r="I500" s="874"/>
      <c r="J500" s="874"/>
      <c r="K500" s="874"/>
      <c r="L500" s="874"/>
      <c r="M500" s="874"/>
      <c r="N500" s="874"/>
      <c r="O500" s="874"/>
      <c r="P500" s="874"/>
      <c r="Q500" s="874"/>
      <c r="R500" s="874"/>
      <c r="S500" s="874"/>
      <c r="T500" s="874"/>
      <c r="U500" s="874"/>
      <c r="V500" s="874"/>
      <c r="W500" s="874"/>
      <c r="X500" s="874"/>
      <c r="Y500" s="874"/>
      <c r="Z500" s="874"/>
    </row>
    <row r="501" spans="1:26" ht="18" customHeight="1" x14ac:dyDescent="0.35">
      <c r="A501" s="874"/>
      <c r="B501" s="874"/>
      <c r="C501" s="874"/>
      <c r="D501" s="874"/>
      <c r="E501" s="874"/>
      <c r="F501" s="874"/>
      <c r="G501" s="874"/>
      <c r="H501" s="874"/>
      <c r="I501" s="874"/>
      <c r="J501" s="874"/>
      <c r="K501" s="874"/>
      <c r="L501" s="874"/>
      <c r="M501" s="874"/>
      <c r="N501" s="874"/>
      <c r="O501" s="874"/>
      <c r="P501" s="874"/>
      <c r="Q501" s="874"/>
      <c r="R501" s="874"/>
      <c r="S501" s="874"/>
      <c r="T501" s="874"/>
      <c r="U501" s="874"/>
      <c r="V501" s="874"/>
      <c r="W501" s="874"/>
      <c r="X501" s="874"/>
      <c r="Y501" s="874"/>
      <c r="Z501" s="874"/>
    </row>
    <row r="502" spans="1:26" ht="18" customHeight="1" x14ac:dyDescent="0.35">
      <c r="A502" s="874"/>
      <c r="B502" s="874"/>
      <c r="C502" s="874"/>
      <c r="D502" s="874"/>
      <c r="E502" s="874"/>
      <c r="F502" s="874"/>
      <c r="G502" s="874"/>
      <c r="H502" s="874"/>
      <c r="I502" s="874"/>
      <c r="J502" s="874"/>
      <c r="K502" s="874"/>
      <c r="L502" s="874"/>
      <c r="M502" s="874"/>
      <c r="N502" s="874"/>
      <c r="O502" s="874"/>
      <c r="P502" s="874"/>
      <c r="Q502" s="874"/>
      <c r="R502" s="874"/>
      <c r="S502" s="874"/>
      <c r="T502" s="874"/>
      <c r="U502" s="874"/>
      <c r="V502" s="874"/>
      <c r="W502" s="874"/>
      <c r="X502" s="874"/>
      <c r="Y502" s="874"/>
      <c r="Z502" s="874"/>
    </row>
    <row r="503" spans="1:26" ht="18" customHeight="1" x14ac:dyDescent="0.35">
      <c r="A503" s="874"/>
      <c r="B503" s="874"/>
      <c r="C503" s="874"/>
      <c r="D503" s="874"/>
      <c r="E503" s="874"/>
      <c r="F503" s="874"/>
      <c r="G503" s="874"/>
      <c r="H503" s="874"/>
      <c r="I503" s="874"/>
      <c r="J503" s="874"/>
      <c r="K503" s="874"/>
      <c r="L503" s="874"/>
      <c r="M503" s="874"/>
      <c r="N503" s="874"/>
      <c r="O503" s="874"/>
      <c r="P503" s="874"/>
      <c r="Q503" s="874"/>
      <c r="R503" s="874"/>
      <c r="S503" s="874"/>
      <c r="T503" s="874"/>
      <c r="U503" s="874"/>
      <c r="V503" s="874"/>
      <c r="W503" s="874"/>
      <c r="X503" s="874"/>
      <c r="Y503" s="874"/>
      <c r="Z503" s="874"/>
    </row>
    <row r="504" spans="1:26" ht="18" customHeight="1" x14ac:dyDescent="0.35">
      <c r="A504" s="874"/>
      <c r="B504" s="874"/>
      <c r="C504" s="874"/>
      <c r="D504" s="874"/>
      <c r="E504" s="874"/>
      <c r="F504" s="874"/>
      <c r="G504" s="874"/>
      <c r="H504" s="874"/>
      <c r="I504" s="874"/>
      <c r="J504" s="874"/>
      <c r="K504" s="874"/>
      <c r="L504" s="874"/>
      <c r="M504" s="874"/>
      <c r="N504" s="874"/>
      <c r="O504" s="874"/>
      <c r="P504" s="874"/>
      <c r="Q504" s="874"/>
      <c r="R504" s="874"/>
      <c r="S504" s="874"/>
      <c r="T504" s="874"/>
      <c r="U504" s="874"/>
      <c r="V504" s="874"/>
      <c r="W504" s="874"/>
      <c r="X504" s="874"/>
      <c r="Y504" s="874"/>
      <c r="Z504" s="874"/>
    </row>
    <row r="505" spans="1:26" ht="18" customHeight="1" x14ac:dyDescent="0.35">
      <c r="A505" s="874"/>
      <c r="B505" s="874"/>
      <c r="C505" s="874"/>
      <c r="D505" s="874"/>
      <c r="E505" s="874"/>
      <c r="F505" s="874"/>
      <c r="G505" s="874"/>
      <c r="H505" s="874"/>
      <c r="I505" s="874"/>
      <c r="J505" s="874"/>
      <c r="K505" s="874"/>
      <c r="L505" s="874"/>
      <c r="M505" s="874"/>
      <c r="N505" s="874"/>
      <c r="O505" s="874"/>
      <c r="P505" s="874"/>
      <c r="Q505" s="874"/>
      <c r="R505" s="874"/>
      <c r="S505" s="874"/>
      <c r="T505" s="874"/>
      <c r="U505" s="874"/>
      <c r="V505" s="874"/>
      <c r="W505" s="874"/>
      <c r="X505" s="874"/>
      <c r="Y505" s="874"/>
      <c r="Z505" s="874"/>
    </row>
    <row r="506" spans="1:26" ht="18" customHeight="1" x14ac:dyDescent="0.35">
      <c r="A506" s="874"/>
      <c r="B506" s="874"/>
      <c r="C506" s="874"/>
      <c r="D506" s="874"/>
      <c r="E506" s="874"/>
      <c r="F506" s="874"/>
      <c r="G506" s="874"/>
      <c r="H506" s="874"/>
      <c r="I506" s="874"/>
      <c r="J506" s="874"/>
      <c r="K506" s="874"/>
      <c r="L506" s="874"/>
      <c r="M506" s="874"/>
      <c r="N506" s="874"/>
      <c r="O506" s="874"/>
      <c r="P506" s="874"/>
      <c r="Q506" s="874"/>
      <c r="R506" s="874"/>
      <c r="S506" s="874"/>
      <c r="T506" s="874"/>
      <c r="U506" s="874"/>
      <c r="V506" s="874"/>
      <c r="W506" s="874"/>
      <c r="X506" s="874"/>
      <c r="Y506" s="874"/>
      <c r="Z506" s="874"/>
    </row>
    <row r="507" spans="1:26" ht="18" customHeight="1" x14ac:dyDescent="0.35">
      <c r="A507" s="874"/>
      <c r="B507" s="874"/>
      <c r="C507" s="874"/>
      <c r="D507" s="874"/>
      <c r="E507" s="874"/>
      <c r="F507" s="874"/>
      <c r="G507" s="874"/>
      <c r="H507" s="874"/>
      <c r="I507" s="874"/>
      <c r="J507" s="874"/>
      <c r="K507" s="874"/>
      <c r="L507" s="874"/>
      <c r="M507" s="874"/>
      <c r="N507" s="874"/>
      <c r="O507" s="874"/>
      <c r="P507" s="874"/>
      <c r="Q507" s="874"/>
      <c r="R507" s="874"/>
      <c r="S507" s="874"/>
      <c r="T507" s="874"/>
      <c r="U507" s="874"/>
      <c r="V507" s="874"/>
      <c r="W507" s="874"/>
      <c r="X507" s="874"/>
      <c r="Y507" s="874"/>
      <c r="Z507" s="874"/>
    </row>
    <row r="508" spans="1:26" ht="18" customHeight="1" x14ac:dyDescent="0.35">
      <c r="A508" s="874"/>
      <c r="B508" s="874"/>
      <c r="C508" s="874"/>
      <c r="D508" s="874"/>
      <c r="E508" s="874"/>
      <c r="F508" s="874"/>
      <c r="G508" s="874"/>
      <c r="H508" s="874"/>
      <c r="I508" s="874"/>
      <c r="J508" s="874"/>
      <c r="K508" s="874"/>
      <c r="L508" s="874"/>
      <c r="M508" s="874"/>
      <c r="N508" s="874"/>
      <c r="O508" s="874"/>
      <c r="P508" s="874"/>
      <c r="Q508" s="874"/>
      <c r="R508" s="874"/>
      <c r="S508" s="874"/>
      <c r="T508" s="874"/>
      <c r="U508" s="874"/>
      <c r="V508" s="874"/>
      <c r="W508" s="874"/>
      <c r="X508" s="874"/>
      <c r="Y508" s="874"/>
      <c r="Z508" s="874"/>
    </row>
    <row r="509" spans="1:26" ht="18" customHeight="1" x14ac:dyDescent="0.35">
      <c r="A509" s="874"/>
      <c r="B509" s="874"/>
      <c r="C509" s="874"/>
      <c r="D509" s="874"/>
      <c r="E509" s="874"/>
      <c r="F509" s="874"/>
      <c r="G509" s="874"/>
      <c r="H509" s="874"/>
      <c r="I509" s="874"/>
      <c r="J509" s="874"/>
      <c r="K509" s="874"/>
      <c r="L509" s="874"/>
      <c r="M509" s="874"/>
      <c r="N509" s="874"/>
      <c r="O509" s="874"/>
      <c r="P509" s="874"/>
      <c r="Q509" s="874"/>
      <c r="R509" s="874"/>
      <c r="S509" s="874"/>
      <c r="T509" s="874"/>
      <c r="U509" s="874"/>
      <c r="V509" s="874"/>
      <c r="W509" s="874"/>
      <c r="X509" s="874"/>
      <c r="Y509" s="874"/>
      <c r="Z509" s="874"/>
    </row>
    <row r="510" spans="1:26" ht="18" customHeight="1" x14ac:dyDescent="0.35">
      <c r="A510" s="874"/>
      <c r="B510" s="874"/>
      <c r="C510" s="874"/>
      <c r="D510" s="874"/>
      <c r="E510" s="874"/>
      <c r="F510" s="874"/>
      <c r="G510" s="874"/>
      <c r="H510" s="874"/>
      <c r="I510" s="874"/>
      <c r="J510" s="874"/>
      <c r="K510" s="874"/>
      <c r="L510" s="874"/>
      <c r="M510" s="874"/>
      <c r="N510" s="874"/>
      <c r="O510" s="874"/>
      <c r="P510" s="874"/>
      <c r="Q510" s="874"/>
      <c r="R510" s="874"/>
      <c r="S510" s="874"/>
      <c r="T510" s="874"/>
      <c r="U510" s="874"/>
      <c r="V510" s="874"/>
      <c r="W510" s="874"/>
      <c r="X510" s="874"/>
      <c r="Y510" s="874"/>
      <c r="Z510" s="874"/>
    </row>
    <row r="511" spans="1:26" ht="18" customHeight="1" x14ac:dyDescent="0.35">
      <c r="A511" s="874"/>
      <c r="B511" s="874"/>
      <c r="C511" s="874"/>
      <c r="D511" s="874"/>
      <c r="E511" s="874"/>
      <c r="F511" s="874"/>
      <c r="G511" s="874"/>
      <c r="H511" s="874"/>
      <c r="I511" s="874"/>
      <c r="J511" s="874"/>
      <c r="K511" s="874"/>
      <c r="L511" s="874"/>
      <c r="M511" s="874"/>
      <c r="N511" s="874"/>
      <c r="O511" s="874"/>
      <c r="P511" s="874"/>
      <c r="Q511" s="874"/>
      <c r="R511" s="874"/>
      <c r="S511" s="874"/>
      <c r="T511" s="874"/>
      <c r="U511" s="874"/>
      <c r="V511" s="874"/>
      <c r="W511" s="874"/>
      <c r="X511" s="874"/>
      <c r="Y511" s="874"/>
      <c r="Z511" s="874"/>
    </row>
    <row r="512" spans="1:26" ht="18" customHeight="1" x14ac:dyDescent="0.35">
      <c r="A512" s="874"/>
      <c r="B512" s="874"/>
      <c r="C512" s="874"/>
      <c r="D512" s="874"/>
      <c r="E512" s="874"/>
      <c r="F512" s="874"/>
      <c r="G512" s="874"/>
      <c r="H512" s="874"/>
      <c r="I512" s="874"/>
      <c r="J512" s="874"/>
      <c r="K512" s="874"/>
      <c r="L512" s="874"/>
      <c r="M512" s="874"/>
      <c r="N512" s="874"/>
      <c r="O512" s="874"/>
      <c r="P512" s="874"/>
      <c r="Q512" s="874"/>
      <c r="R512" s="874"/>
      <c r="S512" s="874"/>
      <c r="T512" s="874"/>
      <c r="U512" s="874"/>
      <c r="V512" s="874"/>
      <c r="W512" s="874"/>
      <c r="X512" s="874"/>
      <c r="Y512" s="874"/>
      <c r="Z512" s="874"/>
    </row>
    <row r="513" spans="1:26" ht="18" customHeight="1" x14ac:dyDescent="0.35">
      <c r="A513" s="874"/>
      <c r="B513" s="874"/>
      <c r="C513" s="874"/>
      <c r="D513" s="874"/>
      <c r="E513" s="874"/>
      <c r="F513" s="874"/>
      <c r="G513" s="874"/>
      <c r="H513" s="874"/>
      <c r="I513" s="874"/>
      <c r="J513" s="874"/>
      <c r="K513" s="874"/>
      <c r="L513" s="874"/>
      <c r="M513" s="874"/>
      <c r="N513" s="874"/>
      <c r="O513" s="874"/>
      <c r="P513" s="874"/>
      <c r="Q513" s="874"/>
      <c r="R513" s="874"/>
      <c r="S513" s="874"/>
      <c r="T513" s="874"/>
      <c r="U513" s="874"/>
      <c r="V513" s="874"/>
      <c r="W513" s="874"/>
      <c r="X513" s="874"/>
      <c r="Y513" s="874"/>
      <c r="Z513" s="874"/>
    </row>
    <row r="514" spans="1:26" ht="18" customHeight="1" x14ac:dyDescent="0.35">
      <c r="A514" s="874"/>
      <c r="B514" s="874"/>
      <c r="C514" s="874"/>
      <c r="D514" s="874"/>
      <c r="E514" s="874"/>
      <c r="F514" s="874"/>
      <c r="G514" s="874"/>
      <c r="H514" s="874"/>
      <c r="I514" s="874"/>
      <c r="J514" s="874"/>
      <c r="K514" s="874"/>
      <c r="L514" s="874"/>
      <c r="M514" s="874"/>
      <c r="N514" s="874"/>
      <c r="O514" s="874"/>
      <c r="P514" s="874"/>
      <c r="Q514" s="874"/>
      <c r="R514" s="874"/>
      <c r="S514" s="874"/>
      <c r="T514" s="874"/>
      <c r="U514" s="874"/>
      <c r="V514" s="874"/>
      <c r="W514" s="874"/>
      <c r="X514" s="874"/>
      <c r="Y514" s="874"/>
      <c r="Z514" s="874"/>
    </row>
    <row r="515" spans="1:26" ht="18" customHeight="1" x14ac:dyDescent="0.35">
      <c r="A515" s="874"/>
      <c r="B515" s="874"/>
      <c r="C515" s="874"/>
      <c r="D515" s="874"/>
      <c r="E515" s="874"/>
      <c r="F515" s="874"/>
      <c r="G515" s="874"/>
      <c r="H515" s="874"/>
      <c r="I515" s="874"/>
      <c r="J515" s="874"/>
      <c r="K515" s="874"/>
      <c r="L515" s="874"/>
      <c r="M515" s="874"/>
      <c r="N515" s="874"/>
      <c r="O515" s="874"/>
      <c r="P515" s="874"/>
      <c r="Q515" s="874"/>
      <c r="R515" s="874"/>
      <c r="S515" s="874"/>
      <c r="T515" s="874"/>
      <c r="U515" s="874"/>
      <c r="V515" s="874"/>
      <c r="W515" s="874"/>
      <c r="X515" s="874"/>
      <c r="Y515" s="874"/>
      <c r="Z515" s="874"/>
    </row>
    <row r="516" spans="1:26" ht="18" customHeight="1" x14ac:dyDescent="0.35">
      <c r="A516" s="874"/>
      <c r="B516" s="874"/>
      <c r="C516" s="874"/>
      <c r="D516" s="874"/>
      <c r="E516" s="874"/>
      <c r="F516" s="874"/>
      <c r="G516" s="874"/>
      <c r="H516" s="874"/>
      <c r="I516" s="874"/>
      <c r="J516" s="874"/>
      <c r="K516" s="874"/>
      <c r="L516" s="874"/>
      <c r="M516" s="874"/>
      <c r="N516" s="874"/>
      <c r="O516" s="874"/>
      <c r="P516" s="874"/>
      <c r="Q516" s="874"/>
      <c r="R516" s="874"/>
      <c r="S516" s="874"/>
      <c r="T516" s="874"/>
      <c r="U516" s="874"/>
      <c r="V516" s="874"/>
      <c r="W516" s="874"/>
      <c r="X516" s="874"/>
      <c r="Y516" s="874"/>
      <c r="Z516" s="874"/>
    </row>
    <row r="517" spans="1:26" ht="18" customHeight="1" x14ac:dyDescent="0.35">
      <c r="A517" s="874"/>
      <c r="B517" s="874"/>
      <c r="C517" s="874"/>
      <c r="D517" s="874"/>
      <c r="E517" s="874"/>
      <c r="F517" s="874"/>
      <c r="G517" s="874"/>
      <c r="H517" s="874"/>
      <c r="I517" s="874"/>
      <c r="J517" s="874"/>
      <c r="K517" s="874"/>
      <c r="L517" s="874"/>
      <c r="M517" s="874"/>
      <c r="N517" s="874"/>
      <c r="O517" s="874"/>
      <c r="P517" s="874"/>
      <c r="Q517" s="874"/>
      <c r="R517" s="874"/>
      <c r="S517" s="874"/>
      <c r="T517" s="874"/>
      <c r="U517" s="874"/>
      <c r="V517" s="874"/>
      <c r="W517" s="874"/>
      <c r="X517" s="874"/>
      <c r="Y517" s="874"/>
      <c r="Z517" s="874"/>
    </row>
    <row r="518" spans="1:26" ht="18" customHeight="1" x14ac:dyDescent="0.35">
      <c r="A518" s="874"/>
      <c r="B518" s="874"/>
      <c r="C518" s="874"/>
      <c r="D518" s="874"/>
      <c r="E518" s="874"/>
      <c r="F518" s="874"/>
      <c r="G518" s="874"/>
      <c r="H518" s="874"/>
      <c r="I518" s="874"/>
      <c r="J518" s="874"/>
      <c r="K518" s="874"/>
      <c r="L518" s="874"/>
      <c r="M518" s="874"/>
      <c r="N518" s="874"/>
      <c r="O518" s="874"/>
      <c r="P518" s="874"/>
      <c r="Q518" s="874"/>
      <c r="R518" s="874"/>
      <c r="S518" s="874"/>
      <c r="T518" s="874"/>
      <c r="U518" s="874"/>
      <c r="V518" s="874"/>
      <c r="W518" s="874"/>
      <c r="X518" s="874"/>
      <c r="Y518" s="874"/>
      <c r="Z518" s="874"/>
    </row>
    <row r="519" spans="1:26" ht="18" customHeight="1" x14ac:dyDescent="0.35">
      <c r="A519" s="874"/>
      <c r="B519" s="874"/>
      <c r="C519" s="874"/>
      <c r="D519" s="874"/>
      <c r="E519" s="874"/>
      <c r="F519" s="874"/>
      <c r="G519" s="874"/>
      <c r="H519" s="874"/>
      <c r="I519" s="874"/>
      <c r="J519" s="874"/>
      <c r="K519" s="874"/>
      <c r="L519" s="874"/>
      <c r="M519" s="874"/>
      <c r="N519" s="874"/>
      <c r="O519" s="874"/>
      <c r="P519" s="874"/>
      <c r="Q519" s="874"/>
      <c r="R519" s="874"/>
      <c r="S519" s="874"/>
      <c r="T519" s="874"/>
      <c r="U519" s="874"/>
      <c r="V519" s="874"/>
      <c r="W519" s="874"/>
      <c r="X519" s="874"/>
      <c r="Y519" s="874"/>
      <c r="Z519" s="874"/>
    </row>
    <row r="520" spans="1:26" ht="18" customHeight="1" x14ac:dyDescent="0.35">
      <c r="A520" s="874"/>
      <c r="B520" s="874"/>
      <c r="C520" s="874"/>
      <c r="D520" s="874"/>
      <c r="E520" s="874"/>
      <c r="F520" s="874"/>
      <c r="G520" s="874"/>
      <c r="H520" s="874"/>
      <c r="I520" s="874"/>
      <c r="J520" s="874"/>
      <c r="K520" s="874"/>
      <c r="L520" s="874"/>
      <c r="M520" s="874"/>
      <c r="N520" s="874"/>
      <c r="O520" s="874"/>
      <c r="P520" s="874"/>
      <c r="Q520" s="874"/>
      <c r="R520" s="874"/>
      <c r="S520" s="874"/>
      <c r="T520" s="874"/>
      <c r="U520" s="874"/>
      <c r="V520" s="874"/>
      <c r="W520" s="874"/>
      <c r="X520" s="874"/>
      <c r="Y520" s="874"/>
      <c r="Z520" s="874"/>
    </row>
    <row r="521" spans="1:26" ht="18" customHeight="1" x14ac:dyDescent="0.35">
      <c r="A521" s="874"/>
      <c r="B521" s="874"/>
      <c r="C521" s="874"/>
      <c r="D521" s="874"/>
      <c r="E521" s="874"/>
      <c r="F521" s="874"/>
      <c r="G521" s="874"/>
      <c r="H521" s="874"/>
      <c r="I521" s="874"/>
      <c r="J521" s="874"/>
      <c r="K521" s="874"/>
      <c r="L521" s="874"/>
      <c r="M521" s="874"/>
      <c r="N521" s="874"/>
      <c r="O521" s="874"/>
      <c r="P521" s="874"/>
      <c r="Q521" s="874"/>
      <c r="R521" s="874"/>
      <c r="S521" s="874"/>
      <c r="T521" s="874"/>
      <c r="U521" s="874"/>
      <c r="V521" s="874"/>
      <c r="W521" s="874"/>
      <c r="X521" s="874"/>
      <c r="Y521" s="874"/>
      <c r="Z521" s="874"/>
    </row>
    <row r="522" spans="1:26" ht="18" customHeight="1" x14ac:dyDescent="0.35">
      <c r="A522" s="874"/>
      <c r="B522" s="874"/>
      <c r="C522" s="874"/>
      <c r="D522" s="874"/>
      <c r="E522" s="874"/>
      <c r="F522" s="874"/>
      <c r="G522" s="874"/>
      <c r="H522" s="874"/>
      <c r="I522" s="874"/>
      <c r="J522" s="874"/>
      <c r="K522" s="874"/>
      <c r="L522" s="874"/>
      <c r="M522" s="874"/>
      <c r="N522" s="874"/>
      <c r="O522" s="874"/>
      <c r="P522" s="874"/>
      <c r="Q522" s="874"/>
      <c r="R522" s="874"/>
      <c r="S522" s="874"/>
      <c r="T522" s="874"/>
      <c r="U522" s="874"/>
      <c r="V522" s="874"/>
      <c r="W522" s="874"/>
      <c r="X522" s="874"/>
      <c r="Y522" s="874"/>
      <c r="Z522" s="874"/>
    </row>
    <row r="523" spans="1:26" ht="18" customHeight="1" x14ac:dyDescent="0.35">
      <c r="A523" s="874"/>
      <c r="B523" s="874"/>
      <c r="C523" s="874"/>
      <c r="D523" s="874"/>
      <c r="E523" s="874"/>
      <c r="F523" s="874"/>
      <c r="G523" s="874"/>
      <c r="H523" s="874"/>
      <c r="I523" s="874"/>
      <c r="J523" s="874"/>
      <c r="K523" s="874"/>
      <c r="L523" s="874"/>
      <c r="M523" s="874"/>
      <c r="N523" s="874"/>
      <c r="O523" s="874"/>
      <c r="P523" s="874"/>
      <c r="Q523" s="874"/>
      <c r="R523" s="874"/>
      <c r="S523" s="874"/>
      <c r="T523" s="874"/>
      <c r="U523" s="874"/>
      <c r="V523" s="874"/>
      <c r="W523" s="874"/>
      <c r="X523" s="874"/>
      <c r="Y523" s="874"/>
      <c r="Z523" s="874"/>
    </row>
    <row r="524" spans="1:26" ht="18" customHeight="1" x14ac:dyDescent="0.35">
      <c r="A524" s="874"/>
      <c r="B524" s="874"/>
      <c r="C524" s="874"/>
      <c r="D524" s="874"/>
      <c r="E524" s="874"/>
      <c r="F524" s="874"/>
      <c r="G524" s="874"/>
      <c r="H524" s="874"/>
      <c r="I524" s="874"/>
      <c r="J524" s="874"/>
      <c r="K524" s="874"/>
      <c r="L524" s="874"/>
      <c r="M524" s="874"/>
      <c r="N524" s="874"/>
      <c r="O524" s="874"/>
      <c r="P524" s="874"/>
      <c r="Q524" s="874"/>
      <c r="R524" s="874"/>
      <c r="S524" s="874"/>
      <c r="T524" s="874"/>
      <c r="U524" s="874"/>
      <c r="V524" s="874"/>
      <c r="W524" s="874"/>
      <c r="X524" s="874"/>
      <c r="Y524" s="874"/>
      <c r="Z524" s="874"/>
    </row>
    <row r="525" spans="1:26" ht="18" customHeight="1" x14ac:dyDescent="0.35">
      <c r="A525" s="874"/>
      <c r="B525" s="874"/>
      <c r="C525" s="874"/>
      <c r="D525" s="874"/>
      <c r="E525" s="874"/>
      <c r="F525" s="874"/>
      <c r="G525" s="874"/>
      <c r="H525" s="874"/>
      <c r="I525" s="874"/>
      <c r="J525" s="874"/>
      <c r="K525" s="874"/>
      <c r="L525" s="874"/>
      <c r="M525" s="874"/>
      <c r="N525" s="874"/>
      <c r="O525" s="874"/>
      <c r="P525" s="874"/>
      <c r="Q525" s="874"/>
      <c r="R525" s="874"/>
      <c r="S525" s="874"/>
      <c r="T525" s="874"/>
      <c r="U525" s="874"/>
      <c r="V525" s="874"/>
      <c r="W525" s="874"/>
      <c r="X525" s="874"/>
      <c r="Y525" s="874"/>
      <c r="Z525" s="874"/>
    </row>
    <row r="526" spans="1:26" ht="18" customHeight="1" x14ac:dyDescent="0.35">
      <c r="A526" s="874"/>
      <c r="B526" s="874"/>
      <c r="C526" s="874"/>
      <c r="D526" s="874"/>
      <c r="E526" s="874"/>
      <c r="F526" s="874"/>
      <c r="G526" s="874"/>
      <c r="H526" s="874"/>
      <c r="I526" s="874"/>
      <c r="J526" s="874"/>
      <c r="K526" s="874"/>
      <c r="L526" s="874"/>
      <c r="M526" s="874"/>
      <c r="N526" s="874"/>
      <c r="O526" s="874"/>
      <c r="P526" s="874"/>
      <c r="Q526" s="874"/>
      <c r="R526" s="874"/>
      <c r="S526" s="874"/>
      <c r="T526" s="874"/>
      <c r="U526" s="874"/>
      <c r="V526" s="874"/>
      <c r="W526" s="874"/>
      <c r="X526" s="874"/>
      <c r="Y526" s="874"/>
      <c r="Z526" s="874"/>
    </row>
    <row r="527" spans="1:26" ht="18" customHeight="1" x14ac:dyDescent="0.35">
      <c r="A527" s="874"/>
      <c r="B527" s="874"/>
      <c r="C527" s="874"/>
      <c r="D527" s="874"/>
      <c r="E527" s="874"/>
      <c r="F527" s="874"/>
      <c r="G527" s="874"/>
      <c r="H527" s="874"/>
      <c r="I527" s="874"/>
      <c r="J527" s="874"/>
      <c r="K527" s="874"/>
      <c r="L527" s="874"/>
      <c r="M527" s="874"/>
      <c r="N527" s="874"/>
      <c r="O527" s="874"/>
      <c r="P527" s="874"/>
      <c r="Q527" s="874"/>
      <c r="R527" s="874"/>
      <c r="S527" s="874"/>
      <c r="T527" s="874"/>
      <c r="U527" s="874"/>
      <c r="V527" s="874"/>
      <c r="W527" s="874"/>
      <c r="X527" s="874"/>
      <c r="Y527" s="874"/>
      <c r="Z527" s="874"/>
    </row>
    <row r="528" spans="1:26" ht="18" customHeight="1" x14ac:dyDescent="0.35">
      <c r="A528" s="874"/>
      <c r="B528" s="874"/>
      <c r="C528" s="874"/>
      <c r="D528" s="874"/>
      <c r="E528" s="874"/>
      <c r="F528" s="874"/>
      <c r="G528" s="874"/>
      <c r="H528" s="874"/>
      <c r="I528" s="874"/>
      <c r="J528" s="874"/>
      <c r="K528" s="874"/>
      <c r="L528" s="874"/>
      <c r="M528" s="874"/>
      <c r="N528" s="874"/>
      <c r="O528" s="874"/>
      <c r="P528" s="874"/>
      <c r="Q528" s="874"/>
      <c r="R528" s="874"/>
      <c r="S528" s="874"/>
      <c r="T528" s="874"/>
      <c r="U528" s="874"/>
      <c r="V528" s="874"/>
      <c r="W528" s="874"/>
      <c r="X528" s="874"/>
      <c r="Y528" s="874"/>
      <c r="Z528" s="874"/>
    </row>
    <row r="529" spans="1:26" ht="18" customHeight="1" x14ac:dyDescent="0.35">
      <c r="A529" s="874"/>
      <c r="B529" s="874"/>
      <c r="C529" s="874"/>
      <c r="D529" s="874"/>
      <c r="E529" s="874"/>
      <c r="F529" s="874"/>
      <c r="G529" s="874"/>
      <c r="H529" s="874"/>
      <c r="I529" s="874"/>
      <c r="J529" s="874"/>
      <c r="K529" s="874"/>
      <c r="L529" s="874"/>
      <c r="M529" s="874"/>
      <c r="N529" s="874"/>
      <c r="O529" s="874"/>
      <c r="P529" s="874"/>
      <c r="Q529" s="874"/>
      <c r="R529" s="874"/>
      <c r="S529" s="874"/>
      <c r="T529" s="874"/>
      <c r="U529" s="874"/>
      <c r="V529" s="874"/>
      <c r="W529" s="874"/>
      <c r="X529" s="874"/>
      <c r="Y529" s="874"/>
      <c r="Z529" s="874"/>
    </row>
    <row r="530" spans="1:26" ht="18" customHeight="1" x14ac:dyDescent="0.35">
      <c r="A530" s="874"/>
      <c r="B530" s="874"/>
      <c r="C530" s="874"/>
      <c r="D530" s="874"/>
      <c r="E530" s="874"/>
      <c r="F530" s="874"/>
      <c r="G530" s="874"/>
      <c r="H530" s="874"/>
      <c r="I530" s="874"/>
      <c r="J530" s="874"/>
      <c r="K530" s="874"/>
      <c r="L530" s="874"/>
      <c r="M530" s="874"/>
      <c r="N530" s="874"/>
      <c r="O530" s="874"/>
      <c r="P530" s="874"/>
      <c r="Q530" s="874"/>
      <c r="R530" s="874"/>
      <c r="S530" s="874"/>
      <c r="T530" s="874"/>
      <c r="U530" s="874"/>
      <c r="V530" s="874"/>
      <c r="W530" s="874"/>
      <c r="X530" s="874"/>
      <c r="Y530" s="874"/>
      <c r="Z530" s="874"/>
    </row>
    <row r="531" spans="1:26" ht="18" customHeight="1" x14ac:dyDescent="0.35">
      <c r="A531" s="874"/>
      <c r="B531" s="874"/>
      <c r="C531" s="874"/>
      <c r="D531" s="874"/>
      <c r="E531" s="874"/>
      <c r="F531" s="874"/>
      <c r="G531" s="874"/>
      <c r="H531" s="874"/>
      <c r="I531" s="874"/>
      <c r="J531" s="874"/>
      <c r="K531" s="874"/>
      <c r="L531" s="874"/>
      <c r="M531" s="874"/>
      <c r="N531" s="874"/>
      <c r="O531" s="874"/>
      <c r="P531" s="874"/>
      <c r="Q531" s="874"/>
      <c r="R531" s="874"/>
      <c r="S531" s="874"/>
      <c r="T531" s="874"/>
      <c r="U531" s="874"/>
      <c r="V531" s="874"/>
      <c r="W531" s="874"/>
      <c r="X531" s="874"/>
      <c r="Y531" s="874"/>
      <c r="Z531" s="874"/>
    </row>
    <row r="532" spans="1:26" ht="18" customHeight="1" x14ac:dyDescent="0.35">
      <c r="A532" s="874"/>
      <c r="B532" s="874"/>
      <c r="C532" s="874"/>
      <c r="D532" s="874"/>
      <c r="E532" s="874"/>
      <c r="F532" s="874"/>
      <c r="G532" s="874"/>
      <c r="H532" s="874"/>
      <c r="I532" s="874"/>
      <c r="J532" s="874"/>
      <c r="K532" s="874"/>
      <c r="L532" s="874"/>
      <c r="M532" s="874"/>
      <c r="N532" s="874"/>
      <c r="O532" s="874"/>
      <c r="P532" s="874"/>
      <c r="Q532" s="874"/>
      <c r="R532" s="874"/>
      <c r="S532" s="874"/>
      <c r="T532" s="874"/>
      <c r="U532" s="874"/>
      <c r="V532" s="874"/>
      <c r="W532" s="874"/>
      <c r="X532" s="874"/>
      <c r="Y532" s="874"/>
      <c r="Z532" s="874"/>
    </row>
    <row r="533" spans="1:26" ht="18" customHeight="1" x14ac:dyDescent="0.35">
      <c r="A533" s="874"/>
      <c r="B533" s="874"/>
      <c r="C533" s="874"/>
      <c r="D533" s="874"/>
      <c r="E533" s="874"/>
      <c r="F533" s="874"/>
      <c r="G533" s="874"/>
      <c r="H533" s="874"/>
      <c r="I533" s="874"/>
      <c r="J533" s="874"/>
      <c r="K533" s="874"/>
      <c r="L533" s="874"/>
      <c r="M533" s="874"/>
      <c r="N533" s="874"/>
      <c r="O533" s="874"/>
      <c r="P533" s="874"/>
      <c r="Q533" s="874"/>
      <c r="R533" s="874"/>
      <c r="S533" s="874"/>
      <c r="T533" s="874"/>
      <c r="U533" s="874"/>
      <c r="V533" s="874"/>
      <c r="W533" s="874"/>
      <c r="X533" s="874"/>
      <c r="Y533" s="874"/>
      <c r="Z533" s="874"/>
    </row>
    <row r="534" spans="1:26" ht="18" customHeight="1" x14ac:dyDescent="0.35">
      <c r="A534" s="874"/>
      <c r="B534" s="874"/>
      <c r="C534" s="874"/>
      <c r="D534" s="874"/>
      <c r="E534" s="874"/>
      <c r="F534" s="874"/>
      <c r="G534" s="874"/>
      <c r="H534" s="874"/>
      <c r="I534" s="874"/>
      <c r="J534" s="874"/>
      <c r="K534" s="874"/>
      <c r="L534" s="874"/>
      <c r="M534" s="874"/>
      <c r="N534" s="874"/>
      <c r="O534" s="874"/>
      <c r="P534" s="874"/>
      <c r="Q534" s="874"/>
      <c r="R534" s="874"/>
      <c r="S534" s="874"/>
      <c r="T534" s="874"/>
      <c r="U534" s="874"/>
      <c r="V534" s="874"/>
      <c r="W534" s="874"/>
      <c r="X534" s="874"/>
      <c r="Y534" s="874"/>
      <c r="Z534" s="874"/>
    </row>
    <row r="535" spans="1:26" ht="18" customHeight="1" x14ac:dyDescent="0.35">
      <c r="A535" s="874"/>
      <c r="B535" s="874"/>
      <c r="C535" s="874"/>
      <c r="D535" s="874"/>
      <c r="E535" s="874"/>
      <c r="F535" s="874"/>
      <c r="G535" s="874"/>
      <c r="H535" s="874"/>
      <c r="I535" s="874"/>
      <c r="J535" s="874"/>
      <c r="K535" s="874"/>
      <c r="L535" s="874"/>
      <c r="M535" s="874"/>
      <c r="N535" s="874"/>
      <c r="O535" s="874"/>
      <c r="P535" s="874"/>
      <c r="Q535" s="874"/>
      <c r="R535" s="874"/>
      <c r="S535" s="874"/>
      <c r="T535" s="874"/>
      <c r="U535" s="874"/>
      <c r="V535" s="874"/>
      <c r="W535" s="874"/>
      <c r="X535" s="874"/>
      <c r="Y535" s="874"/>
      <c r="Z535" s="874"/>
    </row>
    <row r="536" spans="1:26" ht="18" customHeight="1" x14ac:dyDescent="0.35">
      <c r="A536" s="874"/>
      <c r="B536" s="874"/>
      <c r="C536" s="874"/>
      <c r="D536" s="874"/>
      <c r="E536" s="874"/>
      <c r="F536" s="874"/>
      <c r="G536" s="874"/>
      <c r="H536" s="874"/>
      <c r="I536" s="874"/>
      <c r="J536" s="874"/>
      <c r="K536" s="874"/>
      <c r="L536" s="874"/>
      <c r="M536" s="874"/>
      <c r="N536" s="874"/>
      <c r="O536" s="874"/>
      <c r="P536" s="874"/>
      <c r="Q536" s="874"/>
      <c r="R536" s="874"/>
      <c r="S536" s="874"/>
      <c r="T536" s="874"/>
      <c r="U536" s="874"/>
      <c r="V536" s="874"/>
      <c r="W536" s="874"/>
      <c r="X536" s="874"/>
      <c r="Y536" s="874"/>
      <c r="Z536" s="874"/>
    </row>
    <row r="537" spans="1:26" ht="18" customHeight="1" x14ac:dyDescent="0.35">
      <c r="A537" s="874"/>
      <c r="B537" s="874"/>
      <c r="C537" s="874"/>
      <c r="D537" s="874"/>
      <c r="E537" s="874"/>
      <c r="F537" s="874"/>
      <c r="G537" s="874"/>
      <c r="H537" s="874"/>
      <c r="I537" s="874"/>
      <c r="J537" s="874"/>
      <c r="K537" s="874"/>
      <c r="L537" s="874"/>
      <c r="M537" s="874"/>
      <c r="N537" s="874"/>
      <c r="O537" s="874"/>
      <c r="P537" s="874"/>
      <c r="Q537" s="874"/>
      <c r="R537" s="874"/>
      <c r="S537" s="874"/>
      <c r="T537" s="874"/>
      <c r="U537" s="874"/>
      <c r="V537" s="874"/>
      <c r="W537" s="874"/>
      <c r="X537" s="874"/>
      <c r="Y537" s="874"/>
      <c r="Z537" s="874"/>
    </row>
    <row r="538" spans="1:26" ht="18" customHeight="1" x14ac:dyDescent="0.35">
      <c r="A538" s="874"/>
      <c r="B538" s="874"/>
      <c r="C538" s="874"/>
      <c r="D538" s="874"/>
      <c r="E538" s="874"/>
      <c r="F538" s="874"/>
      <c r="G538" s="874"/>
      <c r="H538" s="874"/>
      <c r="I538" s="874"/>
      <c r="J538" s="874"/>
      <c r="K538" s="874"/>
      <c r="L538" s="874"/>
      <c r="M538" s="874"/>
      <c r="N538" s="874"/>
      <c r="O538" s="874"/>
      <c r="P538" s="874"/>
      <c r="Q538" s="874"/>
      <c r="R538" s="874"/>
      <c r="S538" s="874"/>
      <c r="T538" s="874"/>
      <c r="U538" s="874"/>
      <c r="V538" s="874"/>
      <c r="W538" s="874"/>
      <c r="X538" s="874"/>
      <c r="Y538" s="874"/>
      <c r="Z538" s="874"/>
    </row>
    <row r="539" spans="1:26" ht="18" customHeight="1" x14ac:dyDescent="0.35">
      <c r="A539" s="874"/>
      <c r="B539" s="874"/>
      <c r="C539" s="874"/>
      <c r="D539" s="874"/>
      <c r="E539" s="874"/>
      <c r="F539" s="874"/>
      <c r="G539" s="874"/>
      <c r="H539" s="874"/>
      <c r="I539" s="874"/>
      <c r="J539" s="874"/>
      <c r="K539" s="874"/>
      <c r="L539" s="874"/>
      <c r="M539" s="874"/>
      <c r="N539" s="874"/>
      <c r="O539" s="874"/>
      <c r="P539" s="874"/>
      <c r="Q539" s="874"/>
      <c r="R539" s="874"/>
      <c r="S539" s="874"/>
      <c r="T539" s="874"/>
      <c r="U539" s="874"/>
      <c r="V539" s="874"/>
      <c r="W539" s="874"/>
      <c r="X539" s="874"/>
      <c r="Y539" s="874"/>
      <c r="Z539" s="874"/>
    </row>
    <row r="540" spans="1:26" ht="18" customHeight="1" x14ac:dyDescent="0.35">
      <c r="A540" s="874"/>
      <c r="B540" s="874"/>
      <c r="C540" s="874"/>
      <c r="D540" s="874"/>
      <c r="E540" s="874"/>
      <c r="F540" s="874"/>
      <c r="G540" s="874"/>
      <c r="H540" s="874"/>
      <c r="I540" s="874"/>
      <c r="J540" s="874"/>
      <c r="K540" s="874"/>
      <c r="L540" s="874"/>
      <c r="M540" s="874"/>
      <c r="N540" s="874"/>
      <c r="O540" s="874"/>
      <c r="P540" s="874"/>
      <c r="Q540" s="874"/>
      <c r="R540" s="874"/>
      <c r="S540" s="874"/>
      <c r="T540" s="874"/>
      <c r="U540" s="874"/>
      <c r="V540" s="874"/>
      <c r="W540" s="874"/>
      <c r="X540" s="874"/>
      <c r="Y540" s="874"/>
      <c r="Z540" s="874"/>
    </row>
    <row r="541" spans="1:26" ht="18" customHeight="1" x14ac:dyDescent="0.35">
      <c r="A541" s="874"/>
      <c r="B541" s="874"/>
      <c r="C541" s="874"/>
      <c r="D541" s="874"/>
      <c r="E541" s="874"/>
      <c r="F541" s="874"/>
      <c r="G541" s="874"/>
      <c r="H541" s="874"/>
      <c r="I541" s="874"/>
      <c r="J541" s="874"/>
      <c r="K541" s="874"/>
      <c r="L541" s="874"/>
      <c r="M541" s="874"/>
      <c r="N541" s="874"/>
      <c r="O541" s="874"/>
      <c r="P541" s="874"/>
      <c r="Q541" s="874"/>
      <c r="R541" s="874"/>
      <c r="S541" s="874"/>
      <c r="T541" s="874"/>
      <c r="U541" s="874"/>
      <c r="V541" s="874"/>
      <c r="W541" s="874"/>
      <c r="X541" s="874"/>
      <c r="Y541" s="874"/>
      <c r="Z541" s="874"/>
    </row>
    <row r="542" spans="1:26" ht="18" customHeight="1" x14ac:dyDescent="0.35">
      <c r="A542" s="874"/>
      <c r="B542" s="874"/>
      <c r="C542" s="874"/>
      <c r="D542" s="874"/>
      <c r="E542" s="874"/>
      <c r="F542" s="874"/>
      <c r="G542" s="874"/>
      <c r="H542" s="874"/>
      <c r="I542" s="874"/>
      <c r="J542" s="874"/>
      <c r="K542" s="874"/>
      <c r="L542" s="874"/>
      <c r="M542" s="874"/>
      <c r="N542" s="874"/>
      <c r="O542" s="874"/>
      <c r="P542" s="874"/>
      <c r="Q542" s="874"/>
      <c r="R542" s="874"/>
      <c r="S542" s="874"/>
      <c r="T542" s="874"/>
      <c r="U542" s="874"/>
      <c r="V542" s="874"/>
      <c r="W542" s="874"/>
      <c r="X542" s="874"/>
      <c r="Y542" s="874"/>
      <c r="Z542" s="874"/>
    </row>
    <row r="543" spans="1:26" ht="18" customHeight="1" x14ac:dyDescent="0.35">
      <c r="A543" s="874"/>
      <c r="B543" s="874"/>
      <c r="C543" s="874"/>
      <c r="D543" s="874"/>
      <c r="E543" s="874"/>
      <c r="F543" s="874"/>
      <c r="G543" s="874"/>
      <c r="H543" s="874"/>
      <c r="I543" s="874"/>
      <c r="J543" s="874"/>
      <c r="K543" s="874"/>
      <c r="L543" s="874"/>
      <c r="M543" s="874"/>
      <c r="N543" s="874"/>
      <c r="O543" s="874"/>
      <c r="P543" s="874"/>
      <c r="Q543" s="874"/>
      <c r="R543" s="874"/>
      <c r="S543" s="874"/>
      <c r="T543" s="874"/>
      <c r="U543" s="874"/>
      <c r="V543" s="874"/>
      <c r="W543" s="874"/>
      <c r="X543" s="874"/>
      <c r="Y543" s="874"/>
      <c r="Z543" s="874"/>
    </row>
    <row r="544" spans="1:26" ht="18" customHeight="1" x14ac:dyDescent="0.35">
      <c r="A544" s="874"/>
      <c r="B544" s="874"/>
      <c r="C544" s="874"/>
      <c r="D544" s="874"/>
      <c r="E544" s="874"/>
      <c r="F544" s="874"/>
      <c r="G544" s="874"/>
      <c r="H544" s="874"/>
      <c r="I544" s="874"/>
      <c r="J544" s="874"/>
      <c r="K544" s="874"/>
      <c r="L544" s="874"/>
      <c r="M544" s="874"/>
      <c r="N544" s="874"/>
      <c r="O544" s="874"/>
      <c r="P544" s="874"/>
      <c r="Q544" s="874"/>
      <c r="R544" s="874"/>
      <c r="S544" s="874"/>
      <c r="T544" s="874"/>
      <c r="U544" s="874"/>
      <c r="V544" s="874"/>
      <c r="W544" s="874"/>
      <c r="X544" s="874"/>
      <c r="Y544" s="874"/>
      <c r="Z544" s="874"/>
    </row>
    <row r="545" spans="1:26" ht="18" customHeight="1" x14ac:dyDescent="0.35">
      <c r="A545" s="874"/>
      <c r="B545" s="874"/>
      <c r="C545" s="874"/>
      <c r="D545" s="874"/>
      <c r="E545" s="874"/>
      <c r="F545" s="874"/>
      <c r="G545" s="874"/>
      <c r="H545" s="874"/>
      <c r="I545" s="874"/>
      <c r="J545" s="874"/>
      <c r="K545" s="874"/>
      <c r="L545" s="874"/>
      <c r="M545" s="874"/>
      <c r="N545" s="874"/>
      <c r="O545" s="874"/>
      <c r="P545" s="874"/>
      <c r="Q545" s="874"/>
      <c r="R545" s="874"/>
      <c r="S545" s="874"/>
      <c r="T545" s="874"/>
      <c r="U545" s="874"/>
      <c r="V545" s="874"/>
      <c r="W545" s="874"/>
      <c r="X545" s="874"/>
      <c r="Y545" s="874"/>
      <c r="Z545" s="874"/>
    </row>
    <row r="546" spans="1:26" ht="18" customHeight="1" x14ac:dyDescent="0.35">
      <c r="A546" s="874"/>
      <c r="B546" s="874"/>
      <c r="C546" s="874"/>
      <c r="D546" s="874"/>
      <c r="E546" s="874"/>
      <c r="F546" s="874"/>
      <c r="G546" s="874"/>
      <c r="H546" s="874"/>
      <c r="I546" s="874"/>
      <c r="J546" s="874"/>
      <c r="K546" s="874"/>
      <c r="L546" s="874"/>
      <c r="M546" s="874"/>
      <c r="N546" s="874"/>
      <c r="O546" s="874"/>
      <c r="P546" s="874"/>
      <c r="Q546" s="874"/>
      <c r="R546" s="874"/>
      <c r="S546" s="874"/>
      <c r="T546" s="874"/>
      <c r="U546" s="874"/>
      <c r="V546" s="874"/>
      <c r="W546" s="874"/>
      <c r="X546" s="874"/>
      <c r="Y546" s="874"/>
      <c r="Z546" s="874"/>
    </row>
    <row r="547" spans="1:26" ht="18" customHeight="1" x14ac:dyDescent="0.35">
      <c r="A547" s="874"/>
      <c r="B547" s="874"/>
      <c r="C547" s="874"/>
      <c r="D547" s="874"/>
      <c r="E547" s="874"/>
      <c r="F547" s="874"/>
      <c r="G547" s="874"/>
      <c r="H547" s="874"/>
      <c r="I547" s="874"/>
      <c r="J547" s="874"/>
      <c r="K547" s="874"/>
      <c r="L547" s="874"/>
      <c r="M547" s="874"/>
      <c r="N547" s="874"/>
      <c r="O547" s="874"/>
      <c r="P547" s="874"/>
      <c r="Q547" s="874"/>
      <c r="R547" s="874"/>
      <c r="S547" s="874"/>
      <c r="T547" s="874"/>
      <c r="U547" s="874"/>
      <c r="V547" s="874"/>
      <c r="W547" s="874"/>
      <c r="X547" s="874"/>
      <c r="Y547" s="874"/>
      <c r="Z547" s="874"/>
    </row>
    <row r="548" spans="1:26" ht="18" customHeight="1" x14ac:dyDescent="0.35">
      <c r="A548" s="874"/>
      <c r="B548" s="874"/>
      <c r="C548" s="874"/>
      <c r="D548" s="874"/>
      <c r="E548" s="874"/>
      <c r="F548" s="874"/>
      <c r="G548" s="874"/>
      <c r="H548" s="874"/>
      <c r="I548" s="874"/>
      <c r="J548" s="874"/>
      <c r="K548" s="874"/>
      <c r="L548" s="874"/>
      <c r="M548" s="874"/>
      <c r="N548" s="874"/>
      <c r="O548" s="874"/>
      <c r="P548" s="874"/>
      <c r="Q548" s="874"/>
      <c r="R548" s="874"/>
      <c r="S548" s="874"/>
      <c r="T548" s="874"/>
      <c r="U548" s="874"/>
      <c r="V548" s="874"/>
      <c r="W548" s="874"/>
      <c r="X548" s="874"/>
      <c r="Y548" s="874"/>
      <c r="Z548" s="874"/>
    </row>
    <row r="549" spans="1:26" ht="18" customHeight="1" x14ac:dyDescent="0.35">
      <c r="A549" s="874"/>
      <c r="B549" s="874"/>
      <c r="C549" s="874"/>
      <c r="D549" s="874"/>
      <c r="E549" s="874"/>
      <c r="F549" s="874"/>
      <c r="G549" s="874"/>
      <c r="H549" s="874"/>
      <c r="I549" s="874"/>
      <c r="J549" s="874"/>
      <c r="K549" s="874"/>
      <c r="L549" s="874"/>
      <c r="M549" s="874"/>
      <c r="N549" s="874"/>
      <c r="O549" s="874"/>
      <c r="P549" s="874"/>
      <c r="Q549" s="874"/>
      <c r="R549" s="874"/>
      <c r="S549" s="874"/>
      <c r="T549" s="874"/>
      <c r="U549" s="874"/>
      <c r="V549" s="874"/>
      <c r="W549" s="874"/>
      <c r="X549" s="874"/>
      <c r="Y549" s="874"/>
      <c r="Z549" s="874"/>
    </row>
    <row r="550" spans="1:26" ht="18" customHeight="1" x14ac:dyDescent="0.35">
      <c r="A550" s="874"/>
      <c r="B550" s="874"/>
      <c r="C550" s="874"/>
      <c r="D550" s="874"/>
      <c r="E550" s="874"/>
      <c r="F550" s="874"/>
      <c r="G550" s="874"/>
      <c r="H550" s="874"/>
      <c r="I550" s="874"/>
      <c r="J550" s="874"/>
      <c r="K550" s="874"/>
      <c r="L550" s="874"/>
      <c r="M550" s="874"/>
      <c r="N550" s="874"/>
      <c r="O550" s="874"/>
      <c r="P550" s="874"/>
      <c r="Q550" s="874"/>
      <c r="R550" s="874"/>
      <c r="S550" s="874"/>
      <c r="T550" s="874"/>
      <c r="U550" s="874"/>
      <c r="V550" s="874"/>
      <c r="W550" s="874"/>
      <c r="X550" s="874"/>
      <c r="Y550" s="874"/>
      <c r="Z550" s="874"/>
    </row>
    <row r="551" spans="1:26" ht="18" customHeight="1" x14ac:dyDescent="0.35">
      <c r="A551" s="874"/>
      <c r="B551" s="874"/>
      <c r="C551" s="874"/>
      <c r="D551" s="874"/>
      <c r="E551" s="874"/>
      <c r="F551" s="874"/>
      <c r="G551" s="874"/>
      <c r="H551" s="874"/>
      <c r="I551" s="874"/>
      <c r="J551" s="874"/>
      <c r="K551" s="874"/>
      <c r="L551" s="874"/>
      <c r="M551" s="874"/>
      <c r="N551" s="874"/>
      <c r="O551" s="874"/>
      <c r="P551" s="874"/>
      <c r="Q551" s="874"/>
      <c r="R551" s="874"/>
      <c r="S551" s="874"/>
      <c r="T551" s="874"/>
      <c r="U551" s="874"/>
      <c r="V551" s="874"/>
      <c r="W551" s="874"/>
      <c r="X551" s="874"/>
      <c r="Y551" s="874"/>
      <c r="Z551" s="874"/>
    </row>
    <row r="552" spans="1:26" ht="18" customHeight="1" x14ac:dyDescent="0.35">
      <c r="A552" s="874"/>
      <c r="B552" s="874"/>
      <c r="C552" s="874"/>
      <c r="D552" s="874"/>
      <c r="E552" s="874"/>
      <c r="F552" s="874"/>
      <c r="G552" s="874"/>
      <c r="H552" s="874"/>
      <c r="I552" s="874"/>
      <c r="J552" s="874"/>
      <c r="K552" s="874"/>
      <c r="L552" s="874"/>
      <c r="M552" s="874"/>
      <c r="N552" s="874"/>
      <c r="O552" s="874"/>
      <c r="P552" s="874"/>
      <c r="Q552" s="874"/>
      <c r="R552" s="874"/>
      <c r="S552" s="874"/>
      <c r="T552" s="874"/>
      <c r="U552" s="874"/>
      <c r="V552" s="874"/>
      <c r="W552" s="874"/>
      <c r="X552" s="874"/>
      <c r="Y552" s="874"/>
      <c r="Z552" s="874"/>
    </row>
    <row r="553" spans="1:26" ht="18" customHeight="1" x14ac:dyDescent="0.35">
      <c r="A553" s="874"/>
      <c r="B553" s="874"/>
      <c r="C553" s="874"/>
      <c r="D553" s="874"/>
      <c r="E553" s="874"/>
      <c r="F553" s="874"/>
      <c r="G553" s="874"/>
      <c r="H553" s="874"/>
      <c r="I553" s="874"/>
      <c r="J553" s="874"/>
      <c r="K553" s="874"/>
      <c r="L553" s="874"/>
      <c r="M553" s="874"/>
      <c r="N553" s="874"/>
      <c r="O553" s="874"/>
      <c r="P553" s="874"/>
      <c r="Q553" s="874"/>
      <c r="R553" s="874"/>
      <c r="S553" s="874"/>
      <c r="T553" s="874"/>
      <c r="U553" s="874"/>
      <c r="V553" s="874"/>
      <c r="W553" s="874"/>
      <c r="X553" s="874"/>
      <c r="Y553" s="874"/>
      <c r="Z553" s="874"/>
    </row>
    <row r="554" spans="1:26" ht="18" customHeight="1" x14ac:dyDescent="0.35">
      <c r="A554" s="874"/>
      <c r="B554" s="874"/>
      <c r="C554" s="874"/>
      <c r="D554" s="874"/>
      <c r="E554" s="874"/>
      <c r="F554" s="874"/>
      <c r="G554" s="874"/>
      <c r="H554" s="874"/>
      <c r="I554" s="874"/>
      <c r="J554" s="874"/>
      <c r="K554" s="874"/>
      <c r="L554" s="874"/>
      <c r="M554" s="874"/>
      <c r="N554" s="874"/>
      <c r="O554" s="874"/>
      <c r="P554" s="874"/>
      <c r="Q554" s="874"/>
      <c r="R554" s="874"/>
      <c r="S554" s="874"/>
      <c r="T554" s="874"/>
      <c r="U554" s="874"/>
      <c r="V554" s="874"/>
      <c r="W554" s="874"/>
      <c r="X554" s="874"/>
      <c r="Y554" s="874"/>
      <c r="Z554" s="874"/>
    </row>
    <row r="555" spans="1:26" ht="18" customHeight="1" x14ac:dyDescent="0.35">
      <c r="A555" s="874"/>
      <c r="B555" s="874"/>
      <c r="C555" s="874"/>
      <c r="D555" s="874"/>
      <c r="E555" s="874"/>
      <c r="F555" s="874"/>
      <c r="G555" s="874"/>
      <c r="H555" s="874"/>
      <c r="I555" s="874"/>
      <c r="J555" s="874"/>
      <c r="K555" s="874"/>
      <c r="L555" s="874"/>
      <c r="M555" s="874"/>
      <c r="N555" s="874"/>
      <c r="O555" s="874"/>
      <c r="P555" s="874"/>
      <c r="Q555" s="874"/>
      <c r="R555" s="874"/>
      <c r="S555" s="874"/>
      <c r="T555" s="874"/>
      <c r="U555" s="874"/>
      <c r="V555" s="874"/>
      <c r="W555" s="874"/>
      <c r="X555" s="874"/>
      <c r="Y555" s="874"/>
      <c r="Z555" s="874"/>
    </row>
    <row r="556" spans="1:26" ht="18" customHeight="1" x14ac:dyDescent="0.35">
      <c r="A556" s="874"/>
      <c r="B556" s="874"/>
      <c r="C556" s="874"/>
      <c r="D556" s="874"/>
      <c r="E556" s="874"/>
      <c r="F556" s="874"/>
      <c r="G556" s="874"/>
      <c r="H556" s="874"/>
      <c r="I556" s="874"/>
      <c r="J556" s="874"/>
      <c r="K556" s="874"/>
      <c r="L556" s="874"/>
      <c r="M556" s="874"/>
      <c r="N556" s="874"/>
      <c r="O556" s="874"/>
      <c r="P556" s="874"/>
      <c r="Q556" s="874"/>
      <c r="R556" s="874"/>
      <c r="S556" s="874"/>
      <c r="T556" s="874"/>
      <c r="U556" s="874"/>
      <c r="V556" s="874"/>
      <c r="W556" s="874"/>
      <c r="X556" s="874"/>
      <c r="Y556" s="874"/>
      <c r="Z556" s="874"/>
    </row>
    <row r="557" spans="1:26" ht="18" customHeight="1" x14ac:dyDescent="0.35">
      <c r="A557" s="874"/>
      <c r="B557" s="874"/>
      <c r="C557" s="874"/>
      <c r="D557" s="874"/>
      <c r="E557" s="874"/>
      <c r="F557" s="874"/>
      <c r="G557" s="874"/>
      <c r="H557" s="874"/>
      <c r="I557" s="874"/>
      <c r="J557" s="874"/>
      <c r="K557" s="874"/>
      <c r="L557" s="874"/>
      <c r="M557" s="874"/>
      <c r="N557" s="874"/>
      <c r="O557" s="874"/>
      <c r="P557" s="874"/>
      <c r="Q557" s="874"/>
      <c r="R557" s="874"/>
      <c r="S557" s="874"/>
      <c r="T557" s="874"/>
      <c r="U557" s="874"/>
      <c r="V557" s="874"/>
      <c r="W557" s="874"/>
      <c r="X557" s="874"/>
      <c r="Y557" s="874"/>
      <c r="Z557" s="874"/>
    </row>
    <row r="558" spans="1:26" ht="18" customHeight="1" x14ac:dyDescent="0.35">
      <c r="A558" s="874"/>
      <c r="B558" s="874"/>
      <c r="C558" s="874"/>
      <c r="D558" s="874"/>
      <c r="E558" s="874"/>
      <c r="F558" s="874"/>
      <c r="G558" s="874"/>
      <c r="H558" s="874"/>
      <c r="I558" s="874"/>
      <c r="J558" s="874"/>
      <c r="K558" s="874"/>
      <c r="L558" s="874"/>
      <c r="M558" s="874"/>
      <c r="N558" s="874"/>
      <c r="O558" s="874"/>
      <c r="P558" s="874"/>
      <c r="Q558" s="874"/>
      <c r="R558" s="874"/>
      <c r="S558" s="874"/>
      <c r="T558" s="874"/>
      <c r="U558" s="874"/>
      <c r="V558" s="874"/>
      <c r="W558" s="874"/>
      <c r="X558" s="874"/>
      <c r="Y558" s="874"/>
      <c r="Z558" s="874"/>
    </row>
    <row r="559" spans="1:26" ht="18" customHeight="1" x14ac:dyDescent="0.35">
      <c r="A559" s="874"/>
      <c r="B559" s="874"/>
      <c r="C559" s="874"/>
      <c r="D559" s="874"/>
      <c r="E559" s="874"/>
      <c r="F559" s="874"/>
      <c r="G559" s="874"/>
      <c r="H559" s="874"/>
      <c r="I559" s="874"/>
      <c r="J559" s="874"/>
      <c r="K559" s="874"/>
      <c r="L559" s="874"/>
      <c r="M559" s="874"/>
      <c r="N559" s="874"/>
      <c r="O559" s="874"/>
      <c r="P559" s="874"/>
      <c r="Q559" s="874"/>
      <c r="R559" s="874"/>
      <c r="S559" s="874"/>
      <c r="T559" s="874"/>
      <c r="U559" s="874"/>
      <c r="V559" s="874"/>
      <c r="W559" s="874"/>
      <c r="X559" s="874"/>
      <c r="Y559" s="874"/>
      <c r="Z559" s="874"/>
    </row>
    <row r="560" spans="1:26" ht="18" customHeight="1" x14ac:dyDescent="0.35">
      <c r="A560" s="874"/>
      <c r="B560" s="874"/>
      <c r="C560" s="874"/>
      <c r="D560" s="874"/>
      <c r="E560" s="874"/>
      <c r="F560" s="874"/>
      <c r="G560" s="874"/>
      <c r="H560" s="874"/>
      <c r="I560" s="874"/>
      <c r="J560" s="874"/>
      <c r="K560" s="874"/>
      <c r="L560" s="874"/>
      <c r="M560" s="874"/>
      <c r="N560" s="874"/>
      <c r="O560" s="874"/>
      <c r="P560" s="874"/>
      <c r="Q560" s="874"/>
      <c r="R560" s="874"/>
      <c r="S560" s="874"/>
      <c r="T560" s="874"/>
      <c r="U560" s="874"/>
      <c r="V560" s="874"/>
      <c r="W560" s="874"/>
      <c r="X560" s="874"/>
      <c r="Y560" s="874"/>
      <c r="Z560" s="874"/>
    </row>
    <row r="561" spans="1:26" ht="18" customHeight="1" x14ac:dyDescent="0.35">
      <c r="A561" s="874"/>
      <c r="B561" s="874"/>
      <c r="C561" s="874"/>
      <c r="D561" s="874"/>
      <c r="E561" s="874"/>
      <c r="F561" s="874"/>
      <c r="G561" s="874"/>
      <c r="H561" s="874"/>
      <c r="I561" s="874"/>
      <c r="J561" s="874"/>
      <c r="K561" s="874"/>
      <c r="L561" s="874"/>
      <c r="M561" s="874"/>
      <c r="N561" s="874"/>
      <c r="O561" s="874"/>
      <c r="P561" s="874"/>
      <c r="Q561" s="874"/>
      <c r="R561" s="874"/>
      <c r="S561" s="874"/>
      <c r="T561" s="874"/>
      <c r="U561" s="874"/>
      <c r="V561" s="874"/>
      <c r="W561" s="874"/>
      <c r="X561" s="874"/>
      <c r="Y561" s="874"/>
      <c r="Z561" s="874"/>
    </row>
    <row r="562" spans="1:26" ht="18" customHeight="1" x14ac:dyDescent="0.35">
      <c r="A562" s="874"/>
      <c r="B562" s="874"/>
      <c r="C562" s="874"/>
      <c r="D562" s="874"/>
      <c r="E562" s="874"/>
      <c r="F562" s="874"/>
      <c r="G562" s="874"/>
      <c r="H562" s="874"/>
      <c r="I562" s="874"/>
      <c r="J562" s="874"/>
      <c r="K562" s="874"/>
      <c r="L562" s="874"/>
      <c r="M562" s="874"/>
      <c r="N562" s="874"/>
      <c r="O562" s="874"/>
      <c r="P562" s="874"/>
      <c r="Q562" s="874"/>
      <c r="R562" s="874"/>
      <c r="S562" s="874"/>
      <c r="T562" s="874"/>
      <c r="U562" s="874"/>
      <c r="V562" s="874"/>
      <c r="W562" s="874"/>
      <c r="X562" s="874"/>
      <c r="Y562" s="874"/>
      <c r="Z562" s="874"/>
    </row>
    <row r="563" spans="1:26" ht="18" customHeight="1" x14ac:dyDescent="0.35">
      <c r="A563" s="874"/>
      <c r="B563" s="874"/>
      <c r="C563" s="874"/>
      <c r="D563" s="874"/>
      <c r="E563" s="874"/>
      <c r="F563" s="874"/>
      <c r="G563" s="874"/>
      <c r="H563" s="874"/>
      <c r="I563" s="874"/>
      <c r="J563" s="874"/>
      <c r="K563" s="874"/>
      <c r="L563" s="874"/>
      <c r="M563" s="874"/>
      <c r="N563" s="874"/>
      <c r="O563" s="874"/>
      <c r="P563" s="874"/>
      <c r="Q563" s="874"/>
      <c r="R563" s="874"/>
      <c r="S563" s="874"/>
      <c r="T563" s="874"/>
      <c r="U563" s="874"/>
      <c r="V563" s="874"/>
      <c r="W563" s="874"/>
      <c r="X563" s="874"/>
      <c r="Y563" s="874"/>
      <c r="Z563" s="874"/>
    </row>
    <row r="564" spans="1:26" ht="18" customHeight="1" x14ac:dyDescent="0.35">
      <c r="A564" s="874"/>
      <c r="B564" s="874"/>
      <c r="C564" s="874"/>
      <c r="D564" s="874"/>
      <c r="E564" s="874"/>
      <c r="F564" s="874"/>
      <c r="G564" s="874"/>
      <c r="H564" s="874"/>
      <c r="I564" s="874"/>
      <c r="J564" s="874"/>
      <c r="K564" s="874"/>
      <c r="L564" s="874"/>
      <c r="M564" s="874"/>
      <c r="N564" s="874"/>
      <c r="O564" s="874"/>
      <c r="P564" s="874"/>
      <c r="Q564" s="874"/>
      <c r="R564" s="874"/>
      <c r="S564" s="874"/>
      <c r="T564" s="874"/>
      <c r="U564" s="874"/>
      <c r="V564" s="874"/>
      <c r="W564" s="874"/>
      <c r="X564" s="874"/>
      <c r="Y564" s="874"/>
      <c r="Z564" s="874"/>
    </row>
    <row r="565" spans="1:26" ht="18" customHeight="1" x14ac:dyDescent="0.35">
      <c r="A565" s="874"/>
      <c r="B565" s="874"/>
      <c r="C565" s="874"/>
      <c r="D565" s="874"/>
      <c r="E565" s="874"/>
      <c r="F565" s="874"/>
      <c r="G565" s="874"/>
      <c r="H565" s="874"/>
      <c r="I565" s="874"/>
      <c r="J565" s="874"/>
      <c r="K565" s="874"/>
      <c r="L565" s="874"/>
      <c r="M565" s="874"/>
      <c r="N565" s="874"/>
      <c r="O565" s="874"/>
      <c r="P565" s="874"/>
      <c r="Q565" s="874"/>
      <c r="R565" s="874"/>
      <c r="S565" s="874"/>
      <c r="T565" s="874"/>
      <c r="U565" s="874"/>
      <c r="V565" s="874"/>
      <c r="W565" s="874"/>
      <c r="X565" s="874"/>
      <c r="Y565" s="874"/>
      <c r="Z565" s="874"/>
    </row>
    <row r="566" spans="1:26" ht="18" customHeight="1" x14ac:dyDescent="0.35">
      <c r="A566" s="874"/>
      <c r="B566" s="874"/>
      <c r="C566" s="874"/>
      <c r="D566" s="874"/>
      <c r="E566" s="874"/>
      <c r="F566" s="874"/>
      <c r="G566" s="874"/>
      <c r="H566" s="874"/>
      <c r="I566" s="874"/>
      <c r="J566" s="874"/>
      <c r="K566" s="874"/>
      <c r="L566" s="874"/>
      <c r="M566" s="874"/>
      <c r="N566" s="874"/>
      <c r="O566" s="874"/>
      <c r="P566" s="874"/>
      <c r="Q566" s="874"/>
      <c r="R566" s="874"/>
      <c r="S566" s="874"/>
      <c r="T566" s="874"/>
      <c r="U566" s="874"/>
      <c r="V566" s="874"/>
      <c r="W566" s="874"/>
      <c r="X566" s="874"/>
      <c r="Y566" s="874"/>
      <c r="Z566" s="874"/>
    </row>
    <row r="567" spans="1:26" ht="18" customHeight="1" x14ac:dyDescent="0.35">
      <c r="A567" s="874"/>
      <c r="B567" s="874"/>
      <c r="C567" s="874"/>
      <c r="D567" s="874"/>
      <c r="E567" s="874"/>
      <c r="F567" s="874"/>
      <c r="G567" s="874"/>
      <c r="H567" s="874"/>
      <c r="I567" s="874"/>
      <c r="J567" s="874"/>
      <c r="K567" s="874"/>
      <c r="L567" s="874"/>
      <c r="M567" s="874"/>
      <c r="N567" s="874"/>
      <c r="O567" s="874"/>
      <c r="P567" s="874"/>
      <c r="Q567" s="874"/>
      <c r="R567" s="874"/>
      <c r="S567" s="874"/>
      <c r="T567" s="874"/>
      <c r="U567" s="874"/>
      <c r="V567" s="874"/>
      <c r="W567" s="874"/>
      <c r="X567" s="874"/>
      <c r="Y567" s="874"/>
      <c r="Z567" s="874"/>
    </row>
    <row r="568" spans="1:26" ht="18" customHeight="1" x14ac:dyDescent="0.35">
      <c r="A568" s="874"/>
      <c r="B568" s="874"/>
      <c r="C568" s="874"/>
      <c r="D568" s="874"/>
      <c r="E568" s="874"/>
      <c r="F568" s="874"/>
      <c r="G568" s="874"/>
      <c r="H568" s="874"/>
      <c r="I568" s="874"/>
      <c r="J568" s="874"/>
      <c r="K568" s="874"/>
      <c r="L568" s="874"/>
      <c r="M568" s="874"/>
      <c r="N568" s="874"/>
      <c r="O568" s="874"/>
      <c r="P568" s="874"/>
      <c r="Q568" s="874"/>
      <c r="R568" s="874"/>
      <c r="S568" s="874"/>
      <c r="T568" s="874"/>
      <c r="U568" s="874"/>
      <c r="V568" s="874"/>
      <c r="W568" s="874"/>
      <c r="X568" s="874"/>
      <c r="Y568" s="874"/>
      <c r="Z568" s="874"/>
    </row>
    <row r="569" spans="1:26" ht="18" customHeight="1" x14ac:dyDescent="0.35">
      <c r="A569" s="874"/>
      <c r="B569" s="874"/>
      <c r="C569" s="874"/>
      <c r="D569" s="874"/>
      <c r="E569" s="874"/>
      <c r="F569" s="874"/>
      <c r="G569" s="874"/>
      <c r="H569" s="874"/>
      <c r="I569" s="874"/>
      <c r="J569" s="874"/>
      <c r="K569" s="874"/>
      <c r="L569" s="874"/>
      <c r="M569" s="874"/>
      <c r="N569" s="874"/>
      <c r="O569" s="874"/>
      <c r="P569" s="874"/>
      <c r="Q569" s="874"/>
      <c r="R569" s="874"/>
      <c r="S569" s="874"/>
      <c r="T569" s="874"/>
      <c r="U569" s="874"/>
      <c r="V569" s="874"/>
      <c r="W569" s="874"/>
      <c r="X569" s="874"/>
      <c r="Y569" s="874"/>
      <c r="Z569" s="874"/>
    </row>
    <row r="570" spans="1:26" ht="18" customHeight="1" x14ac:dyDescent="0.35">
      <c r="A570" s="874"/>
      <c r="B570" s="874"/>
      <c r="C570" s="874"/>
      <c r="D570" s="874"/>
      <c r="E570" s="874"/>
      <c r="F570" s="874"/>
      <c r="G570" s="874"/>
      <c r="H570" s="874"/>
      <c r="I570" s="874"/>
      <c r="J570" s="874"/>
      <c r="K570" s="874"/>
      <c r="L570" s="874"/>
      <c r="M570" s="874"/>
      <c r="N570" s="874"/>
      <c r="O570" s="874"/>
      <c r="P570" s="874"/>
      <c r="Q570" s="874"/>
      <c r="R570" s="874"/>
      <c r="S570" s="874"/>
      <c r="T570" s="874"/>
      <c r="U570" s="874"/>
      <c r="V570" s="874"/>
      <c r="W570" s="874"/>
      <c r="X570" s="874"/>
      <c r="Y570" s="874"/>
      <c r="Z570" s="874"/>
    </row>
    <row r="571" spans="1:26" ht="18" customHeight="1" x14ac:dyDescent="0.35">
      <c r="A571" s="874"/>
      <c r="B571" s="874"/>
      <c r="C571" s="874"/>
      <c r="D571" s="874"/>
      <c r="E571" s="874"/>
      <c r="F571" s="874"/>
      <c r="G571" s="874"/>
      <c r="H571" s="874"/>
      <c r="I571" s="874"/>
      <c r="J571" s="874"/>
      <c r="K571" s="874"/>
      <c r="L571" s="874"/>
      <c r="M571" s="874"/>
      <c r="N571" s="874"/>
      <c r="O571" s="874"/>
      <c r="P571" s="874"/>
      <c r="Q571" s="874"/>
      <c r="R571" s="874"/>
      <c r="S571" s="874"/>
      <c r="T571" s="874"/>
      <c r="U571" s="874"/>
      <c r="V571" s="874"/>
      <c r="W571" s="874"/>
      <c r="X571" s="874"/>
      <c r="Y571" s="874"/>
      <c r="Z571" s="874"/>
    </row>
    <row r="572" spans="1:26" ht="18" customHeight="1" x14ac:dyDescent="0.35">
      <c r="A572" s="874"/>
      <c r="B572" s="874"/>
      <c r="C572" s="874"/>
      <c r="D572" s="874"/>
      <c r="E572" s="874"/>
      <c r="F572" s="874"/>
      <c r="G572" s="874"/>
      <c r="H572" s="874"/>
      <c r="I572" s="874"/>
      <c r="J572" s="874"/>
      <c r="K572" s="874"/>
      <c r="L572" s="874"/>
      <c r="M572" s="874"/>
      <c r="N572" s="874"/>
      <c r="O572" s="874"/>
      <c r="P572" s="874"/>
      <c r="Q572" s="874"/>
      <c r="R572" s="874"/>
      <c r="S572" s="874"/>
      <c r="T572" s="874"/>
      <c r="U572" s="874"/>
      <c r="V572" s="874"/>
      <c r="W572" s="874"/>
      <c r="X572" s="874"/>
      <c r="Y572" s="874"/>
      <c r="Z572" s="874"/>
    </row>
    <row r="573" spans="1:26" ht="18" customHeight="1" x14ac:dyDescent="0.35">
      <c r="A573" s="874"/>
      <c r="B573" s="874"/>
      <c r="C573" s="874"/>
      <c r="D573" s="874"/>
      <c r="E573" s="874"/>
      <c r="F573" s="874"/>
      <c r="G573" s="874"/>
      <c r="H573" s="874"/>
      <c r="I573" s="874"/>
      <c r="J573" s="874"/>
      <c r="K573" s="874"/>
      <c r="L573" s="874"/>
      <c r="M573" s="874"/>
      <c r="N573" s="874"/>
      <c r="O573" s="874"/>
      <c r="P573" s="874"/>
      <c r="Q573" s="874"/>
      <c r="R573" s="874"/>
      <c r="S573" s="874"/>
      <c r="T573" s="874"/>
      <c r="U573" s="874"/>
      <c r="V573" s="874"/>
      <c r="W573" s="874"/>
      <c r="X573" s="874"/>
      <c r="Y573" s="874"/>
      <c r="Z573" s="874"/>
    </row>
    <row r="574" spans="1:26" ht="18" customHeight="1" x14ac:dyDescent="0.35">
      <c r="A574" s="874"/>
      <c r="B574" s="874"/>
      <c r="C574" s="874"/>
      <c r="D574" s="874"/>
      <c r="E574" s="874"/>
      <c r="F574" s="874"/>
      <c r="G574" s="874"/>
      <c r="H574" s="874"/>
      <c r="I574" s="874"/>
      <c r="J574" s="874"/>
      <c r="K574" s="874"/>
      <c r="L574" s="874"/>
      <c r="M574" s="874"/>
      <c r="N574" s="874"/>
      <c r="O574" s="874"/>
      <c r="P574" s="874"/>
      <c r="Q574" s="874"/>
      <c r="R574" s="874"/>
      <c r="S574" s="874"/>
      <c r="T574" s="874"/>
      <c r="U574" s="874"/>
      <c r="V574" s="874"/>
      <c r="W574" s="874"/>
      <c r="X574" s="874"/>
      <c r="Y574" s="874"/>
      <c r="Z574" s="874"/>
    </row>
    <row r="575" spans="1:26" ht="18" customHeight="1" x14ac:dyDescent="0.35">
      <c r="A575" s="874"/>
      <c r="B575" s="874"/>
      <c r="C575" s="874"/>
      <c r="D575" s="874"/>
      <c r="E575" s="874"/>
      <c r="F575" s="874"/>
      <c r="G575" s="874"/>
      <c r="H575" s="874"/>
      <c r="I575" s="874"/>
      <c r="J575" s="874"/>
      <c r="K575" s="874"/>
      <c r="L575" s="874"/>
      <c r="M575" s="874"/>
      <c r="N575" s="874"/>
      <c r="O575" s="874"/>
      <c r="P575" s="874"/>
      <c r="Q575" s="874"/>
      <c r="R575" s="874"/>
      <c r="S575" s="874"/>
      <c r="T575" s="874"/>
      <c r="U575" s="874"/>
      <c r="V575" s="874"/>
      <c r="W575" s="874"/>
      <c r="X575" s="874"/>
      <c r="Y575" s="874"/>
      <c r="Z575" s="874"/>
    </row>
    <row r="576" spans="1:26" ht="18" customHeight="1" x14ac:dyDescent="0.35">
      <c r="A576" s="874"/>
      <c r="B576" s="874"/>
      <c r="C576" s="874"/>
      <c r="D576" s="874"/>
      <c r="E576" s="874"/>
      <c r="F576" s="874"/>
      <c r="G576" s="874"/>
      <c r="H576" s="874"/>
      <c r="I576" s="874"/>
      <c r="J576" s="874"/>
      <c r="K576" s="874"/>
      <c r="L576" s="874"/>
      <c r="M576" s="874"/>
      <c r="N576" s="874"/>
      <c r="O576" s="874"/>
      <c r="P576" s="874"/>
      <c r="Q576" s="874"/>
      <c r="R576" s="874"/>
      <c r="S576" s="874"/>
      <c r="T576" s="874"/>
      <c r="U576" s="874"/>
      <c r="V576" s="874"/>
      <c r="W576" s="874"/>
      <c r="X576" s="874"/>
      <c r="Y576" s="874"/>
      <c r="Z576" s="874"/>
    </row>
    <row r="577" spans="1:26" ht="18" customHeight="1" x14ac:dyDescent="0.35">
      <c r="A577" s="874"/>
      <c r="B577" s="874"/>
      <c r="C577" s="874"/>
      <c r="D577" s="874"/>
      <c r="E577" s="874"/>
      <c r="F577" s="874"/>
      <c r="G577" s="874"/>
      <c r="H577" s="874"/>
      <c r="I577" s="874"/>
      <c r="J577" s="874"/>
      <c r="K577" s="874"/>
      <c r="L577" s="874"/>
      <c r="M577" s="874"/>
      <c r="N577" s="874"/>
      <c r="O577" s="874"/>
      <c r="P577" s="874"/>
      <c r="Q577" s="874"/>
      <c r="R577" s="874"/>
      <c r="S577" s="874"/>
      <c r="T577" s="874"/>
      <c r="U577" s="874"/>
      <c r="V577" s="874"/>
      <c r="W577" s="874"/>
      <c r="X577" s="874"/>
      <c r="Y577" s="874"/>
      <c r="Z577" s="874"/>
    </row>
    <row r="578" spans="1:26" ht="18" customHeight="1" x14ac:dyDescent="0.35">
      <c r="A578" s="874"/>
      <c r="B578" s="874"/>
      <c r="C578" s="874"/>
      <c r="D578" s="874"/>
      <c r="E578" s="874"/>
      <c r="F578" s="874"/>
      <c r="G578" s="874"/>
      <c r="H578" s="874"/>
      <c r="I578" s="874"/>
      <c r="J578" s="874"/>
      <c r="K578" s="874"/>
      <c r="L578" s="874"/>
      <c r="M578" s="874"/>
      <c r="N578" s="874"/>
      <c r="O578" s="874"/>
      <c r="P578" s="874"/>
      <c r="Q578" s="874"/>
      <c r="R578" s="874"/>
      <c r="S578" s="874"/>
      <c r="T578" s="874"/>
      <c r="U578" s="874"/>
      <c r="V578" s="874"/>
      <c r="W578" s="874"/>
      <c r="X578" s="874"/>
      <c r="Y578" s="874"/>
      <c r="Z578" s="874"/>
    </row>
    <row r="579" spans="1:26" ht="18" customHeight="1" x14ac:dyDescent="0.35">
      <c r="A579" s="874"/>
      <c r="B579" s="874"/>
      <c r="C579" s="874"/>
      <c r="D579" s="874"/>
      <c r="E579" s="874"/>
      <c r="F579" s="874"/>
      <c r="G579" s="874"/>
      <c r="H579" s="874"/>
      <c r="I579" s="874"/>
      <c r="J579" s="874"/>
      <c r="K579" s="874"/>
      <c r="L579" s="874"/>
      <c r="M579" s="874"/>
      <c r="N579" s="874"/>
      <c r="O579" s="874"/>
      <c r="P579" s="874"/>
      <c r="Q579" s="874"/>
      <c r="R579" s="874"/>
      <c r="S579" s="874"/>
      <c r="T579" s="874"/>
      <c r="U579" s="874"/>
      <c r="V579" s="874"/>
      <c r="W579" s="874"/>
      <c r="X579" s="874"/>
      <c r="Y579" s="874"/>
      <c r="Z579" s="874"/>
    </row>
    <row r="580" spans="1:26" ht="18" customHeight="1" x14ac:dyDescent="0.35">
      <c r="A580" s="874"/>
      <c r="B580" s="874"/>
      <c r="C580" s="874"/>
      <c r="D580" s="874"/>
      <c r="E580" s="874"/>
      <c r="F580" s="874"/>
      <c r="G580" s="874"/>
      <c r="H580" s="874"/>
      <c r="I580" s="874"/>
      <c r="J580" s="874"/>
      <c r="K580" s="874"/>
      <c r="L580" s="874"/>
      <c r="M580" s="874"/>
      <c r="N580" s="874"/>
      <c r="O580" s="874"/>
      <c r="P580" s="874"/>
      <c r="Q580" s="874"/>
      <c r="R580" s="874"/>
      <c r="S580" s="874"/>
      <c r="T580" s="874"/>
      <c r="U580" s="874"/>
      <c r="V580" s="874"/>
      <c r="W580" s="874"/>
      <c r="X580" s="874"/>
      <c r="Y580" s="874"/>
      <c r="Z580" s="874"/>
    </row>
    <row r="581" spans="1:26" ht="18" customHeight="1" x14ac:dyDescent="0.35">
      <c r="A581" s="874"/>
      <c r="B581" s="874"/>
      <c r="C581" s="874"/>
      <c r="D581" s="874"/>
      <c r="E581" s="874"/>
      <c r="F581" s="874"/>
      <c r="G581" s="874"/>
      <c r="H581" s="874"/>
      <c r="I581" s="874"/>
      <c r="J581" s="874"/>
      <c r="K581" s="874"/>
      <c r="L581" s="874"/>
      <c r="M581" s="874"/>
      <c r="N581" s="874"/>
      <c r="O581" s="874"/>
      <c r="P581" s="874"/>
      <c r="Q581" s="874"/>
      <c r="R581" s="874"/>
      <c r="S581" s="874"/>
      <c r="T581" s="874"/>
      <c r="U581" s="874"/>
      <c r="V581" s="874"/>
      <c r="W581" s="874"/>
      <c r="X581" s="874"/>
      <c r="Y581" s="874"/>
      <c r="Z581" s="874"/>
    </row>
    <row r="582" spans="1:26" ht="18" customHeight="1" x14ac:dyDescent="0.35">
      <c r="A582" s="874"/>
      <c r="B582" s="874"/>
      <c r="C582" s="874"/>
      <c r="D582" s="874"/>
      <c r="E582" s="874"/>
      <c r="F582" s="874"/>
      <c r="G582" s="874"/>
      <c r="H582" s="874"/>
      <c r="I582" s="874"/>
      <c r="J582" s="874"/>
      <c r="K582" s="874"/>
      <c r="L582" s="874"/>
      <c r="M582" s="874"/>
      <c r="N582" s="874"/>
      <c r="O582" s="874"/>
      <c r="P582" s="874"/>
      <c r="Q582" s="874"/>
      <c r="R582" s="874"/>
      <c r="S582" s="874"/>
      <c r="T582" s="874"/>
      <c r="U582" s="874"/>
      <c r="V582" s="874"/>
      <c r="W582" s="874"/>
      <c r="X582" s="874"/>
      <c r="Y582" s="874"/>
      <c r="Z582" s="874"/>
    </row>
    <row r="583" spans="1:26" ht="18" customHeight="1" x14ac:dyDescent="0.35">
      <c r="A583" s="874"/>
      <c r="B583" s="874"/>
      <c r="C583" s="874"/>
      <c r="D583" s="874"/>
      <c r="E583" s="874"/>
      <c r="F583" s="874"/>
      <c r="G583" s="874"/>
      <c r="H583" s="874"/>
      <c r="I583" s="874"/>
      <c r="J583" s="874"/>
      <c r="K583" s="874"/>
      <c r="L583" s="874"/>
      <c r="M583" s="874"/>
      <c r="N583" s="874"/>
      <c r="O583" s="874"/>
      <c r="P583" s="874"/>
      <c r="Q583" s="874"/>
      <c r="R583" s="874"/>
      <c r="S583" s="874"/>
      <c r="T583" s="874"/>
      <c r="U583" s="874"/>
      <c r="V583" s="874"/>
      <c r="W583" s="874"/>
      <c r="X583" s="874"/>
      <c r="Y583" s="874"/>
      <c r="Z583" s="874"/>
    </row>
    <row r="584" spans="1:26" ht="18" customHeight="1" x14ac:dyDescent="0.35">
      <c r="A584" s="874"/>
      <c r="B584" s="874"/>
      <c r="C584" s="874"/>
      <c r="D584" s="874"/>
      <c r="E584" s="874"/>
      <c r="F584" s="874"/>
      <c r="G584" s="874"/>
      <c r="H584" s="874"/>
      <c r="I584" s="874"/>
      <c r="J584" s="874"/>
      <c r="K584" s="874"/>
      <c r="L584" s="874"/>
      <c r="M584" s="874"/>
      <c r="N584" s="874"/>
      <c r="O584" s="874"/>
      <c r="P584" s="874"/>
      <c r="Q584" s="874"/>
      <c r="R584" s="874"/>
      <c r="S584" s="874"/>
      <c r="T584" s="874"/>
      <c r="U584" s="874"/>
      <c r="V584" s="874"/>
      <c r="W584" s="874"/>
      <c r="X584" s="874"/>
      <c r="Y584" s="874"/>
      <c r="Z584" s="874"/>
    </row>
    <row r="585" spans="1:26" ht="18" customHeight="1" x14ac:dyDescent="0.35">
      <c r="A585" s="874"/>
      <c r="B585" s="874"/>
      <c r="C585" s="874"/>
      <c r="D585" s="874"/>
      <c r="E585" s="874"/>
      <c r="F585" s="874"/>
      <c r="G585" s="874"/>
      <c r="H585" s="874"/>
      <c r="I585" s="874"/>
      <c r="J585" s="874"/>
      <c r="K585" s="874"/>
      <c r="L585" s="874"/>
      <c r="M585" s="874"/>
      <c r="N585" s="874"/>
      <c r="O585" s="874"/>
      <c r="P585" s="874"/>
      <c r="Q585" s="874"/>
      <c r="R585" s="874"/>
      <c r="S585" s="874"/>
      <c r="T585" s="874"/>
      <c r="U585" s="874"/>
      <c r="V585" s="874"/>
      <c r="W585" s="874"/>
      <c r="X585" s="874"/>
      <c r="Y585" s="874"/>
      <c r="Z585" s="874"/>
    </row>
    <row r="586" spans="1:26" ht="18" customHeight="1" x14ac:dyDescent="0.35">
      <c r="A586" s="874"/>
      <c r="B586" s="874"/>
      <c r="C586" s="874"/>
      <c r="D586" s="874"/>
      <c r="E586" s="874"/>
      <c r="F586" s="874"/>
      <c r="G586" s="874"/>
      <c r="H586" s="874"/>
      <c r="I586" s="874"/>
      <c r="J586" s="874"/>
      <c r="K586" s="874"/>
      <c r="L586" s="874"/>
      <c r="M586" s="874"/>
      <c r="N586" s="874"/>
      <c r="O586" s="874"/>
      <c r="P586" s="874"/>
      <c r="Q586" s="874"/>
      <c r="R586" s="874"/>
      <c r="S586" s="874"/>
      <c r="T586" s="874"/>
      <c r="U586" s="874"/>
      <c r="V586" s="874"/>
      <c r="W586" s="874"/>
      <c r="X586" s="874"/>
      <c r="Y586" s="874"/>
      <c r="Z586" s="874"/>
    </row>
    <row r="587" spans="1:26" ht="18" customHeight="1" x14ac:dyDescent="0.35">
      <c r="A587" s="874"/>
      <c r="B587" s="874"/>
      <c r="C587" s="874"/>
      <c r="D587" s="874"/>
      <c r="E587" s="874"/>
      <c r="F587" s="874"/>
      <c r="G587" s="874"/>
      <c r="H587" s="874"/>
      <c r="I587" s="874"/>
      <c r="J587" s="874"/>
      <c r="K587" s="874"/>
      <c r="L587" s="874"/>
      <c r="M587" s="874"/>
      <c r="N587" s="874"/>
      <c r="O587" s="874"/>
      <c r="P587" s="874"/>
      <c r="Q587" s="874"/>
      <c r="R587" s="874"/>
      <c r="S587" s="874"/>
      <c r="T587" s="874"/>
      <c r="U587" s="874"/>
      <c r="V587" s="874"/>
      <c r="W587" s="874"/>
      <c r="X587" s="874"/>
      <c r="Y587" s="874"/>
      <c r="Z587" s="874"/>
    </row>
    <row r="588" spans="1:26" ht="18" customHeight="1" x14ac:dyDescent="0.35">
      <c r="A588" s="874"/>
      <c r="B588" s="874"/>
      <c r="C588" s="874"/>
      <c r="D588" s="874"/>
      <c r="E588" s="874"/>
      <c r="F588" s="874"/>
      <c r="G588" s="874"/>
      <c r="H588" s="874"/>
      <c r="I588" s="874"/>
      <c r="J588" s="874"/>
      <c r="K588" s="874"/>
      <c r="L588" s="874"/>
      <c r="M588" s="874"/>
      <c r="N588" s="874"/>
      <c r="O588" s="874"/>
      <c r="P588" s="874"/>
      <c r="Q588" s="874"/>
      <c r="R588" s="874"/>
      <c r="S588" s="874"/>
      <c r="T588" s="874"/>
      <c r="U588" s="874"/>
      <c r="V588" s="874"/>
      <c r="W588" s="874"/>
      <c r="X588" s="874"/>
      <c r="Y588" s="874"/>
      <c r="Z588" s="874"/>
    </row>
    <row r="589" spans="1:26" ht="18" customHeight="1" x14ac:dyDescent="0.35">
      <c r="A589" s="874"/>
      <c r="B589" s="874"/>
      <c r="C589" s="874"/>
      <c r="D589" s="874"/>
      <c r="E589" s="874"/>
      <c r="F589" s="874"/>
      <c r="G589" s="874"/>
      <c r="H589" s="874"/>
      <c r="I589" s="874"/>
      <c r="J589" s="874"/>
      <c r="K589" s="874"/>
      <c r="L589" s="874"/>
      <c r="M589" s="874"/>
      <c r="N589" s="874"/>
      <c r="O589" s="874"/>
      <c r="P589" s="874"/>
      <c r="Q589" s="874"/>
      <c r="R589" s="874"/>
      <c r="S589" s="874"/>
      <c r="T589" s="874"/>
      <c r="U589" s="874"/>
      <c r="V589" s="874"/>
      <c r="W589" s="874"/>
      <c r="X589" s="874"/>
      <c r="Y589" s="874"/>
      <c r="Z589" s="874"/>
    </row>
    <row r="590" spans="1:26" ht="18" customHeight="1" x14ac:dyDescent="0.35">
      <c r="A590" s="874"/>
      <c r="B590" s="874"/>
      <c r="C590" s="874"/>
      <c r="D590" s="874"/>
      <c r="E590" s="874"/>
      <c r="F590" s="874"/>
      <c r="G590" s="874"/>
      <c r="H590" s="874"/>
      <c r="I590" s="874"/>
      <c r="J590" s="874"/>
      <c r="K590" s="874"/>
      <c r="L590" s="874"/>
      <c r="M590" s="874"/>
      <c r="N590" s="874"/>
      <c r="O590" s="874"/>
      <c r="P590" s="874"/>
      <c r="Q590" s="874"/>
      <c r="R590" s="874"/>
      <c r="S590" s="874"/>
      <c r="T590" s="874"/>
      <c r="U590" s="874"/>
      <c r="V590" s="874"/>
      <c r="W590" s="874"/>
      <c r="X590" s="874"/>
      <c r="Y590" s="874"/>
      <c r="Z590" s="874"/>
    </row>
    <row r="591" spans="1:26" ht="18" customHeight="1" x14ac:dyDescent="0.35">
      <c r="A591" s="874"/>
      <c r="B591" s="874"/>
      <c r="C591" s="874"/>
      <c r="D591" s="874"/>
      <c r="E591" s="874"/>
      <c r="F591" s="874"/>
      <c r="G591" s="874"/>
      <c r="H591" s="874"/>
      <c r="I591" s="874"/>
      <c r="J591" s="874"/>
      <c r="K591" s="874"/>
      <c r="L591" s="874"/>
      <c r="M591" s="874"/>
      <c r="N591" s="874"/>
      <c r="O591" s="874"/>
      <c r="P591" s="874"/>
      <c r="Q591" s="874"/>
      <c r="R591" s="874"/>
      <c r="S591" s="874"/>
      <c r="T591" s="874"/>
      <c r="U591" s="874"/>
      <c r="V591" s="874"/>
      <c r="W591" s="874"/>
      <c r="X591" s="874"/>
      <c r="Y591" s="874"/>
      <c r="Z591" s="874"/>
    </row>
    <row r="592" spans="1:26" ht="18" customHeight="1" x14ac:dyDescent="0.35">
      <c r="A592" s="874"/>
      <c r="B592" s="874"/>
      <c r="C592" s="874"/>
      <c r="D592" s="874"/>
      <c r="E592" s="874"/>
      <c r="F592" s="874"/>
      <c r="G592" s="874"/>
      <c r="H592" s="874"/>
      <c r="I592" s="874"/>
      <c r="J592" s="874"/>
      <c r="K592" s="874"/>
      <c r="L592" s="874"/>
      <c r="M592" s="874"/>
      <c r="N592" s="874"/>
      <c r="O592" s="874"/>
      <c r="P592" s="874"/>
      <c r="Q592" s="874"/>
      <c r="R592" s="874"/>
      <c r="S592" s="874"/>
      <c r="T592" s="874"/>
      <c r="U592" s="874"/>
      <c r="V592" s="874"/>
      <c r="W592" s="874"/>
      <c r="X592" s="874"/>
      <c r="Y592" s="874"/>
      <c r="Z592" s="874"/>
    </row>
    <row r="593" spans="1:26" ht="18" customHeight="1" x14ac:dyDescent="0.35">
      <c r="A593" s="874"/>
      <c r="B593" s="874"/>
      <c r="C593" s="874"/>
      <c r="D593" s="874"/>
      <c r="E593" s="874"/>
      <c r="F593" s="874"/>
      <c r="G593" s="874"/>
      <c r="H593" s="874"/>
      <c r="I593" s="874"/>
      <c r="J593" s="874"/>
      <c r="K593" s="874"/>
      <c r="L593" s="874"/>
      <c r="M593" s="874"/>
      <c r="N593" s="874"/>
      <c r="O593" s="874"/>
      <c r="P593" s="874"/>
      <c r="Q593" s="874"/>
      <c r="R593" s="874"/>
      <c r="S593" s="874"/>
      <c r="T593" s="874"/>
      <c r="U593" s="874"/>
      <c r="V593" s="874"/>
      <c r="W593" s="874"/>
      <c r="X593" s="874"/>
      <c r="Y593" s="874"/>
      <c r="Z593" s="874"/>
    </row>
    <row r="594" spans="1:26" ht="18" customHeight="1" x14ac:dyDescent="0.35">
      <c r="A594" s="874"/>
      <c r="B594" s="874"/>
      <c r="C594" s="874"/>
      <c r="D594" s="874"/>
      <c r="E594" s="874"/>
      <c r="F594" s="874"/>
      <c r="G594" s="874"/>
      <c r="H594" s="874"/>
      <c r="I594" s="874"/>
      <c r="J594" s="874"/>
      <c r="K594" s="874"/>
      <c r="L594" s="874"/>
      <c r="M594" s="874"/>
      <c r="N594" s="874"/>
      <c r="O594" s="874"/>
      <c r="P594" s="874"/>
      <c r="Q594" s="874"/>
      <c r="R594" s="874"/>
      <c r="S594" s="874"/>
      <c r="T594" s="874"/>
      <c r="U594" s="874"/>
      <c r="V594" s="874"/>
      <c r="W594" s="874"/>
      <c r="X594" s="874"/>
      <c r="Y594" s="874"/>
      <c r="Z594" s="874"/>
    </row>
    <row r="595" spans="1:26" ht="18" customHeight="1" x14ac:dyDescent="0.35">
      <c r="A595" s="874"/>
      <c r="B595" s="874"/>
      <c r="C595" s="874"/>
      <c r="D595" s="874"/>
      <c r="E595" s="874"/>
      <c r="F595" s="874"/>
      <c r="G595" s="874"/>
      <c r="H595" s="874"/>
      <c r="I595" s="874"/>
      <c r="J595" s="874"/>
      <c r="K595" s="874"/>
      <c r="L595" s="874"/>
      <c r="M595" s="874"/>
      <c r="N595" s="874"/>
      <c r="O595" s="874"/>
      <c r="P595" s="874"/>
      <c r="Q595" s="874"/>
      <c r="R595" s="874"/>
      <c r="S595" s="874"/>
      <c r="T595" s="874"/>
      <c r="U595" s="874"/>
      <c r="V595" s="874"/>
      <c r="W595" s="874"/>
      <c r="X595" s="874"/>
      <c r="Y595" s="874"/>
      <c r="Z595" s="874"/>
    </row>
    <row r="596" spans="1:26" ht="18" customHeight="1" x14ac:dyDescent="0.35">
      <c r="A596" s="874"/>
      <c r="B596" s="874"/>
      <c r="C596" s="874"/>
      <c r="D596" s="874"/>
      <c r="E596" s="874"/>
      <c r="F596" s="874"/>
      <c r="G596" s="874"/>
      <c r="H596" s="874"/>
      <c r="I596" s="874"/>
      <c r="J596" s="874"/>
      <c r="K596" s="874"/>
      <c r="L596" s="874"/>
      <c r="M596" s="874"/>
      <c r="N596" s="874"/>
      <c r="O596" s="874"/>
      <c r="P596" s="874"/>
      <c r="Q596" s="874"/>
      <c r="R596" s="874"/>
      <c r="S596" s="874"/>
      <c r="T596" s="874"/>
      <c r="U596" s="874"/>
      <c r="V596" s="874"/>
      <c r="W596" s="874"/>
      <c r="X596" s="874"/>
      <c r="Y596" s="874"/>
      <c r="Z596" s="874"/>
    </row>
    <row r="597" spans="1:26" ht="18" customHeight="1" x14ac:dyDescent="0.35">
      <c r="A597" s="874"/>
      <c r="B597" s="874"/>
      <c r="C597" s="874"/>
      <c r="D597" s="874"/>
      <c r="E597" s="874"/>
      <c r="F597" s="874"/>
      <c r="G597" s="874"/>
      <c r="H597" s="874"/>
      <c r="I597" s="874"/>
      <c r="J597" s="874"/>
      <c r="K597" s="874"/>
      <c r="L597" s="874"/>
      <c r="M597" s="874"/>
      <c r="N597" s="874"/>
      <c r="O597" s="874"/>
      <c r="P597" s="874"/>
      <c r="Q597" s="874"/>
      <c r="R597" s="874"/>
      <c r="S597" s="874"/>
      <c r="T597" s="874"/>
      <c r="U597" s="874"/>
      <c r="V597" s="874"/>
      <c r="W597" s="874"/>
      <c r="X597" s="874"/>
      <c r="Y597" s="874"/>
      <c r="Z597" s="874"/>
    </row>
    <row r="598" spans="1:26" ht="18" customHeight="1" x14ac:dyDescent="0.35">
      <c r="A598" s="874"/>
      <c r="B598" s="874"/>
      <c r="C598" s="874"/>
      <c r="D598" s="874"/>
      <c r="E598" s="874"/>
      <c r="F598" s="874"/>
      <c r="G598" s="874"/>
      <c r="H598" s="874"/>
      <c r="I598" s="874"/>
      <c r="J598" s="874"/>
      <c r="K598" s="874"/>
      <c r="L598" s="874"/>
      <c r="M598" s="874"/>
      <c r="N598" s="874"/>
      <c r="O598" s="874"/>
      <c r="P598" s="874"/>
      <c r="Q598" s="874"/>
      <c r="R598" s="874"/>
      <c r="S598" s="874"/>
      <c r="T598" s="874"/>
      <c r="U598" s="874"/>
      <c r="V598" s="874"/>
      <c r="W598" s="874"/>
      <c r="X598" s="874"/>
      <c r="Y598" s="874"/>
      <c r="Z598" s="874"/>
    </row>
    <row r="599" spans="1:26" ht="18" customHeight="1" x14ac:dyDescent="0.35">
      <c r="A599" s="874"/>
      <c r="B599" s="874"/>
      <c r="C599" s="874"/>
      <c r="D599" s="874"/>
      <c r="E599" s="874"/>
      <c r="F599" s="874"/>
      <c r="G599" s="874"/>
      <c r="H599" s="874"/>
      <c r="I599" s="874"/>
      <c r="J599" s="874"/>
      <c r="K599" s="874"/>
      <c r="L599" s="874"/>
      <c r="M599" s="874"/>
      <c r="N599" s="874"/>
      <c r="O599" s="874"/>
      <c r="P599" s="874"/>
      <c r="Q599" s="874"/>
      <c r="R599" s="874"/>
      <c r="S599" s="874"/>
      <c r="T599" s="874"/>
      <c r="U599" s="874"/>
      <c r="V599" s="874"/>
      <c r="W599" s="874"/>
      <c r="X599" s="874"/>
      <c r="Y599" s="874"/>
      <c r="Z599" s="874"/>
    </row>
    <row r="600" spans="1:26" ht="18" customHeight="1" x14ac:dyDescent="0.35">
      <c r="A600" s="874"/>
      <c r="B600" s="874"/>
      <c r="C600" s="874"/>
      <c r="D600" s="874"/>
      <c r="E600" s="874"/>
      <c r="F600" s="874"/>
      <c r="G600" s="874"/>
      <c r="H600" s="874"/>
      <c r="I600" s="874"/>
      <c r="J600" s="874"/>
      <c r="K600" s="874"/>
      <c r="L600" s="874"/>
      <c r="M600" s="874"/>
      <c r="N600" s="874"/>
      <c r="O600" s="874"/>
      <c r="P600" s="874"/>
      <c r="Q600" s="874"/>
      <c r="R600" s="874"/>
      <c r="S600" s="874"/>
      <c r="T600" s="874"/>
      <c r="U600" s="874"/>
      <c r="V600" s="874"/>
      <c r="W600" s="874"/>
      <c r="X600" s="874"/>
      <c r="Y600" s="874"/>
      <c r="Z600" s="874"/>
    </row>
    <row r="601" spans="1:26" ht="18" customHeight="1" x14ac:dyDescent="0.35">
      <c r="A601" s="874"/>
      <c r="B601" s="874"/>
      <c r="C601" s="874"/>
      <c r="D601" s="874"/>
      <c r="E601" s="874"/>
      <c r="F601" s="874"/>
      <c r="G601" s="874"/>
      <c r="H601" s="874"/>
      <c r="I601" s="874"/>
      <c r="J601" s="874"/>
      <c r="K601" s="874"/>
      <c r="L601" s="874"/>
      <c r="M601" s="874"/>
      <c r="N601" s="874"/>
      <c r="O601" s="874"/>
      <c r="P601" s="874"/>
      <c r="Q601" s="874"/>
      <c r="R601" s="874"/>
      <c r="S601" s="874"/>
      <c r="T601" s="874"/>
      <c r="U601" s="874"/>
      <c r="V601" s="874"/>
      <c r="W601" s="874"/>
      <c r="X601" s="874"/>
      <c r="Y601" s="874"/>
      <c r="Z601" s="874"/>
    </row>
    <row r="602" spans="1:26" ht="18" customHeight="1" x14ac:dyDescent="0.35">
      <c r="A602" s="874"/>
      <c r="B602" s="874"/>
      <c r="C602" s="874"/>
      <c r="D602" s="874"/>
      <c r="E602" s="874"/>
      <c r="F602" s="874"/>
      <c r="G602" s="874"/>
      <c r="H602" s="874"/>
      <c r="I602" s="874"/>
      <c r="J602" s="874"/>
      <c r="K602" s="874"/>
      <c r="L602" s="874"/>
      <c r="M602" s="874"/>
      <c r="N602" s="874"/>
      <c r="O602" s="874"/>
      <c r="P602" s="874"/>
      <c r="Q602" s="874"/>
      <c r="R602" s="874"/>
      <c r="S602" s="874"/>
      <c r="T602" s="874"/>
      <c r="U602" s="874"/>
      <c r="V602" s="874"/>
      <c r="W602" s="874"/>
      <c r="X602" s="874"/>
      <c r="Y602" s="874"/>
      <c r="Z602" s="874"/>
    </row>
    <row r="603" spans="1:26" ht="18" customHeight="1" x14ac:dyDescent="0.35">
      <c r="A603" s="874"/>
      <c r="B603" s="874"/>
      <c r="C603" s="874"/>
      <c r="D603" s="874"/>
      <c r="E603" s="874"/>
      <c r="F603" s="874"/>
      <c r="G603" s="874"/>
      <c r="H603" s="874"/>
      <c r="I603" s="874"/>
      <c r="J603" s="874"/>
      <c r="K603" s="874"/>
      <c r="L603" s="874"/>
      <c r="M603" s="874"/>
      <c r="N603" s="874"/>
      <c r="O603" s="874"/>
      <c r="P603" s="874"/>
      <c r="Q603" s="874"/>
      <c r="R603" s="874"/>
      <c r="S603" s="874"/>
      <c r="T603" s="874"/>
      <c r="U603" s="874"/>
      <c r="V603" s="874"/>
      <c r="W603" s="874"/>
      <c r="X603" s="874"/>
      <c r="Y603" s="874"/>
      <c r="Z603" s="874"/>
    </row>
    <row r="604" spans="1:26" ht="18" customHeight="1" x14ac:dyDescent="0.35">
      <c r="A604" s="874"/>
      <c r="B604" s="874"/>
      <c r="C604" s="874"/>
      <c r="D604" s="874"/>
      <c r="E604" s="874"/>
      <c r="F604" s="874"/>
      <c r="G604" s="874"/>
      <c r="H604" s="874"/>
      <c r="I604" s="874"/>
      <c r="J604" s="874"/>
      <c r="K604" s="874"/>
      <c r="L604" s="874"/>
      <c r="M604" s="874"/>
      <c r="N604" s="874"/>
      <c r="O604" s="874"/>
      <c r="P604" s="874"/>
      <c r="Q604" s="874"/>
      <c r="R604" s="874"/>
      <c r="S604" s="874"/>
      <c r="T604" s="874"/>
      <c r="U604" s="874"/>
      <c r="V604" s="874"/>
      <c r="W604" s="874"/>
      <c r="X604" s="874"/>
      <c r="Y604" s="874"/>
      <c r="Z604" s="874"/>
    </row>
    <row r="605" spans="1:26" ht="18" customHeight="1" x14ac:dyDescent="0.35">
      <c r="A605" s="874"/>
      <c r="B605" s="874"/>
      <c r="C605" s="874"/>
      <c r="D605" s="874"/>
      <c r="E605" s="874"/>
      <c r="F605" s="874"/>
      <c r="G605" s="874"/>
      <c r="H605" s="874"/>
      <c r="I605" s="874"/>
      <c r="J605" s="874"/>
      <c r="K605" s="874"/>
      <c r="L605" s="874"/>
      <c r="M605" s="874"/>
      <c r="N605" s="874"/>
      <c r="O605" s="874"/>
      <c r="P605" s="874"/>
      <c r="Q605" s="874"/>
      <c r="R605" s="874"/>
      <c r="S605" s="874"/>
      <c r="T605" s="874"/>
      <c r="U605" s="874"/>
      <c r="V605" s="874"/>
      <c r="W605" s="874"/>
      <c r="X605" s="874"/>
      <c r="Y605" s="874"/>
      <c r="Z605" s="874"/>
    </row>
    <row r="606" spans="1:26" ht="18" customHeight="1" x14ac:dyDescent="0.35">
      <c r="A606" s="874"/>
      <c r="B606" s="874"/>
      <c r="C606" s="874"/>
      <c r="D606" s="874"/>
      <c r="E606" s="874"/>
      <c r="F606" s="874"/>
      <c r="G606" s="874"/>
      <c r="H606" s="874"/>
      <c r="I606" s="874"/>
      <c r="J606" s="874"/>
      <c r="K606" s="874"/>
      <c r="L606" s="874"/>
      <c r="M606" s="874"/>
      <c r="N606" s="874"/>
      <c r="O606" s="874"/>
      <c r="P606" s="874"/>
      <c r="Q606" s="874"/>
      <c r="R606" s="874"/>
      <c r="S606" s="874"/>
      <c r="T606" s="874"/>
      <c r="U606" s="874"/>
      <c r="V606" s="874"/>
      <c r="W606" s="874"/>
      <c r="X606" s="874"/>
      <c r="Y606" s="874"/>
      <c r="Z606" s="874"/>
    </row>
    <row r="607" spans="1:26" ht="18" customHeight="1" x14ac:dyDescent="0.35">
      <c r="A607" s="874"/>
      <c r="B607" s="874"/>
      <c r="C607" s="874"/>
      <c r="D607" s="874"/>
      <c r="E607" s="874"/>
      <c r="F607" s="874"/>
      <c r="G607" s="874"/>
      <c r="H607" s="874"/>
      <c r="I607" s="874"/>
      <c r="J607" s="874"/>
      <c r="K607" s="874"/>
      <c r="L607" s="874"/>
      <c r="M607" s="874"/>
      <c r="N607" s="874"/>
      <c r="O607" s="874"/>
      <c r="P607" s="874"/>
      <c r="Q607" s="874"/>
      <c r="R607" s="874"/>
      <c r="S607" s="874"/>
      <c r="T607" s="874"/>
      <c r="U607" s="874"/>
      <c r="V607" s="874"/>
      <c r="W607" s="874"/>
      <c r="X607" s="874"/>
      <c r="Y607" s="874"/>
      <c r="Z607" s="874"/>
    </row>
    <row r="608" spans="1:26" ht="18" customHeight="1" x14ac:dyDescent="0.35">
      <c r="A608" s="874"/>
      <c r="B608" s="874"/>
      <c r="C608" s="874"/>
      <c r="D608" s="874"/>
      <c r="E608" s="874"/>
      <c r="F608" s="874"/>
      <c r="G608" s="874"/>
      <c r="H608" s="874"/>
      <c r="I608" s="874"/>
      <c r="J608" s="874"/>
      <c r="K608" s="874"/>
      <c r="L608" s="874"/>
      <c r="M608" s="874"/>
      <c r="N608" s="874"/>
      <c r="O608" s="874"/>
      <c r="P608" s="874"/>
      <c r="Q608" s="874"/>
      <c r="R608" s="874"/>
      <c r="S608" s="874"/>
      <c r="T608" s="874"/>
      <c r="U608" s="874"/>
      <c r="V608" s="874"/>
      <c r="W608" s="874"/>
      <c r="X608" s="874"/>
      <c r="Y608" s="874"/>
      <c r="Z608" s="874"/>
    </row>
    <row r="609" spans="1:26" ht="18" customHeight="1" x14ac:dyDescent="0.35">
      <c r="A609" s="874"/>
      <c r="B609" s="874"/>
      <c r="C609" s="874"/>
      <c r="D609" s="874"/>
      <c r="E609" s="874"/>
      <c r="F609" s="874"/>
      <c r="G609" s="874"/>
      <c r="H609" s="874"/>
      <c r="I609" s="874"/>
      <c r="J609" s="874"/>
      <c r="K609" s="874"/>
      <c r="L609" s="874"/>
      <c r="M609" s="874"/>
      <c r="N609" s="874"/>
      <c r="O609" s="874"/>
      <c r="P609" s="874"/>
      <c r="Q609" s="874"/>
      <c r="R609" s="874"/>
      <c r="S609" s="874"/>
      <c r="T609" s="874"/>
      <c r="U609" s="874"/>
      <c r="V609" s="874"/>
      <c r="W609" s="874"/>
      <c r="X609" s="874"/>
      <c r="Y609" s="874"/>
      <c r="Z609" s="874"/>
    </row>
    <row r="610" spans="1:26" ht="18" customHeight="1" x14ac:dyDescent="0.35">
      <c r="A610" s="874"/>
      <c r="B610" s="874"/>
      <c r="C610" s="874"/>
      <c r="D610" s="874"/>
      <c r="E610" s="874"/>
      <c r="F610" s="874"/>
      <c r="G610" s="874"/>
      <c r="H610" s="874"/>
      <c r="I610" s="874"/>
      <c r="J610" s="874"/>
      <c r="K610" s="874"/>
      <c r="L610" s="874"/>
      <c r="M610" s="874"/>
      <c r="N610" s="874"/>
      <c r="O610" s="874"/>
      <c r="P610" s="874"/>
      <c r="Q610" s="874"/>
      <c r="R610" s="874"/>
      <c r="S610" s="874"/>
      <c r="T610" s="874"/>
      <c r="U610" s="874"/>
      <c r="V610" s="874"/>
      <c r="W610" s="874"/>
      <c r="X610" s="874"/>
      <c r="Y610" s="874"/>
      <c r="Z610" s="874"/>
    </row>
    <row r="611" spans="1:26" ht="18" customHeight="1" x14ac:dyDescent="0.35">
      <c r="A611" s="874"/>
      <c r="B611" s="874"/>
      <c r="C611" s="874"/>
      <c r="D611" s="874"/>
      <c r="E611" s="874"/>
      <c r="F611" s="874"/>
      <c r="G611" s="874"/>
      <c r="H611" s="874"/>
      <c r="I611" s="874"/>
      <c r="J611" s="874"/>
      <c r="K611" s="874"/>
      <c r="L611" s="874"/>
      <c r="M611" s="874"/>
      <c r="N611" s="874"/>
      <c r="O611" s="874"/>
      <c r="P611" s="874"/>
      <c r="Q611" s="874"/>
      <c r="R611" s="874"/>
      <c r="S611" s="874"/>
      <c r="T611" s="874"/>
      <c r="U611" s="874"/>
      <c r="V611" s="874"/>
      <c r="W611" s="874"/>
      <c r="X611" s="874"/>
      <c r="Y611" s="874"/>
      <c r="Z611" s="874"/>
    </row>
    <row r="612" spans="1:26" ht="18" customHeight="1" x14ac:dyDescent="0.35">
      <c r="A612" s="874"/>
      <c r="B612" s="874"/>
      <c r="C612" s="874"/>
      <c r="D612" s="874"/>
      <c r="E612" s="874"/>
      <c r="F612" s="874"/>
      <c r="G612" s="874"/>
      <c r="H612" s="874"/>
      <c r="I612" s="874"/>
      <c r="J612" s="874"/>
      <c r="K612" s="874"/>
      <c r="L612" s="874"/>
      <c r="M612" s="874"/>
      <c r="N612" s="874"/>
      <c r="O612" s="874"/>
      <c r="P612" s="874"/>
      <c r="Q612" s="874"/>
      <c r="R612" s="874"/>
      <c r="S612" s="874"/>
      <c r="T612" s="874"/>
      <c r="U612" s="874"/>
      <c r="V612" s="874"/>
      <c r="W612" s="874"/>
      <c r="X612" s="874"/>
      <c r="Y612" s="874"/>
      <c r="Z612" s="874"/>
    </row>
    <row r="613" spans="1:26" ht="18" customHeight="1" x14ac:dyDescent="0.35">
      <c r="A613" s="874"/>
      <c r="B613" s="874"/>
      <c r="C613" s="874"/>
      <c r="D613" s="874"/>
      <c r="E613" s="874"/>
      <c r="F613" s="874"/>
      <c r="G613" s="874"/>
      <c r="H613" s="874"/>
      <c r="I613" s="874"/>
      <c r="J613" s="874"/>
      <c r="K613" s="874"/>
      <c r="L613" s="874"/>
      <c r="M613" s="874"/>
      <c r="N613" s="874"/>
      <c r="O613" s="874"/>
      <c r="P613" s="874"/>
      <c r="Q613" s="874"/>
      <c r="R613" s="874"/>
      <c r="S613" s="874"/>
      <c r="T613" s="874"/>
      <c r="U613" s="874"/>
      <c r="V613" s="874"/>
      <c r="W613" s="874"/>
      <c r="X613" s="874"/>
      <c r="Y613" s="874"/>
      <c r="Z613" s="874"/>
    </row>
    <row r="614" spans="1:26" ht="18" customHeight="1" x14ac:dyDescent="0.35">
      <c r="A614" s="874"/>
      <c r="B614" s="874"/>
      <c r="C614" s="874"/>
      <c r="D614" s="874"/>
      <c r="E614" s="874"/>
      <c r="F614" s="874"/>
      <c r="G614" s="874"/>
      <c r="H614" s="874"/>
      <c r="I614" s="874"/>
      <c r="J614" s="874"/>
      <c r="K614" s="874"/>
      <c r="L614" s="874"/>
      <c r="M614" s="874"/>
      <c r="N614" s="874"/>
      <c r="O614" s="874"/>
      <c r="P614" s="874"/>
      <c r="Q614" s="874"/>
      <c r="R614" s="874"/>
      <c r="S614" s="874"/>
      <c r="T614" s="874"/>
      <c r="U614" s="874"/>
      <c r="V614" s="874"/>
      <c r="W614" s="874"/>
      <c r="X614" s="874"/>
      <c r="Y614" s="874"/>
      <c r="Z614" s="874"/>
    </row>
    <row r="615" spans="1:26" ht="18" customHeight="1" x14ac:dyDescent="0.35">
      <c r="A615" s="874"/>
      <c r="B615" s="874"/>
      <c r="C615" s="874"/>
      <c r="D615" s="874"/>
      <c r="E615" s="874"/>
      <c r="F615" s="874"/>
      <c r="G615" s="874"/>
      <c r="H615" s="874"/>
      <c r="I615" s="874"/>
      <c r="J615" s="874"/>
      <c r="K615" s="874"/>
      <c r="L615" s="874"/>
      <c r="M615" s="874"/>
      <c r="N615" s="874"/>
      <c r="O615" s="874"/>
      <c r="P615" s="874"/>
      <c r="Q615" s="874"/>
      <c r="R615" s="874"/>
      <c r="S615" s="874"/>
      <c r="T615" s="874"/>
      <c r="U615" s="874"/>
      <c r="V615" s="874"/>
      <c r="W615" s="874"/>
      <c r="X615" s="874"/>
      <c r="Y615" s="874"/>
      <c r="Z615" s="874"/>
    </row>
    <row r="616" spans="1:26" ht="18" customHeight="1" x14ac:dyDescent="0.35">
      <c r="A616" s="874"/>
      <c r="B616" s="874"/>
      <c r="C616" s="874"/>
      <c r="D616" s="874"/>
      <c r="E616" s="874"/>
      <c r="F616" s="874"/>
      <c r="G616" s="874"/>
      <c r="H616" s="874"/>
      <c r="I616" s="874"/>
      <c r="J616" s="874"/>
      <c r="K616" s="874"/>
      <c r="L616" s="874"/>
      <c r="M616" s="874"/>
      <c r="N616" s="874"/>
      <c r="O616" s="874"/>
      <c r="P616" s="874"/>
      <c r="Q616" s="874"/>
      <c r="R616" s="874"/>
      <c r="S616" s="874"/>
      <c r="T616" s="874"/>
      <c r="U616" s="874"/>
      <c r="V616" s="874"/>
      <c r="W616" s="874"/>
      <c r="X616" s="874"/>
      <c r="Y616" s="874"/>
      <c r="Z616" s="874"/>
    </row>
    <row r="617" spans="1:26" ht="18" customHeight="1" x14ac:dyDescent="0.35">
      <c r="A617" s="874"/>
      <c r="B617" s="874"/>
      <c r="C617" s="874"/>
      <c r="D617" s="874"/>
      <c r="E617" s="874"/>
      <c r="F617" s="874"/>
      <c r="G617" s="874"/>
      <c r="H617" s="874"/>
      <c r="I617" s="874"/>
      <c r="J617" s="874"/>
      <c r="K617" s="874"/>
      <c r="L617" s="874"/>
      <c r="M617" s="874"/>
      <c r="N617" s="874"/>
      <c r="O617" s="874"/>
      <c r="P617" s="874"/>
      <c r="Q617" s="874"/>
      <c r="R617" s="874"/>
      <c r="S617" s="874"/>
      <c r="T617" s="874"/>
      <c r="U617" s="874"/>
      <c r="V617" s="874"/>
      <c r="W617" s="874"/>
      <c r="X617" s="874"/>
      <c r="Y617" s="874"/>
      <c r="Z617" s="874"/>
    </row>
    <row r="618" spans="1:26" ht="18" customHeight="1" x14ac:dyDescent="0.35">
      <c r="A618" s="874"/>
      <c r="B618" s="874"/>
      <c r="C618" s="874"/>
      <c r="D618" s="874"/>
      <c r="E618" s="874"/>
      <c r="F618" s="874"/>
      <c r="G618" s="874"/>
      <c r="H618" s="874"/>
      <c r="I618" s="874"/>
      <c r="J618" s="874"/>
      <c r="K618" s="874"/>
      <c r="L618" s="874"/>
      <c r="M618" s="874"/>
      <c r="N618" s="874"/>
      <c r="O618" s="874"/>
      <c r="P618" s="874"/>
      <c r="Q618" s="874"/>
      <c r="R618" s="874"/>
      <c r="S618" s="874"/>
      <c r="T618" s="874"/>
      <c r="U618" s="874"/>
      <c r="V618" s="874"/>
      <c r="W618" s="874"/>
      <c r="X618" s="874"/>
      <c r="Y618" s="874"/>
      <c r="Z618" s="874"/>
    </row>
    <row r="619" spans="1:26" ht="18" customHeight="1" x14ac:dyDescent="0.35">
      <c r="A619" s="874"/>
      <c r="B619" s="874"/>
      <c r="C619" s="874"/>
      <c r="D619" s="874"/>
      <c r="E619" s="874"/>
      <c r="F619" s="874"/>
      <c r="G619" s="874"/>
      <c r="H619" s="874"/>
      <c r="I619" s="874"/>
      <c r="J619" s="874"/>
      <c r="K619" s="874"/>
      <c r="L619" s="874"/>
      <c r="M619" s="874"/>
      <c r="N619" s="874"/>
      <c r="O619" s="874"/>
      <c r="P619" s="874"/>
      <c r="Q619" s="874"/>
      <c r="R619" s="874"/>
      <c r="S619" s="874"/>
      <c r="T619" s="874"/>
      <c r="U619" s="874"/>
      <c r="V619" s="874"/>
      <c r="W619" s="874"/>
      <c r="X619" s="874"/>
      <c r="Y619" s="874"/>
      <c r="Z619" s="874"/>
    </row>
    <row r="620" spans="1:26" ht="18" customHeight="1" x14ac:dyDescent="0.35">
      <c r="A620" s="874"/>
      <c r="B620" s="874"/>
      <c r="C620" s="874"/>
      <c r="D620" s="874"/>
      <c r="E620" s="874"/>
      <c r="F620" s="874"/>
      <c r="G620" s="874"/>
      <c r="H620" s="874"/>
      <c r="I620" s="874"/>
      <c r="J620" s="874"/>
      <c r="K620" s="874"/>
      <c r="L620" s="874"/>
      <c r="M620" s="874"/>
      <c r="N620" s="874"/>
      <c r="O620" s="874"/>
      <c r="P620" s="874"/>
      <c r="Q620" s="874"/>
      <c r="R620" s="874"/>
      <c r="S620" s="874"/>
      <c r="T620" s="874"/>
      <c r="U620" s="874"/>
      <c r="V620" s="874"/>
      <c r="W620" s="874"/>
      <c r="X620" s="874"/>
      <c r="Y620" s="874"/>
      <c r="Z620" s="874"/>
    </row>
    <row r="621" spans="1:26" ht="18" customHeight="1" x14ac:dyDescent="0.35">
      <c r="A621" s="874"/>
      <c r="B621" s="874"/>
      <c r="C621" s="874"/>
      <c r="D621" s="874"/>
      <c r="E621" s="874"/>
      <c r="F621" s="874"/>
      <c r="G621" s="874"/>
      <c r="H621" s="874"/>
      <c r="I621" s="874"/>
      <c r="J621" s="874"/>
      <c r="K621" s="874"/>
      <c r="L621" s="874"/>
      <c r="M621" s="874"/>
      <c r="N621" s="874"/>
      <c r="O621" s="874"/>
      <c r="P621" s="874"/>
      <c r="Q621" s="874"/>
      <c r="R621" s="874"/>
      <c r="S621" s="874"/>
      <c r="T621" s="874"/>
      <c r="U621" s="874"/>
      <c r="V621" s="874"/>
      <c r="W621" s="874"/>
      <c r="X621" s="874"/>
      <c r="Y621" s="874"/>
      <c r="Z621" s="874"/>
    </row>
    <row r="622" spans="1:26" ht="18" customHeight="1" x14ac:dyDescent="0.35">
      <c r="A622" s="874"/>
      <c r="B622" s="874"/>
      <c r="C622" s="874"/>
      <c r="D622" s="874"/>
      <c r="E622" s="874"/>
      <c r="F622" s="874"/>
      <c r="G622" s="874"/>
      <c r="H622" s="874"/>
      <c r="I622" s="874"/>
      <c r="J622" s="874"/>
      <c r="K622" s="874"/>
      <c r="L622" s="874"/>
      <c r="M622" s="874"/>
      <c r="N622" s="874"/>
      <c r="O622" s="874"/>
      <c r="P622" s="874"/>
      <c r="Q622" s="874"/>
      <c r="R622" s="874"/>
      <c r="S622" s="874"/>
      <c r="T622" s="874"/>
      <c r="U622" s="874"/>
      <c r="V622" s="874"/>
      <c r="W622" s="874"/>
      <c r="X622" s="874"/>
      <c r="Y622" s="874"/>
      <c r="Z622" s="874"/>
    </row>
    <row r="623" spans="1:26" ht="18" customHeight="1" x14ac:dyDescent="0.35">
      <c r="A623" s="874"/>
      <c r="B623" s="874"/>
      <c r="C623" s="874"/>
      <c r="D623" s="874"/>
      <c r="E623" s="874"/>
      <c r="F623" s="874"/>
      <c r="G623" s="874"/>
      <c r="H623" s="874"/>
      <c r="I623" s="874"/>
      <c r="J623" s="874"/>
      <c r="K623" s="874"/>
      <c r="L623" s="874"/>
      <c r="M623" s="874"/>
      <c r="N623" s="874"/>
      <c r="O623" s="874"/>
      <c r="P623" s="874"/>
      <c r="Q623" s="874"/>
      <c r="R623" s="874"/>
      <c r="S623" s="874"/>
      <c r="T623" s="874"/>
      <c r="U623" s="874"/>
      <c r="V623" s="874"/>
      <c r="W623" s="874"/>
      <c r="X623" s="874"/>
      <c r="Y623" s="874"/>
      <c r="Z623" s="874"/>
    </row>
    <row r="624" spans="1:26" ht="18" customHeight="1" x14ac:dyDescent="0.35">
      <c r="A624" s="874"/>
      <c r="B624" s="874"/>
      <c r="C624" s="874"/>
      <c r="D624" s="874"/>
      <c r="E624" s="874"/>
      <c r="F624" s="874"/>
      <c r="G624" s="874"/>
      <c r="H624" s="874"/>
      <c r="I624" s="874"/>
      <c r="J624" s="874"/>
      <c r="K624" s="874"/>
      <c r="L624" s="874"/>
      <c r="M624" s="874"/>
      <c r="N624" s="874"/>
      <c r="O624" s="874"/>
      <c r="P624" s="874"/>
      <c r="Q624" s="874"/>
      <c r="R624" s="874"/>
      <c r="S624" s="874"/>
      <c r="T624" s="874"/>
      <c r="U624" s="874"/>
      <c r="V624" s="874"/>
      <c r="W624" s="874"/>
      <c r="X624" s="874"/>
      <c r="Y624" s="874"/>
      <c r="Z624" s="874"/>
    </row>
    <row r="625" spans="1:26" ht="18" customHeight="1" x14ac:dyDescent="0.35">
      <c r="A625" s="874"/>
      <c r="B625" s="874"/>
      <c r="C625" s="874"/>
      <c r="D625" s="874"/>
      <c r="E625" s="874"/>
      <c r="F625" s="874"/>
      <c r="G625" s="874"/>
      <c r="H625" s="874"/>
      <c r="I625" s="874"/>
      <c r="J625" s="874"/>
      <c r="K625" s="874"/>
      <c r="L625" s="874"/>
      <c r="M625" s="874"/>
      <c r="N625" s="874"/>
      <c r="O625" s="874"/>
      <c r="P625" s="874"/>
      <c r="Q625" s="874"/>
      <c r="R625" s="874"/>
      <c r="S625" s="874"/>
      <c r="T625" s="874"/>
      <c r="U625" s="874"/>
      <c r="V625" s="874"/>
      <c r="W625" s="874"/>
      <c r="X625" s="874"/>
      <c r="Y625" s="874"/>
      <c r="Z625" s="874"/>
    </row>
    <row r="626" spans="1:26" ht="18" customHeight="1" x14ac:dyDescent="0.35">
      <c r="A626" s="874"/>
      <c r="B626" s="874"/>
      <c r="C626" s="874"/>
      <c r="D626" s="874"/>
      <c r="E626" s="874"/>
      <c r="F626" s="874"/>
      <c r="G626" s="874"/>
      <c r="H626" s="874"/>
      <c r="I626" s="874"/>
      <c r="J626" s="874"/>
      <c r="K626" s="874"/>
      <c r="L626" s="874"/>
      <c r="M626" s="874"/>
      <c r="N626" s="874"/>
      <c r="O626" s="874"/>
      <c r="P626" s="874"/>
      <c r="Q626" s="874"/>
      <c r="R626" s="874"/>
      <c r="S626" s="874"/>
      <c r="T626" s="874"/>
      <c r="U626" s="874"/>
      <c r="V626" s="874"/>
      <c r="W626" s="874"/>
      <c r="X626" s="874"/>
      <c r="Y626" s="874"/>
      <c r="Z626" s="874"/>
    </row>
    <row r="627" spans="1:26" ht="18" customHeight="1" x14ac:dyDescent="0.35">
      <c r="A627" s="874"/>
      <c r="B627" s="874"/>
      <c r="C627" s="874"/>
      <c r="D627" s="874"/>
      <c r="E627" s="874"/>
      <c r="F627" s="874"/>
      <c r="G627" s="874"/>
      <c r="H627" s="874"/>
      <c r="I627" s="874"/>
      <c r="J627" s="874"/>
      <c r="K627" s="874"/>
      <c r="L627" s="874"/>
      <c r="M627" s="874"/>
      <c r="N627" s="874"/>
      <c r="O627" s="874"/>
      <c r="P627" s="874"/>
      <c r="Q627" s="874"/>
      <c r="R627" s="874"/>
      <c r="S627" s="874"/>
      <c r="T627" s="874"/>
      <c r="U627" s="874"/>
      <c r="V627" s="874"/>
      <c r="W627" s="874"/>
      <c r="X627" s="874"/>
      <c r="Y627" s="874"/>
      <c r="Z627" s="874"/>
    </row>
    <row r="628" spans="1:26" ht="18" customHeight="1" x14ac:dyDescent="0.35">
      <c r="A628" s="874"/>
      <c r="B628" s="874"/>
      <c r="C628" s="874"/>
      <c r="D628" s="874"/>
      <c r="E628" s="874"/>
      <c r="F628" s="874"/>
      <c r="G628" s="874"/>
      <c r="H628" s="874"/>
      <c r="I628" s="874"/>
      <c r="J628" s="874"/>
      <c r="K628" s="874"/>
      <c r="L628" s="874"/>
      <c r="M628" s="874"/>
      <c r="N628" s="874"/>
      <c r="O628" s="874"/>
      <c r="P628" s="874"/>
      <c r="Q628" s="874"/>
      <c r="R628" s="874"/>
      <c r="S628" s="874"/>
      <c r="T628" s="874"/>
      <c r="U628" s="874"/>
      <c r="V628" s="874"/>
      <c r="W628" s="874"/>
      <c r="X628" s="874"/>
      <c r="Y628" s="874"/>
      <c r="Z628" s="874"/>
    </row>
    <row r="629" spans="1:26" ht="18" customHeight="1" x14ac:dyDescent="0.35">
      <c r="A629" s="874"/>
      <c r="B629" s="874"/>
      <c r="C629" s="874"/>
      <c r="D629" s="874"/>
      <c r="E629" s="874"/>
      <c r="F629" s="874"/>
      <c r="G629" s="874"/>
      <c r="H629" s="874"/>
      <c r="I629" s="874"/>
      <c r="J629" s="874"/>
      <c r="K629" s="874"/>
      <c r="L629" s="874"/>
      <c r="M629" s="874"/>
      <c r="N629" s="874"/>
      <c r="O629" s="874"/>
      <c r="P629" s="874"/>
      <c r="Q629" s="874"/>
      <c r="R629" s="874"/>
      <c r="S629" s="874"/>
      <c r="T629" s="874"/>
      <c r="U629" s="874"/>
      <c r="V629" s="874"/>
      <c r="W629" s="874"/>
      <c r="X629" s="874"/>
      <c r="Y629" s="874"/>
      <c r="Z629" s="874"/>
    </row>
    <row r="630" spans="1:26" ht="18" customHeight="1" x14ac:dyDescent="0.35">
      <c r="A630" s="874"/>
      <c r="B630" s="874"/>
      <c r="C630" s="874"/>
      <c r="D630" s="874"/>
      <c r="E630" s="874"/>
      <c r="F630" s="874"/>
      <c r="G630" s="874"/>
      <c r="H630" s="874"/>
      <c r="I630" s="874"/>
      <c r="J630" s="874"/>
      <c r="K630" s="874"/>
      <c r="L630" s="874"/>
      <c r="M630" s="874"/>
      <c r="N630" s="874"/>
      <c r="O630" s="874"/>
      <c r="P630" s="874"/>
      <c r="Q630" s="874"/>
      <c r="R630" s="874"/>
      <c r="S630" s="874"/>
      <c r="T630" s="874"/>
      <c r="U630" s="874"/>
      <c r="V630" s="874"/>
      <c r="W630" s="874"/>
      <c r="X630" s="874"/>
      <c r="Y630" s="874"/>
      <c r="Z630" s="874"/>
    </row>
    <row r="631" spans="1:26" ht="18" customHeight="1" x14ac:dyDescent="0.35">
      <c r="A631" s="874"/>
      <c r="B631" s="874"/>
      <c r="C631" s="874"/>
      <c r="D631" s="874"/>
      <c r="E631" s="874"/>
      <c r="F631" s="874"/>
      <c r="G631" s="874"/>
      <c r="H631" s="874"/>
      <c r="I631" s="874"/>
      <c r="J631" s="874"/>
      <c r="K631" s="874"/>
      <c r="L631" s="874"/>
      <c r="M631" s="874"/>
      <c r="N631" s="874"/>
      <c r="O631" s="874"/>
      <c r="P631" s="874"/>
      <c r="Q631" s="874"/>
      <c r="R631" s="874"/>
      <c r="S631" s="874"/>
      <c r="T631" s="874"/>
      <c r="U631" s="874"/>
      <c r="V631" s="874"/>
      <c r="W631" s="874"/>
      <c r="X631" s="874"/>
      <c r="Y631" s="874"/>
      <c r="Z631" s="874"/>
    </row>
    <row r="632" spans="1:26" ht="18" customHeight="1" x14ac:dyDescent="0.35">
      <c r="A632" s="874"/>
      <c r="B632" s="874"/>
      <c r="C632" s="874"/>
      <c r="D632" s="874"/>
      <c r="E632" s="874"/>
      <c r="F632" s="874"/>
      <c r="G632" s="874"/>
      <c r="H632" s="874"/>
      <c r="I632" s="874"/>
      <c r="J632" s="874"/>
      <c r="K632" s="874"/>
      <c r="L632" s="874"/>
      <c r="M632" s="874"/>
      <c r="N632" s="874"/>
      <c r="O632" s="874"/>
      <c r="P632" s="874"/>
      <c r="Q632" s="874"/>
      <c r="R632" s="874"/>
      <c r="S632" s="874"/>
      <c r="T632" s="874"/>
      <c r="U632" s="874"/>
      <c r="V632" s="874"/>
      <c r="W632" s="874"/>
      <c r="X632" s="874"/>
      <c r="Y632" s="874"/>
      <c r="Z632" s="874"/>
    </row>
    <row r="633" spans="1:26" ht="18" customHeight="1" x14ac:dyDescent="0.35">
      <c r="A633" s="874"/>
      <c r="B633" s="874"/>
      <c r="C633" s="874"/>
      <c r="D633" s="874"/>
      <c r="E633" s="874"/>
      <c r="F633" s="874"/>
      <c r="G633" s="874"/>
      <c r="H633" s="874"/>
      <c r="I633" s="874"/>
      <c r="J633" s="874"/>
      <c r="K633" s="874"/>
      <c r="L633" s="874"/>
      <c r="M633" s="874"/>
      <c r="N633" s="874"/>
      <c r="O633" s="874"/>
      <c r="P633" s="874"/>
      <c r="Q633" s="874"/>
      <c r="R633" s="874"/>
      <c r="S633" s="874"/>
      <c r="T633" s="874"/>
      <c r="U633" s="874"/>
      <c r="V633" s="874"/>
      <c r="W633" s="874"/>
      <c r="X633" s="874"/>
      <c r="Y633" s="874"/>
      <c r="Z633" s="874"/>
    </row>
    <row r="634" spans="1:26" ht="18" customHeight="1" x14ac:dyDescent="0.35">
      <c r="A634" s="874"/>
      <c r="B634" s="874"/>
      <c r="C634" s="874"/>
      <c r="D634" s="874"/>
      <c r="E634" s="874"/>
      <c r="F634" s="874"/>
      <c r="G634" s="874"/>
      <c r="H634" s="874"/>
      <c r="I634" s="874"/>
      <c r="J634" s="874"/>
      <c r="K634" s="874"/>
      <c r="L634" s="874"/>
      <c r="M634" s="874"/>
      <c r="N634" s="874"/>
      <c r="O634" s="874"/>
      <c r="P634" s="874"/>
      <c r="Q634" s="874"/>
      <c r="R634" s="874"/>
      <c r="S634" s="874"/>
      <c r="T634" s="874"/>
      <c r="U634" s="874"/>
      <c r="V634" s="874"/>
      <c r="W634" s="874"/>
      <c r="X634" s="874"/>
      <c r="Y634" s="874"/>
      <c r="Z634" s="874"/>
    </row>
    <row r="635" spans="1:26" ht="18" customHeight="1" x14ac:dyDescent="0.35">
      <c r="A635" s="874"/>
      <c r="B635" s="874"/>
      <c r="C635" s="874"/>
      <c r="D635" s="874"/>
      <c r="E635" s="874"/>
      <c r="F635" s="874"/>
      <c r="G635" s="874"/>
      <c r="H635" s="874"/>
      <c r="I635" s="874"/>
      <c r="J635" s="874"/>
      <c r="K635" s="874"/>
      <c r="L635" s="874"/>
      <c r="M635" s="874"/>
      <c r="N635" s="874"/>
      <c r="O635" s="874"/>
      <c r="P635" s="874"/>
      <c r="Q635" s="874"/>
      <c r="R635" s="874"/>
      <c r="S635" s="874"/>
      <c r="T635" s="874"/>
      <c r="U635" s="874"/>
      <c r="V635" s="874"/>
      <c r="W635" s="874"/>
      <c r="X635" s="874"/>
      <c r="Y635" s="874"/>
      <c r="Z635" s="874"/>
    </row>
    <row r="636" spans="1:26" ht="18" customHeight="1" x14ac:dyDescent="0.35">
      <c r="A636" s="874"/>
      <c r="B636" s="874"/>
      <c r="C636" s="874"/>
      <c r="D636" s="874"/>
      <c r="E636" s="874"/>
      <c r="F636" s="874"/>
      <c r="G636" s="874"/>
      <c r="H636" s="874"/>
      <c r="I636" s="874"/>
      <c r="J636" s="874"/>
      <c r="K636" s="874"/>
      <c r="L636" s="874"/>
      <c r="M636" s="874"/>
      <c r="N636" s="874"/>
      <c r="O636" s="874"/>
      <c r="P636" s="874"/>
      <c r="Q636" s="874"/>
      <c r="R636" s="874"/>
      <c r="S636" s="874"/>
      <c r="T636" s="874"/>
      <c r="U636" s="874"/>
      <c r="V636" s="874"/>
      <c r="W636" s="874"/>
      <c r="X636" s="874"/>
      <c r="Y636" s="874"/>
      <c r="Z636" s="874"/>
    </row>
    <row r="637" spans="1:26" ht="18" customHeight="1" x14ac:dyDescent="0.35">
      <c r="A637" s="874"/>
      <c r="B637" s="874"/>
      <c r="C637" s="874"/>
      <c r="D637" s="874"/>
      <c r="E637" s="874"/>
      <c r="F637" s="874"/>
      <c r="G637" s="874"/>
      <c r="H637" s="874"/>
      <c r="I637" s="874"/>
      <c r="J637" s="874"/>
      <c r="K637" s="874"/>
      <c r="L637" s="874"/>
      <c r="M637" s="874"/>
      <c r="N637" s="874"/>
      <c r="O637" s="874"/>
      <c r="P637" s="874"/>
      <c r="Q637" s="874"/>
      <c r="R637" s="874"/>
      <c r="S637" s="874"/>
      <c r="T637" s="874"/>
      <c r="U637" s="874"/>
      <c r="V637" s="874"/>
      <c r="W637" s="874"/>
      <c r="X637" s="874"/>
      <c r="Y637" s="874"/>
      <c r="Z637" s="874"/>
    </row>
    <row r="638" spans="1:26" ht="18" customHeight="1" x14ac:dyDescent="0.35">
      <c r="A638" s="874"/>
      <c r="B638" s="874"/>
      <c r="C638" s="874"/>
      <c r="D638" s="874"/>
      <c r="E638" s="874"/>
      <c r="F638" s="874"/>
      <c r="G638" s="874"/>
      <c r="H638" s="874"/>
      <c r="I638" s="874"/>
      <c r="J638" s="874"/>
      <c r="K638" s="874"/>
      <c r="L638" s="874"/>
      <c r="M638" s="874"/>
      <c r="N638" s="874"/>
      <c r="O638" s="874"/>
      <c r="P638" s="874"/>
      <c r="Q638" s="874"/>
      <c r="R638" s="874"/>
      <c r="S638" s="874"/>
      <c r="T638" s="874"/>
      <c r="U638" s="874"/>
      <c r="V638" s="874"/>
      <c r="W638" s="874"/>
      <c r="X638" s="874"/>
      <c r="Y638" s="874"/>
      <c r="Z638" s="874"/>
    </row>
    <row r="639" spans="1:26" ht="18" customHeight="1" x14ac:dyDescent="0.35">
      <c r="A639" s="874"/>
      <c r="B639" s="874"/>
      <c r="C639" s="874"/>
      <c r="D639" s="874"/>
      <c r="E639" s="874"/>
      <c r="F639" s="874"/>
      <c r="G639" s="874"/>
      <c r="H639" s="874"/>
      <c r="I639" s="874"/>
      <c r="J639" s="874"/>
      <c r="K639" s="874"/>
      <c r="L639" s="874"/>
      <c r="M639" s="874"/>
      <c r="N639" s="874"/>
      <c r="O639" s="874"/>
      <c r="P639" s="874"/>
      <c r="Q639" s="874"/>
      <c r="R639" s="874"/>
      <c r="S639" s="874"/>
      <c r="T639" s="874"/>
      <c r="U639" s="874"/>
      <c r="V639" s="874"/>
      <c r="W639" s="874"/>
      <c r="X639" s="874"/>
      <c r="Y639" s="874"/>
      <c r="Z639" s="874"/>
    </row>
    <row r="640" spans="1:26" ht="18" customHeight="1" x14ac:dyDescent="0.35">
      <c r="A640" s="874"/>
      <c r="B640" s="874"/>
      <c r="C640" s="874"/>
      <c r="D640" s="874"/>
      <c r="E640" s="874"/>
      <c r="F640" s="874"/>
      <c r="G640" s="874"/>
      <c r="H640" s="874"/>
      <c r="I640" s="874"/>
      <c r="J640" s="874"/>
      <c r="K640" s="874"/>
      <c r="L640" s="874"/>
      <c r="M640" s="874"/>
      <c r="N640" s="874"/>
      <c r="O640" s="874"/>
      <c r="P640" s="874"/>
      <c r="Q640" s="874"/>
      <c r="R640" s="874"/>
      <c r="S640" s="874"/>
      <c r="T640" s="874"/>
      <c r="U640" s="874"/>
      <c r="V640" s="874"/>
      <c r="W640" s="874"/>
      <c r="X640" s="874"/>
      <c r="Y640" s="874"/>
      <c r="Z640" s="874"/>
    </row>
    <row r="641" spans="1:26" ht="18" customHeight="1" x14ac:dyDescent="0.35">
      <c r="A641" s="874"/>
      <c r="B641" s="874"/>
      <c r="C641" s="874"/>
      <c r="D641" s="874"/>
      <c r="E641" s="874"/>
      <c r="F641" s="874"/>
      <c r="G641" s="874"/>
      <c r="H641" s="874"/>
      <c r="I641" s="874"/>
      <c r="J641" s="874"/>
      <c r="K641" s="874"/>
      <c r="L641" s="874"/>
      <c r="M641" s="874"/>
      <c r="N641" s="874"/>
      <c r="O641" s="874"/>
      <c r="P641" s="874"/>
      <c r="Q641" s="874"/>
      <c r="R641" s="874"/>
      <c r="S641" s="874"/>
      <c r="T641" s="874"/>
      <c r="U641" s="874"/>
      <c r="V641" s="874"/>
      <c r="W641" s="874"/>
      <c r="X641" s="874"/>
      <c r="Y641" s="874"/>
      <c r="Z641" s="874"/>
    </row>
    <row r="642" spans="1:26" ht="18" customHeight="1" x14ac:dyDescent="0.35">
      <c r="A642" s="874"/>
      <c r="B642" s="874"/>
      <c r="C642" s="874"/>
      <c r="D642" s="874"/>
      <c r="E642" s="874"/>
      <c r="F642" s="874"/>
      <c r="G642" s="874"/>
      <c r="H642" s="874"/>
      <c r="I642" s="874"/>
      <c r="J642" s="874"/>
      <c r="K642" s="874"/>
      <c r="L642" s="874"/>
      <c r="M642" s="874"/>
      <c r="N642" s="874"/>
      <c r="O642" s="874"/>
      <c r="P642" s="874"/>
      <c r="Q642" s="874"/>
      <c r="R642" s="874"/>
      <c r="S642" s="874"/>
      <c r="T642" s="874"/>
      <c r="U642" s="874"/>
      <c r="V642" s="874"/>
      <c r="W642" s="874"/>
      <c r="X642" s="874"/>
      <c r="Y642" s="874"/>
      <c r="Z642" s="874"/>
    </row>
    <row r="643" spans="1:26" ht="18" customHeight="1" x14ac:dyDescent="0.35">
      <c r="A643" s="874"/>
      <c r="B643" s="874"/>
      <c r="C643" s="874"/>
      <c r="D643" s="874"/>
      <c r="E643" s="874"/>
      <c r="F643" s="874"/>
      <c r="G643" s="874"/>
      <c r="H643" s="874"/>
      <c r="I643" s="874"/>
      <c r="J643" s="874"/>
      <c r="K643" s="874"/>
      <c r="L643" s="874"/>
      <c r="M643" s="874"/>
      <c r="N643" s="874"/>
      <c r="O643" s="874"/>
      <c r="P643" s="874"/>
      <c r="Q643" s="874"/>
      <c r="R643" s="874"/>
      <c r="S643" s="874"/>
      <c r="T643" s="874"/>
      <c r="U643" s="874"/>
      <c r="V643" s="874"/>
      <c r="W643" s="874"/>
      <c r="X643" s="874"/>
      <c r="Y643" s="874"/>
      <c r="Z643" s="874"/>
    </row>
    <row r="644" spans="1:26" ht="18" customHeight="1" x14ac:dyDescent="0.35">
      <c r="A644" s="874"/>
      <c r="B644" s="874"/>
      <c r="C644" s="874"/>
      <c r="D644" s="874"/>
      <c r="E644" s="874"/>
      <c r="F644" s="874"/>
      <c r="G644" s="874"/>
      <c r="H644" s="874"/>
      <c r="I644" s="874"/>
      <c r="J644" s="874"/>
      <c r="K644" s="874"/>
      <c r="L644" s="874"/>
      <c r="M644" s="874"/>
      <c r="N644" s="874"/>
      <c r="O644" s="874"/>
      <c r="P644" s="874"/>
      <c r="Q644" s="874"/>
      <c r="R644" s="874"/>
      <c r="S644" s="874"/>
      <c r="T644" s="874"/>
      <c r="U644" s="874"/>
      <c r="V644" s="874"/>
      <c r="W644" s="874"/>
      <c r="X644" s="874"/>
      <c r="Y644" s="874"/>
      <c r="Z644" s="874"/>
    </row>
    <row r="645" spans="1:26" ht="18" customHeight="1" x14ac:dyDescent="0.35">
      <c r="A645" s="874"/>
      <c r="B645" s="874"/>
      <c r="C645" s="874"/>
      <c r="D645" s="874"/>
      <c r="E645" s="874"/>
      <c r="F645" s="874"/>
      <c r="G645" s="874"/>
      <c r="H645" s="874"/>
      <c r="I645" s="874"/>
      <c r="J645" s="874"/>
      <c r="K645" s="874"/>
      <c r="L645" s="874"/>
      <c r="M645" s="874"/>
      <c r="N645" s="874"/>
      <c r="O645" s="874"/>
      <c r="P645" s="874"/>
      <c r="Q645" s="874"/>
      <c r="R645" s="874"/>
      <c r="S645" s="874"/>
      <c r="T645" s="874"/>
      <c r="U645" s="874"/>
      <c r="V645" s="874"/>
      <c r="W645" s="874"/>
      <c r="X645" s="874"/>
      <c r="Y645" s="874"/>
      <c r="Z645" s="874"/>
    </row>
    <row r="646" spans="1:26" ht="18" customHeight="1" x14ac:dyDescent="0.35">
      <c r="A646" s="874"/>
      <c r="B646" s="874"/>
      <c r="C646" s="874"/>
      <c r="D646" s="874"/>
      <c r="E646" s="874"/>
      <c r="F646" s="874"/>
      <c r="G646" s="874"/>
      <c r="H646" s="874"/>
      <c r="I646" s="874"/>
      <c r="J646" s="874"/>
      <c r="K646" s="874"/>
      <c r="L646" s="874"/>
      <c r="M646" s="874"/>
      <c r="N646" s="874"/>
      <c r="O646" s="874"/>
      <c r="P646" s="874"/>
      <c r="Q646" s="874"/>
      <c r="R646" s="874"/>
      <c r="S646" s="874"/>
      <c r="T646" s="874"/>
      <c r="U646" s="874"/>
      <c r="V646" s="874"/>
      <c r="W646" s="874"/>
      <c r="X646" s="874"/>
      <c r="Y646" s="874"/>
      <c r="Z646" s="874"/>
    </row>
    <row r="647" spans="1:26" ht="18" customHeight="1" x14ac:dyDescent="0.35">
      <c r="A647" s="874"/>
      <c r="B647" s="874"/>
      <c r="C647" s="874"/>
      <c r="D647" s="874"/>
      <c r="E647" s="874"/>
      <c r="F647" s="874"/>
      <c r="G647" s="874"/>
      <c r="H647" s="874"/>
      <c r="I647" s="874"/>
      <c r="J647" s="874"/>
      <c r="K647" s="874"/>
      <c r="L647" s="874"/>
      <c r="M647" s="874"/>
      <c r="N647" s="874"/>
      <c r="O647" s="874"/>
      <c r="P647" s="874"/>
      <c r="Q647" s="874"/>
      <c r="R647" s="874"/>
      <c r="S647" s="874"/>
      <c r="T647" s="874"/>
      <c r="U647" s="874"/>
      <c r="V647" s="874"/>
      <c r="W647" s="874"/>
      <c r="X647" s="874"/>
      <c r="Y647" s="874"/>
      <c r="Z647" s="874"/>
    </row>
    <row r="648" spans="1:26" ht="18" customHeight="1" x14ac:dyDescent="0.35">
      <c r="A648" s="874"/>
      <c r="B648" s="874"/>
      <c r="C648" s="874"/>
      <c r="D648" s="874"/>
      <c r="E648" s="874"/>
      <c r="F648" s="874"/>
      <c r="G648" s="874"/>
      <c r="H648" s="874"/>
      <c r="I648" s="874"/>
      <c r="J648" s="874"/>
      <c r="K648" s="874"/>
      <c r="L648" s="874"/>
      <c r="M648" s="874"/>
      <c r="N648" s="874"/>
      <c r="O648" s="874"/>
      <c r="P648" s="874"/>
      <c r="Q648" s="874"/>
      <c r="R648" s="874"/>
      <c r="S648" s="874"/>
      <c r="T648" s="874"/>
      <c r="U648" s="874"/>
      <c r="V648" s="874"/>
      <c r="W648" s="874"/>
      <c r="X648" s="874"/>
      <c r="Y648" s="874"/>
      <c r="Z648" s="874"/>
    </row>
    <row r="649" spans="1:26" ht="18" customHeight="1" x14ac:dyDescent="0.35">
      <c r="A649" s="874"/>
      <c r="B649" s="874"/>
      <c r="C649" s="874"/>
      <c r="D649" s="874"/>
      <c r="E649" s="874"/>
      <c r="F649" s="874"/>
      <c r="G649" s="874"/>
      <c r="H649" s="874"/>
      <c r="I649" s="874"/>
      <c r="J649" s="874"/>
      <c r="K649" s="874"/>
      <c r="L649" s="874"/>
      <c r="M649" s="874"/>
      <c r="N649" s="874"/>
      <c r="O649" s="874"/>
      <c r="P649" s="874"/>
      <c r="Q649" s="874"/>
      <c r="R649" s="874"/>
      <c r="S649" s="874"/>
      <c r="T649" s="874"/>
      <c r="U649" s="874"/>
      <c r="V649" s="874"/>
      <c r="W649" s="874"/>
      <c r="X649" s="874"/>
      <c r="Y649" s="874"/>
      <c r="Z649" s="874"/>
    </row>
    <row r="650" spans="1:26" ht="18" customHeight="1" x14ac:dyDescent="0.35">
      <c r="A650" s="874"/>
      <c r="B650" s="874"/>
      <c r="C650" s="874"/>
      <c r="D650" s="874"/>
      <c r="E650" s="874"/>
      <c r="F650" s="874"/>
      <c r="G650" s="874"/>
      <c r="H650" s="874"/>
      <c r="I650" s="874"/>
      <c r="J650" s="874"/>
      <c r="K650" s="874"/>
      <c r="L650" s="874"/>
      <c r="M650" s="874"/>
      <c r="N650" s="874"/>
      <c r="O650" s="874"/>
      <c r="P650" s="874"/>
      <c r="Q650" s="874"/>
      <c r="R650" s="874"/>
      <c r="S650" s="874"/>
      <c r="T650" s="874"/>
      <c r="U650" s="874"/>
      <c r="V650" s="874"/>
      <c r="W650" s="874"/>
      <c r="X650" s="874"/>
      <c r="Y650" s="874"/>
      <c r="Z650" s="874"/>
    </row>
    <row r="651" spans="1:26" ht="18" customHeight="1" x14ac:dyDescent="0.35">
      <c r="A651" s="874"/>
      <c r="B651" s="874"/>
      <c r="C651" s="874"/>
      <c r="D651" s="874"/>
      <c r="E651" s="874"/>
      <c r="F651" s="874"/>
      <c r="G651" s="874"/>
      <c r="H651" s="874"/>
      <c r="I651" s="874"/>
      <c r="J651" s="874"/>
      <c r="K651" s="874"/>
      <c r="L651" s="874"/>
      <c r="M651" s="874"/>
      <c r="N651" s="874"/>
      <c r="O651" s="874"/>
      <c r="P651" s="874"/>
      <c r="Q651" s="874"/>
      <c r="R651" s="874"/>
      <c r="S651" s="874"/>
      <c r="T651" s="874"/>
      <c r="U651" s="874"/>
      <c r="V651" s="874"/>
      <c r="W651" s="874"/>
      <c r="X651" s="874"/>
      <c r="Y651" s="874"/>
      <c r="Z651" s="874"/>
    </row>
    <row r="652" spans="1:26" ht="18" customHeight="1" x14ac:dyDescent="0.35">
      <c r="A652" s="874"/>
      <c r="B652" s="874"/>
      <c r="C652" s="874"/>
      <c r="D652" s="874"/>
      <c r="E652" s="874"/>
      <c r="F652" s="874"/>
      <c r="G652" s="874"/>
      <c r="H652" s="874"/>
      <c r="I652" s="874"/>
      <c r="J652" s="874"/>
      <c r="K652" s="874"/>
      <c r="L652" s="874"/>
      <c r="M652" s="874"/>
      <c r="N652" s="874"/>
      <c r="O652" s="874"/>
      <c r="P652" s="874"/>
      <c r="Q652" s="874"/>
      <c r="R652" s="874"/>
      <c r="S652" s="874"/>
      <c r="T652" s="874"/>
      <c r="U652" s="874"/>
      <c r="V652" s="874"/>
      <c r="W652" s="874"/>
      <c r="X652" s="874"/>
      <c r="Y652" s="874"/>
      <c r="Z652" s="874"/>
    </row>
    <row r="653" spans="1:26" ht="18" customHeight="1" x14ac:dyDescent="0.35">
      <c r="A653" s="874"/>
      <c r="B653" s="874"/>
      <c r="C653" s="874"/>
      <c r="D653" s="874"/>
      <c r="E653" s="874"/>
      <c r="F653" s="874"/>
      <c r="G653" s="874"/>
      <c r="H653" s="874"/>
      <c r="I653" s="874"/>
      <c r="J653" s="874"/>
      <c r="K653" s="874"/>
      <c r="L653" s="874"/>
      <c r="M653" s="874"/>
      <c r="N653" s="874"/>
      <c r="O653" s="874"/>
      <c r="P653" s="874"/>
      <c r="Q653" s="874"/>
      <c r="R653" s="874"/>
      <c r="S653" s="874"/>
      <c r="T653" s="874"/>
      <c r="U653" s="874"/>
      <c r="V653" s="874"/>
      <c r="W653" s="874"/>
      <c r="X653" s="874"/>
      <c r="Y653" s="874"/>
      <c r="Z653" s="874"/>
    </row>
    <row r="654" spans="1:26" ht="18" customHeight="1" x14ac:dyDescent="0.35">
      <c r="A654" s="874"/>
      <c r="B654" s="874"/>
      <c r="C654" s="874"/>
      <c r="D654" s="874"/>
      <c r="E654" s="874"/>
      <c r="F654" s="874"/>
      <c r="G654" s="874"/>
      <c r="H654" s="874"/>
      <c r="I654" s="874"/>
      <c r="J654" s="874"/>
      <c r="K654" s="874"/>
      <c r="L654" s="874"/>
      <c r="M654" s="874"/>
      <c r="N654" s="874"/>
      <c r="O654" s="874"/>
      <c r="P654" s="874"/>
      <c r="Q654" s="874"/>
      <c r="R654" s="874"/>
      <c r="S654" s="874"/>
      <c r="T654" s="874"/>
      <c r="U654" s="874"/>
      <c r="V654" s="874"/>
      <c r="W654" s="874"/>
      <c r="X654" s="874"/>
      <c r="Y654" s="874"/>
      <c r="Z654" s="874"/>
    </row>
    <row r="655" spans="1:26" ht="18" customHeight="1" x14ac:dyDescent="0.35">
      <c r="A655" s="874"/>
      <c r="B655" s="874"/>
      <c r="C655" s="874"/>
      <c r="D655" s="874"/>
      <c r="E655" s="874"/>
      <c r="F655" s="874"/>
      <c r="G655" s="874"/>
      <c r="H655" s="874"/>
      <c r="I655" s="874"/>
      <c r="J655" s="874"/>
      <c r="K655" s="874"/>
      <c r="L655" s="874"/>
      <c r="M655" s="874"/>
      <c r="N655" s="874"/>
      <c r="O655" s="874"/>
      <c r="P655" s="874"/>
      <c r="Q655" s="874"/>
      <c r="R655" s="874"/>
      <c r="S655" s="874"/>
      <c r="T655" s="874"/>
      <c r="U655" s="874"/>
      <c r="V655" s="874"/>
      <c r="W655" s="874"/>
      <c r="X655" s="874"/>
      <c r="Y655" s="874"/>
      <c r="Z655" s="874"/>
    </row>
    <row r="656" spans="1:26" ht="18" customHeight="1" x14ac:dyDescent="0.35">
      <c r="A656" s="874"/>
      <c r="B656" s="874"/>
      <c r="C656" s="874"/>
      <c r="D656" s="874"/>
      <c r="E656" s="874"/>
      <c r="F656" s="874"/>
      <c r="G656" s="874"/>
      <c r="H656" s="874"/>
      <c r="I656" s="874"/>
      <c r="J656" s="874"/>
      <c r="K656" s="874"/>
      <c r="L656" s="874"/>
      <c r="M656" s="874"/>
      <c r="N656" s="874"/>
      <c r="O656" s="874"/>
      <c r="P656" s="874"/>
      <c r="Q656" s="874"/>
      <c r="R656" s="874"/>
      <c r="S656" s="874"/>
      <c r="T656" s="874"/>
      <c r="U656" s="874"/>
      <c r="V656" s="874"/>
      <c r="W656" s="874"/>
      <c r="X656" s="874"/>
      <c r="Y656" s="874"/>
      <c r="Z656" s="874"/>
    </row>
    <row r="657" spans="1:26" ht="18" customHeight="1" x14ac:dyDescent="0.35">
      <c r="A657" s="874"/>
      <c r="B657" s="874"/>
      <c r="C657" s="874"/>
      <c r="D657" s="874"/>
      <c r="E657" s="874"/>
      <c r="F657" s="874"/>
      <c r="G657" s="874"/>
      <c r="H657" s="874"/>
      <c r="I657" s="874"/>
      <c r="J657" s="874"/>
      <c r="K657" s="874"/>
      <c r="L657" s="874"/>
      <c r="M657" s="874"/>
      <c r="N657" s="874"/>
      <c r="O657" s="874"/>
      <c r="P657" s="874"/>
      <c r="Q657" s="874"/>
      <c r="R657" s="874"/>
      <c r="S657" s="874"/>
      <c r="T657" s="874"/>
      <c r="U657" s="874"/>
      <c r="V657" s="874"/>
      <c r="W657" s="874"/>
      <c r="X657" s="874"/>
      <c r="Y657" s="874"/>
      <c r="Z657" s="874"/>
    </row>
    <row r="658" spans="1:26" ht="18" customHeight="1" x14ac:dyDescent="0.35">
      <c r="A658" s="874"/>
      <c r="B658" s="874"/>
      <c r="C658" s="874"/>
      <c r="D658" s="874"/>
      <c r="E658" s="874"/>
      <c r="F658" s="874"/>
      <c r="G658" s="874"/>
      <c r="H658" s="874"/>
      <c r="I658" s="874"/>
      <c r="J658" s="874"/>
      <c r="K658" s="874"/>
      <c r="L658" s="874"/>
      <c r="M658" s="874"/>
      <c r="N658" s="874"/>
      <c r="O658" s="874"/>
      <c r="P658" s="874"/>
      <c r="Q658" s="874"/>
      <c r="R658" s="874"/>
      <c r="S658" s="874"/>
      <c r="T658" s="874"/>
      <c r="U658" s="874"/>
      <c r="V658" s="874"/>
      <c r="W658" s="874"/>
      <c r="X658" s="874"/>
      <c r="Y658" s="874"/>
      <c r="Z658" s="874"/>
    </row>
    <row r="659" spans="1:26" ht="18" customHeight="1" x14ac:dyDescent="0.35">
      <c r="A659" s="874"/>
      <c r="B659" s="874"/>
      <c r="C659" s="874"/>
      <c r="D659" s="874"/>
      <c r="E659" s="874"/>
      <c r="F659" s="874"/>
      <c r="G659" s="874"/>
      <c r="H659" s="874"/>
      <c r="I659" s="874"/>
      <c r="J659" s="874"/>
      <c r="K659" s="874"/>
      <c r="L659" s="874"/>
      <c r="M659" s="874"/>
      <c r="N659" s="874"/>
      <c r="O659" s="874"/>
      <c r="P659" s="874"/>
      <c r="Q659" s="874"/>
      <c r="R659" s="874"/>
      <c r="S659" s="874"/>
      <c r="T659" s="874"/>
      <c r="U659" s="874"/>
      <c r="V659" s="874"/>
      <c r="W659" s="874"/>
      <c r="X659" s="874"/>
      <c r="Y659" s="874"/>
      <c r="Z659" s="874"/>
    </row>
    <row r="660" spans="1:26" ht="18" customHeight="1" x14ac:dyDescent="0.35">
      <c r="A660" s="874"/>
      <c r="B660" s="874"/>
      <c r="C660" s="874"/>
      <c r="D660" s="874"/>
      <c r="E660" s="874"/>
      <c r="F660" s="874"/>
      <c r="G660" s="874"/>
      <c r="H660" s="874"/>
      <c r="I660" s="874"/>
      <c r="J660" s="874"/>
      <c r="K660" s="874"/>
      <c r="L660" s="874"/>
      <c r="M660" s="874"/>
      <c r="N660" s="874"/>
      <c r="O660" s="874"/>
      <c r="P660" s="874"/>
      <c r="Q660" s="874"/>
      <c r="R660" s="874"/>
      <c r="S660" s="874"/>
      <c r="T660" s="874"/>
      <c r="U660" s="874"/>
      <c r="V660" s="874"/>
      <c r="W660" s="874"/>
      <c r="X660" s="874"/>
      <c r="Y660" s="874"/>
      <c r="Z660" s="874"/>
    </row>
    <row r="661" spans="1:26" ht="18" customHeight="1" x14ac:dyDescent="0.35">
      <c r="A661" s="874"/>
      <c r="B661" s="874"/>
      <c r="C661" s="874"/>
      <c r="D661" s="874"/>
      <c r="E661" s="874"/>
      <c r="F661" s="874"/>
      <c r="G661" s="874"/>
      <c r="H661" s="874"/>
      <c r="I661" s="874"/>
      <c r="J661" s="874"/>
      <c r="K661" s="874"/>
      <c r="L661" s="874"/>
      <c r="M661" s="874"/>
      <c r="N661" s="874"/>
      <c r="O661" s="874"/>
      <c r="P661" s="874"/>
      <c r="Q661" s="874"/>
      <c r="R661" s="874"/>
      <c r="S661" s="874"/>
      <c r="T661" s="874"/>
      <c r="U661" s="874"/>
      <c r="V661" s="874"/>
      <c r="W661" s="874"/>
      <c r="X661" s="874"/>
      <c r="Y661" s="874"/>
      <c r="Z661" s="874"/>
    </row>
    <row r="662" spans="1:26" ht="18" customHeight="1" x14ac:dyDescent="0.35">
      <c r="A662" s="874"/>
      <c r="B662" s="874"/>
      <c r="C662" s="874"/>
      <c r="D662" s="874"/>
      <c r="E662" s="874"/>
      <c r="F662" s="874"/>
      <c r="G662" s="874"/>
      <c r="H662" s="874"/>
      <c r="I662" s="874"/>
      <c r="J662" s="874"/>
      <c r="K662" s="874"/>
      <c r="L662" s="874"/>
      <c r="M662" s="874"/>
      <c r="N662" s="874"/>
      <c r="O662" s="874"/>
      <c r="P662" s="874"/>
      <c r="Q662" s="874"/>
      <c r="R662" s="874"/>
      <c r="S662" s="874"/>
      <c r="T662" s="874"/>
      <c r="U662" s="874"/>
      <c r="V662" s="874"/>
      <c r="W662" s="874"/>
      <c r="X662" s="874"/>
      <c r="Y662" s="874"/>
      <c r="Z662" s="874"/>
    </row>
    <row r="663" spans="1:26" ht="18" customHeight="1" x14ac:dyDescent="0.35">
      <c r="A663" s="874"/>
      <c r="B663" s="874"/>
      <c r="C663" s="874"/>
      <c r="D663" s="874"/>
      <c r="E663" s="874"/>
      <c r="F663" s="874"/>
      <c r="G663" s="874"/>
      <c r="H663" s="874"/>
      <c r="I663" s="874"/>
      <c r="J663" s="874"/>
      <c r="K663" s="874"/>
      <c r="L663" s="874"/>
      <c r="M663" s="874"/>
      <c r="N663" s="874"/>
      <c r="O663" s="874"/>
      <c r="P663" s="874"/>
      <c r="Q663" s="874"/>
      <c r="R663" s="874"/>
      <c r="S663" s="874"/>
      <c r="T663" s="874"/>
      <c r="U663" s="874"/>
      <c r="V663" s="874"/>
      <c r="W663" s="874"/>
      <c r="X663" s="874"/>
      <c r="Y663" s="874"/>
      <c r="Z663" s="874"/>
    </row>
    <row r="664" spans="1:26" ht="18" customHeight="1" x14ac:dyDescent="0.35">
      <c r="A664" s="874"/>
      <c r="B664" s="874"/>
      <c r="C664" s="874"/>
      <c r="D664" s="874"/>
      <c r="E664" s="874"/>
      <c r="F664" s="874"/>
      <c r="G664" s="874"/>
      <c r="H664" s="874"/>
      <c r="I664" s="874"/>
      <c r="J664" s="874"/>
      <c r="K664" s="874"/>
      <c r="L664" s="874"/>
      <c r="M664" s="874"/>
      <c r="N664" s="874"/>
      <c r="O664" s="874"/>
      <c r="P664" s="874"/>
      <c r="Q664" s="874"/>
      <c r="R664" s="874"/>
      <c r="S664" s="874"/>
      <c r="T664" s="874"/>
      <c r="U664" s="874"/>
      <c r="V664" s="874"/>
      <c r="W664" s="874"/>
      <c r="X664" s="874"/>
      <c r="Y664" s="874"/>
      <c r="Z664" s="874"/>
    </row>
    <row r="665" spans="1:26" ht="18" customHeight="1" x14ac:dyDescent="0.35">
      <c r="A665" s="874"/>
      <c r="B665" s="874"/>
      <c r="C665" s="874"/>
      <c r="D665" s="874"/>
      <c r="E665" s="874"/>
      <c r="F665" s="874"/>
      <c r="G665" s="874"/>
      <c r="H665" s="874"/>
      <c r="I665" s="874"/>
      <c r="J665" s="874"/>
      <c r="K665" s="874"/>
      <c r="L665" s="874"/>
      <c r="M665" s="874"/>
      <c r="N665" s="874"/>
      <c r="O665" s="874"/>
      <c r="P665" s="874"/>
      <c r="Q665" s="874"/>
      <c r="R665" s="874"/>
      <c r="S665" s="874"/>
      <c r="T665" s="874"/>
      <c r="U665" s="874"/>
      <c r="V665" s="874"/>
      <c r="W665" s="874"/>
      <c r="X665" s="874"/>
      <c r="Y665" s="874"/>
      <c r="Z665" s="874"/>
    </row>
    <row r="666" spans="1:26" ht="18" customHeight="1" x14ac:dyDescent="0.35">
      <c r="A666" s="874"/>
      <c r="B666" s="874"/>
      <c r="C666" s="874"/>
      <c r="D666" s="874"/>
      <c r="E666" s="874"/>
      <c r="F666" s="874"/>
      <c r="G666" s="874"/>
      <c r="H666" s="874"/>
      <c r="I666" s="874"/>
      <c r="J666" s="874"/>
      <c r="K666" s="874"/>
      <c r="L666" s="874"/>
      <c r="M666" s="874"/>
      <c r="N666" s="874"/>
      <c r="O666" s="874"/>
      <c r="P666" s="874"/>
      <c r="Q666" s="874"/>
      <c r="R666" s="874"/>
      <c r="S666" s="874"/>
      <c r="T666" s="874"/>
      <c r="U666" s="874"/>
      <c r="V666" s="874"/>
      <c r="W666" s="874"/>
      <c r="X666" s="874"/>
      <c r="Y666" s="874"/>
      <c r="Z666" s="874"/>
    </row>
    <row r="667" spans="1:26" ht="18" customHeight="1" x14ac:dyDescent="0.35">
      <c r="A667" s="874"/>
      <c r="B667" s="874"/>
      <c r="C667" s="874"/>
      <c r="D667" s="874"/>
      <c r="E667" s="874"/>
      <c r="F667" s="874"/>
      <c r="G667" s="874"/>
      <c r="H667" s="874"/>
      <c r="I667" s="874"/>
      <c r="J667" s="874"/>
      <c r="K667" s="874"/>
      <c r="L667" s="874"/>
      <c r="M667" s="874"/>
      <c r="N667" s="874"/>
      <c r="O667" s="874"/>
      <c r="P667" s="874"/>
      <c r="Q667" s="874"/>
      <c r="R667" s="874"/>
      <c r="S667" s="874"/>
      <c r="T667" s="874"/>
      <c r="U667" s="874"/>
      <c r="V667" s="874"/>
      <c r="W667" s="874"/>
      <c r="X667" s="874"/>
      <c r="Y667" s="874"/>
      <c r="Z667" s="874"/>
    </row>
    <row r="668" spans="1:26" ht="18" customHeight="1" x14ac:dyDescent="0.35">
      <c r="A668" s="874"/>
      <c r="B668" s="874"/>
      <c r="C668" s="874"/>
      <c r="D668" s="874"/>
      <c r="E668" s="874"/>
      <c r="F668" s="874"/>
      <c r="G668" s="874"/>
      <c r="H668" s="874"/>
      <c r="I668" s="874"/>
      <c r="J668" s="874"/>
      <c r="K668" s="874"/>
      <c r="L668" s="874"/>
      <c r="M668" s="874"/>
      <c r="N668" s="874"/>
      <c r="O668" s="874"/>
      <c r="P668" s="874"/>
      <c r="Q668" s="874"/>
      <c r="R668" s="874"/>
      <c r="S668" s="874"/>
      <c r="T668" s="874"/>
      <c r="U668" s="874"/>
      <c r="V668" s="874"/>
      <c r="W668" s="874"/>
      <c r="X668" s="874"/>
      <c r="Y668" s="874"/>
      <c r="Z668" s="874"/>
    </row>
    <row r="669" spans="1:26" ht="18" customHeight="1" x14ac:dyDescent="0.35">
      <c r="A669" s="874"/>
      <c r="B669" s="874"/>
      <c r="C669" s="874"/>
      <c r="D669" s="874"/>
      <c r="E669" s="874"/>
      <c r="F669" s="874"/>
      <c r="G669" s="874"/>
      <c r="H669" s="874"/>
      <c r="I669" s="874"/>
      <c r="J669" s="874"/>
      <c r="K669" s="874"/>
      <c r="L669" s="874"/>
      <c r="M669" s="874"/>
      <c r="N669" s="874"/>
      <c r="O669" s="874"/>
      <c r="P669" s="874"/>
      <c r="Q669" s="874"/>
      <c r="R669" s="874"/>
      <c r="S669" s="874"/>
      <c r="T669" s="874"/>
      <c r="U669" s="874"/>
      <c r="V669" s="874"/>
      <c r="W669" s="874"/>
      <c r="X669" s="874"/>
      <c r="Y669" s="874"/>
      <c r="Z669" s="874"/>
    </row>
    <row r="670" spans="1:26" ht="18" customHeight="1" x14ac:dyDescent="0.35">
      <c r="A670" s="874"/>
      <c r="B670" s="874"/>
      <c r="C670" s="874"/>
      <c r="D670" s="874"/>
      <c r="E670" s="874"/>
      <c r="F670" s="874"/>
      <c r="G670" s="874"/>
      <c r="H670" s="874"/>
      <c r="I670" s="874"/>
      <c r="J670" s="874"/>
      <c r="K670" s="874"/>
      <c r="L670" s="874"/>
      <c r="M670" s="874"/>
      <c r="N670" s="874"/>
      <c r="O670" s="874"/>
      <c r="P670" s="874"/>
      <c r="Q670" s="874"/>
      <c r="R670" s="874"/>
      <c r="S670" s="874"/>
      <c r="T670" s="874"/>
      <c r="U670" s="874"/>
      <c r="V670" s="874"/>
      <c r="W670" s="874"/>
      <c r="X670" s="874"/>
      <c r="Y670" s="874"/>
      <c r="Z670" s="874"/>
    </row>
    <row r="671" spans="1:26" ht="18" customHeight="1" x14ac:dyDescent="0.35">
      <c r="A671" s="874"/>
      <c r="B671" s="874"/>
      <c r="C671" s="874"/>
      <c r="D671" s="874"/>
      <c r="E671" s="874"/>
      <c r="F671" s="874"/>
      <c r="G671" s="874"/>
      <c r="H671" s="874"/>
      <c r="I671" s="874"/>
      <c r="J671" s="874"/>
      <c r="K671" s="874"/>
      <c r="L671" s="874"/>
      <c r="M671" s="874"/>
      <c r="N671" s="874"/>
      <c r="O671" s="874"/>
      <c r="P671" s="874"/>
      <c r="Q671" s="874"/>
      <c r="R671" s="874"/>
      <c r="S671" s="874"/>
      <c r="T671" s="874"/>
      <c r="U671" s="874"/>
      <c r="V671" s="874"/>
      <c r="W671" s="874"/>
      <c r="X671" s="874"/>
      <c r="Y671" s="874"/>
      <c r="Z671" s="874"/>
    </row>
    <row r="672" spans="1:26" ht="18" customHeight="1" x14ac:dyDescent="0.35">
      <c r="A672" s="874"/>
      <c r="B672" s="874"/>
      <c r="C672" s="874"/>
      <c r="D672" s="874"/>
      <c r="E672" s="874"/>
      <c r="F672" s="874"/>
      <c r="G672" s="874"/>
      <c r="H672" s="874"/>
      <c r="I672" s="874"/>
      <c r="J672" s="874"/>
      <c r="K672" s="874"/>
      <c r="L672" s="874"/>
      <c r="M672" s="874"/>
      <c r="N672" s="874"/>
      <c r="O672" s="874"/>
      <c r="P672" s="874"/>
      <c r="Q672" s="874"/>
      <c r="R672" s="874"/>
      <c r="S672" s="874"/>
      <c r="T672" s="874"/>
      <c r="U672" s="874"/>
      <c r="V672" s="874"/>
      <c r="W672" s="874"/>
      <c r="X672" s="874"/>
      <c r="Y672" s="874"/>
      <c r="Z672" s="874"/>
    </row>
    <row r="673" spans="1:26" ht="18" customHeight="1" x14ac:dyDescent="0.35">
      <c r="A673" s="874"/>
      <c r="B673" s="874"/>
      <c r="C673" s="874"/>
      <c r="D673" s="874"/>
      <c r="E673" s="874"/>
      <c r="F673" s="874"/>
      <c r="G673" s="874"/>
      <c r="H673" s="874"/>
      <c r="I673" s="874"/>
      <c r="J673" s="874"/>
      <c r="K673" s="874"/>
      <c r="L673" s="874"/>
      <c r="M673" s="874"/>
      <c r="N673" s="874"/>
      <c r="O673" s="874"/>
      <c r="P673" s="874"/>
      <c r="Q673" s="874"/>
      <c r="R673" s="874"/>
      <c r="S673" s="874"/>
      <c r="T673" s="874"/>
      <c r="U673" s="874"/>
      <c r="V673" s="874"/>
      <c r="W673" s="874"/>
      <c r="X673" s="874"/>
      <c r="Y673" s="874"/>
      <c r="Z673" s="874"/>
    </row>
    <row r="674" spans="1:26" ht="18" customHeight="1" x14ac:dyDescent="0.35">
      <c r="A674" s="874"/>
      <c r="B674" s="874"/>
      <c r="C674" s="874"/>
      <c r="D674" s="874"/>
      <c r="E674" s="874"/>
      <c r="F674" s="874"/>
      <c r="G674" s="874"/>
      <c r="H674" s="874"/>
      <c r="I674" s="874"/>
      <c r="J674" s="874"/>
      <c r="K674" s="874"/>
      <c r="L674" s="874"/>
      <c r="M674" s="874"/>
      <c r="N674" s="874"/>
      <c r="O674" s="874"/>
      <c r="P674" s="874"/>
      <c r="Q674" s="874"/>
      <c r="R674" s="874"/>
      <c r="S674" s="874"/>
      <c r="T674" s="874"/>
      <c r="U674" s="874"/>
      <c r="V674" s="874"/>
      <c r="W674" s="874"/>
      <c r="X674" s="874"/>
      <c r="Y674" s="874"/>
      <c r="Z674" s="874"/>
    </row>
    <row r="675" spans="1:26" ht="18" customHeight="1" x14ac:dyDescent="0.35">
      <c r="A675" s="874"/>
      <c r="B675" s="874"/>
      <c r="C675" s="874"/>
      <c r="D675" s="874"/>
      <c r="E675" s="874"/>
      <c r="F675" s="874"/>
      <c r="G675" s="874"/>
      <c r="H675" s="874"/>
      <c r="I675" s="874"/>
      <c r="J675" s="874"/>
      <c r="K675" s="874"/>
      <c r="L675" s="874"/>
      <c r="M675" s="874"/>
      <c r="N675" s="874"/>
      <c r="O675" s="874"/>
      <c r="P675" s="874"/>
      <c r="Q675" s="874"/>
      <c r="R675" s="874"/>
      <c r="S675" s="874"/>
      <c r="T675" s="874"/>
      <c r="U675" s="874"/>
      <c r="V675" s="874"/>
      <c r="W675" s="874"/>
      <c r="X675" s="874"/>
      <c r="Y675" s="874"/>
      <c r="Z675" s="874"/>
    </row>
    <row r="676" spans="1:26" ht="18" customHeight="1" x14ac:dyDescent="0.35">
      <c r="A676" s="874"/>
      <c r="B676" s="874"/>
      <c r="C676" s="874"/>
      <c r="D676" s="874"/>
      <c r="E676" s="874"/>
      <c r="F676" s="874"/>
      <c r="G676" s="874"/>
      <c r="H676" s="874"/>
      <c r="I676" s="874"/>
      <c r="J676" s="874"/>
      <c r="K676" s="874"/>
      <c r="L676" s="874"/>
      <c r="M676" s="874"/>
      <c r="N676" s="874"/>
      <c r="O676" s="874"/>
      <c r="P676" s="874"/>
      <c r="Q676" s="874"/>
      <c r="R676" s="874"/>
      <c r="S676" s="874"/>
      <c r="T676" s="874"/>
      <c r="U676" s="874"/>
      <c r="V676" s="874"/>
      <c r="W676" s="874"/>
      <c r="X676" s="874"/>
      <c r="Y676" s="874"/>
      <c r="Z676" s="874"/>
    </row>
    <row r="677" spans="1:26" ht="18" customHeight="1" x14ac:dyDescent="0.35">
      <c r="A677" s="874"/>
      <c r="B677" s="874"/>
      <c r="C677" s="874"/>
      <c r="D677" s="874"/>
      <c r="E677" s="874"/>
      <c r="F677" s="874"/>
      <c r="G677" s="874"/>
      <c r="H677" s="874"/>
      <c r="I677" s="874"/>
      <c r="J677" s="874"/>
      <c r="K677" s="874"/>
      <c r="L677" s="874"/>
      <c r="M677" s="874"/>
      <c r="N677" s="874"/>
      <c r="O677" s="874"/>
      <c r="P677" s="874"/>
      <c r="Q677" s="874"/>
      <c r="R677" s="874"/>
      <c r="S677" s="874"/>
      <c r="T677" s="874"/>
      <c r="U677" s="874"/>
      <c r="V677" s="874"/>
      <c r="W677" s="874"/>
      <c r="X677" s="874"/>
      <c r="Y677" s="874"/>
      <c r="Z677" s="874"/>
    </row>
    <row r="678" spans="1:26" ht="18" customHeight="1" x14ac:dyDescent="0.35">
      <c r="A678" s="874"/>
      <c r="B678" s="874"/>
      <c r="C678" s="874"/>
      <c r="D678" s="874"/>
      <c r="E678" s="874"/>
      <c r="F678" s="874"/>
      <c r="G678" s="874"/>
      <c r="H678" s="874"/>
      <c r="I678" s="874"/>
      <c r="J678" s="874"/>
      <c r="K678" s="874"/>
      <c r="L678" s="874"/>
      <c r="M678" s="874"/>
      <c r="N678" s="874"/>
      <c r="O678" s="874"/>
      <c r="P678" s="874"/>
      <c r="Q678" s="874"/>
      <c r="R678" s="874"/>
      <c r="S678" s="874"/>
      <c r="T678" s="874"/>
      <c r="U678" s="874"/>
      <c r="V678" s="874"/>
      <c r="W678" s="874"/>
      <c r="X678" s="874"/>
      <c r="Y678" s="874"/>
      <c r="Z678" s="874"/>
    </row>
    <row r="679" spans="1:26" ht="18" customHeight="1" x14ac:dyDescent="0.35">
      <c r="A679" s="874"/>
      <c r="B679" s="874"/>
      <c r="C679" s="874"/>
      <c r="D679" s="874"/>
      <c r="E679" s="874"/>
      <c r="F679" s="874"/>
      <c r="G679" s="874"/>
      <c r="H679" s="874"/>
      <c r="I679" s="874"/>
      <c r="J679" s="874"/>
      <c r="K679" s="874"/>
      <c r="L679" s="874"/>
      <c r="M679" s="874"/>
      <c r="N679" s="874"/>
      <c r="O679" s="874"/>
      <c r="P679" s="874"/>
      <c r="Q679" s="874"/>
      <c r="R679" s="874"/>
      <c r="S679" s="874"/>
      <c r="T679" s="874"/>
      <c r="U679" s="874"/>
      <c r="V679" s="874"/>
      <c r="W679" s="874"/>
      <c r="X679" s="874"/>
      <c r="Y679" s="874"/>
      <c r="Z679" s="874"/>
    </row>
    <row r="680" spans="1:26" ht="18" customHeight="1" x14ac:dyDescent="0.35">
      <c r="A680" s="874"/>
      <c r="B680" s="874"/>
      <c r="C680" s="874"/>
      <c r="D680" s="874"/>
      <c r="E680" s="874"/>
      <c r="F680" s="874"/>
      <c r="G680" s="874"/>
      <c r="H680" s="874"/>
      <c r="I680" s="874"/>
      <c r="J680" s="874"/>
      <c r="K680" s="874"/>
      <c r="L680" s="874"/>
      <c r="M680" s="874"/>
      <c r="N680" s="874"/>
      <c r="O680" s="874"/>
      <c r="P680" s="874"/>
      <c r="Q680" s="874"/>
      <c r="R680" s="874"/>
      <c r="S680" s="874"/>
      <c r="T680" s="874"/>
      <c r="U680" s="874"/>
      <c r="V680" s="874"/>
      <c r="W680" s="874"/>
      <c r="X680" s="874"/>
      <c r="Y680" s="874"/>
      <c r="Z680" s="874"/>
    </row>
    <row r="681" spans="1:26" ht="18" customHeight="1" x14ac:dyDescent="0.35">
      <c r="A681" s="874"/>
      <c r="B681" s="874"/>
      <c r="C681" s="874"/>
      <c r="D681" s="874"/>
      <c r="E681" s="874"/>
      <c r="F681" s="874"/>
      <c r="G681" s="874"/>
      <c r="H681" s="874"/>
      <c r="I681" s="874"/>
      <c r="J681" s="874"/>
      <c r="K681" s="874"/>
      <c r="L681" s="874"/>
      <c r="M681" s="874"/>
      <c r="N681" s="874"/>
      <c r="O681" s="874"/>
      <c r="P681" s="874"/>
      <c r="Q681" s="874"/>
      <c r="R681" s="874"/>
      <c r="S681" s="874"/>
      <c r="T681" s="874"/>
      <c r="U681" s="874"/>
      <c r="V681" s="874"/>
      <c r="W681" s="874"/>
      <c r="X681" s="874"/>
      <c r="Y681" s="874"/>
      <c r="Z681" s="874"/>
    </row>
    <row r="682" spans="1:26" ht="18" customHeight="1" x14ac:dyDescent="0.35">
      <c r="A682" s="874"/>
      <c r="B682" s="874"/>
      <c r="C682" s="874"/>
      <c r="D682" s="874"/>
      <c r="E682" s="874"/>
      <c r="F682" s="874"/>
      <c r="G682" s="874"/>
      <c r="H682" s="874"/>
      <c r="I682" s="874"/>
      <c r="J682" s="874"/>
      <c r="K682" s="874"/>
      <c r="L682" s="874"/>
      <c r="M682" s="874"/>
      <c r="N682" s="874"/>
      <c r="O682" s="874"/>
      <c r="P682" s="874"/>
      <c r="Q682" s="874"/>
      <c r="R682" s="874"/>
      <c r="S682" s="874"/>
      <c r="T682" s="874"/>
      <c r="U682" s="874"/>
      <c r="V682" s="874"/>
      <c r="W682" s="874"/>
      <c r="X682" s="874"/>
      <c r="Y682" s="874"/>
      <c r="Z682" s="874"/>
    </row>
    <row r="683" spans="1:26" ht="18" customHeight="1" x14ac:dyDescent="0.35">
      <c r="A683" s="874"/>
      <c r="B683" s="874"/>
      <c r="C683" s="874"/>
      <c r="D683" s="874"/>
      <c r="E683" s="874"/>
      <c r="F683" s="874"/>
      <c r="G683" s="874"/>
      <c r="H683" s="874"/>
      <c r="I683" s="874"/>
      <c r="J683" s="874"/>
      <c r="K683" s="874"/>
      <c r="L683" s="874"/>
      <c r="M683" s="874"/>
      <c r="N683" s="874"/>
      <c r="O683" s="874"/>
      <c r="P683" s="874"/>
      <c r="Q683" s="874"/>
      <c r="R683" s="874"/>
      <c r="S683" s="874"/>
      <c r="T683" s="874"/>
      <c r="U683" s="874"/>
      <c r="V683" s="874"/>
      <c r="W683" s="874"/>
      <c r="X683" s="874"/>
      <c r="Y683" s="874"/>
      <c r="Z683" s="874"/>
    </row>
    <row r="684" spans="1:26" ht="18" customHeight="1" x14ac:dyDescent="0.35">
      <c r="A684" s="874"/>
      <c r="B684" s="874"/>
      <c r="C684" s="874"/>
      <c r="D684" s="874"/>
      <c r="E684" s="874"/>
      <c r="F684" s="874"/>
      <c r="G684" s="874"/>
      <c r="H684" s="874"/>
      <c r="I684" s="874"/>
      <c r="J684" s="874"/>
      <c r="K684" s="874"/>
      <c r="L684" s="874"/>
      <c r="M684" s="874"/>
      <c r="N684" s="874"/>
      <c r="O684" s="874"/>
      <c r="P684" s="874"/>
      <c r="Q684" s="874"/>
      <c r="R684" s="874"/>
      <c r="S684" s="874"/>
      <c r="T684" s="874"/>
      <c r="U684" s="874"/>
      <c r="V684" s="874"/>
      <c r="W684" s="874"/>
      <c r="X684" s="874"/>
      <c r="Y684" s="874"/>
      <c r="Z684" s="874"/>
    </row>
    <row r="685" spans="1:26" ht="18" customHeight="1" x14ac:dyDescent="0.35">
      <c r="A685" s="874"/>
      <c r="B685" s="874"/>
      <c r="C685" s="874"/>
      <c r="D685" s="874"/>
      <c r="E685" s="874"/>
      <c r="F685" s="874"/>
      <c r="G685" s="874"/>
      <c r="H685" s="874"/>
      <c r="I685" s="874"/>
      <c r="J685" s="874"/>
      <c r="K685" s="874"/>
      <c r="L685" s="874"/>
      <c r="M685" s="874"/>
      <c r="N685" s="874"/>
      <c r="O685" s="874"/>
      <c r="P685" s="874"/>
      <c r="Q685" s="874"/>
      <c r="R685" s="874"/>
      <c r="S685" s="874"/>
      <c r="T685" s="874"/>
      <c r="U685" s="874"/>
      <c r="V685" s="874"/>
      <c r="W685" s="874"/>
      <c r="X685" s="874"/>
      <c r="Y685" s="874"/>
      <c r="Z685" s="874"/>
    </row>
    <row r="686" spans="1:26" ht="18" customHeight="1" x14ac:dyDescent="0.35">
      <c r="A686" s="874"/>
      <c r="B686" s="874"/>
      <c r="C686" s="874"/>
      <c r="D686" s="874"/>
      <c r="E686" s="874"/>
      <c r="F686" s="874"/>
      <c r="G686" s="874"/>
      <c r="H686" s="874"/>
      <c r="I686" s="874"/>
      <c r="J686" s="874"/>
      <c r="K686" s="874"/>
      <c r="L686" s="874"/>
      <c r="M686" s="874"/>
      <c r="N686" s="874"/>
      <c r="O686" s="874"/>
      <c r="P686" s="874"/>
      <c r="Q686" s="874"/>
      <c r="R686" s="874"/>
      <c r="S686" s="874"/>
      <c r="T686" s="874"/>
      <c r="U686" s="874"/>
      <c r="V686" s="874"/>
      <c r="W686" s="874"/>
      <c r="X686" s="874"/>
      <c r="Y686" s="874"/>
      <c r="Z686" s="874"/>
    </row>
    <row r="687" spans="1:26" ht="18" customHeight="1" x14ac:dyDescent="0.35">
      <c r="A687" s="874"/>
      <c r="B687" s="874"/>
      <c r="C687" s="874"/>
      <c r="D687" s="874"/>
      <c r="E687" s="874"/>
      <c r="F687" s="874"/>
      <c r="G687" s="874"/>
      <c r="H687" s="874"/>
      <c r="I687" s="874"/>
      <c r="J687" s="874"/>
      <c r="K687" s="874"/>
      <c r="L687" s="874"/>
      <c r="M687" s="874"/>
      <c r="N687" s="874"/>
      <c r="O687" s="874"/>
      <c r="P687" s="874"/>
      <c r="Q687" s="874"/>
      <c r="R687" s="874"/>
      <c r="S687" s="874"/>
      <c r="T687" s="874"/>
      <c r="U687" s="874"/>
      <c r="V687" s="874"/>
      <c r="W687" s="874"/>
      <c r="X687" s="874"/>
      <c r="Y687" s="874"/>
      <c r="Z687" s="874"/>
    </row>
    <row r="688" spans="1:26" ht="18" customHeight="1" x14ac:dyDescent="0.35">
      <c r="A688" s="874"/>
      <c r="B688" s="874"/>
      <c r="C688" s="874"/>
      <c r="D688" s="874"/>
      <c r="E688" s="874"/>
      <c r="F688" s="874"/>
      <c r="G688" s="874"/>
      <c r="H688" s="874"/>
      <c r="I688" s="874"/>
      <c r="J688" s="874"/>
      <c r="K688" s="874"/>
      <c r="L688" s="874"/>
      <c r="M688" s="874"/>
      <c r="N688" s="874"/>
      <c r="O688" s="874"/>
      <c r="P688" s="874"/>
      <c r="Q688" s="874"/>
      <c r="R688" s="874"/>
      <c r="S688" s="874"/>
      <c r="T688" s="874"/>
      <c r="U688" s="874"/>
      <c r="V688" s="874"/>
      <c r="W688" s="874"/>
      <c r="X688" s="874"/>
      <c r="Y688" s="874"/>
      <c r="Z688" s="874"/>
    </row>
    <row r="689" spans="1:26" ht="18" customHeight="1" x14ac:dyDescent="0.35">
      <c r="A689" s="874"/>
      <c r="B689" s="874"/>
      <c r="C689" s="874"/>
      <c r="D689" s="874"/>
      <c r="E689" s="874"/>
      <c r="F689" s="874"/>
      <c r="G689" s="874"/>
      <c r="H689" s="874"/>
      <c r="I689" s="874"/>
      <c r="J689" s="874"/>
      <c r="K689" s="874"/>
      <c r="L689" s="874"/>
      <c r="M689" s="874"/>
      <c r="N689" s="874"/>
      <c r="O689" s="874"/>
      <c r="P689" s="874"/>
      <c r="Q689" s="874"/>
      <c r="R689" s="874"/>
      <c r="S689" s="874"/>
      <c r="T689" s="874"/>
      <c r="U689" s="874"/>
      <c r="V689" s="874"/>
      <c r="W689" s="874"/>
      <c r="X689" s="874"/>
      <c r="Y689" s="874"/>
      <c r="Z689" s="874"/>
    </row>
    <row r="690" spans="1:26" ht="18" customHeight="1" x14ac:dyDescent="0.35">
      <c r="A690" s="874"/>
      <c r="B690" s="874"/>
      <c r="C690" s="874"/>
      <c r="D690" s="874"/>
      <c r="E690" s="874"/>
      <c r="F690" s="874"/>
      <c r="G690" s="874"/>
      <c r="H690" s="874"/>
      <c r="I690" s="874"/>
      <c r="J690" s="874"/>
      <c r="K690" s="874"/>
      <c r="L690" s="874"/>
      <c r="M690" s="874"/>
      <c r="N690" s="874"/>
      <c r="O690" s="874"/>
      <c r="P690" s="874"/>
      <c r="Q690" s="874"/>
      <c r="R690" s="874"/>
      <c r="S690" s="874"/>
      <c r="T690" s="874"/>
      <c r="U690" s="874"/>
      <c r="V690" s="874"/>
      <c r="W690" s="874"/>
      <c r="X690" s="874"/>
      <c r="Y690" s="874"/>
      <c r="Z690" s="874"/>
    </row>
    <row r="691" spans="1:26" ht="18" customHeight="1" x14ac:dyDescent="0.35">
      <c r="A691" s="874"/>
      <c r="B691" s="874"/>
      <c r="C691" s="874"/>
      <c r="D691" s="874"/>
      <c r="E691" s="874"/>
      <c r="F691" s="874"/>
      <c r="G691" s="874"/>
      <c r="H691" s="874"/>
      <c r="I691" s="874"/>
      <c r="J691" s="874"/>
      <c r="K691" s="874"/>
      <c r="L691" s="874"/>
      <c r="M691" s="874"/>
      <c r="N691" s="874"/>
      <c r="O691" s="874"/>
      <c r="P691" s="874"/>
      <c r="Q691" s="874"/>
      <c r="R691" s="874"/>
      <c r="S691" s="874"/>
      <c r="T691" s="874"/>
      <c r="U691" s="874"/>
      <c r="V691" s="874"/>
      <c r="W691" s="874"/>
      <c r="X691" s="874"/>
      <c r="Y691" s="874"/>
      <c r="Z691" s="874"/>
    </row>
    <row r="692" spans="1:26" ht="18" customHeight="1" x14ac:dyDescent="0.35">
      <c r="A692" s="874"/>
      <c r="B692" s="874"/>
      <c r="C692" s="874"/>
      <c r="D692" s="874"/>
      <c r="E692" s="874"/>
      <c r="F692" s="874"/>
      <c r="G692" s="874"/>
      <c r="H692" s="874"/>
      <c r="I692" s="874"/>
      <c r="J692" s="874"/>
      <c r="K692" s="874"/>
      <c r="L692" s="874"/>
      <c r="M692" s="874"/>
      <c r="N692" s="874"/>
      <c r="O692" s="874"/>
      <c r="P692" s="874"/>
      <c r="Q692" s="874"/>
      <c r="R692" s="874"/>
      <c r="S692" s="874"/>
      <c r="T692" s="874"/>
      <c r="U692" s="874"/>
      <c r="V692" s="874"/>
      <c r="W692" s="874"/>
      <c r="X692" s="874"/>
      <c r="Y692" s="874"/>
      <c r="Z692" s="874"/>
    </row>
    <row r="693" spans="1:26" ht="18" customHeight="1" x14ac:dyDescent="0.35">
      <c r="A693" s="874"/>
      <c r="B693" s="874"/>
      <c r="C693" s="874"/>
      <c r="D693" s="874"/>
      <c r="E693" s="874"/>
      <c r="F693" s="874"/>
      <c r="G693" s="874"/>
      <c r="H693" s="874"/>
      <c r="I693" s="874"/>
      <c r="J693" s="874"/>
      <c r="K693" s="874"/>
      <c r="L693" s="874"/>
      <c r="M693" s="874"/>
      <c r="N693" s="874"/>
      <c r="O693" s="874"/>
      <c r="P693" s="874"/>
      <c r="Q693" s="874"/>
      <c r="R693" s="874"/>
      <c r="S693" s="874"/>
      <c r="T693" s="874"/>
      <c r="U693" s="874"/>
      <c r="V693" s="874"/>
      <c r="W693" s="874"/>
      <c r="X693" s="874"/>
      <c r="Y693" s="874"/>
      <c r="Z693" s="874"/>
    </row>
    <row r="694" spans="1:26" ht="18" customHeight="1" x14ac:dyDescent="0.35">
      <c r="A694" s="874"/>
      <c r="B694" s="874"/>
      <c r="C694" s="874"/>
      <c r="D694" s="874"/>
      <c r="E694" s="874"/>
      <c r="F694" s="874"/>
      <c r="G694" s="874"/>
      <c r="H694" s="874"/>
      <c r="I694" s="874"/>
      <c r="J694" s="874"/>
      <c r="K694" s="874"/>
      <c r="L694" s="874"/>
      <c r="M694" s="874"/>
      <c r="N694" s="874"/>
      <c r="O694" s="874"/>
      <c r="P694" s="874"/>
      <c r="Q694" s="874"/>
      <c r="R694" s="874"/>
      <c r="S694" s="874"/>
      <c r="T694" s="874"/>
      <c r="U694" s="874"/>
      <c r="V694" s="874"/>
      <c r="W694" s="874"/>
      <c r="X694" s="874"/>
      <c r="Y694" s="874"/>
      <c r="Z694" s="874"/>
    </row>
    <row r="695" spans="1:26" ht="18" customHeight="1" x14ac:dyDescent="0.35">
      <c r="A695" s="874"/>
      <c r="B695" s="874"/>
      <c r="C695" s="874"/>
      <c r="D695" s="874"/>
      <c r="E695" s="874"/>
      <c r="F695" s="874"/>
      <c r="G695" s="874"/>
      <c r="H695" s="874"/>
      <c r="I695" s="874"/>
      <c r="J695" s="874"/>
      <c r="K695" s="874"/>
      <c r="L695" s="874"/>
      <c r="M695" s="874"/>
      <c r="N695" s="874"/>
      <c r="O695" s="874"/>
      <c r="P695" s="874"/>
      <c r="Q695" s="874"/>
      <c r="R695" s="874"/>
      <c r="S695" s="874"/>
      <c r="T695" s="874"/>
      <c r="U695" s="874"/>
      <c r="V695" s="874"/>
      <c r="W695" s="874"/>
      <c r="X695" s="874"/>
      <c r="Y695" s="874"/>
      <c r="Z695" s="874"/>
    </row>
    <row r="696" spans="1:26" ht="18" customHeight="1" x14ac:dyDescent="0.35">
      <c r="A696" s="874"/>
      <c r="B696" s="874"/>
      <c r="C696" s="874"/>
      <c r="D696" s="874"/>
      <c r="E696" s="874"/>
      <c r="F696" s="874"/>
      <c r="G696" s="874"/>
      <c r="H696" s="874"/>
      <c r="I696" s="874"/>
      <c r="J696" s="874"/>
      <c r="K696" s="874"/>
      <c r="L696" s="874"/>
      <c r="M696" s="874"/>
      <c r="N696" s="874"/>
      <c r="O696" s="874"/>
      <c r="P696" s="874"/>
      <c r="Q696" s="874"/>
      <c r="R696" s="874"/>
      <c r="S696" s="874"/>
      <c r="T696" s="874"/>
      <c r="U696" s="874"/>
      <c r="V696" s="874"/>
      <c r="W696" s="874"/>
      <c r="X696" s="874"/>
      <c r="Y696" s="874"/>
      <c r="Z696" s="874"/>
    </row>
    <row r="697" spans="1:26" ht="18" customHeight="1" x14ac:dyDescent="0.35">
      <c r="A697" s="874"/>
      <c r="B697" s="874"/>
      <c r="C697" s="874"/>
      <c r="D697" s="874"/>
      <c r="E697" s="874"/>
      <c r="F697" s="874"/>
      <c r="G697" s="874"/>
      <c r="H697" s="874"/>
      <c r="I697" s="874"/>
      <c r="J697" s="874"/>
      <c r="K697" s="874"/>
      <c r="L697" s="874"/>
      <c r="M697" s="874"/>
      <c r="N697" s="874"/>
      <c r="O697" s="874"/>
      <c r="P697" s="874"/>
      <c r="Q697" s="874"/>
      <c r="R697" s="874"/>
      <c r="S697" s="874"/>
      <c r="T697" s="874"/>
      <c r="U697" s="874"/>
      <c r="V697" s="874"/>
      <c r="W697" s="874"/>
      <c r="X697" s="874"/>
      <c r="Y697" s="874"/>
      <c r="Z697" s="874"/>
    </row>
    <row r="698" spans="1:26" ht="18" customHeight="1" x14ac:dyDescent="0.35">
      <c r="A698" s="874"/>
      <c r="B698" s="874"/>
      <c r="C698" s="874"/>
      <c r="D698" s="874"/>
      <c r="E698" s="874"/>
      <c r="F698" s="874"/>
      <c r="G698" s="874"/>
      <c r="H698" s="874"/>
      <c r="I698" s="874"/>
      <c r="J698" s="874"/>
      <c r="K698" s="874"/>
      <c r="L698" s="874"/>
      <c r="M698" s="874"/>
      <c r="N698" s="874"/>
      <c r="O698" s="874"/>
      <c r="P698" s="874"/>
      <c r="Q698" s="874"/>
      <c r="R698" s="874"/>
      <c r="S698" s="874"/>
      <c r="T698" s="874"/>
      <c r="U698" s="874"/>
      <c r="V698" s="874"/>
      <c r="W698" s="874"/>
      <c r="X698" s="874"/>
      <c r="Y698" s="874"/>
      <c r="Z698" s="874"/>
    </row>
    <row r="699" spans="1:26" ht="18" customHeight="1" x14ac:dyDescent="0.35">
      <c r="A699" s="874"/>
      <c r="B699" s="874"/>
      <c r="C699" s="874"/>
      <c r="D699" s="874"/>
      <c r="E699" s="874"/>
      <c r="F699" s="874"/>
      <c r="G699" s="874"/>
      <c r="H699" s="874"/>
      <c r="I699" s="874"/>
      <c r="J699" s="874"/>
      <c r="K699" s="874"/>
      <c r="L699" s="874"/>
      <c r="M699" s="874"/>
      <c r="N699" s="874"/>
      <c r="O699" s="874"/>
      <c r="P699" s="874"/>
      <c r="Q699" s="874"/>
      <c r="R699" s="874"/>
      <c r="S699" s="874"/>
      <c r="T699" s="874"/>
      <c r="U699" s="874"/>
      <c r="V699" s="874"/>
      <c r="W699" s="874"/>
      <c r="X699" s="874"/>
      <c r="Y699" s="874"/>
      <c r="Z699" s="874"/>
    </row>
    <row r="700" spans="1:26" ht="18" customHeight="1" x14ac:dyDescent="0.35">
      <c r="A700" s="874"/>
      <c r="B700" s="874"/>
      <c r="C700" s="874"/>
      <c r="D700" s="874"/>
      <c r="E700" s="874"/>
      <c r="F700" s="874"/>
      <c r="G700" s="874"/>
      <c r="H700" s="874"/>
      <c r="I700" s="874"/>
      <c r="J700" s="874"/>
      <c r="K700" s="874"/>
      <c r="L700" s="874"/>
      <c r="M700" s="874"/>
      <c r="N700" s="874"/>
      <c r="O700" s="874"/>
      <c r="P700" s="874"/>
      <c r="Q700" s="874"/>
      <c r="R700" s="874"/>
      <c r="S700" s="874"/>
      <c r="T700" s="874"/>
      <c r="U700" s="874"/>
      <c r="V700" s="874"/>
      <c r="W700" s="874"/>
      <c r="X700" s="874"/>
      <c r="Y700" s="874"/>
      <c r="Z700" s="874"/>
    </row>
    <row r="701" spans="1:26" ht="18" customHeight="1" x14ac:dyDescent="0.35">
      <c r="A701" s="874"/>
      <c r="B701" s="874"/>
      <c r="C701" s="874"/>
      <c r="D701" s="874"/>
      <c r="E701" s="874"/>
      <c r="F701" s="874"/>
      <c r="G701" s="874"/>
      <c r="H701" s="874"/>
      <c r="I701" s="874"/>
      <c r="J701" s="874"/>
      <c r="K701" s="874"/>
      <c r="L701" s="874"/>
      <c r="M701" s="874"/>
      <c r="N701" s="874"/>
      <c r="O701" s="874"/>
      <c r="P701" s="874"/>
      <c r="Q701" s="874"/>
      <c r="R701" s="874"/>
      <c r="S701" s="874"/>
      <c r="T701" s="874"/>
      <c r="U701" s="874"/>
      <c r="V701" s="874"/>
      <c r="W701" s="874"/>
      <c r="X701" s="874"/>
      <c r="Y701" s="874"/>
      <c r="Z701" s="874"/>
    </row>
    <row r="702" spans="1:26" ht="18" customHeight="1" x14ac:dyDescent="0.35">
      <c r="A702" s="874"/>
      <c r="B702" s="874"/>
      <c r="C702" s="874"/>
      <c r="D702" s="874"/>
      <c r="E702" s="874"/>
      <c r="F702" s="874"/>
      <c r="G702" s="874"/>
      <c r="H702" s="874"/>
      <c r="I702" s="874"/>
      <c r="J702" s="874"/>
      <c r="K702" s="874"/>
      <c r="L702" s="874"/>
      <c r="M702" s="874"/>
      <c r="N702" s="874"/>
      <c r="O702" s="874"/>
      <c r="P702" s="874"/>
      <c r="Q702" s="874"/>
      <c r="R702" s="874"/>
      <c r="S702" s="874"/>
      <c r="T702" s="874"/>
      <c r="U702" s="874"/>
      <c r="V702" s="874"/>
      <c r="W702" s="874"/>
      <c r="X702" s="874"/>
      <c r="Y702" s="874"/>
      <c r="Z702" s="874"/>
    </row>
    <row r="703" spans="1:26" ht="18" customHeight="1" x14ac:dyDescent="0.35">
      <c r="A703" s="874"/>
      <c r="B703" s="874"/>
      <c r="C703" s="874"/>
      <c r="D703" s="874"/>
      <c r="E703" s="874"/>
      <c r="F703" s="874"/>
      <c r="G703" s="874"/>
      <c r="H703" s="874"/>
      <c r="I703" s="874"/>
      <c r="J703" s="874"/>
      <c r="K703" s="874"/>
      <c r="L703" s="874"/>
      <c r="M703" s="874"/>
      <c r="N703" s="874"/>
      <c r="O703" s="874"/>
      <c r="P703" s="874"/>
      <c r="Q703" s="874"/>
      <c r="R703" s="874"/>
      <c r="S703" s="874"/>
      <c r="T703" s="874"/>
      <c r="U703" s="874"/>
      <c r="V703" s="874"/>
      <c r="W703" s="874"/>
      <c r="X703" s="874"/>
      <c r="Y703" s="874"/>
      <c r="Z703" s="874"/>
    </row>
    <row r="704" spans="1:26" ht="18" customHeight="1" x14ac:dyDescent="0.35">
      <c r="A704" s="874"/>
      <c r="B704" s="874"/>
      <c r="C704" s="874"/>
      <c r="D704" s="874"/>
      <c r="E704" s="874"/>
      <c r="F704" s="874"/>
      <c r="G704" s="874"/>
      <c r="H704" s="874"/>
      <c r="I704" s="874"/>
      <c r="J704" s="874"/>
      <c r="K704" s="874"/>
      <c r="L704" s="874"/>
      <c r="M704" s="874"/>
      <c r="N704" s="874"/>
      <c r="O704" s="874"/>
      <c r="P704" s="874"/>
      <c r="Q704" s="874"/>
      <c r="R704" s="874"/>
      <c r="S704" s="874"/>
      <c r="T704" s="874"/>
      <c r="U704" s="874"/>
      <c r="V704" s="874"/>
      <c r="W704" s="874"/>
      <c r="X704" s="874"/>
      <c r="Y704" s="874"/>
      <c r="Z704" s="874"/>
    </row>
    <row r="705" spans="1:26" ht="18" customHeight="1" x14ac:dyDescent="0.35">
      <c r="A705" s="874"/>
      <c r="B705" s="874"/>
      <c r="C705" s="874"/>
      <c r="D705" s="874"/>
      <c r="E705" s="874"/>
      <c r="F705" s="874"/>
      <c r="G705" s="874"/>
      <c r="H705" s="874"/>
      <c r="I705" s="874"/>
      <c r="J705" s="874"/>
      <c r="K705" s="874"/>
      <c r="L705" s="874"/>
      <c r="M705" s="874"/>
      <c r="N705" s="874"/>
      <c r="O705" s="874"/>
      <c r="P705" s="874"/>
      <c r="Q705" s="874"/>
      <c r="R705" s="874"/>
      <c r="S705" s="874"/>
      <c r="T705" s="874"/>
      <c r="U705" s="874"/>
      <c r="V705" s="874"/>
      <c r="W705" s="874"/>
      <c r="X705" s="874"/>
      <c r="Y705" s="874"/>
      <c r="Z705" s="874"/>
    </row>
    <row r="706" spans="1:26" ht="18" customHeight="1" x14ac:dyDescent="0.35">
      <c r="A706" s="874"/>
      <c r="B706" s="874"/>
      <c r="C706" s="874"/>
      <c r="D706" s="874"/>
      <c r="E706" s="874"/>
      <c r="F706" s="874"/>
      <c r="G706" s="874"/>
      <c r="H706" s="874"/>
      <c r="I706" s="874"/>
      <c r="J706" s="874"/>
      <c r="K706" s="874"/>
      <c r="L706" s="874"/>
      <c r="M706" s="874"/>
      <c r="N706" s="874"/>
      <c r="O706" s="874"/>
      <c r="P706" s="874"/>
      <c r="Q706" s="874"/>
      <c r="R706" s="874"/>
      <c r="S706" s="874"/>
      <c r="T706" s="874"/>
      <c r="U706" s="874"/>
      <c r="V706" s="874"/>
      <c r="W706" s="874"/>
      <c r="X706" s="874"/>
      <c r="Y706" s="874"/>
      <c r="Z706" s="874"/>
    </row>
    <row r="707" spans="1:26" ht="18" customHeight="1" x14ac:dyDescent="0.35">
      <c r="A707" s="874"/>
      <c r="B707" s="874"/>
      <c r="C707" s="874"/>
      <c r="D707" s="874"/>
      <c r="E707" s="874"/>
      <c r="F707" s="874"/>
      <c r="G707" s="874"/>
      <c r="H707" s="874"/>
      <c r="I707" s="874"/>
      <c r="J707" s="874"/>
      <c r="K707" s="874"/>
      <c r="L707" s="874"/>
      <c r="M707" s="874"/>
      <c r="N707" s="874"/>
      <c r="O707" s="874"/>
      <c r="P707" s="874"/>
      <c r="Q707" s="874"/>
      <c r="R707" s="874"/>
      <c r="S707" s="874"/>
      <c r="T707" s="874"/>
      <c r="U707" s="874"/>
      <c r="V707" s="874"/>
      <c r="W707" s="874"/>
      <c r="X707" s="874"/>
      <c r="Y707" s="874"/>
      <c r="Z707" s="874"/>
    </row>
    <row r="708" spans="1:26" ht="18" customHeight="1" x14ac:dyDescent="0.35">
      <c r="A708" s="874"/>
      <c r="B708" s="874"/>
      <c r="C708" s="874"/>
      <c r="D708" s="874"/>
      <c r="E708" s="874"/>
      <c r="F708" s="874"/>
      <c r="G708" s="874"/>
      <c r="H708" s="874"/>
      <c r="I708" s="874"/>
      <c r="J708" s="874"/>
      <c r="K708" s="874"/>
      <c r="L708" s="874"/>
      <c r="M708" s="874"/>
      <c r="N708" s="874"/>
      <c r="O708" s="874"/>
      <c r="P708" s="874"/>
      <c r="Q708" s="874"/>
      <c r="R708" s="874"/>
      <c r="S708" s="874"/>
      <c r="T708" s="874"/>
      <c r="U708" s="874"/>
      <c r="V708" s="874"/>
      <c r="W708" s="874"/>
      <c r="X708" s="874"/>
      <c r="Y708" s="874"/>
      <c r="Z708" s="874"/>
    </row>
    <row r="709" spans="1:26" ht="18" customHeight="1" x14ac:dyDescent="0.35">
      <c r="A709" s="874"/>
      <c r="B709" s="874"/>
      <c r="C709" s="874"/>
      <c r="D709" s="874"/>
      <c r="E709" s="874"/>
      <c r="F709" s="874"/>
      <c r="G709" s="874"/>
      <c r="H709" s="874"/>
      <c r="I709" s="874"/>
      <c r="J709" s="874"/>
      <c r="K709" s="874"/>
      <c r="L709" s="874"/>
      <c r="M709" s="874"/>
      <c r="N709" s="874"/>
      <c r="O709" s="874"/>
      <c r="P709" s="874"/>
      <c r="Q709" s="874"/>
      <c r="R709" s="874"/>
      <c r="S709" s="874"/>
      <c r="T709" s="874"/>
      <c r="U709" s="874"/>
      <c r="V709" s="874"/>
      <c r="W709" s="874"/>
      <c r="X709" s="874"/>
      <c r="Y709" s="874"/>
      <c r="Z709" s="874"/>
    </row>
    <row r="710" spans="1:26" ht="18" customHeight="1" x14ac:dyDescent="0.35">
      <c r="A710" s="874"/>
      <c r="B710" s="874"/>
      <c r="C710" s="874"/>
      <c r="D710" s="874"/>
      <c r="E710" s="874"/>
      <c r="F710" s="874"/>
      <c r="G710" s="874"/>
      <c r="H710" s="874"/>
      <c r="I710" s="874"/>
      <c r="J710" s="874"/>
      <c r="K710" s="874"/>
      <c r="L710" s="874"/>
      <c r="M710" s="874"/>
      <c r="N710" s="874"/>
      <c r="O710" s="874"/>
      <c r="P710" s="874"/>
      <c r="Q710" s="874"/>
      <c r="R710" s="874"/>
      <c r="S710" s="874"/>
      <c r="T710" s="874"/>
      <c r="U710" s="874"/>
      <c r="V710" s="874"/>
      <c r="W710" s="874"/>
      <c r="X710" s="874"/>
      <c r="Y710" s="874"/>
      <c r="Z710" s="874"/>
    </row>
    <row r="711" spans="1:26" ht="18" customHeight="1" x14ac:dyDescent="0.35">
      <c r="A711" s="874"/>
      <c r="B711" s="874"/>
      <c r="C711" s="874"/>
      <c r="D711" s="874"/>
      <c r="E711" s="874"/>
      <c r="F711" s="874"/>
      <c r="G711" s="874"/>
      <c r="H711" s="874"/>
      <c r="I711" s="874"/>
      <c r="J711" s="874"/>
      <c r="K711" s="874"/>
      <c r="L711" s="874"/>
      <c r="M711" s="874"/>
      <c r="N711" s="874"/>
      <c r="O711" s="874"/>
      <c r="P711" s="874"/>
      <c r="Q711" s="874"/>
      <c r="R711" s="874"/>
      <c r="S711" s="874"/>
      <c r="T711" s="874"/>
      <c r="U711" s="874"/>
      <c r="V711" s="874"/>
      <c r="W711" s="874"/>
      <c r="X711" s="874"/>
      <c r="Y711" s="874"/>
      <c r="Z711" s="874"/>
    </row>
    <row r="712" spans="1:26" ht="18" customHeight="1" x14ac:dyDescent="0.35">
      <c r="A712" s="874"/>
      <c r="B712" s="874"/>
      <c r="C712" s="874"/>
      <c r="D712" s="874"/>
      <c r="E712" s="874"/>
      <c r="F712" s="874"/>
      <c r="G712" s="874"/>
      <c r="H712" s="874"/>
      <c r="I712" s="874"/>
      <c r="J712" s="874"/>
      <c r="K712" s="874"/>
      <c r="L712" s="874"/>
      <c r="M712" s="874"/>
      <c r="N712" s="874"/>
      <c r="O712" s="874"/>
      <c r="P712" s="874"/>
      <c r="Q712" s="874"/>
      <c r="R712" s="874"/>
      <c r="S712" s="874"/>
      <c r="T712" s="874"/>
      <c r="U712" s="874"/>
      <c r="V712" s="874"/>
      <c r="W712" s="874"/>
      <c r="X712" s="874"/>
      <c r="Y712" s="874"/>
      <c r="Z712" s="874"/>
    </row>
    <row r="713" spans="1:26" ht="18" customHeight="1" x14ac:dyDescent="0.35">
      <c r="A713" s="874"/>
      <c r="B713" s="874"/>
      <c r="C713" s="874"/>
      <c r="D713" s="874"/>
      <c r="E713" s="874"/>
      <c r="F713" s="874"/>
      <c r="G713" s="874"/>
      <c r="H713" s="874"/>
      <c r="I713" s="874"/>
      <c r="J713" s="874"/>
      <c r="K713" s="874"/>
      <c r="L713" s="874"/>
      <c r="M713" s="874"/>
      <c r="N713" s="874"/>
      <c r="O713" s="874"/>
      <c r="P713" s="874"/>
      <c r="Q713" s="874"/>
      <c r="R713" s="874"/>
      <c r="S713" s="874"/>
      <c r="T713" s="874"/>
      <c r="U713" s="874"/>
      <c r="V713" s="874"/>
      <c r="W713" s="874"/>
      <c r="X713" s="874"/>
      <c r="Y713" s="874"/>
      <c r="Z713" s="874"/>
    </row>
    <row r="714" spans="1:26" ht="18" customHeight="1" x14ac:dyDescent="0.35">
      <c r="A714" s="874"/>
      <c r="B714" s="874"/>
      <c r="C714" s="874"/>
      <c r="D714" s="874"/>
      <c r="E714" s="874"/>
      <c r="F714" s="874"/>
      <c r="G714" s="874"/>
      <c r="H714" s="874"/>
      <c r="I714" s="874"/>
      <c r="J714" s="874"/>
      <c r="K714" s="874"/>
      <c r="L714" s="874"/>
      <c r="M714" s="874"/>
      <c r="N714" s="874"/>
      <c r="O714" s="874"/>
      <c r="P714" s="874"/>
      <c r="Q714" s="874"/>
      <c r="R714" s="874"/>
      <c r="S714" s="874"/>
      <c r="T714" s="874"/>
      <c r="U714" s="874"/>
      <c r="V714" s="874"/>
      <c r="W714" s="874"/>
      <c r="X714" s="874"/>
      <c r="Y714" s="874"/>
      <c r="Z714" s="874"/>
    </row>
    <row r="715" spans="1:26" ht="18" customHeight="1" x14ac:dyDescent="0.35">
      <c r="A715" s="874"/>
      <c r="B715" s="874"/>
      <c r="C715" s="874"/>
      <c r="D715" s="874"/>
      <c r="E715" s="874"/>
      <c r="F715" s="874"/>
      <c r="G715" s="874"/>
      <c r="H715" s="874"/>
      <c r="I715" s="874"/>
      <c r="J715" s="874"/>
      <c r="K715" s="874"/>
      <c r="L715" s="874"/>
      <c r="M715" s="874"/>
      <c r="N715" s="874"/>
      <c r="O715" s="874"/>
      <c r="P715" s="874"/>
      <c r="Q715" s="874"/>
      <c r="R715" s="874"/>
      <c r="S715" s="874"/>
      <c r="T715" s="874"/>
      <c r="U715" s="874"/>
      <c r="V715" s="874"/>
      <c r="W715" s="874"/>
      <c r="X715" s="874"/>
      <c r="Y715" s="874"/>
      <c r="Z715" s="874"/>
    </row>
    <row r="716" spans="1:26" ht="18" customHeight="1" x14ac:dyDescent="0.35">
      <c r="A716" s="874"/>
      <c r="B716" s="874"/>
      <c r="C716" s="874"/>
      <c r="D716" s="874"/>
      <c r="E716" s="874"/>
      <c r="F716" s="874"/>
      <c r="G716" s="874"/>
      <c r="H716" s="874"/>
      <c r="I716" s="874"/>
      <c r="J716" s="874"/>
      <c r="K716" s="874"/>
      <c r="L716" s="874"/>
      <c r="M716" s="874"/>
      <c r="N716" s="874"/>
      <c r="O716" s="874"/>
      <c r="P716" s="874"/>
      <c r="Q716" s="874"/>
      <c r="R716" s="874"/>
      <c r="S716" s="874"/>
      <c r="T716" s="874"/>
      <c r="U716" s="874"/>
      <c r="V716" s="874"/>
      <c r="W716" s="874"/>
      <c r="X716" s="874"/>
      <c r="Y716" s="874"/>
      <c r="Z716" s="874"/>
    </row>
    <row r="717" spans="1:26" ht="18" customHeight="1" x14ac:dyDescent="0.35">
      <c r="A717" s="874"/>
      <c r="B717" s="874"/>
      <c r="C717" s="874"/>
      <c r="D717" s="874"/>
      <c r="E717" s="874"/>
      <c r="F717" s="874"/>
      <c r="G717" s="874"/>
      <c r="H717" s="874"/>
      <c r="I717" s="874"/>
      <c r="J717" s="874"/>
      <c r="K717" s="874"/>
      <c r="L717" s="874"/>
      <c r="M717" s="874"/>
      <c r="N717" s="874"/>
      <c r="O717" s="874"/>
      <c r="P717" s="874"/>
      <c r="Q717" s="874"/>
      <c r="R717" s="874"/>
      <c r="S717" s="874"/>
      <c r="T717" s="874"/>
      <c r="U717" s="874"/>
      <c r="V717" s="874"/>
      <c r="W717" s="874"/>
      <c r="X717" s="874"/>
      <c r="Y717" s="874"/>
      <c r="Z717" s="874"/>
    </row>
    <row r="718" spans="1:26" ht="18" customHeight="1" x14ac:dyDescent="0.35">
      <c r="A718" s="874"/>
      <c r="B718" s="874"/>
      <c r="C718" s="874"/>
      <c r="D718" s="874"/>
      <c r="E718" s="874"/>
      <c r="F718" s="874"/>
      <c r="G718" s="874"/>
      <c r="H718" s="874"/>
      <c r="I718" s="874"/>
      <c r="J718" s="874"/>
      <c r="K718" s="874"/>
      <c r="L718" s="874"/>
      <c r="M718" s="874"/>
      <c r="N718" s="874"/>
      <c r="O718" s="874"/>
      <c r="P718" s="874"/>
      <c r="Q718" s="874"/>
      <c r="R718" s="874"/>
      <c r="S718" s="874"/>
      <c r="T718" s="874"/>
      <c r="U718" s="874"/>
      <c r="V718" s="874"/>
      <c r="W718" s="874"/>
      <c r="X718" s="874"/>
      <c r="Y718" s="874"/>
      <c r="Z718" s="874"/>
    </row>
    <row r="719" spans="1:26" ht="18" customHeight="1" x14ac:dyDescent="0.35">
      <c r="A719" s="874"/>
      <c r="B719" s="874"/>
      <c r="C719" s="874"/>
      <c r="D719" s="874"/>
      <c r="E719" s="874"/>
      <c r="F719" s="874"/>
      <c r="G719" s="874"/>
      <c r="H719" s="874"/>
      <c r="I719" s="874"/>
      <c r="J719" s="874"/>
      <c r="K719" s="874"/>
      <c r="L719" s="874"/>
      <c r="M719" s="874"/>
      <c r="N719" s="874"/>
      <c r="O719" s="874"/>
      <c r="P719" s="874"/>
      <c r="Q719" s="874"/>
      <c r="R719" s="874"/>
      <c r="S719" s="874"/>
      <c r="T719" s="874"/>
      <c r="U719" s="874"/>
      <c r="V719" s="874"/>
      <c r="W719" s="874"/>
      <c r="X719" s="874"/>
      <c r="Y719" s="874"/>
      <c r="Z719" s="874"/>
    </row>
    <row r="720" spans="1:26" ht="18" customHeight="1" x14ac:dyDescent="0.35">
      <c r="A720" s="874"/>
      <c r="B720" s="874"/>
      <c r="C720" s="874"/>
      <c r="D720" s="874"/>
      <c r="E720" s="874"/>
      <c r="F720" s="874"/>
      <c r="G720" s="874"/>
      <c r="H720" s="874"/>
      <c r="I720" s="874"/>
      <c r="J720" s="874"/>
      <c r="K720" s="874"/>
      <c r="L720" s="874"/>
      <c r="M720" s="874"/>
      <c r="N720" s="874"/>
      <c r="O720" s="874"/>
      <c r="P720" s="874"/>
      <c r="Q720" s="874"/>
      <c r="R720" s="874"/>
      <c r="S720" s="874"/>
      <c r="T720" s="874"/>
      <c r="U720" s="874"/>
      <c r="V720" s="874"/>
      <c r="W720" s="874"/>
      <c r="X720" s="874"/>
      <c r="Y720" s="874"/>
      <c r="Z720" s="874"/>
    </row>
    <row r="721" spans="1:26" ht="18" customHeight="1" x14ac:dyDescent="0.35">
      <c r="A721" s="874"/>
      <c r="B721" s="874"/>
      <c r="C721" s="874"/>
      <c r="D721" s="874"/>
      <c r="E721" s="874"/>
      <c r="F721" s="874"/>
      <c r="G721" s="874"/>
      <c r="H721" s="874"/>
      <c r="I721" s="874"/>
      <c r="J721" s="874"/>
      <c r="K721" s="874"/>
      <c r="L721" s="874"/>
      <c r="M721" s="874"/>
      <c r="N721" s="874"/>
      <c r="O721" s="874"/>
      <c r="P721" s="874"/>
      <c r="Q721" s="874"/>
      <c r="R721" s="874"/>
      <c r="S721" s="874"/>
      <c r="T721" s="874"/>
      <c r="U721" s="874"/>
      <c r="V721" s="874"/>
      <c r="W721" s="874"/>
      <c r="X721" s="874"/>
      <c r="Y721" s="874"/>
      <c r="Z721" s="874"/>
    </row>
    <row r="722" spans="1:26" ht="18" customHeight="1" x14ac:dyDescent="0.35">
      <c r="A722" s="874"/>
      <c r="B722" s="874"/>
      <c r="C722" s="874"/>
      <c r="D722" s="874"/>
      <c r="E722" s="874"/>
      <c r="F722" s="874"/>
      <c r="G722" s="874"/>
      <c r="H722" s="874"/>
      <c r="I722" s="874"/>
      <c r="J722" s="874"/>
      <c r="K722" s="874"/>
      <c r="L722" s="874"/>
      <c r="M722" s="874"/>
      <c r="N722" s="874"/>
      <c r="O722" s="874"/>
      <c r="P722" s="874"/>
      <c r="Q722" s="874"/>
      <c r="R722" s="874"/>
      <c r="S722" s="874"/>
      <c r="T722" s="874"/>
      <c r="U722" s="874"/>
      <c r="V722" s="874"/>
      <c r="W722" s="874"/>
      <c r="X722" s="874"/>
      <c r="Y722" s="874"/>
      <c r="Z722" s="874"/>
    </row>
    <row r="723" spans="1:26" ht="18" customHeight="1" x14ac:dyDescent="0.35">
      <c r="A723" s="874"/>
      <c r="B723" s="874"/>
      <c r="C723" s="874"/>
      <c r="D723" s="874"/>
      <c r="E723" s="874"/>
      <c r="F723" s="874"/>
      <c r="G723" s="874"/>
      <c r="H723" s="874"/>
      <c r="I723" s="874"/>
      <c r="J723" s="874"/>
      <c r="K723" s="874"/>
      <c r="L723" s="874"/>
      <c r="M723" s="874"/>
      <c r="N723" s="874"/>
      <c r="O723" s="874"/>
      <c r="P723" s="874"/>
      <c r="Q723" s="874"/>
      <c r="R723" s="874"/>
      <c r="S723" s="874"/>
      <c r="T723" s="874"/>
      <c r="U723" s="874"/>
      <c r="V723" s="874"/>
      <c r="W723" s="874"/>
      <c r="X723" s="874"/>
      <c r="Y723" s="874"/>
      <c r="Z723" s="874"/>
    </row>
    <row r="724" spans="1:26" ht="18" customHeight="1" x14ac:dyDescent="0.35">
      <c r="A724" s="874"/>
      <c r="B724" s="874"/>
      <c r="C724" s="874"/>
      <c r="D724" s="874"/>
      <c r="E724" s="874"/>
      <c r="F724" s="874"/>
      <c r="G724" s="874"/>
      <c r="H724" s="874"/>
      <c r="I724" s="874"/>
      <c r="J724" s="874"/>
      <c r="K724" s="874"/>
      <c r="L724" s="874"/>
      <c r="M724" s="874"/>
      <c r="N724" s="874"/>
      <c r="O724" s="874"/>
      <c r="P724" s="874"/>
      <c r="Q724" s="874"/>
      <c r="R724" s="874"/>
      <c r="S724" s="874"/>
      <c r="T724" s="874"/>
      <c r="U724" s="874"/>
      <c r="V724" s="874"/>
      <c r="W724" s="874"/>
      <c r="X724" s="874"/>
      <c r="Y724" s="874"/>
      <c r="Z724" s="874"/>
    </row>
    <row r="725" spans="1:26" ht="18" customHeight="1" x14ac:dyDescent="0.35">
      <c r="A725" s="874"/>
      <c r="B725" s="874"/>
      <c r="C725" s="874"/>
      <c r="D725" s="874"/>
      <c r="E725" s="874"/>
      <c r="F725" s="874"/>
      <c r="G725" s="874"/>
      <c r="H725" s="874"/>
      <c r="I725" s="874"/>
      <c r="J725" s="874"/>
      <c r="K725" s="874"/>
      <c r="L725" s="874"/>
      <c r="M725" s="874"/>
      <c r="N725" s="874"/>
      <c r="O725" s="874"/>
      <c r="P725" s="874"/>
      <c r="Q725" s="874"/>
      <c r="R725" s="874"/>
      <c r="S725" s="874"/>
      <c r="T725" s="874"/>
      <c r="U725" s="874"/>
      <c r="V725" s="874"/>
      <c r="W725" s="874"/>
      <c r="X725" s="874"/>
      <c r="Y725" s="874"/>
      <c r="Z725" s="874"/>
    </row>
    <row r="726" spans="1:26" ht="18" customHeight="1" x14ac:dyDescent="0.35">
      <c r="A726" s="874"/>
      <c r="B726" s="874"/>
      <c r="C726" s="874"/>
      <c r="D726" s="874"/>
      <c r="E726" s="874"/>
      <c r="F726" s="874"/>
      <c r="G726" s="874"/>
      <c r="H726" s="874"/>
      <c r="I726" s="874"/>
      <c r="J726" s="874"/>
      <c r="K726" s="874"/>
      <c r="L726" s="874"/>
      <c r="M726" s="874"/>
      <c r="N726" s="874"/>
      <c r="O726" s="874"/>
      <c r="P726" s="874"/>
      <c r="Q726" s="874"/>
      <c r="R726" s="874"/>
      <c r="S726" s="874"/>
      <c r="T726" s="874"/>
      <c r="U726" s="874"/>
      <c r="V726" s="874"/>
      <c r="W726" s="874"/>
      <c r="X726" s="874"/>
      <c r="Y726" s="874"/>
      <c r="Z726" s="874"/>
    </row>
    <row r="727" spans="1:26" ht="18" customHeight="1" x14ac:dyDescent="0.35">
      <c r="A727" s="874"/>
      <c r="B727" s="874"/>
      <c r="C727" s="874"/>
      <c r="D727" s="874"/>
      <c r="E727" s="874"/>
      <c r="F727" s="874"/>
      <c r="G727" s="874"/>
      <c r="H727" s="874"/>
      <c r="I727" s="874"/>
      <c r="J727" s="874"/>
      <c r="K727" s="874"/>
      <c r="L727" s="874"/>
      <c r="M727" s="874"/>
      <c r="N727" s="874"/>
      <c r="O727" s="874"/>
      <c r="P727" s="874"/>
      <c r="Q727" s="874"/>
      <c r="R727" s="874"/>
      <c r="S727" s="874"/>
      <c r="T727" s="874"/>
      <c r="U727" s="874"/>
      <c r="V727" s="874"/>
      <c r="W727" s="874"/>
      <c r="X727" s="874"/>
      <c r="Y727" s="874"/>
      <c r="Z727" s="874"/>
    </row>
    <row r="728" spans="1:26" ht="18" customHeight="1" x14ac:dyDescent="0.35">
      <c r="A728" s="874"/>
      <c r="B728" s="874"/>
      <c r="C728" s="874"/>
      <c r="D728" s="874"/>
      <c r="E728" s="874"/>
      <c r="F728" s="874"/>
      <c r="G728" s="874"/>
      <c r="H728" s="874"/>
      <c r="I728" s="874"/>
      <c r="J728" s="874"/>
      <c r="K728" s="874"/>
      <c r="L728" s="874"/>
      <c r="M728" s="874"/>
      <c r="N728" s="874"/>
      <c r="O728" s="874"/>
      <c r="P728" s="874"/>
      <c r="Q728" s="874"/>
      <c r="R728" s="874"/>
      <c r="S728" s="874"/>
      <c r="T728" s="874"/>
      <c r="U728" s="874"/>
      <c r="V728" s="874"/>
      <c r="W728" s="874"/>
      <c r="X728" s="874"/>
      <c r="Y728" s="874"/>
      <c r="Z728" s="874"/>
    </row>
    <row r="729" spans="1:26" ht="18" customHeight="1" x14ac:dyDescent="0.35">
      <c r="A729" s="874"/>
      <c r="B729" s="874"/>
      <c r="C729" s="874"/>
      <c r="D729" s="874"/>
      <c r="E729" s="874"/>
      <c r="F729" s="874"/>
      <c r="G729" s="874"/>
      <c r="H729" s="874"/>
      <c r="I729" s="874"/>
      <c r="J729" s="874"/>
      <c r="K729" s="874"/>
      <c r="L729" s="874"/>
      <c r="M729" s="874"/>
      <c r="N729" s="874"/>
      <c r="O729" s="874"/>
      <c r="P729" s="874"/>
      <c r="Q729" s="874"/>
      <c r="R729" s="874"/>
      <c r="S729" s="874"/>
      <c r="T729" s="874"/>
      <c r="U729" s="874"/>
      <c r="V729" s="874"/>
      <c r="W729" s="874"/>
      <c r="X729" s="874"/>
      <c r="Y729" s="874"/>
      <c r="Z729" s="874"/>
    </row>
    <row r="730" spans="1:26" ht="18" customHeight="1" x14ac:dyDescent="0.35">
      <c r="A730" s="874"/>
      <c r="B730" s="874"/>
      <c r="C730" s="874"/>
      <c r="D730" s="874"/>
      <c r="E730" s="874"/>
      <c r="F730" s="874"/>
      <c r="G730" s="874"/>
      <c r="H730" s="874"/>
      <c r="I730" s="874"/>
      <c r="J730" s="874"/>
      <c r="K730" s="874"/>
      <c r="L730" s="874"/>
      <c r="M730" s="874"/>
      <c r="N730" s="874"/>
      <c r="O730" s="874"/>
      <c r="P730" s="874"/>
      <c r="Q730" s="874"/>
      <c r="R730" s="874"/>
      <c r="S730" s="874"/>
      <c r="T730" s="874"/>
      <c r="U730" s="874"/>
      <c r="V730" s="874"/>
      <c r="W730" s="874"/>
      <c r="X730" s="874"/>
      <c r="Y730" s="874"/>
      <c r="Z730" s="874"/>
    </row>
    <row r="731" spans="1:26" ht="18" customHeight="1" x14ac:dyDescent="0.35">
      <c r="A731" s="874"/>
      <c r="B731" s="874"/>
      <c r="C731" s="874"/>
      <c r="D731" s="874"/>
      <c r="E731" s="874"/>
      <c r="F731" s="874"/>
      <c r="G731" s="874"/>
      <c r="H731" s="874"/>
      <c r="I731" s="874"/>
      <c r="J731" s="874"/>
      <c r="K731" s="874"/>
      <c r="L731" s="874"/>
      <c r="M731" s="874"/>
      <c r="N731" s="874"/>
      <c r="O731" s="874"/>
      <c r="P731" s="874"/>
      <c r="Q731" s="874"/>
      <c r="R731" s="874"/>
      <c r="S731" s="874"/>
      <c r="T731" s="874"/>
      <c r="U731" s="874"/>
      <c r="V731" s="874"/>
      <c r="W731" s="874"/>
      <c r="X731" s="874"/>
      <c r="Y731" s="874"/>
      <c r="Z731" s="874"/>
    </row>
    <row r="732" spans="1:26" ht="18" customHeight="1" x14ac:dyDescent="0.35">
      <c r="A732" s="874"/>
      <c r="B732" s="874"/>
      <c r="C732" s="874"/>
      <c r="D732" s="874"/>
      <c r="E732" s="874"/>
      <c r="F732" s="874"/>
      <c r="G732" s="874"/>
      <c r="H732" s="874"/>
      <c r="I732" s="874"/>
      <c r="J732" s="874"/>
      <c r="K732" s="874"/>
      <c r="L732" s="874"/>
      <c r="M732" s="874"/>
      <c r="N732" s="874"/>
      <c r="O732" s="874"/>
      <c r="P732" s="874"/>
      <c r="Q732" s="874"/>
      <c r="R732" s="874"/>
      <c r="S732" s="874"/>
      <c r="T732" s="874"/>
      <c r="U732" s="874"/>
      <c r="V732" s="874"/>
      <c r="W732" s="874"/>
      <c r="X732" s="874"/>
      <c r="Y732" s="874"/>
      <c r="Z732" s="874"/>
    </row>
    <row r="733" spans="1:26" ht="18" customHeight="1" x14ac:dyDescent="0.35">
      <c r="A733" s="874"/>
      <c r="B733" s="874"/>
      <c r="C733" s="874"/>
      <c r="D733" s="874"/>
      <c r="E733" s="874"/>
      <c r="F733" s="874"/>
      <c r="G733" s="874"/>
      <c r="H733" s="874"/>
      <c r="I733" s="874"/>
      <c r="J733" s="874"/>
      <c r="K733" s="874"/>
      <c r="L733" s="874"/>
      <c r="M733" s="874"/>
      <c r="N733" s="874"/>
      <c r="O733" s="874"/>
      <c r="P733" s="874"/>
      <c r="Q733" s="874"/>
      <c r="R733" s="874"/>
      <c r="S733" s="874"/>
      <c r="T733" s="874"/>
      <c r="U733" s="874"/>
      <c r="V733" s="874"/>
      <c r="W733" s="874"/>
      <c r="X733" s="874"/>
      <c r="Y733" s="874"/>
      <c r="Z733" s="874"/>
    </row>
    <row r="734" spans="1:26" ht="18" customHeight="1" x14ac:dyDescent="0.35">
      <c r="A734" s="874"/>
      <c r="B734" s="874"/>
      <c r="C734" s="874"/>
      <c r="D734" s="874"/>
      <c r="E734" s="874"/>
      <c r="F734" s="874"/>
      <c r="G734" s="874"/>
      <c r="H734" s="874"/>
      <c r="I734" s="874"/>
      <c r="J734" s="874"/>
      <c r="K734" s="874"/>
      <c r="L734" s="874"/>
      <c r="M734" s="874"/>
      <c r="N734" s="874"/>
      <c r="O734" s="874"/>
      <c r="P734" s="874"/>
      <c r="Q734" s="874"/>
      <c r="R734" s="874"/>
      <c r="S734" s="874"/>
      <c r="T734" s="874"/>
      <c r="U734" s="874"/>
      <c r="V734" s="874"/>
      <c r="W734" s="874"/>
      <c r="X734" s="874"/>
      <c r="Y734" s="874"/>
      <c r="Z734" s="874"/>
    </row>
    <row r="735" spans="1:26" ht="18" customHeight="1" x14ac:dyDescent="0.35">
      <c r="A735" s="874"/>
      <c r="B735" s="874"/>
      <c r="C735" s="874"/>
      <c r="D735" s="874"/>
      <c r="E735" s="874"/>
      <c r="F735" s="874"/>
      <c r="G735" s="874"/>
      <c r="H735" s="874"/>
      <c r="I735" s="874"/>
      <c r="J735" s="874"/>
      <c r="K735" s="874"/>
      <c r="L735" s="874"/>
      <c r="M735" s="874"/>
      <c r="N735" s="874"/>
      <c r="O735" s="874"/>
      <c r="P735" s="874"/>
      <c r="Q735" s="874"/>
      <c r="R735" s="874"/>
      <c r="S735" s="874"/>
      <c r="T735" s="874"/>
      <c r="U735" s="874"/>
      <c r="V735" s="874"/>
      <c r="W735" s="874"/>
      <c r="X735" s="874"/>
      <c r="Y735" s="874"/>
      <c r="Z735" s="874"/>
    </row>
    <row r="736" spans="1:26" ht="18" customHeight="1" x14ac:dyDescent="0.35">
      <c r="A736" s="874"/>
      <c r="B736" s="874"/>
      <c r="C736" s="874"/>
      <c r="D736" s="874"/>
      <c r="E736" s="874"/>
      <c r="F736" s="874"/>
      <c r="G736" s="874"/>
      <c r="H736" s="874"/>
      <c r="I736" s="874"/>
      <c r="J736" s="874"/>
      <c r="K736" s="874"/>
      <c r="L736" s="874"/>
      <c r="M736" s="874"/>
      <c r="N736" s="874"/>
      <c r="O736" s="874"/>
      <c r="P736" s="874"/>
      <c r="Q736" s="874"/>
      <c r="R736" s="874"/>
      <c r="S736" s="874"/>
      <c r="T736" s="874"/>
      <c r="U736" s="874"/>
      <c r="V736" s="874"/>
      <c r="W736" s="874"/>
      <c r="X736" s="874"/>
      <c r="Y736" s="874"/>
      <c r="Z736" s="874"/>
    </row>
    <row r="737" spans="1:26" ht="18" customHeight="1" x14ac:dyDescent="0.35">
      <c r="A737" s="874"/>
      <c r="B737" s="874"/>
      <c r="C737" s="874"/>
      <c r="D737" s="874"/>
      <c r="E737" s="874"/>
      <c r="F737" s="874"/>
      <c r="G737" s="874"/>
      <c r="H737" s="874"/>
      <c r="I737" s="874"/>
      <c r="J737" s="874"/>
      <c r="K737" s="874"/>
      <c r="L737" s="874"/>
      <c r="M737" s="874"/>
      <c r="N737" s="874"/>
      <c r="O737" s="874"/>
      <c r="P737" s="874"/>
      <c r="Q737" s="874"/>
      <c r="R737" s="874"/>
      <c r="S737" s="874"/>
      <c r="T737" s="874"/>
      <c r="U737" s="874"/>
      <c r="V737" s="874"/>
      <c r="W737" s="874"/>
      <c r="X737" s="874"/>
      <c r="Y737" s="874"/>
      <c r="Z737" s="874"/>
    </row>
    <row r="738" spans="1:26" ht="18" customHeight="1" x14ac:dyDescent="0.35">
      <c r="A738" s="874"/>
      <c r="B738" s="874"/>
      <c r="C738" s="874"/>
      <c r="D738" s="874"/>
      <c r="E738" s="874"/>
      <c r="F738" s="874"/>
      <c r="G738" s="874"/>
      <c r="H738" s="874"/>
      <c r="I738" s="874"/>
      <c r="J738" s="874"/>
      <c r="K738" s="874"/>
      <c r="L738" s="874"/>
      <c r="M738" s="874"/>
      <c r="N738" s="874"/>
      <c r="O738" s="874"/>
      <c r="P738" s="874"/>
      <c r="Q738" s="874"/>
      <c r="R738" s="874"/>
      <c r="S738" s="874"/>
      <c r="T738" s="874"/>
      <c r="U738" s="874"/>
      <c r="V738" s="874"/>
      <c r="W738" s="874"/>
      <c r="X738" s="874"/>
      <c r="Y738" s="874"/>
      <c r="Z738" s="874"/>
    </row>
    <row r="739" spans="1:26" ht="18" customHeight="1" x14ac:dyDescent="0.35">
      <c r="A739" s="874"/>
      <c r="B739" s="874"/>
      <c r="C739" s="874"/>
      <c r="D739" s="874"/>
      <c r="E739" s="874"/>
      <c r="F739" s="874"/>
      <c r="G739" s="874"/>
      <c r="H739" s="874"/>
      <c r="I739" s="874"/>
      <c r="J739" s="874"/>
      <c r="K739" s="874"/>
      <c r="L739" s="874"/>
      <c r="M739" s="874"/>
      <c r="N739" s="874"/>
      <c r="O739" s="874"/>
      <c r="P739" s="874"/>
      <c r="Q739" s="874"/>
      <c r="R739" s="874"/>
      <c r="S739" s="874"/>
      <c r="T739" s="874"/>
      <c r="U739" s="874"/>
      <c r="V739" s="874"/>
      <c r="W739" s="874"/>
      <c r="X739" s="874"/>
      <c r="Y739" s="874"/>
      <c r="Z739" s="874"/>
    </row>
    <row r="740" spans="1:26" ht="18" customHeight="1" x14ac:dyDescent="0.35">
      <c r="A740" s="874"/>
      <c r="B740" s="874"/>
      <c r="C740" s="874"/>
      <c r="D740" s="874"/>
      <c r="E740" s="874"/>
      <c r="F740" s="874"/>
      <c r="G740" s="874"/>
      <c r="H740" s="874"/>
      <c r="I740" s="874"/>
      <c r="J740" s="874"/>
      <c r="K740" s="874"/>
      <c r="L740" s="874"/>
      <c r="M740" s="874"/>
      <c r="N740" s="874"/>
      <c r="O740" s="874"/>
      <c r="P740" s="874"/>
      <c r="Q740" s="874"/>
      <c r="R740" s="874"/>
      <c r="S740" s="874"/>
      <c r="T740" s="874"/>
      <c r="U740" s="874"/>
      <c r="V740" s="874"/>
      <c r="W740" s="874"/>
      <c r="X740" s="874"/>
      <c r="Y740" s="874"/>
      <c r="Z740" s="874"/>
    </row>
    <row r="741" spans="1:26" ht="18" customHeight="1" x14ac:dyDescent="0.35">
      <c r="A741" s="874"/>
      <c r="B741" s="874"/>
      <c r="C741" s="874"/>
      <c r="D741" s="874"/>
      <c r="E741" s="874"/>
      <c r="F741" s="874"/>
      <c r="G741" s="874"/>
      <c r="H741" s="874"/>
      <c r="I741" s="874"/>
      <c r="J741" s="874"/>
      <c r="K741" s="874"/>
      <c r="L741" s="874"/>
      <c r="M741" s="874"/>
      <c r="N741" s="874"/>
      <c r="O741" s="874"/>
      <c r="P741" s="874"/>
      <c r="Q741" s="874"/>
      <c r="R741" s="874"/>
      <c r="S741" s="874"/>
      <c r="T741" s="874"/>
      <c r="U741" s="874"/>
      <c r="V741" s="874"/>
      <c r="W741" s="874"/>
      <c r="X741" s="874"/>
      <c r="Y741" s="874"/>
      <c r="Z741" s="874"/>
    </row>
    <row r="742" spans="1:26" ht="18" customHeight="1" x14ac:dyDescent="0.35">
      <c r="A742" s="874"/>
      <c r="B742" s="874"/>
      <c r="C742" s="874"/>
      <c r="D742" s="874"/>
      <c r="E742" s="874"/>
      <c r="F742" s="874"/>
      <c r="G742" s="874"/>
      <c r="H742" s="874"/>
      <c r="I742" s="874"/>
      <c r="J742" s="874"/>
      <c r="K742" s="874"/>
      <c r="L742" s="874"/>
      <c r="M742" s="874"/>
      <c r="N742" s="874"/>
      <c r="O742" s="874"/>
      <c r="P742" s="874"/>
      <c r="Q742" s="874"/>
      <c r="R742" s="874"/>
      <c r="S742" s="874"/>
      <c r="T742" s="874"/>
      <c r="U742" s="874"/>
      <c r="V742" s="874"/>
      <c r="W742" s="874"/>
      <c r="X742" s="874"/>
      <c r="Y742" s="874"/>
      <c r="Z742" s="874"/>
    </row>
    <row r="743" spans="1:26" ht="18" customHeight="1" x14ac:dyDescent="0.35">
      <c r="A743" s="874"/>
      <c r="B743" s="874"/>
      <c r="C743" s="874"/>
      <c r="D743" s="874"/>
      <c r="E743" s="874"/>
      <c r="F743" s="874"/>
      <c r="G743" s="874"/>
      <c r="H743" s="874"/>
      <c r="I743" s="874"/>
      <c r="J743" s="874"/>
      <c r="K743" s="874"/>
      <c r="L743" s="874"/>
      <c r="M743" s="874"/>
      <c r="N743" s="874"/>
      <c r="O743" s="874"/>
      <c r="P743" s="874"/>
      <c r="Q743" s="874"/>
      <c r="R743" s="874"/>
      <c r="S743" s="874"/>
      <c r="T743" s="874"/>
      <c r="U743" s="874"/>
      <c r="V743" s="874"/>
      <c r="W743" s="874"/>
      <c r="X743" s="874"/>
      <c r="Y743" s="874"/>
      <c r="Z743" s="874"/>
    </row>
    <row r="744" spans="1:26" ht="18" customHeight="1" x14ac:dyDescent="0.35">
      <c r="A744" s="874"/>
      <c r="B744" s="874"/>
      <c r="C744" s="874"/>
      <c r="D744" s="874"/>
      <c r="E744" s="874"/>
      <c r="F744" s="874"/>
      <c r="G744" s="874"/>
      <c r="H744" s="874"/>
      <c r="I744" s="874"/>
      <c r="J744" s="874"/>
      <c r="K744" s="874"/>
      <c r="L744" s="874"/>
      <c r="M744" s="874"/>
      <c r="N744" s="874"/>
      <c r="O744" s="874"/>
      <c r="P744" s="874"/>
      <c r="Q744" s="874"/>
      <c r="R744" s="874"/>
      <c r="S744" s="874"/>
      <c r="T744" s="874"/>
      <c r="U744" s="874"/>
      <c r="V744" s="874"/>
      <c r="W744" s="874"/>
      <c r="X744" s="874"/>
      <c r="Y744" s="874"/>
      <c r="Z744" s="874"/>
    </row>
    <row r="745" spans="1:26" ht="18" customHeight="1" x14ac:dyDescent="0.35">
      <c r="A745" s="874"/>
      <c r="B745" s="874"/>
      <c r="C745" s="874"/>
      <c r="D745" s="874"/>
      <c r="E745" s="874"/>
      <c r="F745" s="874"/>
      <c r="G745" s="874"/>
      <c r="H745" s="874"/>
      <c r="I745" s="874"/>
      <c r="J745" s="874"/>
      <c r="K745" s="874"/>
      <c r="L745" s="874"/>
      <c r="M745" s="874"/>
      <c r="N745" s="874"/>
      <c r="O745" s="874"/>
      <c r="P745" s="874"/>
      <c r="Q745" s="874"/>
      <c r="R745" s="874"/>
      <c r="S745" s="874"/>
      <c r="T745" s="874"/>
      <c r="U745" s="874"/>
      <c r="V745" s="874"/>
      <c r="W745" s="874"/>
      <c r="X745" s="874"/>
      <c r="Y745" s="874"/>
      <c r="Z745" s="874"/>
    </row>
    <row r="746" spans="1:26" ht="18" customHeight="1" x14ac:dyDescent="0.35">
      <c r="A746" s="874"/>
      <c r="B746" s="874"/>
      <c r="C746" s="874"/>
      <c r="D746" s="874"/>
      <c r="E746" s="874"/>
      <c r="F746" s="874"/>
      <c r="G746" s="874"/>
      <c r="H746" s="874"/>
      <c r="I746" s="874"/>
      <c r="J746" s="874"/>
      <c r="K746" s="874"/>
      <c r="L746" s="874"/>
      <c r="M746" s="874"/>
      <c r="N746" s="874"/>
      <c r="O746" s="874"/>
      <c r="P746" s="874"/>
      <c r="Q746" s="874"/>
      <c r="R746" s="874"/>
      <c r="S746" s="874"/>
      <c r="T746" s="874"/>
      <c r="U746" s="874"/>
      <c r="V746" s="874"/>
      <c r="W746" s="874"/>
      <c r="X746" s="874"/>
      <c r="Y746" s="874"/>
      <c r="Z746" s="874"/>
    </row>
    <row r="747" spans="1:26" ht="18" customHeight="1" x14ac:dyDescent="0.35">
      <c r="A747" s="874"/>
      <c r="B747" s="874"/>
      <c r="C747" s="874"/>
      <c r="D747" s="874"/>
      <c r="E747" s="874"/>
      <c r="F747" s="874"/>
      <c r="G747" s="874"/>
      <c r="H747" s="874"/>
      <c r="I747" s="874"/>
      <c r="J747" s="874"/>
      <c r="K747" s="874"/>
      <c r="L747" s="874"/>
      <c r="M747" s="874"/>
      <c r="N747" s="874"/>
      <c r="O747" s="874"/>
      <c r="P747" s="874"/>
      <c r="Q747" s="874"/>
      <c r="R747" s="874"/>
      <c r="S747" s="874"/>
      <c r="T747" s="874"/>
      <c r="U747" s="874"/>
      <c r="V747" s="874"/>
      <c r="W747" s="874"/>
      <c r="X747" s="874"/>
      <c r="Y747" s="874"/>
      <c r="Z747" s="874"/>
    </row>
    <row r="748" spans="1:26" ht="18" customHeight="1" x14ac:dyDescent="0.35">
      <c r="A748" s="874"/>
      <c r="B748" s="874"/>
      <c r="C748" s="874"/>
      <c r="D748" s="874"/>
      <c r="E748" s="874"/>
      <c r="F748" s="874"/>
      <c r="G748" s="874"/>
      <c r="H748" s="874"/>
      <c r="I748" s="874"/>
      <c r="J748" s="874"/>
      <c r="K748" s="874"/>
      <c r="L748" s="874"/>
      <c r="M748" s="874"/>
      <c r="N748" s="874"/>
      <c r="O748" s="874"/>
      <c r="P748" s="874"/>
      <c r="Q748" s="874"/>
      <c r="R748" s="874"/>
      <c r="S748" s="874"/>
      <c r="T748" s="874"/>
      <c r="U748" s="874"/>
      <c r="V748" s="874"/>
      <c r="W748" s="874"/>
      <c r="X748" s="874"/>
      <c r="Y748" s="874"/>
      <c r="Z748" s="874"/>
    </row>
    <row r="749" spans="1:26" ht="18" customHeight="1" x14ac:dyDescent="0.35">
      <c r="A749" s="874"/>
      <c r="B749" s="874"/>
      <c r="C749" s="874"/>
      <c r="D749" s="874"/>
      <c r="E749" s="874"/>
      <c r="F749" s="874"/>
      <c r="G749" s="874"/>
      <c r="H749" s="874"/>
      <c r="I749" s="874"/>
      <c r="J749" s="874"/>
      <c r="K749" s="874"/>
      <c r="L749" s="874"/>
      <c r="M749" s="874"/>
      <c r="N749" s="874"/>
      <c r="O749" s="874"/>
      <c r="P749" s="874"/>
      <c r="Q749" s="874"/>
      <c r="R749" s="874"/>
      <c r="S749" s="874"/>
      <c r="T749" s="874"/>
      <c r="U749" s="874"/>
      <c r="V749" s="874"/>
      <c r="W749" s="874"/>
      <c r="X749" s="874"/>
      <c r="Y749" s="874"/>
      <c r="Z749" s="874"/>
    </row>
    <row r="750" spans="1:26" ht="18" customHeight="1" x14ac:dyDescent="0.35">
      <c r="A750" s="874"/>
      <c r="B750" s="874"/>
      <c r="C750" s="874"/>
      <c r="D750" s="874"/>
      <c r="E750" s="874"/>
      <c r="F750" s="874"/>
      <c r="G750" s="874"/>
      <c r="H750" s="874"/>
      <c r="I750" s="874"/>
      <c r="J750" s="874"/>
      <c r="K750" s="874"/>
      <c r="L750" s="874"/>
      <c r="M750" s="874"/>
      <c r="N750" s="874"/>
      <c r="O750" s="874"/>
      <c r="P750" s="874"/>
      <c r="Q750" s="874"/>
      <c r="R750" s="874"/>
      <c r="S750" s="874"/>
      <c r="T750" s="874"/>
      <c r="U750" s="874"/>
      <c r="V750" s="874"/>
      <c r="W750" s="874"/>
      <c r="X750" s="874"/>
      <c r="Y750" s="874"/>
      <c r="Z750" s="874"/>
    </row>
    <row r="751" spans="1:26" ht="18" customHeight="1" x14ac:dyDescent="0.35">
      <c r="A751" s="874"/>
      <c r="B751" s="874"/>
      <c r="C751" s="874"/>
      <c r="D751" s="874"/>
      <c r="E751" s="874"/>
      <c r="F751" s="874"/>
      <c r="G751" s="874"/>
      <c r="H751" s="874"/>
      <c r="I751" s="874"/>
      <c r="J751" s="874"/>
      <c r="K751" s="874"/>
      <c r="L751" s="874"/>
      <c r="M751" s="874"/>
      <c r="N751" s="874"/>
      <c r="O751" s="874"/>
      <c r="P751" s="874"/>
      <c r="Q751" s="874"/>
      <c r="R751" s="874"/>
      <c r="S751" s="874"/>
      <c r="T751" s="874"/>
      <c r="U751" s="874"/>
      <c r="V751" s="874"/>
      <c r="W751" s="874"/>
      <c r="X751" s="874"/>
      <c r="Y751" s="874"/>
      <c r="Z751" s="874"/>
    </row>
    <row r="752" spans="1:26" ht="18" customHeight="1" x14ac:dyDescent="0.35">
      <c r="A752" s="874"/>
      <c r="B752" s="874"/>
      <c r="C752" s="874"/>
      <c r="D752" s="874"/>
      <c r="E752" s="874"/>
      <c r="F752" s="874"/>
      <c r="G752" s="874"/>
      <c r="H752" s="874"/>
      <c r="I752" s="874"/>
      <c r="J752" s="874"/>
      <c r="K752" s="874"/>
      <c r="L752" s="874"/>
      <c r="M752" s="874"/>
      <c r="N752" s="874"/>
      <c r="O752" s="874"/>
      <c r="P752" s="874"/>
      <c r="Q752" s="874"/>
      <c r="R752" s="874"/>
      <c r="S752" s="874"/>
      <c r="T752" s="874"/>
      <c r="U752" s="874"/>
      <c r="V752" s="874"/>
      <c r="W752" s="874"/>
      <c r="X752" s="874"/>
      <c r="Y752" s="874"/>
      <c r="Z752" s="874"/>
    </row>
    <row r="753" spans="1:26" ht="18" customHeight="1" x14ac:dyDescent="0.35">
      <c r="A753" s="874"/>
      <c r="B753" s="874"/>
      <c r="C753" s="874"/>
      <c r="D753" s="874"/>
      <c r="E753" s="874"/>
      <c r="F753" s="874"/>
      <c r="G753" s="874"/>
      <c r="H753" s="874"/>
      <c r="I753" s="874"/>
      <c r="J753" s="874"/>
      <c r="K753" s="874"/>
      <c r="L753" s="874"/>
      <c r="M753" s="874"/>
      <c r="N753" s="874"/>
      <c r="O753" s="874"/>
      <c r="P753" s="874"/>
      <c r="Q753" s="874"/>
      <c r="R753" s="874"/>
      <c r="S753" s="874"/>
      <c r="T753" s="874"/>
      <c r="U753" s="874"/>
      <c r="V753" s="874"/>
      <c r="W753" s="874"/>
      <c r="X753" s="874"/>
      <c r="Y753" s="874"/>
      <c r="Z753" s="874"/>
    </row>
    <row r="754" spans="1:26" ht="18" customHeight="1" x14ac:dyDescent="0.35">
      <c r="A754" s="874"/>
      <c r="B754" s="874"/>
      <c r="C754" s="874"/>
      <c r="D754" s="874"/>
      <c r="E754" s="874"/>
      <c r="F754" s="874"/>
      <c r="G754" s="874"/>
      <c r="H754" s="874"/>
      <c r="I754" s="874"/>
      <c r="J754" s="874"/>
      <c r="K754" s="874"/>
      <c r="L754" s="874"/>
      <c r="M754" s="874"/>
      <c r="N754" s="874"/>
      <c r="O754" s="874"/>
      <c r="P754" s="874"/>
      <c r="Q754" s="874"/>
      <c r="R754" s="874"/>
      <c r="S754" s="874"/>
      <c r="T754" s="874"/>
      <c r="U754" s="874"/>
      <c r="V754" s="874"/>
      <c r="W754" s="874"/>
      <c r="X754" s="874"/>
      <c r="Y754" s="874"/>
      <c r="Z754" s="874"/>
    </row>
    <row r="755" spans="1:26" ht="18" customHeight="1" x14ac:dyDescent="0.35">
      <c r="A755" s="874"/>
      <c r="B755" s="874"/>
      <c r="C755" s="874"/>
      <c r="D755" s="874"/>
      <c r="E755" s="874"/>
      <c r="F755" s="874"/>
      <c r="G755" s="874"/>
      <c r="H755" s="874"/>
      <c r="I755" s="874"/>
      <c r="J755" s="874"/>
      <c r="K755" s="874"/>
      <c r="L755" s="874"/>
      <c r="M755" s="874"/>
      <c r="N755" s="874"/>
      <c r="O755" s="874"/>
      <c r="P755" s="874"/>
      <c r="Q755" s="874"/>
      <c r="R755" s="874"/>
      <c r="S755" s="874"/>
      <c r="T755" s="874"/>
      <c r="U755" s="874"/>
      <c r="V755" s="874"/>
      <c r="W755" s="874"/>
      <c r="X755" s="874"/>
      <c r="Y755" s="874"/>
      <c r="Z755" s="874"/>
    </row>
    <row r="756" spans="1:26" ht="18" customHeight="1" x14ac:dyDescent="0.35">
      <c r="A756" s="874"/>
      <c r="B756" s="874"/>
      <c r="C756" s="874"/>
      <c r="D756" s="874"/>
      <c r="E756" s="874"/>
      <c r="F756" s="874"/>
      <c r="G756" s="874"/>
      <c r="H756" s="874"/>
      <c r="I756" s="874"/>
      <c r="J756" s="874"/>
      <c r="K756" s="874"/>
      <c r="L756" s="874"/>
      <c r="M756" s="874"/>
      <c r="N756" s="874"/>
      <c r="O756" s="874"/>
      <c r="P756" s="874"/>
      <c r="Q756" s="874"/>
      <c r="R756" s="874"/>
      <c r="S756" s="874"/>
      <c r="T756" s="874"/>
      <c r="U756" s="874"/>
      <c r="V756" s="874"/>
      <c r="W756" s="874"/>
      <c r="X756" s="874"/>
      <c r="Y756" s="874"/>
      <c r="Z756" s="874"/>
    </row>
    <row r="757" spans="1:26" ht="18" customHeight="1" x14ac:dyDescent="0.35">
      <c r="A757" s="874"/>
      <c r="B757" s="874"/>
      <c r="C757" s="874"/>
      <c r="D757" s="874"/>
      <c r="E757" s="874"/>
      <c r="F757" s="874"/>
      <c r="G757" s="874"/>
      <c r="H757" s="874"/>
      <c r="I757" s="874"/>
      <c r="J757" s="874"/>
      <c r="K757" s="874"/>
      <c r="L757" s="874"/>
      <c r="M757" s="874"/>
      <c r="N757" s="874"/>
      <c r="O757" s="874"/>
      <c r="P757" s="874"/>
      <c r="Q757" s="874"/>
      <c r="R757" s="874"/>
      <c r="S757" s="874"/>
      <c r="T757" s="874"/>
      <c r="U757" s="874"/>
      <c r="V757" s="874"/>
      <c r="W757" s="874"/>
      <c r="X757" s="874"/>
      <c r="Y757" s="874"/>
      <c r="Z757" s="874"/>
    </row>
    <row r="758" spans="1:26" ht="18" customHeight="1" x14ac:dyDescent="0.35">
      <c r="A758" s="874"/>
      <c r="B758" s="874"/>
      <c r="C758" s="874"/>
      <c r="D758" s="874"/>
      <c r="E758" s="874"/>
      <c r="F758" s="874"/>
      <c r="G758" s="874"/>
      <c r="H758" s="874"/>
      <c r="I758" s="874"/>
      <c r="J758" s="874"/>
      <c r="K758" s="874"/>
      <c r="L758" s="874"/>
      <c r="M758" s="874"/>
      <c r="N758" s="874"/>
      <c r="O758" s="874"/>
      <c r="P758" s="874"/>
      <c r="Q758" s="874"/>
      <c r="R758" s="874"/>
      <c r="S758" s="874"/>
      <c r="T758" s="874"/>
      <c r="U758" s="874"/>
      <c r="V758" s="874"/>
      <c r="W758" s="874"/>
      <c r="X758" s="874"/>
      <c r="Y758" s="874"/>
      <c r="Z758" s="874"/>
    </row>
    <row r="759" spans="1:26" ht="18" customHeight="1" x14ac:dyDescent="0.35">
      <c r="A759" s="874"/>
      <c r="B759" s="874"/>
      <c r="C759" s="874"/>
      <c r="D759" s="874"/>
      <c r="E759" s="874"/>
      <c r="F759" s="874"/>
      <c r="G759" s="874"/>
      <c r="H759" s="874"/>
      <c r="I759" s="874"/>
      <c r="J759" s="874"/>
      <c r="K759" s="874"/>
      <c r="L759" s="874"/>
      <c r="M759" s="874"/>
      <c r="N759" s="874"/>
      <c r="O759" s="874"/>
      <c r="P759" s="874"/>
      <c r="Q759" s="874"/>
      <c r="R759" s="874"/>
      <c r="S759" s="874"/>
      <c r="T759" s="874"/>
      <c r="U759" s="874"/>
      <c r="V759" s="874"/>
      <c r="W759" s="874"/>
      <c r="X759" s="874"/>
      <c r="Y759" s="874"/>
      <c r="Z759" s="874"/>
    </row>
    <row r="760" spans="1:26" ht="18" customHeight="1" x14ac:dyDescent="0.35">
      <c r="A760" s="874"/>
      <c r="B760" s="874"/>
      <c r="C760" s="874"/>
      <c r="D760" s="874"/>
      <c r="E760" s="874"/>
      <c r="F760" s="874"/>
      <c r="G760" s="874"/>
      <c r="H760" s="874"/>
      <c r="I760" s="874"/>
      <c r="J760" s="874"/>
      <c r="K760" s="874"/>
      <c r="L760" s="874"/>
      <c r="M760" s="874"/>
      <c r="N760" s="874"/>
      <c r="O760" s="874"/>
      <c r="P760" s="874"/>
      <c r="Q760" s="874"/>
      <c r="R760" s="874"/>
      <c r="S760" s="874"/>
      <c r="T760" s="874"/>
      <c r="U760" s="874"/>
      <c r="V760" s="874"/>
      <c r="W760" s="874"/>
      <c r="X760" s="874"/>
      <c r="Y760" s="874"/>
      <c r="Z760" s="874"/>
    </row>
    <row r="761" spans="1:26" ht="18" customHeight="1" x14ac:dyDescent="0.35">
      <c r="A761" s="874"/>
      <c r="B761" s="874"/>
      <c r="C761" s="874"/>
      <c r="D761" s="874"/>
      <c r="E761" s="874"/>
      <c r="F761" s="874"/>
      <c r="G761" s="874"/>
      <c r="H761" s="874"/>
      <c r="I761" s="874"/>
      <c r="J761" s="874"/>
      <c r="K761" s="874"/>
      <c r="L761" s="874"/>
      <c r="M761" s="874"/>
      <c r="N761" s="874"/>
      <c r="O761" s="874"/>
      <c r="P761" s="874"/>
      <c r="Q761" s="874"/>
      <c r="R761" s="874"/>
      <c r="S761" s="874"/>
      <c r="T761" s="874"/>
      <c r="U761" s="874"/>
      <c r="V761" s="874"/>
      <c r="W761" s="874"/>
      <c r="X761" s="874"/>
      <c r="Y761" s="874"/>
      <c r="Z761" s="874"/>
    </row>
    <row r="762" spans="1:26" ht="18" customHeight="1" x14ac:dyDescent="0.35">
      <c r="A762" s="874"/>
      <c r="B762" s="874"/>
      <c r="C762" s="874"/>
      <c r="D762" s="874"/>
      <c r="E762" s="874"/>
      <c r="F762" s="874"/>
      <c r="G762" s="874"/>
      <c r="H762" s="874"/>
      <c r="I762" s="874"/>
      <c r="J762" s="874"/>
      <c r="K762" s="874"/>
      <c r="L762" s="874"/>
      <c r="M762" s="874"/>
      <c r="N762" s="874"/>
      <c r="O762" s="874"/>
      <c r="P762" s="874"/>
      <c r="Q762" s="874"/>
      <c r="R762" s="874"/>
      <c r="S762" s="874"/>
      <c r="T762" s="874"/>
      <c r="U762" s="874"/>
      <c r="V762" s="874"/>
      <c r="W762" s="874"/>
      <c r="X762" s="874"/>
      <c r="Y762" s="874"/>
      <c r="Z762" s="874"/>
    </row>
    <row r="763" spans="1:26" ht="18" customHeight="1" x14ac:dyDescent="0.35">
      <c r="A763" s="874"/>
      <c r="B763" s="874"/>
      <c r="C763" s="874"/>
      <c r="D763" s="874"/>
      <c r="E763" s="874"/>
      <c r="F763" s="874"/>
      <c r="G763" s="874"/>
      <c r="H763" s="874"/>
      <c r="I763" s="874"/>
      <c r="J763" s="874"/>
      <c r="K763" s="874"/>
      <c r="L763" s="874"/>
      <c r="M763" s="874"/>
      <c r="N763" s="874"/>
      <c r="O763" s="874"/>
      <c r="P763" s="874"/>
      <c r="Q763" s="874"/>
      <c r="R763" s="874"/>
      <c r="S763" s="874"/>
      <c r="T763" s="874"/>
      <c r="U763" s="874"/>
      <c r="V763" s="874"/>
      <c r="W763" s="874"/>
      <c r="X763" s="874"/>
      <c r="Y763" s="874"/>
      <c r="Z763" s="874"/>
    </row>
    <row r="764" spans="1:26" ht="18" customHeight="1" x14ac:dyDescent="0.35">
      <c r="A764" s="874"/>
      <c r="B764" s="874"/>
      <c r="C764" s="874"/>
      <c r="D764" s="874"/>
      <c r="E764" s="874"/>
      <c r="F764" s="874"/>
      <c r="G764" s="874"/>
      <c r="H764" s="874"/>
      <c r="I764" s="874"/>
      <c r="J764" s="874"/>
      <c r="K764" s="874"/>
      <c r="L764" s="874"/>
      <c r="M764" s="874"/>
      <c r="N764" s="874"/>
      <c r="O764" s="874"/>
      <c r="P764" s="874"/>
      <c r="Q764" s="874"/>
      <c r="R764" s="874"/>
      <c r="S764" s="874"/>
      <c r="T764" s="874"/>
      <c r="U764" s="874"/>
      <c r="V764" s="874"/>
      <c r="W764" s="874"/>
      <c r="X764" s="874"/>
      <c r="Y764" s="874"/>
      <c r="Z764" s="874"/>
    </row>
    <row r="765" spans="1:26" ht="18" customHeight="1" x14ac:dyDescent="0.35">
      <c r="A765" s="874"/>
      <c r="B765" s="874"/>
      <c r="C765" s="874"/>
      <c r="D765" s="874"/>
      <c r="E765" s="874"/>
      <c r="F765" s="874"/>
      <c r="G765" s="874"/>
      <c r="H765" s="874"/>
      <c r="I765" s="874"/>
      <c r="J765" s="874"/>
      <c r="K765" s="874"/>
      <c r="L765" s="874"/>
      <c r="M765" s="874"/>
      <c r="N765" s="874"/>
      <c r="O765" s="874"/>
      <c r="P765" s="874"/>
      <c r="Q765" s="874"/>
      <c r="R765" s="874"/>
      <c r="S765" s="874"/>
      <c r="T765" s="874"/>
      <c r="U765" s="874"/>
      <c r="V765" s="874"/>
      <c r="W765" s="874"/>
      <c r="X765" s="874"/>
      <c r="Y765" s="874"/>
      <c r="Z765" s="874"/>
    </row>
    <row r="766" spans="1:26" ht="18" customHeight="1" x14ac:dyDescent="0.35">
      <c r="A766" s="874"/>
      <c r="B766" s="874"/>
      <c r="C766" s="874"/>
      <c r="D766" s="874"/>
      <c r="E766" s="874"/>
      <c r="F766" s="874"/>
      <c r="G766" s="874"/>
      <c r="H766" s="874"/>
      <c r="I766" s="874"/>
      <c r="J766" s="874"/>
      <c r="K766" s="874"/>
      <c r="L766" s="874"/>
      <c r="M766" s="874"/>
      <c r="N766" s="874"/>
      <c r="O766" s="874"/>
      <c r="P766" s="874"/>
      <c r="Q766" s="874"/>
      <c r="R766" s="874"/>
      <c r="S766" s="874"/>
      <c r="T766" s="874"/>
      <c r="U766" s="874"/>
      <c r="V766" s="874"/>
      <c r="W766" s="874"/>
      <c r="X766" s="874"/>
      <c r="Y766" s="874"/>
      <c r="Z766" s="874"/>
    </row>
    <row r="767" spans="1:26" ht="18" customHeight="1" x14ac:dyDescent="0.35">
      <c r="A767" s="874"/>
      <c r="B767" s="874"/>
      <c r="C767" s="874"/>
      <c r="D767" s="874"/>
      <c r="E767" s="874"/>
      <c r="F767" s="874"/>
      <c r="G767" s="874"/>
      <c r="H767" s="874"/>
      <c r="I767" s="874"/>
      <c r="J767" s="874"/>
      <c r="K767" s="874"/>
      <c r="L767" s="874"/>
      <c r="M767" s="874"/>
      <c r="N767" s="874"/>
      <c r="O767" s="874"/>
      <c r="P767" s="874"/>
      <c r="Q767" s="874"/>
      <c r="R767" s="874"/>
      <c r="S767" s="874"/>
      <c r="T767" s="874"/>
      <c r="U767" s="874"/>
      <c r="V767" s="874"/>
      <c r="W767" s="874"/>
      <c r="X767" s="874"/>
      <c r="Y767" s="874"/>
      <c r="Z767" s="874"/>
    </row>
    <row r="768" spans="1:26" ht="18" customHeight="1" x14ac:dyDescent="0.35">
      <c r="A768" s="874"/>
      <c r="B768" s="874"/>
      <c r="C768" s="874"/>
      <c r="D768" s="874"/>
      <c r="E768" s="874"/>
      <c r="F768" s="874"/>
      <c r="G768" s="874"/>
      <c r="H768" s="874"/>
      <c r="I768" s="874"/>
      <c r="J768" s="874"/>
      <c r="K768" s="874"/>
      <c r="L768" s="874"/>
      <c r="M768" s="874"/>
      <c r="N768" s="874"/>
      <c r="O768" s="874"/>
      <c r="P768" s="874"/>
      <c r="Q768" s="874"/>
      <c r="R768" s="874"/>
      <c r="S768" s="874"/>
      <c r="T768" s="874"/>
      <c r="U768" s="874"/>
      <c r="V768" s="874"/>
      <c r="W768" s="874"/>
      <c r="X768" s="874"/>
      <c r="Y768" s="874"/>
      <c r="Z768" s="874"/>
    </row>
    <row r="769" spans="1:26" ht="18" customHeight="1" x14ac:dyDescent="0.35">
      <c r="A769" s="874"/>
      <c r="B769" s="874"/>
      <c r="C769" s="874"/>
      <c r="D769" s="874"/>
      <c r="E769" s="874"/>
      <c r="F769" s="874"/>
      <c r="G769" s="874"/>
      <c r="H769" s="874"/>
      <c r="I769" s="874"/>
      <c r="J769" s="874"/>
      <c r="K769" s="874"/>
      <c r="L769" s="874"/>
      <c r="M769" s="874"/>
      <c r="N769" s="874"/>
      <c r="O769" s="874"/>
      <c r="P769" s="874"/>
      <c r="Q769" s="874"/>
      <c r="R769" s="874"/>
      <c r="S769" s="874"/>
      <c r="T769" s="874"/>
      <c r="U769" s="874"/>
      <c r="V769" s="874"/>
      <c r="W769" s="874"/>
      <c r="X769" s="874"/>
      <c r="Y769" s="874"/>
      <c r="Z769" s="874"/>
    </row>
    <row r="770" spans="1:26" ht="18" customHeight="1" x14ac:dyDescent="0.35">
      <c r="A770" s="874"/>
      <c r="B770" s="874"/>
      <c r="C770" s="874"/>
      <c r="D770" s="874"/>
      <c r="E770" s="874"/>
      <c r="F770" s="874"/>
      <c r="G770" s="874"/>
      <c r="H770" s="874"/>
      <c r="I770" s="874"/>
      <c r="J770" s="874"/>
      <c r="K770" s="874"/>
      <c r="L770" s="874"/>
      <c r="M770" s="874"/>
      <c r="N770" s="874"/>
      <c r="O770" s="874"/>
      <c r="P770" s="874"/>
      <c r="Q770" s="874"/>
      <c r="R770" s="874"/>
      <c r="S770" s="874"/>
      <c r="T770" s="874"/>
      <c r="U770" s="874"/>
      <c r="V770" s="874"/>
      <c r="W770" s="874"/>
      <c r="X770" s="874"/>
      <c r="Y770" s="874"/>
      <c r="Z770" s="874"/>
    </row>
    <row r="771" spans="1:26" ht="18" customHeight="1" x14ac:dyDescent="0.35">
      <c r="A771" s="874"/>
      <c r="B771" s="874"/>
      <c r="C771" s="874"/>
      <c r="D771" s="874"/>
      <c r="E771" s="874"/>
      <c r="F771" s="874"/>
      <c r="G771" s="874"/>
      <c r="H771" s="874"/>
      <c r="I771" s="874"/>
      <c r="J771" s="874"/>
      <c r="K771" s="874"/>
      <c r="L771" s="874"/>
      <c r="M771" s="874"/>
      <c r="N771" s="874"/>
      <c r="O771" s="874"/>
      <c r="P771" s="874"/>
      <c r="Q771" s="874"/>
      <c r="R771" s="874"/>
      <c r="S771" s="874"/>
      <c r="T771" s="874"/>
      <c r="U771" s="874"/>
      <c r="V771" s="874"/>
      <c r="W771" s="874"/>
      <c r="X771" s="874"/>
      <c r="Y771" s="874"/>
      <c r="Z771" s="874"/>
    </row>
    <row r="772" spans="1:26" ht="18" customHeight="1" x14ac:dyDescent="0.35">
      <c r="A772" s="874"/>
      <c r="B772" s="874"/>
      <c r="C772" s="874"/>
      <c r="D772" s="874"/>
      <c r="E772" s="874"/>
      <c r="F772" s="874"/>
      <c r="G772" s="874"/>
      <c r="H772" s="874"/>
      <c r="I772" s="874"/>
      <c r="J772" s="874"/>
      <c r="K772" s="874"/>
      <c r="L772" s="874"/>
      <c r="M772" s="874"/>
      <c r="N772" s="874"/>
      <c r="O772" s="874"/>
      <c r="P772" s="874"/>
      <c r="Q772" s="874"/>
      <c r="R772" s="874"/>
      <c r="S772" s="874"/>
      <c r="T772" s="874"/>
      <c r="U772" s="874"/>
      <c r="V772" s="874"/>
      <c r="W772" s="874"/>
      <c r="X772" s="874"/>
      <c r="Y772" s="874"/>
      <c r="Z772" s="874"/>
    </row>
    <row r="773" spans="1:26" ht="18" customHeight="1" x14ac:dyDescent="0.35">
      <c r="A773" s="874"/>
      <c r="B773" s="874"/>
      <c r="C773" s="874"/>
      <c r="D773" s="874"/>
      <c r="E773" s="874"/>
      <c r="F773" s="874"/>
      <c r="G773" s="874"/>
      <c r="H773" s="874"/>
      <c r="I773" s="874"/>
      <c r="J773" s="874"/>
      <c r="K773" s="874"/>
      <c r="L773" s="874"/>
      <c r="M773" s="874"/>
      <c r="N773" s="874"/>
      <c r="O773" s="874"/>
      <c r="P773" s="874"/>
      <c r="Q773" s="874"/>
      <c r="R773" s="874"/>
      <c r="S773" s="874"/>
      <c r="T773" s="874"/>
      <c r="U773" s="874"/>
      <c r="V773" s="874"/>
      <c r="W773" s="874"/>
      <c r="X773" s="874"/>
      <c r="Y773" s="874"/>
      <c r="Z773" s="874"/>
    </row>
    <row r="774" spans="1:26" ht="18" customHeight="1" x14ac:dyDescent="0.35">
      <c r="A774" s="874"/>
      <c r="B774" s="874"/>
      <c r="C774" s="874"/>
      <c r="D774" s="874"/>
      <c r="E774" s="874"/>
      <c r="F774" s="874"/>
      <c r="G774" s="874"/>
      <c r="H774" s="874"/>
      <c r="I774" s="874"/>
      <c r="J774" s="874"/>
      <c r="K774" s="874"/>
      <c r="L774" s="874"/>
      <c r="M774" s="874"/>
      <c r="N774" s="874"/>
      <c r="O774" s="874"/>
      <c r="P774" s="874"/>
      <c r="Q774" s="874"/>
      <c r="R774" s="874"/>
      <c r="S774" s="874"/>
      <c r="T774" s="874"/>
      <c r="U774" s="874"/>
      <c r="V774" s="874"/>
      <c r="W774" s="874"/>
      <c r="X774" s="874"/>
      <c r="Y774" s="874"/>
      <c r="Z774" s="874"/>
    </row>
    <row r="775" spans="1:26" ht="18" customHeight="1" x14ac:dyDescent="0.35">
      <c r="A775" s="874"/>
      <c r="B775" s="874"/>
      <c r="C775" s="874"/>
      <c r="D775" s="874"/>
      <c r="E775" s="874"/>
      <c r="F775" s="874"/>
      <c r="G775" s="874"/>
      <c r="H775" s="874"/>
      <c r="I775" s="874"/>
      <c r="J775" s="874"/>
      <c r="K775" s="874"/>
      <c r="L775" s="874"/>
      <c r="M775" s="874"/>
      <c r="N775" s="874"/>
      <c r="O775" s="874"/>
      <c r="P775" s="874"/>
      <c r="Q775" s="874"/>
      <c r="R775" s="874"/>
      <c r="S775" s="874"/>
      <c r="T775" s="874"/>
      <c r="U775" s="874"/>
      <c r="V775" s="874"/>
      <c r="W775" s="874"/>
      <c r="X775" s="874"/>
      <c r="Y775" s="874"/>
      <c r="Z775" s="874"/>
    </row>
    <row r="776" spans="1:26" ht="18" customHeight="1" x14ac:dyDescent="0.35">
      <c r="A776" s="874"/>
      <c r="B776" s="874"/>
      <c r="C776" s="874"/>
      <c r="D776" s="874"/>
      <c r="E776" s="874"/>
      <c r="F776" s="874"/>
      <c r="G776" s="874"/>
      <c r="H776" s="874"/>
      <c r="I776" s="874"/>
      <c r="J776" s="874"/>
      <c r="K776" s="874"/>
      <c r="L776" s="874"/>
      <c r="M776" s="874"/>
      <c r="N776" s="874"/>
      <c r="O776" s="874"/>
      <c r="P776" s="874"/>
      <c r="Q776" s="874"/>
      <c r="R776" s="874"/>
      <c r="S776" s="874"/>
      <c r="T776" s="874"/>
      <c r="U776" s="874"/>
      <c r="V776" s="874"/>
      <c r="W776" s="874"/>
      <c r="X776" s="874"/>
      <c r="Y776" s="874"/>
      <c r="Z776" s="874"/>
    </row>
    <row r="777" spans="1:26" ht="18" customHeight="1" x14ac:dyDescent="0.35">
      <c r="A777" s="874"/>
      <c r="B777" s="874"/>
      <c r="C777" s="874"/>
      <c r="D777" s="874"/>
      <c r="E777" s="874"/>
      <c r="F777" s="874"/>
      <c r="G777" s="874"/>
      <c r="H777" s="874"/>
      <c r="I777" s="874"/>
      <c r="J777" s="874"/>
      <c r="K777" s="874"/>
      <c r="L777" s="874"/>
      <c r="M777" s="874"/>
      <c r="N777" s="874"/>
      <c r="O777" s="874"/>
      <c r="P777" s="874"/>
      <c r="Q777" s="874"/>
      <c r="R777" s="874"/>
      <c r="S777" s="874"/>
      <c r="T777" s="874"/>
      <c r="U777" s="874"/>
      <c r="V777" s="874"/>
      <c r="W777" s="874"/>
      <c r="X777" s="874"/>
      <c r="Y777" s="874"/>
      <c r="Z777" s="874"/>
    </row>
    <row r="778" spans="1:26" ht="18" customHeight="1" x14ac:dyDescent="0.35">
      <c r="A778" s="874"/>
      <c r="B778" s="874"/>
      <c r="C778" s="874"/>
      <c r="D778" s="874"/>
      <c r="E778" s="874"/>
      <c r="F778" s="874"/>
      <c r="G778" s="874"/>
      <c r="H778" s="874"/>
      <c r="I778" s="874"/>
      <c r="J778" s="874"/>
      <c r="K778" s="874"/>
      <c r="L778" s="874"/>
      <c r="M778" s="874"/>
      <c r="N778" s="874"/>
      <c r="O778" s="874"/>
      <c r="P778" s="874"/>
      <c r="Q778" s="874"/>
      <c r="R778" s="874"/>
      <c r="S778" s="874"/>
      <c r="T778" s="874"/>
      <c r="U778" s="874"/>
      <c r="V778" s="874"/>
      <c r="W778" s="874"/>
      <c r="X778" s="874"/>
      <c r="Y778" s="874"/>
      <c r="Z778" s="874"/>
    </row>
    <row r="779" spans="1:26" ht="18" customHeight="1" x14ac:dyDescent="0.35">
      <c r="A779" s="874"/>
      <c r="B779" s="874"/>
      <c r="C779" s="874"/>
      <c r="D779" s="874"/>
      <c r="E779" s="874"/>
      <c r="F779" s="874"/>
      <c r="G779" s="874"/>
      <c r="H779" s="874"/>
      <c r="I779" s="874"/>
      <c r="J779" s="874"/>
      <c r="K779" s="874"/>
      <c r="L779" s="874"/>
      <c r="M779" s="874"/>
      <c r="N779" s="874"/>
      <c r="O779" s="874"/>
      <c r="P779" s="874"/>
      <c r="Q779" s="874"/>
      <c r="R779" s="874"/>
      <c r="S779" s="874"/>
      <c r="T779" s="874"/>
      <c r="U779" s="874"/>
      <c r="V779" s="874"/>
      <c r="W779" s="874"/>
      <c r="X779" s="874"/>
      <c r="Y779" s="874"/>
      <c r="Z779" s="874"/>
    </row>
    <row r="780" spans="1:26" ht="18" customHeight="1" x14ac:dyDescent="0.35">
      <c r="A780" s="874"/>
      <c r="B780" s="874"/>
      <c r="C780" s="874"/>
      <c r="D780" s="874"/>
      <c r="E780" s="874"/>
      <c r="F780" s="874"/>
      <c r="G780" s="874"/>
      <c r="H780" s="874"/>
      <c r="I780" s="874"/>
      <c r="J780" s="874"/>
      <c r="K780" s="874"/>
      <c r="L780" s="874"/>
      <c r="M780" s="874"/>
      <c r="N780" s="874"/>
      <c r="O780" s="874"/>
      <c r="P780" s="874"/>
      <c r="Q780" s="874"/>
      <c r="R780" s="874"/>
      <c r="S780" s="874"/>
      <c r="T780" s="874"/>
      <c r="U780" s="874"/>
      <c r="V780" s="874"/>
      <c r="W780" s="874"/>
      <c r="X780" s="874"/>
      <c r="Y780" s="874"/>
      <c r="Z780" s="874"/>
    </row>
    <row r="781" spans="1:26" ht="18" customHeight="1" x14ac:dyDescent="0.35">
      <c r="A781" s="874"/>
      <c r="B781" s="874"/>
      <c r="C781" s="874"/>
      <c r="D781" s="874"/>
      <c r="E781" s="874"/>
      <c r="F781" s="874"/>
      <c r="G781" s="874"/>
      <c r="H781" s="874"/>
      <c r="I781" s="874"/>
      <c r="J781" s="874"/>
      <c r="K781" s="874"/>
      <c r="L781" s="874"/>
      <c r="M781" s="874"/>
      <c r="N781" s="874"/>
      <c r="O781" s="874"/>
      <c r="P781" s="874"/>
      <c r="Q781" s="874"/>
      <c r="R781" s="874"/>
      <c r="S781" s="874"/>
      <c r="T781" s="874"/>
      <c r="U781" s="874"/>
      <c r="V781" s="874"/>
      <c r="W781" s="874"/>
      <c r="X781" s="874"/>
      <c r="Y781" s="874"/>
      <c r="Z781" s="874"/>
    </row>
    <row r="782" spans="1:26" ht="18" customHeight="1" x14ac:dyDescent="0.35">
      <c r="A782" s="874"/>
      <c r="B782" s="874"/>
      <c r="C782" s="874"/>
      <c r="D782" s="874"/>
      <c r="E782" s="874"/>
      <c r="F782" s="874"/>
      <c r="G782" s="874"/>
      <c r="H782" s="874"/>
      <c r="I782" s="874"/>
      <c r="J782" s="874"/>
      <c r="K782" s="874"/>
      <c r="L782" s="874"/>
      <c r="M782" s="874"/>
      <c r="N782" s="874"/>
      <c r="O782" s="874"/>
      <c r="P782" s="874"/>
      <c r="Q782" s="874"/>
      <c r="R782" s="874"/>
      <c r="S782" s="874"/>
      <c r="T782" s="874"/>
      <c r="U782" s="874"/>
      <c r="V782" s="874"/>
      <c r="W782" s="874"/>
      <c r="X782" s="874"/>
      <c r="Y782" s="874"/>
      <c r="Z782" s="874"/>
    </row>
    <row r="783" spans="1:26" ht="18" customHeight="1" x14ac:dyDescent="0.35">
      <c r="A783" s="874"/>
      <c r="B783" s="874"/>
      <c r="C783" s="874"/>
      <c r="D783" s="874"/>
      <c r="E783" s="874"/>
      <c r="F783" s="874"/>
      <c r="G783" s="874"/>
      <c r="H783" s="874"/>
      <c r="I783" s="874"/>
      <c r="J783" s="874"/>
      <c r="K783" s="874"/>
      <c r="L783" s="874"/>
      <c r="M783" s="874"/>
      <c r="N783" s="874"/>
      <c r="O783" s="874"/>
      <c r="P783" s="874"/>
      <c r="Q783" s="874"/>
      <c r="R783" s="874"/>
      <c r="S783" s="874"/>
      <c r="T783" s="874"/>
      <c r="U783" s="874"/>
      <c r="V783" s="874"/>
      <c r="W783" s="874"/>
      <c r="X783" s="874"/>
      <c r="Y783" s="874"/>
      <c r="Z783" s="874"/>
    </row>
    <row r="784" spans="1:26" ht="18" customHeight="1" x14ac:dyDescent="0.35">
      <c r="A784" s="874"/>
      <c r="B784" s="874"/>
      <c r="C784" s="874"/>
      <c r="D784" s="874"/>
      <c r="E784" s="874"/>
      <c r="F784" s="874"/>
      <c r="G784" s="874"/>
      <c r="H784" s="874"/>
      <c r="I784" s="874"/>
      <c r="J784" s="874"/>
      <c r="K784" s="874"/>
      <c r="L784" s="874"/>
      <c r="M784" s="874"/>
      <c r="N784" s="874"/>
      <c r="O784" s="874"/>
      <c r="P784" s="874"/>
      <c r="Q784" s="874"/>
      <c r="R784" s="874"/>
      <c r="S784" s="874"/>
      <c r="T784" s="874"/>
      <c r="U784" s="874"/>
      <c r="V784" s="874"/>
      <c r="W784" s="874"/>
      <c r="X784" s="874"/>
      <c r="Y784" s="874"/>
      <c r="Z784" s="874"/>
    </row>
    <row r="785" spans="1:26" ht="18" customHeight="1" x14ac:dyDescent="0.35">
      <c r="A785" s="874"/>
      <c r="B785" s="874"/>
      <c r="C785" s="874"/>
      <c r="D785" s="874"/>
      <c r="E785" s="874"/>
      <c r="F785" s="874"/>
      <c r="G785" s="874"/>
      <c r="H785" s="874"/>
      <c r="I785" s="874"/>
      <c r="J785" s="874"/>
      <c r="K785" s="874"/>
      <c r="L785" s="874"/>
      <c r="M785" s="874"/>
      <c r="N785" s="874"/>
      <c r="O785" s="874"/>
      <c r="P785" s="874"/>
      <c r="Q785" s="874"/>
      <c r="R785" s="874"/>
      <c r="S785" s="874"/>
      <c r="T785" s="874"/>
      <c r="U785" s="874"/>
      <c r="V785" s="874"/>
      <c r="W785" s="874"/>
      <c r="X785" s="874"/>
      <c r="Y785" s="874"/>
      <c r="Z785" s="874"/>
    </row>
    <row r="786" spans="1:26" ht="18" customHeight="1" x14ac:dyDescent="0.35">
      <c r="A786" s="874"/>
      <c r="B786" s="874"/>
      <c r="C786" s="874"/>
      <c r="D786" s="874"/>
      <c r="E786" s="874"/>
      <c r="F786" s="874"/>
      <c r="G786" s="874"/>
      <c r="H786" s="874"/>
      <c r="I786" s="874"/>
      <c r="J786" s="874"/>
      <c r="K786" s="874"/>
      <c r="L786" s="874"/>
      <c r="M786" s="874"/>
      <c r="N786" s="874"/>
      <c r="O786" s="874"/>
      <c r="P786" s="874"/>
      <c r="Q786" s="874"/>
      <c r="R786" s="874"/>
      <c r="S786" s="874"/>
      <c r="T786" s="874"/>
      <c r="U786" s="874"/>
      <c r="V786" s="874"/>
      <c r="W786" s="874"/>
      <c r="X786" s="874"/>
      <c r="Y786" s="874"/>
      <c r="Z786" s="874"/>
    </row>
    <row r="787" spans="1:26" ht="18" customHeight="1" x14ac:dyDescent="0.35">
      <c r="A787" s="874"/>
      <c r="B787" s="874"/>
      <c r="C787" s="874"/>
      <c r="D787" s="874"/>
      <c r="E787" s="874"/>
      <c r="F787" s="874"/>
      <c r="G787" s="874"/>
      <c r="H787" s="874"/>
      <c r="I787" s="874"/>
      <c r="J787" s="874"/>
      <c r="K787" s="874"/>
      <c r="L787" s="874"/>
      <c r="M787" s="874"/>
      <c r="N787" s="874"/>
      <c r="O787" s="874"/>
      <c r="P787" s="874"/>
      <c r="Q787" s="874"/>
      <c r="R787" s="874"/>
      <c r="S787" s="874"/>
      <c r="T787" s="874"/>
      <c r="U787" s="874"/>
      <c r="V787" s="874"/>
      <c r="W787" s="874"/>
      <c r="X787" s="874"/>
      <c r="Y787" s="874"/>
      <c r="Z787" s="874"/>
    </row>
    <row r="788" spans="1:26" ht="18" customHeight="1" x14ac:dyDescent="0.35">
      <c r="A788" s="874"/>
      <c r="B788" s="874"/>
      <c r="C788" s="874"/>
      <c r="D788" s="874"/>
      <c r="E788" s="874"/>
      <c r="F788" s="874"/>
      <c r="G788" s="874"/>
      <c r="H788" s="874"/>
      <c r="I788" s="874"/>
      <c r="J788" s="874"/>
      <c r="K788" s="874"/>
      <c r="L788" s="874"/>
      <c r="M788" s="874"/>
      <c r="N788" s="874"/>
      <c r="O788" s="874"/>
      <c r="P788" s="874"/>
      <c r="Q788" s="874"/>
      <c r="R788" s="874"/>
      <c r="S788" s="874"/>
      <c r="T788" s="874"/>
      <c r="U788" s="874"/>
      <c r="V788" s="874"/>
      <c r="W788" s="874"/>
      <c r="X788" s="874"/>
      <c r="Y788" s="874"/>
      <c r="Z788" s="874"/>
    </row>
    <row r="789" spans="1:26" ht="18" customHeight="1" x14ac:dyDescent="0.35">
      <c r="A789" s="874"/>
      <c r="B789" s="874"/>
      <c r="C789" s="874"/>
      <c r="D789" s="874"/>
      <c r="E789" s="874"/>
      <c r="F789" s="874"/>
      <c r="G789" s="874"/>
      <c r="H789" s="874"/>
      <c r="I789" s="874"/>
      <c r="J789" s="874"/>
      <c r="K789" s="874"/>
      <c r="L789" s="874"/>
      <c r="M789" s="874"/>
      <c r="N789" s="874"/>
      <c r="O789" s="874"/>
      <c r="P789" s="874"/>
      <c r="Q789" s="874"/>
      <c r="R789" s="874"/>
      <c r="S789" s="874"/>
      <c r="T789" s="874"/>
      <c r="U789" s="874"/>
      <c r="V789" s="874"/>
      <c r="W789" s="874"/>
      <c r="X789" s="874"/>
      <c r="Y789" s="874"/>
      <c r="Z789" s="874"/>
    </row>
    <row r="790" spans="1:26" ht="18" customHeight="1" x14ac:dyDescent="0.35">
      <c r="A790" s="874"/>
      <c r="B790" s="874"/>
      <c r="C790" s="874"/>
      <c r="D790" s="874"/>
      <c r="E790" s="874"/>
      <c r="F790" s="874"/>
      <c r="G790" s="874"/>
      <c r="H790" s="874"/>
      <c r="I790" s="874"/>
      <c r="J790" s="874"/>
      <c r="K790" s="874"/>
      <c r="L790" s="874"/>
      <c r="M790" s="874"/>
      <c r="N790" s="874"/>
      <c r="O790" s="874"/>
      <c r="P790" s="874"/>
      <c r="Q790" s="874"/>
      <c r="R790" s="874"/>
      <c r="S790" s="874"/>
      <c r="T790" s="874"/>
      <c r="U790" s="874"/>
      <c r="V790" s="874"/>
      <c r="W790" s="874"/>
      <c r="X790" s="874"/>
      <c r="Y790" s="874"/>
      <c r="Z790" s="874"/>
    </row>
    <row r="791" spans="1:26" ht="18" customHeight="1" x14ac:dyDescent="0.35">
      <c r="A791" s="874"/>
      <c r="B791" s="874"/>
      <c r="C791" s="874"/>
      <c r="D791" s="874"/>
      <c r="E791" s="874"/>
      <c r="F791" s="874"/>
      <c r="G791" s="874"/>
      <c r="H791" s="874"/>
      <c r="I791" s="874"/>
      <c r="J791" s="874"/>
      <c r="K791" s="874"/>
      <c r="L791" s="874"/>
      <c r="M791" s="874"/>
      <c r="N791" s="874"/>
      <c r="O791" s="874"/>
      <c r="P791" s="874"/>
      <c r="Q791" s="874"/>
      <c r="R791" s="874"/>
      <c r="S791" s="874"/>
      <c r="T791" s="874"/>
      <c r="U791" s="874"/>
      <c r="V791" s="874"/>
      <c r="W791" s="874"/>
      <c r="X791" s="874"/>
      <c r="Y791" s="874"/>
      <c r="Z791" s="874"/>
    </row>
    <row r="792" spans="1:26" ht="18" customHeight="1" x14ac:dyDescent="0.35">
      <c r="A792" s="874"/>
      <c r="B792" s="874"/>
      <c r="C792" s="874"/>
      <c r="D792" s="874"/>
      <c r="E792" s="874"/>
      <c r="F792" s="874"/>
      <c r="G792" s="874"/>
      <c r="H792" s="874"/>
      <c r="I792" s="874"/>
      <c r="J792" s="874"/>
      <c r="K792" s="874"/>
      <c r="L792" s="874"/>
      <c r="M792" s="874"/>
      <c r="N792" s="874"/>
      <c r="O792" s="874"/>
      <c r="P792" s="874"/>
      <c r="Q792" s="874"/>
      <c r="R792" s="874"/>
      <c r="S792" s="874"/>
      <c r="T792" s="874"/>
      <c r="U792" s="874"/>
      <c r="V792" s="874"/>
      <c r="W792" s="874"/>
      <c r="X792" s="874"/>
      <c r="Y792" s="874"/>
      <c r="Z792" s="874"/>
    </row>
    <row r="793" spans="1:26" ht="18" customHeight="1" x14ac:dyDescent="0.35">
      <c r="A793" s="874"/>
      <c r="B793" s="874"/>
      <c r="C793" s="874"/>
      <c r="D793" s="874"/>
      <c r="E793" s="874"/>
      <c r="F793" s="874"/>
      <c r="G793" s="874"/>
      <c r="H793" s="874"/>
      <c r="I793" s="874"/>
      <c r="J793" s="874"/>
      <c r="K793" s="874"/>
      <c r="L793" s="874"/>
      <c r="M793" s="874"/>
      <c r="N793" s="874"/>
      <c r="O793" s="874"/>
      <c r="P793" s="874"/>
      <c r="Q793" s="874"/>
      <c r="R793" s="874"/>
      <c r="S793" s="874"/>
      <c r="T793" s="874"/>
      <c r="U793" s="874"/>
      <c r="V793" s="874"/>
      <c r="W793" s="874"/>
      <c r="X793" s="874"/>
      <c r="Y793" s="874"/>
      <c r="Z793" s="874"/>
    </row>
    <row r="794" spans="1:26" ht="18" customHeight="1" x14ac:dyDescent="0.35">
      <c r="A794" s="874"/>
      <c r="B794" s="874"/>
      <c r="C794" s="874"/>
      <c r="D794" s="874"/>
      <c r="E794" s="874"/>
      <c r="F794" s="874"/>
      <c r="G794" s="874"/>
      <c r="H794" s="874"/>
      <c r="I794" s="874"/>
      <c r="J794" s="874"/>
      <c r="K794" s="874"/>
      <c r="L794" s="874"/>
      <c r="M794" s="874"/>
      <c r="N794" s="874"/>
      <c r="O794" s="874"/>
      <c r="P794" s="874"/>
      <c r="Q794" s="874"/>
      <c r="R794" s="874"/>
      <c r="S794" s="874"/>
      <c r="T794" s="874"/>
      <c r="U794" s="874"/>
      <c r="V794" s="874"/>
      <c r="W794" s="874"/>
      <c r="X794" s="874"/>
      <c r="Y794" s="874"/>
      <c r="Z794" s="874"/>
    </row>
    <row r="795" spans="1:26" ht="18" customHeight="1" x14ac:dyDescent="0.35">
      <c r="A795" s="874"/>
      <c r="B795" s="874"/>
      <c r="C795" s="874"/>
      <c r="D795" s="874"/>
      <c r="E795" s="874"/>
      <c r="F795" s="874"/>
      <c r="G795" s="874"/>
      <c r="H795" s="874"/>
      <c r="I795" s="874"/>
      <c r="J795" s="874"/>
      <c r="K795" s="874"/>
      <c r="L795" s="874"/>
      <c r="M795" s="874"/>
      <c r="N795" s="874"/>
      <c r="O795" s="874"/>
      <c r="P795" s="874"/>
      <c r="Q795" s="874"/>
      <c r="R795" s="874"/>
      <c r="S795" s="874"/>
      <c r="T795" s="874"/>
      <c r="U795" s="874"/>
      <c r="V795" s="874"/>
      <c r="W795" s="874"/>
      <c r="X795" s="874"/>
      <c r="Y795" s="874"/>
      <c r="Z795" s="874"/>
    </row>
    <row r="796" spans="1:26" ht="18" customHeight="1" x14ac:dyDescent="0.35">
      <c r="A796" s="874"/>
      <c r="B796" s="874"/>
      <c r="C796" s="874"/>
      <c r="D796" s="874"/>
      <c r="E796" s="874"/>
      <c r="F796" s="874"/>
      <c r="G796" s="874"/>
      <c r="H796" s="874"/>
      <c r="I796" s="874"/>
      <c r="J796" s="874"/>
      <c r="K796" s="874"/>
      <c r="L796" s="874"/>
      <c r="M796" s="874"/>
      <c r="N796" s="874"/>
      <c r="O796" s="874"/>
      <c r="P796" s="874"/>
      <c r="Q796" s="874"/>
      <c r="R796" s="874"/>
      <c r="S796" s="874"/>
      <c r="T796" s="874"/>
      <c r="U796" s="874"/>
      <c r="V796" s="874"/>
      <c r="W796" s="874"/>
      <c r="X796" s="874"/>
      <c r="Y796" s="874"/>
      <c r="Z796" s="874"/>
    </row>
    <row r="797" spans="1:26" ht="18" customHeight="1" x14ac:dyDescent="0.35">
      <c r="A797" s="874"/>
      <c r="B797" s="874"/>
      <c r="C797" s="874"/>
      <c r="D797" s="874"/>
      <c r="E797" s="874"/>
      <c r="F797" s="874"/>
      <c r="G797" s="874"/>
      <c r="H797" s="874"/>
      <c r="I797" s="874"/>
      <c r="J797" s="874"/>
      <c r="K797" s="874"/>
      <c r="L797" s="874"/>
      <c r="M797" s="874"/>
      <c r="N797" s="874"/>
      <c r="O797" s="874"/>
      <c r="P797" s="874"/>
      <c r="Q797" s="874"/>
      <c r="R797" s="874"/>
      <c r="S797" s="874"/>
      <c r="T797" s="874"/>
      <c r="U797" s="874"/>
      <c r="V797" s="874"/>
      <c r="W797" s="874"/>
      <c r="X797" s="874"/>
      <c r="Y797" s="874"/>
      <c r="Z797" s="874"/>
    </row>
    <row r="798" spans="1:26" ht="18" customHeight="1" x14ac:dyDescent="0.35">
      <c r="A798" s="874"/>
      <c r="B798" s="874"/>
      <c r="C798" s="874"/>
      <c r="D798" s="874"/>
      <c r="E798" s="874"/>
      <c r="F798" s="874"/>
      <c r="G798" s="874"/>
      <c r="H798" s="874"/>
      <c r="I798" s="874"/>
      <c r="J798" s="874"/>
      <c r="K798" s="874"/>
      <c r="L798" s="874"/>
      <c r="M798" s="874"/>
      <c r="N798" s="874"/>
      <c r="O798" s="874"/>
      <c r="P798" s="874"/>
      <c r="Q798" s="874"/>
      <c r="R798" s="874"/>
      <c r="S798" s="874"/>
      <c r="T798" s="874"/>
      <c r="U798" s="874"/>
      <c r="V798" s="874"/>
      <c r="W798" s="874"/>
      <c r="X798" s="874"/>
      <c r="Y798" s="874"/>
      <c r="Z798" s="874"/>
    </row>
    <row r="799" spans="1:26" ht="18" customHeight="1" x14ac:dyDescent="0.35">
      <c r="A799" s="874"/>
      <c r="B799" s="874"/>
      <c r="C799" s="874"/>
      <c r="D799" s="874"/>
      <c r="E799" s="874"/>
      <c r="F799" s="874"/>
      <c r="G799" s="874"/>
      <c r="H799" s="874"/>
      <c r="I799" s="874"/>
      <c r="J799" s="874"/>
      <c r="K799" s="874"/>
      <c r="L799" s="874"/>
      <c r="M799" s="874"/>
      <c r="N799" s="874"/>
      <c r="O799" s="874"/>
      <c r="P799" s="874"/>
      <c r="Q799" s="874"/>
      <c r="R799" s="874"/>
      <c r="S799" s="874"/>
      <c r="T799" s="874"/>
      <c r="U799" s="874"/>
      <c r="V799" s="874"/>
      <c r="W799" s="874"/>
      <c r="X799" s="874"/>
      <c r="Y799" s="874"/>
      <c r="Z799" s="874"/>
    </row>
    <row r="800" spans="1:26" ht="18" customHeight="1" x14ac:dyDescent="0.35">
      <c r="A800" s="874"/>
      <c r="B800" s="874"/>
      <c r="C800" s="874"/>
      <c r="D800" s="874"/>
      <c r="E800" s="874"/>
      <c r="F800" s="874"/>
      <c r="G800" s="874"/>
      <c r="H800" s="874"/>
      <c r="I800" s="874"/>
      <c r="J800" s="874"/>
      <c r="K800" s="874"/>
      <c r="L800" s="874"/>
      <c r="M800" s="874"/>
      <c r="N800" s="874"/>
      <c r="O800" s="874"/>
      <c r="P800" s="874"/>
      <c r="Q800" s="874"/>
      <c r="R800" s="874"/>
      <c r="S800" s="874"/>
      <c r="T800" s="874"/>
      <c r="U800" s="874"/>
      <c r="V800" s="874"/>
      <c r="W800" s="874"/>
      <c r="X800" s="874"/>
      <c r="Y800" s="874"/>
      <c r="Z800" s="874"/>
    </row>
    <row r="801" spans="1:26" ht="18" customHeight="1" x14ac:dyDescent="0.35">
      <c r="A801" s="874"/>
      <c r="B801" s="874"/>
      <c r="C801" s="874"/>
      <c r="D801" s="874"/>
      <c r="E801" s="874"/>
      <c r="F801" s="874"/>
      <c r="G801" s="874"/>
      <c r="H801" s="874"/>
      <c r="I801" s="874"/>
      <c r="J801" s="874"/>
      <c r="K801" s="874"/>
      <c r="L801" s="874"/>
      <c r="M801" s="874"/>
      <c r="N801" s="874"/>
      <c r="O801" s="874"/>
      <c r="P801" s="874"/>
      <c r="Q801" s="874"/>
      <c r="R801" s="874"/>
      <c r="S801" s="874"/>
      <c r="T801" s="874"/>
      <c r="U801" s="874"/>
      <c r="V801" s="874"/>
      <c r="W801" s="874"/>
      <c r="X801" s="874"/>
      <c r="Y801" s="874"/>
      <c r="Z801" s="874"/>
    </row>
    <row r="802" spans="1:26" ht="18" customHeight="1" x14ac:dyDescent="0.35">
      <c r="A802" s="874"/>
      <c r="B802" s="874"/>
      <c r="C802" s="874"/>
      <c r="D802" s="874"/>
      <c r="E802" s="874"/>
      <c r="F802" s="874"/>
      <c r="G802" s="874"/>
      <c r="H802" s="874"/>
      <c r="I802" s="874"/>
      <c r="J802" s="874"/>
      <c r="K802" s="874"/>
      <c r="L802" s="874"/>
      <c r="M802" s="874"/>
      <c r="N802" s="874"/>
      <c r="O802" s="874"/>
      <c r="P802" s="874"/>
      <c r="Q802" s="874"/>
      <c r="R802" s="874"/>
      <c r="S802" s="874"/>
      <c r="T802" s="874"/>
      <c r="U802" s="874"/>
      <c r="V802" s="874"/>
      <c r="W802" s="874"/>
      <c r="X802" s="874"/>
      <c r="Y802" s="874"/>
      <c r="Z802" s="874"/>
    </row>
    <row r="803" spans="1:26" ht="18" customHeight="1" x14ac:dyDescent="0.35">
      <c r="A803" s="874"/>
      <c r="B803" s="874"/>
      <c r="C803" s="874"/>
      <c r="D803" s="874"/>
      <c r="E803" s="874"/>
      <c r="F803" s="874"/>
      <c r="G803" s="874"/>
      <c r="H803" s="874"/>
      <c r="I803" s="874"/>
      <c r="J803" s="874"/>
      <c r="K803" s="874"/>
      <c r="L803" s="874"/>
      <c r="M803" s="874"/>
      <c r="N803" s="874"/>
      <c r="O803" s="874"/>
      <c r="P803" s="874"/>
      <c r="Q803" s="874"/>
      <c r="R803" s="874"/>
      <c r="S803" s="874"/>
      <c r="T803" s="874"/>
      <c r="U803" s="874"/>
      <c r="V803" s="874"/>
      <c r="W803" s="874"/>
      <c r="X803" s="874"/>
      <c r="Y803" s="874"/>
      <c r="Z803" s="874"/>
    </row>
    <row r="804" spans="1:26" ht="18" customHeight="1" x14ac:dyDescent="0.35">
      <c r="A804" s="874"/>
      <c r="B804" s="874"/>
      <c r="C804" s="874"/>
      <c r="D804" s="874"/>
      <c r="E804" s="874"/>
      <c r="F804" s="874"/>
      <c r="G804" s="874"/>
      <c r="H804" s="874"/>
      <c r="I804" s="874"/>
      <c r="J804" s="874"/>
      <c r="K804" s="874"/>
      <c r="L804" s="874"/>
      <c r="M804" s="874"/>
      <c r="N804" s="874"/>
      <c r="O804" s="874"/>
      <c r="P804" s="874"/>
      <c r="Q804" s="874"/>
      <c r="R804" s="874"/>
      <c r="S804" s="874"/>
      <c r="T804" s="874"/>
      <c r="U804" s="874"/>
      <c r="V804" s="874"/>
      <c r="W804" s="874"/>
      <c r="X804" s="874"/>
      <c r="Y804" s="874"/>
      <c r="Z804" s="874"/>
    </row>
    <row r="805" spans="1:26" ht="18" customHeight="1" x14ac:dyDescent="0.35">
      <c r="A805" s="874"/>
      <c r="B805" s="874"/>
      <c r="C805" s="874"/>
      <c r="D805" s="874"/>
      <c r="E805" s="874"/>
      <c r="F805" s="874"/>
      <c r="G805" s="874"/>
      <c r="H805" s="874"/>
      <c r="I805" s="874"/>
      <c r="J805" s="874"/>
      <c r="K805" s="874"/>
      <c r="L805" s="874"/>
      <c r="M805" s="874"/>
      <c r="N805" s="874"/>
      <c r="O805" s="874"/>
      <c r="P805" s="874"/>
      <c r="Q805" s="874"/>
      <c r="R805" s="874"/>
      <c r="S805" s="874"/>
      <c r="T805" s="874"/>
      <c r="U805" s="874"/>
      <c r="V805" s="874"/>
      <c r="W805" s="874"/>
      <c r="X805" s="874"/>
      <c r="Y805" s="874"/>
      <c r="Z805" s="874"/>
    </row>
    <row r="806" spans="1:26" ht="18" customHeight="1" x14ac:dyDescent="0.35">
      <c r="A806" s="874"/>
      <c r="B806" s="874"/>
      <c r="C806" s="874"/>
      <c r="D806" s="874"/>
      <c r="E806" s="874"/>
      <c r="F806" s="874"/>
      <c r="G806" s="874"/>
      <c r="H806" s="874"/>
      <c r="I806" s="874"/>
      <c r="J806" s="874"/>
      <c r="K806" s="874"/>
      <c r="L806" s="874"/>
      <c r="M806" s="874"/>
      <c r="N806" s="874"/>
      <c r="O806" s="874"/>
      <c r="P806" s="874"/>
      <c r="Q806" s="874"/>
      <c r="R806" s="874"/>
      <c r="S806" s="874"/>
      <c r="T806" s="874"/>
      <c r="U806" s="874"/>
      <c r="V806" s="874"/>
      <c r="W806" s="874"/>
      <c r="X806" s="874"/>
      <c r="Y806" s="874"/>
      <c r="Z806" s="874"/>
    </row>
    <row r="807" spans="1:26" ht="18" customHeight="1" x14ac:dyDescent="0.35">
      <c r="A807" s="874"/>
      <c r="B807" s="874"/>
      <c r="C807" s="874"/>
      <c r="D807" s="874"/>
      <c r="E807" s="874"/>
      <c r="F807" s="874"/>
      <c r="G807" s="874"/>
      <c r="H807" s="874"/>
      <c r="I807" s="874"/>
      <c r="J807" s="874"/>
      <c r="K807" s="874"/>
      <c r="L807" s="874"/>
      <c r="M807" s="874"/>
      <c r="N807" s="874"/>
      <c r="O807" s="874"/>
      <c r="P807" s="874"/>
      <c r="Q807" s="874"/>
      <c r="R807" s="874"/>
      <c r="S807" s="874"/>
      <c r="T807" s="874"/>
      <c r="U807" s="874"/>
      <c r="V807" s="874"/>
      <c r="W807" s="874"/>
      <c r="X807" s="874"/>
      <c r="Y807" s="874"/>
      <c r="Z807" s="874"/>
    </row>
    <row r="808" spans="1:26" ht="18" customHeight="1" x14ac:dyDescent="0.35">
      <c r="A808" s="874"/>
      <c r="B808" s="874"/>
      <c r="C808" s="874"/>
      <c r="D808" s="874"/>
      <c r="E808" s="874"/>
      <c r="F808" s="874"/>
      <c r="G808" s="874"/>
      <c r="H808" s="874"/>
      <c r="I808" s="874"/>
      <c r="J808" s="874"/>
      <c r="K808" s="874"/>
      <c r="L808" s="874"/>
      <c r="M808" s="874"/>
      <c r="N808" s="874"/>
      <c r="O808" s="874"/>
      <c r="P808" s="874"/>
      <c r="Q808" s="874"/>
      <c r="R808" s="874"/>
      <c r="S808" s="874"/>
      <c r="T808" s="874"/>
      <c r="U808" s="874"/>
      <c r="V808" s="874"/>
      <c r="W808" s="874"/>
      <c r="X808" s="874"/>
      <c r="Y808" s="874"/>
      <c r="Z808" s="874"/>
    </row>
    <row r="809" spans="1:26" ht="18" customHeight="1" x14ac:dyDescent="0.35">
      <c r="A809" s="874"/>
      <c r="B809" s="874"/>
      <c r="C809" s="874"/>
      <c r="D809" s="874"/>
      <c r="E809" s="874"/>
      <c r="F809" s="874"/>
      <c r="G809" s="874"/>
      <c r="H809" s="874"/>
      <c r="I809" s="874"/>
      <c r="J809" s="874"/>
      <c r="K809" s="874"/>
      <c r="L809" s="874"/>
      <c r="M809" s="874"/>
      <c r="N809" s="874"/>
      <c r="O809" s="874"/>
      <c r="P809" s="874"/>
      <c r="Q809" s="874"/>
      <c r="R809" s="874"/>
      <c r="S809" s="874"/>
      <c r="T809" s="874"/>
      <c r="U809" s="874"/>
      <c r="V809" s="874"/>
      <c r="W809" s="874"/>
      <c r="X809" s="874"/>
      <c r="Y809" s="874"/>
      <c r="Z809" s="874"/>
    </row>
    <row r="810" spans="1:26" ht="18" customHeight="1" x14ac:dyDescent="0.35">
      <c r="A810" s="874"/>
      <c r="B810" s="874"/>
      <c r="C810" s="874"/>
      <c r="D810" s="874"/>
      <c r="E810" s="874"/>
      <c r="F810" s="874"/>
      <c r="G810" s="874"/>
      <c r="H810" s="874"/>
      <c r="I810" s="874"/>
      <c r="J810" s="874"/>
      <c r="K810" s="874"/>
      <c r="L810" s="874"/>
      <c r="M810" s="874"/>
      <c r="N810" s="874"/>
      <c r="O810" s="874"/>
      <c r="P810" s="874"/>
      <c r="Q810" s="874"/>
      <c r="R810" s="874"/>
      <c r="S810" s="874"/>
      <c r="T810" s="874"/>
      <c r="U810" s="874"/>
      <c r="V810" s="874"/>
      <c r="W810" s="874"/>
      <c r="X810" s="874"/>
      <c r="Y810" s="874"/>
      <c r="Z810" s="874"/>
    </row>
    <row r="811" spans="1:26" ht="18" customHeight="1" x14ac:dyDescent="0.35">
      <c r="A811" s="874"/>
      <c r="B811" s="874"/>
      <c r="C811" s="874"/>
      <c r="D811" s="874"/>
      <c r="E811" s="874"/>
      <c r="F811" s="874"/>
      <c r="G811" s="874"/>
      <c r="H811" s="874"/>
      <c r="I811" s="874"/>
      <c r="J811" s="874"/>
      <c r="K811" s="874"/>
      <c r="L811" s="874"/>
      <c r="M811" s="874"/>
      <c r="N811" s="874"/>
      <c r="O811" s="874"/>
      <c r="P811" s="874"/>
      <c r="Q811" s="874"/>
      <c r="R811" s="874"/>
      <c r="S811" s="874"/>
      <c r="T811" s="874"/>
      <c r="U811" s="874"/>
      <c r="V811" s="874"/>
      <c r="W811" s="874"/>
      <c r="X811" s="874"/>
      <c r="Y811" s="874"/>
      <c r="Z811" s="874"/>
    </row>
    <row r="812" spans="1:26" ht="18" customHeight="1" x14ac:dyDescent="0.35">
      <c r="A812" s="874"/>
      <c r="B812" s="874"/>
      <c r="C812" s="874"/>
      <c r="D812" s="874"/>
      <c r="E812" s="874"/>
      <c r="F812" s="874"/>
      <c r="G812" s="874"/>
      <c r="H812" s="874"/>
      <c r="I812" s="874"/>
      <c r="J812" s="874"/>
      <c r="K812" s="874"/>
      <c r="L812" s="874"/>
      <c r="M812" s="874"/>
      <c r="N812" s="874"/>
      <c r="O812" s="874"/>
      <c r="P812" s="874"/>
      <c r="Q812" s="874"/>
      <c r="R812" s="874"/>
      <c r="S812" s="874"/>
      <c r="T812" s="874"/>
      <c r="U812" s="874"/>
      <c r="V812" s="874"/>
      <c r="W812" s="874"/>
      <c r="X812" s="874"/>
      <c r="Y812" s="874"/>
      <c r="Z812" s="874"/>
    </row>
    <row r="813" spans="1:26" ht="18" customHeight="1" x14ac:dyDescent="0.35">
      <c r="A813" s="874"/>
      <c r="B813" s="874"/>
      <c r="C813" s="874"/>
      <c r="D813" s="874"/>
      <c r="E813" s="874"/>
      <c r="F813" s="874"/>
      <c r="G813" s="874"/>
      <c r="H813" s="874"/>
      <c r="I813" s="874"/>
      <c r="J813" s="874"/>
      <c r="K813" s="874"/>
      <c r="L813" s="874"/>
      <c r="M813" s="874"/>
      <c r="N813" s="874"/>
      <c r="O813" s="874"/>
      <c r="P813" s="874"/>
      <c r="Q813" s="874"/>
      <c r="R813" s="874"/>
      <c r="S813" s="874"/>
      <c r="T813" s="874"/>
      <c r="U813" s="874"/>
      <c r="V813" s="874"/>
      <c r="W813" s="874"/>
      <c r="X813" s="874"/>
      <c r="Y813" s="874"/>
      <c r="Z813" s="874"/>
    </row>
    <row r="814" spans="1:26" ht="18" customHeight="1" x14ac:dyDescent="0.35">
      <c r="A814" s="874"/>
      <c r="B814" s="874"/>
      <c r="C814" s="874"/>
      <c r="D814" s="874"/>
      <c r="E814" s="874"/>
      <c r="F814" s="874"/>
      <c r="G814" s="874"/>
      <c r="H814" s="874"/>
      <c r="I814" s="874"/>
      <c r="J814" s="874"/>
      <c r="K814" s="874"/>
      <c r="L814" s="874"/>
      <c r="M814" s="874"/>
      <c r="N814" s="874"/>
      <c r="O814" s="874"/>
      <c r="P814" s="874"/>
      <c r="Q814" s="874"/>
      <c r="R814" s="874"/>
      <c r="S814" s="874"/>
      <c r="T814" s="874"/>
      <c r="U814" s="874"/>
      <c r="V814" s="874"/>
      <c r="W814" s="874"/>
      <c r="X814" s="874"/>
      <c r="Y814" s="874"/>
      <c r="Z814" s="874"/>
    </row>
    <row r="815" spans="1:26" ht="18" customHeight="1" x14ac:dyDescent="0.35">
      <c r="A815" s="874"/>
      <c r="B815" s="874"/>
      <c r="C815" s="874"/>
      <c r="D815" s="874"/>
      <c r="E815" s="874"/>
      <c r="F815" s="874"/>
      <c r="G815" s="874"/>
      <c r="H815" s="874"/>
      <c r="I815" s="874"/>
      <c r="J815" s="874"/>
      <c r="K815" s="874"/>
      <c r="L815" s="874"/>
      <c r="M815" s="874"/>
      <c r="N815" s="874"/>
      <c r="O815" s="874"/>
      <c r="P815" s="874"/>
      <c r="Q815" s="874"/>
      <c r="R815" s="874"/>
      <c r="S815" s="874"/>
      <c r="T815" s="874"/>
      <c r="U815" s="874"/>
      <c r="V815" s="874"/>
      <c r="W815" s="874"/>
      <c r="X815" s="874"/>
      <c r="Y815" s="874"/>
      <c r="Z815" s="874"/>
    </row>
    <row r="816" spans="1:26" ht="18" customHeight="1" x14ac:dyDescent="0.35">
      <c r="A816" s="874"/>
      <c r="B816" s="874"/>
      <c r="C816" s="874"/>
      <c r="D816" s="874"/>
      <c r="E816" s="874"/>
      <c r="F816" s="874"/>
      <c r="G816" s="874"/>
      <c r="H816" s="874"/>
      <c r="I816" s="874"/>
      <c r="J816" s="874"/>
      <c r="K816" s="874"/>
      <c r="L816" s="874"/>
      <c r="M816" s="874"/>
      <c r="N816" s="874"/>
      <c r="O816" s="874"/>
      <c r="P816" s="874"/>
      <c r="Q816" s="874"/>
      <c r="R816" s="874"/>
      <c r="S816" s="874"/>
      <c r="T816" s="874"/>
      <c r="U816" s="874"/>
      <c r="V816" s="874"/>
      <c r="W816" s="874"/>
      <c r="X816" s="874"/>
      <c r="Y816" s="874"/>
      <c r="Z816" s="874"/>
    </row>
    <row r="817" spans="1:26" ht="18" customHeight="1" x14ac:dyDescent="0.35">
      <c r="A817" s="874"/>
      <c r="B817" s="874"/>
      <c r="C817" s="874"/>
      <c r="D817" s="874"/>
      <c r="E817" s="874"/>
      <c r="F817" s="874"/>
      <c r="G817" s="874"/>
      <c r="H817" s="874"/>
      <c r="I817" s="874"/>
      <c r="J817" s="874"/>
      <c r="K817" s="874"/>
      <c r="L817" s="874"/>
      <c r="M817" s="874"/>
      <c r="N817" s="874"/>
      <c r="O817" s="874"/>
      <c r="P817" s="874"/>
      <c r="Q817" s="874"/>
      <c r="R817" s="874"/>
      <c r="S817" s="874"/>
      <c r="T817" s="874"/>
      <c r="U817" s="874"/>
      <c r="V817" s="874"/>
      <c r="W817" s="874"/>
      <c r="X817" s="874"/>
      <c r="Y817" s="874"/>
      <c r="Z817" s="874"/>
    </row>
    <row r="818" spans="1:26" ht="18" customHeight="1" x14ac:dyDescent="0.35">
      <c r="A818" s="874"/>
      <c r="B818" s="874"/>
      <c r="C818" s="874"/>
      <c r="D818" s="874"/>
      <c r="E818" s="874"/>
      <c r="F818" s="874"/>
      <c r="G818" s="874"/>
      <c r="H818" s="874"/>
      <c r="I818" s="874"/>
      <c r="J818" s="874"/>
      <c r="K818" s="874"/>
      <c r="L818" s="874"/>
      <c r="M818" s="874"/>
      <c r="N818" s="874"/>
      <c r="O818" s="874"/>
      <c r="P818" s="874"/>
      <c r="Q818" s="874"/>
      <c r="R818" s="874"/>
      <c r="S818" s="874"/>
      <c r="T818" s="874"/>
      <c r="U818" s="874"/>
      <c r="V818" s="874"/>
      <c r="W818" s="874"/>
      <c r="X818" s="874"/>
      <c r="Y818" s="874"/>
      <c r="Z818" s="874"/>
    </row>
    <row r="819" spans="1:26" ht="18" customHeight="1" x14ac:dyDescent="0.35">
      <c r="A819" s="874"/>
      <c r="B819" s="874"/>
      <c r="C819" s="874"/>
      <c r="D819" s="874"/>
      <c r="E819" s="874"/>
      <c r="F819" s="874"/>
      <c r="G819" s="874"/>
      <c r="H819" s="874"/>
      <c r="I819" s="874"/>
      <c r="J819" s="874"/>
      <c r="K819" s="874"/>
      <c r="L819" s="874"/>
      <c r="M819" s="874"/>
      <c r="N819" s="874"/>
      <c r="O819" s="874"/>
      <c r="P819" s="874"/>
      <c r="Q819" s="874"/>
      <c r="R819" s="874"/>
      <c r="S819" s="874"/>
      <c r="T819" s="874"/>
      <c r="U819" s="874"/>
      <c r="V819" s="874"/>
      <c r="W819" s="874"/>
      <c r="X819" s="874"/>
      <c r="Y819" s="874"/>
      <c r="Z819" s="874"/>
    </row>
    <row r="820" spans="1:26" ht="18" customHeight="1" x14ac:dyDescent="0.35">
      <c r="A820" s="874"/>
      <c r="B820" s="874"/>
      <c r="C820" s="874"/>
      <c r="D820" s="874"/>
      <c r="E820" s="874"/>
      <c r="F820" s="874"/>
      <c r="G820" s="874"/>
      <c r="H820" s="874"/>
      <c r="I820" s="874"/>
      <c r="J820" s="874"/>
      <c r="K820" s="874"/>
      <c r="L820" s="874"/>
      <c r="M820" s="874"/>
      <c r="N820" s="874"/>
      <c r="O820" s="874"/>
      <c r="P820" s="874"/>
      <c r="Q820" s="874"/>
      <c r="R820" s="874"/>
      <c r="S820" s="874"/>
      <c r="T820" s="874"/>
      <c r="U820" s="874"/>
      <c r="V820" s="874"/>
      <c r="W820" s="874"/>
      <c r="X820" s="874"/>
      <c r="Y820" s="874"/>
      <c r="Z820" s="874"/>
    </row>
    <row r="821" spans="1:26" ht="18" customHeight="1" x14ac:dyDescent="0.35">
      <c r="A821" s="874"/>
      <c r="B821" s="874"/>
      <c r="C821" s="874"/>
      <c r="D821" s="874"/>
      <c r="E821" s="874"/>
      <c r="F821" s="874"/>
      <c r="G821" s="874"/>
      <c r="H821" s="874"/>
      <c r="I821" s="874"/>
      <c r="J821" s="874"/>
      <c r="K821" s="874"/>
      <c r="L821" s="874"/>
      <c r="M821" s="874"/>
      <c r="N821" s="874"/>
      <c r="O821" s="874"/>
      <c r="P821" s="874"/>
      <c r="Q821" s="874"/>
      <c r="R821" s="874"/>
      <c r="S821" s="874"/>
      <c r="T821" s="874"/>
      <c r="U821" s="874"/>
      <c r="V821" s="874"/>
      <c r="W821" s="874"/>
      <c r="X821" s="874"/>
      <c r="Y821" s="874"/>
      <c r="Z821" s="874"/>
    </row>
    <row r="822" spans="1:26" ht="18" customHeight="1" x14ac:dyDescent="0.35">
      <c r="A822" s="874"/>
      <c r="B822" s="874"/>
      <c r="C822" s="874"/>
      <c r="D822" s="874"/>
      <c r="E822" s="874"/>
      <c r="F822" s="874"/>
      <c r="G822" s="874"/>
      <c r="H822" s="874"/>
      <c r="I822" s="874"/>
      <c r="J822" s="874"/>
      <c r="K822" s="874"/>
      <c r="L822" s="874"/>
      <c r="M822" s="874"/>
      <c r="N822" s="874"/>
      <c r="O822" s="874"/>
      <c r="P822" s="874"/>
      <c r="Q822" s="874"/>
      <c r="R822" s="874"/>
      <c r="S822" s="874"/>
      <c r="T822" s="874"/>
      <c r="U822" s="874"/>
      <c r="V822" s="874"/>
      <c r="W822" s="874"/>
      <c r="X822" s="874"/>
      <c r="Y822" s="874"/>
      <c r="Z822" s="874"/>
    </row>
    <row r="823" spans="1:26" ht="18" customHeight="1" x14ac:dyDescent="0.35">
      <c r="A823" s="874"/>
      <c r="B823" s="874"/>
      <c r="C823" s="874"/>
      <c r="D823" s="874"/>
      <c r="E823" s="874"/>
      <c r="F823" s="874"/>
      <c r="G823" s="874"/>
      <c r="H823" s="874"/>
      <c r="I823" s="874"/>
      <c r="J823" s="874"/>
      <c r="K823" s="874"/>
      <c r="L823" s="874"/>
      <c r="M823" s="874"/>
      <c r="N823" s="874"/>
      <c r="O823" s="874"/>
      <c r="P823" s="874"/>
      <c r="Q823" s="874"/>
      <c r="R823" s="874"/>
      <c r="S823" s="874"/>
      <c r="T823" s="874"/>
      <c r="U823" s="874"/>
      <c r="V823" s="874"/>
      <c r="W823" s="874"/>
      <c r="X823" s="874"/>
      <c r="Y823" s="874"/>
      <c r="Z823" s="874"/>
    </row>
    <row r="824" spans="1:26" ht="18" customHeight="1" x14ac:dyDescent="0.35">
      <c r="A824" s="874"/>
      <c r="B824" s="874"/>
      <c r="C824" s="874"/>
      <c r="D824" s="874"/>
      <c r="E824" s="874"/>
      <c r="F824" s="874"/>
      <c r="G824" s="874"/>
      <c r="H824" s="874"/>
      <c r="I824" s="874"/>
      <c r="J824" s="874"/>
      <c r="K824" s="874"/>
      <c r="L824" s="874"/>
      <c r="M824" s="874"/>
      <c r="N824" s="874"/>
      <c r="O824" s="874"/>
      <c r="P824" s="874"/>
      <c r="Q824" s="874"/>
      <c r="R824" s="874"/>
      <c r="S824" s="874"/>
      <c r="T824" s="874"/>
      <c r="U824" s="874"/>
      <c r="V824" s="874"/>
      <c r="W824" s="874"/>
      <c r="X824" s="874"/>
      <c r="Y824" s="874"/>
      <c r="Z824" s="874"/>
    </row>
    <row r="825" spans="1:26" ht="18" customHeight="1" x14ac:dyDescent="0.35">
      <c r="A825" s="874"/>
      <c r="B825" s="874"/>
      <c r="C825" s="874"/>
      <c r="D825" s="874"/>
      <c r="E825" s="874"/>
      <c r="F825" s="874"/>
      <c r="G825" s="874"/>
      <c r="H825" s="874"/>
      <c r="I825" s="874"/>
      <c r="J825" s="874"/>
      <c r="K825" s="874"/>
      <c r="L825" s="874"/>
      <c r="M825" s="874"/>
      <c r="N825" s="874"/>
      <c r="O825" s="874"/>
      <c r="P825" s="874"/>
      <c r="Q825" s="874"/>
      <c r="R825" s="874"/>
      <c r="S825" s="874"/>
      <c r="T825" s="874"/>
      <c r="U825" s="874"/>
      <c r="V825" s="874"/>
      <c r="W825" s="874"/>
      <c r="X825" s="874"/>
      <c r="Y825" s="874"/>
      <c r="Z825" s="874"/>
    </row>
    <row r="826" spans="1:26" ht="18" customHeight="1" x14ac:dyDescent="0.35">
      <c r="A826" s="874"/>
      <c r="B826" s="874"/>
      <c r="C826" s="874"/>
      <c r="D826" s="874"/>
      <c r="E826" s="874"/>
      <c r="F826" s="874"/>
      <c r="G826" s="874"/>
      <c r="H826" s="874"/>
      <c r="I826" s="874"/>
      <c r="J826" s="874"/>
      <c r="K826" s="874"/>
      <c r="L826" s="874"/>
      <c r="M826" s="874"/>
      <c r="N826" s="874"/>
      <c r="O826" s="874"/>
      <c r="P826" s="874"/>
      <c r="Q826" s="874"/>
      <c r="R826" s="874"/>
      <c r="S826" s="874"/>
      <c r="T826" s="874"/>
      <c r="U826" s="874"/>
      <c r="V826" s="874"/>
      <c r="W826" s="874"/>
      <c r="X826" s="874"/>
      <c r="Y826" s="874"/>
      <c r="Z826" s="874"/>
    </row>
    <row r="827" spans="1:26" ht="18" customHeight="1" x14ac:dyDescent="0.35">
      <c r="A827" s="874"/>
      <c r="B827" s="874"/>
      <c r="C827" s="874"/>
      <c r="D827" s="874"/>
      <c r="E827" s="874"/>
      <c r="F827" s="874"/>
      <c r="G827" s="874"/>
      <c r="H827" s="874"/>
      <c r="I827" s="874"/>
      <c r="J827" s="874"/>
      <c r="K827" s="874"/>
      <c r="L827" s="874"/>
      <c r="M827" s="874"/>
      <c r="N827" s="874"/>
      <c r="O827" s="874"/>
      <c r="P827" s="874"/>
      <c r="Q827" s="874"/>
      <c r="R827" s="874"/>
      <c r="S827" s="874"/>
      <c r="T827" s="874"/>
      <c r="U827" s="874"/>
      <c r="V827" s="874"/>
      <c r="W827" s="874"/>
      <c r="X827" s="874"/>
      <c r="Y827" s="874"/>
      <c r="Z827" s="874"/>
    </row>
    <row r="828" spans="1:26" ht="18" customHeight="1" x14ac:dyDescent="0.35">
      <c r="A828" s="874"/>
      <c r="B828" s="874"/>
      <c r="C828" s="874"/>
      <c r="D828" s="874"/>
      <c r="E828" s="874"/>
      <c r="F828" s="874"/>
      <c r="G828" s="874"/>
      <c r="H828" s="874"/>
      <c r="I828" s="874"/>
      <c r="J828" s="874"/>
      <c r="K828" s="874"/>
      <c r="L828" s="874"/>
      <c r="M828" s="874"/>
      <c r="N828" s="874"/>
      <c r="O828" s="874"/>
      <c r="P828" s="874"/>
      <c r="Q828" s="874"/>
      <c r="R828" s="874"/>
      <c r="S828" s="874"/>
      <c r="T828" s="874"/>
      <c r="U828" s="874"/>
      <c r="V828" s="874"/>
      <c r="W828" s="874"/>
      <c r="X828" s="874"/>
      <c r="Y828" s="874"/>
      <c r="Z828" s="874"/>
    </row>
    <row r="829" spans="1:26" ht="18" customHeight="1" x14ac:dyDescent="0.35">
      <c r="A829" s="874"/>
      <c r="B829" s="874"/>
      <c r="C829" s="874"/>
      <c r="D829" s="874"/>
      <c r="E829" s="874"/>
      <c r="F829" s="874"/>
      <c r="G829" s="874"/>
      <c r="H829" s="874"/>
      <c r="I829" s="874"/>
      <c r="J829" s="874"/>
      <c r="K829" s="874"/>
      <c r="L829" s="874"/>
      <c r="M829" s="874"/>
      <c r="N829" s="874"/>
      <c r="O829" s="874"/>
      <c r="P829" s="874"/>
      <c r="Q829" s="874"/>
      <c r="R829" s="874"/>
      <c r="S829" s="874"/>
      <c r="T829" s="874"/>
      <c r="U829" s="874"/>
      <c r="V829" s="874"/>
      <c r="W829" s="874"/>
      <c r="X829" s="874"/>
      <c r="Y829" s="874"/>
      <c r="Z829" s="874"/>
    </row>
    <row r="830" spans="1:26" ht="18" customHeight="1" x14ac:dyDescent="0.35">
      <c r="A830" s="874"/>
      <c r="B830" s="874"/>
      <c r="C830" s="874"/>
      <c r="D830" s="874"/>
      <c r="E830" s="874"/>
      <c r="F830" s="874"/>
      <c r="G830" s="874"/>
      <c r="H830" s="874"/>
      <c r="I830" s="874"/>
      <c r="J830" s="874"/>
      <c r="K830" s="874"/>
      <c r="L830" s="874"/>
      <c r="M830" s="874"/>
      <c r="N830" s="874"/>
      <c r="O830" s="874"/>
      <c r="P830" s="874"/>
      <c r="Q830" s="874"/>
      <c r="R830" s="874"/>
      <c r="S830" s="874"/>
      <c r="T830" s="874"/>
      <c r="U830" s="874"/>
      <c r="V830" s="874"/>
      <c r="W830" s="874"/>
      <c r="X830" s="874"/>
      <c r="Y830" s="874"/>
      <c r="Z830" s="874"/>
    </row>
    <row r="831" spans="1:26" ht="18" customHeight="1" x14ac:dyDescent="0.35">
      <c r="A831" s="874"/>
      <c r="B831" s="874"/>
      <c r="C831" s="874"/>
      <c r="D831" s="874"/>
      <c r="E831" s="874"/>
      <c r="F831" s="874"/>
      <c r="G831" s="874"/>
      <c r="H831" s="874"/>
      <c r="I831" s="874"/>
      <c r="J831" s="874"/>
      <c r="K831" s="874"/>
      <c r="L831" s="874"/>
      <c r="M831" s="874"/>
      <c r="N831" s="874"/>
      <c r="O831" s="874"/>
      <c r="P831" s="874"/>
      <c r="Q831" s="874"/>
      <c r="R831" s="874"/>
      <c r="S831" s="874"/>
      <c r="T831" s="874"/>
      <c r="U831" s="874"/>
      <c r="V831" s="874"/>
      <c r="W831" s="874"/>
      <c r="X831" s="874"/>
      <c r="Y831" s="874"/>
      <c r="Z831" s="874"/>
    </row>
    <row r="832" spans="1:26" ht="18" customHeight="1" x14ac:dyDescent="0.35">
      <c r="A832" s="874"/>
      <c r="B832" s="874"/>
      <c r="C832" s="874"/>
      <c r="D832" s="874"/>
      <c r="E832" s="874"/>
      <c r="F832" s="874"/>
      <c r="G832" s="874"/>
      <c r="H832" s="874"/>
      <c r="I832" s="874"/>
      <c r="J832" s="874"/>
      <c r="K832" s="874"/>
      <c r="L832" s="874"/>
      <c r="M832" s="874"/>
      <c r="N832" s="874"/>
      <c r="O832" s="874"/>
      <c r="P832" s="874"/>
      <c r="Q832" s="874"/>
      <c r="R832" s="874"/>
      <c r="S832" s="874"/>
      <c r="T832" s="874"/>
      <c r="U832" s="874"/>
      <c r="V832" s="874"/>
      <c r="W832" s="874"/>
      <c r="X832" s="874"/>
      <c r="Y832" s="874"/>
      <c r="Z832" s="874"/>
    </row>
    <row r="833" spans="1:26" ht="18" customHeight="1" x14ac:dyDescent="0.35">
      <c r="A833" s="874"/>
      <c r="B833" s="874"/>
      <c r="C833" s="874"/>
      <c r="D833" s="874"/>
      <c r="E833" s="874"/>
      <c r="F833" s="874"/>
      <c r="G833" s="874"/>
      <c r="H833" s="874"/>
      <c r="I833" s="874"/>
      <c r="J833" s="874"/>
      <c r="K833" s="874"/>
      <c r="L833" s="874"/>
      <c r="M833" s="874"/>
      <c r="N833" s="874"/>
      <c r="O833" s="874"/>
      <c r="P833" s="874"/>
      <c r="Q833" s="874"/>
      <c r="R833" s="874"/>
      <c r="S833" s="874"/>
      <c r="T833" s="874"/>
      <c r="U833" s="874"/>
      <c r="V833" s="874"/>
      <c r="W833" s="874"/>
      <c r="X833" s="874"/>
      <c r="Y833" s="874"/>
      <c r="Z833" s="874"/>
    </row>
    <row r="834" spans="1:26" ht="18" customHeight="1" x14ac:dyDescent="0.35">
      <c r="A834" s="874"/>
      <c r="B834" s="874"/>
      <c r="C834" s="874"/>
      <c r="D834" s="874"/>
      <c r="E834" s="874"/>
      <c r="F834" s="874"/>
      <c r="G834" s="874"/>
      <c r="H834" s="874"/>
      <c r="I834" s="874"/>
      <c r="J834" s="874"/>
      <c r="K834" s="874"/>
      <c r="L834" s="874"/>
      <c r="M834" s="874"/>
      <c r="N834" s="874"/>
      <c r="O834" s="874"/>
      <c r="P834" s="874"/>
      <c r="Q834" s="874"/>
      <c r="R834" s="874"/>
      <c r="S834" s="874"/>
      <c r="T834" s="874"/>
      <c r="U834" s="874"/>
      <c r="V834" s="874"/>
      <c r="W834" s="874"/>
      <c r="X834" s="874"/>
      <c r="Y834" s="874"/>
      <c r="Z834" s="874"/>
    </row>
    <row r="835" spans="1:26" ht="18" customHeight="1" x14ac:dyDescent="0.35">
      <c r="A835" s="874"/>
      <c r="B835" s="874"/>
      <c r="C835" s="874"/>
      <c r="D835" s="874"/>
      <c r="E835" s="874"/>
      <c r="F835" s="874"/>
      <c r="G835" s="874"/>
      <c r="H835" s="874"/>
      <c r="I835" s="874"/>
      <c r="J835" s="874"/>
      <c r="K835" s="874"/>
      <c r="L835" s="874"/>
      <c r="M835" s="874"/>
      <c r="N835" s="874"/>
      <c r="O835" s="874"/>
      <c r="P835" s="874"/>
      <c r="Q835" s="874"/>
      <c r="R835" s="874"/>
      <c r="S835" s="874"/>
      <c r="T835" s="874"/>
      <c r="U835" s="874"/>
      <c r="V835" s="874"/>
      <c r="W835" s="874"/>
      <c r="X835" s="874"/>
      <c r="Y835" s="874"/>
      <c r="Z835" s="874"/>
    </row>
    <row r="836" spans="1:26" ht="18" customHeight="1" x14ac:dyDescent="0.35">
      <c r="A836" s="874"/>
      <c r="B836" s="874"/>
      <c r="C836" s="874"/>
      <c r="D836" s="874"/>
      <c r="E836" s="874"/>
      <c r="F836" s="874"/>
      <c r="G836" s="874"/>
      <c r="H836" s="874"/>
      <c r="I836" s="874"/>
      <c r="J836" s="874"/>
      <c r="K836" s="874"/>
      <c r="L836" s="874"/>
      <c r="M836" s="874"/>
      <c r="N836" s="874"/>
      <c r="O836" s="874"/>
      <c r="P836" s="874"/>
      <c r="Q836" s="874"/>
      <c r="R836" s="874"/>
      <c r="S836" s="874"/>
      <c r="T836" s="874"/>
      <c r="U836" s="874"/>
      <c r="V836" s="874"/>
      <c r="W836" s="874"/>
      <c r="X836" s="874"/>
      <c r="Y836" s="874"/>
      <c r="Z836" s="874"/>
    </row>
    <row r="837" spans="1:26" ht="18" customHeight="1" x14ac:dyDescent="0.35">
      <c r="A837" s="874"/>
      <c r="B837" s="874"/>
      <c r="C837" s="874"/>
      <c r="D837" s="874"/>
      <c r="E837" s="874"/>
      <c r="F837" s="874"/>
      <c r="G837" s="874"/>
      <c r="H837" s="874"/>
      <c r="I837" s="874"/>
      <c r="J837" s="874"/>
      <c r="K837" s="874"/>
      <c r="L837" s="874"/>
      <c r="M837" s="874"/>
      <c r="N837" s="874"/>
      <c r="O837" s="874"/>
      <c r="P837" s="874"/>
      <c r="Q837" s="874"/>
      <c r="R837" s="874"/>
      <c r="S837" s="874"/>
      <c r="T837" s="874"/>
      <c r="U837" s="874"/>
      <c r="V837" s="874"/>
      <c r="W837" s="874"/>
      <c r="X837" s="874"/>
      <c r="Y837" s="874"/>
      <c r="Z837" s="874"/>
    </row>
    <row r="838" spans="1:26" ht="18" customHeight="1" x14ac:dyDescent="0.35">
      <c r="A838" s="874"/>
      <c r="B838" s="874"/>
      <c r="C838" s="874"/>
      <c r="D838" s="874"/>
      <c r="E838" s="874"/>
      <c r="F838" s="874"/>
      <c r="G838" s="874"/>
      <c r="H838" s="874"/>
      <c r="I838" s="874"/>
      <c r="J838" s="874"/>
      <c r="K838" s="874"/>
      <c r="L838" s="874"/>
      <c r="M838" s="874"/>
      <c r="N838" s="874"/>
      <c r="O838" s="874"/>
      <c r="P838" s="874"/>
      <c r="Q838" s="874"/>
      <c r="R838" s="874"/>
      <c r="S838" s="874"/>
      <c r="T838" s="874"/>
      <c r="U838" s="874"/>
      <c r="V838" s="874"/>
      <c r="W838" s="874"/>
      <c r="X838" s="874"/>
      <c r="Y838" s="874"/>
      <c r="Z838" s="874"/>
    </row>
    <row r="839" spans="1:26" ht="18" customHeight="1" x14ac:dyDescent="0.35">
      <c r="A839" s="874"/>
      <c r="B839" s="874"/>
      <c r="C839" s="874"/>
      <c r="D839" s="874"/>
      <c r="E839" s="874"/>
      <c r="F839" s="874"/>
      <c r="G839" s="874"/>
      <c r="H839" s="874"/>
      <c r="I839" s="874"/>
      <c r="J839" s="874"/>
      <c r="K839" s="874"/>
      <c r="L839" s="874"/>
      <c r="M839" s="874"/>
      <c r="N839" s="874"/>
      <c r="O839" s="874"/>
      <c r="P839" s="874"/>
      <c r="Q839" s="874"/>
      <c r="R839" s="874"/>
      <c r="S839" s="874"/>
      <c r="T839" s="874"/>
      <c r="U839" s="874"/>
      <c r="V839" s="874"/>
      <c r="W839" s="874"/>
      <c r="X839" s="874"/>
      <c r="Y839" s="874"/>
      <c r="Z839" s="874"/>
    </row>
    <row r="840" spans="1:26" ht="18" customHeight="1" x14ac:dyDescent="0.35">
      <c r="A840" s="874"/>
      <c r="B840" s="874"/>
      <c r="C840" s="874"/>
      <c r="D840" s="874"/>
      <c r="E840" s="874"/>
      <c r="F840" s="874"/>
      <c r="G840" s="874"/>
      <c r="H840" s="874"/>
      <c r="I840" s="874"/>
      <c r="J840" s="874"/>
      <c r="K840" s="874"/>
      <c r="L840" s="874"/>
      <c r="M840" s="874"/>
      <c r="N840" s="874"/>
      <c r="O840" s="874"/>
      <c r="P840" s="874"/>
      <c r="Q840" s="874"/>
      <c r="R840" s="874"/>
      <c r="S840" s="874"/>
      <c r="T840" s="874"/>
      <c r="U840" s="874"/>
      <c r="V840" s="874"/>
      <c r="W840" s="874"/>
      <c r="X840" s="874"/>
      <c r="Y840" s="874"/>
      <c r="Z840" s="874"/>
    </row>
    <row r="841" spans="1:26" ht="18" customHeight="1" x14ac:dyDescent="0.35">
      <c r="A841" s="874"/>
      <c r="B841" s="874"/>
      <c r="C841" s="874"/>
      <c r="D841" s="874"/>
      <c r="E841" s="874"/>
      <c r="F841" s="874"/>
      <c r="G841" s="874"/>
      <c r="H841" s="874"/>
      <c r="I841" s="874"/>
      <c r="J841" s="874"/>
      <c r="K841" s="874"/>
      <c r="L841" s="874"/>
      <c r="M841" s="874"/>
      <c r="N841" s="874"/>
      <c r="O841" s="874"/>
      <c r="P841" s="874"/>
      <c r="Q841" s="874"/>
      <c r="R841" s="874"/>
      <c r="S841" s="874"/>
      <c r="T841" s="874"/>
      <c r="U841" s="874"/>
      <c r="V841" s="874"/>
      <c r="W841" s="874"/>
      <c r="X841" s="874"/>
      <c r="Y841" s="874"/>
      <c r="Z841" s="874"/>
    </row>
    <row r="842" spans="1:26" ht="18" customHeight="1" x14ac:dyDescent="0.35">
      <c r="A842" s="874"/>
      <c r="B842" s="874"/>
      <c r="C842" s="874"/>
      <c r="D842" s="874"/>
      <c r="E842" s="874"/>
      <c r="F842" s="874"/>
      <c r="G842" s="874"/>
      <c r="H842" s="874"/>
      <c r="I842" s="874"/>
      <c r="J842" s="874"/>
      <c r="K842" s="874"/>
      <c r="L842" s="874"/>
      <c r="M842" s="874"/>
      <c r="N842" s="874"/>
      <c r="O842" s="874"/>
      <c r="P842" s="874"/>
      <c r="Q842" s="874"/>
      <c r="R842" s="874"/>
      <c r="S842" s="874"/>
      <c r="T842" s="874"/>
      <c r="U842" s="874"/>
      <c r="V842" s="874"/>
      <c r="W842" s="874"/>
      <c r="X842" s="874"/>
      <c r="Y842" s="874"/>
      <c r="Z842" s="874"/>
    </row>
    <row r="843" spans="1:26" ht="18" customHeight="1" x14ac:dyDescent="0.35">
      <c r="A843" s="874"/>
      <c r="B843" s="874"/>
      <c r="C843" s="874"/>
      <c r="D843" s="874"/>
      <c r="E843" s="874"/>
      <c r="F843" s="874"/>
      <c r="G843" s="874"/>
      <c r="H843" s="874"/>
      <c r="I843" s="874"/>
      <c r="J843" s="874"/>
      <c r="K843" s="874"/>
      <c r="L843" s="874"/>
      <c r="M843" s="874"/>
      <c r="N843" s="874"/>
      <c r="O843" s="874"/>
      <c r="P843" s="874"/>
      <c r="Q843" s="874"/>
      <c r="R843" s="874"/>
      <c r="S843" s="874"/>
      <c r="T843" s="874"/>
      <c r="U843" s="874"/>
      <c r="V843" s="874"/>
      <c r="W843" s="874"/>
      <c r="X843" s="874"/>
      <c r="Y843" s="874"/>
      <c r="Z843" s="874"/>
    </row>
    <row r="844" spans="1:26" ht="18" customHeight="1" x14ac:dyDescent="0.35">
      <c r="A844" s="874"/>
      <c r="B844" s="874"/>
      <c r="C844" s="874"/>
      <c r="D844" s="874"/>
      <c r="E844" s="874"/>
      <c r="F844" s="874"/>
      <c r="G844" s="874"/>
      <c r="H844" s="874"/>
      <c r="I844" s="874"/>
      <c r="J844" s="874"/>
      <c r="K844" s="874"/>
      <c r="L844" s="874"/>
      <c r="M844" s="874"/>
      <c r="N844" s="874"/>
      <c r="O844" s="874"/>
      <c r="P844" s="874"/>
      <c r="Q844" s="874"/>
      <c r="R844" s="874"/>
      <c r="S844" s="874"/>
      <c r="T844" s="874"/>
      <c r="U844" s="874"/>
      <c r="V844" s="874"/>
      <c r="W844" s="874"/>
      <c r="X844" s="874"/>
      <c r="Y844" s="874"/>
      <c r="Z844" s="874"/>
    </row>
    <row r="845" spans="1:26" ht="18" customHeight="1" x14ac:dyDescent="0.35">
      <c r="A845" s="874"/>
      <c r="B845" s="874"/>
      <c r="C845" s="874"/>
      <c r="D845" s="874"/>
      <c r="E845" s="874"/>
      <c r="F845" s="874"/>
      <c r="G845" s="874"/>
      <c r="H845" s="874"/>
      <c r="I845" s="874"/>
      <c r="J845" s="874"/>
      <c r="K845" s="874"/>
      <c r="L845" s="874"/>
      <c r="M845" s="874"/>
      <c r="N845" s="874"/>
      <c r="O845" s="874"/>
      <c r="P845" s="874"/>
      <c r="Q845" s="874"/>
      <c r="R845" s="874"/>
      <c r="S845" s="874"/>
      <c r="T845" s="874"/>
      <c r="U845" s="874"/>
      <c r="V845" s="874"/>
      <c r="W845" s="874"/>
      <c r="X845" s="874"/>
      <c r="Y845" s="874"/>
      <c r="Z845" s="874"/>
    </row>
    <row r="846" spans="1:26" ht="18" customHeight="1" x14ac:dyDescent="0.35">
      <c r="A846" s="874"/>
      <c r="B846" s="874"/>
      <c r="C846" s="874"/>
      <c r="D846" s="874"/>
      <c r="E846" s="874"/>
      <c r="F846" s="874"/>
      <c r="G846" s="874"/>
      <c r="H846" s="874"/>
      <c r="I846" s="874"/>
      <c r="J846" s="874"/>
      <c r="K846" s="874"/>
      <c r="L846" s="874"/>
      <c r="M846" s="874"/>
      <c r="N846" s="874"/>
      <c r="O846" s="874"/>
      <c r="P846" s="874"/>
      <c r="Q846" s="874"/>
      <c r="R846" s="874"/>
      <c r="S846" s="874"/>
      <c r="T846" s="874"/>
      <c r="U846" s="874"/>
      <c r="V846" s="874"/>
      <c r="W846" s="874"/>
      <c r="X846" s="874"/>
      <c r="Y846" s="874"/>
      <c r="Z846" s="874"/>
    </row>
    <row r="847" spans="1:26" ht="18" customHeight="1" x14ac:dyDescent="0.35">
      <c r="A847" s="874"/>
      <c r="B847" s="874"/>
      <c r="C847" s="874"/>
      <c r="D847" s="874"/>
      <c r="E847" s="874"/>
      <c r="F847" s="874"/>
      <c r="G847" s="874"/>
      <c r="H847" s="874"/>
      <c r="I847" s="874"/>
      <c r="J847" s="874"/>
      <c r="K847" s="874"/>
      <c r="L847" s="874"/>
      <c r="M847" s="874"/>
      <c r="N847" s="874"/>
      <c r="O847" s="874"/>
      <c r="P847" s="874"/>
      <c r="Q847" s="874"/>
      <c r="R847" s="874"/>
      <c r="S847" s="874"/>
      <c r="T847" s="874"/>
      <c r="U847" s="874"/>
      <c r="V847" s="874"/>
      <c r="W847" s="874"/>
      <c r="X847" s="874"/>
      <c r="Y847" s="874"/>
      <c r="Z847" s="874"/>
    </row>
    <row r="848" spans="1:26" ht="18" customHeight="1" x14ac:dyDescent="0.35">
      <c r="A848" s="874"/>
      <c r="B848" s="874"/>
      <c r="C848" s="874"/>
      <c r="D848" s="874"/>
      <c r="E848" s="874"/>
      <c r="F848" s="874"/>
      <c r="G848" s="874"/>
      <c r="H848" s="874"/>
      <c r="I848" s="874"/>
      <c r="J848" s="874"/>
      <c r="K848" s="874"/>
      <c r="L848" s="874"/>
      <c r="M848" s="874"/>
      <c r="N848" s="874"/>
      <c r="O848" s="874"/>
      <c r="P848" s="874"/>
      <c r="Q848" s="874"/>
      <c r="R848" s="874"/>
      <c r="S848" s="874"/>
      <c r="T848" s="874"/>
      <c r="U848" s="874"/>
      <c r="V848" s="874"/>
      <c r="W848" s="874"/>
      <c r="X848" s="874"/>
      <c r="Y848" s="874"/>
      <c r="Z848" s="874"/>
    </row>
    <row r="849" spans="1:26" ht="18" customHeight="1" x14ac:dyDescent="0.35">
      <c r="A849" s="874"/>
      <c r="B849" s="874"/>
      <c r="C849" s="874"/>
      <c r="D849" s="874"/>
      <c r="E849" s="874"/>
      <c r="F849" s="874"/>
      <c r="G849" s="874"/>
      <c r="H849" s="874"/>
      <c r="I849" s="874"/>
      <c r="J849" s="874"/>
      <c r="K849" s="874"/>
      <c r="L849" s="874"/>
      <c r="M849" s="874"/>
      <c r="N849" s="874"/>
      <c r="O849" s="874"/>
      <c r="P849" s="874"/>
      <c r="Q849" s="874"/>
      <c r="R849" s="874"/>
      <c r="S849" s="874"/>
      <c r="T849" s="874"/>
      <c r="U849" s="874"/>
      <c r="V849" s="874"/>
      <c r="W849" s="874"/>
      <c r="X849" s="874"/>
      <c r="Y849" s="874"/>
      <c r="Z849" s="874"/>
    </row>
    <row r="850" spans="1:26" ht="18" customHeight="1" x14ac:dyDescent="0.35">
      <c r="A850" s="874"/>
      <c r="B850" s="874"/>
      <c r="C850" s="874"/>
      <c r="D850" s="874"/>
      <c r="E850" s="874"/>
      <c r="F850" s="874"/>
      <c r="G850" s="874"/>
      <c r="H850" s="874"/>
      <c r="I850" s="874"/>
      <c r="J850" s="874"/>
      <c r="K850" s="874"/>
      <c r="L850" s="874"/>
      <c r="M850" s="874"/>
      <c r="N850" s="874"/>
      <c r="O850" s="874"/>
      <c r="P850" s="874"/>
      <c r="Q850" s="874"/>
      <c r="R850" s="874"/>
      <c r="S850" s="874"/>
      <c r="T850" s="874"/>
      <c r="U850" s="874"/>
      <c r="V850" s="874"/>
      <c r="W850" s="874"/>
      <c r="X850" s="874"/>
      <c r="Y850" s="874"/>
      <c r="Z850" s="874"/>
    </row>
    <row r="851" spans="1:26" ht="18" customHeight="1" x14ac:dyDescent="0.35">
      <c r="A851" s="874"/>
      <c r="B851" s="874"/>
      <c r="C851" s="874"/>
      <c r="D851" s="874"/>
      <c r="E851" s="874"/>
      <c r="F851" s="874"/>
      <c r="G851" s="874"/>
      <c r="H851" s="874"/>
      <c r="I851" s="874"/>
      <c r="J851" s="874"/>
      <c r="K851" s="874"/>
      <c r="L851" s="874"/>
      <c r="M851" s="874"/>
      <c r="N851" s="874"/>
      <c r="O851" s="874"/>
      <c r="P851" s="874"/>
      <c r="Q851" s="874"/>
      <c r="R851" s="874"/>
      <c r="S851" s="874"/>
      <c r="T851" s="874"/>
      <c r="U851" s="874"/>
      <c r="V851" s="874"/>
      <c r="W851" s="874"/>
      <c r="X851" s="874"/>
      <c r="Y851" s="874"/>
      <c r="Z851" s="874"/>
    </row>
    <row r="852" spans="1:26" ht="18" customHeight="1" x14ac:dyDescent="0.35">
      <c r="A852" s="874"/>
      <c r="B852" s="874"/>
      <c r="C852" s="874"/>
      <c r="D852" s="874"/>
      <c r="E852" s="874"/>
      <c r="F852" s="874"/>
      <c r="G852" s="874"/>
      <c r="H852" s="874"/>
      <c r="I852" s="874"/>
      <c r="J852" s="874"/>
      <c r="K852" s="874"/>
      <c r="L852" s="874"/>
      <c r="M852" s="874"/>
      <c r="N852" s="874"/>
      <c r="O852" s="874"/>
      <c r="P852" s="874"/>
      <c r="Q852" s="874"/>
      <c r="R852" s="874"/>
      <c r="S852" s="874"/>
      <c r="T852" s="874"/>
      <c r="U852" s="874"/>
      <c r="V852" s="874"/>
      <c r="W852" s="874"/>
      <c r="X852" s="874"/>
      <c r="Y852" s="874"/>
      <c r="Z852" s="874"/>
    </row>
    <row r="853" spans="1:26" ht="18" customHeight="1" x14ac:dyDescent="0.35">
      <c r="A853" s="874"/>
      <c r="B853" s="874"/>
      <c r="C853" s="874"/>
      <c r="D853" s="874"/>
      <c r="E853" s="874"/>
      <c r="F853" s="874"/>
      <c r="G853" s="874"/>
      <c r="H853" s="874"/>
      <c r="I853" s="874"/>
      <c r="J853" s="874"/>
      <c r="K853" s="874"/>
      <c r="L853" s="874"/>
      <c r="M853" s="874"/>
      <c r="N853" s="874"/>
      <c r="O853" s="874"/>
      <c r="P853" s="874"/>
      <c r="Q853" s="874"/>
      <c r="R853" s="874"/>
      <c r="S853" s="874"/>
      <c r="T853" s="874"/>
      <c r="U853" s="874"/>
      <c r="V853" s="874"/>
      <c r="W853" s="874"/>
      <c r="X853" s="874"/>
      <c r="Y853" s="874"/>
      <c r="Z853" s="874"/>
    </row>
    <row r="854" spans="1:26" ht="18" customHeight="1" x14ac:dyDescent="0.35">
      <c r="A854" s="874"/>
      <c r="B854" s="874"/>
      <c r="C854" s="874"/>
      <c r="D854" s="874"/>
      <c r="E854" s="874"/>
      <c r="F854" s="874"/>
      <c r="G854" s="874"/>
      <c r="H854" s="874"/>
      <c r="I854" s="874"/>
      <c r="J854" s="874"/>
      <c r="K854" s="874"/>
      <c r="L854" s="874"/>
      <c r="M854" s="874"/>
      <c r="N854" s="874"/>
      <c r="O854" s="874"/>
      <c r="P854" s="874"/>
      <c r="Q854" s="874"/>
      <c r="R854" s="874"/>
      <c r="S854" s="874"/>
      <c r="T854" s="874"/>
      <c r="U854" s="874"/>
      <c r="V854" s="874"/>
      <c r="W854" s="874"/>
      <c r="X854" s="874"/>
      <c r="Y854" s="874"/>
      <c r="Z854" s="874"/>
    </row>
    <row r="855" spans="1:26" ht="18" customHeight="1" x14ac:dyDescent="0.35">
      <c r="A855" s="874"/>
      <c r="B855" s="874"/>
      <c r="C855" s="874"/>
      <c r="D855" s="874"/>
      <c r="E855" s="874"/>
      <c r="F855" s="874"/>
      <c r="G855" s="874"/>
      <c r="H855" s="874"/>
      <c r="I855" s="874"/>
      <c r="J855" s="874"/>
      <c r="K855" s="874"/>
      <c r="L855" s="874"/>
      <c r="M855" s="874"/>
      <c r="N855" s="874"/>
      <c r="O855" s="874"/>
      <c r="P855" s="874"/>
      <c r="Q855" s="874"/>
      <c r="R855" s="874"/>
      <c r="S855" s="874"/>
      <c r="T855" s="874"/>
      <c r="U855" s="874"/>
      <c r="V855" s="874"/>
      <c r="W855" s="874"/>
      <c r="X855" s="874"/>
      <c r="Y855" s="874"/>
      <c r="Z855" s="874"/>
    </row>
    <row r="856" spans="1:26" ht="18" customHeight="1" x14ac:dyDescent="0.35">
      <c r="A856" s="874"/>
      <c r="B856" s="874"/>
      <c r="C856" s="874"/>
      <c r="D856" s="874"/>
      <c r="E856" s="874"/>
      <c r="F856" s="874"/>
      <c r="G856" s="874"/>
      <c r="H856" s="874"/>
      <c r="I856" s="874"/>
      <c r="J856" s="874"/>
      <c r="K856" s="874"/>
      <c r="L856" s="874"/>
      <c r="M856" s="874"/>
      <c r="N856" s="874"/>
      <c r="O856" s="874"/>
      <c r="P856" s="874"/>
      <c r="Q856" s="874"/>
      <c r="R856" s="874"/>
      <c r="S856" s="874"/>
      <c r="T856" s="874"/>
      <c r="U856" s="874"/>
      <c r="V856" s="874"/>
      <c r="W856" s="874"/>
      <c r="X856" s="874"/>
      <c r="Y856" s="874"/>
      <c r="Z856" s="874"/>
    </row>
    <row r="857" spans="1:26" ht="18" customHeight="1" x14ac:dyDescent="0.35">
      <c r="A857" s="874"/>
      <c r="B857" s="874"/>
      <c r="C857" s="874"/>
      <c r="D857" s="874"/>
      <c r="E857" s="874"/>
      <c r="F857" s="874"/>
      <c r="G857" s="874"/>
      <c r="H857" s="874"/>
      <c r="I857" s="874"/>
      <c r="J857" s="874"/>
      <c r="K857" s="874"/>
      <c r="L857" s="874"/>
      <c r="M857" s="874"/>
      <c r="N857" s="874"/>
      <c r="O857" s="874"/>
      <c r="P857" s="874"/>
      <c r="Q857" s="874"/>
      <c r="R857" s="874"/>
      <c r="S857" s="874"/>
      <c r="T857" s="874"/>
      <c r="U857" s="874"/>
      <c r="V857" s="874"/>
      <c r="W857" s="874"/>
      <c r="X857" s="874"/>
      <c r="Y857" s="874"/>
      <c r="Z857" s="874"/>
    </row>
    <row r="858" spans="1:26" ht="18" customHeight="1" x14ac:dyDescent="0.35">
      <c r="A858" s="874"/>
      <c r="B858" s="874"/>
      <c r="C858" s="874"/>
      <c r="D858" s="874"/>
      <c r="E858" s="874"/>
      <c r="F858" s="874"/>
      <c r="G858" s="874"/>
      <c r="H858" s="874"/>
      <c r="I858" s="874"/>
      <c r="J858" s="874"/>
      <c r="K858" s="874"/>
      <c r="L858" s="874"/>
      <c r="M858" s="874"/>
      <c r="N858" s="874"/>
      <c r="O858" s="874"/>
      <c r="P858" s="874"/>
      <c r="Q858" s="874"/>
      <c r="R858" s="874"/>
      <c r="S858" s="874"/>
      <c r="T858" s="874"/>
      <c r="U858" s="874"/>
      <c r="V858" s="874"/>
      <c r="W858" s="874"/>
      <c r="X858" s="874"/>
      <c r="Y858" s="874"/>
      <c r="Z858" s="874"/>
    </row>
    <row r="859" spans="1:26" ht="18" customHeight="1" x14ac:dyDescent="0.35">
      <c r="A859" s="874"/>
      <c r="B859" s="874"/>
      <c r="C859" s="874"/>
      <c r="D859" s="874"/>
      <c r="E859" s="874"/>
      <c r="F859" s="874"/>
      <c r="G859" s="874"/>
      <c r="H859" s="874"/>
      <c r="I859" s="874"/>
      <c r="J859" s="874"/>
      <c r="K859" s="874"/>
      <c r="L859" s="874"/>
      <c r="M859" s="874"/>
      <c r="N859" s="874"/>
      <c r="O859" s="874"/>
      <c r="P859" s="874"/>
      <c r="Q859" s="874"/>
      <c r="R859" s="874"/>
      <c r="S859" s="874"/>
      <c r="T859" s="874"/>
      <c r="U859" s="874"/>
      <c r="V859" s="874"/>
      <c r="W859" s="874"/>
      <c r="X859" s="874"/>
      <c r="Y859" s="874"/>
      <c r="Z859" s="874"/>
    </row>
    <row r="860" spans="1:26" ht="18" customHeight="1" x14ac:dyDescent="0.35">
      <c r="A860" s="874"/>
      <c r="B860" s="874"/>
      <c r="C860" s="874"/>
      <c r="D860" s="874"/>
      <c r="E860" s="874"/>
      <c r="F860" s="874"/>
      <c r="G860" s="874"/>
      <c r="H860" s="874"/>
      <c r="I860" s="874"/>
      <c r="J860" s="874"/>
      <c r="K860" s="874"/>
      <c r="L860" s="874"/>
      <c r="M860" s="874"/>
      <c r="N860" s="874"/>
      <c r="O860" s="874"/>
      <c r="P860" s="874"/>
      <c r="Q860" s="874"/>
      <c r="R860" s="874"/>
      <c r="S860" s="874"/>
      <c r="T860" s="874"/>
      <c r="U860" s="874"/>
      <c r="V860" s="874"/>
      <c r="W860" s="874"/>
      <c r="X860" s="874"/>
      <c r="Y860" s="874"/>
      <c r="Z860" s="874"/>
    </row>
    <row r="861" spans="1:26" ht="18" customHeight="1" x14ac:dyDescent="0.35">
      <c r="A861" s="874"/>
      <c r="B861" s="874"/>
      <c r="C861" s="874"/>
      <c r="D861" s="874"/>
      <c r="E861" s="874"/>
      <c r="F861" s="874"/>
      <c r="G861" s="874"/>
      <c r="H861" s="874"/>
      <c r="I861" s="874"/>
      <c r="J861" s="874"/>
      <c r="K861" s="874"/>
      <c r="L861" s="874"/>
      <c r="M861" s="874"/>
      <c r="N861" s="874"/>
      <c r="O861" s="874"/>
      <c r="P861" s="874"/>
      <c r="Q861" s="874"/>
      <c r="R861" s="874"/>
      <c r="S861" s="874"/>
      <c r="T861" s="874"/>
      <c r="U861" s="874"/>
      <c r="V861" s="874"/>
      <c r="W861" s="874"/>
      <c r="X861" s="874"/>
      <c r="Y861" s="874"/>
      <c r="Z861" s="874"/>
    </row>
    <row r="862" spans="1:26" ht="18" customHeight="1" x14ac:dyDescent="0.35">
      <c r="A862" s="874"/>
      <c r="B862" s="874"/>
      <c r="C862" s="874"/>
      <c r="D862" s="874"/>
      <c r="E862" s="874"/>
      <c r="F862" s="874"/>
      <c r="G862" s="874"/>
      <c r="H862" s="874"/>
      <c r="I862" s="874"/>
      <c r="J862" s="874"/>
      <c r="K862" s="874"/>
      <c r="L862" s="874"/>
      <c r="M862" s="874"/>
      <c r="N862" s="874"/>
      <c r="O862" s="874"/>
      <c r="P862" s="874"/>
      <c r="Q862" s="874"/>
      <c r="R862" s="874"/>
      <c r="S862" s="874"/>
      <c r="T862" s="874"/>
      <c r="U862" s="874"/>
      <c r="V862" s="874"/>
      <c r="W862" s="874"/>
      <c r="X862" s="874"/>
      <c r="Y862" s="874"/>
      <c r="Z862" s="874"/>
    </row>
    <row r="863" spans="1:26" ht="18" customHeight="1" x14ac:dyDescent="0.35">
      <c r="A863" s="874"/>
      <c r="B863" s="874"/>
      <c r="C863" s="874"/>
      <c r="D863" s="874"/>
      <c r="E863" s="874"/>
      <c r="F863" s="874"/>
      <c r="G863" s="874"/>
      <c r="H863" s="874"/>
      <c r="I863" s="874"/>
      <c r="J863" s="874"/>
      <c r="K863" s="874"/>
      <c r="L863" s="874"/>
      <c r="M863" s="874"/>
      <c r="N863" s="874"/>
      <c r="O863" s="874"/>
      <c r="P863" s="874"/>
      <c r="Q863" s="874"/>
      <c r="R863" s="874"/>
      <c r="S863" s="874"/>
      <c r="T863" s="874"/>
      <c r="U863" s="874"/>
      <c r="V863" s="874"/>
      <c r="W863" s="874"/>
      <c r="X863" s="874"/>
      <c r="Y863" s="874"/>
      <c r="Z863" s="874"/>
    </row>
    <row r="864" spans="1:26" ht="18" customHeight="1" x14ac:dyDescent="0.35">
      <c r="A864" s="874"/>
      <c r="B864" s="874"/>
      <c r="C864" s="874"/>
      <c r="D864" s="874"/>
      <c r="E864" s="874"/>
      <c r="F864" s="874"/>
      <c r="G864" s="874"/>
      <c r="H864" s="874"/>
      <c r="I864" s="874"/>
      <c r="J864" s="874"/>
      <c r="K864" s="874"/>
      <c r="L864" s="874"/>
      <c r="M864" s="874"/>
      <c r="N864" s="874"/>
      <c r="O864" s="874"/>
      <c r="P864" s="874"/>
      <c r="Q864" s="874"/>
      <c r="R864" s="874"/>
      <c r="S864" s="874"/>
      <c r="T864" s="874"/>
      <c r="U864" s="874"/>
      <c r="V864" s="874"/>
      <c r="W864" s="874"/>
      <c r="X864" s="874"/>
      <c r="Y864" s="874"/>
      <c r="Z864" s="874"/>
    </row>
    <row r="865" spans="1:26" ht="18" customHeight="1" x14ac:dyDescent="0.35">
      <c r="A865" s="874"/>
      <c r="B865" s="874"/>
      <c r="C865" s="874"/>
      <c r="D865" s="874"/>
      <c r="E865" s="874"/>
      <c r="F865" s="874"/>
      <c r="G865" s="874"/>
      <c r="H865" s="874"/>
      <c r="I865" s="874"/>
      <c r="J865" s="874"/>
      <c r="K865" s="874"/>
      <c r="L865" s="874"/>
      <c r="M865" s="874"/>
      <c r="N865" s="874"/>
      <c r="O865" s="874"/>
      <c r="P865" s="874"/>
      <c r="Q865" s="874"/>
      <c r="R865" s="874"/>
      <c r="S865" s="874"/>
      <c r="T865" s="874"/>
      <c r="U865" s="874"/>
      <c r="V865" s="874"/>
      <c r="W865" s="874"/>
      <c r="X865" s="874"/>
      <c r="Y865" s="874"/>
      <c r="Z865" s="874"/>
    </row>
    <row r="866" spans="1:26" ht="18" customHeight="1" x14ac:dyDescent="0.35">
      <c r="A866" s="874"/>
      <c r="B866" s="874"/>
      <c r="C866" s="874"/>
      <c r="D866" s="874"/>
      <c r="E866" s="874"/>
      <c r="F866" s="874"/>
      <c r="G866" s="874"/>
      <c r="H866" s="874"/>
      <c r="I866" s="874"/>
      <c r="J866" s="874"/>
      <c r="K866" s="874"/>
      <c r="L866" s="874"/>
      <c r="M866" s="874"/>
      <c r="N866" s="874"/>
      <c r="O866" s="874"/>
      <c r="P866" s="874"/>
      <c r="Q866" s="874"/>
      <c r="R866" s="874"/>
      <c r="S866" s="874"/>
      <c r="T866" s="874"/>
      <c r="U866" s="874"/>
      <c r="V866" s="874"/>
      <c r="W866" s="874"/>
      <c r="X866" s="874"/>
      <c r="Y866" s="874"/>
      <c r="Z866" s="874"/>
    </row>
    <row r="867" spans="1:26" ht="18" customHeight="1" x14ac:dyDescent="0.35">
      <c r="A867" s="874"/>
      <c r="B867" s="874"/>
      <c r="C867" s="874"/>
      <c r="D867" s="874"/>
      <c r="E867" s="874"/>
      <c r="F867" s="874"/>
      <c r="G867" s="874"/>
      <c r="H867" s="874"/>
      <c r="I867" s="874"/>
      <c r="J867" s="874"/>
      <c r="K867" s="874"/>
      <c r="L867" s="874"/>
      <c r="M867" s="874"/>
      <c r="N867" s="874"/>
      <c r="O867" s="874"/>
      <c r="P867" s="874"/>
      <c r="Q867" s="874"/>
      <c r="R867" s="874"/>
      <c r="S867" s="874"/>
      <c r="T867" s="874"/>
      <c r="U867" s="874"/>
      <c r="V867" s="874"/>
      <c r="W867" s="874"/>
      <c r="X867" s="874"/>
      <c r="Y867" s="874"/>
      <c r="Z867" s="874"/>
    </row>
    <row r="868" spans="1:26" ht="18" customHeight="1" x14ac:dyDescent="0.35">
      <c r="A868" s="874"/>
      <c r="B868" s="874"/>
      <c r="C868" s="874"/>
      <c r="D868" s="874"/>
      <c r="E868" s="874"/>
      <c r="F868" s="874"/>
      <c r="G868" s="874"/>
      <c r="H868" s="874"/>
      <c r="I868" s="874"/>
      <c r="J868" s="874"/>
      <c r="K868" s="874"/>
      <c r="L868" s="874"/>
      <c r="M868" s="874"/>
      <c r="N868" s="874"/>
      <c r="O868" s="874"/>
      <c r="P868" s="874"/>
      <c r="Q868" s="874"/>
      <c r="R868" s="874"/>
      <c r="S868" s="874"/>
      <c r="T868" s="874"/>
      <c r="U868" s="874"/>
      <c r="V868" s="874"/>
      <c r="W868" s="874"/>
      <c r="X868" s="874"/>
      <c r="Y868" s="874"/>
      <c r="Z868" s="874"/>
    </row>
    <row r="869" spans="1:26" ht="18" customHeight="1" x14ac:dyDescent="0.35">
      <c r="A869" s="874"/>
      <c r="B869" s="874"/>
      <c r="C869" s="874"/>
      <c r="D869" s="874"/>
      <c r="E869" s="874"/>
      <c r="F869" s="874"/>
      <c r="G869" s="874"/>
      <c r="H869" s="874"/>
      <c r="I869" s="874"/>
      <c r="J869" s="874"/>
      <c r="K869" s="874"/>
      <c r="L869" s="874"/>
      <c r="M869" s="874"/>
      <c r="N869" s="874"/>
      <c r="O869" s="874"/>
      <c r="P869" s="874"/>
      <c r="Q869" s="874"/>
      <c r="R869" s="874"/>
      <c r="S869" s="874"/>
      <c r="T869" s="874"/>
      <c r="U869" s="874"/>
      <c r="V869" s="874"/>
      <c r="W869" s="874"/>
      <c r="X869" s="874"/>
      <c r="Y869" s="874"/>
      <c r="Z869" s="874"/>
    </row>
    <row r="870" spans="1:26" ht="18" customHeight="1" x14ac:dyDescent="0.35">
      <c r="A870" s="874"/>
      <c r="B870" s="874"/>
      <c r="C870" s="874"/>
      <c r="D870" s="874"/>
      <c r="E870" s="874"/>
      <c r="F870" s="874"/>
      <c r="G870" s="874"/>
      <c r="H870" s="874"/>
      <c r="I870" s="874"/>
      <c r="J870" s="874"/>
      <c r="K870" s="874"/>
      <c r="L870" s="874"/>
      <c r="M870" s="874"/>
      <c r="N870" s="874"/>
      <c r="O870" s="874"/>
      <c r="P870" s="874"/>
      <c r="Q870" s="874"/>
      <c r="R870" s="874"/>
      <c r="S870" s="874"/>
      <c r="T870" s="874"/>
      <c r="U870" s="874"/>
      <c r="V870" s="874"/>
      <c r="W870" s="874"/>
      <c r="X870" s="874"/>
      <c r="Y870" s="874"/>
      <c r="Z870" s="874"/>
    </row>
    <row r="871" spans="1:26" ht="18" customHeight="1" x14ac:dyDescent="0.35">
      <c r="A871" s="874"/>
      <c r="B871" s="874"/>
      <c r="C871" s="874"/>
      <c r="D871" s="874"/>
      <c r="E871" s="874"/>
      <c r="F871" s="874"/>
      <c r="G871" s="874"/>
      <c r="H871" s="874"/>
      <c r="I871" s="874"/>
      <c r="J871" s="874"/>
      <c r="K871" s="874"/>
      <c r="L871" s="874"/>
      <c r="M871" s="874"/>
      <c r="N871" s="874"/>
      <c r="O871" s="874"/>
      <c r="P871" s="874"/>
      <c r="Q871" s="874"/>
      <c r="R871" s="874"/>
      <c r="S871" s="874"/>
      <c r="T871" s="874"/>
      <c r="U871" s="874"/>
      <c r="V871" s="874"/>
      <c r="W871" s="874"/>
      <c r="X871" s="874"/>
      <c r="Y871" s="874"/>
      <c r="Z871" s="874"/>
    </row>
    <row r="872" spans="1:26" ht="18" customHeight="1" x14ac:dyDescent="0.35">
      <c r="A872" s="874"/>
      <c r="B872" s="874"/>
      <c r="C872" s="874"/>
      <c r="D872" s="874"/>
      <c r="E872" s="874"/>
      <c r="F872" s="874"/>
      <c r="G872" s="874"/>
      <c r="H872" s="874"/>
      <c r="I872" s="874"/>
      <c r="J872" s="874"/>
      <c r="K872" s="874"/>
      <c r="L872" s="874"/>
      <c r="M872" s="874"/>
      <c r="N872" s="874"/>
      <c r="O872" s="874"/>
      <c r="P872" s="874"/>
      <c r="Q872" s="874"/>
      <c r="R872" s="874"/>
      <c r="S872" s="874"/>
      <c r="T872" s="874"/>
      <c r="U872" s="874"/>
      <c r="V872" s="874"/>
      <c r="W872" s="874"/>
      <c r="X872" s="874"/>
      <c r="Y872" s="874"/>
      <c r="Z872" s="874"/>
    </row>
    <row r="873" spans="1:26" ht="18" customHeight="1" x14ac:dyDescent="0.35">
      <c r="A873" s="874"/>
      <c r="B873" s="874"/>
      <c r="C873" s="874"/>
      <c r="D873" s="874"/>
      <c r="E873" s="874"/>
      <c r="F873" s="874"/>
      <c r="G873" s="874"/>
      <c r="H873" s="874"/>
      <c r="I873" s="874"/>
      <c r="J873" s="874"/>
      <c r="K873" s="874"/>
      <c r="L873" s="874"/>
      <c r="M873" s="874"/>
      <c r="N873" s="874"/>
      <c r="O873" s="874"/>
      <c r="P873" s="874"/>
      <c r="Q873" s="874"/>
      <c r="R873" s="874"/>
      <c r="S873" s="874"/>
      <c r="T873" s="874"/>
      <c r="U873" s="874"/>
      <c r="V873" s="874"/>
      <c r="W873" s="874"/>
      <c r="X873" s="874"/>
      <c r="Y873" s="874"/>
      <c r="Z873" s="874"/>
    </row>
    <row r="874" spans="1:26" ht="18" customHeight="1" x14ac:dyDescent="0.35">
      <c r="A874" s="874"/>
      <c r="B874" s="874"/>
      <c r="C874" s="874"/>
      <c r="D874" s="874"/>
      <c r="E874" s="874"/>
      <c r="F874" s="874"/>
      <c r="G874" s="874"/>
      <c r="H874" s="874"/>
      <c r="I874" s="874"/>
      <c r="J874" s="874"/>
      <c r="K874" s="874"/>
      <c r="L874" s="874"/>
      <c r="M874" s="874"/>
      <c r="N874" s="874"/>
      <c r="O874" s="874"/>
      <c r="P874" s="874"/>
      <c r="Q874" s="874"/>
      <c r="R874" s="874"/>
      <c r="S874" s="874"/>
      <c r="T874" s="874"/>
      <c r="U874" s="874"/>
      <c r="V874" s="874"/>
      <c r="W874" s="874"/>
      <c r="X874" s="874"/>
      <c r="Y874" s="874"/>
      <c r="Z874" s="874"/>
    </row>
    <row r="875" spans="1:26" ht="18" customHeight="1" x14ac:dyDescent="0.35">
      <c r="A875" s="874"/>
      <c r="B875" s="874"/>
      <c r="C875" s="874"/>
      <c r="D875" s="874"/>
      <c r="E875" s="874"/>
      <c r="F875" s="874"/>
      <c r="G875" s="874"/>
      <c r="H875" s="874"/>
      <c r="I875" s="874"/>
      <c r="J875" s="874"/>
      <c r="K875" s="874"/>
      <c r="L875" s="874"/>
      <c r="M875" s="874"/>
      <c r="N875" s="874"/>
      <c r="O875" s="874"/>
      <c r="P875" s="874"/>
      <c r="Q875" s="874"/>
      <c r="R875" s="874"/>
      <c r="S875" s="874"/>
      <c r="T875" s="874"/>
      <c r="U875" s="874"/>
      <c r="V875" s="874"/>
      <c r="W875" s="874"/>
      <c r="X875" s="874"/>
      <c r="Y875" s="874"/>
      <c r="Z875" s="874"/>
    </row>
    <row r="876" spans="1:26" ht="18" customHeight="1" x14ac:dyDescent="0.35">
      <c r="A876" s="874"/>
      <c r="B876" s="874"/>
      <c r="C876" s="874"/>
      <c r="D876" s="874"/>
      <c r="E876" s="874"/>
      <c r="F876" s="874"/>
      <c r="G876" s="874"/>
      <c r="H876" s="874"/>
      <c r="I876" s="874"/>
      <c r="J876" s="874"/>
      <c r="K876" s="874"/>
      <c r="L876" s="874"/>
      <c r="M876" s="874"/>
      <c r="N876" s="874"/>
      <c r="O876" s="874"/>
      <c r="P876" s="874"/>
      <c r="Q876" s="874"/>
      <c r="R876" s="874"/>
      <c r="S876" s="874"/>
      <c r="T876" s="874"/>
      <c r="U876" s="874"/>
      <c r="V876" s="874"/>
      <c r="W876" s="874"/>
      <c r="X876" s="874"/>
      <c r="Y876" s="874"/>
      <c r="Z876" s="874"/>
    </row>
    <row r="877" spans="1:26" ht="18" customHeight="1" x14ac:dyDescent="0.35">
      <c r="A877" s="874"/>
      <c r="B877" s="874"/>
      <c r="C877" s="874"/>
      <c r="D877" s="874"/>
      <c r="E877" s="874"/>
      <c r="F877" s="874"/>
      <c r="G877" s="874"/>
      <c r="H877" s="874"/>
      <c r="I877" s="874"/>
      <c r="J877" s="874"/>
      <c r="K877" s="874"/>
      <c r="L877" s="874"/>
      <c r="M877" s="874"/>
      <c r="N877" s="874"/>
      <c r="O877" s="874"/>
      <c r="P877" s="874"/>
      <c r="Q877" s="874"/>
      <c r="R877" s="874"/>
      <c r="S877" s="874"/>
      <c r="T877" s="874"/>
      <c r="U877" s="874"/>
      <c r="V877" s="874"/>
      <c r="W877" s="874"/>
      <c r="X877" s="874"/>
      <c r="Y877" s="874"/>
      <c r="Z877" s="874"/>
    </row>
    <row r="878" spans="1:26" ht="18" customHeight="1" x14ac:dyDescent="0.35">
      <c r="A878" s="874"/>
      <c r="B878" s="874"/>
      <c r="C878" s="874"/>
      <c r="D878" s="874"/>
      <c r="E878" s="874"/>
      <c r="F878" s="874"/>
      <c r="G878" s="874"/>
      <c r="H878" s="874"/>
      <c r="I878" s="874"/>
      <c r="J878" s="874"/>
      <c r="K878" s="874"/>
      <c r="L878" s="874"/>
      <c r="M878" s="874"/>
      <c r="N878" s="874"/>
      <c r="O878" s="874"/>
      <c r="P878" s="874"/>
      <c r="Q878" s="874"/>
      <c r="R878" s="874"/>
      <c r="S878" s="874"/>
      <c r="T878" s="874"/>
      <c r="U878" s="874"/>
      <c r="V878" s="874"/>
      <c r="W878" s="874"/>
      <c r="X878" s="874"/>
      <c r="Y878" s="874"/>
      <c r="Z878" s="874"/>
    </row>
    <row r="879" spans="1:26" ht="18" customHeight="1" x14ac:dyDescent="0.35">
      <c r="A879" s="874"/>
      <c r="B879" s="874"/>
      <c r="C879" s="874"/>
      <c r="D879" s="874"/>
      <c r="E879" s="874"/>
      <c r="F879" s="874"/>
      <c r="G879" s="874"/>
      <c r="H879" s="874"/>
      <c r="I879" s="874"/>
      <c r="J879" s="874"/>
      <c r="K879" s="874"/>
      <c r="L879" s="874"/>
      <c r="M879" s="874"/>
      <c r="N879" s="874"/>
      <c r="O879" s="874"/>
      <c r="P879" s="874"/>
      <c r="Q879" s="874"/>
      <c r="R879" s="874"/>
      <c r="S879" s="874"/>
      <c r="T879" s="874"/>
      <c r="U879" s="874"/>
      <c r="V879" s="874"/>
      <c r="W879" s="874"/>
      <c r="X879" s="874"/>
      <c r="Y879" s="874"/>
      <c r="Z879" s="874"/>
    </row>
    <row r="880" spans="1:26" ht="18" customHeight="1" x14ac:dyDescent="0.35">
      <c r="A880" s="874"/>
      <c r="B880" s="874"/>
      <c r="C880" s="874"/>
      <c r="D880" s="874"/>
      <c r="E880" s="874"/>
      <c r="F880" s="874"/>
      <c r="G880" s="874"/>
      <c r="H880" s="874"/>
      <c r="I880" s="874"/>
      <c r="J880" s="874"/>
      <c r="K880" s="874"/>
      <c r="L880" s="874"/>
      <c r="M880" s="874"/>
      <c r="N880" s="874"/>
      <c r="O880" s="874"/>
      <c r="P880" s="874"/>
      <c r="Q880" s="874"/>
      <c r="R880" s="874"/>
      <c r="S880" s="874"/>
      <c r="T880" s="874"/>
      <c r="U880" s="874"/>
      <c r="V880" s="874"/>
      <c r="W880" s="874"/>
      <c r="X880" s="874"/>
      <c r="Y880" s="874"/>
      <c r="Z880" s="874"/>
    </row>
    <row r="881" spans="1:26" ht="18" customHeight="1" x14ac:dyDescent="0.35">
      <c r="A881" s="874"/>
      <c r="B881" s="874"/>
      <c r="C881" s="874"/>
      <c r="D881" s="874"/>
      <c r="E881" s="874"/>
      <c r="F881" s="874"/>
      <c r="G881" s="874"/>
      <c r="H881" s="874"/>
      <c r="I881" s="874"/>
      <c r="J881" s="874"/>
      <c r="K881" s="874"/>
      <c r="L881" s="874"/>
      <c r="M881" s="874"/>
      <c r="N881" s="874"/>
      <c r="O881" s="874"/>
      <c r="P881" s="874"/>
      <c r="Q881" s="874"/>
      <c r="R881" s="874"/>
      <c r="S881" s="874"/>
      <c r="T881" s="874"/>
      <c r="U881" s="874"/>
      <c r="V881" s="874"/>
      <c r="W881" s="874"/>
      <c r="X881" s="874"/>
      <c r="Y881" s="874"/>
      <c r="Z881" s="874"/>
    </row>
    <row r="882" spans="1:26" ht="18" customHeight="1" x14ac:dyDescent="0.35">
      <c r="A882" s="874"/>
      <c r="B882" s="874"/>
      <c r="C882" s="874"/>
      <c r="D882" s="874"/>
      <c r="E882" s="874"/>
      <c r="F882" s="874"/>
      <c r="G882" s="874"/>
      <c r="H882" s="874"/>
      <c r="I882" s="874"/>
      <c r="J882" s="874"/>
      <c r="K882" s="874"/>
      <c r="L882" s="874"/>
      <c r="M882" s="874"/>
      <c r="N882" s="874"/>
      <c r="O882" s="874"/>
      <c r="P882" s="874"/>
      <c r="Q882" s="874"/>
      <c r="R882" s="874"/>
      <c r="S882" s="874"/>
      <c r="T882" s="874"/>
      <c r="U882" s="874"/>
      <c r="V882" s="874"/>
      <c r="W882" s="874"/>
      <c r="X882" s="874"/>
      <c r="Y882" s="874"/>
      <c r="Z882" s="874"/>
    </row>
    <row r="883" spans="1:26" ht="18" customHeight="1" x14ac:dyDescent="0.35">
      <c r="A883" s="874"/>
      <c r="B883" s="874"/>
      <c r="C883" s="874"/>
      <c r="D883" s="874"/>
      <c r="E883" s="874"/>
      <c r="F883" s="874"/>
      <c r="G883" s="874"/>
      <c r="H883" s="874"/>
      <c r="I883" s="874"/>
      <c r="J883" s="874"/>
      <c r="K883" s="874"/>
      <c r="L883" s="874"/>
      <c r="M883" s="874"/>
      <c r="N883" s="874"/>
      <c r="O883" s="874"/>
      <c r="P883" s="874"/>
      <c r="Q883" s="874"/>
      <c r="R883" s="874"/>
      <c r="S883" s="874"/>
      <c r="T883" s="874"/>
      <c r="U883" s="874"/>
      <c r="V883" s="874"/>
      <c r="W883" s="874"/>
      <c r="X883" s="874"/>
      <c r="Y883" s="874"/>
      <c r="Z883" s="874"/>
    </row>
    <row r="884" spans="1:26" ht="18" customHeight="1" x14ac:dyDescent="0.35">
      <c r="A884" s="874"/>
      <c r="B884" s="874"/>
      <c r="C884" s="874"/>
      <c r="D884" s="874"/>
      <c r="E884" s="874"/>
      <c r="F884" s="874"/>
      <c r="G884" s="874"/>
      <c r="H884" s="874"/>
      <c r="I884" s="874"/>
      <c r="J884" s="874"/>
      <c r="K884" s="874"/>
      <c r="L884" s="874"/>
      <c r="M884" s="874"/>
      <c r="N884" s="874"/>
      <c r="O884" s="874"/>
      <c r="P884" s="874"/>
      <c r="Q884" s="874"/>
      <c r="R884" s="874"/>
      <c r="S884" s="874"/>
      <c r="T884" s="874"/>
      <c r="U884" s="874"/>
      <c r="V884" s="874"/>
      <c r="W884" s="874"/>
      <c r="X884" s="874"/>
      <c r="Y884" s="874"/>
      <c r="Z884" s="874"/>
    </row>
    <row r="885" spans="1:26" ht="18" customHeight="1" x14ac:dyDescent="0.35">
      <c r="A885" s="874"/>
      <c r="B885" s="874"/>
      <c r="C885" s="874"/>
      <c r="D885" s="874"/>
      <c r="E885" s="874"/>
      <c r="F885" s="874"/>
      <c r="G885" s="874"/>
      <c r="H885" s="874"/>
      <c r="I885" s="874"/>
      <c r="J885" s="874"/>
      <c r="K885" s="874"/>
      <c r="L885" s="874"/>
      <c r="M885" s="874"/>
      <c r="N885" s="874"/>
      <c r="O885" s="874"/>
      <c r="P885" s="874"/>
      <c r="Q885" s="874"/>
      <c r="R885" s="874"/>
      <c r="S885" s="874"/>
      <c r="T885" s="874"/>
      <c r="U885" s="874"/>
      <c r="V885" s="874"/>
      <c r="W885" s="874"/>
      <c r="X885" s="874"/>
      <c r="Y885" s="874"/>
      <c r="Z885" s="874"/>
    </row>
    <row r="886" spans="1:26" ht="18" customHeight="1" x14ac:dyDescent="0.35">
      <c r="A886" s="874"/>
      <c r="B886" s="874"/>
      <c r="C886" s="874"/>
      <c r="D886" s="874"/>
      <c r="E886" s="874"/>
      <c r="F886" s="874"/>
      <c r="G886" s="874"/>
      <c r="H886" s="874"/>
      <c r="I886" s="874"/>
      <c r="J886" s="874"/>
      <c r="K886" s="874"/>
      <c r="L886" s="874"/>
      <c r="M886" s="874"/>
      <c r="N886" s="874"/>
      <c r="O886" s="874"/>
      <c r="P886" s="874"/>
      <c r="Q886" s="874"/>
      <c r="R886" s="874"/>
      <c r="S886" s="874"/>
      <c r="T886" s="874"/>
      <c r="U886" s="874"/>
      <c r="V886" s="874"/>
      <c r="W886" s="874"/>
      <c r="X886" s="874"/>
      <c r="Y886" s="874"/>
      <c r="Z886" s="874"/>
    </row>
    <row r="887" spans="1:26" ht="18" customHeight="1" x14ac:dyDescent="0.35">
      <c r="A887" s="874"/>
      <c r="B887" s="874"/>
      <c r="C887" s="874"/>
      <c r="D887" s="874"/>
      <c r="E887" s="874"/>
      <c r="F887" s="874"/>
      <c r="G887" s="874"/>
      <c r="H887" s="874"/>
      <c r="I887" s="874"/>
      <c r="J887" s="874"/>
      <c r="K887" s="874"/>
      <c r="L887" s="874"/>
      <c r="M887" s="874"/>
      <c r="N887" s="874"/>
      <c r="O887" s="874"/>
      <c r="P887" s="874"/>
      <c r="Q887" s="874"/>
      <c r="R887" s="874"/>
      <c r="S887" s="874"/>
      <c r="T887" s="874"/>
      <c r="U887" s="874"/>
      <c r="V887" s="874"/>
      <c r="W887" s="874"/>
      <c r="X887" s="874"/>
      <c r="Y887" s="874"/>
      <c r="Z887" s="874"/>
    </row>
    <row r="888" spans="1:26" ht="18" customHeight="1" x14ac:dyDescent="0.35">
      <c r="A888" s="874"/>
      <c r="B888" s="874"/>
      <c r="C888" s="874"/>
      <c r="D888" s="874"/>
      <c r="E888" s="874"/>
      <c r="F888" s="874"/>
      <c r="G888" s="874"/>
      <c r="H888" s="874"/>
      <c r="I888" s="874"/>
      <c r="J888" s="874"/>
      <c r="K888" s="874"/>
      <c r="L888" s="874"/>
      <c r="M888" s="874"/>
      <c r="N888" s="874"/>
      <c r="O888" s="874"/>
      <c r="P888" s="874"/>
      <c r="Q888" s="874"/>
      <c r="R888" s="874"/>
      <c r="S888" s="874"/>
      <c r="T888" s="874"/>
      <c r="U888" s="874"/>
      <c r="V888" s="874"/>
      <c r="W888" s="874"/>
      <c r="X888" s="874"/>
      <c r="Y888" s="874"/>
      <c r="Z888" s="874"/>
    </row>
    <row r="889" spans="1:26" ht="18" customHeight="1" x14ac:dyDescent="0.35">
      <c r="A889" s="874"/>
      <c r="B889" s="874"/>
      <c r="C889" s="874"/>
      <c r="D889" s="874"/>
      <c r="E889" s="874"/>
      <c r="F889" s="874"/>
      <c r="G889" s="874"/>
      <c r="H889" s="874"/>
      <c r="I889" s="874"/>
      <c r="J889" s="874"/>
      <c r="K889" s="874"/>
      <c r="L889" s="874"/>
      <c r="M889" s="874"/>
      <c r="N889" s="874"/>
      <c r="O889" s="874"/>
      <c r="P889" s="874"/>
      <c r="Q889" s="874"/>
      <c r="R889" s="874"/>
      <c r="S889" s="874"/>
      <c r="T889" s="874"/>
      <c r="U889" s="874"/>
      <c r="V889" s="874"/>
      <c r="W889" s="874"/>
      <c r="X889" s="874"/>
      <c r="Y889" s="874"/>
      <c r="Z889" s="874"/>
    </row>
    <row r="890" spans="1:26" ht="18" customHeight="1" x14ac:dyDescent="0.35">
      <c r="A890" s="874"/>
      <c r="B890" s="874"/>
      <c r="C890" s="874"/>
      <c r="D890" s="874"/>
      <c r="E890" s="874"/>
      <c r="F890" s="874"/>
      <c r="G890" s="874"/>
      <c r="H890" s="874"/>
      <c r="I890" s="874"/>
      <c r="J890" s="874"/>
      <c r="K890" s="874"/>
      <c r="L890" s="874"/>
      <c r="M890" s="874"/>
      <c r="N890" s="874"/>
      <c r="O890" s="874"/>
      <c r="P890" s="874"/>
      <c r="Q890" s="874"/>
      <c r="R890" s="874"/>
      <c r="S890" s="874"/>
      <c r="T890" s="874"/>
      <c r="U890" s="874"/>
      <c r="V890" s="874"/>
      <c r="W890" s="874"/>
      <c r="X890" s="874"/>
      <c r="Y890" s="874"/>
      <c r="Z890" s="874"/>
    </row>
    <row r="891" spans="1:26" ht="18" customHeight="1" x14ac:dyDescent="0.35">
      <c r="A891" s="874"/>
      <c r="B891" s="874"/>
      <c r="C891" s="874"/>
      <c r="D891" s="874"/>
      <c r="E891" s="874"/>
      <c r="F891" s="874"/>
      <c r="G891" s="874"/>
      <c r="H891" s="874"/>
      <c r="I891" s="874"/>
      <c r="J891" s="874"/>
      <c r="K891" s="874"/>
      <c r="L891" s="874"/>
      <c r="M891" s="874"/>
      <c r="N891" s="874"/>
      <c r="O891" s="874"/>
      <c r="P891" s="874"/>
      <c r="Q891" s="874"/>
      <c r="R891" s="874"/>
      <c r="S891" s="874"/>
      <c r="T891" s="874"/>
      <c r="U891" s="874"/>
      <c r="V891" s="874"/>
      <c r="W891" s="874"/>
      <c r="X891" s="874"/>
      <c r="Y891" s="874"/>
      <c r="Z891" s="874"/>
    </row>
    <row r="892" spans="1:26" ht="18" customHeight="1" x14ac:dyDescent="0.35">
      <c r="A892" s="874"/>
      <c r="B892" s="874"/>
      <c r="C892" s="874"/>
      <c r="D892" s="874"/>
      <c r="E892" s="874"/>
      <c r="F892" s="874"/>
      <c r="G892" s="874"/>
      <c r="H892" s="874"/>
      <c r="I892" s="874"/>
      <c r="J892" s="874"/>
      <c r="K892" s="874"/>
      <c r="L892" s="874"/>
      <c r="M892" s="874"/>
      <c r="N892" s="874"/>
      <c r="O892" s="874"/>
      <c r="P892" s="874"/>
      <c r="Q892" s="874"/>
      <c r="R892" s="874"/>
      <c r="S892" s="874"/>
      <c r="T892" s="874"/>
      <c r="U892" s="874"/>
      <c r="V892" s="874"/>
      <c r="W892" s="874"/>
      <c r="X892" s="874"/>
      <c r="Y892" s="874"/>
      <c r="Z892" s="874"/>
    </row>
    <row r="893" spans="1:26" ht="18" customHeight="1" x14ac:dyDescent="0.35">
      <c r="A893" s="874"/>
      <c r="B893" s="874"/>
      <c r="C893" s="874"/>
      <c r="D893" s="874"/>
      <c r="E893" s="874"/>
      <c r="F893" s="874"/>
      <c r="G893" s="874"/>
      <c r="H893" s="874"/>
      <c r="I893" s="874"/>
      <c r="J893" s="874"/>
      <c r="K893" s="874"/>
      <c r="L893" s="874"/>
      <c r="M893" s="874"/>
      <c r="N893" s="874"/>
      <c r="O893" s="874"/>
      <c r="P893" s="874"/>
      <c r="Q893" s="874"/>
      <c r="R893" s="874"/>
      <c r="S893" s="874"/>
      <c r="T893" s="874"/>
      <c r="U893" s="874"/>
      <c r="V893" s="874"/>
      <c r="W893" s="874"/>
      <c r="X893" s="874"/>
      <c r="Y893" s="874"/>
      <c r="Z893" s="874"/>
    </row>
    <row r="894" spans="1:26" ht="18" customHeight="1" x14ac:dyDescent="0.35">
      <c r="A894" s="874"/>
      <c r="B894" s="874"/>
      <c r="C894" s="874"/>
      <c r="D894" s="874"/>
      <c r="E894" s="874"/>
      <c r="F894" s="874"/>
      <c r="G894" s="874"/>
      <c r="H894" s="874"/>
      <c r="I894" s="874"/>
      <c r="J894" s="874"/>
      <c r="K894" s="874"/>
      <c r="L894" s="874"/>
      <c r="M894" s="874"/>
      <c r="N894" s="874"/>
      <c r="O894" s="874"/>
      <c r="P894" s="874"/>
      <c r="Q894" s="874"/>
      <c r="R894" s="874"/>
      <c r="S894" s="874"/>
      <c r="T894" s="874"/>
      <c r="U894" s="874"/>
      <c r="V894" s="874"/>
      <c r="W894" s="874"/>
      <c r="X894" s="874"/>
      <c r="Y894" s="874"/>
      <c r="Z894" s="874"/>
    </row>
    <row r="895" spans="1:26" ht="18" customHeight="1" x14ac:dyDescent="0.35">
      <c r="A895" s="874"/>
      <c r="B895" s="874"/>
      <c r="C895" s="874"/>
      <c r="D895" s="874"/>
      <c r="E895" s="874"/>
      <c r="F895" s="874"/>
      <c r="G895" s="874"/>
      <c r="H895" s="874"/>
      <c r="I895" s="874"/>
      <c r="J895" s="874"/>
      <c r="K895" s="874"/>
      <c r="L895" s="874"/>
      <c r="M895" s="874"/>
      <c r="N895" s="874"/>
      <c r="O895" s="874"/>
      <c r="P895" s="874"/>
      <c r="Q895" s="874"/>
      <c r="R895" s="874"/>
      <c r="S895" s="874"/>
      <c r="T895" s="874"/>
      <c r="U895" s="874"/>
      <c r="V895" s="874"/>
      <c r="W895" s="874"/>
      <c r="X895" s="874"/>
      <c r="Y895" s="874"/>
      <c r="Z895" s="874"/>
    </row>
    <row r="896" spans="1:26" ht="18" customHeight="1" x14ac:dyDescent="0.35">
      <c r="A896" s="874"/>
      <c r="B896" s="874"/>
      <c r="C896" s="874"/>
      <c r="D896" s="874"/>
      <c r="E896" s="874"/>
      <c r="F896" s="874"/>
      <c r="G896" s="874"/>
      <c r="H896" s="874"/>
      <c r="I896" s="874"/>
      <c r="J896" s="874"/>
      <c r="K896" s="874"/>
      <c r="L896" s="874"/>
      <c r="M896" s="874"/>
      <c r="N896" s="874"/>
      <c r="O896" s="874"/>
      <c r="P896" s="874"/>
      <c r="Q896" s="874"/>
      <c r="R896" s="874"/>
      <c r="S896" s="874"/>
      <c r="T896" s="874"/>
      <c r="U896" s="874"/>
      <c r="V896" s="874"/>
      <c r="W896" s="874"/>
      <c r="X896" s="874"/>
      <c r="Y896" s="874"/>
      <c r="Z896" s="874"/>
    </row>
    <row r="897" spans="1:26" ht="18" customHeight="1" x14ac:dyDescent="0.35">
      <c r="A897" s="874"/>
      <c r="B897" s="874"/>
      <c r="C897" s="874"/>
      <c r="D897" s="874"/>
      <c r="E897" s="874"/>
      <c r="F897" s="874"/>
      <c r="G897" s="874"/>
      <c r="H897" s="874"/>
      <c r="I897" s="874"/>
      <c r="J897" s="874"/>
      <c r="K897" s="874"/>
      <c r="L897" s="874"/>
      <c r="M897" s="874"/>
      <c r="N897" s="874"/>
      <c r="O897" s="874"/>
      <c r="P897" s="874"/>
      <c r="Q897" s="874"/>
      <c r="R897" s="874"/>
      <c r="S897" s="874"/>
      <c r="T897" s="874"/>
      <c r="U897" s="874"/>
      <c r="V897" s="874"/>
      <c r="W897" s="874"/>
      <c r="X897" s="874"/>
      <c r="Y897" s="874"/>
      <c r="Z897" s="874"/>
    </row>
    <row r="898" spans="1:26" ht="18" customHeight="1" x14ac:dyDescent="0.35">
      <c r="A898" s="874"/>
      <c r="B898" s="874"/>
      <c r="C898" s="874"/>
      <c r="D898" s="874"/>
      <c r="E898" s="874"/>
      <c r="F898" s="874"/>
      <c r="G898" s="874"/>
      <c r="H898" s="874"/>
      <c r="I898" s="874"/>
      <c r="J898" s="874"/>
      <c r="K898" s="874"/>
      <c r="L898" s="874"/>
      <c r="M898" s="874"/>
      <c r="N898" s="874"/>
      <c r="O898" s="874"/>
      <c r="P898" s="874"/>
      <c r="Q898" s="874"/>
      <c r="R898" s="874"/>
      <c r="S898" s="874"/>
      <c r="T898" s="874"/>
      <c r="U898" s="874"/>
      <c r="V898" s="874"/>
      <c r="W898" s="874"/>
      <c r="X898" s="874"/>
      <c r="Y898" s="874"/>
      <c r="Z898" s="874"/>
    </row>
    <row r="899" spans="1:26" ht="18" customHeight="1" x14ac:dyDescent="0.35">
      <c r="A899" s="874"/>
      <c r="B899" s="874"/>
      <c r="C899" s="874"/>
      <c r="D899" s="874"/>
      <c r="E899" s="874"/>
      <c r="F899" s="874"/>
      <c r="G899" s="874"/>
      <c r="H899" s="874"/>
      <c r="I899" s="874"/>
      <c r="J899" s="874"/>
      <c r="K899" s="874"/>
      <c r="L899" s="874"/>
      <c r="M899" s="874"/>
      <c r="N899" s="874"/>
      <c r="O899" s="874"/>
      <c r="P899" s="874"/>
      <c r="Q899" s="874"/>
      <c r="R899" s="874"/>
      <c r="S899" s="874"/>
      <c r="T899" s="874"/>
      <c r="U899" s="874"/>
      <c r="V899" s="874"/>
      <c r="W899" s="874"/>
      <c r="X899" s="874"/>
      <c r="Y899" s="874"/>
      <c r="Z899" s="874"/>
    </row>
    <row r="900" spans="1:26" ht="18" customHeight="1" x14ac:dyDescent="0.35">
      <c r="A900" s="874"/>
      <c r="B900" s="874"/>
      <c r="C900" s="874"/>
      <c r="D900" s="874"/>
      <c r="E900" s="874"/>
      <c r="F900" s="874"/>
      <c r="G900" s="874"/>
      <c r="H900" s="874"/>
      <c r="I900" s="874"/>
      <c r="J900" s="874"/>
      <c r="K900" s="874"/>
      <c r="L900" s="874"/>
      <c r="M900" s="874"/>
      <c r="N900" s="874"/>
      <c r="O900" s="874"/>
      <c r="P900" s="874"/>
      <c r="Q900" s="874"/>
      <c r="R900" s="874"/>
      <c r="S900" s="874"/>
      <c r="T900" s="874"/>
      <c r="U900" s="874"/>
      <c r="V900" s="874"/>
      <c r="W900" s="874"/>
      <c r="X900" s="874"/>
      <c r="Y900" s="874"/>
      <c r="Z900" s="874"/>
    </row>
    <row r="901" spans="1:26" ht="18" customHeight="1" x14ac:dyDescent="0.35">
      <c r="A901" s="874"/>
      <c r="B901" s="874"/>
      <c r="C901" s="874"/>
      <c r="D901" s="874"/>
      <c r="E901" s="874"/>
      <c r="F901" s="874"/>
      <c r="G901" s="874"/>
      <c r="H901" s="874"/>
      <c r="I901" s="874"/>
      <c r="J901" s="874"/>
      <c r="K901" s="874"/>
      <c r="L901" s="874"/>
      <c r="M901" s="874"/>
      <c r="N901" s="874"/>
      <c r="O901" s="874"/>
      <c r="P901" s="874"/>
      <c r="Q901" s="874"/>
      <c r="R901" s="874"/>
      <c r="S901" s="874"/>
      <c r="T901" s="874"/>
      <c r="U901" s="874"/>
      <c r="V901" s="874"/>
      <c r="W901" s="874"/>
      <c r="X901" s="874"/>
      <c r="Y901" s="874"/>
      <c r="Z901" s="874"/>
    </row>
    <row r="902" spans="1:26" ht="18" customHeight="1" x14ac:dyDescent="0.35">
      <c r="A902" s="874"/>
      <c r="B902" s="874"/>
      <c r="C902" s="874"/>
      <c r="D902" s="874"/>
      <c r="E902" s="874"/>
      <c r="F902" s="874"/>
      <c r="G902" s="874"/>
      <c r="H902" s="874"/>
      <c r="I902" s="874"/>
      <c r="J902" s="874"/>
      <c r="K902" s="874"/>
      <c r="L902" s="874"/>
      <c r="M902" s="874"/>
      <c r="N902" s="874"/>
      <c r="O902" s="874"/>
      <c r="P902" s="874"/>
      <c r="Q902" s="874"/>
      <c r="R902" s="874"/>
      <c r="S902" s="874"/>
      <c r="T902" s="874"/>
      <c r="U902" s="874"/>
      <c r="V902" s="874"/>
      <c r="W902" s="874"/>
      <c r="X902" s="874"/>
      <c r="Y902" s="874"/>
      <c r="Z902" s="874"/>
    </row>
    <row r="903" spans="1:26" ht="18" customHeight="1" x14ac:dyDescent="0.35">
      <c r="A903" s="874"/>
      <c r="B903" s="874"/>
      <c r="C903" s="874"/>
      <c r="D903" s="874"/>
      <c r="E903" s="874"/>
      <c r="F903" s="874"/>
      <c r="G903" s="874"/>
      <c r="H903" s="874"/>
      <c r="I903" s="874"/>
      <c r="J903" s="874"/>
      <c r="K903" s="874"/>
      <c r="L903" s="874"/>
      <c r="M903" s="874"/>
      <c r="N903" s="874"/>
      <c r="O903" s="874"/>
      <c r="P903" s="874"/>
      <c r="Q903" s="874"/>
      <c r="R903" s="874"/>
      <c r="S903" s="874"/>
      <c r="T903" s="874"/>
      <c r="U903" s="874"/>
      <c r="V903" s="874"/>
      <c r="W903" s="874"/>
      <c r="X903" s="874"/>
      <c r="Y903" s="874"/>
      <c r="Z903" s="874"/>
    </row>
    <row r="904" spans="1:26" ht="18" customHeight="1" x14ac:dyDescent="0.35">
      <c r="A904" s="874"/>
      <c r="B904" s="874"/>
      <c r="C904" s="874"/>
      <c r="D904" s="874"/>
      <c r="E904" s="874"/>
      <c r="F904" s="874"/>
      <c r="G904" s="874"/>
      <c r="H904" s="874"/>
      <c r="I904" s="874"/>
      <c r="J904" s="874"/>
      <c r="K904" s="874"/>
      <c r="L904" s="874"/>
      <c r="M904" s="874"/>
      <c r="N904" s="874"/>
      <c r="O904" s="874"/>
      <c r="P904" s="874"/>
      <c r="Q904" s="874"/>
      <c r="R904" s="874"/>
      <c r="S904" s="874"/>
      <c r="T904" s="874"/>
      <c r="U904" s="874"/>
      <c r="V904" s="874"/>
      <c r="W904" s="874"/>
      <c r="X904" s="874"/>
      <c r="Y904" s="874"/>
      <c r="Z904" s="874"/>
    </row>
    <row r="905" spans="1:26" ht="18" customHeight="1" x14ac:dyDescent="0.35">
      <c r="A905" s="874"/>
      <c r="B905" s="874"/>
      <c r="C905" s="874"/>
      <c r="D905" s="874"/>
      <c r="E905" s="874"/>
      <c r="F905" s="874"/>
      <c r="G905" s="874"/>
      <c r="H905" s="874"/>
      <c r="I905" s="874"/>
      <c r="J905" s="874"/>
      <c r="K905" s="874"/>
      <c r="L905" s="874"/>
      <c r="M905" s="874"/>
      <c r="N905" s="874"/>
      <c r="O905" s="874"/>
      <c r="P905" s="874"/>
      <c r="Q905" s="874"/>
      <c r="R905" s="874"/>
      <c r="S905" s="874"/>
      <c r="T905" s="874"/>
      <c r="U905" s="874"/>
      <c r="V905" s="874"/>
      <c r="W905" s="874"/>
      <c r="X905" s="874"/>
      <c r="Y905" s="874"/>
      <c r="Z905" s="874"/>
    </row>
    <row r="906" spans="1:26" ht="18" customHeight="1" x14ac:dyDescent="0.35">
      <c r="A906" s="874"/>
      <c r="B906" s="874"/>
      <c r="C906" s="874"/>
      <c r="D906" s="874"/>
      <c r="E906" s="874"/>
      <c r="F906" s="874"/>
      <c r="G906" s="874"/>
      <c r="H906" s="874"/>
      <c r="I906" s="874"/>
      <c r="J906" s="874"/>
      <c r="K906" s="874"/>
      <c r="L906" s="874"/>
      <c r="M906" s="874"/>
      <c r="N906" s="874"/>
      <c r="O906" s="874"/>
      <c r="P906" s="874"/>
      <c r="Q906" s="874"/>
      <c r="R906" s="874"/>
      <c r="S906" s="874"/>
      <c r="T906" s="874"/>
      <c r="U906" s="874"/>
      <c r="V906" s="874"/>
      <c r="W906" s="874"/>
      <c r="X906" s="874"/>
      <c r="Y906" s="874"/>
      <c r="Z906" s="874"/>
    </row>
    <row r="907" spans="1:26" ht="18" customHeight="1" x14ac:dyDescent="0.35">
      <c r="A907" s="874"/>
      <c r="B907" s="874"/>
      <c r="C907" s="874"/>
      <c r="D907" s="874"/>
      <c r="E907" s="874"/>
      <c r="F907" s="874"/>
      <c r="G907" s="874"/>
      <c r="H907" s="874"/>
      <c r="I907" s="874"/>
      <c r="J907" s="874"/>
      <c r="K907" s="874"/>
      <c r="L907" s="874"/>
      <c r="M907" s="874"/>
      <c r="N907" s="874"/>
      <c r="O907" s="874"/>
      <c r="P907" s="874"/>
      <c r="Q907" s="874"/>
      <c r="R907" s="874"/>
      <c r="S907" s="874"/>
      <c r="T907" s="874"/>
      <c r="U907" s="874"/>
      <c r="V907" s="874"/>
      <c r="W907" s="874"/>
      <c r="X907" s="874"/>
      <c r="Y907" s="874"/>
      <c r="Z907" s="874"/>
    </row>
    <row r="908" spans="1:26" ht="18" customHeight="1" x14ac:dyDescent="0.35">
      <c r="A908" s="874"/>
      <c r="B908" s="874"/>
      <c r="C908" s="874"/>
      <c r="D908" s="874"/>
      <c r="E908" s="874"/>
      <c r="F908" s="874"/>
      <c r="G908" s="874"/>
      <c r="H908" s="874"/>
      <c r="I908" s="874"/>
      <c r="J908" s="874"/>
      <c r="K908" s="874"/>
      <c r="L908" s="874"/>
      <c r="M908" s="874"/>
      <c r="N908" s="874"/>
      <c r="O908" s="874"/>
      <c r="P908" s="874"/>
      <c r="Q908" s="874"/>
      <c r="R908" s="874"/>
      <c r="S908" s="874"/>
      <c r="T908" s="874"/>
      <c r="U908" s="874"/>
      <c r="V908" s="874"/>
      <c r="W908" s="874"/>
      <c r="X908" s="874"/>
      <c r="Y908" s="874"/>
      <c r="Z908" s="874"/>
    </row>
    <row r="909" spans="1:26" ht="18" customHeight="1" x14ac:dyDescent="0.35">
      <c r="A909" s="874"/>
      <c r="B909" s="874"/>
      <c r="C909" s="874"/>
      <c r="D909" s="874"/>
      <c r="E909" s="874"/>
      <c r="F909" s="874"/>
      <c r="G909" s="874"/>
      <c r="H909" s="874"/>
      <c r="I909" s="874"/>
      <c r="J909" s="874"/>
      <c r="K909" s="874"/>
      <c r="L909" s="874"/>
      <c r="M909" s="874"/>
      <c r="N909" s="874"/>
      <c r="O909" s="874"/>
      <c r="P909" s="874"/>
      <c r="Q909" s="874"/>
      <c r="R909" s="874"/>
      <c r="S909" s="874"/>
      <c r="T909" s="874"/>
      <c r="U909" s="874"/>
      <c r="V909" s="874"/>
      <c r="W909" s="874"/>
      <c r="X909" s="874"/>
      <c r="Y909" s="874"/>
      <c r="Z909" s="874"/>
    </row>
    <row r="910" spans="1:26" ht="18" customHeight="1" x14ac:dyDescent="0.35">
      <c r="A910" s="874"/>
      <c r="B910" s="874"/>
      <c r="C910" s="874"/>
      <c r="D910" s="874"/>
      <c r="E910" s="874"/>
      <c r="F910" s="874"/>
      <c r="G910" s="874"/>
      <c r="H910" s="874"/>
      <c r="I910" s="874"/>
      <c r="J910" s="874"/>
      <c r="K910" s="874"/>
      <c r="L910" s="874"/>
      <c r="M910" s="874"/>
      <c r="N910" s="874"/>
      <c r="O910" s="874"/>
      <c r="P910" s="874"/>
      <c r="Q910" s="874"/>
      <c r="R910" s="874"/>
      <c r="S910" s="874"/>
      <c r="T910" s="874"/>
      <c r="U910" s="874"/>
      <c r="V910" s="874"/>
      <c r="W910" s="874"/>
      <c r="X910" s="874"/>
      <c r="Y910" s="874"/>
      <c r="Z910" s="874"/>
    </row>
    <row r="911" spans="1:26" ht="18" customHeight="1" x14ac:dyDescent="0.35">
      <c r="A911" s="874"/>
      <c r="B911" s="874"/>
      <c r="C911" s="874"/>
      <c r="D911" s="874"/>
      <c r="E911" s="874"/>
      <c r="F911" s="874"/>
      <c r="G911" s="874"/>
      <c r="H911" s="874"/>
      <c r="I911" s="874"/>
      <c r="J911" s="874"/>
      <c r="K911" s="874"/>
      <c r="L911" s="874"/>
      <c r="M911" s="874"/>
      <c r="N911" s="874"/>
      <c r="O911" s="874"/>
      <c r="P911" s="874"/>
      <c r="Q911" s="874"/>
      <c r="R911" s="874"/>
      <c r="S911" s="874"/>
      <c r="T911" s="874"/>
      <c r="U911" s="874"/>
      <c r="V911" s="874"/>
      <c r="W911" s="874"/>
      <c r="X911" s="874"/>
      <c r="Y911" s="874"/>
      <c r="Z911" s="874"/>
    </row>
    <row r="912" spans="1:26" ht="18" customHeight="1" x14ac:dyDescent="0.35">
      <c r="A912" s="874"/>
      <c r="B912" s="874"/>
      <c r="C912" s="874"/>
      <c r="D912" s="874"/>
      <c r="E912" s="874"/>
      <c r="F912" s="874"/>
      <c r="G912" s="874"/>
      <c r="H912" s="874"/>
      <c r="I912" s="874"/>
      <c r="J912" s="874"/>
      <c r="K912" s="874"/>
      <c r="L912" s="874"/>
      <c r="M912" s="874"/>
      <c r="N912" s="874"/>
      <c r="O912" s="874"/>
      <c r="P912" s="874"/>
      <c r="Q912" s="874"/>
      <c r="R912" s="874"/>
      <c r="S912" s="874"/>
      <c r="T912" s="874"/>
      <c r="U912" s="874"/>
      <c r="V912" s="874"/>
      <c r="W912" s="874"/>
      <c r="X912" s="874"/>
      <c r="Y912" s="874"/>
      <c r="Z912" s="874"/>
    </row>
    <row r="913" spans="1:26" ht="18" customHeight="1" x14ac:dyDescent="0.35">
      <c r="A913" s="874"/>
      <c r="B913" s="874"/>
      <c r="C913" s="874"/>
      <c r="D913" s="874"/>
      <c r="E913" s="874"/>
      <c r="F913" s="874"/>
      <c r="G913" s="874"/>
      <c r="H913" s="874"/>
      <c r="I913" s="874"/>
      <c r="J913" s="874"/>
      <c r="K913" s="874"/>
      <c r="L913" s="874"/>
      <c r="M913" s="874"/>
      <c r="N913" s="874"/>
      <c r="O913" s="874"/>
      <c r="P913" s="874"/>
      <c r="Q913" s="874"/>
      <c r="R913" s="874"/>
      <c r="S913" s="874"/>
      <c r="T913" s="874"/>
      <c r="U913" s="874"/>
      <c r="V913" s="874"/>
      <c r="W913" s="874"/>
      <c r="X913" s="874"/>
      <c r="Y913" s="874"/>
      <c r="Z913" s="874"/>
    </row>
    <row r="914" spans="1:26" ht="18" customHeight="1" x14ac:dyDescent="0.35">
      <c r="A914" s="874"/>
      <c r="B914" s="874"/>
      <c r="C914" s="874"/>
      <c r="D914" s="874"/>
      <c r="E914" s="874"/>
      <c r="F914" s="874"/>
      <c r="G914" s="874"/>
      <c r="H914" s="874"/>
      <c r="I914" s="874"/>
      <c r="J914" s="874"/>
      <c r="K914" s="874"/>
      <c r="L914" s="874"/>
      <c r="M914" s="874"/>
      <c r="N914" s="874"/>
      <c r="O914" s="874"/>
      <c r="P914" s="874"/>
      <c r="Q914" s="874"/>
      <c r="R914" s="874"/>
      <c r="S914" s="874"/>
      <c r="T914" s="874"/>
      <c r="U914" s="874"/>
      <c r="V914" s="874"/>
      <c r="W914" s="874"/>
      <c r="X914" s="874"/>
      <c r="Y914" s="874"/>
      <c r="Z914" s="874"/>
    </row>
    <row r="915" spans="1:26" ht="18" customHeight="1" x14ac:dyDescent="0.35">
      <c r="A915" s="874"/>
      <c r="B915" s="874"/>
      <c r="C915" s="874"/>
      <c r="D915" s="874"/>
      <c r="E915" s="874"/>
      <c r="F915" s="874"/>
      <c r="G915" s="874"/>
      <c r="H915" s="874"/>
      <c r="I915" s="874"/>
      <c r="J915" s="874"/>
      <c r="K915" s="874"/>
      <c r="L915" s="874"/>
      <c r="M915" s="874"/>
      <c r="N915" s="874"/>
      <c r="O915" s="874"/>
      <c r="P915" s="874"/>
      <c r="Q915" s="874"/>
      <c r="R915" s="874"/>
      <c r="S915" s="874"/>
      <c r="T915" s="874"/>
      <c r="U915" s="874"/>
      <c r="V915" s="874"/>
      <c r="W915" s="874"/>
      <c r="X915" s="874"/>
      <c r="Y915" s="874"/>
      <c r="Z915" s="874"/>
    </row>
    <row r="916" spans="1:26" ht="18" customHeight="1" x14ac:dyDescent="0.35">
      <c r="A916" s="874"/>
      <c r="B916" s="874"/>
      <c r="C916" s="874"/>
      <c r="D916" s="874"/>
      <c r="E916" s="874"/>
      <c r="F916" s="874"/>
      <c r="G916" s="874"/>
      <c r="H916" s="874"/>
      <c r="I916" s="874"/>
      <c r="J916" s="874"/>
      <c r="K916" s="874"/>
      <c r="L916" s="874"/>
      <c r="M916" s="874"/>
      <c r="N916" s="874"/>
      <c r="O916" s="874"/>
      <c r="P916" s="874"/>
      <c r="Q916" s="874"/>
      <c r="R916" s="874"/>
      <c r="S916" s="874"/>
      <c r="T916" s="874"/>
      <c r="U916" s="874"/>
      <c r="V916" s="874"/>
      <c r="W916" s="874"/>
      <c r="X916" s="874"/>
      <c r="Y916" s="874"/>
      <c r="Z916" s="874"/>
    </row>
    <row r="917" spans="1:26" ht="18" customHeight="1" x14ac:dyDescent="0.35">
      <c r="A917" s="874"/>
      <c r="B917" s="874"/>
      <c r="C917" s="874"/>
      <c r="D917" s="874"/>
      <c r="E917" s="874"/>
      <c r="F917" s="874"/>
      <c r="G917" s="874"/>
      <c r="H917" s="874"/>
      <c r="I917" s="874"/>
      <c r="J917" s="874"/>
      <c r="K917" s="874"/>
      <c r="L917" s="874"/>
      <c r="M917" s="874"/>
      <c r="N917" s="874"/>
      <c r="O917" s="874"/>
      <c r="P917" s="874"/>
      <c r="Q917" s="874"/>
      <c r="R917" s="874"/>
      <c r="S917" s="874"/>
      <c r="T917" s="874"/>
      <c r="U917" s="874"/>
      <c r="V917" s="874"/>
      <c r="W917" s="874"/>
      <c r="X917" s="874"/>
      <c r="Y917" s="874"/>
      <c r="Z917" s="874"/>
    </row>
    <row r="918" spans="1:26" ht="18" customHeight="1" x14ac:dyDescent="0.35">
      <c r="A918" s="874"/>
      <c r="B918" s="874"/>
      <c r="C918" s="874"/>
      <c r="D918" s="874"/>
      <c r="E918" s="874"/>
      <c r="F918" s="874"/>
      <c r="G918" s="874"/>
      <c r="H918" s="874"/>
      <c r="I918" s="874"/>
      <c r="J918" s="874"/>
      <c r="K918" s="874"/>
      <c r="L918" s="874"/>
      <c r="M918" s="874"/>
      <c r="N918" s="874"/>
      <c r="O918" s="874"/>
      <c r="P918" s="874"/>
      <c r="Q918" s="874"/>
      <c r="R918" s="874"/>
      <c r="S918" s="874"/>
      <c r="T918" s="874"/>
      <c r="U918" s="874"/>
      <c r="V918" s="874"/>
      <c r="W918" s="874"/>
      <c r="X918" s="874"/>
      <c r="Y918" s="874"/>
      <c r="Z918" s="874"/>
    </row>
    <row r="919" spans="1:26" ht="18" customHeight="1" x14ac:dyDescent="0.35">
      <c r="A919" s="874"/>
      <c r="B919" s="874"/>
      <c r="C919" s="874"/>
      <c r="D919" s="874"/>
      <c r="E919" s="874"/>
      <c r="F919" s="874"/>
      <c r="G919" s="874"/>
      <c r="H919" s="874"/>
      <c r="I919" s="874"/>
      <c r="J919" s="874"/>
      <c r="K919" s="874"/>
      <c r="L919" s="874"/>
      <c r="M919" s="874"/>
      <c r="N919" s="874"/>
      <c r="O919" s="874"/>
      <c r="P919" s="874"/>
      <c r="Q919" s="874"/>
      <c r="R919" s="874"/>
      <c r="S919" s="874"/>
      <c r="T919" s="874"/>
      <c r="U919" s="874"/>
      <c r="V919" s="874"/>
      <c r="W919" s="874"/>
      <c r="X919" s="874"/>
      <c r="Y919" s="874"/>
      <c r="Z919" s="874"/>
    </row>
    <row r="920" spans="1:26" ht="18" customHeight="1" x14ac:dyDescent="0.35">
      <c r="A920" s="874"/>
      <c r="B920" s="874"/>
      <c r="C920" s="874"/>
      <c r="D920" s="874"/>
      <c r="E920" s="874"/>
      <c r="F920" s="874"/>
      <c r="G920" s="874"/>
      <c r="H920" s="874"/>
      <c r="I920" s="874"/>
      <c r="J920" s="874"/>
      <c r="K920" s="874"/>
      <c r="L920" s="874"/>
      <c r="M920" s="874"/>
      <c r="N920" s="874"/>
      <c r="O920" s="874"/>
      <c r="P920" s="874"/>
      <c r="Q920" s="874"/>
      <c r="R920" s="874"/>
      <c r="S920" s="874"/>
      <c r="T920" s="874"/>
      <c r="U920" s="874"/>
      <c r="V920" s="874"/>
      <c r="W920" s="874"/>
      <c r="X920" s="874"/>
      <c r="Y920" s="874"/>
      <c r="Z920" s="874"/>
    </row>
    <row r="921" spans="1:26" ht="18" customHeight="1" x14ac:dyDescent="0.35">
      <c r="A921" s="874"/>
      <c r="B921" s="874"/>
      <c r="C921" s="874"/>
      <c r="D921" s="874"/>
      <c r="E921" s="874"/>
      <c r="F921" s="874"/>
      <c r="G921" s="874"/>
      <c r="H921" s="874"/>
      <c r="I921" s="874"/>
      <c r="J921" s="874"/>
      <c r="K921" s="874"/>
      <c r="L921" s="874"/>
      <c r="M921" s="874"/>
      <c r="N921" s="874"/>
      <c r="O921" s="874"/>
      <c r="P921" s="874"/>
      <c r="Q921" s="874"/>
      <c r="R921" s="874"/>
      <c r="S921" s="874"/>
      <c r="T921" s="874"/>
      <c r="U921" s="874"/>
      <c r="V921" s="874"/>
      <c r="W921" s="874"/>
      <c r="X921" s="874"/>
      <c r="Y921" s="874"/>
      <c r="Z921" s="874"/>
    </row>
    <row r="922" spans="1:26" ht="18" customHeight="1" x14ac:dyDescent="0.35">
      <c r="A922" s="874"/>
      <c r="B922" s="874"/>
      <c r="C922" s="874"/>
      <c r="D922" s="874"/>
      <c r="E922" s="874"/>
      <c r="F922" s="874"/>
      <c r="G922" s="874"/>
      <c r="H922" s="874"/>
      <c r="I922" s="874"/>
      <c r="J922" s="874"/>
      <c r="K922" s="874"/>
      <c r="L922" s="874"/>
      <c r="M922" s="874"/>
      <c r="N922" s="874"/>
      <c r="O922" s="874"/>
      <c r="P922" s="874"/>
      <c r="Q922" s="874"/>
      <c r="R922" s="874"/>
      <c r="S922" s="874"/>
      <c r="T922" s="874"/>
      <c r="U922" s="874"/>
      <c r="V922" s="874"/>
      <c r="W922" s="874"/>
      <c r="X922" s="874"/>
      <c r="Y922" s="874"/>
      <c r="Z922" s="874"/>
    </row>
    <row r="923" spans="1:26" ht="18" customHeight="1" x14ac:dyDescent="0.35">
      <c r="A923" s="874"/>
      <c r="B923" s="874"/>
      <c r="C923" s="874"/>
      <c r="D923" s="874"/>
      <c r="E923" s="874"/>
      <c r="F923" s="874"/>
      <c r="G923" s="874"/>
      <c r="H923" s="874"/>
      <c r="I923" s="874"/>
      <c r="J923" s="874"/>
      <c r="K923" s="874"/>
      <c r="L923" s="874"/>
      <c r="M923" s="874"/>
      <c r="N923" s="874"/>
      <c r="O923" s="874"/>
      <c r="P923" s="874"/>
      <c r="Q923" s="874"/>
      <c r="R923" s="874"/>
      <c r="S923" s="874"/>
      <c r="T923" s="874"/>
      <c r="U923" s="874"/>
      <c r="V923" s="874"/>
      <c r="W923" s="874"/>
      <c r="X923" s="874"/>
      <c r="Y923" s="874"/>
      <c r="Z923" s="874"/>
    </row>
    <row r="924" spans="1:26" ht="18" customHeight="1" x14ac:dyDescent="0.35">
      <c r="A924" s="874"/>
      <c r="B924" s="874"/>
      <c r="C924" s="874"/>
      <c r="D924" s="874"/>
      <c r="E924" s="874"/>
      <c r="F924" s="874"/>
      <c r="G924" s="874"/>
      <c r="H924" s="874"/>
      <c r="I924" s="874"/>
      <c r="J924" s="874"/>
      <c r="K924" s="874"/>
      <c r="L924" s="874"/>
      <c r="M924" s="874"/>
      <c r="N924" s="874"/>
      <c r="O924" s="874"/>
      <c r="P924" s="874"/>
      <c r="Q924" s="874"/>
      <c r="R924" s="874"/>
      <c r="S924" s="874"/>
      <c r="T924" s="874"/>
      <c r="U924" s="874"/>
      <c r="V924" s="874"/>
      <c r="W924" s="874"/>
      <c r="X924" s="874"/>
      <c r="Y924" s="874"/>
      <c r="Z924" s="874"/>
    </row>
    <row r="925" spans="1:26" ht="18" customHeight="1" x14ac:dyDescent="0.35">
      <c r="A925" s="874"/>
      <c r="B925" s="874"/>
      <c r="C925" s="874"/>
      <c r="D925" s="874"/>
      <c r="E925" s="874"/>
      <c r="F925" s="874"/>
      <c r="G925" s="874"/>
      <c r="H925" s="874"/>
      <c r="I925" s="874"/>
      <c r="J925" s="874"/>
      <c r="K925" s="874"/>
      <c r="L925" s="874"/>
      <c r="M925" s="874"/>
      <c r="N925" s="874"/>
      <c r="O925" s="874"/>
      <c r="P925" s="874"/>
      <c r="Q925" s="874"/>
      <c r="R925" s="874"/>
      <c r="S925" s="874"/>
      <c r="T925" s="874"/>
      <c r="U925" s="874"/>
      <c r="V925" s="874"/>
      <c r="W925" s="874"/>
      <c r="X925" s="874"/>
      <c r="Y925" s="874"/>
      <c r="Z925" s="874"/>
    </row>
    <row r="926" spans="1:26" ht="18" customHeight="1" x14ac:dyDescent="0.35">
      <c r="A926" s="874"/>
      <c r="B926" s="874"/>
      <c r="C926" s="874"/>
      <c r="D926" s="874"/>
      <c r="E926" s="874"/>
      <c r="F926" s="874"/>
      <c r="G926" s="874"/>
      <c r="H926" s="874"/>
      <c r="I926" s="874"/>
      <c r="J926" s="874"/>
      <c r="K926" s="874"/>
      <c r="L926" s="874"/>
      <c r="M926" s="874"/>
      <c r="N926" s="874"/>
      <c r="O926" s="874"/>
      <c r="P926" s="874"/>
      <c r="Q926" s="874"/>
      <c r="R926" s="874"/>
      <c r="S926" s="874"/>
      <c r="T926" s="874"/>
      <c r="U926" s="874"/>
      <c r="V926" s="874"/>
      <c r="W926" s="874"/>
      <c r="X926" s="874"/>
      <c r="Y926" s="874"/>
      <c r="Z926" s="874"/>
    </row>
    <row r="927" spans="1:26" ht="18" customHeight="1" x14ac:dyDescent="0.35">
      <c r="A927" s="874"/>
      <c r="B927" s="874"/>
      <c r="C927" s="874"/>
      <c r="D927" s="874"/>
      <c r="E927" s="874"/>
      <c r="F927" s="874"/>
      <c r="G927" s="874"/>
      <c r="H927" s="874"/>
      <c r="I927" s="874"/>
      <c r="J927" s="874"/>
      <c r="K927" s="874"/>
      <c r="L927" s="874"/>
      <c r="M927" s="874"/>
      <c r="N927" s="874"/>
      <c r="O927" s="874"/>
      <c r="P927" s="874"/>
      <c r="Q927" s="874"/>
      <c r="R927" s="874"/>
      <c r="S927" s="874"/>
      <c r="T927" s="874"/>
      <c r="U927" s="874"/>
      <c r="V927" s="874"/>
      <c r="W927" s="874"/>
      <c r="X927" s="874"/>
      <c r="Y927" s="874"/>
      <c r="Z927" s="874"/>
    </row>
    <row r="928" spans="1:26" ht="18" customHeight="1" x14ac:dyDescent="0.35">
      <c r="A928" s="874"/>
      <c r="B928" s="874"/>
      <c r="C928" s="874"/>
      <c r="D928" s="874"/>
      <c r="E928" s="874"/>
      <c r="F928" s="874"/>
      <c r="G928" s="874"/>
      <c r="H928" s="874"/>
      <c r="I928" s="874"/>
      <c r="J928" s="874"/>
      <c r="K928" s="874"/>
      <c r="L928" s="874"/>
      <c r="M928" s="874"/>
      <c r="N928" s="874"/>
      <c r="O928" s="874"/>
      <c r="P928" s="874"/>
      <c r="Q928" s="874"/>
      <c r="R928" s="874"/>
      <c r="S928" s="874"/>
      <c r="T928" s="874"/>
      <c r="U928" s="874"/>
      <c r="V928" s="874"/>
      <c r="W928" s="874"/>
      <c r="X928" s="874"/>
      <c r="Y928" s="874"/>
      <c r="Z928" s="874"/>
    </row>
    <row r="929" spans="1:26" ht="18" customHeight="1" x14ac:dyDescent="0.35">
      <c r="A929" s="874"/>
      <c r="B929" s="874"/>
      <c r="C929" s="874"/>
      <c r="D929" s="874"/>
      <c r="E929" s="874"/>
      <c r="F929" s="874"/>
      <c r="G929" s="874"/>
      <c r="H929" s="874"/>
      <c r="I929" s="874"/>
      <c r="J929" s="874"/>
      <c r="K929" s="874"/>
      <c r="L929" s="874"/>
      <c r="M929" s="874"/>
      <c r="N929" s="874"/>
      <c r="O929" s="874"/>
      <c r="P929" s="874"/>
      <c r="Q929" s="874"/>
      <c r="R929" s="874"/>
      <c r="S929" s="874"/>
      <c r="T929" s="874"/>
      <c r="U929" s="874"/>
      <c r="V929" s="874"/>
      <c r="W929" s="874"/>
      <c r="X929" s="874"/>
      <c r="Y929" s="874"/>
      <c r="Z929" s="874"/>
    </row>
    <row r="930" spans="1:26" ht="18" customHeight="1" x14ac:dyDescent="0.35">
      <c r="A930" s="874"/>
      <c r="B930" s="874"/>
      <c r="C930" s="874"/>
      <c r="D930" s="874"/>
      <c r="E930" s="874"/>
      <c r="F930" s="874"/>
      <c r="G930" s="874"/>
      <c r="H930" s="874"/>
      <c r="I930" s="874"/>
      <c r="J930" s="874"/>
      <c r="K930" s="874"/>
      <c r="L930" s="874"/>
      <c r="M930" s="874"/>
      <c r="N930" s="874"/>
      <c r="O930" s="874"/>
      <c r="P930" s="874"/>
      <c r="Q930" s="874"/>
      <c r="R930" s="874"/>
      <c r="S930" s="874"/>
      <c r="T930" s="874"/>
      <c r="U930" s="874"/>
      <c r="V930" s="874"/>
      <c r="W930" s="874"/>
      <c r="X930" s="874"/>
      <c r="Y930" s="874"/>
      <c r="Z930" s="874"/>
    </row>
    <row r="931" spans="1:26" ht="18" customHeight="1" x14ac:dyDescent="0.35">
      <c r="A931" s="874"/>
      <c r="B931" s="874"/>
      <c r="C931" s="874"/>
      <c r="D931" s="874"/>
      <c r="E931" s="874"/>
      <c r="F931" s="874"/>
      <c r="G931" s="874"/>
      <c r="H931" s="874"/>
      <c r="I931" s="874"/>
      <c r="J931" s="874"/>
      <c r="K931" s="874"/>
      <c r="L931" s="874"/>
      <c r="M931" s="874"/>
      <c r="N931" s="874"/>
      <c r="O931" s="874"/>
      <c r="P931" s="874"/>
      <c r="Q931" s="874"/>
      <c r="R931" s="874"/>
      <c r="S931" s="874"/>
      <c r="T931" s="874"/>
      <c r="U931" s="874"/>
      <c r="V931" s="874"/>
      <c r="W931" s="874"/>
      <c r="X931" s="874"/>
      <c r="Y931" s="874"/>
      <c r="Z931" s="874"/>
    </row>
    <row r="932" spans="1:26" ht="18" customHeight="1" x14ac:dyDescent="0.35">
      <c r="A932" s="874"/>
      <c r="B932" s="874"/>
      <c r="C932" s="874"/>
      <c r="D932" s="874"/>
      <c r="E932" s="874"/>
      <c r="F932" s="874"/>
      <c r="G932" s="874"/>
      <c r="H932" s="874"/>
      <c r="I932" s="874"/>
      <c r="J932" s="874"/>
      <c r="K932" s="874"/>
      <c r="L932" s="874"/>
      <c r="M932" s="874"/>
      <c r="N932" s="874"/>
      <c r="O932" s="874"/>
      <c r="P932" s="874"/>
      <c r="Q932" s="874"/>
      <c r="R932" s="874"/>
      <c r="S932" s="874"/>
      <c r="T932" s="874"/>
      <c r="U932" s="874"/>
      <c r="V932" s="874"/>
      <c r="W932" s="874"/>
      <c r="X932" s="874"/>
      <c r="Y932" s="874"/>
      <c r="Z932" s="874"/>
    </row>
    <row r="933" spans="1:26" ht="18" customHeight="1" x14ac:dyDescent="0.35">
      <c r="A933" s="874"/>
      <c r="B933" s="874"/>
      <c r="C933" s="874"/>
      <c r="D933" s="874"/>
      <c r="E933" s="874"/>
      <c r="F933" s="874"/>
      <c r="G933" s="874"/>
      <c r="H933" s="874"/>
      <c r="I933" s="874"/>
      <c r="J933" s="874"/>
      <c r="K933" s="874"/>
      <c r="L933" s="874"/>
      <c r="M933" s="874"/>
      <c r="N933" s="874"/>
      <c r="O933" s="874"/>
      <c r="P933" s="874"/>
      <c r="Q933" s="874"/>
      <c r="R933" s="874"/>
      <c r="S933" s="874"/>
      <c r="T933" s="874"/>
      <c r="U933" s="874"/>
      <c r="V933" s="874"/>
      <c r="W933" s="874"/>
      <c r="X933" s="874"/>
      <c r="Y933" s="874"/>
      <c r="Z933" s="874"/>
    </row>
    <row r="934" spans="1:26" ht="18" customHeight="1" x14ac:dyDescent="0.35">
      <c r="A934" s="874"/>
      <c r="B934" s="874"/>
      <c r="C934" s="874"/>
      <c r="D934" s="874"/>
      <c r="E934" s="874"/>
      <c r="F934" s="874"/>
      <c r="G934" s="874"/>
      <c r="H934" s="874"/>
      <c r="I934" s="874"/>
      <c r="J934" s="874"/>
      <c r="K934" s="874"/>
      <c r="L934" s="874"/>
      <c r="M934" s="874"/>
      <c r="N934" s="874"/>
      <c r="O934" s="874"/>
      <c r="P934" s="874"/>
      <c r="Q934" s="874"/>
      <c r="R934" s="874"/>
      <c r="S934" s="874"/>
      <c r="T934" s="874"/>
      <c r="U934" s="874"/>
      <c r="V934" s="874"/>
      <c r="W934" s="874"/>
      <c r="X934" s="874"/>
      <c r="Y934" s="874"/>
      <c r="Z934" s="874"/>
    </row>
    <row r="935" spans="1:26" ht="18" customHeight="1" x14ac:dyDescent="0.35">
      <c r="A935" s="874"/>
      <c r="B935" s="874"/>
      <c r="C935" s="874"/>
      <c r="D935" s="874"/>
      <c r="E935" s="874"/>
      <c r="F935" s="874"/>
      <c r="G935" s="874"/>
      <c r="H935" s="874"/>
      <c r="I935" s="874"/>
      <c r="J935" s="874"/>
      <c r="K935" s="874"/>
      <c r="L935" s="874"/>
      <c r="M935" s="874"/>
      <c r="N935" s="874"/>
      <c r="O935" s="874"/>
      <c r="P935" s="874"/>
      <c r="Q935" s="874"/>
      <c r="R935" s="874"/>
      <c r="S935" s="874"/>
      <c r="T935" s="874"/>
      <c r="U935" s="874"/>
      <c r="V935" s="874"/>
      <c r="W935" s="874"/>
      <c r="X935" s="874"/>
      <c r="Y935" s="874"/>
      <c r="Z935" s="874"/>
    </row>
    <row r="936" spans="1:26" ht="18" customHeight="1" x14ac:dyDescent="0.35">
      <c r="A936" s="874"/>
      <c r="B936" s="874"/>
      <c r="C936" s="874"/>
      <c r="D936" s="874"/>
      <c r="E936" s="874"/>
      <c r="F936" s="874"/>
      <c r="G936" s="874"/>
      <c r="H936" s="874"/>
      <c r="I936" s="874"/>
      <c r="J936" s="874"/>
      <c r="K936" s="874"/>
      <c r="L936" s="874"/>
      <c r="M936" s="874"/>
      <c r="N936" s="874"/>
      <c r="O936" s="874"/>
      <c r="P936" s="874"/>
      <c r="Q936" s="874"/>
      <c r="R936" s="874"/>
      <c r="S936" s="874"/>
      <c r="T936" s="874"/>
      <c r="U936" s="874"/>
      <c r="V936" s="874"/>
      <c r="W936" s="874"/>
      <c r="X936" s="874"/>
      <c r="Y936" s="874"/>
      <c r="Z936" s="874"/>
    </row>
    <row r="937" spans="1:26" ht="18" customHeight="1" x14ac:dyDescent="0.35">
      <c r="A937" s="874"/>
      <c r="B937" s="874"/>
      <c r="C937" s="874"/>
      <c r="D937" s="874"/>
      <c r="E937" s="874"/>
      <c r="F937" s="874"/>
      <c r="G937" s="874"/>
      <c r="H937" s="874"/>
      <c r="I937" s="874"/>
      <c r="J937" s="874"/>
      <c r="K937" s="874"/>
      <c r="L937" s="874"/>
      <c r="M937" s="874"/>
      <c r="N937" s="874"/>
      <c r="O937" s="874"/>
      <c r="P937" s="874"/>
      <c r="Q937" s="874"/>
      <c r="R937" s="874"/>
      <c r="S937" s="874"/>
      <c r="T937" s="874"/>
      <c r="U937" s="874"/>
      <c r="V937" s="874"/>
      <c r="W937" s="874"/>
      <c r="X937" s="874"/>
      <c r="Y937" s="874"/>
      <c r="Z937" s="874"/>
    </row>
    <row r="938" spans="1:26" ht="18" customHeight="1" x14ac:dyDescent="0.35">
      <c r="A938" s="874"/>
      <c r="B938" s="874"/>
      <c r="C938" s="874"/>
      <c r="D938" s="874"/>
      <c r="E938" s="874"/>
      <c r="F938" s="874"/>
      <c r="G938" s="874"/>
      <c r="H938" s="874"/>
      <c r="I938" s="874"/>
      <c r="J938" s="874"/>
      <c r="K938" s="874"/>
      <c r="L938" s="874"/>
      <c r="M938" s="874"/>
      <c r="N938" s="874"/>
      <c r="O938" s="874"/>
      <c r="P938" s="874"/>
      <c r="Q938" s="874"/>
      <c r="R938" s="874"/>
      <c r="S938" s="874"/>
      <c r="T938" s="874"/>
      <c r="U938" s="874"/>
      <c r="V938" s="874"/>
      <c r="W938" s="874"/>
      <c r="X938" s="874"/>
      <c r="Y938" s="874"/>
      <c r="Z938" s="874"/>
    </row>
    <row r="939" spans="1:26" ht="18" customHeight="1" x14ac:dyDescent="0.35">
      <c r="A939" s="874"/>
      <c r="B939" s="874"/>
      <c r="C939" s="874"/>
      <c r="D939" s="874"/>
      <c r="E939" s="874"/>
      <c r="F939" s="874"/>
      <c r="G939" s="874"/>
      <c r="H939" s="874"/>
      <c r="I939" s="874"/>
      <c r="J939" s="874"/>
      <c r="K939" s="874"/>
      <c r="L939" s="874"/>
      <c r="M939" s="874"/>
      <c r="N939" s="874"/>
      <c r="O939" s="874"/>
      <c r="P939" s="874"/>
      <c r="Q939" s="874"/>
      <c r="R939" s="874"/>
      <c r="S939" s="874"/>
      <c r="T939" s="874"/>
      <c r="U939" s="874"/>
      <c r="V939" s="874"/>
      <c r="W939" s="874"/>
      <c r="X939" s="874"/>
      <c r="Y939" s="874"/>
      <c r="Z939" s="874"/>
    </row>
    <row r="940" spans="1:26" ht="18" customHeight="1" x14ac:dyDescent="0.35">
      <c r="A940" s="874"/>
      <c r="B940" s="874"/>
      <c r="C940" s="874"/>
      <c r="D940" s="874"/>
      <c r="E940" s="874"/>
      <c r="F940" s="874"/>
      <c r="G940" s="874"/>
      <c r="H940" s="874"/>
      <c r="I940" s="874"/>
      <c r="J940" s="874"/>
      <c r="K940" s="874"/>
      <c r="L940" s="874"/>
      <c r="M940" s="874"/>
      <c r="N940" s="874"/>
      <c r="O940" s="874"/>
      <c r="P940" s="874"/>
      <c r="Q940" s="874"/>
      <c r="R940" s="874"/>
      <c r="S940" s="874"/>
      <c r="T940" s="874"/>
      <c r="U940" s="874"/>
      <c r="V940" s="874"/>
      <c r="W940" s="874"/>
      <c r="X940" s="874"/>
      <c r="Y940" s="874"/>
      <c r="Z940" s="874"/>
    </row>
    <row r="941" spans="1:26" ht="18" customHeight="1" x14ac:dyDescent="0.35">
      <c r="A941" s="874"/>
      <c r="B941" s="874"/>
      <c r="C941" s="874"/>
      <c r="D941" s="874"/>
      <c r="E941" s="874"/>
      <c r="F941" s="874"/>
      <c r="G941" s="874"/>
      <c r="H941" s="874"/>
      <c r="I941" s="874"/>
      <c r="J941" s="874"/>
      <c r="K941" s="874"/>
      <c r="L941" s="874"/>
      <c r="M941" s="874"/>
      <c r="N941" s="874"/>
      <c r="O941" s="874"/>
      <c r="P941" s="874"/>
      <c r="Q941" s="874"/>
      <c r="R941" s="874"/>
      <c r="S941" s="874"/>
      <c r="T941" s="874"/>
      <c r="U941" s="874"/>
      <c r="V941" s="874"/>
      <c r="W941" s="874"/>
      <c r="X941" s="874"/>
      <c r="Y941" s="874"/>
      <c r="Z941" s="874"/>
    </row>
    <row r="942" spans="1:26" ht="18" customHeight="1" x14ac:dyDescent="0.35">
      <c r="A942" s="874"/>
      <c r="B942" s="874"/>
      <c r="C942" s="874"/>
      <c r="D942" s="874"/>
      <c r="E942" s="874"/>
      <c r="F942" s="874"/>
      <c r="G942" s="874"/>
      <c r="H942" s="874"/>
      <c r="I942" s="874"/>
      <c r="J942" s="874"/>
      <c r="K942" s="874"/>
      <c r="L942" s="874"/>
      <c r="M942" s="874"/>
      <c r="N942" s="874"/>
      <c r="O942" s="874"/>
      <c r="P942" s="874"/>
      <c r="Q942" s="874"/>
      <c r="R942" s="874"/>
      <c r="S942" s="874"/>
      <c r="T942" s="874"/>
      <c r="U942" s="874"/>
      <c r="V942" s="874"/>
      <c r="W942" s="874"/>
      <c r="X942" s="874"/>
      <c r="Y942" s="874"/>
      <c r="Z942" s="874"/>
    </row>
    <row r="943" spans="1:26" ht="18" customHeight="1" x14ac:dyDescent="0.35">
      <c r="A943" s="874"/>
      <c r="B943" s="874"/>
      <c r="C943" s="874"/>
      <c r="D943" s="874"/>
      <c r="E943" s="874"/>
      <c r="F943" s="874"/>
      <c r="G943" s="874"/>
      <c r="H943" s="874"/>
      <c r="I943" s="874"/>
      <c r="J943" s="874"/>
      <c r="K943" s="874"/>
      <c r="L943" s="874"/>
      <c r="M943" s="874"/>
      <c r="N943" s="874"/>
      <c r="O943" s="874"/>
      <c r="P943" s="874"/>
      <c r="Q943" s="874"/>
      <c r="R943" s="874"/>
      <c r="S943" s="874"/>
      <c r="T943" s="874"/>
      <c r="U943" s="874"/>
      <c r="V943" s="874"/>
      <c r="W943" s="874"/>
      <c r="X943" s="874"/>
      <c r="Y943" s="874"/>
      <c r="Z943" s="874"/>
    </row>
    <row r="944" spans="1:26" ht="18" customHeight="1" x14ac:dyDescent="0.35">
      <c r="A944" s="874"/>
      <c r="B944" s="874"/>
      <c r="C944" s="874"/>
      <c r="D944" s="874"/>
      <c r="E944" s="874"/>
      <c r="F944" s="874"/>
      <c r="G944" s="874"/>
      <c r="H944" s="874"/>
      <c r="I944" s="874"/>
      <c r="J944" s="874"/>
      <c r="K944" s="874"/>
      <c r="L944" s="874"/>
      <c r="M944" s="874"/>
      <c r="N944" s="874"/>
      <c r="O944" s="874"/>
      <c r="P944" s="874"/>
      <c r="Q944" s="874"/>
      <c r="R944" s="874"/>
      <c r="S944" s="874"/>
      <c r="T944" s="874"/>
      <c r="U944" s="874"/>
      <c r="V944" s="874"/>
      <c r="W944" s="874"/>
      <c r="X944" s="874"/>
      <c r="Y944" s="874"/>
      <c r="Z944" s="874"/>
    </row>
    <row r="945" spans="1:26" ht="18" customHeight="1" x14ac:dyDescent="0.35">
      <c r="A945" s="874"/>
      <c r="B945" s="874"/>
      <c r="C945" s="874"/>
      <c r="D945" s="874"/>
      <c r="E945" s="874"/>
      <c r="F945" s="874"/>
      <c r="G945" s="874"/>
      <c r="H945" s="874"/>
      <c r="I945" s="874"/>
      <c r="J945" s="874"/>
      <c r="K945" s="874"/>
      <c r="L945" s="874"/>
      <c r="M945" s="874"/>
      <c r="N945" s="874"/>
      <c r="O945" s="874"/>
      <c r="P945" s="874"/>
      <c r="Q945" s="874"/>
      <c r="R945" s="874"/>
      <c r="S945" s="874"/>
      <c r="T945" s="874"/>
      <c r="U945" s="874"/>
      <c r="V945" s="874"/>
      <c r="W945" s="874"/>
      <c r="X945" s="874"/>
      <c r="Y945" s="874"/>
      <c r="Z945" s="874"/>
    </row>
    <row r="946" spans="1:26" ht="18" customHeight="1" x14ac:dyDescent="0.35">
      <c r="A946" s="874"/>
      <c r="B946" s="874"/>
      <c r="C946" s="874"/>
      <c r="D946" s="874"/>
      <c r="E946" s="874"/>
      <c r="F946" s="874"/>
      <c r="G946" s="874"/>
      <c r="H946" s="874"/>
      <c r="I946" s="874"/>
      <c r="J946" s="874"/>
      <c r="K946" s="874"/>
      <c r="L946" s="874"/>
      <c r="M946" s="874"/>
      <c r="N946" s="874"/>
      <c r="O946" s="874"/>
      <c r="P946" s="874"/>
      <c r="Q946" s="874"/>
      <c r="R946" s="874"/>
      <c r="S946" s="874"/>
      <c r="T946" s="874"/>
      <c r="U946" s="874"/>
      <c r="V946" s="874"/>
      <c r="W946" s="874"/>
      <c r="X946" s="874"/>
      <c r="Y946" s="874"/>
      <c r="Z946" s="874"/>
    </row>
    <row r="947" spans="1:26" ht="18" customHeight="1" x14ac:dyDescent="0.35">
      <c r="A947" s="874"/>
      <c r="B947" s="874"/>
      <c r="C947" s="874"/>
      <c r="D947" s="874"/>
      <c r="E947" s="874"/>
      <c r="F947" s="874"/>
      <c r="G947" s="874"/>
      <c r="H947" s="874"/>
      <c r="I947" s="874"/>
      <c r="J947" s="874"/>
      <c r="K947" s="874"/>
      <c r="L947" s="874"/>
      <c r="M947" s="874"/>
      <c r="N947" s="874"/>
      <c r="O947" s="874"/>
      <c r="P947" s="874"/>
      <c r="Q947" s="874"/>
      <c r="R947" s="874"/>
      <c r="S947" s="874"/>
      <c r="T947" s="874"/>
      <c r="U947" s="874"/>
      <c r="V947" s="874"/>
      <c r="W947" s="874"/>
      <c r="X947" s="874"/>
      <c r="Y947" s="874"/>
      <c r="Z947" s="874"/>
    </row>
    <row r="948" spans="1:26" ht="18" customHeight="1" x14ac:dyDescent="0.35">
      <c r="A948" s="874"/>
      <c r="B948" s="874"/>
      <c r="C948" s="874"/>
      <c r="D948" s="874"/>
      <c r="E948" s="874"/>
      <c r="F948" s="874"/>
      <c r="G948" s="874"/>
      <c r="H948" s="874"/>
      <c r="I948" s="874"/>
      <c r="J948" s="874"/>
      <c r="K948" s="874"/>
      <c r="L948" s="874"/>
      <c r="M948" s="874"/>
      <c r="N948" s="874"/>
      <c r="O948" s="874"/>
      <c r="P948" s="874"/>
      <c r="Q948" s="874"/>
      <c r="R948" s="874"/>
      <c r="S948" s="874"/>
      <c r="T948" s="874"/>
      <c r="U948" s="874"/>
      <c r="V948" s="874"/>
      <c r="W948" s="874"/>
      <c r="X948" s="874"/>
      <c r="Y948" s="874"/>
      <c r="Z948" s="874"/>
    </row>
    <row r="949" spans="1:26" ht="18" customHeight="1" x14ac:dyDescent="0.35">
      <c r="A949" s="874"/>
      <c r="B949" s="874"/>
      <c r="C949" s="874"/>
      <c r="D949" s="874"/>
      <c r="E949" s="874"/>
      <c r="F949" s="874"/>
      <c r="G949" s="874"/>
      <c r="H949" s="874"/>
      <c r="I949" s="874"/>
      <c r="J949" s="874"/>
      <c r="K949" s="874"/>
      <c r="L949" s="874"/>
      <c r="M949" s="874"/>
      <c r="N949" s="874"/>
      <c r="O949" s="874"/>
      <c r="P949" s="874"/>
      <c r="Q949" s="874"/>
      <c r="R949" s="874"/>
      <c r="S949" s="874"/>
      <c r="T949" s="874"/>
      <c r="U949" s="874"/>
      <c r="V949" s="874"/>
      <c r="W949" s="874"/>
      <c r="X949" s="874"/>
      <c r="Y949" s="874"/>
      <c r="Z949" s="874"/>
    </row>
    <row r="950" spans="1:26" ht="18" customHeight="1" x14ac:dyDescent="0.35">
      <c r="A950" s="874"/>
      <c r="B950" s="874"/>
      <c r="C950" s="874"/>
      <c r="D950" s="874"/>
      <c r="E950" s="874"/>
      <c r="F950" s="874"/>
      <c r="G950" s="874"/>
      <c r="H950" s="874"/>
      <c r="I950" s="874"/>
      <c r="J950" s="874"/>
      <c r="K950" s="874"/>
      <c r="L950" s="874"/>
      <c r="M950" s="874"/>
      <c r="N950" s="874"/>
      <c r="O950" s="874"/>
      <c r="P950" s="874"/>
      <c r="Q950" s="874"/>
      <c r="R950" s="874"/>
      <c r="S950" s="874"/>
      <c r="T950" s="874"/>
      <c r="U950" s="874"/>
      <c r="V950" s="874"/>
      <c r="W950" s="874"/>
      <c r="X950" s="874"/>
      <c r="Y950" s="874"/>
      <c r="Z950" s="874"/>
    </row>
    <row r="951" spans="1:26" ht="18" customHeight="1" x14ac:dyDescent="0.35">
      <c r="A951" s="874"/>
      <c r="B951" s="874"/>
      <c r="C951" s="874"/>
      <c r="D951" s="874"/>
      <c r="E951" s="874"/>
      <c r="F951" s="874"/>
      <c r="G951" s="874"/>
      <c r="H951" s="874"/>
      <c r="I951" s="874"/>
      <c r="J951" s="874"/>
      <c r="K951" s="874"/>
      <c r="L951" s="874"/>
      <c r="M951" s="874"/>
      <c r="N951" s="874"/>
      <c r="O951" s="874"/>
      <c r="P951" s="874"/>
      <c r="Q951" s="874"/>
      <c r="R951" s="874"/>
      <c r="S951" s="874"/>
      <c r="T951" s="874"/>
      <c r="U951" s="874"/>
      <c r="V951" s="874"/>
      <c r="W951" s="874"/>
      <c r="X951" s="874"/>
      <c r="Y951" s="874"/>
      <c r="Z951" s="874"/>
    </row>
    <row r="952" spans="1:26" ht="18" customHeight="1" x14ac:dyDescent="0.35">
      <c r="A952" s="874"/>
      <c r="B952" s="874"/>
      <c r="C952" s="874"/>
      <c r="D952" s="874"/>
      <c r="E952" s="874"/>
      <c r="F952" s="874"/>
      <c r="G952" s="874"/>
      <c r="H952" s="874"/>
      <c r="I952" s="874"/>
      <c r="J952" s="874"/>
      <c r="K952" s="874"/>
      <c r="L952" s="874"/>
      <c r="M952" s="874"/>
      <c r="N952" s="874"/>
      <c r="O952" s="874"/>
      <c r="P952" s="874"/>
      <c r="Q952" s="874"/>
      <c r="R952" s="874"/>
      <c r="S952" s="874"/>
      <c r="T952" s="874"/>
      <c r="U952" s="874"/>
      <c r="V952" s="874"/>
      <c r="W952" s="874"/>
      <c r="X952" s="874"/>
      <c r="Y952" s="874"/>
      <c r="Z952" s="874"/>
    </row>
    <row r="953" spans="1:26" ht="18" customHeight="1" x14ac:dyDescent="0.35">
      <c r="A953" s="874"/>
      <c r="B953" s="874"/>
      <c r="C953" s="874"/>
      <c r="D953" s="874"/>
      <c r="E953" s="874"/>
      <c r="F953" s="874"/>
      <c r="G953" s="874"/>
      <c r="H953" s="874"/>
      <c r="I953" s="874"/>
      <c r="J953" s="874"/>
      <c r="K953" s="874"/>
      <c r="L953" s="874"/>
      <c r="M953" s="874"/>
      <c r="N953" s="874"/>
      <c r="O953" s="874"/>
      <c r="P953" s="874"/>
      <c r="Q953" s="874"/>
      <c r="R953" s="874"/>
      <c r="S953" s="874"/>
      <c r="T953" s="874"/>
      <c r="U953" s="874"/>
      <c r="V953" s="874"/>
      <c r="W953" s="874"/>
      <c r="X953" s="874"/>
      <c r="Y953" s="874"/>
      <c r="Z953" s="874"/>
    </row>
    <row r="954" spans="1:26" ht="18" customHeight="1" x14ac:dyDescent="0.35">
      <c r="A954" s="874"/>
      <c r="B954" s="874"/>
      <c r="C954" s="874"/>
      <c r="D954" s="874"/>
      <c r="E954" s="874"/>
      <c r="F954" s="874"/>
      <c r="G954" s="874"/>
      <c r="H954" s="874"/>
      <c r="I954" s="874"/>
      <c r="J954" s="874"/>
      <c r="K954" s="874"/>
      <c r="L954" s="874"/>
      <c r="M954" s="874"/>
      <c r="N954" s="874"/>
      <c r="O954" s="874"/>
      <c r="P954" s="874"/>
      <c r="Q954" s="874"/>
      <c r="R954" s="874"/>
      <c r="S954" s="874"/>
      <c r="T954" s="874"/>
      <c r="U954" s="874"/>
      <c r="V954" s="874"/>
      <c r="W954" s="874"/>
      <c r="X954" s="874"/>
      <c r="Y954" s="874"/>
      <c r="Z954" s="874"/>
    </row>
    <row r="955" spans="1:26" ht="18" customHeight="1" x14ac:dyDescent="0.35">
      <c r="A955" s="874"/>
      <c r="B955" s="874"/>
      <c r="C955" s="874"/>
      <c r="D955" s="874"/>
      <c r="E955" s="874"/>
      <c r="F955" s="874"/>
      <c r="G955" s="874"/>
      <c r="H955" s="874"/>
      <c r="I955" s="874"/>
      <c r="J955" s="874"/>
      <c r="K955" s="874"/>
      <c r="L955" s="874"/>
      <c r="M955" s="874"/>
      <c r="N955" s="874"/>
      <c r="O955" s="874"/>
      <c r="P955" s="874"/>
      <c r="Q955" s="874"/>
      <c r="R955" s="874"/>
      <c r="S955" s="874"/>
      <c r="T955" s="874"/>
      <c r="U955" s="874"/>
      <c r="V955" s="874"/>
      <c r="W955" s="874"/>
      <c r="X955" s="874"/>
      <c r="Y955" s="874"/>
      <c r="Z955" s="874"/>
    </row>
    <row r="956" spans="1:26" ht="18" customHeight="1" x14ac:dyDescent="0.35">
      <c r="A956" s="874"/>
      <c r="B956" s="874"/>
      <c r="C956" s="874"/>
      <c r="D956" s="874"/>
      <c r="E956" s="874"/>
      <c r="F956" s="874"/>
      <c r="G956" s="874"/>
      <c r="H956" s="874"/>
      <c r="I956" s="874"/>
      <c r="J956" s="874"/>
      <c r="K956" s="874"/>
      <c r="L956" s="874"/>
      <c r="M956" s="874"/>
      <c r="N956" s="874"/>
      <c r="O956" s="874"/>
      <c r="P956" s="874"/>
      <c r="Q956" s="874"/>
      <c r="R956" s="874"/>
      <c r="S956" s="874"/>
      <c r="T956" s="874"/>
      <c r="U956" s="874"/>
      <c r="V956" s="874"/>
      <c r="W956" s="874"/>
      <c r="X956" s="874"/>
      <c r="Y956" s="874"/>
      <c r="Z956" s="874"/>
    </row>
    <row r="957" spans="1:26" ht="18" customHeight="1" x14ac:dyDescent="0.35">
      <c r="A957" s="874"/>
      <c r="B957" s="874"/>
      <c r="C957" s="874"/>
      <c r="D957" s="874"/>
      <c r="E957" s="874"/>
      <c r="F957" s="874"/>
      <c r="G957" s="874"/>
      <c r="H957" s="874"/>
      <c r="I957" s="874"/>
      <c r="J957" s="874"/>
      <c r="K957" s="874"/>
      <c r="L957" s="874"/>
      <c r="M957" s="874"/>
      <c r="N957" s="874"/>
      <c r="O957" s="874"/>
      <c r="P957" s="874"/>
      <c r="Q957" s="874"/>
      <c r="R957" s="874"/>
      <c r="S957" s="874"/>
      <c r="T957" s="874"/>
      <c r="U957" s="874"/>
      <c r="V957" s="874"/>
      <c r="W957" s="874"/>
      <c r="X957" s="874"/>
      <c r="Y957" s="874"/>
      <c r="Z957" s="874"/>
    </row>
    <row r="958" spans="1:26" ht="18" customHeight="1" x14ac:dyDescent="0.35">
      <c r="A958" s="874"/>
      <c r="B958" s="874"/>
      <c r="C958" s="874"/>
      <c r="D958" s="874"/>
      <c r="E958" s="874"/>
      <c r="F958" s="874"/>
      <c r="G958" s="874"/>
      <c r="H958" s="874"/>
      <c r="I958" s="874"/>
      <c r="J958" s="874"/>
      <c r="K958" s="874"/>
      <c r="L958" s="874"/>
      <c r="M958" s="874"/>
      <c r="N958" s="874"/>
      <c r="O958" s="874"/>
      <c r="P958" s="874"/>
      <c r="Q958" s="874"/>
      <c r="R958" s="874"/>
      <c r="S958" s="874"/>
      <c r="T958" s="874"/>
      <c r="U958" s="874"/>
      <c r="V958" s="874"/>
      <c r="W958" s="874"/>
      <c r="X958" s="874"/>
      <c r="Y958" s="874"/>
      <c r="Z958" s="874"/>
    </row>
    <row r="959" spans="1:26" ht="18" customHeight="1" x14ac:dyDescent="0.35">
      <c r="A959" s="874"/>
      <c r="B959" s="874"/>
      <c r="C959" s="874"/>
      <c r="D959" s="874"/>
      <c r="E959" s="874"/>
      <c r="F959" s="874"/>
      <c r="G959" s="874"/>
      <c r="H959" s="874"/>
      <c r="I959" s="874"/>
      <c r="J959" s="874"/>
      <c r="K959" s="874"/>
      <c r="L959" s="874"/>
      <c r="M959" s="874"/>
      <c r="N959" s="874"/>
      <c r="O959" s="874"/>
      <c r="P959" s="874"/>
      <c r="Q959" s="874"/>
      <c r="R959" s="874"/>
      <c r="S959" s="874"/>
      <c r="T959" s="874"/>
      <c r="U959" s="874"/>
      <c r="V959" s="874"/>
      <c r="W959" s="874"/>
      <c r="X959" s="874"/>
      <c r="Y959" s="874"/>
      <c r="Z959" s="874"/>
    </row>
    <row r="960" spans="1:26" ht="18" customHeight="1" x14ac:dyDescent="0.35">
      <c r="A960" s="874"/>
      <c r="B960" s="874"/>
      <c r="C960" s="874"/>
      <c r="D960" s="874"/>
      <c r="E960" s="874"/>
      <c r="F960" s="874"/>
      <c r="G960" s="874"/>
      <c r="H960" s="874"/>
      <c r="I960" s="874"/>
      <c r="J960" s="874"/>
      <c r="K960" s="874"/>
      <c r="L960" s="874"/>
      <c r="M960" s="874"/>
      <c r="N960" s="874"/>
      <c r="O960" s="874"/>
      <c r="P960" s="874"/>
      <c r="Q960" s="874"/>
      <c r="R960" s="874"/>
      <c r="S960" s="874"/>
      <c r="T960" s="874"/>
      <c r="U960" s="874"/>
      <c r="V960" s="874"/>
      <c r="W960" s="874"/>
      <c r="X960" s="874"/>
      <c r="Y960" s="874"/>
      <c r="Z960" s="874"/>
    </row>
    <row r="961" spans="1:26" ht="18" customHeight="1" x14ac:dyDescent="0.35">
      <c r="A961" s="874"/>
      <c r="B961" s="874"/>
      <c r="C961" s="874"/>
      <c r="D961" s="874"/>
      <c r="E961" s="874"/>
      <c r="F961" s="874"/>
      <c r="G961" s="874"/>
      <c r="H961" s="874"/>
      <c r="I961" s="874"/>
      <c r="J961" s="874"/>
      <c r="K961" s="874"/>
      <c r="L961" s="874"/>
      <c r="M961" s="874"/>
      <c r="N961" s="874"/>
      <c r="O961" s="874"/>
      <c r="P961" s="874"/>
      <c r="Q961" s="874"/>
      <c r="R961" s="874"/>
      <c r="S961" s="874"/>
      <c r="T961" s="874"/>
      <c r="U961" s="874"/>
      <c r="V961" s="874"/>
      <c r="W961" s="874"/>
      <c r="X961" s="874"/>
      <c r="Y961" s="874"/>
      <c r="Z961" s="874"/>
    </row>
    <row r="962" spans="1:26" ht="18" customHeight="1" x14ac:dyDescent="0.35">
      <c r="A962" s="874"/>
      <c r="B962" s="874"/>
      <c r="C962" s="874"/>
      <c r="D962" s="874"/>
      <c r="E962" s="874"/>
      <c r="F962" s="874"/>
      <c r="G962" s="874"/>
      <c r="H962" s="874"/>
      <c r="I962" s="874"/>
      <c r="J962" s="874"/>
      <c r="K962" s="874"/>
      <c r="L962" s="874"/>
      <c r="M962" s="874"/>
      <c r="N962" s="874"/>
      <c r="O962" s="874"/>
      <c r="P962" s="874"/>
      <c r="Q962" s="874"/>
      <c r="R962" s="874"/>
      <c r="S962" s="874"/>
      <c r="T962" s="874"/>
      <c r="U962" s="874"/>
      <c r="V962" s="874"/>
      <c r="W962" s="874"/>
      <c r="X962" s="874"/>
      <c r="Y962" s="874"/>
      <c r="Z962" s="874"/>
    </row>
    <row r="963" spans="1:26" ht="18" customHeight="1" x14ac:dyDescent="0.35">
      <c r="A963" s="874"/>
      <c r="B963" s="874"/>
      <c r="C963" s="874"/>
      <c r="D963" s="874"/>
      <c r="E963" s="874"/>
      <c r="F963" s="874"/>
      <c r="G963" s="874"/>
      <c r="H963" s="874"/>
      <c r="I963" s="874"/>
      <c r="J963" s="874"/>
      <c r="K963" s="874"/>
      <c r="L963" s="874"/>
      <c r="M963" s="874"/>
      <c r="N963" s="874"/>
      <c r="O963" s="874"/>
      <c r="P963" s="874"/>
      <c r="Q963" s="874"/>
      <c r="R963" s="874"/>
      <c r="S963" s="874"/>
      <c r="T963" s="874"/>
      <c r="U963" s="874"/>
      <c r="V963" s="874"/>
      <c r="W963" s="874"/>
      <c r="X963" s="874"/>
      <c r="Y963" s="874"/>
      <c r="Z963" s="874"/>
    </row>
    <row r="964" spans="1:26" ht="18" customHeight="1" x14ac:dyDescent="0.35">
      <c r="A964" s="874"/>
      <c r="B964" s="874"/>
      <c r="C964" s="874"/>
      <c r="D964" s="874"/>
      <c r="E964" s="874"/>
      <c r="F964" s="874"/>
      <c r="G964" s="874"/>
      <c r="H964" s="874"/>
      <c r="I964" s="874"/>
      <c r="J964" s="874"/>
      <c r="K964" s="874"/>
      <c r="L964" s="874"/>
      <c r="M964" s="874"/>
      <c r="N964" s="874"/>
      <c r="O964" s="874"/>
      <c r="P964" s="874"/>
      <c r="Q964" s="874"/>
      <c r="R964" s="874"/>
      <c r="S964" s="874"/>
      <c r="T964" s="874"/>
      <c r="U964" s="874"/>
      <c r="V964" s="874"/>
      <c r="W964" s="874"/>
      <c r="X964" s="874"/>
      <c r="Y964" s="874"/>
      <c r="Z964" s="874"/>
    </row>
    <row r="965" spans="1:26" ht="18" customHeight="1" x14ac:dyDescent="0.35">
      <c r="A965" s="874"/>
      <c r="B965" s="874"/>
      <c r="C965" s="874"/>
      <c r="D965" s="874"/>
      <c r="E965" s="874"/>
      <c r="F965" s="874"/>
      <c r="G965" s="874"/>
      <c r="H965" s="874"/>
      <c r="I965" s="874"/>
      <c r="J965" s="874"/>
      <c r="K965" s="874"/>
      <c r="L965" s="874"/>
      <c r="M965" s="874"/>
      <c r="N965" s="874"/>
      <c r="O965" s="874"/>
      <c r="P965" s="874"/>
      <c r="Q965" s="874"/>
      <c r="R965" s="874"/>
      <c r="S965" s="874"/>
      <c r="T965" s="874"/>
      <c r="U965" s="874"/>
      <c r="V965" s="874"/>
      <c r="W965" s="874"/>
      <c r="X965" s="874"/>
      <c r="Y965" s="874"/>
      <c r="Z965" s="874"/>
    </row>
    <row r="966" spans="1:26" ht="18" customHeight="1" x14ac:dyDescent="0.35">
      <c r="A966" s="874"/>
      <c r="B966" s="874"/>
      <c r="C966" s="874"/>
      <c r="D966" s="874"/>
      <c r="E966" s="874"/>
      <c r="F966" s="874"/>
      <c r="G966" s="874"/>
      <c r="H966" s="874"/>
      <c r="I966" s="874"/>
      <c r="J966" s="874"/>
      <c r="K966" s="874"/>
      <c r="L966" s="874"/>
      <c r="M966" s="874"/>
      <c r="N966" s="874"/>
      <c r="O966" s="874"/>
      <c r="P966" s="874"/>
      <c r="Q966" s="874"/>
      <c r="R966" s="874"/>
      <c r="S966" s="874"/>
      <c r="T966" s="874"/>
      <c r="U966" s="874"/>
      <c r="V966" s="874"/>
      <c r="W966" s="874"/>
      <c r="X966" s="874"/>
      <c r="Y966" s="874"/>
      <c r="Z966" s="874"/>
    </row>
    <row r="967" spans="1:26" ht="18" customHeight="1" x14ac:dyDescent="0.35">
      <c r="A967" s="874"/>
      <c r="B967" s="874"/>
      <c r="C967" s="874"/>
      <c r="D967" s="874"/>
      <c r="E967" s="874"/>
      <c r="F967" s="874"/>
      <c r="G967" s="874"/>
      <c r="H967" s="874"/>
      <c r="I967" s="874"/>
      <c r="J967" s="874"/>
      <c r="K967" s="874"/>
      <c r="L967" s="874"/>
      <c r="M967" s="874"/>
      <c r="N967" s="874"/>
      <c r="O967" s="874"/>
      <c r="P967" s="874"/>
      <c r="Q967" s="874"/>
      <c r="R967" s="874"/>
      <c r="S967" s="874"/>
      <c r="T967" s="874"/>
      <c r="U967" s="874"/>
      <c r="V967" s="874"/>
      <c r="W967" s="874"/>
      <c r="X967" s="874"/>
      <c r="Y967" s="874"/>
      <c r="Z967" s="874"/>
    </row>
    <row r="968" spans="1:26" ht="18" customHeight="1" x14ac:dyDescent="0.35">
      <c r="A968" s="874"/>
      <c r="B968" s="874"/>
      <c r="C968" s="874"/>
      <c r="D968" s="874"/>
      <c r="E968" s="874"/>
      <c r="F968" s="874"/>
      <c r="G968" s="874"/>
      <c r="H968" s="874"/>
      <c r="I968" s="874"/>
      <c r="J968" s="874"/>
      <c r="K968" s="874"/>
      <c r="L968" s="874"/>
      <c r="M968" s="874"/>
      <c r="N968" s="874"/>
      <c r="O968" s="874"/>
      <c r="P968" s="874"/>
      <c r="Q968" s="874"/>
      <c r="R968" s="874"/>
      <c r="S968" s="874"/>
      <c r="T968" s="874"/>
      <c r="U968" s="874"/>
      <c r="V968" s="874"/>
      <c r="W968" s="874"/>
      <c r="X968" s="874"/>
      <c r="Y968" s="874"/>
      <c r="Z968" s="874"/>
    </row>
    <row r="969" spans="1:26" ht="18" customHeight="1" x14ac:dyDescent="0.35">
      <c r="A969" s="874"/>
      <c r="B969" s="874"/>
      <c r="C969" s="874"/>
      <c r="D969" s="874"/>
      <c r="E969" s="874"/>
      <c r="F969" s="874"/>
      <c r="G969" s="874"/>
      <c r="H969" s="874"/>
      <c r="I969" s="874"/>
      <c r="J969" s="874"/>
      <c r="K969" s="874"/>
      <c r="L969" s="874"/>
      <c r="M969" s="874"/>
      <c r="N969" s="874"/>
      <c r="O969" s="874"/>
      <c r="P969" s="874"/>
      <c r="Q969" s="874"/>
      <c r="R969" s="874"/>
      <c r="S969" s="874"/>
      <c r="T969" s="874"/>
      <c r="U969" s="874"/>
      <c r="V969" s="874"/>
      <c r="W969" s="874"/>
      <c r="X969" s="874"/>
      <c r="Y969" s="874"/>
      <c r="Z969" s="874"/>
    </row>
    <row r="970" spans="1:26" ht="18" customHeight="1" x14ac:dyDescent="0.35">
      <c r="A970" s="874"/>
      <c r="B970" s="874"/>
      <c r="C970" s="874"/>
      <c r="D970" s="874"/>
      <c r="E970" s="874"/>
      <c r="F970" s="874"/>
      <c r="G970" s="874"/>
      <c r="H970" s="874"/>
      <c r="I970" s="874"/>
      <c r="J970" s="874"/>
      <c r="K970" s="874"/>
      <c r="L970" s="874"/>
      <c r="M970" s="874"/>
      <c r="N970" s="874"/>
      <c r="O970" s="874"/>
      <c r="P970" s="874"/>
      <c r="Q970" s="874"/>
      <c r="R970" s="874"/>
      <c r="S970" s="874"/>
      <c r="T970" s="874"/>
      <c r="U970" s="874"/>
      <c r="V970" s="874"/>
      <c r="W970" s="874"/>
      <c r="X970" s="874"/>
      <c r="Y970" s="874"/>
      <c r="Z970" s="874"/>
    </row>
    <row r="971" spans="1:26" ht="18" customHeight="1" x14ac:dyDescent="0.35">
      <c r="A971" s="874"/>
      <c r="B971" s="874"/>
      <c r="C971" s="874"/>
      <c r="D971" s="874"/>
      <c r="E971" s="874"/>
      <c r="F971" s="874"/>
      <c r="G971" s="874"/>
      <c r="H971" s="874"/>
      <c r="I971" s="874"/>
      <c r="J971" s="874"/>
      <c r="K971" s="874"/>
      <c r="L971" s="874"/>
      <c r="M971" s="874"/>
      <c r="N971" s="874"/>
      <c r="O971" s="874"/>
      <c r="P971" s="874"/>
      <c r="Q971" s="874"/>
      <c r="R971" s="874"/>
      <c r="S971" s="874"/>
      <c r="T971" s="874"/>
      <c r="U971" s="874"/>
      <c r="V971" s="874"/>
      <c r="W971" s="874"/>
      <c r="X971" s="874"/>
      <c r="Y971" s="874"/>
      <c r="Z971" s="874"/>
    </row>
    <row r="972" spans="1:26" ht="18" customHeight="1" x14ac:dyDescent="0.35">
      <c r="A972" s="874"/>
      <c r="B972" s="874"/>
      <c r="C972" s="874"/>
      <c r="D972" s="874"/>
      <c r="E972" s="874"/>
      <c r="F972" s="874"/>
      <c r="G972" s="874"/>
      <c r="H972" s="874"/>
      <c r="I972" s="874"/>
      <c r="J972" s="874"/>
      <c r="K972" s="874"/>
      <c r="L972" s="874"/>
      <c r="M972" s="874"/>
      <c r="N972" s="874"/>
      <c r="O972" s="874"/>
      <c r="P972" s="874"/>
      <c r="Q972" s="874"/>
      <c r="R972" s="874"/>
      <c r="S972" s="874"/>
      <c r="T972" s="874"/>
      <c r="U972" s="874"/>
      <c r="V972" s="874"/>
      <c r="W972" s="874"/>
      <c r="X972" s="874"/>
      <c r="Y972" s="874"/>
      <c r="Z972" s="874"/>
    </row>
    <row r="973" spans="1:26" ht="18" customHeight="1" x14ac:dyDescent="0.35">
      <c r="A973" s="874"/>
      <c r="B973" s="874"/>
      <c r="C973" s="874"/>
      <c r="D973" s="874"/>
      <c r="E973" s="874"/>
      <c r="F973" s="874"/>
      <c r="G973" s="874"/>
      <c r="H973" s="874"/>
      <c r="I973" s="874"/>
      <c r="J973" s="874"/>
      <c r="K973" s="874"/>
      <c r="L973" s="874"/>
      <c r="M973" s="874"/>
      <c r="N973" s="874"/>
      <c r="O973" s="874"/>
      <c r="P973" s="874"/>
      <c r="Q973" s="874"/>
      <c r="R973" s="874"/>
      <c r="S973" s="874"/>
      <c r="T973" s="874"/>
      <c r="U973" s="874"/>
      <c r="V973" s="874"/>
      <c r="W973" s="874"/>
      <c r="X973" s="874"/>
      <c r="Y973" s="874"/>
      <c r="Z973" s="874"/>
    </row>
    <row r="974" spans="1:26" ht="18" customHeight="1" x14ac:dyDescent="0.35">
      <c r="A974" s="874"/>
      <c r="B974" s="874"/>
      <c r="C974" s="874"/>
      <c r="D974" s="874"/>
      <c r="E974" s="874"/>
      <c r="F974" s="874"/>
      <c r="G974" s="874"/>
      <c r="H974" s="874"/>
      <c r="I974" s="874"/>
      <c r="J974" s="874"/>
      <c r="K974" s="874"/>
      <c r="L974" s="874"/>
      <c r="M974" s="874"/>
      <c r="N974" s="874"/>
      <c r="O974" s="874"/>
      <c r="P974" s="874"/>
      <c r="Q974" s="874"/>
      <c r="R974" s="874"/>
      <c r="S974" s="874"/>
      <c r="T974" s="874"/>
      <c r="U974" s="874"/>
      <c r="V974" s="874"/>
      <c r="W974" s="874"/>
      <c r="X974" s="874"/>
      <c r="Y974" s="874"/>
      <c r="Z974" s="874"/>
    </row>
    <row r="975" spans="1:26" ht="18" customHeight="1" x14ac:dyDescent="0.35">
      <c r="A975" s="874"/>
      <c r="B975" s="874"/>
      <c r="C975" s="874"/>
      <c r="D975" s="874"/>
      <c r="E975" s="874"/>
      <c r="F975" s="874"/>
      <c r="G975" s="874"/>
      <c r="H975" s="874"/>
      <c r="I975" s="874"/>
      <c r="J975" s="874"/>
      <c r="K975" s="874"/>
      <c r="L975" s="874"/>
      <c r="M975" s="874"/>
      <c r="N975" s="874"/>
      <c r="O975" s="874"/>
      <c r="P975" s="874"/>
      <c r="Q975" s="874"/>
      <c r="R975" s="874"/>
      <c r="S975" s="874"/>
      <c r="T975" s="874"/>
      <c r="U975" s="874"/>
      <c r="V975" s="874"/>
      <c r="W975" s="874"/>
      <c r="X975" s="874"/>
      <c r="Y975" s="874"/>
      <c r="Z975" s="874"/>
    </row>
    <row r="976" spans="1:26" ht="18" customHeight="1" x14ac:dyDescent="0.35">
      <c r="A976" s="874"/>
      <c r="B976" s="874"/>
      <c r="C976" s="874"/>
      <c r="D976" s="874"/>
      <c r="E976" s="874"/>
      <c r="F976" s="874"/>
      <c r="G976" s="874"/>
      <c r="H976" s="874"/>
      <c r="I976" s="874"/>
      <c r="J976" s="874"/>
      <c r="K976" s="874"/>
      <c r="L976" s="874"/>
      <c r="M976" s="874"/>
      <c r="N976" s="874"/>
      <c r="O976" s="874"/>
      <c r="P976" s="874"/>
      <c r="Q976" s="874"/>
      <c r="R976" s="874"/>
      <c r="S976" s="874"/>
      <c r="T976" s="874"/>
      <c r="U976" s="874"/>
      <c r="V976" s="874"/>
      <c r="W976" s="874"/>
      <c r="X976" s="874"/>
      <c r="Y976" s="874"/>
      <c r="Z976" s="874"/>
    </row>
    <row r="977" spans="1:26" ht="18" customHeight="1" x14ac:dyDescent="0.35">
      <c r="A977" s="874"/>
      <c r="B977" s="874"/>
      <c r="C977" s="874"/>
      <c r="D977" s="874"/>
      <c r="E977" s="874"/>
      <c r="F977" s="874"/>
      <c r="G977" s="874"/>
      <c r="H977" s="874"/>
      <c r="I977" s="874"/>
      <c r="J977" s="874"/>
      <c r="K977" s="874"/>
      <c r="L977" s="874"/>
      <c r="M977" s="874"/>
      <c r="N977" s="874"/>
      <c r="O977" s="874"/>
      <c r="P977" s="874"/>
      <c r="Q977" s="874"/>
      <c r="R977" s="874"/>
      <c r="S977" s="874"/>
      <c r="T977" s="874"/>
      <c r="U977" s="874"/>
      <c r="V977" s="874"/>
      <c r="W977" s="874"/>
      <c r="X977" s="874"/>
      <c r="Y977" s="874"/>
      <c r="Z977" s="874"/>
    </row>
    <row r="978" spans="1:26" ht="18" customHeight="1" x14ac:dyDescent="0.35">
      <c r="A978" s="874"/>
      <c r="B978" s="874"/>
      <c r="C978" s="874"/>
      <c r="D978" s="874"/>
      <c r="E978" s="874"/>
      <c r="F978" s="874"/>
      <c r="G978" s="874"/>
      <c r="H978" s="874"/>
      <c r="I978" s="874"/>
      <c r="J978" s="874"/>
      <c r="K978" s="874"/>
      <c r="L978" s="874"/>
      <c r="M978" s="874"/>
      <c r="N978" s="874"/>
      <c r="O978" s="874"/>
      <c r="P978" s="874"/>
      <c r="Q978" s="874"/>
      <c r="R978" s="874"/>
      <c r="S978" s="874"/>
      <c r="T978" s="874"/>
      <c r="U978" s="874"/>
      <c r="V978" s="874"/>
      <c r="W978" s="874"/>
      <c r="X978" s="874"/>
      <c r="Y978" s="874"/>
      <c r="Z978" s="874"/>
    </row>
    <row r="979" spans="1:26" ht="18" customHeight="1" x14ac:dyDescent="0.35">
      <c r="A979" s="874"/>
      <c r="B979" s="874"/>
      <c r="C979" s="874"/>
      <c r="D979" s="874"/>
      <c r="E979" s="874"/>
      <c r="F979" s="874"/>
      <c r="G979" s="874"/>
      <c r="H979" s="874"/>
      <c r="I979" s="874"/>
      <c r="J979" s="874"/>
      <c r="K979" s="874"/>
      <c r="L979" s="874"/>
      <c r="M979" s="874"/>
      <c r="N979" s="874"/>
      <c r="O979" s="874"/>
      <c r="P979" s="874"/>
      <c r="Q979" s="874"/>
      <c r="R979" s="874"/>
      <c r="S979" s="874"/>
      <c r="T979" s="874"/>
      <c r="U979" s="874"/>
      <c r="V979" s="874"/>
      <c r="W979" s="874"/>
      <c r="X979" s="874"/>
      <c r="Y979" s="874"/>
      <c r="Z979" s="874"/>
    </row>
    <row r="980" spans="1:26" ht="18" customHeight="1" x14ac:dyDescent="0.35">
      <c r="A980" s="874"/>
      <c r="B980" s="874"/>
      <c r="C980" s="874"/>
      <c r="D980" s="874"/>
      <c r="E980" s="874"/>
      <c r="F980" s="874"/>
      <c r="G980" s="874"/>
      <c r="H980" s="874"/>
      <c r="I980" s="874"/>
      <c r="J980" s="874"/>
      <c r="K980" s="874"/>
      <c r="L980" s="874"/>
      <c r="M980" s="874"/>
      <c r="N980" s="874"/>
      <c r="O980" s="874"/>
      <c r="P980" s="874"/>
      <c r="Q980" s="874"/>
      <c r="R980" s="874"/>
      <c r="S980" s="874"/>
      <c r="T980" s="874"/>
      <c r="U980" s="874"/>
      <c r="V980" s="874"/>
      <c r="W980" s="874"/>
      <c r="X980" s="874"/>
      <c r="Y980" s="874"/>
      <c r="Z980" s="874"/>
    </row>
    <row r="981" spans="1:26" ht="18" customHeight="1" x14ac:dyDescent="0.35">
      <c r="A981" s="874"/>
      <c r="B981" s="874"/>
      <c r="C981" s="874"/>
      <c r="D981" s="874"/>
      <c r="E981" s="874"/>
      <c r="F981" s="874"/>
      <c r="G981" s="874"/>
      <c r="H981" s="874"/>
      <c r="I981" s="874"/>
      <c r="J981" s="874"/>
      <c r="K981" s="874"/>
      <c r="L981" s="874"/>
      <c r="M981" s="874"/>
      <c r="N981" s="874"/>
      <c r="O981" s="874"/>
      <c r="P981" s="874"/>
      <c r="Q981" s="874"/>
      <c r="R981" s="874"/>
      <c r="S981" s="874"/>
      <c r="T981" s="874"/>
      <c r="U981" s="874"/>
      <c r="V981" s="874"/>
      <c r="W981" s="874"/>
      <c r="X981" s="874"/>
      <c r="Y981" s="874"/>
      <c r="Z981" s="874"/>
    </row>
    <row r="982" spans="1:26" ht="18" customHeight="1" x14ac:dyDescent="0.35">
      <c r="A982" s="874"/>
      <c r="B982" s="874"/>
      <c r="C982" s="874"/>
      <c r="D982" s="874"/>
      <c r="E982" s="874"/>
      <c r="F982" s="874"/>
      <c r="G982" s="874"/>
      <c r="H982" s="874"/>
      <c r="I982" s="874"/>
      <c r="J982" s="874"/>
      <c r="K982" s="874"/>
      <c r="L982" s="874"/>
      <c r="M982" s="874"/>
      <c r="N982" s="874"/>
      <c r="O982" s="874"/>
      <c r="P982" s="874"/>
      <c r="Q982" s="874"/>
      <c r="R982" s="874"/>
      <c r="S982" s="874"/>
      <c r="T982" s="874"/>
      <c r="U982" s="874"/>
      <c r="V982" s="874"/>
      <c r="W982" s="874"/>
      <c r="X982" s="874"/>
      <c r="Y982" s="874"/>
      <c r="Z982" s="874"/>
    </row>
    <row r="983" spans="1:26" ht="18" customHeight="1" x14ac:dyDescent="0.35">
      <c r="A983" s="874"/>
      <c r="B983" s="874"/>
      <c r="C983" s="874"/>
      <c r="D983" s="874"/>
      <c r="E983" s="874"/>
      <c r="F983" s="874"/>
      <c r="G983" s="874"/>
      <c r="H983" s="874"/>
      <c r="I983" s="874"/>
      <c r="J983" s="874"/>
      <c r="K983" s="874"/>
      <c r="L983" s="874"/>
      <c r="M983" s="874"/>
      <c r="N983" s="874"/>
      <c r="O983" s="874"/>
      <c r="P983" s="874"/>
      <c r="Q983" s="874"/>
      <c r="R983" s="874"/>
      <c r="S983" s="874"/>
      <c r="T983" s="874"/>
      <c r="U983" s="874"/>
      <c r="V983" s="874"/>
      <c r="W983" s="874"/>
      <c r="X983" s="874"/>
      <c r="Y983" s="874"/>
      <c r="Z983" s="874"/>
    </row>
    <row r="984" spans="1:26" ht="18" customHeight="1" x14ac:dyDescent="0.35">
      <c r="A984" s="874"/>
      <c r="B984" s="874"/>
      <c r="C984" s="874"/>
      <c r="D984" s="874"/>
      <c r="E984" s="874"/>
      <c r="F984" s="874"/>
      <c r="G984" s="874"/>
      <c r="H984" s="874"/>
      <c r="I984" s="874"/>
      <c r="J984" s="874"/>
      <c r="K984" s="874"/>
      <c r="L984" s="874"/>
      <c r="M984" s="874"/>
      <c r="N984" s="874"/>
      <c r="O984" s="874"/>
      <c r="P984" s="874"/>
      <c r="Q984" s="874"/>
      <c r="R984" s="874"/>
      <c r="S984" s="874"/>
      <c r="T984" s="874"/>
      <c r="U984" s="874"/>
      <c r="V984" s="874"/>
      <c r="W984" s="874"/>
      <c r="X984" s="874"/>
      <c r="Y984" s="874"/>
      <c r="Z984" s="874"/>
    </row>
    <row r="985" spans="1:26" ht="18" customHeight="1" x14ac:dyDescent="0.35">
      <c r="A985" s="874"/>
      <c r="B985" s="874"/>
      <c r="C985" s="874"/>
      <c r="D985" s="874"/>
      <c r="E985" s="874"/>
      <c r="F985" s="874"/>
      <c r="G985" s="874"/>
      <c r="H985" s="874"/>
      <c r="I985" s="874"/>
      <c r="J985" s="874"/>
      <c r="K985" s="874"/>
      <c r="L985" s="874"/>
      <c r="M985" s="874"/>
      <c r="N985" s="874"/>
      <c r="O985" s="874"/>
      <c r="P985" s="874"/>
      <c r="Q985" s="874"/>
      <c r="R985" s="874"/>
      <c r="S985" s="874"/>
      <c r="T985" s="874"/>
      <c r="U985" s="874"/>
      <c r="V985" s="874"/>
      <c r="W985" s="874"/>
      <c r="X985" s="874"/>
      <c r="Y985" s="874"/>
      <c r="Z985" s="874"/>
    </row>
    <row r="986" spans="1:26" ht="18" customHeight="1" x14ac:dyDescent="0.35">
      <c r="A986" s="874"/>
      <c r="B986" s="874"/>
      <c r="C986" s="874"/>
      <c r="D986" s="874"/>
      <c r="E986" s="874"/>
      <c r="F986" s="874"/>
      <c r="G986" s="874"/>
      <c r="H986" s="874"/>
      <c r="I986" s="874"/>
      <c r="J986" s="874"/>
      <c r="K986" s="874"/>
      <c r="L986" s="874"/>
      <c r="M986" s="874"/>
      <c r="N986" s="874"/>
      <c r="O986" s="874"/>
      <c r="P986" s="874"/>
      <c r="Q986" s="874"/>
      <c r="R986" s="874"/>
      <c r="S986" s="874"/>
      <c r="T986" s="874"/>
      <c r="U986" s="874"/>
      <c r="V986" s="874"/>
      <c r="W986" s="874"/>
      <c r="X986" s="874"/>
      <c r="Y986" s="874"/>
      <c r="Z986" s="874"/>
    </row>
    <row r="987" spans="1:26" ht="18" customHeight="1" x14ac:dyDescent="0.35">
      <c r="A987" s="874"/>
      <c r="B987" s="874"/>
      <c r="C987" s="874"/>
      <c r="D987" s="874"/>
      <c r="E987" s="874"/>
      <c r="F987" s="874"/>
      <c r="G987" s="874"/>
      <c r="H987" s="874"/>
      <c r="I987" s="874"/>
      <c r="J987" s="874"/>
      <c r="K987" s="874"/>
      <c r="L987" s="874"/>
      <c r="M987" s="874"/>
      <c r="N987" s="874"/>
      <c r="O987" s="874"/>
      <c r="P987" s="874"/>
      <c r="Q987" s="874"/>
      <c r="R987" s="874"/>
      <c r="S987" s="874"/>
      <c r="T987" s="874"/>
      <c r="U987" s="874"/>
      <c r="V987" s="874"/>
      <c r="W987" s="874"/>
      <c r="X987" s="874"/>
      <c r="Y987" s="874"/>
      <c r="Z987" s="874"/>
    </row>
    <row r="988" spans="1:26" ht="18" customHeight="1" x14ac:dyDescent="0.35">
      <c r="A988" s="874"/>
      <c r="B988" s="874"/>
      <c r="C988" s="874"/>
      <c r="D988" s="874"/>
      <c r="E988" s="874"/>
      <c r="F988" s="874"/>
      <c r="G988" s="874"/>
      <c r="H988" s="874"/>
      <c r="I988" s="874"/>
      <c r="J988" s="874"/>
      <c r="K988" s="874"/>
      <c r="L988" s="874"/>
      <c r="M988" s="874"/>
      <c r="N988" s="874"/>
      <c r="O988" s="874"/>
      <c r="P988" s="874"/>
      <c r="Q988" s="874"/>
      <c r="R988" s="874"/>
      <c r="S988" s="874"/>
      <c r="T988" s="874"/>
      <c r="U988" s="874"/>
      <c r="V988" s="874"/>
      <c r="W988" s="874"/>
      <c r="X988" s="874"/>
      <c r="Y988" s="874"/>
      <c r="Z988" s="874"/>
    </row>
    <row r="989" spans="1:26" ht="18" customHeight="1" x14ac:dyDescent="0.35">
      <c r="A989" s="874"/>
      <c r="B989" s="874"/>
      <c r="C989" s="874"/>
      <c r="D989" s="874"/>
      <c r="E989" s="874"/>
      <c r="F989" s="874"/>
      <c r="G989" s="874"/>
      <c r="H989" s="874"/>
      <c r="I989" s="874"/>
      <c r="J989" s="874"/>
      <c r="K989" s="874"/>
      <c r="L989" s="874"/>
      <c r="M989" s="874"/>
      <c r="N989" s="874"/>
      <c r="O989" s="874"/>
      <c r="P989" s="874"/>
      <c r="Q989" s="874"/>
      <c r="R989" s="874"/>
      <c r="S989" s="874"/>
      <c r="T989" s="874"/>
      <c r="U989" s="874"/>
      <c r="V989" s="874"/>
      <c r="W989" s="874"/>
      <c r="X989" s="874"/>
      <c r="Y989" s="874"/>
      <c r="Z989" s="874"/>
    </row>
    <row r="990" spans="1:26" ht="18" customHeight="1" x14ac:dyDescent="0.35">
      <c r="A990" s="874"/>
      <c r="B990" s="874"/>
      <c r="C990" s="874"/>
      <c r="D990" s="874"/>
      <c r="E990" s="874"/>
      <c r="F990" s="874"/>
      <c r="G990" s="874"/>
      <c r="H990" s="874"/>
      <c r="I990" s="874"/>
      <c r="J990" s="874"/>
      <c r="K990" s="874"/>
      <c r="L990" s="874"/>
      <c r="M990" s="874"/>
      <c r="N990" s="874"/>
      <c r="O990" s="874"/>
      <c r="P990" s="874"/>
      <c r="Q990" s="874"/>
      <c r="R990" s="874"/>
      <c r="S990" s="874"/>
      <c r="T990" s="874"/>
      <c r="U990" s="874"/>
      <c r="V990" s="874"/>
      <c r="W990" s="874"/>
      <c r="X990" s="874"/>
      <c r="Y990" s="874"/>
      <c r="Z990" s="874"/>
    </row>
    <row r="991" spans="1:26" ht="18" customHeight="1" x14ac:dyDescent="0.35">
      <c r="A991" s="874"/>
      <c r="B991" s="874"/>
      <c r="C991" s="874"/>
      <c r="D991" s="874"/>
      <c r="E991" s="874"/>
      <c r="F991" s="874"/>
      <c r="G991" s="874"/>
      <c r="H991" s="874"/>
      <c r="I991" s="874"/>
      <c r="J991" s="874"/>
      <c r="K991" s="874"/>
      <c r="L991" s="874"/>
      <c r="M991" s="874"/>
      <c r="N991" s="874"/>
      <c r="O991" s="874"/>
      <c r="P991" s="874"/>
      <c r="Q991" s="874"/>
      <c r="R991" s="874"/>
      <c r="S991" s="874"/>
      <c r="T991" s="874"/>
      <c r="U991" s="874"/>
      <c r="V991" s="874"/>
      <c r="W991" s="874"/>
      <c r="X991" s="874"/>
      <c r="Y991" s="874"/>
      <c r="Z991" s="874"/>
    </row>
    <row r="992" spans="1:26" ht="18" customHeight="1" x14ac:dyDescent="0.35">
      <c r="A992" s="874"/>
      <c r="B992" s="874"/>
      <c r="C992" s="874"/>
      <c r="D992" s="874"/>
      <c r="E992" s="874"/>
      <c r="F992" s="874"/>
      <c r="G992" s="874"/>
      <c r="H992" s="874"/>
      <c r="I992" s="874"/>
      <c r="J992" s="874"/>
      <c r="K992" s="874"/>
      <c r="L992" s="874"/>
      <c r="M992" s="874"/>
      <c r="N992" s="874"/>
      <c r="O992" s="874"/>
      <c r="P992" s="874"/>
      <c r="Q992" s="874"/>
      <c r="R992" s="874"/>
      <c r="S992" s="874"/>
      <c r="T992" s="874"/>
      <c r="U992" s="874"/>
      <c r="V992" s="874"/>
      <c r="W992" s="874"/>
      <c r="X992" s="874"/>
      <c r="Y992" s="874"/>
      <c r="Z992" s="874"/>
    </row>
    <row r="993" spans="1:26" ht="18" customHeight="1" x14ac:dyDescent="0.35">
      <c r="A993" s="874"/>
      <c r="B993" s="874"/>
      <c r="C993" s="874"/>
      <c r="D993" s="874"/>
      <c r="E993" s="874"/>
      <c r="F993" s="874"/>
      <c r="G993" s="874"/>
      <c r="H993" s="874"/>
      <c r="I993" s="874"/>
      <c r="J993" s="874"/>
      <c r="K993" s="874"/>
      <c r="L993" s="874"/>
      <c r="M993" s="874"/>
      <c r="N993" s="874"/>
      <c r="O993" s="874"/>
      <c r="P993" s="874"/>
      <c r="Q993" s="874"/>
      <c r="R993" s="874"/>
      <c r="S993" s="874"/>
      <c r="T993" s="874"/>
      <c r="U993" s="874"/>
      <c r="V993" s="874"/>
      <c r="W993" s="874"/>
      <c r="X993" s="874"/>
      <c r="Y993" s="874"/>
      <c r="Z993" s="874"/>
    </row>
    <row r="994" spans="1:26" ht="18" customHeight="1" x14ac:dyDescent="0.35">
      <c r="A994" s="874"/>
      <c r="B994" s="874"/>
      <c r="C994" s="874"/>
      <c r="D994" s="874"/>
      <c r="E994" s="874"/>
      <c r="F994" s="874"/>
      <c r="G994" s="874"/>
      <c r="H994" s="874"/>
      <c r="I994" s="874"/>
      <c r="J994" s="874"/>
      <c r="K994" s="874"/>
      <c r="L994" s="874"/>
      <c r="M994" s="874"/>
      <c r="N994" s="874"/>
      <c r="O994" s="874"/>
      <c r="P994" s="874"/>
      <c r="Q994" s="874"/>
      <c r="R994" s="874"/>
      <c r="S994" s="874"/>
      <c r="T994" s="874"/>
      <c r="U994" s="874"/>
      <c r="V994" s="874"/>
      <c r="W994" s="874"/>
      <c r="X994" s="874"/>
      <c r="Y994" s="874"/>
      <c r="Z994" s="874"/>
    </row>
    <row r="995" spans="1:26" ht="18" customHeight="1" x14ac:dyDescent="0.35">
      <c r="A995" s="874"/>
      <c r="B995" s="874"/>
      <c r="C995" s="874"/>
      <c r="D995" s="874"/>
      <c r="E995" s="874"/>
      <c r="F995" s="874"/>
      <c r="G995" s="874"/>
      <c r="H995" s="874"/>
      <c r="I995" s="874"/>
      <c r="J995" s="874"/>
      <c r="K995" s="874"/>
      <c r="L995" s="874"/>
      <c r="M995" s="874"/>
      <c r="N995" s="874"/>
      <c r="O995" s="874"/>
      <c r="P995" s="874"/>
      <c r="Q995" s="874"/>
      <c r="R995" s="874"/>
      <c r="S995" s="874"/>
      <c r="T995" s="874"/>
      <c r="U995" s="874"/>
      <c r="V995" s="874"/>
      <c r="W995" s="874"/>
      <c r="X995" s="874"/>
      <c r="Y995" s="874"/>
      <c r="Z995" s="874"/>
    </row>
    <row r="996" spans="1:26" ht="18" customHeight="1" x14ac:dyDescent="0.35">
      <c r="A996" s="874"/>
      <c r="B996" s="874"/>
      <c r="C996" s="874"/>
      <c r="D996" s="874"/>
      <c r="E996" s="874"/>
      <c r="F996" s="874"/>
      <c r="G996" s="874"/>
      <c r="H996" s="874"/>
      <c r="I996" s="874"/>
      <c r="J996" s="874"/>
      <c r="K996" s="874"/>
      <c r="L996" s="874"/>
      <c r="M996" s="874"/>
      <c r="N996" s="874"/>
      <c r="O996" s="874"/>
      <c r="P996" s="874"/>
      <c r="Q996" s="874"/>
      <c r="R996" s="874"/>
      <c r="S996" s="874"/>
      <c r="T996" s="874"/>
      <c r="U996" s="874"/>
      <c r="V996" s="874"/>
      <c r="W996" s="874"/>
      <c r="X996" s="874"/>
      <c r="Y996" s="874"/>
      <c r="Z996" s="874"/>
    </row>
    <row r="997" spans="1:26" ht="18" customHeight="1" x14ac:dyDescent="0.35">
      <c r="A997" s="874"/>
      <c r="B997" s="874"/>
      <c r="C997" s="874"/>
      <c r="D997" s="874"/>
      <c r="E997" s="874"/>
      <c r="F997" s="874"/>
      <c r="G997" s="874"/>
      <c r="H997" s="874"/>
      <c r="I997" s="874"/>
      <c r="J997" s="874"/>
      <c r="K997" s="874"/>
      <c r="L997" s="874"/>
      <c r="M997" s="874"/>
      <c r="N997" s="874"/>
      <c r="O997" s="874"/>
      <c r="P997" s="874"/>
      <c r="Q997" s="874"/>
      <c r="R997" s="874"/>
      <c r="S997" s="874"/>
      <c r="T997" s="874"/>
      <c r="U997" s="874"/>
      <c r="V997" s="874"/>
      <c r="W997" s="874"/>
      <c r="X997" s="874"/>
      <c r="Y997" s="874"/>
      <c r="Z997" s="874"/>
    </row>
    <row r="998" spans="1:26" ht="18" customHeight="1" x14ac:dyDescent="0.35">
      <c r="A998" s="874"/>
      <c r="B998" s="874"/>
      <c r="C998" s="874"/>
      <c r="D998" s="874"/>
      <c r="E998" s="874"/>
      <c r="F998" s="874"/>
      <c r="G998" s="874"/>
      <c r="H998" s="874"/>
      <c r="I998" s="874"/>
      <c r="J998" s="874"/>
      <c r="K998" s="874"/>
      <c r="L998" s="874"/>
      <c r="M998" s="874"/>
      <c r="N998" s="874"/>
      <c r="O998" s="874"/>
      <c r="P998" s="874"/>
      <c r="Q998" s="874"/>
      <c r="R998" s="874"/>
      <c r="S998" s="874"/>
      <c r="T998" s="874"/>
      <c r="U998" s="874"/>
      <c r="V998" s="874"/>
      <c r="W998" s="874"/>
      <c r="X998" s="874"/>
      <c r="Y998" s="874"/>
      <c r="Z998" s="874"/>
    </row>
    <row r="999" spans="1:26" ht="18" customHeight="1" x14ac:dyDescent="0.35">
      <c r="A999" s="874"/>
      <c r="B999" s="874"/>
      <c r="C999" s="874"/>
      <c r="D999" s="874"/>
      <c r="E999" s="874"/>
      <c r="F999" s="874"/>
      <c r="G999" s="874"/>
      <c r="H999" s="874"/>
      <c r="I999" s="874"/>
      <c r="J999" s="874"/>
      <c r="K999" s="874"/>
      <c r="L999" s="874"/>
      <c r="M999" s="874"/>
      <c r="N999" s="874"/>
      <c r="O999" s="874"/>
      <c r="P999" s="874"/>
      <c r="Q999" s="874"/>
      <c r="R999" s="874"/>
      <c r="S999" s="874"/>
      <c r="T999" s="874"/>
      <c r="U999" s="874"/>
      <c r="V999" s="874"/>
      <c r="W999" s="874"/>
      <c r="X999" s="874"/>
      <c r="Y999" s="874"/>
      <c r="Z999" s="874"/>
    </row>
    <row r="1000" spans="1:26" ht="18" customHeight="1" x14ac:dyDescent="0.35">
      <c r="A1000" s="874"/>
      <c r="B1000" s="874"/>
      <c r="C1000" s="874"/>
      <c r="D1000" s="874"/>
      <c r="E1000" s="874"/>
      <c r="F1000" s="874"/>
      <c r="G1000" s="874"/>
      <c r="H1000" s="874"/>
      <c r="I1000" s="874"/>
      <c r="J1000" s="874"/>
      <c r="K1000" s="874"/>
      <c r="L1000" s="874"/>
      <c r="M1000" s="874"/>
      <c r="N1000" s="874"/>
      <c r="O1000" s="874"/>
      <c r="P1000" s="874"/>
      <c r="Q1000" s="874"/>
      <c r="R1000" s="874"/>
      <c r="S1000" s="874"/>
      <c r="T1000" s="874"/>
      <c r="U1000" s="874"/>
      <c r="V1000" s="874"/>
      <c r="W1000" s="874"/>
      <c r="X1000" s="874"/>
      <c r="Y1000" s="874"/>
      <c r="Z1000" s="874"/>
    </row>
  </sheetData>
  <mergeCells count="3">
    <mergeCell ref="A1:G2"/>
    <mergeCell ref="A3:A4"/>
    <mergeCell ref="B3:C7"/>
  </mergeCells>
  <dataValidations count="4">
    <dataValidation type="list" allowBlank="1" showErrorMessage="1" sqref="E23" xr:uid="{00000000-0002-0000-1500-000000000000}">
      <formula1>IF($C$23="Mousse au Carré 50 mm",$A$86:$A$87,IF($C$23="Mousse au Carré 30 mm",$A$83:$A$84,$A$89:$A$90))</formula1>
    </dataValidation>
    <dataValidation type="list" allowBlank="1" showErrorMessage="1" sqref="G25" xr:uid="{00000000-0002-0000-1500-000001000000}">
      <formula1>#REF!</formula1>
    </dataValidation>
    <dataValidation type="list" allowBlank="1" showErrorMessage="1" sqref="C23 H23" xr:uid="{00000000-0002-0000-1500-000002000000}">
      <formula1>$A$67:$A$70</formula1>
    </dataValidation>
    <dataValidation type="list" allowBlank="1" showErrorMessage="1" sqref="C24" xr:uid="{00000000-0002-0000-1500-000003000000}">
      <formula1>$A$75:$A$81</formula1>
    </dataValidation>
  </dataValidations>
  <pageMargins left="0.51181102362204722" right="0.51181102362204722" top="0.55118110236220474" bottom="0.55118110236220474" header="0" footer="0"/>
  <pageSetup paperSize="9" orientation="landscape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rgb="FFFFC000"/>
    <pageSetUpPr fitToPage="1"/>
  </sheetPr>
  <dimension ref="A1:AG1000"/>
  <sheetViews>
    <sheetView workbookViewId="0"/>
  </sheetViews>
  <sheetFormatPr baseColWidth="10" defaultColWidth="14.44140625" defaultRowHeight="15" customHeight="1" x14ac:dyDescent="0.3"/>
  <cols>
    <col min="1" max="1" width="17.88671875" customWidth="1"/>
    <col min="2" max="2" width="40" customWidth="1"/>
    <col min="3" max="3" width="28.109375" customWidth="1"/>
    <col min="4" max="4" width="17.88671875" customWidth="1"/>
    <col min="5" max="5" width="23.5546875" customWidth="1"/>
    <col min="6" max="6" width="24.44140625" customWidth="1"/>
    <col min="7" max="7" width="17" customWidth="1"/>
    <col min="8" max="8" width="15.44140625" customWidth="1"/>
    <col min="9" max="9" width="14.6640625" customWidth="1"/>
    <col min="10" max="10" width="11.44140625" customWidth="1"/>
    <col min="11" max="11" width="11.5546875" customWidth="1"/>
    <col min="12" max="13" width="12.88671875" customWidth="1"/>
    <col min="14" max="14" width="15.44140625" customWidth="1"/>
    <col min="15" max="15" width="14.5546875" customWidth="1"/>
    <col min="16" max="16" width="11.44140625" customWidth="1"/>
    <col min="17" max="17" width="12.109375" customWidth="1"/>
    <col min="18" max="19" width="11.44140625" customWidth="1"/>
    <col min="20" max="20" width="18.5546875" customWidth="1"/>
    <col min="21" max="33" width="11.44140625" customWidth="1"/>
  </cols>
  <sheetData>
    <row r="1" spans="1:33" ht="18.75" customHeight="1" x14ac:dyDescent="0.35">
      <c r="A1" s="1084" t="s">
        <v>297</v>
      </c>
      <c r="B1" s="1085"/>
      <c r="C1" s="1085"/>
      <c r="D1" s="1085"/>
      <c r="E1" s="1085"/>
      <c r="F1" s="1085"/>
      <c r="G1" s="1086"/>
      <c r="H1" s="733"/>
      <c r="I1" s="559"/>
      <c r="J1" s="559"/>
      <c r="K1" s="559"/>
      <c r="L1" s="559"/>
      <c r="M1" s="559"/>
      <c r="N1" s="559"/>
      <c r="O1" s="559"/>
      <c r="P1" s="559"/>
      <c r="Q1" s="559"/>
      <c r="R1" s="559"/>
      <c r="S1" s="559"/>
      <c r="T1" s="559"/>
      <c r="U1" s="559"/>
      <c r="V1" s="559"/>
      <c r="W1" s="559"/>
      <c r="X1" s="559"/>
      <c r="Y1" s="559"/>
      <c r="Z1" s="559"/>
      <c r="AA1" s="559"/>
      <c r="AB1" s="559"/>
      <c r="AC1" s="559"/>
      <c r="AD1" s="559"/>
      <c r="AE1" s="559"/>
      <c r="AF1" s="559"/>
      <c r="AG1" s="559"/>
    </row>
    <row r="2" spans="1:33" ht="18.75" customHeight="1" x14ac:dyDescent="0.35">
      <c r="A2" s="1087"/>
      <c r="B2" s="1088"/>
      <c r="C2" s="1088"/>
      <c r="D2" s="1088"/>
      <c r="E2" s="1088"/>
      <c r="F2" s="1088"/>
      <c r="G2" s="1089"/>
      <c r="H2" s="733"/>
      <c r="I2" s="559"/>
      <c r="J2" s="559"/>
      <c r="K2" s="559"/>
      <c r="L2" s="559"/>
      <c r="M2" s="559"/>
      <c r="N2" s="559"/>
      <c r="O2" s="559"/>
      <c r="P2" s="559"/>
      <c r="Q2" s="559"/>
      <c r="R2" s="559"/>
      <c r="S2" s="559"/>
      <c r="T2" s="559"/>
      <c r="U2" s="559"/>
      <c r="V2" s="559"/>
      <c r="W2" s="559"/>
      <c r="X2" s="559"/>
      <c r="Y2" s="559"/>
      <c r="Z2" s="559"/>
      <c r="AA2" s="559"/>
      <c r="AB2" s="559"/>
      <c r="AC2" s="559"/>
      <c r="AD2" s="559"/>
      <c r="AE2" s="559"/>
      <c r="AF2" s="559"/>
      <c r="AG2" s="559"/>
    </row>
    <row r="3" spans="1:33" ht="42.75" hidden="1" customHeight="1" x14ac:dyDescent="0.35">
      <c r="A3" s="1188"/>
      <c r="B3" s="559"/>
      <c r="C3" s="1206"/>
      <c r="D3" s="1085"/>
      <c r="E3" s="1086"/>
      <c r="F3" s="610"/>
      <c r="G3" s="610"/>
      <c r="H3" s="610"/>
      <c r="I3" s="559"/>
      <c r="J3" s="559"/>
      <c r="K3" s="559"/>
      <c r="L3" s="559"/>
      <c r="M3" s="559"/>
      <c r="N3" s="559"/>
      <c r="O3" s="559"/>
      <c r="P3" s="559"/>
      <c r="Q3" s="559"/>
      <c r="R3" s="559"/>
      <c r="S3" s="559"/>
      <c r="T3" s="559"/>
      <c r="U3" s="559"/>
      <c r="V3" s="559"/>
      <c r="W3" s="559"/>
      <c r="X3" s="559"/>
      <c r="Y3" s="559"/>
      <c r="Z3" s="559"/>
      <c r="AA3" s="559"/>
      <c r="AB3" s="559"/>
      <c r="AC3" s="559"/>
      <c r="AD3" s="559"/>
      <c r="AE3" s="559"/>
      <c r="AF3" s="559"/>
      <c r="AG3" s="559"/>
    </row>
    <row r="4" spans="1:33" ht="18" hidden="1" customHeight="1" x14ac:dyDescent="0.35">
      <c r="A4" s="1108"/>
      <c r="B4" s="559"/>
      <c r="C4" s="1091"/>
      <c r="D4" s="1097"/>
      <c r="E4" s="1092"/>
      <c r="F4" s="610"/>
      <c r="G4" s="563"/>
      <c r="H4" s="729"/>
      <c r="I4" s="559"/>
      <c r="J4" s="559"/>
      <c r="K4" s="559"/>
      <c r="L4" s="559"/>
      <c r="M4" s="559"/>
      <c r="N4" s="559"/>
      <c r="O4" s="559"/>
      <c r="P4" s="559"/>
      <c r="Q4" s="559"/>
      <c r="R4" s="559"/>
      <c r="S4" s="559"/>
      <c r="T4" s="559"/>
      <c r="U4" s="559"/>
      <c r="V4" s="559"/>
      <c r="W4" s="559"/>
      <c r="X4" s="559"/>
      <c r="Y4" s="559"/>
      <c r="Z4" s="559"/>
      <c r="AA4" s="559"/>
      <c r="AB4" s="559"/>
      <c r="AC4" s="559"/>
      <c r="AD4" s="559"/>
      <c r="AE4" s="559"/>
      <c r="AF4" s="559"/>
      <c r="AG4" s="559"/>
    </row>
    <row r="5" spans="1:33" ht="18" hidden="1" customHeight="1" x14ac:dyDescent="0.35">
      <c r="A5" s="559"/>
      <c r="B5" s="559"/>
      <c r="C5" s="1091"/>
      <c r="D5" s="1097"/>
      <c r="E5" s="1092"/>
      <c r="F5" s="730"/>
      <c r="G5" s="559"/>
      <c r="H5" s="729"/>
      <c r="I5" s="559"/>
      <c r="J5" s="559"/>
      <c r="K5" s="559"/>
      <c r="L5" s="559"/>
      <c r="M5" s="559"/>
      <c r="N5" s="559"/>
      <c r="O5" s="559"/>
      <c r="P5" s="559"/>
      <c r="Q5" s="559"/>
      <c r="R5" s="559"/>
      <c r="S5" s="559"/>
      <c r="T5" s="559"/>
      <c r="U5" s="559"/>
      <c r="V5" s="559"/>
      <c r="W5" s="559"/>
      <c r="X5" s="559"/>
      <c r="Y5" s="559"/>
      <c r="Z5" s="559"/>
      <c r="AA5" s="559"/>
      <c r="AB5" s="559"/>
      <c r="AC5" s="559"/>
      <c r="AD5" s="559"/>
      <c r="AE5" s="559"/>
      <c r="AF5" s="559"/>
      <c r="AG5" s="559"/>
    </row>
    <row r="6" spans="1:33" ht="18" hidden="1" customHeight="1" x14ac:dyDescent="0.35">
      <c r="A6" s="559"/>
      <c r="B6" s="559"/>
      <c r="C6" s="1087"/>
      <c r="D6" s="1088"/>
      <c r="E6" s="1089"/>
      <c r="F6" s="610"/>
      <c r="G6" s="563"/>
      <c r="H6" s="729"/>
      <c r="I6" s="559"/>
      <c r="J6" s="559"/>
      <c r="K6" s="559"/>
      <c r="L6" s="559"/>
      <c r="M6" s="559"/>
      <c r="N6" s="559"/>
      <c r="O6" s="559"/>
      <c r="P6" s="559"/>
      <c r="Q6" s="559"/>
      <c r="R6" s="559"/>
      <c r="S6" s="559"/>
      <c r="T6" s="559"/>
      <c r="U6" s="559"/>
      <c r="V6" s="559"/>
      <c r="W6" s="559"/>
      <c r="X6" s="559"/>
      <c r="Y6" s="559"/>
      <c r="Z6" s="559"/>
      <c r="AA6" s="559"/>
      <c r="AB6" s="559"/>
      <c r="AC6" s="559"/>
      <c r="AD6" s="559"/>
      <c r="AE6" s="559"/>
      <c r="AF6" s="559"/>
      <c r="AG6" s="559"/>
    </row>
    <row r="7" spans="1:33" ht="18" customHeight="1" x14ac:dyDescent="0.35">
      <c r="A7" s="559"/>
      <c r="B7" s="559"/>
      <c r="C7" s="559"/>
      <c r="D7" s="559"/>
      <c r="E7" s="559"/>
      <c r="F7" s="559"/>
      <c r="G7" s="559"/>
      <c r="H7" s="559"/>
      <c r="I7" s="559"/>
      <c r="J7" s="559"/>
      <c r="K7" s="559"/>
      <c r="L7" s="559"/>
      <c r="M7" s="559"/>
      <c r="N7" s="559"/>
      <c r="O7" s="559"/>
      <c r="P7" s="559"/>
      <c r="Q7" s="559"/>
      <c r="R7" s="559"/>
      <c r="S7" s="559"/>
      <c r="T7" s="559"/>
      <c r="U7" s="559"/>
      <c r="V7" s="559"/>
      <c r="W7" s="559"/>
      <c r="X7" s="559"/>
      <c r="Y7" s="559"/>
      <c r="Z7" s="559"/>
      <c r="AA7" s="559"/>
      <c r="AB7" s="559"/>
      <c r="AC7" s="559"/>
      <c r="AD7" s="559"/>
      <c r="AE7" s="559"/>
      <c r="AF7" s="559"/>
      <c r="AG7" s="559"/>
    </row>
    <row r="8" spans="1:33" ht="18" customHeight="1" x14ac:dyDescent="0.35">
      <c r="A8" s="559"/>
      <c r="B8" s="559" t="s">
        <v>1</v>
      </c>
      <c r="C8" s="20"/>
      <c r="D8" s="559"/>
      <c r="E8" s="563" t="s">
        <v>2</v>
      </c>
      <c r="F8" s="22"/>
      <c r="G8" s="559"/>
      <c r="H8" s="559"/>
      <c r="I8" s="559"/>
      <c r="J8" s="559"/>
      <c r="K8" s="559"/>
      <c r="L8" s="559"/>
      <c r="M8" s="559"/>
      <c r="N8" s="559"/>
      <c r="O8" s="559"/>
      <c r="P8" s="559"/>
      <c r="Q8" s="559"/>
      <c r="R8" s="559"/>
      <c r="S8" s="559"/>
      <c r="T8" s="559"/>
      <c r="U8" s="559"/>
      <c r="V8" s="559"/>
      <c r="W8" s="559"/>
      <c r="X8" s="559"/>
      <c r="Y8" s="559"/>
      <c r="Z8" s="559"/>
      <c r="AA8" s="559"/>
      <c r="AB8" s="559"/>
      <c r="AC8" s="559"/>
      <c r="AD8" s="559"/>
      <c r="AE8" s="559"/>
      <c r="AF8" s="559"/>
      <c r="AG8" s="559"/>
    </row>
    <row r="9" spans="1:33" ht="18" customHeight="1" x14ac:dyDescent="0.35">
      <c r="A9" s="559"/>
      <c r="B9" s="559" t="s">
        <v>4</v>
      </c>
      <c r="C9" s="23"/>
      <c r="D9" s="559"/>
      <c r="E9" s="563" t="s">
        <v>5</v>
      </c>
      <c r="F9" s="569" t="s">
        <v>6</v>
      </c>
      <c r="G9" s="559"/>
      <c r="H9" s="570"/>
      <c r="I9" s="559"/>
      <c r="J9" s="559"/>
      <c r="K9" s="559"/>
      <c r="L9" s="559"/>
      <c r="M9" s="559"/>
      <c r="N9" s="559"/>
      <c r="O9" s="559"/>
      <c r="P9" s="559"/>
      <c r="Q9" s="559"/>
      <c r="R9" s="559"/>
      <c r="S9" s="559"/>
      <c r="T9" s="559"/>
      <c r="U9" s="559"/>
      <c r="V9" s="559"/>
      <c r="W9" s="559"/>
      <c r="X9" s="559"/>
      <c r="Y9" s="559"/>
      <c r="Z9" s="559"/>
      <c r="AA9" s="559"/>
      <c r="AB9" s="559"/>
      <c r="AC9" s="559"/>
      <c r="AD9" s="559"/>
      <c r="AE9" s="559"/>
      <c r="AF9" s="559"/>
      <c r="AG9" s="559"/>
    </row>
    <row r="10" spans="1:33" ht="18" customHeight="1" x14ac:dyDescent="0.35">
      <c r="A10" s="559"/>
      <c r="B10" s="559" t="s">
        <v>138</v>
      </c>
      <c r="C10" s="20"/>
      <c r="D10" s="559"/>
      <c r="E10" s="571" t="s">
        <v>8</v>
      </c>
      <c r="F10" s="25"/>
      <c r="G10" s="559"/>
      <c r="H10" s="559"/>
      <c r="I10" s="559"/>
      <c r="J10" s="559"/>
      <c r="K10" s="559"/>
      <c r="L10" s="559"/>
      <c r="M10" s="559"/>
      <c r="N10" s="559"/>
      <c r="O10" s="559"/>
      <c r="P10" s="559"/>
      <c r="Q10" s="559"/>
      <c r="R10" s="559"/>
      <c r="S10" s="559"/>
      <c r="T10" s="559"/>
      <c r="U10" s="559"/>
      <c r="V10" s="559"/>
      <c r="W10" s="559"/>
      <c r="X10" s="559"/>
      <c r="Y10" s="559"/>
      <c r="Z10" s="559"/>
      <c r="AA10" s="559"/>
      <c r="AB10" s="559"/>
      <c r="AC10" s="559"/>
      <c r="AD10" s="559"/>
      <c r="AE10" s="559"/>
      <c r="AF10" s="559"/>
      <c r="AG10" s="559"/>
    </row>
    <row r="11" spans="1:33" ht="18" customHeight="1" x14ac:dyDescent="0.35">
      <c r="A11" s="559"/>
      <c r="B11" s="559"/>
      <c r="C11" s="563"/>
      <c r="D11" s="559"/>
      <c r="E11" s="571"/>
      <c r="F11" s="559"/>
      <c r="G11" s="559"/>
      <c r="H11" s="559"/>
      <c r="I11" s="559"/>
      <c r="J11" s="559"/>
      <c r="K11" s="559"/>
      <c r="L11" s="559"/>
      <c r="M11" s="559"/>
      <c r="N11" s="559"/>
      <c r="O11" s="559"/>
      <c r="P11" s="559"/>
      <c r="Q11" s="559"/>
      <c r="R11" s="559"/>
      <c r="S11" s="559"/>
      <c r="T11" s="559"/>
      <c r="U11" s="559"/>
      <c r="V11" s="559"/>
      <c r="W11" s="559"/>
      <c r="X11" s="559"/>
      <c r="Y11" s="559"/>
      <c r="Z11" s="559"/>
      <c r="AA11" s="559"/>
      <c r="AB11" s="559"/>
      <c r="AC11" s="559"/>
      <c r="AD11" s="559"/>
      <c r="AE11" s="559"/>
      <c r="AF11" s="559"/>
      <c r="AG11" s="559"/>
    </row>
    <row r="12" spans="1:33" ht="18" customHeight="1" x14ac:dyDescent="0.35">
      <c r="A12" s="559"/>
      <c r="B12" s="573" t="s">
        <v>9</v>
      </c>
      <c r="C12" s="569" t="s">
        <v>198</v>
      </c>
      <c r="D12" s="559"/>
      <c r="E12" s="610" t="s">
        <v>205</v>
      </c>
      <c r="F12" s="569" t="s">
        <v>133</v>
      </c>
      <c r="G12" s="559"/>
      <c r="H12" s="559"/>
      <c r="I12" s="559"/>
      <c r="J12" s="559"/>
      <c r="K12" s="559"/>
      <c r="L12" s="559"/>
      <c r="M12" s="559"/>
      <c r="N12" s="559"/>
      <c r="O12" s="559"/>
      <c r="P12" s="559"/>
      <c r="Q12" s="559"/>
      <c r="R12" s="559"/>
      <c r="S12" s="559"/>
      <c r="T12" s="559"/>
      <c r="U12" s="559"/>
      <c r="V12" s="559"/>
      <c r="W12" s="559"/>
      <c r="X12" s="559"/>
      <c r="Y12" s="559"/>
      <c r="Z12" s="559"/>
      <c r="AA12" s="559"/>
      <c r="AB12" s="559"/>
      <c r="AC12" s="559"/>
      <c r="AD12" s="559"/>
      <c r="AE12" s="559"/>
      <c r="AF12" s="559"/>
      <c r="AG12" s="559"/>
    </row>
    <row r="13" spans="1:33" ht="20.25" customHeight="1" x14ac:dyDescent="0.35">
      <c r="A13" s="559"/>
      <c r="B13" s="573"/>
      <c r="C13" s="563"/>
      <c r="D13" s="559"/>
      <c r="E13" s="574" t="s">
        <v>206</v>
      </c>
      <c r="F13" s="559" t="s">
        <v>506</v>
      </c>
      <c r="G13" s="559"/>
      <c r="H13" s="559"/>
      <c r="I13" s="559"/>
      <c r="J13" s="559"/>
      <c r="K13" s="559"/>
      <c r="L13" s="559"/>
      <c r="M13" s="559"/>
      <c r="N13" s="559"/>
      <c r="O13" s="559"/>
      <c r="P13" s="559"/>
      <c r="Q13" s="559"/>
      <c r="R13" s="559"/>
      <c r="S13" s="559"/>
      <c r="T13" s="559"/>
      <c r="U13" s="559"/>
      <c r="V13" s="559"/>
      <c r="W13" s="559"/>
      <c r="X13" s="559"/>
      <c r="Y13" s="559"/>
      <c r="Z13" s="559"/>
      <c r="AA13" s="559"/>
      <c r="AB13" s="559"/>
      <c r="AC13" s="559"/>
      <c r="AD13" s="559"/>
      <c r="AE13" s="559"/>
      <c r="AF13" s="559"/>
      <c r="AG13" s="559"/>
    </row>
    <row r="14" spans="1:33" ht="18" customHeight="1" x14ac:dyDescent="0.35">
      <c r="A14" s="559"/>
      <c r="B14" s="573" t="s">
        <v>11</v>
      </c>
      <c r="C14" s="569" t="s">
        <v>12</v>
      </c>
      <c r="D14" s="559"/>
      <c r="E14" s="574"/>
      <c r="F14" s="563"/>
      <c r="G14" s="559"/>
      <c r="H14" s="559"/>
      <c r="I14" s="559"/>
      <c r="J14" s="559"/>
      <c r="K14" s="559"/>
      <c r="L14" s="559"/>
      <c r="M14" s="559"/>
      <c r="N14" s="559"/>
      <c r="O14" s="559"/>
      <c r="P14" s="559"/>
      <c r="Q14" s="559"/>
      <c r="R14" s="559"/>
      <c r="S14" s="559"/>
      <c r="T14" s="559"/>
      <c r="U14" s="559"/>
      <c r="V14" s="559"/>
      <c r="W14" s="559"/>
      <c r="X14" s="559"/>
      <c r="Y14" s="559"/>
      <c r="Z14" s="559"/>
      <c r="AA14" s="559"/>
      <c r="AB14" s="559"/>
      <c r="AC14" s="559"/>
      <c r="AD14" s="559"/>
      <c r="AE14" s="559"/>
      <c r="AF14" s="559"/>
      <c r="AG14" s="559"/>
    </row>
    <row r="15" spans="1:33" ht="19.5" customHeight="1" x14ac:dyDescent="0.35">
      <c r="A15" s="559"/>
      <c r="B15" s="559"/>
      <c r="C15" s="563"/>
      <c r="D15" s="1168" t="s">
        <v>301</v>
      </c>
      <c r="E15" s="1170"/>
      <c r="F15" s="577" t="str">
        <f>VLOOKUP(C24,A91:T104,20)</f>
        <v>GC + Couvercle</v>
      </c>
      <c r="G15" s="559"/>
      <c r="H15" s="559"/>
      <c r="I15" s="559"/>
      <c r="J15" s="559"/>
      <c r="K15" s="559"/>
      <c r="L15" s="559"/>
      <c r="M15" s="559"/>
      <c r="N15" s="559"/>
      <c r="O15" s="559"/>
      <c r="P15" s="559"/>
      <c r="Q15" s="559"/>
      <c r="R15" s="559"/>
      <c r="S15" s="559"/>
      <c r="T15" s="559"/>
      <c r="U15" s="559"/>
      <c r="V15" s="559"/>
      <c r="W15" s="559"/>
      <c r="X15" s="559"/>
      <c r="Y15" s="559"/>
      <c r="Z15" s="559"/>
      <c r="AA15" s="559"/>
      <c r="AB15" s="559"/>
      <c r="AC15" s="559"/>
      <c r="AD15" s="559"/>
      <c r="AE15" s="559"/>
      <c r="AF15" s="559"/>
      <c r="AG15" s="559"/>
    </row>
    <row r="16" spans="1:33" ht="18" customHeight="1" x14ac:dyDescent="0.35">
      <c r="A16" s="559"/>
      <c r="B16" s="573" t="s">
        <v>17</v>
      </c>
      <c r="C16" s="569" t="s">
        <v>18</v>
      </c>
      <c r="D16" s="559"/>
      <c r="E16" s="574"/>
      <c r="F16" s="563"/>
      <c r="G16" s="559"/>
      <c r="H16" s="559"/>
      <c r="I16" s="559"/>
      <c r="J16" s="559"/>
      <c r="K16" s="559"/>
      <c r="L16" s="559"/>
      <c r="M16" s="559"/>
      <c r="N16" s="559"/>
      <c r="O16" s="559"/>
      <c r="P16" s="559"/>
      <c r="Q16" s="559"/>
      <c r="R16" s="559"/>
      <c r="S16" s="559"/>
      <c r="T16" s="559"/>
      <c r="U16" s="559"/>
      <c r="V16" s="559"/>
      <c r="W16" s="559"/>
      <c r="X16" s="559"/>
      <c r="Y16" s="559"/>
      <c r="Z16" s="559"/>
      <c r="AA16" s="559"/>
      <c r="AB16" s="559"/>
      <c r="AC16" s="559"/>
      <c r="AD16" s="559"/>
      <c r="AE16" s="559"/>
      <c r="AF16" s="559"/>
      <c r="AG16" s="559"/>
    </row>
    <row r="17" spans="1:33" ht="18" customHeight="1" x14ac:dyDescent="0.35">
      <c r="A17" s="559"/>
      <c r="B17" s="559"/>
      <c r="C17" s="563"/>
      <c r="D17" s="559"/>
      <c r="E17" s="573">
        <f>IF(F16="Oui","Type de Peinture",0)</f>
        <v>0</v>
      </c>
      <c r="F17" s="1168"/>
      <c r="G17" s="1101"/>
      <c r="H17" s="559"/>
      <c r="I17" s="559"/>
      <c r="J17" s="559"/>
      <c r="K17" s="559"/>
      <c r="L17" s="559"/>
      <c r="M17" s="559"/>
      <c r="N17" s="559"/>
      <c r="O17" s="559"/>
      <c r="P17" s="559"/>
      <c r="Q17" s="559"/>
      <c r="R17" s="559"/>
      <c r="S17" s="559"/>
      <c r="T17" s="559"/>
      <c r="U17" s="559"/>
      <c r="V17" s="559"/>
      <c r="W17" s="559"/>
      <c r="X17" s="559"/>
      <c r="Y17" s="559"/>
      <c r="Z17" s="559"/>
      <c r="AA17" s="559"/>
      <c r="AB17" s="559"/>
      <c r="AC17" s="559"/>
      <c r="AD17" s="559"/>
      <c r="AE17" s="559"/>
      <c r="AF17" s="559"/>
      <c r="AG17" s="559"/>
    </row>
    <row r="18" spans="1:33" ht="18" customHeight="1" x14ac:dyDescent="0.35">
      <c r="A18" s="559"/>
      <c r="B18" s="573" t="s">
        <v>21</v>
      </c>
      <c r="C18" s="569" t="str">
        <f>IF(F18="Skis","Bois","Non")</f>
        <v>Bois</v>
      </c>
      <c r="D18" s="559"/>
      <c r="E18" s="574" t="s">
        <v>24</v>
      </c>
      <c r="F18" s="1157" t="s">
        <v>24</v>
      </c>
      <c r="G18" s="1158"/>
      <c r="H18" s="559"/>
      <c r="I18" s="559"/>
      <c r="J18" s="559"/>
      <c r="K18" s="559"/>
      <c r="L18" s="559"/>
      <c r="M18" s="559"/>
      <c r="N18" s="559"/>
      <c r="O18" s="559"/>
      <c r="P18" s="559"/>
      <c r="Q18" s="559"/>
      <c r="R18" s="559"/>
      <c r="S18" s="559"/>
      <c r="T18" s="559"/>
      <c r="U18" s="559"/>
      <c r="V18" s="559"/>
      <c r="W18" s="559"/>
      <c r="X18" s="559"/>
      <c r="Y18" s="559"/>
      <c r="Z18" s="559"/>
      <c r="AA18" s="559"/>
      <c r="AB18" s="559"/>
      <c r="AC18" s="559"/>
      <c r="AD18" s="559"/>
      <c r="AE18" s="559"/>
      <c r="AF18" s="559"/>
      <c r="AG18" s="559"/>
    </row>
    <row r="19" spans="1:33" ht="20.25" customHeight="1" x14ac:dyDescent="0.35">
      <c r="A19" s="559"/>
      <c r="B19" s="573"/>
      <c r="C19" s="563"/>
      <c r="D19" s="559"/>
      <c r="E19" s="575"/>
      <c r="F19" s="571"/>
      <c r="G19" s="571"/>
      <c r="H19" s="559"/>
      <c r="I19" s="559"/>
      <c r="J19" s="559"/>
      <c r="K19" s="559"/>
      <c r="L19" s="559"/>
      <c r="M19" s="559"/>
      <c r="N19" s="559"/>
      <c r="O19" s="559"/>
      <c r="P19" s="559"/>
      <c r="Q19" s="559"/>
      <c r="R19" s="559"/>
      <c r="S19" s="559"/>
      <c r="T19" s="559"/>
      <c r="U19" s="559"/>
      <c r="V19" s="559"/>
      <c r="W19" s="559"/>
      <c r="X19" s="559"/>
      <c r="Y19" s="559"/>
      <c r="Z19" s="559"/>
      <c r="AA19" s="559"/>
      <c r="AB19" s="559"/>
      <c r="AC19" s="559"/>
      <c r="AD19" s="559"/>
      <c r="AE19" s="559"/>
      <c r="AF19" s="559"/>
      <c r="AG19" s="559"/>
    </row>
    <row r="20" spans="1:33" ht="18" customHeight="1" x14ac:dyDescent="0.35">
      <c r="A20" s="559"/>
      <c r="B20" s="573"/>
      <c r="C20" s="559"/>
      <c r="D20" s="559"/>
      <c r="E20" s="571"/>
      <c r="F20" s="571"/>
      <c r="G20" s="571"/>
      <c r="H20" s="559"/>
      <c r="I20" s="559"/>
      <c r="J20" s="559"/>
      <c r="K20" s="559"/>
      <c r="L20" s="559"/>
      <c r="M20" s="559"/>
      <c r="N20" s="559"/>
      <c r="O20" s="559"/>
      <c r="P20" s="559"/>
      <c r="Q20" s="559"/>
      <c r="R20" s="559"/>
      <c r="S20" s="559"/>
      <c r="T20" s="559"/>
      <c r="U20" s="559"/>
      <c r="V20" s="559"/>
      <c r="W20" s="559"/>
      <c r="X20" s="559"/>
      <c r="Y20" s="559"/>
      <c r="Z20" s="559"/>
      <c r="AA20" s="559"/>
      <c r="AB20" s="559"/>
      <c r="AC20" s="559"/>
      <c r="AD20" s="559"/>
      <c r="AE20" s="559"/>
      <c r="AF20" s="559"/>
      <c r="AG20" s="559"/>
    </row>
    <row r="21" spans="1:33" ht="18" customHeight="1" x14ac:dyDescent="0.35">
      <c r="A21" s="559"/>
      <c r="B21" s="559"/>
      <c r="C21" s="579" t="s">
        <v>28</v>
      </c>
      <c r="D21" s="579" t="s">
        <v>29</v>
      </c>
      <c r="E21" s="579" t="s">
        <v>30</v>
      </c>
      <c r="F21" s="559"/>
      <c r="G21" s="559"/>
      <c r="H21" s="559"/>
      <c r="I21" s="559"/>
      <c r="J21" s="559"/>
      <c r="K21" s="559"/>
      <c r="L21" s="559"/>
      <c r="M21" s="559"/>
      <c r="N21" s="559"/>
      <c r="O21" s="559"/>
      <c r="P21" s="559"/>
      <c r="Q21" s="559"/>
      <c r="R21" s="559"/>
      <c r="S21" s="559"/>
      <c r="T21" s="559"/>
      <c r="U21" s="559"/>
      <c r="V21" s="559"/>
      <c r="W21" s="559"/>
      <c r="X21" s="559"/>
      <c r="Y21" s="559"/>
      <c r="Z21" s="559"/>
      <c r="AA21" s="559"/>
      <c r="AB21" s="559"/>
      <c r="AC21" s="559"/>
      <c r="AD21" s="559"/>
      <c r="AE21" s="559"/>
      <c r="AF21" s="559"/>
      <c r="AG21" s="559"/>
    </row>
    <row r="22" spans="1:33" ht="18" customHeight="1" x14ac:dyDescent="0.35">
      <c r="A22" s="559"/>
      <c r="B22" s="573" t="s">
        <v>303</v>
      </c>
      <c r="C22" s="581"/>
      <c r="D22" s="581"/>
      <c r="E22" s="581"/>
      <c r="F22" s="559"/>
      <c r="G22" s="559"/>
      <c r="H22" s="559"/>
      <c r="I22" s="559"/>
      <c r="J22" s="559"/>
      <c r="K22" s="559"/>
      <c r="L22" s="559"/>
      <c r="M22" s="559"/>
      <c r="N22" s="559"/>
      <c r="O22" s="559"/>
      <c r="P22" s="559"/>
      <c r="Q22" s="559"/>
      <c r="R22" s="559"/>
      <c r="S22" s="559"/>
      <c r="T22" s="559"/>
      <c r="U22" s="559"/>
      <c r="V22" s="559"/>
      <c r="W22" s="559"/>
      <c r="X22" s="559"/>
      <c r="Y22" s="559"/>
      <c r="Z22" s="559"/>
      <c r="AA22" s="559"/>
      <c r="AB22" s="559"/>
      <c r="AC22" s="559"/>
      <c r="AD22" s="559"/>
      <c r="AE22" s="559"/>
      <c r="AF22" s="559"/>
      <c r="AG22" s="559"/>
    </row>
    <row r="23" spans="1:33" ht="18" customHeight="1" x14ac:dyDescent="0.35">
      <c r="A23" s="559"/>
      <c r="B23" s="559"/>
      <c r="C23" s="559"/>
      <c r="D23" s="559"/>
      <c r="E23" s="559"/>
      <c r="F23" s="559"/>
      <c r="G23" s="559"/>
      <c r="H23" s="559"/>
      <c r="I23" s="559"/>
      <c r="J23" s="559"/>
      <c r="K23" s="559"/>
      <c r="L23" s="559"/>
      <c r="M23" s="559"/>
      <c r="N23" s="559"/>
      <c r="O23" s="559"/>
      <c r="P23" s="559"/>
      <c r="Q23" s="559"/>
      <c r="R23" s="559"/>
      <c r="S23" s="559"/>
      <c r="T23" s="559"/>
      <c r="U23" s="559"/>
      <c r="V23" s="559"/>
      <c r="W23" s="559"/>
      <c r="X23" s="559"/>
      <c r="Y23" s="559"/>
      <c r="Z23" s="559"/>
      <c r="AA23" s="559"/>
      <c r="AB23" s="559"/>
      <c r="AC23" s="559"/>
      <c r="AD23" s="559"/>
      <c r="AE23" s="559"/>
      <c r="AF23" s="559"/>
      <c r="AG23" s="559"/>
    </row>
    <row r="24" spans="1:33" ht="18" customHeight="1" x14ac:dyDescent="0.35">
      <c r="A24" s="559"/>
      <c r="B24" s="582" t="s">
        <v>31</v>
      </c>
      <c r="C24" s="583" t="s">
        <v>16</v>
      </c>
      <c r="D24" s="1171">
        <f>VLOOKUP(C24,'[1]Objet 1'!$A$136:$M$149,13)</f>
        <v>0</v>
      </c>
      <c r="E24" s="1172"/>
      <c r="F24" s="181">
        <v>2</v>
      </c>
      <c r="G24" s="584"/>
      <c r="H24" s="559"/>
      <c r="I24" s="559"/>
      <c r="J24" s="559"/>
      <c r="K24" s="559"/>
      <c r="L24" s="559"/>
      <c r="M24" s="559"/>
      <c r="N24" s="559"/>
      <c r="O24" s="559"/>
      <c r="P24" s="559"/>
      <c r="Q24" s="559"/>
      <c r="R24" s="559"/>
      <c r="S24" s="559"/>
      <c r="T24" s="559"/>
      <c r="U24" s="559"/>
      <c r="V24" s="559"/>
      <c r="W24" s="559"/>
      <c r="X24" s="559"/>
      <c r="Y24" s="559"/>
      <c r="Z24" s="559"/>
      <c r="AA24" s="559"/>
      <c r="AB24" s="559"/>
      <c r="AC24" s="559"/>
      <c r="AD24" s="559"/>
      <c r="AE24" s="559"/>
      <c r="AF24" s="559"/>
      <c r="AG24" s="559"/>
    </row>
    <row r="25" spans="1:33" ht="18" customHeight="1" x14ac:dyDescent="0.35">
      <c r="A25" s="559"/>
      <c r="B25" s="585"/>
      <c r="C25" s="586"/>
      <c r="D25" s="1171">
        <f>IF(C24="Mousse à ras + Guillotines verticales","Hauteur mousse à ras",0)</f>
        <v>0</v>
      </c>
      <c r="E25" s="1172"/>
      <c r="F25" s="579"/>
      <c r="G25" s="559"/>
      <c r="H25" s="559"/>
      <c r="I25" s="559"/>
      <c r="J25" s="559"/>
      <c r="K25" s="559"/>
      <c r="L25" s="559"/>
      <c r="M25" s="559"/>
      <c r="N25" s="559"/>
      <c r="O25" s="559"/>
      <c r="P25" s="559"/>
      <c r="Q25" s="559"/>
      <c r="R25" s="559"/>
      <c r="S25" s="559"/>
      <c r="T25" s="559"/>
      <c r="U25" s="559"/>
      <c r="V25" s="559"/>
      <c r="W25" s="559"/>
      <c r="X25" s="559"/>
      <c r="Y25" s="559"/>
      <c r="Z25" s="559"/>
      <c r="AA25" s="559"/>
      <c r="AB25" s="559"/>
      <c r="AC25" s="559"/>
      <c r="AD25" s="559"/>
      <c r="AE25" s="559"/>
      <c r="AF25" s="559"/>
      <c r="AG25" s="559"/>
    </row>
    <row r="26" spans="1:33" ht="18" customHeight="1" x14ac:dyDescent="0.35">
      <c r="A26" s="559"/>
      <c r="B26" s="587" t="s">
        <v>306</v>
      </c>
      <c r="C26" s="588" t="s">
        <v>16</v>
      </c>
      <c r="D26" s="1171">
        <f>VLOOKUP(C24,'[1]Objet 1'!$A$136:$N$149,14)</f>
        <v>0</v>
      </c>
      <c r="E26" s="1172"/>
      <c r="F26" s="181" t="s">
        <v>307</v>
      </c>
      <c r="G26" s="589"/>
      <c r="H26" s="559"/>
      <c r="I26" s="559"/>
      <c r="J26" s="559"/>
      <c r="K26" s="559"/>
      <c r="L26" s="559"/>
      <c r="M26" s="559"/>
      <c r="N26" s="559"/>
      <c r="O26" s="559"/>
      <c r="P26" s="559"/>
      <c r="Q26" s="559"/>
      <c r="R26" s="559"/>
      <c r="S26" s="559"/>
      <c r="T26" s="559"/>
      <c r="U26" s="559"/>
      <c r="V26" s="559"/>
      <c r="W26" s="559"/>
      <c r="X26" s="559"/>
      <c r="Y26" s="559"/>
      <c r="Z26" s="559"/>
      <c r="AA26" s="559"/>
      <c r="AB26" s="559"/>
      <c r="AC26" s="559"/>
      <c r="AD26" s="559"/>
      <c r="AE26" s="559"/>
      <c r="AF26" s="559"/>
      <c r="AG26" s="559"/>
    </row>
    <row r="27" spans="1:33" ht="18" customHeight="1" x14ac:dyDescent="0.35">
      <c r="A27" s="559"/>
      <c r="B27" s="587" t="s">
        <v>308</v>
      </c>
      <c r="C27" s="588" t="s">
        <v>16</v>
      </c>
      <c r="D27" s="590"/>
      <c r="E27" s="591"/>
      <c r="F27" s="592"/>
      <c r="G27" s="589"/>
      <c r="H27" s="559"/>
      <c r="I27" s="559"/>
      <c r="J27" s="559"/>
      <c r="K27" s="559"/>
      <c r="L27" s="559"/>
      <c r="M27" s="559"/>
      <c r="N27" s="559"/>
      <c r="O27" s="559"/>
      <c r="P27" s="559"/>
      <c r="Q27" s="559"/>
      <c r="R27" s="559"/>
      <c r="S27" s="559"/>
      <c r="T27" s="559"/>
      <c r="U27" s="559"/>
      <c r="V27" s="559"/>
      <c r="W27" s="559"/>
      <c r="X27" s="559"/>
      <c r="Y27" s="559"/>
      <c r="Z27" s="559"/>
      <c r="AA27" s="559"/>
      <c r="AB27" s="559"/>
      <c r="AC27" s="559"/>
      <c r="AD27" s="559"/>
      <c r="AE27" s="559"/>
      <c r="AF27" s="559"/>
      <c r="AG27" s="559"/>
    </row>
    <row r="28" spans="1:33" ht="18" customHeight="1" x14ac:dyDescent="0.35">
      <c r="A28" s="559"/>
      <c r="B28" s="559"/>
      <c r="C28" s="559"/>
      <c r="D28" s="559"/>
      <c r="E28" s="559"/>
      <c r="F28" s="559"/>
      <c r="G28" s="559"/>
      <c r="H28" s="559"/>
      <c r="I28" s="559"/>
      <c r="J28" s="559"/>
      <c r="K28" s="559"/>
      <c r="L28" s="559"/>
      <c r="M28" s="559"/>
      <c r="N28" s="559"/>
      <c r="O28" s="559"/>
      <c r="P28" s="559"/>
      <c r="Q28" s="559"/>
      <c r="R28" s="559"/>
      <c r="S28" s="559"/>
      <c r="T28" s="559"/>
      <c r="U28" s="559"/>
      <c r="V28" s="559"/>
      <c r="W28" s="559"/>
      <c r="X28" s="559"/>
      <c r="Y28" s="559"/>
      <c r="Z28" s="559"/>
      <c r="AA28" s="559"/>
      <c r="AB28" s="559"/>
      <c r="AC28" s="559"/>
      <c r="AD28" s="559"/>
      <c r="AE28" s="559"/>
      <c r="AF28" s="559"/>
      <c r="AG28" s="559"/>
    </row>
    <row r="29" spans="1:33" ht="18" customHeight="1" x14ac:dyDescent="0.35">
      <c r="A29" s="559"/>
      <c r="B29" s="606" t="s">
        <v>42</v>
      </c>
      <c r="C29" s="607">
        <f>C22+VLOOKUP($C$24,$A$91:$S$104,2)</f>
        <v>0</v>
      </c>
      <c r="D29" s="607">
        <f>D22+VLOOKUP($C$24,$A$91:$T$104,3)</f>
        <v>0</v>
      </c>
      <c r="E29" s="608">
        <f>E22+VLOOKUP($C$24,$A$91:$T$104,4)+VLOOKUP('Wrapp Barré'!Base,A134:C143,3)+VLOOKUP('Wrapp Barré'!Plateau,A125:D131,2)</f>
        <v>0</v>
      </c>
      <c r="F29" s="559"/>
      <c r="G29" s="559"/>
      <c r="H29" s="559"/>
      <c r="I29" s="559"/>
      <c r="J29" s="559"/>
      <c r="K29" s="559"/>
      <c r="L29" s="559"/>
      <c r="M29" s="559"/>
      <c r="N29" s="559"/>
      <c r="O29" s="559"/>
      <c r="P29" s="559"/>
      <c r="Q29" s="559"/>
      <c r="R29" s="559"/>
      <c r="S29" s="559"/>
      <c r="T29" s="559"/>
      <c r="U29" s="559"/>
      <c r="V29" s="559"/>
      <c r="W29" s="559"/>
      <c r="X29" s="559"/>
      <c r="Y29" s="559"/>
      <c r="Z29" s="559"/>
      <c r="AA29" s="559"/>
      <c r="AB29" s="559"/>
      <c r="AC29" s="559"/>
      <c r="AD29" s="559"/>
      <c r="AE29" s="559"/>
      <c r="AF29" s="559"/>
      <c r="AG29" s="559"/>
    </row>
    <row r="30" spans="1:33" ht="18" customHeight="1" x14ac:dyDescent="0.35">
      <c r="A30" s="559"/>
      <c r="B30" s="573"/>
      <c r="C30" s="573"/>
      <c r="D30" s="573"/>
      <c r="E30" s="573"/>
      <c r="F30" s="559"/>
      <c r="G30" s="609" t="s">
        <v>256</v>
      </c>
      <c r="H30" s="610"/>
      <c r="I30" s="559"/>
      <c r="J30" s="559"/>
      <c r="K30" s="559"/>
      <c r="L30" s="559"/>
      <c r="M30" s="559"/>
      <c r="N30" s="559"/>
      <c r="O30" s="559"/>
      <c r="P30" s="559"/>
      <c r="Q30" s="559"/>
      <c r="R30" s="559"/>
      <c r="S30" s="559"/>
      <c r="T30" s="559"/>
      <c r="U30" s="559"/>
      <c r="V30" s="559"/>
      <c r="W30" s="559"/>
      <c r="X30" s="559"/>
      <c r="Y30" s="559"/>
      <c r="Z30" s="559"/>
      <c r="AA30" s="559"/>
      <c r="AB30" s="559"/>
      <c r="AC30" s="559"/>
      <c r="AD30" s="559"/>
      <c r="AE30" s="559"/>
      <c r="AF30" s="559"/>
      <c r="AG30" s="559"/>
    </row>
    <row r="31" spans="1:33" ht="18" customHeight="1" x14ac:dyDescent="0.35">
      <c r="A31" s="559"/>
      <c r="B31" s="606" t="s">
        <v>44</v>
      </c>
      <c r="C31" s="611">
        <f>C29+IF($C$18="Bois",4.4,0)+(1.3*2)+VLOOKUP($C$14,$A$123:$D$123,4)*2</f>
        <v>11.2</v>
      </c>
      <c r="D31" s="611">
        <f>D29+(1.3*2)+VLOOKUP($C$14,$A$123:$D$123,4)*2</f>
        <v>6.8000000000000007</v>
      </c>
      <c r="E31" s="612">
        <f>E29+(1.3*2)+VLOOKUP($C$14,$A$123:$D$123,4)*2+IF(F18="Skis",2.1,10)</f>
        <v>8.9</v>
      </c>
      <c r="F31" s="559"/>
      <c r="G31" s="613">
        <f>C83</f>
        <v>0</v>
      </c>
      <c r="H31" s="614"/>
      <c r="I31" s="559"/>
      <c r="J31" s="559"/>
      <c r="K31" s="559"/>
      <c r="L31" s="559"/>
      <c r="M31" s="559"/>
      <c r="N31" s="559"/>
      <c r="O31" s="559"/>
      <c r="P31" s="559"/>
      <c r="Q31" s="559"/>
      <c r="R31" s="559"/>
      <c r="S31" s="559"/>
      <c r="T31" s="559"/>
      <c r="U31" s="559"/>
      <c r="V31" s="559"/>
      <c r="W31" s="559"/>
      <c r="X31" s="559"/>
      <c r="Y31" s="559"/>
      <c r="Z31" s="559"/>
      <c r="AA31" s="559"/>
      <c r="AB31" s="559"/>
      <c r="AC31" s="559"/>
      <c r="AD31" s="559"/>
      <c r="AE31" s="559"/>
      <c r="AF31" s="559"/>
      <c r="AG31" s="559"/>
    </row>
    <row r="32" spans="1:33" ht="18" customHeight="1" x14ac:dyDescent="0.35">
      <c r="A32" s="559"/>
      <c r="B32" s="573"/>
      <c r="C32" s="573"/>
      <c r="D32" s="573"/>
      <c r="E32" s="573"/>
      <c r="F32" s="559"/>
      <c r="G32" s="559"/>
      <c r="H32" s="559"/>
      <c r="I32" s="559"/>
      <c r="J32" s="559"/>
      <c r="K32" s="559"/>
      <c r="L32" s="559"/>
      <c r="M32" s="559"/>
      <c r="N32" s="559"/>
      <c r="O32" s="559"/>
      <c r="P32" s="559"/>
      <c r="Q32" s="559"/>
      <c r="R32" s="559"/>
      <c r="S32" s="559"/>
      <c r="T32" s="559"/>
      <c r="U32" s="559"/>
      <c r="V32" s="559"/>
      <c r="W32" s="559"/>
      <c r="X32" s="559"/>
      <c r="Y32" s="559"/>
      <c r="Z32" s="559"/>
      <c r="AA32" s="559"/>
      <c r="AB32" s="559"/>
      <c r="AC32" s="559"/>
      <c r="AD32" s="559"/>
      <c r="AE32" s="559"/>
      <c r="AF32" s="559"/>
      <c r="AG32" s="559"/>
    </row>
    <row r="33" spans="1:33" ht="18" customHeight="1" x14ac:dyDescent="0.35">
      <c r="A33" s="559"/>
      <c r="B33" s="615" t="s">
        <v>45</v>
      </c>
      <c r="C33" s="616">
        <f>Q75</f>
        <v>0</v>
      </c>
      <c r="D33" s="608" t="s">
        <v>46</v>
      </c>
      <c r="E33" s="573"/>
      <c r="F33" s="559"/>
      <c r="G33" s="559"/>
      <c r="H33" s="559"/>
      <c r="I33" s="559"/>
      <c r="J33" s="559"/>
      <c r="K33" s="559"/>
      <c r="L33" s="559"/>
      <c r="M33" s="559"/>
      <c r="N33" s="559"/>
      <c r="O33" s="559"/>
      <c r="P33" s="559"/>
      <c r="Q33" s="559"/>
      <c r="R33" s="559"/>
      <c r="S33" s="559"/>
      <c r="T33" s="559"/>
      <c r="U33" s="559"/>
      <c r="V33" s="559"/>
      <c r="W33" s="559"/>
      <c r="X33" s="559"/>
      <c r="Y33" s="559"/>
      <c r="Z33" s="559"/>
      <c r="AA33" s="559"/>
      <c r="AB33" s="559"/>
      <c r="AC33" s="559"/>
      <c r="AD33" s="559"/>
      <c r="AE33" s="559"/>
      <c r="AF33" s="559"/>
      <c r="AG33" s="559"/>
    </row>
    <row r="34" spans="1:33" ht="18" hidden="1" customHeight="1" x14ac:dyDescent="0.35">
      <c r="A34" s="559"/>
      <c r="B34" s="617" t="s">
        <v>48</v>
      </c>
      <c r="C34" s="618">
        <f>D77</f>
        <v>0</v>
      </c>
      <c r="D34" s="619" t="s">
        <v>49</v>
      </c>
      <c r="E34" s="573"/>
      <c r="F34" s="559"/>
      <c r="G34" s="559"/>
      <c r="H34" s="559"/>
      <c r="I34" s="559"/>
      <c r="J34" s="559"/>
      <c r="K34" s="559"/>
      <c r="L34" s="559"/>
      <c r="M34" s="559"/>
      <c r="N34" s="559"/>
      <c r="O34" s="559"/>
      <c r="P34" s="559"/>
      <c r="Q34" s="559"/>
      <c r="R34" s="559"/>
      <c r="S34" s="559"/>
      <c r="T34" s="559"/>
      <c r="U34" s="559"/>
      <c r="V34" s="559"/>
      <c r="W34" s="559"/>
      <c r="X34" s="559"/>
      <c r="Y34" s="559"/>
      <c r="Z34" s="559"/>
      <c r="AA34" s="559"/>
      <c r="AB34" s="559"/>
      <c r="AC34" s="559"/>
      <c r="AD34" s="559"/>
      <c r="AE34" s="559"/>
      <c r="AF34" s="559"/>
      <c r="AG34" s="559"/>
    </row>
    <row r="35" spans="1:33" ht="18" hidden="1" customHeight="1" x14ac:dyDescent="0.35">
      <c r="A35" s="559"/>
      <c r="B35" s="559"/>
      <c r="C35" s="614"/>
      <c r="D35" s="559"/>
      <c r="E35" s="559"/>
      <c r="F35" s="559"/>
      <c r="G35" s="559"/>
      <c r="H35" s="559"/>
      <c r="I35" s="559"/>
      <c r="J35" s="559"/>
      <c r="K35" s="559"/>
      <c r="L35" s="559"/>
      <c r="M35" s="559"/>
      <c r="N35" s="559"/>
      <c r="O35" s="559"/>
      <c r="P35" s="559"/>
      <c r="Q35" s="559"/>
      <c r="R35" s="559"/>
      <c r="S35" s="559"/>
      <c r="T35" s="559"/>
      <c r="U35" s="559"/>
      <c r="V35" s="559"/>
      <c r="W35" s="559"/>
      <c r="X35" s="559"/>
      <c r="Y35" s="559"/>
      <c r="Z35" s="559"/>
      <c r="AA35" s="559"/>
      <c r="AB35" s="559"/>
      <c r="AC35" s="559"/>
      <c r="AD35" s="559"/>
      <c r="AE35" s="559"/>
      <c r="AF35" s="559"/>
      <c r="AG35" s="559"/>
    </row>
    <row r="36" spans="1:33" ht="18" hidden="1" customHeight="1" x14ac:dyDescent="0.35">
      <c r="A36" s="559"/>
      <c r="B36" s="559"/>
      <c r="C36" s="559"/>
      <c r="D36" s="559"/>
      <c r="E36" s="559"/>
      <c r="F36" s="559" t="s">
        <v>34</v>
      </c>
      <c r="G36" s="559"/>
      <c r="H36" s="559"/>
      <c r="I36" s="559"/>
      <c r="J36" s="559"/>
      <c r="K36" s="559"/>
      <c r="L36" s="559"/>
      <c r="M36" s="559"/>
      <c r="N36" s="559"/>
      <c r="O36" s="559"/>
      <c r="P36" s="559"/>
      <c r="Q36" s="559" t="s">
        <v>157</v>
      </c>
      <c r="R36" s="559"/>
      <c r="S36" s="559"/>
      <c r="T36" s="559"/>
      <c r="U36" s="559"/>
      <c r="V36" s="559"/>
      <c r="W36" s="559"/>
      <c r="X36" s="559"/>
      <c r="Y36" s="559"/>
      <c r="Z36" s="559"/>
      <c r="AA36" s="559"/>
      <c r="AB36" s="559"/>
      <c r="AC36" s="559"/>
      <c r="AD36" s="559"/>
      <c r="AE36" s="559"/>
      <c r="AF36" s="559"/>
      <c r="AG36" s="559"/>
    </row>
    <row r="37" spans="1:33" ht="18" hidden="1" customHeight="1" x14ac:dyDescent="0.35">
      <c r="A37" s="620" t="s">
        <v>53</v>
      </c>
      <c r="B37" s="949" t="str">
        <f t="shared" ref="B37:B40" si="0">$C$12</f>
        <v>Carton Triple</v>
      </c>
      <c r="C37" s="621">
        <f>C29+(1.3*2)+VLOOKUP($C$14,$A$123:$D$123,4)*2</f>
        <v>6.8000000000000007</v>
      </c>
      <c r="D37" s="621">
        <f>E29+1.3+VLOOKUP($C$14,$A$123:$D$123,4)</f>
        <v>3.4000000000000004</v>
      </c>
      <c r="E37" s="622" t="str">
        <f t="shared" ref="E37:E40" si="1">B37</f>
        <v>Carton Triple</v>
      </c>
      <c r="F37" s="623">
        <v>2</v>
      </c>
      <c r="G37" s="559"/>
      <c r="H37" s="559"/>
      <c r="I37" s="559"/>
      <c r="J37" s="624">
        <f t="shared" ref="J37:J40" si="2">IF(C37=0,0,(C37/100)*(D37/100)*F37)</f>
        <v>4.6240000000000005E-3</v>
      </c>
      <c r="K37" s="624">
        <f t="shared" ref="K37:K40" si="3">J37/0.8</f>
        <v>5.7800000000000004E-3</v>
      </c>
      <c r="L37" s="625" t="s">
        <v>663</v>
      </c>
      <c r="M37" s="625" t="e">
        <f t="shared" ref="M37:M40" si="4">L37*K37-IF($F$14="Non",K37*0.75,0)</f>
        <v>#VALUE!</v>
      </c>
      <c r="N37" s="626">
        <f t="shared" ref="N37:N40" si="5">IF(J37=0,0,(3.0924*J37)+5)</f>
        <v>5.0142992576000003</v>
      </c>
      <c r="O37" s="625">
        <f t="shared" ref="O37:O40" si="6">N37*'Wrapp Barré'!MinuteMO</f>
        <v>4.2621543689600001</v>
      </c>
      <c r="P37" s="559"/>
      <c r="Q37" s="627" t="s">
        <v>663</v>
      </c>
      <c r="R37" s="559"/>
      <c r="S37" s="559"/>
      <c r="T37" s="559"/>
      <c r="U37" s="559"/>
      <c r="V37" s="559"/>
      <c r="W37" s="559"/>
      <c r="X37" s="559"/>
      <c r="Y37" s="559"/>
      <c r="Z37" s="559"/>
      <c r="AA37" s="559"/>
      <c r="AB37" s="559"/>
      <c r="AC37" s="559"/>
      <c r="AD37" s="559"/>
      <c r="AE37" s="559"/>
      <c r="AF37" s="559"/>
      <c r="AG37" s="559"/>
    </row>
    <row r="38" spans="1:33" ht="18" hidden="1" customHeight="1" x14ac:dyDescent="0.35">
      <c r="A38" s="620" t="s">
        <v>175</v>
      </c>
      <c r="B38" s="949" t="str">
        <f t="shared" si="0"/>
        <v>Carton Triple</v>
      </c>
      <c r="C38" s="621">
        <f>C37</f>
        <v>6.8000000000000007</v>
      </c>
      <c r="D38" s="621">
        <f>D29+(1.3*2)+VLOOKUP(C14,A123:D123,4)*2</f>
        <v>6.8000000000000007</v>
      </c>
      <c r="E38" s="622" t="str">
        <f t="shared" si="1"/>
        <v>Carton Triple</v>
      </c>
      <c r="F38" s="623">
        <v>1</v>
      </c>
      <c r="G38" s="559"/>
      <c r="H38" s="559"/>
      <c r="I38" s="559"/>
      <c r="J38" s="624">
        <f t="shared" si="2"/>
        <v>4.6240000000000005E-3</v>
      </c>
      <c r="K38" s="624">
        <f t="shared" si="3"/>
        <v>5.7800000000000004E-3</v>
      </c>
      <c r="L38" s="625" t="s">
        <v>663</v>
      </c>
      <c r="M38" s="625" t="e">
        <f t="shared" si="4"/>
        <v>#VALUE!</v>
      </c>
      <c r="N38" s="626">
        <f t="shared" si="5"/>
        <v>5.0142992576000003</v>
      </c>
      <c r="O38" s="625">
        <f t="shared" si="6"/>
        <v>4.2621543689600001</v>
      </c>
      <c r="P38" s="559"/>
      <c r="Q38" s="627" t="s">
        <v>663</v>
      </c>
      <c r="R38" s="559"/>
      <c r="S38" s="559"/>
      <c r="T38" s="559"/>
      <c r="U38" s="559"/>
      <c r="V38" s="559"/>
      <c r="W38" s="559"/>
      <c r="X38" s="559"/>
      <c r="Y38" s="559"/>
      <c r="Z38" s="559"/>
      <c r="AA38" s="559"/>
      <c r="AB38" s="559"/>
      <c r="AC38" s="559"/>
      <c r="AD38" s="559"/>
      <c r="AE38" s="559"/>
      <c r="AF38" s="559"/>
      <c r="AG38" s="559"/>
    </row>
    <row r="39" spans="1:33" ht="18" hidden="1" customHeight="1" x14ac:dyDescent="0.35">
      <c r="A39" s="620" t="s">
        <v>176</v>
      </c>
      <c r="B39" s="949" t="str">
        <f t="shared" si="0"/>
        <v>Carton Triple</v>
      </c>
      <c r="C39" s="621">
        <f t="shared" ref="C39:D39" si="7">C29</f>
        <v>0</v>
      </c>
      <c r="D39" s="621">
        <f t="shared" si="7"/>
        <v>0</v>
      </c>
      <c r="E39" s="622" t="str">
        <f t="shared" si="1"/>
        <v>Carton Triple</v>
      </c>
      <c r="F39" s="623">
        <v>1</v>
      </c>
      <c r="G39" s="559"/>
      <c r="H39" s="559"/>
      <c r="I39" s="559"/>
      <c r="J39" s="624">
        <f t="shared" si="2"/>
        <v>0</v>
      </c>
      <c r="K39" s="624">
        <f t="shared" si="3"/>
        <v>0</v>
      </c>
      <c r="L39" s="625" t="s">
        <v>663</v>
      </c>
      <c r="M39" s="625" t="e">
        <f t="shared" si="4"/>
        <v>#VALUE!</v>
      </c>
      <c r="N39" s="626">
        <f t="shared" si="5"/>
        <v>0</v>
      </c>
      <c r="O39" s="625">
        <f t="shared" si="6"/>
        <v>0</v>
      </c>
      <c r="P39" s="559"/>
      <c r="Q39" s="627">
        <v>0</v>
      </c>
      <c r="R39" s="559"/>
      <c r="S39" s="559"/>
      <c r="T39" s="559"/>
      <c r="U39" s="559"/>
      <c r="V39" s="559"/>
      <c r="W39" s="559"/>
      <c r="X39" s="559"/>
      <c r="Y39" s="559"/>
      <c r="Z39" s="559"/>
      <c r="AA39" s="559"/>
      <c r="AB39" s="559"/>
      <c r="AC39" s="559"/>
      <c r="AD39" s="559"/>
      <c r="AE39" s="559"/>
      <c r="AF39" s="559"/>
      <c r="AG39" s="559"/>
    </row>
    <row r="40" spans="1:33" ht="18" hidden="1" customHeight="1" x14ac:dyDescent="0.35">
      <c r="A40" s="620" t="s">
        <v>55</v>
      </c>
      <c r="B40" s="949" t="str">
        <f t="shared" si="0"/>
        <v>Carton Triple</v>
      </c>
      <c r="C40" s="621">
        <f>D29</f>
        <v>0</v>
      </c>
      <c r="D40" s="621">
        <f>D37</f>
        <v>3.4000000000000004</v>
      </c>
      <c r="E40" s="622" t="str">
        <f t="shared" si="1"/>
        <v>Carton Triple</v>
      </c>
      <c r="F40" s="623">
        <v>2</v>
      </c>
      <c r="G40" s="559"/>
      <c r="H40" s="559"/>
      <c r="I40" s="559"/>
      <c r="J40" s="624">
        <f t="shared" si="2"/>
        <v>0</v>
      </c>
      <c r="K40" s="624">
        <f t="shared" si="3"/>
        <v>0</v>
      </c>
      <c r="L40" s="625" t="s">
        <v>663</v>
      </c>
      <c r="M40" s="625" t="e">
        <f t="shared" si="4"/>
        <v>#VALUE!</v>
      </c>
      <c r="N40" s="626">
        <f t="shared" si="5"/>
        <v>0</v>
      </c>
      <c r="O40" s="625">
        <f t="shared" si="6"/>
        <v>0</v>
      </c>
      <c r="P40" s="559"/>
      <c r="Q40" s="627">
        <v>0</v>
      </c>
      <c r="R40" s="559"/>
      <c r="S40" s="559"/>
      <c r="T40" s="559"/>
      <c r="U40" s="559"/>
      <c r="V40" s="559"/>
      <c r="W40" s="559"/>
      <c r="X40" s="559"/>
      <c r="Y40" s="559"/>
      <c r="Z40" s="559"/>
      <c r="AA40" s="559"/>
      <c r="AB40" s="559"/>
      <c r="AC40" s="559"/>
      <c r="AD40" s="559"/>
      <c r="AE40" s="559"/>
      <c r="AF40" s="559"/>
      <c r="AG40" s="559"/>
    </row>
    <row r="41" spans="1:33" ht="18" hidden="1" customHeight="1" x14ac:dyDescent="0.35">
      <c r="A41" s="559"/>
      <c r="B41" s="559"/>
      <c r="C41" s="559"/>
      <c r="D41" s="559"/>
      <c r="E41" s="559"/>
      <c r="F41" s="559"/>
      <c r="G41" s="559"/>
      <c r="H41" s="559"/>
      <c r="I41" s="559"/>
      <c r="J41" s="624"/>
      <c r="K41" s="624"/>
      <c r="L41" s="625"/>
      <c r="M41" s="625"/>
      <c r="N41" s="626"/>
      <c r="O41" s="625"/>
      <c r="P41" s="559"/>
      <c r="Q41" s="627"/>
      <c r="R41" s="559"/>
      <c r="S41" s="559"/>
      <c r="T41" s="559"/>
      <c r="U41" s="559"/>
      <c r="V41" s="559"/>
      <c r="W41" s="559"/>
      <c r="X41" s="559"/>
      <c r="Y41" s="559"/>
      <c r="Z41" s="559"/>
      <c r="AA41" s="559"/>
      <c r="AB41" s="559"/>
      <c r="AC41" s="559"/>
      <c r="AD41" s="559"/>
      <c r="AE41" s="559"/>
      <c r="AF41" s="559"/>
      <c r="AG41" s="559"/>
    </row>
    <row r="42" spans="1:33" ht="18" hidden="1" customHeight="1" x14ac:dyDescent="0.35">
      <c r="A42" s="559"/>
      <c r="B42" s="559"/>
      <c r="C42" s="559"/>
      <c r="D42" s="559"/>
      <c r="E42" s="559"/>
      <c r="F42" s="559"/>
      <c r="G42" s="559"/>
      <c r="H42" s="559"/>
      <c r="I42" s="559"/>
      <c r="J42" s="624"/>
      <c r="K42" s="624"/>
      <c r="L42" s="625"/>
      <c r="M42" s="625"/>
      <c r="N42" s="626"/>
      <c r="O42" s="625"/>
      <c r="P42" s="559"/>
      <c r="Q42" s="627"/>
      <c r="R42" s="559"/>
      <c r="S42" s="559"/>
      <c r="T42" s="559"/>
      <c r="U42" s="559"/>
      <c r="V42" s="559"/>
      <c r="W42" s="559"/>
      <c r="X42" s="559"/>
      <c r="Y42" s="559"/>
      <c r="Z42" s="559"/>
      <c r="AA42" s="559"/>
      <c r="AB42" s="559"/>
      <c r="AC42" s="559"/>
      <c r="AD42" s="559"/>
      <c r="AE42" s="559"/>
      <c r="AF42" s="559"/>
      <c r="AG42" s="559"/>
    </row>
    <row r="43" spans="1:33" ht="18" hidden="1" customHeight="1" x14ac:dyDescent="0.35">
      <c r="A43" s="573" t="s">
        <v>11</v>
      </c>
      <c r="B43" s="584" t="s">
        <v>56</v>
      </c>
      <c r="C43" s="621">
        <f>C37</f>
        <v>6.8000000000000007</v>
      </c>
      <c r="D43" s="584">
        <f>IF(D37&gt;80,9.4,7)</f>
        <v>7</v>
      </c>
      <c r="E43" s="579" t="str">
        <f t="shared" ref="E43:E48" si="8">IF($C$14="Pin raboté 4 faces","Barres 21 R4F","Barres 19 mm")</f>
        <v>Barres 21 R4F</v>
      </c>
      <c r="F43" s="584">
        <v>4</v>
      </c>
      <c r="G43" s="559"/>
      <c r="H43" s="559"/>
      <c r="I43" s="559"/>
      <c r="J43" s="624">
        <f t="shared" ref="J43:J52" si="9">IF(C43=0,0,(C43/100)*(D43/100)*F43)</f>
        <v>1.9040000000000005E-2</v>
      </c>
      <c r="K43" s="624">
        <f t="shared" ref="K43:K52" si="10">J43/0.8</f>
        <v>2.3800000000000005E-2</v>
      </c>
      <c r="L43" s="625" t="s">
        <v>663</v>
      </c>
      <c r="M43" s="625" t="e">
        <f t="shared" ref="M43:M52" si="11">L43*K43</f>
        <v>#VALUE!</v>
      </c>
      <c r="N43" s="626">
        <f t="shared" ref="N43:N52" si="12">IF(J43=0,0,1+(11*J43))</f>
        <v>1.2094400000000001</v>
      </c>
      <c r="O43" s="625">
        <f t="shared" ref="O43:O52" si="13">N43*'Wrapp Barré'!MinuteMO</f>
        <v>1.028024</v>
      </c>
      <c r="P43" s="559"/>
      <c r="Q43" s="627" t="s">
        <v>663</v>
      </c>
      <c r="R43" s="559"/>
      <c r="S43" s="559"/>
      <c r="T43" s="559"/>
      <c r="U43" s="559"/>
      <c r="V43" s="559"/>
      <c r="W43" s="559"/>
      <c r="X43" s="559"/>
      <c r="Y43" s="559"/>
      <c r="Z43" s="559"/>
      <c r="AA43" s="559"/>
      <c r="AB43" s="559"/>
      <c r="AC43" s="559"/>
      <c r="AD43" s="559"/>
      <c r="AE43" s="559"/>
      <c r="AF43" s="559"/>
      <c r="AG43" s="559"/>
    </row>
    <row r="44" spans="1:33" ht="18" hidden="1" customHeight="1" x14ac:dyDescent="0.35">
      <c r="A44" s="559"/>
      <c r="B44" s="584" t="str">
        <f>IF($F$12="Expo","Remplis GC",0)</f>
        <v>Remplis GC</v>
      </c>
      <c r="C44" s="621">
        <f>D37-2*D43</f>
        <v>-10.6</v>
      </c>
      <c r="D44" s="584">
        <f>D43</f>
        <v>7</v>
      </c>
      <c r="E44" s="579" t="str">
        <f t="shared" si="8"/>
        <v>Barres 21 R4F</v>
      </c>
      <c r="F44" s="584">
        <f>4</f>
        <v>4</v>
      </c>
      <c r="G44" s="559"/>
      <c r="H44" s="559"/>
      <c r="I44" s="559"/>
      <c r="J44" s="624">
        <f t="shared" si="9"/>
        <v>-2.9680000000000002E-2</v>
      </c>
      <c r="K44" s="624">
        <f t="shared" si="10"/>
        <v>-3.7100000000000001E-2</v>
      </c>
      <c r="L44" s="625" t="s">
        <v>663</v>
      </c>
      <c r="M44" s="625" t="e">
        <f t="shared" si="11"/>
        <v>#VALUE!</v>
      </c>
      <c r="N44" s="626">
        <f t="shared" si="12"/>
        <v>0.67352000000000001</v>
      </c>
      <c r="O44" s="625">
        <f t="shared" si="13"/>
        <v>0.572492</v>
      </c>
      <c r="P44" s="559"/>
      <c r="Q44" s="627" t="s">
        <v>663</v>
      </c>
      <c r="R44" s="559"/>
      <c r="S44" s="559"/>
      <c r="T44" s="559"/>
      <c r="U44" s="559"/>
      <c r="V44" s="559"/>
      <c r="W44" s="559"/>
      <c r="X44" s="559"/>
      <c r="Y44" s="559"/>
      <c r="Z44" s="559"/>
      <c r="AA44" s="559"/>
      <c r="AB44" s="559"/>
      <c r="AC44" s="559"/>
      <c r="AD44" s="559"/>
      <c r="AE44" s="559"/>
      <c r="AF44" s="559"/>
      <c r="AG44" s="559"/>
    </row>
    <row r="45" spans="1:33" ht="18" hidden="1" customHeight="1" x14ac:dyDescent="0.35">
      <c r="A45" s="559"/>
      <c r="B45" s="584" t="s">
        <v>177</v>
      </c>
      <c r="C45" s="621">
        <f>C43</f>
        <v>6.8000000000000007</v>
      </c>
      <c r="D45" s="584">
        <f>IF($D$29&lt;80,7,9.4)</f>
        <v>7</v>
      </c>
      <c r="E45" s="579" t="str">
        <f t="shared" si="8"/>
        <v>Barres 21 R4F</v>
      </c>
      <c r="F45" s="584">
        <f t="shared" ref="F45:F46" si="14">IF(D45&lt;14.4,2,4)</f>
        <v>2</v>
      </c>
      <c r="G45" s="559"/>
      <c r="H45" s="559"/>
      <c r="I45" s="559"/>
      <c r="J45" s="624">
        <f t="shared" si="9"/>
        <v>9.5200000000000024E-3</v>
      </c>
      <c r="K45" s="624">
        <f t="shared" si="10"/>
        <v>1.1900000000000003E-2</v>
      </c>
      <c r="L45" s="625" t="s">
        <v>663</v>
      </c>
      <c r="M45" s="625" t="e">
        <f t="shared" si="11"/>
        <v>#VALUE!</v>
      </c>
      <c r="N45" s="626">
        <f t="shared" si="12"/>
        <v>1.1047199999999999</v>
      </c>
      <c r="O45" s="625">
        <f t="shared" si="13"/>
        <v>0.93901199999999996</v>
      </c>
      <c r="P45" s="559"/>
      <c r="Q45" s="627" t="s">
        <v>663</v>
      </c>
      <c r="R45" s="559"/>
      <c r="S45" s="559"/>
      <c r="T45" s="559"/>
      <c r="U45" s="559"/>
      <c r="V45" s="559"/>
      <c r="W45" s="559"/>
      <c r="X45" s="559"/>
      <c r="Y45" s="559"/>
      <c r="Z45" s="559"/>
      <c r="AA45" s="559"/>
      <c r="AB45" s="559"/>
      <c r="AC45" s="559"/>
      <c r="AD45" s="559"/>
      <c r="AE45" s="559"/>
      <c r="AF45" s="559"/>
      <c r="AG45" s="559"/>
    </row>
    <row r="46" spans="1:33" ht="18" hidden="1" customHeight="1" x14ac:dyDescent="0.35">
      <c r="A46" s="559"/>
      <c r="B46" s="584" t="s">
        <v>178</v>
      </c>
      <c r="C46" s="621">
        <f>IF($F$12="Expo",D38-2*D45,0)</f>
        <v>-7.1999999999999993</v>
      </c>
      <c r="D46" s="584">
        <f>D45</f>
        <v>7</v>
      </c>
      <c r="E46" s="579" t="str">
        <f t="shared" si="8"/>
        <v>Barres 21 R4F</v>
      </c>
      <c r="F46" s="584">
        <f t="shared" si="14"/>
        <v>2</v>
      </c>
      <c r="G46" s="559"/>
      <c r="H46" s="559"/>
      <c r="I46" s="559"/>
      <c r="J46" s="624">
        <f t="shared" si="9"/>
        <v>-1.008E-2</v>
      </c>
      <c r="K46" s="624">
        <f t="shared" si="10"/>
        <v>-1.26E-2</v>
      </c>
      <c r="L46" s="625" t="s">
        <v>663</v>
      </c>
      <c r="M46" s="625" t="e">
        <f t="shared" si="11"/>
        <v>#VALUE!</v>
      </c>
      <c r="N46" s="626">
        <f t="shared" si="12"/>
        <v>0.88912000000000002</v>
      </c>
      <c r="O46" s="625">
        <f t="shared" si="13"/>
        <v>0.75575199999999998</v>
      </c>
      <c r="P46" s="559"/>
      <c r="Q46" s="627" t="s">
        <v>663</v>
      </c>
      <c r="R46" s="559"/>
      <c r="S46" s="559"/>
      <c r="T46" s="559"/>
      <c r="U46" s="559"/>
      <c r="V46" s="559"/>
      <c r="W46" s="559"/>
      <c r="X46" s="559"/>
      <c r="Y46" s="559"/>
      <c r="Z46" s="559"/>
      <c r="AA46" s="559"/>
      <c r="AB46" s="559"/>
      <c r="AC46" s="559"/>
      <c r="AD46" s="559"/>
      <c r="AE46" s="559"/>
      <c r="AF46" s="559"/>
      <c r="AG46" s="559"/>
    </row>
    <row r="47" spans="1:33" ht="18" hidden="1" customHeight="1" x14ac:dyDescent="0.35">
      <c r="A47" s="559"/>
      <c r="B47" s="584" t="s">
        <v>179</v>
      </c>
      <c r="C47" s="621">
        <f>C29</f>
        <v>0</v>
      </c>
      <c r="D47" s="584">
        <v>7</v>
      </c>
      <c r="E47" s="579" t="str">
        <f t="shared" si="8"/>
        <v>Barres 21 R4F</v>
      </c>
      <c r="F47" s="584">
        <f>IF(D29&gt;70,3,2)</f>
        <v>2</v>
      </c>
      <c r="G47" s="559"/>
      <c r="H47" s="559"/>
      <c r="I47" s="559"/>
      <c r="J47" s="624">
        <f t="shared" si="9"/>
        <v>0</v>
      </c>
      <c r="K47" s="624">
        <f t="shared" si="10"/>
        <v>0</v>
      </c>
      <c r="L47" s="625" t="s">
        <v>663</v>
      </c>
      <c r="M47" s="625" t="e">
        <f t="shared" si="11"/>
        <v>#VALUE!</v>
      </c>
      <c r="N47" s="626">
        <f t="shared" si="12"/>
        <v>0</v>
      </c>
      <c r="O47" s="625">
        <f t="shared" si="13"/>
        <v>0</v>
      </c>
      <c r="P47" s="559"/>
      <c r="Q47" s="627">
        <v>0</v>
      </c>
      <c r="R47" s="559"/>
      <c r="S47" s="559"/>
      <c r="T47" s="559"/>
      <c r="U47" s="559"/>
      <c r="V47" s="559"/>
      <c r="W47" s="559"/>
      <c r="X47" s="559"/>
      <c r="Y47" s="559"/>
      <c r="Z47" s="559"/>
      <c r="AA47" s="559"/>
      <c r="AB47" s="559"/>
      <c r="AC47" s="559"/>
      <c r="AD47" s="559"/>
      <c r="AE47" s="559"/>
      <c r="AF47" s="559"/>
      <c r="AG47" s="559"/>
    </row>
    <row r="48" spans="1:33" ht="18" hidden="1" customHeight="1" x14ac:dyDescent="0.35">
      <c r="A48" s="559"/>
      <c r="B48" s="584" t="s">
        <v>180</v>
      </c>
      <c r="C48" s="621">
        <f>(D29-(D47*F47))/(F47-1)</f>
        <v>-14</v>
      </c>
      <c r="D48" s="584">
        <v>7</v>
      </c>
      <c r="E48" s="579" t="str">
        <f t="shared" si="8"/>
        <v>Barres 21 R4F</v>
      </c>
      <c r="F48" s="584">
        <f>IF(F47=2,2,4)</f>
        <v>2</v>
      </c>
      <c r="G48" s="559"/>
      <c r="H48" s="559"/>
      <c r="I48" s="559"/>
      <c r="J48" s="624">
        <f t="shared" si="9"/>
        <v>-1.9600000000000003E-2</v>
      </c>
      <c r="K48" s="624">
        <f t="shared" si="10"/>
        <v>-2.4500000000000001E-2</v>
      </c>
      <c r="L48" s="625" t="s">
        <v>663</v>
      </c>
      <c r="M48" s="625" t="e">
        <f t="shared" si="11"/>
        <v>#VALUE!</v>
      </c>
      <c r="N48" s="626">
        <f t="shared" si="12"/>
        <v>0.78439999999999999</v>
      </c>
      <c r="O48" s="625">
        <f t="shared" si="13"/>
        <v>0.66674</v>
      </c>
      <c r="P48" s="559"/>
      <c r="Q48" s="627" t="s">
        <v>663</v>
      </c>
      <c r="R48" s="559"/>
      <c r="S48" s="559"/>
      <c r="T48" s="559"/>
      <c r="U48" s="559"/>
      <c r="V48" s="559"/>
      <c r="W48" s="559"/>
      <c r="X48" s="559"/>
      <c r="Y48" s="559"/>
      <c r="Z48" s="559"/>
      <c r="AA48" s="559"/>
      <c r="AB48" s="559"/>
      <c r="AC48" s="559"/>
      <c r="AD48" s="559"/>
      <c r="AE48" s="559"/>
      <c r="AF48" s="559"/>
      <c r="AG48" s="559"/>
    </row>
    <row r="49" spans="1:33" ht="18" hidden="1" customHeight="1" x14ac:dyDescent="0.35">
      <c r="A49" s="559"/>
      <c r="B49" s="584" t="str">
        <f>F18</f>
        <v>Skis</v>
      </c>
      <c r="C49" s="621">
        <f>IF(B49="10 dessous en skis", (C43-70)/2,IF(B49="10 dessous en semelles",D38,C45-10))</f>
        <v>-3.1999999999999993</v>
      </c>
      <c r="D49" s="584">
        <f>IF($F$9="BOVIS",9.4,7)</f>
        <v>7</v>
      </c>
      <c r="E49" s="579" t="str">
        <f>IF(B49="skis","Barres 21 R4F","Semelles R4F")</f>
        <v>Barres 21 R4F</v>
      </c>
      <c r="F49" s="584">
        <f>IF(B49="10 dessous en skis",6,IF(B49="10 dessous en semelles",2,2))</f>
        <v>2</v>
      </c>
      <c r="G49" s="559"/>
      <c r="H49" s="559"/>
      <c r="I49" s="559"/>
      <c r="J49" s="624">
        <f t="shared" si="9"/>
        <v>-4.4799999999999996E-3</v>
      </c>
      <c r="K49" s="624">
        <f t="shared" si="10"/>
        <v>-5.5999999999999991E-3</v>
      </c>
      <c r="L49" s="625" t="s">
        <v>663</v>
      </c>
      <c r="M49" s="625" t="e">
        <f t="shared" si="11"/>
        <v>#VALUE!</v>
      </c>
      <c r="N49" s="626">
        <f t="shared" si="12"/>
        <v>0.95072000000000001</v>
      </c>
      <c r="O49" s="625">
        <f t="shared" si="13"/>
        <v>0.80811199999999994</v>
      </c>
      <c r="P49" s="559"/>
      <c r="Q49" s="627" t="s">
        <v>663</v>
      </c>
      <c r="R49" s="559"/>
      <c r="S49" s="559"/>
      <c r="T49" s="559"/>
      <c r="U49" s="559"/>
      <c r="V49" s="559"/>
      <c r="W49" s="559"/>
      <c r="X49" s="559"/>
      <c r="Y49" s="559"/>
      <c r="Z49" s="559"/>
      <c r="AA49" s="559"/>
      <c r="AB49" s="559"/>
      <c r="AC49" s="559"/>
      <c r="AD49" s="559"/>
      <c r="AE49" s="559"/>
      <c r="AF49" s="559"/>
      <c r="AG49" s="559"/>
    </row>
    <row r="50" spans="1:33" ht="18" hidden="1" customHeight="1" x14ac:dyDescent="0.35">
      <c r="A50" s="559"/>
      <c r="B50" s="584" t="s">
        <v>59</v>
      </c>
      <c r="C50" s="621">
        <f>IF($D$40&lt;14.4,0,C40)</f>
        <v>0</v>
      </c>
      <c r="D50" s="584">
        <f>IF(D29&lt;14.4,0,D43)</f>
        <v>0</v>
      </c>
      <c r="E50" s="579" t="str">
        <f t="shared" ref="E50:E51" si="15">IF($C$14="Pin raboté 4 faces","Barres 21 R4F","Barres 19 mm")</f>
        <v>Barres 21 R4F</v>
      </c>
      <c r="F50" s="584">
        <f>IF(D29&lt;14.4,0,4)</f>
        <v>0</v>
      </c>
      <c r="G50" s="559"/>
      <c r="H50" s="559"/>
      <c r="I50" s="559"/>
      <c r="J50" s="624">
        <f t="shared" si="9"/>
        <v>0</v>
      </c>
      <c r="K50" s="624">
        <f t="shared" si="10"/>
        <v>0</v>
      </c>
      <c r="L50" s="625" t="s">
        <v>663</v>
      </c>
      <c r="M50" s="625" t="e">
        <f t="shared" si="11"/>
        <v>#VALUE!</v>
      </c>
      <c r="N50" s="626">
        <f t="shared" si="12"/>
        <v>0</v>
      </c>
      <c r="O50" s="625">
        <f t="shared" si="13"/>
        <v>0</v>
      </c>
      <c r="P50" s="559"/>
      <c r="Q50" s="627">
        <v>0</v>
      </c>
      <c r="R50" s="559"/>
      <c r="S50" s="559"/>
      <c r="T50" s="559"/>
      <c r="U50" s="559"/>
      <c r="V50" s="559"/>
      <c r="W50" s="559"/>
      <c r="X50" s="559"/>
      <c r="Y50" s="559"/>
      <c r="Z50" s="559"/>
      <c r="AA50" s="559"/>
      <c r="AB50" s="559"/>
      <c r="AC50" s="559"/>
      <c r="AD50" s="559"/>
      <c r="AE50" s="559"/>
      <c r="AF50" s="559"/>
      <c r="AG50" s="559"/>
    </row>
    <row r="51" spans="1:33" ht="18" hidden="1" customHeight="1" x14ac:dyDescent="0.35">
      <c r="A51" s="559"/>
      <c r="B51" s="584" t="s">
        <v>60</v>
      </c>
      <c r="C51" s="584">
        <f>IF(D29&lt;14.4,E30,D40-2*D50)</f>
        <v>0</v>
      </c>
      <c r="D51" s="584">
        <f>IF($D$29&lt;14.4,$D$29,IF($D$29&lt;20,5,7))</f>
        <v>0</v>
      </c>
      <c r="E51" s="579" t="str">
        <f t="shared" si="15"/>
        <v>Barres 21 R4F</v>
      </c>
      <c r="F51" s="584">
        <f>IF(D29&lt;14.4,2,4)</f>
        <v>2</v>
      </c>
      <c r="G51" s="559"/>
      <c r="H51" s="559"/>
      <c r="I51" s="559"/>
      <c r="J51" s="624">
        <f t="shared" si="9"/>
        <v>0</v>
      </c>
      <c r="K51" s="624">
        <f t="shared" si="10"/>
        <v>0</v>
      </c>
      <c r="L51" s="625" t="s">
        <v>663</v>
      </c>
      <c r="M51" s="625" t="e">
        <f t="shared" si="11"/>
        <v>#VALUE!</v>
      </c>
      <c r="N51" s="626">
        <f t="shared" si="12"/>
        <v>0</v>
      </c>
      <c r="O51" s="625">
        <f t="shared" si="13"/>
        <v>0</v>
      </c>
      <c r="P51" s="559"/>
      <c r="Q51" s="627">
        <v>0</v>
      </c>
      <c r="R51" s="559"/>
      <c r="S51" s="559"/>
      <c r="T51" s="559"/>
      <c r="U51" s="559"/>
      <c r="V51" s="559"/>
      <c r="W51" s="559"/>
      <c r="X51" s="559"/>
      <c r="Y51" s="559"/>
      <c r="Z51" s="559"/>
      <c r="AA51" s="559"/>
      <c r="AB51" s="559"/>
      <c r="AC51" s="559"/>
      <c r="AD51" s="559"/>
      <c r="AE51" s="559"/>
      <c r="AF51" s="559"/>
      <c r="AG51" s="559"/>
    </row>
    <row r="52" spans="1:33" ht="18" hidden="1" customHeight="1" x14ac:dyDescent="0.35">
      <c r="A52" s="559"/>
      <c r="B52" s="584">
        <f>IF(D29&lt;14.4,0,IF(C18="Bois","Poignées",IF(C18="Métal x 2 sur bouts","Supports poignées",0)))</f>
        <v>0</v>
      </c>
      <c r="C52" s="584">
        <f>IF(B52="Poignées",D29+(1.3*2)+4.2,0)</f>
        <v>0</v>
      </c>
      <c r="D52" s="584">
        <f>IF(B52="Poignées",7,IF(B52="Supports poignées",9.4,0))</f>
        <v>0</v>
      </c>
      <c r="E52" s="579" t="s">
        <v>61</v>
      </c>
      <c r="F52" s="584">
        <f>IF(B52=0,0,2)</f>
        <v>0</v>
      </c>
      <c r="G52" s="559"/>
      <c r="H52" s="559"/>
      <c r="I52" s="559"/>
      <c r="J52" s="624">
        <f t="shared" si="9"/>
        <v>0</v>
      </c>
      <c r="K52" s="624">
        <f t="shared" si="10"/>
        <v>0</v>
      </c>
      <c r="L52" s="625" t="s">
        <v>663</v>
      </c>
      <c r="M52" s="625" t="e">
        <f t="shared" si="11"/>
        <v>#VALUE!</v>
      </c>
      <c r="N52" s="626">
        <f t="shared" si="12"/>
        <v>0</v>
      </c>
      <c r="O52" s="625">
        <f t="shared" si="13"/>
        <v>0</v>
      </c>
      <c r="P52" s="559"/>
      <c r="Q52" s="627">
        <v>0</v>
      </c>
      <c r="R52" s="559"/>
      <c r="S52" s="559"/>
      <c r="T52" s="559"/>
      <c r="U52" s="559"/>
      <c r="V52" s="559"/>
      <c r="W52" s="559"/>
      <c r="X52" s="559"/>
      <c r="Y52" s="559"/>
      <c r="Z52" s="559"/>
      <c r="AA52" s="559"/>
      <c r="AB52" s="559"/>
      <c r="AC52" s="559"/>
      <c r="AD52" s="559"/>
      <c r="AE52" s="559"/>
      <c r="AF52" s="559"/>
      <c r="AG52" s="559"/>
    </row>
    <row r="53" spans="1:33" ht="18" hidden="1" customHeight="1" x14ac:dyDescent="0.35">
      <c r="A53" s="559"/>
      <c r="B53" s="559"/>
      <c r="C53" s="559"/>
      <c r="D53" s="559"/>
      <c r="E53" s="559"/>
      <c r="F53" s="559"/>
      <c r="G53" s="559"/>
      <c r="H53" s="559"/>
      <c r="I53" s="559"/>
      <c r="J53" s="624"/>
      <c r="K53" s="624"/>
      <c r="L53" s="625"/>
      <c r="M53" s="625"/>
      <c r="N53" s="626"/>
      <c r="O53" s="625"/>
      <c r="P53" s="559"/>
      <c r="Q53" s="627"/>
      <c r="R53" s="559"/>
      <c r="S53" s="559"/>
      <c r="T53" s="559"/>
      <c r="U53" s="559"/>
      <c r="V53" s="559"/>
      <c r="W53" s="559"/>
      <c r="X53" s="559"/>
      <c r="Y53" s="559"/>
      <c r="Z53" s="559"/>
      <c r="AA53" s="559"/>
      <c r="AB53" s="559"/>
      <c r="AC53" s="559"/>
      <c r="AD53" s="559"/>
      <c r="AE53" s="559"/>
      <c r="AF53" s="559"/>
      <c r="AG53" s="559"/>
    </row>
    <row r="54" spans="1:33" ht="18" hidden="1" customHeight="1" x14ac:dyDescent="0.35">
      <c r="A54" s="559"/>
      <c r="B54" s="559" t="s">
        <v>310</v>
      </c>
      <c r="C54" s="559">
        <f t="shared" ref="C54:E54" si="16">C29</f>
        <v>0</v>
      </c>
      <c r="D54" s="559">
        <f t="shared" si="16"/>
        <v>0</v>
      </c>
      <c r="E54" s="559">
        <f t="shared" si="16"/>
        <v>0</v>
      </c>
      <c r="F54" s="559"/>
      <c r="G54" s="559"/>
      <c r="H54" s="559"/>
      <c r="I54" s="559"/>
      <c r="J54" s="624"/>
      <c r="K54" s="624"/>
      <c r="L54" s="625"/>
      <c r="M54" s="625"/>
      <c r="N54" s="626"/>
      <c r="O54" s="625"/>
      <c r="P54" s="559"/>
      <c r="Q54" s="627">
        <f>IF(J54=0,0,J54*VLOOKUP(E54,'[1]Prix Matiere'!$A$4:$L$60,12))</f>
        <v>0</v>
      </c>
      <c r="R54" s="559"/>
      <c r="S54" s="559"/>
      <c r="T54" s="559"/>
      <c r="U54" s="559"/>
      <c r="V54" s="559"/>
      <c r="W54" s="559"/>
      <c r="X54" s="559"/>
      <c r="Y54" s="559"/>
      <c r="Z54" s="559"/>
      <c r="AA54" s="559"/>
      <c r="AB54" s="559"/>
      <c r="AC54" s="559"/>
      <c r="AD54" s="559"/>
      <c r="AE54" s="559"/>
      <c r="AF54" s="559"/>
      <c r="AG54" s="559"/>
    </row>
    <row r="55" spans="1:33" ht="18" hidden="1" customHeight="1" x14ac:dyDescent="0.35">
      <c r="A55" s="559"/>
      <c r="B55" s="559"/>
      <c r="C55" s="559"/>
      <c r="D55" s="559"/>
      <c r="E55" s="559"/>
      <c r="F55" s="559"/>
      <c r="G55" s="559"/>
      <c r="H55" s="559"/>
      <c r="I55" s="559"/>
      <c r="J55" s="624"/>
      <c r="K55" s="624"/>
      <c r="L55" s="625"/>
      <c r="M55" s="625"/>
      <c r="N55" s="626"/>
      <c r="O55" s="625"/>
      <c r="P55" s="559"/>
      <c r="Q55" s="627"/>
      <c r="R55" s="559"/>
      <c r="S55" s="559"/>
      <c r="T55" s="559"/>
      <c r="U55" s="559"/>
      <c r="V55" s="559"/>
      <c r="W55" s="559"/>
      <c r="X55" s="559"/>
      <c r="Y55" s="559"/>
      <c r="Z55" s="559"/>
      <c r="AA55" s="559"/>
      <c r="AB55" s="559"/>
      <c r="AC55" s="559"/>
      <c r="AD55" s="559"/>
      <c r="AE55" s="559"/>
      <c r="AF55" s="559"/>
      <c r="AG55" s="559"/>
    </row>
    <row r="56" spans="1:33" ht="18" hidden="1" customHeight="1" x14ac:dyDescent="0.35">
      <c r="A56" s="559"/>
      <c r="B56" s="560" t="s">
        <v>311</v>
      </c>
      <c r="C56" s="559"/>
      <c r="D56" s="559"/>
      <c r="E56" s="559"/>
      <c r="F56" s="559"/>
      <c r="G56" s="559"/>
      <c r="H56" s="559"/>
      <c r="I56" s="559"/>
      <c r="J56" s="624"/>
      <c r="K56" s="624"/>
      <c r="L56" s="625"/>
      <c r="M56" s="625"/>
      <c r="N56" s="626"/>
      <c r="O56" s="625"/>
      <c r="P56" s="559"/>
      <c r="Q56" s="627"/>
      <c r="R56" s="559"/>
      <c r="S56" s="559"/>
      <c r="T56" s="559"/>
      <c r="U56" s="559"/>
      <c r="V56" s="559"/>
      <c r="W56" s="559"/>
      <c r="X56" s="559"/>
      <c r="Y56" s="559"/>
      <c r="Z56" s="559"/>
      <c r="AA56" s="559"/>
      <c r="AB56" s="559"/>
      <c r="AC56" s="559"/>
      <c r="AD56" s="559"/>
      <c r="AE56" s="559"/>
      <c r="AF56" s="559"/>
      <c r="AG56" s="559"/>
    </row>
    <row r="57" spans="1:33" ht="18" hidden="1" customHeight="1" x14ac:dyDescent="0.35">
      <c r="A57" s="559"/>
      <c r="B57" s="629" t="str">
        <f>C24</f>
        <v>Aucun</v>
      </c>
      <c r="C57" s="622"/>
      <c r="D57" s="630" t="s">
        <v>28</v>
      </c>
      <c r="E57" s="630" t="s">
        <v>33</v>
      </c>
      <c r="F57" s="631" t="s">
        <v>34</v>
      </c>
      <c r="G57" s="559"/>
      <c r="H57" s="559"/>
      <c r="I57" s="559"/>
      <c r="J57" s="624"/>
      <c r="K57" s="624"/>
      <c r="L57" s="625"/>
      <c r="M57" s="625"/>
      <c r="N57" s="626"/>
      <c r="O57" s="625"/>
      <c r="P57" s="559"/>
      <c r="Q57" s="627"/>
      <c r="R57" s="559"/>
      <c r="S57" s="559"/>
      <c r="T57" s="559"/>
      <c r="U57" s="559"/>
      <c r="V57" s="559"/>
      <c r="W57" s="559"/>
      <c r="X57" s="559"/>
      <c r="Y57" s="559"/>
      <c r="Z57" s="559"/>
      <c r="AA57" s="559"/>
      <c r="AB57" s="559"/>
      <c r="AC57" s="559"/>
      <c r="AD57" s="559"/>
      <c r="AE57" s="559"/>
      <c r="AF57" s="559"/>
      <c r="AG57" s="559"/>
    </row>
    <row r="58" spans="1:33" ht="18" hidden="1" customHeight="1" x14ac:dyDescent="0.35">
      <c r="A58" s="559"/>
      <c r="B58" s="622" t="s">
        <v>22</v>
      </c>
      <c r="C58" s="584">
        <f>VLOOKUP($B$57,$A$170:$AG$183,2)</f>
        <v>0</v>
      </c>
      <c r="D58" s="631">
        <f>VLOOKUP($B$57,$A$170:$AG$183,3)</f>
        <v>0</v>
      </c>
      <c r="E58" s="631">
        <f>VLOOKUP($B$57,$A$170:$AG$183,4)</f>
        <v>0</v>
      </c>
      <c r="F58" s="631">
        <f>VLOOKUP($B$57,$A$170:$AG$183,5)</f>
        <v>0</v>
      </c>
      <c r="G58" s="559">
        <f t="shared" ref="G58:G60" si="17">IF(D58=0,0,"Barres 21 R4F")</f>
        <v>0</v>
      </c>
      <c r="H58" s="559"/>
      <c r="I58" s="559"/>
      <c r="J58" s="624">
        <f t="shared" ref="J58:J69" si="18">IF(D58=0,0,(D58/100)*(E58/100)*F58)</f>
        <v>0</v>
      </c>
      <c r="K58" s="624">
        <f t="shared" ref="K58:K69" si="19">J58/0.8</f>
        <v>0</v>
      </c>
      <c r="L58" s="625">
        <v>0</v>
      </c>
      <c r="M58" s="625">
        <f t="shared" ref="M58:M69" si="20">L58*K58</f>
        <v>0</v>
      </c>
      <c r="N58" s="626">
        <f t="shared" ref="N58:N60" si="21">IF(J58=0,0,2+(6*J58))</f>
        <v>0</v>
      </c>
      <c r="O58" s="625">
        <f t="shared" ref="O58:O69" si="22">N58*'Wrapp Barré'!MinuteMO</f>
        <v>0</v>
      </c>
      <c r="P58" s="559"/>
      <c r="Q58" s="627">
        <v>0</v>
      </c>
      <c r="R58" s="559"/>
      <c r="S58" s="559"/>
      <c r="T58" s="559"/>
      <c r="U58" s="559"/>
      <c r="V58" s="559"/>
      <c r="W58" s="559"/>
      <c r="X58" s="559"/>
      <c r="Y58" s="559"/>
      <c r="Z58" s="559"/>
      <c r="AA58" s="559"/>
      <c r="AB58" s="559"/>
      <c r="AC58" s="559"/>
      <c r="AD58" s="559"/>
      <c r="AE58" s="559"/>
      <c r="AF58" s="559"/>
      <c r="AG58" s="559"/>
    </row>
    <row r="59" spans="1:33" ht="18" hidden="1" customHeight="1" x14ac:dyDescent="0.35">
      <c r="A59" s="559"/>
      <c r="B59" s="622"/>
      <c r="C59" s="584">
        <f>VLOOKUP($B$57,$A$170:$AG$183,6)</f>
        <v>0</v>
      </c>
      <c r="D59" s="631">
        <f>VLOOKUP($B$57,$A$170:$AG$183,7)</f>
        <v>0</v>
      </c>
      <c r="E59" s="631">
        <f>VLOOKUP($B$57,$A$170:$AG$183,8)</f>
        <v>0</v>
      </c>
      <c r="F59" s="631">
        <f>VLOOKUP($B$57,$A$170:$AG$183,9)</f>
        <v>0</v>
      </c>
      <c r="G59" s="559">
        <f t="shared" si="17"/>
        <v>0</v>
      </c>
      <c r="H59" s="559"/>
      <c r="I59" s="559"/>
      <c r="J59" s="624">
        <f t="shared" si="18"/>
        <v>0</v>
      </c>
      <c r="K59" s="624">
        <f t="shared" si="19"/>
        <v>0</v>
      </c>
      <c r="L59" s="625">
        <v>0</v>
      </c>
      <c r="M59" s="625">
        <f t="shared" si="20"/>
        <v>0</v>
      </c>
      <c r="N59" s="626">
        <f t="shared" si="21"/>
        <v>0</v>
      </c>
      <c r="O59" s="625">
        <f t="shared" si="22"/>
        <v>0</v>
      </c>
      <c r="P59" s="559"/>
      <c r="Q59" s="627">
        <v>0</v>
      </c>
      <c r="R59" s="559"/>
      <c r="S59" s="559"/>
      <c r="T59" s="559"/>
      <c r="U59" s="559"/>
      <c r="V59" s="559"/>
      <c r="W59" s="559"/>
      <c r="X59" s="559"/>
      <c r="Y59" s="559"/>
      <c r="Z59" s="559"/>
      <c r="AA59" s="559"/>
      <c r="AB59" s="559"/>
      <c r="AC59" s="559"/>
      <c r="AD59" s="559"/>
      <c r="AE59" s="559"/>
      <c r="AF59" s="559"/>
      <c r="AG59" s="559"/>
    </row>
    <row r="60" spans="1:33" ht="18" hidden="1" customHeight="1" x14ac:dyDescent="0.35">
      <c r="A60" s="559"/>
      <c r="B60" s="622"/>
      <c r="C60" s="584">
        <f>VLOOKUP($B$57,$A$170:$AG$183,10)</f>
        <v>0</v>
      </c>
      <c r="D60" s="631">
        <f>VLOOKUP($B$57,$A$170:$AG$183,11)</f>
        <v>0</v>
      </c>
      <c r="E60" s="631">
        <f>VLOOKUP($B$57,$A$170:$AG$183,12)</f>
        <v>0</v>
      </c>
      <c r="F60" s="631">
        <f>VLOOKUP($B$57,$A$170:$AG$183,13)</f>
        <v>0</v>
      </c>
      <c r="G60" s="559">
        <f t="shared" si="17"/>
        <v>0</v>
      </c>
      <c r="H60" s="559"/>
      <c r="I60" s="559"/>
      <c r="J60" s="624">
        <f t="shared" si="18"/>
        <v>0</v>
      </c>
      <c r="K60" s="624">
        <f t="shared" si="19"/>
        <v>0</v>
      </c>
      <c r="L60" s="625">
        <v>0</v>
      </c>
      <c r="M60" s="625">
        <f t="shared" si="20"/>
        <v>0</v>
      </c>
      <c r="N60" s="626">
        <f t="shared" si="21"/>
        <v>0</v>
      </c>
      <c r="O60" s="625">
        <f t="shared" si="22"/>
        <v>0</v>
      </c>
      <c r="P60" s="559"/>
      <c r="Q60" s="627">
        <v>0</v>
      </c>
      <c r="R60" s="559"/>
      <c r="S60" s="559"/>
      <c r="T60" s="559"/>
      <c r="U60" s="559"/>
      <c r="V60" s="559"/>
      <c r="W60" s="559"/>
      <c r="X60" s="559"/>
      <c r="Y60" s="559"/>
      <c r="Z60" s="559"/>
      <c r="AA60" s="559"/>
      <c r="AB60" s="559"/>
      <c r="AC60" s="559"/>
      <c r="AD60" s="559"/>
      <c r="AE60" s="559"/>
      <c r="AF60" s="559"/>
      <c r="AG60" s="559"/>
    </row>
    <row r="61" spans="1:33" ht="18" hidden="1" customHeight="1" x14ac:dyDescent="0.35">
      <c r="A61" s="559"/>
      <c r="B61" s="622" t="s">
        <v>80</v>
      </c>
      <c r="C61" s="584">
        <f>VLOOKUP($B$56,A170:AG183,14)</f>
        <v>0</v>
      </c>
      <c r="D61" s="631">
        <f>VLOOKUP($B$56,$A$170:$AG$183,15)</f>
        <v>0</v>
      </c>
      <c r="E61" s="631">
        <f>VLOOKUP($B$56,$A$170:$AG$183,16)</f>
        <v>0</v>
      </c>
      <c r="F61" s="631">
        <f>VLOOKUP($B$56,$A$170:$AG$183,17)</f>
        <v>1</v>
      </c>
      <c r="G61" s="559">
        <f t="shared" ref="G61:G68" si="23">C61</f>
        <v>0</v>
      </c>
      <c r="H61" s="559"/>
      <c r="I61" s="559"/>
      <c r="J61" s="624">
        <f t="shared" si="18"/>
        <v>0</v>
      </c>
      <c r="K61" s="624">
        <f t="shared" si="19"/>
        <v>0</v>
      </c>
      <c r="L61" s="625">
        <v>0</v>
      </c>
      <c r="M61" s="625">
        <f t="shared" si="20"/>
        <v>0</v>
      </c>
      <c r="N61" s="626">
        <f t="shared" ref="N61:N69" si="24">IF(J61=0,0,4.7283*J61+2)</f>
        <v>0</v>
      </c>
      <c r="O61" s="625">
        <f t="shared" si="22"/>
        <v>0</v>
      </c>
      <c r="P61" s="559"/>
      <c r="Q61" s="627">
        <v>0</v>
      </c>
      <c r="R61" s="559"/>
      <c r="S61" s="559"/>
      <c r="T61" s="559"/>
      <c r="U61" s="559"/>
      <c r="V61" s="559"/>
      <c r="W61" s="559"/>
      <c r="X61" s="559"/>
      <c r="Y61" s="559"/>
      <c r="Z61" s="559"/>
      <c r="AA61" s="559"/>
      <c r="AB61" s="559"/>
      <c r="AC61" s="559"/>
      <c r="AD61" s="559"/>
      <c r="AE61" s="559"/>
      <c r="AF61" s="559"/>
      <c r="AG61" s="559"/>
    </row>
    <row r="62" spans="1:33" ht="18" hidden="1" customHeight="1" x14ac:dyDescent="0.35">
      <c r="A62" s="559"/>
      <c r="B62" s="622">
        <f>IF(B57="Mousse à ras + Guillotines verticales","Bandes de Longueur",0)</f>
        <v>0</v>
      </c>
      <c r="C62" s="584">
        <f>VLOOKUP($B$57,$A$170:$AG$183,18)</f>
        <v>0</v>
      </c>
      <c r="D62" s="631">
        <f>VLOOKUP($B$57,$A$170:$AG$183,19)</f>
        <v>0</v>
      </c>
      <c r="E62" s="631">
        <f>VLOOKUP($B$57,$A$170:$AG$183,20)</f>
        <v>0</v>
      </c>
      <c r="F62" s="631">
        <f>VLOOKUP($B$57,$A$170:$AG$183,21)</f>
        <v>0</v>
      </c>
      <c r="G62" s="559">
        <f t="shared" si="23"/>
        <v>0</v>
      </c>
      <c r="H62" s="559"/>
      <c r="I62" s="559"/>
      <c r="J62" s="624">
        <f t="shared" si="18"/>
        <v>0</v>
      </c>
      <c r="K62" s="624">
        <f t="shared" si="19"/>
        <v>0</v>
      </c>
      <c r="L62" s="625">
        <v>0</v>
      </c>
      <c r="M62" s="625">
        <f t="shared" si="20"/>
        <v>0</v>
      </c>
      <c r="N62" s="626">
        <f t="shared" si="24"/>
        <v>0</v>
      </c>
      <c r="O62" s="625">
        <f t="shared" si="22"/>
        <v>0</v>
      </c>
      <c r="P62" s="559"/>
      <c r="Q62" s="627">
        <v>0</v>
      </c>
      <c r="R62" s="559"/>
      <c r="S62" s="559"/>
      <c r="T62" s="559"/>
      <c r="U62" s="559"/>
      <c r="V62" s="559"/>
      <c r="W62" s="559"/>
      <c r="X62" s="559"/>
      <c r="Y62" s="559"/>
      <c r="Z62" s="559"/>
      <c r="AA62" s="559"/>
      <c r="AB62" s="559"/>
      <c r="AC62" s="559"/>
      <c r="AD62" s="559"/>
      <c r="AE62" s="559"/>
      <c r="AF62" s="559"/>
      <c r="AG62" s="559"/>
    </row>
    <row r="63" spans="1:33" ht="18" hidden="1" customHeight="1" x14ac:dyDescent="0.35">
      <c r="A63" s="559"/>
      <c r="B63" s="622">
        <f>IF(B57="Mousse à ras + Guillotines verticales","Bandes de Largeur",0)</f>
        <v>0</v>
      </c>
      <c r="C63" s="584">
        <f>VLOOKUP($B$57,$A$170:$AG$183,28)</f>
        <v>0</v>
      </c>
      <c r="D63" s="631">
        <f>VLOOKUP($B$57,$A$170:$AG$183,29)</f>
        <v>0</v>
      </c>
      <c r="E63" s="631">
        <f>VLOOKUP($B$57,$A$170:$AG$183,30)</f>
        <v>0</v>
      </c>
      <c r="F63" s="631">
        <f>VLOOKUP($B$57,$A$170:$AG$183,31)</f>
        <v>0</v>
      </c>
      <c r="G63" s="559">
        <f t="shared" si="23"/>
        <v>0</v>
      </c>
      <c r="H63" s="559"/>
      <c r="I63" s="559"/>
      <c r="J63" s="624">
        <f t="shared" si="18"/>
        <v>0</v>
      </c>
      <c r="K63" s="624">
        <f t="shared" si="19"/>
        <v>0</v>
      </c>
      <c r="L63" s="625">
        <v>0</v>
      </c>
      <c r="M63" s="625">
        <f t="shared" si="20"/>
        <v>0</v>
      </c>
      <c r="N63" s="626">
        <f t="shared" si="24"/>
        <v>0</v>
      </c>
      <c r="O63" s="625">
        <f t="shared" si="22"/>
        <v>0</v>
      </c>
      <c r="P63" s="559"/>
      <c r="Q63" s="627">
        <v>0</v>
      </c>
      <c r="R63" s="559"/>
      <c r="S63" s="559"/>
      <c r="T63" s="559"/>
      <c r="U63" s="559"/>
      <c r="V63" s="559"/>
      <c r="W63" s="559"/>
      <c r="X63" s="559"/>
      <c r="Y63" s="559"/>
      <c r="Z63" s="559"/>
      <c r="AA63" s="559"/>
      <c r="AB63" s="559"/>
      <c r="AC63" s="559"/>
      <c r="AD63" s="559"/>
      <c r="AE63" s="559"/>
      <c r="AF63" s="559"/>
      <c r="AG63" s="559"/>
    </row>
    <row r="64" spans="1:33" ht="18" hidden="1" customHeight="1" x14ac:dyDescent="0.35">
      <c r="A64" s="559"/>
      <c r="B64" s="584"/>
      <c r="C64" s="584" t="str">
        <f>VLOOKUP($B$57,$A$170:$AG$183,22)</f>
        <v>Aucun</v>
      </c>
      <c r="D64" s="631">
        <f>VLOOKUP($B$57,$A$170:$AG$183,25)</f>
        <v>0</v>
      </c>
      <c r="E64" s="631">
        <f>VLOOKUP($B$57,$A$170:$AG$183,26)</f>
        <v>0</v>
      </c>
      <c r="F64" s="631">
        <f>IF(C64="Aucun",0,1)</f>
        <v>0</v>
      </c>
      <c r="G64" s="559" t="str">
        <f t="shared" si="23"/>
        <v>Aucun</v>
      </c>
      <c r="H64" s="559"/>
      <c r="I64" s="559"/>
      <c r="J64" s="624">
        <f t="shared" si="18"/>
        <v>0</v>
      </c>
      <c r="K64" s="624">
        <f t="shared" si="19"/>
        <v>0</v>
      </c>
      <c r="L64" s="625">
        <v>0</v>
      </c>
      <c r="M64" s="625">
        <f t="shared" si="20"/>
        <v>0</v>
      </c>
      <c r="N64" s="626">
        <f t="shared" si="24"/>
        <v>0</v>
      </c>
      <c r="O64" s="625">
        <f t="shared" si="22"/>
        <v>0</v>
      </c>
      <c r="P64" s="559"/>
      <c r="Q64" s="627">
        <v>0</v>
      </c>
      <c r="R64" s="559"/>
      <c r="S64" s="559"/>
      <c r="T64" s="559"/>
      <c r="U64" s="559"/>
      <c r="V64" s="559"/>
      <c r="W64" s="559"/>
      <c r="X64" s="559"/>
      <c r="Y64" s="559"/>
      <c r="Z64" s="559"/>
      <c r="AA64" s="559"/>
      <c r="AB64" s="559"/>
      <c r="AC64" s="559"/>
      <c r="AD64" s="559"/>
      <c r="AE64" s="559"/>
      <c r="AF64" s="559"/>
      <c r="AG64" s="559"/>
    </row>
    <row r="65" spans="1:33" ht="18" hidden="1" customHeight="1" x14ac:dyDescent="0.35">
      <c r="A65" s="559"/>
      <c r="B65" s="584"/>
      <c r="C65" s="584"/>
      <c r="D65" s="631"/>
      <c r="E65" s="631"/>
      <c r="F65" s="631"/>
      <c r="G65" s="559">
        <f t="shared" si="23"/>
        <v>0</v>
      </c>
      <c r="H65" s="559"/>
      <c r="I65" s="559"/>
      <c r="J65" s="624">
        <f t="shared" si="18"/>
        <v>0</v>
      </c>
      <c r="K65" s="624">
        <f t="shared" si="19"/>
        <v>0</v>
      </c>
      <c r="L65" s="625">
        <v>0</v>
      </c>
      <c r="M65" s="625">
        <f t="shared" si="20"/>
        <v>0</v>
      </c>
      <c r="N65" s="626">
        <f t="shared" si="24"/>
        <v>0</v>
      </c>
      <c r="O65" s="625">
        <f t="shared" si="22"/>
        <v>0</v>
      </c>
      <c r="P65" s="559"/>
      <c r="Q65" s="627">
        <v>0</v>
      </c>
      <c r="R65" s="559"/>
      <c r="S65" s="559"/>
      <c r="T65" s="559"/>
      <c r="U65" s="559"/>
      <c r="V65" s="559"/>
      <c r="W65" s="559"/>
      <c r="X65" s="559"/>
      <c r="Y65" s="559"/>
      <c r="Z65" s="559"/>
      <c r="AA65" s="559"/>
      <c r="AB65" s="559"/>
      <c r="AC65" s="559"/>
      <c r="AD65" s="559"/>
      <c r="AE65" s="559"/>
      <c r="AF65" s="559"/>
      <c r="AG65" s="559"/>
    </row>
    <row r="66" spans="1:33" ht="18" hidden="1" customHeight="1" x14ac:dyDescent="0.35">
      <c r="A66" s="559"/>
      <c r="B66" s="584"/>
      <c r="C66" s="584"/>
      <c r="D66" s="630"/>
      <c r="E66" s="630"/>
      <c r="F66" s="631"/>
      <c r="G66" s="559">
        <f t="shared" si="23"/>
        <v>0</v>
      </c>
      <c r="H66" s="559"/>
      <c r="I66" s="559"/>
      <c r="J66" s="624">
        <f t="shared" si="18"/>
        <v>0</v>
      </c>
      <c r="K66" s="624">
        <f t="shared" si="19"/>
        <v>0</v>
      </c>
      <c r="L66" s="625">
        <v>0</v>
      </c>
      <c r="M66" s="625">
        <f t="shared" si="20"/>
        <v>0</v>
      </c>
      <c r="N66" s="626">
        <f t="shared" si="24"/>
        <v>0</v>
      </c>
      <c r="O66" s="625">
        <f t="shared" si="22"/>
        <v>0</v>
      </c>
      <c r="P66" s="559"/>
      <c r="Q66" s="627">
        <v>0</v>
      </c>
      <c r="R66" s="559"/>
      <c r="S66" s="559"/>
      <c r="T66" s="559"/>
      <c r="U66" s="559"/>
      <c r="V66" s="559"/>
      <c r="W66" s="559"/>
      <c r="X66" s="559"/>
      <c r="Y66" s="559"/>
      <c r="Z66" s="559"/>
      <c r="AA66" s="559"/>
      <c r="AB66" s="559"/>
      <c r="AC66" s="559"/>
      <c r="AD66" s="559"/>
      <c r="AE66" s="559"/>
      <c r="AF66" s="559"/>
      <c r="AG66" s="559"/>
    </row>
    <row r="67" spans="1:33" ht="18" hidden="1" customHeight="1" x14ac:dyDescent="0.35">
      <c r="A67" s="559"/>
      <c r="B67" s="584"/>
      <c r="C67" s="584"/>
      <c r="D67" s="630"/>
      <c r="E67" s="630"/>
      <c r="F67" s="631"/>
      <c r="G67" s="559">
        <f t="shared" si="23"/>
        <v>0</v>
      </c>
      <c r="H67" s="559"/>
      <c r="I67" s="559"/>
      <c r="J67" s="624">
        <f t="shared" si="18"/>
        <v>0</v>
      </c>
      <c r="K67" s="624">
        <f t="shared" si="19"/>
        <v>0</v>
      </c>
      <c r="L67" s="625">
        <v>0</v>
      </c>
      <c r="M67" s="625">
        <f t="shared" si="20"/>
        <v>0</v>
      </c>
      <c r="N67" s="626">
        <f t="shared" si="24"/>
        <v>0</v>
      </c>
      <c r="O67" s="625">
        <f t="shared" si="22"/>
        <v>0</v>
      </c>
      <c r="P67" s="559"/>
      <c r="Q67" s="627">
        <v>0</v>
      </c>
      <c r="R67" s="559"/>
      <c r="S67" s="559"/>
      <c r="T67" s="559"/>
      <c r="U67" s="559"/>
      <c r="V67" s="559"/>
      <c r="W67" s="559"/>
      <c r="X67" s="559"/>
      <c r="Y67" s="559"/>
      <c r="Z67" s="559"/>
      <c r="AA67" s="559"/>
      <c r="AB67" s="559"/>
      <c r="AC67" s="559"/>
      <c r="AD67" s="559"/>
      <c r="AE67" s="559"/>
      <c r="AF67" s="559"/>
      <c r="AG67" s="559"/>
    </row>
    <row r="68" spans="1:33" ht="18" hidden="1" customHeight="1" x14ac:dyDescent="0.35">
      <c r="A68" s="559"/>
      <c r="B68" s="584"/>
      <c r="C68" s="584"/>
      <c r="D68" s="630"/>
      <c r="E68" s="630"/>
      <c r="F68" s="631"/>
      <c r="G68" s="559">
        <f t="shared" si="23"/>
        <v>0</v>
      </c>
      <c r="H68" s="559"/>
      <c r="I68" s="559"/>
      <c r="J68" s="624">
        <f t="shared" si="18"/>
        <v>0</v>
      </c>
      <c r="K68" s="624">
        <f t="shared" si="19"/>
        <v>0</v>
      </c>
      <c r="L68" s="625">
        <v>0</v>
      </c>
      <c r="M68" s="625">
        <f t="shared" si="20"/>
        <v>0</v>
      </c>
      <c r="N68" s="626">
        <f t="shared" si="24"/>
        <v>0</v>
      </c>
      <c r="O68" s="625">
        <f t="shared" si="22"/>
        <v>0</v>
      </c>
      <c r="P68" s="559"/>
      <c r="Q68" s="627">
        <v>0</v>
      </c>
      <c r="R68" s="559"/>
      <c r="S68" s="559"/>
      <c r="T68" s="559"/>
      <c r="U68" s="559"/>
      <c r="V68" s="559"/>
      <c r="W68" s="559"/>
      <c r="X68" s="559"/>
      <c r="Y68" s="559"/>
      <c r="Z68" s="559"/>
      <c r="AA68" s="559"/>
      <c r="AB68" s="559"/>
      <c r="AC68" s="559"/>
      <c r="AD68" s="559"/>
      <c r="AE68" s="559"/>
      <c r="AF68" s="559"/>
      <c r="AG68" s="559"/>
    </row>
    <row r="69" spans="1:33" ht="18" hidden="1" customHeight="1" x14ac:dyDescent="0.35">
      <c r="A69" s="559"/>
      <c r="B69" s="579" t="s">
        <v>176</v>
      </c>
      <c r="C69" s="584" t="str">
        <f>'Wrapp Barré'!Plateau</f>
        <v>Aucun</v>
      </c>
      <c r="D69" s="630">
        <f>IF($C$69="Aucun",0,IF(C24="Mousse à ras + Guillotines verticales",'Wrapp Barré'!Dimensions_intérieures_Cp_15_longueur-10.3,'Wrapp Barré'!Dimensions_intérieures_Cp_15_longueur-0.3))</f>
        <v>0</v>
      </c>
      <c r="E69" s="630">
        <f>IF($C$69="Aucun",0,IF(C24="Mousse à ras + Guillotines verticales",'Wrapp Barré'!Dimensions_intérieures_Cp_15_largeur-10.3,'Wrapp Barré'!Dimensions_intérieures_Cp_15_largeur-0.3))</f>
        <v>0</v>
      </c>
      <c r="F69" s="631">
        <f>IF(C69="Aucun",0,1)</f>
        <v>0</v>
      </c>
      <c r="G69" s="559"/>
      <c r="H69" s="559"/>
      <c r="I69" s="559"/>
      <c r="J69" s="624">
        <f t="shared" si="18"/>
        <v>0</v>
      </c>
      <c r="K69" s="624">
        <f t="shared" si="19"/>
        <v>0</v>
      </c>
      <c r="L69" s="625">
        <f>IF(D69=0,0,VLOOKUP(C69,A125:C131,3))</f>
        <v>0</v>
      </c>
      <c r="M69" s="625">
        <f t="shared" si="20"/>
        <v>0</v>
      </c>
      <c r="N69" s="626">
        <f t="shared" si="24"/>
        <v>0</v>
      </c>
      <c r="O69" s="625">
        <f t="shared" si="22"/>
        <v>0</v>
      </c>
      <c r="P69" s="559"/>
      <c r="Q69" s="627">
        <f>IF(J69=0,0,J69*VLOOKUP(C69,A125:D131,4))</f>
        <v>0</v>
      </c>
      <c r="R69" s="559"/>
      <c r="S69" s="559"/>
      <c r="T69" s="559"/>
      <c r="U69" s="559"/>
      <c r="V69" s="559"/>
      <c r="W69" s="559"/>
      <c r="X69" s="559"/>
      <c r="Y69" s="559"/>
      <c r="Z69" s="559"/>
      <c r="AA69" s="559"/>
      <c r="AB69" s="559"/>
      <c r="AC69" s="559"/>
      <c r="AD69" s="559"/>
      <c r="AE69" s="559"/>
      <c r="AF69" s="559"/>
      <c r="AG69" s="559"/>
    </row>
    <row r="70" spans="1:33" ht="18" hidden="1" customHeight="1" x14ac:dyDescent="0.35">
      <c r="A70" s="559"/>
      <c r="B70" s="559"/>
      <c r="C70" s="559"/>
      <c r="D70" s="559"/>
      <c r="E70" s="559"/>
      <c r="F70" s="559"/>
      <c r="G70" s="559"/>
      <c r="H70" s="559"/>
      <c r="I70" s="559"/>
      <c r="J70" s="559"/>
      <c r="K70" s="559"/>
      <c r="L70" s="559"/>
      <c r="M70" s="559"/>
      <c r="N70" s="626"/>
      <c r="O70" s="559"/>
      <c r="P70" s="559"/>
      <c r="Q70" s="559"/>
      <c r="R70" s="559"/>
      <c r="S70" s="559"/>
      <c r="T70" s="559"/>
      <c r="U70" s="559"/>
      <c r="V70" s="559"/>
      <c r="W70" s="559"/>
      <c r="X70" s="559"/>
      <c r="Y70" s="559"/>
      <c r="Z70" s="559"/>
      <c r="AA70" s="559"/>
      <c r="AB70" s="559"/>
      <c r="AC70" s="559"/>
      <c r="AD70" s="559"/>
      <c r="AE70" s="559"/>
      <c r="AF70" s="559"/>
      <c r="AG70" s="559"/>
    </row>
    <row r="71" spans="1:33" ht="18" hidden="1" customHeight="1" x14ac:dyDescent="0.35">
      <c r="A71" s="559"/>
      <c r="B71" s="559"/>
      <c r="C71" s="559"/>
      <c r="D71" s="559"/>
      <c r="E71" s="559"/>
      <c r="F71" s="559"/>
      <c r="G71" s="559"/>
      <c r="H71" s="559"/>
      <c r="I71" s="559"/>
      <c r="J71" s="559"/>
      <c r="K71" s="559"/>
      <c r="L71" s="559"/>
      <c r="M71" s="559"/>
      <c r="N71" s="626"/>
      <c r="O71" s="559"/>
      <c r="P71" s="559"/>
      <c r="Q71" s="559"/>
      <c r="R71" s="559"/>
      <c r="S71" s="559"/>
      <c r="T71" s="559"/>
      <c r="U71" s="559"/>
      <c r="V71" s="559"/>
      <c r="W71" s="559"/>
      <c r="X71" s="559"/>
      <c r="Y71" s="559"/>
      <c r="Z71" s="559"/>
      <c r="AA71" s="559"/>
      <c r="AB71" s="559"/>
      <c r="AC71" s="559"/>
      <c r="AD71" s="559"/>
      <c r="AE71" s="559"/>
      <c r="AF71" s="559"/>
      <c r="AG71" s="559"/>
    </row>
    <row r="72" spans="1:33" ht="18" hidden="1" customHeight="1" x14ac:dyDescent="0.35">
      <c r="A72" s="559" t="s">
        <v>72</v>
      </c>
      <c r="B72" s="559" t="str">
        <f>C16</f>
        <v>Vis bois</v>
      </c>
      <c r="C72" s="559"/>
      <c r="D72" s="559"/>
      <c r="E72" s="559"/>
      <c r="F72" s="559"/>
      <c r="G72" s="559"/>
      <c r="H72" s="559"/>
      <c r="I72" s="559"/>
      <c r="J72" s="559"/>
      <c r="K72" s="559"/>
      <c r="L72" s="559"/>
      <c r="M72" s="625">
        <f>IF(B72="Vis bois",0,(D4*2+G4*2+D6*2+G6*2)*1.5)</f>
        <v>0</v>
      </c>
      <c r="N72" s="626">
        <f>IF(B72="Vis bois",0,60)</f>
        <v>0</v>
      </c>
      <c r="O72" s="625">
        <f>N72*'Wrapp Barré'!MinuteMO</f>
        <v>0</v>
      </c>
      <c r="P72" s="559"/>
      <c r="Q72" s="559"/>
      <c r="R72" s="559"/>
      <c r="S72" s="559"/>
      <c r="T72" s="559"/>
      <c r="U72" s="559"/>
      <c r="V72" s="559"/>
      <c r="W72" s="559"/>
      <c r="X72" s="559"/>
      <c r="Y72" s="559"/>
      <c r="Z72" s="559"/>
      <c r="AA72" s="559"/>
      <c r="AB72" s="559"/>
      <c r="AC72" s="559"/>
      <c r="AD72" s="559"/>
      <c r="AE72" s="559"/>
      <c r="AF72" s="559"/>
      <c r="AG72" s="559"/>
    </row>
    <row r="73" spans="1:33" ht="18" hidden="1" customHeight="1" x14ac:dyDescent="0.35">
      <c r="A73" s="559" t="s">
        <v>21</v>
      </c>
      <c r="B73" s="559" t="str">
        <f>C18</f>
        <v>Bois</v>
      </c>
      <c r="C73" s="559"/>
      <c r="D73" s="559"/>
      <c r="E73" s="559"/>
      <c r="F73" s="559"/>
      <c r="G73" s="559"/>
      <c r="H73" s="559"/>
      <c r="I73" s="559"/>
      <c r="J73" s="559"/>
      <c r="K73" s="559"/>
      <c r="L73" s="559"/>
      <c r="M73" s="625"/>
      <c r="N73" s="626"/>
      <c r="O73" s="625"/>
      <c r="P73" s="559"/>
      <c r="Q73" s="559"/>
      <c r="R73" s="559"/>
      <c r="S73" s="559"/>
      <c r="T73" s="559"/>
      <c r="U73" s="559"/>
      <c r="V73" s="559"/>
      <c r="W73" s="559"/>
      <c r="X73" s="559"/>
      <c r="Y73" s="559"/>
      <c r="Z73" s="559"/>
      <c r="AA73" s="559"/>
      <c r="AB73" s="559"/>
      <c r="AC73" s="559"/>
      <c r="AD73" s="559"/>
      <c r="AE73" s="559"/>
      <c r="AF73" s="559"/>
      <c r="AG73" s="559"/>
    </row>
    <row r="74" spans="1:33" ht="18" hidden="1" customHeight="1" x14ac:dyDescent="0.35">
      <c r="A74" s="559"/>
      <c r="B74" s="559"/>
      <c r="C74" s="559"/>
      <c r="D74" s="559"/>
      <c r="E74" s="559"/>
      <c r="F74" s="559"/>
      <c r="G74" s="559"/>
      <c r="H74" s="559"/>
      <c r="I74" s="559"/>
      <c r="J74" s="559"/>
      <c r="K74" s="559"/>
      <c r="L74" s="559"/>
      <c r="M74" s="559"/>
      <c r="N74" s="626"/>
      <c r="O74" s="559"/>
      <c r="P74" s="559"/>
      <c r="Q74" s="559"/>
      <c r="R74" s="559"/>
      <c r="S74" s="559"/>
      <c r="T74" s="559"/>
      <c r="U74" s="559"/>
      <c r="V74" s="559"/>
      <c r="W74" s="559"/>
      <c r="X74" s="559"/>
      <c r="Y74" s="559"/>
      <c r="Z74" s="559"/>
      <c r="AA74" s="559"/>
      <c r="AB74" s="559"/>
      <c r="AC74" s="559"/>
      <c r="AD74" s="559"/>
      <c r="AE74" s="559"/>
      <c r="AF74" s="559"/>
      <c r="AG74" s="559"/>
    </row>
    <row r="75" spans="1:33" ht="18" hidden="1" customHeight="1" x14ac:dyDescent="0.35">
      <c r="A75" s="559"/>
      <c r="B75" s="559"/>
      <c r="C75" s="559"/>
      <c r="D75" s="559"/>
      <c r="E75" s="559"/>
      <c r="F75" s="559"/>
      <c r="G75" s="559"/>
      <c r="H75" s="559"/>
      <c r="I75" s="559"/>
      <c r="J75" s="559"/>
      <c r="K75" s="559"/>
      <c r="L75" s="614"/>
      <c r="M75" s="614" t="e">
        <f t="shared" ref="M75:O75" si="25">SUM(M37:M74)</f>
        <v>#VALUE!</v>
      </c>
      <c r="N75" s="638">
        <f t="shared" si="25"/>
        <v>15.640518515200002</v>
      </c>
      <c r="O75" s="614">
        <f t="shared" si="25"/>
        <v>13.29444073792</v>
      </c>
      <c r="P75" s="559"/>
      <c r="Q75" s="627">
        <f>SUM(Q37:Q74)</f>
        <v>0</v>
      </c>
      <c r="R75" s="559"/>
      <c r="S75" s="559"/>
      <c r="T75" s="559"/>
      <c r="U75" s="559"/>
      <c r="V75" s="559"/>
      <c r="W75" s="559"/>
      <c r="X75" s="559"/>
      <c r="Y75" s="559"/>
      <c r="Z75" s="559"/>
      <c r="AA75" s="559"/>
      <c r="AB75" s="559"/>
      <c r="AC75" s="559"/>
      <c r="AD75" s="559"/>
      <c r="AE75" s="559"/>
      <c r="AF75" s="559"/>
      <c r="AG75" s="559"/>
    </row>
    <row r="76" spans="1:33" ht="18" hidden="1" customHeight="1" x14ac:dyDescent="0.35">
      <c r="A76" s="559"/>
      <c r="B76" s="639" t="s">
        <v>73</v>
      </c>
      <c r="C76" s="640">
        <f>IF($F$8=0,0,M75)</f>
        <v>0</v>
      </c>
      <c r="D76" s="641"/>
      <c r="E76" s="642" t="s">
        <v>74</v>
      </c>
      <c r="F76" s="643" t="str">
        <f>CONCATENATE(ROUNDUP(SUM(K37:K40),2)," m²")</f>
        <v>0,02 m²</v>
      </c>
      <c r="G76" s="644" t="e">
        <f>(SUM(M37:M40))</f>
        <v>#VALUE!</v>
      </c>
      <c r="H76" s="559"/>
      <c r="I76" s="559"/>
      <c r="J76" s="559"/>
      <c r="K76" s="559"/>
      <c r="L76" s="559"/>
      <c r="M76" s="559"/>
      <c r="N76" s="559"/>
      <c r="O76" s="559"/>
      <c r="P76" s="559"/>
      <c r="Q76" s="559"/>
      <c r="R76" s="559"/>
      <c r="S76" s="559"/>
      <c r="T76" s="559"/>
      <c r="U76" s="559"/>
      <c r="V76" s="559"/>
      <c r="W76" s="559"/>
      <c r="X76" s="559"/>
      <c r="Y76" s="559"/>
      <c r="Z76" s="559"/>
      <c r="AA76" s="559"/>
      <c r="AB76" s="559"/>
      <c r="AC76" s="559"/>
      <c r="AD76" s="559"/>
      <c r="AE76" s="559"/>
      <c r="AF76" s="559"/>
      <c r="AG76" s="559"/>
    </row>
    <row r="77" spans="1:33" ht="18" hidden="1" customHeight="1" x14ac:dyDescent="0.35">
      <c r="A77" s="559"/>
      <c r="B77" s="645" t="s">
        <v>75</v>
      </c>
      <c r="C77" s="625">
        <f>IF($F$8=0,0,O75)</f>
        <v>0</v>
      </c>
      <c r="D77" s="646">
        <f>IF($F$8=0,0,N75)</f>
        <v>0</v>
      </c>
      <c r="E77" s="647" t="s">
        <v>76</v>
      </c>
      <c r="F77" s="648" t="str">
        <f>CONCATENATE(ROUNDUP(SUM(K43:K52)+SUM(K58:K60),2)," m²")</f>
        <v>-0,05 m²</v>
      </c>
      <c r="G77" s="649" t="e">
        <f>(SUM(M43:M52)+SUM(M58:M60))</f>
        <v>#VALUE!</v>
      </c>
      <c r="H77" s="559"/>
      <c r="I77" s="559"/>
      <c r="J77" s="559"/>
      <c r="K77" s="559"/>
      <c r="L77" s="559"/>
      <c r="M77" s="559"/>
      <c r="N77" s="559"/>
      <c r="O77" s="559"/>
      <c r="P77" s="559"/>
      <c r="Q77" s="559"/>
      <c r="R77" s="559"/>
      <c r="S77" s="559"/>
      <c r="T77" s="559"/>
      <c r="U77" s="559"/>
      <c r="V77" s="559"/>
      <c r="W77" s="559"/>
      <c r="X77" s="559"/>
      <c r="Y77" s="559"/>
      <c r="Z77" s="559"/>
      <c r="AA77" s="559"/>
      <c r="AB77" s="559"/>
      <c r="AC77" s="559"/>
      <c r="AD77" s="559"/>
      <c r="AE77" s="559"/>
      <c r="AF77" s="559"/>
      <c r="AG77" s="559"/>
    </row>
    <row r="78" spans="1:33" ht="18" hidden="1" customHeight="1" x14ac:dyDescent="0.35">
      <c r="A78" s="559"/>
      <c r="B78" s="645" t="s">
        <v>77</v>
      </c>
      <c r="C78" s="625">
        <f>IF($F$8=0,0,((C76+C77)/'Wrapp Barré'!Frais_Généraux)-(C76+C77))</f>
        <v>0</v>
      </c>
      <c r="D78" s="650"/>
      <c r="E78" s="647"/>
      <c r="F78" s="648"/>
      <c r="G78" s="649"/>
      <c r="H78" s="559"/>
      <c r="I78" s="559"/>
      <c r="J78" s="559"/>
      <c r="K78" s="559"/>
      <c r="L78" s="559"/>
      <c r="M78" s="559"/>
      <c r="N78" s="559"/>
      <c r="O78" s="559"/>
      <c r="P78" s="559"/>
      <c r="Q78" s="559"/>
      <c r="R78" s="559"/>
      <c r="S78" s="559"/>
      <c r="T78" s="559"/>
      <c r="U78" s="559"/>
      <c r="V78" s="559"/>
      <c r="W78" s="559"/>
      <c r="X78" s="559"/>
      <c r="Y78" s="559"/>
      <c r="Z78" s="559"/>
      <c r="AA78" s="559"/>
      <c r="AB78" s="559"/>
      <c r="AC78" s="559"/>
      <c r="AD78" s="559"/>
      <c r="AE78" s="559"/>
      <c r="AF78" s="559"/>
      <c r="AG78" s="559"/>
    </row>
    <row r="79" spans="1:33" ht="18" hidden="1" customHeight="1" x14ac:dyDescent="0.35">
      <c r="A79" s="559"/>
      <c r="B79" s="645" t="s">
        <v>79</v>
      </c>
      <c r="C79" s="625">
        <f>IF($F$8=0,0,SUM(C76:C78))</f>
        <v>0</v>
      </c>
      <c r="D79" s="650"/>
      <c r="E79" s="647" t="s">
        <v>80</v>
      </c>
      <c r="F79" s="648" t="str">
        <f>CONCATENATE(ROUNDUP(SUM(K61:K64),2)," m²")</f>
        <v>0 m²</v>
      </c>
      <c r="G79" s="649">
        <f>SUM(M61:M64)</f>
        <v>0</v>
      </c>
      <c r="H79" s="559"/>
      <c r="I79" s="559"/>
      <c r="J79" s="559"/>
      <c r="K79" s="559"/>
      <c r="L79" s="559"/>
      <c r="M79" s="559"/>
      <c r="N79" s="559"/>
      <c r="O79" s="559"/>
      <c r="P79" s="559"/>
      <c r="Q79" s="559"/>
      <c r="R79" s="559"/>
      <c r="S79" s="559"/>
      <c r="T79" s="559"/>
      <c r="U79" s="559"/>
      <c r="V79" s="559"/>
      <c r="W79" s="559"/>
      <c r="X79" s="559"/>
      <c r="Y79" s="559"/>
      <c r="Z79" s="559"/>
      <c r="AA79" s="559"/>
      <c r="AB79" s="559"/>
      <c r="AC79" s="559"/>
      <c r="AD79" s="559"/>
      <c r="AE79" s="559"/>
      <c r="AF79" s="559"/>
      <c r="AG79" s="559"/>
    </row>
    <row r="80" spans="1:33" ht="18" hidden="1" customHeight="1" x14ac:dyDescent="0.35">
      <c r="A80" s="559"/>
      <c r="B80" s="645" t="s">
        <v>81</v>
      </c>
      <c r="C80" s="625">
        <f>IF($F$8=0,0,(C79/(1-'Wrapp Barré'!Marge)-C79))</f>
        <v>0</v>
      </c>
      <c r="D80" s="651">
        <f>C79+C80</f>
        <v>0</v>
      </c>
      <c r="E80" s="647"/>
      <c r="F80" s="648"/>
      <c r="G80" s="652"/>
      <c r="H80" s="559"/>
      <c r="I80" s="559"/>
      <c r="J80" s="559"/>
      <c r="K80" s="559"/>
      <c r="L80" s="559"/>
      <c r="M80" s="559"/>
      <c r="N80" s="559"/>
      <c r="O80" s="559"/>
      <c r="P80" s="559"/>
      <c r="Q80" s="559"/>
      <c r="R80" s="559"/>
      <c r="S80" s="559"/>
      <c r="T80" s="559"/>
      <c r="U80" s="559"/>
      <c r="V80" s="559"/>
      <c r="W80" s="559"/>
      <c r="X80" s="559"/>
      <c r="Y80" s="559"/>
      <c r="Z80" s="559"/>
      <c r="AA80" s="559"/>
      <c r="AB80" s="559"/>
      <c r="AC80" s="559"/>
      <c r="AD80" s="559"/>
      <c r="AE80" s="559"/>
      <c r="AF80" s="559"/>
      <c r="AG80" s="559"/>
    </row>
    <row r="81" spans="1:33" ht="18" hidden="1" customHeight="1" x14ac:dyDescent="0.35">
      <c r="A81" s="559"/>
      <c r="B81" s="645" t="s">
        <v>83</v>
      </c>
      <c r="C81" s="625">
        <f>IF($F$9="BOVIS",((C79+C80)*(1+C82))-(C79+C80),((C79+C80)*(1+D81))-(C79+C80))</f>
        <v>0</v>
      </c>
      <c r="D81" s="22"/>
      <c r="E81" s="647"/>
      <c r="F81" s="648"/>
      <c r="G81" s="652"/>
      <c r="H81" s="559"/>
      <c r="I81" s="559"/>
      <c r="J81" s="559"/>
      <c r="K81" s="559"/>
      <c r="L81" s="559"/>
      <c r="M81" s="559"/>
      <c r="N81" s="559"/>
      <c r="O81" s="559"/>
      <c r="P81" s="559"/>
      <c r="Q81" s="559"/>
      <c r="R81" s="559"/>
      <c r="S81" s="559"/>
      <c r="T81" s="559"/>
      <c r="U81" s="559"/>
      <c r="V81" s="559"/>
      <c r="W81" s="559"/>
      <c r="X81" s="559"/>
      <c r="Y81" s="559"/>
      <c r="Z81" s="559"/>
      <c r="AA81" s="559"/>
      <c r="AB81" s="559"/>
      <c r="AC81" s="559"/>
      <c r="AD81" s="559"/>
      <c r="AE81" s="559"/>
      <c r="AF81" s="559"/>
      <c r="AG81" s="559"/>
    </row>
    <row r="82" spans="1:33" ht="18" hidden="1" customHeight="1" x14ac:dyDescent="0.35">
      <c r="A82" s="559"/>
      <c r="B82" s="645"/>
      <c r="C82" s="653">
        <f>IF($F$9="BOVIS",0.03,0)</f>
        <v>0</v>
      </c>
      <c r="D82" s="654"/>
      <c r="E82" s="647"/>
      <c r="F82" s="648"/>
      <c r="G82" s="652"/>
      <c r="H82" s="559"/>
      <c r="I82" s="559"/>
      <c r="J82" s="559"/>
      <c r="K82" s="559"/>
      <c r="L82" s="559"/>
      <c r="M82" s="559"/>
      <c r="N82" s="559"/>
      <c r="O82" s="559"/>
      <c r="P82" s="559"/>
      <c r="Q82" s="559"/>
      <c r="R82" s="559"/>
      <c r="S82" s="559"/>
      <c r="T82" s="559"/>
      <c r="U82" s="559"/>
      <c r="V82" s="559"/>
      <c r="W82" s="559"/>
      <c r="X82" s="559"/>
      <c r="Y82" s="559"/>
      <c r="Z82" s="559"/>
      <c r="AA82" s="559"/>
      <c r="AB82" s="559"/>
      <c r="AC82" s="559"/>
      <c r="AD82" s="559"/>
      <c r="AE82" s="559"/>
      <c r="AF82" s="559"/>
      <c r="AG82" s="559"/>
    </row>
    <row r="83" spans="1:33" ht="18" hidden="1" customHeight="1" x14ac:dyDescent="0.35">
      <c r="A83" s="559"/>
      <c r="B83" s="655" t="s">
        <v>84</v>
      </c>
      <c r="C83" s="656">
        <f>SUM(C79:C82)</f>
        <v>0</v>
      </c>
      <c r="D83" s="657"/>
      <c r="E83" s="658" t="s">
        <v>85</v>
      </c>
      <c r="F83" s="567"/>
      <c r="G83" s="659" t="e">
        <f>C76-SUM(G76:G80)</f>
        <v>#VALUE!</v>
      </c>
      <c r="H83" s="559"/>
      <c r="I83" s="559"/>
      <c r="J83" s="559"/>
      <c r="K83" s="559"/>
      <c r="L83" s="559"/>
      <c r="M83" s="559"/>
      <c r="N83" s="559"/>
      <c r="O83" s="559"/>
      <c r="P83" s="559"/>
      <c r="Q83" s="559"/>
      <c r="R83" s="559"/>
      <c r="S83" s="559"/>
      <c r="T83" s="559"/>
      <c r="U83" s="559"/>
      <c r="V83" s="559"/>
      <c r="W83" s="559"/>
      <c r="X83" s="559"/>
      <c r="Y83" s="559"/>
      <c r="Z83" s="559"/>
      <c r="AA83" s="559"/>
      <c r="AB83" s="559"/>
      <c r="AC83" s="559"/>
      <c r="AD83" s="559"/>
      <c r="AE83" s="559"/>
      <c r="AF83" s="559"/>
      <c r="AG83" s="559"/>
    </row>
    <row r="84" spans="1:33" ht="18" hidden="1" customHeight="1" x14ac:dyDescent="0.35">
      <c r="A84" s="559"/>
      <c r="B84" s="559"/>
      <c r="C84" s="559"/>
      <c r="D84" s="559"/>
      <c r="E84" s="559"/>
      <c r="F84" s="559"/>
      <c r="G84" s="559"/>
      <c r="H84" s="559"/>
      <c r="I84" s="559"/>
      <c r="J84" s="559"/>
      <c r="K84" s="559"/>
      <c r="L84" s="559"/>
      <c r="M84" s="559"/>
      <c r="N84" s="559"/>
      <c r="O84" s="559"/>
      <c r="P84" s="559"/>
      <c r="Q84" s="559"/>
      <c r="R84" s="559"/>
      <c r="S84" s="559"/>
      <c r="T84" s="559"/>
      <c r="U84" s="559"/>
      <c r="V84" s="559"/>
      <c r="W84" s="559"/>
      <c r="X84" s="559"/>
      <c r="Y84" s="559"/>
      <c r="Z84" s="559"/>
      <c r="AA84" s="559"/>
      <c r="AB84" s="559"/>
      <c r="AC84" s="559"/>
      <c r="AD84" s="559"/>
      <c r="AE84" s="559"/>
      <c r="AF84" s="559"/>
      <c r="AG84" s="559"/>
    </row>
    <row r="85" spans="1:33" ht="18" hidden="1" customHeight="1" x14ac:dyDescent="0.35">
      <c r="A85" s="559"/>
      <c r="B85" s="559"/>
      <c r="C85" s="559"/>
      <c r="D85" s="625"/>
      <c r="E85" s="559"/>
      <c r="F85" s="559"/>
      <c r="G85" s="559"/>
      <c r="H85" s="559"/>
      <c r="I85" s="559"/>
      <c r="J85" s="559"/>
      <c r="K85" s="559"/>
      <c r="L85" s="559"/>
      <c r="M85" s="559"/>
      <c r="N85" s="559"/>
      <c r="O85" s="559"/>
      <c r="P85" s="559"/>
      <c r="Q85" s="559"/>
      <c r="R85" s="559"/>
      <c r="S85" s="559"/>
      <c r="T85" s="559"/>
      <c r="U85" s="559"/>
      <c r="V85" s="559"/>
      <c r="W85" s="559"/>
      <c r="X85" s="559"/>
      <c r="Y85" s="559"/>
      <c r="Z85" s="559"/>
      <c r="AA85" s="559"/>
      <c r="AB85" s="559"/>
      <c r="AC85" s="559"/>
      <c r="AD85" s="559"/>
      <c r="AE85" s="559"/>
      <c r="AF85" s="559"/>
      <c r="AG85" s="559"/>
    </row>
    <row r="86" spans="1:33" ht="18" hidden="1" customHeight="1" x14ac:dyDescent="0.35">
      <c r="A86" s="559"/>
      <c r="B86" s="559"/>
      <c r="C86" s="559"/>
      <c r="D86" s="559"/>
      <c r="E86" s="559"/>
      <c r="F86" s="559"/>
      <c r="G86" s="559"/>
      <c r="H86" s="559"/>
      <c r="I86" s="559"/>
      <c r="J86" s="559"/>
      <c r="K86" s="559"/>
      <c r="L86" s="559"/>
      <c r="M86" s="559"/>
      <c r="N86" s="559"/>
      <c r="O86" s="559"/>
      <c r="P86" s="559"/>
      <c r="Q86" s="559"/>
      <c r="R86" s="559"/>
      <c r="S86" s="559"/>
      <c r="T86" s="559"/>
      <c r="U86" s="559"/>
      <c r="V86" s="559"/>
      <c r="W86" s="559"/>
      <c r="X86" s="559"/>
      <c r="Y86" s="559"/>
      <c r="Z86" s="559"/>
      <c r="AA86" s="559"/>
      <c r="AB86" s="559"/>
      <c r="AC86" s="559"/>
      <c r="AD86" s="559"/>
      <c r="AE86" s="559"/>
      <c r="AF86" s="559"/>
      <c r="AG86" s="559"/>
    </row>
    <row r="87" spans="1:33" ht="18" hidden="1" customHeight="1" x14ac:dyDescent="0.35">
      <c r="A87" s="559"/>
      <c r="B87" s="559"/>
      <c r="C87" s="559"/>
      <c r="D87" s="559"/>
      <c r="E87" s="559"/>
      <c r="F87" s="559"/>
      <c r="G87" s="559"/>
      <c r="H87" s="559"/>
      <c r="I87" s="559"/>
      <c r="J87" s="559"/>
      <c r="K87" s="559"/>
      <c r="L87" s="559"/>
      <c r="M87" s="559"/>
      <c r="N87" s="559"/>
      <c r="O87" s="559"/>
      <c r="P87" s="559"/>
      <c r="Q87" s="559"/>
      <c r="R87" s="559"/>
      <c r="S87" s="559"/>
      <c r="T87" s="559"/>
      <c r="U87" s="559"/>
      <c r="V87" s="559"/>
      <c r="W87" s="559"/>
      <c r="X87" s="559"/>
      <c r="Y87" s="559"/>
      <c r="Z87" s="559"/>
      <c r="AA87" s="559"/>
      <c r="AB87" s="559"/>
      <c r="AC87" s="559"/>
      <c r="AD87" s="559"/>
      <c r="AE87" s="559"/>
      <c r="AF87" s="559"/>
      <c r="AG87" s="559"/>
    </row>
    <row r="88" spans="1:33" ht="18" hidden="1" customHeight="1" x14ac:dyDescent="0.35">
      <c r="A88" s="559"/>
      <c r="B88" s="559"/>
      <c r="C88" s="559"/>
      <c r="D88" s="559"/>
      <c r="E88" s="559"/>
      <c r="F88" s="559"/>
      <c r="G88" s="559"/>
      <c r="H88" s="559"/>
      <c r="I88" s="559"/>
      <c r="J88" s="559"/>
      <c r="K88" s="559"/>
      <c r="L88" s="559"/>
      <c r="M88" s="559"/>
      <c r="N88" s="559"/>
      <c r="O88" s="559"/>
      <c r="P88" s="559"/>
      <c r="Q88" s="559"/>
      <c r="R88" s="559"/>
      <c r="S88" s="559"/>
      <c r="T88" s="559"/>
      <c r="U88" s="559"/>
      <c r="V88" s="559"/>
      <c r="W88" s="559"/>
      <c r="X88" s="559"/>
      <c r="Y88" s="559"/>
      <c r="Z88" s="559"/>
      <c r="AA88" s="559"/>
      <c r="AB88" s="559"/>
      <c r="AC88" s="559"/>
      <c r="AD88" s="559"/>
      <c r="AE88" s="559"/>
      <c r="AF88" s="559"/>
      <c r="AG88" s="559"/>
    </row>
    <row r="89" spans="1:33" ht="18" hidden="1" customHeight="1" x14ac:dyDescent="0.3">
      <c r="A89" s="663"/>
      <c r="B89" s="663" t="s">
        <v>114</v>
      </c>
      <c r="C89" s="663" t="s">
        <v>115</v>
      </c>
      <c r="D89" s="663" t="s">
        <v>116</v>
      </c>
      <c r="E89" s="663" t="s">
        <v>117</v>
      </c>
      <c r="F89" s="663" t="s">
        <v>118</v>
      </c>
      <c r="G89" s="663" t="s">
        <v>119</v>
      </c>
      <c r="H89" s="663" t="s">
        <v>120</v>
      </c>
      <c r="I89" s="663" t="s">
        <v>121</v>
      </c>
      <c r="J89" s="663" t="s">
        <v>122</v>
      </c>
      <c r="K89" s="663" t="s">
        <v>123</v>
      </c>
      <c r="L89" s="663" t="s">
        <v>82</v>
      </c>
      <c r="M89" s="663"/>
      <c r="N89" s="663"/>
      <c r="O89" s="663"/>
      <c r="P89" s="663"/>
      <c r="Q89" s="663"/>
      <c r="R89" s="663" t="s">
        <v>312</v>
      </c>
      <c r="S89" s="663"/>
      <c r="T89" s="663"/>
      <c r="U89" s="663"/>
      <c r="V89" s="663"/>
      <c r="W89" s="663"/>
      <c r="X89" s="663"/>
      <c r="Y89" s="663"/>
      <c r="Z89" s="663"/>
      <c r="AA89" s="663"/>
      <c r="AB89" s="663"/>
      <c r="AC89" s="663"/>
      <c r="AD89" s="663"/>
      <c r="AE89" s="663"/>
      <c r="AF89" s="663"/>
      <c r="AG89" s="663"/>
    </row>
    <row r="90" spans="1:33" ht="18" hidden="1" customHeight="1" x14ac:dyDescent="0.3">
      <c r="A90" s="663">
        <v>1</v>
      </c>
      <c r="B90" s="663">
        <v>2</v>
      </c>
      <c r="C90" s="663">
        <v>3</v>
      </c>
      <c r="D90" s="663">
        <v>4</v>
      </c>
      <c r="E90" s="663">
        <v>5</v>
      </c>
      <c r="F90" s="663">
        <v>6</v>
      </c>
      <c r="G90" s="663">
        <v>7</v>
      </c>
      <c r="H90" s="663">
        <v>8</v>
      </c>
      <c r="I90" s="663">
        <v>9</v>
      </c>
      <c r="J90" s="663">
        <v>10</v>
      </c>
      <c r="K90" s="663">
        <v>11</v>
      </c>
      <c r="L90" s="663">
        <v>12</v>
      </c>
      <c r="M90" s="663">
        <v>13</v>
      </c>
      <c r="N90" s="663">
        <v>14</v>
      </c>
      <c r="O90" s="663">
        <v>15</v>
      </c>
      <c r="P90" s="663">
        <v>16</v>
      </c>
      <c r="Q90" s="663">
        <v>17</v>
      </c>
      <c r="R90" s="663" t="s">
        <v>28</v>
      </c>
      <c r="S90" s="663" t="s">
        <v>313</v>
      </c>
      <c r="T90" s="663" t="s">
        <v>314</v>
      </c>
      <c r="U90" s="663"/>
      <c r="V90" s="663"/>
      <c r="W90" s="663"/>
      <c r="X90" s="663"/>
      <c r="Y90" s="663"/>
      <c r="Z90" s="663"/>
      <c r="AA90" s="663"/>
      <c r="AB90" s="663"/>
      <c r="AC90" s="663"/>
      <c r="AD90" s="663"/>
      <c r="AE90" s="663"/>
      <c r="AF90" s="663"/>
      <c r="AG90" s="663"/>
    </row>
    <row r="91" spans="1:33" ht="18" hidden="1" customHeight="1" x14ac:dyDescent="0.3">
      <c r="A91" s="663" t="s">
        <v>16</v>
      </c>
      <c r="B91" s="663">
        <v>0</v>
      </c>
      <c r="C91" s="663">
        <v>0</v>
      </c>
      <c r="D91" s="663">
        <v>0</v>
      </c>
      <c r="E91" s="663">
        <v>0</v>
      </c>
      <c r="F91" s="663">
        <v>0</v>
      </c>
      <c r="G91" s="663">
        <v>0</v>
      </c>
      <c r="H91" s="663">
        <v>0</v>
      </c>
      <c r="I91" s="663">
        <v>0</v>
      </c>
      <c r="J91" s="663">
        <v>0</v>
      </c>
      <c r="K91" s="663">
        <v>0</v>
      </c>
      <c r="L91" s="663">
        <v>0</v>
      </c>
      <c r="M91" s="663">
        <v>0</v>
      </c>
      <c r="N91" s="663">
        <v>0</v>
      </c>
      <c r="O91" s="663">
        <v>0</v>
      </c>
      <c r="P91" s="663">
        <v>0</v>
      </c>
      <c r="Q91" s="663">
        <v>0</v>
      </c>
      <c r="R91" s="663">
        <v>0</v>
      </c>
      <c r="S91" s="663">
        <v>0</v>
      </c>
      <c r="T91" s="663" t="s">
        <v>315</v>
      </c>
      <c r="U91" s="663"/>
      <c r="V91" s="663"/>
      <c r="W91" s="663"/>
      <c r="X91" s="663"/>
      <c r="Y91" s="663"/>
      <c r="Z91" s="663"/>
      <c r="AA91" s="663"/>
      <c r="AB91" s="663"/>
      <c r="AC91" s="663"/>
      <c r="AD91" s="663"/>
      <c r="AE91" s="663"/>
      <c r="AF91" s="663"/>
      <c r="AG91" s="663"/>
    </row>
    <row r="92" spans="1:33" ht="18" hidden="1" customHeight="1" x14ac:dyDescent="0.3">
      <c r="A92" s="663" t="s">
        <v>316</v>
      </c>
      <c r="B92" s="663">
        <v>20</v>
      </c>
      <c r="C92" s="663">
        <v>20</v>
      </c>
      <c r="D92" s="663">
        <v>14</v>
      </c>
      <c r="E92" s="663">
        <v>10</v>
      </c>
      <c r="F92" s="663">
        <v>0.2</v>
      </c>
      <c r="G92" s="663">
        <v>1</v>
      </c>
      <c r="H92" s="663" t="s">
        <v>37</v>
      </c>
      <c r="I92" s="663" t="s">
        <v>27</v>
      </c>
      <c r="J92" s="663">
        <v>-0.5</v>
      </c>
      <c r="K92" s="663">
        <v>1</v>
      </c>
      <c r="L92" s="663">
        <v>0</v>
      </c>
      <c r="M92" s="663" t="s">
        <v>317</v>
      </c>
      <c r="N92" s="663" t="s">
        <v>318</v>
      </c>
      <c r="O92" s="663">
        <v>1</v>
      </c>
      <c r="P92" s="663"/>
      <c r="Q92" s="663"/>
      <c r="R92" s="663">
        <v>1</v>
      </c>
      <c r="S92" s="663">
        <v>0</v>
      </c>
      <c r="T92" s="663" t="s">
        <v>315</v>
      </c>
      <c r="U92" s="663"/>
      <c r="V92" s="663"/>
      <c r="W92" s="663"/>
      <c r="X92" s="663"/>
      <c r="Y92" s="663"/>
      <c r="Z92" s="663"/>
      <c r="AA92" s="663"/>
      <c r="AB92" s="663"/>
      <c r="AC92" s="663"/>
      <c r="AD92" s="663"/>
      <c r="AE92" s="663"/>
      <c r="AF92" s="663"/>
      <c r="AG92" s="663"/>
    </row>
    <row r="93" spans="1:33" ht="18" hidden="1" customHeight="1" x14ac:dyDescent="0.3">
      <c r="A93" s="663" t="s">
        <v>319</v>
      </c>
      <c r="B93" s="663">
        <v>14</v>
      </c>
      <c r="C93" s="663">
        <v>14</v>
      </c>
      <c r="D93" s="663">
        <v>7</v>
      </c>
      <c r="E93" s="663">
        <v>10</v>
      </c>
      <c r="F93" s="663">
        <v>0.2</v>
      </c>
      <c r="G93" s="663">
        <v>1</v>
      </c>
      <c r="H93" s="663" t="s">
        <v>37</v>
      </c>
      <c r="I93" s="663" t="s">
        <v>27</v>
      </c>
      <c r="J93" s="663">
        <v>-0.5</v>
      </c>
      <c r="K93" s="663">
        <v>1</v>
      </c>
      <c r="L93" s="663">
        <v>0</v>
      </c>
      <c r="M93" s="663" t="s">
        <v>317</v>
      </c>
      <c r="N93" s="663" t="s">
        <v>318</v>
      </c>
      <c r="O93" s="663">
        <v>1</v>
      </c>
      <c r="P93" s="663"/>
      <c r="Q93" s="663"/>
      <c r="R93" s="663">
        <v>1</v>
      </c>
      <c r="S93" s="663">
        <v>1</v>
      </c>
      <c r="T93" s="663" t="s">
        <v>315</v>
      </c>
      <c r="U93" s="663"/>
      <c r="V93" s="663"/>
      <c r="W93" s="663"/>
      <c r="X93" s="663"/>
      <c r="Y93" s="663"/>
      <c r="Z93" s="663"/>
      <c r="AA93" s="663"/>
      <c r="AB93" s="663"/>
      <c r="AC93" s="663"/>
      <c r="AD93" s="663"/>
      <c r="AE93" s="663"/>
      <c r="AF93" s="663"/>
      <c r="AG93" s="663"/>
    </row>
    <row r="94" spans="1:33" ht="18" hidden="1" customHeight="1" x14ac:dyDescent="0.3">
      <c r="A94" s="663" t="s">
        <v>320</v>
      </c>
      <c r="B94" s="663">
        <v>6.2</v>
      </c>
      <c r="C94" s="663">
        <v>6.2</v>
      </c>
      <c r="D94" s="663">
        <v>3.2</v>
      </c>
      <c r="E94" s="663">
        <v>10.7</v>
      </c>
      <c r="F94" s="663">
        <v>0.2</v>
      </c>
      <c r="G94" s="663">
        <v>2</v>
      </c>
      <c r="H94" s="663" t="s">
        <v>262</v>
      </c>
      <c r="I94" s="663" t="s">
        <v>262</v>
      </c>
      <c r="J94" s="663">
        <v>-0.5</v>
      </c>
      <c r="K94" s="663">
        <v>2</v>
      </c>
      <c r="L94" s="663">
        <v>1</v>
      </c>
      <c r="M94" s="663" t="s">
        <v>321</v>
      </c>
      <c r="N94" s="663"/>
      <c r="O94" s="663">
        <v>2</v>
      </c>
      <c r="P94" s="663"/>
      <c r="Q94" s="663"/>
      <c r="R94" s="663">
        <v>0</v>
      </c>
      <c r="S94" s="663">
        <v>0</v>
      </c>
      <c r="T94" s="663" t="s">
        <v>315</v>
      </c>
      <c r="U94" s="663"/>
      <c r="V94" s="663"/>
      <c r="W94" s="663"/>
      <c r="X94" s="663"/>
      <c r="Y94" s="663"/>
      <c r="Z94" s="663"/>
      <c r="AA94" s="663"/>
      <c r="AB94" s="663"/>
      <c r="AC94" s="663"/>
      <c r="AD94" s="663"/>
      <c r="AE94" s="663"/>
      <c r="AF94" s="663"/>
      <c r="AG94" s="663"/>
    </row>
    <row r="95" spans="1:33" ht="18" hidden="1" customHeight="1" x14ac:dyDescent="0.3">
      <c r="A95" s="663" t="s">
        <v>322</v>
      </c>
      <c r="B95" s="663">
        <v>10.199999999999999</v>
      </c>
      <c r="C95" s="663">
        <v>10.199999999999999</v>
      </c>
      <c r="D95" s="663">
        <v>5.2</v>
      </c>
      <c r="E95" s="663">
        <v>10.7</v>
      </c>
      <c r="F95" s="663">
        <v>0.2</v>
      </c>
      <c r="G95" s="663">
        <v>2</v>
      </c>
      <c r="H95" s="663" t="s">
        <v>37</v>
      </c>
      <c r="I95" s="663" t="s">
        <v>37</v>
      </c>
      <c r="J95" s="663">
        <v>-0.5</v>
      </c>
      <c r="K95" s="663">
        <v>2</v>
      </c>
      <c r="L95" s="663">
        <v>1</v>
      </c>
      <c r="M95" s="663" t="s">
        <v>321</v>
      </c>
      <c r="N95" s="663"/>
      <c r="O95" s="663">
        <v>2</v>
      </c>
      <c r="P95" s="663"/>
      <c r="Q95" s="663"/>
      <c r="R95" s="663">
        <v>0</v>
      </c>
      <c r="S95" s="663">
        <v>0</v>
      </c>
      <c r="T95" s="663" t="s">
        <v>315</v>
      </c>
      <c r="U95" s="663"/>
      <c r="V95" s="663"/>
      <c r="W95" s="663"/>
      <c r="X95" s="663"/>
      <c r="Y95" s="663"/>
      <c r="Z95" s="663"/>
      <c r="AA95" s="663"/>
      <c r="AB95" s="663"/>
      <c r="AC95" s="663"/>
      <c r="AD95" s="663"/>
      <c r="AE95" s="663"/>
      <c r="AF95" s="663"/>
      <c r="AG95" s="663"/>
    </row>
    <row r="96" spans="1:33" ht="18" hidden="1" customHeight="1" x14ac:dyDescent="0.3">
      <c r="A96" s="663" t="s">
        <v>323</v>
      </c>
      <c r="B96" s="663">
        <v>10.199999999999999</v>
      </c>
      <c r="C96" s="663">
        <v>10.199999999999999</v>
      </c>
      <c r="D96" s="663">
        <v>5.2</v>
      </c>
      <c r="E96" s="663">
        <v>5.7</v>
      </c>
      <c r="F96" s="663">
        <v>10.199999999999999</v>
      </c>
      <c r="G96" s="663">
        <v>2</v>
      </c>
      <c r="H96" s="663" t="s">
        <v>27</v>
      </c>
      <c r="I96" s="663" t="s">
        <v>27</v>
      </c>
      <c r="J96" s="663">
        <v>-0.5</v>
      </c>
      <c r="K96" s="663">
        <v>2</v>
      </c>
      <c r="L96" s="663">
        <v>1</v>
      </c>
      <c r="M96" s="663"/>
      <c r="N96" s="663"/>
      <c r="O96" s="663">
        <v>3</v>
      </c>
      <c r="P96" s="663"/>
      <c r="Q96" s="663"/>
      <c r="R96" s="663">
        <v>0</v>
      </c>
      <c r="S96" s="663"/>
      <c r="T96" s="663" t="s">
        <v>175</v>
      </c>
      <c r="U96" s="663"/>
      <c r="V96" s="663"/>
      <c r="W96" s="663"/>
      <c r="X96" s="663"/>
      <c r="Y96" s="663"/>
      <c r="Z96" s="663"/>
      <c r="AA96" s="663"/>
      <c r="AB96" s="663"/>
      <c r="AC96" s="663"/>
      <c r="AD96" s="663"/>
      <c r="AE96" s="663"/>
      <c r="AF96" s="663"/>
      <c r="AG96" s="663"/>
    </row>
    <row r="97" spans="1:33" ht="18" hidden="1" customHeight="1" x14ac:dyDescent="0.3">
      <c r="A97" s="663" t="s">
        <v>324</v>
      </c>
      <c r="B97" s="663">
        <v>10.199999999999999</v>
      </c>
      <c r="C97" s="663">
        <v>10.199999999999999</v>
      </c>
      <c r="D97" s="663">
        <v>5.2</v>
      </c>
      <c r="E97" s="663">
        <v>5.7</v>
      </c>
      <c r="F97" s="663">
        <v>10.199999999999999</v>
      </c>
      <c r="G97" s="663">
        <v>2</v>
      </c>
      <c r="H97" s="663" t="s">
        <v>27</v>
      </c>
      <c r="I97" s="663" t="s">
        <v>27</v>
      </c>
      <c r="J97" s="663">
        <v>-0.5</v>
      </c>
      <c r="K97" s="663">
        <v>2</v>
      </c>
      <c r="L97" s="663">
        <v>1</v>
      </c>
      <c r="M97" s="663" t="s">
        <v>321</v>
      </c>
      <c r="N97" s="663"/>
      <c r="O97" s="663">
        <v>3</v>
      </c>
      <c r="P97" s="663"/>
      <c r="Q97" s="663"/>
      <c r="R97" s="663">
        <v>0</v>
      </c>
      <c r="S97" s="663">
        <v>0</v>
      </c>
      <c r="T97" s="663" t="s">
        <v>315</v>
      </c>
      <c r="U97" s="663"/>
      <c r="V97" s="663"/>
      <c r="W97" s="663"/>
      <c r="X97" s="663"/>
      <c r="Y97" s="663"/>
      <c r="Z97" s="663"/>
      <c r="AA97" s="663"/>
      <c r="AB97" s="663"/>
      <c r="AC97" s="663"/>
      <c r="AD97" s="663"/>
      <c r="AE97" s="663"/>
      <c r="AF97" s="663"/>
      <c r="AG97" s="663"/>
    </row>
    <row r="98" spans="1:33" ht="18" hidden="1" customHeight="1" x14ac:dyDescent="0.3">
      <c r="A98" s="663" t="s">
        <v>325</v>
      </c>
      <c r="B98" s="663">
        <v>10.199999999999999</v>
      </c>
      <c r="C98" s="663">
        <v>10.199999999999999</v>
      </c>
      <c r="D98" s="663">
        <v>5.2</v>
      </c>
      <c r="E98" s="663">
        <v>5</v>
      </c>
      <c r="F98" s="663">
        <v>0.2</v>
      </c>
      <c r="G98" s="663">
        <v>2</v>
      </c>
      <c r="H98" s="663" t="s">
        <v>27</v>
      </c>
      <c r="I98" s="663" t="s">
        <v>27</v>
      </c>
      <c r="J98" s="663">
        <v>9.4</v>
      </c>
      <c r="K98" s="663">
        <v>2</v>
      </c>
      <c r="L98" s="663">
        <v>1</v>
      </c>
      <c r="M98" s="663" t="s">
        <v>321</v>
      </c>
      <c r="N98" s="663"/>
      <c r="O98" s="663">
        <v>3</v>
      </c>
      <c r="P98" s="663"/>
      <c r="Q98" s="663"/>
      <c r="R98" s="663">
        <v>0</v>
      </c>
      <c r="S98" s="663">
        <v>0</v>
      </c>
      <c r="T98" s="663" t="s">
        <v>315</v>
      </c>
      <c r="U98" s="663"/>
      <c r="V98" s="663"/>
      <c r="W98" s="663"/>
      <c r="X98" s="663"/>
      <c r="Y98" s="663"/>
      <c r="Z98" s="663"/>
      <c r="AA98" s="663"/>
      <c r="AB98" s="663"/>
      <c r="AC98" s="663"/>
      <c r="AD98" s="663"/>
      <c r="AE98" s="663"/>
      <c r="AF98" s="663"/>
      <c r="AG98" s="663"/>
    </row>
    <row r="99" spans="1:33" ht="18" hidden="1" customHeight="1" x14ac:dyDescent="0.3">
      <c r="A99" s="663" t="s">
        <v>326</v>
      </c>
      <c r="B99" s="663">
        <v>14</v>
      </c>
      <c r="C99" s="663">
        <v>14</v>
      </c>
      <c r="D99" s="663">
        <v>7</v>
      </c>
      <c r="E99" s="663">
        <v>10.199999999999999</v>
      </c>
      <c r="F99" s="663">
        <v>0.2</v>
      </c>
      <c r="G99" s="663">
        <v>2</v>
      </c>
      <c r="H99" s="663" t="s">
        <v>37</v>
      </c>
      <c r="I99" s="663" t="s">
        <v>327</v>
      </c>
      <c r="J99" s="663">
        <v>-0.5</v>
      </c>
      <c r="K99" s="663">
        <v>1</v>
      </c>
      <c r="L99" s="663">
        <v>0</v>
      </c>
      <c r="M99" s="663" t="s">
        <v>317</v>
      </c>
      <c r="N99" s="663" t="s">
        <v>318</v>
      </c>
      <c r="O99" s="663">
        <v>4</v>
      </c>
      <c r="P99" s="663"/>
      <c r="Q99" s="663"/>
      <c r="R99" s="663">
        <v>1</v>
      </c>
      <c r="S99" s="663">
        <v>0</v>
      </c>
      <c r="T99" s="663" t="s">
        <v>315</v>
      </c>
      <c r="U99" s="663"/>
      <c r="V99" s="663"/>
      <c r="W99" s="663"/>
      <c r="X99" s="663"/>
      <c r="Y99" s="663"/>
      <c r="Z99" s="663"/>
      <c r="AA99" s="663"/>
      <c r="AB99" s="663"/>
      <c r="AC99" s="663"/>
      <c r="AD99" s="663"/>
      <c r="AE99" s="663"/>
      <c r="AF99" s="663"/>
      <c r="AG99" s="663"/>
    </row>
    <row r="100" spans="1:33" ht="18" hidden="1" customHeight="1" x14ac:dyDescent="0.3">
      <c r="A100" s="663" t="s">
        <v>328</v>
      </c>
      <c r="B100" s="663">
        <v>14</v>
      </c>
      <c r="C100" s="663">
        <v>14</v>
      </c>
      <c r="D100" s="663">
        <v>7</v>
      </c>
      <c r="E100" s="663">
        <v>10.199999999999999</v>
      </c>
      <c r="F100" s="663">
        <v>0.2</v>
      </c>
      <c r="G100" s="663">
        <v>2</v>
      </c>
      <c r="H100" s="663" t="s">
        <v>37</v>
      </c>
      <c r="I100" s="663" t="s">
        <v>327</v>
      </c>
      <c r="J100" s="663">
        <v>-0.5</v>
      </c>
      <c r="K100" s="663">
        <v>1</v>
      </c>
      <c r="L100" s="663">
        <v>0</v>
      </c>
      <c r="M100" s="663" t="s">
        <v>317</v>
      </c>
      <c r="N100" s="663" t="s">
        <v>318</v>
      </c>
      <c r="O100" s="663">
        <v>4</v>
      </c>
      <c r="P100" s="663"/>
      <c r="Q100" s="663"/>
      <c r="R100" s="663">
        <v>0</v>
      </c>
      <c r="S100" s="663">
        <v>1</v>
      </c>
      <c r="T100" s="663" t="s">
        <v>315</v>
      </c>
      <c r="U100" s="663"/>
      <c r="V100" s="663"/>
      <c r="W100" s="663"/>
      <c r="X100" s="663"/>
      <c r="Y100" s="663"/>
      <c r="Z100" s="663"/>
      <c r="AA100" s="663"/>
      <c r="AB100" s="663"/>
      <c r="AC100" s="663"/>
      <c r="AD100" s="663"/>
      <c r="AE100" s="663"/>
      <c r="AF100" s="663"/>
      <c r="AG100" s="663"/>
    </row>
    <row r="101" spans="1:33" ht="18" hidden="1" customHeight="1" x14ac:dyDescent="0.3">
      <c r="A101" s="663" t="s">
        <v>329</v>
      </c>
      <c r="B101" s="663">
        <v>10.199999999999999</v>
      </c>
      <c r="C101" s="663">
        <v>10.199999999999999</v>
      </c>
      <c r="D101" s="663">
        <v>7</v>
      </c>
      <c r="E101" s="663"/>
      <c r="F101" s="663">
        <v>0.2</v>
      </c>
      <c r="G101" s="663">
        <v>1</v>
      </c>
      <c r="H101" s="663" t="s">
        <v>37</v>
      </c>
      <c r="I101" s="663" t="s">
        <v>37</v>
      </c>
      <c r="J101" s="663">
        <v>-0.5</v>
      </c>
      <c r="K101" s="663">
        <v>1</v>
      </c>
      <c r="L101" s="663"/>
      <c r="M101" s="663" t="s">
        <v>317</v>
      </c>
      <c r="N101" s="663" t="s">
        <v>318</v>
      </c>
      <c r="O101" s="663">
        <v>4</v>
      </c>
      <c r="P101" s="663"/>
      <c r="Q101" s="663"/>
      <c r="R101" s="663"/>
      <c r="S101" s="663">
        <v>1</v>
      </c>
      <c r="T101" s="663" t="s">
        <v>315</v>
      </c>
      <c r="U101" s="663"/>
      <c r="V101" s="663"/>
      <c r="W101" s="663"/>
      <c r="X101" s="663"/>
      <c r="Y101" s="663"/>
      <c r="Z101" s="663"/>
      <c r="AA101" s="663"/>
      <c r="AB101" s="663"/>
      <c r="AC101" s="663"/>
      <c r="AD101" s="663"/>
      <c r="AE101" s="663"/>
      <c r="AF101" s="663"/>
      <c r="AG101" s="663"/>
    </row>
    <row r="102" spans="1:33" ht="18" hidden="1" customHeight="1" x14ac:dyDescent="0.3">
      <c r="A102" s="663" t="s">
        <v>330</v>
      </c>
      <c r="B102" s="663" t="e">
        <f>VLOOKUP('Wrapp Barré'!nombre_de_calages,$A$150:$D$152,4)*2</f>
        <v>#N/A</v>
      </c>
      <c r="C102" s="663" t="e">
        <f>VLOOKUP('Wrapp Barré'!nombre_de_calages,$A$150:$D$152,4)*2</f>
        <v>#N/A</v>
      </c>
      <c r="D102" s="663" t="e">
        <f>VLOOKUP('Wrapp Barré'!nombre_de_calages,$A$150:$D$152,4)</f>
        <v>#N/A</v>
      </c>
      <c r="E102" s="663"/>
      <c r="F102" s="663">
        <v>0.2</v>
      </c>
      <c r="G102" s="663">
        <v>2</v>
      </c>
      <c r="H102" s="663" t="s">
        <v>331</v>
      </c>
      <c r="I102" s="663" t="s">
        <v>331</v>
      </c>
      <c r="J102" s="663">
        <v>-0.5</v>
      </c>
      <c r="K102" s="663">
        <v>2</v>
      </c>
      <c r="L102" s="663">
        <v>1</v>
      </c>
      <c r="M102" s="663" t="s">
        <v>321</v>
      </c>
      <c r="N102" s="663"/>
      <c r="O102" s="663">
        <v>5</v>
      </c>
      <c r="P102" s="663"/>
      <c r="Q102" s="663"/>
      <c r="R102" s="663"/>
      <c r="S102" s="663"/>
      <c r="T102" s="663" t="s">
        <v>315</v>
      </c>
      <c r="U102" s="663"/>
      <c r="V102" s="663"/>
      <c r="W102" s="663"/>
      <c r="X102" s="663"/>
      <c r="Y102" s="663"/>
      <c r="Z102" s="663"/>
      <c r="AA102" s="663"/>
      <c r="AB102" s="663"/>
      <c r="AC102" s="663"/>
      <c r="AD102" s="663"/>
      <c r="AE102" s="663"/>
      <c r="AF102" s="663"/>
      <c r="AG102" s="663"/>
    </row>
    <row r="103" spans="1:33" ht="18" hidden="1" customHeight="1" x14ac:dyDescent="0.3">
      <c r="A103" s="663" t="s">
        <v>332</v>
      </c>
      <c r="B103" s="663" t="e">
        <f>VLOOKUP('Wrapp Barré'!nombre_de_calages,$A$150:$D$152,3)*2</f>
        <v>#N/A</v>
      </c>
      <c r="C103" s="663" t="e">
        <f>VLOOKUP('Wrapp Barré'!nombre_de_calages,$A$150:$D$152,3)*2</f>
        <v>#N/A</v>
      </c>
      <c r="D103" s="663" t="e">
        <f>VLOOKUP('Wrapp Barré'!nombre_de_calages,$A$150:$D$152,3)</f>
        <v>#N/A</v>
      </c>
      <c r="E103" s="663">
        <v>10.7</v>
      </c>
      <c r="F103" s="663">
        <v>0.2</v>
      </c>
      <c r="G103" s="663">
        <v>2</v>
      </c>
      <c r="H103" s="663" t="s">
        <v>105</v>
      </c>
      <c r="I103" s="663" t="s">
        <v>105</v>
      </c>
      <c r="J103" s="663">
        <v>-0.5</v>
      </c>
      <c r="K103" s="663">
        <v>2</v>
      </c>
      <c r="L103" s="663">
        <v>1</v>
      </c>
      <c r="M103" s="663" t="s">
        <v>321</v>
      </c>
      <c r="N103" s="663"/>
      <c r="O103" s="663">
        <v>5</v>
      </c>
      <c r="P103" s="663"/>
      <c r="Q103" s="663"/>
      <c r="R103" s="663">
        <v>0</v>
      </c>
      <c r="S103" s="663">
        <v>0</v>
      </c>
      <c r="T103" s="663" t="s">
        <v>315</v>
      </c>
      <c r="U103" s="663"/>
      <c r="V103" s="663"/>
      <c r="W103" s="663"/>
      <c r="X103" s="663"/>
      <c r="Y103" s="663"/>
      <c r="Z103" s="663"/>
      <c r="AA103" s="663"/>
      <c r="AB103" s="663"/>
      <c r="AC103" s="663"/>
      <c r="AD103" s="663"/>
      <c r="AE103" s="663"/>
      <c r="AF103" s="663"/>
      <c r="AG103" s="663"/>
    </row>
    <row r="104" spans="1:33" ht="18" hidden="1" customHeight="1" x14ac:dyDescent="0.3">
      <c r="A104" s="663" t="s">
        <v>304</v>
      </c>
      <c r="B104" s="663" t="e">
        <f>VLOOKUP('Wrapp Barré'!nombre_de_calages,$A$150:$D$152,2)*2</f>
        <v>#N/A</v>
      </c>
      <c r="C104" s="663" t="e">
        <f>VLOOKUP('Wrapp Barré'!nombre_de_calages,$A$150:$D$152,2)*2</f>
        <v>#N/A</v>
      </c>
      <c r="D104" s="663" t="e">
        <f>VLOOKUP('Wrapp Barré'!nombre_de_calages,$A$150:$D$152,2)</f>
        <v>#N/A</v>
      </c>
      <c r="E104" s="663">
        <v>10.7</v>
      </c>
      <c r="F104" s="663">
        <v>0.2</v>
      </c>
      <c r="G104" s="663">
        <v>2</v>
      </c>
      <c r="H104" s="663" t="s">
        <v>27</v>
      </c>
      <c r="I104" s="663" t="s">
        <v>27</v>
      </c>
      <c r="J104" s="663">
        <v>-0.5</v>
      </c>
      <c r="K104" s="663">
        <v>2</v>
      </c>
      <c r="L104" s="663">
        <v>1</v>
      </c>
      <c r="M104" s="663" t="s">
        <v>321</v>
      </c>
      <c r="N104" s="663"/>
      <c r="O104" s="663">
        <v>5</v>
      </c>
      <c r="P104" s="663"/>
      <c r="Q104" s="663"/>
      <c r="R104" s="663">
        <v>0</v>
      </c>
      <c r="S104" s="663">
        <v>0</v>
      </c>
      <c r="T104" s="663" t="s">
        <v>315</v>
      </c>
      <c r="U104" s="663"/>
      <c r="V104" s="663"/>
      <c r="W104" s="663"/>
      <c r="X104" s="663"/>
      <c r="Y104" s="663"/>
      <c r="Z104" s="663"/>
      <c r="AA104" s="663"/>
      <c r="AB104" s="663"/>
      <c r="AC104" s="663"/>
      <c r="AD104" s="663"/>
      <c r="AE104" s="663"/>
      <c r="AF104" s="663"/>
      <c r="AG104" s="663"/>
    </row>
    <row r="105" spans="1:33" ht="18" hidden="1" customHeight="1" x14ac:dyDescent="0.3">
      <c r="A105" s="663"/>
      <c r="B105" s="663"/>
      <c r="C105" s="663"/>
      <c r="D105" s="663"/>
      <c r="E105" s="663"/>
      <c r="F105" s="663"/>
      <c r="G105" s="663"/>
      <c r="H105" s="663"/>
      <c r="I105" s="663"/>
      <c r="J105" s="663"/>
      <c r="K105" s="663"/>
      <c r="L105" s="663"/>
      <c r="M105" s="663"/>
      <c r="N105" s="663"/>
      <c r="O105" s="663"/>
      <c r="P105" s="663"/>
      <c r="Q105" s="663"/>
      <c r="R105" s="663"/>
      <c r="S105" s="663"/>
      <c r="T105" s="663"/>
      <c r="U105" s="663"/>
      <c r="V105" s="663"/>
      <c r="W105" s="663"/>
      <c r="X105" s="663"/>
      <c r="Y105" s="663"/>
      <c r="Z105" s="663"/>
      <c r="AA105" s="663"/>
      <c r="AB105" s="663"/>
      <c r="AC105" s="663"/>
      <c r="AD105" s="663"/>
      <c r="AE105" s="663"/>
      <c r="AF105" s="663"/>
      <c r="AG105" s="663"/>
    </row>
    <row r="106" spans="1:33" ht="18" hidden="1" customHeight="1" x14ac:dyDescent="0.3">
      <c r="A106" s="663"/>
      <c r="B106" s="663"/>
      <c r="C106" s="663"/>
      <c r="D106" s="663"/>
      <c r="E106" s="663"/>
      <c r="F106" s="663"/>
      <c r="G106" s="663"/>
      <c r="H106" s="663"/>
      <c r="I106" s="663"/>
      <c r="J106" s="663"/>
      <c r="K106" s="663"/>
      <c r="L106" s="663"/>
      <c r="M106" s="663"/>
      <c r="N106" s="663"/>
      <c r="O106" s="663"/>
      <c r="P106" s="663"/>
      <c r="Q106" s="663"/>
      <c r="R106" s="663"/>
      <c r="S106" s="663"/>
      <c r="T106" s="663"/>
      <c r="U106" s="663"/>
      <c r="V106" s="663"/>
      <c r="W106" s="663"/>
      <c r="X106" s="663"/>
      <c r="Y106" s="663"/>
      <c r="Z106" s="663"/>
      <c r="AA106" s="663"/>
      <c r="AB106" s="663"/>
      <c r="AC106" s="663"/>
      <c r="AD106" s="663"/>
      <c r="AE106" s="663"/>
      <c r="AF106" s="663"/>
      <c r="AG106" s="663"/>
    </row>
    <row r="107" spans="1:33" ht="18" hidden="1" customHeight="1" x14ac:dyDescent="0.3">
      <c r="A107" s="663"/>
      <c r="B107" s="663"/>
      <c r="C107" s="663"/>
      <c r="D107" s="663"/>
      <c r="E107" s="663"/>
      <c r="F107" s="663"/>
      <c r="G107" s="663"/>
      <c r="H107" s="663"/>
      <c r="I107" s="663"/>
      <c r="J107" s="663"/>
      <c r="K107" s="663"/>
      <c r="L107" s="663"/>
      <c r="M107" s="663"/>
      <c r="N107" s="663"/>
      <c r="O107" s="663"/>
      <c r="P107" s="663"/>
      <c r="Q107" s="663"/>
      <c r="R107" s="663"/>
      <c r="S107" s="663"/>
      <c r="T107" s="663"/>
      <c r="U107" s="663"/>
      <c r="V107" s="663"/>
      <c r="W107" s="663"/>
      <c r="X107" s="663"/>
      <c r="Y107" s="663"/>
      <c r="Z107" s="663"/>
      <c r="AA107" s="663"/>
      <c r="AB107" s="663"/>
      <c r="AC107" s="663"/>
      <c r="AD107" s="663"/>
      <c r="AE107" s="663"/>
      <c r="AF107" s="663"/>
      <c r="AG107" s="663"/>
    </row>
    <row r="108" spans="1:33" ht="18" hidden="1" customHeight="1" x14ac:dyDescent="0.3">
      <c r="A108" s="663"/>
      <c r="B108" s="663"/>
      <c r="C108" s="663"/>
      <c r="D108" s="663"/>
      <c r="E108" s="663"/>
      <c r="F108" s="663"/>
      <c r="G108" s="663"/>
      <c r="H108" s="663"/>
      <c r="I108" s="663"/>
      <c r="J108" s="663"/>
      <c r="K108" s="663"/>
      <c r="L108" s="663"/>
      <c r="M108" s="663"/>
      <c r="N108" s="663"/>
      <c r="O108" s="663"/>
      <c r="P108" s="663"/>
      <c r="Q108" s="663"/>
      <c r="R108" s="663"/>
      <c r="S108" s="663"/>
      <c r="T108" s="663"/>
      <c r="U108" s="663"/>
      <c r="V108" s="663"/>
      <c r="W108" s="663"/>
      <c r="X108" s="663"/>
      <c r="Y108" s="663"/>
      <c r="Z108" s="663"/>
      <c r="AA108" s="663"/>
      <c r="AB108" s="663"/>
      <c r="AC108" s="663"/>
      <c r="AD108" s="663"/>
      <c r="AE108" s="663"/>
      <c r="AF108" s="663"/>
      <c r="AG108" s="663"/>
    </row>
    <row r="109" spans="1:33" ht="18" hidden="1" customHeight="1" x14ac:dyDescent="0.3">
      <c r="A109" s="663"/>
      <c r="B109" s="663"/>
      <c r="C109" s="663"/>
      <c r="D109" s="663"/>
      <c r="E109" s="663"/>
      <c r="F109" s="663"/>
      <c r="G109" s="663"/>
      <c r="H109" s="663"/>
      <c r="I109" s="663"/>
      <c r="J109" s="663"/>
      <c r="K109" s="663"/>
      <c r="L109" s="663"/>
      <c r="M109" s="663"/>
      <c r="N109" s="663"/>
      <c r="O109" s="663"/>
      <c r="P109" s="663"/>
      <c r="Q109" s="663"/>
      <c r="R109" s="663"/>
      <c r="S109" s="663"/>
      <c r="T109" s="663"/>
      <c r="U109" s="663"/>
      <c r="V109" s="663"/>
      <c r="W109" s="663"/>
      <c r="X109" s="663"/>
      <c r="Y109" s="663"/>
      <c r="Z109" s="663"/>
      <c r="AA109" s="663"/>
      <c r="AB109" s="663"/>
      <c r="AC109" s="663"/>
      <c r="AD109" s="663"/>
      <c r="AE109" s="663"/>
      <c r="AF109" s="663"/>
      <c r="AG109" s="663"/>
    </row>
    <row r="110" spans="1:33" ht="18" hidden="1" customHeight="1" x14ac:dyDescent="0.3">
      <c r="A110" s="660" t="s">
        <v>107</v>
      </c>
      <c r="B110" s="662">
        <v>1</v>
      </c>
      <c r="C110" s="663"/>
      <c r="D110" s="663"/>
      <c r="E110" s="663"/>
      <c r="F110" s="663"/>
      <c r="G110" s="663"/>
      <c r="H110" s="663"/>
      <c r="I110" s="663"/>
      <c r="J110" s="663"/>
      <c r="K110" s="663"/>
      <c r="L110" s="663"/>
      <c r="M110" s="663"/>
      <c r="N110" s="663"/>
      <c r="O110" s="663"/>
      <c r="P110" s="663"/>
      <c r="Q110" s="663"/>
      <c r="R110" s="663"/>
      <c r="S110" s="663"/>
      <c r="T110" s="663"/>
      <c r="U110" s="663"/>
      <c r="V110" s="663"/>
      <c r="W110" s="663"/>
      <c r="X110" s="663"/>
      <c r="Y110" s="663"/>
      <c r="Z110" s="663"/>
      <c r="AA110" s="663"/>
      <c r="AB110" s="663"/>
      <c r="AC110" s="663"/>
      <c r="AD110" s="663"/>
      <c r="AE110" s="663"/>
      <c r="AF110" s="663"/>
      <c r="AG110" s="663"/>
    </row>
    <row r="111" spans="1:33" ht="18" hidden="1" customHeight="1" x14ac:dyDescent="0.3">
      <c r="A111" s="666" t="s">
        <v>18</v>
      </c>
      <c r="B111" s="668">
        <v>0</v>
      </c>
      <c r="C111" s="663"/>
      <c r="D111" s="663"/>
      <c r="E111" s="663"/>
      <c r="F111" s="663"/>
      <c r="G111" s="663"/>
      <c r="H111" s="663"/>
      <c r="I111" s="663"/>
      <c r="J111" s="663"/>
      <c r="K111" s="663"/>
      <c r="L111" s="663"/>
      <c r="M111" s="663"/>
      <c r="N111" s="663"/>
      <c r="O111" s="663"/>
      <c r="P111" s="663"/>
      <c r="Q111" s="663"/>
      <c r="R111" s="663"/>
      <c r="S111" s="663"/>
      <c r="T111" s="663"/>
      <c r="U111" s="663"/>
      <c r="V111" s="663"/>
      <c r="W111" s="663"/>
      <c r="X111" s="663"/>
      <c r="Y111" s="663"/>
      <c r="Z111" s="663"/>
      <c r="AA111" s="663"/>
      <c r="AB111" s="663"/>
      <c r="AC111" s="663"/>
      <c r="AD111" s="663"/>
      <c r="AE111" s="663"/>
      <c r="AF111" s="663"/>
      <c r="AG111" s="663"/>
    </row>
    <row r="112" spans="1:33" ht="18" hidden="1" customHeight="1" x14ac:dyDescent="0.3">
      <c r="A112" s="663"/>
      <c r="B112" s="663"/>
      <c r="C112" s="663"/>
      <c r="D112" s="663"/>
      <c r="E112" s="663"/>
      <c r="F112" s="663"/>
      <c r="G112" s="663"/>
      <c r="H112" s="663"/>
      <c r="I112" s="663"/>
      <c r="J112" s="663"/>
      <c r="K112" s="663"/>
      <c r="L112" s="663"/>
      <c r="M112" s="663"/>
      <c r="N112" s="663"/>
      <c r="O112" s="663"/>
      <c r="P112" s="663"/>
      <c r="Q112" s="663"/>
      <c r="R112" s="663"/>
      <c r="S112" s="663"/>
      <c r="T112" s="663"/>
      <c r="U112" s="663"/>
      <c r="V112" s="663"/>
      <c r="W112" s="663"/>
      <c r="X112" s="663"/>
      <c r="Y112" s="663"/>
      <c r="Z112" s="663"/>
      <c r="AA112" s="663"/>
      <c r="AB112" s="663"/>
      <c r="AC112" s="663"/>
      <c r="AD112" s="663"/>
      <c r="AE112" s="663"/>
      <c r="AF112" s="663"/>
      <c r="AG112" s="663"/>
    </row>
    <row r="113" spans="1:33" ht="18" hidden="1" customHeight="1" x14ac:dyDescent="0.3">
      <c r="A113" s="663"/>
      <c r="B113" s="663"/>
      <c r="C113" s="663"/>
      <c r="D113" s="663"/>
      <c r="E113" s="663"/>
      <c r="F113" s="663"/>
      <c r="G113" s="663"/>
      <c r="H113" s="663"/>
      <c r="I113" s="663"/>
      <c r="J113" s="663"/>
      <c r="K113" s="663"/>
      <c r="L113" s="663"/>
      <c r="M113" s="663"/>
      <c r="N113" s="663"/>
      <c r="O113" s="663"/>
      <c r="P113" s="663"/>
      <c r="Q113" s="663"/>
      <c r="R113" s="663"/>
      <c r="S113" s="663"/>
      <c r="T113" s="663"/>
      <c r="U113" s="663"/>
      <c r="V113" s="663"/>
      <c r="W113" s="663"/>
      <c r="X113" s="663"/>
      <c r="Y113" s="663"/>
      <c r="Z113" s="663"/>
      <c r="AA113" s="663"/>
      <c r="AB113" s="663"/>
      <c r="AC113" s="663"/>
      <c r="AD113" s="663"/>
      <c r="AE113" s="663"/>
      <c r="AF113" s="663"/>
      <c r="AG113" s="663"/>
    </row>
    <row r="114" spans="1:33" ht="18" hidden="1" customHeight="1" x14ac:dyDescent="0.35">
      <c r="A114" s="660" t="s">
        <v>135</v>
      </c>
      <c r="B114" s="641"/>
      <c r="C114" s="663"/>
      <c r="D114" s="663"/>
      <c r="E114" s="663"/>
      <c r="F114" s="663"/>
      <c r="G114" s="663"/>
      <c r="H114" s="663"/>
      <c r="I114" s="663"/>
      <c r="J114" s="663"/>
      <c r="K114" s="663"/>
      <c r="L114" s="663"/>
      <c r="M114" s="663"/>
      <c r="N114" s="663"/>
      <c r="O114" s="663"/>
      <c r="P114" s="663"/>
      <c r="Q114" s="663"/>
      <c r="R114" s="663"/>
      <c r="S114" s="663"/>
      <c r="T114" s="663"/>
      <c r="U114" s="663"/>
      <c r="V114" s="663"/>
      <c r="W114" s="663"/>
      <c r="X114" s="663"/>
      <c r="Y114" s="663"/>
      <c r="Z114" s="663"/>
      <c r="AA114" s="663"/>
      <c r="AB114" s="663"/>
      <c r="AC114" s="663"/>
      <c r="AD114" s="663"/>
      <c r="AE114" s="663"/>
      <c r="AF114" s="663"/>
      <c r="AG114" s="663"/>
    </row>
    <row r="115" spans="1:33" ht="18" hidden="1" customHeight="1" x14ac:dyDescent="0.35">
      <c r="A115" s="664" t="s">
        <v>136</v>
      </c>
      <c r="B115" s="650"/>
      <c r="C115" s="663"/>
      <c r="D115" s="663"/>
      <c r="E115" s="663"/>
      <c r="F115" s="663"/>
      <c r="G115" s="663"/>
      <c r="H115" s="663"/>
      <c r="I115" s="663"/>
      <c r="J115" s="663"/>
      <c r="K115" s="663"/>
      <c r="L115" s="663"/>
      <c r="M115" s="663"/>
      <c r="N115" s="663"/>
      <c r="O115" s="663"/>
      <c r="P115" s="663"/>
      <c r="Q115" s="663"/>
      <c r="R115" s="663"/>
      <c r="S115" s="663"/>
      <c r="T115" s="663"/>
      <c r="U115" s="663"/>
      <c r="V115" s="663"/>
      <c r="W115" s="663"/>
      <c r="X115" s="663"/>
      <c r="Y115" s="663"/>
      <c r="Z115" s="663"/>
      <c r="AA115" s="663"/>
      <c r="AB115" s="663"/>
      <c r="AC115" s="663"/>
      <c r="AD115" s="663"/>
      <c r="AE115" s="663"/>
      <c r="AF115" s="663"/>
      <c r="AG115" s="663"/>
    </row>
    <row r="116" spans="1:33" ht="18" hidden="1" customHeight="1" x14ac:dyDescent="0.35">
      <c r="A116" s="666" t="s">
        <v>24</v>
      </c>
      <c r="B116" s="657"/>
      <c r="C116" s="663"/>
      <c r="D116" s="663"/>
      <c r="E116" s="663"/>
      <c r="F116" s="663"/>
      <c r="G116" s="663"/>
      <c r="H116" s="663"/>
      <c r="I116" s="663"/>
      <c r="J116" s="663"/>
      <c r="K116" s="663"/>
      <c r="L116" s="663"/>
      <c r="M116" s="663"/>
      <c r="N116" s="663"/>
      <c r="O116" s="663"/>
      <c r="P116" s="663"/>
      <c r="Q116" s="663"/>
      <c r="R116" s="663"/>
      <c r="S116" s="663"/>
      <c r="T116" s="663"/>
      <c r="U116" s="663"/>
      <c r="V116" s="663"/>
      <c r="W116" s="663"/>
      <c r="X116" s="663"/>
      <c r="Y116" s="663"/>
      <c r="Z116" s="663"/>
      <c r="AA116" s="663"/>
      <c r="AB116" s="663"/>
      <c r="AC116" s="663"/>
      <c r="AD116" s="663"/>
      <c r="AE116" s="663"/>
      <c r="AF116" s="663"/>
      <c r="AG116" s="663"/>
    </row>
    <row r="117" spans="1:33" ht="18" hidden="1" customHeight="1" x14ac:dyDescent="0.3">
      <c r="A117" s="663"/>
      <c r="B117" s="663"/>
      <c r="C117" s="663"/>
      <c r="D117" s="663"/>
      <c r="E117" s="663"/>
      <c r="F117" s="663"/>
      <c r="G117" s="663"/>
      <c r="H117" s="663"/>
      <c r="I117" s="663"/>
      <c r="J117" s="663"/>
      <c r="K117" s="663"/>
      <c r="L117" s="663"/>
      <c r="M117" s="663"/>
      <c r="N117" s="663"/>
      <c r="O117" s="663"/>
      <c r="P117" s="663"/>
      <c r="Q117" s="663"/>
      <c r="R117" s="663"/>
      <c r="S117" s="663"/>
      <c r="T117" s="663"/>
      <c r="U117" s="663"/>
      <c r="V117" s="663"/>
      <c r="W117" s="663"/>
      <c r="X117" s="663"/>
      <c r="Y117" s="663"/>
      <c r="Z117" s="663"/>
      <c r="AA117" s="663"/>
      <c r="AB117" s="663"/>
      <c r="AC117" s="663"/>
      <c r="AD117" s="663"/>
      <c r="AE117" s="663"/>
      <c r="AF117" s="663"/>
      <c r="AG117" s="663"/>
    </row>
    <row r="118" spans="1:33" ht="18" hidden="1" customHeight="1" x14ac:dyDescent="0.3">
      <c r="A118" s="663"/>
      <c r="B118" s="663"/>
      <c r="C118" s="663"/>
      <c r="D118" s="663"/>
      <c r="E118" s="663"/>
      <c r="F118" s="663"/>
      <c r="G118" s="663"/>
      <c r="H118" s="663"/>
      <c r="I118" s="663"/>
      <c r="J118" s="663"/>
      <c r="K118" s="663"/>
      <c r="L118" s="663"/>
      <c r="M118" s="663"/>
      <c r="N118" s="663"/>
      <c r="O118" s="663"/>
      <c r="P118" s="663"/>
      <c r="Q118" s="663"/>
      <c r="R118" s="663"/>
      <c r="S118" s="663"/>
      <c r="T118" s="663"/>
      <c r="U118" s="663"/>
      <c r="V118" s="663"/>
      <c r="W118" s="663"/>
      <c r="X118" s="663"/>
      <c r="Y118" s="663"/>
      <c r="Z118" s="663"/>
      <c r="AA118" s="663"/>
      <c r="AB118" s="663"/>
      <c r="AC118" s="663"/>
      <c r="AD118" s="663"/>
      <c r="AE118" s="663"/>
      <c r="AF118" s="663"/>
      <c r="AG118" s="663"/>
    </row>
    <row r="119" spans="1:33" ht="18" hidden="1" customHeight="1" x14ac:dyDescent="0.3">
      <c r="A119" s="672" t="s">
        <v>22</v>
      </c>
      <c r="B119" s="662">
        <v>4.2</v>
      </c>
      <c r="C119" s="663"/>
      <c r="D119" s="663"/>
      <c r="E119" s="663"/>
      <c r="F119" s="663"/>
      <c r="G119" s="663"/>
      <c r="H119" s="663"/>
      <c r="I119" s="663"/>
      <c r="J119" s="663"/>
      <c r="K119" s="663"/>
      <c r="L119" s="663"/>
      <c r="M119" s="663"/>
      <c r="N119" s="663"/>
      <c r="O119" s="663"/>
      <c r="P119" s="663"/>
      <c r="Q119" s="663"/>
      <c r="R119" s="663"/>
      <c r="S119" s="663"/>
      <c r="T119" s="663"/>
      <c r="U119" s="663"/>
      <c r="V119" s="663"/>
      <c r="W119" s="663"/>
      <c r="X119" s="663"/>
      <c r="Y119" s="663"/>
      <c r="Z119" s="663"/>
      <c r="AA119" s="663"/>
      <c r="AB119" s="663"/>
      <c r="AC119" s="663"/>
      <c r="AD119" s="663"/>
      <c r="AE119" s="663"/>
      <c r="AF119" s="663"/>
      <c r="AG119" s="663"/>
    </row>
    <row r="120" spans="1:33" ht="18" hidden="1" customHeight="1" x14ac:dyDescent="0.3">
      <c r="A120" s="673" t="s">
        <v>20</v>
      </c>
      <c r="B120" s="665">
        <v>0</v>
      </c>
      <c r="C120" s="663"/>
      <c r="D120" s="663"/>
      <c r="E120" s="663"/>
      <c r="F120" s="663"/>
      <c r="G120" s="663"/>
      <c r="H120" s="663"/>
      <c r="I120" s="663"/>
      <c r="J120" s="663"/>
      <c r="K120" s="663"/>
      <c r="L120" s="663"/>
      <c r="M120" s="663"/>
      <c r="N120" s="663"/>
      <c r="O120" s="663"/>
      <c r="P120" s="663"/>
      <c r="Q120" s="663"/>
      <c r="R120" s="663"/>
      <c r="S120" s="663"/>
      <c r="T120" s="663"/>
      <c r="U120" s="663"/>
      <c r="V120" s="663"/>
      <c r="W120" s="663"/>
      <c r="X120" s="663"/>
      <c r="Y120" s="663"/>
      <c r="Z120" s="663"/>
      <c r="AA120" s="663"/>
      <c r="AB120" s="663"/>
      <c r="AC120" s="663"/>
      <c r="AD120" s="663"/>
      <c r="AE120" s="663"/>
      <c r="AF120" s="663"/>
      <c r="AG120" s="663"/>
    </row>
    <row r="121" spans="1:33" ht="18" hidden="1" customHeight="1" x14ac:dyDescent="0.3">
      <c r="A121" s="674"/>
      <c r="B121" s="668"/>
      <c r="C121" s="663"/>
      <c r="D121" s="663"/>
      <c r="E121" s="663"/>
      <c r="F121" s="663"/>
      <c r="G121" s="663"/>
      <c r="H121" s="663"/>
      <c r="I121" s="663"/>
      <c r="J121" s="663"/>
      <c r="K121" s="663"/>
      <c r="L121" s="663"/>
      <c r="M121" s="663"/>
      <c r="N121" s="663"/>
      <c r="O121" s="663"/>
      <c r="P121" s="663"/>
      <c r="Q121" s="663"/>
      <c r="R121" s="663"/>
      <c r="S121" s="663"/>
      <c r="T121" s="663"/>
      <c r="U121" s="663"/>
      <c r="V121" s="663"/>
      <c r="W121" s="663"/>
      <c r="X121" s="663"/>
      <c r="Y121" s="663"/>
      <c r="Z121" s="663"/>
      <c r="AA121" s="663"/>
      <c r="AB121" s="663"/>
      <c r="AC121" s="663"/>
      <c r="AD121" s="663"/>
      <c r="AE121" s="663"/>
      <c r="AF121" s="663"/>
      <c r="AG121" s="663"/>
    </row>
    <row r="122" spans="1:33" ht="18" hidden="1" customHeight="1" x14ac:dyDescent="0.3">
      <c r="A122" s="663"/>
      <c r="B122" s="663"/>
      <c r="C122" s="663"/>
      <c r="D122" s="663"/>
      <c r="E122" s="663"/>
      <c r="F122" s="663"/>
      <c r="G122" s="663"/>
      <c r="H122" s="663"/>
      <c r="I122" s="663"/>
      <c r="J122" s="663"/>
      <c r="K122" s="663"/>
      <c r="L122" s="663"/>
      <c r="M122" s="663"/>
      <c r="N122" s="663"/>
      <c r="O122" s="663"/>
      <c r="P122" s="663"/>
      <c r="Q122" s="663"/>
      <c r="R122" s="663"/>
      <c r="S122" s="663"/>
      <c r="T122" s="663"/>
      <c r="U122" s="663"/>
      <c r="V122" s="663"/>
      <c r="W122" s="663"/>
      <c r="X122" s="663"/>
      <c r="Y122" s="663"/>
      <c r="Z122" s="663"/>
      <c r="AA122" s="663"/>
      <c r="AB122" s="663"/>
      <c r="AC122" s="663"/>
      <c r="AD122" s="663"/>
      <c r="AE122" s="663"/>
      <c r="AF122" s="663"/>
      <c r="AG122" s="663"/>
    </row>
    <row r="123" spans="1:33" ht="18" hidden="1" customHeight="1" x14ac:dyDescent="0.3">
      <c r="A123" s="666" t="s">
        <v>12</v>
      </c>
      <c r="B123" s="667" t="s">
        <v>90</v>
      </c>
      <c r="C123" s="667" t="s">
        <v>90</v>
      </c>
      <c r="D123" s="668">
        <v>2.1</v>
      </c>
      <c r="E123" s="663"/>
      <c r="F123" s="663"/>
      <c r="G123" s="663"/>
      <c r="H123" s="663"/>
      <c r="I123" s="663"/>
      <c r="J123" s="663"/>
      <c r="K123" s="663"/>
      <c r="L123" s="663"/>
      <c r="M123" s="663"/>
      <c r="N123" s="663"/>
      <c r="O123" s="663"/>
      <c r="P123" s="663"/>
      <c r="Q123" s="663"/>
      <c r="R123" s="663"/>
      <c r="S123" s="663"/>
      <c r="T123" s="663"/>
      <c r="U123" s="663"/>
      <c r="V123" s="663"/>
      <c r="W123" s="663"/>
      <c r="X123" s="663"/>
      <c r="Y123" s="663"/>
      <c r="Z123" s="663"/>
      <c r="AA123" s="663"/>
      <c r="AB123" s="663"/>
      <c r="AC123" s="663"/>
      <c r="AD123" s="663"/>
      <c r="AE123" s="663"/>
      <c r="AF123" s="663"/>
      <c r="AG123" s="663"/>
    </row>
    <row r="124" spans="1:33" ht="18" hidden="1" customHeight="1" x14ac:dyDescent="0.3">
      <c r="A124" s="663"/>
      <c r="B124" s="663"/>
      <c r="C124" s="663"/>
      <c r="D124" s="663"/>
      <c r="E124" s="663"/>
      <c r="F124" s="663"/>
      <c r="G124" s="663"/>
      <c r="H124" s="663"/>
      <c r="I124" s="663"/>
      <c r="J124" s="663"/>
      <c r="K124" s="663"/>
      <c r="L124" s="663"/>
      <c r="M124" s="663"/>
      <c r="N124" s="663"/>
      <c r="O124" s="663"/>
      <c r="P124" s="663"/>
      <c r="Q124" s="663"/>
      <c r="R124" s="663"/>
      <c r="S124" s="663"/>
      <c r="T124" s="663"/>
      <c r="U124" s="663"/>
      <c r="V124" s="663"/>
      <c r="W124" s="663"/>
      <c r="X124" s="663"/>
      <c r="Y124" s="663"/>
      <c r="Z124" s="663"/>
      <c r="AA124" s="663"/>
      <c r="AB124" s="663"/>
      <c r="AC124" s="663"/>
      <c r="AD124" s="663"/>
      <c r="AE124" s="663"/>
      <c r="AF124" s="663"/>
      <c r="AG124" s="663"/>
    </row>
    <row r="125" spans="1:33" ht="18" hidden="1" customHeight="1" x14ac:dyDescent="0.3">
      <c r="A125" s="660" t="s">
        <v>16</v>
      </c>
      <c r="B125" s="661">
        <v>0</v>
      </c>
      <c r="C125" s="662">
        <v>0</v>
      </c>
      <c r="D125" s="663"/>
      <c r="E125" s="663"/>
      <c r="F125" s="663"/>
      <c r="G125" s="663"/>
      <c r="H125" s="663"/>
      <c r="I125" s="663"/>
      <c r="J125" s="663"/>
      <c r="K125" s="663"/>
      <c r="L125" s="663"/>
      <c r="M125" s="663"/>
      <c r="N125" s="663"/>
      <c r="O125" s="663"/>
      <c r="P125" s="663"/>
      <c r="Q125" s="663"/>
      <c r="R125" s="663"/>
      <c r="S125" s="663"/>
      <c r="T125" s="663"/>
      <c r="U125" s="663"/>
      <c r="V125" s="663"/>
      <c r="W125" s="663"/>
      <c r="X125" s="663"/>
      <c r="Y125" s="663"/>
      <c r="Z125" s="663"/>
      <c r="AA125" s="663"/>
      <c r="AB125" s="663"/>
      <c r="AC125" s="663"/>
      <c r="AD125" s="663"/>
      <c r="AE125" s="663"/>
      <c r="AF125" s="663"/>
      <c r="AG125" s="663"/>
    </row>
    <row r="126" spans="1:33" ht="18" hidden="1" customHeight="1" x14ac:dyDescent="0.3">
      <c r="A126" s="664" t="s">
        <v>334</v>
      </c>
      <c r="B126" s="663">
        <v>0.7</v>
      </c>
      <c r="C126" s="665">
        <v>2</v>
      </c>
      <c r="D126" s="663">
        <v>1</v>
      </c>
      <c r="E126" s="663"/>
      <c r="F126" s="663"/>
      <c r="G126" s="663"/>
      <c r="H126" s="663"/>
      <c r="I126" s="663"/>
      <c r="J126" s="663"/>
      <c r="K126" s="663"/>
      <c r="L126" s="663"/>
      <c r="M126" s="663"/>
      <c r="N126" s="663"/>
      <c r="O126" s="663"/>
      <c r="P126" s="663"/>
      <c r="Q126" s="663"/>
      <c r="R126" s="663"/>
      <c r="S126" s="663"/>
      <c r="T126" s="663"/>
      <c r="U126" s="663"/>
      <c r="V126" s="663"/>
      <c r="W126" s="663"/>
      <c r="X126" s="663"/>
      <c r="Y126" s="663"/>
      <c r="Z126" s="663"/>
      <c r="AA126" s="663"/>
      <c r="AB126" s="663"/>
      <c r="AC126" s="663"/>
      <c r="AD126" s="663"/>
      <c r="AE126" s="663"/>
      <c r="AF126" s="663"/>
      <c r="AG126" s="663"/>
    </row>
    <row r="127" spans="1:33" ht="18" hidden="1" customHeight="1" x14ac:dyDescent="0.3">
      <c r="A127" s="664" t="s">
        <v>335</v>
      </c>
      <c r="B127" s="663">
        <v>1</v>
      </c>
      <c r="C127" s="665">
        <v>8</v>
      </c>
      <c r="D127" s="663">
        <v>5.3</v>
      </c>
      <c r="E127" s="663"/>
      <c r="F127" s="663"/>
      <c r="G127" s="663"/>
      <c r="H127" s="663"/>
      <c r="I127" s="663"/>
      <c r="J127" s="663"/>
      <c r="K127" s="663"/>
      <c r="L127" s="663"/>
      <c r="M127" s="663"/>
      <c r="N127" s="663"/>
      <c r="O127" s="663"/>
      <c r="P127" s="663"/>
      <c r="Q127" s="663"/>
      <c r="R127" s="663"/>
      <c r="S127" s="663"/>
      <c r="T127" s="663"/>
      <c r="U127" s="663"/>
      <c r="V127" s="663"/>
      <c r="W127" s="663"/>
      <c r="X127" s="663"/>
      <c r="Y127" s="663"/>
      <c r="Z127" s="663"/>
      <c r="AA127" s="663"/>
      <c r="AB127" s="663"/>
      <c r="AC127" s="663"/>
      <c r="AD127" s="663"/>
      <c r="AE127" s="663"/>
      <c r="AF127" s="663"/>
      <c r="AG127" s="663"/>
    </row>
    <row r="128" spans="1:33" ht="18" hidden="1" customHeight="1" x14ac:dyDescent="0.3">
      <c r="A128" s="664" t="s">
        <v>336</v>
      </c>
      <c r="B128" s="663">
        <f>1.5+2</f>
        <v>3.5</v>
      </c>
      <c r="C128" s="665">
        <v>19</v>
      </c>
      <c r="D128" s="663">
        <v>6.3</v>
      </c>
      <c r="E128" s="663"/>
      <c r="F128" s="663"/>
      <c r="G128" s="663"/>
      <c r="H128" s="663"/>
      <c r="I128" s="663"/>
      <c r="J128" s="663"/>
      <c r="K128" s="663"/>
      <c r="L128" s="663"/>
      <c r="M128" s="663"/>
      <c r="N128" s="663"/>
      <c r="O128" s="663"/>
      <c r="P128" s="663"/>
      <c r="Q128" s="663"/>
      <c r="R128" s="663"/>
      <c r="S128" s="663"/>
      <c r="T128" s="663"/>
      <c r="U128" s="663"/>
      <c r="V128" s="663"/>
      <c r="W128" s="663"/>
      <c r="X128" s="663"/>
      <c r="Y128" s="663"/>
      <c r="Z128" s="663"/>
      <c r="AA128" s="663"/>
      <c r="AB128" s="663"/>
      <c r="AC128" s="663"/>
      <c r="AD128" s="663"/>
      <c r="AE128" s="663"/>
      <c r="AF128" s="663"/>
      <c r="AG128" s="663"/>
    </row>
    <row r="129" spans="1:33" ht="18" hidden="1" customHeight="1" x14ac:dyDescent="0.3">
      <c r="A129" s="664" t="s">
        <v>337</v>
      </c>
      <c r="B129" s="663">
        <f>1.5+2+1</f>
        <v>4.5</v>
      </c>
      <c r="C129" s="665">
        <v>22</v>
      </c>
      <c r="D129" s="663">
        <v>6.5</v>
      </c>
      <c r="E129" s="663"/>
      <c r="F129" s="663"/>
      <c r="G129" s="663"/>
      <c r="H129" s="663"/>
      <c r="I129" s="663"/>
      <c r="J129" s="663"/>
      <c r="K129" s="663"/>
      <c r="L129" s="663"/>
      <c r="M129" s="663"/>
      <c r="N129" s="663"/>
      <c r="O129" s="663"/>
      <c r="P129" s="663"/>
      <c r="Q129" s="663"/>
      <c r="R129" s="663"/>
      <c r="S129" s="663"/>
      <c r="T129" s="663"/>
      <c r="U129" s="663"/>
      <c r="V129" s="663"/>
      <c r="W129" s="663"/>
      <c r="X129" s="663"/>
      <c r="Y129" s="663"/>
      <c r="Z129" s="663"/>
      <c r="AA129" s="663"/>
      <c r="AB129" s="663"/>
      <c r="AC129" s="663"/>
      <c r="AD129" s="663"/>
      <c r="AE129" s="663"/>
      <c r="AF129" s="663"/>
      <c r="AG129" s="663"/>
    </row>
    <row r="130" spans="1:33" ht="18" hidden="1" customHeight="1" x14ac:dyDescent="0.3">
      <c r="A130" s="664" t="s">
        <v>338</v>
      </c>
      <c r="B130" s="663">
        <v>1.5</v>
      </c>
      <c r="C130" s="665">
        <v>11</v>
      </c>
      <c r="D130" s="663">
        <v>5.95</v>
      </c>
      <c r="E130" s="663"/>
      <c r="F130" s="663"/>
      <c r="G130" s="663"/>
      <c r="H130" s="663"/>
      <c r="I130" s="663"/>
      <c r="J130" s="663"/>
      <c r="K130" s="663"/>
      <c r="L130" s="663"/>
      <c r="M130" s="663"/>
      <c r="N130" s="663"/>
      <c r="O130" s="663"/>
      <c r="P130" s="663"/>
      <c r="Q130" s="663"/>
      <c r="R130" s="663"/>
      <c r="S130" s="663"/>
      <c r="T130" s="663"/>
      <c r="U130" s="663"/>
      <c r="V130" s="663"/>
      <c r="W130" s="663"/>
      <c r="X130" s="663"/>
      <c r="Y130" s="663"/>
      <c r="Z130" s="663"/>
      <c r="AA130" s="663"/>
      <c r="AB130" s="663"/>
      <c r="AC130" s="663"/>
      <c r="AD130" s="663"/>
      <c r="AE130" s="663"/>
      <c r="AF130" s="663"/>
      <c r="AG130" s="663"/>
    </row>
    <row r="131" spans="1:33" ht="18" hidden="1" customHeight="1" x14ac:dyDescent="0.3">
      <c r="A131" s="664" t="s">
        <v>339</v>
      </c>
      <c r="B131" s="667">
        <v>2.5</v>
      </c>
      <c r="C131" s="668">
        <v>13</v>
      </c>
      <c r="D131" s="663">
        <v>6.1</v>
      </c>
      <c r="E131" s="663"/>
      <c r="F131" s="663"/>
      <c r="G131" s="663"/>
      <c r="H131" s="663"/>
      <c r="I131" s="663"/>
      <c r="J131" s="663"/>
      <c r="K131" s="663"/>
      <c r="L131" s="663"/>
      <c r="M131" s="663"/>
      <c r="N131" s="663"/>
      <c r="O131" s="663"/>
      <c r="P131" s="663"/>
      <c r="Q131" s="663"/>
      <c r="R131" s="663"/>
      <c r="S131" s="663"/>
      <c r="T131" s="663"/>
      <c r="U131" s="663"/>
      <c r="V131" s="663"/>
      <c r="W131" s="663"/>
      <c r="X131" s="663"/>
      <c r="Y131" s="663"/>
      <c r="Z131" s="663"/>
      <c r="AA131" s="663"/>
      <c r="AB131" s="663"/>
      <c r="AC131" s="663"/>
      <c r="AD131" s="663"/>
      <c r="AE131" s="663"/>
      <c r="AF131" s="663"/>
      <c r="AG131" s="663"/>
    </row>
    <row r="132" spans="1:33" ht="18" hidden="1" customHeight="1" x14ac:dyDescent="0.3">
      <c r="A132" s="663"/>
      <c r="B132" s="663"/>
      <c r="C132" s="663"/>
      <c r="D132" s="663"/>
      <c r="E132" s="663"/>
      <c r="F132" s="663"/>
      <c r="G132" s="663"/>
      <c r="H132" s="663"/>
      <c r="I132" s="663"/>
      <c r="J132" s="663"/>
      <c r="K132" s="663"/>
      <c r="L132" s="663"/>
      <c r="M132" s="663"/>
      <c r="N132" s="663"/>
      <c r="O132" s="663"/>
      <c r="P132" s="663"/>
      <c r="Q132" s="663"/>
      <c r="R132" s="663"/>
      <c r="S132" s="663"/>
      <c r="T132" s="663"/>
      <c r="U132" s="663"/>
      <c r="V132" s="663"/>
      <c r="W132" s="663"/>
      <c r="X132" s="663"/>
      <c r="Y132" s="663"/>
      <c r="Z132" s="663"/>
      <c r="AA132" s="663"/>
      <c r="AB132" s="663"/>
      <c r="AC132" s="663"/>
      <c r="AD132" s="663"/>
      <c r="AE132" s="663"/>
      <c r="AF132" s="663"/>
      <c r="AG132" s="663"/>
    </row>
    <row r="133" spans="1:33" ht="18" hidden="1" customHeight="1" x14ac:dyDescent="0.3">
      <c r="A133" s="663"/>
      <c r="B133" s="663"/>
      <c r="C133" s="663"/>
      <c r="D133" s="663"/>
      <c r="E133" s="663"/>
      <c r="F133" s="663"/>
      <c r="G133" s="663"/>
      <c r="H133" s="663"/>
      <c r="I133" s="663"/>
      <c r="J133" s="663"/>
      <c r="K133" s="663"/>
      <c r="L133" s="663"/>
      <c r="M133" s="663"/>
      <c r="N133" s="663"/>
      <c r="O133" s="663"/>
      <c r="P133" s="663"/>
      <c r="Q133" s="663"/>
      <c r="R133" s="663"/>
      <c r="S133" s="663"/>
      <c r="T133" s="663"/>
      <c r="U133" s="663"/>
      <c r="V133" s="663"/>
      <c r="W133" s="663"/>
      <c r="X133" s="663"/>
      <c r="Y133" s="663"/>
      <c r="Z133" s="663"/>
      <c r="AA133" s="663"/>
      <c r="AB133" s="663"/>
      <c r="AC133" s="663"/>
      <c r="AD133" s="663"/>
      <c r="AE133" s="663"/>
      <c r="AF133" s="663"/>
      <c r="AG133" s="663"/>
    </row>
    <row r="134" spans="1:33" ht="18" hidden="1" customHeight="1" x14ac:dyDescent="0.3">
      <c r="A134" s="660" t="s">
        <v>113</v>
      </c>
      <c r="B134" s="661">
        <v>1</v>
      </c>
      <c r="C134" s="662">
        <v>5</v>
      </c>
      <c r="D134" s="663"/>
      <c r="E134" s="663"/>
      <c r="F134" s="663"/>
      <c r="G134" s="663"/>
      <c r="H134" s="663"/>
      <c r="I134" s="663"/>
      <c r="J134" s="663"/>
      <c r="K134" s="663"/>
      <c r="L134" s="663"/>
      <c r="M134" s="663"/>
      <c r="N134" s="663"/>
      <c r="O134" s="663"/>
      <c r="P134" s="663"/>
      <c r="Q134" s="663"/>
      <c r="R134" s="663"/>
      <c r="S134" s="663"/>
      <c r="T134" s="663"/>
      <c r="U134" s="663"/>
      <c r="V134" s="663"/>
      <c r="W134" s="663"/>
      <c r="X134" s="663"/>
      <c r="Y134" s="663"/>
      <c r="Z134" s="663"/>
      <c r="AA134" s="663"/>
      <c r="AB134" s="663"/>
      <c r="AC134" s="663"/>
      <c r="AD134" s="663"/>
      <c r="AE134" s="663"/>
      <c r="AF134" s="663"/>
      <c r="AG134" s="663"/>
    </row>
    <row r="135" spans="1:33" ht="18" hidden="1" customHeight="1" x14ac:dyDescent="0.3">
      <c r="A135" s="664" t="s">
        <v>16</v>
      </c>
      <c r="B135" s="663"/>
      <c r="C135" s="665"/>
      <c r="D135" s="663"/>
      <c r="E135" s="663"/>
      <c r="F135" s="663"/>
      <c r="G135" s="663"/>
      <c r="H135" s="663"/>
      <c r="I135" s="663"/>
      <c r="J135" s="663"/>
      <c r="K135" s="663"/>
      <c r="L135" s="663"/>
      <c r="M135" s="663"/>
      <c r="N135" s="663"/>
      <c r="O135" s="663"/>
      <c r="P135" s="663"/>
      <c r="Q135" s="663"/>
      <c r="R135" s="663"/>
      <c r="S135" s="663"/>
      <c r="T135" s="663"/>
      <c r="U135" s="663"/>
      <c r="V135" s="663"/>
      <c r="W135" s="663"/>
      <c r="X135" s="663"/>
      <c r="Y135" s="663"/>
      <c r="Z135" s="663"/>
      <c r="AA135" s="663"/>
      <c r="AB135" s="663"/>
      <c r="AC135" s="663"/>
      <c r="AD135" s="663"/>
      <c r="AE135" s="663"/>
      <c r="AF135" s="663"/>
      <c r="AG135" s="663"/>
    </row>
    <row r="136" spans="1:33" ht="18" hidden="1" customHeight="1" x14ac:dyDescent="0.3">
      <c r="A136" s="664" t="s">
        <v>37</v>
      </c>
      <c r="B136" s="663">
        <v>1</v>
      </c>
      <c r="C136" s="665">
        <v>5</v>
      </c>
      <c r="D136" s="663"/>
      <c r="E136" s="663"/>
      <c r="F136" s="663"/>
      <c r="G136" s="663"/>
      <c r="H136" s="663"/>
      <c r="I136" s="663"/>
      <c r="J136" s="663"/>
      <c r="K136" s="663"/>
      <c r="L136" s="663"/>
      <c r="M136" s="663"/>
      <c r="N136" s="663"/>
      <c r="O136" s="663"/>
      <c r="P136" s="663"/>
      <c r="Q136" s="663"/>
      <c r="R136" s="663"/>
      <c r="S136" s="663"/>
      <c r="T136" s="663"/>
      <c r="U136" s="663"/>
      <c r="V136" s="663"/>
      <c r="W136" s="663"/>
      <c r="X136" s="663"/>
      <c r="Y136" s="663"/>
      <c r="Z136" s="663"/>
      <c r="AA136" s="663"/>
      <c r="AB136" s="663"/>
      <c r="AC136" s="663"/>
      <c r="AD136" s="663"/>
      <c r="AE136" s="663"/>
      <c r="AF136" s="663"/>
      <c r="AG136" s="663"/>
    </row>
    <row r="137" spans="1:33" ht="18" hidden="1" customHeight="1" x14ac:dyDescent="0.3">
      <c r="A137" s="664" t="s">
        <v>105</v>
      </c>
      <c r="B137" s="663">
        <v>1</v>
      </c>
      <c r="C137" s="665">
        <v>3</v>
      </c>
      <c r="D137" s="663"/>
      <c r="E137" s="663"/>
      <c r="F137" s="663"/>
      <c r="G137" s="663"/>
      <c r="H137" s="663"/>
      <c r="I137" s="663"/>
      <c r="J137" s="663"/>
      <c r="K137" s="663"/>
      <c r="L137" s="663"/>
      <c r="M137" s="663"/>
      <c r="N137" s="663"/>
      <c r="O137" s="663"/>
      <c r="P137" s="663"/>
      <c r="Q137" s="663"/>
      <c r="R137" s="663"/>
      <c r="S137" s="663"/>
      <c r="T137" s="663"/>
      <c r="U137" s="663"/>
      <c r="V137" s="663"/>
      <c r="W137" s="663"/>
      <c r="X137" s="663"/>
      <c r="Y137" s="663"/>
      <c r="Z137" s="663"/>
      <c r="AA137" s="663"/>
      <c r="AB137" s="663"/>
      <c r="AC137" s="663"/>
      <c r="AD137" s="663"/>
      <c r="AE137" s="663"/>
      <c r="AF137" s="663"/>
      <c r="AG137" s="663"/>
    </row>
    <row r="138" spans="1:33" ht="18" hidden="1" customHeight="1" x14ac:dyDescent="0.3">
      <c r="A138" s="664" t="s">
        <v>27</v>
      </c>
      <c r="B138" s="663">
        <v>1</v>
      </c>
      <c r="C138" s="665">
        <v>5</v>
      </c>
      <c r="D138" s="663"/>
      <c r="E138" s="663"/>
      <c r="F138" s="663"/>
      <c r="G138" s="663"/>
      <c r="H138" s="663"/>
      <c r="I138" s="663"/>
      <c r="J138" s="663"/>
      <c r="K138" s="663"/>
      <c r="L138" s="663"/>
      <c r="M138" s="663"/>
      <c r="N138" s="663"/>
      <c r="O138" s="663"/>
      <c r="P138" s="663"/>
      <c r="Q138" s="663"/>
      <c r="R138" s="663"/>
      <c r="S138" s="663"/>
      <c r="T138" s="663"/>
      <c r="U138" s="663"/>
      <c r="V138" s="663"/>
      <c r="W138" s="663"/>
      <c r="X138" s="663"/>
      <c r="Y138" s="663"/>
      <c r="Z138" s="663"/>
      <c r="AA138" s="663"/>
      <c r="AB138" s="663"/>
      <c r="AC138" s="663"/>
      <c r="AD138" s="663"/>
      <c r="AE138" s="663"/>
      <c r="AF138" s="663"/>
      <c r="AG138" s="663"/>
    </row>
    <row r="139" spans="1:33" ht="18" hidden="1" customHeight="1" x14ac:dyDescent="0.3">
      <c r="A139" s="664" t="s">
        <v>126</v>
      </c>
      <c r="B139" s="663">
        <v>1</v>
      </c>
      <c r="C139" s="665">
        <v>2.2000000000000002</v>
      </c>
      <c r="D139" s="663"/>
      <c r="E139" s="663"/>
      <c r="F139" s="663"/>
      <c r="G139" s="663"/>
      <c r="H139" s="663"/>
      <c r="I139" s="663"/>
      <c r="J139" s="663"/>
      <c r="K139" s="663"/>
      <c r="L139" s="663"/>
      <c r="M139" s="663"/>
      <c r="N139" s="663"/>
      <c r="O139" s="663"/>
      <c r="P139" s="663"/>
      <c r="Q139" s="663"/>
      <c r="R139" s="663"/>
      <c r="S139" s="663"/>
      <c r="T139" s="663"/>
      <c r="U139" s="663"/>
      <c r="V139" s="663"/>
      <c r="W139" s="663"/>
      <c r="X139" s="663"/>
      <c r="Y139" s="663"/>
      <c r="Z139" s="663"/>
      <c r="AA139" s="663"/>
      <c r="AB139" s="663"/>
      <c r="AC139" s="663"/>
      <c r="AD139" s="663"/>
      <c r="AE139" s="663"/>
      <c r="AF139" s="663"/>
      <c r="AG139" s="663"/>
    </row>
    <row r="140" spans="1:33" ht="18" hidden="1" customHeight="1" x14ac:dyDescent="0.3">
      <c r="A140" s="664" t="s">
        <v>128</v>
      </c>
      <c r="B140" s="663">
        <v>1</v>
      </c>
      <c r="C140" s="665">
        <v>3.2</v>
      </c>
      <c r="D140" s="663"/>
      <c r="E140" s="663"/>
      <c r="F140" s="663"/>
      <c r="G140" s="663"/>
      <c r="H140" s="663"/>
      <c r="I140" s="663"/>
      <c r="J140" s="663"/>
      <c r="K140" s="663"/>
      <c r="L140" s="663"/>
      <c r="M140" s="663"/>
      <c r="N140" s="663"/>
      <c r="O140" s="663"/>
      <c r="P140" s="663"/>
      <c r="Q140" s="663"/>
      <c r="R140" s="663"/>
      <c r="S140" s="663"/>
      <c r="T140" s="663"/>
      <c r="U140" s="663"/>
      <c r="V140" s="663"/>
      <c r="W140" s="663"/>
      <c r="X140" s="663"/>
      <c r="Y140" s="663"/>
      <c r="Z140" s="663"/>
      <c r="AA140" s="663"/>
      <c r="AB140" s="663"/>
      <c r="AC140" s="663"/>
      <c r="AD140" s="663"/>
      <c r="AE140" s="663"/>
      <c r="AF140" s="663"/>
      <c r="AG140" s="663"/>
    </row>
    <row r="141" spans="1:33" ht="18" hidden="1" customHeight="1" x14ac:dyDescent="0.3">
      <c r="A141" s="664" t="s">
        <v>340</v>
      </c>
      <c r="B141" s="663">
        <v>1</v>
      </c>
      <c r="C141" s="665">
        <v>3.2</v>
      </c>
      <c r="D141" s="663"/>
      <c r="E141" s="663"/>
      <c r="F141" s="663"/>
      <c r="G141" s="663"/>
      <c r="H141" s="663"/>
      <c r="I141" s="663"/>
      <c r="J141" s="663"/>
      <c r="K141" s="663"/>
      <c r="L141" s="663"/>
      <c r="M141" s="663"/>
      <c r="N141" s="663"/>
      <c r="O141" s="663"/>
      <c r="P141" s="663"/>
      <c r="Q141" s="663"/>
      <c r="R141" s="663"/>
      <c r="S141" s="663"/>
      <c r="T141" s="663"/>
      <c r="U141" s="663"/>
      <c r="V141" s="663"/>
      <c r="W141" s="663"/>
      <c r="X141" s="663"/>
      <c r="Y141" s="663"/>
      <c r="Z141" s="663"/>
      <c r="AA141" s="663"/>
      <c r="AB141" s="663"/>
      <c r="AC141" s="663"/>
      <c r="AD141" s="663"/>
      <c r="AE141" s="663"/>
      <c r="AF141" s="663"/>
      <c r="AG141" s="663"/>
    </row>
    <row r="142" spans="1:33" ht="18" hidden="1" customHeight="1" x14ac:dyDescent="0.3">
      <c r="A142" s="664" t="s">
        <v>203</v>
      </c>
      <c r="B142" s="663">
        <v>1</v>
      </c>
      <c r="C142" s="665">
        <v>5.3</v>
      </c>
      <c r="D142" s="663"/>
      <c r="E142" s="663"/>
      <c r="F142" s="663"/>
      <c r="G142" s="663"/>
      <c r="H142" s="663"/>
      <c r="I142" s="663"/>
      <c r="J142" s="663"/>
      <c r="K142" s="663"/>
      <c r="L142" s="663"/>
      <c r="M142" s="663"/>
      <c r="N142" s="663"/>
      <c r="O142" s="663"/>
      <c r="P142" s="663"/>
      <c r="Q142" s="663"/>
      <c r="R142" s="663"/>
      <c r="S142" s="663"/>
      <c r="T142" s="663"/>
      <c r="U142" s="663"/>
      <c r="V142" s="663"/>
      <c r="W142" s="663"/>
      <c r="X142" s="663"/>
      <c r="Y142" s="663"/>
      <c r="Z142" s="663"/>
      <c r="AA142" s="663"/>
      <c r="AB142" s="663"/>
      <c r="AC142" s="663"/>
      <c r="AD142" s="663"/>
      <c r="AE142" s="663"/>
      <c r="AF142" s="663"/>
      <c r="AG142" s="663"/>
    </row>
    <row r="143" spans="1:33" ht="18" hidden="1" customHeight="1" x14ac:dyDescent="0.3">
      <c r="A143" s="666" t="s">
        <v>341</v>
      </c>
      <c r="B143" s="667">
        <v>1</v>
      </c>
      <c r="C143" s="668">
        <v>5.3</v>
      </c>
      <c r="D143" s="663"/>
      <c r="E143" s="663"/>
      <c r="F143" s="663"/>
      <c r="G143" s="663"/>
      <c r="H143" s="663"/>
      <c r="I143" s="663"/>
      <c r="J143" s="663"/>
      <c r="K143" s="663"/>
      <c r="L143" s="663"/>
      <c r="M143" s="663"/>
      <c r="N143" s="663"/>
      <c r="O143" s="663"/>
      <c r="P143" s="663"/>
      <c r="Q143" s="663"/>
      <c r="R143" s="663"/>
      <c r="S143" s="663"/>
      <c r="T143" s="663"/>
      <c r="U143" s="663"/>
      <c r="V143" s="663"/>
      <c r="W143" s="663"/>
      <c r="X143" s="663"/>
      <c r="Y143" s="663"/>
      <c r="Z143" s="663"/>
      <c r="AA143" s="663"/>
      <c r="AB143" s="663"/>
      <c r="AC143" s="663"/>
      <c r="AD143" s="663"/>
      <c r="AE143" s="663"/>
      <c r="AF143" s="663"/>
      <c r="AG143" s="663"/>
    </row>
    <row r="144" spans="1:33" ht="18" hidden="1" customHeight="1" x14ac:dyDescent="0.3">
      <c r="A144" s="663"/>
      <c r="B144" s="663"/>
      <c r="C144" s="663"/>
      <c r="D144" s="663"/>
      <c r="E144" s="663"/>
      <c r="F144" s="663"/>
      <c r="G144" s="663"/>
      <c r="H144" s="663"/>
      <c r="I144" s="663"/>
      <c r="J144" s="663"/>
      <c r="K144" s="663"/>
      <c r="L144" s="663"/>
      <c r="M144" s="663"/>
      <c r="N144" s="663"/>
      <c r="O144" s="663"/>
      <c r="P144" s="663"/>
      <c r="Q144" s="663"/>
      <c r="R144" s="663"/>
      <c r="S144" s="663"/>
      <c r="T144" s="663"/>
      <c r="U144" s="663"/>
      <c r="V144" s="663"/>
      <c r="W144" s="663"/>
      <c r="X144" s="663"/>
      <c r="Y144" s="663"/>
      <c r="Z144" s="663"/>
      <c r="AA144" s="663"/>
      <c r="AB144" s="663"/>
      <c r="AC144" s="663"/>
      <c r="AD144" s="663"/>
      <c r="AE144" s="663"/>
      <c r="AF144" s="663"/>
      <c r="AG144" s="663"/>
    </row>
    <row r="145" spans="1:33" ht="18" hidden="1" customHeight="1" x14ac:dyDescent="0.3">
      <c r="A145" s="660" t="s">
        <v>342</v>
      </c>
      <c r="B145" s="661">
        <v>8</v>
      </c>
      <c r="C145" s="661" t="s">
        <v>342</v>
      </c>
      <c r="D145" s="662" t="s">
        <v>37</v>
      </c>
      <c r="E145" s="663"/>
      <c r="F145" s="663"/>
      <c r="G145" s="663"/>
      <c r="H145" s="663"/>
      <c r="I145" s="663"/>
      <c r="J145" s="663"/>
      <c r="K145" s="663"/>
      <c r="L145" s="663"/>
      <c r="M145" s="663"/>
      <c r="N145" s="663"/>
      <c r="O145" s="663"/>
      <c r="P145" s="663"/>
      <c r="Q145" s="663"/>
      <c r="R145" s="663"/>
      <c r="S145" s="663"/>
      <c r="T145" s="663"/>
      <c r="U145" s="663"/>
      <c r="V145" s="663"/>
      <c r="W145" s="663"/>
      <c r="X145" s="663"/>
      <c r="Y145" s="663"/>
      <c r="Z145" s="663"/>
      <c r="AA145" s="663"/>
      <c r="AB145" s="663"/>
      <c r="AC145" s="663"/>
      <c r="AD145" s="663"/>
      <c r="AE145" s="663"/>
      <c r="AF145" s="663"/>
      <c r="AG145" s="663"/>
    </row>
    <row r="146" spans="1:33" ht="18" hidden="1" customHeight="1" x14ac:dyDescent="0.3">
      <c r="A146" s="664" t="s">
        <v>307</v>
      </c>
      <c r="B146" s="663">
        <v>5.2</v>
      </c>
      <c r="C146" s="663" t="s">
        <v>343</v>
      </c>
      <c r="D146" s="665" t="s">
        <v>203</v>
      </c>
      <c r="E146" s="663"/>
      <c r="F146" s="663"/>
      <c r="G146" s="663"/>
      <c r="H146" s="663"/>
      <c r="I146" s="663"/>
      <c r="J146" s="663"/>
      <c r="K146" s="663"/>
      <c r="L146" s="663"/>
      <c r="M146" s="663"/>
      <c r="N146" s="663"/>
      <c r="O146" s="663"/>
      <c r="P146" s="663"/>
      <c r="Q146" s="663"/>
      <c r="R146" s="663"/>
      <c r="S146" s="663"/>
      <c r="T146" s="663"/>
      <c r="U146" s="663"/>
      <c r="V146" s="663"/>
      <c r="W146" s="663"/>
      <c r="X146" s="663"/>
      <c r="Y146" s="663"/>
      <c r="Z146" s="663"/>
      <c r="AA146" s="663"/>
      <c r="AB146" s="663"/>
      <c r="AC146" s="663"/>
      <c r="AD146" s="663"/>
      <c r="AE146" s="663"/>
      <c r="AF146" s="663"/>
      <c r="AG146" s="663"/>
    </row>
    <row r="147" spans="1:33" ht="18" hidden="1" customHeight="1" x14ac:dyDescent="0.3">
      <c r="A147" s="666" t="s">
        <v>344</v>
      </c>
      <c r="B147" s="667">
        <v>5.2</v>
      </c>
      <c r="C147" s="667" t="s">
        <v>341</v>
      </c>
      <c r="D147" s="668" t="s">
        <v>341</v>
      </c>
      <c r="E147" s="663"/>
      <c r="F147" s="663"/>
      <c r="G147" s="663"/>
      <c r="H147" s="663"/>
      <c r="I147" s="663"/>
      <c r="J147" s="663"/>
      <c r="K147" s="663"/>
      <c r="L147" s="663"/>
      <c r="M147" s="663"/>
      <c r="N147" s="663"/>
      <c r="O147" s="663"/>
      <c r="P147" s="663"/>
      <c r="Q147" s="663"/>
      <c r="R147" s="663"/>
      <c r="S147" s="663"/>
      <c r="T147" s="663"/>
      <c r="U147" s="663"/>
      <c r="V147" s="663"/>
      <c r="W147" s="663"/>
      <c r="X147" s="663"/>
      <c r="Y147" s="663"/>
      <c r="Z147" s="663"/>
      <c r="AA147" s="663"/>
      <c r="AB147" s="663"/>
      <c r="AC147" s="663"/>
      <c r="AD147" s="663"/>
      <c r="AE147" s="663"/>
      <c r="AF147" s="663"/>
      <c r="AG147" s="663"/>
    </row>
    <row r="148" spans="1:33" ht="18" hidden="1" customHeight="1" x14ac:dyDescent="0.3">
      <c r="A148" s="663"/>
      <c r="B148" s="663"/>
      <c r="C148" s="663"/>
      <c r="D148" s="663"/>
      <c r="E148" s="663"/>
      <c r="F148" s="663"/>
      <c r="G148" s="663"/>
      <c r="H148" s="663"/>
      <c r="I148" s="663"/>
      <c r="J148" s="663"/>
      <c r="K148" s="663"/>
      <c r="L148" s="663"/>
      <c r="M148" s="663"/>
      <c r="N148" s="663"/>
      <c r="O148" s="663"/>
      <c r="P148" s="663"/>
      <c r="Q148" s="663"/>
      <c r="R148" s="663"/>
      <c r="S148" s="663"/>
      <c r="T148" s="663"/>
      <c r="U148" s="663"/>
      <c r="V148" s="663"/>
      <c r="W148" s="663"/>
      <c r="X148" s="663"/>
      <c r="Y148" s="663"/>
      <c r="Z148" s="663"/>
      <c r="AA148" s="663"/>
      <c r="AB148" s="663"/>
      <c r="AC148" s="663"/>
      <c r="AD148" s="663"/>
      <c r="AE148" s="663"/>
      <c r="AF148" s="663"/>
      <c r="AG148" s="663"/>
    </row>
    <row r="149" spans="1:33" ht="18" hidden="1" customHeight="1" x14ac:dyDescent="0.35">
      <c r="A149" s="559"/>
      <c r="B149" s="663"/>
      <c r="C149" s="663"/>
      <c r="D149" s="663"/>
      <c r="E149" s="663"/>
      <c r="F149" s="663"/>
      <c r="G149" s="663"/>
      <c r="H149" s="663"/>
      <c r="I149" s="663"/>
      <c r="J149" s="663"/>
      <c r="K149" s="663"/>
      <c r="L149" s="663"/>
      <c r="M149" s="663"/>
      <c r="N149" s="663"/>
      <c r="O149" s="663"/>
      <c r="P149" s="663"/>
      <c r="Q149" s="663"/>
      <c r="R149" s="663"/>
      <c r="S149" s="663"/>
      <c r="T149" s="663"/>
      <c r="U149" s="663"/>
      <c r="V149" s="663"/>
      <c r="W149" s="663"/>
      <c r="X149" s="663"/>
      <c r="Y149" s="663"/>
      <c r="Z149" s="663"/>
      <c r="AA149" s="663"/>
      <c r="AB149" s="663"/>
      <c r="AC149" s="663"/>
      <c r="AD149" s="663"/>
      <c r="AE149" s="663"/>
      <c r="AF149" s="663"/>
      <c r="AG149" s="663"/>
    </row>
    <row r="150" spans="1:33" ht="18" hidden="1" customHeight="1" x14ac:dyDescent="0.3">
      <c r="A150" s="672" t="s">
        <v>290</v>
      </c>
      <c r="B150" s="661">
        <v>5.0999999999999996</v>
      </c>
      <c r="C150" s="661">
        <v>3.1</v>
      </c>
      <c r="D150" s="662">
        <v>2.1</v>
      </c>
      <c r="E150" s="663"/>
      <c r="F150" s="663"/>
      <c r="G150" s="663"/>
      <c r="H150" s="663"/>
      <c r="I150" s="663"/>
      <c r="J150" s="663"/>
      <c r="K150" s="663"/>
      <c r="L150" s="663"/>
      <c r="M150" s="663"/>
      <c r="N150" s="663"/>
      <c r="O150" s="663"/>
      <c r="P150" s="663"/>
      <c r="Q150" s="663"/>
      <c r="R150" s="663"/>
      <c r="S150" s="663"/>
      <c r="T150" s="663"/>
      <c r="U150" s="663"/>
      <c r="V150" s="663"/>
      <c r="W150" s="663"/>
      <c r="X150" s="663"/>
      <c r="Y150" s="663"/>
      <c r="Z150" s="663"/>
      <c r="AA150" s="663"/>
      <c r="AB150" s="663"/>
      <c r="AC150" s="663"/>
      <c r="AD150" s="663"/>
      <c r="AE150" s="663"/>
      <c r="AF150" s="663"/>
      <c r="AG150" s="663"/>
    </row>
    <row r="151" spans="1:33" ht="18" hidden="1" customHeight="1" x14ac:dyDescent="0.3">
      <c r="A151" s="673" t="s">
        <v>305</v>
      </c>
      <c r="B151" s="663">
        <v>5.0999999999999996</v>
      </c>
      <c r="C151" s="663">
        <v>3.1</v>
      </c>
      <c r="D151" s="665">
        <v>2.1</v>
      </c>
      <c r="E151" s="663"/>
      <c r="F151" s="663"/>
      <c r="G151" s="663"/>
      <c r="H151" s="663"/>
      <c r="I151" s="663"/>
      <c r="J151" s="663"/>
      <c r="K151" s="663"/>
      <c r="L151" s="663"/>
      <c r="M151" s="663"/>
      <c r="N151" s="663"/>
      <c r="O151" s="663"/>
      <c r="P151" s="663"/>
      <c r="Q151" s="663"/>
      <c r="R151" s="663"/>
      <c r="S151" s="663"/>
      <c r="T151" s="663"/>
      <c r="U151" s="663"/>
      <c r="V151" s="663"/>
      <c r="W151" s="663"/>
      <c r="X151" s="663"/>
      <c r="Y151" s="663"/>
      <c r="Z151" s="663"/>
      <c r="AA151" s="663"/>
      <c r="AB151" s="663"/>
      <c r="AC151" s="663"/>
      <c r="AD151" s="663"/>
      <c r="AE151" s="663"/>
      <c r="AF151" s="663"/>
      <c r="AG151" s="663"/>
    </row>
    <row r="152" spans="1:33" ht="18" hidden="1" customHeight="1" x14ac:dyDescent="0.3">
      <c r="A152" s="674" t="s">
        <v>347</v>
      </c>
      <c r="B152" s="667">
        <v>5.2</v>
      </c>
      <c r="C152" s="667">
        <v>3.2</v>
      </c>
      <c r="D152" s="668">
        <v>2.2000000000000002</v>
      </c>
      <c r="E152" s="663"/>
      <c r="F152" s="663"/>
      <c r="G152" s="663"/>
      <c r="H152" s="663"/>
      <c r="I152" s="663"/>
      <c r="J152" s="663"/>
      <c r="K152" s="663"/>
      <c r="L152" s="663"/>
      <c r="M152" s="663"/>
      <c r="N152" s="663"/>
      <c r="O152" s="663"/>
      <c r="P152" s="663"/>
      <c r="Q152" s="663"/>
      <c r="R152" s="663"/>
      <c r="S152" s="663"/>
      <c r="T152" s="663"/>
      <c r="U152" s="663"/>
      <c r="V152" s="663"/>
      <c r="W152" s="663"/>
      <c r="X152" s="663"/>
      <c r="Y152" s="663"/>
      <c r="Z152" s="663"/>
      <c r="AA152" s="663"/>
      <c r="AB152" s="663"/>
      <c r="AC152" s="663"/>
      <c r="AD152" s="663"/>
      <c r="AE152" s="663"/>
      <c r="AF152" s="663"/>
      <c r="AG152" s="663"/>
    </row>
    <row r="153" spans="1:33" ht="18" hidden="1" customHeight="1" x14ac:dyDescent="0.3">
      <c r="A153" s="663"/>
      <c r="B153" s="663"/>
      <c r="C153" s="663"/>
      <c r="D153" s="663"/>
      <c r="E153" s="663"/>
      <c r="F153" s="663"/>
      <c r="G153" s="663"/>
      <c r="H153" s="663"/>
      <c r="I153" s="663"/>
      <c r="J153" s="663"/>
      <c r="K153" s="663"/>
      <c r="L153" s="663"/>
      <c r="M153" s="663"/>
      <c r="N153" s="663"/>
      <c r="O153" s="663"/>
      <c r="P153" s="663"/>
      <c r="Q153" s="663"/>
      <c r="R153" s="663"/>
      <c r="S153" s="663"/>
      <c r="T153" s="663"/>
      <c r="U153" s="663"/>
      <c r="V153" s="663"/>
      <c r="W153" s="663"/>
      <c r="X153" s="663"/>
      <c r="Y153" s="663"/>
      <c r="Z153" s="663"/>
      <c r="AA153" s="663"/>
      <c r="AB153" s="663"/>
      <c r="AC153" s="663"/>
      <c r="AD153" s="663"/>
      <c r="AE153" s="663"/>
      <c r="AF153" s="663"/>
      <c r="AG153" s="663"/>
    </row>
    <row r="154" spans="1:33" ht="18" hidden="1" customHeight="1" x14ac:dyDescent="0.3">
      <c r="A154" s="663"/>
      <c r="B154" s="663"/>
      <c r="C154" s="663"/>
      <c r="D154" s="663"/>
      <c r="E154" s="663"/>
      <c r="F154" s="663"/>
      <c r="G154" s="663"/>
      <c r="H154" s="663"/>
      <c r="I154" s="663"/>
      <c r="J154" s="663"/>
      <c r="K154" s="663"/>
      <c r="L154" s="663"/>
      <c r="M154" s="663"/>
      <c r="N154" s="663"/>
      <c r="O154" s="663"/>
      <c r="P154" s="663"/>
      <c r="Q154" s="663"/>
      <c r="R154" s="663"/>
      <c r="S154" s="663"/>
      <c r="T154" s="663"/>
      <c r="U154" s="663"/>
      <c r="V154" s="663"/>
      <c r="W154" s="663"/>
      <c r="X154" s="663"/>
      <c r="Y154" s="663"/>
      <c r="Z154" s="663"/>
      <c r="AA154" s="663"/>
      <c r="AB154" s="663"/>
      <c r="AC154" s="663"/>
      <c r="AD154" s="663"/>
      <c r="AE154" s="663"/>
      <c r="AF154" s="663"/>
      <c r="AG154" s="663"/>
    </row>
    <row r="155" spans="1:33" ht="18" hidden="1" customHeight="1" x14ac:dyDescent="0.3">
      <c r="A155" s="663"/>
      <c r="B155" s="663"/>
      <c r="C155" s="663"/>
      <c r="D155" s="663"/>
      <c r="E155" s="663"/>
      <c r="F155" s="663"/>
      <c r="G155" s="663"/>
      <c r="H155" s="663"/>
      <c r="I155" s="663"/>
      <c r="J155" s="663"/>
      <c r="K155" s="663"/>
      <c r="L155" s="663"/>
      <c r="M155" s="663"/>
      <c r="N155" s="663"/>
      <c r="O155" s="663"/>
      <c r="P155" s="663"/>
      <c r="Q155" s="663"/>
      <c r="R155" s="663"/>
      <c r="S155" s="663"/>
      <c r="T155" s="663"/>
      <c r="U155" s="663"/>
      <c r="V155" s="663"/>
      <c r="W155" s="663"/>
      <c r="X155" s="663"/>
      <c r="Y155" s="663"/>
      <c r="Z155" s="663"/>
      <c r="AA155" s="663"/>
      <c r="AB155" s="663"/>
      <c r="AC155" s="663"/>
      <c r="AD155" s="663"/>
      <c r="AE155" s="663"/>
      <c r="AF155" s="663"/>
      <c r="AG155" s="663"/>
    </row>
    <row r="156" spans="1:33" ht="18" hidden="1" customHeight="1" x14ac:dyDescent="0.3">
      <c r="A156" s="663">
        <v>1</v>
      </c>
      <c r="B156" s="663"/>
      <c r="C156" s="663"/>
      <c r="D156" s="663"/>
      <c r="E156" s="663"/>
      <c r="F156" s="663"/>
      <c r="G156" s="663"/>
      <c r="H156" s="663"/>
      <c r="I156" s="663"/>
      <c r="J156" s="663"/>
      <c r="K156" s="663"/>
      <c r="L156" s="663"/>
      <c r="M156" s="663"/>
      <c r="N156" s="663"/>
      <c r="O156" s="663"/>
      <c r="P156" s="663"/>
      <c r="Q156" s="663"/>
      <c r="R156" s="663"/>
      <c r="S156" s="663"/>
      <c r="T156" s="663"/>
      <c r="U156" s="663"/>
      <c r="V156" s="663"/>
      <c r="W156" s="663"/>
      <c r="X156" s="663"/>
      <c r="Y156" s="663"/>
      <c r="Z156" s="663"/>
      <c r="AA156" s="663"/>
      <c r="AB156" s="663"/>
      <c r="AC156" s="663"/>
      <c r="AD156" s="663"/>
      <c r="AE156" s="663"/>
      <c r="AF156" s="663"/>
      <c r="AG156" s="663"/>
    </row>
    <row r="157" spans="1:33" ht="18" hidden="1" customHeight="1" x14ac:dyDescent="0.3">
      <c r="A157" s="663">
        <v>2</v>
      </c>
      <c r="B157" s="663"/>
      <c r="C157" s="663"/>
      <c r="D157" s="663"/>
      <c r="E157" s="663"/>
      <c r="F157" s="663"/>
      <c r="G157" s="663"/>
      <c r="H157" s="663"/>
      <c r="I157" s="663"/>
      <c r="J157" s="663"/>
      <c r="K157" s="663"/>
      <c r="L157" s="663"/>
      <c r="M157" s="663"/>
      <c r="N157" s="663"/>
      <c r="O157" s="663"/>
      <c r="P157" s="663"/>
      <c r="Q157" s="663"/>
      <c r="R157" s="663"/>
      <c r="S157" s="663"/>
      <c r="T157" s="663"/>
      <c r="U157" s="663"/>
      <c r="V157" s="663"/>
      <c r="W157" s="663"/>
      <c r="X157" s="663"/>
      <c r="Y157" s="663"/>
      <c r="Z157" s="663"/>
      <c r="AA157" s="663"/>
      <c r="AB157" s="663"/>
      <c r="AC157" s="663"/>
      <c r="AD157" s="663"/>
      <c r="AE157" s="663"/>
      <c r="AF157" s="663"/>
      <c r="AG157" s="663"/>
    </row>
    <row r="158" spans="1:33" ht="18" hidden="1" customHeight="1" x14ac:dyDescent="0.3">
      <c r="A158" s="663">
        <v>3</v>
      </c>
      <c r="B158" s="663"/>
      <c r="C158" s="663"/>
      <c r="D158" s="663"/>
      <c r="E158" s="663"/>
      <c r="F158" s="663"/>
      <c r="G158" s="663"/>
      <c r="H158" s="663"/>
      <c r="I158" s="663"/>
      <c r="J158" s="663"/>
      <c r="K158" s="663"/>
      <c r="L158" s="663"/>
      <c r="M158" s="663"/>
      <c r="N158" s="663"/>
      <c r="O158" s="663"/>
      <c r="P158" s="663"/>
      <c r="Q158" s="663"/>
      <c r="R158" s="663"/>
      <c r="S158" s="663"/>
      <c r="T158" s="663"/>
      <c r="U158" s="663"/>
      <c r="V158" s="663"/>
      <c r="W158" s="663"/>
      <c r="X158" s="663"/>
      <c r="Y158" s="663"/>
      <c r="Z158" s="663"/>
      <c r="AA158" s="663"/>
      <c r="AB158" s="663"/>
      <c r="AC158" s="663"/>
      <c r="AD158" s="663"/>
      <c r="AE158" s="663"/>
      <c r="AF158" s="663"/>
      <c r="AG158" s="663"/>
    </row>
    <row r="159" spans="1:33" ht="18" hidden="1" customHeight="1" x14ac:dyDescent="0.3">
      <c r="A159" s="663">
        <v>4</v>
      </c>
      <c r="B159" s="663"/>
      <c r="C159" s="663"/>
      <c r="D159" s="663"/>
      <c r="E159" s="663"/>
      <c r="F159" s="663"/>
      <c r="G159" s="663"/>
      <c r="H159" s="663"/>
      <c r="I159" s="663"/>
      <c r="J159" s="663"/>
      <c r="K159" s="663"/>
      <c r="L159" s="663"/>
      <c r="M159" s="663"/>
      <c r="N159" s="663"/>
      <c r="O159" s="663"/>
      <c r="P159" s="663"/>
      <c r="Q159" s="663"/>
      <c r="R159" s="663"/>
      <c r="S159" s="663"/>
      <c r="T159" s="663"/>
      <c r="U159" s="663"/>
      <c r="V159" s="663"/>
      <c r="W159" s="663"/>
      <c r="X159" s="663"/>
      <c r="Y159" s="663"/>
      <c r="Z159" s="663"/>
      <c r="AA159" s="663"/>
      <c r="AB159" s="663"/>
      <c r="AC159" s="663"/>
      <c r="AD159" s="663"/>
      <c r="AE159" s="663"/>
      <c r="AF159" s="663"/>
      <c r="AG159" s="663"/>
    </row>
    <row r="160" spans="1:33" ht="18" hidden="1" customHeight="1" x14ac:dyDescent="0.3">
      <c r="A160" s="663">
        <v>5</v>
      </c>
      <c r="B160" s="663"/>
      <c r="C160" s="663"/>
      <c r="D160" s="663"/>
      <c r="E160" s="663"/>
      <c r="F160" s="663"/>
      <c r="G160" s="663"/>
      <c r="H160" s="663"/>
      <c r="I160" s="663"/>
      <c r="J160" s="663"/>
      <c r="K160" s="663"/>
      <c r="L160" s="663"/>
      <c r="M160" s="663"/>
      <c r="N160" s="663"/>
      <c r="O160" s="663"/>
      <c r="P160" s="663"/>
      <c r="Q160" s="663"/>
      <c r="R160" s="663"/>
      <c r="S160" s="663"/>
      <c r="T160" s="663"/>
      <c r="U160" s="663"/>
      <c r="V160" s="663"/>
      <c r="W160" s="663"/>
      <c r="X160" s="663"/>
      <c r="Y160" s="663"/>
      <c r="Z160" s="663"/>
      <c r="AA160" s="663"/>
      <c r="AB160" s="663"/>
      <c r="AC160" s="663"/>
      <c r="AD160" s="663"/>
      <c r="AE160" s="663"/>
      <c r="AF160" s="663"/>
      <c r="AG160" s="663"/>
    </row>
    <row r="161" spans="1:33" ht="18" hidden="1" customHeight="1" x14ac:dyDescent="0.3">
      <c r="A161" s="663">
        <v>6</v>
      </c>
      <c r="B161" s="663"/>
      <c r="C161" s="663"/>
      <c r="D161" s="663"/>
      <c r="E161" s="663"/>
      <c r="F161" s="663"/>
      <c r="G161" s="663"/>
      <c r="H161" s="663"/>
      <c r="I161" s="663"/>
      <c r="J161" s="663"/>
      <c r="K161" s="663"/>
      <c r="L161" s="663"/>
      <c r="M161" s="663"/>
      <c r="N161" s="663"/>
      <c r="O161" s="663"/>
      <c r="P161" s="663"/>
      <c r="Q161" s="663"/>
      <c r="R161" s="663"/>
      <c r="S161" s="663"/>
      <c r="T161" s="663"/>
      <c r="U161" s="663"/>
      <c r="V161" s="663"/>
      <c r="W161" s="663"/>
      <c r="X161" s="663"/>
      <c r="Y161" s="663"/>
      <c r="Z161" s="663"/>
      <c r="AA161" s="663"/>
      <c r="AB161" s="663"/>
      <c r="AC161" s="663"/>
      <c r="AD161" s="663"/>
      <c r="AE161" s="663"/>
      <c r="AF161" s="663"/>
      <c r="AG161" s="663"/>
    </row>
    <row r="162" spans="1:33" ht="18" hidden="1" customHeight="1" x14ac:dyDescent="0.3">
      <c r="A162" s="663"/>
      <c r="B162" s="663"/>
      <c r="C162" s="663"/>
      <c r="D162" s="663"/>
      <c r="E162" s="663"/>
      <c r="F162" s="663"/>
      <c r="G162" s="663"/>
      <c r="H162" s="663"/>
      <c r="I162" s="663"/>
      <c r="J162" s="663"/>
      <c r="K162" s="663"/>
      <c r="L162" s="663"/>
      <c r="M162" s="663"/>
      <c r="N162" s="663"/>
      <c r="O162" s="663"/>
      <c r="P162" s="663"/>
      <c r="Q162" s="663"/>
      <c r="R162" s="663"/>
      <c r="S162" s="663"/>
      <c r="T162" s="663"/>
      <c r="U162" s="663"/>
      <c r="V162" s="663"/>
      <c r="W162" s="663"/>
      <c r="X162" s="663"/>
      <c r="Y162" s="663"/>
      <c r="Z162" s="663"/>
      <c r="AA162" s="663"/>
      <c r="AB162" s="663"/>
      <c r="AC162" s="663"/>
      <c r="AD162" s="663"/>
      <c r="AE162" s="663"/>
      <c r="AF162" s="663"/>
      <c r="AG162" s="663"/>
    </row>
    <row r="163" spans="1:33" ht="18" hidden="1" customHeight="1" x14ac:dyDescent="0.3">
      <c r="A163" s="663"/>
      <c r="B163" s="663"/>
      <c r="C163" s="663"/>
      <c r="D163" s="663"/>
      <c r="E163" s="663"/>
      <c r="F163" s="663"/>
      <c r="G163" s="663"/>
      <c r="H163" s="663"/>
      <c r="I163" s="663"/>
      <c r="J163" s="663"/>
      <c r="K163" s="663"/>
      <c r="L163" s="663"/>
      <c r="M163" s="663"/>
      <c r="N163" s="663"/>
      <c r="O163" s="663"/>
      <c r="P163" s="663"/>
      <c r="Q163" s="663"/>
      <c r="R163" s="663"/>
      <c r="S163" s="663"/>
      <c r="T163" s="663"/>
      <c r="U163" s="663"/>
      <c r="V163" s="663"/>
      <c r="W163" s="663"/>
      <c r="X163" s="663"/>
      <c r="Y163" s="663"/>
      <c r="Z163" s="663"/>
      <c r="AA163" s="663"/>
      <c r="AB163" s="663"/>
      <c r="AC163" s="663"/>
      <c r="AD163" s="663"/>
      <c r="AE163" s="663"/>
      <c r="AF163" s="663"/>
      <c r="AG163" s="663"/>
    </row>
    <row r="164" spans="1:33" ht="18" hidden="1" customHeight="1" x14ac:dyDescent="0.3">
      <c r="A164" s="663"/>
      <c r="B164" s="663"/>
      <c r="C164" s="663"/>
      <c r="D164" s="663"/>
      <c r="E164" s="663"/>
      <c r="F164" s="663"/>
      <c r="G164" s="663"/>
      <c r="H164" s="663"/>
      <c r="I164" s="663"/>
      <c r="J164" s="663"/>
      <c r="K164" s="663"/>
      <c r="L164" s="663"/>
      <c r="M164" s="663"/>
      <c r="N164" s="663"/>
      <c r="O164" s="663"/>
      <c r="P164" s="663"/>
      <c r="Q164" s="663"/>
      <c r="R164" s="663"/>
      <c r="S164" s="663"/>
      <c r="T164" s="663"/>
      <c r="U164" s="663"/>
      <c r="V164" s="663"/>
      <c r="W164" s="663"/>
      <c r="X164" s="663"/>
      <c r="Y164" s="663"/>
      <c r="Z164" s="663"/>
      <c r="AA164" s="663"/>
      <c r="AB164" s="663"/>
      <c r="AC164" s="663"/>
      <c r="AD164" s="663"/>
      <c r="AE164" s="663"/>
      <c r="AF164" s="663"/>
      <c r="AG164" s="663"/>
    </row>
    <row r="165" spans="1:33" ht="18" hidden="1" customHeight="1" x14ac:dyDescent="0.3">
      <c r="A165" s="660" t="s">
        <v>20</v>
      </c>
      <c r="B165" s="661">
        <v>0</v>
      </c>
      <c r="C165" s="662">
        <v>0</v>
      </c>
      <c r="D165" s="663"/>
      <c r="E165" s="663"/>
      <c r="F165" s="663"/>
      <c r="G165" s="663"/>
      <c r="H165" s="663"/>
      <c r="I165" s="663"/>
      <c r="J165" s="663"/>
      <c r="K165" s="663"/>
      <c r="L165" s="663"/>
      <c r="M165" s="663"/>
      <c r="N165" s="663"/>
      <c r="O165" s="663"/>
      <c r="P165" s="663"/>
      <c r="Q165" s="663"/>
      <c r="R165" s="663"/>
      <c r="S165" s="663"/>
      <c r="T165" s="663"/>
      <c r="U165" s="663"/>
      <c r="V165" s="663"/>
      <c r="W165" s="663"/>
      <c r="X165" s="663"/>
      <c r="Y165" s="663"/>
      <c r="Z165" s="663"/>
      <c r="AA165" s="663"/>
      <c r="AB165" s="663"/>
      <c r="AC165" s="663"/>
      <c r="AD165" s="663"/>
      <c r="AE165" s="663"/>
      <c r="AF165" s="663"/>
      <c r="AG165" s="663"/>
    </row>
    <row r="166" spans="1:33" ht="18" hidden="1" customHeight="1" x14ac:dyDescent="0.3">
      <c r="A166" s="666" t="s">
        <v>14</v>
      </c>
      <c r="B166" s="667">
        <v>2.5</v>
      </c>
      <c r="C166" s="668">
        <v>1.5</v>
      </c>
      <c r="D166" s="663"/>
      <c r="E166" s="663"/>
      <c r="F166" s="663"/>
      <c r="G166" s="663"/>
      <c r="H166" s="663"/>
      <c r="I166" s="663"/>
      <c r="J166" s="663"/>
      <c r="K166" s="663"/>
      <c r="L166" s="663"/>
      <c r="M166" s="663"/>
      <c r="N166" s="663"/>
      <c r="O166" s="663"/>
      <c r="P166" s="663"/>
      <c r="Q166" s="663"/>
      <c r="R166" s="663"/>
      <c r="S166" s="663"/>
      <c r="T166" s="663"/>
      <c r="U166" s="663"/>
      <c r="V166" s="663"/>
      <c r="W166" s="663"/>
      <c r="X166" s="663"/>
      <c r="Y166" s="663"/>
      <c r="Z166" s="663"/>
      <c r="AA166" s="663"/>
      <c r="AB166" s="663"/>
      <c r="AC166" s="663"/>
      <c r="AD166" s="663"/>
      <c r="AE166" s="663"/>
      <c r="AF166" s="663"/>
      <c r="AG166" s="663"/>
    </row>
    <row r="167" spans="1:33" ht="18" hidden="1" customHeight="1" x14ac:dyDescent="0.3">
      <c r="A167" s="663"/>
      <c r="B167" s="663"/>
      <c r="C167" s="663"/>
      <c r="D167" s="663"/>
      <c r="E167" s="663"/>
      <c r="F167" s="663"/>
      <c r="G167" s="663"/>
      <c r="H167" s="663"/>
      <c r="I167" s="663"/>
      <c r="J167" s="663"/>
      <c r="K167" s="663"/>
      <c r="L167" s="663"/>
      <c r="M167" s="663"/>
      <c r="N167" s="663"/>
      <c r="O167" s="663"/>
      <c r="P167" s="663"/>
      <c r="Q167" s="663"/>
      <c r="R167" s="663"/>
      <c r="S167" s="663"/>
      <c r="T167" s="663"/>
      <c r="U167" s="663"/>
      <c r="V167" s="663"/>
      <c r="W167" s="663"/>
      <c r="X167" s="663"/>
      <c r="Y167" s="663"/>
      <c r="Z167" s="663"/>
      <c r="AA167" s="663"/>
      <c r="AB167" s="663"/>
      <c r="AC167" s="663"/>
      <c r="AD167" s="663"/>
      <c r="AE167" s="663"/>
      <c r="AF167" s="663"/>
      <c r="AG167" s="663"/>
    </row>
    <row r="168" spans="1:33" ht="18" hidden="1" customHeight="1" x14ac:dyDescent="0.3">
      <c r="A168" s="660">
        <v>1</v>
      </c>
      <c r="B168" s="661">
        <f t="shared" ref="B168:V168" si="26">A168+1</f>
        <v>2</v>
      </c>
      <c r="C168" s="661">
        <f t="shared" si="26"/>
        <v>3</v>
      </c>
      <c r="D168" s="661">
        <f t="shared" si="26"/>
        <v>4</v>
      </c>
      <c r="E168" s="661">
        <f t="shared" si="26"/>
        <v>5</v>
      </c>
      <c r="F168" s="661">
        <f t="shared" si="26"/>
        <v>6</v>
      </c>
      <c r="G168" s="661">
        <f t="shared" si="26"/>
        <v>7</v>
      </c>
      <c r="H168" s="661">
        <f t="shared" si="26"/>
        <v>8</v>
      </c>
      <c r="I168" s="661">
        <f t="shared" si="26"/>
        <v>9</v>
      </c>
      <c r="J168" s="661">
        <f t="shared" si="26"/>
        <v>10</v>
      </c>
      <c r="K168" s="661">
        <f t="shared" si="26"/>
        <v>11</v>
      </c>
      <c r="L168" s="661">
        <f t="shared" si="26"/>
        <v>12</v>
      </c>
      <c r="M168" s="661">
        <f t="shared" si="26"/>
        <v>13</v>
      </c>
      <c r="N168" s="661">
        <f t="shared" si="26"/>
        <v>14</v>
      </c>
      <c r="O168" s="661">
        <f t="shared" si="26"/>
        <v>15</v>
      </c>
      <c r="P168" s="661">
        <f t="shared" si="26"/>
        <v>16</v>
      </c>
      <c r="Q168" s="661">
        <f t="shared" si="26"/>
        <v>17</v>
      </c>
      <c r="R168" s="661">
        <f t="shared" si="26"/>
        <v>18</v>
      </c>
      <c r="S168" s="661">
        <f t="shared" si="26"/>
        <v>19</v>
      </c>
      <c r="T168" s="661">
        <f t="shared" si="26"/>
        <v>20</v>
      </c>
      <c r="U168" s="661">
        <f t="shared" si="26"/>
        <v>21</v>
      </c>
      <c r="V168" s="661">
        <f t="shared" si="26"/>
        <v>22</v>
      </c>
      <c r="W168" s="661">
        <v>23</v>
      </c>
      <c r="X168" s="661">
        <v>24</v>
      </c>
      <c r="Y168" s="661">
        <v>25</v>
      </c>
      <c r="Z168" s="661">
        <f t="shared" ref="Z168:AG168" si="27">Y168+1</f>
        <v>26</v>
      </c>
      <c r="AA168" s="661">
        <f t="shared" si="27"/>
        <v>27</v>
      </c>
      <c r="AB168" s="661">
        <f t="shared" si="27"/>
        <v>28</v>
      </c>
      <c r="AC168" s="661">
        <f t="shared" si="27"/>
        <v>29</v>
      </c>
      <c r="AD168" s="661">
        <f t="shared" si="27"/>
        <v>30</v>
      </c>
      <c r="AE168" s="661">
        <f t="shared" si="27"/>
        <v>31</v>
      </c>
      <c r="AF168" s="661">
        <f t="shared" si="27"/>
        <v>32</v>
      </c>
      <c r="AG168" s="662">
        <f t="shared" si="27"/>
        <v>33</v>
      </c>
    </row>
    <row r="169" spans="1:33" ht="18" hidden="1" customHeight="1" x14ac:dyDescent="0.3">
      <c r="A169" s="669"/>
      <c r="B169" s="670" t="s">
        <v>348</v>
      </c>
      <c r="C169" s="670" t="s">
        <v>28</v>
      </c>
      <c r="D169" s="670" t="s">
        <v>33</v>
      </c>
      <c r="E169" s="670" t="s">
        <v>34</v>
      </c>
      <c r="F169" s="670" t="s">
        <v>348</v>
      </c>
      <c r="G169" s="670" t="s">
        <v>28</v>
      </c>
      <c r="H169" s="670" t="s">
        <v>33</v>
      </c>
      <c r="I169" s="670" t="s">
        <v>34</v>
      </c>
      <c r="J169" s="670" t="s">
        <v>349</v>
      </c>
      <c r="K169" s="670" t="s">
        <v>28</v>
      </c>
      <c r="L169" s="670" t="s">
        <v>33</v>
      </c>
      <c r="M169" s="670" t="s">
        <v>34</v>
      </c>
      <c r="N169" s="670"/>
      <c r="O169" s="670" t="s">
        <v>28</v>
      </c>
      <c r="P169" s="670" t="s">
        <v>33</v>
      </c>
      <c r="Q169" s="670" t="s">
        <v>34</v>
      </c>
      <c r="R169" s="670"/>
      <c r="S169" s="670" t="s">
        <v>28</v>
      </c>
      <c r="T169" s="670" t="s">
        <v>33</v>
      </c>
      <c r="U169" s="670" t="s">
        <v>34</v>
      </c>
      <c r="V169" s="670" t="s">
        <v>308</v>
      </c>
      <c r="W169" s="670" t="s">
        <v>350</v>
      </c>
      <c r="X169" s="670" t="s">
        <v>351</v>
      </c>
      <c r="Y169" s="670" t="s">
        <v>28</v>
      </c>
      <c r="Z169" s="670" t="s">
        <v>33</v>
      </c>
      <c r="AA169" s="670" t="s">
        <v>269</v>
      </c>
      <c r="AB169" s="670"/>
      <c r="AC169" s="670" t="s">
        <v>28</v>
      </c>
      <c r="AD169" s="670" t="s">
        <v>33</v>
      </c>
      <c r="AE169" s="670" t="s">
        <v>34</v>
      </c>
      <c r="AF169" s="670"/>
      <c r="AG169" s="671"/>
    </row>
    <row r="170" spans="1:33" ht="18" hidden="1" customHeight="1" x14ac:dyDescent="0.3">
      <c r="A170" s="669" t="s">
        <v>16</v>
      </c>
      <c r="B170" s="670">
        <v>0</v>
      </c>
      <c r="C170" s="670">
        <v>0</v>
      </c>
      <c r="D170" s="670">
        <v>0</v>
      </c>
      <c r="E170" s="670">
        <v>0</v>
      </c>
      <c r="F170" s="670">
        <v>0</v>
      </c>
      <c r="G170" s="670">
        <v>0</v>
      </c>
      <c r="H170" s="670">
        <v>0</v>
      </c>
      <c r="I170" s="670">
        <v>0</v>
      </c>
      <c r="J170" s="670">
        <v>0</v>
      </c>
      <c r="K170" s="670">
        <v>0</v>
      </c>
      <c r="L170" s="670">
        <v>0</v>
      </c>
      <c r="M170" s="670">
        <v>0</v>
      </c>
      <c r="N170" s="670">
        <v>0</v>
      </c>
      <c r="O170" s="670">
        <v>0</v>
      </c>
      <c r="P170" s="670">
        <v>0</v>
      </c>
      <c r="Q170" s="670">
        <v>0</v>
      </c>
      <c r="R170" s="670">
        <v>0</v>
      </c>
      <c r="S170" s="670">
        <v>0</v>
      </c>
      <c r="T170" s="670">
        <v>0</v>
      </c>
      <c r="U170" s="670">
        <v>0</v>
      </c>
      <c r="V170" s="670" t="s">
        <v>16</v>
      </c>
      <c r="W170" s="670">
        <v>0</v>
      </c>
      <c r="X170" s="670">
        <v>0</v>
      </c>
      <c r="Y170" s="670">
        <v>0</v>
      </c>
      <c r="Z170" s="670">
        <v>0</v>
      </c>
      <c r="AA170" s="670">
        <v>0</v>
      </c>
      <c r="AB170" s="670">
        <v>0</v>
      </c>
      <c r="AC170" s="670">
        <v>0</v>
      </c>
      <c r="AD170" s="670">
        <v>0</v>
      </c>
      <c r="AE170" s="670">
        <v>0</v>
      </c>
      <c r="AF170" s="670">
        <v>0</v>
      </c>
      <c r="AG170" s="671">
        <v>0</v>
      </c>
    </row>
    <row r="171" spans="1:33" ht="18" hidden="1" customHeight="1" x14ac:dyDescent="0.3">
      <c r="A171" s="669" t="s">
        <v>316</v>
      </c>
      <c r="B171" s="670" t="s">
        <v>352</v>
      </c>
      <c r="C171" s="670">
        <f>'Wrapp Barré'!Dimensions_intérieures_Cp_15_longueur</f>
        <v>0</v>
      </c>
      <c r="D171" s="670">
        <f>IF('Wrapp Barré'!Dimensions_intérieures_CP_15_hauteur&lt;120,9.4,14.4)</f>
        <v>9.4</v>
      </c>
      <c r="E171" s="670">
        <f>'Wrapp Barré'!nombre_de_calages*4</f>
        <v>8</v>
      </c>
      <c r="F171" s="670" t="s">
        <v>353</v>
      </c>
      <c r="G171" s="670">
        <f>'Wrapp Barré'!Dimensions_intérieures_Cp_15_largeur</f>
        <v>0</v>
      </c>
      <c r="H171" s="670">
        <f>IF('Wrapp Barré'!Dimensions_intérieures_CP_15_hauteur&lt;120,9.4,14.4)</f>
        <v>9.4</v>
      </c>
      <c r="I171" s="670">
        <f>'Wrapp Barré'!nombre_de_calages*2</f>
        <v>4</v>
      </c>
      <c r="J171" s="670" t="s">
        <v>349</v>
      </c>
      <c r="K171" s="670">
        <f>'Wrapp Barré'!Dimensions_intérieures_Cp_15_largeur</f>
        <v>0</v>
      </c>
      <c r="L171" s="670">
        <v>7</v>
      </c>
      <c r="M171" s="670">
        <f>'Wrapp Barré'!nombre_de_calages*4</f>
        <v>8</v>
      </c>
      <c r="N171" s="670" t="str">
        <f t="shared" ref="N171:N172" si="28">VLOOKUP($F$26,$A$145:$C$147,3)</f>
        <v xml:space="preserve">Stratocell 50 mm </v>
      </c>
      <c r="O171" s="670">
        <f>'Wrapp Barré'!Dimensions_intérieures_Cp_15_longueur</f>
        <v>0</v>
      </c>
      <c r="P171" s="670">
        <f>IF('Wrapp Barré'!Dimensions_intérieures_CP_15_hauteur&lt;120,9.4,14.4)</f>
        <v>9.4</v>
      </c>
      <c r="Q171" s="670">
        <f>'Wrapp Barré'!nombre_de_calages*2</f>
        <v>4</v>
      </c>
      <c r="R171" s="670" t="str">
        <f t="shared" ref="R171:R172" si="29">VLOOKUP($F$26,$A$145:$D$147,4)</f>
        <v>Stratocell 50 mm</v>
      </c>
      <c r="S171" s="670"/>
      <c r="T171" s="670"/>
      <c r="U171" s="670"/>
      <c r="V171" s="670" t="str">
        <f>'Wrapp Barré'!Base</f>
        <v>Aucun</v>
      </c>
      <c r="W171" s="670">
        <v>5</v>
      </c>
      <c r="X171" s="670">
        <f>VLOOKUP('Wrapp Barré'!Plateau,$A$125:$B$131,2)</f>
        <v>0</v>
      </c>
      <c r="Y171" s="670">
        <f>'Wrapp Barré'!Dimensions_intérieures_Cp_15_longueur</f>
        <v>0</v>
      </c>
      <c r="Z171" s="670">
        <f>'Wrapp Barré'!Dimensions_intérieures_Cp_15_largeur</f>
        <v>0</v>
      </c>
      <c r="AA171" s="670">
        <f t="shared" ref="AA171:AA183" si="30">W171+X171</f>
        <v>5</v>
      </c>
      <c r="AB171" s="670"/>
      <c r="AC171" s="670"/>
      <c r="AD171" s="670"/>
      <c r="AE171" s="670"/>
      <c r="AF171" s="670"/>
      <c r="AG171" s="671"/>
    </row>
    <row r="172" spans="1:33" ht="18" hidden="1" customHeight="1" x14ac:dyDescent="0.3">
      <c r="A172" s="669" t="s">
        <v>319</v>
      </c>
      <c r="B172" s="670" t="s">
        <v>352</v>
      </c>
      <c r="C172" s="670">
        <f>'Wrapp Barré'!Dimensions_intérieures_Cp_15_longueur</f>
        <v>0</v>
      </c>
      <c r="D172" s="670">
        <f>IF('Wrapp Barré'!Dimensions_intérieures_CP_15_hauteur&lt;120,9.4,14.4)</f>
        <v>9.4</v>
      </c>
      <c r="E172" s="670">
        <f>'Wrapp Barré'!nombre_de_calages*2</f>
        <v>4</v>
      </c>
      <c r="F172" s="670" t="s">
        <v>353</v>
      </c>
      <c r="G172" s="670">
        <f>'Wrapp Barré'!Dimensions_intérieures_Cp_15_largeur</f>
        <v>0</v>
      </c>
      <c r="H172" s="670">
        <f>IF('Wrapp Barré'!Dimensions_intérieures_CP_15_hauteur&lt;120,9.4,14.4)</f>
        <v>9.4</v>
      </c>
      <c r="I172" s="670">
        <f>'Wrapp Barré'!nombre_de_calages*2</f>
        <v>4</v>
      </c>
      <c r="J172" s="670"/>
      <c r="K172" s="670"/>
      <c r="L172" s="670"/>
      <c r="M172" s="670"/>
      <c r="N172" s="670" t="str">
        <f t="shared" si="28"/>
        <v xml:space="preserve">Stratocell 50 mm </v>
      </c>
      <c r="O172" s="670">
        <f>'Wrapp Barré'!Dimensions_intérieures_Cp_15_longueur</f>
        <v>0</v>
      </c>
      <c r="P172" s="670">
        <f>IF('Wrapp Barré'!Dimensions_intérieures_CP_15_hauteur&lt;120,9.4,14.4)</f>
        <v>9.4</v>
      </c>
      <c r="Q172" s="670">
        <f>'Wrapp Barré'!nombre_de_calages*2</f>
        <v>4</v>
      </c>
      <c r="R172" s="670" t="str">
        <f t="shared" si="29"/>
        <v>Stratocell 50 mm</v>
      </c>
      <c r="S172" s="670">
        <f>'Wrapp Barré'!Dimensions_intérieures_Cp_15_largeur</f>
        <v>0</v>
      </c>
      <c r="T172" s="670">
        <f>IF('Wrapp Barré'!Dimensions_intérieures_CP_15_hauteur&lt;120,9.4,14.4)</f>
        <v>9.4</v>
      </c>
      <c r="U172" s="670">
        <f>'Wrapp Barré'!nombre_de_calages*2</f>
        <v>4</v>
      </c>
      <c r="V172" s="670" t="str">
        <f>'Wrapp Barré'!Base</f>
        <v>Aucun</v>
      </c>
      <c r="W172" s="670">
        <v>5</v>
      </c>
      <c r="X172" s="670">
        <f>VLOOKUP('Wrapp Barré'!Plateau,$A$125:$B$131,2)</f>
        <v>0</v>
      </c>
      <c r="Y172" s="670">
        <f>'Wrapp Barré'!Dimensions_intérieures_Cp_15_longueur</f>
        <v>0</v>
      </c>
      <c r="Z172" s="670">
        <f>'Wrapp Barré'!Dimensions_intérieures_Cp_15_largeur</f>
        <v>0</v>
      </c>
      <c r="AA172" s="670">
        <f t="shared" si="30"/>
        <v>5</v>
      </c>
      <c r="AB172" s="670"/>
      <c r="AC172" s="670"/>
      <c r="AD172" s="670"/>
      <c r="AE172" s="670"/>
      <c r="AF172" s="670"/>
      <c r="AG172" s="671"/>
    </row>
    <row r="173" spans="1:33" ht="18" hidden="1" customHeight="1" x14ac:dyDescent="0.3">
      <c r="A173" s="669" t="s">
        <v>320</v>
      </c>
      <c r="B173" s="670"/>
      <c r="C173" s="670"/>
      <c r="D173" s="670"/>
      <c r="E173" s="670"/>
      <c r="F173" s="670"/>
      <c r="G173" s="670"/>
      <c r="H173" s="670"/>
      <c r="I173" s="670"/>
      <c r="J173" s="670"/>
      <c r="K173" s="670"/>
      <c r="L173" s="670"/>
      <c r="M173" s="670"/>
      <c r="N173" s="670">
        <f>IF('Wrapp Barré'!nombre_de_calages="PU","PU 30 mm",IF('Wrapp Barré'!nombre_de_calages="Ethafoam","Ethafoam 30 mm",IF('Wrapp Barré'!nombre_de_calages="Stratocell","Stratocell 30 mm",0)))</f>
        <v>0</v>
      </c>
      <c r="O173" s="670">
        <f>'Wrapp Barré'!Dimensions_intérieures_Cp_15_longueur</f>
        <v>0</v>
      </c>
      <c r="P173" s="670">
        <v>12</v>
      </c>
      <c r="Q173" s="670">
        <f>IF('Wrapp Barré'!Dimensions_intérieures_CP_15_hauteur&lt;80,4,6)</f>
        <v>4</v>
      </c>
      <c r="R173" s="670">
        <f>IF('Wrapp Barré'!nombre_de_calages="PU","PU 30 mm",IF('Wrapp Barré'!nombre_de_calages="Ethafoam","Ethafoam 30 mm",IF('Wrapp Barré'!nombre_de_calages="Stratocell","Stratocell 30 mm",0)))</f>
        <v>0</v>
      </c>
      <c r="S173" s="670">
        <f>'Wrapp Barré'!Dimensions_intérieures_Cp_15_largeur-6</f>
        <v>-6</v>
      </c>
      <c r="T173" s="670">
        <v>12</v>
      </c>
      <c r="U173" s="670">
        <f t="shared" ref="U173:U174" si="31">Q173</f>
        <v>4</v>
      </c>
      <c r="V173" s="670" t="str">
        <f>'Wrapp Barré'!Base</f>
        <v>Aucun</v>
      </c>
      <c r="W173" s="670">
        <v>5</v>
      </c>
      <c r="X173" s="670">
        <f>VLOOKUP('Wrapp Barré'!Plateau,$A$125:$B$131,2)</f>
        <v>0</v>
      </c>
      <c r="Y173" s="670">
        <f>'Wrapp Barré'!Dimensions_intérieures_Cp_15_longueur</f>
        <v>0</v>
      </c>
      <c r="Z173" s="670">
        <f>'Wrapp Barré'!Dimensions_intérieures_Cp_15_largeur</f>
        <v>0</v>
      </c>
      <c r="AA173" s="670">
        <f t="shared" si="30"/>
        <v>5</v>
      </c>
      <c r="AB173" s="670">
        <f>IF('Wrapp Barré'!nombre_de_calages="PU","PU 30 mm",IF('Wrapp Barré'!nombre_de_calages="Ethafoam","Ethafoam 30 mm",IF('Wrapp Barré'!nombre_de_calages="Stratocell","Stratocell 30 mm",0)))</f>
        <v>0</v>
      </c>
      <c r="AC173" s="670">
        <f>'Wrapp Barré'!Dimensions_intérieures_Cp_15_largeur</f>
        <v>0</v>
      </c>
      <c r="AD173" s="670">
        <v>12</v>
      </c>
      <c r="AE173" s="670">
        <f>IF('Wrapp Barré'!Dimensions_intérieures_Cp_15_longueur&lt;100,3,4)</f>
        <v>3</v>
      </c>
      <c r="AF173" s="670"/>
      <c r="AG173" s="671"/>
    </row>
    <row r="174" spans="1:33" ht="18" hidden="1" customHeight="1" x14ac:dyDescent="0.3">
      <c r="A174" s="669" t="s">
        <v>322</v>
      </c>
      <c r="B174" s="670"/>
      <c r="C174" s="670"/>
      <c r="D174" s="670"/>
      <c r="E174" s="670"/>
      <c r="F174" s="670"/>
      <c r="G174" s="670"/>
      <c r="H174" s="670"/>
      <c r="I174" s="670"/>
      <c r="J174" s="670"/>
      <c r="K174" s="670"/>
      <c r="L174" s="670"/>
      <c r="M174" s="670"/>
      <c r="N174" s="670">
        <f>IF('Wrapp Barré'!nombre_de_calages="PU","PU 50 mm",IF('Wrapp Barré'!nombre_de_calages="Ethafoam","Ethafoam 50 mm",IF('Wrapp Barré'!nombre_de_calages="Stratocell","Stratocell 50 mm",0)))</f>
        <v>0</v>
      </c>
      <c r="O174" s="670">
        <f>'Wrapp Barré'!Dimensions_intérieures_Cp_15_longueur</f>
        <v>0</v>
      </c>
      <c r="P174" s="670">
        <v>12</v>
      </c>
      <c r="Q174" s="670">
        <f>IF('Wrapp Barré'!Dimensions_intérieures_CP_15_hauteur&lt;80,4,6)</f>
        <v>4</v>
      </c>
      <c r="R174" s="670">
        <f>IF('Wrapp Barré'!nombre_de_calages="PU","PU 50 mm",IF('Wrapp Barré'!nombre_de_calages="Ethafoam","Ethafoam 50 mm",IF('Wrapp Barré'!nombre_de_calages="Stratocell","Stratocell 50 mm",0)))</f>
        <v>0</v>
      </c>
      <c r="S174" s="670">
        <f>'Wrapp Barré'!Dimensions_intérieures_Cp_15_largeur-10</f>
        <v>-10</v>
      </c>
      <c r="T174" s="670">
        <v>12</v>
      </c>
      <c r="U174" s="670">
        <f t="shared" si="31"/>
        <v>4</v>
      </c>
      <c r="V174" s="670" t="str">
        <f>'Wrapp Barré'!Base</f>
        <v>Aucun</v>
      </c>
      <c r="W174" s="670">
        <v>5</v>
      </c>
      <c r="X174" s="670">
        <f>VLOOKUP('Wrapp Barré'!Plateau,$A$125:$B$131,2)</f>
        <v>0</v>
      </c>
      <c r="Y174" s="670">
        <f>'Wrapp Barré'!Dimensions_intérieures_Cp_15_longueur</f>
        <v>0</v>
      </c>
      <c r="Z174" s="670">
        <f>'Wrapp Barré'!Dimensions_intérieures_Cp_15_largeur</f>
        <v>0</v>
      </c>
      <c r="AA174" s="670">
        <f t="shared" si="30"/>
        <v>5</v>
      </c>
      <c r="AB174" s="670">
        <f>IF('Wrapp Barré'!nombre_de_calages="PU","PU 50 mm",IF('Wrapp Barré'!nombre_de_calages="Ethafoam","Ethafoam 50 mm",IF('Wrapp Barré'!nombre_de_calages="Stratocell","Stratocell 50 mm",0)))</f>
        <v>0</v>
      </c>
      <c r="AC174" s="670">
        <f>'Wrapp Barré'!Dimensions_intérieures_Cp_15_largeur</f>
        <v>0</v>
      </c>
      <c r="AD174" s="670">
        <v>12</v>
      </c>
      <c r="AE174" s="670">
        <f>IF('Wrapp Barré'!Dimensions_intérieures_Cp_15_longueur&lt;100,3,4)</f>
        <v>3</v>
      </c>
      <c r="AF174" s="670"/>
      <c r="AG174" s="671"/>
    </row>
    <row r="175" spans="1:33" ht="18" hidden="1" customHeight="1" x14ac:dyDescent="0.3">
      <c r="A175" s="669" t="s">
        <v>323</v>
      </c>
      <c r="B175" s="670"/>
      <c r="C175" s="670"/>
      <c r="D175" s="670"/>
      <c r="E175" s="670"/>
      <c r="F175" s="670"/>
      <c r="G175" s="670"/>
      <c r="H175" s="670"/>
      <c r="I175" s="670"/>
      <c r="J175" s="670"/>
      <c r="K175" s="670"/>
      <c r="L175" s="670"/>
      <c r="M175" s="670"/>
      <c r="N175" s="670" t="s">
        <v>27</v>
      </c>
      <c r="O175" s="670">
        <f>'Wrapp Barré'!Dimensions_intérieures_Cp_15_longueur-0.3</f>
        <v>-0.3</v>
      </c>
      <c r="P175" s="670">
        <f>'Wrapp Barré'!Dimensions_intérieures_Cp_15_largeur-0.3</f>
        <v>-0.3</v>
      </c>
      <c r="Q175" s="670">
        <f>('Wrapp Barré'!Dimensions_intérieures_CP_15_hauteur-AA175)/5</f>
        <v>-1</v>
      </c>
      <c r="R175" s="670"/>
      <c r="S175" s="670"/>
      <c r="T175" s="670"/>
      <c r="U175" s="670"/>
      <c r="V175" s="670" t="str">
        <f>'Wrapp Barré'!Base</f>
        <v>Aucun</v>
      </c>
      <c r="W175" s="670">
        <v>5</v>
      </c>
      <c r="X175" s="670">
        <f>VLOOKUP('Wrapp Barré'!Plateau,$A$125:$B$131,2)</f>
        <v>0</v>
      </c>
      <c r="Y175" s="670">
        <f>'Wrapp Barré'!Dimensions_intérieures_Cp_15_longueur</f>
        <v>0</v>
      </c>
      <c r="Z175" s="670">
        <f>'Wrapp Barré'!Dimensions_intérieures_Cp_15_largeur</f>
        <v>0</v>
      </c>
      <c r="AA175" s="670">
        <f t="shared" si="30"/>
        <v>5</v>
      </c>
      <c r="AB175" s="670"/>
      <c r="AC175" s="670"/>
      <c r="AD175" s="670"/>
      <c r="AE175" s="670"/>
      <c r="AF175" s="670"/>
      <c r="AG175" s="671"/>
    </row>
    <row r="176" spans="1:33" ht="18" hidden="1" customHeight="1" x14ac:dyDescent="0.3">
      <c r="A176" s="669" t="s">
        <v>324</v>
      </c>
      <c r="B176" s="670"/>
      <c r="C176" s="670"/>
      <c r="D176" s="670"/>
      <c r="E176" s="670"/>
      <c r="F176" s="670"/>
      <c r="G176" s="670"/>
      <c r="H176" s="670"/>
      <c r="I176" s="670"/>
      <c r="J176" s="670"/>
      <c r="K176" s="670"/>
      <c r="L176" s="670"/>
      <c r="M176" s="670"/>
      <c r="N176" s="670" t="s">
        <v>27</v>
      </c>
      <c r="O176" s="670">
        <f>'Wrapp Barré'!Dimensions_intérieures_Cp_15_longueur-0.3</f>
        <v>-0.3</v>
      </c>
      <c r="P176" s="670">
        <f>'Wrapp Barré'!Dimensions_intérieures_Cp_15_largeur-0.3</f>
        <v>-0.3</v>
      </c>
      <c r="Q176" s="670">
        <f>('Wrapp Barré'!Dimensions_intérieures_CP_15_hauteur-AA176)/5</f>
        <v>-1</v>
      </c>
      <c r="R176" s="670"/>
      <c r="S176" s="670"/>
      <c r="T176" s="670"/>
      <c r="U176" s="670"/>
      <c r="V176" s="670" t="str">
        <f>'Wrapp Barré'!Base</f>
        <v>Aucun</v>
      </c>
      <c r="W176" s="670">
        <v>5</v>
      </c>
      <c r="X176" s="670">
        <f>VLOOKUP('Wrapp Barré'!Plateau,$A$125:$B$131,2)</f>
        <v>0</v>
      </c>
      <c r="Y176" s="670">
        <f>'Wrapp Barré'!Dimensions_intérieures_Cp_15_longueur</f>
        <v>0</v>
      </c>
      <c r="Z176" s="670">
        <f>'Wrapp Barré'!Dimensions_intérieures_Cp_15_largeur</f>
        <v>0</v>
      </c>
      <c r="AA176" s="670">
        <f t="shared" si="30"/>
        <v>5</v>
      </c>
      <c r="AB176" s="670"/>
      <c r="AC176" s="670"/>
      <c r="AD176" s="670"/>
      <c r="AE176" s="670"/>
      <c r="AF176" s="670"/>
      <c r="AG176" s="671"/>
    </row>
    <row r="177" spans="1:33" ht="18" hidden="1" customHeight="1" x14ac:dyDescent="0.3">
      <c r="A177" s="669" t="s">
        <v>325</v>
      </c>
      <c r="B177" s="670"/>
      <c r="C177" s="670"/>
      <c r="D177" s="670"/>
      <c r="E177" s="670"/>
      <c r="F177" s="670"/>
      <c r="G177" s="670"/>
      <c r="H177" s="670"/>
      <c r="I177" s="670"/>
      <c r="J177" s="670"/>
      <c r="K177" s="670"/>
      <c r="L177" s="670"/>
      <c r="M177" s="670"/>
      <c r="N177" s="670" t="s">
        <v>27</v>
      </c>
      <c r="O177" s="670">
        <f>'Wrapp Barré'!Dimensions_intérieures_Cp_15_longueur-0.3</f>
        <v>-0.3</v>
      </c>
      <c r="P177" s="670">
        <f>'Wrapp Barré'!Dimensions_intérieures_CP_15_hauteur-AA177</f>
        <v>-5</v>
      </c>
      <c r="Q177" s="670">
        <f>'Wrapp Barré'!Dimensions_intérieures_Cp_15_largeur/5</f>
        <v>0</v>
      </c>
      <c r="R177" s="670"/>
      <c r="S177" s="670"/>
      <c r="T177" s="670"/>
      <c r="U177" s="670"/>
      <c r="V177" s="670" t="str">
        <f>'Wrapp Barré'!Base</f>
        <v>Aucun</v>
      </c>
      <c r="W177" s="670">
        <v>5</v>
      </c>
      <c r="X177" s="670">
        <f>VLOOKUP('Wrapp Barré'!Plateau,$A$125:$B$131,2)</f>
        <v>0</v>
      </c>
      <c r="Y177" s="670">
        <f>'Wrapp Barré'!Dimensions_intérieures_Cp_15_longueur</f>
        <v>0</v>
      </c>
      <c r="Z177" s="670">
        <f>'Wrapp Barré'!Dimensions_intérieures_Cp_15_largeur</f>
        <v>0</v>
      </c>
      <c r="AA177" s="670">
        <f t="shared" si="30"/>
        <v>5</v>
      </c>
      <c r="AB177" s="670"/>
      <c r="AC177" s="670"/>
      <c r="AD177" s="670"/>
      <c r="AE177" s="670"/>
      <c r="AF177" s="670"/>
      <c r="AG177" s="671"/>
    </row>
    <row r="178" spans="1:33" ht="30" hidden="1" customHeight="1" x14ac:dyDescent="0.3">
      <c r="A178" s="669" t="s">
        <v>326</v>
      </c>
      <c r="B178" s="670" t="s">
        <v>354</v>
      </c>
      <c r="C178" s="670">
        <f>'Wrapp Barré'!Dimensions_intérieures_Cp_15_longueur</f>
        <v>0</v>
      </c>
      <c r="D178" s="670">
        <f>IF('Wrapp Barré'!Dimensions_intérieures_CP_15_hauteur&lt;120,9.4,14.4)</f>
        <v>9.4</v>
      </c>
      <c r="E178" s="670">
        <f>1</f>
        <v>1</v>
      </c>
      <c r="F178" s="670" t="s">
        <v>355</v>
      </c>
      <c r="G178" s="670">
        <f>'Wrapp Barré'!Dimensions_intérieures_Cp_15_longueur</f>
        <v>0</v>
      </c>
      <c r="H178" s="670">
        <f t="shared" ref="H178:H180" si="32">VLOOKUP($F$26,$A$145:$C$147,2)</f>
        <v>5.2</v>
      </c>
      <c r="I178" s="670">
        <f>'Wrapp Barré'!nombre_de_calages*2</f>
        <v>4</v>
      </c>
      <c r="J178" s="670" t="s">
        <v>349</v>
      </c>
      <c r="K178" s="670">
        <f>'Wrapp Barré'!Dimensions_intérieures_Cp_15_largeur</f>
        <v>0</v>
      </c>
      <c r="L178" s="670">
        <v>7</v>
      </c>
      <c r="M178" s="670">
        <f>'Wrapp Barré'!nombre_de_calages*4</f>
        <v>8</v>
      </c>
      <c r="N178" s="670" t="str">
        <f t="shared" ref="N178:N180" si="33">VLOOKUP($F$26,$A$145:$C$147,3)</f>
        <v xml:space="preserve">Stratocell 50 mm </v>
      </c>
      <c r="O178" s="670">
        <f>'Wrapp Barré'!Dimensions_intérieures_Cp_15_longueur</f>
        <v>0</v>
      </c>
      <c r="P178" s="670">
        <f>'Wrapp Barré'!Dimensions_intérieures_Cp_15_largeur-4.2</f>
        <v>-4.2</v>
      </c>
      <c r="Q178" s="670">
        <f>'Wrapp Barré'!nombre_de_calages</f>
        <v>2</v>
      </c>
      <c r="R178" s="670" t="str">
        <f t="shared" ref="R178:R180" si="34">VLOOKUP($F$26,$A$145:$D$147,4)</f>
        <v>Stratocell 50 mm</v>
      </c>
      <c r="S178" s="670">
        <f>'Wrapp Barré'!Dimensions_intérieures_Cp_15_largeur</f>
        <v>0</v>
      </c>
      <c r="T178" s="670">
        <f>IF('Wrapp Barré'!Dimensions_intérieures_CP_15_hauteur&lt;120,9.4,14.4)</f>
        <v>9.4</v>
      </c>
      <c r="U178" s="670">
        <f>1</f>
        <v>1</v>
      </c>
      <c r="V178" s="670" t="str">
        <f>'Wrapp Barré'!Base</f>
        <v>Aucun</v>
      </c>
      <c r="W178" s="670">
        <v>5</v>
      </c>
      <c r="X178" s="670">
        <f>VLOOKUP('Wrapp Barré'!Plateau,$A$125:$B$131,2)</f>
        <v>0</v>
      </c>
      <c r="Y178" s="670">
        <f>'Wrapp Barré'!Dimensions_intérieures_Cp_15_longueur</f>
        <v>0</v>
      </c>
      <c r="Z178" s="670">
        <f>'Wrapp Barré'!Dimensions_intérieures_Cp_15_largeur</f>
        <v>0</v>
      </c>
      <c r="AA178" s="670">
        <f t="shared" si="30"/>
        <v>5</v>
      </c>
      <c r="AB178" s="670"/>
      <c r="AC178" s="670"/>
      <c r="AD178" s="670"/>
      <c r="AE178" s="670"/>
      <c r="AF178" s="670"/>
      <c r="AG178" s="670"/>
    </row>
    <row r="179" spans="1:33" ht="18" hidden="1" customHeight="1" x14ac:dyDescent="0.3">
      <c r="A179" s="669" t="s">
        <v>328</v>
      </c>
      <c r="B179" s="670"/>
      <c r="C179" s="670"/>
      <c r="D179" s="670"/>
      <c r="E179" s="670"/>
      <c r="F179" s="670" t="s">
        <v>355</v>
      </c>
      <c r="G179" s="670">
        <f>'Wrapp Barré'!Dimensions_intérieures_Cp_15_largeur</f>
        <v>0</v>
      </c>
      <c r="H179" s="670">
        <f t="shared" si="32"/>
        <v>5.2</v>
      </c>
      <c r="I179" s="670">
        <f>'Wrapp Barré'!nombre_de_calages</f>
        <v>2</v>
      </c>
      <c r="J179" s="670" t="s">
        <v>349</v>
      </c>
      <c r="K179" s="670">
        <f>'Wrapp Barré'!Dimensions_intérieures_CP_15_hauteur-AA179</f>
        <v>-5</v>
      </c>
      <c r="L179" s="670">
        <v>7</v>
      </c>
      <c r="M179" s="670">
        <f>'Wrapp Barré'!nombre_de_calages*4</f>
        <v>8</v>
      </c>
      <c r="N179" s="670" t="str">
        <f t="shared" si="33"/>
        <v xml:space="preserve">Stratocell 50 mm </v>
      </c>
      <c r="O179" s="670">
        <f>'Wrapp Barré'!Dimensions_intérieures_Cp_15_largeur</f>
        <v>0</v>
      </c>
      <c r="P179" s="670">
        <f>'Wrapp Barré'!Dimensions_intérieures_CP_15_hauteur-2.1-(AA179)</f>
        <v>-7.1</v>
      </c>
      <c r="Q179" s="670">
        <f>'Wrapp Barré'!nombre_de_calages</f>
        <v>2</v>
      </c>
      <c r="R179" s="670" t="str">
        <f t="shared" si="34"/>
        <v>Stratocell 50 mm</v>
      </c>
      <c r="S179" s="670"/>
      <c r="T179" s="670"/>
      <c r="U179" s="670"/>
      <c r="V179" s="670" t="str">
        <f>'Wrapp Barré'!Base</f>
        <v>Aucun</v>
      </c>
      <c r="W179" s="670">
        <v>5</v>
      </c>
      <c r="X179" s="670">
        <f>VLOOKUP('Wrapp Barré'!Plateau,$A$125:$B$131,2)</f>
        <v>0</v>
      </c>
      <c r="Y179" s="670">
        <f>'Wrapp Barré'!Dimensions_intérieures_Cp_15_longueur</f>
        <v>0</v>
      </c>
      <c r="Z179" s="670">
        <f>'Wrapp Barré'!Dimensions_intérieures_Cp_15_largeur</f>
        <v>0</v>
      </c>
      <c r="AA179" s="670">
        <f t="shared" si="30"/>
        <v>5</v>
      </c>
      <c r="AB179" s="670"/>
      <c r="AC179" s="670"/>
      <c r="AD179" s="670"/>
      <c r="AE179" s="670"/>
      <c r="AF179" s="670"/>
      <c r="AG179" s="670"/>
    </row>
    <row r="180" spans="1:33" ht="18" hidden="1" customHeight="1" x14ac:dyDescent="0.3">
      <c r="A180" s="669" t="s">
        <v>329</v>
      </c>
      <c r="B180" s="670"/>
      <c r="C180" s="670"/>
      <c r="D180" s="670"/>
      <c r="E180" s="670"/>
      <c r="F180" s="670" t="s">
        <v>355</v>
      </c>
      <c r="G180" s="670">
        <f>'Wrapp Barré'!Dimensions_intérieures_Cp_15_largeur</f>
        <v>0</v>
      </c>
      <c r="H180" s="670">
        <f t="shared" si="32"/>
        <v>5.2</v>
      </c>
      <c r="I180" s="670">
        <f>'Wrapp Barré'!nombre_de_calages</f>
        <v>2</v>
      </c>
      <c r="J180" s="670" t="s">
        <v>349</v>
      </c>
      <c r="K180" s="670">
        <f>'Wrapp Barré'!Dimensions_intérieures_CP_15_hauteur-AA180</f>
        <v>0</v>
      </c>
      <c r="L180" s="670">
        <v>7</v>
      </c>
      <c r="M180" s="670">
        <f>'Wrapp Barré'!nombre_de_calages*4</f>
        <v>8</v>
      </c>
      <c r="N180" s="670" t="str">
        <f t="shared" si="33"/>
        <v xml:space="preserve">Stratocell 50 mm </v>
      </c>
      <c r="O180" s="670">
        <f>'Wrapp Barré'!Dimensions_intérieures_Cp_15_largeur</f>
        <v>0</v>
      </c>
      <c r="P180" s="670">
        <f>'Wrapp Barré'!Dimensions_intérieures_CP_15_hauteur-2.1-(AA180+F24)</f>
        <v>-4.0999999999999996</v>
      </c>
      <c r="Q180" s="670">
        <f>'Wrapp Barré'!nombre_de_calages</f>
        <v>2</v>
      </c>
      <c r="R180" s="670" t="str">
        <f t="shared" si="34"/>
        <v>Stratocell 50 mm</v>
      </c>
      <c r="S180" s="670">
        <f>'Wrapp Barré'!Dimensions_intérieures_Cp_15_longueur</f>
        <v>0</v>
      </c>
      <c r="T180" s="670">
        <f>F24+AA180</f>
        <v>2</v>
      </c>
      <c r="U180" s="670">
        <v>2</v>
      </c>
      <c r="V180" s="670" t="str">
        <f>'Wrapp Barré'!Base</f>
        <v>Aucun</v>
      </c>
      <c r="W180" s="670">
        <f>VLOOKUP('Wrapp Barré'!Base,$A$134:$C$143,3)</f>
        <v>0</v>
      </c>
      <c r="X180" s="670">
        <f>VLOOKUP('Wrapp Barré'!Plateau,$A$125:$B$131,2)</f>
        <v>0</v>
      </c>
      <c r="Y180" s="670">
        <f>'Wrapp Barré'!Dimensions_intérieures_Cp_15_longueur-10</f>
        <v>-10</v>
      </c>
      <c r="Z180" s="670">
        <f>'Wrapp Barré'!Dimensions_intérieures_Cp_15_largeur-10</f>
        <v>-10</v>
      </c>
      <c r="AA180" s="670">
        <f t="shared" si="30"/>
        <v>0</v>
      </c>
      <c r="AB180" s="670" t="str">
        <f>VLOOKUP($F$26,$A$145:$C$147,3)</f>
        <v xml:space="preserve">Stratocell 50 mm </v>
      </c>
      <c r="AC180" s="670">
        <f>'Wrapp Barré'!Dimensions_intérieures_Cp_15_largeur-VLOOKUP($C$24,$A$91:$S$104,2)+0.2</f>
        <v>0.2</v>
      </c>
      <c r="AD180" s="670">
        <f>F24+AA180</f>
        <v>2</v>
      </c>
      <c r="AE180" s="670">
        <v>2</v>
      </c>
      <c r="AF180" s="670">
        <f t="shared" ref="AF180:AF183" si="35">VLOOKUP($C$24,$A$91:$S$104,4)-0.2</f>
        <v>-0.2</v>
      </c>
      <c r="AG180" s="670"/>
    </row>
    <row r="181" spans="1:33" ht="18" hidden="1" customHeight="1" x14ac:dyDescent="0.3">
      <c r="A181" s="669" t="s">
        <v>330</v>
      </c>
      <c r="B181" s="670"/>
      <c r="C181" s="670"/>
      <c r="D181" s="670"/>
      <c r="E181" s="670"/>
      <c r="F181" s="670"/>
      <c r="G181" s="670"/>
      <c r="H181" s="670"/>
      <c r="I181" s="670"/>
      <c r="J181" s="670"/>
      <c r="K181" s="670"/>
      <c r="L181" s="670"/>
      <c r="M181" s="670"/>
      <c r="N181" s="670">
        <f>IF('Wrapp Barré'!nombre_de_calages="PU","PU 20 mm",IF('Wrapp Barré'!nombre_de_calages="Stratocell","Stratocell 20 mm",IF('Wrapp Barré'!nombre_de_calages="Ethafoam","Ethafoam 20 mm",0)))</f>
        <v>0</v>
      </c>
      <c r="O181" s="670">
        <f>'Wrapp Barré'!Dimensions_intérieures_Cp_15_longueur</f>
        <v>0</v>
      </c>
      <c r="P181" s="670">
        <f>'Wrapp Barré'!Dimensions_intérieures_Cp_15_largeur</f>
        <v>0</v>
      </c>
      <c r="Q181" s="670">
        <v>1</v>
      </c>
      <c r="R181" s="670">
        <f>IF('Wrapp Barré'!nombre_de_calages="PU","PU 20 mm",IF('Wrapp Barré'!nombre_de_calages="Stratocell","Stratocell 20 mm",IF('Wrapp Barré'!nombre_de_calages="Ethafoam","Ethafoam 20 mm",0)))</f>
        <v>0</v>
      </c>
      <c r="S181" s="670">
        <f>'Wrapp Barré'!Dimensions_intérieures_Cp_15_longueur</f>
        <v>0</v>
      </c>
      <c r="T181" s="670">
        <f>'Wrapp Barré'!Dimensions_intérieures_CP_15_hauteur-AF181-AA181</f>
        <v>0.2</v>
      </c>
      <c r="U181" s="670">
        <v>2</v>
      </c>
      <c r="V181" s="670" t="str">
        <f>'Wrapp Barré'!Base</f>
        <v>Aucun</v>
      </c>
      <c r="W181" s="670">
        <f>VLOOKUP('Wrapp Barré'!Base,$A$134:$C$143,3)</f>
        <v>0</v>
      </c>
      <c r="X181" s="670">
        <f>VLOOKUP('Wrapp Barré'!Plateau,$A$125:$B$131,2)</f>
        <v>0</v>
      </c>
      <c r="Y181" s="670">
        <f>'Wrapp Barré'!Dimensions_intérieures_Cp_15_longueur</f>
        <v>0</v>
      </c>
      <c r="Z181" s="670">
        <f>'Wrapp Barré'!Dimensions_intérieures_Cp_15_largeur</f>
        <v>0</v>
      </c>
      <c r="AA181" s="670">
        <f t="shared" si="30"/>
        <v>0</v>
      </c>
      <c r="AB181" s="670">
        <f>IF('Wrapp Barré'!nombre_de_calages="PU","PU 20 mm",IF('Wrapp Barré'!nombre_de_calages="Stratocell","Stratocell 20 mm",IF('Wrapp Barré'!nombre_de_calages="Ethafoam","Ethafoam 20 mm",0)))</f>
        <v>0</v>
      </c>
      <c r="AC181" s="670">
        <f>'Wrapp Barré'!Dimensions_intérieures_Cp_15_largeur-VLOOKUP($C$24,$A$91:$S$104,2)+0.2</f>
        <v>0.2</v>
      </c>
      <c r="AD181" s="670">
        <f>'Wrapp Barré'!Dimensions_intérieures_CP_15_hauteur-VLOOKUP($C$24,$A$91:$S$104,4)-AA181+0.2</f>
        <v>0.2</v>
      </c>
      <c r="AE181" s="670">
        <v>2</v>
      </c>
      <c r="AF181" s="670">
        <f t="shared" si="35"/>
        <v>-0.2</v>
      </c>
      <c r="AG181" s="671"/>
    </row>
    <row r="182" spans="1:33" ht="18" hidden="1" customHeight="1" x14ac:dyDescent="0.3">
      <c r="A182" s="669" t="s">
        <v>332</v>
      </c>
      <c r="B182" s="670"/>
      <c r="C182" s="670"/>
      <c r="D182" s="670"/>
      <c r="E182" s="670"/>
      <c r="F182" s="670"/>
      <c r="G182" s="670"/>
      <c r="H182" s="670"/>
      <c r="I182" s="670"/>
      <c r="J182" s="670"/>
      <c r="K182" s="670"/>
      <c r="L182" s="670"/>
      <c r="M182" s="670"/>
      <c r="N182" s="670">
        <f>IF('Wrapp Barré'!nombre_de_calages="PU","PU 30 mm",IF('Wrapp Barré'!nombre_de_calages="Stratocell","Stratocell 30 mm",IF('Wrapp Barré'!nombre_de_calages="Ethafoam","Ethafoam 30 mm",0)))</f>
        <v>0</v>
      </c>
      <c r="O182" s="670">
        <f>'Wrapp Barré'!Dimensions_intérieures_Cp_15_longueur</f>
        <v>0</v>
      </c>
      <c r="P182" s="670">
        <f>'Wrapp Barré'!Dimensions_intérieures_Cp_15_largeur</f>
        <v>0</v>
      </c>
      <c r="Q182" s="670">
        <v>1</v>
      </c>
      <c r="R182" s="670">
        <f>IF('Wrapp Barré'!nombre_de_calages="PU","PU 30 mm",IF('Wrapp Barré'!nombre_de_calages="Stratocell","Stratocell 30 mm",IF('Wrapp Barré'!nombre_de_calages="Ethafoam","Ethafoam 30 mm",0)))</f>
        <v>0</v>
      </c>
      <c r="S182" s="670">
        <f>'Wrapp Barré'!Dimensions_intérieures_Cp_15_longueur</f>
        <v>0</v>
      </c>
      <c r="T182" s="670">
        <f>'Wrapp Barré'!Dimensions_intérieures_CP_15_hauteur-AF182-AA182</f>
        <v>0.2</v>
      </c>
      <c r="U182" s="670">
        <v>2</v>
      </c>
      <c r="V182" s="670" t="str">
        <f>'Wrapp Barré'!Base</f>
        <v>Aucun</v>
      </c>
      <c r="W182" s="670">
        <f>VLOOKUP('Wrapp Barré'!Base,$A$134:$C$143,3)</f>
        <v>0</v>
      </c>
      <c r="X182" s="670">
        <f>VLOOKUP('Wrapp Barré'!Plateau,$A$125:$B$131,2)</f>
        <v>0</v>
      </c>
      <c r="Y182" s="670">
        <f>'Wrapp Barré'!Dimensions_intérieures_Cp_15_longueur</f>
        <v>0</v>
      </c>
      <c r="Z182" s="670">
        <f>'Wrapp Barré'!Dimensions_intérieures_Cp_15_largeur</f>
        <v>0</v>
      </c>
      <c r="AA182" s="670">
        <f t="shared" si="30"/>
        <v>0</v>
      </c>
      <c r="AB182" s="670">
        <f>IF('Wrapp Barré'!nombre_de_calages="PU","PU 30 mm",IF('Wrapp Barré'!nombre_de_calages="Stratocell","Stratocell 30 mm",IF('Wrapp Barré'!nombre_de_calages="Ethafoam","Ethafoam 30 mm",0)))</f>
        <v>0</v>
      </c>
      <c r="AC182" s="670">
        <f>'Wrapp Barré'!Dimensions_intérieures_Cp_15_largeur-VLOOKUP($C$24,$A$91:$S$104,2)+0.2</f>
        <v>0.2</v>
      </c>
      <c r="AD182" s="670">
        <f>'Wrapp Barré'!Dimensions_intérieures_CP_15_hauteur-VLOOKUP($C$24,$A$91:$S$104,4)-AA182+0.2</f>
        <v>0.2</v>
      </c>
      <c r="AE182" s="670">
        <v>2</v>
      </c>
      <c r="AF182" s="670">
        <f t="shared" si="35"/>
        <v>-0.2</v>
      </c>
      <c r="AG182" s="671"/>
    </row>
    <row r="183" spans="1:33" ht="18" hidden="1" customHeight="1" x14ac:dyDescent="0.3">
      <c r="A183" s="678" t="s">
        <v>304</v>
      </c>
      <c r="B183" s="679"/>
      <c r="C183" s="679"/>
      <c r="D183" s="679"/>
      <c r="E183" s="679"/>
      <c r="F183" s="679"/>
      <c r="G183" s="679"/>
      <c r="H183" s="679"/>
      <c r="I183" s="679"/>
      <c r="J183" s="679"/>
      <c r="K183" s="679"/>
      <c r="L183" s="679"/>
      <c r="M183" s="679"/>
      <c r="N183" s="670">
        <f>IF('Wrapp Barré'!nombre_de_calages="PU","PU 50 mm",IF('Wrapp Barré'!nombre_de_calages="Stratocell","Stratocell 50 mm",IF('Wrapp Barré'!nombre_de_calages="Ethafoam","Ethafoam 50 mm",0)))</f>
        <v>0</v>
      </c>
      <c r="O183" s="679">
        <f>'Wrapp Barré'!Dimensions_intérieures_Cp_15_longueur</f>
        <v>0</v>
      </c>
      <c r="P183" s="679">
        <f>'Wrapp Barré'!Dimensions_intérieures_Cp_15_largeur</f>
        <v>0</v>
      </c>
      <c r="Q183" s="679">
        <v>1</v>
      </c>
      <c r="R183" s="670">
        <f>IF('Wrapp Barré'!nombre_de_calages="PU","PU 50 mm",IF('Wrapp Barré'!nombre_de_calages="Stratocell","Stratocell 50 mm",IF('Wrapp Barré'!nombre_de_calages="Ethafoam","Ethafoam 50 mm",0)))</f>
        <v>0</v>
      </c>
      <c r="S183" s="679">
        <f>'Wrapp Barré'!Dimensions_intérieures_Cp_15_longueur</f>
        <v>0</v>
      </c>
      <c r="T183" s="670">
        <f>'Wrapp Barré'!Dimensions_intérieures_CP_15_hauteur-AF183-AA183</f>
        <v>0.2</v>
      </c>
      <c r="U183" s="679">
        <v>2</v>
      </c>
      <c r="V183" s="679" t="str">
        <f>'Wrapp Barré'!Base</f>
        <v>Aucun</v>
      </c>
      <c r="W183" s="670">
        <f>VLOOKUP('Wrapp Barré'!Base,$A$134:$C$143,3)</f>
        <v>0</v>
      </c>
      <c r="X183" s="679">
        <f>VLOOKUP('Wrapp Barré'!Plateau,$A$125:$B$131,2)</f>
        <v>0</v>
      </c>
      <c r="Y183" s="679">
        <f>'Wrapp Barré'!Dimensions_intérieures_Cp_15_longueur</f>
        <v>0</v>
      </c>
      <c r="Z183" s="679">
        <f>'Wrapp Barré'!Dimensions_intérieures_Cp_15_largeur</f>
        <v>0</v>
      </c>
      <c r="AA183" s="679">
        <f t="shared" si="30"/>
        <v>0</v>
      </c>
      <c r="AB183" s="670">
        <f>IF('Wrapp Barré'!nombre_de_calages="PU","PU 50 mm",IF('Wrapp Barré'!nombre_de_calages="Stratocell","Stratocell 50 mm",IF('Wrapp Barré'!nombre_de_calages="Ethafoam","Ethafoam 50 mm",0)))</f>
        <v>0</v>
      </c>
      <c r="AC183" s="670">
        <f>'Wrapp Barré'!Dimensions_intérieures_Cp_15_largeur-VLOOKUP($C$24,$A$91:$S$104,2)+0.2</f>
        <v>0.2</v>
      </c>
      <c r="AD183" s="670">
        <f>'Wrapp Barré'!Dimensions_intérieures_CP_15_hauteur-VLOOKUP($C$24,$A$91:$S$104,4)-AA183+0.2</f>
        <v>0.2</v>
      </c>
      <c r="AE183" s="679">
        <v>2</v>
      </c>
      <c r="AF183" s="670">
        <f t="shared" si="35"/>
        <v>-0.2</v>
      </c>
      <c r="AG183" s="680"/>
    </row>
    <row r="184" spans="1:33" ht="18" hidden="1" customHeight="1" x14ac:dyDescent="0.35">
      <c r="A184" s="559"/>
      <c r="B184" s="559"/>
      <c r="C184" s="559"/>
      <c r="D184" s="559"/>
      <c r="E184" s="559"/>
      <c r="F184" s="559"/>
      <c r="G184" s="559"/>
      <c r="H184" s="559"/>
      <c r="I184" s="559"/>
      <c r="J184" s="559"/>
      <c r="K184" s="559"/>
      <c r="L184" s="559"/>
      <c r="M184" s="559"/>
      <c r="N184" s="559"/>
      <c r="O184" s="559"/>
      <c r="P184" s="559"/>
      <c r="Q184" s="559"/>
      <c r="R184" s="559"/>
      <c r="S184" s="559"/>
      <c r="T184" s="559"/>
      <c r="U184" s="559"/>
      <c r="V184" s="559"/>
      <c r="W184" s="559"/>
      <c r="X184" s="559"/>
      <c r="Y184" s="559"/>
      <c r="Z184" s="559"/>
      <c r="AA184" s="559"/>
      <c r="AB184" s="559"/>
      <c r="AC184" s="559"/>
      <c r="AD184" s="559"/>
      <c r="AE184" s="559"/>
      <c r="AF184" s="559"/>
      <c r="AG184" s="559"/>
    </row>
    <row r="185" spans="1:33" ht="18" hidden="1" customHeight="1" x14ac:dyDescent="0.35">
      <c r="A185" s="559"/>
      <c r="B185" s="559"/>
      <c r="C185" s="559"/>
      <c r="D185" s="559"/>
      <c r="E185" s="559"/>
      <c r="F185" s="559"/>
      <c r="G185" s="559"/>
      <c r="H185" s="559"/>
      <c r="I185" s="559"/>
      <c r="J185" s="559"/>
      <c r="K185" s="559"/>
      <c r="L185" s="559"/>
      <c r="M185" s="559"/>
      <c r="N185" s="559"/>
      <c r="O185" s="559"/>
      <c r="P185" s="559"/>
      <c r="Q185" s="559"/>
      <c r="R185" s="559"/>
      <c r="S185" s="559"/>
      <c r="T185" s="559"/>
      <c r="U185" s="559"/>
      <c r="V185" s="559"/>
      <c r="W185" s="559"/>
      <c r="X185" s="559"/>
      <c r="Y185" s="559"/>
      <c r="Z185" s="559"/>
      <c r="AA185" s="559"/>
      <c r="AB185" s="559"/>
      <c r="AC185" s="559"/>
      <c r="AD185" s="559"/>
      <c r="AE185" s="559"/>
      <c r="AF185" s="559"/>
      <c r="AG185" s="559"/>
    </row>
    <row r="186" spans="1:33" ht="18" customHeight="1" x14ac:dyDescent="0.35">
      <c r="A186" s="559"/>
      <c r="B186" s="559"/>
      <c r="C186" s="559"/>
      <c r="D186" s="559"/>
      <c r="E186" s="559"/>
      <c r="F186" s="559"/>
      <c r="G186" s="559"/>
      <c r="H186" s="559"/>
      <c r="I186" s="559"/>
      <c r="J186" s="559"/>
      <c r="K186" s="559"/>
      <c r="L186" s="559"/>
      <c r="M186" s="559"/>
      <c r="N186" s="559"/>
      <c r="O186" s="559"/>
      <c r="P186" s="559"/>
      <c r="Q186" s="559"/>
      <c r="R186" s="559"/>
      <c r="S186" s="559"/>
      <c r="T186" s="559"/>
      <c r="U186" s="559"/>
      <c r="V186" s="559"/>
      <c r="W186" s="559"/>
      <c r="X186" s="559"/>
      <c r="Y186" s="559"/>
      <c r="Z186" s="559"/>
      <c r="AA186" s="559"/>
      <c r="AB186" s="559"/>
      <c r="AC186" s="559"/>
      <c r="AD186" s="559"/>
      <c r="AE186" s="559"/>
      <c r="AF186" s="559"/>
      <c r="AG186" s="559"/>
    </row>
    <row r="187" spans="1:33" ht="18" customHeight="1" x14ac:dyDescent="0.35">
      <c r="A187" s="559"/>
      <c r="B187" s="559"/>
      <c r="C187" s="559"/>
      <c r="D187" s="559"/>
      <c r="E187" s="559"/>
      <c r="F187" s="559"/>
      <c r="G187" s="559"/>
      <c r="H187" s="559"/>
      <c r="I187" s="559"/>
      <c r="J187" s="559"/>
      <c r="K187" s="559"/>
      <c r="L187" s="559"/>
      <c r="M187" s="559"/>
      <c r="N187" s="559"/>
      <c r="O187" s="559"/>
      <c r="P187" s="559"/>
      <c r="Q187" s="559"/>
      <c r="R187" s="559"/>
      <c r="S187" s="559"/>
      <c r="T187" s="559"/>
      <c r="U187" s="559"/>
      <c r="V187" s="559"/>
      <c r="W187" s="559"/>
      <c r="X187" s="559"/>
      <c r="Y187" s="559"/>
      <c r="Z187" s="559"/>
      <c r="AA187" s="559"/>
      <c r="AB187" s="559"/>
      <c r="AC187" s="559"/>
      <c r="AD187" s="559"/>
      <c r="AE187" s="559"/>
      <c r="AF187" s="559"/>
      <c r="AG187" s="559"/>
    </row>
    <row r="188" spans="1:33" ht="18" customHeight="1" x14ac:dyDescent="0.35">
      <c r="A188" s="559"/>
      <c r="B188" s="559"/>
      <c r="C188" s="559"/>
      <c r="D188" s="559"/>
      <c r="E188" s="559"/>
      <c r="F188" s="559"/>
      <c r="G188" s="559"/>
      <c r="H188" s="559"/>
      <c r="I188" s="559"/>
      <c r="J188" s="559"/>
      <c r="K188" s="559"/>
      <c r="L188" s="559"/>
      <c r="M188" s="559"/>
      <c r="N188" s="559"/>
      <c r="O188" s="559"/>
      <c r="P188" s="559"/>
      <c r="Q188" s="559"/>
      <c r="R188" s="559"/>
      <c r="S188" s="559"/>
      <c r="T188" s="559"/>
      <c r="U188" s="559"/>
      <c r="V188" s="559"/>
      <c r="W188" s="559"/>
      <c r="X188" s="559"/>
      <c r="Y188" s="559"/>
      <c r="Z188" s="559"/>
      <c r="AA188" s="559"/>
      <c r="AB188" s="559"/>
      <c r="AC188" s="559"/>
      <c r="AD188" s="559"/>
      <c r="AE188" s="559"/>
      <c r="AF188" s="559"/>
      <c r="AG188" s="559"/>
    </row>
    <row r="189" spans="1:33" ht="18" customHeight="1" x14ac:dyDescent="0.35">
      <c r="A189" s="559"/>
      <c r="B189" s="559"/>
      <c r="C189" s="559"/>
      <c r="D189" s="559"/>
      <c r="E189" s="559"/>
      <c r="F189" s="559"/>
      <c r="G189" s="559"/>
      <c r="H189" s="559"/>
      <c r="I189" s="559"/>
      <c r="J189" s="559"/>
      <c r="K189" s="559"/>
      <c r="L189" s="559"/>
      <c r="M189" s="559"/>
      <c r="N189" s="559"/>
      <c r="O189" s="559"/>
      <c r="P189" s="559"/>
      <c r="Q189" s="559"/>
      <c r="R189" s="559"/>
      <c r="S189" s="559"/>
      <c r="T189" s="559"/>
      <c r="U189" s="559"/>
      <c r="V189" s="559"/>
      <c r="W189" s="559"/>
      <c r="X189" s="559"/>
      <c r="Y189" s="559"/>
      <c r="Z189" s="559"/>
      <c r="AA189" s="559"/>
      <c r="AB189" s="559"/>
      <c r="AC189" s="559"/>
      <c r="AD189" s="559"/>
      <c r="AE189" s="559"/>
      <c r="AF189" s="559"/>
      <c r="AG189" s="559"/>
    </row>
    <row r="190" spans="1:33" ht="18" customHeight="1" x14ac:dyDescent="0.35">
      <c r="A190" s="559"/>
      <c r="B190" s="559"/>
      <c r="C190" s="559"/>
      <c r="D190" s="559"/>
      <c r="E190" s="559"/>
      <c r="F190" s="559"/>
      <c r="G190" s="559"/>
      <c r="H190" s="559"/>
      <c r="I190" s="559"/>
      <c r="J190" s="559"/>
      <c r="K190" s="559"/>
      <c r="L190" s="559"/>
      <c r="M190" s="559"/>
      <c r="N190" s="559"/>
      <c r="O190" s="559"/>
      <c r="P190" s="559"/>
      <c r="Q190" s="559"/>
      <c r="R190" s="559"/>
      <c r="S190" s="559"/>
      <c r="T190" s="559"/>
      <c r="U190" s="559"/>
      <c r="V190" s="559"/>
      <c r="W190" s="559"/>
      <c r="X190" s="559"/>
      <c r="Y190" s="559"/>
      <c r="Z190" s="559"/>
      <c r="AA190" s="559"/>
      <c r="AB190" s="559"/>
      <c r="AC190" s="559"/>
      <c r="AD190" s="559"/>
      <c r="AE190" s="559"/>
      <c r="AF190" s="559"/>
      <c r="AG190" s="559"/>
    </row>
    <row r="191" spans="1:33" ht="18" customHeight="1" x14ac:dyDescent="0.35">
      <c r="A191" s="559"/>
      <c r="B191" s="559"/>
      <c r="C191" s="559"/>
      <c r="D191" s="559"/>
      <c r="E191" s="559"/>
      <c r="F191" s="559"/>
      <c r="G191" s="559"/>
      <c r="H191" s="559"/>
      <c r="I191" s="559"/>
      <c r="J191" s="559"/>
      <c r="K191" s="559"/>
      <c r="L191" s="559"/>
      <c r="M191" s="559"/>
      <c r="N191" s="559"/>
      <c r="O191" s="559"/>
      <c r="P191" s="559"/>
      <c r="Q191" s="559"/>
      <c r="R191" s="559"/>
      <c r="S191" s="559"/>
      <c r="T191" s="559"/>
      <c r="U191" s="559"/>
      <c r="V191" s="559"/>
      <c r="W191" s="559"/>
      <c r="X191" s="559"/>
      <c r="Y191" s="559"/>
      <c r="Z191" s="559"/>
      <c r="AA191" s="559"/>
      <c r="AB191" s="559"/>
      <c r="AC191" s="559"/>
      <c r="AD191" s="559"/>
      <c r="AE191" s="559"/>
      <c r="AF191" s="559"/>
      <c r="AG191" s="559"/>
    </row>
    <row r="192" spans="1:33" ht="18" customHeight="1" x14ac:dyDescent="0.35">
      <c r="A192" s="559"/>
      <c r="B192" s="559"/>
      <c r="C192" s="559"/>
      <c r="D192" s="559"/>
      <c r="E192" s="559"/>
      <c r="F192" s="559"/>
      <c r="G192" s="559"/>
      <c r="H192" s="559"/>
      <c r="I192" s="559"/>
      <c r="J192" s="559"/>
      <c r="K192" s="559"/>
      <c r="L192" s="559"/>
      <c r="M192" s="559"/>
      <c r="N192" s="559"/>
      <c r="O192" s="559"/>
      <c r="P192" s="559"/>
      <c r="Q192" s="559"/>
      <c r="R192" s="559"/>
      <c r="S192" s="559"/>
      <c r="T192" s="559"/>
      <c r="U192" s="559"/>
      <c r="V192" s="559"/>
      <c r="W192" s="559"/>
      <c r="X192" s="559"/>
      <c r="Y192" s="559"/>
      <c r="Z192" s="559"/>
      <c r="AA192" s="559"/>
      <c r="AB192" s="559"/>
      <c r="AC192" s="559"/>
      <c r="AD192" s="559"/>
      <c r="AE192" s="559"/>
      <c r="AF192" s="559"/>
      <c r="AG192" s="559"/>
    </row>
    <row r="193" spans="1:33" ht="18" customHeight="1" x14ac:dyDescent="0.35">
      <c r="A193" s="559"/>
      <c r="B193" s="559"/>
      <c r="C193" s="559"/>
      <c r="D193" s="559"/>
      <c r="E193" s="559"/>
      <c r="F193" s="559"/>
      <c r="G193" s="559"/>
      <c r="H193" s="559"/>
      <c r="I193" s="559"/>
      <c r="J193" s="559"/>
      <c r="K193" s="559"/>
      <c r="L193" s="559"/>
      <c r="M193" s="559"/>
      <c r="N193" s="559"/>
      <c r="O193" s="559"/>
      <c r="P193" s="559"/>
      <c r="Q193" s="559"/>
      <c r="R193" s="559"/>
      <c r="S193" s="559"/>
      <c r="T193" s="559"/>
      <c r="U193" s="559"/>
      <c r="V193" s="559"/>
      <c r="W193" s="559"/>
      <c r="X193" s="559"/>
      <c r="Y193" s="559"/>
      <c r="Z193" s="559"/>
      <c r="AA193" s="559"/>
      <c r="AB193" s="559"/>
      <c r="AC193" s="559"/>
      <c r="AD193" s="559"/>
      <c r="AE193" s="559"/>
      <c r="AF193" s="559"/>
      <c r="AG193" s="559"/>
    </row>
    <row r="194" spans="1:33" ht="18" customHeight="1" x14ac:dyDescent="0.35">
      <c r="A194" s="559"/>
      <c r="B194" s="559"/>
      <c r="C194" s="559"/>
      <c r="D194" s="559"/>
      <c r="E194" s="559"/>
      <c r="F194" s="559"/>
      <c r="G194" s="559"/>
      <c r="H194" s="559"/>
      <c r="I194" s="559"/>
      <c r="J194" s="559"/>
      <c r="K194" s="559"/>
      <c r="L194" s="559"/>
      <c r="M194" s="559"/>
      <c r="N194" s="559"/>
      <c r="O194" s="559"/>
      <c r="P194" s="559"/>
      <c r="Q194" s="559"/>
      <c r="R194" s="559"/>
      <c r="S194" s="559"/>
      <c r="T194" s="559"/>
      <c r="U194" s="559"/>
      <c r="V194" s="559"/>
      <c r="W194" s="559"/>
      <c r="X194" s="559"/>
      <c r="Y194" s="559"/>
      <c r="Z194" s="559"/>
      <c r="AA194" s="559"/>
      <c r="AB194" s="559"/>
      <c r="AC194" s="559"/>
      <c r="AD194" s="559"/>
      <c r="AE194" s="559"/>
      <c r="AF194" s="559"/>
      <c r="AG194" s="559"/>
    </row>
    <row r="195" spans="1:33" ht="18" customHeight="1" x14ac:dyDescent="0.35">
      <c r="A195" s="559"/>
      <c r="B195" s="559"/>
      <c r="C195" s="559"/>
      <c r="D195" s="559"/>
      <c r="E195" s="559"/>
      <c r="F195" s="559"/>
      <c r="G195" s="559"/>
      <c r="H195" s="559"/>
      <c r="I195" s="559"/>
      <c r="J195" s="559"/>
      <c r="K195" s="559"/>
      <c r="L195" s="559"/>
      <c r="M195" s="559"/>
      <c r="N195" s="559"/>
      <c r="O195" s="559"/>
      <c r="P195" s="559"/>
      <c r="Q195" s="559"/>
      <c r="R195" s="559"/>
      <c r="S195" s="559"/>
      <c r="T195" s="559"/>
      <c r="U195" s="559"/>
      <c r="V195" s="559"/>
      <c r="W195" s="559"/>
      <c r="X195" s="559"/>
      <c r="Y195" s="559"/>
      <c r="Z195" s="559"/>
      <c r="AA195" s="559"/>
      <c r="AB195" s="559"/>
      <c r="AC195" s="559"/>
      <c r="AD195" s="559"/>
      <c r="AE195" s="559"/>
      <c r="AF195" s="559"/>
      <c r="AG195" s="559"/>
    </row>
    <row r="196" spans="1:33" ht="18" customHeight="1" x14ac:dyDescent="0.35">
      <c r="A196" s="559"/>
      <c r="B196" s="559"/>
      <c r="C196" s="559"/>
      <c r="D196" s="559"/>
      <c r="E196" s="559"/>
      <c r="F196" s="559"/>
      <c r="G196" s="559"/>
      <c r="H196" s="559"/>
      <c r="I196" s="559"/>
      <c r="J196" s="559"/>
      <c r="K196" s="559"/>
      <c r="L196" s="559"/>
      <c r="M196" s="559"/>
      <c r="N196" s="559"/>
      <c r="O196" s="559"/>
      <c r="P196" s="559"/>
      <c r="Q196" s="559"/>
      <c r="R196" s="559"/>
      <c r="S196" s="559"/>
      <c r="T196" s="559"/>
      <c r="U196" s="559"/>
      <c r="V196" s="559"/>
      <c r="W196" s="559"/>
      <c r="X196" s="559"/>
      <c r="Y196" s="559"/>
      <c r="Z196" s="559"/>
      <c r="AA196" s="559"/>
      <c r="AB196" s="559"/>
      <c r="AC196" s="559"/>
      <c r="AD196" s="559"/>
      <c r="AE196" s="559"/>
      <c r="AF196" s="559"/>
      <c r="AG196" s="559"/>
    </row>
    <row r="197" spans="1:33" ht="18" customHeight="1" x14ac:dyDescent="0.35">
      <c r="A197" s="559"/>
      <c r="B197" s="559"/>
      <c r="C197" s="559"/>
      <c r="D197" s="559"/>
      <c r="E197" s="559"/>
      <c r="F197" s="559"/>
      <c r="G197" s="559"/>
      <c r="H197" s="559"/>
      <c r="I197" s="559"/>
      <c r="J197" s="559"/>
      <c r="K197" s="559"/>
      <c r="L197" s="559"/>
      <c r="M197" s="559"/>
      <c r="N197" s="559"/>
      <c r="O197" s="559"/>
      <c r="P197" s="559"/>
      <c r="Q197" s="559"/>
      <c r="R197" s="559"/>
      <c r="S197" s="559"/>
      <c r="T197" s="559"/>
      <c r="U197" s="559"/>
      <c r="V197" s="559"/>
      <c r="W197" s="559"/>
      <c r="X197" s="559"/>
      <c r="Y197" s="559"/>
      <c r="Z197" s="559"/>
      <c r="AA197" s="559"/>
      <c r="AB197" s="559"/>
      <c r="AC197" s="559"/>
      <c r="AD197" s="559"/>
      <c r="AE197" s="559"/>
      <c r="AF197" s="559"/>
      <c r="AG197" s="559"/>
    </row>
    <row r="198" spans="1:33" ht="18" customHeight="1" x14ac:dyDescent="0.35">
      <c r="A198" s="559"/>
      <c r="B198" s="559"/>
      <c r="C198" s="559"/>
      <c r="D198" s="559"/>
      <c r="E198" s="559"/>
      <c r="F198" s="559"/>
      <c r="G198" s="559"/>
      <c r="H198" s="559"/>
      <c r="I198" s="559"/>
      <c r="J198" s="559"/>
      <c r="K198" s="559"/>
      <c r="L198" s="559"/>
      <c r="M198" s="559"/>
      <c r="N198" s="559"/>
      <c r="O198" s="559"/>
      <c r="P198" s="559"/>
      <c r="Q198" s="559"/>
      <c r="R198" s="559"/>
      <c r="S198" s="559"/>
      <c r="T198" s="559"/>
      <c r="U198" s="559"/>
      <c r="V198" s="559"/>
      <c r="W198" s="559"/>
      <c r="X198" s="559"/>
      <c r="Y198" s="559"/>
      <c r="Z198" s="559"/>
      <c r="AA198" s="559"/>
      <c r="AB198" s="559"/>
      <c r="AC198" s="559"/>
      <c r="AD198" s="559"/>
      <c r="AE198" s="559"/>
      <c r="AF198" s="559"/>
      <c r="AG198" s="559"/>
    </row>
    <row r="199" spans="1:33" ht="18" customHeight="1" x14ac:dyDescent="0.35">
      <c r="A199" s="559"/>
      <c r="B199" s="559"/>
      <c r="C199" s="559"/>
      <c r="D199" s="559"/>
      <c r="E199" s="559"/>
      <c r="F199" s="559"/>
      <c r="G199" s="559"/>
      <c r="H199" s="559"/>
      <c r="I199" s="559"/>
      <c r="J199" s="559"/>
      <c r="K199" s="559"/>
      <c r="L199" s="559"/>
      <c r="M199" s="559"/>
      <c r="N199" s="559"/>
      <c r="O199" s="559"/>
      <c r="P199" s="559"/>
      <c r="Q199" s="559"/>
      <c r="R199" s="559"/>
      <c r="S199" s="559"/>
      <c r="T199" s="559"/>
      <c r="U199" s="559"/>
      <c r="V199" s="559"/>
      <c r="W199" s="559"/>
      <c r="X199" s="559"/>
      <c r="Y199" s="559"/>
      <c r="Z199" s="559"/>
      <c r="AA199" s="559"/>
      <c r="AB199" s="559"/>
      <c r="AC199" s="559"/>
      <c r="AD199" s="559"/>
      <c r="AE199" s="559"/>
      <c r="AF199" s="559"/>
      <c r="AG199" s="559"/>
    </row>
    <row r="200" spans="1:33" ht="18" customHeight="1" x14ac:dyDescent="0.35">
      <c r="A200" s="559"/>
      <c r="B200" s="559"/>
      <c r="C200" s="559"/>
      <c r="D200" s="559"/>
      <c r="E200" s="559"/>
      <c r="F200" s="559"/>
      <c r="G200" s="559"/>
      <c r="H200" s="559"/>
      <c r="I200" s="559"/>
      <c r="J200" s="559"/>
      <c r="K200" s="559"/>
      <c r="L200" s="559"/>
      <c r="M200" s="559"/>
      <c r="N200" s="559"/>
      <c r="O200" s="559"/>
      <c r="P200" s="559"/>
      <c r="Q200" s="559"/>
      <c r="R200" s="559"/>
      <c r="S200" s="559"/>
      <c r="T200" s="559"/>
      <c r="U200" s="559"/>
      <c r="V200" s="559"/>
      <c r="W200" s="559"/>
      <c r="X200" s="559"/>
      <c r="Y200" s="559"/>
      <c r="Z200" s="559"/>
      <c r="AA200" s="559"/>
      <c r="AB200" s="559"/>
      <c r="AC200" s="559"/>
      <c r="AD200" s="559"/>
      <c r="AE200" s="559"/>
      <c r="AF200" s="559"/>
      <c r="AG200" s="559"/>
    </row>
    <row r="201" spans="1:33" ht="18" customHeight="1" x14ac:dyDescent="0.35">
      <c r="A201" s="559"/>
      <c r="B201" s="559"/>
      <c r="C201" s="559"/>
      <c r="D201" s="559"/>
      <c r="E201" s="559"/>
      <c r="F201" s="559"/>
      <c r="G201" s="559"/>
      <c r="H201" s="559"/>
      <c r="I201" s="559"/>
      <c r="J201" s="559"/>
      <c r="K201" s="559"/>
      <c r="L201" s="559"/>
      <c r="M201" s="559"/>
      <c r="N201" s="559"/>
      <c r="O201" s="559"/>
      <c r="P201" s="559"/>
      <c r="Q201" s="559"/>
      <c r="R201" s="559"/>
      <c r="S201" s="559"/>
      <c r="T201" s="559"/>
      <c r="U201" s="559"/>
      <c r="V201" s="559"/>
      <c r="W201" s="559"/>
      <c r="X201" s="559"/>
      <c r="Y201" s="559"/>
      <c r="Z201" s="559"/>
      <c r="AA201" s="559"/>
      <c r="AB201" s="559"/>
      <c r="AC201" s="559"/>
      <c r="AD201" s="559"/>
      <c r="AE201" s="559"/>
      <c r="AF201" s="559"/>
      <c r="AG201" s="559"/>
    </row>
    <row r="202" spans="1:33" ht="18" customHeight="1" x14ac:dyDescent="0.35">
      <c r="A202" s="559"/>
      <c r="B202" s="559"/>
      <c r="C202" s="559"/>
      <c r="D202" s="559"/>
      <c r="E202" s="559"/>
      <c r="F202" s="559"/>
      <c r="G202" s="559"/>
      <c r="H202" s="559"/>
      <c r="I202" s="559"/>
      <c r="J202" s="559"/>
      <c r="K202" s="559"/>
      <c r="L202" s="559"/>
      <c r="M202" s="559"/>
      <c r="N202" s="559"/>
      <c r="O202" s="559"/>
      <c r="P202" s="559"/>
      <c r="Q202" s="559"/>
      <c r="R202" s="559"/>
      <c r="S202" s="559"/>
      <c r="T202" s="559"/>
      <c r="U202" s="559"/>
      <c r="V202" s="559"/>
      <c r="W202" s="559"/>
      <c r="X202" s="559"/>
      <c r="Y202" s="559"/>
      <c r="Z202" s="559"/>
      <c r="AA202" s="559"/>
      <c r="AB202" s="559"/>
      <c r="AC202" s="559"/>
      <c r="AD202" s="559"/>
      <c r="AE202" s="559"/>
      <c r="AF202" s="559"/>
      <c r="AG202" s="559"/>
    </row>
    <row r="203" spans="1:33" ht="18" customHeight="1" x14ac:dyDescent="0.35">
      <c r="A203" s="559"/>
      <c r="B203" s="559"/>
      <c r="C203" s="559"/>
      <c r="D203" s="559"/>
      <c r="E203" s="559"/>
      <c r="F203" s="559"/>
      <c r="G203" s="559"/>
      <c r="H203" s="559"/>
      <c r="I203" s="559"/>
      <c r="J203" s="559"/>
      <c r="K203" s="559"/>
      <c r="L203" s="559"/>
      <c r="M203" s="559"/>
      <c r="N203" s="559"/>
      <c r="O203" s="559"/>
      <c r="P203" s="559"/>
      <c r="Q203" s="559"/>
      <c r="R203" s="559"/>
      <c r="S203" s="559"/>
      <c r="T203" s="559"/>
      <c r="U203" s="559"/>
      <c r="V203" s="559"/>
      <c r="W203" s="559"/>
      <c r="X203" s="559"/>
      <c r="Y203" s="559"/>
      <c r="Z203" s="559"/>
      <c r="AA203" s="559"/>
      <c r="AB203" s="559"/>
      <c r="AC203" s="559"/>
      <c r="AD203" s="559"/>
      <c r="AE203" s="559"/>
      <c r="AF203" s="559"/>
      <c r="AG203" s="559"/>
    </row>
    <row r="204" spans="1:33" ht="18" customHeight="1" x14ac:dyDescent="0.35">
      <c r="A204" s="559"/>
      <c r="B204" s="559"/>
      <c r="C204" s="559"/>
      <c r="D204" s="559"/>
      <c r="E204" s="559"/>
      <c r="F204" s="559"/>
      <c r="G204" s="559"/>
      <c r="H204" s="559"/>
      <c r="I204" s="559"/>
      <c r="J204" s="559"/>
      <c r="K204" s="559"/>
      <c r="L204" s="559"/>
      <c r="M204" s="559"/>
      <c r="N204" s="559"/>
      <c r="O204" s="559"/>
      <c r="P204" s="559"/>
      <c r="Q204" s="559"/>
      <c r="R204" s="559"/>
      <c r="S204" s="559"/>
      <c r="T204" s="559"/>
      <c r="U204" s="559"/>
      <c r="V204" s="559"/>
      <c r="W204" s="559"/>
      <c r="X204" s="559"/>
      <c r="Y204" s="559"/>
      <c r="Z204" s="559"/>
      <c r="AA204" s="559"/>
      <c r="AB204" s="559"/>
      <c r="AC204" s="559"/>
      <c r="AD204" s="559"/>
      <c r="AE204" s="559"/>
      <c r="AF204" s="559"/>
      <c r="AG204" s="559"/>
    </row>
    <row r="205" spans="1:33" ht="18" customHeight="1" x14ac:dyDescent="0.35">
      <c r="A205" s="559"/>
      <c r="B205" s="559"/>
      <c r="C205" s="559"/>
      <c r="D205" s="559"/>
      <c r="E205" s="559"/>
      <c r="F205" s="559"/>
      <c r="G205" s="559"/>
      <c r="H205" s="559"/>
      <c r="I205" s="559"/>
      <c r="J205" s="559"/>
      <c r="K205" s="559"/>
      <c r="L205" s="559"/>
      <c r="M205" s="559"/>
      <c r="N205" s="559"/>
      <c r="O205" s="559"/>
      <c r="P205" s="559"/>
      <c r="Q205" s="559"/>
      <c r="R205" s="559"/>
      <c r="S205" s="559"/>
      <c r="T205" s="559"/>
      <c r="U205" s="559"/>
      <c r="V205" s="559"/>
      <c r="W205" s="559"/>
      <c r="X205" s="559"/>
      <c r="Y205" s="559"/>
      <c r="Z205" s="559"/>
      <c r="AA205" s="559"/>
      <c r="AB205" s="559"/>
      <c r="AC205" s="559"/>
      <c r="AD205" s="559"/>
      <c r="AE205" s="559"/>
      <c r="AF205" s="559"/>
      <c r="AG205" s="559"/>
    </row>
    <row r="206" spans="1:33" ht="18" customHeight="1" x14ac:dyDescent="0.35">
      <c r="A206" s="559"/>
      <c r="B206" s="559"/>
      <c r="C206" s="559"/>
      <c r="D206" s="559"/>
      <c r="E206" s="559"/>
      <c r="F206" s="559"/>
      <c r="G206" s="559"/>
      <c r="H206" s="559"/>
      <c r="I206" s="559"/>
      <c r="J206" s="559"/>
      <c r="K206" s="559"/>
      <c r="L206" s="559"/>
      <c r="M206" s="559"/>
      <c r="N206" s="559"/>
      <c r="O206" s="559"/>
      <c r="P206" s="559"/>
      <c r="Q206" s="559"/>
      <c r="R206" s="559"/>
      <c r="S206" s="559"/>
      <c r="T206" s="559"/>
      <c r="U206" s="559"/>
      <c r="V206" s="559"/>
      <c r="W206" s="559"/>
      <c r="X206" s="559"/>
      <c r="Y206" s="559"/>
      <c r="Z206" s="559"/>
      <c r="AA206" s="559"/>
      <c r="AB206" s="559"/>
      <c r="AC206" s="559"/>
      <c r="AD206" s="559"/>
      <c r="AE206" s="559"/>
      <c r="AF206" s="559"/>
      <c r="AG206" s="559"/>
    </row>
    <row r="207" spans="1:33" ht="18" customHeight="1" x14ac:dyDescent="0.35">
      <c r="A207" s="559"/>
      <c r="B207" s="559"/>
      <c r="C207" s="559"/>
      <c r="D207" s="559"/>
      <c r="E207" s="559"/>
      <c r="F207" s="559"/>
      <c r="G207" s="559"/>
      <c r="H207" s="559"/>
      <c r="I207" s="559"/>
      <c r="J207" s="559"/>
      <c r="K207" s="559"/>
      <c r="L207" s="559"/>
      <c r="M207" s="559"/>
      <c r="N207" s="559"/>
      <c r="O207" s="559"/>
      <c r="P207" s="559"/>
      <c r="Q207" s="559"/>
      <c r="R207" s="559"/>
      <c r="S207" s="559"/>
      <c r="T207" s="559"/>
      <c r="U207" s="559"/>
      <c r="V207" s="559"/>
      <c r="W207" s="559"/>
      <c r="X207" s="559"/>
      <c r="Y207" s="559"/>
      <c r="Z207" s="559"/>
      <c r="AA207" s="559"/>
      <c r="AB207" s="559"/>
      <c r="AC207" s="559"/>
      <c r="AD207" s="559"/>
      <c r="AE207" s="559"/>
      <c r="AF207" s="559"/>
      <c r="AG207" s="559"/>
    </row>
    <row r="208" spans="1:33" ht="18" customHeight="1" x14ac:dyDescent="0.35">
      <c r="A208" s="559"/>
      <c r="B208" s="559"/>
      <c r="C208" s="559"/>
      <c r="D208" s="559"/>
      <c r="E208" s="559"/>
      <c r="F208" s="559"/>
      <c r="G208" s="559"/>
      <c r="H208" s="559"/>
      <c r="I208" s="559"/>
      <c r="J208" s="559"/>
      <c r="K208" s="559"/>
      <c r="L208" s="559"/>
      <c r="M208" s="559"/>
      <c r="N208" s="559"/>
      <c r="O208" s="559"/>
      <c r="P208" s="559"/>
      <c r="Q208" s="559"/>
      <c r="R208" s="559"/>
      <c r="S208" s="559"/>
      <c r="T208" s="559"/>
      <c r="U208" s="559"/>
      <c r="V208" s="559"/>
      <c r="W208" s="559"/>
      <c r="X208" s="559"/>
      <c r="Y208" s="559"/>
      <c r="Z208" s="559"/>
      <c r="AA208" s="559"/>
      <c r="AB208" s="559"/>
      <c r="AC208" s="559"/>
      <c r="AD208" s="559"/>
      <c r="AE208" s="559"/>
      <c r="AF208" s="559"/>
      <c r="AG208" s="559"/>
    </row>
    <row r="209" spans="1:33" ht="18" customHeight="1" x14ac:dyDescent="0.35">
      <c r="A209" s="559"/>
      <c r="B209" s="559"/>
      <c r="C209" s="559"/>
      <c r="D209" s="559"/>
      <c r="E209" s="559"/>
      <c r="F209" s="559"/>
      <c r="G209" s="559"/>
      <c r="H209" s="559"/>
      <c r="I209" s="559"/>
      <c r="J209" s="559"/>
      <c r="K209" s="559"/>
      <c r="L209" s="559"/>
      <c r="M209" s="559"/>
      <c r="N209" s="559"/>
      <c r="O209" s="559"/>
      <c r="P209" s="559"/>
      <c r="Q209" s="559"/>
      <c r="R209" s="559"/>
      <c r="S209" s="559"/>
      <c r="T209" s="559"/>
      <c r="U209" s="559"/>
      <c r="V209" s="559"/>
      <c r="W209" s="559"/>
      <c r="X209" s="559"/>
      <c r="Y209" s="559"/>
      <c r="Z209" s="559"/>
      <c r="AA209" s="559"/>
      <c r="AB209" s="559"/>
      <c r="AC209" s="559"/>
      <c r="AD209" s="559"/>
      <c r="AE209" s="559"/>
      <c r="AF209" s="559"/>
      <c r="AG209" s="559"/>
    </row>
    <row r="210" spans="1:33" ht="18" customHeight="1" x14ac:dyDescent="0.35">
      <c r="A210" s="559"/>
      <c r="B210" s="559"/>
      <c r="C210" s="559"/>
      <c r="D210" s="559"/>
      <c r="E210" s="559"/>
      <c r="F210" s="559"/>
      <c r="G210" s="559"/>
      <c r="H210" s="559"/>
      <c r="I210" s="559"/>
      <c r="J210" s="559"/>
      <c r="K210" s="559"/>
      <c r="L210" s="559"/>
      <c r="M210" s="559"/>
      <c r="N210" s="559"/>
      <c r="O210" s="559"/>
      <c r="P210" s="559"/>
      <c r="Q210" s="559"/>
      <c r="R210" s="559"/>
      <c r="S210" s="559"/>
      <c r="T210" s="559"/>
      <c r="U210" s="559"/>
      <c r="V210" s="559"/>
      <c r="W210" s="559"/>
      <c r="X210" s="559"/>
      <c r="Y210" s="559"/>
      <c r="Z210" s="559"/>
      <c r="AA210" s="559"/>
      <c r="AB210" s="559"/>
      <c r="AC210" s="559"/>
      <c r="AD210" s="559"/>
      <c r="AE210" s="559"/>
      <c r="AF210" s="559"/>
      <c r="AG210" s="559"/>
    </row>
    <row r="211" spans="1:33" ht="18" customHeight="1" x14ac:dyDescent="0.35">
      <c r="A211" s="559"/>
      <c r="B211" s="559"/>
      <c r="C211" s="559"/>
      <c r="D211" s="559"/>
      <c r="E211" s="559"/>
      <c r="F211" s="559"/>
      <c r="G211" s="559"/>
      <c r="H211" s="559"/>
      <c r="I211" s="559"/>
      <c r="J211" s="559"/>
      <c r="K211" s="559"/>
      <c r="L211" s="559"/>
      <c r="M211" s="559"/>
      <c r="N211" s="559"/>
      <c r="O211" s="559"/>
      <c r="P211" s="559"/>
      <c r="Q211" s="559"/>
      <c r="R211" s="559"/>
      <c r="S211" s="559"/>
      <c r="T211" s="559"/>
      <c r="U211" s="559"/>
      <c r="V211" s="559"/>
      <c r="W211" s="559"/>
      <c r="X211" s="559"/>
      <c r="Y211" s="559"/>
      <c r="Z211" s="559"/>
      <c r="AA211" s="559"/>
      <c r="AB211" s="559"/>
      <c r="AC211" s="559"/>
      <c r="AD211" s="559"/>
      <c r="AE211" s="559"/>
      <c r="AF211" s="559"/>
      <c r="AG211" s="559"/>
    </row>
    <row r="212" spans="1:33" ht="18" customHeight="1" x14ac:dyDescent="0.35">
      <c r="A212" s="559"/>
      <c r="B212" s="559"/>
      <c r="C212" s="559"/>
      <c r="D212" s="559"/>
      <c r="E212" s="559"/>
      <c r="F212" s="559"/>
      <c r="G212" s="559"/>
      <c r="H212" s="559"/>
      <c r="I212" s="559"/>
      <c r="J212" s="559"/>
      <c r="K212" s="559"/>
      <c r="L212" s="559"/>
      <c r="M212" s="559"/>
      <c r="N212" s="559"/>
      <c r="O212" s="559"/>
      <c r="P212" s="559"/>
      <c r="Q212" s="559"/>
      <c r="R212" s="559"/>
      <c r="S212" s="559"/>
      <c r="T212" s="559"/>
      <c r="U212" s="559"/>
      <c r="V212" s="559"/>
      <c r="W212" s="559"/>
      <c r="X212" s="559"/>
      <c r="Y212" s="559"/>
      <c r="Z212" s="559"/>
      <c r="AA212" s="559"/>
      <c r="AB212" s="559"/>
      <c r="AC212" s="559"/>
      <c r="AD212" s="559"/>
      <c r="AE212" s="559"/>
      <c r="AF212" s="559"/>
      <c r="AG212" s="559"/>
    </row>
    <row r="213" spans="1:33" ht="18" customHeight="1" x14ac:dyDescent="0.35">
      <c r="A213" s="559"/>
      <c r="B213" s="559"/>
      <c r="C213" s="559"/>
      <c r="D213" s="559"/>
      <c r="E213" s="559"/>
      <c r="F213" s="559"/>
      <c r="G213" s="559"/>
      <c r="H213" s="559"/>
      <c r="I213" s="559"/>
      <c r="J213" s="559"/>
      <c r="K213" s="559"/>
      <c r="L213" s="559"/>
      <c r="M213" s="559"/>
      <c r="N213" s="559"/>
      <c r="O213" s="559"/>
      <c r="P213" s="559"/>
      <c r="Q213" s="559"/>
      <c r="R213" s="559"/>
      <c r="S213" s="559"/>
      <c r="T213" s="559"/>
      <c r="U213" s="559"/>
      <c r="V213" s="559"/>
      <c r="W213" s="559"/>
      <c r="X213" s="559"/>
      <c r="Y213" s="559"/>
      <c r="Z213" s="559"/>
      <c r="AA213" s="559"/>
      <c r="AB213" s="559"/>
      <c r="AC213" s="559"/>
      <c r="AD213" s="559"/>
      <c r="AE213" s="559"/>
      <c r="AF213" s="559"/>
      <c r="AG213" s="559"/>
    </row>
    <row r="214" spans="1:33" ht="18" customHeight="1" x14ac:dyDescent="0.35">
      <c r="A214" s="559"/>
      <c r="B214" s="559"/>
      <c r="C214" s="559"/>
      <c r="D214" s="559"/>
      <c r="E214" s="559"/>
      <c r="F214" s="559"/>
      <c r="G214" s="559"/>
      <c r="H214" s="559"/>
      <c r="I214" s="559"/>
      <c r="J214" s="559"/>
      <c r="K214" s="559"/>
      <c r="L214" s="559"/>
      <c r="M214" s="559"/>
      <c r="N214" s="559"/>
      <c r="O214" s="559"/>
      <c r="P214" s="559"/>
      <c r="Q214" s="559"/>
      <c r="R214" s="559"/>
      <c r="S214" s="559"/>
      <c r="T214" s="559"/>
      <c r="U214" s="559"/>
      <c r="V214" s="559"/>
      <c r="W214" s="559"/>
      <c r="X214" s="559"/>
      <c r="Y214" s="559"/>
      <c r="Z214" s="559"/>
      <c r="AA214" s="559"/>
      <c r="AB214" s="559"/>
      <c r="AC214" s="559"/>
      <c r="AD214" s="559"/>
      <c r="AE214" s="559"/>
      <c r="AF214" s="559"/>
      <c r="AG214" s="559"/>
    </row>
    <row r="215" spans="1:33" ht="18" customHeight="1" x14ac:dyDescent="0.35">
      <c r="A215" s="559"/>
      <c r="B215" s="559"/>
      <c r="C215" s="559"/>
      <c r="D215" s="559"/>
      <c r="E215" s="559"/>
      <c r="F215" s="559"/>
      <c r="G215" s="559"/>
      <c r="H215" s="559"/>
      <c r="I215" s="559"/>
      <c r="J215" s="559"/>
      <c r="K215" s="559"/>
      <c r="L215" s="559"/>
      <c r="M215" s="559"/>
      <c r="N215" s="559"/>
      <c r="O215" s="559"/>
      <c r="P215" s="559"/>
      <c r="Q215" s="559"/>
      <c r="R215" s="559"/>
      <c r="S215" s="559"/>
      <c r="T215" s="559"/>
      <c r="U215" s="559"/>
      <c r="V215" s="559"/>
      <c r="W215" s="559"/>
      <c r="X215" s="559"/>
      <c r="Y215" s="559"/>
      <c r="Z215" s="559"/>
      <c r="AA215" s="559"/>
      <c r="AB215" s="559"/>
      <c r="AC215" s="559"/>
      <c r="AD215" s="559"/>
      <c r="AE215" s="559"/>
      <c r="AF215" s="559"/>
      <c r="AG215" s="559"/>
    </row>
    <row r="216" spans="1:33" ht="18" customHeight="1" x14ac:dyDescent="0.35">
      <c r="A216" s="559"/>
      <c r="B216" s="559"/>
      <c r="C216" s="559"/>
      <c r="D216" s="559"/>
      <c r="E216" s="559"/>
      <c r="F216" s="559"/>
      <c r="G216" s="559"/>
      <c r="H216" s="559"/>
      <c r="I216" s="559"/>
      <c r="J216" s="559"/>
      <c r="K216" s="559"/>
      <c r="L216" s="559"/>
      <c r="M216" s="559"/>
      <c r="N216" s="559"/>
      <c r="O216" s="559"/>
      <c r="P216" s="559"/>
      <c r="Q216" s="559"/>
      <c r="R216" s="559"/>
      <c r="S216" s="559"/>
      <c r="T216" s="559"/>
      <c r="U216" s="559"/>
      <c r="V216" s="559"/>
      <c r="W216" s="559"/>
      <c r="X216" s="559"/>
      <c r="Y216" s="559"/>
      <c r="Z216" s="559"/>
      <c r="AA216" s="559"/>
      <c r="AB216" s="559"/>
      <c r="AC216" s="559"/>
      <c r="AD216" s="559"/>
      <c r="AE216" s="559"/>
      <c r="AF216" s="559"/>
      <c r="AG216" s="559"/>
    </row>
    <row r="217" spans="1:33" ht="18" customHeight="1" x14ac:dyDescent="0.35">
      <c r="A217" s="559"/>
      <c r="B217" s="559"/>
      <c r="C217" s="559"/>
      <c r="D217" s="559"/>
      <c r="E217" s="559"/>
      <c r="F217" s="559"/>
      <c r="G217" s="559"/>
      <c r="H217" s="559"/>
      <c r="I217" s="559"/>
      <c r="J217" s="559"/>
      <c r="K217" s="559"/>
      <c r="L217" s="559"/>
      <c r="M217" s="559"/>
      <c r="N217" s="559"/>
      <c r="O217" s="559"/>
      <c r="P217" s="559"/>
      <c r="Q217" s="559"/>
      <c r="R217" s="559"/>
      <c r="S217" s="559"/>
      <c r="T217" s="559"/>
      <c r="U217" s="559"/>
      <c r="V217" s="559"/>
      <c r="W217" s="559"/>
      <c r="X217" s="559"/>
      <c r="Y217" s="559"/>
      <c r="Z217" s="559"/>
      <c r="AA217" s="559"/>
      <c r="AB217" s="559"/>
      <c r="AC217" s="559"/>
      <c r="AD217" s="559"/>
      <c r="AE217" s="559"/>
      <c r="AF217" s="559"/>
      <c r="AG217" s="559"/>
    </row>
    <row r="218" spans="1:33" ht="18" customHeight="1" x14ac:dyDescent="0.35">
      <c r="A218" s="559"/>
      <c r="B218" s="559"/>
      <c r="C218" s="559"/>
      <c r="D218" s="559"/>
      <c r="E218" s="559"/>
      <c r="F218" s="559"/>
      <c r="G218" s="559"/>
      <c r="H218" s="559"/>
      <c r="I218" s="559"/>
      <c r="J218" s="559"/>
      <c r="K218" s="559"/>
      <c r="L218" s="559"/>
      <c r="M218" s="559"/>
      <c r="N218" s="559"/>
      <c r="O218" s="559"/>
      <c r="P218" s="559"/>
      <c r="Q218" s="559"/>
      <c r="R218" s="559"/>
      <c r="S218" s="559"/>
      <c r="T218" s="559"/>
      <c r="U218" s="559"/>
      <c r="V218" s="559"/>
      <c r="W218" s="559"/>
      <c r="X218" s="559"/>
      <c r="Y218" s="559"/>
      <c r="Z218" s="559"/>
      <c r="AA218" s="559"/>
      <c r="AB218" s="559"/>
      <c r="AC218" s="559"/>
      <c r="AD218" s="559"/>
      <c r="AE218" s="559"/>
      <c r="AF218" s="559"/>
      <c r="AG218" s="559"/>
    </row>
    <row r="219" spans="1:33" ht="18" customHeight="1" x14ac:dyDescent="0.35">
      <c r="A219" s="559"/>
      <c r="B219" s="559"/>
      <c r="C219" s="559"/>
      <c r="D219" s="559"/>
      <c r="E219" s="559"/>
      <c r="F219" s="559"/>
      <c r="G219" s="559"/>
      <c r="H219" s="559"/>
      <c r="I219" s="559"/>
      <c r="J219" s="559"/>
      <c r="K219" s="559"/>
      <c r="L219" s="559"/>
      <c r="M219" s="559"/>
      <c r="N219" s="559"/>
      <c r="O219" s="559"/>
      <c r="P219" s="559"/>
      <c r="Q219" s="559"/>
      <c r="R219" s="559"/>
      <c r="S219" s="559"/>
      <c r="T219" s="559"/>
      <c r="U219" s="559"/>
      <c r="V219" s="559"/>
      <c r="W219" s="559"/>
      <c r="X219" s="559"/>
      <c r="Y219" s="559"/>
      <c r="Z219" s="559"/>
      <c r="AA219" s="559"/>
      <c r="AB219" s="559"/>
      <c r="AC219" s="559"/>
      <c r="AD219" s="559"/>
      <c r="AE219" s="559"/>
      <c r="AF219" s="559"/>
      <c r="AG219" s="559"/>
    </row>
    <row r="220" spans="1:33" ht="18" customHeight="1" x14ac:dyDescent="0.35">
      <c r="A220" s="559"/>
      <c r="B220" s="559"/>
      <c r="C220" s="559"/>
      <c r="D220" s="559"/>
      <c r="E220" s="559"/>
      <c r="F220" s="559"/>
      <c r="G220" s="559"/>
      <c r="H220" s="559"/>
      <c r="I220" s="559"/>
      <c r="J220" s="559"/>
      <c r="K220" s="559"/>
      <c r="L220" s="559"/>
      <c r="M220" s="559"/>
      <c r="N220" s="559"/>
      <c r="O220" s="559"/>
      <c r="P220" s="559"/>
      <c r="Q220" s="559"/>
      <c r="R220" s="559"/>
      <c r="S220" s="559"/>
      <c r="T220" s="559"/>
      <c r="U220" s="559"/>
      <c r="V220" s="559"/>
      <c r="W220" s="559"/>
      <c r="X220" s="559"/>
      <c r="Y220" s="559"/>
      <c r="Z220" s="559"/>
      <c r="AA220" s="559"/>
      <c r="AB220" s="559"/>
      <c r="AC220" s="559"/>
      <c r="AD220" s="559"/>
      <c r="AE220" s="559"/>
      <c r="AF220" s="559"/>
      <c r="AG220" s="559"/>
    </row>
    <row r="221" spans="1:33" ht="18" customHeight="1" x14ac:dyDescent="0.35">
      <c r="A221" s="559"/>
      <c r="B221" s="559"/>
      <c r="C221" s="559"/>
      <c r="D221" s="559"/>
      <c r="E221" s="559"/>
      <c r="F221" s="559"/>
      <c r="G221" s="559"/>
      <c r="H221" s="559"/>
      <c r="I221" s="559"/>
      <c r="J221" s="559"/>
      <c r="K221" s="559"/>
      <c r="L221" s="559"/>
      <c r="M221" s="559"/>
      <c r="N221" s="559"/>
      <c r="O221" s="559"/>
      <c r="P221" s="559"/>
      <c r="Q221" s="559"/>
      <c r="R221" s="559"/>
      <c r="S221" s="559"/>
      <c r="T221" s="559"/>
      <c r="U221" s="559"/>
      <c r="V221" s="559"/>
      <c r="W221" s="559"/>
      <c r="X221" s="559"/>
      <c r="Y221" s="559"/>
      <c r="Z221" s="559"/>
      <c r="AA221" s="559"/>
      <c r="AB221" s="559"/>
      <c r="AC221" s="559"/>
      <c r="AD221" s="559"/>
      <c r="AE221" s="559"/>
      <c r="AF221" s="559"/>
      <c r="AG221" s="559"/>
    </row>
    <row r="222" spans="1:33" ht="18" customHeight="1" x14ac:dyDescent="0.35">
      <c r="A222" s="559"/>
      <c r="B222" s="559"/>
      <c r="C222" s="559"/>
      <c r="D222" s="559"/>
      <c r="E222" s="559"/>
      <c r="F222" s="559"/>
      <c r="G222" s="559"/>
      <c r="H222" s="559"/>
      <c r="I222" s="559"/>
      <c r="J222" s="559"/>
      <c r="K222" s="559"/>
      <c r="L222" s="559"/>
      <c r="M222" s="559"/>
      <c r="N222" s="559"/>
      <c r="O222" s="559"/>
      <c r="P222" s="559"/>
      <c r="Q222" s="559"/>
      <c r="R222" s="559"/>
      <c r="S222" s="559"/>
      <c r="T222" s="559"/>
      <c r="U222" s="559"/>
      <c r="V222" s="559"/>
      <c r="W222" s="559"/>
      <c r="X222" s="559"/>
      <c r="Y222" s="559"/>
      <c r="Z222" s="559"/>
      <c r="AA222" s="559"/>
      <c r="AB222" s="559"/>
      <c r="AC222" s="559"/>
      <c r="AD222" s="559"/>
      <c r="AE222" s="559"/>
      <c r="AF222" s="559"/>
      <c r="AG222" s="559"/>
    </row>
    <row r="223" spans="1:33" ht="18" customHeight="1" x14ac:dyDescent="0.35">
      <c r="A223" s="559"/>
      <c r="B223" s="559"/>
      <c r="C223" s="559"/>
      <c r="D223" s="559"/>
      <c r="E223" s="559"/>
      <c r="F223" s="559"/>
      <c r="G223" s="559"/>
      <c r="H223" s="559"/>
      <c r="I223" s="559"/>
      <c r="J223" s="559"/>
      <c r="K223" s="559"/>
      <c r="L223" s="559"/>
      <c r="M223" s="559"/>
      <c r="N223" s="559"/>
      <c r="O223" s="559"/>
      <c r="P223" s="559"/>
      <c r="Q223" s="559"/>
      <c r="R223" s="559"/>
      <c r="S223" s="559"/>
      <c r="T223" s="559"/>
      <c r="U223" s="559"/>
      <c r="V223" s="559"/>
      <c r="W223" s="559"/>
      <c r="X223" s="559"/>
      <c r="Y223" s="559"/>
      <c r="Z223" s="559"/>
      <c r="AA223" s="559"/>
      <c r="AB223" s="559"/>
      <c r="AC223" s="559"/>
      <c r="AD223" s="559"/>
      <c r="AE223" s="559"/>
      <c r="AF223" s="559"/>
      <c r="AG223" s="559"/>
    </row>
    <row r="224" spans="1:33" ht="18" customHeight="1" x14ac:dyDescent="0.35">
      <c r="A224" s="559"/>
      <c r="B224" s="559"/>
      <c r="C224" s="559"/>
      <c r="D224" s="559"/>
      <c r="E224" s="559"/>
      <c r="F224" s="559"/>
      <c r="G224" s="559"/>
      <c r="H224" s="559"/>
      <c r="I224" s="559"/>
      <c r="J224" s="559"/>
      <c r="K224" s="559"/>
      <c r="L224" s="559"/>
      <c r="M224" s="559"/>
      <c r="N224" s="559"/>
      <c r="O224" s="559"/>
      <c r="P224" s="559"/>
      <c r="Q224" s="559"/>
      <c r="R224" s="559"/>
      <c r="S224" s="559"/>
      <c r="T224" s="559"/>
      <c r="U224" s="559"/>
      <c r="V224" s="559"/>
      <c r="W224" s="559"/>
      <c r="X224" s="559"/>
      <c r="Y224" s="559"/>
      <c r="Z224" s="559"/>
      <c r="AA224" s="559"/>
      <c r="AB224" s="559"/>
      <c r="AC224" s="559"/>
      <c r="AD224" s="559"/>
      <c r="AE224" s="559"/>
      <c r="AF224" s="559"/>
      <c r="AG224" s="559"/>
    </row>
    <row r="225" spans="1:33" ht="18" customHeight="1" x14ac:dyDescent="0.35">
      <c r="A225" s="559"/>
      <c r="B225" s="559"/>
      <c r="C225" s="559"/>
      <c r="D225" s="559"/>
      <c r="E225" s="559"/>
      <c r="F225" s="559"/>
      <c r="G225" s="559"/>
      <c r="H225" s="559"/>
      <c r="I225" s="559"/>
      <c r="J225" s="559"/>
      <c r="K225" s="559"/>
      <c r="L225" s="559"/>
      <c r="M225" s="559"/>
      <c r="N225" s="559"/>
      <c r="O225" s="559"/>
      <c r="P225" s="559"/>
      <c r="Q225" s="559"/>
      <c r="R225" s="559"/>
      <c r="S225" s="559"/>
      <c r="T225" s="559"/>
      <c r="U225" s="559"/>
      <c r="V225" s="559"/>
      <c r="W225" s="559"/>
      <c r="X225" s="559"/>
      <c r="Y225" s="559"/>
      <c r="Z225" s="559"/>
      <c r="AA225" s="559"/>
      <c r="AB225" s="559"/>
      <c r="AC225" s="559"/>
      <c r="AD225" s="559"/>
      <c r="AE225" s="559"/>
      <c r="AF225" s="559"/>
      <c r="AG225" s="559"/>
    </row>
    <row r="226" spans="1:33" ht="18" customHeight="1" x14ac:dyDescent="0.35">
      <c r="A226" s="559"/>
      <c r="B226" s="559"/>
      <c r="C226" s="559"/>
      <c r="D226" s="559"/>
      <c r="E226" s="559"/>
      <c r="F226" s="559"/>
      <c r="G226" s="559"/>
      <c r="H226" s="559"/>
      <c r="I226" s="559"/>
      <c r="J226" s="559"/>
      <c r="K226" s="559"/>
      <c r="L226" s="559"/>
      <c r="M226" s="559"/>
      <c r="N226" s="559"/>
      <c r="O226" s="559"/>
      <c r="P226" s="559"/>
      <c r="Q226" s="559"/>
      <c r="R226" s="559"/>
      <c r="S226" s="559"/>
      <c r="T226" s="559"/>
      <c r="U226" s="559"/>
      <c r="V226" s="559"/>
      <c r="W226" s="559"/>
      <c r="X226" s="559"/>
      <c r="Y226" s="559"/>
      <c r="Z226" s="559"/>
      <c r="AA226" s="559"/>
      <c r="AB226" s="559"/>
      <c r="AC226" s="559"/>
      <c r="AD226" s="559"/>
      <c r="AE226" s="559"/>
      <c r="AF226" s="559"/>
      <c r="AG226" s="559"/>
    </row>
    <row r="227" spans="1:33" ht="18" customHeight="1" x14ac:dyDescent="0.35">
      <c r="A227" s="559"/>
      <c r="B227" s="559"/>
      <c r="C227" s="559"/>
      <c r="D227" s="559"/>
      <c r="E227" s="559"/>
      <c r="F227" s="559"/>
      <c r="G227" s="559"/>
      <c r="H227" s="559"/>
      <c r="I227" s="559"/>
      <c r="J227" s="559"/>
      <c r="K227" s="559"/>
      <c r="L227" s="559"/>
      <c r="M227" s="559"/>
      <c r="N227" s="559"/>
      <c r="O227" s="559"/>
      <c r="P227" s="559"/>
      <c r="Q227" s="559"/>
      <c r="R227" s="559"/>
      <c r="S227" s="559"/>
      <c r="T227" s="559"/>
      <c r="U227" s="559"/>
      <c r="V227" s="559"/>
      <c r="W227" s="559"/>
      <c r="X227" s="559"/>
      <c r="Y227" s="559"/>
      <c r="Z227" s="559"/>
      <c r="AA227" s="559"/>
      <c r="AB227" s="559"/>
      <c r="AC227" s="559"/>
      <c r="AD227" s="559"/>
      <c r="AE227" s="559"/>
      <c r="AF227" s="559"/>
      <c r="AG227" s="559"/>
    </row>
    <row r="228" spans="1:33" ht="18" customHeight="1" x14ac:dyDescent="0.35">
      <c r="A228" s="559"/>
      <c r="B228" s="559"/>
      <c r="C228" s="559"/>
      <c r="D228" s="559"/>
      <c r="E228" s="559"/>
      <c r="F228" s="559"/>
      <c r="G228" s="559"/>
      <c r="H228" s="559"/>
      <c r="I228" s="559"/>
      <c r="J228" s="559"/>
      <c r="K228" s="559"/>
      <c r="L228" s="559"/>
      <c r="M228" s="559"/>
      <c r="N228" s="559"/>
      <c r="O228" s="559"/>
      <c r="P228" s="559"/>
      <c r="Q228" s="559"/>
      <c r="R228" s="559"/>
      <c r="S228" s="559"/>
      <c r="T228" s="559"/>
      <c r="U228" s="559"/>
      <c r="V228" s="559"/>
      <c r="W228" s="559"/>
      <c r="X228" s="559"/>
      <c r="Y228" s="559"/>
      <c r="Z228" s="559"/>
      <c r="AA228" s="559"/>
      <c r="AB228" s="559"/>
      <c r="AC228" s="559"/>
      <c r="AD228" s="559"/>
      <c r="AE228" s="559"/>
      <c r="AF228" s="559"/>
      <c r="AG228" s="559"/>
    </row>
    <row r="229" spans="1:33" ht="18" customHeight="1" x14ac:dyDescent="0.35">
      <c r="A229" s="559"/>
      <c r="B229" s="559"/>
      <c r="C229" s="559"/>
      <c r="D229" s="559"/>
      <c r="E229" s="559"/>
      <c r="F229" s="559"/>
      <c r="G229" s="559"/>
      <c r="H229" s="559"/>
      <c r="I229" s="559"/>
      <c r="J229" s="559"/>
      <c r="K229" s="559"/>
      <c r="L229" s="559"/>
      <c r="M229" s="559"/>
      <c r="N229" s="559"/>
      <c r="O229" s="559"/>
      <c r="P229" s="559"/>
      <c r="Q229" s="559"/>
      <c r="R229" s="559"/>
      <c r="S229" s="559"/>
      <c r="T229" s="559"/>
      <c r="U229" s="559"/>
      <c r="V229" s="559"/>
      <c r="W229" s="559"/>
      <c r="X229" s="559"/>
      <c r="Y229" s="559"/>
      <c r="Z229" s="559"/>
      <c r="AA229" s="559"/>
      <c r="AB229" s="559"/>
      <c r="AC229" s="559"/>
      <c r="AD229" s="559"/>
      <c r="AE229" s="559"/>
      <c r="AF229" s="559"/>
      <c r="AG229" s="559"/>
    </row>
    <row r="230" spans="1:33" ht="18" customHeight="1" x14ac:dyDescent="0.35">
      <c r="A230" s="559"/>
      <c r="B230" s="559"/>
      <c r="C230" s="559"/>
      <c r="D230" s="559"/>
      <c r="E230" s="559"/>
      <c r="F230" s="559"/>
      <c r="G230" s="559"/>
      <c r="H230" s="559"/>
      <c r="I230" s="559"/>
      <c r="J230" s="559"/>
      <c r="K230" s="559"/>
      <c r="L230" s="559"/>
      <c r="M230" s="559"/>
      <c r="N230" s="559"/>
      <c r="O230" s="559"/>
      <c r="P230" s="559"/>
      <c r="Q230" s="559"/>
      <c r="R230" s="559"/>
      <c r="S230" s="559"/>
      <c r="T230" s="559"/>
      <c r="U230" s="559"/>
      <c r="V230" s="559"/>
      <c r="W230" s="559"/>
      <c r="X230" s="559"/>
      <c r="Y230" s="559"/>
      <c r="Z230" s="559"/>
      <c r="AA230" s="559"/>
      <c r="AB230" s="559"/>
      <c r="AC230" s="559"/>
      <c r="AD230" s="559"/>
      <c r="AE230" s="559"/>
      <c r="AF230" s="559"/>
      <c r="AG230" s="559"/>
    </row>
    <row r="231" spans="1:33" ht="18" customHeight="1" x14ac:dyDescent="0.35">
      <c r="A231" s="559"/>
      <c r="B231" s="559"/>
      <c r="C231" s="559"/>
      <c r="D231" s="559"/>
      <c r="E231" s="559"/>
      <c r="F231" s="559"/>
      <c r="G231" s="559"/>
      <c r="H231" s="559"/>
      <c r="I231" s="559"/>
      <c r="J231" s="559"/>
      <c r="K231" s="559"/>
      <c r="L231" s="559"/>
      <c r="M231" s="559"/>
      <c r="N231" s="559"/>
      <c r="O231" s="559"/>
      <c r="P231" s="559"/>
      <c r="Q231" s="559"/>
      <c r="R231" s="559"/>
      <c r="S231" s="559"/>
      <c r="T231" s="559"/>
      <c r="U231" s="559"/>
      <c r="V231" s="559"/>
      <c r="W231" s="559"/>
      <c r="X231" s="559"/>
      <c r="Y231" s="559"/>
      <c r="Z231" s="559"/>
      <c r="AA231" s="559"/>
      <c r="AB231" s="559"/>
      <c r="AC231" s="559"/>
      <c r="AD231" s="559"/>
      <c r="AE231" s="559"/>
      <c r="AF231" s="559"/>
      <c r="AG231" s="559"/>
    </row>
    <row r="232" spans="1:33" ht="18" customHeight="1" x14ac:dyDescent="0.35">
      <c r="A232" s="559"/>
      <c r="B232" s="559"/>
      <c r="C232" s="559"/>
      <c r="D232" s="559"/>
      <c r="E232" s="559"/>
      <c r="F232" s="559"/>
      <c r="G232" s="559"/>
      <c r="H232" s="559"/>
      <c r="I232" s="559"/>
      <c r="J232" s="559"/>
      <c r="K232" s="559"/>
      <c r="L232" s="559"/>
      <c r="M232" s="559"/>
      <c r="N232" s="559"/>
      <c r="O232" s="559"/>
      <c r="P232" s="559"/>
      <c r="Q232" s="559"/>
      <c r="R232" s="559"/>
      <c r="S232" s="559"/>
      <c r="T232" s="559"/>
      <c r="U232" s="559"/>
      <c r="V232" s="559"/>
      <c r="W232" s="559"/>
      <c r="X232" s="559"/>
      <c r="Y232" s="559"/>
      <c r="Z232" s="559"/>
      <c r="AA232" s="559"/>
      <c r="AB232" s="559"/>
      <c r="AC232" s="559"/>
      <c r="AD232" s="559"/>
      <c r="AE232" s="559"/>
      <c r="AF232" s="559"/>
      <c r="AG232" s="559"/>
    </row>
    <row r="233" spans="1:33" ht="18" customHeight="1" x14ac:dyDescent="0.35">
      <c r="A233" s="559"/>
      <c r="B233" s="559"/>
      <c r="C233" s="559"/>
      <c r="D233" s="559"/>
      <c r="E233" s="559"/>
      <c r="F233" s="559"/>
      <c r="G233" s="559"/>
      <c r="H233" s="559"/>
      <c r="I233" s="559"/>
      <c r="J233" s="559"/>
      <c r="K233" s="559"/>
      <c r="L233" s="559"/>
      <c r="M233" s="559"/>
      <c r="N233" s="559"/>
      <c r="O233" s="559"/>
      <c r="P233" s="559"/>
      <c r="Q233" s="559"/>
      <c r="R233" s="559"/>
      <c r="S233" s="559"/>
      <c r="T233" s="559"/>
      <c r="U233" s="559"/>
      <c r="V233" s="559"/>
      <c r="W233" s="559"/>
      <c r="X233" s="559"/>
      <c r="Y233" s="559"/>
      <c r="Z233" s="559"/>
      <c r="AA233" s="559"/>
      <c r="AB233" s="559"/>
      <c r="AC233" s="559"/>
      <c r="AD233" s="559"/>
      <c r="AE233" s="559"/>
      <c r="AF233" s="559"/>
      <c r="AG233" s="559"/>
    </row>
    <row r="234" spans="1:33" ht="18" customHeight="1" x14ac:dyDescent="0.35">
      <c r="A234" s="559"/>
      <c r="B234" s="559"/>
      <c r="C234" s="559"/>
      <c r="D234" s="559"/>
      <c r="E234" s="559"/>
      <c r="F234" s="559"/>
      <c r="G234" s="559"/>
      <c r="H234" s="559"/>
      <c r="I234" s="559"/>
      <c r="J234" s="559"/>
      <c r="K234" s="559"/>
      <c r="L234" s="559"/>
      <c r="M234" s="559"/>
      <c r="N234" s="559"/>
      <c r="O234" s="559"/>
      <c r="P234" s="559"/>
      <c r="Q234" s="559"/>
      <c r="R234" s="559"/>
      <c r="S234" s="559"/>
      <c r="T234" s="559"/>
      <c r="U234" s="559"/>
      <c r="V234" s="559"/>
      <c r="W234" s="559"/>
      <c r="X234" s="559"/>
      <c r="Y234" s="559"/>
      <c r="Z234" s="559"/>
      <c r="AA234" s="559"/>
      <c r="AB234" s="559"/>
      <c r="AC234" s="559"/>
      <c r="AD234" s="559"/>
      <c r="AE234" s="559"/>
      <c r="AF234" s="559"/>
      <c r="AG234" s="559"/>
    </row>
    <row r="235" spans="1:33" ht="18" customHeight="1" x14ac:dyDescent="0.35">
      <c r="A235" s="559"/>
      <c r="B235" s="559"/>
      <c r="C235" s="559"/>
      <c r="D235" s="559"/>
      <c r="E235" s="559"/>
      <c r="F235" s="559"/>
      <c r="G235" s="559"/>
      <c r="H235" s="559"/>
      <c r="I235" s="559"/>
      <c r="J235" s="559"/>
      <c r="K235" s="559"/>
      <c r="L235" s="559"/>
      <c r="M235" s="559"/>
      <c r="N235" s="559"/>
      <c r="O235" s="559"/>
      <c r="P235" s="559"/>
      <c r="Q235" s="559"/>
      <c r="R235" s="559"/>
      <c r="S235" s="559"/>
      <c r="T235" s="559"/>
      <c r="U235" s="559"/>
      <c r="V235" s="559"/>
      <c r="W235" s="559"/>
      <c r="X235" s="559"/>
      <c r="Y235" s="559"/>
      <c r="Z235" s="559"/>
      <c r="AA235" s="559"/>
      <c r="AB235" s="559"/>
      <c r="AC235" s="559"/>
      <c r="AD235" s="559"/>
      <c r="AE235" s="559"/>
      <c r="AF235" s="559"/>
      <c r="AG235" s="559"/>
    </row>
    <row r="236" spans="1:33" ht="18" customHeight="1" x14ac:dyDescent="0.35">
      <c r="A236" s="559"/>
      <c r="B236" s="559"/>
      <c r="C236" s="559"/>
      <c r="D236" s="559"/>
      <c r="E236" s="559"/>
      <c r="F236" s="559"/>
      <c r="G236" s="559"/>
      <c r="H236" s="559"/>
      <c r="I236" s="559"/>
      <c r="J236" s="559"/>
      <c r="K236" s="559"/>
      <c r="L236" s="559"/>
      <c r="M236" s="559"/>
      <c r="N236" s="559"/>
      <c r="O236" s="559"/>
      <c r="P236" s="559"/>
      <c r="Q236" s="559"/>
      <c r="R236" s="559"/>
      <c r="S236" s="559"/>
      <c r="T236" s="559"/>
      <c r="U236" s="559"/>
      <c r="V236" s="559"/>
      <c r="W236" s="559"/>
      <c r="X236" s="559"/>
      <c r="Y236" s="559"/>
      <c r="Z236" s="559"/>
      <c r="AA236" s="559"/>
      <c r="AB236" s="559"/>
      <c r="AC236" s="559"/>
      <c r="AD236" s="559"/>
      <c r="AE236" s="559"/>
      <c r="AF236" s="559"/>
      <c r="AG236" s="559"/>
    </row>
    <row r="237" spans="1:33" ht="18" customHeight="1" x14ac:dyDescent="0.35">
      <c r="A237" s="559"/>
      <c r="B237" s="559"/>
      <c r="C237" s="559"/>
      <c r="D237" s="559"/>
      <c r="E237" s="559"/>
      <c r="F237" s="559"/>
      <c r="G237" s="559"/>
      <c r="H237" s="559"/>
      <c r="I237" s="559"/>
      <c r="J237" s="559"/>
      <c r="K237" s="559"/>
      <c r="L237" s="559"/>
      <c r="M237" s="559"/>
      <c r="N237" s="559"/>
      <c r="O237" s="559"/>
      <c r="P237" s="559"/>
      <c r="Q237" s="559"/>
      <c r="R237" s="559"/>
      <c r="S237" s="559"/>
      <c r="T237" s="559"/>
      <c r="U237" s="559"/>
      <c r="V237" s="559"/>
      <c r="W237" s="559"/>
      <c r="X237" s="559"/>
      <c r="Y237" s="559"/>
      <c r="Z237" s="559"/>
      <c r="AA237" s="559"/>
      <c r="AB237" s="559"/>
      <c r="AC237" s="559"/>
      <c r="AD237" s="559"/>
      <c r="AE237" s="559"/>
      <c r="AF237" s="559"/>
      <c r="AG237" s="559"/>
    </row>
    <row r="238" spans="1:33" ht="18" customHeight="1" x14ac:dyDescent="0.35">
      <c r="A238" s="559"/>
      <c r="B238" s="559"/>
      <c r="C238" s="559"/>
      <c r="D238" s="559"/>
      <c r="E238" s="559"/>
      <c r="F238" s="559"/>
      <c r="G238" s="559"/>
      <c r="H238" s="559"/>
      <c r="I238" s="559"/>
      <c r="J238" s="559"/>
      <c r="K238" s="559"/>
      <c r="L238" s="559"/>
      <c r="M238" s="559"/>
      <c r="N238" s="559"/>
      <c r="O238" s="559"/>
      <c r="P238" s="559"/>
      <c r="Q238" s="559"/>
      <c r="R238" s="559"/>
      <c r="S238" s="559"/>
      <c r="T238" s="559"/>
      <c r="U238" s="559"/>
      <c r="V238" s="559"/>
      <c r="W238" s="559"/>
      <c r="X238" s="559"/>
      <c r="Y238" s="559"/>
      <c r="Z238" s="559"/>
      <c r="AA238" s="559"/>
      <c r="AB238" s="559"/>
      <c r="AC238" s="559"/>
      <c r="AD238" s="559"/>
      <c r="AE238" s="559"/>
      <c r="AF238" s="559"/>
      <c r="AG238" s="559"/>
    </row>
    <row r="239" spans="1:33" ht="18" customHeight="1" x14ac:dyDescent="0.35">
      <c r="A239" s="559"/>
      <c r="B239" s="559"/>
      <c r="C239" s="559"/>
      <c r="D239" s="559"/>
      <c r="E239" s="559"/>
      <c r="F239" s="559"/>
      <c r="G239" s="559"/>
      <c r="H239" s="559"/>
      <c r="I239" s="559"/>
      <c r="J239" s="559"/>
      <c r="K239" s="559"/>
      <c r="L239" s="559"/>
      <c r="M239" s="559"/>
      <c r="N239" s="559"/>
      <c r="O239" s="559"/>
      <c r="P239" s="559"/>
      <c r="Q239" s="559"/>
      <c r="R239" s="559"/>
      <c r="S239" s="559"/>
      <c r="T239" s="559"/>
      <c r="U239" s="559"/>
      <c r="V239" s="559"/>
      <c r="W239" s="559"/>
      <c r="X239" s="559"/>
      <c r="Y239" s="559"/>
      <c r="Z239" s="559"/>
      <c r="AA239" s="559"/>
      <c r="AB239" s="559"/>
      <c r="AC239" s="559"/>
      <c r="AD239" s="559"/>
      <c r="AE239" s="559"/>
      <c r="AF239" s="559"/>
      <c r="AG239" s="559"/>
    </row>
    <row r="240" spans="1:33" ht="18" customHeight="1" x14ac:dyDescent="0.35">
      <c r="A240" s="559"/>
      <c r="B240" s="559"/>
      <c r="C240" s="559"/>
      <c r="D240" s="559"/>
      <c r="E240" s="559"/>
      <c r="F240" s="559"/>
      <c r="G240" s="559"/>
      <c r="H240" s="559"/>
      <c r="I240" s="559"/>
      <c r="J240" s="559"/>
      <c r="K240" s="559"/>
      <c r="L240" s="559"/>
      <c r="M240" s="559"/>
      <c r="N240" s="559"/>
      <c r="O240" s="559"/>
      <c r="P240" s="559"/>
      <c r="Q240" s="559"/>
      <c r="R240" s="559"/>
      <c r="S240" s="559"/>
      <c r="T240" s="559"/>
      <c r="U240" s="559"/>
      <c r="V240" s="559"/>
      <c r="W240" s="559"/>
      <c r="X240" s="559"/>
      <c r="Y240" s="559"/>
      <c r="Z240" s="559"/>
      <c r="AA240" s="559"/>
      <c r="AB240" s="559"/>
      <c r="AC240" s="559"/>
      <c r="AD240" s="559"/>
      <c r="AE240" s="559"/>
      <c r="AF240" s="559"/>
      <c r="AG240" s="559"/>
    </row>
    <row r="241" spans="1:33" ht="18" customHeight="1" x14ac:dyDescent="0.35">
      <c r="A241" s="559"/>
      <c r="B241" s="559"/>
      <c r="C241" s="559"/>
      <c r="D241" s="559"/>
      <c r="E241" s="559"/>
      <c r="F241" s="559"/>
      <c r="G241" s="559"/>
      <c r="H241" s="559"/>
      <c r="I241" s="559"/>
      <c r="J241" s="559"/>
      <c r="K241" s="559"/>
      <c r="L241" s="559"/>
      <c r="M241" s="559"/>
      <c r="N241" s="559"/>
      <c r="O241" s="559"/>
      <c r="P241" s="559"/>
      <c r="Q241" s="559"/>
      <c r="R241" s="559"/>
      <c r="S241" s="559"/>
      <c r="T241" s="559"/>
      <c r="U241" s="559"/>
      <c r="V241" s="559"/>
      <c r="W241" s="559"/>
      <c r="X241" s="559"/>
      <c r="Y241" s="559"/>
      <c r="Z241" s="559"/>
      <c r="AA241" s="559"/>
      <c r="AB241" s="559"/>
      <c r="AC241" s="559"/>
      <c r="AD241" s="559"/>
      <c r="AE241" s="559"/>
      <c r="AF241" s="559"/>
      <c r="AG241" s="559"/>
    </row>
    <row r="242" spans="1:33" ht="18" customHeight="1" x14ac:dyDescent="0.35">
      <c r="A242" s="559"/>
      <c r="B242" s="559"/>
      <c r="C242" s="559"/>
      <c r="D242" s="559"/>
      <c r="E242" s="559"/>
      <c r="F242" s="559"/>
      <c r="G242" s="559"/>
      <c r="H242" s="559"/>
      <c r="I242" s="559"/>
      <c r="J242" s="559"/>
      <c r="K242" s="559"/>
      <c r="L242" s="559"/>
      <c r="M242" s="559"/>
      <c r="N242" s="559"/>
      <c r="O242" s="559"/>
      <c r="P242" s="559"/>
      <c r="Q242" s="559"/>
      <c r="R242" s="559"/>
      <c r="S242" s="559"/>
      <c r="T242" s="559"/>
      <c r="U242" s="559"/>
      <c r="V242" s="559"/>
      <c r="W242" s="559"/>
      <c r="X242" s="559"/>
      <c r="Y242" s="559"/>
      <c r="Z242" s="559"/>
      <c r="AA242" s="559"/>
      <c r="AB242" s="559"/>
      <c r="AC242" s="559"/>
      <c r="AD242" s="559"/>
      <c r="AE242" s="559"/>
      <c r="AF242" s="559"/>
      <c r="AG242" s="559"/>
    </row>
    <row r="243" spans="1:33" ht="18" customHeight="1" x14ac:dyDescent="0.35">
      <c r="A243" s="559"/>
      <c r="B243" s="559"/>
      <c r="C243" s="559"/>
      <c r="D243" s="559"/>
      <c r="E243" s="559"/>
      <c r="F243" s="559"/>
      <c r="G243" s="559"/>
      <c r="H243" s="559"/>
      <c r="I243" s="559"/>
      <c r="J243" s="559"/>
      <c r="K243" s="559"/>
      <c r="L243" s="559"/>
      <c r="M243" s="559"/>
      <c r="N243" s="559"/>
      <c r="O243" s="559"/>
      <c r="P243" s="559"/>
      <c r="Q243" s="559"/>
      <c r="R243" s="559"/>
      <c r="S243" s="559"/>
      <c r="T243" s="559"/>
      <c r="U243" s="559"/>
      <c r="V243" s="559"/>
      <c r="W243" s="559"/>
      <c r="X243" s="559"/>
      <c r="Y243" s="559"/>
      <c r="Z243" s="559"/>
      <c r="AA243" s="559"/>
      <c r="AB243" s="559"/>
      <c r="AC243" s="559"/>
      <c r="AD243" s="559"/>
      <c r="AE243" s="559"/>
      <c r="AF243" s="559"/>
      <c r="AG243" s="559"/>
    </row>
    <row r="244" spans="1:33" ht="18" customHeight="1" x14ac:dyDescent="0.35">
      <c r="A244" s="559"/>
      <c r="B244" s="559"/>
      <c r="C244" s="559"/>
      <c r="D244" s="559"/>
      <c r="E244" s="559"/>
      <c r="F244" s="559"/>
      <c r="G244" s="559"/>
      <c r="H244" s="559"/>
      <c r="I244" s="559"/>
      <c r="J244" s="559"/>
      <c r="K244" s="559"/>
      <c r="L244" s="559"/>
      <c r="M244" s="559"/>
      <c r="N244" s="559"/>
      <c r="O244" s="559"/>
      <c r="P244" s="559"/>
      <c r="Q244" s="559"/>
      <c r="R244" s="559"/>
      <c r="S244" s="559"/>
      <c r="T244" s="559"/>
      <c r="U244" s="559"/>
      <c r="V244" s="559"/>
      <c r="W244" s="559"/>
      <c r="X244" s="559"/>
      <c r="Y244" s="559"/>
      <c r="Z244" s="559"/>
      <c r="AA244" s="559"/>
      <c r="AB244" s="559"/>
      <c r="AC244" s="559"/>
      <c r="AD244" s="559"/>
      <c r="AE244" s="559"/>
      <c r="AF244" s="559"/>
      <c r="AG244" s="559"/>
    </row>
    <row r="245" spans="1:33" ht="18" customHeight="1" x14ac:dyDescent="0.35">
      <c r="A245" s="559"/>
      <c r="B245" s="559"/>
      <c r="C245" s="559"/>
      <c r="D245" s="559"/>
      <c r="E245" s="559"/>
      <c r="F245" s="559"/>
      <c r="G245" s="559"/>
      <c r="H245" s="559"/>
      <c r="I245" s="559"/>
      <c r="J245" s="559"/>
      <c r="K245" s="559"/>
      <c r="L245" s="559"/>
      <c r="M245" s="559"/>
      <c r="N245" s="559"/>
      <c r="O245" s="559"/>
      <c r="P245" s="559"/>
      <c r="Q245" s="559"/>
      <c r="R245" s="559"/>
      <c r="S245" s="559"/>
      <c r="T245" s="559"/>
      <c r="U245" s="559"/>
      <c r="V245" s="559"/>
      <c r="W245" s="559"/>
      <c r="X245" s="559"/>
      <c r="Y245" s="559"/>
      <c r="Z245" s="559"/>
      <c r="AA245" s="559"/>
      <c r="AB245" s="559"/>
      <c r="AC245" s="559"/>
      <c r="AD245" s="559"/>
      <c r="AE245" s="559"/>
      <c r="AF245" s="559"/>
      <c r="AG245" s="559"/>
    </row>
    <row r="246" spans="1:33" ht="18" customHeight="1" x14ac:dyDescent="0.35">
      <c r="A246" s="559"/>
      <c r="B246" s="559"/>
      <c r="C246" s="559"/>
      <c r="D246" s="559"/>
      <c r="E246" s="559"/>
      <c r="F246" s="559"/>
      <c r="G246" s="559"/>
      <c r="H246" s="559"/>
      <c r="I246" s="559"/>
      <c r="J246" s="559"/>
      <c r="K246" s="559"/>
      <c r="L246" s="559"/>
      <c r="M246" s="559"/>
      <c r="N246" s="559"/>
      <c r="O246" s="559"/>
      <c r="P246" s="559"/>
      <c r="Q246" s="559"/>
      <c r="R246" s="559"/>
      <c r="S246" s="559"/>
      <c r="T246" s="559"/>
      <c r="U246" s="559"/>
      <c r="V246" s="559"/>
      <c r="W246" s="559"/>
      <c r="X246" s="559"/>
      <c r="Y246" s="559"/>
      <c r="Z246" s="559"/>
      <c r="AA246" s="559"/>
      <c r="AB246" s="559"/>
      <c r="AC246" s="559"/>
      <c r="AD246" s="559"/>
      <c r="AE246" s="559"/>
      <c r="AF246" s="559"/>
      <c r="AG246" s="559"/>
    </row>
    <row r="247" spans="1:33" ht="18" customHeight="1" x14ac:dyDescent="0.35">
      <c r="A247" s="559"/>
      <c r="B247" s="559"/>
      <c r="C247" s="559"/>
      <c r="D247" s="559"/>
      <c r="E247" s="559"/>
      <c r="F247" s="559"/>
      <c r="G247" s="559"/>
      <c r="H247" s="559"/>
      <c r="I247" s="559"/>
      <c r="J247" s="559"/>
      <c r="K247" s="559"/>
      <c r="L247" s="559"/>
      <c r="M247" s="559"/>
      <c r="N247" s="559"/>
      <c r="O247" s="559"/>
      <c r="P247" s="559"/>
      <c r="Q247" s="559"/>
      <c r="R247" s="559"/>
      <c r="S247" s="559"/>
      <c r="T247" s="559"/>
      <c r="U247" s="559"/>
      <c r="V247" s="559"/>
      <c r="W247" s="559"/>
      <c r="X247" s="559"/>
      <c r="Y247" s="559"/>
      <c r="Z247" s="559"/>
      <c r="AA247" s="559"/>
      <c r="AB247" s="559"/>
      <c r="AC247" s="559"/>
      <c r="AD247" s="559"/>
      <c r="AE247" s="559"/>
      <c r="AF247" s="559"/>
      <c r="AG247" s="559"/>
    </row>
    <row r="248" spans="1:33" ht="18" customHeight="1" x14ac:dyDescent="0.35">
      <c r="A248" s="559"/>
      <c r="B248" s="559"/>
      <c r="C248" s="559"/>
      <c r="D248" s="559"/>
      <c r="E248" s="559"/>
      <c r="F248" s="559"/>
      <c r="G248" s="559"/>
      <c r="H248" s="559"/>
      <c r="I248" s="559"/>
      <c r="J248" s="559"/>
      <c r="K248" s="559"/>
      <c r="L248" s="559"/>
      <c r="M248" s="559"/>
      <c r="N248" s="559"/>
      <c r="O248" s="559"/>
      <c r="P248" s="559"/>
      <c r="Q248" s="559"/>
      <c r="R248" s="559"/>
      <c r="S248" s="559"/>
      <c r="T248" s="559"/>
      <c r="U248" s="559"/>
      <c r="V248" s="559"/>
      <c r="W248" s="559"/>
      <c r="X248" s="559"/>
      <c r="Y248" s="559"/>
      <c r="Z248" s="559"/>
      <c r="AA248" s="559"/>
      <c r="AB248" s="559"/>
      <c r="AC248" s="559"/>
      <c r="AD248" s="559"/>
      <c r="AE248" s="559"/>
      <c r="AF248" s="559"/>
      <c r="AG248" s="559"/>
    </row>
    <row r="249" spans="1:33" ht="18" customHeight="1" x14ac:dyDescent="0.35">
      <c r="A249" s="559"/>
      <c r="B249" s="559"/>
      <c r="C249" s="559"/>
      <c r="D249" s="559"/>
      <c r="E249" s="559"/>
      <c r="F249" s="559"/>
      <c r="G249" s="559"/>
      <c r="H249" s="559"/>
      <c r="I249" s="559"/>
      <c r="J249" s="559"/>
      <c r="K249" s="559"/>
      <c r="L249" s="559"/>
      <c r="M249" s="559"/>
      <c r="N249" s="559"/>
      <c r="O249" s="559"/>
      <c r="P249" s="559"/>
      <c r="Q249" s="559"/>
      <c r="R249" s="559"/>
      <c r="S249" s="559"/>
      <c r="T249" s="559"/>
      <c r="U249" s="559"/>
      <c r="V249" s="559"/>
      <c r="W249" s="559"/>
      <c r="X249" s="559"/>
      <c r="Y249" s="559"/>
      <c r="Z249" s="559"/>
      <c r="AA249" s="559"/>
      <c r="AB249" s="559"/>
      <c r="AC249" s="559"/>
      <c r="AD249" s="559"/>
      <c r="AE249" s="559"/>
      <c r="AF249" s="559"/>
      <c r="AG249" s="559"/>
    </row>
    <row r="250" spans="1:33" ht="18" customHeight="1" x14ac:dyDescent="0.35">
      <c r="A250" s="559"/>
      <c r="B250" s="559"/>
      <c r="C250" s="559"/>
      <c r="D250" s="559"/>
      <c r="E250" s="559"/>
      <c r="F250" s="559"/>
      <c r="G250" s="559"/>
      <c r="H250" s="559"/>
      <c r="I250" s="559"/>
      <c r="J250" s="559"/>
      <c r="K250" s="559"/>
      <c r="L250" s="559"/>
      <c r="M250" s="559"/>
      <c r="N250" s="559"/>
      <c r="O250" s="559"/>
      <c r="P250" s="559"/>
      <c r="Q250" s="559"/>
      <c r="R250" s="559"/>
      <c r="S250" s="559"/>
      <c r="T250" s="559"/>
      <c r="U250" s="559"/>
      <c r="V250" s="559"/>
      <c r="W250" s="559"/>
      <c r="X250" s="559"/>
      <c r="Y250" s="559"/>
      <c r="Z250" s="559"/>
      <c r="AA250" s="559"/>
      <c r="AB250" s="559"/>
      <c r="AC250" s="559"/>
      <c r="AD250" s="559"/>
      <c r="AE250" s="559"/>
      <c r="AF250" s="559"/>
      <c r="AG250" s="559"/>
    </row>
    <row r="251" spans="1:33" ht="18" customHeight="1" x14ac:dyDescent="0.35">
      <c r="A251" s="559"/>
      <c r="B251" s="559"/>
      <c r="C251" s="559"/>
      <c r="D251" s="559"/>
      <c r="E251" s="559"/>
      <c r="F251" s="559"/>
      <c r="G251" s="559"/>
      <c r="H251" s="559"/>
      <c r="I251" s="559"/>
      <c r="J251" s="559"/>
      <c r="K251" s="559"/>
      <c r="L251" s="559"/>
      <c r="M251" s="559"/>
      <c r="N251" s="559"/>
      <c r="O251" s="559"/>
      <c r="P251" s="559"/>
      <c r="Q251" s="559"/>
      <c r="R251" s="559"/>
      <c r="S251" s="559"/>
      <c r="T251" s="559"/>
      <c r="U251" s="559"/>
      <c r="V251" s="559"/>
      <c r="W251" s="559"/>
      <c r="X251" s="559"/>
      <c r="Y251" s="559"/>
      <c r="Z251" s="559"/>
      <c r="AA251" s="559"/>
      <c r="AB251" s="559"/>
      <c r="AC251" s="559"/>
      <c r="AD251" s="559"/>
      <c r="AE251" s="559"/>
      <c r="AF251" s="559"/>
      <c r="AG251" s="559"/>
    </row>
    <row r="252" spans="1:33" ht="18" customHeight="1" x14ac:dyDescent="0.35">
      <c r="A252" s="559"/>
      <c r="B252" s="559"/>
      <c r="C252" s="559"/>
      <c r="D252" s="559"/>
      <c r="E252" s="559"/>
      <c r="F252" s="559"/>
      <c r="G252" s="559"/>
      <c r="H252" s="559"/>
      <c r="I252" s="559"/>
      <c r="J252" s="559"/>
      <c r="K252" s="559"/>
      <c r="L252" s="559"/>
      <c r="M252" s="559"/>
      <c r="N252" s="559"/>
      <c r="O252" s="559"/>
      <c r="P252" s="559"/>
      <c r="Q252" s="559"/>
      <c r="R252" s="559"/>
      <c r="S252" s="559"/>
      <c r="T252" s="559"/>
      <c r="U252" s="559"/>
      <c r="V252" s="559"/>
      <c r="W252" s="559"/>
      <c r="X252" s="559"/>
      <c r="Y252" s="559"/>
      <c r="Z252" s="559"/>
      <c r="AA252" s="559"/>
      <c r="AB252" s="559"/>
      <c r="AC252" s="559"/>
      <c r="AD252" s="559"/>
      <c r="AE252" s="559"/>
      <c r="AF252" s="559"/>
      <c r="AG252" s="559"/>
    </row>
    <row r="253" spans="1:33" ht="18" customHeight="1" x14ac:dyDescent="0.35">
      <c r="A253" s="559"/>
      <c r="B253" s="559"/>
      <c r="C253" s="559"/>
      <c r="D253" s="559"/>
      <c r="E253" s="559"/>
      <c r="F253" s="559"/>
      <c r="G253" s="559"/>
      <c r="H253" s="559"/>
      <c r="I253" s="559"/>
      <c r="J253" s="559"/>
      <c r="K253" s="559"/>
      <c r="L253" s="559"/>
      <c r="M253" s="559"/>
      <c r="N253" s="559"/>
      <c r="O253" s="559"/>
      <c r="P253" s="559"/>
      <c r="Q253" s="559"/>
      <c r="R253" s="559"/>
      <c r="S253" s="559"/>
      <c r="T253" s="559"/>
      <c r="U253" s="559"/>
      <c r="V253" s="559"/>
      <c r="W253" s="559"/>
      <c r="X253" s="559"/>
      <c r="Y253" s="559"/>
      <c r="Z253" s="559"/>
      <c r="AA253" s="559"/>
      <c r="AB253" s="559"/>
      <c r="AC253" s="559"/>
      <c r="AD253" s="559"/>
      <c r="AE253" s="559"/>
      <c r="AF253" s="559"/>
      <c r="AG253" s="559"/>
    </row>
    <row r="254" spans="1:33" ht="18" customHeight="1" x14ac:dyDescent="0.35">
      <c r="A254" s="559"/>
      <c r="B254" s="559"/>
      <c r="C254" s="559"/>
      <c r="D254" s="559"/>
      <c r="E254" s="559"/>
      <c r="F254" s="559"/>
      <c r="G254" s="559"/>
      <c r="H254" s="559"/>
      <c r="I254" s="559"/>
      <c r="J254" s="559"/>
      <c r="K254" s="559"/>
      <c r="L254" s="559"/>
      <c r="M254" s="559"/>
      <c r="N254" s="559"/>
      <c r="O254" s="559"/>
      <c r="P254" s="559"/>
      <c r="Q254" s="559"/>
      <c r="R254" s="559"/>
      <c r="S254" s="559"/>
      <c r="T254" s="559"/>
      <c r="U254" s="559"/>
      <c r="V254" s="559"/>
      <c r="W254" s="559"/>
      <c r="X254" s="559"/>
      <c r="Y254" s="559"/>
      <c r="Z254" s="559"/>
      <c r="AA254" s="559"/>
      <c r="AB254" s="559"/>
      <c r="AC254" s="559"/>
      <c r="AD254" s="559"/>
      <c r="AE254" s="559"/>
      <c r="AF254" s="559"/>
      <c r="AG254" s="559"/>
    </row>
    <row r="255" spans="1:33" ht="18" customHeight="1" x14ac:dyDescent="0.35">
      <c r="A255" s="559"/>
      <c r="B255" s="559"/>
      <c r="C255" s="559"/>
      <c r="D255" s="559"/>
      <c r="E255" s="559"/>
      <c r="F255" s="559"/>
      <c r="G255" s="559"/>
      <c r="H255" s="559"/>
      <c r="I255" s="559"/>
      <c r="J255" s="559"/>
      <c r="K255" s="559"/>
      <c r="L255" s="559"/>
      <c r="M255" s="559"/>
      <c r="N255" s="559"/>
      <c r="O255" s="559"/>
      <c r="P255" s="559"/>
      <c r="Q255" s="559"/>
      <c r="R255" s="559"/>
      <c r="S255" s="559"/>
      <c r="T255" s="559"/>
      <c r="U255" s="559"/>
      <c r="V255" s="559"/>
      <c r="W255" s="559"/>
      <c r="X255" s="559"/>
      <c r="Y255" s="559"/>
      <c r="Z255" s="559"/>
      <c r="AA255" s="559"/>
      <c r="AB255" s="559"/>
      <c r="AC255" s="559"/>
      <c r="AD255" s="559"/>
      <c r="AE255" s="559"/>
      <c r="AF255" s="559"/>
      <c r="AG255" s="559"/>
    </row>
    <row r="256" spans="1:33" ht="18" customHeight="1" x14ac:dyDescent="0.35">
      <c r="A256" s="559"/>
      <c r="B256" s="559"/>
      <c r="C256" s="559"/>
      <c r="D256" s="559"/>
      <c r="E256" s="559"/>
      <c r="F256" s="559"/>
      <c r="G256" s="559"/>
      <c r="H256" s="559"/>
      <c r="I256" s="559"/>
      <c r="J256" s="559"/>
      <c r="K256" s="559"/>
      <c r="L256" s="559"/>
      <c r="M256" s="559"/>
      <c r="N256" s="559"/>
      <c r="O256" s="559"/>
      <c r="P256" s="559"/>
      <c r="Q256" s="559"/>
      <c r="R256" s="559"/>
      <c r="S256" s="559"/>
      <c r="T256" s="559"/>
      <c r="U256" s="559"/>
      <c r="V256" s="559"/>
      <c r="W256" s="559"/>
      <c r="X256" s="559"/>
      <c r="Y256" s="559"/>
      <c r="Z256" s="559"/>
      <c r="AA256" s="559"/>
      <c r="AB256" s="559"/>
      <c r="AC256" s="559"/>
      <c r="AD256" s="559"/>
      <c r="AE256" s="559"/>
      <c r="AF256" s="559"/>
      <c r="AG256" s="559"/>
    </row>
    <row r="257" spans="1:33" ht="18" customHeight="1" x14ac:dyDescent="0.35">
      <c r="A257" s="559"/>
      <c r="B257" s="559"/>
      <c r="C257" s="559"/>
      <c r="D257" s="559"/>
      <c r="E257" s="559"/>
      <c r="F257" s="559"/>
      <c r="G257" s="559"/>
      <c r="H257" s="559"/>
      <c r="I257" s="559"/>
      <c r="J257" s="559"/>
      <c r="K257" s="559"/>
      <c r="L257" s="559"/>
      <c r="M257" s="559"/>
      <c r="N257" s="559"/>
      <c r="O257" s="559"/>
      <c r="P257" s="559"/>
      <c r="Q257" s="559"/>
      <c r="R257" s="559"/>
      <c r="S257" s="559"/>
      <c r="T257" s="559"/>
      <c r="U257" s="559"/>
      <c r="V257" s="559"/>
      <c r="W257" s="559"/>
      <c r="X257" s="559"/>
      <c r="Y257" s="559"/>
      <c r="Z257" s="559"/>
      <c r="AA257" s="559"/>
      <c r="AB257" s="559"/>
      <c r="AC257" s="559"/>
      <c r="AD257" s="559"/>
      <c r="AE257" s="559"/>
      <c r="AF257" s="559"/>
      <c r="AG257" s="559"/>
    </row>
    <row r="258" spans="1:33" ht="18" customHeight="1" x14ac:dyDescent="0.35">
      <c r="A258" s="559"/>
      <c r="B258" s="559"/>
      <c r="C258" s="559"/>
      <c r="D258" s="559"/>
      <c r="E258" s="559"/>
      <c r="F258" s="559"/>
      <c r="G258" s="559"/>
      <c r="H258" s="559"/>
      <c r="I258" s="559"/>
      <c r="J258" s="559"/>
      <c r="K258" s="559"/>
      <c r="L258" s="559"/>
      <c r="M258" s="559"/>
      <c r="N258" s="559"/>
      <c r="O258" s="559"/>
      <c r="P258" s="559"/>
      <c r="Q258" s="559"/>
      <c r="R258" s="559"/>
      <c r="S258" s="559"/>
      <c r="T258" s="559"/>
      <c r="U258" s="559"/>
      <c r="V258" s="559"/>
      <c r="W258" s="559"/>
      <c r="X258" s="559"/>
      <c r="Y258" s="559"/>
      <c r="Z258" s="559"/>
      <c r="AA258" s="559"/>
      <c r="AB258" s="559"/>
      <c r="AC258" s="559"/>
      <c r="AD258" s="559"/>
      <c r="AE258" s="559"/>
      <c r="AF258" s="559"/>
      <c r="AG258" s="559"/>
    </row>
    <row r="259" spans="1:33" ht="18" customHeight="1" x14ac:dyDescent="0.35">
      <c r="A259" s="559"/>
      <c r="B259" s="559"/>
      <c r="C259" s="559"/>
      <c r="D259" s="559"/>
      <c r="E259" s="559"/>
      <c r="F259" s="559"/>
      <c r="G259" s="559"/>
      <c r="H259" s="559"/>
      <c r="I259" s="559"/>
      <c r="J259" s="559"/>
      <c r="K259" s="559"/>
      <c r="L259" s="559"/>
      <c r="M259" s="559"/>
      <c r="N259" s="559"/>
      <c r="O259" s="559"/>
      <c r="P259" s="559"/>
      <c r="Q259" s="559"/>
      <c r="R259" s="559"/>
      <c r="S259" s="559"/>
      <c r="T259" s="559"/>
      <c r="U259" s="559"/>
      <c r="V259" s="559"/>
      <c r="W259" s="559"/>
      <c r="X259" s="559"/>
      <c r="Y259" s="559"/>
      <c r="Z259" s="559"/>
      <c r="AA259" s="559"/>
      <c r="AB259" s="559"/>
      <c r="AC259" s="559"/>
      <c r="AD259" s="559"/>
      <c r="AE259" s="559"/>
      <c r="AF259" s="559"/>
      <c r="AG259" s="559"/>
    </row>
    <row r="260" spans="1:33" ht="18" customHeight="1" x14ac:dyDescent="0.35">
      <c r="A260" s="559"/>
      <c r="B260" s="559"/>
      <c r="C260" s="559"/>
      <c r="D260" s="559"/>
      <c r="E260" s="559"/>
      <c r="F260" s="559"/>
      <c r="G260" s="559"/>
      <c r="H260" s="559"/>
      <c r="I260" s="559"/>
      <c r="J260" s="559"/>
      <c r="K260" s="559"/>
      <c r="L260" s="559"/>
      <c r="M260" s="559"/>
      <c r="N260" s="559"/>
      <c r="O260" s="559"/>
      <c r="P260" s="559"/>
      <c r="Q260" s="559"/>
      <c r="R260" s="559"/>
      <c r="S260" s="559"/>
      <c r="T260" s="559"/>
      <c r="U260" s="559"/>
      <c r="V260" s="559"/>
      <c r="W260" s="559"/>
      <c r="X260" s="559"/>
      <c r="Y260" s="559"/>
      <c r="Z260" s="559"/>
      <c r="AA260" s="559"/>
      <c r="AB260" s="559"/>
      <c r="AC260" s="559"/>
      <c r="AD260" s="559"/>
      <c r="AE260" s="559"/>
      <c r="AF260" s="559"/>
      <c r="AG260" s="559"/>
    </row>
    <row r="261" spans="1:33" ht="18" customHeight="1" x14ac:dyDescent="0.35">
      <c r="A261" s="559"/>
      <c r="B261" s="559"/>
      <c r="C261" s="559"/>
      <c r="D261" s="559"/>
      <c r="E261" s="559"/>
      <c r="F261" s="559"/>
      <c r="G261" s="559"/>
      <c r="H261" s="559"/>
      <c r="I261" s="559"/>
      <c r="J261" s="559"/>
      <c r="K261" s="559"/>
      <c r="L261" s="559"/>
      <c r="M261" s="559"/>
      <c r="N261" s="559"/>
      <c r="O261" s="559"/>
      <c r="P261" s="559"/>
      <c r="Q261" s="559"/>
      <c r="R261" s="559"/>
      <c r="S261" s="559"/>
      <c r="T261" s="559"/>
      <c r="U261" s="559"/>
      <c r="V261" s="559"/>
      <c r="W261" s="559"/>
      <c r="X261" s="559"/>
      <c r="Y261" s="559"/>
      <c r="Z261" s="559"/>
      <c r="AA261" s="559"/>
      <c r="AB261" s="559"/>
      <c r="AC261" s="559"/>
      <c r="AD261" s="559"/>
      <c r="AE261" s="559"/>
      <c r="AF261" s="559"/>
      <c r="AG261" s="559"/>
    </row>
    <row r="262" spans="1:33" ht="18" customHeight="1" x14ac:dyDescent="0.35">
      <c r="A262" s="559"/>
      <c r="B262" s="559"/>
      <c r="C262" s="559"/>
      <c r="D262" s="559"/>
      <c r="E262" s="559"/>
      <c r="F262" s="559"/>
      <c r="G262" s="559"/>
      <c r="H262" s="559"/>
      <c r="I262" s="559"/>
      <c r="J262" s="559"/>
      <c r="K262" s="559"/>
      <c r="L262" s="559"/>
      <c r="M262" s="559"/>
      <c r="N262" s="559"/>
      <c r="O262" s="559"/>
      <c r="P262" s="559"/>
      <c r="Q262" s="559"/>
      <c r="R262" s="559"/>
      <c r="S262" s="559"/>
      <c r="T262" s="559"/>
      <c r="U262" s="559"/>
      <c r="V262" s="559"/>
      <c r="W262" s="559"/>
      <c r="X262" s="559"/>
      <c r="Y262" s="559"/>
      <c r="Z262" s="559"/>
      <c r="AA262" s="559"/>
      <c r="AB262" s="559"/>
      <c r="AC262" s="559"/>
      <c r="AD262" s="559"/>
      <c r="AE262" s="559"/>
      <c r="AF262" s="559"/>
      <c r="AG262" s="559"/>
    </row>
    <row r="263" spans="1:33" ht="18" customHeight="1" x14ac:dyDescent="0.35">
      <c r="A263" s="559"/>
      <c r="B263" s="559"/>
      <c r="C263" s="559"/>
      <c r="D263" s="559"/>
      <c r="E263" s="559"/>
      <c r="F263" s="559"/>
      <c r="G263" s="559"/>
      <c r="H263" s="559"/>
      <c r="I263" s="559"/>
      <c r="J263" s="559"/>
      <c r="K263" s="559"/>
      <c r="L263" s="559"/>
      <c r="M263" s="559"/>
      <c r="N263" s="559"/>
      <c r="O263" s="559"/>
      <c r="P263" s="559"/>
      <c r="Q263" s="559"/>
      <c r="R263" s="559"/>
      <c r="S263" s="559"/>
      <c r="T263" s="559"/>
      <c r="U263" s="559"/>
      <c r="V263" s="559"/>
      <c r="W263" s="559"/>
      <c r="X263" s="559"/>
      <c r="Y263" s="559"/>
      <c r="Z263" s="559"/>
      <c r="AA263" s="559"/>
      <c r="AB263" s="559"/>
      <c r="AC263" s="559"/>
      <c r="AD263" s="559"/>
      <c r="AE263" s="559"/>
      <c r="AF263" s="559"/>
      <c r="AG263" s="559"/>
    </row>
    <row r="264" spans="1:33" ht="18" customHeight="1" x14ac:dyDescent="0.35">
      <c r="A264" s="559"/>
      <c r="B264" s="559"/>
      <c r="C264" s="559"/>
      <c r="D264" s="559"/>
      <c r="E264" s="559"/>
      <c r="F264" s="559"/>
      <c r="G264" s="559"/>
      <c r="H264" s="559"/>
      <c r="I264" s="559"/>
      <c r="J264" s="559"/>
      <c r="K264" s="559"/>
      <c r="L264" s="559"/>
      <c r="M264" s="559"/>
      <c r="N264" s="559"/>
      <c r="O264" s="559"/>
      <c r="P264" s="559"/>
      <c r="Q264" s="559"/>
      <c r="R264" s="559"/>
      <c r="S264" s="559"/>
      <c r="T264" s="559"/>
      <c r="U264" s="559"/>
      <c r="V264" s="559"/>
      <c r="W264" s="559"/>
      <c r="X264" s="559"/>
      <c r="Y264" s="559"/>
      <c r="Z264" s="559"/>
      <c r="AA264" s="559"/>
      <c r="AB264" s="559"/>
      <c r="AC264" s="559"/>
      <c r="AD264" s="559"/>
      <c r="AE264" s="559"/>
      <c r="AF264" s="559"/>
      <c r="AG264" s="559"/>
    </row>
    <row r="265" spans="1:33" ht="18" customHeight="1" x14ac:dyDescent="0.35">
      <c r="A265" s="559"/>
      <c r="B265" s="559"/>
      <c r="C265" s="559"/>
      <c r="D265" s="559"/>
      <c r="E265" s="559"/>
      <c r="F265" s="559"/>
      <c r="G265" s="559"/>
      <c r="H265" s="559"/>
      <c r="I265" s="559"/>
      <c r="J265" s="559"/>
      <c r="K265" s="559"/>
      <c r="L265" s="559"/>
      <c r="M265" s="559"/>
      <c r="N265" s="559"/>
      <c r="O265" s="559"/>
      <c r="P265" s="559"/>
      <c r="Q265" s="559"/>
      <c r="R265" s="559"/>
      <c r="S265" s="559"/>
      <c r="T265" s="559"/>
      <c r="U265" s="559"/>
      <c r="V265" s="559"/>
      <c r="W265" s="559"/>
      <c r="X265" s="559"/>
      <c r="Y265" s="559"/>
      <c r="Z265" s="559"/>
      <c r="AA265" s="559"/>
      <c r="AB265" s="559"/>
      <c r="AC265" s="559"/>
      <c r="AD265" s="559"/>
      <c r="AE265" s="559"/>
      <c r="AF265" s="559"/>
      <c r="AG265" s="559"/>
    </row>
    <row r="266" spans="1:33" ht="18" customHeight="1" x14ac:dyDescent="0.35">
      <c r="A266" s="559"/>
      <c r="B266" s="559"/>
      <c r="C266" s="559"/>
      <c r="D266" s="559"/>
      <c r="E266" s="559"/>
      <c r="F266" s="559"/>
      <c r="G266" s="559"/>
      <c r="H266" s="559"/>
      <c r="I266" s="559"/>
      <c r="J266" s="559"/>
      <c r="K266" s="559"/>
      <c r="L266" s="559"/>
      <c r="M266" s="559"/>
      <c r="N266" s="559"/>
      <c r="O266" s="559"/>
      <c r="P266" s="559"/>
      <c r="Q266" s="559"/>
      <c r="R266" s="559"/>
      <c r="S266" s="559"/>
      <c r="T266" s="559"/>
      <c r="U266" s="559"/>
      <c r="V266" s="559"/>
      <c r="W266" s="559"/>
      <c r="X266" s="559"/>
      <c r="Y266" s="559"/>
      <c r="Z266" s="559"/>
      <c r="AA266" s="559"/>
      <c r="AB266" s="559"/>
      <c r="AC266" s="559"/>
      <c r="AD266" s="559"/>
      <c r="AE266" s="559"/>
      <c r="AF266" s="559"/>
      <c r="AG266" s="559"/>
    </row>
    <row r="267" spans="1:33" ht="18" customHeight="1" x14ac:dyDescent="0.35">
      <c r="A267" s="559"/>
      <c r="B267" s="559"/>
      <c r="C267" s="559"/>
      <c r="D267" s="559"/>
      <c r="E267" s="559"/>
      <c r="F267" s="559"/>
      <c r="G267" s="559"/>
      <c r="H267" s="559"/>
      <c r="I267" s="559"/>
      <c r="J267" s="559"/>
      <c r="K267" s="559"/>
      <c r="L267" s="559"/>
      <c r="M267" s="559"/>
      <c r="N267" s="559"/>
      <c r="O267" s="559"/>
      <c r="P267" s="559"/>
      <c r="Q267" s="559"/>
      <c r="R267" s="559"/>
      <c r="S267" s="559"/>
      <c r="T267" s="559"/>
      <c r="U267" s="559"/>
      <c r="V267" s="559"/>
      <c r="W267" s="559"/>
      <c r="X267" s="559"/>
      <c r="Y267" s="559"/>
      <c r="Z267" s="559"/>
      <c r="AA267" s="559"/>
      <c r="AB267" s="559"/>
      <c r="AC267" s="559"/>
      <c r="AD267" s="559"/>
      <c r="AE267" s="559"/>
      <c r="AF267" s="559"/>
      <c r="AG267" s="559"/>
    </row>
    <row r="268" spans="1:33" ht="18" customHeight="1" x14ac:dyDescent="0.35">
      <c r="A268" s="559"/>
      <c r="B268" s="559"/>
      <c r="C268" s="559"/>
      <c r="D268" s="559"/>
      <c r="E268" s="559"/>
      <c r="F268" s="559"/>
      <c r="G268" s="559"/>
      <c r="H268" s="559"/>
      <c r="I268" s="559"/>
      <c r="J268" s="559"/>
      <c r="K268" s="559"/>
      <c r="L268" s="559"/>
      <c r="M268" s="559"/>
      <c r="N268" s="559"/>
      <c r="O268" s="559"/>
      <c r="P268" s="559"/>
      <c r="Q268" s="559"/>
      <c r="R268" s="559"/>
      <c r="S268" s="559"/>
      <c r="T268" s="559"/>
      <c r="U268" s="559"/>
      <c r="V268" s="559"/>
      <c r="W268" s="559"/>
      <c r="X268" s="559"/>
      <c r="Y268" s="559"/>
      <c r="Z268" s="559"/>
      <c r="AA268" s="559"/>
      <c r="AB268" s="559"/>
      <c r="AC268" s="559"/>
      <c r="AD268" s="559"/>
      <c r="AE268" s="559"/>
      <c r="AF268" s="559"/>
      <c r="AG268" s="559"/>
    </row>
    <row r="269" spans="1:33" ht="18" customHeight="1" x14ac:dyDescent="0.35">
      <c r="A269" s="559"/>
      <c r="B269" s="559"/>
      <c r="C269" s="559"/>
      <c r="D269" s="559"/>
      <c r="E269" s="559"/>
      <c r="F269" s="559"/>
      <c r="G269" s="559"/>
      <c r="H269" s="559"/>
      <c r="I269" s="559"/>
      <c r="J269" s="559"/>
      <c r="K269" s="559"/>
      <c r="L269" s="559"/>
      <c r="M269" s="559"/>
      <c r="N269" s="559"/>
      <c r="O269" s="559"/>
      <c r="P269" s="559"/>
      <c r="Q269" s="559"/>
      <c r="R269" s="559"/>
      <c r="S269" s="559"/>
      <c r="T269" s="559"/>
      <c r="U269" s="559"/>
      <c r="V269" s="559"/>
      <c r="W269" s="559"/>
      <c r="X269" s="559"/>
      <c r="Y269" s="559"/>
      <c r="Z269" s="559"/>
      <c r="AA269" s="559"/>
      <c r="AB269" s="559"/>
      <c r="AC269" s="559"/>
      <c r="AD269" s="559"/>
      <c r="AE269" s="559"/>
      <c r="AF269" s="559"/>
      <c r="AG269" s="559"/>
    </row>
    <row r="270" spans="1:33" ht="18" customHeight="1" x14ac:dyDescent="0.35">
      <c r="A270" s="559"/>
      <c r="B270" s="559"/>
      <c r="C270" s="559"/>
      <c r="D270" s="559"/>
      <c r="E270" s="559"/>
      <c r="F270" s="559"/>
      <c r="G270" s="559"/>
      <c r="H270" s="559"/>
      <c r="I270" s="559"/>
      <c r="J270" s="559"/>
      <c r="K270" s="559"/>
      <c r="L270" s="559"/>
      <c r="M270" s="559"/>
      <c r="N270" s="559"/>
      <c r="O270" s="559"/>
      <c r="P270" s="559"/>
      <c r="Q270" s="559"/>
      <c r="R270" s="559"/>
      <c r="S270" s="559"/>
      <c r="T270" s="559"/>
      <c r="U270" s="559"/>
      <c r="V270" s="559"/>
      <c r="W270" s="559"/>
      <c r="X270" s="559"/>
      <c r="Y270" s="559"/>
      <c r="Z270" s="559"/>
      <c r="AA270" s="559"/>
      <c r="AB270" s="559"/>
      <c r="AC270" s="559"/>
      <c r="AD270" s="559"/>
      <c r="AE270" s="559"/>
      <c r="AF270" s="559"/>
      <c r="AG270" s="559"/>
    </row>
    <row r="271" spans="1:33" ht="18" customHeight="1" x14ac:dyDescent="0.35">
      <c r="A271" s="559"/>
      <c r="B271" s="559"/>
      <c r="C271" s="559"/>
      <c r="D271" s="559"/>
      <c r="E271" s="559"/>
      <c r="F271" s="559"/>
      <c r="G271" s="559"/>
      <c r="H271" s="559"/>
      <c r="I271" s="559"/>
      <c r="J271" s="559"/>
      <c r="K271" s="559"/>
      <c r="L271" s="559"/>
      <c r="M271" s="559"/>
      <c r="N271" s="559"/>
      <c r="O271" s="559"/>
      <c r="P271" s="559"/>
      <c r="Q271" s="559"/>
      <c r="R271" s="559"/>
      <c r="S271" s="559"/>
      <c r="T271" s="559"/>
      <c r="U271" s="559"/>
      <c r="V271" s="559"/>
      <c r="W271" s="559"/>
      <c r="X271" s="559"/>
      <c r="Y271" s="559"/>
      <c r="Z271" s="559"/>
      <c r="AA271" s="559"/>
      <c r="AB271" s="559"/>
      <c r="AC271" s="559"/>
      <c r="AD271" s="559"/>
      <c r="AE271" s="559"/>
      <c r="AF271" s="559"/>
      <c r="AG271" s="559"/>
    </row>
    <row r="272" spans="1:33" ht="18" customHeight="1" x14ac:dyDescent="0.35">
      <c r="A272" s="559"/>
      <c r="B272" s="559"/>
      <c r="C272" s="559"/>
      <c r="D272" s="559"/>
      <c r="E272" s="559"/>
      <c r="F272" s="559"/>
      <c r="G272" s="559"/>
      <c r="H272" s="559"/>
      <c r="I272" s="559"/>
      <c r="J272" s="559"/>
      <c r="K272" s="559"/>
      <c r="L272" s="559"/>
      <c r="M272" s="559"/>
      <c r="N272" s="559"/>
      <c r="O272" s="559"/>
      <c r="P272" s="559"/>
      <c r="Q272" s="559"/>
      <c r="R272" s="559"/>
      <c r="S272" s="559"/>
      <c r="T272" s="559"/>
      <c r="U272" s="559"/>
      <c r="V272" s="559"/>
      <c r="W272" s="559"/>
      <c r="X272" s="559"/>
      <c r="Y272" s="559"/>
      <c r="Z272" s="559"/>
      <c r="AA272" s="559"/>
      <c r="AB272" s="559"/>
      <c r="AC272" s="559"/>
      <c r="AD272" s="559"/>
      <c r="AE272" s="559"/>
      <c r="AF272" s="559"/>
      <c r="AG272" s="559"/>
    </row>
    <row r="273" spans="1:33" ht="18" customHeight="1" x14ac:dyDescent="0.35">
      <c r="A273" s="559"/>
      <c r="B273" s="559"/>
      <c r="C273" s="559"/>
      <c r="D273" s="559"/>
      <c r="E273" s="559"/>
      <c r="F273" s="559"/>
      <c r="G273" s="559"/>
      <c r="H273" s="559"/>
      <c r="I273" s="559"/>
      <c r="J273" s="559"/>
      <c r="K273" s="559"/>
      <c r="L273" s="559"/>
      <c r="M273" s="559"/>
      <c r="N273" s="559"/>
      <c r="O273" s="559"/>
      <c r="P273" s="559"/>
      <c r="Q273" s="559"/>
      <c r="R273" s="559"/>
      <c r="S273" s="559"/>
      <c r="T273" s="559"/>
      <c r="U273" s="559"/>
      <c r="V273" s="559"/>
      <c r="W273" s="559"/>
      <c r="X273" s="559"/>
      <c r="Y273" s="559"/>
      <c r="Z273" s="559"/>
      <c r="AA273" s="559"/>
      <c r="AB273" s="559"/>
      <c r="AC273" s="559"/>
      <c r="AD273" s="559"/>
      <c r="AE273" s="559"/>
      <c r="AF273" s="559"/>
      <c r="AG273" s="559"/>
    </row>
    <row r="274" spans="1:33" ht="18" customHeight="1" x14ac:dyDescent="0.35">
      <c r="A274" s="559"/>
      <c r="B274" s="559"/>
      <c r="C274" s="559"/>
      <c r="D274" s="559"/>
      <c r="E274" s="559"/>
      <c r="F274" s="559"/>
      <c r="G274" s="559"/>
      <c r="H274" s="559"/>
      <c r="I274" s="559"/>
      <c r="J274" s="559"/>
      <c r="K274" s="559"/>
      <c r="L274" s="559"/>
      <c r="M274" s="559"/>
      <c r="N274" s="559"/>
      <c r="O274" s="559"/>
      <c r="P274" s="559"/>
      <c r="Q274" s="559"/>
      <c r="R274" s="559"/>
      <c r="S274" s="559"/>
      <c r="T274" s="559"/>
      <c r="U274" s="559"/>
      <c r="V274" s="559"/>
      <c r="W274" s="559"/>
      <c r="X274" s="559"/>
      <c r="Y274" s="559"/>
      <c r="Z274" s="559"/>
      <c r="AA274" s="559"/>
      <c r="AB274" s="559"/>
      <c r="AC274" s="559"/>
      <c r="AD274" s="559"/>
      <c r="AE274" s="559"/>
      <c r="AF274" s="559"/>
      <c r="AG274" s="559"/>
    </row>
    <row r="275" spans="1:33" ht="18" customHeight="1" x14ac:dyDescent="0.35">
      <c r="A275" s="559"/>
      <c r="B275" s="559"/>
      <c r="C275" s="559"/>
      <c r="D275" s="559"/>
      <c r="E275" s="559"/>
      <c r="F275" s="559"/>
      <c r="G275" s="559"/>
      <c r="H275" s="559"/>
      <c r="I275" s="559"/>
      <c r="J275" s="559"/>
      <c r="K275" s="559"/>
      <c r="L275" s="559"/>
      <c r="M275" s="559"/>
      <c r="N275" s="559"/>
      <c r="O275" s="559"/>
      <c r="P275" s="559"/>
      <c r="Q275" s="559"/>
      <c r="R275" s="559"/>
      <c r="S275" s="559"/>
      <c r="T275" s="559"/>
      <c r="U275" s="559"/>
      <c r="V275" s="559"/>
      <c r="W275" s="559"/>
      <c r="X275" s="559"/>
      <c r="Y275" s="559"/>
      <c r="Z275" s="559"/>
      <c r="AA275" s="559"/>
      <c r="AB275" s="559"/>
      <c r="AC275" s="559"/>
      <c r="AD275" s="559"/>
      <c r="AE275" s="559"/>
      <c r="AF275" s="559"/>
      <c r="AG275" s="559"/>
    </row>
    <row r="276" spans="1:33" ht="18" customHeight="1" x14ac:dyDescent="0.35">
      <c r="A276" s="559"/>
      <c r="B276" s="559"/>
      <c r="C276" s="559"/>
      <c r="D276" s="559"/>
      <c r="E276" s="559"/>
      <c r="F276" s="559"/>
      <c r="G276" s="559"/>
      <c r="H276" s="559"/>
      <c r="I276" s="559"/>
      <c r="J276" s="559"/>
      <c r="K276" s="559"/>
      <c r="L276" s="559"/>
      <c r="M276" s="559"/>
      <c r="N276" s="559"/>
      <c r="O276" s="559"/>
      <c r="P276" s="559"/>
      <c r="Q276" s="559"/>
      <c r="R276" s="559"/>
      <c r="S276" s="559"/>
      <c r="T276" s="559"/>
      <c r="U276" s="559"/>
      <c r="V276" s="559"/>
      <c r="W276" s="559"/>
      <c r="X276" s="559"/>
      <c r="Y276" s="559"/>
      <c r="Z276" s="559"/>
      <c r="AA276" s="559"/>
      <c r="AB276" s="559"/>
      <c r="AC276" s="559"/>
      <c r="AD276" s="559"/>
      <c r="AE276" s="559"/>
      <c r="AF276" s="559"/>
      <c r="AG276" s="559"/>
    </row>
    <row r="277" spans="1:33" ht="18" customHeight="1" x14ac:dyDescent="0.35">
      <c r="A277" s="559"/>
      <c r="B277" s="559"/>
      <c r="C277" s="559"/>
      <c r="D277" s="559"/>
      <c r="E277" s="559"/>
      <c r="F277" s="559"/>
      <c r="G277" s="559"/>
      <c r="H277" s="559"/>
      <c r="I277" s="559"/>
      <c r="J277" s="559"/>
      <c r="K277" s="559"/>
      <c r="L277" s="559"/>
      <c r="M277" s="559"/>
      <c r="N277" s="559"/>
      <c r="O277" s="559"/>
      <c r="P277" s="559"/>
      <c r="Q277" s="559"/>
      <c r="R277" s="559"/>
      <c r="S277" s="559"/>
      <c r="T277" s="559"/>
      <c r="U277" s="559"/>
      <c r="V277" s="559"/>
      <c r="W277" s="559"/>
      <c r="X277" s="559"/>
      <c r="Y277" s="559"/>
      <c r="Z277" s="559"/>
      <c r="AA277" s="559"/>
      <c r="AB277" s="559"/>
      <c r="AC277" s="559"/>
      <c r="AD277" s="559"/>
      <c r="AE277" s="559"/>
      <c r="AF277" s="559"/>
      <c r="AG277" s="559"/>
    </row>
    <row r="278" spans="1:33" ht="18" customHeight="1" x14ac:dyDescent="0.35">
      <c r="A278" s="559"/>
      <c r="B278" s="559"/>
      <c r="C278" s="559"/>
      <c r="D278" s="559"/>
      <c r="E278" s="559"/>
      <c r="F278" s="559"/>
      <c r="G278" s="559"/>
      <c r="H278" s="559"/>
      <c r="I278" s="559"/>
      <c r="J278" s="559"/>
      <c r="K278" s="559"/>
      <c r="L278" s="559"/>
      <c r="M278" s="559"/>
      <c r="N278" s="559"/>
      <c r="O278" s="559"/>
      <c r="P278" s="559"/>
      <c r="Q278" s="559"/>
      <c r="R278" s="559"/>
      <c r="S278" s="559"/>
      <c r="T278" s="559"/>
      <c r="U278" s="559"/>
      <c r="V278" s="559"/>
      <c r="W278" s="559"/>
      <c r="X278" s="559"/>
      <c r="Y278" s="559"/>
      <c r="Z278" s="559"/>
      <c r="AA278" s="559"/>
      <c r="AB278" s="559"/>
      <c r="AC278" s="559"/>
      <c r="AD278" s="559"/>
      <c r="AE278" s="559"/>
      <c r="AF278" s="559"/>
      <c r="AG278" s="559"/>
    </row>
    <row r="279" spans="1:33" ht="18" customHeight="1" x14ac:dyDescent="0.35">
      <c r="A279" s="559"/>
      <c r="B279" s="559"/>
      <c r="C279" s="559"/>
      <c r="D279" s="559"/>
      <c r="E279" s="559"/>
      <c r="F279" s="559"/>
      <c r="G279" s="559"/>
      <c r="H279" s="559"/>
      <c r="I279" s="559"/>
      <c r="J279" s="559"/>
      <c r="K279" s="559"/>
      <c r="L279" s="559"/>
      <c r="M279" s="559"/>
      <c r="N279" s="559"/>
      <c r="O279" s="559"/>
      <c r="P279" s="559"/>
      <c r="Q279" s="559"/>
      <c r="R279" s="559"/>
      <c r="S279" s="559"/>
      <c r="T279" s="559"/>
      <c r="U279" s="559"/>
      <c r="V279" s="559"/>
      <c r="W279" s="559"/>
      <c r="X279" s="559"/>
      <c r="Y279" s="559"/>
      <c r="Z279" s="559"/>
      <c r="AA279" s="559"/>
      <c r="AB279" s="559"/>
      <c r="AC279" s="559"/>
      <c r="AD279" s="559"/>
      <c r="AE279" s="559"/>
      <c r="AF279" s="559"/>
      <c r="AG279" s="559"/>
    </row>
    <row r="280" spans="1:33" ht="18" customHeight="1" x14ac:dyDescent="0.35">
      <c r="A280" s="559"/>
      <c r="B280" s="559"/>
      <c r="C280" s="559"/>
      <c r="D280" s="559"/>
      <c r="E280" s="559"/>
      <c r="F280" s="559"/>
      <c r="G280" s="559"/>
      <c r="H280" s="559"/>
      <c r="I280" s="559"/>
      <c r="J280" s="559"/>
      <c r="K280" s="559"/>
      <c r="L280" s="559"/>
      <c r="M280" s="559"/>
      <c r="N280" s="559"/>
      <c r="O280" s="559"/>
      <c r="P280" s="559"/>
      <c r="Q280" s="559"/>
      <c r="R280" s="559"/>
      <c r="S280" s="559"/>
      <c r="T280" s="559"/>
      <c r="U280" s="559"/>
      <c r="V280" s="559"/>
      <c r="W280" s="559"/>
      <c r="X280" s="559"/>
      <c r="Y280" s="559"/>
      <c r="Z280" s="559"/>
      <c r="AA280" s="559"/>
      <c r="AB280" s="559"/>
      <c r="AC280" s="559"/>
      <c r="AD280" s="559"/>
      <c r="AE280" s="559"/>
      <c r="AF280" s="559"/>
      <c r="AG280" s="559"/>
    </row>
    <row r="281" spans="1:33" ht="18" customHeight="1" x14ac:dyDescent="0.35">
      <c r="A281" s="559"/>
      <c r="B281" s="559"/>
      <c r="C281" s="559"/>
      <c r="D281" s="559"/>
      <c r="E281" s="559"/>
      <c r="F281" s="559"/>
      <c r="G281" s="559"/>
      <c r="H281" s="559"/>
      <c r="I281" s="559"/>
      <c r="J281" s="559"/>
      <c r="K281" s="559"/>
      <c r="L281" s="559"/>
      <c r="M281" s="559"/>
      <c r="N281" s="559"/>
      <c r="O281" s="559"/>
      <c r="P281" s="559"/>
      <c r="Q281" s="559"/>
      <c r="R281" s="559"/>
      <c r="S281" s="559"/>
      <c r="T281" s="559"/>
      <c r="U281" s="559"/>
      <c r="V281" s="559"/>
      <c r="W281" s="559"/>
      <c r="X281" s="559"/>
      <c r="Y281" s="559"/>
      <c r="Z281" s="559"/>
      <c r="AA281" s="559"/>
      <c r="AB281" s="559"/>
      <c r="AC281" s="559"/>
      <c r="AD281" s="559"/>
      <c r="AE281" s="559"/>
      <c r="AF281" s="559"/>
      <c r="AG281" s="559"/>
    </row>
    <row r="282" spans="1:33" ht="18" customHeight="1" x14ac:dyDescent="0.35">
      <c r="A282" s="559"/>
      <c r="B282" s="559"/>
      <c r="C282" s="559"/>
      <c r="D282" s="559"/>
      <c r="E282" s="559"/>
      <c r="F282" s="559"/>
      <c r="G282" s="559"/>
      <c r="H282" s="559"/>
      <c r="I282" s="559"/>
      <c r="J282" s="559"/>
      <c r="K282" s="559"/>
      <c r="L282" s="559"/>
      <c r="M282" s="559"/>
      <c r="N282" s="559"/>
      <c r="O282" s="559"/>
      <c r="P282" s="559"/>
      <c r="Q282" s="559"/>
      <c r="R282" s="559"/>
      <c r="S282" s="559"/>
      <c r="T282" s="559"/>
      <c r="U282" s="559"/>
      <c r="V282" s="559"/>
      <c r="W282" s="559"/>
      <c r="X282" s="559"/>
      <c r="Y282" s="559"/>
      <c r="Z282" s="559"/>
      <c r="AA282" s="559"/>
      <c r="AB282" s="559"/>
      <c r="AC282" s="559"/>
      <c r="AD282" s="559"/>
      <c r="AE282" s="559"/>
      <c r="AF282" s="559"/>
      <c r="AG282" s="559"/>
    </row>
    <row r="283" spans="1:33" ht="18" customHeight="1" x14ac:dyDescent="0.35">
      <c r="A283" s="559"/>
      <c r="B283" s="559"/>
      <c r="C283" s="559"/>
      <c r="D283" s="559"/>
      <c r="E283" s="559"/>
      <c r="F283" s="559"/>
      <c r="G283" s="559"/>
      <c r="H283" s="559"/>
      <c r="I283" s="559"/>
      <c r="J283" s="559"/>
      <c r="K283" s="559"/>
      <c r="L283" s="559"/>
      <c r="M283" s="559"/>
      <c r="N283" s="559"/>
      <c r="O283" s="559"/>
      <c r="P283" s="559"/>
      <c r="Q283" s="559"/>
      <c r="R283" s="559"/>
      <c r="S283" s="559"/>
      <c r="T283" s="559"/>
      <c r="U283" s="559"/>
      <c r="V283" s="559"/>
      <c r="W283" s="559"/>
      <c r="X283" s="559"/>
      <c r="Y283" s="559"/>
      <c r="Z283" s="559"/>
      <c r="AA283" s="559"/>
      <c r="AB283" s="559"/>
      <c r="AC283" s="559"/>
      <c r="AD283" s="559"/>
      <c r="AE283" s="559"/>
      <c r="AF283" s="559"/>
      <c r="AG283" s="559"/>
    </row>
    <row r="284" spans="1:33" ht="18" customHeight="1" x14ac:dyDescent="0.35">
      <c r="A284" s="559"/>
      <c r="B284" s="559"/>
      <c r="C284" s="559"/>
      <c r="D284" s="559"/>
      <c r="E284" s="559"/>
      <c r="F284" s="559"/>
      <c r="G284" s="559"/>
      <c r="H284" s="559"/>
      <c r="I284" s="559"/>
      <c r="J284" s="559"/>
      <c r="K284" s="559"/>
      <c r="L284" s="559"/>
      <c r="M284" s="559"/>
      <c r="N284" s="559"/>
      <c r="O284" s="559"/>
      <c r="P284" s="559"/>
      <c r="Q284" s="559"/>
      <c r="R284" s="559"/>
      <c r="S284" s="559"/>
      <c r="T284" s="559"/>
      <c r="U284" s="559"/>
      <c r="V284" s="559"/>
      <c r="W284" s="559"/>
      <c r="X284" s="559"/>
      <c r="Y284" s="559"/>
      <c r="Z284" s="559"/>
      <c r="AA284" s="559"/>
      <c r="AB284" s="559"/>
      <c r="AC284" s="559"/>
      <c r="AD284" s="559"/>
      <c r="AE284" s="559"/>
      <c r="AF284" s="559"/>
      <c r="AG284" s="559"/>
    </row>
    <row r="285" spans="1:33" ht="18" customHeight="1" x14ac:dyDescent="0.35">
      <c r="A285" s="559"/>
      <c r="B285" s="559"/>
      <c r="C285" s="559"/>
      <c r="D285" s="559"/>
      <c r="E285" s="559"/>
      <c r="F285" s="559"/>
      <c r="G285" s="559"/>
      <c r="H285" s="559"/>
      <c r="I285" s="559"/>
      <c r="J285" s="559"/>
      <c r="K285" s="559"/>
      <c r="L285" s="559"/>
      <c r="M285" s="559"/>
      <c r="N285" s="559"/>
      <c r="O285" s="559"/>
      <c r="P285" s="559"/>
      <c r="Q285" s="559"/>
      <c r="R285" s="559"/>
      <c r="S285" s="559"/>
      <c r="T285" s="559"/>
      <c r="U285" s="559"/>
      <c r="V285" s="559"/>
      <c r="W285" s="559"/>
      <c r="X285" s="559"/>
      <c r="Y285" s="559"/>
      <c r="Z285" s="559"/>
      <c r="AA285" s="559"/>
      <c r="AB285" s="559"/>
      <c r="AC285" s="559"/>
      <c r="AD285" s="559"/>
      <c r="AE285" s="559"/>
      <c r="AF285" s="559"/>
      <c r="AG285" s="559"/>
    </row>
    <row r="286" spans="1:33" ht="18" customHeight="1" x14ac:dyDescent="0.35">
      <c r="A286" s="559"/>
      <c r="B286" s="559"/>
      <c r="C286" s="559"/>
      <c r="D286" s="559"/>
      <c r="E286" s="559"/>
      <c r="F286" s="559"/>
      <c r="G286" s="559"/>
      <c r="H286" s="559"/>
      <c r="I286" s="559"/>
      <c r="J286" s="559"/>
      <c r="K286" s="559"/>
      <c r="L286" s="559"/>
      <c r="M286" s="559"/>
      <c r="N286" s="559"/>
      <c r="O286" s="559"/>
      <c r="P286" s="559"/>
      <c r="Q286" s="559"/>
      <c r="R286" s="559"/>
      <c r="S286" s="559"/>
      <c r="T286" s="559"/>
      <c r="U286" s="559"/>
      <c r="V286" s="559"/>
      <c r="W286" s="559"/>
      <c r="X286" s="559"/>
      <c r="Y286" s="559"/>
      <c r="Z286" s="559"/>
      <c r="AA286" s="559"/>
      <c r="AB286" s="559"/>
      <c r="AC286" s="559"/>
      <c r="AD286" s="559"/>
      <c r="AE286" s="559"/>
      <c r="AF286" s="559"/>
      <c r="AG286" s="559"/>
    </row>
    <row r="287" spans="1:33" ht="18" customHeight="1" x14ac:dyDescent="0.35">
      <c r="A287" s="559"/>
      <c r="B287" s="559"/>
      <c r="C287" s="559"/>
      <c r="D287" s="559"/>
      <c r="E287" s="559"/>
      <c r="F287" s="559"/>
      <c r="G287" s="559"/>
      <c r="H287" s="559"/>
      <c r="I287" s="559"/>
      <c r="J287" s="559"/>
      <c r="K287" s="559"/>
      <c r="L287" s="559"/>
      <c r="M287" s="559"/>
      <c r="N287" s="559"/>
      <c r="O287" s="559"/>
      <c r="P287" s="559"/>
      <c r="Q287" s="559"/>
      <c r="R287" s="559"/>
      <c r="S287" s="559"/>
      <c r="T287" s="559"/>
      <c r="U287" s="559"/>
      <c r="V287" s="559"/>
      <c r="W287" s="559"/>
      <c r="X287" s="559"/>
      <c r="Y287" s="559"/>
      <c r="Z287" s="559"/>
      <c r="AA287" s="559"/>
      <c r="AB287" s="559"/>
      <c r="AC287" s="559"/>
      <c r="AD287" s="559"/>
      <c r="AE287" s="559"/>
      <c r="AF287" s="559"/>
      <c r="AG287" s="559"/>
    </row>
    <row r="288" spans="1:33" ht="18" customHeight="1" x14ac:dyDescent="0.35">
      <c r="A288" s="559"/>
      <c r="B288" s="559"/>
      <c r="C288" s="559"/>
      <c r="D288" s="559"/>
      <c r="E288" s="559"/>
      <c r="F288" s="559"/>
      <c r="G288" s="559"/>
      <c r="H288" s="559"/>
      <c r="I288" s="559"/>
      <c r="J288" s="559"/>
      <c r="K288" s="559"/>
      <c r="L288" s="559"/>
      <c r="M288" s="559"/>
      <c r="N288" s="559"/>
      <c r="O288" s="559"/>
      <c r="P288" s="559"/>
      <c r="Q288" s="559"/>
      <c r="R288" s="559"/>
      <c r="S288" s="559"/>
      <c r="T288" s="559"/>
      <c r="U288" s="559"/>
      <c r="V288" s="559"/>
      <c r="W288" s="559"/>
      <c r="X288" s="559"/>
      <c r="Y288" s="559"/>
      <c r="Z288" s="559"/>
      <c r="AA288" s="559"/>
      <c r="AB288" s="559"/>
      <c r="AC288" s="559"/>
      <c r="AD288" s="559"/>
      <c r="AE288" s="559"/>
      <c r="AF288" s="559"/>
      <c r="AG288" s="559"/>
    </row>
    <row r="289" spans="1:33" ht="18" customHeight="1" x14ac:dyDescent="0.35">
      <c r="A289" s="559"/>
      <c r="B289" s="559"/>
      <c r="C289" s="559"/>
      <c r="D289" s="559"/>
      <c r="E289" s="559"/>
      <c r="F289" s="559"/>
      <c r="G289" s="559"/>
      <c r="H289" s="559"/>
      <c r="I289" s="559"/>
      <c r="J289" s="559"/>
      <c r="K289" s="559"/>
      <c r="L289" s="559"/>
      <c r="M289" s="559"/>
      <c r="N289" s="559"/>
      <c r="O289" s="559"/>
      <c r="P289" s="559"/>
      <c r="Q289" s="559"/>
      <c r="R289" s="559"/>
      <c r="S289" s="559"/>
      <c r="T289" s="559"/>
      <c r="U289" s="559"/>
      <c r="V289" s="559"/>
      <c r="W289" s="559"/>
      <c r="X289" s="559"/>
      <c r="Y289" s="559"/>
      <c r="Z289" s="559"/>
      <c r="AA289" s="559"/>
      <c r="AB289" s="559"/>
      <c r="AC289" s="559"/>
      <c r="AD289" s="559"/>
      <c r="AE289" s="559"/>
      <c r="AF289" s="559"/>
      <c r="AG289" s="559"/>
    </row>
    <row r="290" spans="1:33" ht="18" customHeight="1" x14ac:dyDescent="0.35">
      <c r="A290" s="559"/>
      <c r="B290" s="559"/>
      <c r="C290" s="559"/>
      <c r="D290" s="559"/>
      <c r="E290" s="559"/>
      <c r="F290" s="559"/>
      <c r="G290" s="559"/>
      <c r="H290" s="559"/>
      <c r="I290" s="559"/>
      <c r="J290" s="559"/>
      <c r="K290" s="559"/>
      <c r="L290" s="559"/>
      <c r="M290" s="559"/>
      <c r="N290" s="559"/>
      <c r="O290" s="559"/>
      <c r="P290" s="559"/>
      <c r="Q290" s="559"/>
      <c r="R290" s="559"/>
      <c r="S290" s="559"/>
      <c r="T290" s="559"/>
      <c r="U290" s="559"/>
      <c r="V290" s="559"/>
      <c r="W290" s="559"/>
      <c r="X290" s="559"/>
      <c r="Y290" s="559"/>
      <c r="Z290" s="559"/>
      <c r="AA290" s="559"/>
      <c r="AB290" s="559"/>
      <c r="AC290" s="559"/>
      <c r="AD290" s="559"/>
      <c r="AE290" s="559"/>
      <c r="AF290" s="559"/>
      <c r="AG290" s="559"/>
    </row>
    <row r="291" spans="1:33" ht="18" customHeight="1" x14ac:dyDescent="0.35">
      <c r="A291" s="559"/>
      <c r="B291" s="559"/>
      <c r="C291" s="559"/>
      <c r="D291" s="559"/>
      <c r="E291" s="559"/>
      <c r="F291" s="559"/>
      <c r="G291" s="559"/>
      <c r="H291" s="559"/>
      <c r="I291" s="559"/>
      <c r="J291" s="559"/>
      <c r="K291" s="559"/>
      <c r="L291" s="559"/>
      <c r="M291" s="559"/>
      <c r="N291" s="559"/>
      <c r="O291" s="559"/>
      <c r="P291" s="559"/>
      <c r="Q291" s="559"/>
      <c r="R291" s="559"/>
      <c r="S291" s="559"/>
      <c r="T291" s="559"/>
      <c r="U291" s="559"/>
      <c r="V291" s="559"/>
      <c r="W291" s="559"/>
      <c r="X291" s="559"/>
      <c r="Y291" s="559"/>
      <c r="Z291" s="559"/>
      <c r="AA291" s="559"/>
      <c r="AB291" s="559"/>
      <c r="AC291" s="559"/>
      <c r="AD291" s="559"/>
      <c r="AE291" s="559"/>
      <c r="AF291" s="559"/>
      <c r="AG291" s="559"/>
    </row>
    <row r="292" spans="1:33" ht="18" customHeight="1" x14ac:dyDescent="0.35">
      <c r="A292" s="559"/>
      <c r="B292" s="559"/>
      <c r="C292" s="559"/>
      <c r="D292" s="559"/>
      <c r="E292" s="559"/>
      <c r="F292" s="559"/>
      <c r="G292" s="559"/>
      <c r="H292" s="559"/>
      <c r="I292" s="559"/>
      <c r="J292" s="559"/>
      <c r="K292" s="559"/>
      <c r="L292" s="559"/>
      <c r="M292" s="559"/>
      <c r="N292" s="559"/>
      <c r="O292" s="559"/>
      <c r="P292" s="559"/>
      <c r="Q292" s="559"/>
      <c r="R292" s="559"/>
      <c r="S292" s="559"/>
      <c r="T292" s="559"/>
      <c r="U292" s="559"/>
      <c r="V292" s="559"/>
      <c r="W292" s="559"/>
      <c r="X292" s="559"/>
      <c r="Y292" s="559"/>
      <c r="Z292" s="559"/>
      <c r="AA292" s="559"/>
      <c r="AB292" s="559"/>
      <c r="AC292" s="559"/>
      <c r="AD292" s="559"/>
      <c r="AE292" s="559"/>
      <c r="AF292" s="559"/>
      <c r="AG292" s="559"/>
    </row>
    <row r="293" spans="1:33" ht="18" customHeight="1" x14ac:dyDescent="0.35">
      <c r="A293" s="559"/>
      <c r="B293" s="559"/>
      <c r="C293" s="559"/>
      <c r="D293" s="559"/>
      <c r="E293" s="559"/>
      <c r="F293" s="559"/>
      <c r="G293" s="559"/>
      <c r="H293" s="559"/>
      <c r="I293" s="559"/>
      <c r="J293" s="559"/>
      <c r="K293" s="559"/>
      <c r="L293" s="559"/>
      <c r="M293" s="559"/>
      <c r="N293" s="559"/>
      <c r="O293" s="559"/>
      <c r="P293" s="559"/>
      <c r="Q293" s="559"/>
      <c r="R293" s="559"/>
      <c r="S293" s="559"/>
      <c r="T293" s="559"/>
      <c r="U293" s="559"/>
      <c r="V293" s="559"/>
      <c r="W293" s="559"/>
      <c r="X293" s="559"/>
      <c r="Y293" s="559"/>
      <c r="Z293" s="559"/>
      <c r="AA293" s="559"/>
      <c r="AB293" s="559"/>
      <c r="AC293" s="559"/>
      <c r="AD293" s="559"/>
      <c r="AE293" s="559"/>
      <c r="AF293" s="559"/>
      <c r="AG293" s="559"/>
    </row>
    <row r="294" spans="1:33" ht="18" customHeight="1" x14ac:dyDescent="0.35">
      <c r="A294" s="559"/>
      <c r="B294" s="559"/>
      <c r="C294" s="559"/>
      <c r="D294" s="559"/>
      <c r="E294" s="559"/>
      <c r="F294" s="559"/>
      <c r="G294" s="559"/>
      <c r="H294" s="559"/>
      <c r="I294" s="559"/>
      <c r="J294" s="559"/>
      <c r="K294" s="559"/>
      <c r="L294" s="559"/>
      <c r="M294" s="559"/>
      <c r="N294" s="559"/>
      <c r="O294" s="559"/>
      <c r="P294" s="559"/>
      <c r="Q294" s="559"/>
      <c r="R294" s="559"/>
      <c r="S294" s="559"/>
      <c r="T294" s="559"/>
      <c r="U294" s="559"/>
      <c r="V294" s="559"/>
      <c r="W294" s="559"/>
      <c r="X294" s="559"/>
      <c r="Y294" s="559"/>
      <c r="Z294" s="559"/>
      <c r="AA294" s="559"/>
      <c r="AB294" s="559"/>
      <c r="AC294" s="559"/>
      <c r="AD294" s="559"/>
      <c r="AE294" s="559"/>
      <c r="AF294" s="559"/>
      <c r="AG294" s="559"/>
    </row>
    <row r="295" spans="1:33" ht="18" customHeight="1" x14ac:dyDescent="0.35">
      <c r="A295" s="559"/>
      <c r="B295" s="559"/>
      <c r="C295" s="559"/>
      <c r="D295" s="559"/>
      <c r="E295" s="559"/>
      <c r="F295" s="559"/>
      <c r="G295" s="559"/>
      <c r="H295" s="559"/>
      <c r="I295" s="559"/>
      <c r="J295" s="559"/>
      <c r="K295" s="559"/>
      <c r="L295" s="559"/>
      <c r="M295" s="559"/>
      <c r="N295" s="559"/>
      <c r="O295" s="559"/>
      <c r="P295" s="559"/>
      <c r="Q295" s="559"/>
      <c r="R295" s="559"/>
      <c r="S295" s="559"/>
      <c r="T295" s="559"/>
      <c r="U295" s="559"/>
      <c r="V295" s="559"/>
      <c r="W295" s="559"/>
      <c r="X295" s="559"/>
      <c r="Y295" s="559"/>
      <c r="Z295" s="559"/>
      <c r="AA295" s="559"/>
      <c r="AB295" s="559"/>
      <c r="AC295" s="559"/>
      <c r="AD295" s="559"/>
      <c r="AE295" s="559"/>
      <c r="AF295" s="559"/>
      <c r="AG295" s="559"/>
    </row>
    <row r="296" spans="1:33" ht="18" customHeight="1" x14ac:dyDescent="0.35">
      <c r="A296" s="559"/>
      <c r="B296" s="559"/>
      <c r="C296" s="559"/>
      <c r="D296" s="559"/>
      <c r="E296" s="559"/>
      <c r="F296" s="559"/>
      <c r="G296" s="559"/>
      <c r="H296" s="559"/>
      <c r="I296" s="559"/>
      <c r="J296" s="559"/>
      <c r="K296" s="559"/>
      <c r="L296" s="559"/>
      <c r="M296" s="559"/>
      <c r="N296" s="559"/>
      <c r="O296" s="559"/>
      <c r="P296" s="559"/>
      <c r="Q296" s="559"/>
      <c r="R296" s="559"/>
      <c r="S296" s="559"/>
      <c r="T296" s="559"/>
      <c r="U296" s="559"/>
      <c r="V296" s="559"/>
      <c r="W296" s="559"/>
      <c r="X296" s="559"/>
      <c r="Y296" s="559"/>
      <c r="Z296" s="559"/>
      <c r="AA296" s="559"/>
      <c r="AB296" s="559"/>
      <c r="AC296" s="559"/>
      <c r="AD296" s="559"/>
      <c r="AE296" s="559"/>
      <c r="AF296" s="559"/>
      <c r="AG296" s="559"/>
    </row>
    <row r="297" spans="1:33" ht="18" customHeight="1" x14ac:dyDescent="0.35">
      <c r="A297" s="559"/>
      <c r="B297" s="559"/>
      <c r="C297" s="559"/>
      <c r="D297" s="559"/>
      <c r="E297" s="559"/>
      <c r="F297" s="559"/>
      <c r="G297" s="559"/>
      <c r="H297" s="559"/>
      <c r="I297" s="559"/>
      <c r="J297" s="559"/>
      <c r="K297" s="559"/>
      <c r="L297" s="559"/>
      <c r="M297" s="559"/>
      <c r="N297" s="559"/>
      <c r="O297" s="559"/>
      <c r="P297" s="559"/>
      <c r="Q297" s="559"/>
      <c r="R297" s="559"/>
      <c r="S297" s="559"/>
      <c r="T297" s="559"/>
      <c r="U297" s="559"/>
      <c r="V297" s="559"/>
      <c r="W297" s="559"/>
      <c r="X297" s="559"/>
      <c r="Y297" s="559"/>
      <c r="Z297" s="559"/>
      <c r="AA297" s="559"/>
      <c r="AB297" s="559"/>
      <c r="AC297" s="559"/>
      <c r="AD297" s="559"/>
      <c r="AE297" s="559"/>
      <c r="AF297" s="559"/>
      <c r="AG297" s="559"/>
    </row>
    <row r="298" spans="1:33" ht="18" customHeight="1" x14ac:dyDescent="0.35">
      <c r="A298" s="559"/>
      <c r="B298" s="559"/>
      <c r="C298" s="559"/>
      <c r="D298" s="559"/>
      <c r="E298" s="559"/>
      <c r="F298" s="559"/>
      <c r="G298" s="559"/>
      <c r="H298" s="559"/>
      <c r="I298" s="559"/>
      <c r="J298" s="559"/>
      <c r="K298" s="559"/>
      <c r="L298" s="559"/>
      <c r="M298" s="559"/>
      <c r="N298" s="559"/>
      <c r="O298" s="559"/>
      <c r="P298" s="559"/>
      <c r="Q298" s="559"/>
      <c r="R298" s="559"/>
      <c r="S298" s="559"/>
      <c r="T298" s="559"/>
      <c r="U298" s="559"/>
      <c r="V298" s="559"/>
      <c r="W298" s="559"/>
      <c r="X298" s="559"/>
      <c r="Y298" s="559"/>
      <c r="Z298" s="559"/>
      <c r="AA298" s="559"/>
      <c r="AB298" s="559"/>
      <c r="AC298" s="559"/>
      <c r="AD298" s="559"/>
      <c r="AE298" s="559"/>
      <c r="AF298" s="559"/>
      <c r="AG298" s="559"/>
    </row>
    <row r="299" spans="1:33" ht="18" customHeight="1" x14ac:dyDescent="0.35">
      <c r="A299" s="559"/>
      <c r="B299" s="559"/>
      <c r="C299" s="559"/>
      <c r="D299" s="559"/>
      <c r="E299" s="559"/>
      <c r="F299" s="559"/>
      <c r="G299" s="559"/>
      <c r="H299" s="559"/>
      <c r="I299" s="559"/>
      <c r="J299" s="559"/>
      <c r="K299" s="559"/>
      <c r="L299" s="559"/>
      <c r="M299" s="559"/>
      <c r="N299" s="559"/>
      <c r="O299" s="559"/>
      <c r="P299" s="559"/>
      <c r="Q299" s="559"/>
      <c r="R299" s="559"/>
      <c r="S299" s="559"/>
      <c r="T299" s="559"/>
      <c r="U299" s="559"/>
      <c r="V299" s="559"/>
      <c r="W299" s="559"/>
      <c r="X299" s="559"/>
      <c r="Y299" s="559"/>
      <c r="Z299" s="559"/>
      <c r="AA299" s="559"/>
      <c r="AB299" s="559"/>
      <c r="AC299" s="559"/>
      <c r="AD299" s="559"/>
      <c r="AE299" s="559"/>
      <c r="AF299" s="559"/>
      <c r="AG299" s="559"/>
    </row>
    <row r="300" spans="1:33" ht="18" customHeight="1" x14ac:dyDescent="0.35">
      <c r="A300" s="559"/>
      <c r="B300" s="559"/>
      <c r="C300" s="559"/>
      <c r="D300" s="559"/>
      <c r="E300" s="559"/>
      <c r="F300" s="559"/>
      <c r="G300" s="559"/>
      <c r="H300" s="559"/>
      <c r="I300" s="559"/>
      <c r="J300" s="559"/>
      <c r="K300" s="559"/>
      <c r="L300" s="559"/>
      <c r="M300" s="559"/>
      <c r="N300" s="559"/>
      <c r="O300" s="559"/>
      <c r="P300" s="559"/>
      <c r="Q300" s="559"/>
      <c r="R300" s="559"/>
      <c r="S300" s="559"/>
      <c r="T300" s="559"/>
      <c r="U300" s="559"/>
      <c r="V300" s="559"/>
      <c r="W300" s="559"/>
      <c r="X300" s="559"/>
      <c r="Y300" s="559"/>
      <c r="Z300" s="559"/>
      <c r="AA300" s="559"/>
      <c r="AB300" s="559"/>
      <c r="AC300" s="559"/>
      <c r="AD300" s="559"/>
      <c r="AE300" s="559"/>
      <c r="AF300" s="559"/>
      <c r="AG300" s="559"/>
    </row>
    <row r="301" spans="1:33" ht="18" customHeight="1" x14ac:dyDescent="0.35">
      <c r="A301" s="559"/>
      <c r="B301" s="559"/>
      <c r="C301" s="559"/>
      <c r="D301" s="559"/>
      <c r="E301" s="559"/>
      <c r="F301" s="559"/>
      <c r="G301" s="559"/>
      <c r="H301" s="559"/>
      <c r="I301" s="559"/>
      <c r="J301" s="559"/>
      <c r="K301" s="559"/>
      <c r="L301" s="559"/>
      <c r="M301" s="559"/>
      <c r="N301" s="559"/>
      <c r="O301" s="559"/>
      <c r="P301" s="559"/>
      <c r="Q301" s="559"/>
      <c r="R301" s="559"/>
      <c r="S301" s="559"/>
      <c r="T301" s="559"/>
      <c r="U301" s="559"/>
      <c r="V301" s="559"/>
      <c r="W301" s="559"/>
      <c r="X301" s="559"/>
      <c r="Y301" s="559"/>
      <c r="Z301" s="559"/>
      <c r="AA301" s="559"/>
      <c r="AB301" s="559"/>
      <c r="AC301" s="559"/>
      <c r="AD301" s="559"/>
      <c r="AE301" s="559"/>
      <c r="AF301" s="559"/>
      <c r="AG301" s="559"/>
    </row>
    <row r="302" spans="1:33" ht="18" customHeight="1" x14ac:dyDescent="0.35">
      <c r="A302" s="559"/>
      <c r="B302" s="559"/>
      <c r="C302" s="559"/>
      <c r="D302" s="559"/>
      <c r="E302" s="559"/>
      <c r="F302" s="559"/>
      <c r="G302" s="559"/>
      <c r="H302" s="559"/>
      <c r="I302" s="559"/>
      <c r="J302" s="559"/>
      <c r="K302" s="559"/>
      <c r="L302" s="559"/>
      <c r="M302" s="559"/>
      <c r="N302" s="559"/>
      <c r="O302" s="559"/>
      <c r="P302" s="559"/>
      <c r="Q302" s="559"/>
      <c r="R302" s="559"/>
      <c r="S302" s="559"/>
      <c r="T302" s="559"/>
      <c r="U302" s="559"/>
      <c r="V302" s="559"/>
      <c r="W302" s="559"/>
      <c r="X302" s="559"/>
      <c r="Y302" s="559"/>
      <c r="Z302" s="559"/>
      <c r="AA302" s="559"/>
      <c r="AB302" s="559"/>
      <c r="AC302" s="559"/>
      <c r="AD302" s="559"/>
      <c r="AE302" s="559"/>
      <c r="AF302" s="559"/>
      <c r="AG302" s="559"/>
    </row>
    <row r="303" spans="1:33" ht="18" customHeight="1" x14ac:dyDescent="0.35">
      <c r="A303" s="559"/>
      <c r="B303" s="559"/>
      <c r="C303" s="559"/>
      <c r="D303" s="559"/>
      <c r="E303" s="559"/>
      <c r="F303" s="559"/>
      <c r="G303" s="559"/>
      <c r="H303" s="559"/>
      <c r="I303" s="559"/>
      <c r="J303" s="559"/>
      <c r="K303" s="559"/>
      <c r="L303" s="559"/>
      <c r="M303" s="559"/>
      <c r="N303" s="559"/>
      <c r="O303" s="559"/>
      <c r="P303" s="559"/>
      <c r="Q303" s="559"/>
      <c r="R303" s="559"/>
      <c r="S303" s="559"/>
      <c r="T303" s="559"/>
      <c r="U303" s="559"/>
      <c r="V303" s="559"/>
      <c r="W303" s="559"/>
      <c r="X303" s="559"/>
      <c r="Y303" s="559"/>
      <c r="Z303" s="559"/>
      <c r="AA303" s="559"/>
      <c r="AB303" s="559"/>
      <c r="AC303" s="559"/>
      <c r="AD303" s="559"/>
      <c r="AE303" s="559"/>
      <c r="AF303" s="559"/>
      <c r="AG303" s="559"/>
    </row>
    <row r="304" spans="1:33" ht="18" customHeight="1" x14ac:dyDescent="0.35">
      <c r="A304" s="559"/>
      <c r="B304" s="559"/>
      <c r="C304" s="559"/>
      <c r="D304" s="559"/>
      <c r="E304" s="559"/>
      <c r="F304" s="559"/>
      <c r="G304" s="559"/>
      <c r="H304" s="559"/>
      <c r="I304" s="559"/>
      <c r="J304" s="559"/>
      <c r="K304" s="559"/>
      <c r="L304" s="559"/>
      <c r="M304" s="559"/>
      <c r="N304" s="559"/>
      <c r="O304" s="559"/>
      <c r="P304" s="559"/>
      <c r="Q304" s="559"/>
      <c r="R304" s="559"/>
      <c r="S304" s="559"/>
      <c r="T304" s="559"/>
      <c r="U304" s="559"/>
      <c r="V304" s="559"/>
      <c r="W304" s="559"/>
      <c r="X304" s="559"/>
      <c r="Y304" s="559"/>
      <c r="Z304" s="559"/>
      <c r="AA304" s="559"/>
      <c r="AB304" s="559"/>
      <c r="AC304" s="559"/>
      <c r="AD304" s="559"/>
      <c r="AE304" s="559"/>
      <c r="AF304" s="559"/>
      <c r="AG304" s="559"/>
    </row>
    <row r="305" spans="1:33" ht="18" customHeight="1" x14ac:dyDescent="0.35">
      <c r="A305" s="559"/>
      <c r="B305" s="559"/>
      <c r="C305" s="559"/>
      <c r="D305" s="559"/>
      <c r="E305" s="559"/>
      <c r="F305" s="559"/>
      <c r="G305" s="559"/>
      <c r="H305" s="559"/>
      <c r="I305" s="559"/>
      <c r="J305" s="559"/>
      <c r="K305" s="559"/>
      <c r="L305" s="559"/>
      <c r="M305" s="559"/>
      <c r="N305" s="559"/>
      <c r="O305" s="559"/>
      <c r="P305" s="559"/>
      <c r="Q305" s="559"/>
      <c r="R305" s="559"/>
      <c r="S305" s="559"/>
      <c r="T305" s="559"/>
      <c r="U305" s="559"/>
      <c r="V305" s="559"/>
      <c r="W305" s="559"/>
      <c r="X305" s="559"/>
      <c r="Y305" s="559"/>
      <c r="Z305" s="559"/>
      <c r="AA305" s="559"/>
      <c r="AB305" s="559"/>
      <c r="AC305" s="559"/>
      <c r="AD305" s="559"/>
      <c r="AE305" s="559"/>
      <c r="AF305" s="559"/>
      <c r="AG305" s="559"/>
    </row>
    <row r="306" spans="1:33" ht="18" customHeight="1" x14ac:dyDescent="0.35">
      <c r="A306" s="559"/>
      <c r="B306" s="559"/>
      <c r="C306" s="559"/>
      <c r="D306" s="559"/>
      <c r="E306" s="559"/>
      <c r="F306" s="559"/>
      <c r="G306" s="559"/>
      <c r="H306" s="559"/>
      <c r="I306" s="559"/>
      <c r="J306" s="559"/>
      <c r="K306" s="559"/>
      <c r="L306" s="559"/>
      <c r="M306" s="559"/>
      <c r="N306" s="559"/>
      <c r="O306" s="559"/>
      <c r="P306" s="559"/>
      <c r="Q306" s="559"/>
      <c r="R306" s="559"/>
      <c r="S306" s="559"/>
      <c r="T306" s="559"/>
      <c r="U306" s="559"/>
      <c r="V306" s="559"/>
      <c r="W306" s="559"/>
      <c r="X306" s="559"/>
      <c r="Y306" s="559"/>
      <c r="Z306" s="559"/>
      <c r="AA306" s="559"/>
      <c r="AB306" s="559"/>
      <c r="AC306" s="559"/>
      <c r="AD306" s="559"/>
      <c r="AE306" s="559"/>
      <c r="AF306" s="559"/>
      <c r="AG306" s="559"/>
    </row>
    <row r="307" spans="1:33" ht="18" customHeight="1" x14ac:dyDescent="0.35">
      <c r="A307" s="559"/>
      <c r="B307" s="559"/>
      <c r="C307" s="559"/>
      <c r="D307" s="559"/>
      <c r="E307" s="559"/>
      <c r="F307" s="559"/>
      <c r="G307" s="559"/>
      <c r="H307" s="559"/>
      <c r="I307" s="559"/>
      <c r="J307" s="559"/>
      <c r="K307" s="559"/>
      <c r="L307" s="559"/>
      <c r="M307" s="559"/>
      <c r="N307" s="559"/>
      <c r="O307" s="559"/>
      <c r="P307" s="559"/>
      <c r="Q307" s="559"/>
      <c r="R307" s="559"/>
      <c r="S307" s="559"/>
      <c r="T307" s="559"/>
      <c r="U307" s="559"/>
      <c r="V307" s="559"/>
      <c r="W307" s="559"/>
      <c r="X307" s="559"/>
      <c r="Y307" s="559"/>
      <c r="Z307" s="559"/>
      <c r="AA307" s="559"/>
      <c r="AB307" s="559"/>
      <c r="AC307" s="559"/>
      <c r="AD307" s="559"/>
      <c r="AE307" s="559"/>
      <c r="AF307" s="559"/>
      <c r="AG307" s="559"/>
    </row>
    <row r="308" spans="1:33" ht="18" customHeight="1" x14ac:dyDescent="0.35">
      <c r="A308" s="559"/>
      <c r="B308" s="559"/>
      <c r="C308" s="559"/>
      <c r="D308" s="559"/>
      <c r="E308" s="559"/>
      <c r="F308" s="559"/>
      <c r="G308" s="559"/>
      <c r="H308" s="559"/>
      <c r="I308" s="559"/>
      <c r="J308" s="559"/>
      <c r="K308" s="559"/>
      <c r="L308" s="559"/>
      <c r="M308" s="559"/>
      <c r="N308" s="559"/>
      <c r="O308" s="559"/>
      <c r="P308" s="559"/>
      <c r="Q308" s="559"/>
      <c r="R308" s="559"/>
      <c r="S308" s="559"/>
      <c r="T308" s="559"/>
      <c r="U308" s="559"/>
      <c r="V308" s="559"/>
      <c r="W308" s="559"/>
      <c r="X308" s="559"/>
      <c r="Y308" s="559"/>
      <c r="Z308" s="559"/>
      <c r="AA308" s="559"/>
      <c r="AB308" s="559"/>
      <c r="AC308" s="559"/>
      <c r="AD308" s="559"/>
      <c r="AE308" s="559"/>
      <c r="AF308" s="559"/>
      <c r="AG308" s="559"/>
    </row>
    <row r="309" spans="1:33" ht="18" customHeight="1" x14ac:dyDescent="0.35">
      <c r="A309" s="559"/>
      <c r="B309" s="559"/>
      <c r="C309" s="559"/>
      <c r="D309" s="559"/>
      <c r="E309" s="559"/>
      <c r="F309" s="559"/>
      <c r="G309" s="559"/>
      <c r="H309" s="559"/>
      <c r="I309" s="559"/>
      <c r="J309" s="559"/>
      <c r="K309" s="559"/>
      <c r="L309" s="559"/>
      <c r="M309" s="559"/>
      <c r="N309" s="559"/>
      <c r="O309" s="559"/>
      <c r="P309" s="559"/>
      <c r="Q309" s="559"/>
      <c r="R309" s="559"/>
      <c r="S309" s="559"/>
      <c r="T309" s="559"/>
      <c r="U309" s="559"/>
      <c r="V309" s="559"/>
      <c r="W309" s="559"/>
      <c r="X309" s="559"/>
      <c r="Y309" s="559"/>
      <c r="Z309" s="559"/>
      <c r="AA309" s="559"/>
      <c r="AB309" s="559"/>
      <c r="AC309" s="559"/>
      <c r="AD309" s="559"/>
      <c r="AE309" s="559"/>
      <c r="AF309" s="559"/>
      <c r="AG309" s="559"/>
    </row>
    <row r="310" spans="1:33" ht="18" customHeight="1" x14ac:dyDescent="0.35">
      <c r="A310" s="559"/>
      <c r="B310" s="559"/>
      <c r="C310" s="559"/>
      <c r="D310" s="559"/>
      <c r="E310" s="559"/>
      <c r="F310" s="559"/>
      <c r="G310" s="559"/>
      <c r="H310" s="559"/>
      <c r="I310" s="559"/>
      <c r="J310" s="559"/>
      <c r="K310" s="559"/>
      <c r="L310" s="559"/>
      <c r="M310" s="559"/>
      <c r="N310" s="559"/>
      <c r="O310" s="559"/>
      <c r="P310" s="559"/>
      <c r="Q310" s="559"/>
      <c r="R310" s="559"/>
      <c r="S310" s="559"/>
      <c r="T310" s="559"/>
      <c r="U310" s="559"/>
      <c r="V310" s="559"/>
      <c r="W310" s="559"/>
      <c r="X310" s="559"/>
      <c r="Y310" s="559"/>
      <c r="Z310" s="559"/>
      <c r="AA310" s="559"/>
      <c r="AB310" s="559"/>
      <c r="AC310" s="559"/>
      <c r="AD310" s="559"/>
      <c r="AE310" s="559"/>
      <c r="AF310" s="559"/>
      <c r="AG310" s="559"/>
    </row>
    <row r="311" spans="1:33" ht="18" customHeight="1" x14ac:dyDescent="0.35">
      <c r="A311" s="559"/>
      <c r="B311" s="559"/>
      <c r="C311" s="559"/>
      <c r="D311" s="559"/>
      <c r="E311" s="559"/>
      <c r="F311" s="559"/>
      <c r="G311" s="559"/>
      <c r="H311" s="559"/>
      <c r="I311" s="559"/>
      <c r="J311" s="559"/>
      <c r="K311" s="559"/>
      <c r="L311" s="559"/>
      <c r="M311" s="559"/>
      <c r="N311" s="559"/>
      <c r="O311" s="559"/>
      <c r="P311" s="559"/>
      <c r="Q311" s="559"/>
      <c r="R311" s="559"/>
      <c r="S311" s="559"/>
      <c r="T311" s="559"/>
      <c r="U311" s="559"/>
      <c r="V311" s="559"/>
      <c r="W311" s="559"/>
      <c r="X311" s="559"/>
      <c r="Y311" s="559"/>
      <c r="Z311" s="559"/>
      <c r="AA311" s="559"/>
      <c r="AB311" s="559"/>
      <c r="AC311" s="559"/>
      <c r="AD311" s="559"/>
      <c r="AE311" s="559"/>
      <c r="AF311" s="559"/>
      <c r="AG311" s="559"/>
    </row>
    <row r="312" spans="1:33" ht="18" customHeight="1" x14ac:dyDescent="0.35">
      <c r="A312" s="559"/>
      <c r="B312" s="559"/>
      <c r="C312" s="559"/>
      <c r="D312" s="559"/>
      <c r="E312" s="559"/>
      <c r="F312" s="559"/>
      <c r="G312" s="559"/>
      <c r="H312" s="559"/>
      <c r="I312" s="559"/>
      <c r="J312" s="559"/>
      <c r="K312" s="559"/>
      <c r="L312" s="559"/>
      <c r="M312" s="559"/>
      <c r="N312" s="559"/>
      <c r="O312" s="559"/>
      <c r="P312" s="559"/>
      <c r="Q312" s="559"/>
      <c r="R312" s="559"/>
      <c r="S312" s="559"/>
      <c r="T312" s="559"/>
      <c r="U312" s="559"/>
      <c r="V312" s="559"/>
      <c r="W312" s="559"/>
      <c r="X312" s="559"/>
      <c r="Y312" s="559"/>
      <c r="Z312" s="559"/>
      <c r="AA312" s="559"/>
      <c r="AB312" s="559"/>
      <c r="AC312" s="559"/>
      <c r="AD312" s="559"/>
      <c r="AE312" s="559"/>
      <c r="AF312" s="559"/>
      <c r="AG312" s="559"/>
    </row>
    <row r="313" spans="1:33" ht="18" customHeight="1" x14ac:dyDescent="0.35">
      <c r="A313" s="559"/>
      <c r="B313" s="559"/>
      <c r="C313" s="559"/>
      <c r="D313" s="559"/>
      <c r="E313" s="559"/>
      <c r="F313" s="559"/>
      <c r="G313" s="559"/>
      <c r="H313" s="559"/>
      <c r="I313" s="559"/>
      <c r="J313" s="559"/>
      <c r="K313" s="559"/>
      <c r="L313" s="559"/>
      <c r="M313" s="559"/>
      <c r="N313" s="559"/>
      <c r="O313" s="559"/>
      <c r="P313" s="559"/>
      <c r="Q313" s="559"/>
      <c r="R313" s="559"/>
      <c r="S313" s="559"/>
      <c r="T313" s="559"/>
      <c r="U313" s="559"/>
      <c r="V313" s="559"/>
      <c r="W313" s="559"/>
      <c r="X313" s="559"/>
      <c r="Y313" s="559"/>
      <c r="Z313" s="559"/>
      <c r="AA313" s="559"/>
      <c r="AB313" s="559"/>
      <c r="AC313" s="559"/>
      <c r="AD313" s="559"/>
      <c r="AE313" s="559"/>
      <c r="AF313" s="559"/>
      <c r="AG313" s="559"/>
    </row>
    <row r="314" spans="1:33" ht="18" customHeight="1" x14ac:dyDescent="0.35">
      <c r="A314" s="559"/>
      <c r="B314" s="559"/>
      <c r="C314" s="559"/>
      <c r="D314" s="559"/>
      <c r="E314" s="559"/>
      <c r="F314" s="559"/>
      <c r="G314" s="559"/>
      <c r="H314" s="559"/>
      <c r="I314" s="559"/>
      <c r="J314" s="559"/>
      <c r="K314" s="559"/>
      <c r="L314" s="559"/>
      <c r="M314" s="559"/>
      <c r="N314" s="559"/>
      <c r="O314" s="559"/>
      <c r="P314" s="559"/>
      <c r="Q314" s="559"/>
      <c r="R314" s="559"/>
      <c r="S314" s="559"/>
      <c r="T314" s="559"/>
      <c r="U314" s="559"/>
      <c r="V314" s="559"/>
      <c r="W314" s="559"/>
      <c r="X314" s="559"/>
      <c r="Y314" s="559"/>
      <c r="Z314" s="559"/>
      <c r="AA314" s="559"/>
      <c r="AB314" s="559"/>
      <c r="AC314" s="559"/>
      <c r="AD314" s="559"/>
      <c r="AE314" s="559"/>
      <c r="AF314" s="559"/>
      <c r="AG314" s="559"/>
    </row>
    <row r="315" spans="1:33" ht="18" customHeight="1" x14ac:dyDescent="0.35">
      <c r="A315" s="559"/>
      <c r="B315" s="559"/>
      <c r="C315" s="559"/>
      <c r="D315" s="559"/>
      <c r="E315" s="559"/>
      <c r="F315" s="559"/>
      <c r="G315" s="559"/>
      <c r="H315" s="559"/>
      <c r="I315" s="559"/>
      <c r="J315" s="559"/>
      <c r="K315" s="559"/>
      <c r="L315" s="559"/>
      <c r="M315" s="559"/>
      <c r="N315" s="559"/>
      <c r="O315" s="559"/>
      <c r="P315" s="559"/>
      <c r="Q315" s="559"/>
      <c r="R315" s="559"/>
      <c r="S315" s="559"/>
      <c r="T315" s="559"/>
      <c r="U315" s="559"/>
      <c r="V315" s="559"/>
      <c r="W315" s="559"/>
      <c r="X315" s="559"/>
      <c r="Y315" s="559"/>
      <c r="Z315" s="559"/>
      <c r="AA315" s="559"/>
      <c r="AB315" s="559"/>
      <c r="AC315" s="559"/>
      <c r="AD315" s="559"/>
      <c r="AE315" s="559"/>
      <c r="AF315" s="559"/>
      <c r="AG315" s="559"/>
    </row>
    <row r="316" spans="1:33" ht="18" customHeight="1" x14ac:dyDescent="0.35">
      <c r="A316" s="559"/>
      <c r="B316" s="559"/>
      <c r="C316" s="559"/>
      <c r="D316" s="559"/>
      <c r="E316" s="559"/>
      <c r="F316" s="559"/>
      <c r="G316" s="559"/>
      <c r="H316" s="559"/>
      <c r="I316" s="559"/>
      <c r="J316" s="559"/>
      <c r="K316" s="559"/>
      <c r="L316" s="559"/>
      <c r="M316" s="559"/>
      <c r="N316" s="559"/>
      <c r="O316" s="559"/>
      <c r="P316" s="559"/>
      <c r="Q316" s="559"/>
      <c r="R316" s="559"/>
      <c r="S316" s="559"/>
      <c r="T316" s="559"/>
      <c r="U316" s="559"/>
      <c r="V316" s="559"/>
      <c r="W316" s="559"/>
      <c r="X316" s="559"/>
      <c r="Y316" s="559"/>
      <c r="Z316" s="559"/>
      <c r="AA316" s="559"/>
      <c r="AB316" s="559"/>
      <c r="AC316" s="559"/>
      <c r="AD316" s="559"/>
      <c r="AE316" s="559"/>
      <c r="AF316" s="559"/>
      <c r="AG316" s="559"/>
    </row>
    <row r="317" spans="1:33" ht="18" customHeight="1" x14ac:dyDescent="0.35">
      <c r="A317" s="559"/>
      <c r="B317" s="559"/>
      <c r="C317" s="559"/>
      <c r="D317" s="559"/>
      <c r="E317" s="559"/>
      <c r="F317" s="559"/>
      <c r="G317" s="559"/>
      <c r="H317" s="559"/>
      <c r="I317" s="559"/>
      <c r="J317" s="559"/>
      <c r="K317" s="559"/>
      <c r="L317" s="559"/>
      <c r="M317" s="559"/>
      <c r="N317" s="559"/>
      <c r="O317" s="559"/>
      <c r="P317" s="559"/>
      <c r="Q317" s="559"/>
      <c r="R317" s="559"/>
      <c r="S317" s="559"/>
      <c r="T317" s="559"/>
      <c r="U317" s="559"/>
      <c r="V317" s="559"/>
      <c r="W317" s="559"/>
      <c r="X317" s="559"/>
      <c r="Y317" s="559"/>
      <c r="Z317" s="559"/>
      <c r="AA317" s="559"/>
      <c r="AB317" s="559"/>
      <c r="AC317" s="559"/>
      <c r="AD317" s="559"/>
      <c r="AE317" s="559"/>
      <c r="AF317" s="559"/>
      <c r="AG317" s="559"/>
    </row>
    <row r="318" spans="1:33" ht="18" customHeight="1" x14ac:dyDescent="0.35">
      <c r="A318" s="559"/>
      <c r="B318" s="559"/>
      <c r="C318" s="559"/>
      <c r="D318" s="559"/>
      <c r="E318" s="559"/>
      <c r="F318" s="559"/>
      <c r="G318" s="559"/>
      <c r="H318" s="559"/>
      <c r="I318" s="559"/>
      <c r="J318" s="559"/>
      <c r="K318" s="559"/>
      <c r="L318" s="559"/>
      <c r="M318" s="559"/>
      <c r="N318" s="559"/>
      <c r="O318" s="559"/>
      <c r="P318" s="559"/>
      <c r="Q318" s="559"/>
      <c r="R318" s="559"/>
      <c r="S318" s="559"/>
      <c r="T318" s="559"/>
      <c r="U318" s="559"/>
      <c r="V318" s="559"/>
      <c r="W318" s="559"/>
      <c r="X318" s="559"/>
      <c r="Y318" s="559"/>
      <c r="Z318" s="559"/>
      <c r="AA318" s="559"/>
      <c r="AB318" s="559"/>
      <c r="AC318" s="559"/>
      <c r="AD318" s="559"/>
      <c r="AE318" s="559"/>
      <c r="AF318" s="559"/>
      <c r="AG318" s="559"/>
    </row>
    <row r="319" spans="1:33" ht="18" customHeight="1" x14ac:dyDescent="0.35">
      <c r="A319" s="559"/>
      <c r="B319" s="559"/>
      <c r="C319" s="559"/>
      <c r="D319" s="559"/>
      <c r="E319" s="559"/>
      <c r="F319" s="559"/>
      <c r="G319" s="559"/>
      <c r="H319" s="559"/>
      <c r="I319" s="559"/>
      <c r="J319" s="559"/>
      <c r="K319" s="559"/>
      <c r="L319" s="559"/>
      <c r="M319" s="559"/>
      <c r="N319" s="559"/>
      <c r="O319" s="559"/>
      <c r="P319" s="559"/>
      <c r="Q319" s="559"/>
      <c r="R319" s="559"/>
      <c r="S319" s="559"/>
      <c r="T319" s="559"/>
      <c r="U319" s="559"/>
      <c r="V319" s="559"/>
      <c r="W319" s="559"/>
      <c r="X319" s="559"/>
      <c r="Y319" s="559"/>
      <c r="Z319" s="559"/>
      <c r="AA319" s="559"/>
      <c r="AB319" s="559"/>
      <c r="AC319" s="559"/>
      <c r="AD319" s="559"/>
      <c r="AE319" s="559"/>
      <c r="AF319" s="559"/>
      <c r="AG319" s="559"/>
    </row>
    <row r="320" spans="1:33" ht="18" customHeight="1" x14ac:dyDescent="0.35">
      <c r="A320" s="559"/>
      <c r="B320" s="559"/>
      <c r="C320" s="559"/>
      <c r="D320" s="559"/>
      <c r="E320" s="559"/>
      <c r="F320" s="559"/>
      <c r="G320" s="559"/>
      <c r="H320" s="559"/>
      <c r="I320" s="559"/>
      <c r="J320" s="559"/>
      <c r="K320" s="559"/>
      <c r="L320" s="559"/>
      <c r="M320" s="559"/>
      <c r="N320" s="559"/>
      <c r="O320" s="559"/>
      <c r="P320" s="559"/>
      <c r="Q320" s="559"/>
      <c r="R320" s="559"/>
      <c r="S320" s="559"/>
      <c r="T320" s="559"/>
      <c r="U320" s="559"/>
      <c r="V320" s="559"/>
      <c r="W320" s="559"/>
      <c r="X320" s="559"/>
      <c r="Y320" s="559"/>
      <c r="Z320" s="559"/>
      <c r="AA320" s="559"/>
      <c r="AB320" s="559"/>
      <c r="AC320" s="559"/>
      <c r="AD320" s="559"/>
      <c r="AE320" s="559"/>
      <c r="AF320" s="559"/>
      <c r="AG320" s="559"/>
    </row>
    <row r="321" spans="1:33" ht="18" customHeight="1" x14ac:dyDescent="0.35">
      <c r="A321" s="559"/>
      <c r="B321" s="559"/>
      <c r="C321" s="559"/>
      <c r="D321" s="559"/>
      <c r="E321" s="559"/>
      <c r="F321" s="559"/>
      <c r="G321" s="559"/>
      <c r="H321" s="559"/>
      <c r="I321" s="559"/>
      <c r="J321" s="559"/>
      <c r="K321" s="559"/>
      <c r="L321" s="559"/>
      <c r="M321" s="559"/>
      <c r="N321" s="559"/>
      <c r="O321" s="559"/>
      <c r="P321" s="559"/>
      <c r="Q321" s="559"/>
      <c r="R321" s="559"/>
      <c r="S321" s="559"/>
      <c r="T321" s="559"/>
      <c r="U321" s="559"/>
      <c r="V321" s="559"/>
      <c r="W321" s="559"/>
      <c r="X321" s="559"/>
      <c r="Y321" s="559"/>
      <c r="Z321" s="559"/>
      <c r="AA321" s="559"/>
      <c r="AB321" s="559"/>
      <c r="AC321" s="559"/>
      <c r="AD321" s="559"/>
      <c r="AE321" s="559"/>
      <c r="AF321" s="559"/>
      <c r="AG321" s="559"/>
    </row>
    <row r="322" spans="1:33" ht="18" customHeight="1" x14ac:dyDescent="0.35">
      <c r="A322" s="559"/>
      <c r="B322" s="559"/>
      <c r="C322" s="559"/>
      <c r="D322" s="559"/>
      <c r="E322" s="559"/>
      <c r="F322" s="559"/>
      <c r="G322" s="559"/>
      <c r="H322" s="559"/>
      <c r="I322" s="559"/>
      <c r="J322" s="559"/>
      <c r="K322" s="559"/>
      <c r="L322" s="559"/>
      <c r="M322" s="559"/>
      <c r="N322" s="559"/>
      <c r="O322" s="559"/>
      <c r="P322" s="559"/>
      <c r="Q322" s="559"/>
      <c r="R322" s="559"/>
      <c r="S322" s="559"/>
      <c r="T322" s="559"/>
      <c r="U322" s="559"/>
      <c r="V322" s="559"/>
      <c r="W322" s="559"/>
      <c r="X322" s="559"/>
      <c r="Y322" s="559"/>
      <c r="Z322" s="559"/>
      <c r="AA322" s="559"/>
      <c r="AB322" s="559"/>
      <c r="AC322" s="559"/>
      <c r="AD322" s="559"/>
      <c r="AE322" s="559"/>
      <c r="AF322" s="559"/>
      <c r="AG322" s="559"/>
    </row>
    <row r="323" spans="1:33" ht="18" customHeight="1" x14ac:dyDescent="0.35">
      <c r="A323" s="559"/>
      <c r="B323" s="559"/>
      <c r="C323" s="559"/>
      <c r="D323" s="559"/>
      <c r="E323" s="559"/>
      <c r="F323" s="559"/>
      <c r="G323" s="559"/>
      <c r="H323" s="559"/>
      <c r="I323" s="559"/>
      <c r="J323" s="559"/>
      <c r="K323" s="559"/>
      <c r="L323" s="559"/>
      <c r="M323" s="559"/>
      <c r="N323" s="559"/>
      <c r="O323" s="559"/>
      <c r="P323" s="559"/>
      <c r="Q323" s="559"/>
      <c r="R323" s="559"/>
      <c r="S323" s="559"/>
      <c r="T323" s="559"/>
      <c r="U323" s="559"/>
      <c r="V323" s="559"/>
      <c r="W323" s="559"/>
      <c r="X323" s="559"/>
      <c r="Y323" s="559"/>
      <c r="Z323" s="559"/>
      <c r="AA323" s="559"/>
      <c r="AB323" s="559"/>
      <c r="AC323" s="559"/>
      <c r="AD323" s="559"/>
      <c r="AE323" s="559"/>
      <c r="AF323" s="559"/>
      <c r="AG323" s="559"/>
    </row>
    <row r="324" spans="1:33" ht="18" customHeight="1" x14ac:dyDescent="0.35">
      <c r="A324" s="559"/>
      <c r="B324" s="559"/>
      <c r="C324" s="559"/>
      <c r="D324" s="559"/>
      <c r="E324" s="559"/>
      <c r="F324" s="559"/>
      <c r="G324" s="559"/>
      <c r="H324" s="559"/>
      <c r="I324" s="559"/>
      <c r="J324" s="559"/>
      <c r="K324" s="559"/>
      <c r="L324" s="559"/>
      <c r="M324" s="559"/>
      <c r="N324" s="559"/>
      <c r="O324" s="559"/>
      <c r="P324" s="559"/>
      <c r="Q324" s="559"/>
      <c r="R324" s="559"/>
      <c r="S324" s="559"/>
      <c r="T324" s="559"/>
      <c r="U324" s="559"/>
      <c r="V324" s="559"/>
      <c r="W324" s="559"/>
      <c r="X324" s="559"/>
      <c r="Y324" s="559"/>
      <c r="Z324" s="559"/>
      <c r="AA324" s="559"/>
      <c r="AB324" s="559"/>
      <c r="AC324" s="559"/>
      <c r="AD324" s="559"/>
      <c r="AE324" s="559"/>
      <c r="AF324" s="559"/>
      <c r="AG324" s="559"/>
    </row>
    <row r="325" spans="1:33" ht="18" customHeight="1" x14ac:dyDescent="0.35">
      <c r="A325" s="559"/>
      <c r="B325" s="559"/>
      <c r="C325" s="559"/>
      <c r="D325" s="559"/>
      <c r="E325" s="559"/>
      <c r="F325" s="559"/>
      <c r="G325" s="559"/>
      <c r="H325" s="559"/>
      <c r="I325" s="559"/>
      <c r="J325" s="559"/>
      <c r="K325" s="559"/>
      <c r="L325" s="559"/>
      <c r="M325" s="559"/>
      <c r="N325" s="559"/>
      <c r="O325" s="559"/>
      <c r="P325" s="559"/>
      <c r="Q325" s="559"/>
      <c r="R325" s="559"/>
      <c r="S325" s="559"/>
      <c r="T325" s="559"/>
      <c r="U325" s="559"/>
      <c r="V325" s="559"/>
      <c r="W325" s="559"/>
      <c r="X325" s="559"/>
      <c r="Y325" s="559"/>
      <c r="Z325" s="559"/>
      <c r="AA325" s="559"/>
      <c r="AB325" s="559"/>
      <c r="AC325" s="559"/>
      <c r="AD325" s="559"/>
      <c r="AE325" s="559"/>
      <c r="AF325" s="559"/>
      <c r="AG325" s="559"/>
    </row>
    <row r="326" spans="1:33" ht="18" customHeight="1" x14ac:dyDescent="0.35">
      <c r="A326" s="559"/>
      <c r="B326" s="559"/>
      <c r="C326" s="559"/>
      <c r="D326" s="559"/>
      <c r="E326" s="559"/>
      <c r="F326" s="559"/>
      <c r="G326" s="559"/>
      <c r="H326" s="559"/>
      <c r="I326" s="559"/>
      <c r="J326" s="559"/>
      <c r="K326" s="559"/>
      <c r="L326" s="559"/>
      <c r="M326" s="559"/>
      <c r="N326" s="559"/>
      <c r="O326" s="559"/>
      <c r="P326" s="559"/>
      <c r="Q326" s="559"/>
      <c r="R326" s="559"/>
      <c r="S326" s="559"/>
      <c r="T326" s="559"/>
      <c r="U326" s="559"/>
      <c r="V326" s="559"/>
      <c r="W326" s="559"/>
      <c r="X326" s="559"/>
      <c r="Y326" s="559"/>
      <c r="Z326" s="559"/>
      <c r="AA326" s="559"/>
      <c r="AB326" s="559"/>
      <c r="AC326" s="559"/>
      <c r="AD326" s="559"/>
      <c r="AE326" s="559"/>
      <c r="AF326" s="559"/>
      <c r="AG326" s="559"/>
    </row>
    <row r="327" spans="1:33" ht="18" customHeight="1" x14ac:dyDescent="0.35">
      <c r="A327" s="559"/>
      <c r="B327" s="559"/>
      <c r="C327" s="559"/>
      <c r="D327" s="559"/>
      <c r="E327" s="559"/>
      <c r="F327" s="559"/>
      <c r="G327" s="559"/>
      <c r="H327" s="559"/>
      <c r="I327" s="559"/>
      <c r="J327" s="559"/>
      <c r="K327" s="559"/>
      <c r="L327" s="559"/>
      <c r="M327" s="559"/>
      <c r="N327" s="559"/>
      <c r="O327" s="559"/>
      <c r="P327" s="559"/>
      <c r="Q327" s="559"/>
      <c r="R327" s="559"/>
      <c r="S327" s="559"/>
      <c r="T327" s="559"/>
      <c r="U327" s="559"/>
      <c r="V327" s="559"/>
      <c r="W327" s="559"/>
      <c r="X327" s="559"/>
      <c r="Y327" s="559"/>
      <c r="Z327" s="559"/>
      <c r="AA327" s="559"/>
      <c r="AB327" s="559"/>
      <c r="AC327" s="559"/>
      <c r="AD327" s="559"/>
      <c r="AE327" s="559"/>
      <c r="AF327" s="559"/>
      <c r="AG327" s="559"/>
    </row>
    <row r="328" spans="1:33" ht="18" customHeight="1" x14ac:dyDescent="0.35">
      <c r="A328" s="559"/>
      <c r="B328" s="559"/>
      <c r="C328" s="559"/>
      <c r="D328" s="559"/>
      <c r="E328" s="559"/>
      <c r="F328" s="559"/>
      <c r="G328" s="559"/>
      <c r="H328" s="559"/>
      <c r="I328" s="559"/>
      <c r="J328" s="559"/>
      <c r="K328" s="559"/>
      <c r="L328" s="559"/>
      <c r="M328" s="559"/>
      <c r="N328" s="559"/>
      <c r="O328" s="559"/>
      <c r="P328" s="559"/>
      <c r="Q328" s="559"/>
      <c r="R328" s="559"/>
      <c r="S328" s="559"/>
      <c r="T328" s="559"/>
      <c r="U328" s="559"/>
      <c r="V328" s="559"/>
      <c r="W328" s="559"/>
      <c r="X328" s="559"/>
      <c r="Y328" s="559"/>
      <c r="Z328" s="559"/>
      <c r="AA328" s="559"/>
      <c r="AB328" s="559"/>
      <c r="AC328" s="559"/>
      <c r="AD328" s="559"/>
      <c r="AE328" s="559"/>
      <c r="AF328" s="559"/>
      <c r="AG328" s="559"/>
    </row>
    <row r="329" spans="1:33" ht="18" customHeight="1" x14ac:dyDescent="0.35">
      <c r="A329" s="559"/>
      <c r="B329" s="559"/>
      <c r="C329" s="559"/>
      <c r="D329" s="559"/>
      <c r="E329" s="559"/>
      <c r="F329" s="559"/>
      <c r="G329" s="559"/>
      <c r="H329" s="559"/>
      <c r="I329" s="559"/>
      <c r="J329" s="559"/>
      <c r="K329" s="559"/>
      <c r="L329" s="559"/>
      <c r="M329" s="559"/>
      <c r="N329" s="559"/>
      <c r="O329" s="559"/>
      <c r="P329" s="559"/>
      <c r="Q329" s="559"/>
      <c r="R329" s="559"/>
      <c r="S329" s="559"/>
      <c r="T329" s="559"/>
      <c r="U329" s="559"/>
      <c r="V329" s="559"/>
      <c r="W329" s="559"/>
      <c r="X329" s="559"/>
      <c r="Y329" s="559"/>
      <c r="Z329" s="559"/>
      <c r="AA329" s="559"/>
      <c r="AB329" s="559"/>
      <c r="AC329" s="559"/>
      <c r="AD329" s="559"/>
      <c r="AE329" s="559"/>
      <c r="AF329" s="559"/>
      <c r="AG329" s="559"/>
    </row>
    <row r="330" spans="1:33" ht="18" customHeight="1" x14ac:dyDescent="0.35">
      <c r="A330" s="559"/>
      <c r="B330" s="559"/>
      <c r="C330" s="559"/>
      <c r="D330" s="559"/>
      <c r="E330" s="559"/>
      <c r="F330" s="559"/>
      <c r="G330" s="559"/>
      <c r="H330" s="559"/>
      <c r="I330" s="559"/>
      <c r="J330" s="559"/>
      <c r="K330" s="559"/>
      <c r="L330" s="559"/>
      <c r="M330" s="559"/>
      <c r="N330" s="559"/>
      <c r="O330" s="559"/>
      <c r="P330" s="559"/>
      <c r="Q330" s="559"/>
      <c r="R330" s="559"/>
      <c r="S330" s="559"/>
      <c r="T330" s="559"/>
      <c r="U330" s="559"/>
      <c r="V330" s="559"/>
      <c r="W330" s="559"/>
      <c r="X330" s="559"/>
      <c r="Y330" s="559"/>
      <c r="Z330" s="559"/>
      <c r="AA330" s="559"/>
      <c r="AB330" s="559"/>
      <c r="AC330" s="559"/>
      <c r="AD330" s="559"/>
      <c r="AE330" s="559"/>
      <c r="AF330" s="559"/>
      <c r="AG330" s="559"/>
    </row>
    <row r="331" spans="1:33" ht="18" customHeight="1" x14ac:dyDescent="0.35">
      <c r="A331" s="559"/>
      <c r="B331" s="559"/>
      <c r="C331" s="559"/>
      <c r="D331" s="559"/>
      <c r="E331" s="559"/>
      <c r="F331" s="559"/>
      <c r="G331" s="559"/>
      <c r="H331" s="559"/>
      <c r="I331" s="559"/>
      <c r="J331" s="559"/>
      <c r="K331" s="559"/>
      <c r="L331" s="559"/>
      <c r="M331" s="559"/>
      <c r="N331" s="559"/>
      <c r="O331" s="559"/>
      <c r="P331" s="559"/>
      <c r="Q331" s="559"/>
      <c r="R331" s="559"/>
      <c r="S331" s="559"/>
      <c r="T331" s="559"/>
      <c r="U331" s="559"/>
      <c r="V331" s="559"/>
      <c r="W331" s="559"/>
      <c r="X331" s="559"/>
      <c r="Y331" s="559"/>
      <c r="Z331" s="559"/>
      <c r="AA331" s="559"/>
      <c r="AB331" s="559"/>
      <c r="AC331" s="559"/>
      <c r="AD331" s="559"/>
      <c r="AE331" s="559"/>
      <c r="AF331" s="559"/>
      <c r="AG331" s="559"/>
    </row>
    <row r="332" spans="1:33" ht="18" customHeight="1" x14ac:dyDescent="0.35">
      <c r="A332" s="559"/>
      <c r="B332" s="559"/>
      <c r="C332" s="559"/>
      <c r="D332" s="559"/>
      <c r="E332" s="559"/>
      <c r="F332" s="559"/>
      <c r="G332" s="559"/>
      <c r="H332" s="559"/>
      <c r="I332" s="559"/>
      <c r="J332" s="559"/>
      <c r="K332" s="559"/>
      <c r="L332" s="559"/>
      <c r="M332" s="559"/>
      <c r="N332" s="559"/>
      <c r="O332" s="559"/>
      <c r="P332" s="559"/>
      <c r="Q332" s="559"/>
      <c r="R332" s="559"/>
      <c r="S332" s="559"/>
      <c r="T332" s="559"/>
      <c r="U332" s="559"/>
      <c r="V332" s="559"/>
      <c r="W332" s="559"/>
      <c r="X332" s="559"/>
      <c r="Y332" s="559"/>
      <c r="Z332" s="559"/>
      <c r="AA332" s="559"/>
      <c r="AB332" s="559"/>
      <c r="AC332" s="559"/>
      <c r="AD332" s="559"/>
      <c r="AE332" s="559"/>
      <c r="AF332" s="559"/>
      <c r="AG332" s="559"/>
    </row>
    <row r="333" spans="1:33" ht="18" customHeight="1" x14ac:dyDescent="0.35">
      <c r="A333" s="559"/>
      <c r="B333" s="559"/>
      <c r="C333" s="559"/>
      <c r="D333" s="559"/>
      <c r="E333" s="559"/>
      <c r="F333" s="559"/>
      <c r="G333" s="559"/>
      <c r="H333" s="559"/>
      <c r="I333" s="559"/>
      <c r="J333" s="559"/>
      <c r="K333" s="559"/>
      <c r="L333" s="559"/>
      <c r="M333" s="559"/>
      <c r="N333" s="559"/>
      <c r="O333" s="559"/>
      <c r="P333" s="559"/>
      <c r="Q333" s="559"/>
      <c r="R333" s="559"/>
      <c r="S333" s="559"/>
      <c r="T333" s="559"/>
      <c r="U333" s="559"/>
      <c r="V333" s="559"/>
      <c r="W333" s="559"/>
      <c r="X333" s="559"/>
      <c r="Y333" s="559"/>
      <c r="Z333" s="559"/>
      <c r="AA333" s="559"/>
      <c r="AB333" s="559"/>
      <c r="AC333" s="559"/>
      <c r="AD333" s="559"/>
      <c r="AE333" s="559"/>
      <c r="AF333" s="559"/>
      <c r="AG333" s="559"/>
    </row>
    <row r="334" spans="1:33" ht="18" customHeight="1" x14ac:dyDescent="0.35">
      <c r="A334" s="559"/>
      <c r="B334" s="559"/>
      <c r="C334" s="559"/>
      <c r="D334" s="559"/>
      <c r="E334" s="559"/>
      <c r="F334" s="559"/>
      <c r="G334" s="559"/>
      <c r="H334" s="559"/>
      <c r="I334" s="559"/>
      <c r="J334" s="559"/>
      <c r="K334" s="559"/>
      <c r="L334" s="559"/>
      <c r="M334" s="559"/>
      <c r="N334" s="559"/>
      <c r="O334" s="559"/>
      <c r="P334" s="559"/>
      <c r="Q334" s="559"/>
      <c r="R334" s="559"/>
      <c r="S334" s="559"/>
      <c r="T334" s="559"/>
      <c r="U334" s="559"/>
      <c r="V334" s="559"/>
      <c r="W334" s="559"/>
      <c r="X334" s="559"/>
      <c r="Y334" s="559"/>
      <c r="Z334" s="559"/>
      <c r="AA334" s="559"/>
      <c r="AB334" s="559"/>
      <c r="AC334" s="559"/>
      <c r="AD334" s="559"/>
      <c r="AE334" s="559"/>
      <c r="AF334" s="559"/>
      <c r="AG334" s="559"/>
    </row>
    <row r="335" spans="1:33" ht="18" customHeight="1" x14ac:dyDescent="0.35">
      <c r="A335" s="559"/>
      <c r="B335" s="559"/>
      <c r="C335" s="559"/>
      <c r="D335" s="559"/>
      <c r="E335" s="559"/>
      <c r="F335" s="559"/>
      <c r="G335" s="559"/>
      <c r="H335" s="559"/>
      <c r="I335" s="559"/>
      <c r="J335" s="559"/>
      <c r="K335" s="559"/>
      <c r="L335" s="559"/>
      <c r="M335" s="559"/>
      <c r="N335" s="559"/>
      <c r="O335" s="559"/>
      <c r="P335" s="559"/>
      <c r="Q335" s="559"/>
      <c r="R335" s="559"/>
      <c r="S335" s="559"/>
      <c r="T335" s="559"/>
      <c r="U335" s="559"/>
      <c r="V335" s="559"/>
      <c r="W335" s="559"/>
      <c r="X335" s="559"/>
      <c r="Y335" s="559"/>
      <c r="Z335" s="559"/>
      <c r="AA335" s="559"/>
      <c r="AB335" s="559"/>
      <c r="AC335" s="559"/>
      <c r="AD335" s="559"/>
      <c r="AE335" s="559"/>
      <c r="AF335" s="559"/>
      <c r="AG335" s="559"/>
    </row>
    <row r="336" spans="1:33" ht="18" customHeight="1" x14ac:dyDescent="0.35">
      <c r="A336" s="559"/>
      <c r="B336" s="559"/>
      <c r="C336" s="559"/>
      <c r="D336" s="559"/>
      <c r="E336" s="559"/>
      <c r="F336" s="559"/>
      <c r="G336" s="559"/>
      <c r="H336" s="559"/>
      <c r="I336" s="559"/>
      <c r="J336" s="559"/>
      <c r="K336" s="559"/>
      <c r="L336" s="559"/>
      <c r="M336" s="559"/>
      <c r="N336" s="559"/>
      <c r="O336" s="559"/>
      <c r="P336" s="559"/>
      <c r="Q336" s="559"/>
      <c r="R336" s="559"/>
      <c r="S336" s="559"/>
      <c r="T336" s="559"/>
      <c r="U336" s="559"/>
      <c r="V336" s="559"/>
      <c r="W336" s="559"/>
      <c r="X336" s="559"/>
      <c r="Y336" s="559"/>
      <c r="Z336" s="559"/>
      <c r="AA336" s="559"/>
      <c r="AB336" s="559"/>
      <c r="AC336" s="559"/>
      <c r="AD336" s="559"/>
      <c r="AE336" s="559"/>
      <c r="AF336" s="559"/>
      <c r="AG336" s="559"/>
    </row>
    <row r="337" spans="1:33" ht="18" customHeight="1" x14ac:dyDescent="0.35">
      <c r="A337" s="559"/>
      <c r="B337" s="559"/>
      <c r="C337" s="559"/>
      <c r="D337" s="559"/>
      <c r="E337" s="559"/>
      <c r="F337" s="559"/>
      <c r="G337" s="559"/>
      <c r="H337" s="559"/>
      <c r="I337" s="559"/>
      <c r="J337" s="559"/>
      <c r="K337" s="559"/>
      <c r="L337" s="559"/>
      <c r="M337" s="559"/>
      <c r="N337" s="559"/>
      <c r="O337" s="559"/>
      <c r="P337" s="559"/>
      <c r="Q337" s="559"/>
      <c r="R337" s="559"/>
      <c r="S337" s="559"/>
      <c r="T337" s="559"/>
      <c r="U337" s="559"/>
      <c r="V337" s="559"/>
      <c r="W337" s="559"/>
      <c r="X337" s="559"/>
      <c r="Y337" s="559"/>
      <c r="Z337" s="559"/>
      <c r="AA337" s="559"/>
      <c r="AB337" s="559"/>
      <c r="AC337" s="559"/>
      <c r="AD337" s="559"/>
      <c r="AE337" s="559"/>
      <c r="AF337" s="559"/>
      <c r="AG337" s="559"/>
    </row>
    <row r="338" spans="1:33" ht="18" customHeight="1" x14ac:dyDescent="0.35">
      <c r="A338" s="559"/>
      <c r="B338" s="559"/>
      <c r="C338" s="559"/>
      <c r="D338" s="559"/>
      <c r="E338" s="559"/>
      <c r="F338" s="559"/>
      <c r="G338" s="559"/>
      <c r="H338" s="559"/>
      <c r="I338" s="559"/>
      <c r="J338" s="559"/>
      <c r="K338" s="559"/>
      <c r="L338" s="559"/>
      <c r="M338" s="559"/>
      <c r="N338" s="559"/>
      <c r="O338" s="559"/>
      <c r="P338" s="559"/>
      <c r="Q338" s="559"/>
      <c r="R338" s="559"/>
      <c r="S338" s="559"/>
      <c r="T338" s="559"/>
      <c r="U338" s="559"/>
      <c r="V338" s="559"/>
      <c r="W338" s="559"/>
      <c r="X338" s="559"/>
      <c r="Y338" s="559"/>
      <c r="Z338" s="559"/>
      <c r="AA338" s="559"/>
      <c r="AB338" s="559"/>
      <c r="AC338" s="559"/>
      <c r="AD338" s="559"/>
      <c r="AE338" s="559"/>
      <c r="AF338" s="559"/>
      <c r="AG338" s="559"/>
    </row>
    <row r="339" spans="1:33" ht="18" customHeight="1" x14ac:dyDescent="0.35">
      <c r="A339" s="559"/>
      <c r="B339" s="559"/>
      <c r="C339" s="559"/>
      <c r="D339" s="559"/>
      <c r="E339" s="559"/>
      <c r="F339" s="559"/>
      <c r="G339" s="559"/>
      <c r="H339" s="559"/>
      <c r="I339" s="559"/>
      <c r="J339" s="559"/>
      <c r="K339" s="559"/>
      <c r="L339" s="559"/>
      <c r="M339" s="559"/>
      <c r="N339" s="559"/>
      <c r="O339" s="559"/>
      <c r="P339" s="559"/>
      <c r="Q339" s="559"/>
      <c r="R339" s="559"/>
      <c r="S339" s="559"/>
      <c r="T339" s="559"/>
      <c r="U339" s="559"/>
      <c r="V339" s="559"/>
      <c r="W339" s="559"/>
      <c r="X339" s="559"/>
      <c r="Y339" s="559"/>
      <c r="Z339" s="559"/>
      <c r="AA339" s="559"/>
      <c r="AB339" s="559"/>
      <c r="AC339" s="559"/>
      <c r="AD339" s="559"/>
      <c r="AE339" s="559"/>
      <c r="AF339" s="559"/>
      <c r="AG339" s="559"/>
    </row>
    <row r="340" spans="1:33" ht="18" customHeight="1" x14ac:dyDescent="0.35">
      <c r="A340" s="559"/>
      <c r="B340" s="559"/>
      <c r="C340" s="559"/>
      <c r="D340" s="559"/>
      <c r="E340" s="559"/>
      <c r="F340" s="559"/>
      <c r="G340" s="559"/>
      <c r="H340" s="559"/>
      <c r="I340" s="559"/>
      <c r="J340" s="559"/>
      <c r="K340" s="559"/>
      <c r="L340" s="559"/>
      <c r="M340" s="559"/>
      <c r="N340" s="559"/>
      <c r="O340" s="559"/>
      <c r="P340" s="559"/>
      <c r="Q340" s="559"/>
      <c r="R340" s="559"/>
      <c r="S340" s="559"/>
      <c r="T340" s="559"/>
      <c r="U340" s="559"/>
      <c r="V340" s="559"/>
      <c r="W340" s="559"/>
      <c r="X340" s="559"/>
      <c r="Y340" s="559"/>
      <c r="Z340" s="559"/>
      <c r="AA340" s="559"/>
      <c r="AB340" s="559"/>
      <c r="AC340" s="559"/>
      <c r="AD340" s="559"/>
      <c r="AE340" s="559"/>
      <c r="AF340" s="559"/>
      <c r="AG340" s="559"/>
    </row>
    <row r="341" spans="1:33" ht="18" customHeight="1" x14ac:dyDescent="0.35">
      <c r="A341" s="559"/>
      <c r="B341" s="559"/>
      <c r="C341" s="559"/>
      <c r="D341" s="559"/>
      <c r="E341" s="559"/>
      <c r="F341" s="559"/>
      <c r="G341" s="559"/>
      <c r="H341" s="559"/>
      <c r="I341" s="559"/>
      <c r="J341" s="559"/>
      <c r="K341" s="559"/>
      <c r="L341" s="559"/>
      <c r="M341" s="559"/>
      <c r="N341" s="559"/>
      <c r="O341" s="559"/>
      <c r="P341" s="559"/>
      <c r="Q341" s="559"/>
      <c r="R341" s="559"/>
      <c r="S341" s="559"/>
      <c r="T341" s="559"/>
      <c r="U341" s="559"/>
      <c r="V341" s="559"/>
      <c r="W341" s="559"/>
      <c r="X341" s="559"/>
      <c r="Y341" s="559"/>
      <c r="Z341" s="559"/>
      <c r="AA341" s="559"/>
      <c r="AB341" s="559"/>
      <c r="AC341" s="559"/>
      <c r="AD341" s="559"/>
      <c r="AE341" s="559"/>
      <c r="AF341" s="559"/>
      <c r="AG341" s="559"/>
    </row>
    <row r="342" spans="1:33" ht="18" customHeight="1" x14ac:dyDescent="0.35">
      <c r="A342" s="559"/>
      <c r="B342" s="559"/>
      <c r="C342" s="559"/>
      <c r="D342" s="559"/>
      <c r="E342" s="559"/>
      <c r="F342" s="559"/>
      <c r="G342" s="559"/>
      <c r="H342" s="559"/>
      <c r="I342" s="559"/>
      <c r="J342" s="559"/>
      <c r="K342" s="559"/>
      <c r="L342" s="559"/>
      <c r="M342" s="559"/>
      <c r="N342" s="559"/>
      <c r="O342" s="559"/>
      <c r="P342" s="559"/>
      <c r="Q342" s="559"/>
      <c r="R342" s="559"/>
      <c r="S342" s="559"/>
      <c r="T342" s="559"/>
      <c r="U342" s="559"/>
      <c r="V342" s="559"/>
      <c r="W342" s="559"/>
      <c r="X342" s="559"/>
      <c r="Y342" s="559"/>
      <c r="Z342" s="559"/>
      <c r="AA342" s="559"/>
      <c r="AB342" s="559"/>
      <c r="AC342" s="559"/>
      <c r="AD342" s="559"/>
      <c r="AE342" s="559"/>
      <c r="AF342" s="559"/>
      <c r="AG342" s="559"/>
    </row>
    <row r="343" spans="1:33" ht="18" customHeight="1" x14ac:dyDescent="0.35">
      <c r="A343" s="559"/>
      <c r="B343" s="559"/>
      <c r="C343" s="559"/>
      <c r="D343" s="559"/>
      <c r="E343" s="559"/>
      <c r="F343" s="559"/>
      <c r="G343" s="559"/>
      <c r="H343" s="559"/>
      <c r="I343" s="559"/>
      <c r="J343" s="559"/>
      <c r="K343" s="559"/>
      <c r="L343" s="559"/>
      <c r="M343" s="559"/>
      <c r="N343" s="559"/>
      <c r="O343" s="559"/>
      <c r="P343" s="559"/>
      <c r="Q343" s="559"/>
      <c r="R343" s="559"/>
      <c r="S343" s="559"/>
      <c r="T343" s="559"/>
      <c r="U343" s="559"/>
      <c r="V343" s="559"/>
      <c r="W343" s="559"/>
      <c r="X343" s="559"/>
      <c r="Y343" s="559"/>
      <c r="Z343" s="559"/>
      <c r="AA343" s="559"/>
      <c r="AB343" s="559"/>
      <c r="AC343" s="559"/>
      <c r="AD343" s="559"/>
      <c r="AE343" s="559"/>
      <c r="AF343" s="559"/>
      <c r="AG343" s="559"/>
    </row>
    <row r="344" spans="1:33" ht="18" customHeight="1" x14ac:dyDescent="0.35">
      <c r="A344" s="559"/>
      <c r="B344" s="559"/>
      <c r="C344" s="559"/>
      <c r="D344" s="559"/>
      <c r="E344" s="559"/>
      <c r="F344" s="559"/>
      <c r="G344" s="559"/>
      <c r="H344" s="559"/>
      <c r="I344" s="559"/>
      <c r="J344" s="559"/>
      <c r="K344" s="559"/>
      <c r="L344" s="559"/>
      <c r="M344" s="559"/>
      <c r="N344" s="559"/>
      <c r="O344" s="559"/>
      <c r="P344" s="559"/>
      <c r="Q344" s="559"/>
      <c r="R344" s="559"/>
      <c r="S344" s="559"/>
      <c r="T344" s="559"/>
      <c r="U344" s="559"/>
      <c r="V344" s="559"/>
      <c r="W344" s="559"/>
      <c r="X344" s="559"/>
      <c r="Y344" s="559"/>
      <c r="Z344" s="559"/>
      <c r="AA344" s="559"/>
      <c r="AB344" s="559"/>
      <c r="AC344" s="559"/>
      <c r="AD344" s="559"/>
      <c r="AE344" s="559"/>
      <c r="AF344" s="559"/>
      <c r="AG344" s="559"/>
    </row>
    <row r="345" spans="1:33" ht="18" customHeight="1" x14ac:dyDescent="0.35">
      <c r="A345" s="559"/>
      <c r="B345" s="559"/>
      <c r="C345" s="559"/>
      <c r="D345" s="559"/>
      <c r="E345" s="559"/>
      <c r="F345" s="559"/>
      <c r="G345" s="559"/>
      <c r="H345" s="559"/>
      <c r="I345" s="559"/>
      <c r="J345" s="559"/>
      <c r="K345" s="559"/>
      <c r="L345" s="559"/>
      <c r="M345" s="559"/>
      <c r="N345" s="559"/>
      <c r="O345" s="559"/>
      <c r="P345" s="559"/>
      <c r="Q345" s="559"/>
      <c r="R345" s="559"/>
      <c r="S345" s="559"/>
      <c r="T345" s="559"/>
      <c r="U345" s="559"/>
      <c r="V345" s="559"/>
      <c r="W345" s="559"/>
      <c r="X345" s="559"/>
      <c r="Y345" s="559"/>
      <c r="Z345" s="559"/>
      <c r="AA345" s="559"/>
      <c r="AB345" s="559"/>
      <c r="AC345" s="559"/>
      <c r="AD345" s="559"/>
      <c r="AE345" s="559"/>
      <c r="AF345" s="559"/>
      <c r="AG345" s="559"/>
    </row>
    <row r="346" spans="1:33" ht="18" customHeight="1" x14ac:dyDescent="0.35">
      <c r="A346" s="559"/>
      <c r="B346" s="559"/>
      <c r="C346" s="559"/>
      <c r="D346" s="559"/>
      <c r="E346" s="559"/>
      <c r="F346" s="559"/>
      <c r="G346" s="559"/>
      <c r="H346" s="559"/>
      <c r="I346" s="559"/>
      <c r="J346" s="559"/>
      <c r="K346" s="559"/>
      <c r="L346" s="559"/>
      <c r="M346" s="559"/>
      <c r="N346" s="559"/>
      <c r="O346" s="559"/>
      <c r="P346" s="559"/>
      <c r="Q346" s="559"/>
      <c r="R346" s="559"/>
      <c r="S346" s="559"/>
      <c r="T346" s="559"/>
      <c r="U346" s="559"/>
      <c r="V346" s="559"/>
      <c r="W346" s="559"/>
      <c r="X346" s="559"/>
      <c r="Y346" s="559"/>
      <c r="Z346" s="559"/>
      <c r="AA346" s="559"/>
      <c r="AB346" s="559"/>
      <c r="AC346" s="559"/>
      <c r="AD346" s="559"/>
      <c r="AE346" s="559"/>
      <c r="AF346" s="559"/>
      <c r="AG346" s="559"/>
    </row>
    <row r="347" spans="1:33" ht="18" customHeight="1" x14ac:dyDescent="0.35">
      <c r="A347" s="559"/>
      <c r="B347" s="559"/>
      <c r="C347" s="559"/>
      <c r="D347" s="559"/>
      <c r="E347" s="559"/>
      <c r="F347" s="559"/>
      <c r="G347" s="559"/>
      <c r="H347" s="559"/>
      <c r="I347" s="559"/>
      <c r="J347" s="559"/>
      <c r="K347" s="559"/>
      <c r="L347" s="559"/>
      <c r="M347" s="559"/>
      <c r="N347" s="559"/>
      <c r="O347" s="559"/>
      <c r="P347" s="559"/>
      <c r="Q347" s="559"/>
      <c r="R347" s="559"/>
      <c r="S347" s="559"/>
      <c r="T347" s="559"/>
      <c r="U347" s="559"/>
      <c r="V347" s="559"/>
      <c r="W347" s="559"/>
      <c r="X347" s="559"/>
      <c r="Y347" s="559"/>
      <c r="Z347" s="559"/>
      <c r="AA347" s="559"/>
      <c r="AB347" s="559"/>
      <c r="AC347" s="559"/>
      <c r="AD347" s="559"/>
      <c r="AE347" s="559"/>
      <c r="AF347" s="559"/>
      <c r="AG347" s="559"/>
    </row>
    <row r="348" spans="1:33" ht="18" customHeight="1" x14ac:dyDescent="0.35">
      <c r="A348" s="559"/>
      <c r="B348" s="559"/>
      <c r="C348" s="559"/>
      <c r="D348" s="559"/>
      <c r="E348" s="559"/>
      <c r="F348" s="559"/>
      <c r="G348" s="559"/>
      <c r="H348" s="559"/>
      <c r="I348" s="559"/>
      <c r="J348" s="559"/>
      <c r="K348" s="559"/>
      <c r="L348" s="559"/>
      <c r="M348" s="559"/>
      <c r="N348" s="559"/>
      <c r="O348" s="559"/>
      <c r="P348" s="559"/>
      <c r="Q348" s="559"/>
      <c r="R348" s="559"/>
      <c r="S348" s="559"/>
      <c r="T348" s="559"/>
      <c r="U348" s="559"/>
      <c r="V348" s="559"/>
      <c r="W348" s="559"/>
      <c r="X348" s="559"/>
      <c r="Y348" s="559"/>
      <c r="Z348" s="559"/>
      <c r="AA348" s="559"/>
      <c r="AB348" s="559"/>
      <c r="AC348" s="559"/>
      <c r="AD348" s="559"/>
      <c r="AE348" s="559"/>
      <c r="AF348" s="559"/>
      <c r="AG348" s="559"/>
    </row>
    <row r="349" spans="1:33" ht="18" customHeight="1" x14ac:dyDescent="0.35">
      <c r="A349" s="559"/>
      <c r="B349" s="559"/>
      <c r="C349" s="559"/>
      <c r="D349" s="559"/>
      <c r="E349" s="559"/>
      <c r="F349" s="559"/>
      <c r="G349" s="559"/>
      <c r="H349" s="559"/>
      <c r="I349" s="559"/>
      <c r="J349" s="559"/>
      <c r="K349" s="559"/>
      <c r="L349" s="559"/>
      <c r="M349" s="559"/>
      <c r="N349" s="559"/>
      <c r="O349" s="559"/>
      <c r="P349" s="559"/>
      <c r="Q349" s="559"/>
      <c r="R349" s="559"/>
      <c r="S349" s="559"/>
      <c r="T349" s="559"/>
      <c r="U349" s="559"/>
      <c r="V349" s="559"/>
      <c r="W349" s="559"/>
      <c r="X349" s="559"/>
      <c r="Y349" s="559"/>
      <c r="Z349" s="559"/>
      <c r="AA349" s="559"/>
      <c r="AB349" s="559"/>
      <c r="AC349" s="559"/>
      <c r="AD349" s="559"/>
      <c r="AE349" s="559"/>
      <c r="AF349" s="559"/>
      <c r="AG349" s="559"/>
    </row>
    <row r="350" spans="1:33" ht="18" customHeight="1" x14ac:dyDescent="0.35">
      <c r="A350" s="559"/>
      <c r="B350" s="559"/>
      <c r="C350" s="559"/>
      <c r="D350" s="559"/>
      <c r="E350" s="559"/>
      <c r="F350" s="559"/>
      <c r="G350" s="559"/>
      <c r="H350" s="559"/>
      <c r="I350" s="559"/>
      <c r="J350" s="559"/>
      <c r="K350" s="559"/>
      <c r="L350" s="559"/>
      <c r="M350" s="559"/>
      <c r="N350" s="559"/>
      <c r="O350" s="559"/>
      <c r="P350" s="559"/>
      <c r="Q350" s="559"/>
      <c r="R350" s="559"/>
      <c r="S350" s="559"/>
      <c r="T350" s="559"/>
      <c r="U350" s="559"/>
      <c r="V350" s="559"/>
      <c r="W350" s="559"/>
      <c r="X350" s="559"/>
      <c r="Y350" s="559"/>
      <c r="Z350" s="559"/>
      <c r="AA350" s="559"/>
      <c r="AB350" s="559"/>
      <c r="AC350" s="559"/>
      <c r="AD350" s="559"/>
      <c r="AE350" s="559"/>
      <c r="AF350" s="559"/>
      <c r="AG350" s="559"/>
    </row>
    <row r="351" spans="1:33" ht="18" customHeight="1" x14ac:dyDescent="0.35">
      <c r="A351" s="559"/>
      <c r="B351" s="559"/>
      <c r="C351" s="559"/>
      <c r="D351" s="559"/>
      <c r="E351" s="559"/>
      <c r="F351" s="559"/>
      <c r="G351" s="559"/>
      <c r="H351" s="559"/>
      <c r="I351" s="559"/>
      <c r="J351" s="559"/>
      <c r="K351" s="559"/>
      <c r="L351" s="559"/>
      <c r="M351" s="559"/>
      <c r="N351" s="559"/>
      <c r="O351" s="559"/>
      <c r="P351" s="559"/>
      <c r="Q351" s="559"/>
      <c r="R351" s="559"/>
      <c r="S351" s="559"/>
      <c r="T351" s="559"/>
      <c r="U351" s="559"/>
      <c r="V351" s="559"/>
      <c r="W351" s="559"/>
      <c r="X351" s="559"/>
      <c r="Y351" s="559"/>
      <c r="Z351" s="559"/>
      <c r="AA351" s="559"/>
      <c r="AB351" s="559"/>
      <c r="AC351" s="559"/>
      <c r="AD351" s="559"/>
      <c r="AE351" s="559"/>
      <c r="AF351" s="559"/>
      <c r="AG351" s="559"/>
    </row>
    <row r="352" spans="1:33" ht="18" customHeight="1" x14ac:dyDescent="0.35">
      <c r="A352" s="559"/>
      <c r="B352" s="559"/>
      <c r="C352" s="559"/>
      <c r="D352" s="559"/>
      <c r="E352" s="559"/>
      <c r="F352" s="559"/>
      <c r="G352" s="559"/>
      <c r="H352" s="559"/>
      <c r="I352" s="559"/>
      <c r="J352" s="559"/>
      <c r="K352" s="559"/>
      <c r="L352" s="559"/>
      <c r="M352" s="559"/>
      <c r="N352" s="559"/>
      <c r="O352" s="559"/>
      <c r="P352" s="559"/>
      <c r="Q352" s="559"/>
      <c r="R352" s="559"/>
      <c r="S352" s="559"/>
      <c r="T352" s="559"/>
      <c r="U352" s="559"/>
      <c r="V352" s="559"/>
      <c r="W352" s="559"/>
      <c r="X352" s="559"/>
      <c r="Y352" s="559"/>
      <c r="Z352" s="559"/>
      <c r="AA352" s="559"/>
      <c r="AB352" s="559"/>
      <c r="AC352" s="559"/>
      <c r="AD352" s="559"/>
      <c r="AE352" s="559"/>
      <c r="AF352" s="559"/>
      <c r="AG352" s="559"/>
    </row>
    <row r="353" spans="1:33" ht="18" customHeight="1" x14ac:dyDescent="0.35">
      <c r="A353" s="559"/>
      <c r="B353" s="559"/>
      <c r="C353" s="559"/>
      <c r="D353" s="559"/>
      <c r="E353" s="559"/>
      <c r="F353" s="559"/>
      <c r="G353" s="559"/>
      <c r="H353" s="559"/>
      <c r="I353" s="559"/>
      <c r="J353" s="559"/>
      <c r="K353" s="559"/>
      <c r="L353" s="559"/>
      <c r="M353" s="559"/>
      <c r="N353" s="559"/>
      <c r="O353" s="559"/>
      <c r="P353" s="559"/>
      <c r="Q353" s="559"/>
      <c r="R353" s="559"/>
      <c r="S353" s="559"/>
      <c r="T353" s="559"/>
      <c r="U353" s="559"/>
      <c r="V353" s="559"/>
      <c r="W353" s="559"/>
      <c r="X353" s="559"/>
      <c r="Y353" s="559"/>
      <c r="Z353" s="559"/>
      <c r="AA353" s="559"/>
      <c r="AB353" s="559"/>
      <c r="AC353" s="559"/>
      <c r="AD353" s="559"/>
      <c r="AE353" s="559"/>
      <c r="AF353" s="559"/>
      <c r="AG353" s="559"/>
    </row>
    <row r="354" spans="1:33" ht="18" customHeight="1" x14ac:dyDescent="0.35">
      <c r="A354" s="559"/>
      <c r="B354" s="559"/>
      <c r="C354" s="559"/>
      <c r="D354" s="559"/>
      <c r="E354" s="559"/>
      <c r="F354" s="559"/>
      <c r="G354" s="559"/>
      <c r="H354" s="559"/>
      <c r="I354" s="559"/>
      <c r="J354" s="559"/>
      <c r="K354" s="559"/>
      <c r="L354" s="559"/>
      <c r="M354" s="559"/>
      <c r="N354" s="559"/>
      <c r="O354" s="559"/>
      <c r="P354" s="559"/>
      <c r="Q354" s="559"/>
      <c r="R354" s="559"/>
      <c r="S354" s="559"/>
      <c r="T354" s="559"/>
      <c r="U354" s="559"/>
      <c r="V354" s="559"/>
      <c r="W354" s="559"/>
      <c r="X354" s="559"/>
      <c r="Y354" s="559"/>
      <c r="Z354" s="559"/>
      <c r="AA354" s="559"/>
      <c r="AB354" s="559"/>
      <c r="AC354" s="559"/>
      <c r="AD354" s="559"/>
      <c r="AE354" s="559"/>
      <c r="AF354" s="559"/>
      <c r="AG354" s="559"/>
    </row>
    <row r="355" spans="1:33" ht="18" customHeight="1" x14ac:dyDescent="0.35">
      <c r="A355" s="559"/>
      <c r="B355" s="559"/>
      <c r="C355" s="559"/>
      <c r="D355" s="559"/>
      <c r="E355" s="559"/>
      <c r="F355" s="559"/>
      <c r="G355" s="559"/>
      <c r="H355" s="559"/>
      <c r="I355" s="559"/>
      <c r="J355" s="559"/>
      <c r="K355" s="559"/>
      <c r="L355" s="559"/>
      <c r="M355" s="559"/>
      <c r="N355" s="559"/>
      <c r="O355" s="559"/>
      <c r="P355" s="559"/>
      <c r="Q355" s="559"/>
      <c r="R355" s="559"/>
      <c r="S355" s="559"/>
      <c r="T355" s="559"/>
      <c r="U355" s="559"/>
      <c r="V355" s="559"/>
      <c r="W355" s="559"/>
      <c r="X355" s="559"/>
      <c r="Y355" s="559"/>
      <c r="Z355" s="559"/>
      <c r="AA355" s="559"/>
      <c r="AB355" s="559"/>
      <c r="AC355" s="559"/>
      <c r="AD355" s="559"/>
      <c r="AE355" s="559"/>
      <c r="AF355" s="559"/>
      <c r="AG355" s="559"/>
    </row>
    <row r="356" spans="1:33" ht="18" customHeight="1" x14ac:dyDescent="0.35">
      <c r="A356" s="559"/>
      <c r="B356" s="559"/>
      <c r="C356" s="559"/>
      <c r="D356" s="559"/>
      <c r="E356" s="559"/>
      <c r="F356" s="559"/>
      <c r="G356" s="559"/>
      <c r="H356" s="559"/>
      <c r="I356" s="559"/>
      <c r="J356" s="559"/>
      <c r="K356" s="559"/>
      <c r="L356" s="559"/>
      <c r="M356" s="559"/>
      <c r="N356" s="559"/>
      <c r="O356" s="559"/>
      <c r="P356" s="559"/>
      <c r="Q356" s="559"/>
      <c r="R356" s="559"/>
      <c r="S356" s="559"/>
      <c r="T356" s="559"/>
      <c r="U356" s="559"/>
      <c r="V356" s="559"/>
      <c r="W356" s="559"/>
      <c r="X356" s="559"/>
      <c r="Y356" s="559"/>
      <c r="Z356" s="559"/>
      <c r="AA356" s="559"/>
      <c r="AB356" s="559"/>
      <c r="AC356" s="559"/>
      <c r="AD356" s="559"/>
      <c r="AE356" s="559"/>
      <c r="AF356" s="559"/>
      <c r="AG356" s="559"/>
    </row>
    <row r="357" spans="1:33" ht="18" customHeight="1" x14ac:dyDescent="0.35">
      <c r="A357" s="559"/>
      <c r="B357" s="559"/>
      <c r="C357" s="559"/>
      <c r="D357" s="559"/>
      <c r="E357" s="559"/>
      <c r="F357" s="559"/>
      <c r="G357" s="559"/>
      <c r="H357" s="559"/>
      <c r="I357" s="559"/>
      <c r="J357" s="559"/>
      <c r="K357" s="559"/>
      <c r="L357" s="559"/>
      <c r="M357" s="559"/>
      <c r="N357" s="559"/>
      <c r="O357" s="559"/>
      <c r="P357" s="559"/>
      <c r="Q357" s="559"/>
      <c r="R357" s="559"/>
      <c r="S357" s="559"/>
      <c r="T357" s="559"/>
      <c r="U357" s="559"/>
      <c r="V357" s="559"/>
      <c r="W357" s="559"/>
      <c r="X357" s="559"/>
      <c r="Y357" s="559"/>
      <c r="Z357" s="559"/>
      <c r="AA357" s="559"/>
      <c r="AB357" s="559"/>
      <c r="AC357" s="559"/>
      <c r="AD357" s="559"/>
      <c r="AE357" s="559"/>
      <c r="AF357" s="559"/>
      <c r="AG357" s="559"/>
    </row>
    <row r="358" spans="1:33" ht="18" customHeight="1" x14ac:dyDescent="0.35">
      <c r="A358" s="559"/>
      <c r="B358" s="559"/>
      <c r="C358" s="559"/>
      <c r="D358" s="559"/>
      <c r="E358" s="559"/>
      <c r="F358" s="559"/>
      <c r="G358" s="559"/>
      <c r="H358" s="559"/>
      <c r="I358" s="559"/>
      <c r="J358" s="559"/>
      <c r="K358" s="559"/>
      <c r="L358" s="559"/>
      <c r="M358" s="559"/>
      <c r="N358" s="559"/>
      <c r="O358" s="559"/>
      <c r="P358" s="559"/>
      <c r="Q358" s="559"/>
      <c r="R358" s="559"/>
      <c r="S358" s="559"/>
      <c r="T358" s="559"/>
      <c r="U358" s="559"/>
      <c r="V358" s="559"/>
      <c r="W358" s="559"/>
      <c r="X358" s="559"/>
      <c r="Y358" s="559"/>
      <c r="Z358" s="559"/>
      <c r="AA358" s="559"/>
      <c r="AB358" s="559"/>
      <c r="AC358" s="559"/>
      <c r="AD358" s="559"/>
      <c r="AE358" s="559"/>
      <c r="AF358" s="559"/>
      <c r="AG358" s="559"/>
    </row>
    <row r="359" spans="1:33" ht="18" customHeight="1" x14ac:dyDescent="0.35">
      <c r="A359" s="559"/>
      <c r="B359" s="559"/>
      <c r="C359" s="559"/>
      <c r="D359" s="559"/>
      <c r="E359" s="559"/>
      <c r="F359" s="559"/>
      <c r="G359" s="559"/>
      <c r="H359" s="559"/>
      <c r="I359" s="559"/>
      <c r="J359" s="559"/>
      <c r="K359" s="559"/>
      <c r="L359" s="559"/>
      <c r="M359" s="559"/>
      <c r="N359" s="559"/>
      <c r="O359" s="559"/>
      <c r="P359" s="559"/>
      <c r="Q359" s="559"/>
      <c r="R359" s="559"/>
      <c r="S359" s="559"/>
      <c r="T359" s="559"/>
      <c r="U359" s="559"/>
      <c r="V359" s="559"/>
      <c r="W359" s="559"/>
      <c r="X359" s="559"/>
      <c r="Y359" s="559"/>
      <c r="Z359" s="559"/>
      <c r="AA359" s="559"/>
      <c r="AB359" s="559"/>
      <c r="AC359" s="559"/>
      <c r="AD359" s="559"/>
      <c r="AE359" s="559"/>
      <c r="AF359" s="559"/>
      <c r="AG359" s="559"/>
    </row>
    <row r="360" spans="1:33" ht="18" customHeight="1" x14ac:dyDescent="0.35">
      <c r="A360" s="559"/>
      <c r="B360" s="559"/>
      <c r="C360" s="559"/>
      <c r="D360" s="559"/>
      <c r="E360" s="559"/>
      <c r="F360" s="559"/>
      <c r="G360" s="559"/>
      <c r="H360" s="559"/>
      <c r="I360" s="559"/>
      <c r="J360" s="559"/>
      <c r="K360" s="559"/>
      <c r="L360" s="559"/>
      <c r="M360" s="559"/>
      <c r="N360" s="559"/>
      <c r="O360" s="559"/>
      <c r="P360" s="559"/>
      <c r="Q360" s="559"/>
      <c r="R360" s="559"/>
      <c r="S360" s="559"/>
      <c r="T360" s="559"/>
      <c r="U360" s="559"/>
      <c r="V360" s="559"/>
      <c r="W360" s="559"/>
      <c r="X360" s="559"/>
      <c r="Y360" s="559"/>
      <c r="Z360" s="559"/>
      <c r="AA360" s="559"/>
      <c r="AB360" s="559"/>
      <c r="AC360" s="559"/>
      <c r="AD360" s="559"/>
      <c r="AE360" s="559"/>
      <c r="AF360" s="559"/>
      <c r="AG360" s="559"/>
    </row>
    <row r="361" spans="1:33" ht="18" customHeight="1" x14ac:dyDescent="0.35">
      <c r="A361" s="559"/>
      <c r="B361" s="559"/>
      <c r="C361" s="559"/>
      <c r="D361" s="559"/>
      <c r="E361" s="559"/>
      <c r="F361" s="559"/>
      <c r="G361" s="559"/>
      <c r="H361" s="559"/>
      <c r="I361" s="559"/>
      <c r="J361" s="559"/>
      <c r="K361" s="559"/>
      <c r="L361" s="559"/>
      <c r="M361" s="559"/>
      <c r="N361" s="559"/>
      <c r="O361" s="559"/>
      <c r="P361" s="559"/>
      <c r="Q361" s="559"/>
      <c r="R361" s="559"/>
      <c r="S361" s="559"/>
      <c r="T361" s="559"/>
      <c r="U361" s="559"/>
      <c r="V361" s="559"/>
      <c r="W361" s="559"/>
      <c r="X361" s="559"/>
      <c r="Y361" s="559"/>
      <c r="Z361" s="559"/>
      <c r="AA361" s="559"/>
      <c r="AB361" s="559"/>
      <c r="AC361" s="559"/>
      <c r="AD361" s="559"/>
      <c r="AE361" s="559"/>
      <c r="AF361" s="559"/>
      <c r="AG361" s="559"/>
    </row>
    <row r="362" spans="1:33" ht="18" customHeight="1" x14ac:dyDescent="0.35">
      <c r="A362" s="559"/>
      <c r="B362" s="559"/>
      <c r="C362" s="559"/>
      <c r="D362" s="559"/>
      <c r="E362" s="559"/>
      <c r="F362" s="559"/>
      <c r="G362" s="559"/>
      <c r="H362" s="559"/>
      <c r="I362" s="559"/>
      <c r="J362" s="559"/>
      <c r="K362" s="559"/>
      <c r="L362" s="559"/>
      <c r="M362" s="559"/>
      <c r="N362" s="559"/>
      <c r="O362" s="559"/>
      <c r="P362" s="559"/>
      <c r="Q362" s="559"/>
      <c r="R362" s="559"/>
      <c r="S362" s="559"/>
      <c r="T362" s="559"/>
      <c r="U362" s="559"/>
      <c r="V362" s="559"/>
      <c r="W362" s="559"/>
      <c r="X362" s="559"/>
      <c r="Y362" s="559"/>
      <c r="Z362" s="559"/>
      <c r="AA362" s="559"/>
      <c r="AB362" s="559"/>
      <c r="AC362" s="559"/>
      <c r="AD362" s="559"/>
      <c r="AE362" s="559"/>
      <c r="AF362" s="559"/>
      <c r="AG362" s="559"/>
    </row>
    <row r="363" spans="1:33" ht="18" customHeight="1" x14ac:dyDescent="0.35">
      <c r="A363" s="559"/>
      <c r="B363" s="559"/>
      <c r="C363" s="559"/>
      <c r="D363" s="559"/>
      <c r="E363" s="559"/>
      <c r="F363" s="559"/>
      <c r="G363" s="559"/>
      <c r="H363" s="559"/>
      <c r="I363" s="559"/>
      <c r="J363" s="559"/>
      <c r="K363" s="559"/>
      <c r="L363" s="559"/>
      <c r="M363" s="559"/>
      <c r="N363" s="559"/>
      <c r="O363" s="559"/>
      <c r="P363" s="559"/>
      <c r="Q363" s="559"/>
      <c r="R363" s="559"/>
      <c r="S363" s="559"/>
      <c r="T363" s="559"/>
      <c r="U363" s="559"/>
      <c r="V363" s="559"/>
      <c r="W363" s="559"/>
      <c r="X363" s="559"/>
      <c r="Y363" s="559"/>
      <c r="Z363" s="559"/>
      <c r="AA363" s="559"/>
      <c r="AB363" s="559"/>
      <c r="AC363" s="559"/>
      <c r="AD363" s="559"/>
      <c r="AE363" s="559"/>
      <c r="AF363" s="559"/>
      <c r="AG363" s="559"/>
    </row>
    <row r="364" spans="1:33" ht="18" customHeight="1" x14ac:dyDescent="0.35">
      <c r="A364" s="559"/>
      <c r="B364" s="559"/>
      <c r="C364" s="559"/>
      <c r="D364" s="559"/>
      <c r="E364" s="559"/>
      <c r="F364" s="559"/>
      <c r="G364" s="559"/>
      <c r="H364" s="559"/>
      <c r="I364" s="559"/>
      <c r="J364" s="559"/>
      <c r="K364" s="559"/>
      <c r="L364" s="559"/>
      <c r="M364" s="559"/>
      <c r="N364" s="559"/>
      <c r="O364" s="559"/>
      <c r="P364" s="559"/>
      <c r="Q364" s="559"/>
      <c r="R364" s="559"/>
      <c r="S364" s="559"/>
      <c r="T364" s="559"/>
      <c r="U364" s="559"/>
      <c r="V364" s="559"/>
      <c r="W364" s="559"/>
      <c r="X364" s="559"/>
      <c r="Y364" s="559"/>
      <c r="Z364" s="559"/>
      <c r="AA364" s="559"/>
      <c r="AB364" s="559"/>
      <c r="AC364" s="559"/>
      <c r="AD364" s="559"/>
      <c r="AE364" s="559"/>
      <c r="AF364" s="559"/>
      <c r="AG364" s="559"/>
    </row>
    <row r="365" spans="1:33" ht="18" customHeight="1" x14ac:dyDescent="0.35">
      <c r="A365" s="559"/>
      <c r="B365" s="559"/>
      <c r="C365" s="559"/>
      <c r="D365" s="559"/>
      <c r="E365" s="559"/>
      <c r="F365" s="559"/>
      <c r="G365" s="559"/>
      <c r="H365" s="559"/>
      <c r="I365" s="559"/>
      <c r="J365" s="559"/>
      <c r="K365" s="559"/>
      <c r="L365" s="559"/>
      <c r="M365" s="559"/>
      <c r="N365" s="559"/>
      <c r="O365" s="559"/>
      <c r="P365" s="559"/>
      <c r="Q365" s="559"/>
      <c r="R365" s="559"/>
      <c r="S365" s="559"/>
      <c r="T365" s="559"/>
      <c r="U365" s="559"/>
      <c r="V365" s="559"/>
      <c r="W365" s="559"/>
      <c r="X365" s="559"/>
      <c r="Y365" s="559"/>
      <c r="Z365" s="559"/>
      <c r="AA365" s="559"/>
      <c r="AB365" s="559"/>
      <c r="AC365" s="559"/>
      <c r="AD365" s="559"/>
      <c r="AE365" s="559"/>
      <c r="AF365" s="559"/>
      <c r="AG365" s="559"/>
    </row>
    <row r="366" spans="1:33" ht="18" customHeight="1" x14ac:dyDescent="0.35">
      <c r="A366" s="559"/>
      <c r="B366" s="559"/>
      <c r="C366" s="559"/>
      <c r="D366" s="559"/>
      <c r="E366" s="559"/>
      <c r="F366" s="559"/>
      <c r="G366" s="559"/>
      <c r="H366" s="559"/>
      <c r="I366" s="559"/>
      <c r="J366" s="559"/>
      <c r="K366" s="559"/>
      <c r="L366" s="559"/>
      <c r="M366" s="559"/>
      <c r="N366" s="559"/>
      <c r="O366" s="559"/>
      <c r="P366" s="559"/>
      <c r="Q366" s="559"/>
      <c r="R366" s="559"/>
      <c r="S366" s="559"/>
      <c r="T366" s="559"/>
      <c r="U366" s="559"/>
      <c r="V366" s="559"/>
      <c r="W366" s="559"/>
      <c r="X366" s="559"/>
      <c r="Y366" s="559"/>
      <c r="Z366" s="559"/>
      <c r="AA366" s="559"/>
      <c r="AB366" s="559"/>
      <c r="AC366" s="559"/>
      <c r="AD366" s="559"/>
      <c r="AE366" s="559"/>
      <c r="AF366" s="559"/>
      <c r="AG366" s="559"/>
    </row>
    <row r="367" spans="1:33" ht="18" customHeight="1" x14ac:dyDescent="0.35">
      <c r="A367" s="559"/>
      <c r="B367" s="559"/>
      <c r="C367" s="559"/>
      <c r="D367" s="559"/>
      <c r="E367" s="559"/>
      <c r="F367" s="559"/>
      <c r="G367" s="559"/>
      <c r="H367" s="559"/>
      <c r="I367" s="559"/>
      <c r="J367" s="559"/>
      <c r="K367" s="559"/>
      <c r="L367" s="559"/>
      <c r="M367" s="559"/>
      <c r="N367" s="559"/>
      <c r="O367" s="559"/>
      <c r="P367" s="559"/>
      <c r="Q367" s="559"/>
      <c r="R367" s="559"/>
      <c r="S367" s="559"/>
      <c r="T367" s="559"/>
      <c r="U367" s="559"/>
      <c r="V367" s="559"/>
      <c r="W367" s="559"/>
      <c r="X367" s="559"/>
      <c r="Y367" s="559"/>
      <c r="Z367" s="559"/>
      <c r="AA367" s="559"/>
      <c r="AB367" s="559"/>
      <c r="AC367" s="559"/>
      <c r="AD367" s="559"/>
      <c r="AE367" s="559"/>
      <c r="AF367" s="559"/>
      <c r="AG367" s="559"/>
    </row>
    <row r="368" spans="1:33" ht="18" customHeight="1" x14ac:dyDescent="0.35">
      <c r="A368" s="559"/>
      <c r="B368" s="559"/>
      <c r="C368" s="559"/>
      <c r="D368" s="559"/>
      <c r="E368" s="559"/>
      <c r="F368" s="559"/>
      <c r="G368" s="559"/>
      <c r="H368" s="559"/>
      <c r="I368" s="559"/>
      <c r="J368" s="559"/>
      <c r="K368" s="559"/>
      <c r="L368" s="559"/>
      <c r="M368" s="559"/>
      <c r="N368" s="559"/>
      <c r="O368" s="559"/>
      <c r="P368" s="559"/>
      <c r="Q368" s="559"/>
      <c r="R368" s="559"/>
      <c r="S368" s="559"/>
      <c r="T368" s="559"/>
      <c r="U368" s="559"/>
      <c r="V368" s="559"/>
      <c r="W368" s="559"/>
      <c r="X368" s="559"/>
      <c r="Y368" s="559"/>
      <c r="Z368" s="559"/>
      <c r="AA368" s="559"/>
      <c r="AB368" s="559"/>
      <c r="AC368" s="559"/>
      <c r="AD368" s="559"/>
      <c r="AE368" s="559"/>
      <c r="AF368" s="559"/>
      <c r="AG368" s="559"/>
    </row>
    <row r="369" spans="1:33" ht="18" customHeight="1" x14ac:dyDescent="0.35">
      <c r="A369" s="559"/>
      <c r="B369" s="559"/>
      <c r="C369" s="559"/>
      <c r="D369" s="559"/>
      <c r="E369" s="559"/>
      <c r="F369" s="559"/>
      <c r="G369" s="559"/>
      <c r="H369" s="559"/>
      <c r="I369" s="559"/>
      <c r="J369" s="559"/>
      <c r="K369" s="559"/>
      <c r="L369" s="559"/>
      <c r="M369" s="559"/>
      <c r="N369" s="559"/>
      <c r="O369" s="559"/>
      <c r="P369" s="559"/>
      <c r="Q369" s="559"/>
      <c r="R369" s="559"/>
      <c r="S369" s="559"/>
      <c r="T369" s="559"/>
      <c r="U369" s="559"/>
      <c r="V369" s="559"/>
      <c r="W369" s="559"/>
      <c r="X369" s="559"/>
      <c r="Y369" s="559"/>
      <c r="Z369" s="559"/>
      <c r="AA369" s="559"/>
      <c r="AB369" s="559"/>
      <c r="AC369" s="559"/>
      <c r="AD369" s="559"/>
      <c r="AE369" s="559"/>
      <c r="AF369" s="559"/>
      <c r="AG369" s="559"/>
    </row>
    <row r="370" spans="1:33" ht="18" customHeight="1" x14ac:dyDescent="0.35">
      <c r="A370" s="559"/>
      <c r="B370" s="559"/>
      <c r="C370" s="559"/>
      <c r="D370" s="559"/>
      <c r="E370" s="559"/>
      <c r="F370" s="559"/>
      <c r="G370" s="559"/>
      <c r="H370" s="559"/>
      <c r="I370" s="559"/>
      <c r="J370" s="559"/>
      <c r="K370" s="559"/>
      <c r="L370" s="559"/>
      <c r="M370" s="559"/>
      <c r="N370" s="559"/>
      <c r="O370" s="559"/>
      <c r="P370" s="559"/>
      <c r="Q370" s="559"/>
      <c r="R370" s="559"/>
      <c r="S370" s="559"/>
      <c r="T370" s="559"/>
      <c r="U370" s="559"/>
      <c r="V370" s="559"/>
      <c r="W370" s="559"/>
      <c r="X370" s="559"/>
      <c r="Y370" s="559"/>
      <c r="Z370" s="559"/>
      <c r="AA370" s="559"/>
      <c r="AB370" s="559"/>
      <c r="AC370" s="559"/>
      <c r="AD370" s="559"/>
      <c r="AE370" s="559"/>
      <c r="AF370" s="559"/>
      <c r="AG370" s="559"/>
    </row>
    <row r="371" spans="1:33" ht="18" customHeight="1" x14ac:dyDescent="0.35">
      <c r="A371" s="559"/>
      <c r="B371" s="559"/>
      <c r="C371" s="559"/>
      <c r="D371" s="559"/>
      <c r="E371" s="559"/>
      <c r="F371" s="559"/>
      <c r="G371" s="559"/>
      <c r="H371" s="559"/>
      <c r="I371" s="559"/>
      <c r="J371" s="559"/>
      <c r="K371" s="559"/>
      <c r="L371" s="559"/>
      <c r="M371" s="559"/>
      <c r="N371" s="559"/>
      <c r="O371" s="559"/>
      <c r="P371" s="559"/>
      <c r="Q371" s="559"/>
      <c r="R371" s="559"/>
      <c r="S371" s="559"/>
      <c r="T371" s="559"/>
      <c r="U371" s="559"/>
      <c r="V371" s="559"/>
      <c r="W371" s="559"/>
      <c r="X371" s="559"/>
      <c r="Y371" s="559"/>
      <c r="Z371" s="559"/>
      <c r="AA371" s="559"/>
      <c r="AB371" s="559"/>
      <c r="AC371" s="559"/>
      <c r="AD371" s="559"/>
      <c r="AE371" s="559"/>
      <c r="AF371" s="559"/>
      <c r="AG371" s="559"/>
    </row>
    <row r="372" spans="1:33" ht="18" customHeight="1" x14ac:dyDescent="0.35">
      <c r="A372" s="559"/>
      <c r="B372" s="559"/>
      <c r="C372" s="559"/>
      <c r="D372" s="559"/>
      <c r="E372" s="559"/>
      <c r="F372" s="559"/>
      <c r="G372" s="559"/>
      <c r="H372" s="559"/>
      <c r="I372" s="559"/>
      <c r="J372" s="559"/>
      <c r="K372" s="559"/>
      <c r="L372" s="559"/>
      <c r="M372" s="559"/>
      <c r="N372" s="559"/>
      <c r="O372" s="559"/>
      <c r="P372" s="559"/>
      <c r="Q372" s="559"/>
      <c r="R372" s="559"/>
      <c r="S372" s="559"/>
      <c r="T372" s="559"/>
      <c r="U372" s="559"/>
      <c r="V372" s="559"/>
      <c r="W372" s="559"/>
      <c r="X372" s="559"/>
      <c r="Y372" s="559"/>
      <c r="Z372" s="559"/>
      <c r="AA372" s="559"/>
      <c r="AB372" s="559"/>
      <c r="AC372" s="559"/>
      <c r="AD372" s="559"/>
      <c r="AE372" s="559"/>
      <c r="AF372" s="559"/>
      <c r="AG372" s="559"/>
    </row>
    <row r="373" spans="1:33" ht="18" customHeight="1" x14ac:dyDescent="0.35">
      <c r="A373" s="559"/>
      <c r="B373" s="559"/>
      <c r="C373" s="559"/>
      <c r="D373" s="559"/>
      <c r="E373" s="559"/>
      <c r="F373" s="559"/>
      <c r="G373" s="559"/>
      <c r="H373" s="559"/>
      <c r="I373" s="559"/>
      <c r="J373" s="559"/>
      <c r="K373" s="559"/>
      <c r="L373" s="559"/>
      <c r="M373" s="559"/>
      <c r="N373" s="559"/>
      <c r="O373" s="559"/>
      <c r="P373" s="559"/>
      <c r="Q373" s="559"/>
      <c r="R373" s="559"/>
      <c r="S373" s="559"/>
      <c r="T373" s="559"/>
      <c r="U373" s="559"/>
      <c r="V373" s="559"/>
      <c r="W373" s="559"/>
      <c r="X373" s="559"/>
      <c r="Y373" s="559"/>
      <c r="Z373" s="559"/>
      <c r="AA373" s="559"/>
      <c r="AB373" s="559"/>
      <c r="AC373" s="559"/>
      <c r="AD373" s="559"/>
      <c r="AE373" s="559"/>
      <c r="AF373" s="559"/>
      <c r="AG373" s="559"/>
    </row>
    <row r="374" spans="1:33" ht="18" customHeight="1" x14ac:dyDescent="0.35">
      <c r="A374" s="559"/>
      <c r="B374" s="559"/>
      <c r="C374" s="559"/>
      <c r="D374" s="559"/>
      <c r="E374" s="559"/>
      <c r="F374" s="559"/>
      <c r="G374" s="559"/>
      <c r="H374" s="559"/>
      <c r="I374" s="559"/>
      <c r="J374" s="559"/>
      <c r="K374" s="559"/>
      <c r="L374" s="559"/>
      <c r="M374" s="559"/>
      <c r="N374" s="559"/>
      <c r="O374" s="559"/>
      <c r="P374" s="559"/>
      <c r="Q374" s="559"/>
      <c r="R374" s="559"/>
      <c r="S374" s="559"/>
      <c r="T374" s="559"/>
      <c r="U374" s="559"/>
      <c r="V374" s="559"/>
      <c r="W374" s="559"/>
      <c r="X374" s="559"/>
      <c r="Y374" s="559"/>
      <c r="Z374" s="559"/>
      <c r="AA374" s="559"/>
      <c r="AB374" s="559"/>
      <c r="AC374" s="559"/>
      <c r="AD374" s="559"/>
      <c r="AE374" s="559"/>
      <c r="AF374" s="559"/>
      <c r="AG374" s="559"/>
    </row>
    <row r="375" spans="1:33" ht="18" customHeight="1" x14ac:dyDescent="0.35">
      <c r="A375" s="559"/>
      <c r="B375" s="559"/>
      <c r="C375" s="559"/>
      <c r="D375" s="559"/>
      <c r="E375" s="559"/>
      <c r="F375" s="559"/>
      <c r="G375" s="559"/>
      <c r="H375" s="559"/>
      <c r="I375" s="559"/>
      <c r="J375" s="559"/>
      <c r="K375" s="559"/>
      <c r="L375" s="559"/>
      <c r="M375" s="559"/>
      <c r="N375" s="559"/>
      <c r="O375" s="559"/>
      <c r="P375" s="559"/>
      <c r="Q375" s="559"/>
      <c r="R375" s="559"/>
      <c r="S375" s="559"/>
      <c r="T375" s="559"/>
      <c r="U375" s="559"/>
      <c r="V375" s="559"/>
      <c r="W375" s="559"/>
      <c r="X375" s="559"/>
      <c r="Y375" s="559"/>
      <c r="Z375" s="559"/>
      <c r="AA375" s="559"/>
      <c r="AB375" s="559"/>
      <c r="AC375" s="559"/>
      <c r="AD375" s="559"/>
      <c r="AE375" s="559"/>
      <c r="AF375" s="559"/>
      <c r="AG375" s="559"/>
    </row>
    <row r="376" spans="1:33" ht="18" customHeight="1" x14ac:dyDescent="0.35">
      <c r="A376" s="559"/>
      <c r="B376" s="559"/>
      <c r="C376" s="559"/>
      <c r="D376" s="559"/>
      <c r="E376" s="559"/>
      <c r="F376" s="559"/>
      <c r="G376" s="559"/>
      <c r="H376" s="559"/>
      <c r="I376" s="559"/>
      <c r="J376" s="559"/>
      <c r="K376" s="559"/>
      <c r="L376" s="559"/>
      <c r="M376" s="559"/>
      <c r="N376" s="559"/>
      <c r="O376" s="559"/>
      <c r="P376" s="559"/>
      <c r="Q376" s="559"/>
      <c r="R376" s="559"/>
      <c r="S376" s="559"/>
      <c r="T376" s="559"/>
      <c r="U376" s="559"/>
      <c r="V376" s="559"/>
      <c r="W376" s="559"/>
      <c r="X376" s="559"/>
      <c r="Y376" s="559"/>
      <c r="Z376" s="559"/>
      <c r="AA376" s="559"/>
      <c r="AB376" s="559"/>
      <c r="AC376" s="559"/>
      <c r="AD376" s="559"/>
      <c r="AE376" s="559"/>
      <c r="AF376" s="559"/>
      <c r="AG376" s="559"/>
    </row>
    <row r="377" spans="1:33" ht="18" customHeight="1" x14ac:dyDescent="0.35">
      <c r="A377" s="559"/>
      <c r="B377" s="559"/>
      <c r="C377" s="559"/>
      <c r="D377" s="559"/>
      <c r="E377" s="559"/>
      <c r="F377" s="559"/>
      <c r="G377" s="559"/>
      <c r="H377" s="559"/>
      <c r="I377" s="559"/>
      <c r="J377" s="559"/>
      <c r="K377" s="559"/>
      <c r="L377" s="559"/>
      <c r="M377" s="559"/>
      <c r="N377" s="559"/>
      <c r="O377" s="559"/>
      <c r="P377" s="559"/>
      <c r="Q377" s="559"/>
      <c r="R377" s="559"/>
      <c r="S377" s="559"/>
      <c r="T377" s="559"/>
      <c r="U377" s="559"/>
      <c r="V377" s="559"/>
      <c r="W377" s="559"/>
      <c r="X377" s="559"/>
      <c r="Y377" s="559"/>
      <c r="Z377" s="559"/>
      <c r="AA377" s="559"/>
      <c r="AB377" s="559"/>
      <c r="AC377" s="559"/>
      <c r="AD377" s="559"/>
      <c r="AE377" s="559"/>
      <c r="AF377" s="559"/>
      <c r="AG377" s="559"/>
    </row>
    <row r="378" spans="1:33" ht="18" customHeight="1" x14ac:dyDescent="0.35">
      <c r="A378" s="559"/>
      <c r="B378" s="559"/>
      <c r="C378" s="559"/>
      <c r="D378" s="559"/>
      <c r="E378" s="559"/>
      <c r="F378" s="559"/>
      <c r="G378" s="559"/>
      <c r="H378" s="559"/>
      <c r="I378" s="559"/>
      <c r="J378" s="559"/>
      <c r="K378" s="559"/>
      <c r="L378" s="559"/>
      <c r="M378" s="559"/>
      <c r="N378" s="559"/>
      <c r="O378" s="559"/>
      <c r="P378" s="559"/>
      <c r="Q378" s="559"/>
      <c r="R378" s="559"/>
      <c r="S378" s="559"/>
      <c r="T378" s="559"/>
      <c r="U378" s="559"/>
      <c r="V378" s="559"/>
      <c r="W378" s="559"/>
      <c r="X378" s="559"/>
      <c r="Y378" s="559"/>
      <c r="Z378" s="559"/>
      <c r="AA378" s="559"/>
      <c r="AB378" s="559"/>
      <c r="AC378" s="559"/>
      <c r="AD378" s="559"/>
      <c r="AE378" s="559"/>
      <c r="AF378" s="559"/>
      <c r="AG378" s="559"/>
    </row>
    <row r="379" spans="1:33" ht="18" customHeight="1" x14ac:dyDescent="0.35">
      <c r="A379" s="559"/>
      <c r="B379" s="559"/>
      <c r="C379" s="559"/>
      <c r="D379" s="559"/>
      <c r="E379" s="559"/>
      <c r="F379" s="559"/>
      <c r="G379" s="559"/>
      <c r="H379" s="559"/>
      <c r="I379" s="559"/>
      <c r="J379" s="559"/>
      <c r="K379" s="559"/>
      <c r="L379" s="559"/>
      <c r="M379" s="559"/>
      <c r="N379" s="559"/>
      <c r="O379" s="559"/>
      <c r="P379" s="559"/>
      <c r="Q379" s="559"/>
      <c r="R379" s="559"/>
      <c r="S379" s="559"/>
      <c r="T379" s="559"/>
      <c r="U379" s="559"/>
      <c r="V379" s="559"/>
      <c r="W379" s="559"/>
      <c r="X379" s="559"/>
      <c r="Y379" s="559"/>
      <c r="Z379" s="559"/>
      <c r="AA379" s="559"/>
      <c r="AB379" s="559"/>
      <c r="AC379" s="559"/>
      <c r="AD379" s="559"/>
      <c r="AE379" s="559"/>
      <c r="AF379" s="559"/>
      <c r="AG379" s="559"/>
    </row>
    <row r="380" spans="1:33" ht="18" customHeight="1" x14ac:dyDescent="0.35">
      <c r="A380" s="559"/>
      <c r="B380" s="559"/>
      <c r="C380" s="559"/>
      <c r="D380" s="559"/>
      <c r="E380" s="559"/>
      <c r="F380" s="559"/>
      <c r="G380" s="559"/>
      <c r="H380" s="559"/>
      <c r="I380" s="559"/>
      <c r="J380" s="559"/>
      <c r="K380" s="559"/>
      <c r="L380" s="559"/>
      <c r="M380" s="559"/>
      <c r="N380" s="559"/>
      <c r="O380" s="559"/>
      <c r="P380" s="559"/>
      <c r="Q380" s="559"/>
      <c r="R380" s="559"/>
      <c r="S380" s="559"/>
      <c r="T380" s="559"/>
      <c r="U380" s="559"/>
      <c r="V380" s="559"/>
      <c r="W380" s="559"/>
      <c r="X380" s="559"/>
      <c r="Y380" s="559"/>
      <c r="Z380" s="559"/>
      <c r="AA380" s="559"/>
      <c r="AB380" s="559"/>
      <c r="AC380" s="559"/>
      <c r="AD380" s="559"/>
      <c r="AE380" s="559"/>
      <c r="AF380" s="559"/>
      <c r="AG380" s="559"/>
    </row>
    <row r="381" spans="1:33" ht="18" customHeight="1" x14ac:dyDescent="0.35">
      <c r="A381" s="559"/>
      <c r="B381" s="559"/>
      <c r="C381" s="559"/>
      <c r="D381" s="559"/>
      <c r="E381" s="559"/>
      <c r="F381" s="559"/>
      <c r="G381" s="559"/>
      <c r="H381" s="559"/>
      <c r="I381" s="559"/>
      <c r="J381" s="559"/>
      <c r="K381" s="559"/>
      <c r="L381" s="559"/>
      <c r="M381" s="559"/>
      <c r="N381" s="559"/>
      <c r="O381" s="559"/>
      <c r="P381" s="559"/>
      <c r="Q381" s="559"/>
      <c r="R381" s="559"/>
      <c r="S381" s="559"/>
      <c r="T381" s="559"/>
      <c r="U381" s="559"/>
      <c r="V381" s="559"/>
      <c r="W381" s="559"/>
      <c r="X381" s="559"/>
      <c r="Y381" s="559"/>
      <c r="Z381" s="559"/>
      <c r="AA381" s="559"/>
      <c r="AB381" s="559"/>
      <c r="AC381" s="559"/>
      <c r="AD381" s="559"/>
      <c r="AE381" s="559"/>
      <c r="AF381" s="559"/>
      <c r="AG381" s="559"/>
    </row>
    <row r="382" spans="1:33" ht="18" customHeight="1" x14ac:dyDescent="0.35">
      <c r="A382" s="559"/>
      <c r="B382" s="559"/>
      <c r="C382" s="559"/>
      <c r="D382" s="559"/>
      <c r="E382" s="559"/>
      <c r="F382" s="559"/>
      <c r="G382" s="559"/>
      <c r="H382" s="559"/>
      <c r="I382" s="559"/>
      <c r="J382" s="559"/>
      <c r="K382" s="559"/>
      <c r="L382" s="559"/>
      <c r="M382" s="559"/>
      <c r="N382" s="559"/>
      <c r="O382" s="559"/>
      <c r="P382" s="559"/>
      <c r="Q382" s="559"/>
      <c r="R382" s="559"/>
      <c r="S382" s="559"/>
      <c r="T382" s="559"/>
      <c r="U382" s="559"/>
      <c r="V382" s="559"/>
      <c r="W382" s="559"/>
      <c r="X382" s="559"/>
      <c r="Y382" s="559"/>
      <c r="Z382" s="559"/>
      <c r="AA382" s="559"/>
      <c r="AB382" s="559"/>
      <c r="AC382" s="559"/>
      <c r="AD382" s="559"/>
      <c r="AE382" s="559"/>
      <c r="AF382" s="559"/>
      <c r="AG382" s="559"/>
    </row>
    <row r="383" spans="1:33" ht="18" customHeight="1" x14ac:dyDescent="0.35">
      <c r="A383" s="559"/>
      <c r="B383" s="559"/>
      <c r="C383" s="559"/>
      <c r="D383" s="559"/>
      <c r="E383" s="559"/>
      <c r="F383" s="559"/>
      <c r="G383" s="559"/>
      <c r="H383" s="559"/>
      <c r="I383" s="559"/>
      <c r="J383" s="559"/>
      <c r="K383" s="559"/>
      <c r="L383" s="559"/>
      <c r="M383" s="559"/>
      <c r="N383" s="559"/>
      <c r="O383" s="559"/>
      <c r="P383" s="559"/>
      <c r="Q383" s="559"/>
      <c r="R383" s="559"/>
      <c r="S383" s="559"/>
      <c r="T383" s="559"/>
      <c r="U383" s="559"/>
      <c r="V383" s="559"/>
      <c r="W383" s="559"/>
      <c r="X383" s="559"/>
      <c r="Y383" s="559"/>
      <c r="Z383" s="559"/>
      <c r="AA383" s="559"/>
      <c r="AB383" s="559"/>
      <c r="AC383" s="559"/>
      <c r="AD383" s="559"/>
      <c r="AE383" s="559"/>
      <c r="AF383" s="559"/>
      <c r="AG383" s="559"/>
    </row>
    <row r="384" spans="1:33" ht="18" customHeight="1" x14ac:dyDescent="0.35">
      <c r="A384" s="559"/>
      <c r="B384" s="559"/>
      <c r="C384" s="559"/>
      <c r="D384" s="559"/>
      <c r="E384" s="559"/>
      <c r="F384" s="559"/>
      <c r="G384" s="559"/>
      <c r="H384" s="559"/>
      <c r="I384" s="559"/>
      <c r="J384" s="559"/>
      <c r="K384" s="559"/>
      <c r="L384" s="559"/>
      <c r="M384" s="559"/>
      <c r="N384" s="559"/>
      <c r="O384" s="559"/>
      <c r="P384" s="559"/>
      <c r="Q384" s="559"/>
      <c r="R384" s="559"/>
      <c r="S384" s="559"/>
      <c r="T384" s="559"/>
      <c r="U384" s="559"/>
      <c r="V384" s="559"/>
      <c r="W384" s="559"/>
      <c r="X384" s="559"/>
      <c r="Y384" s="559"/>
      <c r="Z384" s="559"/>
      <c r="AA384" s="559"/>
      <c r="AB384" s="559"/>
      <c r="AC384" s="559"/>
      <c r="AD384" s="559"/>
      <c r="AE384" s="559"/>
      <c r="AF384" s="559"/>
      <c r="AG384" s="559"/>
    </row>
    <row r="385" spans="1:33" ht="18" customHeight="1" x14ac:dyDescent="0.35">
      <c r="A385" s="559"/>
      <c r="B385" s="559"/>
      <c r="C385" s="559"/>
      <c r="D385" s="559"/>
      <c r="E385" s="559"/>
      <c r="F385" s="559"/>
      <c r="G385" s="559"/>
      <c r="H385" s="559"/>
      <c r="I385" s="559"/>
      <c r="J385" s="559"/>
      <c r="K385" s="559"/>
      <c r="L385" s="559"/>
      <c r="M385" s="559"/>
      <c r="N385" s="559"/>
      <c r="O385" s="559"/>
      <c r="P385" s="559"/>
      <c r="Q385" s="559"/>
      <c r="R385" s="559"/>
      <c r="S385" s="559"/>
      <c r="T385" s="559"/>
      <c r="U385" s="559"/>
      <c r="V385" s="559"/>
      <c r="W385" s="559"/>
      <c r="X385" s="559"/>
      <c r="Y385" s="559"/>
      <c r="Z385" s="559"/>
      <c r="AA385" s="559"/>
      <c r="AB385" s="559"/>
      <c r="AC385" s="559"/>
      <c r="AD385" s="559"/>
      <c r="AE385" s="559"/>
      <c r="AF385" s="559"/>
      <c r="AG385" s="559"/>
    </row>
    <row r="386" spans="1:33" ht="18" customHeight="1" x14ac:dyDescent="0.35">
      <c r="A386" s="559"/>
      <c r="B386" s="559"/>
      <c r="C386" s="559"/>
      <c r="D386" s="559"/>
      <c r="E386" s="559"/>
      <c r="F386" s="559"/>
      <c r="G386" s="559"/>
      <c r="H386" s="559"/>
      <c r="I386" s="559"/>
      <c r="J386" s="559"/>
      <c r="K386" s="559"/>
      <c r="L386" s="559"/>
      <c r="M386" s="559"/>
      <c r="N386" s="559"/>
      <c r="O386" s="559"/>
      <c r="P386" s="559"/>
      <c r="Q386" s="559"/>
      <c r="R386" s="559"/>
      <c r="S386" s="559"/>
      <c r="T386" s="559"/>
      <c r="U386" s="559"/>
      <c r="V386" s="559"/>
      <c r="W386" s="559"/>
      <c r="X386" s="559"/>
      <c r="Y386" s="559"/>
      <c r="Z386" s="559"/>
      <c r="AA386" s="559"/>
      <c r="AB386" s="559"/>
      <c r="AC386" s="559"/>
      <c r="AD386" s="559"/>
      <c r="AE386" s="559"/>
      <c r="AF386" s="559"/>
      <c r="AG386" s="559"/>
    </row>
    <row r="387" spans="1:33" ht="18" customHeight="1" x14ac:dyDescent="0.35">
      <c r="A387" s="559"/>
      <c r="B387" s="559"/>
      <c r="C387" s="559"/>
      <c r="D387" s="559"/>
      <c r="E387" s="559"/>
      <c r="F387" s="559"/>
      <c r="G387" s="559"/>
      <c r="H387" s="559"/>
      <c r="I387" s="559"/>
      <c r="J387" s="559"/>
      <c r="K387" s="559"/>
      <c r="L387" s="559"/>
      <c r="M387" s="559"/>
      <c r="N387" s="559"/>
      <c r="O387" s="559"/>
      <c r="P387" s="559"/>
      <c r="Q387" s="559"/>
      <c r="R387" s="559"/>
      <c r="S387" s="559"/>
      <c r="T387" s="559"/>
      <c r="U387" s="559"/>
      <c r="V387" s="559"/>
      <c r="W387" s="559"/>
      <c r="X387" s="559"/>
      <c r="Y387" s="559"/>
      <c r="Z387" s="559"/>
      <c r="AA387" s="559"/>
      <c r="AB387" s="559"/>
      <c r="AC387" s="559"/>
      <c r="AD387" s="559"/>
      <c r="AE387" s="559"/>
      <c r="AF387" s="559"/>
      <c r="AG387" s="559"/>
    </row>
    <row r="388" spans="1:33" ht="18" customHeight="1" x14ac:dyDescent="0.35">
      <c r="A388" s="559"/>
      <c r="B388" s="559"/>
      <c r="C388" s="559"/>
      <c r="D388" s="559"/>
      <c r="E388" s="559"/>
      <c r="F388" s="559"/>
      <c r="G388" s="559"/>
      <c r="H388" s="559"/>
      <c r="I388" s="559"/>
      <c r="J388" s="559"/>
      <c r="K388" s="559"/>
      <c r="L388" s="559"/>
      <c r="M388" s="559"/>
      <c r="N388" s="559"/>
      <c r="O388" s="559"/>
      <c r="P388" s="559"/>
      <c r="Q388" s="559"/>
      <c r="R388" s="559"/>
      <c r="S388" s="559"/>
      <c r="T388" s="559"/>
      <c r="U388" s="559"/>
      <c r="V388" s="559"/>
      <c r="W388" s="559"/>
      <c r="X388" s="559"/>
      <c r="Y388" s="559"/>
      <c r="Z388" s="559"/>
      <c r="AA388" s="559"/>
      <c r="AB388" s="559"/>
      <c r="AC388" s="559"/>
      <c r="AD388" s="559"/>
      <c r="AE388" s="559"/>
      <c r="AF388" s="559"/>
      <c r="AG388" s="559"/>
    </row>
    <row r="389" spans="1:33" ht="18" customHeight="1" x14ac:dyDescent="0.35">
      <c r="A389" s="559"/>
      <c r="B389" s="559"/>
      <c r="C389" s="559"/>
      <c r="D389" s="559"/>
      <c r="E389" s="559"/>
      <c r="F389" s="559"/>
      <c r="G389" s="559"/>
      <c r="H389" s="559"/>
      <c r="I389" s="559"/>
      <c r="J389" s="559"/>
      <c r="K389" s="559"/>
      <c r="L389" s="559"/>
      <c r="M389" s="559"/>
      <c r="N389" s="559"/>
      <c r="O389" s="559"/>
      <c r="P389" s="559"/>
      <c r="Q389" s="559"/>
      <c r="R389" s="559"/>
      <c r="S389" s="559"/>
      <c r="T389" s="559"/>
      <c r="U389" s="559"/>
      <c r="V389" s="559"/>
      <c r="W389" s="559"/>
      <c r="X389" s="559"/>
      <c r="Y389" s="559"/>
      <c r="Z389" s="559"/>
      <c r="AA389" s="559"/>
      <c r="AB389" s="559"/>
      <c r="AC389" s="559"/>
      <c r="AD389" s="559"/>
      <c r="AE389" s="559"/>
      <c r="AF389" s="559"/>
      <c r="AG389" s="559"/>
    </row>
    <row r="390" spans="1:33" ht="18" customHeight="1" x14ac:dyDescent="0.35">
      <c r="A390" s="559"/>
      <c r="B390" s="559"/>
      <c r="C390" s="559"/>
      <c r="D390" s="559"/>
      <c r="E390" s="559"/>
      <c r="F390" s="559"/>
      <c r="G390" s="559"/>
      <c r="H390" s="559"/>
      <c r="I390" s="559"/>
      <c r="J390" s="559"/>
      <c r="K390" s="559"/>
      <c r="L390" s="559"/>
      <c r="M390" s="559"/>
      <c r="N390" s="559"/>
      <c r="O390" s="559"/>
      <c r="P390" s="559"/>
      <c r="Q390" s="559"/>
      <c r="R390" s="559"/>
      <c r="S390" s="559"/>
      <c r="T390" s="559"/>
      <c r="U390" s="559"/>
      <c r="V390" s="559"/>
      <c r="W390" s="559"/>
      <c r="X390" s="559"/>
      <c r="Y390" s="559"/>
      <c r="Z390" s="559"/>
      <c r="AA390" s="559"/>
      <c r="AB390" s="559"/>
      <c r="AC390" s="559"/>
      <c r="AD390" s="559"/>
      <c r="AE390" s="559"/>
      <c r="AF390" s="559"/>
      <c r="AG390" s="559"/>
    </row>
    <row r="391" spans="1:33" ht="18" customHeight="1" x14ac:dyDescent="0.35">
      <c r="A391" s="559"/>
      <c r="B391" s="559"/>
      <c r="C391" s="559"/>
      <c r="D391" s="559"/>
      <c r="E391" s="559"/>
      <c r="F391" s="559"/>
      <c r="G391" s="559"/>
      <c r="H391" s="559"/>
      <c r="I391" s="559"/>
      <c r="J391" s="559"/>
      <c r="K391" s="559"/>
      <c r="L391" s="559"/>
      <c r="M391" s="559"/>
      <c r="N391" s="559"/>
      <c r="O391" s="559"/>
      <c r="P391" s="559"/>
      <c r="Q391" s="559"/>
      <c r="R391" s="559"/>
      <c r="S391" s="559"/>
      <c r="T391" s="559"/>
      <c r="U391" s="559"/>
      <c r="V391" s="559"/>
      <c r="W391" s="559"/>
      <c r="X391" s="559"/>
      <c r="Y391" s="559"/>
      <c r="Z391" s="559"/>
      <c r="AA391" s="559"/>
      <c r="AB391" s="559"/>
      <c r="AC391" s="559"/>
      <c r="AD391" s="559"/>
      <c r="AE391" s="559"/>
      <c r="AF391" s="559"/>
      <c r="AG391" s="559"/>
    </row>
    <row r="392" spans="1:33" ht="18" customHeight="1" x14ac:dyDescent="0.35">
      <c r="A392" s="559"/>
      <c r="B392" s="559"/>
      <c r="C392" s="559"/>
      <c r="D392" s="559"/>
      <c r="E392" s="559"/>
      <c r="F392" s="559"/>
      <c r="G392" s="559"/>
      <c r="H392" s="559"/>
      <c r="I392" s="559"/>
      <c r="J392" s="559"/>
      <c r="K392" s="559"/>
      <c r="L392" s="559"/>
      <c r="M392" s="559"/>
      <c r="N392" s="559"/>
      <c r="O392" s="559"/>
      <c r="P392" s="559"/>
      <c r="Q392" s="559"/>
      <c r="R392" s="559"/>
      <c r="S392" s="559"/>
      <c r="T392" s="559"/>
      <c r="U392" s="559"/>
      <c r="V392" s="559"/>
      <c r="W392" s="559"/>
      <c r="X392" s="559"/>
      <c r="Y392" s="559"/>
      <c r="Z392" s="559"/>
      <c r="AA392" s="559"/>
      <c r="AB392" s="559"/>
      <c r="AC392" s="559"/>
      <c r="AD392" s="559"/>
      <c r="AE392" s="559"/>
      <c r="AF392" s="559"/>
      <c r="AG392" s="559"/>
    </row>
    <row r="393" spans="1:33" ht="18" customHeight="1" x14ac:dyDescent="0.35">
      <c r="A393" s="559"/>
      <c r="B393" s="559"/>
      <c r="C393" s="559"/>
      <c r="D393" s="559"/>
      <c r="E393" s="559"/>
      <c r="F393" s="559"/>
      <c r="G393" s="559"/>
      <c r="H393" s="559"/>
      <c r="I393" s="559"/>
      <c r="J393" s="559"/>
      <c r="K393" s="559"/>
      <c r="L393" s="559"/>
      <c r="M393" s="559"/>
      <c r="N393" s="559"/>
      <c r="O393" s="559"/>
      <c r="P393" s="559"/>
      <c r="Q393" s="559"/>
      <c r="R393" s="559"/>
      <c r="S393" s="559"/>
      <c r="T393" s="559"/>
      <c r="U393" s="559"/>
      <c r="V393" s="559"/>
      <c r="W393" s="559"/>
      <c r="X393" s="559"/>
      <c r="Y393" s="559"/>
      <c r="Z393" s="559"/>
      <c r="AA393" s="559"/>
      <c r="AB393" s="559"/>
      <c r="AC393" s="559"/>
      <c r="AD393" s="559"/>
      <c r="AE393" s="559"/>
      <c r="AF393" s="559"/>
      <c r="AG393" s="559"/>
    </row>
    <row r="394" spans="1:33" ht="18" customHeight="1" x14ac:dyDescent="0.35">
      <c r="A394" s="559"/>
      <c r="B394" s="559"/>
      <c r="C394" s="559"/>
      <c r="D394" s="559"/>
      <c r="E394" s="559"/>
      <c r="F394" s="559"/>
      <c r="G394" s="559"/>
      <c r="H394" s="559"/>
      <c r="I394" s="559"/>
      <c r="J394" s="559"/>
      <c r="K394" s="559"/>
      <c r="L394" s="559"/>
      <c r="M394" s="559"/>
      <c r="N394" s="559"/>
      <c r="O394" s="559"/>
      <c r="P394" s="559"/>
      <c r="Q394" s="559"/>
      <c r="R394" s="559"/>
      <c r="S394" s="559"/>
      <c r="T394" s="559"/>
      <c r="U394" s="559"/>
      <c r="V394" s="559"/>
      <c r="W394" s="559"/>
      <c r="X394" s="559"/>
      <c r="Y394" s="559"/>
      <c r="Z394" s="559"/>
      <c r="AA394" s="559"/>
      <c r="AB394" s="559"/>
      <c r="AC394" s="559"/>
      <c r="AD394" s="559"/>
      <c r="AE394" s="559"/>
      <c r="AF394" s="559"/>
      <c r="AG394" s="559"/>
    </row>
    <row r="395" spans="1:33" ht="18" customHeight="1" x14ac:dyDescent="0.35">
      <c r="A395" s="559"/>
      <c r="B395" s="559"/>
      <c r="C395" s="559"/>
      <c r="D395" s="559"/>
      <c r="E395" s="559"/>
      <c r="F395" s="559"/>
      <c r="G395" s="559"/>
      <c r="H395" s="559"/>
      <c r="I395" s="559"/>
      <c r="J395" s="559"/>
      <c r="K395" s="559"/>
      <c r="L395" s="559"/>
      <c r="M395" s="559"/>
      <c r="N395" s="559"/>
      <c r="O395" s="559"/>
      <c r="P395" s="559"/>
      <c r="Q395" s="559"/>
      <c r="R395" s="559"/>
      <c r="S395" s="559"/>
      <c r="T395" s="559"/>
      <c r="U395" s="559"/>
      <c r="V395" s="559"/>
      <c r="W395" s="559"/>
      <c r="X395" s="559"/>
      <c r="Y395" s="559"/>
      <c r="Z395" s="559"/>
      <c r="AA395" s="559"/>
      <c r="AB395" s="559"/>
      <c r="AC395" s="559"/>
      <c r="AD395" s="559"/>
      <c r="AE395" s="559"/>
      <c r="AF395" s="559"/>
      <c r="AG395" s="559"/>
    </row>
    <row r="396" spans="1:33" ht="18" customHeight="1" x14ac:dyDescent="0.35">
      <c r="A396" s="559"/>
      <c r="B396" s="559"/>
      <c r="C396" s="559"/>
      <c r="D396" s="559"/>
      <c r="E396" s="559"/>
      <c r="F396" s="559"/>
      <c r="G396" s="559"/>
      <c r="H396" s="559"/>
      <c r="I396" s="559"/>
      <c r="J396" s="559"/>
      <c r="K396" s="559"/>
      <c r="L396" s="559"/>
      <c r="M396" s="559"/>
      <c r="N396" s="559"/>
      <c r="O396" s="559"/>
      <c r="P396" s="559"/>
      <c r="Q396" s="559"/>
      <c r="R396" s="559"/>
      <c r="S396" s="559"/>
      <c r="T396" s="559"/>
      <c r="U396" s="559"/>
      <c r="V396" s="559"/>
      <c r="W396" s="559"/>
      <c r="X396" s="559"/>
      <c r="Y396" s="559"/>
      <c r="Z396" s="559"/>
      <c r="AA396" s="559"/>
      <c r="AB396" s="559"/>
      <c r="AC396" s="559"/>
      <c r="AD396" s="559"/>
      <c r="AE396" s="559"/>
      <c r="AF396" s="559"/>
      <c r="AG396" s="559"/>
    </row>
    <row r="397" spans="1:33" ht="18" customHeight="1" x14ac:dyDescent="0.35">
      <c r="A397" s="559"/>
      <c r="B397" s="559"/>
      <c r="C397" s="559"/>
      <c r="D397" s="559"/>
      <c r="E397" s="559"/>
      <c r="F397" s="559"/>
      <c r="G397" s="559"/>
      <c r="H397" s="559"/>
      <c r="I397" s="559"/>
      <c r="J397" s="559"/>
      <c r="K397" s="559"/>
      <c r="L397" s="559"/>
      <c r="M397" s="559"/>
      <c r="N397" s="559"/>
      <c r="O397" s="559"/>
      <c r="P397" s="559"/>
      <c r="Q397" s="559"/>
      <c r="R397" s="559"/>
      <c r="S397" s="559"/>
      <c r="T397" s="559"/>
      <c r="U397" s="559"/>
      <c r="V397" s="559"/>
      <c r="W397" s="559"/>
      <c r="X397" s="559"/>
      <c r="Y397" s="559"/>
      <c r="Z397" s="559"/>
      <c r="AA397" s="559"/>
      <c r="AB397" s="559"/>
      <c r="AC397" s="559"/>
      <c r="AD397" s="559"/>
      <c r="AE397" s="559"/>
      <c r="AF397" s="559"/>
      <c r="AG397" s="559"/>
    </row>
    <row r="398" spans="1:33" ht="18" customHeight="1" x14ac:dyDescent="0.35">
      <c r="A398" s="559"/>
      <c r="B398" s="559"/>
      <c r="C398" s="559"/>
      <c r="D398" s="559"/>
      <c r="E398" s="559"/>
      <c r="F398" s="559"/>
      <c r="G398" s="559"/>
      <c r="H398" s="559"/>
      <c r="I398" s="559"/>
      <c r="J398" s="559"/>
      <c r="K398" s="559"/>
      <c r="L398" s="559"/>
      <c r="M398" s="559"/>
      <c r="N398" s="559"/>
      <c r="O398" s="559"/>
      <c r="P398" s="559"/>
      <c r="Q398" s="559"/>
      <c r="R398" s="559"/>
      <c r="S398" s="559"/>
      <c r="T398" s="559"/>
      <c r="U398" s="559"/>
      <c r="V398" s="559"/>
      <c r="W398" s="559"/>
      <c r="X398" s="559"/>
      <c r="Y398" s="559"/>
      <c r="Z398" s="559"/>
      <c r="AA398" s="559"/>
      <c r="AB398" s="559"/>
      <c r="AC398" s="559"/>
      <c r="AD398" s="559"/>
      <c r="AE398" s="559"/>
      <c r="AF398" s="559"/>
      <c r="AG398" s="559"/>
    </row>
    <row r="399" spans="1:33" ht="18" customHeight="1" x14ac:dyDescent="0.35">
      <c r="A399" s="559"/>
      <c r="B399" s="559"/>
      <c r="C399" s="559"/>
      <c r="D399" s="559"/>
      <c r="E399" s="559"/>
      <c r="F399" s="559"/>
      <c r="G399" s="559"/>
      <c r="H399" s="559"/>
      <c r="I399" s="559"/>
      <c r="J399" s="559"/>
      <c r="K399" s="559"/>
      <c r="L399" s="559"/>
      <c r="M399" s="559"/>
      <c r="N399" s="559"/>
      <c r="O399" s="559"/>
      <c r="P399" s="559"/>
      <c r="Q399" s="559"/>
      <c r="R399" s="559"/>
      <c r="S399" s="559"/>
      <c r="T399" s="559"/>
      <c r="U399" s="559"/>
      <c r="V399" s="559"/>
      <c r="W399" s="559"/>
      <c r="X399" s="559"/>
      <c r="Y399" s="559"/>
      <c r="Z399" s="559"/>
      <c r="AA399" s="559"/>
      <c r="AB399" s="559"/>
      <c r="AC399" s="559"/>
      <c r="AD399" s="559"/>
      <c r="AE399" s="559"/>
      <c r="AF399" s="559"/>
      <c r="AG399" s="559"/>
    </row>
    <row r="400" spans="1:33" ht="18" customHeight="1" x14ac:dyDescent="0.35">
      <c r="A400" s="559"/>
      <c r="B400" s="559"/>
      <c r="C400" s="559"/>
      <c r="D400" s="559"/>
      <c r="E400" s="559"/>
      <c r="F400" s="559"/>
      <c r="G400" s="559"/>
      <c r="H400" s="559"/>
      <c r="I400" s="559"/>
      <c r="J400" s="559"/>
      <c r="K400" s="559"/>
      <c r="L400" s="559"/>
      <c r="M400" s="559"/>
      <c r="N400" s="559"/>
      <c r="O400" s="559"/>
      <c r="P400" s="559"/>
      <c r="Q400" s="559"/>
      <c r="R400" s="559"/>
      <c r="S400" s="559"/>
      <c r="T400" s="559"/>
      <c r="U400" s="559"/>
      <c r="V400" s="559"/>
      <c r="W400" s="559"/>
      <c r="X400" s="559"/>
      <c r="Y400" s="559"/>
      <c r="Z400" s="559"/>
      <c r="AA400" s="559"/>
      <c r="AB400" s="559"/>
      <c r="AC400" s="559"/>
      <c r="AD400" s="559"/>
      <c r="AE400" s="559"/>
      <c r="AF400" s="559"/>
      <c r="AG400" s="559"/>
    </row>
    <row r="401" spans="1:33" ht="18" customHeight="1" x14ac:dyDescent="0.35">
      <c r="A401" s="559"/>
      <c r="B401" s="559"/>
      <c r="C401" s="559"/>
      <c r="D401" s="559"/>
      <c r="E401" s="559"/>
      <c r="F401" s="559"/>
      <c r="G401" s="559"/>
      <c r="H401" s="559"/>
      <c r="I401" s="559"/>
      <c r="J401" s="559"/>
      <c r="K401" s="559"/>
      <c r="L401" s="559"/>
      <c r="M401" s="559"/>
      <c r="N401" s="559"/>
      <c r="O401" s="559"/>
      <c r="P401" s="559"/>
      <c r="Q401" s="559"/>
      <c r="R401" s="559"/>
      <c r="S401" s="559"/>
      <c r="T401" s="559"/>
      <c r="U401" s="559"/>
      <c r="V401" s="559"/>
      <c r="W401" s="559"/>
      <c r="X401" s="559"/>
      <c r="Y401" s="559"/>
      <c r="Z401" s="559"/>
      <c r="AA401" s="559"/>
      <c r="AB401" s="559"/>
      <c r="AC401" s="559"/>
      <c r="AD401" s="559"/>
      <c r="AE401" s="559"/>
      <c r="AF401" s="559"/>
      <c r="AG401" s="559"/>
    </row>
    <row r="402" spans="1:33" ht="18" customHeight="1" x14ac:dyDescent="0.35">
      <c r="A402" s="559"/>
      <c r="B402" s="559"/>
      <c r="C402" s="559"/>
      <c r="D402" s="559"/>
      <c r="E402" s="559"/>
      <c r="F402" s="559"/>
      <c r="G402" s="559"/>
      <c r="H402" s="559"/>
      <c r="I402" s="559"/>
      <c r="J402" s="559"/>
      <c r="K402" s="559"/>
      <c r="L402" s="559"/>
      <c r="M402" s="559"/>
      <c r="N402" s="559"/>
      <c r="O402" s="559"/>
      <c r="P402" s="559"/>
      <c r="Q402" s="559"/>
      <c r="R402" s="559"/>
      <c r="S402" s="559"/>
      <c r="T402" s="559"/>
      <c r="U402" s="559"/>
      <c r="V402" s="559"/>
      <c r="W402" s="559"/>
      <c r="X402" s="559"/>
      <c r="Y402" s="559"/>
      <c r="Z402" s="559"/>
      <c r="AA402" s="559"/>
      <c r="AB402" s="559"/>
      <c r="AC402" s="559"/>
      <c r="AD402" s="559"/>
      <c r="AE402" s="559"/>
      <c r="AF402" s="559"/>
      <c r="AG402" s="559"/>
    </row>
    <row r="403" spans="1:33" ht="18" customHeight="1" x14ac:dyDescent="0.35">
      <c r="A403" s="559"/>
      <c r="B403" s="559"/>
      <c r="C403" s="559"/>
      <c r="D403" s="559"/>
      <c r="E403" s="559"/>
      <c r="F403" s="559"/>
      <c r="G403" s="559"/>
      <c r="H403" s="559"/>
      <c r="I403" s="559"/>
      <c r="J403" s="559"/>
      <c r="K403" s="559"/>
      <c r="L403" s="559"/>
      <c r="M403" s="559"/>
      <c r="N403" s="559"/>
      <c r="O403" s="559"/>
      <c r="P403" s="559"/>
      <c r="Q403" s="559"/>
      <c r="R403" s="559"/>
      <c r="S403" s="559"/>
      <c r="T403" s="559"/>
      <c r="U403" s="559"/>
      <c r="V403" s="559"/>
      <c r="W403" s="559"/>
      <c r="X403" s="559"/>
      <c r="Y403" s="559"/>
      <c r="Z403" s="559"/>
      <c r="AA403" s="559"/>
      <c r="AB403" s="559"/>
      <c r="AC403" s="559"/>
      <c r="AD403" s="559"/>
      <c r="AE403" s="559"/>
      <c r="AF403" s="559"/>
      <c r="AG403" s="559"/>
    </row>
    <row r="404" spans="1:33" ht="18" customHeight="1" x14ac:dyDescent="0.35">
      <c r="A404" s="559"/>
      <c r="B404" s="559"/>
      <c r="C404" s="559"/>
      <c r="D404" s="559"/>
      <c r="E404" s="559"/>
      <c r="F404" s="559"/>
      <c r="G404" s="559"/>
      <c r="H404" s="559"/>
      <c r="I404" s="559"/>
      <c r="J404" s="559"/>
      <c r="K404" s="559"/>
      <c r="L404" s="559"/>
      <c r="M404" s="559"/>
      <c r="N404" s="559"/>
      <c r="O404" s="559"/>
      <c r="P404" s="559"/>
      <c r="Q404" s="559"/>
      <c r="R404" s="559"/>
      <c r="S404" s="559"/>
      <c r="T404" s="559"/>
      <c r="U404" s="559"/>
      <c r="V404" s="559"/>
      <c r="W404" s="559"/>
      <c r="X404" s="559"/>
      <c r="Y404" s="559"/>
      <c r="Z404" s="559"/>
      <c r="AA404" s="559"/>
      <c r="AB404" s="559"/>
      <c r="AC404" s="559"/>
      <c r="AD404" s="559"/>
      <c r="AE404" s="559"/>
      <c r="AF404" s="559"/>
      <c r="AG404" s="559"/>
    </row>
    <row r="405" spans="1:33" ht="18" customHeight="1" x14ac:dyDescent="0.35">
      <c r="A405" s="559"/>
      <c r="B405" s="559"/>
      <c r="C405" s="559"/>
      <c r="D405" s="559"/>
      <c r="E405" s="559"/>
      <c r="F405" s="559"/>
      <c r="G405" s="559"/>
      <c r="H405" s="559"/>
      <c r="I405" s="559"/>
      <c r="J405" s="559"/>
      <c r="K405" s="559"/>
      <c r="L405" s="559"/>
      <c r="M405" s="559"/>
      <c r="N405" s="559"/>
      <c r="O405" s="559"/>
      <c r="P405" s="559"/>
      <c r="Q405" s="559"/>
      <c r="R405" s="559"/>
      <c r="S405" s="559"/>
      <c r="T405" s="559"/>
      <c r="U405" s="559"/>
      <c r="V405" s="559"/>
      <c r="W405" s="559"/>
      <c r="X405" s="559"/>
      <c r="Y405" s="559"/>
      <c r="Z405" s="559"/>
      <c r="AA405" s="559"/>
      <c r="AB405" s="559"/>
      <c r="AC405" s="559"/>
      <c r="AD405" s="559"/>
      <c r="AE405" s="559"/>
      <c r="AF405" s="559"/>
      <c r="AG405" s="559"/>
    </row>
    <row r="406" spans="1:33" ht="18" customHeight="1" x14ac:dyDescent="0.35">
      <c r="A406" s="559"/>
      <c r="B406" s="559"/>
      <c r="C406" s="559"/>
      <c r="D406" s="559"/>
      <c r="E406" s="559"/>
      <c r="F406" s="559"/>
      <c r="G406" s="559"/>
      <c r="H406" s="559"/>
      <c r="I406" s="559"/>
      <c r="J406" s="559"/>
      <c r="K406" s="559"/>
      <c r="L406" s="559"/>
      <c r="M406" s="559"/>
      <c r="N406" s="559"/>
      <c r="O406" s="559"/>
      <c r="P406" s="559"/>
      <c r="Q406" s="559"/>
      <c r="R406" s="559"/>
      <c r="S406" s="559"/>
      <c r="T406" s="559"/>
      <c r="U406" s="559"/>
      <c r="V406" s="559"/>
      <c r="W406" s="559"/>
      <c r="X406" s="559"/>
      <c r="Y406" s="559"/>
      <c r="Z406" s="559"/>
      <c r="AA406" s="559"/>
      <c r="AB406" s="559"/>
      <c r="AC406" s="559"/>
      <c r="AD406" s="559"/>
      <c r="AE406" s="559"/>
      <c r="AF406" s="559"/>
      <c r="AG406" s="559"/>
    </row>
    <row r="407" spans="1:33" ht="18" customHeight="1" x14ac:dyDescent="0.35">
      <c r="A407" s="559"/>
      <c r="B407" s="559"/>
      <c r="C407" s="559"/>
      <c r="D407" s="559"/>
      <c r="E407" s="559"/>
      <c r="F407" s="559"/>
      <c r="G407" s="559"/>
      <c r="H407" s="559"/>
      <c r="I407" s="559"/>
      <c r="J407" s="559"/>
      <c r="K407" s="559"/>
      <c r="L407" s="559"/>
      <c r="M407" s="559"/>
      <c r="N407" s="559"/>
      <c r="O407" s="559"/>
      <c r="P407" s="559"/>
      <c r="Q407" s="559"/>
      <c r="R407" s="559"/>
      <c r="S407" s="559"/>
      <c r="T407" s="559"/>
      <c r="U407" s="559"/>
      <c r="V407" s="559"/>
      <c r="W407" s="559"/>
      <c r="X407" s="559"/>
      <c r="Y407" s="559"/>
      <c r="Z407" s="559"/>
      <c r="AA407" s="559"/>
      <c r="AB407" s="559"/>
      <c r="AC407" s="559"/>
      <c r="AD407" s="559"/>
      <c r="AE407" s="559"/>
      <c r="AF407" s="559"/>
      <c r="AG407" s="559"/>
    </row>
    <row r="408" spans="1:33" ht="18" customHeight="1" x14ac:dyDescent="0.35">
      <c r="A408" s="559"/>
      <c r="B408" s="559"/>
      <c r="C408" s="559"/>
      <c r="D408" s="559"/>
      <c r="E408" s="559"/>
      <c r="F408" s="559"/>
      <c r="G408" s="559"/>
      <c r="H408" s="559"/>
      <c r="I408" s="559"/>
      <c r="J408" s="559"/>
      <c r="K408" s="559"/>
      <c r="L408" s="559"/>
      <c r="M408" s="559"/>
      <c r="N408" s="559"/>
      <c r="O408" s="559"/>
      <c r="P408" s="559"/>
      <c r="Q408" s="559"/>
      <c r="R408" s="559"/>
      <c r="S408" s="559"/>
      <c r="T408" s="559"/>
      <c r="U408" s="559"/>
      <c r="V408" s="559"/>
      <c r="W408" s="559"/>
      <c r="X408" s="559"/>
      <c r="Y408" s="559"/>
      <c r="Z408" s="559"/>
      <c r="AA408" s="559"/>
      <c r="AB408" s="559"/>
      <c r="AC408" s="559"/>
      <c r="AD408" s="559"/>
      <c r="AE408" s="559"/>
      <c r="AF408" s="559"/>
      <c r="AG408" s="559"/>
    </row>
    <row r="409" spans="1:33" ht="18" customHeight="1" x14ac:dyDescent="0.35">
      <c r="A409" s="559"/>
      <c r="B409" s="559"/>
      <c r="C409" s="559"/>
      <c r="D409" s="559"/>
      <c r="E409" s="559"/>
      <c r="F409" s="559"/>
      <c r="G409" s="559"/>
      <c r="H409" s="559"/>
      <c r="I409" s="559"/>
      <c r="J409" s="559"/>
      <c r="K409" s="559"/>
      <c r="L409" s="559"/>
      <c r="M409" s="559"/>
      <c r="N409" s="559"/>
      <c r="O409" s="559"/>
      <c r="P409" s="559"/>
      <c r="Q409" s="559"/>
      <c r="R409" s="559"/>
      <c r="S409" s="559"/>
      <c r="T409" s="559"/>
      <c r="U409" s="559"/>
      <c r="V409" s="559"/>
      <c r="W409" s="559"/>
      <c r="X409" s="559"/>
      <c r="Y409" s="559"/>
      <c r="Z409" s="559"/>
      <c r="AA409" s="559"/>
      <c r="AB409" s="559"/>
      <c r="AC409" s="559"/>
      <c r="AD409" s="559"/>
      <c r="AE409" s="559"/>
      <c r="AF409" s="559"/>
      <c r="AG409" s="559"/>
    </row>
    <row r="410" spans="1:33" ht="18" customHeight="1" x14ac:dyDescent="0.35">
      <c r="A410" s="559"/>
      <c r="B410" s="559"/>
      <c r="C410" s="559"/>
      <c r="D410" s="559"/>
      <c r="E410" s="559"/>
      <c r="F410" s="559"/>
      <c r="G410" s="559"/>
      <c r="H410" s="559"/>
      <c r="I410" s="559"/>
      <c r="J410" s="559"/>
      <c r="K410" s="559"/>
      <c r="L410" s="559"/>
      <c r="M410" s="559"/>
      <c r="N410" s="559"/>
      <c r="O410" s="559"/>
      <c r="P410" s="559"/>
      <c r="Q410" s="559"/>
      <c r="R410" s="559"/>
      <c r="S410" s="559"/>
      <c r="T410" s="559"/>
      <c r="U410" s="559"/>
      <c r="V410" s="559"/>
      <c r="W410" s="559"/>
      <c r="X410" s="559"/>
      <c r="Y410" s="559"/>
      <c r="Z410" s="559"/>
      <c r="AA410" s="559"/>
      <c r="AB410" s="559"/>
      <c r="AC410" s="559"/>
      <c r="AD410" s="559"/>
      <c r="AE410" s="559"/>
      <c r="AF410" s="559"/>
      <c r="AG410" s="559"/>
    </row>
    <row r="411" spans="1:33" ht="18" customHeight="1" x14ac:dyDescent="0.35">
      <c r="A411" s="559"/>
      <c r="B411" s="559"/>
      <c r="C411" s="559"/>
      <c r="D411" s="559"/>
      <c r="E411" s="559"/>
      <c r="F411" s="559"/>
      <c r="G411" s="559"/>
      <c r="H411" s="559"/>
      <c r="I411" s="559"/>
      <c r="J411" s="559"/>
      <c r="K411" s="559"/>
      <c r="L411" s="559"/>
      <c r="M411" s="559"/>
      <c r="N411" s="559"/>
      <c r="O411" s="559"/>
      <c r="P411" s="559"/>
      <c r="Q411" s="559"/>
      <c r="R411" s="559"/>
      <c r="S411" s="559"/>
      <c r="T411" s="559"/>
      <c r="U411" s="559"/>
      <c r="V411" s="559"/>
      <c r="W411" s="559"/>
      <c r="X411" s="559"/>
      <c r="Y411" s="559"/>
      <c r="Z411" s="559"/>
      <c r="AA411" s="559"/>
      <c r="AB411" s="559"/>
      <c r="AC411" s="559"/>
      <c r="AD411" s="559"/>
      <c r="AE411" s="559"/>
      <c r="AF411" s="559"/>
      <c r="AG411" s="559"/>
    </row>
    <row r="412" spans="1:33" ht="18" customHeight="1" x14ac:dyDescent="0.35">
      <c r="A412" s="559"/>
      <c r="B412" s="559"/>
      <c r="C412" s="559"/>
      <c r="D412" s="559"/>
      <c r="E412" s="559"/>
      <c r="F412" s="559"/>
      <c r="G412" s="559"/>
      <c r="H412" s="559"/>
      <c r="I412" s="559"/>
      <c r="J412" s="559"/>
      <c r="K412" s="559"/>
      <c r="L412" s="559"/>
      <c r="M412" s="559"/>
      <c r="N412" s="559"/>
      <c r="O412" s="559"/>
      <c r="P412" s="559"/>
      <c r="Q412" s="559"/>
      <c r="R412" s="559"/>
      <c r="S412" s="559"/>
      <c r="T412" s="559"/>
      <c r="U412" s="559"/>
      <c r="V412" s="559"/>
      <c r="W412" s="559"/>
      <c r="X412" s="559"/>
      <c r="Y412" s="559"/>
      <c r="Z412" s="559"/>
      <c r="AA412" s="559"/>
      <c r="AB412" s="559"/>
      <c r="AC412" s="559"/>
      <c r="AD412" s="559"/>
      <c r="AE412" s="559"/>
      <c r="AF412" s="559"/>
      <c r="AG412" s="559"/>
    </row>
    <row r="413" spans="1:33" ht="18" customHeight="1" x14ac:dyDescent="0.35">
      <c r="A413" s="559"/>
      <c r="B413" s="559"/>
      <c r="C413" s="559"/>
      <c r="D413" s="559"/>
      <c r="E413" s="559"/>
      <c r="F413" s="559"/>
      <c r="G413" s="559"/>
      <c r="H413" s="559"/>
      <c r="I413" s="559"/>
      <c r="J413" s="559"/>
      <c r="K413" s="559"/>
      <c r="L413" s="559"/>
      <c r="M413" s="559"/>
      <c r="N413" s="559"/>
      <c r="O413" s="559"/>
      <c r="P413" s="559"/>
      <c r="Q413" s="559"/>
      <c r="R413" s="559"/>
      <c r="S413" s="559"/>
      <c r="T413" s="559"/>
      <c r="U413" s="559"/>
      <c r="V413" s="559"/>
      <c r="W413" s="559"/>
      <c r="X413" s="559"/>
      <c r="Y413" s="559"/>
      <c r="Z413" s="559"/>
      <c r="AA413" s="559"/>
      <c r="AB413" s="559"/>
      <c r="AC413" s="559"/>
      <c r="AD413" s="559"/>
      <c r="AE413" s="559"/>
      <c r="AF413" s="559"/>
      <c r="AG413" s="559"/>
    </row>
    <row r="414" spans="1:33" ht="18" customHeight="1" x14ac:dyDescent="0.35">
      <c r="A414" s="559"/>
      <c r="B414" s="559"/>
      <c r="C414" s="559"/>
      <c r="D414" s="559"/>
      <c r="E414" s="559"/>
      <c r="F414" s="559"/>
      <c r="G414" s="559"/>
      <c r="H414" s="559"/>
      <c r="I414" s="559"/>
      <c r="J414" s="559"/>
      <c r="K414" s="559"/>
      <c r="L414" s="559"/>
      <c r="M414" s="559"/>
      <c r="N414" s="559"/>
      <c r="O414" s="559"/>
      <c r="P414" s="559"/>
      <c r="Q414" s="559"/>
      <c r="R414" s="559"/>
      <c r="S414" s="559"/>
      <c r="T414" s="559"/>
      <c r="U414" s="559"/>
      <c r="V414" s="559"/>
      <c r="W414" s="559"/>
      <c r="X414" s="559"/>
      <c r="Y414" s="559"/>
      <c r="Z414" s="559"/>
      <c r="AA414" s="559"/>
      <c r="AB414" s="559"/>
      <c r="AC414" s="559"/>
      <c r="AD414" s="559"/>
      <c r="AE414" s="559"/>
      <c r="AF414" s="559"/>
      <c r="AG414" s="559"/>
    </row>
    <row r="415" spans="1:33" ht="18" customHeight="1" x14ac:dyDescent="0.35">
      <c r="A415" s="559"/>
      <c r="B415" s="559"/>
      <c r="C415" s="559"/>
      <c r="D415" s="559"/>
      <c r="E415" s="559"/>
      <c r="F415" s="559"/>
      <c r="G415" s="559"/>
      <c r="H415" s="559"/>
      <c r="I415" s="559"/>
      <c r="J415" s="559"/>
      <c r="K415" s="559"/>
      <c r="L415" s="559"/>
      <c r="M415" s="559"/>
      <c r="N415" s="559"/>
      <c r="O415" s="559"/>
      <c r="P415" s="559"/>
      <c r="Q415" s="559"/>
      <c r="R415" s="559"/>
      <c r="S415" s="559"/>
      <c r="T415" s="559"/>
      <c r="U415" s="559"/>
      <c r="V415" s="559"/>
      <c r="W415" s="559"/>
      <c r="X415" s="559"/>
      <c r="Y415" s="559"/>
      <c r="Z415" s="559"/>
      <c r="AA415" s="559"/>
      <c r="AB415" s="559"/>
      <c r="AC415" s="559"/>
      <c r="AD415" s="559"/>
      <c r="AE415" s="559"/>
      <c r="AF415" s="559"/>
      <c r="AG415" s="559"/>
    </row>
    <row r="416" spans="1:33" ht="18" customHeight="1" x14ac:dyDescent="0.35">
      <c r="A416" s="559"/>
      <c r="B416" s="559"/>
      <c r="C416" s="559"/>
      <c r="D416" s="559"/>
      <c r="E416" s="559"/>
      <c r="F416" s="559"/>
      <c r="G416" s="559"/>
      <c r="H416" s="559"/>
      <c r="I416" s="559"/>
      <c r="J416" s="559"/>
      <c r="K416" s="559"/>
      <c r="L416" s="559"/>
      <c r="M416" s="559"/>
      <c r="N416" s="559"/>
      <c r="O416" s="559"/>
      <c r="P416" s="559"/>
      <c r="Q416" s="559"/>
      <c r="R416" s="559"/>
      <c r="S416" s="559"/>
      <c r="T416" s="559"/>
      <c r="U416" s="559"/>
      <c r="V416" s="559"/>
      <c r="W416" s="559"/>
      <c r="X416" s="559"/>
      <c r="Y416" s="559"/>
      <c r="Z416" s="559"/>
      <c r="AA416" s="559"/>
      <c r="AB416" s="559"/>
      <c r="AC416" s="559"/>
      <c r="AD416" s="559"/>
      <c r="AE416" s="559"/>
      <c r="AF416" s="559"/>
      <c r="AG416" s="559"/>
    </row>
    <row r="417" spans="1:33" ht="18" customHeight="1" x14ac:dyDescent="0.35">
      <c r="A417" s="559"/>
      <c r="B417" s="559"/>
      <c r="C417" s="559"/>
      <c r="D417" s="559"/>
      <c r="E417" s="559"/>
      <c r="F417" s="559"/>
      <c r="G417" s="559"/>
      <c r="H417" s="559"/>
      <c r="I417" s="559"/>
      <c r="J417" s="559"/>
      <c r="K417" s="559"/>
      <c r="L417" s="559"/>
      <c r="M417" s="559"/>
      <c r="N417" s="559"/>
      <c r="O417" s="559"/>
      <c r="P417" s="559"/>
      <c r="Q417" s="559"/>
      <c r="R417" s="559"/>
      <c r="S417" s="559"/>
      <c r="T417" s="559"/>
      <c r="U417" s="559"/>
      <c r="V417" s="559"/>
      <c r="W417" s="559"/>
      <c r="X417" s="559"/>
      <c r="Y417" s="559"/>
      <c r="Z417" s="559"/>
      <c r="AA417" s="559"/>
      <c r="AB417" s="559"/>
      <c r="AC417" s="559"/>
      <c r="AD417" s="559"/>
      <c r="AE417" s="559"/>
      <c r="AF417" s="559"/>
      <c r="AG417" s="559"/>
    </row>
    <row r="418" spans="1:33" ht="18" customHeight="1" x14ac:dyDescent="0.35">
      <c r="A418" s="559"/>
      <c r="B418" s="559"/>
      <c r="C418" s="559"/>
      <c r="D418" s="559"/>
      <c r="E418" s="559"/>
      <c r="F418" s="559"/>
      <c r="G418" s="559"/>
      <c r="H418" s="559"/>
      <c r="I418" s="559"/>
      <c r="J418" s="559"/>
      <c r="K418" s="559"/>
      <c r="L418" s="559"/>
      <c r="M418" s="559"/>
      <c r="N418" s="559"/>
      <c r="O418" s="559"/>
      <c r="P418" s="559"/>
      <c r="Q418" s="559"/>
      <c r="R418" s="559"/>
      <c r="S418" s="559"/>
      <c r="T418" s="559"/>
      <c r="U418" s="559"/>
      <c r="V418" s="559"/>
      <c r="W418" s="559"/>
      <c r="X418" s="559"/>
      <c r="Y418" s="559"/>
      <c r="Z418" s="559"/>
      <c r="AA418" s="559"/>
      <c r="AB418" s="559"/>
      <c r="AC418" s="559"/>
      <c r="AD418" s="559"/>
      <c r="AE418" s="559"/>
      <c r="AF418" s="559"/>
      <c r="AG418" s="559"/>
    </row>
    <row r="419" spans="1:33" ht="18" customHeight="1" x14ac:dyDescent="0.35">
      <c r="A419" s="559"/>
      <c r="B419" s="559"/>
      <c r="C419" s="559"/>
      <c r="D419" s="559"/>
      <c r="E419" s="559"/>
      <c r="F419" s="559"/>
      <c r="G419" s="559"/>
      <c r="H419" s="559"/>
      <c r="I419" s="559"/>
      <c r="J419" s="559"/>
      <c r="K419" s="559"/>
      <c r="L419" s="559"/>
      <c r="M419" s="559"/>
      <c r="N419" s="559"/>
      <c r="O419" s="559"/>
      <c r="P419" s="559"/>
      <c r="Q419" s="559"/>
      <c r="R419" s="559"/>
      <c r="S419" s="559"/>
      <c r="T419" s="559"/>
      <c r="U419" s="559"/>
      <c r="V419" s="559"/>
      <c r="W419" s="559"/>
      <c r="X419" s="559"/>
      <c r="Y419" s="559"/>
      <c r="Z419" s="559"/>
      <c r="AA419" s="559"/>
      <c r="AB419" s="559"/>
      <c r="AC419" s="559"/>
      <c r="AD419" s="559"/>
      <c r="AE419" s="559"/>
      <c r="AF419" s="559"/>
      <c r="AG419" s="559"/>
    </row>
    <row r="420" spans="1:33" ht="18" customHeight="1" x14ac:dyDescent="0.35">
      <c r="A420" s="559"/>
      <c r="B420" s="559"/>
      <c r="C420" s="559"/>
      <c r="D420" s="559"/>
      <c r="E420" s="559"/>
      <c r="F420" s="559"/>
      <c r="G420" s="559"/>
      <c r="H420" s="559"/>
      <c r="I420" s="559"/>
      <c r="J420" s="559"/>
      <c r="K420" s="559"/>
      <c r="L420" s="559"/>
      <c r="M420" s="559"/>
      <c r="N420" s="559"/>
      <c r="O420" s="559"/>
      <c r="P420" s="559"/>
      <c r="Q420" s="559"/>
      <c r="R420" s="559"/>
      <c r="S420" s="559"/>
      <c r="T420" s="559"/>
      <c r="U420" s="559"/>
      <c r="V420" s="559"/>
      <c r="W420" s="559"/>
      <c r="X420" s="559"/>
      <c r="Y420" s="559"/>
      <c r="Z420" s="559"/>
      <c r="AA420" s="559"/>
      <c r="AB420" s="559"/>
      <c r="AC420" s="559"/>
      <c r="AD420" s="559"/>
      <c r="AE420" s="559"/>
      <c r="AF420" s="559"/>
      <c r="AG420" s="559"/>
    </row>
    <row r="421" spans="1:33" ht="18" customHeight="1" x14ac:dyDescent="0.35">
      <c r="A421" s="559"/>
      <c r="B421" s="559"/>
      <c r="C421" s="559"/>
      <c r="D421" s="559"/>
      <c r="E421" s="559"/>
      <c r="F421" s="559"/>
      <c r="G421" s="559"/>
      <c r="H421" s="559"/>
      <c r="I421" s="559"/>
      <c r="J421" s="559"/>
      <c r="K421" s="559"/>
      <c r="L421" s="559"/>
      <c r="M421" s="559"/>
      <c r="N421" s="559"/>
      <c r="O421" s="559"/>
      <c r="P421" s="559"/>
      <c r="Q421" s="559"/>
      <c r="R421" s="559"/>
      <c r="S421" s="559"/>
      <c r="T421" s="559"/>
      <c r="U421" s="559"/>
      <c r="V421" s="559"/>
      <c r="W421" s="559"/>
      <c r="X421" s="559"/>
      <c r="Y421" s="559"/>
      <c r="Z421" s="559"/>
      <c r="AA421" s="559"/>
      <c r="AB421" s="559"/>
      <c r="AC421" s="559"/>
      <c r="AD421" s="559"/>
      <c r="AE421" s="559"/>
      <c r="AF421" s="559"/>
      <c r="AG421" s="559"/>
    </row>
    <row r="422" spans="1:33" ht="18" customHeight="1" x14ac:dyDescent="0.35">
      <c r="A422" s="559"/>
      <c r="B422" s="559"/>
      <c r="C422" s="559"/>
      <c r="D422" s="559"/>
      <c r="E422" s="559"/>
      <c r="F422" s="559"/>
      <c r="G422" s="559"/>
      <c r="H422" s="559"/>
      <c r="I422" s="559"/>
      <c r="J422" s="559"/>
      <c r="K422" s="559"/>
      <c r="L422" s="559"/>
      <c r="M422" s="559"/>
      <c r="N422" s="559"/>
      <c r="O422" s="559"/>
      <c r="P422" s="559"/>
      <c r="Q422" s="559"/>
      <c r="R422" s="559"/>
      <c r="S422" s="559"/>
      <c r="T422" s="559"/>
      <c r="U422" s="559"/>
      <c r="V422" s="559"/>
      <c r="W422" s="559"/>
      <c r="X422" s="559"/>
      <c r="Y422" s="559"/>
      <c r="Z422" s="559"/>
      <c r="AA422" s="559"/>
      <c r="AB422" s="559"/>
      <c r="AC422" s="559"/>
      <c r="AD422" s="559"/>
      <c r="AE422" s="559"/>
      <c r="AF422" s="559"/>
      <c r="AG422" s="559"/>
    </row>
    <row r="423" spans="1:33" ht="18" customHeight="1" x14ac:dyDescent="0.35">
      <c r="A423" s="559"/>
      <c r="B423" s="559"/>
      <c r="C423" s="559"/>
      <c r="D423" s="559"/>
      <c r="E423" s="559"/>
      <c r="F423" s="559"/>
      <c r="G423" s="559"/>
      <c r="H423" s="559"/>
      <c r="I423" s="559"/>
      <c r="J423" s="559"/>
      <c r="K423" s="559"/>
      <c r="L423" s="559"/>
      <c r="M423" s="559"/>
      <c r="N423" s="559"/>
      <c r="O423" s="559"/>
      <c r="P423" s="559"/>
      <c r="Q423" s="559"/>
      <c r="R423" s="559"/>
      <c r="S423" s="559"/>
      <c r="T423" s="559"/>
      <c r="U423" s="559"/>
      <c r="V423" s="559"/>
      <c r="W423" s="559"/>
      <c r="X423" s="559"/>
      <c r="Y423" s="559"/>
      <c r="Z423" s="559"/>
      <c r="AA423" s="559"/>
      <c r="AB423" s="559"/>
      <c r="AC423" s="559"/>
      <c r="AD423" s="559"/>
      <c r="AE423" s="559"/>
      <c r="AF423" s="559"/>
      <c r="AG423" s="559"/>
    </row>
    <row r="424" spans="1:33" ht="18" customHeight="1" x14ac:dyDescent="0.35">
      <c r="A424" s="559"/>
      <c r="B424" s="559"/>
      <c r="C424" s="559"/>
      <c r="D424" s="559"/>
      <c r="E424" s="559"/>
      <c r="F424" s="559"/>
      <c r="G424" s="559"/>
      <c r="H424" s="559"/>
      <c r="I424" s="559"/>
      <c r="J424" s="559"/>
      <c r="K424" s="559"/>
      <c r="L424" s="559"/>
      <c r="M424" s="559"/>
      <c r="N424" s="559"/>
      <c r="O424" s="559"/>
      <c r="P424" s="559"/>
      <c r="Q424" s="559"/>
      <c r="R424" s="559"/>
      <c r="S424" s="559"/>
      <c r="T424" s="559"/>
      <c r="U424" s="559"/>
      <c r="V424" s="559"/>
      <c r="W424" s="559"/>
      <c r="X424" s="559"/>
      <c r="Y424" s="559"/>
      <c r="Z424" s="559"/>
      <c r="AA424" s="559"/>
      <c r="AB424" s="559"/>
      <c r="AC424" s="559"/>
      <c r="AD424" s="559"/>
      <c r="AE424" s="559"/>
      <c r="AF424" s="559"/>
      <c r="AG424" s="559"/>
    </row>
    <row r="425" spans="1:33" ht="18" customHeight="1" x14ac:dyDescent="0.35">
      <c r="A425" s="559"/>
      <c r="B425" s="559"/>
      <c r="C425" s="559"/>
      <c r="D425" s="559"/>
      <c r="E425" s="559"/>
      <c r="F425" s="559"/>
      <c r="G425" s="559"/>
      <c r="H425" s="559"/>
      <c r="I425" s="559"/>
      <c r="J425" s="559"/>
      <c r="K425" s="559"/>
      <c r="L425" s="559"/>
      <c r="M425" s="559"/>
      <c r="N425" s="559"/>
      <c r="O425" s="559"/>
      <c r="P425" s="559"/>
      <c r="Q425" s="559"/>
      <c r="R425" s="559"/>
      <c r="S425" s="559"/>
      <c r="T425" s="559"/>
      <c r="U425" s="559"/>
      <c r="V425" s="559"/>
      <c r="W425" s="559"/>
      <c r="X425" s="559"/>
      <c r="Y425" s="559"/>
      <c r="Z425" s="559"/>
      <c r="AA425" s="559"/>
      <c r="AB425" s="559"/>
      <c r="AC425" s="559"/>
      <c r="AD425" s="559"/>
      <c r="AE425" s="559"/>
      <c r="AF425" s="559"/>
      <c r="AG425" s="559"/>
    </row>
    <row r="426" spans="1:33" ht="18" customHeight="1" x14ac:dyDescent="0.35">
      <c r="A426" s="559"/>
      <c r="B426" s="559"/>
      <c r="C426" s="559"/>
      <c r="D426" s="559"/>
      <c r="E426" s="559"/>
      <c r="F426" s="559"/>
      <c r="G426" s="559"/>
      <c r="H426" s="559"/>
      <c r="I426" s="559"/>
      <c r="J426" s="559"/>
      <c r="K426" s="559"/>
      <c r="L426" s="559"/>
      <c r="M426" s="559"/>
      <c r="N426" s="559"/>
      <c r="O426" s="559"/>
      <c r="P426" s="559"/>
      <c r="Q426" s="559"/>
      <c r="R426" s="559"/>
      <c r="S426" s="559"/>
      <c r="T426" s="559"/>
      <c r="U426" s="559"/>
      <c r="V426" s="559"/>
      <c r="W426" s="559"/>
      <c r="X426" s="559"/>
      <c r="Y426" s="559"/>
      <c r="Z426" s="559"/>
      <c r="AA426" s="559"/>
      <c r="AB426" s="559"/>
      <c r="AC426" s="559"/>
      <c r="AD426" s="559"/>
      <c r="AE426" s="559"/>
      <c r="AF426" s="559"/>
      <c r="AG426" s="559"/>
    </row>
    <row r="427" spans="1:33" ht="18" customHeight="1" x14ac:dyDescent="0.35">
      <c r="A427" s="559"/>
      <c r="B427" s="559"/>
      <c r="C427" s="559"/>
      <c r="D427" s="559"/>
      <c r="E427" s="559"/>
      <c r="F427" s="559"/>
      <c r="G427" s="559"/>
      <c r="H427" s="559"/>
      <c r="I427" s="559"/>
      <c r="J427" s="559"/>
      <c r="K427" s="559"/>
      <c r="L427" s="559"/>
      <c r="M427" s="559"/>
      <c r="N427" s="559"/>
      <c r="O427" s="559"/>
      <c r="P427" s="559"/>
      <c r="Q427" s="559"/>
      <c r="R427" s="559"/>
      <c r="S427" s="559"/>
      <c r="T427" s="559"/>
      <c r="U427" s="559"/>
      <c r="V427" s="559"/>
      <c r="W427" s="559"/>
      <c r="X427" s="559"/>
      <c r="Y427" s="559"/>
      <c r="Z427" s="559"/>
      <c r="AA427" s="559"/>
      <c r="AB427" s="559"/>
      <c r="AC427" s="559"/>
      <c r="AD427" s="559"/>
      <c r="AE427" s="559"/>
      <c r="AF427" s="559"/>
      <c r="AG427" s="559"/>
    </row>
    <row r="428" spans="1:33" ht="18" customHeight="1" x14ac:dyDescent="0.35">
      <c r="A428" s="559"/>
      <c r="B428" s="559"/>
      <c r="C428" s="559"/>
      <c r="D428" s="559"/>
      <c r="E428" s="559"/>
      <c r="F428" s="559"/>
      <c r="G428" s="559"/>
      <c r="H428" s="559"/>
      <c r="I428" s="559"/>
      <c r="J428" s="559"/>
      <c r="K428" s="559"/>
      <c r="L428" s="559"/>
      <c r="M428" s="559"/>
      <c r="N428" s="559"/>
      <c r="O428" s="559"/>
      <c r="P428" s="559"/>
      <c r="Q428" s="559"/>
      <c r="R428" s="559"/>
      <c r="S428" s="559"/>
      <c r="T428" s="559"/>
      <c r="U428" s="559"/>
      <c r="V428" s="559"/>
      <c r="W428" s="559"/>
      <c r="X428" s="559"/>
      <c r="Y428" s="559"/>
      <c r="Z428" s="559"/>
      <c r="AA428" s="559"/>
      <c r="AB428" s="559"/>
      <c r="AC428" s="559"/>
      <c r="AD428" s="559"/>
      <c r="AE428" s="559"/>
      <c r="AF428" s="559"/>
      <c r="AG428" s="559"/>
    </row>
    <row r="429" spans="1:33" ht="18" customHeight="1" x14ac:dyDescent="0.35">
      <c r="A429" s="559"/>
      <c r="B429" s="559"/>
      <c r="C429" s="559"/>
      <c r="D429" s="559"/>
      <c r="E429" s="559"/>
      <c r="F429" s="559"/>
      <c r="G429" s="559"/>
      <c r="H429" s="559"/>
      <c r="I429" s="559"/>
      <c r="J429" s="559"/>
      <c r="K429" s="559"/>
      <c r="L429" s="559"/>
      <c r="M429" s="559"/>
      <c r="N429" s="559"/>
      <c r="O429" s="559"/>
      <c r="P429" s="559"/>
      <c r="Q429" s="559"/>
      <c r="R429" s="559"/>
      <c r="S429" s="559"/>
      <c r="T429" s="559"/>
      <c r="U429" s="559"/>
      <c r="V429" s="559"/>
      <c r="W429" s="559"/>
      <c r="X429" s="559"/>
      <c r="Y429" s="559"/>
      <c r="Z429" s="559"/>
      <c r="AA429" s="559"/>
      <c r="AB429" s="559"/>
      <c r="AC429" s="559"/>
      <c r="AD429" s="559"/>
      <c r="AE429" s="559"/>
      <c r="AF429" s="559"/>
      <c r="AG429" s="559"/>
    </row>
    <row r="430" spans="1:33" ht="18" customHeight="1" x14ac:dyDescent="0.35">
      <c r="A430" s="559"/>
      <c r="B430" s="559"/>
      <c r="C430" s="559"/>
      <c r="D430" s="559"/>
      <c r="E430" s="559"/>
      <c r="F430" s="559"/>
      <c r="G430" s="559"/>
      <c r="H430" s="559"/>
      <c r="I430" s="559"/>
      <c r="J430" s="559"/>
      <c r="K430" s="559"/>
      <c r="L430" s="559"/>
      <c r="M430" s="559"/>
      <c r="N430" s="559"/>
      <c r="O430" s="559"/>
      <c r="P430" s="559"/>
      <c r="Q430" s="559"/>
      <c r="R430" s="559"/>
      <c r="S430" s="559"/>
      <c r="T430" s="559"/>
      <c r="U430" s="559"/>
      <c r="V430" s="559"/>
      <c r="W430" s="559"/>
      <c r="X430" s="559"/>
      <c r="Y430" s="559"/>
      <c r="Z430" s="559"/>
      <c r="AA430" s="559"/>
      <c r="AB430" s="559"/>
      <c r="AC430" s="559"/>
      <c r="AD430" s="559"/>
      <c r="AE430" s="559"/>
      <c r="AF430" s="559"/>
      <c r="AG430" s="559"/>
    </row>
    <row r="431" spans="1:33" ht="18" customHeight="1" x14ac:dyDescent="0.35">
      <c r="A431" s="559"/>
      <c r="B431" s="559"/>
      <c r="C431" s="559"/>
      <c r="D431" s="559"/>
      <c r="E431" s="559"/>
      <c r="F431" s="559"/>
      <c r="G431" s="559"/>
      <c r="H431" s="559"/>
      <c r="I431" s="559"/>
      <c r="J431" s="559"/>
      <c r="K431" s="559"/>
      <c r="L431" s="559"/>
      <c r="M431" s="559"/>
      <c r="N431" s="559"/>
      <c r="O431" s="559"/>
      <c r="P431" s="559"/>
      <c r="Q431" s="559"/>
      <c r="R431" s="559"/>
      <c r="S431" s="559"/>
      <c r="T431" s="559"/>
      <c r="U431" s="559"/>
      <c r="V431" s="559"/>
      <c r="W431" s="559"/>
      <c r="X431" s="559"/>
      <c r="Y431" s="559"/>
      <c r="Z431" s="559"/>
      <c r="AA431" s="559"/>
      <c r="AB431" s="559"/>
      <c r="AC431" s="559"/>
      <c r="AD431" s="559"/>
      <c r="AE431" s="559"/>
      <c r="AF431" s="559"/>
      <c r="AG431" s="559"/>
    </row>
    <row r="432" spans="1:33" ht="18" customHeight="1" x14ac:dyDescent="0.35">
      <c r="A432" s="559"/>
      <c r="B432" s="559"/>
      <c r="C432" s="559"/>
      <c r="D432" s="559"/>
      <c r="E432" s="559"/>
      <c r="F432" s="559"/>
      <c r="G432" s="559"/>
      <c r="H432" s="559"/>
      <c r="I432" s="559"/>
      <c r="J432" s="559"/>
      <c r="K432" s="559"/>
      <c r="L432" s="559"/>
      <c r="M432" s="559"/>
      <c r="N432" s="559"/>
      <c r="O432" s="559"/>
      <c r="P432" s="559"/>
      <c r="Q432" s="559"/>
      <c r="R432" s="559"/>
      <c r="S432" s="559"/>
      <c r="T432" s="559"/>
      <c r="U432" s="559"/>
      <c r="V432" s="559"/>
      <c r="W432" s="559"/>
      <c r="X432" s="559"/>
      <c r="Y432" s="559"/>
      <c r="Z432" s="559"/>
      <c r="AA432" s="559"/>
      <c r="AB432" s="559"/>
      <c r="AC432" s="559"/>
      <c r="AD432" s="559"/>
      <c r="AE432" s="559"/>
      <c r="AF432" s="559"/>
      <c r="AG432" s="559"/>
    </row>
    <row r="433" spans="1:33" ht="18" customHeight="1" x14ac:dyDescent="0.35">
      <c r="A433" s="559"/>
      <c r="B433" s="559"/>
      <c r="C433" s="559"/>
      <c r="D433" s="559"/>
      <c r="E433" s="559"/>
      <c r="F433" s="559"/>
      <c r="G433" s="559"/>
      <c r="H433" s="559"/>
      <c r="I433" s="559"/>
      <c r="J433" s="559"/>
      <c r="K433" s="559"/>
      <c r="L433" s="559"/>
      <c r="M433" s="559"/>
      <c r="N433" s="559"/>
      <c r="O433" s="559"/>
      <c r="P433" s="559"/>
      <c r="Q433" s="559"/>
      <c r="R433" s="559"/>
      <c r="S433" s="559"/>
      <c r="T433" s="559"/>
      <c r="U433" s="559"/>
      <c r="V433" s="559"/>
      <c r="W433" s="559"/>
      <c r="X433" s="559"/>
      <c r="Y433" s="559"/>
      <c r="Z433" s="559"/>
      <c r="AA433" s="559"/>
      <c r="AB433" s="559"/>
      <c r="AC433" s="559"/>
      <c r="AD433" s="559"/>
      <c r="AE433" s="559"/>
      <c r="AF433" s="559"/>
      <c r="AG433" s="559"/>
    </row>
    <row r="434" spans="1:33" ht="18" customHeight="1" x14ac:dyDescent="0.35">
      <c r="A434" s="559"/>
      <c r="B434" s="559"/>
      <c r="C434" s="559"/>
      <c r="D434" s="559"/>
      <c r="E434" s="559"/>
      <c r="F434" s="559"/>
      <c r="G434" s="559"/>
      <c r="H434" s="559"/>
      <c r="I434" s="559"/>
      <c r="J434" s="559"/>
      <c r="K434" s="559"/>
      <c r="L434" s="559"/>
      <c r="M434" s="559"/>
      <c r="N434" s="559"/>
      <c r="O434" s="559"/>
      <c r="P434" s="559"/>
      <c r="Q434" s="559"/>
      <c r="R434" s="559"/>
      <c r="S434" s="559"/>
      <c r="T434" s="559"/>
      <c r="U434" s="559"/>
      <c r="V434" s="559"/>
      <c r="W434" s="559"/>
      <c r="X434" s="559"/>
      <c r="Y434" s="559"/>
      <c r="Z434" s="559"/>
      <c r="AA434" s="559"/>
      <c r="AB434" s="559"/>
      <c r="AC434" s="559"/>
      <c r="AD434" s="559"/>
      <c r="AE434" s="559"/>
      <c r="AF434" s="559"/>
      <c r="AG434" s="559"/>
    </row>
    <row r="435" spans="1:33" ht="18" customHeight="1" x14ac:dyDescent="0.35">
      <c r="A435" s="559"/>
      <c r="B435" s="559"/>
      <c r="C435" s="559"/>
      <c r="D435" s="559"/>
      <c r="E435" s="559"/>
      <c r="F435" s="559"/>
      <c r="G435" s="559"/>
      <c r="H435" s="559"/>
      <c r="I435" s="559"/>
      <c r="J435" s="559"/>
      <c r="K435" s="559"/>
      <c r="L435" s="559"/>
      <c r="M435" s="559"/>
      <c r="N435" s="559"/>
      <c r="O435" s="559"/>
      <c r="P435" s="559"/>
      <c r="Q435" s="559"/>
      <c r="R435" s="559"/>
      <c r="S435" s="559"/>
      <c r="T435" s="559"/>
      <c r="U435" s="559"/>
      <c r="V435" s="559"/>
      <c r="W435" s="559"/>
      <c r="X435" s="559"/>
      <c r="Y435" s="559"/>
      <c r="Z435" s="559"/>
      <c r="AA435" s="559"/>
      <c r="AB435" s="559"/>
      <c r="AC435" s="559"/>
      <c r="AD435" s="559"/>
      <c r="AE435" s="559"/>
      <c r="AF435" s="559"/>
      <c r="AG435" s="559"/>
    </row>
    <row r="436" spans="1:33" ht="18" customHeight="1" x14ac:dyDescent="0.35">
      <c r="A436" s="559"/>
      <c r="B436" s="559"/>
      <c r="C436" s="559"/>
      <c r="D436" s="559"/>
      <c r="E436" s="559"/>
      <c r="F436" s="559"/>
      <c r="G436" s="559"/>
      <c r="H436" s="559"/>
      <c r="I436" s="559"/>
      <c r="J436" s="559"/>
      <c r="K436" s="559"/>
      <c r="L436" s="559"/>
      <c r="M436" s="559"/>
      <c r="N436" s="559"/>
      <c r="O436" s="559"/>
      <c r="P436" s="559"/>
      <c r="Q436" s="559"/>
      <c r="R436" s="559"/>
      <c r="S436" s="559"/>
      <c r="T436" s="559"/>
      <c r="U436" s="559"/>
      <c r="V436" s="559"/>
      <c r="W436" s="559"/>
      <c r="X436" s="559"/>
      <c r="Y436" s="559"/>
      <c r="Z436" s="559"/>
      <c r="AA436" s="559"/>
      <c r="AB436" s="559"/>
      <c r="AC436" s="559"/>
      <c r="AD436" s="559"/>
      <c r="AE436" s="559"/>
      <c r="AF436" s="559"/>
      <c r="AG436" s="559"/>
    </row>
    <row r="437" spans="1:33" ht="18" customHeight="1" x14ac:dyDescent="0.35">
      <c r="A437" s="559"/>
      <c r="B437" s="559"/>
      <c r="C437" s="559"/>
      <c r="D437" s="559"/>
      <c r="E437" s="559"/>
      <c r="F437" s="559"/>
      <c r="G437" s="559"/>
      <c r="H437" s="559"/>
      <c r="I437" s="559"/>
      <c r="J437" s="559"/>
      <c r="K437" s="559"/>
      <c r="L437" s="559"/>
      <c r="M437" s="559"/>
      <c r="N437" s="559"/>
      <c r="O437" s="559"/>
      <c r="P437" s="559"/>
      <c r="Q437" s="559"/>
      <c r="R437" s="559"/>
      <c r="S437" s="559"/>
      <c r="T437" s="559"/>
      <c r="U437" s="559"/>
      <c r="V437" s="559"/>
      <c r="W437" s="559"/>
      <c r="X437" s="559"/>
      <c r="Y437" s="559"/>
      <c r="Z437" s="559"/>
      <c r="AA437" s="559"/>
      <c r="AB437" s="559"/>
      <c r="AC437" s="559"/>
      <c r="AD437" s="559"/>
      <c r="AE437" s="559"/>
      <c r="AF437" s="559"/>
      <c r="AG437" s="559"/>
    </row>
    <row r="438" spans="1:33" ht="18" customHeight="1" x14ac:dyDescent="0.35">
      <c r="A438" s="559"/>
      <c r="B438" s="559"/>
      <c r="C438" s="559"/>
      <c r="D438" s="559"/>
      <c r="E438" s="559"/>
      <c r="F438" s="559"/>
      <c r="G438" s="559"/>
      <c r="H438" s="559"/>
      <c r="I438" s="559"/>
      <c r="J438" s="559"/>
      <c r="K438" s="559"/>
      <c r="L438" s="559"/>
      <c r="M438" s="559"/>
      <c r="N438" s="559"/>
      <c r="O438" s="559"/>
      <c r="P438" s="559"/>
      <c r="Q438" s="559"/>
      <c r="R438" s="559"/>
      <c r="S438" s="559"/>
      <c r="T438" s="559"/>
      <c r="U438" s="559"/>
      <c r="V438" s="559"/>
      <c r="W438" s="559"/>
      <c r="X438" s="559"/>
      <c r="Y438" s="559"/>
      <c r="Z438" s="559"/>
      <c r="AA438" s="559"/>
      <c r="AB438" s="559"/>
      <c r="AC438" s="559"/>
      <c r="AD438" s="559"/>
      <c r="AE438" s="559"/>
      <c r="AF438" s="559"/>
      <c r="AG438" s="559"/>
    </row>
    <row r="439" spans="1:33" ht="18" customHeight="1" x14ac:dyDescent="0.35">
      <c r="A439" s="559"/>
      <c r="B439" s="559"/>
      <c r="C439" s="559"/>
      <c r="D439" s="559"/>
      <c r="E439" s="559"/>
      <c r="F439" s="559"/>
      <c r="G439" s="559"/>
      <c r="H439" s="559"/>
      <c r="I439" s="559"/>
      <c r="J439" s="559"/>
      <c r="K439" s="559"/>
      <c r="L439" s="559"/>
      <c r="M439" s="559"/>
      <c r="N439" s="559"/>
      <c r="O439" s="559"/>
      <c r="P439" s="559"/>
      <c r="Q439" s="559"/>
      <c r="R439" s="559"/>
      <c r="S439" s="559"/>
      <c r="T439" s="559"/>
      <c r="U439" s="559"/>
      <c r="V439" s="559"/>
      <c r="W439" s="559"/>
      <c r="X439" s="559"/>
      <c r="Y439" s="559"/>
      <c r="Z439" s="559"/>
      <c r="AA439" s="559"/>
      <c r="AB439" s="559"/>
      <c r="AC439" s="559"/>
      <c r="AD439" s="559"/>
      <c r="AE439" s="559"/>
      <c r="AF439" s="559"/>
      <c r="AG439" s="559"/>
    </row>
    <row r="440" spans="1:33" ht="18" customHeight="1" x14ac:dyDescent="0.35">
      <c r="A440" s="559"/>
      <c r="B440" s="559"/>
      <c r="C440" s="559"/>
      <c r="D440" s="559"/>
      <c r="E440" s="559"/>
      <c r="F440" s="559"/>
      <c r="G440" s="559"/>
      <c r="H440" s="559"/>
      <c r="I440" s="559"/>
      <c r="J440" s="559"/>
      <c r="K440" s="559"/>
      <c r="L440" s="559"/>
      <c r="M440" s="559"/>
      <c r="N440" s="559"/>
      <c r="O440" s="559"/>
      <c r="P440" s="559"/>
      <c r="Q440" s="559"/>
      <c r="R440" s="559"/>
      <c r="S440" s="559"/>
      <c r="T440" s="559"/>
      <c r="U440" s="559"/>
      <c r="V440" s="559"/>
      <c r="W440" s="559"/>
      <c r="X440" s="559"/>
      <c r="Y440" s="559"/>
      <c r="Z440" s="559"/>
      <c r="AA440" s="559"/>
      <c r="AB440" s="559"/>
      <c r="AC440" s="559"/>
      <c r="AD440" s="559"/>
      <c r="AE440" s="559"/>
      <c r="AF440" s="559"/>
      <c r="AG440" s="559"/>
    </row>
    <row r="441" spans="1:33" ht="18" customHeight="1" x14ac:dyDescent="0.35">
      <c r="A441" s="559"/>
      <c r="B441" s="559"/>
      <c r="C441" s="559"/>
      <c r="D441" s="559"/>
      <c r="E441" s="559"/>
      <c r="F441" s="559"/>
      <c r="G441" s="559"/>
      <c r="H441" s="559"/>
      <c r="I441" s="559"/>
      <c r="J441" s="559"/>
      <c r="K441" s="559"/>
      <c r="L441" s="559"/>
      <c r="M441" s="559"/>
      <c r="N441" s="559"/>
      <c r="O441" s="559"/>
      <c r="P441" s="559"/>
      <c r="Q441" s="559"/>
      <c r="R441" s="559"/>
      <c r="S441" s="559"/>
      <c r="T441" s="559"/>
      <c r="U441" s="559"/>
      <c r="V441" s="559"/>
      <c r="W441" s="559"/>
      <c r="X441" s="559"/>
      <c r="Y441" s="559"/>
      <c r="Z441" s="559"/>
      <c r="AA441" s="559"/>
      <c r="AB441" s="559"/>
      <c r="AC441" s="559"/>
      <c r="AD441" s="559"/>
      <c r="AE441" s="559"/>
      <c r="AF441" s="559"/>
      <c r="AG441" s="559"/>
    </row>
    <row r="442" spans="1:33" ht="18" customHeight="1" x14ac:dyDescent="0.35">
      <c r="A442" s="559"/>
      <c r="B442" s="559"/>
      <c r="C442" s="559"/>
      <c r="D442" s="559"/>
      <c r="E442" s="559"/>
      <c r="F442" s="559"/>
      <c r="G442" s="559"/>
      <c r="H442" s="559"/>
      <c r="I442" s="559"/>
      <c r="J442" s="559"/>
      <c r="K442" s="559"/>
      <c r="L442" s="559"/>
      <c r="M442" s="559"/>
      <c r="N442" s="559"/>
      <c r="O442" s="559"/>
      <c r="P442" s="559"/>
      <c r="Q442" s="559"/>
      <c r="R442" s="559"/>
      <c r="S442" s="559"/>
      <c r="T442" s="559"/>
      <c r="U442" s="559"/>
      <c r="V442" s="559"/>
      <c r="W442" s="559"/>
      <c r="X442" s="559"/>
      <c r="Y442" s="559"/>
      <c r="Z442" s="559"/>
      <c r="AA442" s="559"/>
      <c r="AB442" s="559"/>
      <c r="AC442" s="559"/>
      <c r="AD442" s="559"/>
      <c r="AE442" s="559"/>
      <c r="AF442" s="559"/>
      <c r="AG442" s="559"/>
    </row>
    <row r="443" spans="1:33" ht="18" customHeight="1" x14ac:dyDescent="0.35">
      <c r="A443" s="559"/>
      <c r="B443" s="559"/>
      <c r="C443" s="559"/>
      <c r="D443" s="559"/>
      <c r="E443" s="559"/>
      <c r="F443" s="559"/>
      <c r="G443" s="559"/>
      <c r="H443" s="559"/>
      <c r="I443" s="559"/>
      <c r="J443" s="559"/>
      <c r="K443" s="559"/>
      <c r="L443" s="559"/>
      <c r="M443" s="559"/>
      <c r="N443" s="559"/>
      <c r="O443" s="559"/>
      <c r="P443" s="559"/>
      <c r="Q443" s="559"/>
      <c r="R443" s="559"/>
      <c r="S443" s="559"/>
      <c r="T443" s="559"/>
      <c r="U443" s="559"/>
      <c r="V443" s="559"/>
      <c r="W443" s="559"/>
      <c r="X443" s="559"/>
      <c r="Y443" s="559"/>
      <c r="Z443" s="559"/>
      <c r="AA443" s="559"/>
      <c r="AB443" s="559"/>
      <c r="AC443" s="559"/>
      <c r="AD443" s="559"/>
      <c r="AE443" s="559"/>
      <c r="AF443" s="559"/>
      <c r="AG443" s="559"/>
    </row>
    <row r="444" spans="1:33" ht="18" customHeight="1" x14ac:dyDescent="0.35">
      <c r="A444" s="559"/>
      <c r="B444" s="559"/>
      <c r="C444" s="559"/>
      <c r="D444" s="559"/>
      <c r="E444" s="559"/>
      <c r="F444" s="559"/>
      <c r="G444" s="559"/>
      <c r="H444" s="559"/>
      <c r="I444" s="559"/>
      <c r="J444" s="559"/>
      <c r="K444" s="559"/>
      <c r="L444" s="559"/>
      <c r="M444" s="559"/>
      <c r="N444" s="559"/>
      <c r="O444" s="559"/>
      <c r="P444" s="559"/>
      <c r="Q444" s="559"/>
      <c r="R444" s="559"/>
      <c r="S444" s="559"/>
      <c r="T444" s="559"/>
      <c r="U444" s="559"/>
      <c r="V444" s="559"/>
      <c r="W444" s="559"/>
      <c r="X444" s="559"/>
      <c r="Y444" s="559"/>
      <c r="Z444" s="559"/>
      <c r="AA444" s="559"/>
      <c r="AB444" s="559"/>
      <c r="AC444" s="559"/>
      <c r="AD444" s="559"/>
      <c r="AE444" s="559"/>
      <c r="AF444" s="559"/>
      <c r="AG444" s="559"/>
    </row>
    <row r="445" spans="1:33" ht="18" customHeight="1" x14ac:dyDescent="0.35">
      <c r="A445" s="559"/>
      <c r="B445" s="559"/>
      <c r="C445" s="559"/>
      <c r="D445" s="559"/>
      <c r="E445" s="559"/>
      <c r="F445" s="559"/>
      <c r="G445" s="559"/>
      <c r="H445" s="559"/>
      <c r="I445" s="559"/>
      <c r="J445" s="559"/>
      <c r="K445" s="559"/>
      <c r="L445" s="559"/>
      <c r="M445" s="559"/>
      <c r="N445" s="559"/>
      <c r="O445" s="559"/>
      <c r="P445" s="559"/>
      <c r="Q445" s="559"/>
      <c r="R445" s="559"/>
      <c r="S445" s="559"/>
      <c r="T445" s="559"/>
      <c r="U445" s="559"/>
      <c r="V445" s="559"/>
      <c r="W445" s="559"/>
      <c r="X445" s="559"/>
      <c r="Y445" s="559"/>
      <c r="Z445" s="559"/>
      <c r="AA445" s="559"/>
      <c r="AB445" s="559"/>
      <c r="AC445" s="559"/>
      <c r="AD445" s="559"/>
      <c r="AE445" s="559"/>
      <c r="AF445" s="559"/>
      <c r="AG445" s="559"/>
    </row>
    <row r="446" spans="1:33" ht="18" customHeight="1" x14ac:dyDescent="0.35">
      <c r="A446" s="559"/>
      <c r="B446" s="559"/>
      <c r="C446" s="559"/>
      <c r="D446" s="559"/>
      <c r="E446" s="559"/>
      <c r="F446" s="559"/>
      <c r="G446" s="559"/>
      <c r="H446" s="559"/>
      <c r="I446" s="559"/>
      <c r="J446" s="559"/>
      <c r="K446" s="559"/>
      <c r="L446" s="559"/>
      <c r="M446" s="559"/>
      <c r="N446" s="559"/>
      <c r="O446" s="559"/>
      <c r="P446" s="559"/>
      <c r="Q446" s="559"/>
      <c r="R446" s="559"/>
      <c r="S446" s="559"/>
      <c r="T446" s="559"/>
      <c r="U446" s="559"/>
      <c r="V446" s="559"/>
      <c r="W446" s="559"/>
      <c r="X446" s="559"/>
      <c r="Y446" s="559"/>
      <c r="Z446" s="559"/>
      <c r="AA446" s="559"/>
      <c r="AB446" s="559"/>
      <c r="AC446" s="559"/>
      <c r="AD446" s="559"/>
      <c r="AE446" s="559"/>
      <c r="AF446" s="559"/>
      <c r="AG446" s="559"/>
    </row>
    <row r="447" spans="1:33" ht="18" customHeight="1" x14ac:dyDescent="0.35">
      <c r="A447" s="559"/>
      <c r="B447" s="559"/>
      <c r="C447" s="559"/>
      <c r="D447" s="559"/>
      <c r="E447" s="559"/>
      <c r="F447" s="559"/>
      <c r="G447" s="559"/>
      <c r="H447" s="559"/>
      <c r="I447" s="559"/>
      <c r="J447" s="559"/>
      <c r="K447" s="559"/>
      <c r="L447" s="559"/>
      <c r="M447" s="559"/>
      <c r="N447" s="559"/>
      <c r="O447" s="559"/>
      <c r="P447" s="559"/>
      <c r="Q447" s="559"/>
      <c r="R447" s="559"/>
      <c r="S447" s="559"/>
      <c r="T447" s="559"/>
      <c r="U447" s="559"/>
      <c r="V447" s="559"/>
      <c r="W447" s="559"/>
      <c r="X447" s="559"/>
      <c r="Y447" s="559"/>
      <c r="Z447" s="559"/>
      <c r="AA447" s="559"/>
      <c r="AB447" s="559"/>
      <c r="AC447" s="559"/>
      <c r="AD447" s="559"/>
      <c r="AE447" s="559"/>
      <c r="AF447" s="559"/>
      <c r="AG447" s="559"/>
    </row>
    <row r="448" spans="1:33" ht="18" customHeight="1" x14ac:dyDescent="0.35">
      <c r="A448" s="559"/>
      <c r="B448" s="559"/>
      <c r="C448" s="559"/>
      <c r="D448" s="559"/>
      <c r="E448" s="559"/>
      <c r="F448" s="559"/>
      <c r="G448" s="559"/>
      <c r="H448" s="559"/>
      <c r="I448" s="559"/>
      <c r="J448" s="559"/>
      <c r="K448" s="559"/>
      <c r="L448" s="559"/>
      <c r="M448" s="559"/>
      <c r="N448" s="559"/>
      <c r="O448" s="559"/>
      <c r="P448" s="559"/>
      <c r="Q448" s="559"/>
      <c r="R448" s="559"/>
      <c r="S448" s="559"/>
      <c r="T448" s="559"/>
      <c r="U448" s="559"/>
      <c r="V448" s="559"/>
      <c r="W448" s="559"/>
      <c r="X448" s="559"/>
      <c r="Y448" s="559"/>
      <c r="Z448" s="559"/>
      <c r="AA448" s="559"/>
      <c r="AB448" s="559"/>
      <c r="AC448" s="559"/>
      <c r="AD448" s="559"/>
      <c r="AE448" s="559"/>
      <c r="AF448" s="559"/>
      <c r="AG448" s="559"/>
    </row>
    <row r="449" spans="1:33" ht="18" customHeight="1" x14ac:dyDescent="0.35">
      <c r="A449" s="559"/>
      <c r="B449" s="559"/>
      <c r="C449" s="559"/>
      <c r="D449" s="559"/>
      <c r="E449" s="559"/>
      <c r="F449" s="559"/>
      <c r="G449" s="559"/>
      <c r="H449" s="559"/>
      <c r="I449" s="559"/>
      <c r="J449" s="559"/>
      <c r="K449" s="559"/>
      <c r="L449" s="559"/>
      <c r="M449" s="559"/>
      <c r="N449" s="559"/>
      <c r="O449" s="559"/>
      <c r="P449" s="559"/>
      <c r="Q449" s="559"/>
      <c r="R449" s="559"/>
      <c r="S449" s="559"/>
      <c r="T449" s="559"/>
      <c r="U449" s="559"/>
      <c r="V449" s="559"/>
      <c r="W449" s="559"/>
      <c r="X449" s="559"/>
      <c r="Y449" s="559"/>
      <c r="Z449" s="559"/>
      <c r="AA449" s="559"/>
      <c r="AB449" s="559"/>
      <c r="AC449" s="559"/>
      <c r="AD449" s="559"/>
      <c r="AE449" s="559"/>
      <c r="AF449" s="559"/>
      <c r="AG449" s="559"/>
    </row>
    <row r="450" spans="1:33" ht="18" customHeight="1" x14ac:dyDescent="0.35">
      <c r="A450" s="559"/>
      <c r="B450" s="559"/>
      <c r="C450" s="559"/>
      <c r="D450" s="559"/>
      <c r="E450" s="559"/>
      <c r="F450" s="559"/>
      <c r="G450" s="559"/>
      <c r="H450" s="559"/>
      <c r="I450" s="559"/>
      <c r="J450" s="559"/>
      <c r="K450" s="559"/>
      <c r="L450" s="559"/>
      <c r="M450" s="559"/>
      <c r="N450" s="559"/>
      <c r="O450" s="559"/>
      <c r="P450" s="559"/>
      <c r="Q450" s="559"/>
      <c r="R450" s="559"/>
      <c r="S450" s="559"/>
      <c r="T450" s="559"/>
      <c r="U450" s="559"/>
      <c r="V450" s="559"/>
      <c r="W450" s="559"/>
      <c r="X450" s="559"/>
      <c r="Y450" s="559"/>
      <c r="Z450" s="559"/>
      <c r="AA450" s="559"/>
      <c r="AB450" s="559"/>
      <c r="AC450" s="559"/>
      <c r="AD450" s="559"/>
      <c r="AE450" s="559"/>
      <c r="AF450" s="559"/>
      <c r="AG450" s="559"/>
    </row>
    <row r="451" spans="1:33" ht="18" customHeight="1" x14ac:dyDescent="0.35">
      <c r="A451" s="559"/>
      <c r="B451" s="559"/>
      <c r="C451" s="559"/>
      <c r="D451" s="559"/>
      <c r="E451" s="559"/>
      <c r="F451" s="559"/>
      <c r="G451" s="559"/>
      <c r="H451" s="559"/>
      <c r="I451" s="559"/>
      <c r="J451" s="559"/>
      <c r="K451" s="559"/>
      <c r="L451" s="559"/>
      <c r="M451" s="559"/>
      <c r="N451" s="559"/>
      <c r="O451" s="559"/>
      <c r="P451" s="559"/>
      <c r="Q451" s="559"/>
      <c r="R451" s="559"/>
      <c r="S451" s="559"/>
      <c r="T451" s="559"/>
      <c r="U451" s="559"/>
      <c r="V451" s="559"/>
      <c r="W451" s="559"/>
      <c r="X451" s="559"/>
      <c r="Y451" s="559"/>
      <c r="Z451" s="559"/>
      <c r="AA451" s="559"/>
      <c r="AB451" s="559"/>
      <c r="AC451" s="559"/>
      <c r="AD451" s="559"/>
      <c r="AE451" s="559"/>
      <c r="AF451" s="559"/>
      <c r="AG451" s="559"/>
    </row>
    <row r="452" spans="1:33" ht="18" customHeight="1" x14ac:dyDescent="0.35">
      <c r="A452" s="559"/>
      <c r="B452" s="559"/>
      <c r="C452" s="559"/>
      <c r="D452" s="559"/>
      <c r="E452" s="559"/>
      <c r="F452" s="559"/>
      <c r="G452" s="559"/>
      <c r="H452" s="559"/>
      <c r="I452" s="559"/>
      <c r="J452" s="559"/>
      <c r="K452" s="559"/>
      <c r="L452" s="559"/>
      <c r="M452" s="559"/>
      <c r="N452" s="559"/>
      <c r="O452" s="559"/>
      <c r="P452" s="559"/>
      <c r="Q452" s="559"/>
      <c r="R452" s="559"/>
      <c r="S452" s="559"/>
      <c r="T452" s="559"/>
      <c r="U452" s="559"/>
      <c r="V452" s="559"/>
      <c r="W452" s="559"/>
      <c r="X452" s="559"/>
      <c r="Y452" s="559"/>
      <c r="Z452" s="559"/>
      <c r="AA452" s="559"/>
      <c r="AB452" s="559"/>
      <c r="AC452" s="559"/>
      <c r="AD452" s="559"/>
      <c r="AE452" s="559"/>
      <c r="AF452" s="559"/>
      <c r="AG452" s="559"/>
    </row>
    <row r="453" spans="1:33" ht="18" customHeight="1" x14ac:dyDescent="0.35">
      <c r="A453" s="559"/>
      <c r="B453" s="559"/>
      <c r="C453" s="559"/>
      <c r="D453" s="559"/>
      <c r="E453" s="559"/>
      <c r="F453" s="559"/>
      <c r="G453" s="559"/>
      <c r="H453" s="559"/>
      <c r="I453" s="559"/>
      <c r="J453" s="559"/>
      <c r="K453" s="559"/>
      <c r="L453" s="559"/>
      <c r="M453" s="559"/>
      <c r="N453" s="559"/>
      <c r="O453" s="559"/>
      <c r="P453" s="559"/>
      <c r="Q453" s="559"/>
      <c r="R453" s="559"/>
      <c r="S453" s="559"/>
      <c r="T453" s="559"/>
      <c r="U453" s="559"/>
      <c r="V453" s="559"/>
      <c r="W453" s="559"/>
      <c r="X453" s="559"/>
      <c r="Y453" s="559"/>
      <c r="Z453" s="559"/>
      <c r="AA453" s="559"/>
      <c r="AB453" s="559"/>
      <c r="AC453" s="559"/>
      <c r="AD453" s="559"/>
      <c r="AE453" s="559"/>
      <c r="AF453" s="559"/>
      <c r="AG453" s="559"/>
    </row>
    <row r="454" spans="1:33" ht="18" customHeight="1" x14ac:dyDescent="0.35">
      <c r="A454" s="559"/>
      <c r="B454" s="559"/>
      <c r="C454" s="559"/>
      <c r="D454" s="559"/>
      <c r="E454" s="559"/>
      <c r="F454" s="559"/>
      <c r="G454" s="559"/>
      <c r="H454" s="559"/>
      <c r="I454" s="559"/>
      <c r="J454" s="559"/>
      <c r="K454" s="559"/>
      <c r="L454" s="559"/>
      <c r="M454" s="559"/>
      <c r="N454" s="559"/>
      <c r="O454" s="559"/>
      <c r="P454" s="559"/>
      <c r="Q454" s="559"/>
      <c r="R454" s="559"/>
      <c r="S454" s="559"/>
      <c r="T454" s="559"/>
      <c r="U454" s="559"/>
      <c r="V454" s="559"/>
      <c r="W454" s="559"/>
      <c r="X454" s="559"/>
      <c r="Y454" s="559"/>
      <c r="Z454" s="559"/>
      <c r="AA454" s="559"/>
      <c r="AB454" s="559"/>
      <c r="AC454" s="559"/>
      <c r="AD454" s="559"/>
      <c r="AE454" s="559"/>
      <c r="AF454" s="559"/>
      <c r="AG454" s="559"/>
    </row>
    <row r="455" spans="1:33" ht="18" customHeight="1" x14ac:dyDescent="0.35">
      <c r="A455" s="559"/>
      <c r="B455" s="559"/>
      <c r="C455" s="559"/>
      <c r="D455" s="559"/>
      <c r="E455" s="559"/>
      <c r="F455" s="559"/>
      <c r="G455" s="559"/>
      <c r="H455" s="559"/>
      <c r="I455" s="559"/>
      <c r="J455" s="559"/>
      <c r="K455" s="559"/>
      <c r="L455" s="559"/>
      <c r="M455" s="559"/>
      <c r="N455" s="559"/>
      <c r="O455" s="559"/>
      <c r="P455" s="559"/>
      <c r="Q455" s="559"/>
      <c r="R455" s="559"/>
      <c r="S455" s="559"/>
      <c r="T455" s="559"/>
      <c r="U455" s="559"/>
      <c r="V455" s="559"/>
      <c r="W455" s="559"/>
      <c r="X455" s="559"/>
      <c r="Y455" s="559"/>
      <c r="Z455" s="559"/>
      <c r="AA455" s="559"/>
      <c r="AB455" s="559"/>
      <c r="AC455" s="559"/>
      <c r="AD455" s="559"/>
      <c r="AE455" s="559"/>
      <c r="AF455" s="559"/>
      <c r="AG455" s="559"/>
    </row>
    <row r="456" spans="1:33" ht="18" customHeight="1" x14ac:dyDescent="0.35">
      <c r="A456" s="559"/>
      <c r="B456" s="559"/>
      <c r="C456" s="559"/>
      <c r="D456" s="559"/>
      <c r="E456" s="559"/>
      <c r="F456" s="559"/>
      <c r="G456" s="559"/>
      <c r="H456" s="559"/>
      <c r="I456" s="559"/>
      <c r="J456" s="559"/>
      <c r="K456" s="559"/>
      <c r="L456" s="559"/>
      <c r="M456" s="559"/>
      <c r="N456" s="559"/>
      <c r="O456" s="559"/>
      <c r="P456" s="559"/>
      <c r="Q456" s="559"/>
      <c r="R456" s="559"/>
      <c r="S456" s="559"/>
      <c r="T456" s="559"/>
      <c r="U456" s="559"/>
      <c r="V456" s="559"/>
      <c r="W456" s="559"/>
      <c r="X456" s="559"/>
      <c r="Y456" s="559"/>
      <c r="Z456" s="559"/>
      <c r="AA456" s="559"/>
      <c r="AB456" s="559"/>
      <c r="AC456" s="559"/>
      <c r="AD456" s="559"/>
      <c r="AE456" s="559"/>
      <c r="AF456" s="559"/>
      <c r="AG456" s="559"/>
    </row>
    <row r="457" spans="1:33" ht="18" customHeight="1" x14ac:dyDescent="0.35">
      <c r="A457" s="559"/>
      <c r="B457" s="559"/>
      <c r="C457" s="559"/>
      <c r="D457" s="559"/>
      <c r="E457" s="559"/>
      <c r="F457" s="559"/>
      <c r="G457" s="559"/>
      <c r="H457" s="559"/>
      <c r="I457" s="559"/>
      <c r="J457" s="559"/>
      <c r="K457" s="559"/>
      <c r="L457" s="559"/>
      <c r="M457" s="559"/>
      <c r="N457" s="559"/>
      <c r="O457" s="559"/>
      <c r="P457" s="559"/>
      <c r="Q457" s="559"/>
      <c r="R457" s="559"/>
      <c r="S457" s="559"/>
      <c r="T457" s="559"/>
      <c r="U457" s="559"/>
      <c r="V457" s="559"/>
      <c r="W457" s="559"/>
      <c r="X457" s="559"/>
      <c r="Y457" s="559"/>
      <c r="Z457" s="559"/>
      <c r="AA457" s="559"/>
      <c r="AB457" s="559"/>
      <c r="AC457" s="559"/>
      <c r="AD457" s="559"/>
      <c r="AE457" s="559"/>
      <c r="AF457" s="559"/>
      <c r="AG457" s="559"/>
    </row>
    <row r="458" spans="1:33" ht="18" customHeight="1" x14ac:dyDescent="0.35">
      <c r="A458" s="559"/>
      <c r="B458" s="559"/>
      <c r="C458" s="559"/>
      <c r="D458" s="559"/>
      <c r="E458" s="559"/>
      <c r="F458" s="559"/>
      <c r="G458" s="559"/>
      <c r="H458" s="559"/>
      <c r="I458" s="559"/>
      <c r="J458" s="559"/>
      <c r="K458" s="559"/>
      <c r="L458" s="559"/>
      <c r="M458" s="559"/>
      <c r="N458" s="559"/>
      <c r="O458" s="559"/>
      <c r="P458" s="559"/>
      <c r="Q458" s="559"/>
      <c r="R458" s="559"/>
      <c r="S458" s="559"/>
      <c r="T458" s="559"/>
      <c r="U458" s="559"/>
      <c r="V458" s="559"/>
      <c r="W458" s="559"/>
      <c r="X458" s="559"/>
      <c r="Y458" s="559"/>
      <c r="Z458" s="559"/>
      <c r="AA458" s="559"/>
      <c r="AB458" s="559"/>
      <c r="AC458" s="559"/>
      <c r="AD458" s="559"/>
      <c r="AE458" s="559"/>
      <c r="AF458" s="559"/>
      <c r="AG458" s="559"/>
    </row>
    <row r="459" spans="1:33" ht="18" customHeight="1" x14ac:dyDescent="0.35">
      <c r="A459" s="559"/>
      <c r="B459" s="559"/>
      <c r="C459" s="559"/>
      <c r="D459" s="559"/>
      <c r="E459" s="559"/>
      <c r="F459" s="559"/>
      <c r="G459" s="559"/>
      <c r="H459" s="559"/>
      <c r="I459" s="559"/>
      <c r="J459" s="559"/>
      <c r="K459" s="559"/>
      <c r="L459" s="559"/>
      <c r="M459" s="559"/>
      <c r="N459" s="559"/>
      <c r="O459" s="559"/>
      <c r="P459" s="559"/>
      <c r="Q459" s="559"/>
      <c r="R459" s="559"/>
      <c r="S459" s="559"/>
      <c r="T459" s="559"/>
      <c r="U459" s="559"/>
      <c r="V459" s="559"/>
      <c r="W459" s="559"/>
      <c r="X459" s="559"/>
      <c r="Y459" s="559"/>
      <c r="Z459" s="559"/>
      <c r="AA459" s="559"/>
      <c r="AB459" s="559"/>
      <c r="AC459" s="559"/>
      <c r="AD459" s="559"/>
      <c r="AE459" s="559"/>
      <c r="AF459" s="559"/>
      <c r="AG459" s="559"/>
    </row>
    <row r="460" spans="1:33" ht="18" customHeight="1" x14ac:dyDescent="0.35">
      <c r="A460" s="559"/>
      <c r="B460" s="559"/>
      <c r="C460" s="559"/>
      <c r="D460" s="559"/>
      <c r="E460" s="559"/>
      <c r="F460" s="559"/>
      <c r="G460" s="559"/>
      <c r="H460" s="559"/>
      <c r="I460" s="559"/>
      <c r="J460" s="559"/>
      <c r="K460" s="559"/>
      <c r="L460" s="559"/>
      <c r="M460" s="559"/>
      <c r="N460" s="559"/>
      <c r="O460" s="559"/>
      <c r="P460" s="559"/>
      <c r="Q460" s="559"/>
      <c r="R460" s="559"/>
      <c r="S460" s="559"/>
      <c r="T460" s="559"/>
      <c r="U460" s="559"/>
      <c r="V460" s="559"/>
      <c r="W460" s="559"/>
      <c r="X460" s="559"/>
      <c r="Y460" s="559"/>
      <c r="Z460" s="559"/>
      <c r="AA460" s="559"/>
      <c r="AB460" s="559"/>
      <c r="AC460" s="559"/>
      <c r="AD460" s="559"/>
      <c r="AE460" s="559"/>
      <c r="AF460" s="559"/>
      <c r="AG460" s="559"/>
    </row>
    <row r="461" spans="1:33" ht="18" customHeight="1" x14ac:dyDescent="0.35">
      <c r="A461" s="559"/>
      <c r="B461" s="559"/>
      <c r="C461" s="559"/>
      <c r="D461" s="559"/>
      <c r="E461" s="559"/>
      <c r="F461" s="559"/>
      <c r="G461" s="559"/>
      <c r="H461" s="559"/>
      <c r="I461" s="559"/>
      <c r="J461" s="559"/>
      <c r="K461" s="559"/>
      <c r="L461" s="559"/>
      <c r="M461" s="559"/>
      <c r="N461" s="559"/>
      <c r="O461" s="559"/>
      <c r="P461" s="559"/>
      <c r="Q461" s="559"/>
      <c r="R461" s="559"/>
      <c r="S461" s="559"/>
      <c r="T461" s="559"/>
      <c r="U461" s="559"/>
      <c r="V461" s="559"/>
      <c r="W461" s="559"/>
      <c r="X461" s="559"/>
      <c r="Y461" s="559"/>
      <c r="Z461" s="559"/>
      <c r="AA461" s="559"/>
      <c r="AB461" s="559"/>
      <c r="AC461" s="559"/>
      <c r="AD461" s="559"/>
      <c r="AE461" s="559"/>
      <c r="AF461" s="559"/>
      <c r="AG461" s="559"/>
    </row>
    <row r="462" spans="1:33" ht="18" customHeight="1" x14ac:dyDescent="0.35">
      <c r="A462" s="559"/>
      <c r="B462" s="559"/>
      <c r="C462" s="559"/>
      <c r="D462" s="559"/>
      <c r="E462" s="559"/>
      <c r="F462" s="559"/>
      <c r="G462" s="559"/>
      <c r="H462" s="559"/>
      <c r="I462" s="559"/>
      <c r="J462" s="559"/>
      <c r="K462" s="559"/>
      <c r="L462" s="559"/>
      <c r="M462" s="559"/>
      <c r="N462" s="559"/>
      <c r="O462" s="559"/>
      <c r="P462" s="559"/>
      <c r="Q462" s="559"/>
      <c r="R462" s="559"/>
      <c r="S462" s="559"/>
      <c r="T462" s="559"/>
      <c r="U462" s="559"/>
      <c r="V462" s="559"/>
      <c r="W462" s="559"/>
      <c r="X462" s="559"/>
      <c r="Y462" s="559"/>
      <c r="Z462" s="559"/>
      <c r="AA462" s="559"/>
      <c r="AB462" s="559"/>
      <c r="AC462" s="559"/>
      <c r="AD462" s="559"/>
      <c r="AE462" s="559"/>
      <c r="AF462" s="559"/>
      <c r="AG462" s="559"/>
    </row>
    <row r="463" spans="1:33" ht="18" customHeight="1" x14ac:dyDescent="0.35">
      <c r="A463" s="559"/>
      <c r="B463" s="559"/>
      <c r="C463" s="559"/>
      <c r="D463" s="559"/>
      <c r="E463" s="559"/>
      <c r="F463" s="559"/>
      <c r="G463" s="559"/>
      <c r="H463" s="559"/>
      <c r="I463" s="559"/>
      <c r="J463" s="559"/>
      <c r="K463" s="559"/>
      <c r="L463" s="559"/>
      <c r="M463" s="559"/>
      <c r="N463" s="559"/>
      <c r="O463" s="559"/>
      <c r="P463" s="559"/>
      <c r="Q463" s="559"/>
      <c r="R463" s="559"/>
      <c r="S463" s="559"/>
      <c r="T463" s="559"/>
      <c r="U463" s="559"/>
      <c r="V463" s="559"/>
      <c r="W463" s="559"/>
      <c r="X463" s="559"/>
      <c r="Y463" s="559"/>
      <c r="Z463" s="559"/>
      <c r="AA463" s="559"/>
      <c r="AB463" s="559"/>
      <c r="AC463" s="559"/>
      <c r="AD463" s="559"/>
      <c r="AE463" s="559"/>
      <c r="AF463" s="559"/>
      <c r="AG463" s="559"/>
    </row>
    <row r="464" spans="1:33" ht="18" customHeight="1" x14ac:dyDescent="0.35">
      <c r="A464" s="559"/>
      <c r="B464" s="559"/>
      <c r="C464" s="559"/>
      <c r="D464" s="559"/>
      <c r="E464" s="559"/>
      <c r="F464" s="559"/>
      <c r="G464" s="559"/>
      <c r="H464" s="559"/>
      <c r="I464" s="559"/>
      <c r="J464" s="559"/>
      <c r="K464" s="559"/>
      <c r="L464" s="559"/>
      <c r="M464" s="559"/>
      <c r="N464" s="559"/>
      <c r="O464" s="559"/>
      <c r="P464" s="559"/>
      <c r="Q464" s="559"/>
      <c r="R464" s="559"/>
      <c r="S464" s="559"/>
      <c r="T464" s="559"/>
      <c r="U464" s="559"/>
      <c r="V464" s="559"/>
      <c r="W464" s="559"/>
      <c r="X464" s="559"/>
      <c r="Y464" s="559"/>
      <c r="Z464" s="559"/>
      <c r="AA464" s="559"/>
      <c r="AB464" s="559"/>
      <c r="AC464" s="559"/>
      <c r="AD464" s="559"/>
      <c r="AE464" s="559"/>
      <c r="AF464" s="559"/>
      <c r="AG464" s="559"/>
    </row>
    <row r="465" spans="1:33" ht="18" customHeight="1" x14ac:dyDescent="0.35">
      <c r="A465" s="559"/>
      <c r="B465" s="559"/>
      <c r="C465" s="559"/>
      <c r="D465" s="559"/>
      <c r="E465" s="559"/>
      <c r="F465" s="559"/>
      <c r="G465" s="559"/>
      <c r="H465" s="559"/>
      <c r="I465" s="559"/>
      <c r="J465" s="559"/>
      <c r="K465" s="559"/>
      <c r="L465" s="559"/>
      <c r="M465" s="559"/>
      <c r="N465" s="559"/>
      <c r="O465" s="559"/>
      <c r="P465" s="559"/>
      <c r="Q465" s="559"/>
      <c r="R465" s="559"/>
      <c r="S465" s="559"/>
      <c r="T465" s="559"/>
      <c r="U465" s="559"/>
      <c r="V465" s="559"/>
      <c r="W465" s="559"/>
      <c r="X465" s="559"/>
      <c r="Y465" s="559"/>
      <c r="Z465" s="559"/>
      <c r="AA465" s="559"/>
      <c r="AB465" s="559"/>
      <c r="AC465" s="559"/>
      <c r="AD465" s="559"/>
      <c r="AE465" s="559"/>
      <c r="AF465" s="559"/>
      <c r="AG465" s="559"/>
    </row>
    <row r="466" spans="1:33" ht="18" customHeight="1" x14ac:dyDescent="0.35">
      <c r="A466" s="559"/>
      <c r="B466" s="559"/>
      <c r="C466" s="559"/>
      <c r="D466" s="559"/>
      <c r="E466" s="559"/>
      <c r="F466" s="559"/>
      <c r="G466" s="559"/>
      <c r="H466" s="559"/>
      <c r="I466" s="559"/>
      <c r="J466" s="559"/>
      <c r="K466" s="559"/>
      <c r="L466" s="559"/>
      <c r="M466" s="559"/>
      <c r="N466" s="559"/>
      <c r="O466" s="559"/>
      <c r="P466" s="559"/>
      <c r="Q466" s="559"/>
      <c r="R466" s="559"/>
      <c r="S466" s="559"/>
      <c r="T466" s="559"/>
      <c r="U466" s="559"/>
      <c r="V466" s="559"/>
      <c r="W466" s="559"/>
      <c r="X466" s="559"/>
      <c r="Y466" s="559"/>
      <c r="Z466" s="559"/>
      <c r="AA466" s="559"/>
      <c r="AB466" s="559"/>
      <c r="AC466" s="559"/>
      <c r="AD466" s="559"/>
      <c r="AE466" s="559"/>
      <c r="AF466" s="559"/>
      <c r="AG466" s="559"/>
    </row>
    <row r="467" spans="1:33" ht="18" customHeight="1" x14ac:dyDescent="0.35">
      <c r="A467" s="559"/>
      <c r="B467" s="559"/>
      <c r="C467" s="559"/>
      <c r="D467" s="559"/>
      <c r="E467" s="559"/>
      <c r="F467" s="559"/>
      <c r="G467" s="559"/>
      <c r="H467" s="559"/>
      <c r="I467" s="559"/>
      <c r="J467" s="559"/>
      <c r="K467" s="559"/>
      <c r="L467" s="559"/>
      <c r="M467" s="559"/>
      <c r="N467" s="559"/>
      <c r="O467" s="559"/>
      <c r="P467" s="559"/>
      <c r="Q467" s="559"/>
      <c r="R467" s="559"/>
      <c r="S467" s="559"/>
      <c r="T467" s="559"/>
      <c r="U467" s="559"/>
      <c r="V467" s="559"/>
      <c r="W467" s="559"/>
      <c r="X467" s="559"/>
      <c r="Y467" s="559"/>
      <c r="Z467" s="559"/>
      <c r="AA467" s="559"/>
      <c r="AB467" s="559"/>
      <c r="AC467" s="559"/>
      <c r="AD467" s="559"/>
      <c r="AE467" s="559"/>
      <c r="AF467" s="559"/>
      <c r="AG467" s="559"/>
    </row>
    <row r="468" spans="1:33" ht="18" customHeight="1" x14ac:dyDescent="0.35">
      <c r="A468" s="559"/>
      <c r="B468" s="559"/>
      <c r="C468" s="559"/>
      <c r="D468" s="559"/>
      <c r="E468" s="559"/>
      <c r="F468" s="559"/>
      <c r="G468" s="559"/>
      <c r="H468" s="559"/>
      <c r="I468" s="559"/>
      <c r="J468" s="559"/>
      <c r="K468" s="559"/>
      <c r="L468" s="559"/>
      <c r="M468" s="559"/>
      <c r="N468" s="559"/>
      <c r="O468" s="559"/>
      <c r="P468" s="559"/>
      <c r="Q468" s="559"/>
      <c r="R468" s="559"/>
      <c r="S468" s="559"/>
      <c r="T468" s="559"/>
      <c r="U468" s="559"/>
      <c r="V468" s="559"/>
      <c r="W468" s="559"/>
      <c r="X468" s="559"/>
      <c r="Y468" s="559"/>
      <c r="Z468" s="559"/>
      <c r="AA468" s="559"/>
      <c r="AB468" s="559"/>
      <c r="AC468" s="559"/>
      <c r="AD468" s="559"/>
      <c r="AE468" s="559"/>
      <c r="AF468" s="559"/>
      <c r="AG468" s="559"/>
    </row>
    <row r="469" spans="1:33" ht="18" customHeight="1" x14ac:dyDescent="0.35">
      <c r="A469" s="559"/>
      <c r="B469" s="559"/>
      <c r="C469" s="559"/>
      <c r="D469" s="559"/>
      <c r="E469" s="559"/>
      <c r="F469" s="559"/>
      <c r="G469" s="559"/>
      <c r="H469" s="559"/>
      <c r="I469" s="559"/>
      <c r="J469" s="559"/>
      <c r="K469" s="559"/>
      <c r="L469" s="559"/>
      <c r="M469" s="559"/>
      <c r="N469" s="559"/>
      <c r="O469" s="559"/>
      <c r="P469" s="559"/>
      <c r="Q469" s="559"/>
      <c r="R469" s="559"/>
      <c r="S469" s="559"/>
      <c r="T469" s="559"/>
      <c r="U469" s="559"/>
      <c r="V469" s="559"/>
      <c r="W469" s="559"/>
      <c r="X469" s="559"/>
      <c r="Y469" s="559"/>
      <c r="Z469" s="559"/>
      <c r="AA469" s="559"/>
      <c r="AB469" s="559"/>
      <c r="AC469" s="559"/>
      <c r="AD469" s="559"/>
      <c r="AE469" s="559"/>
      <c r="AF469" s="559"/>
      <c r="AG469" s="559"/>
    </row>
    <row r="470" spans="1:33" ht="18" customHeight="1" x14ac:dyDescent="0.35">
      <c r="A470" s="559"/>
      <c r="B470" s="559"/>
      <c r="C470" s="559"/>
      <c r="D470" s="559"/>
      <c r="E470" s="559"/>
      <c r="F470" s="559"/>
      <c r="G470" s="559"/>
      <c r="H470" s="559"/>
      <c r="I470" s="559"/>
      <c r="J470" s="559"/>
      <c r="K470" s="559"/>
      <c r="L470" s="559"/>
      <c r="M470" s="559"/>
      <c r="N470" s="559"/>
      <c r="O470" s="559"/>
      <c r="P470" s="559"/>
      <c r="Q470" s="559"/>
      <c r="R470" s="559"/>
      <c r="S470" s="559"/>
      <c r="T470" s="559"/>
      <c r="U470" s="559"/>
      <c r="V470" s="559"/>
      <c r="W470" s="559"/>
      <c r="X470" s="559"/>
      <c r="Y470" s="559"/>
      <c r="Z470" s="559"/>
      <c r="AA470" s="559"/>
      <c r="AB470" s="559"/>
      <c r="AC470" s="559"/>
      <c r="AD470" s="559"/>
      <c r="AE470" s="559"/>
      <c r="AF470" s="559"/>
      <c r="AG470" s="559"/>
    </row>
    <row r="471" spans="1:33" ht="18" customHeight="1" x14ac:dyDescent="0.35">
      <c r="A471" s="559"/>
      <c r="B471" s="559"/>
      <c r="C471" s="559"/>
      <c r="D471" s="559"/>
      <c r="E471" s="559"/>
      <c r="F471" s="559"/>
      <c r="G471" s="559"/>
      <c r="H471" s="559"/>
      <c r="I471" s="559"/>
      <c r="J471" s="559"/>
      <c r="K471" s="559"/>
      <c r="L471" s="559"/>
      <c r="M471" s="559"/>
      <c r="N471" s="559"/>
      <c r="O471" s="559"/>
      <c r="P471" s="559"/>
      <c r="Q471" s="559"/>
      <c r="R471" s="559"/>
      <c r="S471" s="559"/>
      <c r="T471" s="559"/>
      <c r="U471" s="559"/>
      <c r="V471" s="559"/>
      <c r="W471" s="559"/>
      <c r="X471" s="559"/>
      <c r="Y471" s="559"/>
      <c r="Z471" s="559"/>
      <c r="AA471" s="559"/>
      <c r="AB471" s="559"/>
      <c r="AC471" s="559"/>
      <c r="AD471" s="559"/>
      <c r="AE471" s="559"/>
      <c r="AF471" s="559"/>
      <c r="AG471" s="559"/>
    </row>
    <row r="472" spans="1:33" ht="18" customHeight="1" x14ac:dyDescent="0.35">
      <c r="A472" s="559"/>
      <c r="B472" s="559"/>
      <c r="C472" s="559"/>
      <c r="D472" s="559"/>
      <c r="E472" s="559"/>
      <c r="F472" s="559"/>
      <c r="G472" s="559"/>
      <c r="H472" s="559"/>
      <c r="I472" s="559"/>
      <c r="J472" s="559"/>
      <c r="K472" s="559"/>
      <c r="L472" s="559"/>
      <c r="M472" s="559"/>
      <c r="N472" s="559"/>
      <c r="O472" s="559"/>
      <c r="P472" s="559"/>
      <c r="Q472" s="559"/>
      <c r="R472" s="559"/>
      <c r="S472" s="559"/>
      <c r="T472" s="559"/>
      <c r="U472" s="559"/>
      <c r="V472" s="559"/>
      <c r="W472" s="559"/>
      <c r="X472" s="559"/>
      <c r="Y472" s="559"/>
      <c r="Z472" s="559"/>
      <c r="AA472" s="559"/>
      <c r="AB472" s="559"/>
      <c r="AC472" s="559"/>
      <c r="AD472" s="559"/>
      <c r="AE472" s="559"/>
      <c r="AF472" s="559"/>
      <c r="AG472" s="559"/>
    </row>
    <row r="473" spans="1:33" ht="18" customHeight="1" x14ac:dyDescent="0.35">
      <c r="A473" s="559"/>
      <c r="B473" s="559"/>
      <c r="C473" s="559"/>
      <c r="D473" s="559"/>
      <c r="E473" s="559"/>
      <c r="F473" s="559"/>
      <c r="G473" s="559"/>
      <c r="H473" s="559"/>
      <c r="I473" s="559"/>
      <c r="J473" s="559"/>
      <c r="K473" s="559"/>
      <c r="L473" s="559"/>
      <c r="M473" s="559"/>
      <c r="N473" s="559"/>
      <c r="O473" s="559"/>
      <c r="P473" s="559"/>
      <c r="Q473" s="559"/>
      <c r="R473" s="559"/>
      <c r="S473" s="559"/>
      <c r="T473" s="559"/>
      <c r="U473" s="559"/>
      <c r="V473" s="559"/>
      <c r="W473" s="559"/>
      <c r="X473" s="559"/>
      <c r="Y473" s="559"/>
      <c r="Z473" s="559"/>
      <c r="AA473" s="559"/>
      <c r="AB473" s="559"/>
      <c r="AC473" s="559"/>
      <c r="AD473" s="559"/>
      <c r="AE473" s="559"/>
      <c r="AF473" s="559"/>
      <c r="AG473" s="559"/>
    </row>
    <row r="474" spans="1:33" ht="18" customHeight="1" x14ac:dyDescent="0.35">
      <c r="A474" s="559"/>
      <c r="B474" s="559"/>
      <c r="C474" s="559"/>
      <c r="D474" s="559"/>
      <c r="E474" s="559"/>
      <c r="F474" s="559"/>
      <c r="G474" s="559"/>
      <c r="H474" s="559"/>
      <c r="I474" s="559"/>
      <c r="J474" s="559"/>
      <c r="K474" s="559"/>
      <c r="L474" s="559"/>
      <c r="M474" s="559"/>
      <c r="N474" s="559"/>
      <c r="O474" s="559"/>
      <c r="P474" s="559"/>
      <c r="Q474" s="559"/>
      <c r="R474" s="559"/>
      <c r="S474" s="559"/>
      <c r="T474" s="559"/>
      <c r="U474" s="559"/>
      <c r="V474" s="559"/>
      <c r="W474" s="559"/>
      <c r="X474" s="559"/>
      <c r="Y474" s="559"/>
      <c r="Z474" s="559"/>
      <c r="AA474" s="559"/>
      <c r="AB474" s="559"/>
      <c r="AC474" s="559"/>
      <c r="AD474" s="559"/>
      <c r="AE474" s="559"/>
      <c r="AF474" s="559"/>
      <c r="AG474" s="559"/>
    </row>
    <row r="475" spans="1:33" ht="18" customHeight="1" x14ac:dyDescent="0.35">
      <c r="A475" s="559"/>
      <c r="B475" s="559"/>
      <c r="C475" s="559"/>
      <c r="D475" s="559"/>
      <c r="E475" s="559"/>
      <c r="F475" s="559"/>
      <c r="G475" s="559"/>
      <c r="H475" s="559"/>
      <c r="I475" s="559"/>
      <c r="J475" s="559"/>
      <c r="K475" s="559"/>
      <c r="L475" s="559"/>
      <c r="M475" s="559"/>
      <c r="N475" s="559"/>
      <c r="O475" s="559"/>
      <c r="P475" s="559"/>
      <c r="Q475" s="559"/>
      <c r="R475" s="559"/>
      <c r="S475" s="559"/>
      <c r="T475" s="559"/>
      <c r="U475" s="559"/>
      <c r="V475" s="559"/>
      <c r="W475" s="559"/>
      <c r="X475" s="559"/>
      <c r="Y475" s="559"/>
      <c r="Z475" s="559"/>
      <c r="AA475" s="559"/>
      <c r="AB475" s="559"/>
      <c r="AC475" s="559"/>
      <c r="AD475" s="559"/>
      <c r="AE475" s="559"/>
      <c r="AF475" s="559"/>
      <c r="AG475" s="559"/>
    </row>
    <row r="476" spans="1:33" ht="18" customHeight="1" x14ac:dyDescent="0.35">
      <c r="A476" s="559"/>
      <c r="B476" s="559"/>
      <c r="C476" s="559"/>
      <c r="D476" s="559"/>
      <c r="E476" s="559"/>
      <c r="F476" s="559"/>
      <c r="G476" s="559"/>
      <c r="H476" s="559"/>
      <c r="I476" s="559"/>
      <c r="J476" s="559"/>
      <c r="K476" s="559"/>
      <c r="L476" s="559"/>
      <c r="M476" s="559"/>
      <c r="N476" s="559"/>
      <c r="O476" s="559"/>
      <c r="P476" s="559"/>
      <c r="Q476" s="559"/>
      <c r="R476" s="559"/>
      <c r="S476" s="559"/>
      <c r="T476" s="559"/>
      <c r="U476" s="559"/>
      <c r="V476" s="559"/>
      <c r="W476" s="559"/>
      <c r="X476" s="559"/>
      <c r="Y476" s="559"/>
      <c r="Z476" s="559"/>
      <c r="AA476" s="559"/>
      <c r="AB476" s="559"/>
      <c r="AC476" s="559"/>
      <c r="AD476" s="559"/>
      <c r="AE476" s="559"/>
      <c r="AF476" s="559"/>
      <c r="AG476" s="559"/>
    </row>
    <row r="477" spans="1:33" ht="18" customHeight="1" x14ac:dyDescent="0.35">
      <c r="A477" s="559"/>
      <c r="B477" s="559"/>
      <c r="C477" s="559"/>
      <c r="D477" s="559"/>
      <c r="E477" s="559"/>
      <c r="F477" s="559"/>
      <c r="G477" s="559"/>
      <c r="H477" s="559"/>
      <c r="I477" s="559"/>
      <c r="J477" s="559"/>
      <c r="K477" s="559"/>
      <c r="L477" s="559"/>
      <c r="M477" s="559"/>
      <c r="N477" s="559"/>
      <c r="O477" s="559"/>
      <c r="P477" s="559"/>
      <c r="Q477" s="559"/>
      <c r="R477" s="559"/>
      <c r="S477" s="559"/>
      <c r="T477" s="559"/>
      <c r="U477" s="559"/>
      <c r="V477" s="559"/>
      <c r="W477" s="559"/>
      <c r="X477" s="559"/>
      <c r="Y477" s="559"/>
      <c r="Z477" s="559"/>
      <c r="AA477" s="559"/>
      <c r="AB477" s="559"/>
      <c r="AC477" s="559"/>
      <c r="AD477" s="559"/>
      <c r="AE477" s="559"/>
      <c r="AF477" s="559"/>
      <c r="AG477" s="559"/>
    </row>
    <row r="478" spans="1:33" ht="18" customHeight="1" x14ac:dyDescent="0.35">
      <c r="A478" s="559"/>
      <c r="B478" s="559"/>
      <c r="C478" s="559"/>
      <c r="D478" s="559"/>
      <c r="E478" s="559"/>
      <c r="F478" s="559"/>
      <c r="G478" s="559"/>
      <c r="H478" s="559"/>
      <c r="I478" s="559"/>
      <c r="J478" s="559"/>
      <c r="K478" s="559"/>
      <c r="L478" s="559"/>
      <c r="M478" s="559"/>
      <c r="N478" s="559"/>
      <c r="O478" s="559"/>
      <c r="P478" s="559"/>
      <c r="Q478" s="559"/>
      <c r="R478" s="559"/>
      <c r="S478" s="559"/>
      <c r="T478" s="559"/>
      <c r="U478" s="559"/>
      <c r="V478" s="559"/>
      <c r="W478" s="559"/>
      <c r="X478" s="559"/>
      <c r="Y478" s="559"/>
      <c r="Z478" s="559"/>
      <c r="AA478" s="559"/>
      <c r="AB478" s="559"/>
      <c r="AC478" s="559"/>
      <c r="AD478" s="559"/>
      <c r="AE478" s="559"/>
      <c r="AF478" s="559"/>
      <c r="AG478" s="559"/>
    </row>
    <row r="479" spans="1:33" ht="18" customHeight="1" x14ac:dyDescent="0.35">
      <c r="A479" s="559"/>
      <c r="B479" s="559"/>
      <c r="C479" s="559"/>
      <c r="D479" s="559"/>
      <c r="E479" s="559"/>
      <c r="F479" s="559"/>
      <c r="G479" s="559"/>
      <c r="H479" s="559"/>
      <c r="I479" s="559"/>
      <c r="J479" s="559"/>
      <c r="K479" s="559"/>
      <c r="L479" s="559"/>
      <c r="M479" s="559"/>
      <c r="N479" s="559"/>
      <c r="O479" s="559"/>
      <c r="P479" s="559"/>
      <c r="Q479" s="559"/>
      <c r="R479" s="559"/>
      <c r="S479" s="559"/>
      <c r="T479" s="559"/>
      <c r="U479" s="559"/>
      <c r="V479" s="559"/>
      <c r="W479" s="559"/>
      <c r="X479" s="559"/>
      <c r="Y479" s="559"/>
      <c r="Z479" s="559"/>
      <c r="AA479" s="559"/>
      <c r="AB479" s="559"/>
      <c r="AC479" s="559"/>
      <c r="AD479" s="559"/>
      <c r="AE479" s="559"/>
      <c r="AF479" s="559"/>
      <c r="AG479" s="559"/>
    </row>
    <row r="480" spans="1:33" ht="18" customHeight="1" x14ac:dyDescent="0.35">
      <c r="A480" s="559"/>
      <c r="B480" s="559"/>
      <c r="C480" s="559"/>
      <c r="D480" s="559"/>
      <c r="E480" s="559"/>
      <c r="F480" s="559"/>
      <c r="G480" s="559"/>
      <c r="H480" s="559"/>
      <c r="I480" s="559"/>
      <c r="J480" s="559"/>
      <c r="K480" s="559"/>
      <c r="L480" s="559"/>
      <c r="M480" s="559"/>
      <c r="N480" s="559"/>
      <c r="O480" s="559"/>
      <c r="P480" s="559"/>
      <c r="Q480" s="559"/>
      <c r="R480" s="559"/>
      <c r="S480" s="559"/>
      <c r="T480" s="559"/>
      <c r="U480" s="559"/>
      <c r="V480" s="559"/>
      <c r="W480" s="559"/>
      <c r="X480" s="559"/>
      <c r="Y480" s="559"/>
      <c r="Z480" s="559"/>
      <c r="AA480" s="559"/>
      <c r="AB480" s="559"/>
      <c r="AC480" s="559"/>
      <c r="AD480" s="559"/>
      <c r="AE480" s="559"/>
      <c r="AF480" s="559"/>
      <c r="AG480" s="559"/>
    </row>
    <row r="481" spans="1:33" ht="18" customHeight="1" x14ac:dyDescent="0.35">
      <c r="A481" s="559"/>
      <c r="B481" s="559"/>
      <c r="C481" s="559"/>
      <c r="D481" s="559"/>
      <c r="E481" s="559"/>
      <c r="F481" s="559"/>
      <c r="G481" s="559"/>
      <c r="H481" s="559"/>
      <c r="I481" s="559"/>
      <c r="J481" s="559"/>
      <c r="K481" s="559"/>
      <c r="L481" s="559"/>
      <c r="M481" s="559"/>
      <c r="N481" s="559"/>
      <c r="O481" s="559"/>
      <c r="P481" s="559"/>
      <c r="Q481" s="559"/>
      <c r="R481" s="559"/>
      <c r="S481" s="559"/>
      <c r="T481" s="559"/>
      <c r="U481" s="559"/>
      <c r="V481" s="559"/>
      <c r="W481" s="559"/>
      <c r="X481" s="559"/>
      <c r="Y481" s="559"/>
      <c r="Z481" s="559"/>
      <c r="AA481" s="559"/>
      <c r="AB481" s="559"/>
      <c r="AC481" s="559"/>
      <c r="AD481" s="559"/>
      <c r="AE481" s="559"/>
      <c r="AF481" s="559"/>
      <c r="AG481" s="559"/>
    </row>
    <row r="482" spans="1:33" ht="18" customHeight="1" x14ac:dyDescent="0.35">
      <c r="A482" s="559"/>
      <c r="B482" s="559"/>
      <c r="C482" s="559"/>
      <c r="D482" s="559"/>
      <c r="E482" s="559"/>
      <c r="F482" s="559"/>
      <c r="G482" s="559"/>
      <c r="H482" s="559"/>
      <c r="I482" s="559"/>
      <c r="J482" s="559"/>
      <c r="K482" s="559"/>
      <c r="L482" s="559"/>
      <c r="M482" s="559"/>
      <c r="N482" s="559"/>
      <c r="O482" s="559"/>
      <c r="P482" s="559"/>
      <c r="Q482" s="559"/>
      <c r="R482" s="559"/>
      <c r="S482" s="559"/>
      <c r="T482" s="559"/>
      <c r="U482" s="559"/>
      <c r="V482" s="559"/>
      <c r="W482" s="559"/>
      <c r="X482" s="559"/>
      <c r="Y482" s="559"/>
      <c r="Z482" s="559"/>
      <c r="AA482" s="559"/>
      <c r="AB482" s="559"/>
      <c r="AC482" s="559"/>
      <c r="AD482" s="559"/>
      <c r="AE482" s="559"/>
      <c r="AF482" s="559"/>
      <c r="AG482" s="559"/>
    </row>
    <row r="483" spans="1:33" ht="18" customHeight="1" x14ac:dyDescent="0.35">
      <c r="A483" s="559"/>
      <c r="B483" s="559"/>
      <c r="C483" s="559"/>
      <c r="D483" s="559"/>
      <c r="E483" s="559"/>
      <c r="F483" s="559"/>
      <c r="G483" s="559"/>
      <c r="H483" s="559"/>
      <c r="I483" s="559"/>
      <c r="J483" s="559"/>
      <c r="K483" s="559"/>
      <c r="L483" s="559"/>
      <c r="M483" s="559"/>
      <c r="N483" s="559"/>
      <c r="O483" s="559"/>
      <c r="P483" s="559"/>
      <c r="Q483" s="559"/>
      <c r="R483" s="559"/>
      <c r="S483" s="559"/>
      <c r="T483" s="559"/>
      <c r="U483" s="559"/>
      <c r="V483" s="559"/>
      <c r="W483" s="559"/>
      <c r="X483" s="559"/>
      <c r="Y483" s="559"/>
      <c r="Z483" s="559"/>
      <c r="AA483" s="559"/>
      <c r="AB483" s="559"/>
      <c r="AC483" s="559"/>
      <c r="AD483" s="559"/>
      <c r="AE483" s="559"/>
      <c r="AF483" s="559"/>
      <c r="AG483" s="559"/>
    </row>
    <row r="484" spans="1:33" ht="18" customHeight="1" x14ac:dyDescent="0.35">
      <c r="A484" s="559"/>
      <c r="B484" s="559"/>
      <c r="C484" s="559"/>
      <c r="D484" s="559"/>
      <c r="E484" s="559"/>
      <c r="F484" s="559"/>
      <c r="G484" s="559"/>
      <c r="H484" s="559"/>
      <c r="I484" s="559"/>
      <c r="J484" s="559"/>
      <c r="K484" s="559"/>
      <c r="L484" s="559"/>
      <c r="M484" s="559"/>
      <c r="N484" s="559"/>
      <c r="O484" s="559"/>
      <c r="P484" s="559"/>
      <c r="Q484" s="559"/>
      <c r="R484" s="559"/>
      <c r="S484" s="559"/>
      <c r="T484" s="559"/>
      <c r="U484" s="559"/>
      <c r="V484" s="559"/>
      <c r="W484" s="559"/>
      <c r="X484" s="559"/>
      <c r="Y484" s="559"/>
      <c r="Z484" s="559"/>
      <c r="AA484" s="559"/>
      <c r="AB484" s="559"/>
      <c r="AC484" s="559"/>
      <c r="AD484" s="559"/>
      <c r="AE484" s="559"/>
      <c r="AF484" s="559"/>
      <c r="AG484" s="559"/>
    </row>
    <row r="485" spans="1:33" ht="18" customHeight="1" x14ac:dyDescent="0.35">
      <c r="A485" s="559"/>
      <c r="B485" s="559"/>
      <c r="C485" s="559"/>
      <c r="D485" s="559"/>
      <c r="E485" s="559"/>
      <c r="F485" s="559"/>
      <c r="G485" s="559"/>
      <c r="H485" s="559"/>
      <c r="I485" s="559"/>
      <c r="J485" s="559"/>
      <c r="K485" s="559"/>
      <c r="L485" s="559"/>
      <c r="M485" s="559"/>
      <c r="N485" s="559"/>
      <c r="O485" s="559"/>
      <c r="P485" s="559"/>
      <c r="Q485" s="559"/>
      <c r="R485" s="559"/>
      <c r="S485" s="559"/>
      <c r="T485" s="559"/>
      <c r="U485" s="559"/>
      <c r="V485" s="559"/>
      <c r="W485" s="559"/>
      <c r="X485" s="559"/>
      <c r="Y485" s="559"/>
      <c r="Z485" s="559"/>
      <c r="AA485" s="559"/>
      <c r="AB485" s="559"/>
      <c r="AC485" s="559"/>
      <c r="AD485" s="559"/>
      <c r="AE485" s="559"/>
      <c r="AF485" s="559"/>
      <c r="AG485" s="559"/>
    </row>
    <row r="486" spans="1:33" ht="18" customHeight="1" x14ac:dyDescent="0.35">
      <c r="A486" s="559"/>
      <c r="B486" s="559"/>
      <c r="C486" s="559"/>
      <c r="D486" s="559"/>
      <c r="E486" s="559"/>
      <c r="F486" s="559"/>
      <c r="G486" s="559"/>
      <c r="H486" s="559"/>
      <c r="I486" s="559"/>
      <c r="J486" s="559"/>
      <c r="K486" s="559"/>
      <c r="L486" s="559"/>
      <c r="M486" s="559"/>
      <c r="N486" s="559"/>
      <c r="O486" s="559"/>
      <c r="P486" s="559"/>
      <c r="Q486" s="559"/>
      <c r="R486" s="559"/>
      <c r="S486" s="559"/>
      <c r="T486" s="559"/>
      <c r="U486" s="559"/>
      <c r="V486" s="559"/>
      <c r="W486" s="559"/>
      <c r="X486" s="559"/>
      <c r="Y486" s="559"/>
      <c r="Z486" s="559"/>
      <c r="AA486" s="559"/>
      <c r="AB486" s="559"/>
      <c r="AC486" s="559"/>
      <c r="AD486" s="559"/>
      <c r="AE486" s="559"/>
      <c r="AF486" s="559"/>
      <c r="AG486" s="559"/>
    </row>
    <row r="487" spans="1:33" ht="18" customHeight="1" x14ac:dyDescent="0.35">
      <c r="A487" s="559"/>
      <c r="B487" s="559"/>
      <c r="C487" s="559"/>
      <c r="D487" s="559"/>
      <c r="E487" s="559"/>
      <c r="F487" s="559"/>
      <c r="G487" s="559"/>
      <c r="H487" s="559"/>
      <c r="I487" s="559"/>
      <c r="J487" s="559"/>
      <c r="K487" s="559"/>
      <c r="L487" s="559"/>
      <c r="M487" s="559"/>
      <c r="N487" s="559"/>
      <c r="O487" s="559"/>
      <c r="P487" s="559"/>
      <c r="Q487" s="559"/>
      <c r="R487" s="559"/>
      <c r="S487" s="559"/>
      <c r="T487" s="559"/>
      <c r="U487" s="559"/>
      <c r="V487" s="559"/>
      <c r="W487" s="559"/>
      <c r="X487" s="559"/>
      <c r="Y487" s="559"/>
      <c r="Z487" s="559"/>
      <c r="AA487" s="559"/>
      <c r="AB487" s="559"/>
      <c r="AC487" s="559"/>
      <c r="AD487" s="559"/>
      <c r="AE487" s="559"/>
      <c r="AF487" s="559"/>
      <c r="AG487" s="559"/>
    </row>
    <row r="488" spans="1:33" ht="18" customHeight="1" x14ac:dyDescent="0.35">
      <c r="A488" s="559"/>
      <c r="B488" s="559"/>
      <c r="C488" s="559"/>
      <c r="D488" s="559"/>
      <c r="E488" s="559"/>
      <c r="F488" s="559"/>
      <c r="G488" s="559"/>
      <c r="H488" s="559"/>
      <c r="I488" s="559"/>
      <c r="J488" s="559"/>
      <c r="K488" s="559"/>
      <c r="L488" s="559"/>
      <c r="M488" s="559"/>
      <c r="N488" s="559"/>
      <c r="O488" s="559"/>
      <c r="P488" s="559"/>
      <c r="Q488" s="559"/>
      <c r="R488" s="559"/>
      <c r="S488" s="559"/>
      <c r="T488" s="559"/>
      <c r="U488" s="559"/>
      <c r="V488" s="559"/>
      <c r="W488" s="559"/>
      <c r="X488" s="559"/>
      <c r="Y488" s="559"/>
      <c r="Z488" s="559"/>
      <c r="AA488" s="559"/>
      <c r="AB488" s="559"/>
      <c r="AC488" s="559"/>
      <c r="AD488" s="559"/>
      <c r="AE488" s="559"/>
      <c r="AF488" s="559"/>
      <c r="AG488" s="559"/>
    </row>
    <row r="489" spans="1:33" ht="18" customHeight="1" x14ac:dyDescent="0.35">
      <c r="A489" s="559"/>
      <c r="B489" s="559"/>
      <c r="C489" s="559"/>
      <c r="D489" s="559"/>
      <c r="E489" s="559"/>
      <c r="F489" s="559"/>
      <c r="G489" s="559"/>
      <c r="H489" s="559"/>
      <c r="I489" s="559"/>
      <c r="J489" s="559"/>
      <c r="K489" s="559"/>
      <c r="L489" s="559"/>
      <c r="M489" s="559"/>
      <c r="N489" s="559"/>
      <c r="O489" s="559"/>
      <c r="P489" s="559"/>
      <c r="Q489" s="559"/>
      <c r="R489" s="559"/>
      <c r="S489" s="559"/>
      <c r="T489" s="559"/>
      <c r="U489" s="559"/>
      <c r="V489" s="559"/>
      <c r="W489" s="559"/>
      <c r="X489" s="559"/>
      <c r="Y489" s="559"/>
      <c r="Z489" s="559"/>
      <c r="AA489" s="559"/>
      <c r="AB489" s="559"/>
      <c r="AC489" s="559"/>
      <c r="AD489" s="559"/>
      <c r="AE489" s="559"/>
      <c r="AF489" s="559"/>
      <c r="AG489" s="559"/>
    </row>
    <row r="490" spans="1:33" ht="18" customHeight="1" x14ac:dyDescent="0.35">
      <c r="A490" s="559"/>
      <c r="B490" s="559"/>
      <c r="C490" s="559"/>
      <c r="D490" s="559"/>
      <c r="E490" s="559"/>
      <c r="F490" s="559"/>
      <c r="G490" s="559"/>
      <c r="H490" s="559"/>
      <c r="I490" s="559"/>
      <c r="J490" s="559"/>
      <c r="K490" s="559"/>
      <c r="L490" s="559"/>
      <c r="M490" s="559"/>
      <c r="N490" s="559"/>
      <c r="O490" s="559"/>
      <c r="P490" s="559"/>
      <c r="Q490" s="559"/>
      <c r="R490" s="559"/>
      <c r="S490" s="559"/>
      <c r="T490" s="559"/>
      <c r="U490" s="559"/>
      <c r="V490" s="559"/>
      <c r="W490" s="559"/>
      <c r="X490" s="559"/>
      <c r="Y490" s="559"/>
      <c r="Z490" s="559"/>
      <c r="AA490" s="559"/>
      <c r="AB490" s="559"/>
      <c r="AC490" s="559"/>
      <c r="AD490" s="559"/>
      <c r="AE490" s="559"/>
      <c r="AF490" s="559"/>
      <c r="AG490" s="559"/>
    </row>
    <row r="491" spans="1:33" ht="18" customHeight="1" x14ac:dyDescent="0.35">
      <c r="A491" s="559"/>
      <c r="B491" s="559"/>
      <c r="C491" s="559"/>
      <c r="D491" s="559"/>
      <c r="E491" s="559"/>
      <c r="F491" s="559"/>
      <c r="G491" s="559"/>
      <c r="H491" s="559"/>
      <c r="I491" s="559"/>
      <c r="J491" s="559"/>
      <c r="K491" s="559"/>
      <c r="L491" s="559"/>
      <c r="M491" s="559"/>
      <c r="N491" s="559"/>
      <c r="O491" s="559"/>
      <c r="P491" s="559"/>
      <c r="Q491" s="559"/>
      <c r="R491" s="559"/>
      <c r="S491" s="559"/>
      <c r="T491" s="559"/>
      <c r="U491" s="559"/>
      <c r="V491" s="559"/>
      <c r="W491" s="559"/>
      <c r="X491" s="559"/>
      <c r="Y491" s="559"/>
      <c r="Z491" s="559"/>
      <c r="AA491" s="559"/>
      <c r="AB491" s="559"/>
      <c r="AC491" s="559"/>
      <c r="AD491" s="559"/>
      <c r="AE491" s="559"/>
      <c r="AF491" s="559"/>
      <c r="AG491" s="559"/>
    </row>
    <row r="492" spans="1:33" ht="18" customHeight="1" x14ac:dyDescent="0.35">
      <c r="A492" s="559"/>
      <c r="B492" s="559"/>
      <c r="C492" s="559"/>
      <c r="D492" s="559"/>
      <c r="E492" s="559"/>
      <c r="F492" s="559"/>
      <c r="G492" s="559"/>
      <c r="H492" s="559"/>
      <c r="I492" s="559"/>
      <c r="J492" s="559"/>
      <c r="K492" s="559"/>
      <c r="L492" s="559"/>
      <c r="M492" s="559"/>
      <c r="N492" s="559"/>
      <c r="O492" s="559"/>
      <c r="P492" s="559"/>
      <c r="Q492" s="559"/>
      <c r="R492" s="559"/>
      <c r="S492" s="559"/>
      <c r="T492" s="559"/>
      <c r="U492" s="559"/>
      <c r="V492" s="559"/>
      <c r="W492" s="559"/>
      <c r="X492" s="559"/>
      <c r="Y492" s="559"/>
      <c r="Z492" s="559"/>
      <c r="AA492" s="559"/>
      <c r="AB492" s="559"/>
      <c r="AC492" s="559"/>
      <c r="AD492" s="559"/>
      <c r="AE492" s="559"/>
      <c r="AF492" s="559"/>
      <c r="AG492" s="559"/>
    </row>
    <row r="493" spans="1:33" ht="18" customHeight="1" x14ac:dyDescent="0.35">
      <c r="A493" s="559"/>
      <c r="B493" s="559"/>
      <c r="C493" s="559"/>
      <c r="D493" s="559"/>
      <c r="E493" s="559"/>
      <c r="F493" s="559"/>
      <c r="G493" s="559"/>
      <c r="H493" s="559"/>
      <c r="I493" s="559"/>
      <c r="J493" s="559"/>
      <c r="K493" s="559"/>
      <c r="L493" s="559"/>
      <c r="M493" s="559"/>
      <c r="N493" s="559"/>
      <c r="O493" s="559"/>
      <c r="P493" s="559"/>
      <c r="Q493" s="559"/>
      <c r="R493" s="559"/>
      <c r="S493" s="559"/>
      <c r="T493" s="559"/>
      <c r="U493" s="559"/>
      <c r="V493" s="559"/>
      <c r="W493" s="559"/>
      <c r="X493" s="559"/>
      <c r="Y493" s="559"/>
      <c r="Z493" s="559"/>
      <c r="AA493" s="559"/>
      <c r="AB493" s="559"/>
      <c r="AC493" s="559"/>
      <c r="AD493" s="559"/>
      <c r="AE493" s="559"/>
      <c r="AF493" s="559"/>
      <c r="AG493" s="559"/>
    </row>
    <row r="494" spans="1:33" ht="18" customHeight="1" x14ac:dyDescent="0.35">
      <c r="A494" s="559"/>
      <c r="B494" s="559"/>
      <c r="C494" s="559"/>
      <c r="D494" s="559"/>
      <c r="E494" s="559"/>
      <c r="F494" s="559"/>
      <c r="G494" s="559"/>
      <c r="H494" s="559"/>
      <c r="I494" s="559"/>
      <c r="J494" s="559"/>
      <c r="K494" s="559"/>
      <c r="L494" s="559"/>
      <c r="M494" s="559"/>
      <c r="N494" s="559"/>
      <c r="O494" s="559"/>
      <c r="P494" s="559"/>
      <c r="Q494" s="559"/>
      <c r="R494" s="559"/>
      <c r="S494" s="559"/>
      <c r="T494" s="559"/>
      <c r="U494" s="559"/>
      <c r="V494" s="559"/>
      <c r="W494" s="559"/>
      <c r="X494" s="559"/>
      <c r="Y494" s="559"/>
      <c r="Z494" s="559"/>
      <c r="AA494" s="559"/>
      <c r="AB494" s="559"/>
      <c r="AC494" s="559"/>
      <c r="AD494" s="559"/>
      <c r="AE494" s="559"/>
      <c r="AF494" s="559"/>
      <c r="AG494" s="559"/>
    </row>
    <row r="495" spans="1:33" ht="18" customHeight="1" x14ac:dyDescent="0.35">
      <c r="A495" s="559"/>
      <c r="B495" s="559"/>
      <c r="C495" s="559"/>
      <c r="D495" s="559"/>
      <c r="E495" s="559"/>
      <c r="F495" s="559"/>
      <c r="G495" s="559"/>
      <c r="H495" s="559"/>
      <c r="I495" s="559"/>
      <c r="J495" s="559"/>
      <c r="K495" s="559"/>
      <c r="L495" s="559"/>
      <c r="M495" s="559"/>
      <c r="N495" s="559"/>
      <c r="O495" s="559"/>
      <c r="P495" s="559"/>
      <c r="Q495" s="559"/>
      <c r="R495" s="559"/>
      <c r="S495" s="559"/>
      <c r="T495" s="559"/>
      <c r="U495" s="559"/>
      <c r="V495" s="559"/>
      <c r="W495" s="559"/>
      <c r="X495" s="559"/>
      <c r="Y495" s="559"/>
      <c r="Z495" s="559"/>
      <c r="AA495" s="559"/>
      <c r="AB495" s="559"/>
      <c r="AC495" s="559"/>
      <c r="AD495" s="559"/>
      <c r="AE495" s="559"/>
      <c r="AF495" s="559"/>
      <c r="AG495" s="559"/>
    </row>
    <row r="496" spans="1:33" ht="18" customHeight="1" x14ac:dyDescent="0.35">
      <c r="A496" s="559"/>
      <c r="B496" s="559"/>
      <c r="C496" s="559"/>
      <c r="D496" s="559"/>
      <c r="E496" s="559"/>
      <c r="F496" s="559"/>
      <c r="G496" s="559"/>
      <c r="H496" s="559"/>
      <c r="I496" s="559"/>
      <c r="J496" s="559"/>
      <c r="K496" s="559"/>
      <c r="L496" s="559"/>
      <c r="M496" s="559"/>
      <c r="N496" s="559"/>
      <c r="O496" s="559"/>
      <c r="P496" s="559"/>
      <c r="Q496" s="559"/>
      <c r="R496" s="559"/>
      <c r="S496" s="559"/>
      <c r="T496" s="559"/>
      <c r="U496" s="559"/>
      <c r="V496" s="559"/>
      <c r="W496" s="559"/>
      <c r="X496" s="559"/>
      <c r="Y496" s="559"/>
      <c r="Z496" s="559"/>
      <c r="AA496" s="559"/>
      <c r="AB496" s="559"/>
      <c r="AC496" s="559"/>
      <c r="AD496" s="559"/>
      <c r="AE496" s="559"/>
      <c r="AF496" s="559"/>
      <c r="AG496" s="559"/>
    </row>
    <row r="497" spans="1:33" ht="18" customHeight="1" x14ac:dyDescent="0.35">
      <c r="A497" s="559"/>
      <c r="B497" s="559"/>
      <c r="C497" s="559"/>
      <c r="D497" s="559"/>
      <c r="E497" s="559"/>
      <c r="F497" s="559"/>
      <c r="G497" s="559"/>
      <c r="H497" s="559"/>
      <c r="I497" s="559"/>
      <c r="J497" s="559"/>
      <c r="K497" s="559"/>
      <c r="L497" s="559"/>
      <c r="M497" s="559"/>
      <c r="N497" s="559"/>
      <c r="O497" s="559"/>
      <c r="P497" s="559"/>
      <c r="Q497" s="559"/>
      <c r="R497" s="559"/>
      <c r="S497" s="559"/>
      <c r="T497" s="559"/>
      <c r="U497" s="559"/>
      <c r="V497" s="559"/>
      <c r="W497" s="559"/>
      <c r="X497" s="559"/>
      <c r="Y497" s="559"/>
      <c r="Z497" s="559"/>
      <c r="AA497" s="559"/>
      <c r="AB497" s="559"/>
      <c r="AC497" s="559"/>
      <c r="AD497" s="559"/>
      <c r="AE497" s="559"/>
      <c r="AF497" s="559"/>
      <c r="AG497" s="559"/>
    </row>
    <row r="498" spans="1:33" ht="18" customHeight="1" x14ac:dyDescent="0.35">
      <c r="A498" s="559"/>
      <c r="B498" s="559"/>
      <c r="C498" s="559"/>
      <c r="D498" s="559"/>
      <c r="E498" s="559"/>
      <c r="F498" s="559"/>
      <c r="G498" s="559"/>
      <c r="H498" s="559"/>
      <c r="I498" s="559"/>
      <c r="J498" s="559"/>
      <c r="K498" s="559"/>
      <c r="L498" s="559"/>
      <c r="M498" s="559"/>
      <c r="N498" s="559"/>
      <c r="O498" s="559"/>
      <c r="P498" s="559"/>
      <c r="Q498" s="559"/>
      <c r="R498" s="559"/>
      <c r="S498" s="559"/>
      <c r="T498" s="559"/>
      <c r="U498" s="559"/>
      <c r="V498" s="559"/>
      <c r="W498" s="559"/>
      <c r="X498" s="559"/>
      <c r="Y498" s="559"/>
      <c r="Z498" s="559"/>
      <c r="AA498" s="559"/>
      <c r="AB498" s="559"/>
      <c r="AC498" s="559"/>
      <c r="AD498" s="559"/>
      <c r="AE498" s="559"/>
      <c r="AF498" s="559"/>
      <c r="AG498" s="559"/>
    </row>
    <row r="499" spans="1:33" ht="18" customHeight="1" x14ac:dyDescent="0.35">
      <c r="A499" s="559"/>
      <c r="B499" s="559"/>
      <c r="C499" s="559"/>
      <c r="D499" s="559"/>
      <c r="E499" s="559"/>
      <c r="F499" s="559"/>
      <c r="G499" s="559"/>
      <c r="H499" s="559"/>
      <c r="I499" s="559"/>
      <c r="J499" s="559"/>
      <c r="K499" s="559"/>
      <c r="L499" s="559"/>
      <c r="M499" s="559"/>
      <c r="N499" s="559"/>
      <c r="O499" s="559"/>
      <c r="P499" s="559"/>
      <c r="Q499" s="559"/>
      <c r="R499" s="559"/>
      <c r="S499" s="559"/>
      <c r="T499" s="559"/>
      <c r="U499" s="559"/>
      <c r="V499" s="559"/>
      <c r="W499" s="559"/>
      <c r="X499" s="559"/>
      <c r="Y499" s="559"/>
      <c r="Z499" s="559"/>
      <c r="AA499" s="559"/>
      <c r="AB499" s="559"/>
      <c r="AC499" s="559"/>
      <c r="AD499" s="559"/>
      <c r="AE499" s="559"/>
      <c r="AF499" s="559"/>
      <c r="AG499" s="559"/>
    </row>
    <row r="500" spans="1:33" ht="18" customHeight="1" x14ac:dyDescent="0.35">
      <c r="A500" s="559"/>
      <c r="B500" s="559"/>
      <c r="C500" s="559"/>
      <c r="D500" s="559"/>
      <c r="E500" s="559"/>
      <c r="F500" s="559"/>
      <c r="G500" s="559"/>
      <c r="H500" s="559"/>
      <c r="I500" s="559"/>
      <c r="J500" s="559"/>
      <c r="K500" s="559"/>
      <c r="L500" s="559"/>
      <c r="M500" s="559"/>
      <c r="N500" s="559"/>
      <c r="O500" s="559"/>
      <c r="P500" s="559"/>
      <c r="Q500" s="559"/>
      <c r="R500" s="559"/>
      <c r="S500" s="559"/>
      <c r="T500" s="559"/>
      <c r="U500" s="559"/>
      <c r="V500" s="559"/>
      <c r="W500" s="559"/>
      <c r="X500" s="559"/>
      <c r="Y500" s="559"/>
      <c r="Z500" s="559"/>
      <c r="AA500" s="559"/>
      <c r="AB500" s="559"/>
      <c r="AC500" s="559"/>
      <c r="AD500" s="559"/>
      <c r="AE500" s="559"/>
      <c r="AF500" s="559"/>
      <c r="AG500" s="559"/>
    </row>
    <row r="501" spans="1:33" ht="18" customHeight="1" x14ac:dyDescent="0.35">
      <c r="A501" s="559"/>
      <c r="B501" s="559"/>
      <c r="C501" s="559"/>
      <c r="D501" s="559"/>
      <c r="E501" s="559"/>
      <c r="F501" s="559"/>
      <c r="G501" s="559"/>
      <c r="H501" s="559"/>
      <c r="I501" s="559"/>
      <c r="J501" s="559"/>
      <c r="K501" s="559"/>
      <c r="L501" s="559"/>
      <c r="M501" s="559"/>
      <c r="N501" s="559"/>
      <c r="O501" s="559"/>
      <c r="P501" s="559"/>
      <c r="Q501" s="559"/>
      <c r="R501" s="559"/>
      <c r="S501" s="559"/>
      <c r="T501" s="559"/>
      <c r="U501" s="559"/>
      <c r="V501" s="559"/>
      <c r="W501" s="559"/>
      <c r="X501" s="559"/>
      <c r="Y501" s="559"/>
      <c r="Z501" s="559"/>
      <c r="AA501" s="559"/>
      <c r="AB501" s="559"/>
      <c r="AC501" s="559"/>
      <c r="AD501" s="559"/>
      <c r="AE501" s="559"/>
      <c r="AF501" s="559"/>
      <c r="AG501" s="559"/>
    </row>
    <row r="502" spans="1:33" ht="18" customHeight="1" x14ac:dyDescent="0.35">
      <c r="A502" s="559"/>
      <c r="B502" s="559"/>
      <c r="C502" s="559"/>
      <c r="D502" s="559"/>
      <c r="E502" s="559"/>
      <c r="F502" s="559"/>
      <c r="G502" s="559"/>
      <c r="H502" s="559"/>
      <c r="I502" s="559"/>
      <c r="J502" s="559"/>
      <c r="K502" s="559"/>
      <c r="L502" s="559"/>
      <c r="M502" s="559"/>
      <c r="N502" s="559"/>
      <c r="O502" s="559"/>
      <c r="P502" s="559"/>
      <c r="Q502" s="559"/>
      <c r="R502" s="559"/>
      <c r="S502" s="559"/>
      <c r="T502" s="559"/>
      <c r="U502" s="559"/>
      <c r="V502" s="559"/>
      <c r="W502" s="559"/>
      <c r="X502" s="559"/>
      <c r="Y502" s="559"/>
      <c r="Z502" s="559"/>
      <c r="AA502" s="559"/>
      <c r="AB502" s="559"/>
      <c r="AC502" s="559"/>
      <c r="AD502" s="559"/>
      <c r="AE502" s="559"/>
      <c r="AF502" s="559"/>
      <c r="AG502" s="559"/>
    </row>
    <row r="503" spans="1:33" ht="18" customHeight="1" x14ac:dyDescent="0.35">
      <c r="A503" s="559"/>
      <c r="B503" s="559"/>
      <c r="C503" s="559"/>
      <c r="D503" s="559"/>
      <c r="E503" s="559"/>
      <c r="F503" s="559"/>
      <c r="G503" s="559"/>
      <c r="H503" s="559"/>
      <c r="I503" s="559"/>
      <c r="J503" s="559"/>
      <c r="K503" s="559"/>
      <c r="L503" s="559"/>
      <c r="M503" s="559"/>
      <c r="N503" s="559"/>
      <c r="O503" s="559"/>
      <c r="P503" s="559"/>
      <c r="Q503" s="559"/>
      <c r="R503" s="559"/>
      <c r="S503" s="559"/>
      <c r="T503" s="559"/>
      <c r="U503" s="559"/>
      <c r="V503" s="559"/>
      <c r="W503" s="559"/>
      <c r="X503" s="559"/>
      <c r="Y503" s="559"/>
      <c r="Z503" s="559"/>
      <c r="AA503" s="559"/>
      <c r="AB503" s="559"/>
      <c r="AC503" s="559"/>
      <c r="AD503" s="559"/>
      <c r="AE503" s="559"/>
      <c r="AF503" s="559"/>
      <c r="AG503" s="559"/>
    </row>
    <row r="504" spans="1:33" ht="18" customHeight="1" x14ac:dyDescent="0.35">
      <c r="A504" s="559"/>
      <c r="B504" s="559"/>
      <c r="C504" s="559"/>
      <c r="D504" s="559"/>
      <c r="E504" s="559"/>
      <c r="F504" s="559"/>
      <c r="G504" s="559"/>
      <c r="H504" s="559"/>
      <c r="I504" s="559"/>
      <c r="J504" s="559"/>
      <c r="K504" s="559"/>
      <c r="L504" s="559"/>
      <c r="M504" s="559"/>
      <c r="N504" s="559"/>
      <c r="O504" s="559"/>
      <c r="P504" s="559"/>
      <c r="Q504" s="559"/>
      <c r="R504" s="559"/>
      <c r="S504" s="559"/>
      <c r="T504" s="559"/>
      <c r="U504" s="559"/>
      <c r="V504" s="559"/>
      <c r="W504" s="559"/>
      <c r="X504" s="559"/>
      <c r="Y504" s="559"/>
      <c r="Z504" s="559"/>
      <c r="AA504" s="559"/>
      <c r="AB504" s="559"/>
      <c r="AC504" s="559"/>
      <c r="AD504" s="559"/>
      <c r="AE504" s="559"/>
      <c r="AF504" s="559"/>
      <c r="AG504" s="559"/>
    </row>
    <row r="505" spans="1:33" ht="18" customHeight="1" x14ac:dyDescent="0.35">
      <c r="A505" s="559"/>
      <c r="B505" s="559"/>
      <c r="C505" s="559"/>
      <c r="D505" s="559"/>
      <c r="E505" s="559"/>
      <c r="F505" s="559"/>
      <c r="G505" s="559"/>
      <c r="H505" s="559"/>
      <c r="I505" s="559"/>
      <c r="J505" s="559"/>
      <c r="K505" s="559"/>
      <c r="L505" s="559"/>
      <c r="M505" s="559"/>
      <c r="N505" s="559"/>
      <c r="O505" s="559"/>
      <c r="P505" s="559"/>
      <c r="Q505" s="559"/>
      <c r="R505" s="559"/>
      <c r="S505" s="559"/>
      <c r="T505" s="559"/>
      <c r="U505" s="559"/>
      <c r="V505" s="559"/>
      <c r="W505" s="559"/>
      <c r="X505" s="559"/>
      <c r="Y505" s="559"/>
      <c r="Z505" s="559"/>
      <c r="AA505" s="559"/>
      <c r="AB505" s="559"/>
      <c r="AC505" s="559"/>
      <c r="AD505" s="559"/>
      <c r="AE505" s="559"/>
      <c r="AF505" s="559"/>
      <c r="AG505" s="559"/>
    </row>
    <row r="506" spans="1:33" ht="18" customHeight="1" x14ac:dyDescent="0.35">
      <c r="A506" s="559"/>
      <c r="B506" s="559"/>
      <c r="C506" s="559"/>
      <c r="D506" s="559"/>
      <c r="E506" s="559"/>
      <c r="F506" s="559"/>
      <c r="G506" s="559"/>
      <c r="H506" s="559"/>
      <c r="I506" s="559"/>
      <c r="J506" s="559"/>
      <c r="K506" s="559"/>
      <c r="L506" s="559"/>
      <c r="M506" s="559"/>
      <c r="N506" s="559"/>
      <c r="O506" s="559"/>
      <c r="P506" s="559"/>
      <c r="Q506" s="559"/>
      <c r="R506" s="559"/>
      <c r="S506" s="559"/>
      <c r="T506" s="559"/>
      <c r="U506" s="559"/>
      <c r="V506" s="559"/>
      <c r="W506" s="559"/>
      <c r="X506" s="559"/>
      <c r="Y506" s="559"/>
      <c r="Z506" s="559"/>
      <c r="AA506" s="559"/>
      <c r="AB506" s="559"/>
      <c r="AC506" s="559"/>
      <c r="AD506" s="559"/>
      <c r="AE506" s="559"/>
      <c r="AF506" s="559"/>
      <c r="AG506" s="559"/>
    </row>
    <row r="507" spans="1:33" ht="18" customHeight="1" x14ac:dyDescent="0.35">
      <c r="A507" s="559"/>
      <c r="B507" s="559"/>
      <c r="C507" s="559"/>
      <c r="D507" s="559"/>
      <c r="E507" s="559"/>
      <c r="F507" s="559"/>
      <c r="G507" s="559"/>
      <c r="H507" s="559"/>
      <c r="I507" s="559"/>
      <c r="J507" s="559"/>
      <c r="K507" s="559"/>
      <c r="L507" s="559"/>
      <c r="M507" s="559"/>
      <c r="N507" s="559"/>
      <c r="O507" s="559"/>
      <c r="P507" s="559"/>
      <c r="Q507" s="559"/>
      <c r="R507" s="559"/>
      <c r="S507" s="559"/>
      <c r="T507" s="559"/>
      <c r="U507" s="559"/>
      <c r="V507" s="559"/>
      <c r="W507" s="559"/>
      <c r="X507" s="559"/>
      <c r="Y507" s="559"/>
      <c r="Z507" s="559"/>
      <c r="AA507" s="559"/>
      <c r="AB507" s="559"/>
      <c r="AC507" s="559"/>
      <c r="AD507" s="559"/>
      <c r="AE507" s="559"/>
      <c r="AF507" s="559"/>
      <c r="AG507" s="559"/>
    </row>
    <row r="508" spans="1:33" ht="18" customHeight="1" x14ac:dyDescent="0.35">
      <c r="A508" s="559"/>
      <c r="B508" s="559"/>
      <c r="C508" s="559"/>
      <c r="D508" s="559"/>
      <c r="E508" s="559"/>
      <c r="F508" s="559"/>
      <c r="G508" s="559"/>
      <c r="H508" s="559"/>
      <c r="I508" s="559"/>
      <c r="J508" s="559"/>
      <c r="K508" s="559"/>
      <c r="L508" s="559"/>
      <c r="M508" s="559"/>
      <c r="N508" s="559"/>
      <c r="O508" s="559"/>
      <c r="P508" s="559"/>
      <c r="Q508" s="559"/>
      <c r="R508" s="559"/>
      <c r="S508" s="559"/>
      <c r="T508" s="559"/>
      <c r="U508" s="559"/>
      <c r="V508" s="559"/>
      <c r="W508" s="559"/>
      <c r="X508" s="559"/>
      <c r="Y508" s="559"/>
      <c r="Z508" s="559"/>
      <c r="AA508" s="559"/>
      <c r="AB508" s="559"/>
      <c r="AC508" s="559"/>
      <c r="AD508" s="559"/>
      <c r="AE508" s="559"/>
      <c r="AF508" s="559"/>
      <c r="AG508" s="559"/>
    </row>
    <row r="509" spans="1:33" ht="18" customHeight="1" x14ac:dyDescent="0.35">
      <c r="A509" s="559"/>
      <c r="B509" s="559"/>
      <c r="C509" s="559"/>
      <c r="D509" s="559"/>
      <c r="E509" s="559"/>
      <c r="F509" s="559"/>
      <c r="G509" s="559"/>
      <c r="H509" s="559"/>
      <c r="I509" s="559"/>
      <c r="J509" s="559"/>
      <c r="K509" s="559"/>
      <c r="L509" s="559"/>
      <c r="M509" s="559"/>
      <c r="N509" s="559"/>
      <c r="O509" s="559"/>
      <c r="P509" s="559"/>
      <c r="Q509" s="559"/>
      <c r="R509" s="559"/>
      <c r="S509" s="559"/>
      <c r="T509" s="559"/>
      <c r="U509" s="559"/>
      <c r="V509" s="559"/>
      <c r="W509" s="559"/>
      <c r="X509" s="559"/>
      <c r="Y509" s="559"/>
      <c r="Z509" s="559"/>
      <c r="AA509" s="559"/>
      <c r="AB509" s="559"/>
      <c r="AC509" s="559"/>
      <c r="AD509" s="559"/>
      <c r="AE509" s="559"/>
      <c r="AF509" s="559"/>
      <c r="AG509" s="559"/>
    </row>
    <row r="510" spans="1:33" ht="18" customHeight="1" x14ac:dyDescent="0.35">
      <c r="A510" s="559"/>
      <c r="B510" s="559"/>
      <c r="C510" s="559"/>
      <c r="D510" s="559"/>
      <c r="E510" s="559"/>
      <c r="F510" s="559"/>
      <c r="G510" s="559"/>
      <c r="H510" s="559"/>
      <c r="I510" s="559"/>
      <c r="J510" s="559"/>
      <c r="K510" s="559"/>
      <c r="L510" s="559"/>
      <c r="M510" s="559"/>
      <c r="N510" s="559"/>
      <c r="O510" s="559"/>
      <c r="P510" s="559"/>
      <c r="Q510" s="559"/>
      <c r="R510" s="559"/>
      <c r="S510" s="559"/>
      <c r="T510" s="559"/>
      <c r="U510" s="559"/>
      <c r="V510" s="559"/>
      <c r="W510" s="559"/>
      <c r="X510" s="559"/>
      <c r="Y510" s="559"/>
      <c r="Z510" s="559"/>
      <c r="AA510" s="559"/>
      <c r="AB510" s="559"/>
      <c r="AC510" s="559"/>
      <c r="AD510" s="559"/>
      <c r="AE510" s="559"/>
      <c r="AF510" s="559"/>
      <c r="AG510" s="559"/>
    </row>
    <row r="511" spans="1:33" ht="18" customHeight="1" x14ac:dyDescent="0.35">
      <c r="A511" s="559"/>
      <c r="B511" s="559"/>
      <c r="C511" s="559"/>
      <c r="D511" s="559"/>
      <c r="E511" s="559"/>
      <c r="F511" s="559"/>
      <c r="G511" s="559"/>
      <c r="H511" s="559"/>
      <c r="I511" s="559"/>
      <c r="J511" s="559"/>
      <c r="K511" s="559"/>
      <c r="L511" s="559"/>
      <c r="M511" s="559"/>
      <c r="N511" s="559"/>
      <c r="O511" s="559"/>
      <c r="P511" s="559"/>
      <c r="Q511" s="559"/>
      <c r="R511" s="559"/>
      <c r="S511" s="559"/>
      <c r="T511" s="559"/>
      <c r="U511" s="559"/>
      <c r="V511" s="559"/>
      <c r="W511" s="559"/>
      <c r="X511" s="559"/>
      <c r="Y511" s="559"/>
      <c r="Z511" s="559"/>
      <c r="AA511" s="559"/>
      <c r="AB511" s="559"/>
      <c r="AC511" s="559"/>
      <c r="AD511" s="559"/>
      <c r="AE511" s="559"/>
      <c r="AF511" s="559"/>
      <c r="AG511" s="559"/>
    </row>
    <row r="512" spans="1:33" ht="18" customHeight="1" x14ac:dyDescent="0.35">
      <c r="A512" s="559"/>
      <c r="B512" s="559"/>
      <c r="C512" s="559"/>
      <c r="D512" s="559"/>
      <c r="E512" s="559"/>
      <c r="F512" s="559"/>
      <c r="G512" s="559"/>
      <c r="H512" s="559"/>
      <c r="I512" s="559"/>
      <c r="J512" s="559"/>
      <c r="K512" s="559"/>
      <c r="L512" s="559"/>
      <c r="M512" s="559"/>
      <c r="N512" s="559"/>
      <c r="O512" s="559"/>
      <c r="P512" s="559"/>
      <c r="Q512" s="559"/>
      <c r="R512" s="559"/>
      <c r="S512" s="559"/>
      <c r="T512" s="559"/>
      <c r="U512" s="559"/>
      <c r="V512" s="559"/>
      <c r="W512" s="559"/>
      <c r="X512" s="559"/>
      <c r="Y512" s="559"/>
      <c r="Z512" s="559"/>
      <c r="AA512" s="559"/>
      <c r="AB512" s="559"/>
      <c r="AC512" s="559"/>
      <c r="AD512" s="559"/>
      <c r="AE512" s="559"/>
      <c r="AF512" s="559"/>
      <c r="AG512" s="559"/>
    </row>
    <row r="513" spans="1:33" ht="18" customHeight="1" x14ac:dyDescent="0.35">
      <c r="A513" s="559"/>
      <c r="B513" s="559"/>
      <c r="C513" s="559"/>
      <c r="D513" s="559"/>
      <c r="E513" s="559"/>
      <c r="F513" s="559"/>
      <c r="G513" s="559"/>
      <c r="H513" s="559"/>
      <c r="I513" s="559"/>
      <c r="J513" s="559"/>
      <c r="K513" s="559"/>
      <c r="L513" s="559"/>
      <c r="M513" s="559"/>
      <c r="N513" s="559"/>
      <c r="O513" s="559"/>
      <c r="P513" s="559"/>
      <c r="Q513" s="559"/>
      <c r="R513" s="559"/>
      <c r="S513" s="559"/>
      <c r="T513" s="559"/>
      <c r="U513" s="559"/>
      <c r="V513" s="559"/>
      <c r="W513" s="559"/>
      <c r="X513" s="559"/>
      <c r="Y513" s="559"/>
      <c r="Z513" s="559"/>
      <c r="AA513" s="559"/>
      <c r="AB513" s="559"/>
      <c r="AC513" s="559"/>
      <c r="AD513" s="559"/>
      <c r="AE513" s="559"/>
      <c r="AF513" s="559"/>
      <c r="AG513" s="559"/>
    </row>
    <row r="514" spans="1:33" ht="18" customHeight="1" x14ac:dyDescent="0.35">
      <c r="A514" s="559"/>
      <c r="B514" s="559"/>
      <c r="C514" s="559"/>
      <c r="D514" s="559"/>
      <c r="E514" s="559"/>
      <c r="F514" s="559"/>
      <c r="G514" s="559"/>
      <c r="H514" s="559"/>
      <c r="I514" s="559"/>
      <c r="J514" s="559"/>
      <c r="K514" s="559"/>
      <c r="L514" s="559"/>
      <c r="M514" s="559"/>
      <c r="N514" s="559"/>
      <c r="O514" s="559"/>
      <c r="P514" s="559"/>
      <c r="Q514" s="559"/>
      <c r="R514" s="559"/>
      <c r="S514" s="559"/>
      <c r="T514" s="559"/>
      <c r="U514" s="559"/>
      <c r="V514" s="559"/>
      <c r="W514" s="559"/>
      <c r="X514" s="559"/>
      <c r="Y514" s="559"/>
      <c r="Z514" s="559"/>
      <c r="AA514" s="559"/>
      <c r="AB514" s="559"/>
      <c r="AC514" s="559"/>
      <c r="AD514" s="559"/>
      <c r="AE514" s="559"/>
      <c r="AF514" s="559"/>
      <c r="AG514" s="559"/>
    </row>
    <row r="515" spans="1:33" ht="18" customHeight="1" x14ac:dyDescent="0.35">
      <c r="A515" s="559"/>
      <c r="B515" s="559"/>
      <c r="C515" s="559"/>
      <c r="D515" s="559"/>
      <c r="E515" s="559"/>
      <c r="F515" s="559"/>
      <c r="G515" s="559"/>
      <c r="H515" s="559"/>
      <c r="I515" s="559"/>
      <c r="J515" s="559"/>
      <c r="K515" s="559"/>
      <c r="L515" s="559"/>
      <c r="M515" s="559"/>
      <c r="N515" s="559"/>
      <c r="O515" s="559"/>
      <c r="P515" s="559"/>
      <c r="Q515" s="559"/>
      <c r="R515" s="559"/>
      <c r="S515" s="559"/>
      <c r="T515" s="559"/>
      <c r="U515" s="559"/>
      <c r="V515" s="559"/>
      <c r="W515" s="559"/>
      <c r="X515" s="559"/>
      <c r="Y515" s="559"/>
      <c r="Z515" s="559"/>
      <c r="AA515" s="559"/>
      <c r="AB515" s="559"/>
      <c r="AC515" s="559"/>
      <c r="AD515" s="559"/>
      <c r="AE515" s="559"/>
      <c r="AF515" s="559"/>
      <c r="AG515" s="559"/>
    </row>
    <row r="516" spans="1:33" ht="18" customHeight="1" x14ac:dyDescent="0.35">
      <c r="A516" s="559"/>
      <c r="B516" s="559"/>
      <c r="C516" s="559"/>
      <c r="D516" s="559"/>
      <c r="E516" s="559"/>
      <c r="F516" s="559"/>
      <c r="G516" s="559"/>
      <c r="H516" s="559"/>
      <c r="I516" s="559"/>
      <c r="J516" s="559"/>
      <c r="K516" s="559"/>
      <c r="L516" s="559"/>
      <c r="M516" s="559"/>
      <c r="N516" s="559"/>
      <c r="O516" s="559"/>
      <c r="P516" s="559"/>
      <c r="Q516" s="559"/>
      <c r="R516" s="559"/>
      <c r="S516" s="559"/>
      <c r="T516" s="559"/>
      <c r="U516" s="559"/>
      <c r="V516" s="559"/>
      <c r="W516" s="559"/>
      <c r="X516" s="559"/>
      <c r="Y516" s="559"/>
      <c r="Z516" s="559"/>
      <c r="AA516" s="559"/>
      <c r="AB516" s="559"/>
      <c r="AC516" s="559"/>
      <c r="AD516" s="559"/>
      <c r="AE516" s="559"/>
      <c r="AF516" s="559"/>
      <c r="AG516" s="559"/>
    </row>
    <row r="517" spans="1:33" ht="18" customHeight="1" x14ac:dyDescent="0.35">
      <c r="A517" s="559"/>
      <c r="B517" s="559"/>
      <c r="C517" s="559"/>
      <c r="D517" s="559"/>
      <c r="E517" s="559"/>
      <c r="F517" s="559"/>
      <c r="G517" s="559"/>
      <c r="H517" s="559"/>
      <c r="I517" s="559"/>
      <c r="J517" s="559"/>
      <c r="K517" s="559"/>
      <c r="L517" s="559"/>
      <c r="M517" s="559"/>
      <c r="N517" s="559"/>
      <c r="O517" s="559"/>
      <c r="P517" s="559"/>
      <c r="Q517" s="559"/>
      <c r="R517" s="559"/>
      <c r="S517" s="559"/>
      <c r="T517" s="559"/>
      <c r="U517" s="559"/>
      <c r="V517" s="559"/>
      <c r="W517" s="559"/>
      <c r="X517" s="559"/>
      <c r="Y517" s="559"/>
      <c r="Z517" s="559"/>
      <c r="AA517" s="559"/>
      <c r="AB517" s="559"/>
      <c r="AC517" s="559"/>
      <c r="AD517" s="559"/>
      <c r="AE517" s="559"/>
      <c r="AF517" s="559"/>
      <c r="AG517" s="559"/>
    </row>
    <row r="518" spans="1:33" ht="18" customHeight="1" x14ac:dyDescent="0.35">
      <c r="A518" s="559"/>
      <c r="B518" s="559"/>
      <c r="C518" s="559"/>
      <c r="D518" s="559"/>
      <c r="E518" s="559"/>
      <c r="F518" s="559"/>
      <c r="G518" s="559"/>
      <c r="H518" s="559"/>
      <c r="I518" s="559"/>
      <c r="J518" s="559"/>
      <c r="K518" s="559"/>
      <c r="L518" s="559"/>
      <c r="M518" s="559"/>
      <c r="N518" s="559"/>
      <c r="O518" s="559"/>
      <c r="P518" s="559"/>
      <c r="Q518" s="559"/>
      <c r="R518" s="559"/>
      <c r="S518" s="559"/>
      <c r="T518" s="559"/>
      <c r="U518" s="559"/>
      <c r="V518" s="559"/>
      <c r="W518" s="559"/>
      <c r="X518" s="559"/>
      <c r="Y518" s="559"/>
      <c r="Z518" s="559"/>
      <c r="AA518" s="559"/>
      <c r="AB518" s="559"/>
      <c r="AC518" s="559"/>
      <c r="AD518" s="559"/>
      <c r="AE518" s="559"/>
      <c r="AF518" s="559"/>
      <c r="AG518" s="559"/>
    </row>
    <row r="519" spans="1:33" ht="18" customHeight="1" x14ac:dyDescent="0.35">
      <c r="A519" s="559"/>
      <c r="B519" s="559"/>
      <c r="C519" s="559"/>
      <c r="D519" s="559"/>
      <c r="E519" s="559"/>
      <c r="F519" s="559"/>
      <c r="G519" s="559"/>
      <c r="H519" s="559"/>
      <c r="I519" s="559"/>
      <c r="J519" s="559"/>
      <c r="K519" s="559"/>
      <c r="L519" s="559"/>
      <c r="M519" s="559"/>
      <c r="N519" s="559"/>
      <c r="O519" s="559"/>
      <c r="P519" s="559"/>
      <c r="Q519" s="559"/>
      <c r="R519" s="559"/>
      <c r="S519" s="559"/>
      <c r="T519" s="559"/>
      <c r="U519" s="559"/>
      <c r="V519" s="559"/>
      <c r="W519" s="559"/>
      <c r="X519" s="559"/>
      <c r="Y519" s="559"/>
      <c r="Z519" s="559"/>
      <c r="AA519" s="559"/>
      <c r="AB519" s="559"/>
      <c r="AC519" s="559"/>
      <c r="AD519" s="559"/>
      <c r="AE519" s="559"/>
      <c r="AF519" s="559"/>
      <c r="AG519" s="559"/>
    </row>
    <row r="520" spans="1:33" ht="18" customHeight="1" x14ac:dyDescent="0.35">
      <c r="A520" s="559"/>
      <c r="B520" s="559"/>
      <c r="C520" s="559"/>
      <c r="D520" s="559"/>
      <c r="E520" s="559"/>
      <c r="F520" s="559"/>
      <c r="G520" s="559"/>
      <c r="H520" s="559"/>
      <c r="I520" s="559"/>
      <c r="J520" s="559"/>
      <c r="K520" s="559"/>
      <c r="L520" s="559"/>
      <c r="M520" s="559"/>
      <c r="N520" s="559"/>
      <c r="O520" s="559"/>
      <c r="P520" s="559"/>
      <c r="Q520" s="559"/>
      <c r="R520" s="559"/>
      <c r="S520" s="559"/>
      <c r="T520" s="559"/>
      <c r="U520" s="559"/>
      <c r="V520" s="559"/>
      <c r="W520" s="559"/>
      <c r="X520" s="559"/>
      <c r="Y520" s="559"/>
      <c r="Z520" s="559"/>
      <c r="AA520" s="559"/>
      <c r="AB520" s="559"/>
      <c r="AC520" s="559"/>
      <c r="AD520" s="559"/>
      <c r="AE520" s="559"/>
      <c r="AF520" s="559"/>
      <c r="AG520" s="559"/>
    </row>
    <row r="521" spans="1:33" ht="18" customHeight="1" x14ac:dyDescent="0.35">
      <c r="A521" s="559"/>
      <c r="B521" s="559"/>
      <c r="C521" s="559"/>
      <c r="D521" s="559"/>
      <c r="E521" s="559"/>
      <c r="F521" s="559"/>
      <c r="G521" s="559"/>
      <c r="H521" s="559"/>
      <c r="I521" s="559"/>
      <c r="J521" s="559"/>
      <c r="K521" s="559"/>
      <c r="L521" s="559"/>
      <c r="M521" s="559"/>
      <c r="N521" s="559"/>
      <c r="O521" s="559"/>
      <c r="P521" s="559"/>
      <c r="Q521" s="559"/>
      <c r="R521" s="559"/>
      <c r="S521" s="559"/>
      <c r="T521" s="559"/>
      <c r="U521" s="559"/>
      <c r="V521" s="559"/>
      <c r="W521" s="559"/>
      <c r="X521" s="559"/>
      <c r="Y521" s="559"/>
      <c r="Z521" s="559"/>
      <c r="AA521" s="559"/>
      <c r="AB521" s="559"/>
      <c r="AC521" s="559"/>
      <c r="AD521" s="559"/>
      <c r="AE521" s="559"/>
      <c r="AF521" s="559"/>
      <c r="AG521" s="559"/>
    </row>
    <row r="522" spans="1:33" ht="18" customHeight="1" x14ac:dyDescent="0.35">
      <c r="A522" s="559"/>
      <c r="B522" s="559"/>
      <c r="C522" s="559"/>
      <c r="D522" s="559"/>
      <c r="E522" s="559"/>
      <c r="F522" s="559"/>
      <c r="G522" s="559"/>
      <c r="H522" s="559"/>
      <c r="I522" s="559"/>
      <c r="J522" s="559"/>
      <c r="K522" s="559"/>
      <c r="L522" s="559"/>
      <c r="M522" s="559"/>
      <c r="N522" s="559"/>
      <c r="O522" s="559"/>
      <c r="P522" s="559"/>
      <c r="Q522" s="559"/>
      <c r="R522" s="559"/>
      <c r="S522" s="559"/>
      <c r="T522" s="559"/>
      <c r="U522" s="559"/>
      <c r="V522" s="559"/>
      <c r="W522" s="559"/>
      <c r="X522" s="559"/>
      <c r="Y522" s="559"/>
      <c r="Z522" s="559"/>
      <c r="AA522" s="559"/>
      <c r="AB522" s="559"/>
      <c r="AC522" s="559"/>
      <c r="AD522" s="559"/>
      <c r="AE522" s="559"/>
      <c r="AF522" s="559"/>
      <c r="AG522" s="559"/>
    </row>
    <row r="523" spans="1:33" ht="18" customHeight="1" x14ac:dyDescent="0.35">
      <c r="A523" s="559"/>
      <c r="B523" s="559"/>
      <c r="C523" s="559"/>
      <c r="D523" s="559"/>
      <c r="E523" s="559"/>
      <c r="F523" s="559"/>
      <c r="G523" s="559"/>
      <c r="H523" s="559"/>
      <c r="I523" s="559"/>
      <c r="J523" s="559"/>
      <c r="K523" s="559"/>
      <c r="L523" s="559"/>
      <c r="M523" s="559"/>
      <c r="N523" s="559"/>
      <c r="O523" s="559"/>
      <c r="P523" s="559"/>
      <c r="Q523" s="559"/>
      <c r="R523" s="559"/>
      <c r="S523" s="559"/>
      <c r="T523" s="559"/>
      <c r="U523" s="559"/>
      <c r="V523" s="559"/>
      <c r="W523" s="559"/>
      <c r="X523" s="559"/>
      <c r="Y523" s="559"/>
      <c r="Z523" s="559"/>
      <c r="AA523" s="559"/>
      <c r="AB523" s="559"/>
      <c r="AC523" s="559"/>
      <c r="AD523" s="559"/>
      <c r="AE523" s="559"/>
      <c r="AF523" s="559"/>
      <c r="AG523" s="559"/>
    </row>
    <row r="524" spans="1:33" ht="18" customHeight="1" x14ac:dyDescent="0.35">
      <c r="A524" s="559"/>
      <c r="B524" s="559"/>
      <c r="C524" s="559"/>
      <c r="D524" s="559"/>
      <c r="E524" s="559"/>
      <c r="F524" s="559"/>
      <c r="G524" s="559"/>
      <c r="H524" s="559"/>
      <c r="I524" s="559"/>
      <c r="J524" s="559"/>
      <c r="K524" s="559"/>
      <c r="L524" s="559"/>
      <c r="M524" s="559"/>
      <c r="N524" s="559"/>
      <c r="O524" s="559"/>
      <c r="P524" s="559"/>
      <c r="Q524" s="559"/>
      <c r="R524" s="559"/>
      <c r="S524" s="559"/>
      <c r="T524" s="559"/>
      <c r="U524" s="559"/>
      <c r="V524" s="559"/>
      <c r="W524" s="559"/>
      <c r="X524" s="559"/>
      <c r="Y524" s="559"/>
      <c r="Z524" s="559"/>
      <c r="AA524" s="559"/>
      <c r="AB524" s="559"/>
      <c r="AC524" s="559"/>
      <c r="AD524" s="559"/>
      <c r="AE524" s="559"/>
      <c r="AF524" s="559"/>
      <c r="AG524" s="559"/>
    </row>
    <row r="525" spans="1:33" ht="18" customHeight="1" x14ac:dyDescent="0.35">
      <c r="A525" s="559"/>
      <c r="B525" s="559"/>
      <c r="C525" s="559"/>
      <c r="D525" s="559"/>
      <c r="E525" s="559"/>
      <c r="F525" s="559"/>
      <c r="G525" s="559"/>
      <c r="H525" s="559"/>
      <c r="I525" s="559"/>
      <c r="J525" s="559"/>
      <c r="K525" s="559"/>
      <c r="L525" s="559"/>
      <c r="M525" s="559"/>
      <c r="N525" s="559"/>
      <c r="O525" s="559"/>
      <c r="P525" s="559"/>
      <c r="Q525" s="559"/>
      <c r="R525" s="559"/>
      <c r="S525" s="559"/>
      <c r="T525" s="559"/>
      <c r="U525" s="559"/>
      <c r="V525" s="559"/>
      <c r="W525" s="559"/>
      <c r="X525" s="559"/>
      <c r="Y525" s="559"/>
      <c r="Z525" s="559"/>
      <c r="AA525" s="559"/>
      <c r="AB525" s="559"/>
      <c r="AC525" s="559"/>
      <c r="AD525" s="559"/>
      <c r="AE525" s="559"/>
      <c r="AF525" s="559"/>
      <c r="AG525" s="559"/>
    </row>
    <row r="526" spans="1:33" ht="18" customHeight="1" x14ac:dyDescent="0.35">
      <c r="A526" s="559"/>
      <c r="B526" s="559"/>
      <c r="C526" s="559"/>
      <c r="D526" s="559"/>
      <c r="E526" s="559"/>
      <c r="F526" s="559"/>
      <c r="G526" s="559"/>
      <c r="H526" s="559"/>
      <c r="I526" s="559"/>
      <c r="J526" s="559"/>
      <c r="K526" s="559"/>
      <c r="L526" s="559"/>
      <c r="M526" s="559"/>
      <c r="N526" s="559"/>
      <c r="O526" s="559"/>
      <c r="P526" s="559"/>
      <c r="Q526" s="559"/>
      <c r="R526" s="559"/>
      <c r="S526" s="559"/>
      <c r="T526" s="559"/>
      <c r="U526" s="559"/>
      <c r="V526" s="559"/>
      <c r="W526" s="559"/>
      <c r="X526" s="559"/>
      <c r="Y526" s="559"/>
      <c r="Z526" s="559"/>
      <c r="AA526" s="559"/>
      <c r="AB526" s="559"/>
      <c r="AC526" s="559"/>
      <c r="AD526" s="559"/>
      <c r="AE526" s="559"/>
      <c r="AF526" s="559"/>
      <c r="AG526" s="559"/>
    </row>
    <row r="527" spans="1:33" ht="18" customHeight="1" x14ac:dyDescent="0.35">
      <c r="A527" s="559"/>
      <c r="B527" s="559"/>
      <c r="C527" s="559"/>
      <c r="D527" s="559"/>
      <c r="E527" s="559"/>
      <c r="F527" s="559"/>
      <c r="G527" s="559"/>
      <c r="H527" s="559"/>
      <c r="I527" s="559"/>
      <c r="J527" s="559"/>
      <c r="K527" s="559"/>
      <c r="L527" s="559"/>
      <c r="M527" s="559"/>
      <c r="N527" s="559"/>
      <c r="O527" s="559"/>
      <c r="P527" s="559"/>
      <c r="Q527" s="559"/>
      <c r="R527" s="559"/>
      <c r="S527" s="559"/>
      <c r="T527" s="559"/>
      <c r="U527" s="559"/>
      <c r="V527" s="559"/>
      <c r="W527" s="559"/>
      <c r="X527" s="559"/>
      <c r="Y527" s="559"/>
      <c r="Z527" s="559"/>
      <c r="AA527" s="559"/>
      <c r="AB527" s="559"/>
      <c r="AC527" s="559"/>
      <c r="AD527" s="559"/>
      <c r="AE527" s="559"/>
      <c r="AF527" s="559"/>
      <c r="AG527" s="559"/>
    </row>
    <row r="528" spans="1:33" ht="18" customHeight="1" x14ac:dyDescent="0.35">
      <c r="A528" s="559"/>
      <c r="B528" s="559"/>
      <c r="C528" s="559"/>
      <c r="D528" s="559"/>
      <c r="E528" s="559"/>
      <c r="F528" s="559"/>
      <c r="G528" s="559"/>
      <c r="H528" s="559"/>
      <c r="I528" s="559"/>
      <c r="J528" s="559"/>
      <c r="K528" s="559"/>
      <c r="L528" s="559"/>
      <c r="M528" s="559"/>
      <c r="N528" s="559"/>
      <c r="O528" s="559"/>
      <c r="P528" s="559"/>
      <c r="Q528" s="559"/>
      <c r="R528" s="559"/>
      <c r="S528" s="559"/>
      <c r="T528" s="559"/>
      <c r="U528" s="559"/>
      <c r="V528" s="559"/>
      <c r="W528" s="559"/>
      <c r="X528" s="559"/>
      <c r="Y528" s="559"/>
      <c r="Z528" s="559"/>
      <c r="AA528" s="559"/>
      <c r="AB528" s="559"/>
      <c r="AC528" s="559"/>
      <c r="AD528" s="559"/>
      <c r="AE528" s="559"/>
      <c r="AF528" s="559"/>
      <c r="AG528" s="559"/>
    </row>
    <row r="529" spans="1:33" ht="18" customHeight="1" x14ac:dyDescent="0.35">
      <c r="A529" s="559"/>
      <c r="B529" s="559"/>
      <c r="C529" s="559"/>
      <c r="D529" s="559"/>
      <c r="E529" s="559"/>
      <c r="F529" s="559"/>
      <c r="G529" s="559"/>
      <c r="H529" s="559"/>
      <c r="I529" s="559"/>
      <c r="J529" s="559"/>
      <c r="K529" s="559"/>
      <c r="L529" s="559"/>
      <c r="M529" s="559"/>
      <c r="N529" s="559"/>
      <c r="O529" s="559"/>
      <c r="P529" s="559"/>
      <c r="Q529" s="559"/>
      <c r="R529" s="559"/>
      <c r="S529" s="559"/>
      <c r="T529" s="559"/>
      <c r="U529" s="559"/>
      <c r="V529" s="559"/>
      <c r="W529" s="559"/>
      <c r="X529" s="559"/>
      <c r="Y529" s="559"/>
      <c r="Z529" s="559"/>
      <c r="AA529" s="559"/>
      <c r="AB529" s="559"/>
      <c r="AC529" s="559"/>
      <c r="AD529" s="559"/>
      <c r="AE529" s="559"/>
      <c r="AF529" s="559"/>
      <c r="AG529" s="559"/>
    </row>
    <row r="530" spans="1:33" ht="18" customHeight="1" x14ac:dyDescent="0.35">
      <c r="A530" s="559"/>
      <c r="B530" s="559"/>
      <c r="C530" s="559"/>
      <c r="D530" s="559"/>
      <c r="E530" s="559"/>
      <c r="F530" s="559"/>
      <c r="G530" s="559"/>
      <c r="H530" s="559"/>
      <c r="I530" s="559"/>
      <c r="J530" s="559"/>
      <c r="K530" s="559"/>
      <c r="L530" s="559"/>
      <c r="M530" s="559"/>
      <c r="N530" s="559"/>
      <c r="O530" s="559"/>
      <c r="P530" s="559"/>
      <c r="Q530" s="559"/>
      <c r="R530" s="559"/>
      <c r="S530" s="559"/>
      <c r="T530" s="559"/>
      <c r="U530" s="559"/>
      <c r="V530" s="559"/>
      <c r="W530" s="559"/>
      <c r="X530" s="559"/>
      <c r="Y530" s="559"/>
      <c r="Z530" s="559"/>
      <c r="AA530" s="559"/>
      <c r="AB530" s="559"/>
      <c r="AC530" s="559"/>
      <c r="AD530" s="559"/>
      <c r="AE530" s="559"/>
      <c r="AF530" s="559"/>
      <c r="AG530" s="559"/>
    </row>
    <row r="531" spans="1:33" ht="18" customHeight="1" x14ac:dyDescent="0.35">
      <c r="A531" s="559"/>
      <c r="B531" s="559"/>
      <c r="C531" s="559"/>
      <c r="D531" s="559"/>
      <c r="E531" s="559"/>
      <c r="F531" s="559"/>
      <c r="G531" s="559"/>
      <c r="H531" s="559"/>
      <c r="I531" s="559"/>
      <c r="J531" s="559"/>
      <c r="K531" s="559"/>
      <c r="L531" s="559"/>
      <c r="M531" s="559"/>
      <c r="N531" s="559"/>
      <c r="O531" s="559"/>
      <c r="P531" s="559"/>
      <c r="Q531" s="559"/>
      <c r="R531" s="559"/>
      <c r="S531" s="559"/>
      <c r="T531" s="559"/>
      <c r="U531" s="559"/>
      <c r="V531" s="559"/>
      <c r="W531" s="559"/>
      <c r="X531" s="559"/>
      <c r="Y531" s="559"/>
      <c r="Z531" s="559"/>
      <c r="AA531" s="559"/>
      <c r="AB531" s="559"/>
      <c r="AC531" s="559"/>
      <c r="AD531" s="559"/>
      <c r="AE531" s="559"/>
      <c r="AF531" s="559"/>
      <c r="AG531" s="559"/>
    </row>
    <row r="532" spans="1:33" ht="18" customHeight="1" x14ac:dyDescent="0.35">
      <c r="A532" s="559"/>
      <c r="B532" s="559"/>
      <c r="C532" s="559"/>
      <c r="D532" s="559"/>
      <c r="E532" s="559"/>
      <c r="F532" s="559"/>
      <c r="G532" s="559"/>
      <c r="H532" s="559"/>
      <c r="I532" s="559"/>
      <c r="J532" s="559"/>
      <c r="K532" s="559"/>
      <c r="L532" s="559"/>
      <c r="M532" s="559"/>
      <c r="N532" s="559"/>
      <c r="O532" s="559"/>
      <c r="P532" s="559"/>
      <c r="Q532" s="559"/>
      <c r="R532" s="559"/>
      <c r="S532" s="559"/>
      <c r="T532" s="559"/>
      <c r="U532" s="559"/>
      <c r="V532" s="559"/>
      <c r="W532" s="559"/>
      <c r="X532" s="559"/>
      <c r="Y532" s="559"/>
      <c r="Z532" s="559"/>
      <c r="AA532" s="559"/>
      <c r="AB532" s="559"/>
      <c r="AC532" s="559"/>
      <c r="AD532" s="559"/>
      <c r="AE532" s="559"/>
      <c r="AF532" s="559"/>
      <c r="AG532" s="559"/>
    </row>
    <row r="533" spans="1:33" ht="18" customHeight="1" x14ac:dyDescent="0.35">
      <c r="A533" s="559"/>
      <c r="B533" s="559"/>
      <c r="C533" s="559"/>
      <c r="D533" s="559"/>
      <c r="E533" s="559"/>
      <c r="F533" s="559"/>
      <c r="G533" s="559"/>
      <c r="H533" s="559"/>
      <c r="I533" s="559"/>
      <c r="J533" s="559"/>
      <c r="K533" s="559"/>
      <c r="L533" s="559"/>
      <c r="M533" s="559"/>
      <c r="N533" s="559"/>
      <c r="O533" s="559"/>
      <c r="P533" s="559"/>
      <c r="Q533" s="559"/>
      <c r="R533" s="559"/>
      <c r="S533" s="559"/>
      <c r="T533" s="559"/>
      <c r="U533" s="559"/>
      <c r="V533" s="559"/>
      <c r="W533" s="559"/>
      <c r="X533" s="559"/>
      <c r="Y533" s="559"/>
      <c r="Z533" s="559"/>
      <c r="AA533" s="559"/>
      <c r="AB533" s="559"/>
      <c r="AC533" s="559"/>
      <c r="AD533" s="559"/>
      <c r="AE533" s="559"/>
      <c r="AF533" s="559"/>
      <c r="AG533" s="559"/>
    </row>
    <row r="534" spans="1:33" ht="18" customHeight="1" x14ac:dyDescent="0.35">
      <c r="A534" s="559"/>
      <c r="B534" s="559"/>
      <c r="C534" s="559"/>
      <c r="D534" s="559"/>
      <c r="E534" s="559"/>
      <c r="F534" s="559"/>
      <c r="G534" s="559"/>
      <c r="H534" s="559"/>
      <c r="I534" s="559"/>
      <c r="J534" s="559"/>
      <c r="K534" s="559"/>
      <c r="L534" s="559"/>
      <c r="M534" s="559"/>
      <c r="N534" s="559"/>
      <c r="O534" s="559"/>
      <c r="P534" s="559"/>
      <c r="Q534" s="559"/>
      <c r="R534" s="559"/>
      <c r="S534" s="559"/>
      <c r="T534" s="559"/>
      <c r="U534" s="559"/>
      <c r="V534" s="559"/>
      <c r="W534" s="559"/>
      <c r="X534" s="559"/>
      <c r="Y534" s="559"/>
      <c r="Z534" s="559"/>
      <c r="AA534" s="559"/>
      <c r="AB534" s="559"/>
      <c r="AC534" s="559"/>
      <c r="AD534" s="559"/>
      <c r="AE534" s="559"/>
      <c r="AF534" s="559"/>
      <c r="AG534" s="559"/>
    </row>
    <row r="535" spans="1:33" ht="18" customHeight="1" x14ac:dyDescent="0.35">
      <c r="A535" s="559"/>
      <c r="B535" s="559"/>
      <c r="C535" s="559"/>
      <c r="D535" s="559"/>
      <c r="E535" s="559"/>
      <c r="F535" s="559"/>
      <c r="G535" s="559"/>
      <c r="H535" s="559"/>
      <c r="I535" s="559"/>
      <c r="J535" s="559"/>
      <c r="K535" s="559"/>
      <c r="L535" s="559"/>
      <c r="M535" s="559"/>
      <c r="N535" s="559"/>
      <c r="O535" s="559"/>
      <c r="P535" s="559"/>
      <c r="Q535" s="559"/>
      <c r="R535" s="559"/>
      <c r="S535" s="559"/>
      <c r="T535" s="559"/>
      <c r="U535" s="559"/>
      <c r="V535" s="559"/>
      <c r="W535" s="559"/>
      <c r="X535" s="559"/>
      <c r="Y535" s="559"/>
      <c r="Z535" s="559"/>
      <c r="AA535" s="559"/>
      <c r="AB535" s="559"/>
      <c r="AC535" s="559"/>
      <c r="AD535" s="559"/>
      <c r="AE535" s="559"/>
      <c r="AF535" s="559"/>
      <c r="AG535" s="559"/>
    </row>
    <row r="536" spans="1:33" ht="18" customHeight="1" x14ac:dyDescent="0.35">
      <c r="A536" s="559"/>
      <c r="B536" s="559"/>
      <c r="C536" s="559"/>
      <c r="D536" s="559"/>
      <c r="E536" s="559"/>
      <c r="F536" s="559"/>
      <c r="G536" s="559"/>
      <c r="H536" s="559"/>
      <c r="I536" s="559"/>
      <c r="J536" s="559"/>
      <c r="K536" s="559"/>
      <c r="L536" s="559"/>
      <c r="M536" s="559"/>
      <c r="N536" s="559"/>
      <c r="O536" s="559"/>
      <c r="P536" s="559"/>
      <c r="Q536" s="559"/>
      <c r="R536" s="559"/>
      <c r="S536" s="559"/>
      <c r="T536" s="559"/>
      <c r="U536" s="559"/>
      <c r="V536" s="559"/>
      <c r="W536" s="559"/>
      <c r="X536" s="559"/>
      <c r="Y536" s="559"/>
      <c r="Z536" s="559"/>
      <c r="AA536" s="559"/>
      <c r="AB536" s="559"/>
      <c r="AC536" s="559"/>
      <c r="AD536" s="559"/>
      <c r="AE536" s="559"/>
      <c r="AF536" s="559"/>
      <c r="AG536" s="559"/>
    </row>
    <row r="537" spans="1:33" ht="18" customHeight="1" x14ac:dyDescent="0.35">
      <c r="A537" s="559"/>
      <c r="B537" s="559"/>
      <c r="C537" s="559"/>
      <c r="D537" s="559"/>
      <c r="E537" s="559"/>
      <c r="F537" s="559"/>
      <c r="G537" s="559"/>
      <c r="H537" s="559"/>
      <c r="I537" s="559"/>
      <c r="J537" s="559"/>
      <c r="K537" s="559"/>
      <c r="L537" s="559"/>
      <c r="M537" s="559"/>
      <c r="N537" s="559"/>
      <c r="O537" s="559"/>
      <c r="P537" s="559"/>
      <c r="Q537" s="559"/>
      <c r="R537" s="559"/>
      <c r="S537" s="559"/>
      <c r="T537" s="559"/>
      <c r="U537" s="559"/>
      <c r="V537" s="559"/>
      <c r="W537" s="559"/>
      <c r="X537" s="559"/>
      <c r="Y537" s="559"/>
      <c r="Z537" s="559"/>
      <c r="AA537" s="559"/>
      <c r="AB537" s="559"/>
      <c r="AC537" s="559"/>
      <c r="AD537" s="559"/>
      <c r="AE537" s="559"/>
      <c r="AF537" s="559"/>
      <c r="AG537" s="559"/>
    </row>
    <row r="538" spans="1:33" ht="18" customHeight="1" x14ac:dyDescent="0.35">
      <c r="A538" s="559"/>
      <c r="B538" s="559"/>
      <c r="C538" s="559"/>
      <c r="D538" s="559"/>
      <c r="E538" s="559"/>
      <c r="F538" s="559"/>
      <c r="G538" s="559"/>
      <c r="H538" s="559"/>
      <c r="I538" s="559"/>
      <c r="J538" s="559"/>
      <c r="K538" s="559"/>
      <c r="L538" s="559"/>
      <c r="M538" s="559"/>
      <c r="N538" s="559"/>
      <c r="O538" s="559"/>
      <c r="P538" s="559"/>
      <c r="Q538" s="559"/>
      <c r="R538" s="559"/>
      <c r="S538" s="559"/>
      <c r="T538" s="559"/>
      <c r="U538" s="559"/>
      <c r="V538" s="559"/>
      <c r="W538" s="559"/>
      <c r="X538" s="559"/>
      <c r="Y538" s="559"/>
      <c r="Z538" s="559"/>
      <c r="AA538" s="559"/>
      <c r="AB538" s="559"/>
      <c r="AC538" s="559"/>
      <c r="AD538" s="559"/>
      <c r="AE538" s="559"/>
      <c r="AF538" s="559"/>
      <c r="AG538" s="559"/>
    </row>
    <row r="539" spans="1:33" ht="18" customHeight="1" x14ac:dyDescent="0.35">
      <c r="A539" s="559"/>
      <c r="B539" s="559"/>
      <c r="C539" s="559"/>
      <c r="D539" s="559"/>
      <c r="E539" s="559"/>
      <c r="F539" s="559"/>
      <c r="G539" s="559"/>
      <c r="H539" s="559"/>
      <c r="I539" s="559"/>
      <c r="J539" s="559"/>
      <c r="K539" s="559"/>
      <c r="L539" s="559"/>
      <c r="M539" s="559"/>
      <c r="N539" s="559"/>
      <c r="O539" s="559"/>
      <c r="P539" s="559"/>
      <c r="Q539" s="559"/>
      <c r="R539" s="559"/>
      <c r="S539" s="559"/>
      <c r="T539" s="559"/>
      <c r="U539" s="559"/>
      <c r="V539" s="559"/>
      <c r="W539" s="559"/>
      <c r="X539" s="559"/>
      <c r="Y539" s="559"/>
      <c r="Z539" s="559"/>
      <c r="AA539" s="559"/>
      <c r="AB539" s="559"/>
      <c r="AC539" s="559"/>
      <c r="AD539" s="559"/>
      <c r="AE539" s="559"/>
      <c r="AF539" s="559"/>
      <c r="AG539" s="559"/>
    </row>
    <row r="540" spans="1:33" ht="18" customHeight="1" x14ac:dyDescent="0.35">
      <c r="A540" s="559"/>
      <c r="B540" s="559"/>
      <c r="C540" s="559"/>
      <c r="D540" s="559"/>
      <c r="E540" s="559"/>
      <c r="F540" s="559"/>
      <c r="G540" s="559"/>
      <c r="H540" s="559"/>
      <c r="I540" s="559"/>
      <c r="J540" s="559"/>
      <c r="K540" s="559"/>
      <c r="L540" s="559"/>
      <c r="M540" s="559"/>
      <c r="N540" s="559"/>
      <c r="O540" s="559"/>
      <c r="P540" s="559"/>
      <c r="Q540" s="559"/>
      <c r="R540" s="559"/>
      <c r="S540" s="559"/>
      <c r="T540" s="559"/>
      <c r="U540" s="559"/>
      <c r="V540" s="559"/>
      <c r="W540" s="559"/>
      <c r="X540" s="559"/>
      <c r="Y540" s="559"/>
      <c r="Z540" s="559"/>
      <c r="AA540" s="559"/>
      <c r="AB540" s="559"/>
      <c r="AC540" s="559"/>
      <c r="AD540" s="559"/>
      <c r="AE540" s="559"/>
      <c r="AF540" s="559"/>
      <c r="AG540" s="559"/>
    </row>
    <row r="541" spans="1:33" ht="18" customHeight="1" x14ac:dyDescent="0.35">
      <c r="A541" s="559"/>
      <c r="B541" s="559"/>
      <c r="C541" s="559"/>
      <c r="D541" s="559"/>
      <c r="E541" s="559"/>
      <c r="F541" s="559"/>
      <c r="G541" s="559"/>
      <c r="H541" s="559"/>
      <c r="I541" s="559"/>
      <c r="J541" s="559"/>
      <c r="K541" s="559"/>
      <c r="L541" s="559"/>
      <c r="M541" s="559"/>
      <c r="N541" s="559"/>
      <c r="O541" s="559"/>
      <c r="P541" s="559"/>
      <c r="Q541" s="559"/>
      <c r="R541" s="559"/>
      <c r="S541" s="559"/>
      <c r="T541" s="559"/>
      <c r="U541" s="559"/>
      <c r="V541" s="559"/>
      <c r="W541" s="559"/>
      <c r="X541" s="559"/>
      <c r="Y541" s="559"/>
      <c r="Z541" s="559"/>
      <c r="AA541" s="559"/>
      <c r="AB541" s="559"/>
      <c r="AC541" s="559"/>
      <c r="AD541" s="559"/>
      <c r="AE541" s="559"/>
      <c r="AF541" s="559"/>
      <c r="AG541" s="559"/>
    </row>
    <row r="542" spans="1:33" ht="18" customHeight="1" x14ac:dyDescent="0.35">
      <c r="A542" s="559"/>
      <c r="B542" s="559"/>
      <c r="C542" s="559"/>
      <c r="D542" s="559"/>
      <c r="E542" s="559"/>
      <c r="F542" s="559"/>
      <c r="G542" s="559"/>
      <c r="H542" s="559"/>
      <c r="I542" s="559"/>
      <c r="J542" s="559"/>
      <c r="K542" s="559"/>
      <c r="L542" s="559"/>
      <c r="M542" s="559"/>
      <c r="N542" s="559"/>
      <c r="O542" s="559"/>
      <c r="P542" s="559"/>
      <c r="Q542" s="559"/>
      <c r="R542" s="559"/>
      <c r="S542" s="559"/>
      <c r="T542" s="559"/>
      <c r="U542" s="559"/>
      <c r="V542" s="559"/>
      <c r="W542" s="559"/>
      <c r="X542" s="559"/>
      <c r="Y542" s="559"/>
      <c r="Z542" s="559"/>
      <c r="AA542" s="559"/>
      <c r="AB542" s="559"/>
      <c r="AC542" s="559"/>
      <c r="AD542" s="559"/>
      <c r="AE542" s="559"/>
      <c r="AF542" s="559"/>
      <c r="AG542" s="559"/>
    </row>
    <row r="543" spans="1:33" ht="18" customHeight="1" x14ac:dyDescent="0.35">
      <c r="A543" s="559"/>
      <c r="B543" s="559"/>
      <c r="C543" s="559"/>
      <c r="D543" s="559"/>
      <c r="E543" s="559"/>
      <c r="F543" s="559"/>
      <c r="G543" s="559"/>
      <c r="H543" s="559"/>
      <c r="I543" s="559"/>
      <c r="J543" s="559"/>
      <c r="K543" s="559"/>
      <c r="L543" s="559"/>
      <c r="M543" s="559"/>
      <c r="N543" s="559"/>
      <c r="O543" s="559"/>
      <c r="P543" s="559"/>
      <c r="Q543" s="559"/>
      <c r="R543" s="559"/>
      <c r="S543" s="559"/>
      <c r="T543" s="559"/>
      <c r="U543" s="559"/>
      <c r="V543" s="559"/>
      <c r="W543" s="559"/>
      <c r="X543" s="559"/>
      <c r="Y543" s="559"/>
      <c r="Z543" s="559"/>
      <c r="AA543" s="559"/>
      <c r="AB543" s="559"/>
      <c r="AC543" s="559"/>
      <c r="AD543" s="559"/>
      <c r="AE543" s="559"/>
      <c r="AF543" s="559"/>
      <c r="AG543" s="559"/>
    </row>
    <row r="544" spans="1:33" ht="18" customHeight="1" x14ac:dyDescent="0.35">
      <c r="A544" s="559"/>
      <c r="B544" s="559"/>
      <c r="C544" s="559"/>
      <c r="D544" s="559"/>
      <c r="E544" s="559"/>
      <c r="F544" s="559"/>
      <c r="G544" s="559"/>
      <c r="H544" s="559"/>
      <c r="I544" s="559"/>
      <c r="J544" s="559"/>
      <c r="K544" s="559"/>
      <c r="L544" s="559"/>
      <c r="M544" s="559"/>
      <c r="N544" s="559"/>
      <c r="O544" s="559"/>
      <c r="P544" s="559"/>
      <c r="Q544" s="559"/>
      <c r="R544" s="559"/>
      <c r="S544" s="559"/>
      <c r="T544" s="559"/>
      <c r="U544" s="559"/>
      <c r="V544" s="559"/>
      <c r="W544" s="559"/>
      <c r="X544" s="559"/>
      <c r="Y544" s="559"/>
      <c r="Z544" s="559"/>
      <c r="AA544" s="559"/>
      <c r="AB544" s="559"/>
      <c r="AC544" s="559"/>
      <c r="AD544" s="559"/>
      <c r="AE544" s="559"/>
      <c r="AF544" s="559"/>
      <c r="AG544" s="559"/>
    </row>
    <row r="545" spans="1:33" ht="18" customHeight="1" x14ac:dyDescent="0.35">
      <c r="A545" s="559"/>
      <c r="B545" s="559"/>
      <c r="C545" s="559"/>
      <c r="D545" s="559"/>
      <c r="E545" s="559"/>
      <c r="F545" s="559"/>
      <c r="G545" s="559"/>
      <c r="H545" s="559"/>
      <c r="I545" s="559"/>
      <c r="J545" s="559"/>
      <c r="K545" s="559"/>
      <c r="L545" s="559"/>
      <c r="M545" s="559"/>
      <c r="N545" s="559"/>
      <c r="O545" s="559"/>
      <c r="P545" s="559"/>
      <c r="Q545" s="559"/>
      <c r="R545" s="559"/>
      <c r="S545" s="559"/>
      <c r="T545" s="559"/>
      <c r="U545" s="559"/>
      <c r="V545" s="559"/>
      <c r="W545" s="559"/>
      <c r="X545" s="559"/>
      <c r="Y545" s="559"/>
      <c r="Z545" s="559"/>
      <c r="AA545" s="559"/>
      <c r="AB545" s="559"/>
      <c r="AC545" s="559"/>
      <c r="AD545" s="559"/>
      <c r="AE545" s="559"/>
      <c r="AF545" s="559"/>
      <c r="AG545" s="559"/>
    </row>
    <row r="546" spans="1:33" ht="18" customHeight="1" x14ac:dyDescent="0.35">
      <c r="A546" s="559"/>
      <c r="B546" s="559"/>
      <c r="C546" s="559"/>
      <c r="D546" s="559"/>
      <c r="E546" s="559"/>
      <c r="F546" s="559"/>
      <c r="G546" s="559"/>
      <c r="H546" s="559"/>
      <c r="I546" s="559"/>
      <c r="J546" s="559"/>
      <c r="K546" s="559"/>
      <c r="L546" s="559"/>
      <c r="M546" s="559"/>
      <c r="N546" s="559"/>
      <c r="O546" s="559"/>
      <c r="P546" s="559"/>
      <c r="Q546" s="559"/>
      <c r="R546" s="559"/>
      <c r="S546" s="559"/>
      <c r="T546" s="559"/>
      <c r="U546" s="559"/>
      <c r="V546" s="559"/>
      <c r="W546" s="559"/>
      <c r="X546" s="559"/>
      <c r="Y546" s="559"/>
      <c r="Z546" s="559"/>
      <c r="AA546" s="559"/>
      <c r="AB546" s="559"/>
      <c r="AC546" s="559"/>
      <c r="AD546" s="559"/>
      <c r="AE546" s="559"/>
      <c r="AF546" s="559"/>
      <c r="AG546" s="559"/>
    </row>
    <row r="547" spans="1:33" ht="18" customHeight="1" x14ac:dyDescent="0.35">
      <c r="A547" s="559"/>
      <c r="B547" s="559"/>
      <c r="C547" s="559"/>
      <c r="D547" s="559"/>
      <c r="E547" s="559"/>
      <c r="F547" s="559"/>
      <c r="G547" s="559"/>
      <c r="H547" s="559"/>
      <c r="I547" s="559"/>
      <c r="J547" s="559"/>
      <c r="K547" s="559"/>
      <c r="L547" s="559"/>
      <c r="M547" s="559"/>
      <c r="N547" s="559"/>
      <c r="O547" s="559"/>
      <c r="P547" s="559"/>
      <c r="Q547" s="559"/>
      <c r="R547" s="559"/>
      <c r="S547" s="559"/>
      <c r="T547" s="559"/>
      <c r="U547" s="559"/>
      <c r="V547" s="559"/>
      <c r="W547" s="559"/>
      <c r="X547" s="559"/>
      <c r="Y547" s="559"/>
      <c r="Z547" s="559"/>
      <c r="AA547" s="559"/>
      <c r="AB547" s="559"/>
      <c r="AC547" s="559"/>
      <c r="AD547" s="559"/>
      <c r="AE547" s="559"/>
      <c r="AF547" s="559"/>
      <c r="AG547" s="559"/>
    </row>
    <row r="548" spans="1:33" ht="18" customHeight="1" x14ac:dyDescent="0.35">
      <c r="A548" s="559"/>
      <c r="B548" s="559"/>
      <c r="C548" s="559"/>
      <c r="D548" s="559"/>
      <c r="E548" s="559"/>
      <c r="F548" s="559"/>
      <c r="G548" s="559"/>
      <c r="H548" s="559"/>
      <c r="I548" s="559"/>
      <c r="J548" s="559"/>
      <c r="K548" s="559"/>
      <c r="L548" s="559"/>
      <c r="M548" s="559"/>
      <c r="N548" s="559"/>
      <c r="O548" s="559"/>
      <c r="P548" s="559"/>
      <c r="Q548" s="559"/>
      <c r="R548" s="559"/>
      <c r="S548" s="559"/>
      <c r="T548" s="559"/>
      <c r="U548" s="559"/>
      <c r="V548" s="559"/>
      <c r="W548" s="559"/>
      <c r="X548" s="559"/>
      <c r="Y548" s="559"/>
      <c r="Z548" s="559"/>
      <c r="AA548" s="559"/>
      <c r="AB548" s="559"/>
      <c r="AC548" s="559"/>
      <c r="AD548" s="559"/>
      <c r="AE548" s="559"/>
      <c r="AF548" s="559"/>
      <c r="AG548" s="559"/>
    </row>
    <row r="549" spans="1:33" ht="18" customHeight="1" x14ac:dyDescent="0.35">
      <c r="A549" s="559"/>
      <c r="B549" s="559"/>
      <c r="C549" s="559"/>
      <c r="D549" s="559"/>
      <c r="E549" s="559"/>
      <c r="F549" s="559"/>
      <c r="G549" s="559"/>
      <c r="H549" s="559"/>
      <c r="I549" s="559"/>
      <c r="J549" s="559"/>
      <c r="K549" s="559"/>
      <c r="L549" s="559"/>
      <c r="M549" s="559"/>
      <c r="N549" s="559"/>
      <c r="O549" s="559"/>
      <c r="P549" s="559"/>
      <c r="Q549" s="559"/>
      <c r="R549" s="559"/>
      <c r="S549" s="559"/>
      <c r="T549" s="559"/>
      <c r="U549" s="559"/>
      <c r="V549" s="559"/>
      <c r="W549" s="559"/>
      <c r="X549" s="559"/>
      <c r="Y549" s="559"/>
      <c r="Z549" s="559"/>
      <c r="AA549" s="559"/>
      <c r="AB549" s="559"/>
      <c r="AC549" s="559"/>
      <c r="AD549" s="559"/>
      <c r="AE549" s="559"/>
      <c r="AF549" s="559"/>
      <c r="AG549" s="559"/>
    </row>
    <row r="550" spans="1:33" ht="18" customHeight="1" x14ac:dyDescent="0.35">
      <c r="A550" s="559"/>
      <c r="B550" s="559"/>
      <c r="C550" s="559"/>
      <c r="D550" s="559"/>
      <c r="E550" s="559"/>
      <c r="F550" s="559"/>
      <c r="G550" s="559"/>
      <c r="H550" s="559"/>
      <c r="I550" s="559"/>
      <c r="J550" s="559"/>
      <c r="K550" s="559"/>
      <c r="L550" s="559"/>
      <c r="M550" s="559"/>
      <c r="N550" s="559"/>
      <c r="O550" s="559"/>
      <c r="P550" s="559"/>
      <c r="Q550" s="559"/>
      <c r="R550" s="559"/>
      <c r="S550" s="559"/>
      <c r="T550" s="559"/>
      <c r="U550" s="559"/>
      <c r="V550" s="559"/>
      <c r="W550" s="559"/>
      <c r="X550" s="559"/>
      <c r="Y550" s="559"/>
      <c r="Z550" s="559"/>
      <c r="AA550" s="559"/>
      <c r="AB550" s="559"/>
      <c r="AC550" s="559"/>
      <c r="AD550" s="559"/>
      <c r="AE550" s="559"/>
      <c r="AF550" s="559"/>
      <c r="AG550" s="559"/>
    </row>
    <row r="551" spans="1:33" ht="18" customHeight="1" x14ac:dyDescent="0.35">
      <c r="A551" s="559"/>
      <c r="B551" s="559"/>
      <c r="C551" s="559"/>
      <c r="D551" s="559"/>
      <c r="E551" s="559"/>
      <c r="F551" s="559"/>
      <c r="G551" s="559"/>
      <c r="H551" s="559"/>
      <c r="I551" s="559"/>
      <c r="J551" s="559"/>
      <c r="K551" s="559"/>
      <c r="L551" s="559"/>
      <c r="M551" s="559"/>
      <c r="N551" s="559"/>
      <c r="O551" s="559"/>
      <c r="P551" s="559"/>
      <c r="Q551" s="559"/>
      <c r="R551" s="559"/>
      <c r="S551" s="559"/>
      <c r="T551" s="559"/>
      <c r="U551" s="559"/>
      <c r="V551" s="559"/>
      <c r="W551" s="559"/>
      <c r="X551" s="559"/>
      <c r="Y551" s="559"/>
      <c r="Z551" s="559"/>
      <c r="AA551" s="559"/>
      <c r="AB551" s="559"/>
      <c r="AC551" s="559"/>
      <c r="AD551" s="559"/>
      <c r="AE551" s="559"/>
      <c r="AF551" s="559"/>
      <c r="AG551" s="559"/>
    </row>
    <row r="552" spans="1:33" ht="18" customHeight="1" x14ac:dyDescent="0.35">
      <c r="A552" s="559"/>
      <c r="B552" s="559"/>
      <c r="C552" s="559"/>
      <c r="D552" s="559"/>
      <c r="E552" s="559"/>
      <c r="F552" s="559"/>
      <c r="G552" s="559"/>
      <c r="H552" s="559"/>
      <c r="I552" s="559"/>
      <c r="J552" s="559"/>
      <c r="K552" s="559"/>
      <c r="L552" s="559"/>
      <c r="M552" s="559"/>
      <c r="N552" s="559"/>
      <c r="O552" s="559"/>
      <c r="P552" s="559"/>
      <c r="Q552" s="559"/>
      <c r="R552" s="559"/>
      <c r="S552" s="559"/>
      <c r="T552" s="559"/>
      <c r="U552" s="559"/>
      <c r="V552" s="559"/>
      <c r="W552" s="559"/>
      <c r="X552" s="559"/>
      <c r="Y552" s="559"/>
      <c r="Z552" s="559"/>
      <c r="AA552" s="559"/>
      <c r="AB552" s="559"/>
      <c r="AC552" s="559"/>
      <c r="AD552" s="559"/>
      <c r="AE552" s="559"/>
      <c r="AF552" s="559"/>
      <c r="AG552" s="559"/>
    </row>
    <row r="553" spans="1:33" ht="18" customHeight="1" x14ac:dyDescent="0.35">
      <c r="A553" s="559"/>
      <c r="B553" s="559"/>
      <c r="C553" s="559"/>
      <c r="D553" s="559"/>
      <c r="E553" s="559"/>
      <c r="F553" s="559"/>
      <c r="G553" s="559"/>
      <c r="H553" s="559"/>
      <c r="I553" s="559"/>
      <c r="J553" s="559"/>
      <c r="K553" s="559"/>
      <c r="L553" s="559"/>
      <c r="M553" s="559"/>
      <c r="N553" s="559"/>
      <c r="O553" s="559"/>
      <c r="P553" s="559"/>
      <c r="Q553" s="559"/>
      <c r="R553" s="559"/>
      <c r="S553" s="559"/>
      <c r="T553" s="559"/>
      <c r="U553" s="559"/>
      <c r="V553" s="559"/>
      <c r="W553" s="559"/>
      <c r="X553" s="559"/>
      <c r="Y553" s="559"/>
      <c r="Z553" s="559"/>
      <c r="AA553" s="559"/>
      <c r="AB553" s="559"/>
      <c r="AC553" s="559"/>
      <c r="AD553" s="559"/>
      <c r="AE553" s="559"/>
      <c r="AF553" s="559"/>
      <c r="AG553" s="559"/>
    </row>
    <row r="554" spans="1:33" ht="18" customHeight="1" x14ac:dyDescent="0.35">
      <c r="A554" s="559"/>
      <c r="B554" s="559"/>
      <c r="C554" s="559"/>
      <c r="D554" s="559"/>
      <c r="E554" s="559"/>
      <c r="F554" s="559"/>
      <c r="G554" s="559"/>
      <c r="H554" s="559"/>
      <c r="I554" s="559"/>
      <c r="J554" s="559"/>
      <c r="K554" s="559"/>
      <c r="L554" s="559"/>
      <c r="M554" s="559"/>
      <c r="N554" s="559"/>
      <c r="O554" s="559"/>
      <c r="P554" s="559"/>
      <c r="Q554" s="559"/>
      <c r="R554" s="559"/>
      <c r="S554" s="559"/>
      <c r="T554" s="559"/>
      <c r="U554" s="559"/>
      <c r="V554" s="559"/>
      <c r="W554" s="559"/>
      <c r="X554" s="559"/>
      <c r="Y554" s="559"/>
      <c r="Z554" s="559"/>
      <c r="AA554" s="559"/>
      <c r="AB554" s="559"/>
      <c r="AC554" s="559"/>
      <c r="AD554" s="559"/>
      <c r="AE554" s="559"/>
      <c r="AF554" s="559"/>
      <c r="AG554" s="559"/>
    </row>
    <row r="555" spans="1:33" ht="18" customHeight="1" x14ac:dyDescent="0.35">
      <c r="A555" s="559"/>
      <c r="B555" s="559"/>
      <c r="C555" s="559"/>
      <c r="D555" s="559"/>
      <c r="E555" s="559"/>
      <c r="F555" s="559"/>
      <c r="G555" s="559"/>
      <c r="H555" s="559"/>
      <c r="I555" s="559"/>
      <c r="J555" s="559"/>
      <c r="K555" s="559"/>
      <c r="L555" s="559"/>
      <c r="M555" s="559"/>
      <c r="N555" s="559"/>
      <c r="O555" s="559"/>
      <c r="P555" s="559"/>
      <c r="Q555" s="559"/>
      <c r="R555" s="559"/>
      <c r="S555" s="559"/>
      <c r="T555" s="559"/>
      <c r="U555" s="559"/>
      <c r="V555" s="559"/>
      <c r="W555" s="559"/>
      <c r="X555" s="559"/>
      <c r="Y555" s="559"/>
      <c r="Z555" s="559"/>
      <c r="AA555" s="559"/>
      <c r="AB555" s="559"/>
      <c r="AC555" s="559"/>
      <c r="AD555" s="559"/>
      <c r="AE555" s="559"/>
      <c r="AF555" s="559"/>
      <c r="AG555" s="559"/>
    </row>
    <row r="556" spans="1:33" ht="18" customHeight="1" x14ac:dyDescent="0.35">
      <c r="A556" s="559"/>
      <c r="B556" s="559"/>
      <c r="C556" s="559"/>
      <c r="D556" s="559"/>
      <c r="E556" s="559"/>
      <c r="F556" s="559"/>
      <c r="G556" s="559"/>
      <c r="H556" s="559"/>
      <c r="I556" s="559"/>
      <c r="J556" s="559"/>
      <c r="K556" s="559"/>
      <c r="L556" s="559"/>
      <c r="M556" s="559"/>
      <c r="N556" s="559"/>
      <c r="O556" s="559"/>
      <c r="P556" s="559"/>
      <c r="Q556" s="559"/>
      <c r="R556" s="559"/>
      <c r="S556" s="559"/>
      <c r="T556" s="559"/>
      <c r="U556" s="559"/>
      <c r="V556" s="559"/>
      <c r="W556" s="559"/>
      <c r="X556" s="559"/>
      <c r="Y556" s="559"/>
      <c r="Z556" s="559"/>
      <c r="AA556" s="559"/>
      <c r="AB556" s="559"/>
      <c r="AC556" s="559"/>
      <c r="AD556" s="559"/>
      <c r="AE556" s="559"/>
      <c r="AF556" s="559"/>
      <c r="AG556" s="559"/>
    </row>
    <row r="557" spans="1:33" ht="18" customHeight="1" x14ac:dyDescent="0.35">
      <c r="A557" s="559"/>
      <c r="B557" s="559"/>
      <c r="C557" s="559"/>
      <c r="D557" s="559"/>
      <c r="E557" s="559"/>
      <c r="F557" s="559"/>
      <c r="G557" s="559"/>
      <c r="H557" s="559"/>
      <c r="I557" s="559"/>
      <c r="J557" s="559"/>
      <c r="K557" s="559"/>
      <c r="L557" s="559"/>
      <c r="M557" s="559"/>
      <c r="N557" s="559"/>
      <c r="O557" s="559"/>
      <c r="P557" s="559"/>
      <c r="Q557" s="559"/>
      <c r="R557" s="559"/>
      <c r="S557" s="559"/>
      <c r="T557" s="559"/>
      <c r="U557" s="559"/>
      <c r="V557" s="559"/>
      <c r="W557" s="559"/>
      <c r="X557" s="559"/>
      <c r="Y557" s="559"/>
      <c r="Z557" s="559"/>
      <c r="AA557" s="559"/>
      <c r="AB557" s="559"/>
      <c r="AC557" s="559"/>
      <c r="AD557" s="559"/>
      <c r="AE557" s="559"/>
      <c r="AF557" s="559"/>
      <c r="AG557" s="559"/>
    </row>
    <row r="558" spans="1:33" ht="18" customHeight="1" x14ac:dyDescent="0.35">
      <c r="A558" s="559"/>
      <c r="B558" s="559"/>
      <c r="C558" s="559"/>
      <c r="D558" s="559"/>
      <c r="E558" s="559"/>
      <c r="F558" s="559"/>
      <c r="G558" s="559"/>
      <c r="H558" s="559"/>
      <c r="I558" s="559"/>
      <c r="J558" s="559"/>
      <c r="K558" s="559"/>
      <c r="L558" s="559"/>
      <c r="M558" s="559"/>
      <c r="N558" s="559"/>
      <c r="O558" s="559"/>
      <c r="P558" s="559"/>
      <c r="Q558" s="559"/>
      <c r="R558" s="559"/>
      <c r="S558" s="559"/>
      <c r="T558" s="559"/>
      <c r="U558" s="559"/>
      <c r="V558" s="559"/>
      <c r="W558" s="559"/>
      <c r="X558" s="559"/>
      <c r="Y558" s="559"/>
      <c r="Z558" s="559"/>
      <c r="AA558" s="559"/>
      <c r="AB558" s="559"/>
      <c r="AC558" s="559"/>
      <c r="AD558" s="559"/>
      <c r="AE558" s="559"/>
      <c r="AF558" s="559"/>
      <c r="AG558" s="559"/>
    </row>
    <row r="559" spans="1:33" ht="18" customHeight="1" x14ac:dyDescent="0.35">
      <c r="A559" s="559"/>
      <c r="B559" s="559"/>
      <c r="C559" s="559"/>
      <c r="D559" s="559"/>
      <c r="E559" s="559"/>
      <c r="F559" s="559"/>
      <c r="G559" s="559"/>
      <c r="H559" s="559"/>
      <c r="I559" s="559"/>
      <c r="J559" s="559"/>
      <c r="K559" s="559"/>
      <c r="L559" s="559"/>
      <c r="M559" s="559"/>
      <c r="N559" s="559"/>
      <c r="O559" s="559"/>
      <c r="P559" s="559"/>
      <c r="Q559" s="559"/>
      <c r="R559" s="559"/>
      <c r="S559" s="559"/>
      <c r="T559" s="559"/>
      <c r="U559" s="559"/>
      <c r="V559" s="559"/>
      <c r="W559" s="559"/>
      <c r="X559" s="559"/>
      <c r="Y559" s="559"/>
      <c r="Z559" s="559"/>
      <c r="AA559" s="559"/>
      <c r="AB559" s="559"/>
      <c r="AC559" s="559"/>
      <c r="AD559" s="559"/>
      <c r="AE559" s="559"/>
      <c r="AF559" s="559"/>
      <c r="AG559" s="559"/>
    </row>
    <row r="560" spans="1:33" ht="18" customHeight="1" x14ac:dyDescent="0.35">
      <c r="A560" s="559"/>
      <c r="B560" s="559"/>
      <c r="C560" s="559"/>
      <c r="D560" s="559"/>
      <c r="E560" s="559"/>
      <c r="F560" s="559"/>
      <c r="G560" s="559"/>
      <c r="H560" s="559"/>
      <c r="I560" s="559"/>
      <c r="J560" s="559"/>
      <c r="K560" s="559"/>
      <c r="L560" s="559"/>
      <c r="M560" s="559"/>
      <c r="N560" s="559"/>
      <c r="O560" s="559"/>
      <c r="P560" s="559"/>
      <c r="Q560" s="559"/>
      <c r="R560" s="559"/>
      <c r="S560" s="559"/>
      <c r="T560" s="559"/>
      <c r="U560" s="559"/>
      <c r="V560" s="559"/>
      <c r="W560" s="559"/>
      <c r="X560" s="559"/>
      <c r="Y560" s="559"/>
      <c r="Z560" s="559"/>
      <c r="AA560" s="559"/>
      <c r="AB560" s="559"/>
      <c r="AC560" s="559"/>
      <c r="AD560" s="559"/>
      <c r="AE560" s="559"/>
      <c r="AF560" s="559"/>
      <c r="AG560" s="559"/>
    </row>
    <row r="561" spans="1:33" ht="18" customHeight="1" x14ac:dyDescent="0.35">
      <c r="A561" s="559"/>
      <c r="B561" s="559"/>
      <c r="C561" s="559"/>
      <c r="D561" s="559"/>
      <c r="E561" s="559"/>
      <c r="F561" s="559"/>
      <c r="G561" s="559"/>
      <c r="H561" s="559"/>
      <c r="I561" s="559"/>
      <c r="J561" s="559"/>
      <c r="K561" s="559"/>
      <c r="L561" s="559"/>
      <c r="M561" s="559"/>
      <c r="N561" s="559"/>
      <c r="O561" s="559"/>
      <c r="P561" s="559"/>
      <c r="Q561" s="559"/>
      <c r="R561" s="559"/>
      <c r="S561" s="559"/>
      <c r="T561" s="559"/>
      <c r="U561" s="559"/>
      <c r="V561" s="559"/>
      <c r="W561" s="559"/>
      <c r="X561" s="559"/>
      <c r="Y561" s="559"/>
      <c r="Z561" s="559"/>
      <c r="AA561" s="559"/>
      <c r="AB561" s="559"/>
      <c r="AC561" s="559"/>
      <c r="AD561" s="559"/>
      <c r="AE561" s="559"/>
      <c r="AF561" s="559"/>
      <c r="AG561" s="559"/>
    </row>
    <row r="562" spans="1:33" ht="18" customHeight="1" x14ac:dyDescent="0.35">
      <c r="A562" s="559"/>
      <c r="B562" s="559"/>
      <c r="C562" s="559"/>
      <c r="D562" s="559"/>
      <c r="E562" s="559"/>
      <c r="F562" s="559"/>
      <c r="G562" s="559"/>
      <c r="H562" s="559"/>
      <c r="I562" s="559"/>
      <c r="J562" s="559"/>
      <c r="K562" s="559"/>
      <c r="L562" s="559"/>
      <c r="M562" s="559"/>
      <c r="N562" s="559"/>
      <c r="O562" s="559"/>
      <c r="P562" s="559"/>
      <c r="Q562" s="559"/>
      <c r="R562" s="559"/>
      <c r="S562" s="559"/>
      <c r="T562" s="559"/>
      <c r="U562" s="559"/>
      <c r="V562" s="559"/>
      <c r="W562" s="559"/>
      <c r="X562" s="559"/>
      <c r="Y562" s="559"/>
      <c r="Z562" s="559"/>
      <c r="AA562" s="559"/>
      <c r="AB562" s="559"/>
      <c r="AC562" s="559"/>
      <c r="AD562" s="559"/>
      <c r="AE562" s="559"/>
      <c r="AF562" s="559"/>
      <c r="AG562" s="559"/>
    </row>
    <row r="563" spans="1:33" ht="18" customHeight="1" x14ac:dyDescent="0.35">
      <c r="A563" s="559"/>
      <c r="B563" s="559"/>
      <c r="C563" s="559"/>
      <c r="D563" s="559"/>
      <c r="E563" s="559"/>
      <c r="F563" s="559"/>
      <c r="G563" s="559"/>
      <c r="H563" s="559"/>
      <c r="I563" s="559"/>
      <c r="J563" s="559"/>
      <c r="K563" s="559"/>
      <c r="L563" s="559"/>
      <c r="M563" s="559"/>
      <c r="N563" s="559"/>
      <c r="O563" s="559"/>
      <c r="P563" s="559"/>
      <c r="Q563" s="559"/>
      <c r="R563" s="559"/>
      <c r="S563" s="559"/>
      <c r="T563" s="559"/>
      <c r="U563" s="559"/>
      <c r="V563" s="559"/>
      <c r="W563" s="559"/>
      <c r="X563" s="559"/>
      <c r="Y563" s="559"/>
      <c r="Z563" s="559"/>
      <c r="AA563" s="559"/>
      <c r="AB563" s="559"/>
      <c r="AC563" s="559"/>
      <c r="AD563" s="559"/>
      <c r="AE563" s="559"/>
      <c r="AF563" s="559"/>
      <c r="AG563" s="559"/>
    </row>
    <row r="564" spans="1:33" ht="18" customHeight="1" x14ac:dyDescent="0.35">
      <c r="A564" s="559"/>
      <c r="B564" s="559"/>
      <c r="C564" s="559"/>
      <c r="D564" s="559"/>
      <c r="E564" s="559"/>
      <c r="F564" s="559"/>
      <c r="G564" s="559"/>
      <c r="H564" s="559"/>
      <c r="I564" s="559"/>
      <c r="J564" s="559"/>
      <c r="K564" s="559"/>
      <c r="L564" s="559"/>
      <c r="M564" s="559"/>
      <c r="N564" s="559"/>
      <c r="O564" s="559"/>
      <c r="P564" s="559"/>
      <c r="Q564" s="559"/>
      <c r="R564" s="559"/>
      <c r="S564" s="559"/>
      <c r="T564" s="559"/>
      <c r="U564" s="559"/>
      <c r="V564" s="559"/>
      <c r="W564" s="559"/>
      <c r="X564" s="559"/>
      <c r="Y564" s="559"/>
      <c r="Z564" s="559"/>
      <c r="AA564" s="559"/>
      <c r="AB564" s="559"/>
      <c r="AC564" s="559"/>
      <c r="AD564" s="559"/>
      <c r="AE564" s="559"/>
      <c r="AF564" s="559"/>
      <c r="AG564" s="559"/>
    </row>
    <row r="565" spans="1:33" ht="18" customHeight="1" x14ac:dyDescent="0.35">
      <c r="A565" s="559"/>
      <c r="B565" s="559"/>
      <c r="C565" s="559"/>
      <c r="D565" s="559"/>
      <c r="E565" s="559"/>
      <c r="F565" s="559"/>
      <c r="G565" s="559"/>
      <c r="H565" s="559"/>
      <c r="I565" s="559"/>
      <c r="J565" s="559"/>
      <c r="K565" s="559"/>
      <c r="L565" s="559"/>
      <c r="M565" s="559"/>
      <c r="N565" s="559"/>
      <c r="O565" s="559"/>
      <c r="P565" s="559"/>
      <c r="Q565" s="559"/>
      <c r="R565" s="559"/>
      <c r="S565" s="559"/>
      <c r="T565" s="559"/>
      <c r="U565" s="559"/>
      <c r="V565" s="559"/>
      <c r="W565" s="559"/>
      <c r="X565" s="559"/>
      <c r="Y565" s="559"/>
      <c r="Z565" s="559"/>
      <c r="AA565" s="559"/>
      <c r="AB565" s="559"/>
      <c r="AC565" s="559"/>
      <c r="AD565" s="559"/>
      <c r="AE565" s="559"/>
      <c r="AF565" s="559"/>
      <c r="AG565" s="559"/>
    </row>
    <row r="566" spans="1:33" ht="18" customHeight="1" x14ac:dyDescent="0.35">
      <c r="A566" s="559"/>
      <c r="B566" s="559"/>
      <c r="C566" s="559"/>
      <c r="D566" s="559"/>
      <c r="E566" s="559"/>
      <c r="F566" s="559"/>
      <c r="G566" s="559"/>
      <c r="H566" s="559"/>
      <c r="I566" s="559"/>
      <c r="J566" s="559"/>
      <c r="K566" s="559"/>
      <c r="L566" s="559"/>
      <c r="M566" s="559"/>
      <c r="N566" s="559"/>
      <c r="O566" s="559"/>
      <c r="P566" s="559"/>
      <c r="Q566" s="559"/>
      <c r="R566" s="559"/>
      <c r="S566" s="559"/>
      <c r="T566" s="559"/>
      <c r="U566" s="559"/>
      <c r="V566" s="559"/>
      <c r="W566" s="559"/>
      <c r="X566" s="559"/>
      <c r="Y566" s="559"/>
      <c r="Z566" s="559"/>
      <c r="AA566" s="559"/>
      <c r="AB566" s="559"/>
      <c r="AC566" s="559"/>
      <c r="AD566" s="559"/>
      <c r="AE566" s="559"/>
      <c r="AF566" s="559"/>
      <c r="AG566" s="559"/>
    </row>
    <row r="567" spans="1:33" ht="18" customHeight="1" x14ac:dyDescent="0.35">
      <c r="A567" s="559"/>
      <c r="B567" s="559"/>
      <c r="C567" s="559"/>
      <c r="D567" s="559"/>
      <c r="E567" s="559"/>
      <c r="F567" s="559"/>
      <c r="G567" s="559"/>
      <c r="H567" s="559"/>
      <c r="I567" s="559"/>
      <c r="J567" s="559"/>
      <c r="K567" s="559"/>
      <c r="L567" s="559"/>
      <c r="M567" s="559"/>
      <c r="N567" s="559"/>
      <c r="O567" s="559"/>
      <c r="P567" s="559"/>
      <c r="Q567" s="559"/>
      <c r="R567" s="559"/>
      <c r="S567" s="559"/>
      <c r="T567" s="559"/>
      <c r="U567" s="559"/>
      <c r="V567" s="559"/>
      <c r="W567" s="559"/>
      <c r="X567" s="559"/>
      <c r="Y567" s="559"/>
      <c r="Z567" s="559"/>
      <c r="AA567" s="559"/>
      <c r="AB567" s="559"/>
      <c r="AC567" s="559"/>
      <c r="AD567" s="559"/>
      <c r="AE567" s="559"/>
      <c r="AF567" s="559"/>
      <c r="AG567" s="559"/>
    </row>
    <row r="568" spans="1:33" ht="18" customHeight="1" x14ac:dyDescent="0.35">
      <c r="A568" s="559"/>
      <c r="B568" s="559"/>
      <c r="C568" s="559"/>
      <c r="D568" s="559"/>
      <c r="E568" s="559"/>
      <c r="F568" s="559"/>
      <c r="G568" s="559"/>
      <c r="H568" s="559"/>
      <c r="I568" s="559"/>
      <c r="J568" s="559"/>
      <c r="K568" s="559"/>
      <c r="L568" s="559"/>
      <c r="M568" s="559"/>
      <c r="N568" s="559"/>
      <c r="O568" s="559"/>
      <c r="P568" s="559"/>
      <c r="Q568" s="559"/>
      <c r="R568" s="559"/>
      <c r="S568" s="559"/>
      <c r="T568" s="559"/>
      <c r="U568" s="559"/>
      <c r="V568" s="559"/>
      <c r="W568" s="559"/>
      <c r="X568" s="559"/>
      <c r="Y568" s="559"/>
      <c r="Z568" s="559"/>
      <c r="AA568" s="559"/>
      <c r="AB568" s="559"/>
      <c r="AC568" s="559"/>
      <c r="AD568" s="559"/>
      <c r="AE568" s="559"/>
      <c r="AF568" s="559"/>
      <c r="AG568" s="559"/>
    </row>
    <row r="569" spans="1:33" ht="18" customHeight="1" x14ac:dyDescent="0.35">
      <c r="A569" s="559"/>
      <c r="B569" s="559"/>
      <c r="C569" s="559"/>
      <c r="D569" s="559"/>
      <c r="E569" s="559"/>
      <c r="F569" s="559"/>
      <c r="G569" s="559"/>
      <c r="H569" s="559"/>
      <c r="I569" s="559"/>
      <c r="J569" s="559"/>
      <c r="K569" s="559"/>
      <c r="L569" s="559"/>
      <c r="M569" s="559"/>
      <c r="N569" s="559"/>
      <c r="O569" s="559"/>
      <c r="P569" s="559"/>
      <c r="Q569" s="559"/>
      <c r="R569" s="559"/>
      <c r="S569" s="559"/>
      <c r="T569" s="559"/>
      <c r="U569" s="559"/>
      <c r="V569" s="559"/>
      <c r="W569" s="559"/>
      <c r="X569" s="559"/>
      <c r="Y569" s="559"/>
      <c r="Z569" s="559"/>
      <c r="AA569" s="559"/>
      <c r="AB569" s="559"/>
      <c r="AC569" s="559"/>
      <c r="AD569" s="559"/>
      <c r="AE569" s="559"/>
      <c r="AF569" s="559"/>
      <c r="AG569" s="559"/>
    </row>
    <row r="570" spans="1:33" ht="18" customHeight="1" x14ac:dyDescent="0.35">
      <c r="A570" s="559"/>
      <c r="B570" s="559"/>
      <c r="C570" s="559"/>
      <c r="D570" s="559"/>
      <c r="E570" s="559"/>
      <c r="F570" s="559"/>
      <c r="G570" s="559"/>
      <c r="H570" s="559"/>
      <c r="I570" s="559"/>
      <c r="J570" s="559"/>
      <c r="K570" s="559"/>
      <c r="L570" s="559"/>
      <c r="M570" s="559"/>
      <c r="N570" s="559"/>
      <c r="O570" s="559"/>
      <c r="P570" s="559"/>
      <c r="Q570" s="559"/>
      <c r="R570" s="559"/>
      <c r="S570" s="559"/>
      <c r="T570" s="559"/>
      <c r="U570" s="559"/>
      <c r="V570" s="559"/>
      <c r="W570" s="559"/>
      <c r="X570" s="559"/>
      <c r="Y570" s="559"/>
      <c r="Z570" s="559"/>
      <c r="AA570" s="559"/>
      <c r="AB570" s="559"/>
      <c r="AC570" s="559"/>
      <c r="AD570" s="559"/>
      <c r="AE570" s="559"/>
      <c r="AF570" s="559"/>
      <c r="AG570" s="559"/>
    </row>
    <row r="571" spans="1:33" ht="18" customHeight="1" x14ac:dyDescent="0.35">
      <c r="A571" s="559"/>
      <c r="B571" s="559"/>
      <c r="C571" s="559"/>
      <c r="D571" s="559"/>
      <c r="E571" s="559"/>
      <c r="F571" s="559"/>
      <c r="G571" s="559"/>
      <c r="H571" s="559"/>
      <c r="I571" s="559"/>
      <c r="J571" s="559"/>
      <c r="K571" s="559"/>
      <c r="L571" s="559"/>
      <c r="M571" s="559"/>
      <c r="N571" s="559"/>
      <c r="O571" s="559"/>
      <c r="P571" s="559"/>
      <c r="Q571" s="559"/>
      <c r="R571" s="559"/>
      <c r="S571" s="559"/>
      <c r="T571" s="559"/>
      <c r="U571" s="559"/>
      <c r="V571" s="559"/>
      <c r="W571" s="559"/>
      <c r="X571" s="559"/>
      <c r="Y571" s="559"/>
      <c r="Z571" s="559"/>
      <c r="AA571" s="559"/>
      <c r="AB571" s="559"/>
      <c r="AC571" s="559"/>
      <c r="AD571" s="559"/>
      <c r="AE571" s="559"/>
      <c r="AF571" s="559"/>
      <c r="AG571" s="559"/>
    </row>
    <row r="572" spans="1:33" ht="18" customHeight="1" x14ac:dyDescent="0.35">
      <c r="A572" s="559"/>
      <c r="B572" s="559"/>
      <c r="C572" s="559"/>
      <c r="D572" s="559"/>
      <c r="E572" s="559"/>
      <c r="F572" s="559"/>
      <c r="G572" s="559"/>
      <c r="H572" s="559"/>
      <c r="I572" s="559"/>
      <c r="J572" s="559"/>
      <c r="K572" s="559"/>
      <c r="L572" s="559"/>
      <c r="M572" s="559"/>
      <c r="N572" s="559"/>
      <c r="O572" s="559"/>
      <c r="P572" s="559"/>
      <c r="Q572" s="559"/>
      <c r="R572" s="559"/>
      <c r="S572" s="559"/>
      <c r="T572" s="559"/>
      <c r="U572" s="559"/>
      <c r="V572" s="559"/>
      <c r="W572" s="559"/>
      <c r="X572" s="559"/>
      <c r="Y572" s="559"/>
      <c r="Z572" s="559"/>
      <c r="AA572" s="559"/>
      <c r="AB572" s="559"/>
      <c r="AC572" s="559"/>
      <c r="AD572" s="559"/>
      <c r="AE572" s="559"/>
      <c r="AF572" s="559"/>
      <c r="AG572" s="559"/>
    </row>
    <row r="573" spans="1:33" ht="18" customHeight="1" x14ac:dyDescent="0.35">
      <c r="A573" s="559"/>
      <c r="B573" s="559"/>
      <c r="C573" s="559"/>
      <c r="D573" s="559"/>
      <c r="E573" s="559"/>
      <c r="F573" s="559"/>
      <c r="G573" s="559"/>
      <c r="H573" s="559"/>
      <c r="I573" s="559"/>
      <c r="J573" s="559"/>
      <c r="K573" s="559"/>
      <c r="L573" s="559"/>
      <c r="M573" s="559"/>
      <c r="N573" s="559"/>
      <c r="O573" s="559"/>
      <c r="P573" s="559"/>
      <c r="Q573" s="559"/>
      <c r="R573" s="559"/>
      <c r="S573" s="559"/>
      <c r="T573" s="559"/>
      <c r="U573" s="559"/>
      <c r="V573" s="559"/>
      <c r="W573" s="559"/>
      <c r="X573" s="559"/>
      <c r="Y573" s="559"/>
      <c r="Z573" s="559"/>
      <c r="AA573" s="559"/>
      <c r="AB573" s="559"/>
      <c r="AC573" s="559"/>
      <c r="AD573" s="559"/>
      <c r="AE573" s="559"/>
      <c r="AF573" s="559"/>
      <c r="AG573" s="559"/>
    </row>
    <row r="574" spans="1:33" ht="18" customHeight="1" x14ac:dyDescent="0.35">
      <c r="A574" s="559"/>
      <c r="B574" s="559"/>
      <c r="C574" s="559"/>
      <c r="D574" s="559"/>
      <c r="E574" s="559"/>
      <c r="F574" s="559"/>
      <c r="G574" s="559"/>
      <c r="H574" s="559"/>
      <c r="I574" s="559"/>
      <c r="J574" s="559"/>
      <c r="K574" s="559"/>
      <c r="L574" s="559"/>
      <c r="M574" s="559"/>
      <c r="N574" s="559"/>
      <c r="O574" s="559"/>
      <c r="P574" s="559"/>
      <c r="Q574" s="559"/>
      <c r="R574" s="559"/>
      <c r="S574" s="559"/>
      <c r="T574" s="559"/>
      <c r="U574" s="559"/>
      <c r="V574" s="559"/>
      <c r="W574" s="559"/>
      <c r="X574" s="559"/>
      <c r="Y574" s="559"/>
      <c r="Z574" s="559"/>
      <c r="AA574" s="559"/>
      <c r="AB574" s="559"/>
      <c r="AC574" s="559"/>
      <c r="AD574" s="559"/>
      <c r="AE574" s="559"/>
      <c r="AF574" s="559"/>
      <c r="AG574" s="559"/>
    </row>
    <row r="575" spans="1:33" ht="18" customHeight="1" x14ac:dyDescent="0.35">
      <c r="A575" s="559"/>
      <c r="B575" s="559"/>
      <c r="C575" s="559"/>
      <c r="D575" s="559"/>
      <c r="E575" s="559"/>
      <c r="F575" s="559"/>
      <c r="G575" s="559"/>
      <c r="H575" s="559"/>
      <c r="I575" s="559"/>
      <c r="J575" s="559"/>
      <c r="K575" s="559"/>
      <c r="L575" s="559"/>
      <c r="M575" s="559"/>
      <c r="N575" s="559"/>
      <c r="O575" s="559"/>
      <c r="P575" s="559"/>
      <c r="Q575" s="559"/>
      <c r="R575" s="559"/>
      <c r="S575" s="559"/>
      <c r="T575" s="559"/>
      <c r="U575" s="559"/>
      <c r="V575" s="559"/>
      <c r="W575" s="559"/>
      <c r="X575" s="559"/>
      <c r="Y575" s="559"/>
      <c r="Z575" s="559"/>
      <c r="AA575" s="559"/>
      <c r="AB575" s="559"/>
      <c r="AC575" s="559"/>
      <c r="AD575" s="559"/>
      <c r="AE575" s="559"/>
      <c r="AF575" s="559"/>
      <c r="AG575" s="559"/>
    </row>
    <row r="576" spans="1:33" ht="18" customHeight="1" x14ac:dyDescent="0.35">
      <c r="A576" s="559"/>
      <c r="B576" s="559"/>
      <c r="C576" s="559"/>
      <c r="D576" s="559"/>
      <c r="E576" s="559"/>
      <c r="F576" s="559"/>
      <c r="G576" s="559"/>
      <c r="H576" s="559"/>
      <c r="I576" s="559"/>
      <c r="J576" s="559"/>
      <c r="K576" s="559"/>
      <c r="L576" s="559"/>
      <c r="M576" s="559"/>
      <c r="N576" s="559"/>
      <c r="O576" s="559"/>
      <c r="P576" s="559"/>
      <c r="Q576" s="559"/>
      <c r="R576" s="559"/>
      <c r="S576" s="559"/>
      <c r="T576" s="559"/>
      <c r="U576" s="559"/>
      <c r="V576" s="559"/>
      <c r="W576" s="559"/>
      <c r="X576" s="559"/>
      <c r="Y576" s="559"/>
      <c r="Z576" s="559"/>
      <c r="AA576" s="559"/>
      <c r="AB576" s="559"/>
      <c r="AC576" s="559"/>
      <c r="AD576" s="559"/>
      <c r="AE576" s="559"/>
      <c r="AF576" s="559"/>
      <c r="AG576" s="559"/>
    </row>
    <row r="577" spans="1:33" ht="18" customHeight="1" x14ac:dyDescent="0.35">
      <c r="A577" s="559"/>
      <c r="B577" s="559"/>
      <c r="C577" s="559"/>
      <c r="D577" s="559"/>
      <c r="E577" s="559"/>
      <c r="F577" s="559"/>
      <c r="G577" s="559"/>
      <c r="H577" s="559"/>
      <c r="I577" s="559"/>
      <c r="J577" s="559"/>
      <c r="K577" s="559"/>
      <c r="L577" s="559"/>
      <c r="M577" s="559"/>
      <c r="N577" s="559"/>
      <c r="O577" s="559"/>
      <c r="P577" s="559"/>
      <c r="Q577" s="559"/>
      <c r="R577" s="559"/>
      <c r="S577" s="559"/>
      <c r="T577" s="559"/>
      <c r="U577" s="559"/>
      <c r="V577" s="559"/>
      <c r="W577" s="559"/>
      <c r="X577" s="559"/>
      <c r="Y577" s="559"/>
      <c r="Z577" s="559"/>
      <c r="AA577" s="559"/>
      <c r="AB577" s="559"/>
      <c r="AC577" s="559"/>
      <c r="AD577" s="559"/>
      <c r="AE577" s="559"/>
      <c r="AF577" s="559"/>
      <c r="AG577" s="559"/>
    </row>
    <row r="578" spans="1:33" ht="18" customHeight="1" x14ac:dyDescent="0.35">
      <c r="A578" s="559"/>
      <c r="B578" s="559"/>
      <c r="C578" s="559"/>
      <c r="D578" s="559"/>
      <c r="E578" s="559"/>
      <c r="F578" s="559"/>
      <c r="G578" s="559"/>
      <c r="H578" s="559"/>
      <c r="I578" s="559"/>
      <c r="J578" s="559"/>
      <c r="K578" s="559"/>
      <c r="L578" s="559"/>
      <c r="M578" s="559"/>
      <c r="N578" s="559"/>
      <c r="O578" s="559"/>
      <c r="P578" s="559"/>
      <c r="Q578" s="559"/>
      <c r="R578" s="559"/>
      <c r="S578" s="559"/>
      <c r="T578" s="559"/>
      <c r="U578" s="559"/>
      <c r="V578" s="559"/>
      <c r="W578" s="559"/>
      <c r="X578" s="559"/>
      <c r="Y578" s="559"/>
      <c r="Z578" s="559"/>
      <c r="AA578" s="559"/>
      <c r="AB578" s="559"/>
      <c r="AC578" s="559"/>
      <c r="AD578" s="559"/>
      <c r="AE578" s="559"/>
      <c r="AF578" s="559"/>
      <c r="AG578" s="559"/>
    </row>
    <row r="579" spans="1:33" ht="18" customHeight="1" x14ac:dyDescent="0.35">
      <c r="A579" s="559"/>
      <c r="B579" s="559"/>
      <c r="C579" s="559"/>
      <c r="D579" s="559"/>
      <c r="E579" s="559"/>
      <c r="F579" s="559"/>
      <c r="G579" s="559"/>
      <c r="H579" s="559"/>
      <c r="I579" s="559"/>
      <c r="J579" s="559"/>
      <c r="K579" s="559"/>
      <c r="L579" s="559"/>
      <c r="M579" s="559"/>
      <c r="N579" s="559"/>
      <c r="O579" s="559"/>
      <c r="P579" s="559"/>
      <c r="Q579" s="559"/>
      <c r="R579" s="559"/>
      <c r="S579" s="559"/>
      <c r="T579" s="559"/>
      <c r="U579" s="559"/>
      <c r="V579" s="559"/>
      <c r="W579" s="559"/>
      <c r="X579" s="559"/>
      <c r="Y579" s="559"/>
      <c r="Z579" s="559"/>
      <c r="AA579" s="559"/>
      <c r="AB579" s="559"/>
      <c r="AC579" s="559"/>
      <c r="AD579" s="559"/>
      <c r="AE579" s="559"/>
      <c r="AF579" s="559"/>
      <c r="AG579" s="559"/>
    </row>
    <row r="580" spans="1:33" ht="18" customHeight="1" x14ac:dyDescent="0.35">
      <c r="A580" s="559"/>
      <c r="B580" s="559"/>
      <c r="C580" s="559"/>
      <c r="D580" s="559"/>
      <c r="E580" s="559"/>
      <c r="F580" s="559"/>
      <c r="G580" s="559"/>
      <c r="H580" s="559"/>
      <c r="I580" s="559"/>
      <c r="J580" s="559"/>
      <c r="K580" s="559"/>
      <c r="L580" s="559"/>
      <c r="M580" s="559"/>
      <c r="N580" s="559"/>
      <c r="O580" s="559"/>
      <c r="P580" s="559"/>
      <c r="Q580" s="559"/>
      <c r="R580" s="559"/>
      <c r="S580" s="559"/>
      <c r="T580" s="559"/>
      <c r="U580" s="559"/>
      <c r="V580" s="559"/>
      <c r="W580" s="559"/>
      <c r="X580" s="559"/>
      <c r="Y580" s="559"/>
      <c r="Z580" s="559"/>
      <c r="AA580" s="559"/>
      <c r="AB580" s="559"/>
      <c r="AC580" s="559"/>
      <c r="AD580" s="559"/>
      <c r="AE580" s="559"/>
      <c r="AF580" s="559"/>
      <c r="AG580" s="559"/>
    </row>
    <row r="581" spans="1:33" ht="18" customHeight="1" x14ac:dyDescent="0.35">
      <c r="A581" s="559"/>
      <c r="B581" s="559"/>
      <c r="C581" s="559"/>
      <c r="D581" s="559"/>
      <c r="E581" s="559"/>
      <c r="F581" s="559"/>
      <c r="G581" s="559"/>
      <c r="H581" s="559"/>
      <c r="I581" s="559"/>
      <c r="J581" s="559"/>
      <c r="K581" s="559"/>
      <c r="L581" s="559"/>
      <c r="M581" s="559"/>
      <c r="N581" s="559"/>
      <c r="O581" s="559"/>
      <c r="P581" s="559"/>
      <c r="Q581" s="559"/>
      <c r="R581" s="559"/>
      <c r="S581" s="559"/>
      <c r="T581" s="559"/>
      <c r="U581" s="559"/>
      <c r="V581" s="559"/>
      <c r="W581" s="559"/>
      <c r="X581" s="559"/>
      <c r="Y581" s="559"/>
      <c r="Z581" s="559"/>
      <c r="AA581" s="559"/>
      <c r="AB581" s="559"/>
      <c r="AC581" s="559"/>
      <c r="AD581" s="559"/>
      <c r="AE581" s="559"/>
      <c r="AF581" s="559"/>
      <c r="AG581" s="559"/>
    </row>
    <row r="582" spans="1:33" ht="18" customHeight="1" x14ac:dyDescent="0.35">
      <c r="A582" s="559"/>
      <c r="B582" s="559"/>
      <c r="C582" s="559"/>
      <c r="D582" s="559"/>
      <c r="E582" s="559"/>
      <c r="F582" s="559"/>
      <c r="G582" s="559"/>
      <c r="H582" s="559"/>
      <c r="I582" s="559"/>
      <c r="J582" s="559"/>
      <c r="K582" s="559"/>
      <c r="L582" s="559"/>
      <c r="M582" s="559"/>
      <c r="N582" s="559"/>
      <c r="O582" s="559"/>
      <c r="P582" s="559"/>
      <c r="Q582" s="559"/>
      <c r="R582" s="559"/>
      <c r="S582" s="559"/>
      <c r="T582" s="559"/>
      <c r="U582" s="559"/>
      <c r="V582" s="559"/>
      <c r="W582" s="559"/>
      <c r="X582" s="559"/>
      <c r="Y582" s="559"/>
      <c r="Z582" s="559"/>
      <c r="AA582" s="559"/>
      <c r="AB582" s="559"/>
      <c r="AC582" s="559"/>
      <c r="AD582" s="559"/>
      <c r="AE582" s="559"/>
      <c r="AF582" s="559"/>
      <c r="AG582" s="559"/>
    </row>
    <row r="583" spans="1:33" ht="18" customHeight="1" x14ac:dyDescent="0.35">
      <c r="A583" s="559"/>
      <c r="B583" s="559"/>
      <c r="C583" s="559"/>
      <c r="D583" s="559"/>
      <c r="E583" s="559"/>
      <c r="F583" s="559"/>
      <c r="G583" s="559"/>
      <c r="H583" s="559"/>
      <c r="I583" s="559"/>
      <c r="J583" s="559"/>
      <c r="K583" s="559"/>
      <c r="L583" s="559"/>
      <c r="M583" s="559"/>
      <c r="N583" s="559"/>
      <c r="O583" s="559"/>
      <c r="P583" s="559"/>
      <c r="Q583" s="559"/>
      <c r="R583" s="559"/>
      <c r="S583" s="559"/>
      <c r="T583" s="559"/>
      <c r="U583" s="559"/>
      <c r="V583" s="559"/>
      <c r="W583" s="559"/>
      <c r="X583" s="559"/>
      <c r="Y583" s="559"/>
      <c r="Z583" s="559"/>
      <c r="AA583" s="559"/>
      <c r="AB583" s="559"/>
      <c r="AC583" s="559"/>
      <c r="AD583" s="559"/>
      <c r="AE583" s="559"/>
      <c r="AF583" s="559"/>
      <c r="AG583" s="559"/>
    </row>
    <row r="584" spans="1:33" ht="18" customHeight="1" x14ac:dyDescent="0.35">
      <c r="A584" s="559"/>
      <c r="B584" s="559"/>
      <c r="C584" s="559"/>
      <c r="D584" s="559"/>
      <c r="E584" s="559"/>
      <c r="F584" s="559"/>
      <c r="G584" s="559"/>
      <c r="H584" s="559"/>
      <c r="I584" s="559"/>
      <c r="J584" s="559"/>
      <c r="K584" s="559"/>
      <c r="L584" s="559"/>
      <c r="M584" s="559"/>
      <c r="N584" s="559"/>
      <c r="O584" s="559"/>
      <c r="P584" s="559"/>
      <c r="Q584" s="559"/>
      <c r="R584" s="559"/>
      <c r="S584" s="559"/>
      <c r="T584" s="559"/>
      <c r="U584" s="559"/>
      <c r="V584" s="559"/>
      <c r="W584" s="559"/>
      <c r="X584" s="559"/>
      <c r="Y584" s="559"/>
      <c r="Z584" s="559"/>
      <c r="AA584" s="559"/>
      <c r="AB584" s="559"/>
      <c r="AC584" s="559"/>
      <c r="AD584" s="559"/>
      <c r="AE584" s="559"/>
      <c r="AF584" s="559"/>
      <c r="AG584" s="559"/>
    </row>
    <row r="585" spans="1:33" ht="18" customHeight="1" x14ac:dyDescent="0.35">
      <c r="A585" s="559"/>
      <c r="B585" s="559"/>
      <c r="C585" s="559"/>
      <c r="D585" s="559"/>
      <c r="E585" s="559"/>
      <c r="F585" s="559"/>
      <c r="G585" s="559"/>
      <c r="H585" s="559"/>
      <c r="I585" s="559"/>
      <c r="J585" s="559"/>
      <c r="K585" s="559"/>
      <c r="L585" s="559"/>
      <c r="M585" s="559"/>
      <c r="N585" s="559"/>
      <c r="O585" s="559"/>
      <c r="P585" s="559"/>
      <c r="Q585" s="559"/>
      <c r="R585" s="559"/>
      <c r="S585" s="559"/>
      <c r="T585" s="559"/>
      <c r="U585" s="559"/>
      <c r="V585" s="559"/>
      <c r="W585" s="559"/>
      <c r="X585" s="559"/>
      <c r="Y585" s="559"/>
      <c r="Z585" s="559"/>
      <c r="AA585" s="559"/>
      <c r="AB585" s="559"/>
      <c r="AC585" s="559"/>
      <c r="AD585" s="559"/>
      <c r="AE585" s="559"/>
      <c r="AF585" s="559"/>
      <c r="AG585" s="559"/>
    </row>
    <row r="586" spans="1:33" ht="18" customHeight="1" x14ac:dyDescent="0.35">
      <c r="A586" s="559"/>
      <c r="B586" s="559"/>
      <c r="C586" s="559"/>
      <c r="D586" s="559"/>
      <c r="E586" s="559"/>
      <c r="F586" s="559"/>
      <c r="G586" s="559"/>
      <c r="H586" s="559"/>
      <c r="I586" s="559"/>
      <c r="J586" s="559"/>
      <c r="K586" s="559"/>
      <c r="L586" s="559"/>
      <c r="M586" s="559"/>
      <c r="N586" s="559"/>
      <c r="O586" s="559"/>
      <c r="P586" s="559"/>
      <c r="Q586" s="559"/>
      <c r="R586" s="559"/>
      <c r="S586" s="559"/>
      <c r="T586" s="559"/>
      <c r="U586" s="559"/>
      <c r="V586" s="559"/>
      <c r="W586" s="559"/>
      <c r="X586" s="559"/>
      <c r="Y586" s="559"/>
      <c r="Z586" s="559"/>
      <c r="AA586" s="559"/>
      <c r="AB586" s="559"/>
      <c r="AC586" s="559"/>
      <c r="AD586" s="559"/>
      <c r="AE586" s="559"/>
      <c r="AF586" s="559"/>
      <c r="AG586" s="559"/>
    </row>
    <row r="587" spans="1:33" ht="18" customHeight="1" x14ac:dyDescent="0.35">
      <c r="A587" s="559"/>
      <c r="B587" s="559"/>
      <c r="C587" s="559"/>
      <c r="D587" s="559"/>
      <c r="E587" s="559"/>
      <c r="F587" s="559"/>
      <c r="G587" s="559"/>
      <c r="H587" s="559"/>
      <c r="I587" s="559"/>
      <c r="J587" s="559"/>
      <c r="K587" s="559"/>
      <c r="L587" s="559"/>
      <c r="M587" s="559"/>
      <c r="N587" s="559"/>
      <c r="O587" s="559"/>
      <c r="P587" s="559"/>
      <c r="Q587" s="559"/>
      <c r="R587" s="559"/>
      <c r="S587" s="559"/>
      <c r="T587" s="559"/>
      <c r="U587" s="559"/>
      <c r="V587" s="559"/>
      <c r="W587" s="559"/>
      <c r="X587" s="559"/>
      <c r="Y587" s="559"/>
      <c r="Z587" s="559"/>
      <c r="AA587" s="559"/>
      <c r="AB587" s="559"/>
      <c r="AC587" s="559"/>
      <c r="AD587" s="559"/>
      <c r="AE587" s="559"/>
      <c r="AF587" s="559"/>
      <c r="AG587" s="559"/>
    </row>
    <row r="588" spans="1:33" ht="18" customHeight="1" x14ac:dyDescent="0.35">
      <c r="A588" s="559"/>
      <c r="B588" s="559"/>
      <c r="C588" s="559"/>
      <c r="D588" s="559"/>
      <c r="E588" s="559"/>
      <c r="F588" s="559"/>
      <c r="G588" s="559"/>
      <c r="H588" s="559"/>
      <c r="I588" s="559"/>
      <c r="J588" s="559"/>
      <c r="K588" s="559"/>
      <c r="L588" s="559"/>
      <c r="M588" s="559"/>
      <c r="N588" s="559"/>
      <c r="O588" s="559"/>
      <c r="P588" s="559"/>
      <c r="Q588" s="559"/>
      <c r="R588" s="559"/>
      <c r="S588" s="559"/>
      <c r="T588" s="559"/>
      <c r="U588" s="559"/>
      <c r="V588" s="559"/>
      <c r="W588" s="559"/>
      <c r="X588" s="559"/>
      <c r="Y588" s="559"/>
      <c r="Z588" s="559"/>
      <c r="AA588" s="559"/>
      <c r="AB588" s="559"/>
      <c r="AC588" s="559"/>
      <c r="AD588" s="559"/>
      <c r="AE588" s="559"/>
      <c r="AF588" s="559"/>
      <c r="AG588" s="559"/>
    </row>
    <row r="589" spans="1:33" ht="18" customHeight="1" x14ac:dyDescent="0.35">
      <c r="A589" s="559"/>
      <c r="B589" s="559"/>
      <c r="C589" s="559"/>
      <c r="D589" s="559"/>
      <c r="E589" s="559"/>
      <c r="F589" s="559"/>
      <c r="G589" s="559"/>
      <c r="H589" s="559"/>
      <c r="I589" s="559"/>
      <c r="J589" s="559"/>
      <c r="K589" s="559"/>
      <c r="L589" s="559"/>
      <c r="M589" s="559"/>
      <c r="N589" s="559"/>
      <c r="O589" s="559"/>
      <c r="P589" s="559"/>
      <c r="Q589" s="559"/>
      <c r="R589" s="559"/>
      <c r="S589" s="559"/>
      <c r="T589" s="559"/>
      <c r="U589" s="559"/>
      <c r="V589" s="559"/>
      <c r="W589" s="559"/>
      <c r="X589" s="559"/>
      <c r="Y589" s="559"/>
      <c r="Z589" s="559"/>
      <c r="AA589" s="559"/>
      <c r="AB589" s="559"/>
      <c r="AC589" s="559"/>
      <c r="AD589" s="559"/>
      <c r="AE589" s="559"/>
      <c r="AF589" s="559"/>
      <c r="AG589" s="559"/>
    </row>
    <row r="590" spans="1:33" ht="18" customHeight="1" x14ac:dyDescent="0.35">
      <c r="A590" s="559"/>
      <c r="B590" s="559"/>
      <c r="C590" s="559"/>
      <c r="D590" s="559"/>
      <c r="E590" s="559"/>
      <c r="F590" s="559"/>
      <c r="G590" s="559"/>
      <c r="H590" s="559"/>
      <c r="I590" s="559"/>
      <c r="J590" s="559"/>
      <c r="K590" s="559"/>
      <c r="L590" s="559"/>
      <c r="M590" s="559"/>
      <c r="N590" s="559"/>
      <c r="O590" s="559"/>
      <c r="P590" s="559"/>
      <c r="Q590" s="559"/>
      <c r="R590" s="559"/>
      <c r="S590" s="559"/>
      <c r="T590" s="559"/>
      <c r="U590" s="559"/>
      <c r="V590" s="559"/>
      <c r="W590" s="559"/>
      <c r="X590" s="559"/>
      <c r="Y590" s="559"/>
      <c r="Z590" s="559"/>
      <c r="AA590" s="559"/>
      <c r="AB590" s="559"/>
      <c r="AC590" s="559"/>
      <c r="AD590" s="559"/>
      <c r="AE590" s="559"/>
      <c r="AF590" s="559"/>
      <c r="AG590" s="559"/>
    </row>
    <row r="591" spans="1:33" ht="18" customHeight="1" x14ac:dyDescent="0.35">
      <c r="A591" s="559"/>
      <c r="B591" s="559"/>
      <c r="C591" s="559"/>
      <c r="D591" s="559"/>
      <c r="E591" s="559"/>
      <c r="F591" s="559"/>
      <c r="G591" s="559"/>
      <c r="H591" s="559"/>
      <c r="I591" s="559"/>
      <c r="J591" s="559"/>
      <c r="K591" s="559"/>
      <c r="L591" s="559"/>
      <c r="M591" s="559"/>
      <c r="N591" s="559"/>
      <c r="O591" s="559"/>
      <c r="P591" s="559"/>
      <c r="Q591" s="559"/>
      <c r="R591" s="559"/>
      <c r="S591" s="559"/>
      <c r="T591" s="559"/>
      <c r="U591" s="559"/>
      <c r="V591" s="559"/>
      <c r="W591" s="559"/>
      <c r="X591" s="559"/>
      <c r="Y591" s="559"/>
      <c r="Z591" s="559"/>
      <c r="AA591" s="559"/>
      <c r="AB591" s="559"/>
      <c r="AC591" s="559"/>
      <c r="AD591" s="559"/>
      <c r="AE591" s="559"/>
      <c r="AF591" s="559"/>
      <c r="AG591" s="559"/>
    </row>
    <row r="592" spans="1:33" ht="18" customHeight="1" x14ac:dyDescent="0.35">
      <c r="A592" s="559"/>
      <c r="B592" s="559"/>
      <c r="C592" s="559"/>
      <c r="D592" s="559"/>
      <c r="E592" s="559"/>
      <c r="F592" s="559"/>
      <c r="G592" s="559"/>
      <c r="H592" s="559"/>
      <c r="I592" s="559"/>
      <c r="J592" s="559"/>
      <c r="K592" s="559"/>
      <c r="L592" s="559"/>
      <c r="M592" s="559"/>
      <c r="N592" s="559"/>
      <c r="O592" s="559"/>
      <c r="P592" s="559"/>
      <c r="Q592" s="559"/>
      <c r="R592" s="559"/>
      <c r="S592" s="559"/>
      <c r="T592" s="559"/>
      <c r="U592" s="559"/>
      <c r="V592" s="559"/>
      <c r="W592" s="559"/>
      <c r="X592" s="559"/>
      <c r="Y592" s="559"/>
      <c r="Z592" s="559"/>
      <c r="AA592" s="559"/>
      <c r="AB592" s="559"/>
      <c r="AC592" s="559"/>
      <c r="AD592" s="559"/>
      <c r="AE592" s="559"/>
      <c r="AF592" s="559"/>
      <c r="AG592" s="559"/>
    </row>
    <row r="593" spans="1:33" ht="18" customHeight="1" x14ac:dyDescent="0.35">
      <c r="A593" s="559"/>
      <c r="B593" s="559"/>
      <c r="C593" s="559"/>
      <c r="D593" s="559"/>
      <c r="E593" s="559"/>
      <c r="F593" s="559"/>
      <c r="G593" s="559"/>
      <c r="H593" s="559"/>
      <c r="I593" s="559"/>
      <c r="J593" s="559"/>
      <c r="K593" s="559"/>
      <c r="L593" s="559"/>
      <c r="M593" s="559"/>
      <c r="N593" s="559"/>
      <c r="O593" s="559"/>
      <c r="P593" s="559"/>
      <c r="Q593" s="559"/>
      <c r="R593" s="559"/>
      <c r="S593" s="559"/>
      <c r="T593" s="559"/>
      <c r="U593" s="559"/>
      <c r="V593" s="559"/>
      <c r="W593" s="559"/>
      <c r="X593" s="559"/>
      <c r="Y593" s="559"/>
      <c r="Z593" s="559"/>
      <c r="AA593" s="559"/>
      <c r="AB593" s="559"/>
      <c r="AC593" s="559"/>
      <c r="AD593" s="559"/>
      <c r="AE593" s="559"/>
      <c r="AF593" s="559"/>
      <c r="AG593" s="559"/>
    </row>
    <row r="594" spans="1:33" ht="18" customHeight="1" x14ac:dyDescent="0.35">
      <c r="A594" s="559"/>
      <c r="B594" s="559"/>
      <c r="C594" s="559"/>
      <c r="D594" s="559"/>
      <c r="E594" s="559"/>
      <c r="F594" s="559"/>
      <c r="G594" s="559"/>
      <c r="H594" s="559"/>
      <c r="I594" s="559"/>
      <c r="J594" s="559"/>
      <c r="K594" s="559"/>
      <c r="L594" s="559"/>
      <c r="M594" s="559"/>
      <c r="N594" s="559"/>
      <c r="O594" s="559"/>
      <c r="P594" s="559"/>
      <c r="Q594" s="559"/>
      <c r="R594" s="559"/>
      <c r="S594" s="559"/>
      <c r="T594" s="559"/>
      <c r="U594" s="559"/>
      <c r="V594" s="559"/>
      <c r="W594" s="559"/>
      <c r="X594" s="559"/>
      <c r="Y594" s="559"/>
      <c r="Z594" s="559"/>
      <c r="AA594" s="559"/>
      <c r="AB594" s="559"/>
      <c r="AC594" s="559"/>
      <c r="AD594" s="559"/>
      <c r="AE594" s="559"/>
      <c r="AF594" s="559"/>
      <c r="AG594" s="559"/>
    </row>
    <row r="595" spans="1:33" ht="18" customHeight="1" x14ac:dyDescent="0.35">
      <c r="A595" s="559"/>
      <c r="B595" s="559"/>
      <c r="C595" s="559"/>
      <c r="D595" s="559"/>
      <c r="E595" s="559"/>
      <c r="F595" s="559"/>
      <c r="G595" s="559"/>
      <c r="H595" s="559"/>
      <c r="I595" s="559"/>
      <c r="J595" s="559"/>
      <c r="K595" s="559"/>
      <c r="L595" s="559"/>
      <c r="M595" s="559"/>
      <c r="N595" s="559"/>
      <c r="O595" s="559"/>
      <c r="P595" s="559"/>
      <c r="Q595" s="559"/>
      <c r="R595" s="559"/>
      <c r="S595" s="559"/>
      <c r="T595" s="559"/>
      <c r="U595" s="559"/>
      <c r="V595" s="559"/>
      <c r="W595" s="559"/>
      <c r="X595" s="559"/>
      <c r="Y595" s="559"/>
      <c r="Z595" s="559"/>
      <c r="AA595" s="559"/>
      <c r="AB595" s="559"/>
      <c r="AC595" s="559"/>
      <c r="AD595" s="559"/>
      <c r="AE595" s="559"/>
      <c r="AF595" s="559"/>
      <c r="AG595" s="559"/>
    </row>
    <row r="596" spans="1:33" ht="18" customHeight="1" x14ac:dyDescent="0.35">
      <c r="A596" s="559"/>
      <c r="B596" s="559"/>
      <c r="C596" s="559"/>
      <c r="D596" s="559"/>
      <c r="E596" s="559"/>
      <c r="F596" s="559"/>
      <c r="G596" s="559"/>
      <c r="H596" s="559"/>
      <c r="I596" s="559"/>
      <c r="J596" s="559"/>
      <c r="K596" s="559"/>
      <c r="L596" s="559"/>
      <c r="M596" s="559"/>
      <c r="N596" s="559"/>
      <c r="O596" s="559"/>
      <c r="P596" s="559"/>
      <c r="Q596" s="559"/>
      <c r="R596" s="559"/>
      <c r="S596" s="559"/>
      <c r="T596" s="559"/>
      <c r="U596" s="559"/>
      <c r="V596" s="559"/>
      <c r="W596" s="559"/>
      <c r="X596" s="559"/>
      <c r="Y596" s="559"/>
      <c r="Z596" s="559"/>
      <c r="AA596" s="559"/>
      <c r="AB596" s="559"/>
      <c r="AC596" s="559"/>
      <c r="AD596" s="559"/>
      <c r="AE596" s="559"/>
      <c r="AF596" s="559"/>
      <c r="AG596" s="559"/>
    </row>
    <row r="597" spans="1:33" ht="18" customHeight="1" x14ac:dyDescent="0.35">
      <c r="A597" s="559"/>
      <c r="B597" s="559"/>
      <c r="C597" s="559"/>
      <c r="D597" s="559"/>
      <c r="E597" s="559"/>
      <c r="F597" s="559"/>
      <c r="G597" s="559"/>
      <c r="H597" s="559"/>
      <c r="I597" s="559"/>
      <c r="J597" s="559"/>
      <c r="K597" s="559"/>
      <c r="L597" s="559"/>
      <c r="M597" s="559"/>
      <c r="N597" s="559"/>
      <c r="O597" s="559"/>
      <c r="P597" s="559"/>
      <c r="Q597" s="559"/>
      <c r="R597" s="559"/>
      <c r="S597" s="559"/>
      <c r="T597" s="559"/>
      <c r="U597" s="559"/>
      <c r="V597" s="559"/>
      <c r="W597" s="559"/>
      <c r="X597" s="559"/>
      <c r="Y597" s="559"/>
      <c r="Z597" s="559"/>
      <c r="AA597" s="559"/>
      <c r="AB597" s="559"/>
      <c r="AC597" s="559"/>
      <c r="AD597" s="559"/>
      <c r="AE597" s="559"/>
      <c r="AF597" s="559"/>
      <c r="AG597" s="559"/>
    </row>
    <row r="598" spans="1:33" ht="18" customHeight="1" x14ac:dyDescent="0.35">
      <c r="A598" s="559"/>
      <c r="B598" s="559"/>
      <c r="C598" s="559"/>
      <c r="D598" s="559"/>
      <c r="E598" s="559"/>
      <c r="F598" s="559"/>
      <c r="G598" s="559"/>
      <c r="H598" s="559"/>
      <c r="I598" s="559"/>
      <c r="J598" s="559"/>
      <c r="K598" s="559"/>
      <c r="L598" s="559"/>
      <c r="M598" s="559"/>
      <c r="N598" s="559"/>
      <c r="O598" s="559"/>
      <c r="P598" s="559"/>
      <c r="Q598" s="559"/>
      <c r="R598" s="559"/>
      <c r="S598" s="559"/>
      <c r="T598" s="559"/>
      <c r="U598" s="559"/>
      <c r="V598" s="559"/>
      <c r="W598" s="559"/>
      <c r="X598" s="559"/>
      <c r="Y598" s="559"/>
      <c r="Z598" s="559"/>
      <c r="AA598" s="559"/>
      <c r="AB598" s="559"/>
      <c r="AC598" s="559"/>
      <c r="AD598" s="559"/>
      <c r="AE598" s="559"/>
      <c r="AF598" s="559"/>
      <c r="AG598" s="559"/>
    </row>
    <row r="599" spans="1:33" ht="18" customHeight="1" x14ac:dyDescent="0.35">
      <c r="A599" s="559"/>
      <c r="B599" s="559"/>
      <c r="C599" s="559"/>
      <c r="D599" s="559"/>
      <c r="E599" s="559"/>
      <c r="F599" s="559"/>
      <c r="G599" s="559"/>
      <c r="H599" s="559"/>
      <c r="I599" s="559"/>
      <c r="J599" s="559"/>
      <c r="K599" s="559"/>
      <c r="L599" s="559"/>
      <c r="M599" s="559"/>
      <c r="N599" s="559"/>
      <c r="O599" s="559"/>
      <c r="P599" s="559"/>
      <c r="Q599" s="559"/>
      <c r="R599" s="559"/>
      <c r="S599" s="559"/>
      <c r="T599" s="559"/>
      <c r="U599" s="559"/>
      <c r="V599" s="559"/>
      <c r="W599" s="559"/>
      <c r="X599" s="559"/>
      <c r="Y599" s="559"/>
      <c r="Z599" s="559"/>
      <c r="AA599" s="559"/>
      <c r="AB599" s="559"/>
      <c r="AC599" s="559"/>
      <c r="AD599" s="559"/>
      <c r="AE599" s="559"/>
      <c r="AF599" s="559"/>
      <c r="AG599" s="559"/>
    </row>
    <row r="600" spans="1:33" ht="18" customHeight="1" x14ac:dyDescent="0.35">
      <c r="A600" s="559"/>
      <c r="B600" s="559"/>
      <c r="C600" s="559"/>
      <c r="D600" s="559"/>
      <c r="E600" s="559"/>
      <c r="F600" s="559"/>
      <c r="G600" s="559"/>
      <c r="H600" s="559"/>
      <c r="I600" s="559"/>
      <c r="J600" s="559"/>
      <c r="K600" s="559"/>
      <c r="L600" s="559"/>
      <c r="M600" s="559"/>
      <c r="N600" s="559"/>
      <c r="O600" s="559"/>
      <c r="P600" s="559"/>
      <c r="Q600" s="559"/>
      <c r="R600" s="559"/>
      <c r="S600" s="559"/>
      <c r="T600" s="559"/>
      <c r="U600" s="559"/>
      <c r="V600" s="559"/>
      <c r="W600" s="559"/>
      <c r="X600" s="559"/>
      <c r="Y600" s="559"/>
      <c r="Z600" s="559"/>
      <c r="AA600" s="559"/>
      <c r="AB600" s="559"/>
      <c r="AC600" s="559"/>
      <c r="AD600" s="559"/>
      <c r="AE600" s="559"/>
      <c r="AF600" s="559"/>
      <c r="AG600" s="559"/>
    </row>
    <row r="601" spans="1:33" ht="18" customHeight="1" x14ac:dyDescent="0.35">
      <c r="A601" s="559"/>
      <c r="B601" s="559"/>
      <c r="C601" s="559"/>
      <c r="D601" s="559"/>
      <c r="E601" s="559"/>
      <c r="F601" s="559"/>
      <c r="G601" s="559"/>
      <c r="H601" s="559"/>
      <c r="I601" s="559"/>
      <c r="J601" s="559"/>
      <c r="K601" s="559"/>
      <c r="L601" s="559"/>
      <c r="M601" s="559"/>
      <c r="N601" s="559"/>
      <c r="O601" s="559"/>
      <c r="P601" s="559"/>
      <c r="Q601" s="559"/>
      <c r="R601" s="559"/>
      <c r="S601" s="559"/>
      <c r="T601" s="559"/>
      <c r="U601" s="559"/>
      <c r="V601" s="559"/>
      <c r="W601" s="559"/>
      <c r="X601" s="559"/>
      <c r="Y601" s="559"/>
      <c r="Z601" s="559"/>
      <c r="AA601" s="559"/>
      <c r="AB601" s="559"/>
      <c r="AC601" s="559"/>
      <c r="AD601" s="559"/>
      <c r="AE601" s="559"/>
      <c r="AF601" s="559"/>
      <c r="AG601" s="559"/>
    </row>
    <row r="602" spans="1:33" ht="18" customHeight="1" x14ac:dyDescent="0.35">
      <c r="A602" s="559"/>
      <c r="B602" s="559"/>
      <c r="C602" s="559"/>
      <c r="D602" s="559"/>
      <c r="E602" s="559"/>
      <c r="F602" s="559"/>
      <c r="G602" s="559"/>
      <c r="H602" s="559"/>
      <c r="I602" s="559"/>
      <c r="J602" s="559"/>
      <c r="K602" s="559"/>
      <c r="L602" s="559"/>
      <c r="M602" s="559"/>
      <c r="N602" s="559"/>
      <c r="O602" s="559"/>
      <c r="P602" s="559"/>
      <c r="Q602" s="559"/>
      <c r="R602" s="559"/>
      <c r="S602" s="559"/>
      <c r="T602" s="559"/>
      <c r="U602" s="559"/>
      <c r="V602" s="559"/>
      <c r="W602" s="559"/>
      <c r="X602" s="559"/>
      <c r="Y602" s="559"/>
      <c r="Z602" s="559"/>
      <c r="AA602" s="559"/>
      <c r="AB602" s="559"/>
      <c r="AC602" s="559"/>
      <c r="AD602" s="559"/>
      <c r="AE602" s="559"/>
      <c r="AF602" s="559"/>
      <c r="AG602" s="559"/>
    </row>
    <row r="603" spans="1:33" ht="18" customHeight="1" x14ac:dyDescent="0.35">
      <c r="A603" s="559"/>
      <c r="B603" s="559"/>
      <c r="C603" s="559"/>
      <c r="D603" s="559"/>
      <c r="E603" s="559"/>
      <c r="F603" s="559"/>
      <c r="G603" s="559"/>
      <c r="H603" s="559"/>
      <c r="I603" s="559"/>
      <c r="J603" s="559"/>
      <c r="K603" s="559"/>
      <c r="L603" s="559"/>
      <c r="M603" s="559"/>
      <c r="N603" s="559"/>
      <c r="O603" s="559"/>
      <c r="P603" s="559"/>
      <c r="Q603" s="559"/>
      <c r="R603" s="559"/>
      <c r="S603" s="559"/>
      <c r="T603" s="559"/>
      <c r="U603" s="559"/>
      <c r="V603" s="559"/>
      <c r="W603" s="559"/>
      <c r="X603" s="559"/>
      <c r="Y603" s="559"/>
      <c r="Z603" s="559"/>
      <c r="AA603" s="559"/>
      <c r="AB603" s="559"/>
      <c r="AC603" s="559"/>
      <c r="AD603" s="559"/>
      <c r="AE603" s="559"/>
      <c r="AF603" s="559"/>
      <c r="AG603" s="559"/>
    </row>
    <row r="604" spans="1:33" ht="18" customHeight="1" x14ac:dyDescent="0.35">
      <c r="A604" s="559"/>
      <c r="B604" s="559"/>
      <c r="C604" s="559"/>
      <c r="D604" s="559"/>
      <c r="E604" s="559"/>
      <c r="F604" s="559"/>
      <c r="G604" s="559"/>
      <c r="H604" s="559"/>
      <c r="I604" s="559"/>
      <c r="J604" s="559"/>
      <c r="K604" s="559"/>
      <c r="L604" s="559"/>
      <c r="M604" s="559"/>
      <c r="N604" s="559"/>
      <c r="O604" s="559"/>
      <c r="P604" s="559"/>
      <c r="Q604" s="559"/>
      <c r="R604" s="559"/>
      <c r="S604" s="559"/>
      <c r="T604" s="559"/>
      <c r="U604" s="559"/>
      <c r="V604" s="559"/>
      <c r="W604" s="559"/>
      <c r="X604" s="559"/>
      <c r="Y604" s="559"/>
      <c r="Z604" s="559"/>
      <c r="AA604" s="559"/>
      <c r="AB604" s="559"/>
      <c r="AC604" s="559"/>
      <c r="AD604" s="559"/>
      <c r="AE604" s="559"/>
      <c r="AF604" s="559"/>
      <c r="AG604" s="559"/>
    </row>
    <row r="605" spans="1:33" ht="18" customHeight="1" x14ac:dyDescent="0.35">
      <c r="A605" s="559"/>
      <c r="B605" s="559"/>
      <c r="C605" s="559"/>
      <c r="D605" s="559"/>
      <c r="E605" s="559"/>
      <c r="F605" s="559"/>
      <c r="G605" s="559"/>
      <c r="H605" s="559"/>
      <c r="I605" s="559"/>
      <c r="J605" s="559"/>
      <c r="K605" s="559"/>
      <c r="L605" s="559"/>
      <c r="M605" s="559"/>
      <c r="N605" s="559"/>
      <c r="O605" s="559"/>
      <c r="P605" s="559"/>
      <c r="Q605" s="559"/>
      <c r="R605" s="559"/>
      <c r="S605" s="559"/>
      <c r="T605" s="559"/>
      <c r="U605" s="559"/>
      <c r="V605" s="559"/>
      <c r="W605" s="559"/>
      <c r="X605" s="559"/>
      <c r="Y605" s="559"/>
      <c r="Z605" s="559"/>
      <c r="AA605" s="559"/>
      <c r="AB605" s="559"/>
      <c r="AC605" s="559"/>
      <c r="AD605" s="559"/>
      <c r="AE605" s="559"/>
      <c r="AF605" s="559"/>
      <c r="AG605" s="559"/>
    </row>
    <row r="606" spans="1:33" ht="18" customHeight="1" x14ac:dyDescent="0.35">
      <c r="A606" s="559"/>
      <c r="B606" s="559"/>
      <c r="C606" s="559"/>
      <c r="D606" s="559"/>
      <c r="E606" s="559"/>
      <c r="F606" s="559"/>
      <c r="G606" s="559"/>
      <c r="H606" s="559"/>
      <c r="I606" s="559"/>
      <c r="J606" s="559"/>
      <c r="K606" s="559"/>
      <c r="L606" s="559"/>
      <c r="M606" s="559"/>
      <c r="N606" s="559"/>
      <c r="O606" s="559"/>
      <c r="P606" s="559"/>
      <c r="Q606" s="559"/>
      <c r="R606" s="559"/>
      <c r="S606" s="559"/>
      <c r="T606" s="559"/>
      <c r="U606" s="559"/>
      <c r="V606" s="559"/>
      <c r="W606" s="559"/>
      <c r="X606" s="559"/>
      <c r="Y606" s="559"/>
      <c r="Z606" s="559"/>
      <c r="AA606" s="559"/>
      <c r="AB606" s="559"/>
      <c r="AC606" s="559"/>
      <c r="AD606" s="559"/>
      <c r="AE606" s="559"/>
      <c r="AF606" s="559"/>
      <c r="AG606" s="559"/>
    </row>
    <row r="607" spans="1:33" ht="18" customHeight="1" x14ac:dyDescent="0.35">
      <c r="A607" s="559"/>
      <c r="B607" s="559"/>
      <c r="C607" s="559"/>
      <c r="D607" s="559"/>
      <c r="E607" s="559"/>
      <c r="F607" s="559"/>
      <c r="G607" s="559"/>
      <c r="H607" s="559"/>
      <c r="I607" s="559"/>
      <c r="J607" s="559"/>
      <c r="K607" s="559"/>
      <c r="L607" s="559"/>
      <c r="M607" s="559"/>
      <c r="N607" s="559"/>
      <c r="O607" s="559"/>
      <c r="P607" s="559"/>
      <c r="Q607" s="559"/>
      <c r="R607" s="559"/>
      <c r="S607" s="559"/>
      <c r="T607" s="559"/>
      <c r="U607" s="559"/>
      <c r="V607" s="559"/>
      <c r="W607" s="559"/>
      <c r="X607" s="559"/>
      <c r="Y607" s="559"/>
      <c r="Z607" s="559"/>
      <c r="AA607" s="559"/>
      <c r="AB607" s="559"/>
      <c r="AC607" s="559"/>
      <c r="AD607" s="559"/>
      <c r="AE607" s="559"/>
      <c r="AF607" s="559"/>
      <c r="AG607" s="559"/>
    </row>
    <row r="608" spans="1:33" ht="18" customHeight="1" x14ac:dyDescent="0.35">
      <c r="A608" s="559"/>
      <c r="B608" s="559"/>
      <c r="C608" s="559"/>
      <c r="D608" s="559"/>
      <c r="E608" s="559"/>
      <c r="F608" s="559"/>
      <c r="G608" s="559"/>
      <c r="H608" s="559"/>
      <c r="I608" s="559"/>
      <c r="J608" s="559"/>
      <c r="K608" s="559"/>
      <c r="L608" s="559"/>
      <c r="M608" s="559"/>
      <c r="N608" s="559"/>
      <c r="O608" s="559"/>
      <c r="P608" s="559"/>
      <c r="Q608" s="559"/>
      <c r="R608" s="559"/>
      <c r="S608" s="559"/>
      <c r="T608" s="559"/>
      <c r="U608" s="559"/>
      <c r="V608" s="559"/>
      <c r="W608" s="559"/>
      <c r="X608" s="559"/>
      <c r="Y608" s="559"/>
      <c r="Z608" s="559"/>
      <c r="AA608" s="559"/>
      <c r="AB608" s="559"/>
      <c r="AC608" s="559"/>
      <c r="AD608" s="559"/>
      <c r="AE608" s="559"/>
      <c r="AF608" s="559"/>
      <c r="AG608" s="559"/>
    </row>
    <row r="609" spans="1:33" ht="18" customHeight="1" x14ac:dyDescent="0.35">
      <c r="A609" s="559"/>
      <c r="B609" s="559"/>
      <c r="C609" s="559"/>
      <c r="D609" s="559"/>
      <c r="E609" s="559"/>
      <c r="F609" s="559"/>
      <c r="G609" s="559"/>
      <c r="H609" s="559"/>
      <c r="I609" s="559"/>
      <c r="J609" s="559"/>
      <c r="K609" s="559"/>
      <c r="L609" s="559"/>
      <c r="M609" s="559"/>
      <c r="N609" s="559"/>
      <c r="O609" s="559"/>
      <c r="P609" s="559"/>
      <c r="Q609" s="559"/>
      <c r="R609" s="559"/>
      <c r="S609" s="559"/>
      <c r="T609" s="559"/>
      <c r="U609" s="559"/>
      <c r="V609" s="559"/>
      <c r="W609" s="559"/>
      <c r="X609" s="559"/>
      <c r="Y609" s="559"/>
      <c r="Z609" s="559"/>
      <c r="AA609" s="559"/>
      <c r="AB609" s="559"/>
      <c r="AC609" s="559"/>
      <c r="AD609" s="559"/>
      <c r="AE609" s="559"/>
      <c r="AF609" s="559"/>
      <c r="AG609" s="559"/>
    </row>
    <row r="610" spans="1:33" ht="18" customHeight="1" x14ac:dyDescent="0.35">
      <c r="A610" s="559"/>
      <c r="B610" s="559"/>
      <c r="C610" s="559"/>
      <c r="D610" s="559"/>
      <c r="E610" s="559"/>
      <c r="F610" s="559"/>
      <c r="G610" s="559"/>
      <c r="H610" s="559"/>
      <c r="I610" s="559"/>
      <c r="J610" s="559"/>
      <c r="K610" s="559"/>
      <c r="L610" s="559"/>
      <c r="M610" s="559"/>
      <c r="N610" s="559"/>
      <c r="O610" s="559"/>
      <c r="P610" s="559"/>
      <c r="Q610" s="559"/>
      <c r="R610" s="559"/>
      <c r="S610" s="559"/>
      <c r="T610" s="559"/>
      <c r="U610" s="559"/>
      <c r="V610" s="559"/>
      <c r="W610" s="559"/>
      <c r="X610" s="559"/>
      <c r="Y610" s="559"/>
      <c r="Z610" s="559"/>
      <c r="AA610" s="559"/>
      <c r="AB610" s="559"/>
      <c r="AC610" s="559"/>
      <c r="AD610" s="559"/>
      <c r="AE610" s="559"/>
      <c r="AF610" s="559"/>
      <c r="AG610" s="559"/>
    </row>
    <row r="611" spans="1:33" ht="18" customHeight="1" x14ac:dyDescent="0.35">
      <c r="A611" s="559"/>
      <c r="B611" s="559"/>
      <c r="C611" s="559"/>
      <c r="D611" s="559"/>
      <c r="E611" s="559"/>
      <c r="F611" s="559"/>
      <c r="G611" s="559"/>
      <c r="H611" s="559"/>
      <c r="I611" s="559"/>
      <c r="J611" s="559"/>
      <c r="K611" s="559"/>
      <c r="L611" s="559"/>
      <c r="M611" s="559"/>
      <c r="N611" s="559"/>
      <c r="O611" s="559"/>
      <c r="P611" s="559"/>
      <c r="Q611" s="559"/>
      <c r="R611" s="559"/>
      <c r="S611" s="559"/>
      <c r="T611" s="559"/>
      <c r="U611" s="559"/>
      <c r="V611" s="559"/>
      <c r="W611" s="559"/>
      <c r="X611" s="559"/>
      <c r="Y611" s="559"/>
      <c r="Z611" s="559"/>
      <c r="AA611" s="559"/>
      <c r="AB611" s="559"/>
      <c r="AC611" s="559"/>
      <c r="AD611" s="559"/>
      <c r="AE611" s="559"/>
      <c r="AF611" s="559"/>
      <c r="AG611" s="559"/>
    </row>
    <row r="612" spans="1:33" ht="18" customHeight="1" x14ac:dyDescent="0.35">
      <c r="A612" s="559"/>
      <c r="B612" s="559"/>
      <c r="C612" s="559"/>
      <c r="D612" s="559"/>
      <c r="E612" s="559"/>
      <c r="F612" s="559"/>
      <c r="G612" s="559"/>
      <c r="H612" s="559"/>
      <c r="I612" s="559"/>
      <c r="J612" s="559"/>
      <c r="K612" s="559"/>
      <c r="L612" s="559"/>
      <c r="M612" s="559"/>
      <c r="N612" s="559"/>
      <c r="O612" s="559"/>
      <c r="P612" s="559"/>
      <c r="Q612" s="559"/>
      <c r="R612" s="559"/>
      <c r="S612" s="559"/>
      <c r="T612" s="559"/>
      <c r="U612" s="559"/>
      <c r="V612" s="559"/>
      <c r="W612" s="559"/>
      <c r="X612" s="559"/>
      <c r="Y612" s="559"/>
      <c r="Z612" s="559"/>
      <c r="AA612" s="559"/>
      <c r="AB612" s="559"/>
      <c r="AC612" s="559"/>
      <c r="AD612" s="559"/>
      <c r="AE612" s="559"/>
      <c r="AF612" s="559"/>
      <c r="AG612" s="559"/>
    </row>
    <row r="613" spans="1:33" ht="18" customHeight="1" x14ac:dyDescent="0.35">
      <c r="A613" s="559"/>
      <c r="B613" s="559"/>
      <c r="C613" s="559"/>
      <c r="D613" s="559"/>
      <c r="E613" s="559"/>
      <c r="F613" s="559"/>
      <c r="G613" s="559"/>
      <c r="H613" s="559"/>
      <c r="I613" s="559"/>
      <c r="J613" s="559"/>
      <c r="K613" s="559"/>
      <c r="L613" s="559"/>
      <c r="M613" s="559"/>
      <c r="N613" s="559"/>
      <c r="O613" s="559"/>
      <c r="P613" s="559"/>
      <c r="Q613" s="559"/>
      <c r="R613" s="559"/>
      <c r="S613" s="559"/>
      <c r="T613" s="559"/>
      <c r="U613" s="559"/>
      <c r="V613" s="559"/>
      <c r="W613" s="559"/>
      <c r="X613" s="559"/>
      <c r="Y613" s="559"/>
      <c r="Z613" s="559"/>
      <c r="AA613" s="559"/>
      <c r="AB613" s="559"/>
      <c r="AC613" s="559"/>
      <c r="AD613" s="559"/>
      <c r="AE613" s="559"/>
      <c r="AF613" s="559"/>
      <c r="AG613" s="559"/>
    </row>
    <row r="614" spans="1:33" ht="18" customHeight="1" x14ac:dyDescent="0.35">
      <c r="A614" s="559"/>
      <c r="B614" s="559"/>
      <c r="C614" s="559"/>
      <c r="D614" s="559"/>
      <c r="E614" s="559"/>
      <c r="F614" s="559"/>
      <c r="G614" s="559"/>
      <c r="H614" s="559"/>
      <c r="I614" s="559"/>
      <c r="J614" s="559"/>
      <c r="K614" s="559"/>
      <c r="L614" s="559"/>
      <c r="M614" s="559"/>
      <c r="N614" s="559"/>
      <c r="O614" s="559"/>
      <c r="P614" s="559"/>
      <c r="Q614" s="559"/>
      <c r="R614" s="559"/>
      <c r="S614" s="559"/>
      <c r="T614" s="559"/>
      <c r="U614" s="559"/>
      <c r="V614" s="559"/>
      <c r="W614" s="559"/>
      <c r="X614" s="559"/>
      <c r="Y614" s="559"/>
      <c r="Z614" s="559"/>
      <c r="AA614" s="559"/>
      <c r="AB614" s="559"/>
      <c r="AC614" s="559"/>
      <c r="AD614" s="559"/>
      <c r="AE614" s="559"/>
      <c r="AF614" s="559"/>
      <c r="AG614" s="559"/>
    </row>
    <row r="615" spans="1:33" ht="18" customHeight="1" x14ac:dyDescent="0.35">
      <c r="A615" s="559"/>
      <c r="B615" s="559"/>
      <c r="C615" s="559"/>
      <c r="D615" s="559"/>
      <c r="E615" s="559"/>
      <c r="F615" s="559"/>
      <c r="G615" s="559"/>
      <c r="H615" s="559"/>
      <c r="I615" s="559"/>
      <c r="J615" s="559"/>
      <c r="K615" s="559"/>
      <c r="L615" s="559"/>
      <c r="M615" s="559"/>
      <c r="N615" s="559"/>
      <c r="O615" s="559"/>
      <c r="P615" s="559"/>
      <c r="Q615" s="559"/>
      <c r="R615" s="559"/>
      <c r="S615" s="559"/>
      <c r="T615" s="559"/>
      <c r="U615" s="559"/>
      <c r="V615" s="559"/>
      <c r="W615" s="559"/>
      <c r="X615" s="559"/>
      <c r="Y615" s="559"/>
      <c r="Z615" s="559"/>
      <c r="AA615" s="559"/>
      <c r="AB615" s="559"/>
      <c r="AC615" s="559"/>
      <c r="AD615" s="559"/>
      <c r="AE615" s="559"/>
      <c r="AF615" s="559"/>
      <c r="AG615" s="559"/>
    </row>
    <row r="616" spans="1:33" ht="18" customHeight="1" x14ac:dyDescent="0.35">
      <c r="A616" s="559"/>
      <c r="B616" s="559"/>
      <c r="C616" s="559"/>
      <c r="D616" s="559"/>
      <c r="E616" s="559"/>
      <c r="F616" s="559"/>
      <c r="G616" s="559"/>
      <c r="H616" s="559"/>
      <c r="I616" s="559"/>
      <c r="J616" s="559"/>
      <c r="K616" s="559"/>
      <c r="L616" s="559"/>
      <c r="M616" s="559"/>
      <c r="N616" s="559"/>
      <c r="O616" s="559"/>
      <c r="P616" s="559"/>
      <c r="Q616" s="559"/>
      <c r="R616" s="559"/>
      <c r="S616" s="559"/>
      <c r="T616" s="559"/>
      <c r="U616" s="559"/>
      <c r="V616" s="559"/>
      <c r="W616" s="559"/>
      <c r="X616" s="559"/>
      <c r="Y616" s="559"/>
      <c r="Z616" s="559"/>
      <c r="AA616" s="559"/>
      <c r="AB616" s="559"/>
      <c r="AC616" s="559"/>
      <c r="AD616" s="559"/>
      <c r="AE616" s="559"/>
      <c r="AF616" s="559"/>
      <c r="AG616" s="559"/>
    </row>
    <row r="617" spans="1:33" ht="18" customHeight="1" x14ac:dyDescent="0.35">
      <c r="A617" s="559"/>
      <c r="B617" s="559"/>
      <c r="C617" s="559"/>
      <c r="D617" s="559"/>
      <c r="E617" s="559"/>
      <c r="F617" s="559"/>
      <c r="G617" s="559"/>
      <c r="H617" s="559"/>
      <c r="I617" s="559"/>
      <c r="J617" s="559"/>
      <c r="K617" s="559"/>
      <c r="L617" s="559"/>
      <c r="M617" s="559"/>
      <c r="N617" s="559"/>
      <c r="O617" s="559"/>
      <c r="P617" s="559"/>
      <c r="Q617" s="559"/>
      <c r="R617" s="559"/>
      <c r="S617" s="559"/>
      <c r="T617" s="559"/>
      <c r="U617" s="559"/>
      <c r="V617" s="559"/>
      <c r="W617" s="559"/>
      <c r="X617" s="559"/>
      <c r="Y617" s="559"/>
      <c r="Z617" s="559"/>
      <c r="AA617" s="559"/>
      <c r="AB617" s="559"/>
      <c r="AC617" s="559"/>
      <c r="AD617" s="559"/>
      <c r="AE617" s="559"/>
      <c r="AF617" s="559"/>
      <c r="AG617" s="559"/>
    </row>
    <row r="618" spans="1:33" ht="18" customHeight="1" x14ac:dyDescent="0.35">
      <c r="A618" s="559"/>
      <c r="B618" s="559"/>
      <c r="C618" s="559"/>
      <c r="D618" s="559"/>
      <c r="E618" s="559"/>
      <c r="F618" s="559"/>
      <c r="G618" s="559"/>
      <c r="H618" s="559"/>
      <c r="I618" s="559"/>
      <c r="J618" s="559"/>
      <c r="K618" s="559"/>
      <c r="L618" s="559"/>
      <c r="M618" s="559"/>
      <c r="N618" s="559"/>
      <c r="O618" s="559"/>
      <c r="P618" s="559"/>
      <c r="Q618" s="559"/>
      <c r="R618" s="559"/>
      <c r="S618" s="559"/>
      <c r="T618" s="559"/>
      <c r="U618" s="559"/>
      <c r="V618" s="559"/>
      <c r="W618" s="559"/>
      <c r="X618" s="559"/>
      <c r="Y618" s="559"/>
      <c r="Z618" s="559"/>
      <c r="AA618" s="559"/>
      <c r="AB618" s="559"/>
      <c r="AC618" s="559"/>
      <c r="AD618" s="559"/>
      <c r="AE618" s="559"/>
      <c r="AF618" s="559"/>
      <c r="AG618" s="559"/>
    </row>
    <row r="619" spans="1:33" ht="18" customHeight="1" x14ac:dyDescent="0.35">
      <c r="A619" s="559"/>
      <c r="B619" s="559"/>
      <c r="C619" s="559"/>
      <c r="D619" s="559"/>
      <c r="E619" s="559"/>
      <c r="F619" s="559"/>
      <c r="G619" s="559"/>
      <c r="H619" s="559"/>
      <c r="I619" s="559"/>
      <c r="J619" s="559"/>
      <c r="K619" s="559"/>
      <c r="L619" s="559"/>
      <c r="M619" s="559"/>
      <c r="N619" s="559"/>
      <c r="O619" s="559"/>
      <c r="P619" s="559"/>
      <c r="Q619" s="559"/>
      <c r="R619" s="559"/>
      <c r="S619" s="559"/>
      <c r="T619" s="559"/>
      <c r="U619" s="559"/>
      <c r="V619" s="559"/>
      <c r="W619" s="559"/>
      <c r="X619" s="559"/>
      <c r="Y619" s="559"/>
      <c r="Z619" s="559"/>
      <c r="AA619" s="559"/>
      <c r="AB619" s="559"/>
      <c r="AC619" s="559"/>
      <c r="AD619" s="559"/>
      <c r="AE619" s="559"/>
      <c r="AF619" s="559"/>
      <c r="AG619" s="559"/>
    </row>
    <row r="620" spans="1:33" ht="18" customHeight="1" x14ac:dyDescent="0.35">
      <c r="A620" s="559"/>
      <c r="B620" s="559"/>
      <c r="C620" s="559"/>
      <c r="D620" s="559"/>
      <c r="E620" s="559"/>
      <c r="F620" s="559"/>
      <c r="G620" s="559"/>
      <c r="H620" s="559"/>
      <c r="I620" s="559"/>
      <c r="J620" s="559"/>
      <c r="K620" s="559"/>
      <c r="L620" s="559"/>
      <c r="M620" s="559"/>
      <c r="N620" s="559"/>
      <c r="O620" s="559"/>
      <c r="P620" s="559"/>
      <c r="Q620" s="559"/>
      <c r="R620" s="559"/>
      <c r="S620" s="559"/>
      <c r="T620" s="559"/>
      <c r="U620" s="559"/>
      <c r="V620" s="559"/>
      <c r="W620" s="559"/>
      <c r="X620" s="559"/>
      <c r="Y620" s="559"/>
      <c r="Z620" s="559"/>
      <c r="AA620" s="559"/>
      <c r="AB620" s="559"/>
      <c r="AC620" s="559"/>
      <c r="AD620" s="559"/>
      <c r="AE620" s="559"/>
      <c r="AF620" s="559"/>
      <c r="AG620" s="559"/>
    </row>
    <row r="621" spans="1:33" ht="18" customHeight="1" x14ac:dyDescent="0.35">
      <c r="A621" s="559"/>
      <c r="B621" s="559"/>
      <c r="C621" s="559"/>
      <c r="D621" s="559"/>
      <c r="E621" s="559"/>
      <c r="F621" s="559"/>
      <c r="G621" s="559"/>
      <c r="H621" s="559"/>
      <c r="I621" s="559"/>
      <c r="J621" s="559"/>
      <c r="K621" s="559"/>
      <c r="L621" s="559"/>
      <c r="M621" s="559"/>
      <c r="N621" s="559"/>
      <c r="O621" s="559"/>
      <c r="P621" s="559"/>
      <c r="Q621" s="559"/>
      <c r="R621" s="559"/>
      <c r="S621" s="559"/>
      <c r="T621" s="559"/>
      <c r="U621" s="559"/>
      <c r="V621" s="559"/>
      <c r="W621" s="559"/>
      <c r="X621" s="559"/>
      <c r="Y621" s="559"/>
      <c r="Z621" s="559"/>
      <c r="AA621" s="559"/>
      <c r="AB621" s="559"/>
      <c r="AC621" s="559"/>
      <c r="AD621" s="559"/>
      <c r="AE621" s="559"/>
      <c r="AF621" s="559"/>
      <c r="AG621" s="559"/>
    </row>
    <row r="622" spans="1:33" ht="18" customHeight="1" x14ac:dyDescent="0.35">
      <c r="A622" s="559"/>
      <c r="B622" s="559"/>
      <c r="C622" s="559"/>
      <c r="D622" s="559"/>
      <c r="E622" s="559"/>
      <c r="F622" s="559"/>
      <c r="G622" s="559"/>
      <c r="H622" s="559"/>
      <c r="I622" s="559"/>
      <c r="J622" s="559"/>
      <c r="K622" s="559"/>
      <c r="L622" s="559"/>
      <c r="M622" s="559"/>
      <c r="N622" s="559"/>
      <c r="O622" s="559"/>
      <c r="P622" s="559"/>
      <c r="Q622" s="559"/>
      <c r="R622" s="559"/>
      <c r="S622" s="559"/>
      <c r="T622" s="559"/>
      <c r="U622" s="559"/>
      <c r="V622" s="559"/>
      <c r="W622" s="559"/>
      <c r="X622" s="559"/>
      <c r="Y622" s="559"/>
      <c r="Z622" s="559"/>
      <c r="AA622" s="559"/>
      <c r="AB622" s="559"/>
      <c r="AC622" s="559"/>
      <c r="AD622" s="559"/>
      <c r="AE622" s="559"/>
      <c r="AF622" s="559"/>
      <c r="AG622" s="559"/>
    </row>
    <row r="623" spans="1:33" ht="18" customHeight="1" x14ac:dyDescent="0.35">
      <c r="A623" s="559"/>
      <c r="B623" s="559"/>
      <c r="C623" s="559"/>
      <c r="D623" s="559"/>
      <c r="E623" s="559"/>
      <c r="F623" s="559"/>
      <c r="G623" s="559"/>
      <c r="H623" s="559"/>
      <c r="I623" s="559"/>
      <c r="J623" s="559"/>
      <c r="K623" s="559"/>
      <c r="L623" s="559"/>
      <c r="M623" s="559"/>
      <c r="N623" s="559"/>
      <c r="O623" s="559"/>
      <c r="P623" s="559"/>
      <c r="Q623" s="559"/>
      <c r="R623" s="559"/>
      <c r="S623" s="559"/>
      <c r="T623" s="559"/>
      <c r="U623" s="559"/>
      <c r="V623" s="559"/>
      <c r="W623" s="559"/>
      <c r="X623" s="559"/>
      <c r="Y623" s="559"/>
      <c r="Z623" s="559"/>
      <c r="AA623" s="559"/>
      <c r="AB623" s="559"/>
      <c r="AC623" s="559"/>
      <c r="AD623" s="559"/>
      <c r="AE623" s="559"/>
      <c r="AF623" s="559"/>
      <c r="AG623" s="559"/>
    </row>
    <row r="624" spans="1:33" ht="18" customHeight="1" x14ac:dyDescent="0.35">
      <c r="A624" s="559"/>
      <c r="B624" s="559"/>
      <c r="C624" s="559"/>
      <c r="D624" s="559"/>
      <c r="E624" s="559"/>
      <c r="F624" s="559"/>
      <c r="G624" s="559"/>
      <c r="H624" s="559"/>
      <c r="I624" s="559"/>
      <c r="J624" s="559"/>
      <c r="K624" s="559"/>
      <c r="L624" s="559"/>
      <c r="M624" s="559"/>
      <c r="N624" s="559"/>
      <c r="O624" s="559"/>
      <c r="P624" s="559"/>
      <c r="Q624" s="559"/>
      <c r="R624" s="559"/>
      <c r="S624" s="559"/>
      <c r="T624" s="559"/>
      <c r="U624" s="559"/>
      <c r="V624" s="559"/>
      <c r="W624" s="559"/>
      <c r="X624" s="559"/>
      <c r="Y624" s="559"/>
      <c r="Z624" s="559"/>
      <c r="AA624" s="559"/>
      <c r="AB624" s="559"/>
      <c r="AC624" s="559"/>
      <c r="AD624" s="559"/>
      <c r="AE624" s="559"/>
      <c r="AF624" s="559"/>
      <c r="AG624" s="559"/>
    </row>
    <row r="625" spans="1:33" ht="18" customHeight="1" x14ac:dyDescent="0.35">
      <c r="A625" s="559"/>
      <c r="B625" s="559"/>
      <c r="C625" s="559"/>
      <c r="D625" s="559"/>
      <c r="E625" s="559"/>
      <c r="F625" s="559"/>
      <c r="G625" s="559"/>
      <c r="H625" s="559"/>
      <c r="I625" s="559"/>
      <c r="J625" s="559"/>
      <c r="K625" s="559"/>
      <c r="L625" s="559"/>
      <c r="M625" s="559"/>
      <c r="N625" s="559"/>
      <c r="O625" s="559"/>
      <c r="P625" s="559"/>
      <c r="Q625" s="559"/>
      <c r="R625" s="559"/>
      <c r="S625" s="559"/>
      <c r="T625" s="559"/>
      <c r="U625" s="559"/>
      <c r="V625" s="559"/>
      <c r="W625" s="559"/>
      <c r="X625" s="559"/>
      <c r="Y625" s="559"/>
      <c r="Z625" s="559"/>
      <c r="AA625" s="559"/>
      <c r="AB625" s="559"/>
      <c r="AC625" s="559"/>
      <c r="AD625" s="559"/>
      <c r="AE625" s="559"/>
      <c r="AF625" s="559"/>
      <c r="AG625" s="559"/>
    </row>
    <row r="626" spans="1:33" ht="18" customHeight="1" x14ac:dyDescent="0.35">
      <c r="A626" s="559"/>
      <c r="B626" s="559"/>
      <c r="C626" s="559"/>
      <c r="D626" s="559"/>
      <c r="E626" s="559"/>
      <c r="F626" s="559"/>
      <c r="G626" s="559"/>
      <c r="H626" s="559"/>
      <c r="I626" s="559"/>
      <c r="J626" s="559"/>
      <c r="K626" s="559"/>
      <c r="L626" s="559"/>
      <c r="M626" s="559"/>
      <c r="N626" s="559"/>
      <c r="O626" s="559"/>
      <c r="P626" s="559"/>
      <c r="Q626" s="559"/>
      <c r="R626" s="559"/>
      <c r="S626" s="559"/>
      <c r="T626" s="559"/>
      <c r="U626" s="559"/>
      <c r="V626" s="559"/>
      <c r="W626" s="559"/>
      <c r="X626" s="559"/>
      <c r="Y626" s="559"/>
      <c r="Z626" s="559"/>
      <c r="AA626" s="559"/>
      <c r="AB626" s="559"/>
      <c r="AC626" s="559"/>
      <c r="AD626" s="559"/>
      <c r="AE626" s="559"/>
      <c r="AF626" s="559"/>
      <c r="AG626" s="559"/>
    </row>
    <row r="627" spans="1:33" ht="18" customHeight="1" x14ac:dyDescent="0.35">
      <c r="A627" s="559"/>
      <c r="B627" s="559"/>
      <c r="C627" s="559"/>
      <c r="D627" s="559"/>
      <c r="E627" s="559"/>
      <c r="F627" s="559"/>
      <c r="G627" s="559"/>
      <c r="H627" s="559"/>
      <c r="I627" s="559"/>
      <c r="J627" s="559"/>
      <c r="K627" s="559"/>
      <c r="L627" s="559"/>
      <c r="M627" s="559"/>
      <c r="N627" s="559"/>
      <c r="O627" s="559"/>
      <c r="P627" s="559"/>
      <c r="Q627" s="559"/>
      <c r="R627" s="559"/>
      <c r="S627" s="559"/>
      <c r="T627" s="559"/>
      <c r="U627" s="559"/>
      <c r="V627" s="559"/>
      <c r="W627" s="559"/>
      <c r="X627" s="559"/>
      <c r="Y627" s="559"/>
      <c r="Z627" s="559"/>
      <c r="AA627" s="559"/>
      <c r="AB627" s="559"/>
      <c r="AC627" s="559"/>
      <c r="AD627" s="559"/>
      <c r="AE627" s="559"/>
      <c r="AF627" s="559"/>
      <c r="AG627" s="559"/>
    </row>
    <row r="628" spans="1:33" ht="18" customHeight="1" x14ac:dyDescent="0.35">
      <c r="A628" s="559"/>
      <c r="B628" s="559"/>
      <c r="C628" s="559"/>
      <c r="D628" s="559"/>
      <c r="E628" s="559"/>
      <c r="F628" s="559"/>
      <c r="G628" s="559"/>
      <c r="H628" s="559"/>
      <c r="I628" s="559"/>
      <c r="J628" s="559"/>
      <c r="K628" s="559"/>
      <c r="L628" s="559"/>
      <c r="M628" s="559"/>
      <c r="N628" s="559"/>
      <c r="O628" s="559"/>
      <c r="P628" s="559"/>
      <c r="Q628" s="559"/>
      <c r="R628" s="559"/>
      <c r="S628" s="559"/>
      <c r="T628" s="559"/>
      <c r="U628" s="559"/>
      <c r="V628" s="559"/>
      <c r="W628" s="559"/>
      <c r="X628" s="559"/>
      <c r="Y628" s="559"/>
      <c r="Z628" s="559"/>
      <c r="AA628" s="559"/>
      <c r="AB628" s="559"/>
      <c r="AC628" s="559"/>
      <c r="AD628" s="559"/>
      <c r="AE628" s="559"/>
      <c r="AF628" s="559"/>
      <c r="AG628" s="559"/>
    </row>
    <row r="629" spans="1:33" ht="18" customHeight="1" x14ac:dyDescent="0.35">
      <c r="A629" s="559"/>
      <c r="B629" s="559"/>
      <c r="C629" s="559"/>
      <c r="D629" s="559"/>
      <c r="E629" s="559"/>
      <c r="F629" s="559"/>
      <c r="G629" s="559"/>
      <c r="H629" s="559"/>
      <c r="I629" s="559"/>
      <c r="J629" s="559"/>
      <c r="K629" s="559"/>
      <c r="L629" s="559"/>
      <c r="M629" s="559"/>
      <c r="N629" s="559"/>
      <c r="O629" s="559"/>
      <c r="P629" s="559"/>
      <c r="Q629" s="559"/>
      <c r="R629" s="559"/>
      <c r="S629" s="559"/>
      <c r="T629" s="559"/>
      <c r="U629" s="559"/>
      <c r="V629" s="559"/>
      <c r="W629" s="559"/>
      <c r="X629" s="559"/>
      <c r="Y629" s="559"/>
      <c r="Z629" s="559"/>
      <c r="AA629" s="559"/>
      <c r="AB629" s="559"/>
      <c r="AC629" s="559"/>
      <c r="AD629" s="559"/>
      <c r="AE629" s="559"/>
      <c r="AF629" s="559"/>
      <c r="AG629" s="559"/>
    </row>
    <row r="630" spans="1:33" ht="18" customHeight="1" x14ac:dyDescent="0.35">
      <c r="A630" s="559"/>
      <c r="B630" s="559"/>
      <c r="C630" s="559"/>
      <c r="D630" s="559"/>
      <c r="E630" s="559"/>
      <c r="F630" s="559"/>
      <c r="G630" s="559"/>
      <c r="H630" s="559"/>
      <c r="I630" s="559"/>
      <c r="J630" s="559"/>
      <c r="K630" s="559"/>
      <c r="L630" s="559"/>
      <c r="M630" s="559"/>
      <c r="N630" s="559"/>
      <c r="O630" s="559"/>
      <c r="P630" s="559"/>
      <c r="Q630" s="559"/>
      <c r="R630" s="559"/>
      <c r="S630" s="559"/>
      <c r="T630" s="559"/>
      <c r="U630" s="559"/>
      <c r="V630" s="559"/>
      <c r="W630" s="559"/>
      <c r="X630" s="559"/>
      <c r="Y630" s="559"/>
      <c r="Z630" s="559"/>
      <c r="AA630" s="559"/>
      <c r="AB630" s="559"/>
      <c r="AC630" s="559"/>
      <c r="AD630" s="559"/>
      <c r="AE630" s="559"/>
      <c r="AF630" s="559"/>
      <c r="AG630" s="559"/>
    </row>
    <row r="631" spans="1:33" ht="18" customHeight="1" x14ac:dyDescent="0.35">
      <c r="A631" s="559"/>
      <c r="B631" s="559"/>
      <c r="C631" s="559"/>
      <c r="D631" s="559"/>
      <c r="E631" s="559"/>
      <c r="F631" s="559"/>
      <c r="G631" s="559"/>
      <c r="H631" s="559"/>
      <c r="I631" s="559"/>
      <c r="J631" s="559"/>
      <c r="K631" s="559"/>
      <c r="L631" s="559"/>
      <c r="M631" s="559"/>
      <c r="N631" s="559"/>
      <c r="O631" s="559"/>
      <c r="P631" s="559"/>
      <c r="Q631" s="559"/>
      <c r="R631" s="559"/>
      <c r="S631" s="559"/>
      <c r="T631" s="559"/>
      <c r="U631" s="559"/>
      <c r="V631" s="559"/>
      <c r="W631" s="559"/>
      <c r="X631" s="559"/>
      <c r="Y631" s="559"/>
      <c r="Z631" s="559"/>
      <c r="AA631" s="559"/>
      <c r="AB631" s="559"/>
      <c r="AC631" s="559"/>
      <c r="AD631" s="559"/>
      <c r="AE631" s="559"/>
      <c r="AF631" s="559"/>
      <c r="AG631" s="559"/>
    </row>
    <row r="632" spans="1:33" ht="18" customHeight="1" x14ac:dyDescent="0.35">
      <c r="A632" s="559"/>
      <c r="B632" s="559"/>
      <c r="C632" s="559"/>
      <c r="D632" s="559"/>
      <c r="E632" s="559"/>
      <c r="F632" s="559"/>
      <c r="G632" s="559"/>
      <c r="H632" s="559"/>
      <c r="I632" s="559"/>
      <c r="J632" s="559"/>
      <c r="K632" s="559"/>
      <c r="L632" s="559"/>
      <c r="M632" s="559"/>
      <c r="N632" s="559"/>
      <c r="O632" s="559"/>
      <c r="P632" s="559"/>
      <c r="Q632" s="559"/>
      <c r="R632" s="559"/>
      <c r="S632" s="559"/>
      <c r="T632" s="559"/>
      <c r="U632" s="559"/>
      <c r="V632" s="559"/>
      <c r="W632" s="559"/>
      <c r="X632" s="559"/>
      <c r="Y632" s="559"/>
      <c r="Z632" s="559"/>
      <c r="AA632" s="559"/>
      <c r="AB632" s="559"/>
      <c r="AC632" s="559"/>
      <c r="AD632" s="559"/>
      <c r="AE632" s="559"/>
      <c r="AF632" s="559"/>
      <c r="AG632" s="559"/>
    </row>
    <row r="633" spans="1:33" ht="18" customHeight="1" x14ac:dyDescent="0.35">
      <c r="A633" s="559"/>
      <c r="B633" s="559"/>
      <c r="C633" s="559"/>
      <c r="D633" s="559"/>
      <c r="E633" s="559"/>
      <c r="F633" s="559"/>
      <c r="G633" s="559"/>
      <c r="H633" s="559"/>
      <c r="I633" s="559"/>
      <c r="J633" s="559"/>
      <c r="K633" s="559"/>
      <c r="L633" s="559"/>
      <c r="M633" s="559"/>
      <c r="N633" s="559"/>
      <c r="O633" s="559"/>
      <c r="P633" s="559"/>
      <c r="Q633" s="559"/>
      <c r="R633" s="559"/>
      <c r="S633" s="559"/>
      <c r="T633" s="559"/>
      <c r="U633" s="559"/>
      <c r="V633" s="559"/>
      <c r="W633" s="559"/>
      <c r="X633" s="559"/>
      <c r="Y633" s="559"/>
      <c r="Z633" s="559"/>
      <c r="AA633" s="559"/>
      <c r="AB633" s="559"/>
      <c r="AC633" s="559"/>
      <c r="AD633" s="559"/>
      <c r="AE633" s="559"/>
      <c r="AF633" s="559"/>
      <c r="AG633" s="559"/>
    </row>
    <row r="634" spans="1:33" ht="18" customHeight="1" x14ac:dyDescent="0.35">
      <c r="A634" s="559"/>
      <c r="B634" s="559"/>
      <c r="C634" s="559"/>
      <c r="D634" s="559"/>
      <c r="E634" s="559"/>
      <c r="F634" s="559"/>
      <c r="G634" s="559"/>
      <c r="H634" s="559"/>
      <c r="I634" s="559"/>
      <c r="J634" s="559"/>
      <c r="K634" s="559"/>
      <c r="L634" s="559"/>
      <c r="M634" s="559"/>
      <c r="N634" s="559"/>
      <c r="O634" s="559"/>
      <c r="P634" s="559"/>
      <c r="Q634" s="559"/>
      <c r="R634" s="559"/>
      <c r="S634" s="559"/>
      <c r="T634" s="559"/>
      <c r="U634" s="559"/>
      <c r="V634" s="559"/>
      <c r="W634" s="559"/>
      <c r="X634" s="559"/>
      <c r="Y634" s="559"/>
      <c r="Z634" s="559"/>
      <c r="AA634" s="559"/>
      <c r="AB634" s="559"/>
      <c r="AC634" s="559"/>
      <c r="AD634" s="559"/>
      <c r="AE634" s="559"/>
      <c r="AF634" s="559"/>
      <c r="AG634" s="559"/>
    </row>
    <row r="635" spans="1:33" ht="18" customHeight="1" x14ac:dyDescent="0.35">
      <c r="A635" s="559"/>
      <c r="B635" s="559"/>
      <c r="C635" s="559"/>
      <c r="D635" s="559"/>
      <c r="E635" s="559"/>
      <c r="F635" s="559"/>
      <c r="G635" s="559"/>
      <c r="H635" s="559"/>
      <c r="I635" s="559"/>
      <c r="J635" s="559"/>
      <c r="K635" s="559"/>
      <c r="L635" s="559"/>
      <c r="M635" s="559"/>
      <c r="N635" s="559"/>
      <c r="O635" s="559"/>
      <c r="P635" s="559"/>
      <c r="Q635" s="559"/>
      <c r="R635" s="559"/>
      <c r="S635" s="559"/>
      <c r="T635" s="559"/>
      <c r="U635" s="559"/>
      <c r="V635" s="559"/>
      <c r="W635" s="559"/>
      <c r="X635" s="559"/>
      <c r="Y635" s="559"/>
      <c r="Z635" s="559"/>
      <c r="AA635" s="559"/>
      <c r="AB635" s="559"/>
      <c r="AC635" s="559"/>
      <c r="AD635" s="559"/>
      <c r="AE635" s="559"/>
      <c r="AF635" s="559"/>
      <c r="AG635" s="559"/>
    </row>
    <row r="636" spans="1:33" ht="18" customHeight="1" x14ac:dyDescent="0.35">
      <c r="A636" s="559"/>
      <c r="B636" s="559"/>
      <c r="C636" s="559"/>
      <c r="D636" s="559"/>
      <c r="E636" s="559"/>
      <c r="F636" s="559"/>
      <c r="G636" s="559"/>
      <c r="H636" s="559"/>
      <c r="I636" s="559"/>
      <c r="J636" s="559"/>
      <c r="K636" s="559"/>
      <c r="L636" s="559"/>
      <c r="M636" s="559"/>
      <c r="N636" s="559"/>
      <c r="O636" s="559"/>
      <c r="P636" s="559"/>
      <c r="Q636" s="559"/>
      <c r="R636" s="559"/>
      <c r="S636" s="559"/>
      <c r="T636" s="559"/>
      <c r="U636" s="559"/>
      <c r="V636" s="559"/>
      <c r="W636" s="559"/>
      <c r="X636" s="559"/>
      <c r="Y636" s="559"/>
      <c r="Z636" s="559"/>
      <c r="AA636" s="559"/>
      <c r="AB636" s="559"/>
      <c r="AC636" s="559"/>
      <c r="AD636" s="559"/>
      <c r="AE636" s="559"/>
      <c r="AF636" s="559"/>
      <c r="AG636" s="559"/>
    </row>
    <row r="637" spans="1:33" ht="18" customHeight="1" x14ac:dyDescent="0.35">
      <c r="A637" s="559"/>
      <c r="B637" s="559"/>
      <c r="C637" s="559"/>
      <c r="D637" s="559"/>
      <c r="E637" s="559"/>
      <c r="F637" s="559"/>
      <c r="G637" s="559"/>
      <c r="H637" s="559"/>
      <c r="I637" s="559"/>
      <c r="J637" s="559"/>
      <c r="K637" s="559"/>
      <c r="L637" s="559"/>
      <c r="M637" s="559"/>
      <c r="N637" s="559"/>
      <c r="O637" s="559"/>
      <c r="P637" s="559"/>
      <c r="Q637" s="559"/>
      <c r="R637" s="559"/>
      <c r="S637" s="559"/>
      <c r="T637" s="559"/>
      <c r="U637" s="559"/>
      <c r="V637" s="559"/>
      <c r="W637" s="559"/>
      <c r="X637" s="559"/>
      <c r="Y637" s="559"/>
      <c r="Z637" s="559"/>
      <c r="AA637" s="559"/>
      <c r="AB637" s="559"/>
      <c r="AC637" s="559"/>
      <c r="AD637" s="559"/>
      <c r="AE637" s="559"/>
      <c r="AF637" s="559"/>
      <c r="AG637" s="559"/>
    </row>
    <row r="638" spans="1:33" ht="18" customHeight="1" x14ac:dyDescent="0.35">
      <c r="A638" s="559"/>
      <c r="B638" s="559"/>
      <c r="C638" s="559"/>
      <c r="D638" s="559"/>
      <c r="E638" s="559"/>
      <c r="F638" s="559"/>
      <c r="G638" s="559"/>
      <c r="H638" s="559"/>
      <c r="I638" s="559"/>
      <c r="J638" s="559"/>
      <c r="K638" s="559"/>
      <c r="L638" s="559"/>
      <c r="M638" s="559"/>
      <c r="N638" s="559"/>
      <c r="O638" s="559"/>
      <c r="P638" s="559"/>
      <c r="Q638" s="559"/>
      <c r="R638" s="559"/>
      <c r="S638" s="559"/>
      <c r="T638" s="559"/>
      <c r="U638" s="559"/>
      <c r="V638" s="559"/>
      <c r="W638" s="559"/>
      <c r="X638" s="559"/>
      <c r="Y638" s="559"/>
      <c r="Z638" s="559"/>
      <c r="AA638" s="559"/>
      <c r="AB638" s="559"/>
      <c r="AC638" s="559"/>
      <c r="AD638" s="559"/>
      <c r="AE638" s="559"/>
      <c r="AF638" s="559"/>
      <c r="AG638" s="559"/>
    </row>
    <row r="639" spans="1:33" ht="18" customHeight="1" x14ac:dyDescent="0.35">
      <c r="A639" s="559"/>
      <c r="B639" s="559"/>
      <c r="C639" s="559"/>
      <c r="D639" s="559"/>
      <c r="E639" s="559"/>
      <c r="F639" s="559"/>
      <c r="G639" s="559"/>
      <c r="H639" s="559"/>
      <c r="I639" s="559"/>
      <c r="J639" s="559"/>
      <c r="K639" s="559"/>
      <c r="L639" s="559"/>
      <c r="M639" s="559"/>
      <c r="N639" s="559"/>
      <c r="O639" s="559"/>
      <c r="P639" s="559"/>
      <c r="Q639" s="559"/>
      <c r="R639" s="559"/>
      <c r="S639" s="559"/>
      <c r="T639" s="559"/>
      <c r="U639" s="559"/>
      <c r="V639" s="559"/>
      <c r="W639" s="559"/>
      <c r="X639" s="559"/>
      <c r="Y639" s="559"/>
      <c r="Z639" s="559"/>
      <c r="AA639" s="559"/>
      <c r="AB639" s="559"/>
      <c r="AC639" s="559"/>
      <c r="AD639" s="559"/>
      <c r="AE639" s="559"/>
      <c r="AF639" s="559"/>
      <c r="AG639" s="559"/>
    </row>
    <row r="640" spans="1:33" ht="18" customHeight="1" x14ac:dyDescent="0.35">
      <c r="A640" s="559"/>
      <c r="B640" s="559"/>
      <c r="C640" s="559"/>
      <c r="D640" s="559"/>
      <c r="E640" s="559"/>
      <c r="F640" s="559"/>
      <c r="G640" s="559"/>
      <c r="H640" s="559"/>
      <c r="I640" s="559"/>
      <c r="J640" s="559"/>
      <c r="K640" s="559"/>
      <c r="L640" s="559"/>
      <c r="M640" s="559"/>
      <c r="N640" s="559"/>
      <c r="O640" s="559"/>
      <c r="P640" s="559"/>
      <c r="Q640" s="559"/>
      <c r="R640" s="559"/>
      <c r="S640" s="559"/>
      <c r="T640" s="559"/>
      <c r="U640" s="559"/>
      <c r="V640" s="559"/>
      <c r="W640" s="559"/>
      <c r="X640" s="559"/>
      <c r="Y640" s="559"/>
      <c r="Z640" s="559"/>
      <c r="AA640" s="559"/>
      <c r="AB640" s="559"/>
      <c r="AC640" s="559"/>
      <c r="AD640" s="559"/>
      <c r="AE640" s="559"/>
      <c r="AF640" s="559"/>
      <c r="AG640" s="559"/>
    </row>
    <row r="641" spans="1:33" ht="18" customHeight="1" x14ac:dyDescent="0.35">
      <c r="A641" s="559"/>
      <c r="B641" s="559"/>
      <c r="C641" s="559"/>
      <c r="D641" s="559"/>
      <c r="E641" s="559"/>
      <c r="F641" s="559"/>
      <c r="G641" s="559"/>
      <c r="H641" s="559"/>
      <c r="I641" s="559"/>
      <c r="J641" s="559"/>
      <c r="K641" s="559"/>
      <c r="L641" s="559"/>
      <c r="M641" s="559"/>
      <c r="N641" s="559"/>
      <c r="O641" s="559"/>
      <c r="P641" s="559"/>
      <c r="Q641" s="559"/>
      <c r="R641" s="559"/>
      <c r="S641" s="559"/>
      <c r="T641" s="559"/>
      <c r="U641" s="559"/>
      <c r="V641" s="559"/>
      <c r="W641" s="559"/>
      <c r="X641" s="559"/>
      <c r="Y641" s="559"/>
      <c r="Z641" s="559"/>
      <c r="AA641" s="559"/>
      <c r="AB641" s="559"/>
      <c r="AC641" s="559"/>
      <c r="AD641" s="559"/>
      <c r="AE641" s="559"/>
      <c r="AF641" s="559"/>
      <c r="AG641" s="559"/>
    </row>
    <row r="642" spans="1:33" ht="18" customHeight="1" x14ac:dyDescent="0.35">
      <c r="A642" s="559"/>
      <c r="B642" s="559"/>
      <c r="C642" s="559"/>
      <c r="D642" s="559"/>
      <c r="E642" s="559"/>
      <c r="F642" s="559"/>
      <c r="G642" s="559"/>
      <c r="H642" s="559"/>
      <c r="I642" s="559"/>
      <c r="J642" s="559"/>
      <c r="K642" s="559"/>
      <c r="L642" s="559"/>
      <c r="M642" s="559"/>
      <c r="N642" s="559"/>
      <c r="O642" s="559"/>
      <c r="P642" s="559"/>
      <c r="Q642" s="559"/>
      <c r="R642" s="559"/>
      <c r="S642" s="559"/>
      <c r="T642" s="559"/>
      <c r="U642" s="559"/>
      <c r="V642" s="559"/>
      <c r="W642" s="559"/>
      <c r="X642" s="559"/>
      <c r="Y642" s="559"/>
      <c r="Z642" s="559"/>
      <c r="AA642" s="559"/>
      <c r="AB642" s="559"/>
      <c r="AC642" s="559"/>
      <c r="AD642" s="559"/>
      <c r="AE642" s="559"/>
      <c r="AF642" s="559"/>
      <c r="AG642" s="559"/>
    </row>
    <row r="643" spans="1:33" ht="18" customHeight="1" x14ac:dyDescent="0.35">
      <c r="A643" s="559"/>
      <c r="B643" s="559"/>
      <c r="C643" s="559"/>
      <c r="D643" s="559"/>
      <c r="E643" s="559"/>
      <c r="F643" s="559"/>
      <c r="G643" s="559"/>
      <c r="H643" s="559"/>
      <c r="I643" s="559"/>
      <c r="J643" s="559"/>
      <c r="K643" s="559"/>
      <c r="L643" s="559"/>
      <c r="M643" s="559"/>
      <c r="N643" s="559"/>
      <c r="O643" s="559"/>
      <c r="P643" s="559"/>
      <c r="Q643" s="559"/>
      <c r="R643" s="559"/>
      <c r="S643" s="559"/>
      <c r="T643" s="559"/>
      <c r="U643" s="559"/>
      <c r="V643" s="559"/>
      <c r="W643" s="559"/>
      <c r="X643" s="559"/>
      <c r="Y643" s="559"/>
      <c r="Z643" s="559"/>
      <c r="AA643" s="559"/>
      <c r="AB643" s="559"/>
      <c r="AC643" s="559"/>
      <c r="AD643" s="559"/>
      <c r="AE643" s="559"/>
      <c r="AF643" s="559"/>
      <c r="AG643" s="559"/>
    </row>
    <row r="644" spans="1:33" ht="18" customHeight="1" x14ac:dyDescent="0.35">
      <c r="A644" s="559"/>
      <c r="B644" s="559"/>
      <c r="C644" s="559"/>
      <c r="D644" s="559"/>
      <c r="E644" s="559"/>
      <c r="F644" s="559"/>
      <c r="G644" s="559"/>
      <c r="H644" s="559"/>
      <c r="I644" s="559"/>
      <c r="J644" s="559"/>
      <c r="K644" s="559"/>
      <c r="L644" s="559"/>
      <c r="M644" s="559"/>
      <c r="N644" s="559"/>
      <c r="O644" s="559"/>
      <c r="P644" s="559"/>
      <c r="Q644" s="559"/>
      <c r="R644" s="559"/>
      <c r="S644" s="559"/>
      <c r="T644" s="559"/>
      <c r="U644" s="559"/>
      <c r="V644" s="559"/>
      <c r="W644" s="559"/>
      <c r="X644" s="559"/>
      <c r="Y644" s="559"/>
      <c r="Z644" s="559"/>
      <c r="AA644" s="559"/>
      <c r="AB644" s="559"/>
      <c r="AC644" s="559"/>
      <c r="AD644" s="559"/>
      <c r="AE644" s="559"/>
      <c r="AF644" s="559"/>
      <c r="AG644" s="559"/>
    </row>
    <row r="645" spans="1:33" ht="18" customHeight="1" x14ac:dyDescent="0.35">
      <c r="A645" s="559"/>
      <c r="B645" s="559"/>
      <c r="C645" s="559"/>
      <c r="D645" s="559"/>
      <c r="E645" s="559"/>
      <c r="F645" s="559"/>
      <c r="G645" s="559"/>
      <c r="H645" s="559"/>
      <c r="I645" s="559"/>
      <c r="J645" s="559"/>
      <c r="K645" s="559"/>
      <c r="L645" s="559"/>
      <c r="M645" s="559"/>
      <c r="N645" s="559"/>
      <c r="O645" s="559"/>
      <c r="P645" s="559"/>
      <c r="Q645" s="559"/>
      <c r="R645" s="559"/>
      <c r="S645" s="559"/>
      <c r="T645" s="559"/>
      <c r="U645" s="559"/>
      <c r="V645" s="559"/>
      <c r="W645" s="559"/>
      <c r="X645" s="559"/>
      <c r="Y645" s="559"/>
      <c r="Z645" s="559"/>
      <c r="AA645" s="559"/>
      <c r="AB645" s="559"/>
      <c r="AC645" s="559"/>
      <c r="AD645" s="559"/>
      <c r="AE645" s="559"/>
      <c r="AF645" s="559"/>
      <c r="AG645" s="559"/>
    </row>
    <row r="646" spans="1:33" ht="18" customHeight="1" x14ac:dyDescent="0.35">
      <c r="A646" s="559"/>
      <c r="B646" s="559"/>
      <c r="C646" s="559"/>
      <c r="D646" s="559"/>
      <c r="E646" s="559"/>
      <c r="F646" s="559"/>
      <c r="G646" s="559"/>
      <c r="H646" s="559"/>
      <c r="I646" s="559"/>
      <c r="J646" s="559"/>
      <c r="K646" s="559"/>
      <c r="L646" s="559"/>
      <c r="M646" s="559"/>
      <c r="N646" s="559"/>
      <c r="O646" s="559"/>
      <c r="P646" s="559"/>
      <c r="Q646" s="559"/>
      <c r="R646" s="559"/>
      <c r="S646" s="559"/>
      <c r="T646" s="559"/>
      <c r="U646" s="559"/>
      <c r="V646" s="559"/>
      <c r="W646" s="559"/>
      <c r="X646" s="559"/>
      <c r="Y646" s="559"/>
      <c r="Z646" s="559"/>
      <c r="AA646" s="559"/>
      <c r="AB646" s="559"/>
      <c r="AC646" s="559"/>
      <c r="AD646" s="559"/>
      <c r="AE646" s="559"/>
      <c r="AF646" s="559"/>
      <c r="AG646" s="559"/>
    </row>
    <row r="647" spans="1:33" ht="18" customHeight="1" x14ac:dyDescent="0.35">
      <c r="A647" s="559"/>
      <c r="B647" s="559"/>
      <c r="C647" s="559"/>
      <c r="D647" s="559"/>
      <c r="E647" s="559"/>
      <c r="F647" s="559"/>
      <c r="G647" s="559"/>
      <c r="H647" s="559"/>
      <c r="I647" s="559"/>
      <c r="J647" s="559"/>
      <c r="K647" s="559"/>
      <c r="L647" s="559"/>
      <c r="M647" s="559"/>
      <c r="N647" s="559"/>
      <c r="O647" s="559"/>
      <c r="P647" s="559"/>
      <c r="Q647" s="559"/>
      <c r="R647" s="559"/>
      <c r="S647" s="559"/>
      <c r="T647" s="559"/>
      <c r="U647" s="559"/>
      <c r="V647" s="559"/>
      <c r="W647" s="559"/>
      <c r="X647" s="559"/>
      <c r="Y647" s="559"/>
      <c r="Z647" s="559"/>
      <c r="AA647" s="559"/>
      <c r="AB647" s="559"/>
      <c r="AC647" s="559"/>
      <c r="AD647" s="559"/>
      <c r="AE647" s="559"/>
      <c r="AF647" s="559"/>
      <c r="AG647" s="559"/>
    </row>
    <row r="648" spans="1:33" ht="18" customHeight="1" x14ac:dyDescent="0.35">
      <c r="A648" s="559"/>
      <c r="B648" s="559"/>
      <c r="C648" s="559"/>
      <c r="D648" s="559"/>
      <c r="E648" s="559"/>
      <c r="F648" s="559"/>
      <c r="G648" s="559"/>
      <c r="H648" s="559"/>
      <c r="I648" s="559"/>
      <c r="J648" s="559"/>
      <c r="K648" s="559"/>
      <c r="L648" s="559"/>
      <c r="M648" s="559"/>
      <c r="N648" s="559"/>
      <c r="O648" s="559"/>
      <c r="P648" s="559"/>
      <c r="Q648" s="559"/>
      <c r="R648" s="559"/>
      <c r="S648" s="559"/>
      <c r="T648" s="559"/>
      <c r="U648" s="559"/>
      <c r="V648" s="559"/>
      <c r="W648" s="559"/>
      <c r="X648" s="559"/>
      <c r="Y648" s="559"/>
      <c r="Z648" s="559"/>
      <c r="AA648" s="559"/>
      <c r="AB648" s="559"/>
      <c r="AC648" s="559"/>
      <c r="AD648" s="559"/>
      <c r="AE648" s="559"/>
      <c r="AF648" s="559"/>
      <c r="AG648" s="559"/>
    </row>
    <row r="649" spans="1:33" ht="18" customHeight="1" x14ac:dyDescent="0.35">
      <c r="A649" s="559"/>
      <c r="B649" s="559"/>
      <c r="C649" s="559"/>
      <c r="D649" s="559"/>
      <c r="E649" s="559"/>
      <c r="F649" s="559"/>
      <c r="G649" s="559"/>
      <c r="H649" s="559"/>
      <c r="I649" s="559"/>
      <c r="J649" s="559"/>
      <c r="K649" s="559"/>
      <c r="L649" s="559"/>
      <c r="M649" s="559"/>
      <c r="N649" s="559"/>
      <c r="O649" s="559"/>
      <c r="P649" s="559"/>
      <c r="Q649" s="559"/>
      <c r="R649" s="559"/>
      <c r="S649" s="559"/>
      <c r="T649" s="559"/>
      <c r="U649" s="559"/>
      <c r="V649" s="559"/>
      <c r="W649" s="559"/>
      <c r="X649" s="559"/>
      <c r="Y649" s="559"/>
      <c r="Z649" s="559"/>
      <c r="AA649" s="559"/>
      <c r="AB649" s="559"/>
      <c r="AC649" s="559"/>
      <c r="AD649" s="559"/>
      <c r="AE649" s="559"/>
      <c r="AF649" s="559"/>
      <c r="AG649" s="559"/>
    </row>
    <row r="650" spans="1:33" ht="18" customHeight="1" x14ac:dyDescent="0.35">
      <c r="A650" s="559"/>
      <c r="B650" s="559"/>
      <c r="C650" s="559"/>
      <c r="D650" s="559"/>
      <c r="E650" s="559"/>
      <c r="F650" s="559"/>
      <c r="G650" s="559"/>
      <c r="H650" s="559"/>
      <c r="I650" s="559"/>
      <c r="J650" s="559"/>
      <c r="K650" s="559"/>
      <c r="L650" s="559"/>
      <c r="M650" s="559"/>
      <c r="N650" s="559"/>
      <c r="O650" s="559"/>
      <c r="P650" s="559"/>
      <c r="Q650" s="559"/>
      <c r="R650" s="559"/>
      <c r="S650" s="559"/>
      <c r="T650" s="559"/>
      <c r="U650" s="559"/>
      <c r="V650" s="559"/>
      <c r="W650" s="559"/>
      <c r="X650" s="559"/>
      <c r="Y650" s="559"/>
      <c r="Z650" s="559"/>
      <c r="AA650" s="559"/>
      <c r="AB650" s="559"/>
      <c r="AC650" s="559"/>
      <c r="AD650" s="559"/>
      <c r="AE650" s="559"/>
      <c r="AF650" s="559"/>
      <c r="AG650" s="559"/>
    </row>
    <row r="651" spans="1:33" ht="18" customHeight="1" x14ac:dyDescent="0.35">
      <c r="A651" s="559"/>
      <c r="B651" s="559"/>
      <c r="C651" s="559"/>
      <c r="D651" s="559"/>
      <c r="E651" s="559"/>
      <c r="F651" s="559"/>
      <c r="G651" s="559"/>
      <c r="H651" s="559"/>
      <c r="I651" s="559"/>
      <c r="J651" s="559"/>
      <c r="K651" s="559"/>
      <c r="L651" s="559"/>
      <c r="M651" s="559"/>
      <c r="N651" s="559"/>
      <c r="O651" s="559"/>
      <c r="P651" s="559"/>
      <c r="Q651" s="559"/>
      <c r="R651" s="559"/>
      <c r="S651" s="559"/>
      <c r="T651" s="559"/>
      <c r="U651" s="559"/>
      <c r="V651" s="559"/>
      <c r="W651" s="559"/>
      <c r="X651" s="559"/>
      <c r="Y651" s="559"/>
      <c r="Z651" s="559"/>
      <c r="AA651" s="559"/>
      <c r="AB651" s="559"/>
      <c r="AC651" s="559"/>
      <c r="AD651" s="559"/>
      <c r="AE651" s="559"/>
      <c r="AF651" s="559"/>
      <c r="AG651" s="559"/>
    </row>
    <row r="652" spans="1:33" ht="18" customHeight="1" x14ac:dyDescent="0.35">
      <c r="A652" s="559"/>
      <c r="B652" s="559"/>
      <c r="C652" s="559"/>
      <c r="D652" s="559"/>
      <c r="E652" s="559"/>
      <c r="F652" s="559"/>
      <c r="G652" s="559"/>
      <c r="H652" s="559"/>
      <c r="I652" s="559"/>
      <c r="J652" s="559"/>
      <c r="K652" s="559"/>
      <c r="L652" s="559"/>
      <c r="M652" s="559"/>
      <c r="N652" s="559"/>
      <c r="O652" s="559"/>
      <c r="P652" s="559"/>
      <c r="Q652" s="559"/>
      <c r="R652" s="559"/>
      <c r="S652" s="559"/>
      <c r="T652" s="559"/>
      <c r="U652" s="559"/>
      <c r="V652" s="559"/>
      <c r="W652" s="559"/>
      <c r="X652" s="559"/>
      <c r="Y652" s="559"/>
      <c r="Z652" s="559"/>
      <c r="AA652" s="559"/>
      <c r="AB652" s="559"/>
      <c r="AC652" s="559"/>
      <c r="AD652" s="559"/>
      <c r="AE652" s="559"/>
      <c r="AF652" s="559"/>
      <c r="AG652" s="559"/>
    </row>
    <row r="653" spans="1:33" ht="18" customHeight="1" x14ac:dyDescent="0.35">
      <c r="A653" s="559"/>
      <c r="B653" s="559"/>
      <c r="C653" s="559"/>
      <c r="D653" s="559"/>
      <c r="E653" s="559"/>
      <c r="F653" s="559"/>
      <c r="G653" s="559"/>
      <c r="H653" s="559"/>
      <c r="I653" s="559"/>
      <c r="J653" s="559"/>
      <c r="K653" s="559"/>
      <c r="L653" s="559"/>
      <c r="M653" s="559"/>
      <c r="N653" s="559"/>
      <c r="O653" s="559"/>
      <c r="P653" s="559"/>
      <c r="Q653" s="559"/>
      <c r="R653" s="559"/>
      <c r="S653" s="559"/>
      <c r="T653" s="559"/>
      <c r="U653" s="559"/>
      <c r="V653" s="559"/>
      <c r="W653" s="559"/>
      <c r="X653" s="559"/>
      <c r="Y653" s="559"/>
      <c r="Z653" s="559"/>
      <c r="AA653" s="559"/>
      <c r="AB653" s="559"/>
      <c r="AC653" s="559"/>
      <c r="AD653" s="559"/>
      <c r="AE653" s="559"/>
      <c r="AF653" s="559"/>
      <c r="AG653" s="559"/>
    </row>
    <row r="654" spans="1:33" ht="18" customHeight="1" x14ac:dyDescent="0.35">
      <c r="A654" s="559"/>
      <c r="B654" s="559"/>
      <c r="C654" s="559"/>
      <c r="D654" s="559"/>
      <c r="E654" s="559"/>
      <c r="F654" s="559"/>
      <c r="G654" s="559"/>
      <c r="H654" s="559"/>
      <c r="I654" s="559"/>
      <c r="J654" s="559"/>
      <c r="K654" s="559"/>
      <c r="L654" s="559"/>
      <c r="M654" s="559"/>
      <c r="N654" s="559"/>
      <c r="O654" s="559"/>
      <c r="P654" s="559"/>
      <c r="Q654" s="559"/>
      <c r="R654" s="559"/>
      <c r="S654" s="559"/>
      <c r="T654" s="559"/>
      <c r="U654" s="559"/>
      <c r="V654" s="559"/>
      <c r="W654" s="559"/>
      <c r="X654" s="559"/>
      <c r="Y654" s="559"/>
      <c r="Z654" s="559"/>
      <c r="AA654" s="559"/>
      <c r="AB654" s="559"/>
      <c r="AC654" s="559"/>
      <c r="AD654" s="559"/>
      <c r="AE654" s="559"/>
      <c r="AF654" s="559"/>
      <c r="AG654" s="559"/>
    </row>
    <row r="655" spans="1:33" ht="18" customHeight="1" x14ac:dyDescent="0.35">
      <c r="A655" s="559"/>
      <c r="B655" s="559"/>
      <c r="C655" s="559"/>
      <c r="D655" s="559"/>
      <c r="E655" s="559"/>
      <c r="F655" s="559"/>
      <c r="G655" s="559"/>
      <c r="H655" s="559"/>
      <c r="I655" s="559"/>
      <c r="J655" s="559"/>
      <c r="K655" s="559"/>
      <c r="L655" s="559"/>
      <c r="M655" s="559"/>
      <c r="N655" s="559"/>
      <c r="O655" s="559"/>
      <c r="P655" s="559"/>
      <c r="Q655" s="559"/>
      <c r="R655" s="559"/>
      <c r="S655" s="559"/>
      <c r="T655" s="559"/>
      <c r="U655" s="559"/>
      <c r="V655" s="559"/>
      <c r="W655" s="559"/>
      <c r="X655" s="559"/>
      <c r="Y655" s="559"/>
      <c r="Z655" s="559"/>
      <c r="AA655" s="559"/>
      <c r="AB655" s="559"/>
      <c r="AC655" s="559"/>
      <c r="AD655" s="559"/>
      <c r="AE655" s="559"/>
      <c r="AF655" s="559"/>
      <c r="AG655" s="559"/>
    </row>
    <row r="656" spans="1:33" ht="18" customHeight="1" x14ac:dyDescent="0.35">
      <c r="A656" s="559"/>
      <c r="B656" s="559"/>
      <c r="C656" s="559"/>
      <c r="D656" s="559"/>
      <c r="E656" s="559"/>
      <c r="F656" s="559"/>
      <c r="G656" s="559"/>
      <c r="H656" s="559"/>
      <c r="I656" s="559"/>
      <c r="J656" s="559"/>
      <c r="K656" s="559"/>
      <c r="L656" s="559"/>
      <c r="M656" s="559"/>
      <c r="N656" s="559"/>
      <c r="O656" s="559"/>
      <c r="P656" s="559"/>
      <c r="Q656" s="559"/>
      <c r="R656" s="559"/>
      <c r="S656" s="559"/>
      <c r="T656" s="559"/>
      <c r="U656" s="559"/>
      <c r="V656" s="559"/>
      <c r="W656" s="559"/>
      <c r="X656" s="559"/>
      <c r="Y656" s="559"/>
      <c r="Z656" s="559"/>
      <c r="AA656" s="559"/>
      <c r="AB656" s="559"/>
      <c r="AC656" s="559"/>
      <c r="AD656" s="559"/>
      <c r="AE656" s="559"/>
      <c r="AF656" s="559"/>
      <c r="AG656" s="559"/>
    </row>
    <row r="657" spans="1:33" ht="18" customHeight="1" x14ac:dyDescent="0.35">
      <c r="A657" s="559"/>
      <c r="B657" s="559"/>
      <c r="C657" s="559"/>
      <c r="D657" s="559"/>
      <c r="E657" s="559"/>
      <c r="F657" s="559"/>
      <c r="G657" s="559"/>
      <c r="H657" s="559"/>
      <c r="I657" s="559"/>
      <c r="J657" s="559"/>
      <c r="K657" s="559"/>
      <c r="L657" s="559"/>
      <c r="M657" s="559"/>
      <c r="N657" s="559"/>
      <c r="O657" s="559"/>
      <c r="P657" s="559"/>
      <c r="Q657" s="559"/>
      <c r="R657" s="559"/>
      <c r="S657" s="559"/>
      <c r="T657" s="559"/>
      <c r="U657" s="559"/>
      <c r="V657" s="559"/>
      <c r="W657" s="559"/>
      <c r="X657" s="559"/>
      <c r="Y657" s="559"/>
      <c r="Z657" s="559"/>
      <c r="AA657" s="559"/>
      <c r="AB657" s="559"/>
      <c r="AC657" s="559"/>
      <c r="AD657" s="559"/>
      <c r="AE657" s="559"/>
      <c r="AF657" s="559"/>
      <c r="AG657" s="559"/>
    </row>
    <row r="658" spans="1:33" ht="18" customHeight="1" x14ac:dyDescent="0.35">
      <c r="A658" s="559"/>
      <c r="B658" s="559"/>
      <c r="C658" s="559"/>
      <c r="D658" s="559"/>
      <c r="E658" s="559"/>
      <c r="F658" s="559"/>
      <c r="G658" s="559"/>
      <c r="H658" s="559"/>
      <c r="I658" s="559"/>
      <c r="J658" s="559"/>
      <c r="K658" s="559"/>
      <c r="L658" s="559"/>
      <c r="M658" s="559"/>
      <c r="N658" s="559"/>
      <c r="O658" s="559"/>
      <c r="P658" s="559"/>
      <c r="Q658" s="559"/>
      <c r="R658" s="559"/>
      <c r="S658" s="559"/>
      <c r="T658" s="559"/>
      <c r="U658" s="559"/>
      <c r="V658" s="559"/>
      <c r="W658" s="559"/>
      <c r="X658" s="559"/>
      <c r="Y658" s="559"/>
      <c r="Z658" s="559"/>
      <c r="AA658" s="559"/>
      <c r="AB658" s="559"/>
      <c r="AC658" s="559"/>
      <c r="AD658" s="559"/>
      <c r="AE658" s="559"/>
      <c r="AF658" s="559"/>
      <c r="AG658" s="559"/>
    </row>
    <row r="659" spans="1:33" ht="18" customHeight="1" x14ac:dyDescent="0.35">
      <c r="A659" s="559"/>
      <c r="B659" s="559"/>
      <c r="C659" s="559"/>
      <c r="D659" s="559"/>
      <c r="E659" s="559"/>
      <c r="F659" s="559"/>
      <c r="G659" s="559"/>
      <c r="H659" s="559"/>
      <c r="I659" s="559"/>
      <c r="J659" s="559"/>
      <c r="K659" s="559"/>
      <c r="L659" s="559"/>
      <c r="M659" s="559"/>
      <c r="N659" s="559"/>
      <c r="O659" s="559"/>
      <c r="P659" s="559"/>
      <c r="Q659" s="559"/>
      <c r="R659" s="559"/>
      <c r="S659" s="559"/>
      <c r="T659" s="559"/>
      <c r="U659" s="559"/>
      <c r="V659" s="559"/>
      <c r="W659" s="559"/>
      <c r="X659" s="559"/>
      <c r="Y659" s="559"/>
      <c r="Z659" s="559"/>
      <c r="AA659" s="559"/>
      <c r="AB659" s="559"/>
      <c r="AC659" s="559"/>
      <c r="AD659" s="559"/>
      <c r="AE659" s="559"/>
      <c r="AF659" s="559"/>
      <c r="AG659" s="559"/>
    </row>
    <row r="660" spans="1:33" ht="18" customHeight="1" x14ac:dyDescent="0.35">
      <c r="A660" s="559"/>
      <c r="B660" s="559"/>
      <c r="C660" s="559"/>
      <c r="D660" s="559"/>
      <c r="E660" s="559"/>
      <c r="F660" s="559"/>
      <c r="G660" s="559"/>
      <c r="H660" s="559"/>
      <c r="I660" s="559"/>
      <c r="J660" s="559"/>
      <c r="K660" s="559"/>
      <c r="L660" s="559"/>
      <c r="M660" s="559"/>
      <c r="N660" s="559"/>
      <c r="O660" s="559"/>
      <c r="P660" s="559"/>
      <c r="Q660" s="559"/>
      <c r="R660" s="559"/>
      <c r="S660" s="559"/>
      <c r="T660" s="559"/>
      <c r="U660" s="559"/>
      <c r="V660" s="559"/>
      <c r="W660" s="559"/>
      <c r="X660" s="559"/>
      <c r="Y660" s="559"/>
      <c r="Z660" s="559"/>
      <c r="AA660" s="559"/>
      <c r="AB660" s="559"/>
      <c r="AC660" s="559"/>
      <c r="AD660" s="559"/>
      <c r="AE660" s="559"/>
      <c r="AF660" s="559"/>
      <c r="AG660" s="559"/>
    </row>
    <row r="661" spans="1:33" ht="18" customHeight="1" x14ac:dyDescent="0.35">
      <c r="A661" s="559"/>
      <c r="B661" s="559"/>
      <c r="C661" s="559"/>
      <c r="D661" s="559"/>
      <c r="E661" s="559"/>
      <c r="F661" s="559"/>
      <c r="G661" s="559"/>
      <c r="H661" s="559"/>
      <c r="I661" s="559"/>
      <c r="J661" s="559"/>
      <c r="K661" s="559"/>
      <c r="L661" s="559"/>
      <c r="M661" s="559"/>
      <c r="N661" s="559"/>
      <c r="O661" s="559"/>
      <c r="P661" s="559"/>
      <c r="Q661" s="559"/>
      <c r="R661" s="559"/>
      <c r="S661" s="559"/>
      <c r="T661" s="559"/>
      <c r="U661" s="559"/>
      <c r="V661" s="559"/>
      <c r="W661" s="559"/>
      <c r="X661" s="559"/>
      <c r="Y661" s="559"/>
      <c r="Z661" s="559"/>
      <c r="AA661" s="559"/>
      <c r="AB661" s="559"/>
      <c r="AC661" s="559"/>
      <c r="AD661" s="559"/>
      <c r="AE661" s="559"/>
      <c r="AF661" s="559"/>
      <c r="AG661" s="559"/>
    </row>
    <row r="662" spans="1:33" ht="18" customHeight="1" x14ac:dyDescent="0.35">
      <c r="A662" s="559"/>
      <c r="B662" s="559"/>
      <c r="C662" s="559"/>
      <c r="D662" s="559"/>
      <c r="E662" s="559"/>
      <c r="F662" s="559"/>
      <c r="G662" s="559"/>
      <c r="H662" s="559"/>
      <c r="I662" s="559"/>
      <c r="J662" s="559"/>
      <c r="K662" s="559"/>
      <c r="L662" s="559"/>
      <c r="M662" s="559"/>
      <c r="N662" s="559"/>
      <c r="O662" s="559"/>
      <c r="P662" s="559"/>
      <c r="Q662" s="559"/>
      <c r="R662" s="559"/>
      <c r="S662" s="559"/>
      <c r="T662" s="559"/>
      <c r="U662" s="559"/>
      <c r="V662" s="559"/>
      <c r="W662" s="559"/>
      <c r="X662" s="559"/>
      <c r="Y662" s="559"/>
      <c r="Z662" s="559"/>
      <c r="AA662" s="559"/>
      <c r="AB662" s="559"/>
      <c r="AC662" s="559"/>
      <c r="AD662" s="559"/>
      <c r="AE662" s="559"/>
      <c r="AF662" s="559"/>
      <c r="AG662" s="559"/>
    </row>
    <row r="663" spans="1:33" ht="18" customHeight="1" x14ac:dyDescent="0.35">
      <c r="A663" s="559"/>
      <c r="B663" s="559"/>
      <c r="C663" s="559"/>
      <c r="D663" s="559"/>
      <c r="E663" s="559"/>
      <c r="F663" s="559"/>
      <c r="G663" s="559"/>
      <c r="H663" s="559"/>
      <c r="I663" s="559"/>
      <c r="J663" s="559"/>
      <c r="K663" s="559"/>
      <c r="L663" s="559"/>
      <c r="M663" s="559"/>
      <c r="N663" s="559"/>
      <c r="O663" s="559"/>
      <c r="P663" s="559"/>
      <c r="Q663" s="559"/>
      <c r="R663" s="559"/>
      <c r="S663" s="559"/>
      <c r="T663" s="559"/>
      <c r="U663" s="559"/>
      <c r="V663" s="559"/>
      <c r="W663" s="559"/>
      <c r="X663" s="559"/>
      <c r="Y663" s="559"/>
      <c r="Z663" s="559"/>
      <c r="AA663" s="559"/>
      <c r="AB663" s="559"/>
      <c r="AC663" s="559"/>
      <c r="AD663" s="559"/>
      <c r="AE663" s="559"/>
      <c r="AF663" s="559"/>
      <c r="AG663" s="559"/>
    </row>
    <row r="664" spans="1:33" ht="18" customHeight="1" x14ac:dyDescent="0.35">
      <c r="A664" s="559"/>
      <c r="B664" s="559"/>
      <c r="C664" s="559"/>
      <c r="D664" s="559"/>
      <c r="E664" s="559"/>
      <c r="F664" s="559"/>
      <c r="G664" s="559"/>
      <c r="H664" s="559"/>
      <c r="I664" s="559"/>
      <c r="J664" s="559"/>
      <c r="K664" s="559"/>
      <c r="L664" s="559"/>
      <c r="M664" s="559"/>
      <c r="N664" s="559"/>
      <c r="O664" s="559"/>
      <c r="P664" s="559"/>
      <c r="Q664" s="559"/>
      <c r="R664" s="559"/>
      <c r="S664" s="559"/>
      <c r="T664" s="559"/>
      <c r="U664" s="559"/>
      <c r="V664" s="559"/>
      <c r="W664" s="559"/>
      <c r="X664" s="559"/>
      <c r="Y664" s="559"/>
      <c r="Z664" s="559"/>
      <c r="AA664" s="559"/>
      <c r="AB664" s="559"/>
      <c r="AC664" s="559"/>
      <c r="AD664" s="559"/>
      <c r="AE664" s="559"/>
      <c r="AF664" s="559"/>
      <c r="AG664" s="559"/>
    </row>
    <row r="665" spans="1:33" ht="18" customHeight="1" x14ac:dyDescent="0.35">
      <c r="A665" s="559"/>
      <c r="B665" s="559"/>
      <c r="C665" s="559"/>
      <c r="D665" s="559"/>
      <c r="E665" s="559"/>
      <c r="F665" s="559"/>
      <c r="G665" s="559"/>
      <c r="H665" s="559"/>
      <c r="I665" s="559"/>
      <c r="J665" s="559"/>
      <c r="K665" s="559"/>
      <c r="L665" s="559"/>
      <c r="M665" s="559"/>
      <c r="N665" s="559"/>
      <c r="O665" s="559"/>
      <c r="P665" s="559"/>
      <c r="Q665" s="559"/>
      <c r="R665" s="559"/>
      <c r="S665" s="559"/>
      <c r="T665" s="559"/>
      <c r="U665" s="559"/>
      <c r="V665" s="559"/>
      <c r="W665" s="559"/>
      <c r="X665" s="559"/>
      <c r="Y665" s="559"/>
      <c r="Z665" s="559"/>
      <c r="AA665" s="559"/>
      <c r="AB665" s="559"/>
      <c r="AC665" s="559"/>
      <c r="AD665" s="559"/>
      <c r="AE665" s="559"/>
      <c r="AF665" s="559"/>
      <c r="AG665" s="559"/>
    </row>
    <row r="666" spans="1:33" ht="18" customHeight="1" x14ac:dyDescent="0.35">
      <c r="A666" s="559"/>
      <c r="B666" s="559"/>
      <c r="C666" s="559"/>
      <c r="D666" s="559"/>
      <c r="E666" s="559"/>
      <c r="F666" s="559"/>
      <c r="G666" s="559"/>
      <c r="H666" s="559"/>
      <c r="I666" s="559"/>
      <c r="J666" s="559"/>
      <c r="K666" s="559"/>
      <c r="L666" s="559"/>
      <c r="M666" s="559"/>
      <c r="N666" s="559"/>
      <c r="O666" s="559"/>
      <c r="P666" s="559"/>
      <c r="Q666" s="559"/>
      <c r="R666" s="559"/>
      <c r="S666" s="559"/>
      <c r="T666" s="559"/>
      <c r="U666" s="559"/>
      <c r="V666" s="559"/>
      <c r="W666" s="559"/>
      <c r="X666" s="559"/>
      <c r="Y666" s="559"/>
      <c r="Z666" s="559"/>
      <c r="AA666" s="559"/>
      <c r="AB666" s="559"/>
      <c r="AC666" s="559"/>
      <c r="AD666" s="559"/>
      <c r="AE666" s="559"/>
      <c r="AF666" s="559"/>
      <c r="AG666" s="559"/>
    </row>
    <row r="667" spans="1:33" ht="18" customHeight="1" x14ac:dyDescent="0.35">
      <c r="A667" s="559"/>
      <c r="B667" s="559"/>
      <c r="C667" s="559"/>
      <c r="D667" s="559"/>
      <c r="E667" s="559"/>
      <c r="F667" s="559"/>
      <c r="G667" s="559"/>
      <c r="H667" s="559"/>
      <c r="I667" s="559"/>
      <c r="J667" s="559"/>
      <c r="K667" s="559"/>
      <c r="L667" s="559"/>
      <c r="M667" s="559"/>
      <c r="N667" s="559"/>
      <c r="O667" s="559"/>
      <c r="P667" s="559"/>
      <c r="Q667" s="559"/>
      <c r="R667" s="559"/>
      <c r="S667" s="559"/>
      <c r="T667" s="559"/>
      <c r="U667" s="559"/>
      <c r="V667" s="559"/>
      <c r="W667" s="559"/>
      <c r="X667" s="559"/>
      <c r="Y667" s="559"/>
      <c r="Z667" s="559"/>
      <c r="AA667" s="559"/>
      <c r="AB667" s="559"/>
      <c r="AC667" s="559"/>
      <c r="AD667" s="559"/>
      <c r="AE667" s="559"/>
      <c r="AF667" s="559"/>
      <c r="AG667" s="559"/>
    </row>
    <row r="668" spans="1:33" ht="18" customHeight="1" x14ac:dyDescent="0.35">
      <c r="A668" s="559"/>
      <c r="B668" s="559"/>
      <c r="C668" s="559"/>
      <c r="D668" s="559"/>
      <c r="E668" s="559"/>
      <c r="F668" s="559"/>
      <c r="G668" s="559"/>
      <c r="H668" s="559"/>
      <c r="I668" s="559"/>
      <c r="J668" s="559"/>
      <c r="K668" s="559"/>
      <c r="L668" s="559"/>
      <c r="M668" s="559"/>
      <c r="N668" s="559"/>
      <c r="O668" s="559"/>
      <c r="P668" s="559"/>
      <c r="Q668" s="559"/>
      <c r="R668" s="559"/>
      <c r="S668" s="559"/>
      <c r="T668" s="559"/>
      <c r="U668" s="559"/>
      <c r="V668" s="559"/>
      <c r="W668" s="559"/>
      <c r="X668" s="559"/>
      <c r="Y668" s="559"/>
      <c r="Z668" s="559"/>
      <c r="AA668" s="559"/>
      <c r="AB668" s="559"/>
      <c r="AC668" s="559"/>
      <c r="AD668" s="559"/>
      <c r="AE668" s="559"/>
      <c r="AF668" s="559"/>
      <c r="AG668" s="559"/>
    </row>
    <row r="669" spans="1:33" ht="18" customHeight="1" x14ac:dyDescent="0.35">
      <c r="A669" s="559"/>
      <c r="B669" s="559"/>
      <c r="C669" s="559"/>
      <c r="D669" s="559"/>
      <c r="E669" s="559"/>
      <c r="F669" s="559"/>
      <c r="G669" s="559"/>
      <c r="H669" s="559"/>
      <c r="I669" s="559"/>
      <c r="J669" s="559"/>
      <c r="K669" s="559"/>
      <c r="L669" s="559"/>
      <c r="M669" s="559"/>
      <c r="N669" s="559"/>
      <c r="O669" s="559"/>
      <c r="P669" s="559"/>
      <c r="Q669" s="559"/>
      <c r="R669" s="559"/>
      <c r="S669" s="559"/>
      <c r="T669" s="559"/>
      <c r="U669" s="559"/>
      <c r="V669" s="559"/>
      <c r="W669" s="559"/>
      <c r="X669" s="559"/>
      <c r="Y669" s="559"/>
      <c r="Z669" s="559"/>
      <c r="AA669" s="559"/>
      <c r="AB669" s="559"/>
      <c r="AC669" s="559"/>
      <c r="AD669" s="559"/>
      <c r="AE669" s="559"/>
      <c r="AF669" s="559"/>
      <c r="AG669" s="559"/>
    </row>
    <row r="670" spans="1:33" ht="18" customHeight="1" x14ac:dyDescent="0.35">
      <c r="A670" s="559"/>
      <c r="B670" s="559"/>
      <c r="C670" s="559"/>
      <c r="D670" s="559"/>
      <c r="E670" s="559"/>
      <c r="F670" s="559"/>
      <c r="G670" s="559"/>
      <c r="H670" s="559"/>
      <c r="I670" s="559"/>
      <c r="J670" s="559"/>
      <c r="K670" s="559"/>
      <c r="L670" s="559"/>
      <c r="M670" s="559"/>
      <c r="N670" s="559"/>
      <c r="O670" s="559"/>
      <c r="P670" s="559"/>
      <c r="Q670" s="559"/>
      <c r="R670" s="559"/>
      <c r="S670" s="559"/>
      <c r="T670" s="559"/>
      <c r="U670" s="559"/>
      <c r="V670" s="559"/>
      <c r="W670" s="559"/>
      <c r="X670" s="559"/>
      <c r="Y670" s="559"/>
      <c r="Z670" s="559"/>
      <c r="AA670" s="559"/>
      <c r="AB670" s="559"/>
      <c r="AC670" s="559"/>
      <c r="AD670" s="559"/>
      <c r="AE670" s="559"/>
      <c r="AF670" s="559"/>
      <c r="AG670" s="559"/>
    </row>
    <row r="671" spans="1:33" ht="18" customHeight="1" x14ac:dyDescent="0.35">
      <c r="A671" s="559"/>
      <c r="B671" s="559"/>
      <c r="C671" s="559"/>
      <c r="D671" s="559"/>
      <c r="E671" s="559"/>
      <c r="F671" s="559"/>
      <c r="G671" s="559"/>
      <c r="H671" s="559"/>
      <c r="I671" s="559"/>
      <c r="J671" s="559"/>
      <c r="K671" s="559"/>
      <c r="L671" s="559"/>
      <c r="M671" s="559"/>
      <c r="N671" s="559"/>
      <c r="O671" s="559"/>
      <c r="P671" s="559"/>
      <c r="Q671" s="559"/>
      <c r="R671" s="559"/>
      <c r="S671" s="559"/>
      <c r="T671" s="559"/>
      <c r="U671" s="559"/>
      <c r="V671" s="559"/>
      <c r="W671" s="559"/>
      <c r="X671" s="559"/>
      <c r="Y671" s="559"/>
      <c r="Z671" s="559"/>
      <c r="AA671" s="559"/>
      <c r="AB671" s="559"/>
      <c r="AC671" s="559"/>
      <c r="AD671" s="559"/>
      <c r="AE671" s="559"/>
      <c r="AF671" s="559"/>
      <c r="AG671" s="559"/>
    </row>
    <row r="672" spans="1:33" ht="18" customHeight="1" x14ac:dyDescent="0.35">
      <c r="A672" s="559"/>
      <c r="B672" s="559"/>
      <c r="C672" s="559"/>
      <c r="D672" s="559"/>
      <c r="E672" s="559"/>
      <c r="F672" s="559"/>
      <c r="G672" s="559"/>
      <c r="H672" s="559"/>
      <c r="I672" s="559"/>
      <c r="J672" s="559"/>
      <c r="K672" s="559"/>
      <c r="L672" s="559"/>
      <c r="M672" s="559"/>
      <c r="N672" s="559"/>
      <c r="O672" s="559"/>
      <c r="P672" s="559"/>
      <c r="Q672" s="559"/>
      <c r="R672" s="559"/>
      <c r="S672" s="559"/>
      <c r="T672" s="559"/>
      <c r="U672" s="559"/>
      <c r="V672" s="559"/>
      <c r="W672" s="559"/>
      <c r="X672" s="559"/>
      <c r="Y672" s="559"/>
      <c r="Z672" s="559"/>
      <c r="AA672" s="559"/>
      <c r="AB672" s="559"/>
      <c r="AC672" s="559"/>
      <c r="AD672" s="559"/>
      <c r="AE672" s="559"/>
      <c r="AF672" s="559"/>
      <c r="AG672" s="559"/>
    </row>
    <row r="673" spans="1:33" ht="18" customHeight="1" x14ac:dyDescent="0.35">
      <c r="A673" s="559"/>
      <c r="B673" s="559"/>
      <c r="C673" s="559"/>
      <c r="D673" s="559"/>
      <c r="E673" s="559"/>
      <c r="F673" s="559"/>
      <c r="G673" s="559"/>
      <c r="H673" s="559"/>
      <c r="I673" s="559"/>
      <c r="J673" s="559"/>
      <c r="K673" s="559"/>
      <c r="L673" s="559"/>
      <c r="M673" s="559"/>
      <c r="N673" s="559"/>
      <c r="O673" s="559"/>
      <c r="P673" s="559"/>
      <c r="Q673" s="559"/>
      <c r="R673" s="559"/>
      <c r="S673" s="559"/>
      <c r="T673" s="559"/>
      <c r="U673" s="559"/>
      <c r="V673" s="559"/>
      <c r="W673" s="559"/>
      <c r="X673" s="559"/>
      <c r="Y673" s="559"/>
      <c r="Z673" s="559"/>
      <c r="AA673" s="559"/>
      <c r="AB673" s="559"/>
      <c r="AC673" s="559"/>
      <c r="AD673" s="559"/>
      <c r="AE673" s="559"/>
      <c r="AF673" s="559"/>
      <c r="AG673" s="559"/>
    </row>
    <row r="674" spans="1:33" ht="18" customHeight="1" x14ac:dyDescent="0.35">
      <c r="A674" s="559"/>
      <c r="B674" s="559"/>
      <c r="C674" s="559"/>
      <c r="D674" s="559"/>
      <c r="E674" s="559"/>
      <c r="F674" s="559"/>
      <c r="G674" s="559"/>
      <c r="H674" s="559"/>
      <c r="I674" s="559"/>
      <c r="J674" s="559"/>
      <c r="K674" s="559"/>
      <c r="L674" s="559"/>
      <c r="M674" s="559"/>
      <c r="N674" s="559"/>
      <c r="O674" s="559"/>
      <c r="P674" s="559"/>
      <c r="Q674" s="559"/>
      <c r="R674" s="559"/>
      <c r="S674" s="559"/>
      <c r="T674" s="559"/>
      <c r="U674" s="559"/>
      <c r="V674" s="559"/>
      <c r="W674" s="559"/>
      <c r="X674" s="559"/>
      <c r="Y674" s="559"/>
      <c r="Z674" s="559"/>
      <c r="AA674" s="559"/>
      <c r="AB674" s="559"/>
      <c r="AC674" s="559"/>
      <c r="AD674" s="559"/>
      <c r="AE674" s="559"/>
      <c r="AF674" s="559"/>
      <c r="AG674" s="559"/>
    </row>
    <row r="675" spans="1:33" ht="18" customHeight="1" x14ac:dyDescent="0.35">
      <c r="A675" s="559"/>
      <c r="B675" s="559"/>
      <c r="C675" s="559"/>
      <c r="D675" s="559"/>
      <c r="E675" s="559"/>
      <c r="F675" s="559"/>
      <c r="G675" s="559"/>
      <c r="H675" s="559"/>
      <c r="I675" s="559"/>
      <c r="J675" s="559"/>
      <c r="K675" s="559"/>
      <c r="L675" s="559"/>
      <c r="M675" s="559"/>
      <c r="N675" s="559"/>
      <c r="O675" s="559"/>
      <c r="P675" s="559"/>
      <c r="Q675" s="559"/>
      <c r="R675" s="559"/>
      <c r="S675" s="559"/>
      <c r="T675" s="559"/>
      <c r="U675" s="559"/>
      <c r="V675" s="559"/>
      <c r="W675" s="559"/>
      <c r="X675" s="559"/>
      <c r="Y675" s="559"/>
      <c r="Z675" s="559"/>
      <c r="AA675" s="559"/>
      <c r="AB675" s="559"/>
      <c r="AC675" s="559"/>
      <c r="AD675" s="559"/>
      <c r="AE675" s="559"/>
      <c r="AF675" s="559"/>
      <c r="AG675" s="559"/>
    </row>
    <row r="676" spans="1:33" ht="18" customHeight="1" x14ac:dyDescent="0.35">
      <c r="A676" s="559"/>
      <c r="B676" s="559"/>
      <c r="C676" s="559"/>
      <c r="D676" s="559"/>
      <c r="E676" s="559"/>
      <c r="F676" s="559"/>
      <c r="G676" s="559"/>
      <c r="H676" s="559"/>
      <c r="I676" s="559"/>
      <c r="J676" s="559"/>
      <c r="K676" s="559"/>
      <c r="L676" s="559"/>
      <c r="M676" s="559"/>
      <c r="N676" s="559"/>
      <c r="O676" s="559"/>
      <c r="P676" s="559"/>
      <c r="Q676" s="559"/>
      <c r="R676" s="559"/>
      <c r="S676" s="559"/>
      <c r="T676" s="559"/>
      <c r="U676" s="559"/>
      <c r="V676" s="559"/>
      <c r="W676" s="559"/>
      <c r="X676" s="559"/>
      <c r="Y676" s="559"/>
      <c r="Z676" s="559"/>
      <c r="AA676" s="559"/>
      <c r="AB676" s="559"/>
      <c r="AC676" s="559"/>
      <c r="AD676" s="559"/>
      <c r="AE676" s="559"/>
      <c r="AF676" s="559"/>
      <c r="AG676" s="559"/>
    </row>
    <row r="677" spans="1:33" ht="18" customHeight="1" x14ac:dyDescent="0.35">
      <c r="A677" s="559"/>
      <c r="B677" s="559"/>
      <c r="C677" s="559"/>
      <c r="D677" s="559"/>
      <c r="E677" s="559"/>
      <c r="F677" s="559"/>
      <c r="G677" s="559"/>
      <c r="H677" s="559"/>
      <c r="I677" s="559"/>
      <c r="J677" s="559"/>
      <c r="K677" s="559"/>
      <c r="L677" s="559"/>
      <c r="M677" s="559"/>
      <c r="N677" s="559"/>
      <c r="O677" s="559"/>
      <c r="P677" s="559"/>
      <c r="Q677" s="559"/>
      <c r="R677" s="559"/>
      <c r="S677" s="559"/>
      <c r="T677" s="559"/>
      <c r="U677" s="559"/>
      <c r="V677" s="559"/>
      <c r="W677" s="559"/>
      <c r="X677" s="559"/>
      <c r="Y677" s="559"/>
      <c r="Z677" s="559"/>
      <c r="AA677" s="559"/>
      <c r="AB677" s="559"/>
      <c r="AC677" s="559"/>
      <c r="AD677" s="559"/>
      <c r="AE677" s="559"/>
      <c r="AF677" s="559"/>
      <c r="AG677" s="559"/>
    </row>
    <row r="678" spans="1:33" ht="18" customHeight="1" x14ac:dyDescent="0.35">
      <c r="A678" s="559"/>
      <c r="B678" s="559"/>
      <c r="C678" s="559"/>
      <c r="D678" s="559"/>
      <c r="E678" s="559"/>
      <c r="F678" s="559"/>
      <c r="G678" s="559"/>
      <c r="H678" s="559"/>
      <c r="I678" s="559"/>
      <c r="J678" s="559"/>
      <c r="K678" s="559"/>
      <c r="L678" s="559"/>
      <c r="M678" s="559"/>
      <c r="N678" s="559"/>
      <c r="O678" s="559"/>
      <c r="P678" s="559"/>
      <c r="Q678" s="559"/>
      <c r="R678" s="559"/>
      <c r="S678" s="559"/>
      <c r="T678" s="559"/>
      <c r="U678" s="559"/>
      <c r="V678" s="559"/>
      <c r="W678" s="559"/>
      <c r="X678" s="559"/>
      <c r="Y678" s="559"/>
      <c r="Z678" s="559"/>
      <c r="AA678" s="559"/>
      <c r="AB678" s="559"/>
      <c r="AC678" s="559"/>
      <c r="AD678" s="559"/>
      <c r="AE678" s="559"/>
      <c r="AF678" s="559"/>
      <c r="AG678" s="559"/>
    </row>
    <row r="679" spans="1:33" ht="18" customHeight="1" x14ac:dyDescent="0.35">
      <c r="A679" s="559"/>
      <c r="B679" s="559"/>
      <c r="C679" s="559"/>
      <c r="D679" s="559"/>
      <c r="E679" s="559"/>
      <c r="F679" s="559"/>
      <c r="G679" s="559"/>
      <c r="H679" s="559"/>
      <c r="I679" s="559"/>
      <c r="J679" s="559"/>
      <c r="K679" s="559"/>
      <c r="L679" s="559"/>
      <c r="M679" s="559"/>
      <c r="N679" s="559"/>
      <c r="O679" s="559"/>
      <c r="P679" s="559"/>
      <c r="Q679" s="559"/>
      <c r="R679" s="559"/>
      <c r="S679" s="559"/>
      <c r="T679" s="559"/>
      <c r="U679" s="559"/>
      <c r="V679" s="559"/>
      <c r="W679" s="559"/>
      <c r="X679" s="559"/>
      <c r="Y679" s="559"/>
      <c r="Z679" s="559"/>
      <c r="AA679" s="559"/>
      <c r="AB679" s="559"/>
      <c r="AC679" s="559"/>
      <c r="AD679" s="559"/>
      <c r="AE679" s="559"/>
      <c r="AF679" s="559"/>
      <c r="AG679" s="559"/>
    </row>
    <row r="680" spans="1:33" ht="18" customHeight="1" x14ac:dyDescent="0.35">
      <c r="A680" s="559"/>
      <c r="B680" s="559"/>
      <c r="C680" s="559"/>
      <c r="D680" s="559"/>
      <c r="E680" s="559"/>
      <c r="F680" s="559"/>
      <c r="G680" s="559"/>
      <c r="H680" s="559"/>
      <c r="I680" s="559"/>
      <c r="J680" s="559"/>
      <c r="K680" s="559"/>
      <c r="L680" s="559"/>
      <c r="M680" s="559"/>
      <c r="N680" s="559"/>
      <c r="O680" s="559"/>
      <c r="P680" s="559"/>
      <c r="Q680" s="559"/>
      <c r="R680" s="559"/>
      <c r="S680" s="559"/>
      <c r="T680" s="559"/>
      <c r="U680" s="559"/>
      <c r="V680" s="559"/>
      <c r="W680" s="559"/>
      <c r="X680" s="559"/>
      <c r="Y680" s="559"/>
      <c r="Z680" s="559"/>
      <c r="AA680" s="559"/>
      <c r="AB680" s="559"/>
      <c r="AC680" s="559"/>
      <c r="AD680" s="559"/>
      <c r="AE680" s="559"/>
      <c r="AF680" s="559"/>
      <c r="AG680" s="559"/>
    </row>
    <row r="681" spans="1:33" ht="18" customHeight="1" x14ac:dyDescent="0.35">
      <c r="A681" s="559"/>
      <c r="B681" s="559"/>
      <c r="C681" s="559"/>
      <c r="D681" s="559"/>
      <c r="E681" s="559"/>
      <c r="F681" s="559"/>
      <c r="G681" s="559"/>
      <c r="H681" s="559"/>
      <c r="I681" s="559"/>
      <c r="J681" s="559"/>
      <c r="K681" s="559"/>
      <c r="L681" s="559"/>
      <c r="M681" s="559"/>
      <c r="N681" s="559"/>
      <c r="O681" s="559"/>
      <c r="P681" s="559"/>
      <c r="Q681" s="559"/>
      <c r="R681" s="559"/>
      <c r="S681" s="559"/>
      <c r="T681" s="559"/>
      <c r="U681" s="559"/>
      <c r="V681" s="559"/>
      <c r="W681" s="559"/>
      <c r="X681" s="559"/>
      <c r="Y681" s="559"/>
      <c r="Z681" s="559"/>
      <c r="AA681" s="559"/>
      <c r="AB681" s="559"/>
      <c r="AC681" s="559"/>
      <c r="AD681" s="559"/>
      <c r="AE681" s="559"/>
      <c r="AF681" s="559"/>
      <c r="AG681" s="559"/>
    </row>
    <row r="682" spans="1:33" ht="18" customHeight="1" x14ac:dyDescent="0.35">
      <c r="A682" s="559"/>
      <c r="B682" s="559"/>
      <c r="C682" s="559"/>
      <c r="D682" s="559"/>
      <c r="E682" s="559"/>
      <c r="F682" s="559"/>
      <c r="G682" s="559"/>
      <c r="H682" s="559"/>
      <c r="I682" s="559"/>
      <c r="J682" s="559"/>
      <c r="K682" s="559"/>
      <c r="L682" s="559"/>
      <c r="M682" s="559"/>
      <c r="N682" s="559"/>
      <c r="O682" s="559"/>
      <c r="P682" s="559"/>
      <c r="Q682" s="559"/>
      <c r="R682" s="559"/>
      <c r="S682" s="559"/>
      <c r="T682" s="559"/>
      <c r="U682" s="559"/>
      <c r="V682" s="559"/>
      <c r="W682" s="559"/>
      <c r="X682" s="559"/>
      <c r="Y682" s="559"/>
      <c r="Z682" s="559"/>
      <c r="AA682" s="559"/>
      <c r="AB682" s="559"/>
      <c r="AC682" s="559"/>
      <c r="AD682" s="559"/>
      <c r="AE682" s="559"/>
      <c r="AF682" s="559"/>
      <c r="AG682" s="559"/>
    </row>
    <row r="683" spans="1:33" ht="18" customHeight="1" x14ac:dyDescent="0.35">
      <c r="A683" s="559"/>
      <c r="B683" s="559"/>
      <c r="C683" s="559"/>
      <c r="D683" s="559"/>
      <c r="E683" s="559"/>
      <c r="F683" s="559"/>
      <c r="G683" s="559"/>
      <c r="H683" s="559"/>
      <c r="I683" s="559"/>
      <c r="J683" s="559"/>
      <c r="K683" s="559"/>
      <c r="L683" s="559"/>
      <c r="M683" s="559"/>
      <c r="N683" s="559"/>
      <c r="O683" s="559"/>
      <c r="P683" s="559"/>
      <c r="Q683" s="559"/>
      <c r="R683" s="559"/>
      <c r="S683" s="559"/>
      <c r="T683" s="559"/>
      <c r="U683" s="559"/>
      <c r="V683" s="559"/>
      <c r="W683" s="559"/>
      <c r="X683" s="559"/>
      <c r="Y683" s="559"/>
      <c r="Z683" s="559"/>
      <c r="AA683" s="559"/>
      <c r="AB683" s="559"/>
      <c r="AC683" s="559"/>
      <c r="AD683" s="559"/>
      <c r="AE683" s="559"/>
      <c r="AF683" s="559"/>
      <c r="AG683" s="559"/>
    </row>
    <row r="684" spans="1:33" ht="18" customHeight="1" x14ac:dyDescent="0.35">
      <c r="A684" s="559"/>
      <c r="B684" s="559"/>
      <c r="C684" s="559"/>
      <c r="D684" s="559"/>
      <c r="E684" s="559"/>
      <c r="F684" s="559"/>
      <c r="G684" s="559"/>
      <c r="H684" s="559"/>
      <c r="I684" s="559"/>
      <c r="J684" s="559"/>
      <c r="K684" s="559"/>
      <c r="L684" s="559"/>
      <c r="M684" s="559"/>
      <c r="N684" s="559"/>
      <c r="O684" s="559"/>
      <c r="P684" s="559"/>
      <c r="Q684" s="559"/>
      <c r="R684" s="559"/>
      <c r="S684" s="559"/>
      <c r="T684" s="559"/>
      <c r="U684" s="559"/>
      <c r="V684" s="559"/>
      <c r="W684" s="559"/>
      <c r="X684" s="559"/>
      <c r="Y684" s="559"/>
      <c r="Z684" s="559"/>
      <c r="AA684" s="559"/>
      <c r="AB684" s="559"/>
      <c r="AC684" s="559"/>
      <c r="AD684" s="559"/>
      <c r="AE684" s="559"/>
      <c r="AF684" s="559"/>
      <c r="AG684" s="559"/>
    </row>
    <row r="685" spans="1:33" ht="18" customHeight="1" x14ac:dyDescent="0.35">
      <c r="A685" s="559"/>
      <c r="B685" s="559"/>
      <c r="C685" s="559"/>
      <c r="D685" s="559"/>
      <c r="E685" s="559"/>
      <c r="F685" s="559"/>
      <c r="G685" s="559"/>
      <c r="H685" s="559"/>
      <c r="I685" s="559"/>
      <c r="J685" s="559"/>
      <c r="K685" s="559"/>
      <c r="L685" s="559"/>
      <c r="M685" s="559"/>
      <c r="N685" s="559"/>
      <c r="O685" s="559"/>
      <c r="P685" s="559"/>
      <c r="Q685" s="559"/>
      <c r="R685" s="559"/>
      <c r="S685" s="559"/>
      <c r="T685" s="559"/>
      <c r="U685" s="559"/>
      <c r="V685" s="559"/>
      <c r="W685" s="559"/>
      <c r="X685" s="559"/>
      <c r="Y685" s="559"/>
      <c r="Z685" s="559"/>
      <c r="AA685" s="559"/>
      <c r="AB685" s="559"/>
      <c r="AC685" s="559"/>
      <c r="AD685" s="559"/>
      <c r="AE685" s="559"/>
      <c r="AF685" s="559"/>
      <c r="AG685" s="559"/>
    </row>
    <row r="686" spans="1:33" ht="18" customHeight="1" x14ac:dyDescent="0.35">
      <c r="A686" s="559"/>
      <c r="B686" s="559"/>
      <c r="C686" s="559"/>
      <c r="D686" s="559"/>
      <c r="E686" s="559"/>
      <c r="F686" s="559"/>
      <c r="G686" s="559"/>
      <c r="H686" s="559"/>
      <c r="I686" s="559"/>
      <c r="J686" s="559"/>
      <c r="K686" s="559"/>
      <c r="L686" s="559"/>
      <c r="M686" s="559"/>
      <c r="N686" s="559"/>
      <c r="O686" s="559"/>
      <c r="P686" s="559"/>
      <c r="Q686" s="559"/>
      <c r="R686" s="559"/>
      <c r="S686" s="559"/>
      <c r="T686" s="559"/>
      <c r="U686" s="559"/>
      <c r="V686" s="559"/>
      <c r="W686" s="559"/>
      <c r="X686" s="559"/>
      <c r="Y686" s="559"/>
      <c r="Z686" s="559"/>
      <c r="AA686" s="559"/>
      <c r="AB686" s="559"/>
      <c r="AC686" s="559"/>
      <c r="AD686" s="559"/>
      <c r="AE686" s="559"/>
      <c r="AF686" s="559"/>
      <c r="AG686" s="559"/>
    </row>
    <row r="687" spans="1:33" ht="18" customHeight="1" x14ac:dyDescent="0.35">
      <c r="A687" s="559"/>
      <c r="B687" s="559"/>
      <c r="C687" s="559"/>
      <c r="D687" s="559"/>
      <c r="E687" s="559"/>
      <c r="F687" s="559"/>
      <c r="G687" s="559"/>
      <c r="H687" s="559"/>
      <c r="I687" s="559"/>
      <c r="J687" s="559"/>
      <c r="K687" s="559"/>
      <c r="L687" s="559"/>
      <c r="M687" s="559"/>
      <c r="N687" s="559"/>
      <c r="O687" s="559"/>
      <c r="P687" s="559"/>
      <c r="Q687" s="559"/>
      <c r="R687" s="559"/>
      <c r="S687" s="559"/>
      <c r="T687" s="559"/>
      <c r="U687" s="559"/>
      <c r="V687" s="559"/>
      <c r="W687" s="559"/>
      <c r="X687" s="559"/>
      <c r="Y687" s="559"/>
      <c r="Z687" s="559"/>
      <c r="AA687" s="559"/>
      <c r="AB687" s="559"/>
      <c r="AC687" s="559"/>
      <c r="AD687" s="559"/>
      <c r="AE687" s="559"/>
      <c r="AF687" s="559"/>
      <c r="AG687" s="559"/>
    </row>
    <row r="688" spans="1:33" ht="18" customHeight="1" x14ac:dyDescent="0.35">
      <c r="A688" s="559"/>
      <c r="B688" s="559"/>
      <c r="C688" s="559"/>
      <c r="D688" s="559"/>
      <c r="E688" s="559"/>
      <c r="F688" s="559"/>
      <c r="G688" s="559"/>
      <c r="H688" s="559"/>
      <c r="I688" s="559"/>
      <c r="J688" s="559"/>
      <c r="K688" s="559"/>
      <c r="L688" s="559"/>
      <c r="M688" s="559"/>
      <c r="N688" s="559"/>
      <c r="O688" s="559"/>
      <c r="P688" s="559"/>
      <c r="Q688" s="559"/>
      <c r="R688" s="559"/>
      <c r="S688" s="559"/>
      <c r="T688" s="559"/>
      <c r="U688" s="559"/>
      <c r="V688" s="559"/>
      <c r="W688" s="559"/>
      <c r="X688" s="559"/>
      <c r="Y688" s="559"/>
      <c r="Z688" s="559"/>
      <c r="AA688" s="559"/>
      <c r="AB688" s="559"/>
      <c r="AC688" s="559"/>
      <c r="AD688" s="559"/>
      <c r="AE688" s="559"/>
      <c r="AF688" s="559"/>
      <c r="AG688" s="559"/>
    </row>
    <row r="689" spans="1:33" ht="18" customHeight="1" x14ac:dyDescent="0.35">
      <c r="A689" s="559"/>
      <c r="B689" s="559"/>
      <c r="C689" s="559"/>
      <c r="D689" s="559"/>
      <c r="E689" s="559"/>
      <c r="F689" s="559"/>
      <c r="G689" s="559"/>
      <c r="H689" s="559"/>
      <c r="I689" s="559"/>
      <c r="J689" s="559"/>
      <c r="K689" s="559"/>
      <c r="L689" s="559"/>
      <c r="M689" s="559"/>
      <c r="N689" s="559"/>
      <c r="O689" s="559"/>
      <c r="P689" s="559"/>
      <c r="Q689" s="559"/>
      <c r="R689" s="559"/>
      <c r="S689" s="559"/>
      <c r="T689" s="559"/>
      <c r="U689" s="559"/>
      <c r="V689" s="559"/>
      <c r="W689" s="559"/>
      <c r="X689" s="559"/>
      <c r="Y689" s="559"/>
      <c r="Z689" s="559"/>
      <c r="AA689" s="559"/>
      <c r="AB689" s="559"/>
      <c r="AC689" s="559"/>
      <c r="AD689" s="559"/>
      <c r="AE689" s="559"/>
      <c r="AF689" s="559"/>
      <c r="AG689" s="559"/>
    </row>
    <row r="690" spans="1:33" ht="18" customHeight="1" x14ac:dyDescent="0.35">
      <c r="A690" s="559"/>
      <c r="B690" s="559"/>
      <c r="C690" s="559"/>
      <c r="D690" s="559"/>
      <c r="E690" s="559"/>
      <c r="F690" s="559"/>
      <c r="G690" s="559"/>
      <c r="H690" s="559"/>
      <c r="I690" s="559"/>
      <c r="J690" s="559"/>
      <c r="K690" s="559"/>
      <c r="L690" s="559"/>
      <c r="M690" s="559"/>
      <c r="N690" s="559"/>
      <c r="O690" s="559"/>
      <c r="P690" s="559"/>
      <c r="Q690" s="559"/>
      <c r="R690" s="559"/>
      <c r="S690" s="559"/>
      <c r="T690" s="559"/>
      <c r="U690" s="559"/>
      <c r="V690" s="559"/>
      <c r="W690" s="559"/>
      <c r="X690" s="559"/>
      <c r="Y690" s="559"/>
      <c r="Z690" s="559"/>
      <c r="AA690" s="559"/>
      <c r="AB690" s="559"/>
      <c r="AC690" s="559"/>
      <c r="AD690" s="559"/>
      <c r="AE690" s="559"/>
      <c r="AF690" s="559"/>
      <c r="AG690" s="559"/>
    </row>
    <row r="691" spans="1:33" ht="18" customHeight="1" x14ac:dyDescent="0.35">
      <c r="A691" s="559"/>
      <c r="B691" s="559"/>
      <c r="C691" s="559"/>
      <c r="D691" s="559"/>
      <c r="E691" s="559"/>
      <c r="F691" s="559"/>
      <c r="G691" s="559"/>
      <c r="H691" s="559"/>
      <c r="I691" s="559"/>
      <c r="J691" s="559"/>
      <c r="K691" s="559"/>
      <c r="L691" s="559"/>
      <c r="M691" s="559"/>
      <c r="N691" s="559"/>
      <c r="O691" s="559"/>
      <c r="P691" s="559"/>
      <c r="Q691" s="559"/>
      <c r="R691" s="559"/>
      <c r="S691" s="559"/>
      <c r="T691" s="559"/>
      <c r="U691" s="559"/>
      <c r="V691" s="559"/>
      <c r="W691" s="559"/>
      <c r="X691" s="559"/>
      <c r="Y691" s="559"/>
      <c r="Z691" s="559"/>
      <c r="AA691" s="559"/>
      <c r="AB691" s="559"/>
      <c r="AC691" s="559"/>
      <c r="AD691" s="559"/>
      <c r="AE691" s="559"/>
      <c r="AF691" s="559"/>
      <c r="AG691" s="559"/>
    </row>
    <row r="692" spans="1:33" ht="18" customHeight="1" x14ac:dyDescent="0.35">
      <c r="A692" s="559"/>
      <c r="B692" s="559"/>
      <c r="C692" s="559"/>
      <c r="D692" s="559"/>
      <c r="E692" s="559"/>
      <c r="F692" s="559"/>
      <c r="G692" s="559"/>
      <c r="H692" s="559"/>
      <c r="I692" s="559"/>
      <c r="J692" s="559"/>
      <c r="K692" s="559"/>
      <c r="L692" s="559"/>
      <c r="M692" s="559"/>
      <c r="N692" s="559"/>
      <c r="O692" s="559"/>
      <c r="P692" s="559"/>
      <c r="Q692" s="559"/>
      <c r="R692" s="559"/>
      <c r="S692" s="559"/>
      <c r="T692" s="559"/>
      <c r="U692" s="559"/>
      <c r="V692" s="559"/>
      <c r="W692" s="559"/>
      <c r="X692" s="559"/>
      <c r="Y692" s="559"/>
      <c r="Z692" s="559"/>
      <c r="AA692" s="559"/>
      <c r="AB692" s="559"/>
      <c r="AC692" s="559"/>
      <c r="AD692" s="559"/>
      <c r="AE692" s="559"/>
      <c r="AF692" s="559"/>
      <c r="AG692" s="559"/>
    </row>
    <row r="693" spans="1:33" ht="18" customHeight="1" x14ac:dyDescent="0.35">
      <c r="A693" s="559"/>
      <c r="B693" s="559"/>
      <c r="C693" s="559"/>
      <c r="D693" s="559"/>
      <c r="E693" s="559"/>
      <c r="F693" s="559"/>
      <c r="G693" s="559"/>
      <c r="H693" s="559"/>
      <c r="I693" s="559"/>
      <c r="J693" s="559"/>
      <c r="K693" s="559"/>
      <c r="L693" s="559"/>
      <c r="M693" s="559"/>
      <c r="N693" s="559"/>
      <c r="O693" s="559"/>
      <c r="P693" s="559"/>
      <c r="Q693" s="559"/>
      <c r="R693" s="559"/>
      <c r="S693" s="559"/>
      <c r="T693" s="559"/>
      <c r="U693" s="559"/>
      <c r="V693" s="559"/>
      <c r="W693" s="559"/>
      <c r="X693" s="559"/>
      <c r="Y693" s="559"/>
      <c r="Z693" s="559"/>
      <c r="AA693" s="559"/>
      <c r="AB693" s="559"/>
      <c r="AC693" s="559"/>
      <c r="AD693" s="559"/>
      <c r="AE693" s="559"/>
      <c r="AF693" s="559"/>
      <c r="AG693" s="559"/>
    </row>
    <row r="694" spans="1:33" ht="18" customHeight="1" x14ac:dyDescent="0.35">
      <c r="A694" s="559"/>
      <c r="B694" s="559"/>
      <c r="C694" s="559"/>
      <c r="D694" s="559"/>
      <c r="E694" s="559"/>
      <c r="F694" s="559"/>
      <c r="G694" s="559"/>
      <c r="H694" s="559"/>
      <c r="I694" s="559"/>
      <c r="J694" s="559"/>
      <c r="K694" s="559"/>
      <c r="L694" s="559"/>
      <c r="M694" s="559"/>
      <c r="N694" s="559"/>
      <c r="O694" s="559"/>
      <c r="P694" s="559"/>
      <c r="Q694" s="559"/>
      <c r="R694" s="559"/>
      <c r="S694" s="559"/>
      <c r="T694" s="559"/>
      <c r="U694" s="559"/>
      <c r="V694" s="559"/>
      <c r="W694" s="559"/>
      <c r="X694" s="559"/>
      <c r="Y694" s="559"/>
      <c r="Z694" s="559"/>
      <c r="AA694" s="559"/>
      <c r="AB694" s="559"/>
      <c r="AC694" s="559"/>
      <c r="AD694" s="559"/>
      <c r="AE694" s="559"/>
      <c r="AF694" s="559"/>
      <c r="AG694" s="559"/>
    </row>
    <row r="695" spans="1:33" ht="18" customHeight="1" x14ac:dyDescent="0.35">
      <c r="A695" s="559"/>
      <c r="B695" s="559"/>
      <c r="C695" s="559"/>
      <c r="D695" s="559"/>
      <c r="E695" s="559"/>
      <c r="F695" s="559"/>
      <c r="G695" s="559"/>
      <c r="H695" s="559"/>
      <c r="I695" s="559"/>
      <c r="J695" s="559"/>
      <c r="K695" s="559"/>
      <c r="L695" s="559"/>
      <c r="M695" s="559"/>
      <c r="N695" s="559"/>
      <c r="O695" s="559"/>
      <c r="P695" s="559"/>
      <c r="Q695" s="559"/>
      <c r="R695" s="559"/>
      <c r="S695" s="559"/>
      <c r="T695" s="559"/>
      <c r="U695" s="559"/>
      <c r="V695" s="559"/>
      <c r="W695" s="559"/>
      <c r="X695" s="559"/>
      <c r="Y695" s="559"/>
      <c r="Z695" s="559"/>
      <c r="AA695" s="559"/>
      <c r="AB695" s="559"/>
      <c r="AC695" s="559"/>
      <c r="AD695" s="559"/>
      <c r="AE695" s="559"/>
      <c r="AF695" s="559"/>
      <c r="AG695" s="559"/>
    </row>
    <row r="696" spans="1:33" ht="18" customHeight="1" x14ac:dyDescent="0.35">
      <c r="A696" s="559"/>
      <c r="B696" s="559"/>
      <c r="C696" s="559"/>
      <c r="D696" s="559"/>
      <c r="E696" s="559"/>
      <c r="F696" s="559"/>
      <c r="G696" s="559"/>
      <c r="H696" s="559"/>
      <c r="I696" s="559"/>
      <c r="J696" s="559"/>
      <c r="K696" s="559"/>
      <c r="L696" s="559"/>
      <c r="M696" s="559"/>
      <c r="N696" s="559"/>
      <c r="O696" s="559"/>
      <c r="P696" s="559"/>
      <c r="Q696" s="559"/>
      <c r="R696" s="559"/>
      <c r="S696" s="559"/>
      <c r="T696" s="559"/>
      <c r="U696" s="559"/>
      <c r="V696" s="559"/>
      <c r="W696" s="559"/>
      <c r="X696" s="559"/>
      <c r="Y696" s="559"/>
      <c r="Z696" s="559"/>
      <c r="AA696" s="559"/>
      <c r="AB696" s="559"/>
      <c r="AC696" s="559"/>
      <c r="AD696" s="559"/>
      <c r="AE696" s="559"/>
      <c r="AF696" s="559"/>
      <c r="AG696" s="559"/>
    </row>
    <row r="697" spans="1:33" ht="18" customHeight="1" x14ac:dyDescent="0.35">
      <c r="A697" s="559"/>
      <c r="B697" s="559"/>
      <c r="C697" s="559"/>
      <c r="D697" s="559"/>
      <c r="E697" s="559"/>
      <c r="F697" s="559"/>
      <c r="G697" s="559"/>
      <c r="H697" s="559"/>
      <c r="I697" s="559"/>
      <c r="J697" s="559"/>
      <c r="K697" s="559"/>
      <c r="L697" s="559"/>
      <c r="M697" s="559"/>
      <c r="N697" s="559"/>
      <c r="O697" s="559"/>
      <c r="P697" s="559"/>
      <c r="Q697" s="559"/>
      <c r="R697" s="559"/>
      <c r="S697" s="559"/>
      <c r="T697" s="559"/>
      <c r="U697" s="559"/>
      <c r="V697" s="559"/>
      <c r="W697" s="559"/>
      <c r="X697" s="559"/>
      <c r="Y697" s="559"/>
      <c r="Z697" s="559"/>
      <c r="AA697" s="559"/>
      <c r="AB697" s="559"/>
      <c r="AC697" s="559"/>
      <c r="AD697" s="559"/>
      <c r="AE697" s="559"/>
      <c r="AF697" s="559"/>
      <c r="AG697" s="559"/>
    </row>
    <row r="698" spans="1:33" ht="18" customHeight="1" x14ac:dyDescent="0.35">
      <c r="A698" s="559"/>
      <c r="B698" s="559"/>
      <c r="C698" s="559"/>
      <c r="D698" s="559"/>
      <c r="E698" s="559"/>
      <c r="F698" s="559"/>
      <c r="G698" s="559"/>
      <c r="H698" s="559"/>
      <c r="I698" s="559"/>
      <c r="J698" s="559"/>
      <c r="K698" s="559"/>
      <c r="L698" s="559"/>
      <c r="M698" s="559"/>
      <c r="N698" s="559"/>
      <c r="O698" s="559"/>
      <c r="P698" s="559"/>
      <c r="Q698" s="559"/>
      <c r="R698" s="559"/>
      <c r="S698" s="559"/>
      <c r="T698" s="559"/>
      <c r="U698" s="559"/>
      <c r="V698" s="559"/>
      <c r="W698" s="559"/>
      <c r="X698" s="559"/>
      <c r="Y698" s="559"/>
      <c r="Z698" s="559"/>
      <c r="AA698" s="559"/>
      <c r="AB698" s="559"/>
      <c r="AC698" s="559"/>
      <c r="AD698" s="559"/>
      <c r="AE698" s="559"/>
      <c r="AF698" s="559"/>
      <c r="AG698" s="559"/>
    </row>
    <row r="699" spans="1:33" ht="18" customHeight="1" x14ac:dyDescent="0.35">
      <c r="A699" s="559"/>
      <c r="B699" s="559"/>
      <c r="C699" s="559"/>
      <c r="D699" s="559"/>
      <c r="E699" s="559"/>
      <c r="F699" s="559"/>
      <c r="G699" s="559"/>
      <c r="H699" s="559"/>
      <c r="I699" s="559"/>
      <c r="J699" s="559"/>
      <c r="K699" s="559"/>
      <c r="L699" s="559"/>
      <c r="M699" s="559"/>
      <c r="N699" s="559"/>
      <c r="O699" s="559"/>
      <c r="P699" s="559"/>
      <c r="Q699" s="559"/>
      <c r="R699" s="559"/>
      <c r="S699" s="559"/>
      <c r="T699" s="559"/>
      <c r="U699" s="559"/>
      <c r="V699" s="559"/>
      <c r="W699" s="559"/>
      <c r="X699" s="559"/>
      <c r="Y699" s="559"/>
      <c r="Z699" s="559"/>
      <c r="AA699" s="559"/>
      <c r="AB699" s="559"/>
      <c r="AC699" s="559"/>
      <c r="AD699" s="559"/>
      <c r="AE699" s="559"/>
      <c r="AF699" s="559"/>
      <c r="AG699" s="559"/>
    </row>
    <row r="700" spans="1:33" ht="18" customHeight="1" x14ac:dyDescent="0.35">
      <c r="A700" s="559"/>
      <c r="B700" s="559"/>
      <c r="C700" s="559"/>
      <c r="D700" s="559"/>
      <c r="E700" s="559"/>
      <c r="F700" s="559"/>
      <c r="G700" s="559"/>
      <c r="H700" s="559"/>
      <c r="I700" s="559"/>
      <c r="J700" s="559"/>
      <c r="K700" s="559"/>
      <c r="L700" s="559"/>
      <c r="M700" s="559"/>
      <c r="N700" s="559"/>
      <c r="O700" s="559"/>
      <c r="P700" s="559"/>
      <c r="Q700" s="559"/>
      <c r="R700" s="559"/>
      <c r="S700" s="559"/>
      <c r="T700" s="559"/>
      <c r="U700" s="559"/>
      <c r="V700" s="559"/>
      <c r="W700" s="559"/>
      <c r="X700" s="559"/>
      <c r="Y700" s="559"/>
      <c r="Z700" s="559"/>
      <c r="AA700" s="559"/>
      <c r="AB700" s="559"/>
      <c r="AC700" s="559"/>
      <c r="AD700" s="559"/>
      <c r="AE700" s="559"/>
      <c r="AF700" s="559"/>
      <c r="AG700" s="559"/>
    </row>
    <row r="701" spans="1:33" ht="18" customHeight="1" x14ac:dyDescent="0.35">
      <c r="A701" s="559"/>
      <c r="B701" s="559"/>
      <c r="C701" s="559"/>
      <c r="D701" s="559"/>
      <c r="E701" s="559"/>
      <c r="F701" s="559"/>
      <c r="G701" s="559"/>
      <c r="H701" s="559"/>
      <c r="I701" s="559"/>
      <c r="J701" s="559"/>
      <c r="K701" s="559"/>
      <c r="L701" s="559"/>
      <c r="M701" s="559"/>
      <c r="N701" s="559"/>
      <c r="O701" s="559"/>
      <c r="P701" s="559"/>
      <c r="Q701" s="559"/>
      <c r="R701" s="559"/>
      <c r="S701" s="559"/>
      <c r="T701" s="559"/>
      <c r="U701" s="559"/>
      <c r="V701" s="559"/>
      <c r="W701" s="559"/>
      <c r="X701" s="559"/>
      <c r="Y701" s="559"/>
      <c r="Z701" s="559"/>
      <c r="AA701" s="559"/>
      <c r="AB701" s="559"/>
      <c r="AC701" s="559"/>
      <c r="AD701" s="559"/>
      <c r="AE701" s="559"/>
      <c r="AF701" s="559"/>
      <c r="AG701" s="559"/>
    </row>
    <row r="702" spans="1:33" ht="18" customHeight="1" x14ac:dyDescent="0.35">
      <c r="A702" s="559"/>
      <c r="B702" s="559"/>
      <c r="C702" s="559"/>
      <c r="D702" s="559"/>
      <c r="E702" s="559"/>
      <c r="F702" s="559"/>
      <c r="G702" s="559"/>
      <c r="H702" s="559"/>
      <c r="I702" s="559"/>
      <c r="J702" s="559"/>
      <c r="K702" s="559"/>
      <c r="L702" s="559"/>
      <c r="M702" s="559"/>
      <c r="N702" s="559"/>
      <c r="O702" s="559"/>
      <c r="P702" s="559"/>
      <c r="Q702" s="559"/>
      <c r="R702" s="559"/>
      <c r="S702" s="559"/>
      <c r="T702" s="559"/>
      <c r="U702" s="559"/>
      <c r="V702" s="559"/>
      <c r="W702" s="559"/>
      <c r="X702" s="559"/>
      <c r="Y702" s="559"/>
      <c r="Z702" s="559"/>
      <c r="AA702" s="559"/>
      <c r="AB702" s="559"/>
      <c r="AC702" s="559"/>
      <c r="AD702" s="559"/>
      <c r="AE702" s="559"/>
      <c r="AF702" s="559"/>
      <c r="AG702" s="559"/>
    </row>
    <row r="703" spans="1:33" ht="18" customHeight="1" x14ac:dyDescent="0.35">
      <c r="A703" s="559"/>
      <c r="B703" s="559"/>
      <c r="C703" s="559"/>
      <c r="D703" s="559"/>
      <c r="E703" s="559"/>
      <c r="F703" s="559"/>
      <c r="G703" s="559"/>
      <c r="H703" s="559"/>
      <c r="I703" s="559"/>
      <c r="J703" s="559"/>
      <c r="K703" s="559"/>
      <c r="L703" s="559"/>
      <c r="M703" s="559"/>
      <c r="N703" s="559"/>
      <c r="O703" s="559"/>
      <c r="P703" s="559"/>
      <c r="Q703" s="559"/>
      <c r="R703" s="559"/>
      <c r="S703" s="559"/>
      <c r="T703" s="559"/>
      <c r="U703" s="559"/>
      <c r="V703" s="559"/>
      <c r="W703" s="559"/>
      <c r="X703" s="559"/>
      <c r="Y703" s="559"/>
      <c r="Z703" s="559"/>
      <c r="AA703" s="559"/>
      <c r="AB703" s="559"/>
      <c r="AC703" s="559"/>
      <c r="AD703" s="559"/>
      <c r="AE703" s="559"/>
      <c r="AF703" s="559"/>
      <c r="AG703" s="559"/>
    </row>
    <row r="704" spans="1:33" ht="18" customHeight="1" x14ac:dyDescent="0.35">
      <c r="A704" s="559"/>
      <c r="B704" s="559"/>
      <c r="C704" s="559"/>
      <c r="D704" s="559"/>
      <c r="E704" s="559"/>
      <c r="F704" s="559"/>
      <c r="G704" s="559"/>
      <c r="H704" s="559"/>
      <c r="I704" s="559"/>
      <c r="J704" s="559"/>
      <c r="K704" s="559"/>
      <c r="L704" s="559"/>
      <c r="M704" s="559"/>
      <c r="N704" s="559"/>
      <c r="O704" s="559"/>
      <c r="P704" s="559"/>
      <c r="Q704" s="559"/>
      <c r="R704" s="559"/>
      <c r="S704" s="559"/>
      <c r="T704" s="559"/>
      <c r="U704" s="559"/>
      <c r="V704" s="559"/>
      <c r="W704" s="559"/>
      <c r="X704" s="559"/>
      <c r="Y704" s="559"/>
      <c r="Z704" s="559"/>
      <c r="AA704" s="559"/>
      <c r="AB704" s="559"/>
      <c r="AC704" s="559"/>
      <c r="AD704" s="559"/>
      <c r="AE704" s="559"/>
      <c r="AF704" s="559"/>
      <c r="AG704" s="559"/>
    </row>
    <row r="705" spans="1:33" ht="18" customHeight="1" x14ac:dyDescent="0.35">
      <c r="A705" s="559"/>
      <c r="B705" s="559"/>
      <c r="C705" s="559"/>
      <c r="D705" s="559"/>
      <c r="E705" s="559"/>
      <c r="F705" s="559"/>
      <c r="G705" s="559"/>
      <c r="H705" s="559"/>
      <c r="I705" s="559"/>
      <c r="J705" s="559"/>
      <c r="K705" s="559"/>
      <c r="L705" s="559"/>
      <c r="M705" s="559"/>
      <c r="N705" s="559"/>
      <c r="O705" s="559"/>
      <c r="P705" s="559"/>
      <c r="Q705" s="559"/>
      <c r="R705" s="559"/>
      <c r="S705" s="559"/>
      <c r="T705" s="559"/>
      <c r="U705" s="559"/>
      <c r="V705" s="559"/>
      <c r="W705" s="559"/>
      <c r="X705" s="559"/>
      <c r="Y705" s="559"/>
      <c r="Z705" s="559"/>
      <c r="AA705" s="559"/>
      <c r="AB705" s="559"/>
      <c r="AC705" s="559"/>
      <c r="AD705" s="559"/>
      <c r="AE705" s="559"/>
      <c r="AF705" s="559"/>
      <c r="AG705" s="559"/>
    </row>
    <row r="706" spans="1:33" ht="18" customHeight="1" x14ac:dyDescent="0.35">
      <c r="A706" s="559"/>
      <c r="B706" s="559"/>
      <c r="C706" s="559"/>
      <c r="D706" s="559"/>
      <c r="E706" s="559"/>
      <c r="F706" s="559"/>
      <c r="G706" s="559"/>
      <c r="H706" s="559"/>
      <c r="I706" s="559"/>
      <c r="J706" s="559"/>
      <c r="K706" s="559"/>
      <c r="L706" s="559"/>
      <c r="M706" s="559"/>
      <c r="N706" s="559"/>
      <c r="O706" s="559"/>
      <c r="P706" s="559"/>
      <c r="Q706" s="559"/>
      <c r="R706" s="559"/>
      <c r="S706" s="559"/>
      <c r="T706" s="559"/>
      <c r="U706" s="559"/>
      <c r="V706" s="559"/>
      <c r="W706" s="559"/>
      <c r="X706" s="559"/>
      <c r="Y706" s="559"/>
      <c r="Z706" s="559"/>
      <c r="AA706" s="559"/>
      <c r="AB706" s="559"/>
      <c r="AC706" s="559"/>
      <c r="AD706" s="559"/>
      <c r="AE706" s="559"/>
      <c r="AF706" s="559"/>
      <c r="AG706" s="559"/>
    </row>
    <row r="707" spans="1:33" ht="18" customHeight="1" x14ac:dyDescent="0.35">
      <c r="A707" s="559"/>
      <c r="B707" s="559"/>
      <c r="C707" s="559"/>
      <c r="D707" s="559"/>
      <c r="E707" s="559"/>
      <c r="F707" s="559"/>
      <c r="G707" s="559"/>
      <c r="H707" s="559"/>
      <c r="I707" s="559"/>
      <c r="J707" s="559"/>
      <c r="K707" s="559"/>
      <c r="L707" s="559"/>
      <c r="M707" s="559"/>
      <c r="N707" s="559"/>
      <c r="O707" s="559"/>
      <c r="P707" s="559"/>
      <c r="Q707" s="559"/>
      <c r="R707" s="559"/>
      <c r="S707" s="559"/>
      <c r="T707" s="559"/>
      <c r="U707" s="559"/>
      <c r="V707" s="559"/>
      <c r="W707" s="559"/>
      <c r="X707" s="559"/>
      <c r="Y707" s="559"/>
      <c r="Z707" s="559"/>
      <c r="AA707" s="559"/>
      <c r="AB707" s="559"/>
      <c r="AC707" s="559"/>
      <c r="AD707" s="559"/>
      <c r="AE707" s="559"/>
      <c r="AF707" s="559"/>
      <c r="AG707" s="559"/>
    </row>
    <row r="708" spans="1:33" ht="18" customHeight="1" x14ac:dyDescent="0.35">
      <c r="A708" s="559"/>
      <c r="B708" s="559"/>
      <c r="C708" s="559"/>
      <c r="D708" s="559"/>
      <c r="E708" s="559"/>
      <c r="F708" s="559"/>
      <c r="G708" s="559"/>
      <c r="H708" s="559"/>
      <c r="I708" s="559"/>
      <c r="J708" s="559"/>
      <c r="K708" s="559"/>
      <c r="L708" s="559"/>
      <c r="M708" s="559"/>
      <c r="N708" s="559"/>
      <c r="O708" s="559"/>
      <c r="P708" s="559"/>
      <c r="Q708" s="559"/>
      <c r="R708" s="559"/>
      <c r="S708" s="559"/>
      <c r="T708" s="559"/>
      <c r="U708" s="559"/>
      <c r="V708" s="559"/>
      <c r="W708" s="559"/>
      <c r="X708" s="559"/>
      <c r="Y708" s="559"/>
      <c r="Z708" s="559"/>
      <c r="AA708" s="559"/>
      <c r="AB708" s="559"/>
      <c r="AC708" s="559"/>
      <c r="AD708" s="559"/>
      <c r="AE708" s="559"/>
      <c r="AF708" s="559"/>
      <c r="AG708" s="559"/>
    </row>
    <row r="709" spans="1:33" ht="18" customHeight="1" x14ac:dyDescent="0.35">
      <c r="A709" s="559"/>
      <c r="B709" s="559"/>
      <c r="C709" s="559"/>
      <c r="D709" s="559"/>
      <c r="E709" s="559"/>
      <c r="F709" s="559"/>
      <c r="G709" s="559"/>
      <c r="H709" s="559"/>
      <c r="I709" s="559"/>
      <c r="J709" s="559"/>
      <c r="K709" s="559"/>
      <c r="L709" s="559"/>
      <c r="M709" s="559"/>
      <c r="N709" s="559"/>
      <c r="O709" s="559"/>
      <c r="P709" s="559"/>
      <c r="Q709" s="559"/>
      <c r="R709" s="559"/>
      <c r="S709" s="559"/>
      <c r="T709" s="559"/>
      <c r="U709" s="559"/>
      <c r="V709" s="559"/>
      <c r="W709" s="559"/>
      <c r="X709" s="559"/>
      <c r="Y709" s="559"/>
      <c r="Z709" s="559"/>
      <c r="AA709" s="559"/>
      <c r="AB709" s="559"/>
      <c r="AC709" s="559"/>
      <c r="AD709" s="559"/>
      <c r="AE709" s="559"/>
      <c r="AF709" s="559"/>
      <c r="AG709" s="559"/>
    </row>
    <row r="710" spans="1:33" ht="18" customHeight="1" x14ac:dyDescent="0.35">
      <c r="A710" s="559"/>
      <c r="B710" s="559"/>
      <c r="C710" s="559"/>
      <c r="D710" s="559"/>
      <c r="E710" s="559"/>
      <c r="F710" s="559"/>
      <c r="G710" s="559"/>
      <c r="H710" s="559"/>
      <c r="I710" s="559"/>
      <c r="J710" s="559"/>
      <c r="K710" s="559"/>
      <c r="L710" s="559"/>
      <c r="M710" s="559"/>
      <c r="N710" s="559"/>
      <c r="O710" s="559"/>
      <c r="P710" s="559"/>
      <c r="Q710" s="559"/>
      <c r="R710" s="559"/>
      <c r="S710" s="559"/>
      <c r="T710" s="559"/>
      <c r="U710" s="559"/>
      <c r="V710" s="559"/>
      <c r="W710" s="559"/>
      <c r="X710" s="559"/>
      <c r="Y710" s="559"/>
      <c r="Z710" s="559"/>
      <c r="AA710" s="559"/>
      <c r="AB710" s="559"/>
      <c r="AC710" s="559"/>
      <c r="AD710" s="559"/>
      <c r="AE710" s="559"/>
      <c r="AF710" s="559"/>
      <c r="AG710" s="559"/>
    </row>
    <row r="711" spans="1:33" ht="18" customHeight="1" x14ac:dyDescent="0.35">
      <c r="A711" s="559"/>
      <c r="B711" s="559"/>
      <c r="C711" s="559"/>
      <c r="D711" s="559"/>
      <c r="E711" s="559"/>
      <c r="F711" s="559"/>
      <c r="G711" s="559"/>
      <c r="H711" s="559"/>
      <c r="I711" s="559"/>
      <c r="J711" s="559"/>
      <c r="K711" s="559"/>
      <c r="L711" s="559"/>
      <c r="M711" s="559"/>
      <c r="N711" s="559"/>
      <c r="O711" s="559"/>
      <c r="P711" s="559"/>
      <c r="Q711" s="559"/>
      <c r="R711" s="559"/>
      <c r="S711" s="559"/>
      <c r="T711" s="559"/>
      <c r="U711" s="559"/>
      <c r="V711" s="559"/>
      <c r="W711" s="559"/>
      <c r="X711" s="559"/>
      <c r="Y711" s="559"/>
      <c r="Z711" s="559"/>
      <c r="AA711" s="559"/>
      <c r="AB711" s="559"/>
      <c r="AC711" s="559"/>
      <c r="AD711" s="559"/>
      <c r="AE711" s="559"/>
      <c r="AF711" s="559"/>
      <c r="AG711" s="559"/>
    </row>
    <row r="712" spans="1:33" ht="18" customHeight="1" x14ac:dyDescent="0.35">
      <c r="A712" s="559"/>
      <c r="B712" s="559"/>
      <c r="C712" s="559"/>
      <c r="D712" s="559"/>
      <c r="E712" s="559"/>
      <c r="F712" s="559"/>
      <c r="G712" s="559"/>
      <c r="H712" s="559"/>
      <c r="I712" s="559"/>
      <c r="J712" s="559"/>
      <c r="K712" s="559"/>
      <c r="L712" s="559"/>
      <c r="M712" s="559"/>
      <c r="N712" s="559"/>
      <c r="O712" s="559"/>
      <c r="P712" s="559"/>
      <c r="Q712" s="559"/>
      <c r="R712" s="559"/>
      <c r="S712" s="559"/>
      <c r="T712" s="559"/>
      <c r="U712" s="559"/>
      <c r="V712" s="559"/>
      <c r="W712" s="559"/>
      <c r="X712" s="559"/>
      <c r="Y712" s="559"/>
      <c r="Z712" s="559"/>
      <c r="AA712" s="559"/>
      <c r="AB712" s="559"/>
      <c r="AC712" s="559"/>
      <c r="AD712" s="559"/>
      <c r="AE712" s="559"/>
      <c r="AF712" s="559"/>
      <c r="AG712" s="559"/>
    </row>
    <row r="713" spans="1:33" ht="18" customHeight="1" x14ac:dyDescent="0.35">
      <c r="A713" s="559"/>
      <c r="B713" s="559"/>
      <c r="C713" s="559"/>
      <c r="D713" s="559"/>
      <c r="E713" s="559"/>
      <c r="F713" s="559"/>
      <c r="G713" s="559"/>
      <c r="H713" s="559"/>
      <c r="I713" s="559"/>
      <c r="J713" s="559"/>
      <c r="K713" s="559"/>
      <c r="L713" s="559"/>
      <c r="M713" s="559"/>
      <c r="N713" s="559"/>
      <c r="O713" s="559"/>
      <c r="P713" s="559"/>
      <c r="Q713" s="559"/>
      <c r="R713" s="559"/>
      <c r="S713" s="559"/>
      <c r="T713" s="559"/>
      <c r="U713" s="559"/>
      <c r="V713" s="559"/>
      <c r="W713" s="559"/>
      <c r="X713" s="559"/>
      <c r="Y713" s="559"/>
      <c r="Z713" s="559"/>
      <c r="AA713" s="559"/>
      <c r="AB713" s="559"/>
      <c r="AC713" s="559"/>
      <c r="AD713" s="559"/>
      <c r="AE713" s="559"/>
      <c r="AF713" s="559"/>
      <c r="AG713" s="559"/>
    </row>
    <row r="714" spans="1:33" ht="18" customHeight="1" x14ac:dyDescent="0.35">
      <c r="A714" s="559"/>
      <c r="B714" s="559"/>
      <c r="C714" s="559"/>
      <c r="D714" s="559"/>
      <c r="E714" s="559"/>
      <c r="F714" s="559"/>
      <c r="G714" s="559"/>
      <c r="H714" s="559"/>
      <c r="I714" s="559"/>
      <c r="J714" s="559"/>
      <c r="K714" s="559"/>
      <c r="L714" s="559"/>
      <c r="M714" s="559"/>
      <c r="N714" s="559"/>
      <c r="O714" s="559"/>
      <c r="P714" s="559"/>
      <c r="Q714" s="559"/>
      <c r="R714" s="559"/>
      <c r="S714" s="559"/>
      <c r="T714" s="559"/>
      <c r="U714" s="559"/>
      <c r="V714" s="559"/>
      <c r="W714" s="559"/>
      <c r="X714" s="559"/>
      <c r="Y714" s="559"/>
      <c r="Z714" s="559"/>
      <c r="AA714" s="559"/>
      <c r="AB714" s="559"/>
      <c r="AC714" s="559"/>
      <c r="AD714" s="559"/>
      <c r="AE714" s="559"/>
      <c r="AF714" s="559"/>
      <c r="AG714" s="559"/>
    </row>
    <row r="715" spans="1:33" ht="18" customHeight="1" x14ac:dyDescent="0.35">
      <c r="A715" s="559"/>
      <c r="B715" s="559"/>
      <c r="C715" s="559"/>
      <c r="D715" s="559"/>
      <c r="E715" s="559"/>
      <c r="F715" s="559"/>
      <c r="G715" s="559"/>
      <c r="H715" s="559"/>
      <c r="I715" s="559"/>
      <c r="J715" s="559"/>
      <c r="K715" s="559"/>
      <c r="L715" s="559"/>
      <c r="M715" s="559"/>
      <c r="N715" s="559"/>
      <c r="O715" s="559"/>
      <c r="P715" s="559"/>
      <c r="Q715" s="559"/>
      <c r="R715" s="559"/>
      <c r="S715" s="559"/>
      <c r="T715" s="559"/>
      <c r="U715" s="559"/>
      <c r="V715" s="559"/>
      <c r="W715" s="559"/>
      <c r="X715" s="559"/>
      <c r="Y715" s="559"/>
      <c r="Z715" s="559"/>
      <c r="AA715" s="559"/>
      <c r="AB715" s="559"/>
      <c r="AC715" s="559"/>
      <c r="AD715" s="559"/>
      <c r="AE715" s="559"/>
      <c r="AF715" s="559"/>
      <c r="AG715" s="559"/>
    </row>
    <row r="716" spans="1:33" ht="18" customHeight="1" x14ac:dyDescent="0.35">
      <c r="A716" s="559"/>
      <c r="B716" s="559"/>
      <c r="C716" s="559"/>
      <c r="D716" s="559"/>
      <c r="E716" s="559"/>
      <c r="F716" s="559"/>
      <c r="G716" s="559"/>
      <c r="H716" s="559"/>
      <c r="I716" s="559"/>
      <c r="J716" s="559"/>
      <c r="K716" s="559"/>
      <c r="L716" s="559"/>
      <c r="M716" s="559"/>
      <c r="N716" s="559"/>
      <c r="O716" s="559"/>
      <c r="P716" s="559"/>
      <c r="Q716" s="559"/>
      <c r="R716" s="559"/>
      <c r="S716" s="559"/>
      <c r="T716" s="559"/>
      <c r="U716" s="559"/>
      <c r="V716" s="559"/>
      <c r="W716" s="559"/>
      <c r="X716" s="559"/>
      <c r="Y716" s="559"/>
      <c r="Z716" s="559"/>
      <c r="AA716" s="559"/>
      <c r="AB716" s="559"/>
      <c r="AC716" s="559"/>
      <c r="AD716" s="559"/>
      <c r="AE716" s="559"/>
      <c r="AF716" s="559"/>
      <c r="AG716" s="559"/>
    </row>
    <row r="717" spans="1:33" ht="18" customHeight="1" x14ac:dyDescent="0.35">
      <c r="A717" s="559"/>
      <c r="B717" s="559"/>
      <c r="C717" s="559"/>
      <c r="D717" s="559"/>
      <c r="E717" s="559"/>
      <c r="F717" s="559"/>
      <c r="G717" s="559"/>
      <c r="H717" s="559"/>
      <c r="I717" s="559"/>
      <c r="J717" s="559"/>
      <c r="K717" s="559"/>
      <c r="L717" s="559"/>
      <c r="M717" s="559"/>
      <c r="N717" s="559"/>
      <c r="O717" s="559"/>
      <c r="P717" s="559"/>
      <c r="Q717" s="559"/>
      <c r="R717" s="559"/>
      <c r="S717" s="559"/>
      <c r="T717" s="559"/>
      <c r="U717" s="559"/>
      <c r="V717" s="559"/>
      <c r="W717" s="559"/>
      <c r="X717" s="559"/>
      <c r="Y717" s="559"/>
      <c r="Z717" s="559"/>
      <c r="AA717" s="559"/>
      <c r="AB717" s="559"/>
      <c r="AC717" s="559"/>
      <c r="AD717" s="559"/>
      <c r="AE717" s="559"/>
      <c r="AF717" s="559"/>
      <c r="AG717" s="559"/>
    </row>
    <row r="718" spans="1:33" ht="18" customHeight="1" x14ac:dyDescent="0.35">
      <c r="A718" s="559"/>
      <c r="B718" s="559"/>
      <c r="C718" s="559"/>
      <c r="D718" s="559"/>
      <c r="E718" s="559"/>
      <c r="F718" s="559"/>
      <c r="G718" s="559"/>
      <c r="H718" s="559"/>
      <c r="I718" s="559"/>
      <c r="J718" s="559"/>
      <c r="K718" s="559"/>
      <c r="L718" s="559"/>
      <c r="M718" s="559"/>
      <c r="N718" s="559"/>
      <c r="O718" s="559"/>
      <c r="P718" s="559"/>
      <c r="Q718" s="559"/>
      <c r="R718" s="559"/>
      <c r="S718" s="559"/>
      <c r="T718" s="559"/>
      <c r="U718" s="559"/>
      <c r="V718" s="559"/>
      <c r="W718" s="559"/>
      <c r="X718" s="559"/>
      <c r="Y718" s="559"/>
      <c r="Z718" s="559"/>
      <c r="AA718" s="559"/>
      <c r="AB718" s="559"/>
      <c r="AC718" s="559"/>
      <c r="AD718" s="559"/>
      <c r="AE718" s="559"/>
      <c r="AF718" s="559"/>
      <c r="AG718" s="559"/>
    </row>
    <row r="719" spans="1:33" ht="18" customHeight="1" x14ac:dyDescent="0.35">
      <c r="A719" s="559"/>
      <c r="B719" s="559"/>
      <c r="C719" s="559"/>
      <c r="D719" s="559"/>
      <c r="E719" s="559"/>
      <c r="F719" s="559"/>
      <c r="G719" s="559"/>
      <c r="H719" s="559"/>
      <c r="I719" s="559"/>
      <c r="J719" s="559"/>
      <c r="K719" s="559"/>
      <c r="L719" s="559"/>
      <c r="M719" s="559"/>
      <c r="N719" s="559"/>
      <c r="O719" s="559"/>
      <c r="P719" s="559"/>
      <c r="Q719" s="559"/>
      <c r="R719" s="559"/>
      <c r="S719" s="559"/>
      <c r="T719" s="559"/>
      <c r="U719" s="559"/>
      <c r="V719" s="559"/>
      <c r="W719" s="559"/>
      <c r="X719" s="559"/>
      <c r="Y719" s="559"/>
      <c r="Z719" s="559"/>
      <c r="AA719" s="559"/>
      <c r="AB719" s="559"/>
      <c r="AC719" s="559"/>
      <c r="AD719" s="559"/>
      <c r="AE719" s="559"/>
      <c r="AF719" s="559"/>
      <c r="AG719" s="559"/>
    </row>
    <row r="720" spans="1:33" ht="18" customHeight="1" x14ac:dyDescent="0.35">
      <c r="A720" s="559"/>
      <c r="B720" s="559"/>
      <c r="C720" s="559"/>
      <c r="D720" s="559"/>
      <c r="E720" s="559"/>
      <c r="F720" s="559"/>
      <c r="G720" s="559"/>
      <c r="H720" s="559"/>
      <c r="I720" s="559"/>
      <c r="J720" s="559"/>
      <c r="K720" s="559"/>
      <c r="L720" s="559"/>
      <c r="M720" s="559"/>
      <c r="N720" s="559"/>
      <c r="O720" s="559"/>
      <c r="P720" s="559"/>
      <c r="Q720" s="559"/>
      <c r="R720" s="559"/>
      <c r="S720" s="559"/>
      <c r="T720" s="559"/>
      <c r="U720" s="559"/>
      <c r="V720" s="559"/>
      <c r="W720" s="559"/>
      <c r="X720" s="559"/>
      <c r="Y720" s="559"/>
      <c r="Z720" s="559"/>
      <c r="AA720" s="559"/>
      <c r="AB720" s="559"/>
      <c r="AC720" s="559"/>
      <c r="AD720" s="559"/>
      <c r="AE720" s="559"/>
      <c r="AF720" s="559"/>
      <c r="AG720" s="559"/>
    </row>
    <row r="721" spans="1:33" ht="18" customHeight="1" x14ac:dyDescent="0.35">
      <c r="A721" s="559"/>
      <c r="B721" s="559"/>
      <c r="C721" s="559"/>
      <c r="D721" s="559"/>
      <c r="E721" s="559"/>
      <c r="F721" s="559"/>
      <c r="G721" s="559"/>
      <c r="H721" s="559"/>
      <c r="I721" s="559"/>
      <c r="J721" s="559"/>
      <c r="K721" s="559"/>
      <c r="L721" s="559"/>
      <c r="M721" s="559"/>
      <c r="N721" s="559"/>
      <c r="O721" s="559"/>
      <c r="P721" s="559"/>
      <c r="Q721" s="559"/>
      <c r="R721" s="559"/>
      <c r="S721" s="559"/>
      <c r="T721" s="559"/>
      <c r="U721" s="559"/>
      <c r="V721" s="559"/>
      <c r="W721" s="559"/>
      <c r="X721" s="559"/>
      <c r="Y721" s="559"/>
      <c r="Z721" s="559"/>
      <c r="AA721" s="559"/>
      <c r="AB721" s="559"/>
      <c r="AC721" s="559"/>
      <c r="AD721" s="559"/>
      <c r="AE721" s="559"/>
      <c r="AF721" s="559"/>
      <c r="AG721" s="559"/>
    </row>
    <row r="722" spans="1:33" ht="18" customHeight="1" x14ac:dyDescent="0.35">
      <c r="A722" s="559"/>
      <c r="B722" s="559"/>
      <c r="C722" s="559"/>
      <c r="D722" s="559"/>
      <c r="E722" s="559"/>
      <c r="F722" s="559"/>
      <c r="G722" s="559"/>
      <c r="H722" s="559"/>
      <c r="I722" s="559"/>
      <c r="J722" s="559"/>
      <c r="K722" s="559"/>
      <c r="L722" s="559"/>
      <c r="M722" s="559"/>
      <c r="N722" s="559"/>
      <c r="O722" s="559"/>
      <c r="P722" s="559"/>
      <c r="Q722" s="559"/>
      <c r="R722" s="559"/>
      <c r="S722" s="559"/>
      <c r="T722" s="559"/>
      <c r="U722" s="559"/>
      <c r="V722" s="559"/>
      <c r="W722" s="559"/>
      <c r="X722" s="559"/>
      <c r="Y722" s="559"/>
      <c r="Z722" s="559"/>
      <c r="AA722" s="559"/>
      <c r="AB722" s="559"/>
      <c r="AC722" s="559"/>
      <c r="AD722" s="559"/>
      <c r="AE722" s="559"/>
      <c r="AF722" s="559"/>
      <c r="AG722" s="559"/>
    </row>
    <row r="723" spans="1:33" ht="18" customHeight="1" x14ac:dyDescent="0.35">
      <c r="A723" s="559"/>
      <c r="B723" s="559"/>
      <c r="C723" s="559"/>
      <c r="D723" s="559"/>
      <c r="E723" s="559"/>
      <c r="F723" s="559"/>
      <c r="G723" s="559"/>
      <c r="H723" s="559"/>
      <c r="I723" s="559"/>
      <c r="J723" s="559"/>
      <c r="K723" s="559"/>
      <c r="L723" s="559"/>
      <c r="M723" s="559"/>
      <c r="N723" s="559"/>
      <c r="O723" s="559"/>
      <c r="P723" s="559"/>
      <c r="Q723" s="559"/>
      <c r="R723" s="559"/>
      <c r="S723" s="559"/>
      <c r="T723" s="559"/>
      <c r="U723" s="559"/>
      <c r="V723" s="559"/>
      <c r="W723" s="559"/>
      <c r="X723" s="559"/>
      <c r="Y723" s="559"/>
      <c r="Z723" s="559"/>
      <c r="AA723" s="559"/>
      <c r="AB723" s="559"/>
      <c r="AC723" s="559"/>
      <c r="AD723" s="559"/>
      <c r="AE723" s="559"/>
      <c r="AF723" s="559"/>
      <c r="AG723" s="559"/>
    </row>
    <row r="724" spans="1:33" ht="18" customHeight="1" x14ac:dyDescent="0.35">
      <c r="A724" s="559"/>
      <c r="B724" s="559"/>
      <c r="C724" s="559"/>
      <c r="D724" s="559"/>
      <c r="E724" s="559"/>
      <c r="F724" s="559"/>
      <c r="G724" s="559"/>
      <c r="H724" s="559"/>
      <c r="I724" s="559"/>
      <c r="J724" s="559"/>
      <c r="K724" s="559"/>
      <c r="L724" s="559"/>
      <c r="M724" s="559"/>
      <c r="N724" s="559"/>
      <c r="O724" s="559"/>
      <c r="P724" s="559"/>
      <c r="Q724" s="559"/>
      <c r="R724" s="559"/>
      <c r="S724" s="559"/>
      <c r="T724" s="559"/>
      <c r="U724" s="559"/>
      <c r="V724" s="559"/>
      <c r="W724" s="559"/>
      <c r="X724" s="559"/>
      <c r="Y724" s="559"/>
      <c r="Z724" s="559"/>
      <c r="AA724" s="559"/>
      <c r="AB724" s="559"/>
      <c r="AC724" s="559"/>
      <c r="AD724" s="559"/>
      <c r="AE724" s="559"/>
      <c r="AF724" s="559"/>
      <c r="AG724" s="559"/>
    </row>
    <row r="725" spans="1:33" ht="18" customHeight="1" x14ac:dyDescent="0.35">
      <c r="A725" s="559"/>
      <c r="B725" s="559"/>
      <c r="C725" s="559"/>
      <c r="D725" s="559"/>
      <c r="E725" s="559"/>
      <c r="F725" s="559"/>
      <c r="G725" s="559"/>
      <c r="H725" s="559"/>
      <c r="I725" s="559"/>
      <c r="J725" s="559"/>
      <c r="K725" s="559"/>
      <c r="L725" s="559"/>
      <c r="M725" s="559"/>
      <c r="N725" s="559"/>
      <c r="O725" s="559"/>
      <c r="P725" s="559"/>
      <c r="Q725" s="559"/>
      <c r="R725" s="559"/>
      <c r="S725" s="559"/>
      <c r="T725" s="559"/>
      <c r="U725" s="559"/>
      <c r="V725" s="559"/>
      <c r="W725" s="559"/>
      <c r="X725" s="559"/>
      <c r="Y725" s="559"/>
      <c r="Z725" s="559"/>
      <c r="AA725" s="559"/>
      <c r="AB725" s="559"/>
      <c r="AC725" s="559"/>
      <c r="AD725" s="559"/>
      <c r="AE725" s="559"/>
      <c r="AF725" s="559"/>
      <c r="AG725" s="559"/>
    </row>
    <row r="726" spans="1:33" ht="18" customHeight="1" x14ac:dyDescent="0.35">
      <c r="A726" s="559"/>
      <c r="B726" s="559"/>
      <c r="C726" s="559"/>
      <c r="D726" s="559"/>
      <c r="E726" s="559"/>
      <c r="F726" s="559"/>
      <c r="G726" s="559"/>
      <c r="H726" s="559"/>
      <c r="I726" s="559"/>
      <c r="J726" s="559"/>
      <c r="K726" s="559"/>
      <c r="L726" s="559"/>
      <c r="M726" s="559"/>
      <c r="N726" s="559"/>
      <c r="O726" s="559"/>
      <c r="P726" s="559"/>
      <c r="Q726" s="559"/>
      <c r="R726" s="559"/>
      <c r="S726" s="559"/>
      <c r="T726" s="559"/>
      <c r="U726" s="559"/>
      <c r="V726" s="559"/>
      <c r="W726" s="559"/>
      <c r="X726" s="559"/>
      <c r="Y726" s="559"/>
      <c r="Z726" s="559"/>
      <c r="AA726" s="559"/>
      <c r="AB726" s="559"/>
      <c r="AC726" s="559"/>
      <c r="AD726" s="559"/>
      <c r="AE726" s="559"/>
      <c r="AF726" s="559"/>
      <c r="AG726" s="559"/>
    </row>
    <row r="727" spans="1:33" ht="18" customHeight="1" x14ac:dyDescent="0.35">
      <c r="A727" s="559"/>
      <c r="B727" s="559"/>
      <c r="C727" s="559"/>
      <c r="D727" s="559"/>
      <c r="E727" s="559"/>
      <c r="F727" s="559"/>
      <c r="G727" s="559"/>
      <c r="H727" s="559"/>
      <c r="I727" s="559"/>
      <c r="J727" s="559"/>
      <c r="K727" s="559"/>
      <c r="L727" s="559"/>
      <c r="M727" s="559"/>
      <c r="N727" s="559"/>
      <c r="O727" s="559"/>
      <c r="P727" s="559"/>
      <c r="Q727" s="559"/>
      <c r="R727" s="559"/>
      <c r="S727" s="559"/>
      <c r="T727" s="559"/>
      <c r="U727" s="559"/>
      <c r="V727" s="559"/>
      <c r="W727" s="559"/>
      <c r="X727" s="559"/>
      <c r="Y727" s="559"/>
      <c r="Z727" s="559"/>
      <c r="AA727" s="559"/>
      <c r="AB727" s="559"/>
      <c r="AC727" s="559"/>
      <c r="AD727" s="559"/>
      <c r="AE727" s="559"/>
      <c r="AF727" s="559"/>
      <c r="AG727" s="559"/>
    </row>
    <row r="728" spans="1:33" ht="18" customHeight="1" x14ac:dyDescent="0.35">
      <c r="A728" s="559"/>
      <c r="B728" s="559"/>
      <c r="C728" s="559"/>
      <c r="D728" s="559"/>
      <c r="E728" s="559"/>
      <c r="F728" s="559"/>
      <c r="G728" s="559"/>
      <c r="H728" s="559"/>
      <c r="I728" s="559"/>
      <c r="J728" s="559"/>
      <c r="K728" s="559"/>
      <c r="L728" s="559"/>
      <c r="M728" s="559"/>
      <c r="N728" s="559"/>
      <c r="O728" s="559"/>
      <c r="P728" s="559"/>
      <c r="Q728" s="559"/>
      <c r="R728" s="559"/>
      <c r="S728" s="559"/>
      <c r="T728" s="559"/>
      <c r="U728" s="559"/>
      <c r="V728" s="559"/>
      <c r="W728" s="559"/>
      <c r="X728" s="559"/>
      <c r="Y728" s="559"/>
      <c r="Z728" s="559"/>
      <c r="AA728" s="559"/>
      <c r="AB728" s="559"/>
      <c r="AC728" s="559"/>
      <c r="AD728" s="559"/>
      <c r="AE728" s="559"/>
      <c r="AF728" s="559"/>
      <c r="AG728" s="559"/>
    </row>
    <row r="729" spans="1:33" ht="18" customHeight="1" x14ac:dyDescent="0.35">
      <c r="A729" s="559"/>
      <c r="B729" s="559"/>
      <c r="C729" s="559"/>
      <c r="D729" s="559"/>
      <c r="E729" s="559"/>
      <c r="F729" s="559"/>
      <c r="G729" s="559"/>
      <c r="H729" s="559"/>
      <c r="I729" s="559"/>
      <c r="J729" s="559"/>
      <c r="K729" s="559"/>
      <c r="L729" s="559"/>
      <c r="M729" s="559"/>
      <c r="N729" s="559"/>
      <c r="O729" s="559"/>
      <c r="P729" s="559"/>
      <c r="Q729" s="559"/>
      <c r="R729" s="559"/>
      <c r="S729" s="559"/>
      <c r="T729" s="559"/>
      <c r="U729" s="559"/>
      <c r="V729" s="559"/>
      <c r="W729" s="559"/>
      <c r="X729" s="559"/>
      <c r="Y729" s="559"/>
      <c r="Z729" s="559"/>
      <c r="AA729" s="559"/>
      <c r="AB729" s="559"/>
      <c r="AC729" s="559"/>
      <c r="AD729" s="559"/>
      <c r="AE729" s="559"/>
      <c r="AF729" s="559"/>
      <c r="AG729" s="559"/>
    </row>
    <row r="730" spans="1:33" ht="18" customHeight="1" x14ac:dyDescent="0.35">
      <c r="A730" s="559"/>
      <c r="B730" s="559"/>
      <c r="C730" s="559"/>
      <c r="D730" s="559"/>
      <c r="E730" s="559"/>
      <c r="F730" s="559"/>
      <c r="G730" s="559"/>
      <c r="H730" s="559"/>
      <c r="I730" s="559"/>
      <c r="J730" s="559"/>
      <c r="K730" s="559"/>
      <c r="L730" s="559"/>
      <c r="M730" s="559"/>
      <c r="N730" s="559"/>
      <c r="O730" s="559"/>
      <c r="P730" s="559"/>
      <c r="Q730" s="559"/>
      <c r="R730" s="559"/>
      <c r="S730" s="559"/>
      <c r="T730" s="559"/>
      <c r="U730" s="559"/>
      <c r="V730" s="559"/>
      <c r="W730" s="559"/>
      <c r="X730" s="559"/>
      <c r="Y730" s="559"/>
      <c r="Z730" s="559"/>
      <c r="AA730" s="559"/>
      <c r="AB730" s="559"/>
      <c r="AC730" s="559"/>
      <c r="AD730" s="559"/>
      <c r="AE730" s="559"/>
      <c r="AF730" s="559"/>
      <c r="AG730" s="559"/>
    </row>
    <row r="731" spans="1:33" ht="18" customHeight="1" x14ac:dyDescent="0.35">
      <c r="A731" s="559"/>
      <c r="B731" s="559"/>
      <c r="C731" s="559"/>
      <c r="D731" s="559"/>
      <c r="E731" s="559"/>
      <c r="F731" s="559"/>
      <c r="G731" s="559"/>
      <c r="H731" s="559"/>
      <c r="I731" s="559"/>
      <c r="J731" s="559"/>
      <c r="K731" s="559"/>
      <c r="L731" s="559"/>
      <c r="M731" s="559"/>
      <c r="N731" s="559"/>
      <c r="O731" s="559"/>
      <c r="P731" s="559"/>
      <c r="Q731" s="559"/>
      <c r="R731" s="559"/>
      <c r="S731" s="559"/>
      <c r="T731" s="559"/>
      <c r="U731" s="559"/>
      <c r="V731" s="559"/>
      <c r="W731" s="559"/>
      <c r="X731" s="559"/>
      <c r="Y731" s="559"/>
      <c r="Z731" s="559"/>
      <c r="AA731" s="559"/>
      <c r="AB731" s="559"/>
      <c r="AC731" s="559"/>
      <c r="AD731" s="559"/>
      <c r="AE731" s="559"/>
      <c r="AF731" s="559"/>
      <c r="AG731" s="559"/>
    </row>
    <row r="732" spans="1:33" ht="18" customHeight="1" x14ac:dyDescent="0.35">
      <c r="A732" s="559"/>
      <c r="B732" s="559"/>
      <c r="C732" s="559"/>
      <c r="D732" s="559"/>
      <c r="E732" s="559"/>
      <c r="F732" s="559"/>
      <c r="G732" s="559"/>
      <c r="H732" s="559"/>
      <c r="I732" s="559"/>
      <c r="J732" s="559"/>
      <c r="K732" s="559"/>
      <c r="L732" s="559"/>
      <c r="M732" s="559"/>
      <c r="N732" s="559"/>
      <c r="O732" s="559"/>
      <c r="P732" s="559"/>
      <c r="Q732" s="559"/>
      <c r="R732" s="559"/>
      <c r="S732" s="559"/>
      <c r="T732" s="559"/>
      <c r="U732" s="559"/>
      <c r="V732" s="559"/>
      <c r="W732" s="559"/>
      <c r="X732" s="559"/>
      <c r="Y732" s="559"/>
      <c r="Z732" s="559"/>
      <c r="AA732" s="559"/>
      <c r="AB732" s="559"/>
      <c r="AC732" s="559"/>
      <c r="AD732" s="559"/>
      <c r="AE732" s="559"/>
      <c r="AF732" s="559"/>
      <c r="AG732" s="559"/>
    </row>
    <row r="733" spans="1:33" ht="18" customHeight="1" x14ac:dyDescent="0.35">
      <c r="A733" s="559"/>
      <c r="B733" s="559"/>
      <c r="C733" s="559"/>
      <c r="D733" s="559"/>
      <c r="E733" s="559"/>
      <c r="F733" s="559"/>
      <c r="G733" s="559"/>
      <c r="H733" s="559"/>
      <c r="I733" s="559"/>
      <c r="J733" s="559"/>
      <c r="K733" s="559"/>
      <c r="L733" s="559"/>
      <c r="M733" s="559"/>
      <c r="N733" s="559"/>
      <c r="O733" s="559"/>
      <c r="P733" s="559"/>
      <c r="Q733" s="559"/>
      <c r="R733" s="559"/>
      <c r="S733" s="559"/>
      <c r="T733" s="559"/>
      <c r="U733" s="559"/>
      <c r="V733" s="559"/>
      <c r="W733" s="559"/>
      <c r="X733" s="559"/>
      <c r="Y733" s="559"/>
      <c r="Z733" s="559"/>
      <c r="AA733" s="559"/>
      <c r="AB733" s="559"/>
      <c r="AC733" s="559"/>
      <c r="AD733" s="559"/>
      <c r="AE733" s="559"/>
      <c r="AF733" s="559"/>
      <c r="AG733" s="559"/>
    </row>
    <row r="734" spans="1:33" ht="18" customHeight="1" x14ac:dyDescent="0.35">
      <c r="A734" s="559"/>
      <c r="B734" s="559"/>
      <c r="C734" s="559"/>
      <c r="D734" s="559"/>
      <c r="E734" s="559"/>
      <c r="F734" s="559"/>
      <c r="G734" s="559"/>
      <c r="H734" s="559"/>
      <c r="I734" s="559"/>
      <c r="J734" s="559"/>
      <c r="K734" s="559"/>
      <c r="L734" s="559"/>
      <c r="M734" s="559"/>
      <c r="N734" s="559"/>
      <c r="O734" s="559"/>
      <c r="P734" s="559"/>
      <c r="Q734" s="559"/>
      <c r="R734" s="559"/>
      <c r="S734" s="559"/>
      <c r="T734" s="559"/>
      <c r="U734" s="559"/>
      <c r="V734" s="559"/>
      <c r="W734" s="559"/>
      <c r="X734" s="559"/>
      <c r="Y734" s="559"/>
      <c r="Z734" s="559"/>
      <c r="AA734" s="559"/>
      <c r="AB734" s="559"/>
      <c r="AC734" s="559"/>
      <c r="AD734" s="559"/>
      <c r="AE734" s="559"/>
      <c r="AF734" s="559"/>
      <c r="AG734" s="559"/>
    </row>
    <row r="735" spans="1:33" ht="18" customHeight="1" x14ac:dyDescent="0.35">
      <c r="A735" s="559"/>
      <c r="B735" s="559"/>
      <c r="C735" s="559"/>
      <c r="D735" s="559"/>
      <c r="E735" s="559"/>
      <c r="F735" s="559"/>
      <c r="G735" s="559"/>
      <c r="H735" s="559"/>
      <c r="I735" s="559"/>
      <c r="J735" s="559"/>
      <c r="K735" s="559"/>
      <c r="L735" s="559"/>
      <c r="M735" s="559"/>
      <c r="N735" s="559"/>
      <c r="O735" s="559"/>
      <c r="P735" s="559"/>
      <c r="Q735" s="559"/>
      <c r="R735" s="559"/>
      <c r="S735" s="559"/>
      <c r="T735" s="559"/>
      <c r="U735" s="559"/>
      <c r="V735" s="559"/>
      <c r="W735" s="559"/>
      <c r="X735" s="559"/>
      <c r="Y735" s="559"/>
      <c r="Z735" s="559"/>
      <c r="AA735" s="559"/>
      <c r="AB735" s="559"/>
      <c r="AC735" s="559"/>
      <c r="AD735" s="559"/>
      <c r="AE735" s="559"/>
      <c r="AF735" s="559"/>
      <c r="AG735" s="559"/>
    </row>
    <row r="736" spans="1:33" ht="18" customHeight="1" x14ac:dyDescent="0.35">
      <c r="A736" s="559"/>
      <c r="B736" s="559"/>
      <c r="C736" s="559"/>
      <c r="D736" s="559"/>
      <c r="E736" s="559"/>
      <c r="F736" s="559"/>
      <c r="G736" s="559"/>
      <c r="H736" s="559"/>
      <c r="I736" s="559"/>
      <c r="J736" s="559"/>
      <c r="K736" s="559"/>
      <c r="L736" s="559"/>
      <c r="M736" s="559"/>
      <c r="N736" s="559"/>
      <c r="O736" s="559"/>
      <c r="P736" s="559"/>
      <c r="Q736" s="559"/>
      <c r="R736" s="559"/>
      <c r="S736" s="559"/>
      <c r="T736" s="559"/>
      <c r="U736" s="559"/>
      <c r="V736" s="559"/>
      <c r="W736" s="559"/>
      <c r="X736" s="559"/>
      <c r="Y736" s="559"/>
      <c r="Z736" s="559"/>
      <c r="AA736" s="559"/>
      <c r="AB736" s="559"/>
      <c r="AC736" s="559"/>
      <c r="AD736" s="559"/>
      <c r="AE736" s="559"/>
      <c r="AF736" s="559"/>
      <c r="AG736" s="559"/>
    </row>
    <row r="737" spans="1:33" ht="18" customHeight="1" x14ac:dyDescent="0.35">
      <c r="A737" s="559"/>
      <c r="B737" s="559"/>
      <c r="C737" s="559"/>
      <c r="D737" s="559"/>
      <c r="E737" s="559"/>
      <c r="F737" s="559"/>
      <c r="G737" s="559"/>
      <c r="H737" s="559"/>
      <c r="I737" s="559"/>
      <c r="J737" s="559"/>
      <c r="K737" s="559"/>
      <c r="L737" s="559"/>
      <c r="M737" s="559"/>
      <c r="N737" s="559"/>
      <c r="O737" s="559"/>
      <c r="P737" s="559"/>
      <c r="Q737" s="559"/>
      <c r="R737" s="559"/>
      <c r="S737" s="559"/>
      <c r="T737" s="559"/>
      <c r="U737" s="559"/>
      <c r="V737" s="559"/>
      <c r="W737" s="559"/>
      <c r="X737" s="559"/>
      <c r="Y737" s="559"/>
      <c r="Z737" s="559"/>
      <c r="AA737" s="559"/>
      <c r="AB737" s="559"/>
      <c r="AC737" s="559"/>
      <c r="AD737" s="559"/>
      <c r="AE737" s="559"/>
      <c r="AF737" s="559"/>
      <c r="AG737" s="559"/>
    </row>
    <row r="738" spans="1:33" ht="18" customHeight="1" x14ac:dyDescent="0.35">
      <c r="A738" s="559"/>
      <c r="B738" s="559"/>
      <c r="C738" s="559"/>
      <c r="D738" s="559"/>
      <c r="E738" s="559"/>
      <c r="F738" s="559"/>
      <c r="G738" s="559"/>
      <c r="H738" s="559"/>
      <c r="I738" s="559"/>
      <c r="J738" s="559"/>
      <c r="K738" s="559"/>
      <c r="L738" s="559"/>
      <c r="M738" s="559"/>
      <c r="N738" s="559"/>
      <c r="O738" s="559"/>
      <c r="P738" s="559"/>
      <c r="Q738" s="559"/>
      <c r="R738" s="559"/>
      <c r="S738" s="559"/>
      <c r="T738" s="559"/>
      <c r="U738" s="559"/>
      <c r="V738" s="559"/>
      <c r="W738" s="559"/>
      <c r="X738" s="559"/>
      <c r="Y738" s="559"/>
      <c r="Z738" s="559"/>
      <c r="AA738" s="559"/>
      <c r="AB738" s="559"/>
      <c r="AC738" s="559"/>
      <c r="AD738" s="559"/>
      <c r="AE738" s="559"/>
      <c r="AF738" s="559"/>
      <c r="AG738" s="559"/>
    </row>
    <row r="739" spans="1:33" ht="18" customHeight="1" x14ac:dyDescent="0.35">
      <c r="A739" s="559"/>
      <c r="B739" s="559"/>
      <c r="C739" s="559"/>
      <c r="D739" s="559"/>
      <c r="E739" s="559"/>
      <c r="F739" s="559"/>
      <c r="G739" s="559"/>
      <c r="H739" s="559"/>
      <c r="I739" s="559"/>
      <c r="J739" s="559"/>
      <c r="K739" s="559"/>
      <c r="L739" s="559"/>
      <c r="M739" s="559"/>
      <c r="N739" s="559"/>
      <c r="O739" s="559"/>
      <c r="P739" s="559"/>
      <c r="Q739" s="559"/>
      <c r="R739" s="559"/>
      <c r="S739" s="559"/>
      <c r="T739" s="559"/>
      <c r="U739" s="559"/>
      <c r="V739" s="559"/>
      <c r="W739" s="559"/>
      <c r="X739" s="559"/>
      <c r="Y739" s="559"/>
      <c r="Z739" s="559"/>
      <c r="AA739" s="559"/>
      <c r="AB739" s="559"/>
      <c r="AC739" s="559"/>
      <c r="AD739" s="559"/>
      <c r="AE739" s="559"/>
      <c r="AF739" s="559"/>
      <c r="AG739" s="559"/>
    </row>
    <row r="740" spans="1:33" ht="18" customHeight="1" x14ac:dyDescent="0.35">
      <c r="A740" s="559"/>
      <c r="B740" s="559"/>
      <c r="C740" s="559"/>
      <c r="D740" s="559"/>
      <c r="E740" s="559"/>
      <c r="F740" s="559"/>
      <c r="G740" s="559"/>
      <c r="H740" s="559"/>
      <c r="I740" s="559"/>
      <c r="J740" s="559"/>
      <c r="K740" s="559"/>
      <c r="L740" s="559"/>
      <c r="M740" s="559"/>
      <c r="N740" s="559"/>
      <c r="O740" s="559"/>
      <c r="P740" s="559"/>
      <c r="Q740" s="559"/>
      <c r="R740" s="559"/>
      <c r="S740" s="559"/>
      <c r="T740" s="559"/>
      <c r="U740" s="559"/>
      <c r="V740" s="559"/>
      <c r="W740" s="559"/>
      <c r="X740" s="559"/>
      <c r="Y740" s="559"/>
      <c r="Z740" s="559"/>
      <c r="AA740" s="559"/>
      <c r="AB740" s="559"/>
      <c r="AC740" s="559"/>
      <c r="AD740" s="559"/>
      <c r="AE740" s="559"/>
      <c r="AF740" s="559"/>
      <c r="AG740" s="559"/>
    </row>
    <row r="741" spans="1:33" ht="18" customHeight="1" x14ac:dyDescent="0.35">
      <c r="A741" s="559"/>
      <c r="B741" s="559"/>
      <c r="C741" s="559"/>
      <c r="D741" s="559"/>
      <c r="E741" s="559"/>
      <c r="F741" s="559"/>
      <c r="G741" s="559"/>
      <c r="H741" s="559"/>
      <c r="I741" s="559"/>
      <c r="J741" s="559"/>
      <c r="K741" s="559"/>
      <c r="L741" s="559"/>
      <c r="M741" s="559"/>
      <c r="N741" s="559"/>
      <c r="O741" s="559"/>
      <c r="P741" s="559"/>
      <c r="Q741" s="559"/>
      <c r="R741" s="559"/>
      <c r="S741" s="559"/>
      <c r="T741" s="559"/>
      <c r="U741" s="559"/>
      <c r="V741" s="559"/>
      <c r="W741" s="559"/>
      <c r="X741" s="559"/>
      <c r="Y741" s="559"/>
      <c r="Z741" s="559"/>
      <c r="AA741" s="559"/>
      <c r="AB741" s="559"/>
      <c r="AC741" s="559"/>
      <c r="AD741" s="559"/>
      <c r="AE741" s="559"/>
      <c r="AF741" s="559"/>
      <c r="AG741" s="559"/>
    </row>
    <row r="742" spans="1:33" ht="18" customHeight="1" x14ac:dyDescent="0.35">
      <c r="A742" s="559"/>
      <c r="B742" s="559"/>
      <c r="C742" s="559"/>
      <c r="D742" s="559"/>
      <c r="E742" s="559"/>
      <c r="F742" s="559"/>
      <c r="G742" s="559"/>
      <c r="H742" s="559"/>
      <c r="I742" s="559"/>
      <c r="J742" s="559"/>
      <c r="K742" s="559"/>
      <c r="L742" s="559"/>
      <c r="M742" s="559"/>
      <c r="N742" s="559"/>
      <c r="O742" s="559"/>
      <c r="P742" s="559"/>
      <c r="Q742" s="559"/>
      <c r="R742" s="559"/>
      <c r="S742" s="559"/>
      <c r="T742" s="559"/>
      <c r="U742" s="559"/>
      <c r="V742" s="559"/>
      <c r="W742" s="559"/>
      <c r="X742" s="559"/>
      <c r="Y742" s="559"/>
      <c r="Z742" s="559"/>
      <c r="AA742" s="559"/>
      <c r="AB742" s="559"/>
      <c r="AC742" s="559"/>
      <c r="AD742" s="559"/>
      <c r="AE742" s="559"/>
      <c r="AF742" s="559"/>
      <c r="AG742" s="559"/>
    </row>
    <row r="743" spans="1:33" ht="18" customHeight="1" x14ac:dyDescent="0.35">
      <c r="A743" s="559"/>
      <c r="B743" s="559"/>
      <c r="C743" s="559"/>
      <c r="D743" s="559"/>
      <c r="E743" s="559"/>
      <c r="F743" s="559"/>
      <c r="G743" s="559"/>
      <c r="H743" s="559"/>
      <c r="I743" s="559"/>
      <c r="J743" s="559"/>
      <c r="K743" s="559"/>
      <c r="L743" s="559"/>
      <c r="M743" s="559"/>
      <c r="N743" s="559"/>
      <c r="O743" s="559"/>
      <c r="P743" s="559"/>
      <c r="Q743" s="559"/>
      <c r="R743" s="559"/>
      <c r="S743" s="559"/>
      <c r="T743" s="559"/>
      <c r="U743" s="559"/>
      <c r="V743" s="559"/>
      <c r="W743" s="559"/>
      <c r="X743" s="559"/>
      <c r="Y743" s="559"/>
      <c r="Z743" s="559"/>
      <c r="AA743" s="559"/>
      <c r="AB743" s="559"/>
      <c r="AC743" s="559"/>
      <c r="AD743" s="559"/>
      <c r="AE743" s="559"/>
      <c r="AF743" s="559"/>
      <c r="AG743" s="559"/>
    </row>
    <row r="744" spans="1:33" ht="18" customHeight="1" x14ac:dyDescent="0.35">
      <c r="A744" s="559"/>
      <c r="B744" s="559"/>
      <c r="C744" s="559"/>
      <c r="D744" s="559"/>
      <c r="E744" s="559"/>
      <c r="F744" s="559"/>
      <c r="G744" s="559"/>
      <c r="H744" s="559"/>
      <c r="I744" s="559"/>
      <c r="J744" s="559"/>
      <c r="K744" s="559"/>
      <c r="L744" s="559"/>
      <c r="M744" s="559"/>
      <c r="N744" s="559"/>
      <c r="O744" s="559"/>
      <c r="P744" s="559"/>
      <c r="Q744" s="559"/>
      <c r="R744" s="559"/>
      <c r="S744" s="559"/>
      <c r="T744" s="559"/>
      <c r="U744" s="559"/>
      <c r="V744" s="559"/>
      <c r="W744" s="559"/>
      <c r="X744" s="559"/>
      <c r="Y744" s="559"/>
      <c r="Z744" s="559"/>
      <c r="AA744" s="559"/>
      <c r="AB744" s="559"/>
      <c r="AC744" s="559"/>
      <c r="AD744" s="559"/>
      <c r="AE744" s="559"/>
      <c r="AF744" s="559"/>
      <c r="AG744" s="559"/>
    </row>
    <row r="745" spans="1:33" ht="18" customHeight="1" x14ac:dyDescent="0.35">
      <c r="A745" s="559"/>
      <c r="B745" s="559"/>
      <c r="C745" s="559"/>
      <c r="D745" s="559"/>
      <c r="E745" s="559"/>
      <c r="F745" s="559"/>
      <c r="G745" s="559"/>
      <c r="H745" s="559"/>
      <c r="I745" s="559"/>
      <c r="J745" s="559"/>
      <c r="K745" s="559"/>
      <c r="L745" s="559"/>
      <c r="M745" s="559"/>
      <c r="N745" s="559"/>
      <c r="O745" s="559"/>
      <c r="P745" s="559"/>
      <c r="Q745" s="559"/>
      <c r="R745" s="559"/>
      <c r="S745" s="559"/>
      <c r="T745" s="559"/>
      <c r="U745" s="559"/>
      <c r="V745" s="559"/>
      <c r="W745" s="559"/>
      <c r="X745" s="559"/>
      <c r="Y745" s="559"/>
      <c r="Z745" s="559"/>
      <c r="AA745" s="559"/>
      <c r="AB745" s="559"/>
      <c r="AC745" s="559"/>
      <c r="AD745" s="559"/>
      <c r="AE745" s="559"/>
      <c r="AF745" s="559"/>
      <c r="AG745" s="559"/>
    </row>
    <row r="746" spans="1:33" ht="18" customHeight="1" x14ac:dyDescent="0.35">
      <c r="A746" s="559"/>
      <c r="B746" s="559"/>
      <c r="C746" s="559"/>
      <c r="D746" s="559"/>
      <c r="E746" s="559"/>
      <c r="F746" s="559"/>
      <c r="G746" s="559"/>
      <c r="H746" s="559"/>
      <c r="I746" s="559"/>
      <c r="J746" s="559"/>
      <c r="K746" s="559"/>
      <c r="L746" s="559"/>
      <c r="M746" s="559"/>
      <c r="N746" s="559"/>
      <c r="O746" s="559"/>
      <c r="P746" s="559"/>
      <c r="Q746" s="559"/>
      <c r="R746" s="559"/>
      <c r="S746" s="559"/>
      <c r="T746" s="559"/>
      <c r="U746" s="559"/>
      <c r="V746" s="559"/>
      <c r="W746" s="559"/>
      <c r="X746" s="559"/>
      <c r="Y746" s="559"/>
      <c r="Z746" s="559"/>
      <c r="AA746" s="559"/>
      <c r="AB746" s="559"/>
      <c r="AC746" s="559"/>
      <c r="AD746" s="559"/>
      <c r="AE746" s="559"/>
      <c r="AF746" s="559"/>
      <c r="AG746" s="559"/>
    </row>
    <row r="747" spans="1:33" ht="18" customHeight="1" x14ac:dyDescent="0.35">
      <c r="A747" s="559"/>
      <c r="B747" s="559"/>
      <c r="C747" s="559"/>
      <c r="D747" s="559"/>
      <c r="E747" s="559"/>
      <c r="F747" s="559"/>
      <c r="G747" s="559"/>
      <c r="H747" s="559"/>
      <c r="I747" s="559"/>
      <c r="J747" s="559"/>
      <c r="K747" s="559"/>
      <c r="L747" s="559"/>
      <c r="M747" s="559"/>
      <c r="N747" s="559"/>
      <c r="O747" s="559"/>
      <c r="P747" s="559"/>
      <c r="Q747" s="559"/>
      <c r="R747" s="559"/>
      <c r="S747" s="559"/>
      <c r="T747" s="559"/>
      <c r="U747" s="559"/>
      <c r="V747" s="559"/>
      <c r="W747" s="559"/>
      <c r="X747" s="559"/>
      <c r="Y747" s="559"/>
      <c r="Z747" s="559"/>
      <c r="AA747" s="559"/>
      <c r="AB747" s="559"/>
      <c r="AC747" s="559"/>
      <c r="AD747" s="559"/>
      <c r="AE747" s="559"/>
      <c r="AF747" s="559"/>
      <c r="AG747" s="559"/>
    </row>
    <row r="748" spans="1:33" ht="18" customHeight="1" x14ac:dyDescent="0.35">
      <c r="A748" s="559"/>
      <c r="B748" s="559"/>
      <c r="C748" s="559"/>
      <c r="D748" s="559"/>
      <c r="E748" s="559"/>
      <c r="F748" s="559"/>
      <c r="G748" s="559"/>
      <c r="H748" s="559"/>
      <c r="I748" s="559"/>
      <c r="J748" s="559"/>
      <c r="K748" s="559"/>
      <c r="L748" s="559"/>
      <c r="M748" s="559"/>
      <c r="N748" s="559"/>
      <c r="O748" s="559"/>
      <c r="P748" s="559"/>
      <c r="Q748" s="559"/>
      <c r="R748" s="559"/>
      <c r="S748" s="559"/>
      <c r="T748" s="559"/>
      <c r="U748" s="559"/>
      <c r="V748" s="559"/>
      <c r="W748" s="559"/>
      <c r="X748" s="559"/>
      <c r="Y748" s="559"/>
      <c r="Z748" s="559"/>
      <c r="AA748" s="559"/>
      <c r="AB748" s="559"/>
      <c r="AC748" s="559"/>
      <c r="AD748" s="559"/>
      <c r="AE748" s="559"/>
      <c r="AF748" s="559"/>
      <c r="AG748" s="559"/>
    </row>
    <row r="749" spans="1:33" ht="18" customHeight="1" x14ac:dyDescent="0.35">
      <c r="A749" s="559"/>
      <c r="B749" s="559"/>
      <c r="C749" s="559"/>
      <c r="D749" s="559"/>
      <c r="E749" s="559"/>
      <c r="F749" s="559"/>
      <c r="G749" s="559"/>
      <c r="H749" s="559"/>
      <c r="I749" s="559"/>
      <c r="J749" s="559"/>
      <c r="K749" s="559"/>
      <c r="L749" s="559"/>
      <c r="M749" s="559"/>
      <c r="N749" s="559"/>
      <c r="O749" s="559"/>
      <c r="P749" s="559"/>
      <c r="Q749" s="559"/>
      <c r="R749" s="559"/>
      <c r="S749" s="559"/>
      <c r="T749" s="559"/>
      <c r="U749" s="559"/>
      <c r="V749" s="559"/>
      <c r="W749" s="559"/>
      <c r="X749" s="559"/>
      <c r="Y749" s="559"/>
      <c r="Z749" s="559"/>
      <c r="AA749" s="559"/>
      <c r="AB749" s="559"/>
      <c r="AC749" s="559"/>
      <c r="AD749" s="559"/>
      <c r="AE749" s="559"/>
      <c r="AF749" s="559"/>
      <c r="AG749" s="559"/>
    </row>
    <row r="750" spans="1:33" ht="18" customHeight="1" x14ac:dyDescent="0.35">
      <c r="A750" s="559"/>
      <c r="B750" s="559"/>
      <c r="C750" s="559"/>
      <c r="D750" s="559"/>
      <c r="E750" s="559"/>
      <c r="F750" s="559"/>
      <c r="G750" s="559"/>
      <c r="H750" s="559"/>
      <c r="I750" s="559"/>
      <c r="J750" s="559"/>
      <c r="K750" s="559"/>
      <c r="L750" s="559"/>
      <c r="M750" s="559"/>
      <c r="N750" s="559"/>
      <c r="O750" s="559"/>
      <c r="P750" s="559"/>
      <c r="Q750" s="559"/>
      <c r="R750" s="559"/>
      <c r="S750" s="559"/>
      <c r="T750" s="559"/>
      <c r="U750" s="559"/>
      <c r="V750" s="559"/>
      <c r="W750" s="559"/>
      <c r="X750" s="559"/>
      <c r="Y750" s="559"/>
      <c r="Z750" s="559"/>
      <c r="AA750" s="559"/>
      <c r="AB750" s="559"/>
      <c r="AC750" s="559"/>
      <c r="AD750" s="559"/>
      <c r="AE750" s="559"/>
      <c r="AF750" s="559"/>
      <c r="AG750" s="559"/>
    </row>
    <row r="751" spans="1:33" ht="18" customHeight="1" x14ac:dyDescent="0.35">
      <c r="A751" s="559"/>
      <c r="B751" s="559"/>
      <c r="C751" s="559"/>
      <c r="D751" s="559"/>
      <c r="E751" s="559"/>
      <c r="F751" s="559"/>
      <c r="G751" s="559"/>
      <c r="H751" s="559"/>
      <c r="I751" s="559"/>
      <c r="J751" s="559"/>
      <c r="K751" s="559"/>
      <c r="L751" s="559"/>
      <c r="M751" s="559"/>
      <c r="N751" s="559"/>
      <c r="O751" s="559"/>
      <c r="P751" s="559"/>
      <c r="Q751" s="559"/>
      <c r="R751" s="559"/>
      <c r="S751" s="559"/>
      <c r="T751" s="559"/>
      <c r="U751" s="559"/>
      <c r="V751" s="559"/>
      <c r="W751" s="559"/>
      <c r="X751" s="559"/>
      <c r="Y751" s="559"/>
      <c r="Z751" s="559"/>
      <c r="AA751" s="559"/>
      <c r="AB751" s="559"/>
      <c r="AC751" s="559"/>
      <c r="AD751" s="559"/>
      <c r="AE751" s="559"/>
      <c r="AF751" s="559"/>
      <c r="AG751" s="559"/>
    </row>
    <row r="752" spans="1:33" ht="18" customHeight="1" x14ac:dyDescent="0.35">
      <c r="A752" s="559"/>
      <c r="B752" s="559"/>
      <c r="C752" s="559"/>
      <c r="D752" s="559"/>
      <c r="E752" s="559"/>
      <c r="F752" s="559"/>
      <c r="G752" s="559"/>
      <c r="H752" s="559"/>
      <c r="I752" s="559"/>
      <c r="J752" s="559"/>
      <c r="K752" s="559"/>
      <c r="L752" s="559"/>
      <c r="M752" s="559"/>
      <c r="N752" s="559"/>
      <c r="O752" s="559"/>
      <c r="P752" s="559"/>
      <c r="Q752" s="559"/>
      <c r="R752" s="559"/>
      <c r="S752" s="559"/>
      <c r="T752" s="559"/>
      <c r="U752" s="559"/>
      <c r="V752" s="559"/>
      <c r="W752" s="559"/>
      <c r="X752" s="559"/>
      <c r="Y752" s="559"/>
      <c r="Z752" s="559"/>
      <c r="AA752" s="559"/>
      <c r="AB752" s="559"/>
      <c r="AC752" s="559"/>
      <c r="AD752" s="559"/>
      <c r="AE752" s="559"/>
      <c r="AF752" s="559"/>
      <c r="AG752" s="559"/>
    </row>
    <row r="753" spans="1:33" ht="18" customHeight="1" x14ac:dyDescent="0.35">
      <c r="A753" s="559"/>
      <c r="B753" s="559"/>
      <c r="C753" s="559"/>
      <c r="D753" s="559"/>
      <c r="E753" s="559"/>
      <c r="F753" s="559"/>
      <c r="G753" s="559"/>
      <c r="H753" s="559"/>
      <c r="I753" s="559"/>
      <c r="J753" s="559"/>
      <c r="K753" s="559"/>
      <c r="L753" s="559"/>
      <c r="M753" s="559"/>
      <c r="N753" s="559"/>
      <c r="O753" s="559"/>
      <c r="P753" s="559"/>
      <c r="Q753" s="559"/>
      <c r="R753" s="559"/>
      <c r="S753" s="559"/>
      <c r="T753" s="559"/>
      <c r="U753" s="559"/>
      <c r="V753" s="559"/>
      <c r="W753" s="559"/>
      <c r="X753" s="559"/>
      <c r="Y753" s="559"/>
      <c r="Z753" s="559"/>
      <c r="AA753" s="559"/>
      <c r="AB753" s="559"/>
      <c r="AC753" s="559"/>
      <c r="AD753" s="559"/>
      <c r="AE753" s="559"/>
      <c r="AF753" s="559"/>
      <c r="AG753" s="559"/>
    </row>
    <row r="754" spans="1:33" ht="18" customHeight="1" x14ac:dyDescent="0.35">
      <c r="A754" s="559"/>
      <c r="B754" s="559"/>
      <c r="C754" s="559"/>
      <c r="D754" s="559"/>
      <c r="E754" s="559"/>
      <c r="F754" s="559"/>
      <c r="G754" s="559"/>
      <c r="H754" s="559"/>
      <c r="I754" s="559"/>
      <c r="J754" s="559"/>
      <c r="K754" s="559"/>
      <c r="L754" s="559"/>
      <c r="M754" s="559"/>
      <c r="N754" s="559"/>
      <c r="O754" s="559"/>
      <c r="P754" s="559"/>
      <c r="Q754" s="559"/>
      <c r="R754" s="559"/>
      <c r="S754" s="559"/>
      <c r="T754" s="559"/>
      <c r="U754" s="559"/>
      <c r="V754" s="559"/>
      <c r="W754" s="559"/>
      <c r="X754" s="559"/>
      <c r="Y754" s="559"/>
      <c r="Z754" s="559"/>
      <c r="AA754" s="559"/>
      <c r="AB754" s="559"/>
      <c r="AC754" s="559"/>
      <c r="AD754" s="559"/>
      <c r="AE754" s="559"/>
      <c r="AF754" s="559"/>
      <c r="AG754" s="559"/>
    </row>
    <row r="755" spans="1:33" ht="18" customHeight="1" x14ac:dyDescent="0.35">
      <c r="A755" s="559"/>
      <c r="B755" s="559"/>
      <c r="C755" s="559"/>
      <c r="D755" s="559"/>
      <c r="E755" s="559"/>
      <c r="F755" s="559"/>
      <c r="G755" s="559"/>
      <c r="H755" s="559"/>
      <c r="I755" s="559"/>
      <c r="J755" s="559"/>
      <c r="K755" s="559"/>
      <c r="L755" s="559"/>
      <c r="M755" s="559"/>
      <c r="N755" s="559"/>
      <c r="O755" s="559"/>
      <c r="P755" s="559"/>
      <c r="Q755" s="559"/>
      <c r="R755" s="559"/>
      <c r="S755" s="559"/>
      <c r="T755" s="559"/>
      <c r="U755" s="559"/>
      <c r="V755" s="559"/>
      <c r="W755" s="559"/>
      <c r="X755" s="559"/>
      <c r="Y755" s="559"/>
      <c r="Z755" s="559"/>
      <c r="AA755" s="559"/>
      <c r="AB755" s="559"/>
      <c r="AC755" s="559"/>
      <c r="AD755" s="559"/>
      <c r="AE755" s="559"/>
      <c r="AF755" s="559"/>
      <c r="AG755" s="559"/>
    </row>
    <row r="756" spans="1:33" ht="18" customHeight="1" x14ac:dyDescent="0.35">
      <c r="A756" s="559"/>
      <c r="B756" s="559"/>
      <c r="C756" s="559"/>
      <c r="D756" s="559"/>
      <c r="E756" s="559"/>
      <c r="F756" s="559"/>
      <c r="G756" s="559"/>
      <c r="H756" s="559"/>
      <c r="I756" s="559"/>
      <c r="J756" s="559"/>
      <c r="K756" s="559"/>
      <c r="L756" s="559"/>
      <c r="M756" s="559"/>
      <c r="N756" s="559"/>
      <c r="O756" s="559"/>
      <c r="P756" s="559"/>
      <c r="Q756" s="559"/>
      <c r="R756" s="559"/>
      <c r="S756" s="559"/>
      <c r="T756" s="559"/>
      <c r="U756" s="559"/>
      <c r="V756" s="559"/>
      <c r="W756" s="559"/>
      <c r="X756" s="559"/>
      <c r="Y756" s="559"/>
      <c r="Z756" s="559"/>
      <c r="AA756" s="559"/>
      <c r="AB756" s="559"/>
      <c r="AC756" s="559"/>
      <c r="AD756" s="559"/>
      <c r="AE756" s="559"/>
      <c r="AF756" s="559"/>
      <c r="AG756" s="559"/>
    </row>
    <row r="757" spans="1:33" ht="18" customHeight="1" x14ac:dyDescent="0.35">
      <c r="A757" s="559"/>
      <c r="B757" s="559"/>
      <c r="C757" s="559"/>
      <c r="D757" s="559"/>
      <c r="E757" s="559"/>
      <c r="F757" s="559"/>
      <c r="G757" s="559"/>
      <c r="H757" s="559"/>
      <c r="I757" s="559"/>
      <c r="J757" s="559"/>
      <c r="K757" s="559"/>
      <c r="L757" s="559"/>
      <c r="M757" s="559"/>
      <c r="N757" s="559"/>
      <c r="O757" s="559"/>
      <c r="P757" s="559"/>
      <c r="Q757" s="559"/>
      <c r="R757" s="559"/>
      <c r="S757" s="559"/>
      <c r="T757" s="559"/>
      <c r="U757" s="559"/>
      <c r="V757" s="559"/>
      <c r="W757" s="559"/>
      <c r="X757" s="559"/>
      <c r="Y757" s="559"/>
      <c r="Z757" s="559"/>
      <c r="AA757" s="559"/>
      <c r="AB757" s="559"/>
      <c r="AC757" s="559"/>
      <c r="AD757" s="559"/>
      <c r="AE757" s="559"/>
      <c r="AF757" s="559"/>
      <c r="AG757" s="559"/>
    </row>
    <row r="758" spans="1:33" ht="18" customHeight="1" x14ac:dyDescent="0.35">
      <c r="A758" s="559"/>
      <c r="B758" s="559"/>
      <c r="C758" s="559"/>
      <c r="D758" s="559"/>
      <c r="E758" s="559"/>
      <c r="F758" s="559"/>
      <c r="G758" s="559"/>
      <c r="H758" s="559"/>
      <c r="I758" s="559"/>
      <c r="J758" s="559"/>
      <c r="K758" s="559"/>
      <c r="L758" s="559"/>
      <c r="M758" s="559"/>
      <c r="N758" s="559"/>
      <c r="O758" s="559"/>
      <c r="P758" s="559"/>
      <c r="Q758" s="559"/>
      <c r="R758" s="559"/>
      <c r="S758" s="559"/>
      <c r="T758" s="559"/>
      <c r="U758" s="559"/>
      <c r="V758" s="559"/>
      <c r="W758" s="559"/>
      <c r="X758" s="559"/>
      <c r="Y758" s="559"/>
      <c r="Z758" s="559"/>
      <c r="AA758" s="559"/>
      <c r="AB758" s="559"/>
      <c r="AC758" s="559"/>
      <c r="AD758" s="559"/>
      <c r="AE758" s="559"/>
      <c r="AF758" s="559"/>
      <c r="AG758" s="559"/>
    </row>
    <row r="759" spans="1:33" ht="18" customHeight="1" x14ac:dyDescent="0.35">
      <c r="A759" s="559"/>
      <c r="B759" s="559"/>
      <c r="C759" s="559"/>
      <c r="D759" s="559"/>
      <c r="E759" s="559"/>
      <c r="F759" s="559"/>
      <c r="G759" s="559"/>
      <c r="H759" s="559"/>
      <c r="I759" s="559"/>
      <c r="J759" s="559"/>
      <c r="K759" s="559"/>
      <c r="L759" s="559"/>
      <c r="M759" s="559"/>
      <c r="N759" s="559"/>
      <c r="O759" s="559"/>
      <c r="P759" s="559"/>
      <c r="Q759" s="559"/>
      <c r="R759" s="559"/>
      <c r="S759" s="559"/>
      <c r="T759" s="559"/>
      <c r="U759" s="559"/>
      <c r="V759" s="559"/>
      <c r="W759" s="559"/>
      <c r="X759" s="559"/>
      <c r="Y759" s="559"/>
      <c r="Z759" s="559"/>
      <c r="AA759" s="559"/>
      <c r="AB759" s="559"/>
      <c r="AC759" s="559"/>
      <c r="AD759" s="559"/>
      <c r="AE759" s="559"/>
      <c r="AF759" s="559"/>
      <c r="AG759" s="559"/>
    </row>
    <row r="760" spans="1:33" ht="18" customHeight="1" x14ac:dyDescent="0.35">
      <c r="A760" s="559"/>
      <c r="B760" s="559"/>
      <c r="C760" s="559"/>
      <c r="D760" s="559"/>
      <c r="E760" s="559"/>
      <c r="F760" s="559"/>
      <c r="G760" s="559"/>
      <c r="H760" s="559"/>
      <c r="I760" s="559"/>
      <c r="J760" s="559"/>
      <c r="K760" s="559"/>
      <c r="L760" s="559"/>
      <c r="M760" s="559"/>
      <c r="N760" s="559"/>
      <c r="O760" s="559"/>
      <c r="P760" s="559"/>
      <c r="Q760" s="559"/>
      <c r="R760" s="559"/>
      <c r="S760" s="559"/>
      <c r="T760" s="559"/>
      <c r="U760" s="559"/>
      <c r="V760" s="559"/>
      <c r="W760" s="559"/>
      <c r="X760" s="559"/>
      <c r="Y760" s="559"/>
      <c r="Z760" s="559"/>
      <c r="AA760" s="559"/>
      <c r="AB760" s="559"/>
      <c r="AC760" s="559"/>
      <c r="AD760" s="559"/>
      <c r="AE760" s="559"/>
      <c r="AF760" s="559"/>
      <c r="AG760" s="559"/>
    </row>
    <row r="761" spans="1:33" ht="18" customHeight="1" x14ac:dyDescent="0.35">
      <c r="A761" s="559"/>
      <c r="B761" s="559"/>
      <c r="C761" s="559"/>
      <c r="D761" s="559"/>
      <c r="E761" s="559"/>
      <c r="F761" s="559"/>
      <c r="G761" s="559"/>
      <c r="H761" s="559"/>
      <c r="I761" s="559"/>
      <c r="J761" s="559"/>
      <c r="K761" s="559"/>
      <c r="L761" s="559"/>
      <c r="M761" s="559"/>
      <c r="N761" s="559"/>
      <c r="O761" s="559"/>
      <c r="P761" s="559"/>
      <c r="Q761" s="559"/>
      <c r="R761" s="559"/>
      <c r="S761" s="559"/>
      <c r="T761" s="559"/>
      <c r="U761" s="559"/>
      <c r="V761" s="559"/>
      <c r="W761" s="559"/>
      <c r="X761" s="559"/>
      <c r="Y761" s="559"/>
      <c r="Z761" s="559"/>
      <c r="AA761" s="559"/>
      <c r="AB761" s="559"/>
      <c r="AC761" s="559"/>
      <c r="AD761" s="559"/>
      <c r="AE761" s="559"/>
      <c r="AF761" s="559"/>
      <c r="AG761" s="559"/>
    </row>
    <row r="762" spans="1:33" ht="18" customHeight="1" x14ac:dyDescent="0.35">
      <c r="A762" s="559"/>
      <c r="B762" s="559"/>
      <c r="C762" s="559"/>
      <c r="D762" s="559"/>
      <c r="E762" s="559"/>
      <c r="F762" s="559"/>
      <c r="G762" s="559"/>
      <c r="H762" s="559"/>
      <c r="I762" s="559"/>
      <c r="J762" s="559"/>
      <c r="K762" s="559"/>
      <c r="L762" s="559"/>
      <c r="M762" s="559"/>
      <c r="N762" s="559"/>
      <c r="O762" s="559"/>
      <c r="P762" s="559"/>
      <c r="Q762" s="559"/>
      <c r="R762" s="559"/>
      <c r="S762" s="559"/>
      <c r="T762" s="559"/>
      <c r="U762" s="559"/>
      <c r="V762" s="559"/>
      <c r="W762" s="559"/>
      <c r="X762" s="559"/>
      <c r="Y762" s="559"/>
      <c r="Z762" s="559"/>
      <c r="AA762" s="559"/>
      <c r="AB762" s="559"/>
      <c r="AC762" s="559"/>
      <c r="AD762" s="559"/>
      <c r="AE762" s="559"/>
      <c r="AF762" s="559"/>
      <c r="AG762" s="559"/>
    </row>
    <row r="763" spans="1:33" ht="18" customHeight="1" x14ac:dyDescent="0.35">
      <c r="A763" s="559"/>
      <c r="B763" s="559"/>
      <c r="C763" s="559"/>
      <c r="D763" s="559"/>
      <c r="E763" s="559"/>
      <c r="F763" s="559"/>
      <c r="G763" s="559"/>
      <c r="H763" s="559"/>
      <c r="I763" s="559"/>
      <c r="J763" s="559"/>
      <c r="K763" s="559"/>
      <c r="L763" s="559"/>
      <c r="M763" s="559"/>
      <c r="N763" s="559"/>
      <c r="O763" s="559"/>
      <c r="P763" s="559"/>
      <c r="Q763" s="559"/>
      <c r="R763" s="559"/>
      <c r="S763" s="559"/>
      <c r="T763" s="559"/>
      <c r="U763" s="559"/>
      <c r="V763" s="559"/>
      <c r="W763" s="559"/>
      <c r="X763" s="559"/>
      <c r="Y763" s="559"/>
      <c r="Z763" s="559"/>
      <c r="AA763" s="559"/>
      <c r="AB763" s="559"/>
      <c r="AC763" s="559"/>
      <c r="AD763" s="559"/>
      <c r="AE763" s="559"/>
      <c r="AF763" s="559"/>
      <c r="AG763" s="559"/>
    </row>
    <row r="764" spans="1:33" ht="18" customHeight="1" x14ac:dyDescent="0.35">
      <c r="A764" s="559"/>
      <c r="B764" s="559"/>
      <c r="C764" s="559"/>
      <c r="D764" s="559"/>
      <c r="E764" s="559"/>
      <c r="F764" s="559"/>
      <c r="G764" s="559"/>
      <c r="H764" s="559"/>
      <c r="I764" s="559"/>
      <c r="J764" s="559"/>
      <c r="K764" s="559"/>
      <c r="L764" s="559"/>
      <c r="M764" s="559"/>
      <c r="N764" s="559"/>
      <c r="O764" s="559"/>
      <c r="P764" s="559"/>
      <c r="Q764" s="559"/>
      <c r="R764" s="559"/>
      <c r="S764" s="559"/>
      <c r="T764" s="559"/>
      <c r="U764" s="559"/>
      <c r="V764" s="559"/>
      <c r="W764" s="559"/>
      <c r="X764" s="559"/>
      <c r="Y764" s="559"/>
      <c r="Z764" s="559"/>
      <c r="AA764" s="559"/>
      <c r="AB764" s="559"/>
      <c r="AC764" s="559"/>
      <c r="AD764" s="559"/>
      <c r="AE764" s="559"/>
      <c r="AF764" s="559"/>
      <c r="AG764" s="559"/>
    </row>
    <row r="765" spans="1:33" ht="18" customHeight="1" x14ac:dyDescent="0.35">
      <c r="A765" s="559"/>
      <c r="B765" s="559"/>
      <c r="C765" s="559"/>
      <c r="D765" s="559"/>
      <c r="E765" s="559"/>
      <c r="F765" s="559"/>
      <c r="G765" s="559"/>
      <c r="H765" s="559"/>
      <c r="I765" s="559"/>
      <c r="J765" s="559"/>
      <c r="K765" s="559"/>
      <c r="L765" s="559"/>
      <c r="M765" s="559"/>
      <c r="N765" s="559"/>
      <c r="O765" s="559"/>
      <c r="P765" s="559"/>
      <c r="Q765" s="559"/>
      <c r="R765" s="559"/>
      <c r="S765" s="559"/>
      <c r="T765" s="559"/>
      <c r="U765" s="559"/>
      <c r="V765" s="559"/>
      <c r="W765" s="559"/>
      <c r="X765" s="559"/>
      <c r="Y765" s="559"/>
      <c r="Z765" s="559"/>
      <c r="AA765" s="559"/>
      <c r="AB765" s="559"/>
      <c r="AC765" s="559"/>
      <c r="AD765" s="559"/>
      <c r="AE765" s="559"/>
      <c r="AF765" s="559"/>
      <c r="AG765" s="559"/>
    </row>
    <row r="766" spans="1:33" ht="18" customHeight="1" x14ac:dyDescent="0.35">
      <c r="A766" s="559"/>
      <c r="B766" s="559"/>
      <c r="C766" s="559"/>
      <c r="D766" s="559"/>
      <c r="E766" s="559"/>
      <c r="F766" s="559"/>
      <c r="G766" s="559"/>
      <c r="H766" s="559"/>
      <c r="I766" s="559"/>
      <c r="J766" s="559"/>
      <c r="K766" s="559"/>
      <c r="L766" s="559"/>
      <c r="M766" s="559"/>
      <c r="N766" s="559"/>
      <c r="O766" s="559"/>
      <c r="P766" s="559"/>
      <c r="Q766" s="559"/>
      <c r="R766" s="559"/>
      <c r="S766" s="559"/>
      <c r="T766" s="559"/>
      <c r="U766" s="559"/>
      <c r="V766" s="559"/>
      <c r="W766" s="559"/>
      <c r="X766" s="559"/>
      <c r="Y766" s="559"/>
      <c r="Z766" s="559"/>
      <c r="AA766" s="559"/>
      <c r="AB766" s="559"/>
      <c r="AC766" s="559"/>
      <c r="AD766" s="559"/>
      <c r="AE766" s="559"/>
      <c r="AF766" s="559"/>
      <c r="AG766" s="559"/>
    </row>
    <row r="767" spans="1:33" ht="18" customHeight="1" x14ac:dyDescent="0.35">
      <c r="A767" s="559"/>
      <c r="B767" s="559"/>
      <c r="C767" s="559"/>
      <c r="D767" s="559"/>
      <c r="E767" s="559"/>
      <c r="F767" s="559"/>
      <c r="G767" s="559"/>
      <c r="H767" s="559"/>
      <c r="I767" s="559"/>
      <c r="J767" s="559"/>
      <c r="K767" s="559"/>
      <c r="L767" s="559"/>
      <c r="M767" s="559"/>
      <c r="N767" s="559"/>
      <c r="O767" s="559"/>
      <c r="P767" s="559"/>
      <c r="Q767" s="559"/>
      <c r="R767" s="559"/>
      <c r="S767" s="559"/>
      <c r="T767" s="559"/>
      <c r="U767" s="559"/>
      <c r="V767" s="559"/>
      <c r="W767" s="559"/>
      <c r="X767" s="559"/>
      <c r="Y767" s="559"/>
      <c r="Z767" s="559"/>
      <c r="AA767" s="559"/>
      <c r="AB767" s="559"/>
      <c r="AC767" s="559"/>
      <c r="AD767" s="559"/>
      <c r="AE767" s="559"/>
      <c r="AF767" s="559"/>
      <c r="AG767" s="559"/>
    </row>
    <row r="768" spans="1:33" ht="18" customHeight="1" x14ac:dyDescent="0.35">
      <c r="A768" s="559"/>
      <c r="B768" s="559"/>
      <c r="C768" s="559"/>
      <c r="D768" s="559"/>
      <c r="E768" s="559"/>
      <c r="F768" s="559"/>
      <c r="G768" s="559"/>
      <c r="H768" s="559"/>
      <c r="I768" s="559"/>
      <c r="J768" s="559"/>
      <c r="K768" s="559"/>
      <c r="L768" s="559"/>
      <c r="M768" s="559"/>
      <c r="N768" s="559"/>
      <c r="O768" s="559"/>
      <c r="P768" s="559"/>
      <c r="Q768" s="559"/>
      <c r="R768" s="559"/>
      <c r="S768" s="559"/>
      <c r="T768" s="559"/>
      <c r="U768" s="559"/>
      <c r="V768" s="559"/>
      <c r="W768" s="559"/>
      <c r="X768" s="559"/>
      <c r="Y768" s="559"/>
      <c r="Z768" s="559"/>
      <c r="AA768" s="559"/>
      <c r="AB768" s="559"/>
      <c r="AC768" s="559"/>
      <c r="AD768" s="559"/>
      <c r="AE768" s="559"/>
      <c r="AF768" s="559"/>
      <c r="AG768" s="559"/>
    </row>
    <row r="769" spans="1:33" ht="18" customHeight="1" x14ac:dyDescent="0.35">
      <c r="A769" s="559"/>
      <c r="B769" s="559"/>
      <c r="C769" s="559"/>
      <c r="D769" s="559"/>
      <c r="E769" s="559"/>
      <c r="F769" s="559"/>
      <c r="G769" s="559"/>
      <c r="H769" s="559"/>
      <c r="I769" s="559"/>
      <c r="J769" s="559"/>
      <c r="K769" s="559"/>
      <c r="L769" s="559"/>
      <c r="M769" s="559"/>
      <c r="N769" s="559"/>
      <c r="O769" s="559"/>
      <c r="P769" s="559"/>
      <c r="Q769" s="559"/>
      <c r="R769" s="559"/>
      <c r="S769" s="559"/>
      <c r="T769" s="559"/>
      <c r="U769" s="559"/>
      <c r="V769" s="559"/>
      <c r="W769" s="559"/>
      <c r="X769" s="559"/>
      <c r="Y769" s="559"/>
      <c r="Z769" s="559"/>
      <c r="AA769" s="559"/>
      <c r="AB769" s="559"/>
      <c r="AC769" s="559"/>
      <c r="AD769" s="559"/>
      <c r="AE769" s="559"/>
      <c r="AF769" s="559"/>
      <c r="AG769" s="559"/>
    </row>
    <row r="770" spans="1:33" ht="18" customHeight="1" x14ac:dyDescent="0.35">
      <c r="A770" s="559"/>
      <c r="B770" s="559"/>
      <c r="C770" s="559"/>
      <c r="D770" s="559"/>
      <c r="E770" s="559"/>
      <c r="F770" s="559"/>
      <c r="G770" s="559"/>
      <c r="H770" s="559"/>
      <c r="I770" s="559"/>
      <c r="J770" s="559"/>
      <c r="K770" s="559"/>
      <c r="L770" s="559"/>
      <c r="M770" s="559"/>
      <c r="N770" s="559"/>
      <c r="O770" s="559"/>
      <c r="P770" s="559"/>
      <c r="Q770" s="559"/>
      <c r="R770" s="559"/>
      <c r="S770" s="559"/>
      <c r="T770" s="559"/>
      <c r="U770" s="559"/>
      <c r="V770" s="559"/>
      <c r="W770" s="559"/>
      <c r="X770" s="559"/>
      <c r="Y770" s="559"/>
      <c r="Z770" s="559"/>
      <c r="AA770" s="559"/>
      <c r="AB770" s="559"/>
      <c r="AC770" s="559"/>
      <c r="AD770" s="559"/>
      <c r="AE770" s="559"/>
      <c r="AF770" s="559"/>
      <c r="AG770" s="559"/>
    </row>
    <row r="771" spans="1:33" ht="18" customHeight="1" x14ac:dyDescent="0.35">
      <c r="A771" s="559"/>
      <c r="B771" s="559"/>
      <c r="C771" s="559"/>
      <c r="D771" s="559"/>
      <c r="E771" s="559"/>
      <c r="F771" s="559"/>
      <c r="G771" s="559"/>
      <c r="H771" s="559"/>
      <c r="I771" s="559"/>
      <c r="J771" s="559"/>
      <c r="K771" s="559"/>
      <c r="L771" s="559"/>
      <c r="M771" s="559"/>
      <c r="N771" s="559"/>
      <c r="O771" s="559"/>
      <c r="P771" s="559"/>
      <c r="Q771" s="559"/>
      <c r="R771" s="559"/>
      <c r="S771" s="559"/>
      <c r="T771" s="559"/>
      <c r="U771" s="559"/>
      <c r="V771" s="559"/>
      <c r="W771" s="559"/>
      <c r="X771" s="559"/>
      <c r="Y771" s="559"/>
      <c r="Z771" s="559"/>
      <c r="AA771" s="559"/>
      <c r="AB771" s="559"/>
      <c r="AC771" s="559"/>
      <c r="AD771" s="559"/>
      <c r="AE771" s="559"/>
      <c r="AF771" s="559"/>
      <c r="AG771" s="559"/>
    </row>
    <row r="772" spans="1:33" ht="18" customHeight="1" x14ac:dyDescent="0.35">
      <c r="A772" s="559"/>
      <c r="B772" s="559"/>
      <c r="C772" s="559"/>
      <c r="D772" s="559"/>
      <c r="E772" s="559"/>
      <c r="F772" s="559"/>
      <c r="G772" s="559"/>
      <c r="H772" s="559"/>
      <c r="I772" s="559"/>
      <c r="J772" s="559"/>
      <c r="K772" s="559"/>
      <c r="L772" s="559"/>
      <c r="M772" s="559"/>
      <c r="N772" s="559"/>
      <c r="O772" s="559"/>
      <c r="P772" s="559"/>
      <c r="Q772" s="559"/>
      <c r="R772" s="559"/>
      <c r="S772" s="559"/>
      <c r="T772" s="559"/>
      <c r="U772" s="559"/>
      <c r="V772" s="559"/>
      <c r="W772" s="559"/>
      <c r="X772" s="559"/>
      <c r="Y772" s="559"/>
      <c r="Z772" s="559"/>
      <c r="AA772" s="559"/>
      <c r="AB772" s="559"/>
      <c r="AC772" s="559"/>
      <c r="AD772" s="559"/>
      <c r="AE772" s="559"/>
      <c r="AF772" s="559"/>
      <c r="AG772" s="559"/>
    </row>
    <row r="773" spans="1:33" ht="18" customHeight="1" x14ac:dyDescent="0.35">
      <c r="A773" s="559"/>
      <c r="B773" s="559"/>
      <c r="C773" s="559"/>
      <c r="D773" s="559"/>
      <c r="E773" s="559"/>
      <c r="F773" s="559"/>
      <c r="G773" s="559"/>
      <c r="H773" s="559"/>
      <c r="I773" s="559"/>
      <c r="J773" s="559"/>
      <c r="K773" s="559"/>
      <c r="L773" s="559"/>
      <c r="M773" s="559"/>
      <c r="N773" s="559"/>
      <c r="O773" s="559"/>
      <c r="P773" s="559"/>
      <c r="Q773" s="559"/>
      <c r="R773" s="559"/>
      <c r="S773" s="559"/>
      <c r="T773" s="559"/>
      <c r="U773" s="559"/>
      <c r="V773" s="559"/>
      <c r="W773" s="559"/>
      <c r="X773" s="559"/>
      <c r="Y773" s="559"/>
      <c r="Z773" s="559"/>
      <c r="AA773" s="559"/>
      <c r="AB773" s="559"/>
      <c r="AC773" s="559"/>
      <c r="AD773" s="559"/>
      <c r="AE773" s="559"/>
      <c r="AF773" s="559"/>
      <c r="AG773" s="559"/>
    </row>
    <row r="774" spans="1:33" ht="18" customHeight="1" x14ac:dyDescent="0.35">
      <c r="A774" s="559"/>
      <c r="B774" s="559"/>
      <c r="C774" s="559"/>
      <c r="D774" s="559"/>
      <c r="E774" s="559"/>
      <c r="F774" s="559"/>
      <c r="G774" s="559"/>
      <c r="H774" s="559"/>
      <c r="I774" s="559"/>
      <c r="J774" s="559"/>
      <c r="K774" s="559"/>
      <c r="L774" s="559"/>
      <c r="M774" s="559"/>
      <c r="N774" s="559"/>
      <c r="O774" s="559"/>
      <c r="P774" s="559"/>
      <c r="Q774" s="559"/>
      <c r="R774" s="559"/>
      <c r="S774" s="559"/>
      <c r="T774" s="559"/>
      <c r="U774" s="559"/>
      <c r="V774" s="559"/>
      <c r="W774" s="559"/>
      <c r="X774" s="559"/>
      <c r="Y774" s="559"/>
      <c r="Z774" s="559"/>
      <c r="AA774" s="559"/>
      <c r="AB774" s="559"/>
      <c r="AC774" s="559"/>
      <c r="AD774" s="559"/>
      <c r="AE774" s="559"/>
      <c r="AF774" s="559"/>
      <c r="AG774" s="559"/>
    </row>
    <row r="775" spans="1:33" ht="18" customHeight="1" x14ac:dyDescent="0.35">
      <c r="A775" s="559"/>
      <c r="B775" s="559"/>
      <c r="C775" s="559"/>
      <c r="D775" s="559"/>
      <c r="E775" s="559"/>
      <c r="F775" s="559"/>
      <c r="G775" s="559"/>
      <c r="H775" s="559"/>
      <c r="I775" s="559"/>
      <c r="J775" s="559"/>
      <c r="K775" s="559"/>
      <c r="L775" s="559"/>
      <c r="M775" s="559"/>
      <c r="N775" s="559"/>
      <c r="O775" s="559"/>
      <c r="P775" s="559"/>
      <c r="Q775" s="559"/>
      <c r="R775" s="559"/>
      <c r="S775" s="559"/>
      <c r="T775" s="559"/>
      <c r="U775" s="559"/>
      <c r="V775" s="559"/>
      <c r="W775" s="559"/>
      <c r="X775" s="559"/>
      <c r="Y775" s="559"/>
      <c r="Z775" s="559"/>
      <c r="AA775" s="559"/>
      <c r="AB775" s="559"/>
      <c r="AC775" s="559"/>
      <c r="AD775" s="559"/>
      <c r="AE775" s="559"/>
      <c r="AF775" s="559"/>
      <c r="AG775" s="559"/>
    </row>
    <row r="776" spans="1:33" ht="18" customHeight="1" x14ac:dyDescent="0.35">
      <c r="A776" s="559"/>
      <c r="B776" s="559"/>
      <c r="C776" s="559"/>
      <c r="D776" s="559"/>
      <c r="E776" s="559"/>
      <c r="F776" s="559"/>
      <c r="G776" s="559"/>
      <c r="H776" s="559"/>
      <c r="I776" s="559"/>
      <c r="J776" s="559"/>
      <c r="K776" s="559"/>
      <c r="L776" s="559"/>
      <c r="M776" s="559"/>
      <c r="N776" s="559"/>
      <c r="O776" s="559"/>
      <c r="P776" s="559"/>
      <c r="Q776" s="559"/>
      <c r="R776" s="559"/>
      <c r="S776" s="559"/>
      <c r="T776" s="559"/>
      <c r="U776" s="559"/>
      <c r="V776" s="559"/>
      <c r="W776" s="559"/>
      <c r="X776" s="559"/>
      <c r="Y776" s="559"/>
      <c r="Z776" s="559"/>
      <c r="AA776" s="559"/>
      <c r="AB776" s="559"/>
      <c r="AC776" s="559"/>
      <c r="AD776" s="559"/>
      <c r="AE776" s="559"/>
      <c r="AF776" s="559"/>
      <c r="AG776" s="559"/>
    </row>
    <row r="777" spans="1:33" ht="18" customHeight="1" x14ac:dyDescent="0.35">
      <c r="A777" s="559"/>
      <c r="B777" s="559"/>
      <c r="C777" s="559"/>
      <c r="D777" s="559"/>
      <c r="E777" s="559"/>
      <c r="F777" s="559"/>
      <c r="G777" s="559"/>
      <c r="H777" s="559"/>
      <c r="I777" s="559"/>
      <c r="J777" s="559"/>
      <c r="K777" s="559"/>
      <c r="L777" s="559"/>
      <c r="M777" s="559"/>
      <c r="N777" s="559"/>
      <c r="O777" s="559"/>
      <c r="P777" s="559"/>
      <c r="Q777" s="559"/>
      <c r="R777" s="559"/>
      <c r="S777" s="559"/>
      <c r="T777" s="559"/>
      <c r="U777" s="559"/>
      <c r="V777" s="559"/>
      <c r="W777" s="559"/>
      <c r="X777" s="559"/>
      <c r="Y777" s="559"/>
      <c r="Z777" s="559"/>
      <c r="AA777" s="559"/>
      <c r="AB777" s="559"/>
      <c r="AC777" s="559"/>
      <c r="AD777" s="559"/>
      <c r="AE777" s="559"/>
      <c r="AF777" s="559"/>
      <c r="AG777" s="559"/>
    </row>
    <row r="778" spans="1:33" ht="18" customHeight="1" x14ac:dyDescent="0.35">
      <c r="A778" s="559"/>
      <c r="B778" s="559"/>
      <c r="C778" s="559"/>
      <c r="D778" s="559"/>
      <c r="E778" s="559"/>
      <c r="F778" s="559"/>
      <c r="G778" s="559"/>
      <c r="H778" s="559"/>
      <c r="I778" s="559"/>
      <c r="J778" s="559"/>
      <c r="K778" s="559"/>
      <c r="L778" s="559"/>
      <c r="M778" s="559"/>
      <c r="N778" s="559"/>
      <c r="O778" s="559"/>
      <c r="P778" s="559"/>
      <c r="Q778" s="559"/>
      <c r="R778" s="559"/>
      <c r="S778" s="559"/>
      <c r="T778" s="559"/>
      <c r="U778" s="559"/>
      <c r="V778" s="559"/>
      <c r="W778" s="559"/>
      <c r="X778" s="559"/>
      <c r="Y778" s="559"/>
      <c r="Z778" s="559"/>
      <c r="AA778" s="559"/>
      <c r="AB778" s="559"/>
      <c r="AC778" s="559"/>
      <c r="AD778" s="559"/>
      <c r="AE778" s="559"/>
      <c r="AF778" s="559"/>
      <c r="AG778" s="559"/>
    </row>
    <row r="779" spans="1:33" ht="18" customHeight="1" x14ac:dyDescent="0.35">
      <c r="A779" s="559"/>
      <c r="B779" s="559"/>
      <c r="C779" s="559"/>
      <c r="D779" s="559"/>
      <c r="E779" s="559"/>
      <c r="F779" s="559"/>
      <c r="G779" s="559"/>
      <c r="H779" s="559"/>
      <c r="I779" s="559"/>
      <c r="J779" s="559"/>
      <c r="K779" s="559"/>
      <c r="L779" s="559"/>
      <c r="M779" s="559"/>
      <c r="N779" s="559"/>
      <c r="O779" s="559"/>
      <c r="P779" s="559"/>
      <c r="Q779" s="559"/>
      <c r="R779" s="559"/>
      <c r="S779" s="559"/>
      <c r="T779" s="559"/>
      <c r="U779" s="559"/>
      <c r="V779" s="559"/>
      <c r="W779" s="559"/>
      <c r="X779" s="559"/>
      <c r="Y779" s="559"/>
      <c r="Z779" s="559"/>
      <c r="AA779" s="559"/>
      <c r="AB779" s="559"/>
      <c r="AC779" s="559"/>
      <c r="AD779" s="559"/>
      <c r="AE779" s="559"/>
      <c r="AF779" s="559"/>
      <c r="AG779" s="559"/>
    </row>
    <row r="780" spans="1:33" ht="18" customHeight="1" x14ac:dyDescent="0.35">
      <c r="A780" s="559"/>
      <c r="B780" s="559"/>
      <c r="C780" s="559"/>
      <c r="D780" s="559"/>
      <c r="E780" s="559"/>
      <c r="F780" s="559"/>
      <c r="G780" s="559"/>
      <c r="H780" s="559"/>
      <c r="I780" s="559"/>
      <c r="J780" s="559"/>
      <c r="K780" s="559"/>
      <c r="L780" s="559"/>
      <c r="M780" s="559"/>
      <c r="N780" s="559"/>
      <c r="O780" s="559"/>
      <c r="P780" s="559"/>
      <c r="Q780" s="559"/>
      <c r="R780" s="559"/>
      <c r="S780" s="559"/>
      <c r="T780" s="559"/>
      <c r="U780" s="559"/>
      <c r="V780" s="559"/>
      <c r="W780" s="559"/>
      <c r="X780" s="559"/>
      <c r="Y780" s="559"/>
      <c r="Z780" s="559"/>
      <c r="AA780" s="559"/>
      <c r="AB780" s="559"/>
      <c r="AC780" s="559"/>
      <c r="AD780" s="559"/>
      <c r="AE780" s="559"/>
      <c r="AF780" s="559"/>
      <c r="AG780" s="559"/>
    </row>
    <row r="781" spans="1:33" ht="18" customHeight="1" x14ac:dyDescent="0.35">
      <c r="A781" s="559"/>
      <c r="B781" s="559"/>
      <c r="C781" s="559"/>
      <c r="D781" s="559"/>
      <c r="E781" s="559"/>
      <c r="F781" s="559"/>
      <c r="G781" s="559"/>
      <c r="H781" s="559"/>
      <c r="I781" s="559"/>
      <c r="J781" s="559"/>
      <c r="K781" s="559"/>
      <c r="L781" s="559"/>
      <c r="M781" s="559"/>
      <c r="N781" s="559"/>
      <c r="O781" s="559"/>
      <c r="P781" s="559"/>
      <c r="Q781" s="559"/>
      <c r="R781" s="559"/>
      <c r="S781" s="559"/>
      <c r="T781" s="559"/>
      <c r="U781" s="559"/>
      <c r="V781" s="559"/>
      <c r="W781" s="559"/>
      <c r="X781" s="559"/>
      <c r="Y781" s="559"/>
      <c r="Z781" s="559"/>
      <c r="AA781" s="559"/>
      <c r="AB781" s="559"/>
      <c r="AC781" s="559"/>
      <c r="AD781" s="559"/>
      <c r="AE781" s="559"/>
      <c r="AF781" s="559"/>
      <c r="AG781" s="559"/>
    </row>
    <row r="782" spans="1:33" ht="18" customHeight="1" x14ac:dyDescent="0.35">
      <c r="A782" s="559"/>
      <c r="B782" s="559"/>
      <c r="C782" s="559"/>
      <c r="D782" s="559"/>
      <c r="E782" s="559"/>
      <c r="F782" s="559"/>
      <c r="G782" s="559"/>
      <c r="H782" s="559"/>
      <c r="I782" s="559"/>
      <c r="J782" s="559"/>
      <c r="K782" s="559"/>
      <c r="L782" s="559"/>
      <c r="M782" s="559"/>
      <c r="N782" s="559"/>
      <c r="O782" s="559"/>
      <c r="P782" s="559"/>
      <c r="Q782" s="559"/>
      <c r="R782" s="559"/>
      <c r="S782" s="559"/>
      <c r="T782" s="559"/>
      <c r="U782" s="559"/>
      <c r="V782" s="559"/>
      <c r="W782" s="559"/>
      <c r="X782" s="559"/>
      <c r="Y782" s="559"/>
      <c r="Z782" s="559"/>
      <c r="AA782" s="559"/>
      <c r="AB782" s="559"/>
      <c r="AC782" s="559"/>
      <c r="AD782" s="559"/>
      <c r="AE782" s="559"/>
      <c r="AF782" s="559"/>
      <c r="AG782" s="559"/>
    </row>
    <row r="783" spans="1:33" ht="18" customHeight="1" x14ac:dyDescent="0.35">
      <c r="A783" s="559"/>
      <c r="B783" s="559"/>
      <c r="C783" s="559"/>
      <c r="D783" s="559"/>
      <c r="E783" s="559"/>
      <c r="F783" s="559"/>
      <c r="G783" s="559"/>
      <c r="H783" s="559"/>
      <c r="I783" s="559"/>
      <c r="J783" s="559"/>
      <c r="K783" s="559"/>
      <c r="L783" s="559"/>
      <c r="M783" s="559"/>
      <c r="N783" s="559"/>
      <c r="O783" s="559"/>
      <c r="P783" s="559"/>
      <c r="Q783" s="559"/>
      <c r="R783" s="559"/>
      <c r="S783" s="559"/>
      <c r="T783" s="559"/>
      <c r="U783" s="559"/>
      <c r="V783" s="559"/>
      <c r="W783" s="559"/>
      <c r="X783" s="559"/>
      <c r="Y783" s="559"/>
      <c r="Z783" s="559"/>
      <c r="AA783" s="559"/>
      <c r="AB783" s="559"/>
      <c r="AC783" s="559"/>
      <c r="AD783" s="559"/>
      <c r="AE783" s="559"/>
      <c r="AF783" s="559"/>
      <c r="AG783" s="559"/>
    </row>
    <row r="784" spans="1:33" ht="18" customHeight="1" x14ac:dyDescent="0.35">
      <c r="A784" s="559"/>
      <c r="B784" s="559"/>
      <c r="C784" s="559"/>
      <c r="D784" s="559"/>
      <c r="E784" s="559"/>
      <c r="F784" s="559"/>
      <c r="G784" s="559"/>
      <c r="H784" s="559"/>
      <c r="I784" s="559"/>
      <c r="J784" s="559"/>
      <c r="K784" s="559"/>
      <c r="L784" s="559"/>
      <c r="M784" s="559"/>
      <c r="N784" s="559"/>
      <c r="O784" s="559"/>
      <c r="P784" s="559"/>
      <c r="Q784" s="559"/>
      <c r="R784" s="559"/>
      <c r="S784" s="559"/>
      <c r="T784" s="559"/>
      <c r="U784" s="559"/>
      <c r="V784" s="559"/>
      <c r="W784" s="559"/>
      <c r="X784" s="559"/>
      <c r="Y784" s="559"/>
      <c r="Z784" s="559"/>
      <c r="AA784" s="559"/>
      <c r="AB784" s="559"/>
      <c r="AC784" s="559"/>
      <c r="AD784" s="559"/>
      <c r="AE784" s="559"/>
      <c r="AF784" s="559"/>
      <c r="AG784" s="559"/>
    </row>
    <row r="785" spans="1:33" ht="18" customHeight="1" x14ac:dyDescent="0.35">
      <c r="A785" s="559"/>
      <c r="B785" s="559"/>
      <c r="C785" s="559"/>
      <c r="D785" s="559"/>
      <c r="E785" s="559"/>
      <c r="F785" s="559"/>
      <c r="G785" s="559"/>
      <c r="H785" s="559"/>
      <c r="I785" s="559"/>
      <c r="J785" s="559"/>
      <c r="K785" s="559"/>
      <c r="L785" s="559"/>
      <c r="M785" s="559"/>
      <c r="N785" s="559"/>
      <c r="O785" s="559"/>
      <c r="P785" s="559"/>
      <c r="Q785" s="559"/>
      <c r="R785" s="559"/>
      <c r="S785" s="559"/>
      <c r="T785" s="559"/>
      <c r="U785" s="559"/>
      <c r="V785" s="559"/>
      <c r="W785" s="559"/>
      <c r="X785" s="559"/>
      <c r="Y785" s="559"/>
      <c r="Z785" s="559"/>
      <c r="AA785" s="559"/>
      <c r="AB785" s="559"/>
      <c r="AC785" s="559"/>
      <c r="AD785" s="559"/>
      <c r="AE785" s="559"/>
      <c r="AF785" s="559"/>
      <c r="AG785" s="559"/>
    </row>
    <row r="786" spans="1:33" ht="18" customHeight="1" x14ac:dyDescent="0.35">
      <c r="A786" s="559"/>
      <c r="B786" s="559"/>
      <c r="C786" s="559"/>
      <c r="D786" s="559"/>
      <c r="E786" s="559"/>
      <c r="F786" s="559"/>
      <c r="G786" s="559"/>
      <c r="H786" s="559"/>
      <c r="I786" s="559"/>
      <c r="J786" s="559"/>
      <c r="K786" s="559"/>
      <c r="L786" s="559"/>
      <c r="M786" s="559"/>
      <c r="N786" s="559"/>
      <c r="O786" s="559"/>
      <c r="P786" s="559"/>
      <c r="Q786" s="559"/>
      <c r="R786" s="559"/>
      <c r="S786" s="559"/>
      <c r="T786" s="559"/>
      <c r="U786" s="559"/>
      <c r="V786" s="559"/>
      <c r="W786" s="559"/>
      <c r="X786" s="559"/>
      <c r="Y786" s="559"/>
      <c r="Z786" s="559"/>
      <c r="AA786" s="559"/>
      <c r="AB786" s="559"/>
      <c r="AC786" s="559"/>
      <c r="AD786" s="559"/>
      <c r="AE786" s="559"/>
      <c r="AF786" s="559"/>
      <c r="AG786" s="559"/>
    </row>
    <row r="787" spans="1:33" ht="18" customHeight="1" x14ac:dyDescent="0.35">
      <c r="A787" s="559"/>
      <c r="B787" s="559"/>
      <c r="C787" s="559"/>
      <c r="D787" s="559"/>
      <c r="E787" s="559"/>
      <c r="F787" s="559"/>
      <c r="G787" s="559"/>
      <c r="H787" s="559"/>
      <c r="I787" s="559"/>
      <c r="J787" s="559"/>
      <c r="K787" s="559"/>
      <c r="L787" s="559"/>
      <c r="M787" s="559"/>
      <c r="N787" s="559"/>
      <c r="O787" s="559"/>
      <c r="P787" s="559"/>
      <c r="Q787" s="559"/>
      <c r="R787" s="559"/>
      <c r="S787" s="559"/>
      <c r="T787" s="559"/>
      <c r="U787" s="559"/>
      <c r="V787" s="559"/>
      <c r="W787" s="559"/>
      <c r="X787" s="559"/>
      <c r="Y787" s="559"/>
      <c r="Z787" s="559"/>
      <c r="AA787" s="559"/>
      <c r="AB787" s="559"/>
      <c r="AC787" s="559"/>
      <c r="AD787" s="559"/>
      <c r="AE787" s="559"/>
      <c r="AF787" s="559"/>
      <c r="AG787" s="559"/>
    </row>
    <row r="788" spans="1:33" ht="18" customHeight="1" x14ac:dyDescent="0.35">
      <c r="A788" s="559"/>
      <c r="B788" s="559"/>
      <c r="C788" s="559"/>
      <c r="D788" s="559"/>
      <c r="E788" s="559"/>
      <c r="F788" s="559"/>
      <c r="G788" s="559"/>
      <c r="H788" s="559"/>
      <c r="I788" s="559"/>
      <c r="J788" s="559"/>
      <c r="K788" s="559"/>
      <c r="L788" s="559"/>
      <c r="M788" s="559"/>
      <c r="N788" s="559"/>
      <c r="O788" s="559"/>
      <c r="P788" s="559"/>
      <c r="Q788" s="559"/>
      <c r="R788" s="559"/>
      <c r="S788" s="559"/>
      <c r="T788" s="559"/>
      <c r="U788" s="559"/>
      <c r="V788" s="559"/>
      <c r="W788" s="559"/>
      <c r="X788" s="559"/>
      <c r="Y788" s="559"/>
      <c r="Z788" s="559"/>
      <c r="AA788" s="559"/>
      <c r="AB788" s="559"/>
      <c r="AC788" s="559"/>
      <c r="AD788" s="559"/>
      <c r="AE788" s="559"/>
      <c r="AF788" s="559"/>
      <c r="AG788" s="559"/>
    </row>
    <row r="789" spans="1:33" ht="18" customHeight="1" x14ac:dyDescent="0.35">
      <c r="A789" s="559"/>
      <c r="B789" s="559"/>
      <c r="C789" s="559"/>
      <c r="D789" s="559"/>
      <c r="E789" s="559"/>
      <c r="F789" s="559"/>
      <c r="G789" s="559"/>
      <c r="H789" s="559"/>
      <c r="I789" s="559"/>
      <c r="J789" s="559"/>
      <c r="K789" s="559"/>
      <c r="L789" s="559"/>
      <c r="M789" s="559"/>
      <c r="N789" s="559"/>
      <c r="O789" s="559"/>
      <c r="P789" s="559"/>
      <c r="Q789" s="559"/>
      <c r="R789" s="559"/>
      <c r="S789" s="559"/>
      <c r="T789" s="559"/>
      <c r="U789" s="559"/>
      <c r="V789" s="559"/>
      <c r="W789" s="559"/>
      <c r="X789" s="559"/>
      <c r="Y789" s="559"/>
      <c r="Z789" s="559"/>
      <c r="AA789" s="559"/>
      <c r="AB789" s="559"/>
      <c r="AC789" s="559"/>
      <c r="AD789" s="559"/>
      <c r="AE789" s="559"/>
      <c r="AF789" s="559"/>
      <c r="AG789" s="559"/>
    </row>
    <row r="790" spans="1:33" ht="18" customHeight="1" x14ac:dyDescent="0.35">
      <c r="A790" s="559"/>
      <c r="B790" s="559"/>
      <c r="C790" s="559"/>
      <c r="D790" s="559"/>
      <c r="E790" s="559"/>
      <c r="F790" s="559"/>
      <c r="G790" s="559"/>
      <c r="H790" s="559"/>
      <c r="I790" s="559"/>
      <c r="J790" s="559"/>
      <c r="K790" s="559"/>
      <c r="L790" s="559"/>
      <c r="M790" s="559"/>
      <c r="N790" s="559"/>
      <c r="O790" s="559"/>
      <c r="P790" s="559"/>
      <c r="Q790" s="559"/>
      <c r="R790" s="559"/>
      <c r="S790" s="559"/>
      <c r="T790" s="559"/>
      <c r="U790" s="559"/>
      <c r="V790" s="559"/>
      <c r="W790" s="559"/>
      <c r="X790" s="559"/>
      <c r="Y790" s="559"/>
      <c r="Z790" s="559"/>
      <c r="AA790" s="559"/>
      <c r="AB790" s="559"/>
      <c r="AC790" s="559"/>
      <c r="AD790" s="559"/>
      <c r="AE790" s="559"/>
      <c r="AF790" s="559"/>
      <c r="AG790" s="559"/>
    </row>
    <row r="791" spans="1:33" ht="18" customHeight="1" x14ac:dyDescent="0.35">
      <c r="A791" s="559"/>
      <c r="B791" s="559"/>
      <c r="C791" s="559"/>
      <c r="D791" s="559"/>
      <c r="E791" s="559"/>
      <c r="F791" s="559"/>
      <c r="G791" s="559"/>
      <c r="H791" s="559"/>
      <c r="I791" s="559"/>
      <c r="J791" s="559"/>
      <c r="K791" s="559"/>
      <c r="L791" s="559"/>
      <c r="M791" s="559"/>
      <c r="N791" s="559"/>
      <c r="O791" s="559"/>
      <c r="P791" s="559"/>
      <c r="Q791" s="559"/>
      <c r="R791" s="559"/>
      <c r="S791" s="559"/>
      <c r="T791" s="559"/>
      <c r="U791" s="559"/>
      <c r="V791" s="559"/>
      <c r="W791" s="559"/>
      <c r="X791" s="559"/>
      <c r="Y791" s="559"/>
      <c r="Z791" s="559"/>
      <c r="AA791" s="559"/>
      <c r="AB791" s="559"/>
      <c r="AC791" s="559"/>
      <c r="AD791" s="559"/>
      <c r="AE791" s="559"/>
      <c r="AF791" s="559"/>
      <c r="AG791" s="559"/>
    </row>
    <row r="792" spans="1:33" ht="18" customHeight="1" x14ac:dyDescent="0.35">
      <c r="A792" s="559"/>
      <c r="B792" s="559"/>
      <c r="C792" s="559"/>
      <c r="D792" s="559"/>
      <c r="E792" s="559"/>
      <c r="F792" s="559"/>
      <c r="G792" s="559"/>
      <c r="H792" s="559"/>
      <c r="I792" s="559"/>
      <c r="J792" s="559"/>
      <c r="K792" s="559"/>
      <c r="L792" s="559"/>
      <c r="M792" s="559"/>
      <c r="N792" s="559"/>
      <c r="O792" s="559"/>
      <c r="P792" s="559"/>
      <c r="Q792" s="559"/>
      <c r="R792" s="559"/>
      <c r="S792" s="559"/>
      <c r="T792" s="559"/>
      <c r="U792" s="559"/>
      <c r="V792" s="559"/>
      <c r="W792" s="559"/>
      <c r="X792" s="559"/>
      <c r="Y792" s="559"/>
      <c r="Z792" s="559"/>
      <c r="AA792" s="559"/>
      <c r="AB792" s="559"/>
      <c r="AC792" s="559"/>
      <c r="AD792" s="559"/>
      <c r="AE792" s="559"/>
      <c r="AF792" s="559"/>
      <c r="AG792" s="559"/>
    </row>
    <row r="793" spans="1:33" ht="18" customHeight="1" x14ac:dyDescent="0.35">
      <c r="A793" s="559"/>
      <c r="B793" s="559"/>
      <c r="C793" s="559"/>
      <c r="D793" s="559"/>
      <c r="E793" s="559"/>
      <c r="F793" s="559"/>
      <c r="G793" s="559"/>
      <c r="H793" s="559"/>
      <c r="I793" s="559"/>
      <c r="J793" s="559"/>
      <c r="K793" s="559"/>
      <c r="L793" s="559"/>
      <c r="M793" s="559"/>
      <c r="N793" s="559"/>
      <c r="O793" s="559"/>
      <c r="P793" s="559"/>
      <c r="Q793" s="559"/>
      <c r="R793" s="559"/>
      <c r="S793" s="559"/>
      <c r="T793" s="559"/>
      <c r="U793" s="559"/>
      <c r="V793" s="559"/>
      <c r="W793" s="559"/>
      <c r="X793" s="559"/>
      <c r="Y793" s="559"/>
      <c r="Z793" s="559"/>
      <c r="AA793" s="559"/>
      <c r="AB793" s="559"/>
      <c r="AC793" s="559"/>
      <c r="AD793" s="559"/>
      <c r="AE793" s="559"/>
      <c r="AF793" s="559"/>
      <c r="AG793" s="559"/>
    </row>
    <row r="794" spans="1:33" ht="18" customHeight="1" x14ac:dyDescent="0.35">
      <c r="A794" s="559"/>
      <c r="B794" s="559"/>
      <c r="C794" s="559"/>
      <c r="D794" s="559"/>
      <c r="E794" s="559"/>
      <c r="F794" s="559"/>
      <c r="G794" s="559"/>
      <c r="H794" s="559"/>
      <c r="I794" s="559"/>
      <c r="J794" s="559"/>
      <c r="K794" s="559"/>
      <c r="L794" s="559"/>
      <c r="M794" s="559"/>
      <c r="N794" s="559"/>
      <c r="O794" s="559"/>
      <c r="P794" s="559"/>
      <c r="Q794" s="559"/>
      <c r="R794" s="559"/>
      <c r="S794" s="559"/>
      <c r="T794" s="559"/>
      <c r="U794" s="559"/>
      <c r="V794" s="559"/>
      <c r="W794" s="559"/>
      <c r="X794" s="559"/>
      <c r="Y794" s="559"/>
      <c r="Z794" s="559"/>
      <c r="AA794" s="559"/>
      <c r="AB794" s="559"/>
      <c r="AC794" s="559"/>
      <c r="AD794" s="559"/>
      <c r="AE794" s="559"/>
      <c r="AF794" s="559"/>
      <c r="AG794" s="559"/>
    </row>
    <row r="795" spans="1:33" ht="18" customHeight="1" x14ac:dyDescent="0.35">
      <c r="A795" s="559"/>
      <c r="B795" s="559"/>
      <c r="C795" s="559"/>
      <c r="D795" s="559"/>
      <c r="E795" s="559"/>
      <c r="F795" s="559"/>
      <c r="G795" s="559"/>
      <c r="H795" s="559"/>
      <c r="I795" s="559"/>
      <c r="J795" s="559"/>
      <c r="K795" s="559"/>
      <c r="L795" s="559"/>
      <c r="M795" s="559"/>
      <c r="N795" s="559"/>
      <c r="O795" s="559"/>
      <c r="P795" s="559"/>
      <c r="Q795" s="559"/>
      <c r="R795" s="559"/>
      <c r="S795" s="559"/>
      <c r="T795" s="559"/>
      <c r="U795" s="559"/>
      <c r="V795" s="559"/>
      <c r="W795" s="559"/>
      <c r="X795" s="559"/>
      <c r="Y795" s="559"/>
      <c r="Z795" s="559"/>
      <c r="AA795" s="559"/>
      <c r="AB795" s="559"/>
      <c r="AC795" s="559"/>
      <c r="AD795" s="559"/>
      <c r="AE795" s="559"/>
      <c r="AF795" s="559"/>
      <c r="AG795" s="559"/>
    </row>
    <row r="796" spans="1:33" ht="18" customHeight="1" x14ac:dyDescent="0.35">
      <c r="A796" s="559"/>
      <c r="B796" s="559"/>
      <c r="C796" s="559"/>
      <c r="D796" s="559"/>
      <c r="E796" s="559"/>
      <c r="F796" s="559"/>
      <c r="G796" s="559"/>
      <c r="H796" s="559"/>
      <c r="I796" s="559"/>
      <c r="J796" s="559"/>
      <c r="K796" s="559"/>
      <c r="L796" s="559"/>
      <c r="M796" s="559"/>
      <c r="N796" s="559"/>
      <c r="O796" s="559"/>
      <c r="P796" s="559"/>
      <c r="Q796" s="559"/>
      <c r="R796" s="559"/>
      <c r="S796" s="559"/>
      <c r="T796" s="559"/>
      <c r="U796" s="559"/>
      <c r="V796" s="559"/>
      <c r="W796" s="559"/>
      <c r="X796" s="559"/>
      <c r="Y796" s="559"/>
      <c r="Z796" s="559"/>
      <c r="AA796" s="559"/>
      <c r="AB796" s="559"/>
      <c r="AC796" s="559"/>
      <c r="AD796" s="559"/>
      <c r="AE796" s="559"/>
      <c r="AF796" s="559"/>
      <c r="AG796" s="559"/>
    </row>
    <row r="797" spans="1:33" ht="18" customHeight="1" x14ac:dyDescent="0.35">
      <c r="A797" s="559"/>
      <c r="B797" s="559"/>
      <c r="C797" s="559"/>
      <c r="D797" s="559"/>
      <c r="E797" s="559"/>
      <c r="F797" s="559"/>
      <c r="G797" s="559"/>
      <c r="H797" s="559"/>
      <c r="I797" s="559"/>
      <c r="J797" s="559"/>
      <c r="K797" s="559"/>
      <c r="L797" s="559"/>
      <c r="M797" s="559"/>
      <c r="N797" s="559"/>
      <c r="O797" s="559"/>
      <c r="P797" s="559"/>
      <c r="Q797" s="559"/>
      <c r="R797" s="559"/>
      <c r="S797" s="559"/>
      <c r="T797" s="559"/>
      <c r="U797" s="559"/>
      <c r="V797" s="559"/>
      <c r="W797" s="559"/>
      <c r="X797" s="559"/>
      <c r="Y797" s="559"/>
      <c r="Z797" s="559"/>
      <c r="AA797" s="559"/>
      <c r="AB797" s="559"/>
      <c r="AC797" s="559"/>
      <c r="AD797" s="559"/>
      <c r="AE797" s="559"/>
      <c r="AF797" s="559"/>
      <c r="AG797" s="559"/>
    </row>
    <row r="798" spans="1:33" ht="18" customHeight="1" x14ac:dyDescent="0.35">
      <c r="A798" s="559"/>
      <c r="B798" s="559"/>
      <c r="C798" s="559"/>
      <c r="D798" s="559"/>
      <c r="E798" s="559"/>
      <c r="F798" s="559"/>
      <c r="G798" s="559"/>
      <c r="H798" s="559"/>
      <c r="I798" s="559"/>
      <c r="J798" s="559"/>
      <c r="K798" s="559"/>
      <c r="L798" s="559"/>
      <c r="M798" s="559"/>
      <c r="N798" s="559"/>
      <c r="O798" s="559"/>
      <c r="P798" s="559"/>
      <c r="Q798" s="559"/>
      <c r="R798" s="559"/>
      <c r="S798" s="559"/>
      <c r="T798" s="559"/>
      <c r="U798" s="559"/>
      <c r="V798" s="559"/>
      <c r="W798" s="559"/>
      <c r="X798" s="559"/>
      <c r="Y798" s="559"/>
      <c r="Z798" s="559"/>
      <c r="AA798" s="559"/>
      <c r="AB798" s="559"/>
      <c r="AC798" s="559"/>
      <c r="AD798" s="559"/>
      <c r="AE798" s="559"/>
      <c r="AF798" s="559"/>
      <c r="AG798" s="559"/>
    </row>
    <row r="799" spans="1:33" ht="18" customHeight="1" x14ac:dyDescent="0.35">
      <c r="A799" s="559"/>
      <c r="B799" s="559"/>
      <c r="C799" s="559"/>
      <c r="D799" s="559"/>
      <c r="E799" s="559"/>
      <c r="F799" s="559"/>
      <c r="G799" s="559"/>
      <c r="H799" s="559"/>
      <c r="I799" s="559"/>
      <c r="J799" s="559"/>
      <c r="K799" s="559"/>
      <c r="L799" s="559"/>
      <c r="M799" s="559"/>
      <c r="N799" s="559"/>
      <c r="O799" s="559"/>
      <c r="P799" s="559"/>
      <c r="Q799" s="559"/>
      <c r="R799" s="559"/>
      <c r="S799" s="559"/>
      <c r="T799" s="559"/>
      <c r="U799" s="559"/>
      <c r="V799" s="559"/>
      <c r="W799" s="559"/>
      <c r="X799" s="559"/>
      <c r="Y799" s="559"/>
      <c r="Z799" s="559"/>
      <c r="AA799" s="559"/>
      <c r="AB799" s="559"/>
      <c r="AC799" s="559"/>
      <c r="AD799" s="559"/>
      <c r="AE799" s="559"/>
      <c r="AF799" s="559"/>
      <c r="AG799" s="559"/>
    </row>
    <row r="800" spans="1:33" ht="18" customHeight="1" x14ac:dyDescent="0.35">
      <c r="A800" s="559"/>
      <c r="B800" s="559"/>
      <c r="C800" s="559"/>
      <c r="D800" s="559"/>
      <c r="E800" s="559"/>
      <c r="F800" s="559"/>
      <c r="G800" s="559"/>
      <c r="H800" s="559"/>
      <c r="I800" s="559"/>
      <c r="J800" s="559"/>
      <c r="K800" s="559"/>
      <c r="L800" s="559"/>
      <c r="M800" s="559"/>
      <c r="N800" s="559"/>
      <c r="O800" s="559"/>
      <c r="P800" s="559"/>
      <c r="Q800" s="559"/>
      <c r="R800" s="559"/>
      <c r="S800" s="559"/>
      <c r="T800" s="559"/>
      <c r="U800" s="559"/>
      <c r="V800" s="559"/>
      <c r="W800" s="559"/>
      <c r="X800" s="559"/>
      <c r="Y800" s="559"/>
      <c r="Z800" s="559"/>
      <c r="AA800" s="559"/>
      <c r="AB800" s="559"/>
      <c r="AC800" s="559"/>
      <c r="AD800" s="559"/>
      <c r="AE800" s="559"/>
      <c r="AF800" s="559"/>
      <c r="AG800" s="559"/>
    </row>
    <row r="801" spans="1:33" ht="18" customHeight="1" x14ac:dyDescent="0.35">
      <c r="A801" s="559"/>
      <c r="B801" s="559"/>
      <c r="C801" s="559"/>
      <c r="D801" s="559"/>
      <c r="E801" s="559"/>
      <c r="F801" s="559"/>
      <c r="G801" s="559"/>
      <c r="H801" s="559"/>
      <c r="I801" s="559"/>
      <c r="J801" s="559"/>
      <c r="K801" s="559"/>
      <c r="L801" s="559"/>
      <c r="M801" s="559"/>
      <c r="N801" s="559"/>
      <c r="O801" s="559"/>
      <c r="P801" s="559"/>
      <c r="Q801" s="559"/>
      <c r="R801" s="559"/>
      <c r="S801" s="559"/>
      <c r="T801" s="559"/>
      <c r="U801" s="559"/>
      <c r="V801" s="559"/>
      <c r="W801" s="559"/>
      <c r="X801" s="559"/>
      <c r="Y801" s="559"/>
      <c r="Z801" s="559"/>
      <c r="AA801" s="559"/>
      <c r="AB801" s="559"/>
      <c r="AC801" s="559"/>
      <c r="AD801" s="559"/>
      <c r="AE801" s="559"/>
      <c r="AF801" s="559"/>
      <c r="AG801" s="559"/>
    </row>
    <row r="802" spans="1:33" ht="18" customHeight="1" x14ac:dyDescent="0.35">
      <c r="A802" s="559"/>
      <c r="B802" s="559"/>
      <c r="C802" s="559"/>
      <c r="D802" s="559"/>
      <c r="E802" s="559"/>
      <c r="F802" s="559"/>
      <c r="G802" s="559"/>
      <c r="H802" s="559"/>
      <c r="I802" s="559"/>
      <c r="J802" s="559"/>
      <c r="K802" s="559"/>
      <c r="L802" s="559"/>
      <c r="M802" s="559"/>
      <c r="N802" s="559"/>
      <c r="O802" s="559"/>
      <c r="P802" s="559"/>
      <c r="Q802" s="559"/>
      <c r="R802" s="559"/>
      <c r="S802" s="559"/>
      <c r="T802" s="559"/>
      <c r="U802" s="559"/>
      <c r="V802" s="559"/>
      <c r="W802" s="559"/>
      <c r="X802" s="559"/>
      <c r="Y802" s="559"/>
      <c r="Z802" s="559"/>
      <c r="AA802" s="559"/>
      <c r="AB802" s="559"/>
      <c r="AC802" s="559"/>
      <c r="AD802" s="559"/>
      <c r="AE802" s="559"/>
      <c r="AF802" s="559"/>
      <c r="AG802" s="559"/>
    </row>
    <row r="803" spans="1:33" ht="18" customHeight="1" x14ac:dyDescent="0.35">
      <c r="A803" s="559"/>
      <c r="B803" s="559"/>
      <c r="C803" s="559"/>
      <c r="D803" s="559"/>
      <c r="E803" s="559"/>
      <c r="F803" s="559"/>
      <c r="G803" s="559"/>
      <c r="H803" s="559"/>
      <c r="I803" s="559"/>
      <c r="J803" s="559"/>
      <c r="K803" s="559"/>
      <c r="L803" s="559"/>
      <c r="M803" s="559"/>
      <c r="N803" s="559"/>
      <c r="O803" s="559"/>
      <c r="P803" s="559"/>
      <c r="Q803" s="559"/>
      <c r="R803" s="559"/>
      <c r="S803" s="559"/>
      <c r="T803" s="559"/>
      <c r="U803" s="559"/>
      <c r="V803" s="559"/>
      <c r="W803" s="559"/>
      <c r="X803" s="559"/>
      <c r="Y803" s="559"/>
      <c r="Z803" s="559"/>
      <c r="AA803" s="559"/>
      <c r="AB803" s="559"/>
      <c r="AC803" s="559"/>
      <c r="AD803" s="559"/>
      <c r="AE803" s="559"/>
      <c r="AF803" s="559"/>
      <c r="AG803" s="559"/>
    </row>
    <row r="804" spans="1:33" ht="18" customHeight="1" x14ac:dyDescent="0.35">
      <c r="A804" s="559"/>
      <c r="B804" s="559"/>
      <c r="C804" s="559"/>
      <c r="D804" s="559"/>
      <c r="E804" s="559"/>
      <c r="F804" s="559"/>
      <c r="G804" s="559"/>
      <c r="H804" s="559"/>
      <c r="I804" s="559"/>
      <c r="J804" s="559"/>
      <c r="K804" s="559"/>
      <c r="L804" s="559"/>
      <c r="M804" s="559"/>
      <c r="N804" s="559"/>
      <c r="O804" s="559"/>
      <c r="P804" s="559"/>
      <c r="Q804" s="559"/>
      <c r="R804" s="559"/>
      <c r="S804" s="559"/>
      <c r="T804" s="559"/>
      <c r="U804" s="559"/>
      <c r="V804" s="559"/>
      <c r="W804" s="559"/>
      <c r="X804" s="559"/>
      <c r="Y804" s="559"/>
      <c r="Z804" s="559"/>
      <c r="AA804" s="559"/>
      <c r="AB804" s="559"/>
      <c r="AC804" s="559"/>
      <c r="AD804" s="559"/>
      <c r="AE804" s="559"/>
      <c r="AF804" s="559"/>
      <c r="AG804" s="559"/>
    </row>
    <row r="805" spans="1:33" ht="18" customHeight="1" x14ac:dyDescent="0.35">
      <c r="A805" s="559"/>
      <c r="B805" s="559"/>
      <c r="C805" s="559"/>
      <c r="D805" s="559"/>
      <c r="E805" s="559"/>
      <c r="F805" s="559"/>
      <c r="G805" s="559"/>
      <c r="H805" s="559"/>
      <c r="I805" s="559"/>
      <c r="J805" s="559"/>
      <c r="K805" s="559"/>
      <c r="L805" s="559"/>
      <c r="M805" s="559"/>
      <c r="N805" s="559"/>
      <c r="O805" s="559"/>
      <c r="P805" s="559"/>
      <c r="Q805" s="559"/>
      <c r="R805" s="559"/>
      <c r="S805" s="559"/>
      <c r="T805" s="559"/>
      <c r="U805" s="559"/>
      <c r="V805" s="559"/>
      <c r="W805" s="559"/>
      <c r="X805" s="559"/>
      <c r="Y805" s="559"/>
      <c r="Z805" s="559"/>
      <c r="AA805" s="559"/>
      <c r="AB805" s="559"/>
      <c r="AC805" s="559"/>
      <c r="AD805" s="559"/>
      <c r="AE805" s="559"/>
      <c r="AF805" s="559"/>
      <c r="AG805" s="559"/>
    </row>
    <row r="806" spans="1:33" ht="18" customHeight="1" x14ac:dyDescent="0.35">
      <c r="A806" s="559"/>
      <c r="B806" s="559"/>
      <c r="C806" s="559"/>
      <c r="D806" s="559"/>
      <c r="E806" s="559"/>
      <c r="F806" s="559"/>
      <c r="G806" s="559"/>
      <c r="H806" s="559"/>
      <c r="I806" s="559"/>
      <c r="J806" s="559"/>
      <c r="K806" s="559"/>
      <c r="L806" s="559"/>
      <c r="M806" s="559"/>
      <c r="N806" s="559"/>
      <c r="O806" s="559"/>
      <c r="P806" s="559"/>
      <c r="Q806" s="559"/>
      <c r="R806" s="559"/>
      <c r="S806" s="559"/>
      <c r="T806" s="559"/>
      <c r="U806" s="559"/>
      <c r="V806" s="559"/>
      <c r="W806" s="559"/>
      <c r="X806" s="559"/>
      <c r="Y806" s="559"/>
      <c r="Z806" s="559"/>
      <c r="AA806" s="559"/>
      <c r="AB806" s="559"/>
      <c r="AC806" s="559"/>
      <c r="AD806" s="559"/>
      <c r="AE806" s="559"/>
      <c r="AF806" s="559"/>
      <c r="AG806" s="559"/>
    </row>
    <row r="807" spans="1:33" ht="18" customHeight="1" x14ac:dyDescent="0.35">
      <c r="A807" s="559"/>
      <c r="B807" s="559"/>
      <c r="C807" s="559"/>
      <c r="D807" s="559"/>
      <c r="E807" s="559"/>
      <c r="F807" s="559"/>
      <c r="G807" s="559"/>
      <c r="H807" s="559"/>
      <c r="I807" s="559"/>
      <c r="J807" s="559"/>
      <c r="K807" s="559"/>
      <c r="L807" s="559"/>
      <c r="M807" s="559"/>
      <c r="N807" s="559"/>
      <c r="O807" s="559"/>
      <c r="P807" s="559"/>
      <c r="Q807" s="559"/>
      <c r="R807" s="559"/>
      <c r="S807" s="559"/>
      <c r="T807" s="559"/>
      <c r="U807" s="559"/>
      <c r="V807" s="559"/>
      <c r="W807" s="559"/>
      <c r="X807" s="559"/>
      <c r="Y807" s="559"/>
      <c r="Z807" s="559"/>
      <c r="AA807" s="559"/>
      <c r="AB807" s="559"/>
      <c r="AC807" s="559"/>
      <c r="AD807" s="559"/>
      <c r="AE807" s="559"/>
      <c r="AF807" s="559"/>
      <c r="AG807" s="559"/>
    </row>
    <row r="808" spans="1:33" ht="18" customHeight="1" x14ac:dyDescent="0.35">
      <c r="A808" s="559"/>
      <c r="B808" s="559"/>
      <c r="C808" s="559"/>
      <c r="D808" s="559"/>
      <c r="E808" s="559"/>
      <c r="F808" s="559"/>
      <c r="G808" s="559"/>
      <c r="H808" s="559"/>
      <c r="I808" s="559"/>
      <c r="J808" s="559"/>
      <c r="K808" s="559"/>
      <c r="L808" s="559"/>
      <c r="M808" s="559"/>
      <c r="N808" s="559"/>
      <c r="O808" s="559"/>
      <c r="P808" s="559"/>
      <c r="Q808" s="559"/>
      <c r="R808" s="559"/>
      <c r="S808" s="559"/>
      <c r="T808" s="559"/>
      <c r="U808" s="559"/>
      <c r="V808" s="559"/>
      <c r="W808" s="559"/>
      <c r="X808" s="559"/>
      <c r="Y808" s="559"/>
      <c r="Z808" s="559"/>
      <c r="AA808" s="559"/>
      <c r="AB808" s="559"/>
      <c r="AC808" s="559"/>
      <c r="AD808" s="559"/>
      <c r="AE808" s="559"/>
      <c r="AF808" s="559"/>
      <c r="AG808" s="559"/>
    </row>
    <row r="809" spans="1:33" ht="18" customHeight="1" x14ac:dyDescent="0.35">
      <c r="A809" s="559"/>
      <c r="B809" s="559"/>
      <c r="C809" s="559"/>
      <c r="D809" s="559"/>
      <c r="E809" s="559"/>
      <c r="F809" s="559"/>
      <c r="G809" s="559"/>
      <c r="H809" s="559"/>
      <c r="I809" s="559"/>
      <c r="J809" s="559"/>
      <c r="K809" s="559"/>
      <c r="L809" s="559"/>
      <c r="M809" s="559"/>
      <c r="N809" s="559"/>
      <c r="O809" s="559"/>
      <c r="P809" s="559"/>
      <c r="Q809" s="559"/>
      <c r="R809" s="559"/>
      <c r="S809" s="559"/>
      <c r="T809" s="559"/>
      <c r="U809" s="559"/>
      <c r="V809" s="559"/>
      <c r="W809" s="559"/>
      <c r="X809" s="559"/>
      <c r="Y809" s="559"/>
      <c r="Z809" s="559"/>
      <c r="AA809" s="559"/>
      <c r="AB809" s="559"/>
      <c r="AC809" s="559"/>
      <c r="AD809" s="559"/>
      <c r="AE809" s="559"/>
      <c r="AF809" s="559"/>
      <c r="AG809" s="559"/>
    </row>
    <row r="810" spans="1:33" ht="18" customHeight="1" x14ac:dyDescent="0.35">
      <c r="A810" s="559"/>
      <c r="B810" s="559"/>
      <c r="C810" s="559"/>
      <c r="D810" s="559"/>
      <c r="E810" s="559"/>
      <c r="F810" s="559"/>
      <c r="G810" s="559"/>
      <c r="H810" s="559"/>
      <c r="I810" s="559"/>
      <c r="J810" s="559"/>
      <c r="K810" s="559"/>
      <c r="L810" s="559"/>
      <c r="M810" s="559"/>
      <c r="N810" s="559"/>
      <c r="O810" s="559"/>
      <c r="P810" s="559"/>
      <c r="Q810" s="559"/>
      <c r="R810" s="559"/>
      <c r="S810" s="559"/>
      <c r="T810" s="559"/>
      <c r="U810" s="559"/>
      <c r="V810" s="559"/>
      <c r="W810" s="559"/>
      <c r="X810" s="559"/>
      <c r="Y810" s="559"/>
      <c r="Z810" s="559"/>
      <c r="AA810" s="559"/>
      <c r="AB810" s="559"/>
      <c r="AC810" s="559"/>
      <c r="AD810" s="559"/>
      <c r="AE810" s="559"/>
      <c r="AF810" s="559"/>
      <c r="AG810" s="559"/>
    </row>
    <row r="811" spans="1:33" ht="18" customHeight="1" x14ac:dyDescent="0.35">
      <c r="A811" s="559"/>
      <c r="B811" s="559"/>
      <c r="C811" s="559"/>
      <c r="D811" s="559"/>
      <c r="E811" s="559"/>
      <c r="F811" s="559"/>
      <c r="G811" s="559"/>
      <c r="H811" s="559"/>
      <c r="I811" s="559"/>
      <c r="J811" s="559"/>
      <c r="K811" s="559"/>
      <c r="L811" s="559"/>
      <c r="M811" s="559"/>
      <c r="N811" s="559"/>
      <c r="O811" s="559"/>
      <c r="P811" s="559"/>
      <c r="Q811" s="559"/>
      <c r="R811" s="559"/>
      <c r="S811" s="559"/>
      <c r="T811" s="559"/>
      <c r="U811" s="559"/>
      <c r="V811" s="559"/>
      <c r="W811" s="559"/>
      <c r="X811" s="559"/>
      <c r="Y811" s="559"/>
      <c r="Z811" s="559"/>
      <c r="AA811" s="559"/>
      <c r="AB811" s="559"/>
      <c r="AC811" s="559"/>
      <c r="AD811" s="559"/>
      <c r="AE811" s="559"/>
      <c r="AF811" s="559"/>
      <c r="AG811" s="559"/>
    </row>
    <row r="812" spans="1:33" ht="18" customHeight="1" x14ac:dyDescent="0.35">
      <c r="A812" s="559"/>
      <c r="B812" s="559"/>
      <c r="C812" s="559"/>
      <c r="D812" s="559"/>
      <c r="E812" s="559"/>
      <c r="F812" s="559"/>
      <c r="G812" s="559"/>
      <c r="H812" s="559"/>
      <c r="I812" s="559"/>
      <c r="J812" s="559"/>
      <c r="K812" s="559"/>
      <c r="L812" s="559"/>
      <c r="M812" s="559"/>
      <c r="N812" s="559"/>
      <c r="O812" s="559"/>
      <c r="P812" s="559"/>
      <c r="Q812" s="559"/>
      <c r="R812" s="559"/>
      <c r="S812" s="559"/>
      <c r="T812" s="559"/>
      <c r="U812" s="559"/>
      <c r="V812" s="559"/>
      <c r="W812" s="559"/>
      <c r="X812" s="559"/>
      <c r="Y812" s="559"/>
      <c r="Z812" s="559"/>
      <c r="AA812" s="559"/>
      <c r="AB812" s="559"/>
      <c r="AC812" s="559"/>
      <c r="AD812" s="559"/>
      <c r="AE812" s="559"/>
      <c r="AF812" s="559"/>
      <c r="AG812" s="559"/>
    </row>
    <row r="813" spans="1:33" ht="18" customHeight="1" x14ac:dyDescent="0.35">
      <c r="A813" s="559"/>
      <c r="B813" s="559"/>
      <c r="C813" s="559"/>
      <c r="D813" s="559"/>
      <c r="E813" s="559"/>
      <c r="F813" s="559"/>
      <c r="G813" s="559"/>
      <c r="H813" s="559"/>
      <c r="I813" s="559"/>
      <c r="J813" s="559"/>
      <c r="K813" s="559"/>
      <c r="L813" s="559"/>
      <c r="M813" s="559"/>
      <c r="N813" s="559"/>
      <c r="O813" s="559"/>
      <c r="P813" s="559"/>
      <c r="Q813" s="559"/>
      <c r="R813" s="559"/>
      <c r="S813" s="559"/>
      <c r="T813" s="559"/>
      <c r="U813" s="559"/>
      <c r="V813" s="559"/>
      <c r="W813" s="559"/>
      <c r="X813" s="559"/>
      <c r="Y813" s="559"/>
      <c r="Z813" s="559"/>
      <c r="AA813" s="559"/>
      <c r="AB813" s="559"/>
      <c r="AC813" s="559"/>
      <c r="AD813" s="559"/>
      <c r="AE813" s="559"/>
      <c r="AF813" s="559"/>
      <c r="AG813" s="559"/>
    </row>
    <row r="814" spans="1:33" ht="18" customHeight="1" x14ac:dyDescent="0.35">
      <c r="A814" s="559"/>
      <c r="B814" s="559"/>
      <c r="C814" s="559"/>
      <c r="D814" s="559"/>
      <c r="E814" s="559"/>
      <c r="F814" s="559"/>
      <c r="G814" s="559"/>
      <c r="H814" s="559"/>
      <c r="I814" s="559"/>
      <c r="J814" s="559"/>
      <c r="K814" s="559"/>
      <c r="L814" s="559"/>
      <c r="M814" s="559"/>
      <c r="N814" s="559"/>
      <c r="O814" s="559"/>
      <c r="P814" s="559"/>
      <c r="Q814" s="559"/>
      <c r="R814" s="559"/>
      <c r="S814" s="559"/>
      <c r="T814" s="559"/>
      <c r="U814" s="559"/>
      <c r="V814" s="559"/>
      <c r="W814" s="559"/>
      <c r="X814" s="559"/>
      <c r="Y814" s="559"/>
      <c r="Z814" s="559"/>
      <c r="AA814" s="559"/>
      <c r="AB814" s="559"/>
      <c r="AC814" s="559"/>
      <c r="AD814" s="559"/>
      <c r="AE814" s="559"/>
      <c r="AF814" s="559"/>
      <c r="AG814" s="559"/>
    </row>
    <row r="815" spans="1:33" ht="18" customHeight="1" x14ac:dyDescent="0.35">
      <c r="A815" s="559"/>
      <c r="B815" s="559"/>
      <c r="C815" s="559"/>
      <c r="D815" s="559"/>
      <c r="E815" s="559"/>
      <c r="F815" s="559"/>
      <c r="G815" s="559"/>
      <c r="H815" s="559"/>
      <c r="I815" s="559"/>
      <c r="J815" s="559"/>
      <c r="K815" s="559"/>
      <c r="L815" s="559"/>
      <c r="M815" s="559"/>
      <c r="N815" s="559"/>
      <c r="O815" s="559"/>
      <c r="P815" s="559"/>
      <c r="Q815" s="559"/>
      <c r="R815" s="559"/>
      <c r="S815" s="559"/>
      <c r="T815" s="559"/>
      <c r="U815" s="559"/>
      <c r="V815" s="559"/>
      <c r="W815" s="559"/>
      <c r="X815" s="559"/>
      <c r="Y815" s="559"/>
      <c r="Z815" s="559"/>
      <c r="AA815" s="559"/>
      <c r="AB815" s="559"/>
      <c r="AC815" s="559"/>
      <c r="AD815" s="559"/>
      <c r="AE815" s="559"/>
      <c r="AF815" s="559"/>
      <c r="AG815" s="559"/>
    </row>
    <row r="816" spans="1:33" ht="18" customHeight="1" x14ac:dyDescent="0.35">
      <c r="A816" s="559"/>
      <c r="B816" s="559"/>
      <c r="C816" s="559"/>
      <c r="D816" s="559"/>
      <c r="E816" s="559"/>
      <c r="F816" s="559"/>
      <c r="G816" s="559"/>
      <c r="H816" s="559"/>
      <c r="I816" s="559"/>
      <c r="J816" s="559"/>
      <c r="K816" s="559"/>
      <c r="L816" s="559"/>
      <c r="M816" s="559"/>
      <c r="N816" s="559"/>
      <c r="O816" s="559"/>
      <c r="P816" s="559"/>
      <c r="Q816" s="559"/>
      <c r="R816" s="559"/>
      <c r="S816" s="559"/>
      <c r="T816" s="559"/>
      <c r="U816" s="559"/>
      <c r="V816" s="559"/>
      <c r="W816" s="559"/>
      <c r="X816" s="559"/>
      <c r="Y816" s="559"/>
      <c r="Z816" s="559"/>
      <c r="AA816" s="559"/>
      <c r="AB816" s="559"/>
      <c r="AC816" s="559"/>
      <c r="AD816" s="559"/>
      <c r="AE816" s="559"/>
      <c r="AF816" s="559"/>
      <c r="AG816" s="559"/>
    </row>
    <row r="817" spans="1:33" ht="18" customHeight="1" x14ac:dyDescent="0.35">
      <c r="A817" s="559"/>
      <c r="B817" s="559"/>
      <c r="C817" s="559"/>
      <c r="D817" s="559"/>
      <c r="E817" s="559"/>
      <c r="F817" s="559"/>
      <c r="G817" s="559"/>
      <c r="H817" s="559"/>
      <c r="I817" s="559"/>
      <c r="J817" s="559"/>
      <c r="K817" s="559"/>
      <c r="L817" s="559"/>
      <c r="M817" s="559"/>
      <c r="N817" s="559"/>
      <c r="O817" s="559"/>
      <c r="P817" s="559"/>
      <c r="Q817" s="559"/>
      <c r="R817" s="559"/>
      <c r="S817" s="559"/>
      <c r="T817" s="559"/>
      <c r="U817" s="559"/>
      <c r="V817" s="559"/>
      <c r="W817" s="559"/>
      <c r="X817" s="559"/>
      <c r="Y817" s="559"/>
      <c r="Z817" s="559"/>
      <c r="AA817" s="559"/>
      <c r="AB817" s="559"/>
      <c r="AC817" s="559"/>
      <c r="AD817" s="559"/>
      <c r="AE817" s="559"/>
      <c r="AF817" s="559"/>
      <c r="AG817" s="559"/>
    </row>
    <row r="818" spans="1:33" ht="18" customHeight="1" x14ac:dyDescent="0.35">
      <c r="A818" s="559"/>
      <c r="B818" s="559"/>
      <c r="C818" s="559"/>
      <c r="D818" s="559"/>
      <c r="E818" s="559"/>
      <c r="F818" s="559"/>
      <c r="G818" s="559"/>
      <c r="H818" s="559"/>
      <c r="I818" s="559"/>
      <c r="J818" s="559"/>
      <c r="K818" s="559"/>
      <c r="L818" s="559"/>
      <c r="M818" s="559"/>
      <c r="N818" s="559"/>
      <c r="O818" s="559"/>
      <c r="P818" s="559"/>
      <c r="Q818" s="559"/>
      <c r="R818" s="559"/>
      <c r="S818" s="559"/>
      <c r="T818" s="559"/>
      <c r="U818" s="559"/>
      <c r="V818" s="559"/>
      <c r="W818" s="559"/>
      <c r="X818" s="559"/>
      <c r="Y818" s="559"/>
      <c r="Z818" s="559"/>
      <c r="AA818" s="559"/>
      <c r="AB818" s="559"/>
      <c r="AC818" s="559"/>
      <c r="AD818" s="559"/>
      <c r="AE818" s="559"/>
      <c r="AF818" s="559"/>
      <c r="AG818" s="559"/>
    </row>
    <row r="819" spans="1:33" ht="18" customHeight="1" x14ac:dyDescent="0.35">
      <c r="A819" s="559"/>
      <c r="B819" s="559"/>
      <c r="C819" s="559"/>
      <c r="D819" s="559"/>
      <c r="E819" s="559"/>
      <c r="F819" s="559"/>
      <c r="G819" s="559"/>
      <c r="H819" s="559"/>
      <c r="I819" s="559"/>
      <c r="J819" s="559"/>
      <c r="K819" s="559"/>
      <c r="L819" s="559"/>
      <c r="M819" s="559"/>
      <c r="N819" s="559"/>
      <c r="O819" s="559"/>
      <c r="P819" s="559"/>
      <c r="Q819" s="559"/>
      <c r="R819" s="559"/>
      <c r="S819" s="559"/>
      <c r="T819" s="559"/>
      <c r="U819" s="559"/>
      <c r="V819" s="559"/>
      <c r="W819" s="559"/>
      <c r="X819" s="559"/>
      <c r="Y819" s="559"/>
      <c r="Z819" s="559"/>
      <c r="AA819" s="559"/>
      <c r="AB819" s="559"/>
      <c r="AC819" s="559"/>
      <c r="AD819" s="559"/>
      <c r="AE819" s="559"/>
      <c r="AF819" s="559"/>
      <c r="AG819" s="559"/>
    </row>
    <row r="820" spans="1:33" ht="18" customHeight="1" x14ac:dyDescent="0.35">
      <c r="A820" s="559"/>
      <c r="B820" s="559"/>
      <c r="C820" s="559"/>
      <c r="D820" s="559"/>
      <c r="E820" s="559"/>
      <c r="F820" s="559"/>
      <c r="G820" s="559"/>
      <c r="H820" s="559"/>
      <c r="I820" s="559"/>
      <c r="J820" s="559"/>
      <c r="K820" s="559"/>
      <c r="L820" s="559"/>
      <c r="M820" s="559"/>
      <c r="N820" s="559"/>
      <c r="O820" s="559"/>
      <c r="P820" s="559"/>
      <c r="Q820" s="559"/>
      <c r="R820" s="559"/>
      <c r="S820" s="559"/>
      <c r="T820" s="559"/>
      <c r="U820" s="559"/>
      <c r="V820" s="559"/>
      <c r="W820" s="559"/>
      <c r="X820" s="559"/>
      <c r="Y820" s="559"/>
      <c r="Z820" s="559"/>
      <c r="AA820" s="559"/>
      <c r="AB820" s="559"/>
      <c r="AC820" s="559"/>
      <c r="AD820" s="559"/>
      <c r="AE820" s="559"/>
      <c r="AF820" s="559"/>
      <c r="AG820" s="559"/>
    </row>
    <row r="821" spans="1:33" ht="18" customHeight="1" x14ac:dyDescent="0.35">
      <c r="A821" s="559"/>
      <c r="B821" s="559"/>
      <c r="C821" s="559"/>
      <c r="D821" s="559"/>
      <c r="E821" s="559"/>
      <c r="F821" s="559"/>
      <c r="G821" s="559"/>
      <c r="H821" s="559"/>
      <c r="I821" s="559"/>
      <c r="J821" s="559"/>
      <c r="K821" s="559"/>
      <c r="L821" s="559"/>
      <c r="M821" s="559"/>
      <c r="N821" s="559"/>
      <c r="O821" s="559"/>
      <c r="P821" s="559"/>
      <c r="Q821" s="559"/>
      <c r="R821" s="559"/>
      <c r="S821" s="559"/>
      <c r="T821" s="559"/>
      <c r="U821" s="559"/>
      <c r="V821" s="559"/>
      <c r="W821" s="559"/>
      <c r="X821" s="559"/>
      <c r="Y821" s="559"/>
      <c r="Z821" s="559"/>
      <c r="AA821" s="559"/>
      <c r="AB821" s="559"/>
      <c r="AC821" s="559"/>
      <c r="AD821" s="559"/>
      <c r="AE821" s="559"/>
      <c r="AF821" s="559"/>
      <c r="AG821" s="559"/>
    </row>
    <row r="822" spans="1:33" ht="18" customHeight="1" x14ac:dyDescent="0.35">
      <c r="A822" s="559"/>
      <c r="B822" s="559"/>
      <c r="C822" s="559"/>
      <c r="D822" s="559"/>
      <c r="E822" s="559"/>
      <c r="F822" s="559"/>
      <c r="G822" s="559"/>
      <c r="H822" s="559"/>
      <c r="I822" s="559"/>
      <c r="J822" s="559"/>
      <c r="K822" s="559"/>
      <c r="L822" s="559"/>
      <c r="M822" s="559"/>
      <c r="N822" s="559"/>
      <c r="O822" s="559"/>
      <c r="P822" s="559"/>
      <c r="Q822" s="559"/>
      <c r="R822" s="559"/>
      <c r="S822" s="559"/>
      <c r="T822" s="559"/>
      <c r="U822" s="559"/>
      <c r="V822" s="559"/>
      <c r="W822" s="559"/>
      <c r="X822" s="559"/>
      <c r="Y822" s="559"/>
      <c r="Z822" s="559"/>
      <c r="AA822" s="559"/>
      <c r="AB822" s="559"/>
      <c r="AC822" s="559"/>
      <c r="AD822" s="559"/>
      <c r="AE822" s="559"/>
      <c r="AF822" s="559"/>
      <c r="AG822" s="559"/>
    </row>
    <row r="823" spans="1:33" ht="18" customHeight="1" x14ac:dyDescent="0.35">
      <c r="A823" s="559"/>
      <c r="B823" s="559"/>
      <c r="C823" s="559"/>
      <c r="D823" s="559"/>
      <c r="E823" s="559"/>
      <c r="F823" s="559"/>
      <c r="G823" s="559"/>
      <c r="H823" s="559"/>
      <c r="I823" s="559"/>
      <c r="J823" s="559"/>
      <c r="K823" s="559"/>
      <c r="L823" s="559"/>
      <c r="M823" s="559"/>
      <c r="N823" s="559"/>
      <c r="O823" s="559"/>
      <c r="P823" s="559"/>
      <c r="Q823" s="559"/>
      <c r="R823" s="559"/>
      <c r="S823" s="559"/>
      <c r="T823" s="559"/>
      <c r="U823" s="559"/>
      <c r="V823" s="559"/>
      <c r="W823" s="559"/>
      <c r="X823" s="559"/>
      <c r="Y823" s="559"/>
      <c r="Z823" s="559"/>
      <c r="AA823" s="559"/>
      <c r="AB823" s="559"/>
      <c r="AC823" s="559"/>
      <c r="AD823" s="559"/>
      <c r="AE823" s="559"/>
      <c r="AF823" s="559"/>
      <c r="AG823" s="559"/>
    </row>
    <row r="824" spans="1:33" ht="18" customHeight="1" x14ac:dyDescent="0.35">
      <c r="A824" s="559"/>
      <c r="B824" s="559"/>
      <c r="C824" s="559"/>
      <c r="D824" s="559"/>
      <c r="E824" s="559"/>
      <c r="F824" s="559"/>
      <c r="G824" s="559"/>
      <c r="H824" s="559"/>
      <c r="I824" s="559"/>
      <c r="J824" s="559"/>
      <c r="K824" s="559"/>
      <c r="L824" s="559"/>
      <c r="M824" s="559"/>
      <c r="N824" s="559"/>
      <c r="O824" s="559"/>
      <c r="P824" s="559"/>
      <c r="Q824" s="559"/>
      <c r="R824" s="559"/>
      <c r="S824" s="559"/>
      <c r="T824" s="559"/>
      <c r="U824" s="559"/>
      <c r="V824" s="559"/>
      <c r="W824" s="559"/>
      <c r="X824" s="559"/>
      <c r="Y824" s="559"/>
      <c r="Z824" s="559"/>
      <c r="AA824" s="559"/>
      <c r="AB824" s="559"/>
      <c r="AC824" s="559"/>
      <c r="AD824" s="559"/>
      <c r="AE824" s="559"/>
      <c r="AF824" s="559"/>
      <c r="AG824" s="559"/>
    </row>
    <row r="825" spans="1:33" ht="18" customHeight="1" x14ac:dyDescent="0.35">
      <c r="A825" s="559"/>
      <c r="B825" s="559"/>
      <c r="C825" s="559"/>
      <c r="D825" s="559"/>
      <c r="E825" s="559"/>
      <c r="F825" s="559"/>
      <c r="G825" s="559"/>
      <c r="H825" s="559"/>
      <c r="I825" s="559"/>
      <c r="J825" s="559"/>
      <c r="K825" s="559"/>
      <c r="L825" s="559"/>
      <c r="M825" s="559"/>
      <c r="N825" s="559"/>
      <c r="O825" s="559"/>
      <c r="P825" s="559"/>
      <c r="Q825" s="559"/>
      <c r="R825" s="559"/>
      <c r="S825" s="559"/>
      <c r="T825" s="559"/>
      <c r="U825" s="559"/>
      <c r="V825" s="559"/>
      <c r="W825" s="559"/>
      <c r="X825" s="559"/>
      <c r="Y825" s="559"/>
      <c r="Z825" s="559"/>
      <c r="AA825" s="559"/>
      <c r="AB825" s="559"/>
      <c r="AC825" s="559"/>
      <c r="AD825" s="559"/>
      <c r="AE825" s="559"/>
      <c r="AF825" s="559"/>
      <c r="AG825" s="559"/>
    </row>
    <row r="826" spans="1:33" ht="18" customHeight="1" x14ac:dyDescent="0.35">
      <c r="A826" s="559"/>
      <c r="B826" s="559"/>
      <c r="C826" s="559"/>
      <c r="D826" s="559"/>
      <c r="E826" s="559"/>
      <c r="F826" s="559"/>
      <c r="G826" s="559"/>
      <c r="H826" s="559"/>
      <c r="I826" s="559"/>
      <c r="J826" s="559"/>
      <c r="K826" s="559"/>
      <c r="L826" s="559"/>
      <c r="M826" s="559"/>
      <c r="N826" s="559"/>
      <c r="O826" s="559"/>
      <c r="P826" s="559"/>
      <c r="Q826" s="559"/>
      <c r="R826" s="559"/>
      <c r="S826" s="559"/>
      <c r="T826" s="559"/>
      <c r="U826" s="559"/>
      <c r="V826" s="559"/>
      <c r="W826" s="559"/>
      <c r="X826" s="559"/>
      <c r="Y826" s="559"/>
      <c r="Z826" s="559"/>
      <c r="AA826" s="559"/>
      <c r="AB826" s="559"/>
      <c r="AC826" s="559"/>
      <c r="AD826" s="559"/>
      <c r="AE826" s="559"/>
      <c r="AF826" s="559"/>
      <c r="AG826" s="559"/>
    </row>
    <row r="827" spans="1:33" ht="18" customHeight="1" x14ac:dyDescent="0.35">
      <c r="A827" s="559"/>
      <c r="B827" s="559"/>
      <c r="C827" s="559"/>
      <c r="D827" s="559"/>
      <c r="E827" s="559"/>
      <c r="F827" s="559"/>
      <c r="G827" s="559"/>
      <c r="H827" s="559"/>
      <c r="I827" s="559"/>
      <c r="J827" s="559"/>
      <c r="K827" s="559"/>
      <c r="L827" s="559"/>
      <c r="M827" s="559"/>
      <c r="N827" s="559"/>
      <c r="O827" s="559"/>
      <c r="P827" s="559"/>
      <c r="Q827" s="559"/>
      <c r="R827" s="559"/>
      <c r="S827" s="559"/>
      <c r="T827" s="559"/>
      <c r="U827" s="559"/>
      <c r="V827" s="559"/>
      <c r="W827" s="559"/>
      <c r="X827" s="559"/>
      <c r="Y827" s="559"/>
      <c r="Z827" s="559"/>
      <c r="AA827" s="559"/>
      <c r="AB827" s="559"/>
      <c r="AC827" s="559"/>
      <c r="AD827" s="559"/>
      <c r="AE827" s="559"/>
      <c r="AF827" s="559"/>
      <c r="AG827" s="559"/>
    </row>
    <row r="828" spans="1:33" ht="18" customHeight="1" x14ac:dyDescent="0.35">
      <c r="A828" s="559"/>
      <c r="B828" s="559"/>
      <c r="C828" s="559"/>
      <c r="D828" s="559"/>
      <c r="E828" s="559"/>
      <c r="F828" s="559"/>
      <c r="G828" s="559"/>
      <c r="H828" s="559"/>
      <c r="I828" s="559"/>
      <c r="J828" s="559"/>
      <c r="K828" s="559"/>
      <c r="L828" s="559"/>
      <c r="M828" s="559"/>
      <c r="N828" s="559"/>
      <c r="O828" s="559"/>
      <c r="P828" s="559"/>
      <c r="Q828" s="559"/>
      <c r="R828" s="559"/>
      <c r="S828" s="559"/>
      <c r="T828" s="559"/>
      <c r="U828" s="559"/>
      <c r="V828" s="559"/>
      <c r="W828" s="559"/>
      <c r="X828" s="559"/>
      <c r="Y828" s="559"/>
      <c r="Z828" s="559"/>
      <c r="AA828" s="559"/>
      <c r="AB828" s="559"/>
      <c r="AC828" s="559"/>
      <c r="AD828" s="559"/>
      <c r="AE828" s="559"/>
      <c r="AF828" s="559"/>
      <c r="AG828" s="559"/>
    </row>
    <row r="829" spans="1:33" ht="18" customHeight="1" x14ac:dyDescent="0.35">
      <c r="A829" s="559"/>
      <c r="B829" s="559"/>
      <c r="C829" s="559"/>
      <c r="D829" s="559"/>
      <c r="E829" s="559"/>
      <c r="F829" s="559"/>
      <c r="G829" s="559"/>
      <c r="H829" s="559"/>
      <c r="I829" s="559"/>
      <c r="J829" s="559"/>
      <c r="K829" s="559"/>
      <c r="L829" s="559"/>
      <c r="M829" s="559"/>
      <c r="N829" s="559"/>
      <c r="O829" s="559"/>
      <c r="P829" s="559"/>
      <c r="Q829" s="559"/>
      <c r="R829" s="559"/>
      <c r="S829" s="559"/>
      <c r="T829" s="559"/>
      <c r="U829" s="559"/>
      <c r="V829" s="559"/>
      <c r="W829" s="559"/>
      <c r="X829" s="559"/>
      <c r="Y829" s="559"/>
      <c r="Z829" s="559"/>
      <c r="AA829" s="559"/>
      <c r="AB829" s="559"/>
      <c r="AC829" s="559"/>
      <c r="AD829" s="559"/>
      <c r="AE829" s="559"/>
      <c r="AF829" s="559"/>
      <c r="AG829" s="559"/>
    </row>
    <row r="830" spans="1:33" ht="18" customHeight="1" x14ac:dyDescent="0.35">
      <c r="A830" s="559"/>
      <c r="B830" s="559"/>
      <c r="C830" s="559"/>
      <c r="D830" s="559"/>
      <c r="E830" s="559"/>
      <c r="F830" s="559"/>
      <c r="G830" s="559"/>
      <c r="H830" s="559"/>
      <c r="I830" s="559"/>
      <c r="J830" s="559"/>
      <c r="K830" s="559"/>
      <c r="L830" s="559"/>
      <c r="M830" s="559"/>
      <c r="N830" s="559"/>
      <c r="O830" s="559"/>
      <c r="P830" s="559"/>
      <c r="Q830" s="559"/>
      <c r="R830" s="559"/>
      <c r="S830" s="559"/>
      <c r="T830" s="559"/>
      <c r="U830" s="559"/>
      <c r="V830" s="559"/>
      <c r="W830" s="559"/>
      <c r="X830" s="559"/>
      <c r="Y830" s="559"/>
      <c r="Z830" s="559"/>
      <c r="AA830" s="559"/>
      <c r="AB830" s="559"/>
      <c r="AC830" s="559"/>
      <c r="AD830" s="559"/>
      <c r="AE830" s="559"/>
      <c r="AF830" s="559"/>
      <c r="AG830" s="559"/>
    </row>
    <row r="831" spans="1:33" ht="18" customHeight="1" x14ac:dyDescent="0.35">
      <c r="A831" s="559"/>
      <c r="B831" s="559"/>
      <c r="C831" s="559"/>
      <c r="D831" s="559"/>
      <c r="E831" s="559"/>
      <c r="F831" s="559"/>
      <c r="G831" s="559"/>
      <c r="H831" s="559"/>
      <c r="I831" s="559"/>
      <c r="J831" s="559"/>
      <c r="K831" s="559"/>
      <c r="L831" s="559"/>
      <c r="M831" s="559"/>
      <c r="N831" s="559"/>
      <c r="O831" s="559"/>
      <c r="P831" s="559"/>
      <c r="Q831" s="559"/>
      <c r="R831" s="559"/>
      <c r="S831" s="559"/>
      <c r="T831" s="559"/>
      <c r="U831" s="559"/>
      <c r="V831" s="559"/>
      <c r="W831" s="559"/>
      <c r="X831" s="559"/>
      <c r="Y831" s="559"/>
      <c r="Z831" s="559"/>
      <c r="AA831" s="559"/>
      <c r="AB831" s="559"/>
      <c r="AC831" s="559"/>
      <c r="AD831" s="559"/>
      <c r="AE831" s="559"/>
      <c r="AF831" s="559"/>
      <c r="AG831" s="559"/>
    </row>
    <row r="832" spans="1:33" ht="18" customHeight="1" x14ac:dyDescent="0.35">
      <c r="A832" s="559"/>
      <c r="B832" s="559"/>
      <c r="C832" s="559"/>
      <c r="D832" s="559"/>
      <c r="E832" s="559"/>
      <c r="F832" s="559"/>
      <c r="G832" s="559"/>
      <c r="H832" s="559"/>
      <c r="I832" s="559"/>
      <c r="J832" s="559"/>
      <c r="K832" s="559"/>
      <c r="L832" s="559"/>
      <c r="M832" s="559"/>
      <c r="N832" s="559"/>
      <c r="O832" s="559"/>
      <c r="P832" s="559"/>
      <c r="Q832" s="559"/>
      <c r="R832" s="559"/>
      <c r="S832" s="559"/>
      <c r="T832" s="559"/>
      <c r="U832" s="559"/>
      <c r="V832" s="559"/>
      <c r="W832" s="559"/>
      <c r="X832" s="559"/>
      <c r="Y832" s="559"/>
      <c r="Z832" s="559"/>
      <c r="AA832" s="559"/>
      <c r="AB832" s="559"/>
      <c r="AC832" s="559"/>
      <c r="AD832" s="559"/>
      <c r="AE832" s="559"/>
      <c r="AF832" s="559"/>
      <c r="AG832" s="559"/>
    </row>
    <row r="833" spans="1:33" ht="18" customHeight="1" x14ac:dyDescent="0.35">
      <c r="A833" s="559"/>
      <c r="B833" s="559"/>
      <c r="C833" s="559"/>
      <c r="D833" s="559"/>
      <c r="E833" s="559"/>
      <c r="F833" s="559"/>
      <c r="G833" s="559"/>
      <c r="H833" s="559"/>
      <c r="I833" s="559"/>
      <c r="J833" s="559"/>
      <c r="K833" s="559"/>
      <c r="L833" s="559"/>
      <c r="M833" s="559"/>
      <c r="N833" s="559"/>
      <c r="O833" s="559"/>
      <c r="P833" s="559"/>
      <c r="Q833" s="559"/>
      <c r="R833" s="559"/>
      <c r="S833" s="559"/>
      <c r="T833" s="559"/>
      <c r="U833" s="559"/>
      <c r="V833" s="559"/>
      <c r="W833" s="559"/>
      <c r="X833" s="559"/>
      <c r="Y833" s="559"/>
      <c r="Z833" s="559"/>
      <c r="AA833" s="559"/>
      <c r="AB833" s="559"/>
      <c r="AC833" s="559"/>
      <c r="AD833" s="559"/>
      <c r="AE833" s="559"/>
      <c r="AF833" s="559"/>
      <c r="AG833" s="559"/>
    </row>
    <row r="834" spans="1:33" ht="18" customHeight="1" x14ac:dyDescent="0.35">
      <c r="A834" s="559"/>
      <c r="B834" s="559"/>
      <c r="C834" s="559"/>
      <c r="D834" s="559"/>
      <c r="E834" s="559"/>
      <c r="F834" s="559"/>
      <c r="G834" s="559"/>
      <c r="H834" s="559"/>
      <c r="I834" s="559"/>
      <c r="J834" s="559"/>
      <c r="K834" s="559"/>
      <c r="L834" s="559"/>
      <c r="M834" s="559"/>
      <c r="N834" s="559"/>
      <c r="O834" s="559"/>
      <c r="P834" s="559"/>
      <c r="Q834" s="559"/>
      <c r="R834" s="559"/>
      <c r="S834" s="559"/>
      <c r="T834" s="559"/>
      <c r="U834" s="559"/>
      <c r="V834" s="559"/>
      <c r="W834" s="559"/>
      <c r="X834" s="559"/>
      <c r="Y834" s="559"/>
      <c r="Z834" s="559"/>
      <c r="AA834" s="559"/>
      <c r="AB834" s="559"/>
      <c r="AC834" s="559"/>
      <c r="AD834" s="559"/>
      <c r="AE834" s="559"/>
      <c r="AF834" s="559"/>
      <c r="AG834" s="559"/>
    </row>
    <row r="835" spans="1:33" ht="18" customHeight="1" x14ac:dyDescent="0.35">
      <c r="A835" s="559"/>
      <c r="B835" s="559"/>
      <c r="C835" s="559"/>
      <c r="D835" s="559"/>
      <c r="E835" s="559"/>
      <c r="F835" s="559"/>
      <c r="G835" s="559"/>
      <c r="H835" s="559"/>
      <c r="I835" s="559"/>
      <c r="J835" s="559"/>
      <c r="K835" s="559"/>
      <c r="L835" s="559"/>
      <c r="M835" s="559"/>
      <c r="N835" s="559"/>
      <c r="O835" s="559"/>
      <c r="P835" s="559"/>
      <c r="Q835" s="559"/>
      <c r="R835" s="559"/>
      <c r="S835" s="559"/>
      <c r="T835" s="559"/>
      <c r="U835" s="559"/>
      <c r="V835" s="559"/>
      <c r="W835" s="559"/>
      <c r="X835" s="559"/>
      <c r="Y835" s="559"/>
      <c r="Z835" s="559"/>
      <c r="AA835" s="559"/>
      <c r="AB835" s="559"/>
      <c r="AC835" s="559"/>
      <c r="AD835" s="559"/>
      <c r="AE835" s="559"/>
      <c r="AF835" s="559"/>
      <c r="AG835" s="559"/>
    </row>
    <row r="836" spans="1:33" ht="18" customHeight="1" x14ac:dyDescent="0.35">
      <c r="A836" s="559"/>
      <c r="B836" s="559"/>
      <c r="C836" s="559"/>
      <c r="D836" s="559"/>
      <c r="E836" s="559"/>
      <c r="F836" s="559"/>
      <c r="G836" s="559"/>
      <c r="H836" s="559"/>
      <c r="I836" s="559"/>
      <c r="J836" s="559"/>
      <c r="K836" s="559"/>
      <c r="L836" s="559"/>
      <c r="M836" s="559"/>
      <c r="N836" s="559"/>
      <c r="O836" s="559"/>
      <c r="P836" s="559"/>
      <c r="Q836" s="559"/>
      <c r="R836" s="559"/>
      <c r="S836" s="559"/>
      <c r="T836" s="559"/>
      <c r="U836" s="559"/>
      <c r="V836" s="559"/>
      <c r="W836" s="559"/>
      <c r="X836" s="559"/>
      <c r="Y836" s="559"/>
      <c r="Z836" s="559"/>
      <c r="AA836" s="559"/>
      <c r="AB836" s="559"/>
      <c r="AC836" s="559"/>
      <c r="AD836" s="559"/>
      <c r="AE836" s="559"/>
      <c r="AF836" s="559"/>
      <c r="AG836" s="559"/>
    </row>
    <row r="837" spans="1:33" ht="18" customHeight="1" x14ac:dyDescent="0.35">
      <c r="A837" s="559"/>
      <c r="B837" s="559"/>
      <c r="C837" s="559"/>
      <c r="D837" s="559"/>
      <c r="E837" s="559"/>
      <c r="F837" s="559"/>
      <c r="G837" s="559"/>
      <c r="H837" s="559"/>
      <c r="I837" s="559"/>
      <c r="J837" s="559"/>
      <c r="K837" s="559"/>
      <c r="L837" s="559"/>
      <c r="M837" s="559"/>
      <c r="N837" s="559"/>
      <c r="O837" s="559"/>
      <c r="P837" s="559"/>
      <c r="Q837" s="559"/>
      <c r="R837" s="559"/>
      <c r="S837" s="559"/>
      <c r="T837" s="559"/>
      <c r="U837" s="559"/>
      <c r="V837" s="559"/>
      <c r="W837" s="559"/>
      <c r="X837" s="559"/>
      <c r="Y837" s="559"/>
      <c r="Z837" s="559"/>
      <c r="AA837" s="559"/>
      <c r="AB837" s="559"/>
      <c r="AC837" s="559"/>
      <c r="AD837" s="559"/>
      <c r="AE837" s="559"/>
      <c r="AF837" s="559"/>
      <c r="AG837" s="559"/>
    </row>
    <row r="838" spans="1:33" ht="18" customHeight="1" x14ac:dyDescent="0.35">
      <c r="A838" s="559"/>
      <c r="B838" s="559"/>
      <c r="C838" s="559"/>
      <c r="D838" s="559"/>
      <c r="E838" s="559"/>
      <c r="F838" s="559"/>
      <c r="G838" s="559"/>
      <c r="H838" s="559"/>
      <c r="I838" s="559"/>
      <c r="J838" s="559"/>
      <c r="K838" s="559"/>
      <c r="L838" s="559"/>
      <c r="M838" s="559"/>
      <c r="N838" s="559"/>
      <c r="O838" s="559"/>
      <c r="P838" s="559"/>
      <c r="Q838" s="559"/>
      <c r="R838" s="559"/>
      <c r="S838" s="559"/>
      <c r="T838" s="559"/>
      <c r="U838" s="559"/>
      <c r="V838" s="559"/>
      <c r="W838" s="559"/>
      <c r="X838" s="559"/>
      <c r="Y838" s="559"/>
      <c r="Z838" s="559"/>
      <c r="AA838" s="559"/>
      <c r="AB838" s="559"/>
      <c r="AC838" s="559"/>
      <c r="AD838" s="559"/>
      <c r="AE838" s="559"/>
      <c r="AF838" s="559"/>
      <c r="AG838" s="559"/>
    </row>
    <row r="839" spans="1:33" ht="18" customHeight="1" x14ac:dyDescent="0.35">
      <c r="A839" s="559"/>
      <c r="B839" s="559"/>
      <c r="C839" s="559"/>
      <c r="D839" s="559"/>
      <c r="E839" s="559"/>
      <c r="F839" s="559"/>
      <c r="G839" s="559"/>
      <c r="H839" s="559"/>
      <c r="I839" s="559"/>
      <c r="J839" s="559"/>
      <c r="K839" s="559"/>
      <c r="L839" s="559"/>
      <c r="M839" s="559"/>
      <c r="N839" s="559"/>
      <c r="O839" s="559"/>
      <c r="P839" s="559"/>
      <c r="Q839" s="559"/>
      <c r="R839" s="559"/>
      <c r="S839" s="559"/>
      <c r="T839" s="559"/>
      <c r="U839" s="559"/>
      <c r="V839" s="559"/>
      <c r="W839" s="559"/>
      <c r="X839" s="559"/>
      <c r="Y839" s="559"/>
      <c r="Z839" s="559"/>
      <c r="AA839" s="559"/>
      <c r="AB839" s="559"/>
      <c r="AC839" s="559"/>
      <c r="AD839" s="559"/>
      <c r="AE839" s="559"/>
      <c r="AF839" s="559"/>
      <c r="AG839" s="559"/>
    </row>
    <row r="840" spans="1:33" ht="18" customHeight="1" x14ac:dyDescent="0.35">
      <c r="A840" s="559"/>
      <c r="B840" s="559"/>
      <c r="C840" s="559"/>
      <c r="D840" s="559"/>
      <c r="E840" s="559"/>
      <c r="F840" s="559"/>
      <c r="G840" s="559"/>
      <c r="H840" s="559"/>
      <c r="I840" s="559"/>
      <c r="J840" s="559"/>
      <c r="K840" s="559"/>
      <c r="L840" s="559"/>
      <c r="M840" s="559"/>
      <c r="N840" s="559"/>
      <c r="O840" s="559"/>
      <c r="P840" s="559"/>
      <c r="Q840" s="559"/>
      <c r="R840" s="559"/>
      <c r="S840" s="559"/>
      <c r="T840" s="559"/>
      <c r="U840" s="559"/>
      <c r="V840" s="559"/>
      <c r="W840" s="559"/>
      <c r="X840" s="559"/>
      <c r="Y840" s="559"/>
      <c r="Z840" s="559"/>
      <c r="AA840" s="559"/>
      <c r="AB840" s="559"/>
      <c r="AC840" s="559"/>
      <c r="AD840" s="559"/>
      <c r="AE840" s="559"/>
      <c r="AF840" s="559"/>
      <c r="AG840" s="559"/>
    </row>
    <row r="841" spans="1:33" ht="18" customHeight="1" x14ac:dyDescent="0.35">
      <c r="A841" s="559"/>
      <c r="B841" s="559"/>
      <c r="C841" s="559"/>
      <c r="D841" s="559"/>
      <c r="E841" s="559"/>
      <c r="F841" s="559"/>
      <c r="G841" s="559"/>
      <c r="H841" s="559"/>
      <c r="I841" s="559"/>
      <c r="J841" s="559"/>
      <c r="K841" s="559"/>
      <c r="L841" s="559"/>
      <c r="M841" s="559"/>
      <c r="N841" s="559"/>
      <c r="O841" s="559"/>
      <c r="P841" s="559"/>
      <c r="Q841" s="559"/>
      <c r="R841" s="559"/>
      <c r="S841" s="559"/>
      <c r="T841" s="559"/>
      <c r="U841" s="559"/>
      <c r="V841" s="559"/>
      <c r="W841" s="559"/>
      <c r="X841" s="559"/>
      <c r="Y841" s="559"/>
      <c r="Z841" s="559"/>
      <c r="AA841" s="559"/>
      <c r="AB841" s="559"/>
      <c r="AC841" s="559"/>
      <c r="AD841" s="559"/>
      <c r="AE841" s="559"/>
      <c r="AF841" s="559"/>
      <c r="AG841" s="559"/>
    </row>
    <row r="842" spans="1:33" ht="18" customHeight="1" x14ac:dyDescent="0.35">
      <c r="A842" s="559"/>
      <c r="B842" s="559"/>
      <c r="C842" s="559"/>
      <c r="D842" s="559"/>
      <c r="E842" s="559"/>
      <c r="F842" s="559"/>
      <c r="G842" s="559"/>
      <c r="H842" s="559"/>
      <c r="I842" s="559"/>
      <c r="J842" s="559"/>
      <c r="K842" s="559"/>
      <c r="L842" s="559"/>
      <c r="M842" s="559"/>
      <c r="N842" s="559"/>
      <c r="O842" s="559"/>
      <c r="P842" s="559"/>
      <c r="Q842" s="559"/>
      <c r="R842" s="559"/>
      <c r="S842" s="559"/>
      <c r="T842" s="559"/>
      <c r="U842" s="559"/>
      <c r="V842" s="559"/>
      <c r="W842" s="559"/>
      <c r="X842" s="559"/>
      <c r="Y842" s="559"/>
      <c r="Z842" s="559"/>
      <c r="AA842" s="559"/>
      <c r="AB842" s="559"/>
      <c r="AC842" s="559"/>
      <c r="AD842" s="559"/>
      <c r="AE842" s="559"/>
      <c r="AF842" s="559"/>
      <c r="AG842" s="559"/>
    </row>
    <row r="843" spans="1:33" ht="18" customHeight="1" x14ac:dyDescent="0.35">
      <c r="A843" s="559"/>
      <c r="B843" s="559"/>
      <c r="C843" s="559"/>
      <c r="D843" s="559"/>
      <c r="E843" s="559"/>
      <c r="F843" s="559"/>
      <c r="G843" s="559"/>
      <c r="H843" s="559"/>
      <c r="I843" s="559"/>
      <c r="J843" s="559"/>
      <c r="K843" s="559"/>
      <c r="L843" s="559"/>
      <c r="M843" s="559"/>
      <c r="N843" s="559"/>
      <c r="O843" s="559"/>
      <c r="P843" s="559"/>
      <c r="Q843" s="559"/>
      <c r="R843" s="559"/>
      <c r="S843" s="559"/>
      <c r="T843" s="559"/>
      <c r="U843" s="559"/>
      <c r="V843" s="559"/>
      <c r="W843" s="559"/>
      <c r="X843" s="559"/>
      <c r="Y843" s="559"/>
      <c r="Z843" s="559"/>
      <c r="AA843" s="559"/>
      <c r="AB843" s="559"/>
      <c r="AC843" s="559"/>
      <c r="AD843" s="559"/>
      <c r="AE843" s="559"/>
      <c r="AF843" s="559"/>
      <c r="AG843" s="559"/>
    </row>
    <row r="844" spans="1:33" ht="18" customHeight="1" x14ac:dyDescent="0.35">
      <c r="A844" s="559"/>
      <c r="B844" s="559"/>
      <c r="C844" s="559"/>
      <c r="D844" s="559"/>
      <c r="E844" s="559"/>
      <c r="F844" s="559"/>
      <c r="G844" s="559"/>
      <c r="H844" s="559"/>
      <c r="I844" s="559"/>
      <c r="J844" s="559"/>
      <c r="K844" s="559"/>
      <c r="L844" s="559"/>
      <c r="M844" s="559"/>
      <c r="N844" s="559"/>
      <c r="O844" s="559"/>
      <c r="P844" s="559"/>
      <c r="Q844" s="559"/>
      <c r="R844" s="559"/>
      <c r="S844" s="559"/>
      <c r="T844" s="559"/>
      <c r="U844" s="559"/>
      <c r="V844" s="559"/>
      <c r="W844" s="559"/>
      <c r="X844" s="559"/>
      <c r="Y844" s="559"/>
      <c r="Z844" s="559"/>
      <c r="AA844" s="559"/>
      <c r="AB844" s="559"/>
      <c r="AC844" s="559"/>
      <c r="AD844" s="559"/>
      <c r="AE844" s="559"/>
      <c r="AF844" s="559"/>
      <c r="AG844" s="559"/>
    </row>
    <row r="845" spans="1:33" ht="18" customHeight="1" x14ac:dyDescent="0.35">
      <c r="A845" s="559"/>
      <c r="B845" s="559"/>
      <c r="C845" s="559"/>
      <c r="D845" s="559"/>
      <c r="E845" s="559"/>
      <c r="F845" s="559"/>
      <c r="G845" s="559"/>
      <c r="H845" s="559"/>
      <c r="I845" s="559"/>
      <c r="J845" s="559"/>
      <c r="K845" s="559"/>
      <c r="L845" s="559"/>
      <c r="M845" s="559"/>
      <c r="N845" s="559"/>
      <c r="O845" s="559"/>
      <c r="P845" s="559"/>
      <c r="Q845" s="559"/>
      <c r="R845" s="559"/>
      <c r="S845" s="559"/>
      <c r="T845" s="559"/>
      <c r="U845" s="559"/>
      <c r="V845" s="559"/>
      <c r="W845" s="559"/>
      <c r="X845" s="559"/>
      <c r="Y845" s="559"/>
      <c r="Z845" s="559"/>
      <c r="AA845" s="559"/>
      <c r="AB845" s="559"/>
      <c r="AC845" s="559"/>
      <c r="AD845" s="559"/>
      <c r="AE845" s="559"/>
      <c r="AF845" s="559"/>
      <c r="AG845" s="559"/>
    </row>
    <row r="846" spans="1:33" ht="18" customHeight="1" x14ac:dyDescent="0.35">
      <c r="A846" s="559"/>
      <c r="B846" s="559"/>
      <c r="C846" s="559"/>
      <c r="D846" s="559"/>
      <c r="E846" s="559"/>
      <c r="F846" s="559"/>
      <c r="G846" s="559"/>
      <c r="H846" s="559"/>
      <c r="I846" s="559"/>
      <c r="J846" s="559"/>
      <c r="K846" s="559"/>
      <c r="L846" s="559"/>
      <c r="M846" s="559"/>
      <c r="N846" s="559"/>
      <c r="O846" s="559"/>
      <c r="P846" s="559"/>
      <c r="Q846" s="559"/>
      <c r="R846" s="559"/>
      <c r="S846" s="559"/>
      <c r="T846" s="559"/>
      <c r="U846" s="559"/>
      <c r="V846" s="559"/>
      <c r="W846" s="559"/>
      <c r="X846" s="559"/>
      <c r="Y846" s="559"/>
      <c r="Z846" s="559"/>
      <c r="AA846" s="559"/>
      <c r="AB846" s="559"/>
      <c r="AC846" s="559"/>
      <c r="AD846" s="559"/>
      <c r="AE846" s="559"/>
      <c r="AF846" s="559"/>
      <c r="AG846" s="559"/>
    </row>
    <row r="847" spans="1:33" ht="18" customHeight="1" x14ac:dyDescent="0.35">
      <c r="A847" s="559"/>
      <c r="B847" s="559"/>
      <c r="C847" s="559"/>
      <c r="D847" s="559"/>
      <c r="E847" s="559"/>
      <c r="F847" s="559"/>
      <c r="G847" s="559"/>
      <c r="H847" s="559"/>
      <c r="I847" s="559"/>
      <c r="J847" s="559"/>
      <c r="K847" s="559"/>
      <c r="L847" s="559"/>
      <c r="M847" s="559"/>
      <c r="N847" s="559"/>
      <c r="O847" s="559"/>
      <c r="P847" s="559"/>
      <c r="Q847" s="559"/>
      <c r="R847" s="559"/>
      <c r="S847" s="559"/>
      <c r="T847" s="559"/>
      <c r="U847" s="559"/>
      <c r="V847" s="559"/>
      <c r="W847" s="559"/>
      <c r="X847" s="559"/>
      <c r="Y847" s="559"/>
      <c r="Z847" s="559"/>
      <c r="AA847" s="559"/>
      <c r="AB847" s="559"/>
      <c r="AC847" s="559"/>
      <c r="AD847" s="559"/>
      <c r="AE847" s="559"/>
      <c r="AF847" s="559"/>
      <c r="AG847" s="559"/>
    </row>
    <row r="848" spans="1:33" ht="18" customHeight="1" x14ac:dyDescent="0.35">
      <c r="A848" s="559"/>
      <c r="B848" s="559"/>
      <c r="C848" s="559"/>
      <c r="D848" s="559"/>
      <c r="E848" s="559"/>
      <c r="F848" s="559"/>
      <c r="G848" s="559"/>
      <c r="H848" s="559"/>
      <c r="I848" s="559"/>
      <c r="J848" s="559"/>
      <c r="K848" s="559"/>
      <c r="L848" s="559"/>
      <c r="M848" s="559"/>
      <c r="N848" s="559"/>
      <c r="O848" s="559"/>
      <c r="P848" s="559"/>
      <c r="Q848" s="559"/>
      <c r="R848" s="559"/>
      <c r="S848" s="559"/>
      <c r="T848" s="559"/>
      <c r="U848" s="559"/>
      <c r="V848" s="559"/>
      <c r="W848" s="559"/>
      <c r="X848" s="559"/>
      <c r="Y848" s="559"/>
      <c r="Z848" s="559"/>
      <c r="AA848" s="559"/>
      <c r="AB848" s="559"/>
      <c r="AC848" s="559"/>
      <c r="AD848" s="559"/>
      <c r="AE848" s="559"/>
      <c r="AF848" s="559"/>
      <c r="AG848" s="559"/>
    </row>
    <row r="849" spans="1:33" ht="18" customHeight="1" x14ac:dyDescent="0.35">
      <c r="A849" s="559"/>
      <c r="B849" s="559"/>
      <c r="C849" s="559"/>
      <c r="D849" s="559"/>
      <c r="E849" s="559"/>
      <c r="F849" s="559"/>
      <c r="G849" s="559"/>
      <c r="H849" s="559"/>
      <c r="I849" s="559"/>
      <c r="J849" s="559"/>
      <c r="K849" s="559"/>
      <c r="L849" s="559"/>
      <c r="M849" s="559"/>
      <c r="N849" s="559"/>
      <c r="O849" s="559"/>
      <c r="P849" s="559"/>
      <c r="Q849" s="559"/>
      <c r="R849" s="559"/>
      <c r="S849" s="559"/>
      <c r="T849" s="559"/>
      <c r="U849" s="559"/>
      <c r="V849" s="559"/>
      <c r="W849" s="559"/>
      <c r="X849" s="559"/>
      <c r="Y849" s="559"/>
      <c r="Z849" s="559"/>
      <c r="AA849" s="559"/>
      <c r="AB849" s="559"/>
      <c r="AC849" s="559"/>
      <c r="AD849" s="559"/>
      <c r="AE849" s="559"/>
      <c r="AF849" s="559"/>
      <c r="AG849" s="559"/>
    </row>
    <row r="850" spans="1:33" ht="18" customHeight="1" x14ac:dyDescent="0.35">
      <c r="A850" s="559"/>
      <c r="B850" s="559"/>
      <c r="C850" s="559"/>
      <c r="D850" s="559"/>
      <c r="E850" s="559"/>
      <c r="F850" s="559"/>
      <c r="G850" s="559"/>
      <c r="H850" s="559"/>
      <c r="I850" s="559"/>
      <c r="J850" s="559"/>
      <c r="K850" s="559"/>
      <c r="L850" s="559"/>
      <c r="M850" s="559"/>
      <c r="N850" s="559"/>
      <c r="O850" s="559"/>
      <c r="P850" s="559"/>
      <c r="Q850" s="559"/>
      <c r="R850" s="559"/>
      <c r="S850" s="559"/>
      <c r="T850" s="559"/>
      <c r="U850" s="559"/>
      <c r="V850" s="559"/>
      <c r="W850" s="559"/>
      <c r="X850" s="559"/>
      <c r="Y850" s="559"/>
      <c r="Z850" s="559"/>
      <c r="AA850" s="559"/>
      <c r="AB850" s="559"/>
      <c r="AC850" s="559"/>
      <c r="AD850" s="559"/>
      <c r="AE850" s="559"/>
      <c r="AF850" s="559"/>
      <c r="AG850" s="559"/>
    </row>
    <row r="851" spans="1:33" ht="18" customHeight="1" x14ac:dyDescent="0.35">
      <c r="A851" s="559"/>
      <c r="B851" s="559"/>
      <c r="C851" s="559"/>
      <c r="D851" s="559"/>
      <c r="E851" s="559"/>
      <c r="F851" s="559"/>
      <c r="G851" s="559"/>
      <c r="H851" s="559"/>
      <c r="I851" s="559"/>
      <c r="J851" s="559"/>
      <c r="K851" s="559"/>
      <c r="L851" s="559"/>
      <c r="M851" s="559"/>
      <c r="N851" s="559"/>
      <c r="O851" s="559"/>
      <c r="P851" s="559"/>
      <c r="Q851" s="559"/>
      <c r="R851" s="559"/>
      <c r="S851" s="559"/>
      <c r="T851" s="559"/>
      <c r="U851" s="559"/>
      <c r="V851" s="559"/>
      <c r="W851" s="559"/>
      <c r="X851" s="559"/>
      <c r="Y851" s="559"/>
      <c r="Z851" s="559"/>
      <c r="AA851" s="559"/>
      <c r="AB851" s="559"/>
      <c r="AC851" s="559"/>
      <c r="AD851" s="559"/>
      <c r="AE851" s="559"/>
      <c r="AF851" s="559"/>
      <c r="AG851" s="559"/>
    </row>
    <row r="852" spans="1:33" ht="18" customHeight="1" x14ac:dyDescent="0.35">
      <c r="A852" s="559"/>
      <c r="B852" s="559"/>
      <c r="C852" s="559"/>
      <c r="D852" s="559"/>
      <c r="E852" s="559"/>
      <c r="F852" s="559"/>
      <c r="G852" s="559"/>
      <c r="H852" s="559"/>
      <c r="I852" s="559"/>
      <c r="J852" s="559"/>
      <c r="K852" s="559"/>
      <c r="L852" s="559"/>
      <c r="M852" s="559"/>
      <c r="N852" s="559"/>
      <c r="O852" s="559"/>
      <c r="P852" s="559"/>
      <c r="Q852" s="559"/>
      <c r="R852" s="559"/>
      <c r="S852" s="559"/>
      <c r="T852" s="559"/>
      <c r="U852" s="559"/>
      <c r="V852" s="559"/>
      <c r="W852" s="559"/>
      <c r="X852" s="559"/>
      <c r="Y852" s="559"/>
      <c r="Z852" s="559"/>
      <c r="AA852" s="559"/>
      <c r="AB852" s="559"/>
      <c r="AC852" s="559"/>
      <c r="AD852" s="559"/>
      <c r="AE852" s="559"/>
      <c r="AF852" s="559"/>
      <c r="AG852" s="559"/>
    </row>
    <row r="853" spans="1:33" ht="18" customHeight="1" x14ac:dyDescent="0.35">
      <c r="A853" s="559"/>
      <c r="B853" s="559"/>
      <c r="C853" s="559"/>
      <c r="D853" s="559"/>
      <c r="E853" s="559"/>
      <c r="F853" s="559"/>
      <c r="G853" s="559"/>
      <c r="H853" s="559"/>
      <c r="I853" s="559"/>
      <c r="J853" s="559"/>
      <c r="K853" s="559"/>
      <c r="L853" s="559"/>
      <c r="M853" s="559"/>
      <c r="N853" s="559"/>
      <c r="O853" s="559"/>
      <c r="P853" s="559"/>
      <c r="Q853" s="559"/>
      <c r="R853" s="559"/>
      <c r="S853" s="559"/>
      <c r="T853" s="559"/>
      <c r="U853" s="559"/>
      <c r="V853" s="559"/>
      <c r="W853" s="559"/>
      <c r="X853" s="559"/>
      <c r="Y853" s="559"/>
      <c r="Z853" s="559"/>
      <c r="AA853" s="559"/>
      <c r="AB853" s="559"/>
      <c r="AC853" s="559"/>
      <c r="AD853" s="559"/>
      <c r="AE853" s="559"/>
      <c r="AF853" s="559"/>
      <c r="AG853" s="559"/>
    </row>
    <row r="854" spans="1:33" ht="18" customHeight="1" x14ac:dyDescent="0.35">
      <c r="A854" s="559"/>
      <c r="B854" s="559"/>
      <c r="C854" s="559"/>
      <c r="D854" s="559"/>
      <c r="E854" s="559"/>
      <c r="F854" s="559"/>
      <c r="G854" s="559"/>
      <c r="H854" s="559"/>
      <c r="I854" s="559"/>
      <c r="J854" s="559"/>
      <c r="K854" s="559"/>
      <c r="L854" s="559"/>
      <c r="M854" s="559"/>
      <c r="N854" s="559"/>
      <c r="O854" s="559"/>
      <c r="P854" s="559"/>
      <c r="Q854" s="559"/>
      <c r="R854" s="559"/>
      <c r="S854" s="559"/>
      <c r="T854" s="559"/>
      <c r="U854" s="559"/>
      <c r="V854" s="559"/>
      <c r="W854" s="559"/>
      <c r="X854" s="559"/>
      <c r="Y854" s="559"/>
      <c r="Z854" s="559"/>
      <c r="AA854" s="559"/>
      <c r="AB854" s="559"/>
      <c r="AC854" s="559"/>
      <c r="AD854" s="559"/>
      <c r="AE854" s="559"/>
      <c r="AF854" s="559"/>
      <c r="AG854" s="559"/>
    </row>
    <row r="855" spans="1:33" ht="18" customHeight="1" x14ac:dyDescent="0.35">
      <c r="A855" s="559"/>
      <c r="B855" s="559"/>
      <c r="C855" s="559"/>
      <c r="D855" s="559"/>
      <c r="E855" s="559"/>
      <c r="F855" s="559"/>
      <c r="G855" s="559"/>
      <c r="H855" s="559"/>
      <c r="I855" s="559"/>
      <c r="J855" s="559"/>
      <c r="K855" s="559"/>
      <c r="L855" s="559"/>
      <c r="M855" s="559"/>
      <c r="N855" s="559"/>
      <c r="O855" s="559"/>
      <c r="P855" s="559"/>
      <c r="Q855" s="559"/>
      <c r="R855" s="559"/>
      <c r="S855" s="559"/>
      <c r="T855" s="559"/>
      <c r="U855" s="559"/>
      <c r="V855" s="559"/>
      <c r="W855" s="559"/>
      <c r="X855" s="559"/>
      <c r="Y855" s="559"/>
      <c r="Z855" s="559"/>
      <c r="AA855" s="559"/>
      <c r="AB855" s="559"/>
      <c r="AC855" s="559"/>
      <c r="AD855" s="559"/>
      <c r="AE855" s="559"/>
      <c r="AF855" s="559"/>
      <c r="AG855" s="559"/>
    </row>
    <row r="856" spans="1:33" ht="18" customHeight="1" x14ac:dyDescent="0.35">
      <c r="A856" s="559"/>
      <c r="B856" s="559"/>
      <c r="C856" s="559"/>
      <c r="D856" s="559"/>
      <c r="E856" s="559"/>
      <c r="F856" s="559"/>
      <c r="G856" s="559"/>
      <c r="H856" s="559"/>
      <c r="I856" s="559"/>
      <c r="J856" s="559"/>
      <c r="K856" s="559"/>
      <c r="L856" s="559"/>
      <c r="M856" s="559"/>
      <c r="N856" s="559"/>
      <c r="O856" s="559"/>
      <c r="P856" s="559"/>
      <c r="Q856" s="559"/>
      <c r="R856" s="559"/>
      <c r="S856" s="559"/>
      <c r="T856" s="559"/>
      <c r="U856" s="559"/>
      <c r="V856" s="559"/>
      <c r="W856" s="559"/>
      <c r="X856" s="559"/>
      <c r="Y856" s="559"/>
      <c r="Z856" s="559"/>
      <c r="AA856" s="559"/>
      <c r="AB856" s="559"/>
      <c r="AC856" s="559"/>
      <c r="AD856" s="559"/>
      <c r="AE856" s="559"/>
      <c r="AF856" s="559"/>
      <c r="AG856" s="559"/>
    </row>
    <row r="857" spans="1:33" ht="18" customHeight="1" x14ac:dyDescent="0.35">
      <c r="A857" s="559"/>
      <c r="B857" s="559"/>
      <c r="C857" s="559"/>
      <c r="D857" s="559"/>
      <c r="E857" s="559"/>
      <c r="F857" s="559"/>
      <c r="G857" s="559"/>
      <c r="H857" s="559"/>
      <c r="I857" s="559"/>
      <c r="J857" s="559"/>
      <c r="K857" s="559"/>
      <c r="L857" s="559"/>
      <c r="M857" s="559"/>
      <c r="N857" s="559"/>
      <c r="O857" s="559"/>
      <c r="P857" s="559"/>
      <c r="Q857" s="559"/>
      <c r="R857" s="559"/>
      <c r="S857" s="559"/>
      <c r="T857" s="559"/>
      <c r="U857" s="559"/>
      <c r="V857" s="559"/>
      <c r="W857" s="559"/>
      <c r="X857" s="559"/>
      <c r="Y857" s="559"/>
      <c r="Z857" s="559"/>
      <c r="AA857" s="559"/>
      <c r="AB857" s="559"/>
      <c r="AC857" s="559"/>
      <c r="AD857" s="559"/>
      <c r="AE857" s="559"/>
      <c r="AF857" s="559"/>
      <c r="AG857" s="559"/>
    </row>
    <row r="858" spans="1:33" ht="18" customHeight="1" x14ac:dyDescent="0.35">
      <c r="A858" s="559"/>
      <c r="B858" s="559"/>
      <c r="C858" s="559"/>
      <c r="D858" s="559"/>
      <c r="E858" s="559"/>
      <c r="F858" s="559"/>
      <c r="G858" s="559"/>
      <c r="H858" s="559"/>
      <c r="I858" s="559"/>
      <c r="J858" s="559"/>
      <c r="K858" s="559"/>
      <c r="L858" s="559"/>
      <c r="M858" s="559"/>
      <c r="N858" s="559"/>
      <c r="O858" s="559"/>
      <c r="P858" s="559"/>
      <c r="Q858" s="559"/>
      <c r="R858" s="559"/>
      <c r="S858" s="559"/>
      <c r="T858" s="559"/>
      <c r="U858" s="559"/>
      <c r="V858" s="559"/>
      <c r="W858" s="559"/>
      <c r="X858" s="559"/>
      <c r="Y858" s="559"/>
      <c r="Z858" s="559"/>
      <c r="AA858" s="559"/>
      <c r="AB858" s="559"/>
      <c r="AC858" s="559"/>
      <c r="AD858" s="559"/>
      <c r="AE858" s="559"/>
      <c r="AF858" s="559"/>
      <c r="AG858" s="559"/>
    </row>
    <row r="859" spans="1:33" ht="18" customHeight="1" x14ac:dyDescent="0.35">
      <c r="A859" s="559"/>
      <c r="B859" s="559"/>
      <c r="C859" s="559"/>
      <c r="D859" s="559"/>
      <c r="E859" s="559"/>
      <c r="F859" s="559"/>
      <c r="G859" s="559"/>
      <c r="H859" s="559"/>
      <c r="I859" s="559"/>
      <c r="J859" s="559"/>
      <c r="K859" s="559"/>
      <c r="L859" s="559"/>
      <c r="M859" s="559"/>
      <c r="N859" s="559"/>
      <c r="O859" s="559"/>
      <c r="P859" s="559"/>
      <c r="Q859" s="559"/>
      <c r="R859" s="559"/>
      <c r="S859" s="559"/>
      <c r="T859" s="559"/>
      <c r="U859" s="559"/>
      <c r="V859" s="559"/>
      <c r="W859" s="559"/>
      <c r="X859" s="559"/>
      <c r="Y859" s="559"/>
      <c r="Z859" s="559"/>
      <c r="AA859" s="559"/>
      <c r="AB859" s="559"/>
      <c r="AC859" s="559"/>
      <c r="AD859" s="559"/>
      <c r="AE859" s="559"/>
      <c r="AF859" s="559"/>
      <c r="AG859" s="559"/>
    </row>
    <row r="860" spans="1:33" ht="18" customHeight="1" x14ac:dyDescent="0.35">
      <c r="A860" s="559"/>
      <c r="B860" s="559"/>
      <c r="C860" s="559"/>
      <c r="D860" s="559"/>
      <c r="E860" s="559"/>
      <c r="F860" s="559"/>
      <c r="G860" s="559"/>
      <c r="H860" s="559"/>
      <c r="I860" s="559"/>
      <c r="J860" s="559"/>
      <c r="K860" s="559"/>
      <c r="L860" s="559"/>
      <c r="M860" s="559"/>
      <c r="N860" s="559"/>
      <c r="O860" s="559"/>
      <c r="P860" s="559"/>
      <c r="Q860" s="559"/>
      <c r="R860" s="559"/>
      <c r="S860" s="559"/>
      <c r="T860" s="559"/>
      <c r="U860" s="559"/>
      <c r="V860" s="559"/>
      <c r="W860" s="559"/>
      <c r="X860" s="559"/>
      <c r="Y860" s="559"/>
      <c r="Z860" s="559"/>
      <c r="AA860" s="559"/>
      <c r="AB860" s="559"/>
      <c r="AC860" s="559"/>
      <c r="AD860" s="559"/>
      <c r="AE860" s="559"/>
      <c r="AF860" s="559"/>
      <c r="AG860" s="559"/>
    </row>
    <row r="861" spans="1:33" ht="18" customHeight="1" x14ac:dyDescent="0.35">
      <c r="A861" s="559"/>
      <c r="B861" s="559"/>
      <c r="C861" s="559"/>
      <c r="D861" s="559"/>
      <c r="E861" s="559"/>
      <c r="F861" s="559"/>
      <c r="G861" s="559"/>
      <c r="H861" s="559"/>
      <c r="I861" s="559"/>
      <c r="J861" s="559"/>
      <c r="K861" s="559"/>
      <c r="L861" s="559"/>
      <c r="M861" s="559"/>
      <c r="N861" s="559"/>
      <c r="O861" s="559"/>
      <c r="P861" s="559"/>
      <c r="Q861" s="559"/>
      <c r="R861" s="559"/>
      <c r="S861" s="559"/>
      <c r="T861" s="559"/>
      <c r="U861" s="559"/>
      <c r="V861" s="559"/>
      <c r="W861" s="559"/>
      <c r="X861" s="559"/>
      <c r="Y861" s="559"/>
      <c r="Z861" s="559"/>
      <c r="AA861" s="559"/>
      <c r="AB861" s="559"/>
      <c r="AC861" s="559"/>
      <c r="AD861" s="559"/>
      <c r="AE861" s="559"/>
      <c r="AF861" s="559"/>
      <c r="AG861" s="559"/>
    </row>
    <row r="862" spans="1:33" ht="18" customHeight="1" x14ac:dyDescent="0.35">
      <c r="A862" s="559"/>
      <c r="B862" s="559"/>
      <c r="C862" s="559"/>
      <c r="D862" s="559"/>
      <c r="E862" s="559"/>
      <c r="F862" s="559"/>
      <c r="G862" s="559"/>
      <c r="H862" s="559"/>
      <c r="I862" s="559"/>
      <c r="J862" s="559"/>
      <c r="K862" s="559"/>
      <c r="L862" s="559"/>
      <c r="M862" s="559"/>
      <c r="N862" s="559"/>
      <c r="O862" s="559"/>
      <c r="P862" s="559"/>
      <c r="Q862" s="559"/>
      <c r="R862" s="559"/>
      <c r="S862" s="559"/>
      <c r="T862" s="559"/>
      <c r="U862" s="559"/>
      <c r="V862" s="559"/>
      <c r="W862" s="559"/>
      <c r="X862" s="559"/>
      <c r="Y862" s="559"/>
      <c r="Z862" s="559"/>
      <c r="AA862" s="559"/>
      <c r="AB862" s="559"/>
      <c r="AC862" s="559"/>
      <c r="AD862" s="559"/>
      <c r="AE862" s="559"/>
      <c r="AF862" s="559"/>
      <c r="AG862" s="559"/>
    </row>
    <row r="863" spans="1:33" ht="18" customHeight="1" x14ac:dyDescent="0.35">
      <c r="A863" s="559"/>
      <c r="B863" s="559"/>
      <c r="C863" s="559"/>
      <c r="D863" s="559"/>
      <c r="E863" s="559"/>
      <c r="F863" s="559"/>
      <c r="G863" s="559"/>
      <c r="H863" s="559"/>
      <c r="I863" s="559"/>
      <c r="J863" s="559"/>
      <c r="K863" s="559"/>
      <c r="L863" s="559"/>
      <c r="M863" s="559"/>
      <c r="N863" s="559"/>
      <c r="O863" s="559"/>
      <c r="P863" s="559"/>
      <c r="Q863" s="559"/>
      <c r="R863" s="559"/>
      <c r="S863" s="559"/>
      <c r="T863" s="559"/>
      <c r="U863" s="559"/>
      <c r="V863" s="559"/>
      <c r="W863" s="559"/>
      <c r="X863" s="559"/>
      <c r="Y863" s="559"/>
      <c r="Z863" s="559"/>
      <c r="AA863" s="559"/>
      <c r="AB863" s="559"/>
      <c r="AC863" s="559"/>
      <c r="AD863" s="559"/>
      <c r="AE863" s="559"/>
      <c r="AF863" s="559"/>
      <c r="AG863" s="559"/>
    </row>
    <row r="864" spans="1:33" ht="18" customHeight="1" x14ac:dyDescent="0.35">
      <c r="A864" s="559"/>
      <c r="B864" s="559"/>
      <c r="C864" s="559"/>
      <c r="D864" s="559"/>
      <c r="E864" s="559"/>
      <c r="F864" s="559"/>
      <c r="G864" s="559"/>
      <c r="H864" s="559"/>
      <c r="I864" s="559"/>
      <c r="J864" s="559"/>
      <c r="K864" s="559"/>
      <c r="L864" s="559"/>
      <c r="M864" s="559"/>
      <c r="N864" s="559"/>
      <c r="O864" s="559"/>
      <c r="P864" s="559"/>
      <c r="Q864" s="559"/>
      <c r="R864" s="559"/>
      <c r="S864" s="559"/>
      <c r="T864" s="559"/>
      <c r="U864" s="559"/>
      <c r="V864" s="559"/>
      <c r="W864" s="559"/>
      <c r="X864" s="559"/>
      <c r="Y864" s="559"/>
      <c r="Z864" s="559"/>
      <c r="AA864" s="559"/>
      <c r="AB864" s="559"/>
      <c r="AC864" s="559"/>
      <c r="AD864" s="559"/>
      <c r="AE864" s="559"/>
      <c r="AF864" s="559"/>
      <c r="AG864" s="559"/>
    </row>
    <row r="865" spans="1:33" ht="18" customHeight="1" x14ac:dyDescent="0.35">
      <c r="A865" s="559"/>
      <c r="B865" s="559"/>
      <c r="C865" s="559"/>
      <c r="D865" s="559"/>
      <c r="E865" s="559"/>
      <c r="F865" s="559"/>
      <c r="G865" s="559"/>
      <c r="H865" s="559"/>
      <c r="I865" s="559"/>
      <c r="J865" s="559"/>
      <c r="K865" s="559"/>
      <c r="L865" s="559"/>
      <c r="M865" s="559"/>
      <c r="N865" s="559"/>
      <c r="O865" s="559"/>
      <c r="P865" s="559"/>
      <c r="Q865" s="559"/>
      <c r="R865" s="559"/>
      <c r="S865" s="559"/>
      <c r="T865" s="559"/>
      <c r="U865" s="559"/>
      <c r="V865" s="559"/>
      <c r="W865" s="559"/>
      <c r="X865" s="559"/>
      <c r="Y865" s="559"/>
      <c r="Z865" s="559"/>
      <c r="AA865" s="559"/>
      <c r="AB865" s="559"/>
      <c r="AC865" s="559"/>
      <c r="AD865" s="559"/>
      <c r="AE865" s="559"/>
      <c r="AF865" s="559"/>
      <c r="AG865" s="559"/>
    </row>
    <row r="866" spans="1:33" ht="18" customHeight="1" x14ac:dyDescent="0.35">
      <c r="A866" s="559"/>
      <c r="B866" s="559"/>
      <c r="C866" s="559"/>
      <c r="D866" s="559"/>
      <c r="E866" s="559"/>
      <c r="F866" s="559"/>
      <c r="G866" s="559"/>
      <c r="H866" s="559"/>
      <c r="I866" s="559"/>
      <c r="J866" s="559"/>
      <c r="K866" s="559"/>
      <c r="L866" s="559"/>
      <c r="M866" s="559"/>
      <c r="N866" s="559"/>
      <c r="O866" s="559"/>
      <c r="P866" s="559"/>
      <c r="Q866" s="559"/>
      <c r="R866" s="559"/>
      <c r="S866" s="559"/>
      <c r="T866" s="559"/>
      <c r="U866" s="559"/>
      <c r="V866" s="559"/>
      <c r="W866" s="559"/>
      <c r="X866" s="559"/>
      <c r="Y866" s="559"/>
      <c r="Z866" s="559"/>
      <c r="AA866" s="559"/>
      <c r="AB866" s="559"/>
      <c r="AC866" s="559"/>
      <c r="AD866" s="559"/>
      <c r="AE866" s="559"/>
      <c r="AF866" s="559"/>
      <c r="AG866" s="559"/>
    </row>
    <row r="867" spans="1:33" ht="18" customHeight="1" x14ac:dyDescent="0.35">
      <c r="A867" s="559"/>
      <c r="B867" s="559"/>
      <c r="C867" s="559"/>
      <c r="D867" s="559"/>
      <c r="E867" s="559"/>
      <c r="F867" s="559"/>
      <c r="G867" s="559"/>
      <c r="H867" s="559"/>
      <c r="I867" s="559"/>
      <c r="J867" s="559"/>
      <c r="K867" s="559"/>
      <c r="L867" s="559"/>
      <c r="M867" s="559"/>
      <c r="N867" s="559"/>
      <c r="O867" s="559"/>
      <c r="P867" s="559"/>
      <c r="Q867" s="559"/>
      <c r="R867" s="559"/>
      <c r="S867" s="559"/>
      <c r="T867" s="559"/>
      <c r="U867" s="559"/>
      <c r="V867" s="559"/>
      <c r="W867" s="559"/>
      <c r="X867" s="559"/>
      <c r="Y867" s="559"/>
      <c r="Z867" s="559"/>
      <c r="AA867" s="559"/>
      <c r="AB867" s="559"/>
      <c r="AC867" s="559"/>
      <c r="AD867" s="559"/>
      <c r="AE867" s="559"/>
      <c r="AF867" s="559"/>
      <c r="AG867" s="559"/>
    </row>
    <row r="868" spans="1:33" ht="18" customHeight="1" x14ac:dyDescent="0.35">
      <c r="A868" s="559"/>
      <c r="B868" s="559"/>
      <c r="C868" s="559"/>
      <c r="D868" s="559"/>
      <c r="E868" s="559"/>
      <c r="F868" s="559"/>
      <c r="G868" s="559"/>
      <c r="H868" s="559"/>
      <c r="I868" s="559"/>
      <c r="J868" s="559"/>
      <c r="K868" s="559"/>
      <c r="L868" s="559"/>
      <c r="M868" s="559"/>
      <c r="N868" s="559"/>
      <c r="O868" s="559"/>
      <c r="P868" s="559"/>
      <c r="Q868" s="559"/>
      <c r="R868" s="559"/>
      <c r="S868" s="559"/>
      <c r="T868" s="559"/>
      <c r="U868" s="559"/>
      <c r="V868" s="559"/>
      <c r="W868" s="559"/>
      <c r="X868" s="559"/>
      <c r="Y868" s="559"/>
      <c r="Z868" s="559"/>
      <c r="AA868" s="559"/>
      <c r="AB868" s="559"/>
      <c r="AC868" s="559"/>
      <c r="AD868" s="559"/>
      <c r="AE868" s="559"/>
      <c r="AF868" s="559"/>
      <c r="AG868" s="559"/>
    </row>
    <row r="869" spans="1:33" ht="18" customHeight="1" x14ac:dyDescent="0.35">
      <c r="A869" s="559"/>
      <c r="B869" s="559"/>
      <c r="C869" s="559"/>
      <c r="D869" s="559"/>
      <c r="E869" s="559"/>
      <c r="F869" s="559"/>
      <c r="G869" s="559"/>
      <c r="H869" s="559"/>
      <c r="I869" s="559"/>
      <c r="J869" s="559"/>
      <c r="K869" s="559"/>
      <c r="L869" s="559"/>
      <c r="M869" s="559"/>
      <c r="N869" s="559"/>
      <c r="O869" s="559"/>
      <c r="P869" s="559"/>
      <c r="Q869" s="559"/>
      <c r="R869" s="559"/>
      <c r="S869" s="559"/>
      <c r="T869" s="559"/>
      <c r="U869" s="559"/>
      <c r="V869" s="559"/>
      <c r="W869" s="559"/>
      <c r="X869" s="559"/>
      <c r="Y869" s="559"/>
      <c r="Z869" s="559"/>
      <c r="AA869" s="559"/>
      <c r="AB869" s="559"/>
      <c r="AC869" s="559"/>
      <c r="AD869" s="559"/>
      <c r="AE869" s="559"/>
      <c r="AF869" s="559"/>
      <c r="AG869" s="559"/>
    </row>
    <row r="870" spans="1:33" ht="18" customHeight="1" x14ac:dyDescent="0.35">
      <c r="A870" s="559"/>
      <c r="B870" s="559"/>
      <c r="C870" s="559"/>
      <c r="D870" s="559"/>
      <c r="E870" s="559"/>
      <c r="F870" s="559"/>
      <c r="G870" s="559"/>
      <c r="H870" s="559"/>
      <c r="I870" s="559"/>
      <c r="J870" s="559"/>
      <c r="K870" s="559"/>
      <c r="L870" s="559"/>
      <c r="M870" s="559"/>
      <c r="N870" s="559"/>
      <c r="O870" s="559"/>
      <c r="P870" s="559"/>
      <c r="Q870" s="559"/>
      <c r="R870" s="559"/>
      <c r="S870" s="559"/>
      <c r="T870" s="559"/>
      <c r="U870" s="559"/>
      <c r="V870" s="559"/>
      <c r="W870" s="559"/>
      <c r="X870" s="559"/>
      <c r="Y870" s="559"/>
      <c r="Z870" s="559"/>
      <c r="AA870" s="559"/>
      <c r="AB870" s="559"/>
      <c r="AC870" s="559"/>
      <c r="AD870" s="559"/>
      <c r="AE870" s="559"/>
      <c r="AF870" s="559"/>
      <c r="AG870" s="559"/>
    </row>
    <row r="871" spans="1:33" ht="18" customHeight="1" x14ac:dyDescent="0.35">
      <c r="A871" s="559"/>
      <c r="B871" s="559"/>
      <c r="C871" s="559"/>
      <c r="D871" s="559"/>
      <c r="E871" s="559"/>
      <c r="F871" s="559"/>
      <c r="G871" s="559"/>
      <c r="H871" s="559"/>
      <c r="I871" s="559"/>
      <c r="J871" s="559"/>
      <c r="K871" s="559"/>
      <c r="L871" s="559"/>
      <c r="M871" s="559"/>
      <c r="N871" s="559"/>
      <c r="O871" s="559"/>
      <c r="P871" s="559"/>
      <c r="Q871" s="559"/>
      <c r="R871" s="559"/>
      <c r="S871" s="559"/>
      <c r="T871" s="559"/>
      <c r="U871" s="559"/>
      <c r="V871" s="559"/>
      <c r="W871" s="559"/>
      <c r="X871" s="559"/>
      <c r="Y871" s="559"/>
      <c r="Z871" s="559"/>
      <c r="AA871" s="559"/>
      <c r="AB871" s="559"/>
      <c r="AC871" s="559"/>
      <c r="AD871" s="559"/>
      <c r="AE871" s="559"/>
      <c r="AF871" s="559"/>
      <c r="AG871" s="559"/>
    </row>
    <row r="872" spans="1:33" ht="18" customHeight="1" x14ac:dyDescent="0.35">
      <c r="A872" s="559"/>
      <c r="B872" s="559"/>
      <c r="C872" s="559"/>
      <c r="D872" s="559"/>
      <c r="E872" s="559"/>
      <c r="F872" s="559"/>
      <c r="G872" s="559"/>
      <c r="H872" s="559"/>
      <c r="I872" s="559"/>
      <c r="J872" s="559"/>
      <c r="K872" s="559"/>
      <c r="L872" s="559"/>
      <c r="M872" s="559"/>
      <c r="N872" s="559"/>
      <c r="O872" s="559"/>
      <c r="P872" s="559"/>
      <c r="Q872" s="559"/>
      <c r="R872" s="559"/>
      <c r="S872" s="559"/>
      <c r="T872" s="559"/>
      <c r="U872" s="559"/>
      <c r="V872" s="559"/>
      <c r="W872" s="559"/>
      <c r="X872" s="559"/>
      <c r="Y872" s="559"/>
      <c r="Z872" s="559"/>
      <c r="AA872" s="559"/>
      <c r="AB872" s="559"/>
      <c r="AC872" s="559"/>
      <c r="AD872" s="559"/>
      <c r="AE872" s="559"/>
      <c r="AF872" s="559"/>
      <c r="AG872" s="559"/>
    </row>
    <row r="873" spans="1:33" ht="18" customHeight="1" x14ac:dyDescent="0.35">
      <c r="A873" s="559"/>
      <c r="B873" s="559"/>
      <c r="C873" s="559"/>
      <c r="D873" s="559"/>
      <c r="E873" s="559"/>
      <c r="F873" s="559"/>
      <c r="G873" s="559"/>
      <c r="H873" s="559"/>
      <c r="I873" s="559"/>
      <c r="J873" s="559"/>
      <c r="K873" s="559"/>
      <c r="L873" s="559"/>
      <c r="M873" s="559"/>
      <c r="N873" s="559"/>
      <c r="O873" s="559"/>
      <c r="P873" s="559"/>
      <c r="Q873" s="559"/>
      <c r="R873" s="559"/>
      <c r="S873" s="559"/>
      <c r="T873" s="559"/>
      <c r="U873" s="559"/>
      <c r="V873" s="559"/>
      <c r="W873" s="559"/>
      <c r="X873" s="559"/>
      <c r="Y873" s="559"/>
      <c r="Z873" s="559"/>
      <c r="AA873" s="559"/>
      <c r="AB873" s="559"/>
      <c r="AC873" s="559"/>
      <c r="AD873" s="559"/>
      <c r="AE873" s="559"/>
      <c r="AF873" s="559"/>
      <c r="AG873" s="559"/>
    </row>
    <row r="874" spans="1:33" ht="18" customHeight="1" x14ac:dyDescent="0.35">
      <c r="A874" s="559"/>
      <c r="B874" s="559"/>
      <c r="C874" s="559"/>
      <c r="D874" s="559"/>
      <c r="E874" s="559"/>
      <c r="F874" s="559"/>
      <c r="G874" s="559"/>
      <c r="H874" s="559"/>
      <c r="I874" s="559"/>
      <c r="J874" s="559"/>
      <c r="K874" s="559"/>
      <c r="L874" s="559"/>
      <c r="M874" s="559"/>
      <c r="N874" s="559"/>
      <c r="O874" s="559"/>
      <c r="P874" s="559"/>
      <c r="Q874" s="559"/>
      <c r="R874" s="559"/>
      <c r="S874" s="559"/>
      <c r="T874" s="559"/>
      <c r="U874" s="559"/>
      <c r="V874" s="559"/>
      <c r="W874" s="559"/>
      <c r="X874" s="559"/>
      <c r="Y874" s="559"/>
      <c r="Z874" s="559"/>
      <c r="AA874" s="559"/>
      <c r="AB874" s="559"/>
      <c r="AC874" s="559"/>
      <c r="AD874" s="559"/>
      <c r="AE874" s="559"/>
      <c r="AF874" s="559"/>
      <c r="AG874" s="559"/>
    </row>
    <row r="875" spans="1:33" ht="18" customHeight="1" x14ac:dyDescent="0.35">
      <c r="A875" s="559"/>
      <c r="B875" s="559"/>
      <c r="C875" s="559"/>
      <c r="D875" s="559"/>
      <c r="E875" s="559"/>
      <c r="F875" s="559"/>
      <c r="G875" s="559"/>
      <c r="H875" s="559"/>
      <c r="I875" s="559"/>
      <c r="J875" s="559"/>
      <c r="K875" s="559"/>
      <c r="L875" s="559"/>
      <c r="M875" s="559"/>
      <c r="N875" s="559"/>
      <c r="O875" s="559"/>
      <c r="P875" s="559"/>
      <c r="Q875" s="559"/>
      <c r="R875" s="559"/>
      <c r="S875" s="559"/>
      <c r="T875" s="559"/>
      <c r="U875" s="559"/>
      <c r="V875" s="559"/>
      <c r="W875" s="559"/>
      <c r="X875" s="559"/>
      <c r="Y875" s="559"/>
      <c r="Z875" s="559"/>
      <c r="AA875" s="559"/>
      <c r="AB875" s="559"/>
      <c r="AC875" s="559"/>
      <c r="AD875" s="559"/>
      <c r="AE875" s="559"/>
      <c r="AF875" s="559"/>
      <c r="AG875" s="559"/>
    </row>
    <row r="876" spans="1:33" ht="18" customHeight="1" x14ac:dyDescent="0.35">
      <c r="A876" s="559"/>
      <c r="B876" s="559"/>
      <c r="C876" s="559"/>
      <c r="D876" s="559"/>
      <c r="E876" s="559"/>
      <c r="F876" s="559"/>
      <c r="G876" s="559"/>
      <c r="H876" s="559"/>
      <c r="I876" s="559"/>
      <c r="J876" s="559"/>
      <c r="K876" s="559"/>
      <c r="L876" s="559"/>
      <c r="M876" s="559"/>
      <c r="N876" s="559"/>
      <c r="O876" s="559"/>
      <c r="P876" s="559"/>
      <c r="Q876" s="559"/>
      <c r="R876" s="559"/>
      <c r="S876" s="559"/>
      <c r="T876" s="559"/>
      <c r="U876" s="559"/>
      <c r="V876" s="559"/>
      <c r="W876" s="559"/>
      <c r="X876" s="559"/>
      <c r="Y876" s="559"/>
      <c r="Z876" s="559"/>
      <c r="AA876" s="559"/>
      <c r="AB876" s="559"/>
      <c r="AC876" s="559"/>
      <c r="AD876" s="559"/>
      <c r="AE876" s="559"/>
      <c r="AF876" s="559"/>
      <c r="AG876" s="559"/>
    </row>
    <row r="877" spans="1:33" ht="18" customHeight="1" x14ac:dyDescent="0.35">
      <c r="A877" s="559"/>
      <c r="B877" s="559"/>
      <c r="C877" s="559"/>
      <c r="D877" s="559"/>
      <c r="E877" s="559"/>
      <c r="F877" s="559"/>
      <c r="G877" s="559"/>
      <c r="H877" s="559"/>
      <c r="I877" s="559"/>
      <c r="J877" s="559"/>
      <c r="K877" s="559"/>
      <c r="L877" s="559"/>
      <c r="M877" s="559"/>
      <c r="N877" s="559"/>
      <c r="O877" s="559"/>
      <c r="P877" s="559"/>
      <c r="Q877" s="559"/>
      <c r="R877" s="559"/>
      <c r="S877" s="559"/>
      <c r="T877" s="559"/>
      <c r="U877" s="559"/>
      <c r="V877" s="559"/>
      <c r="W877" s="559"/>
      <c r="X877" s="559"/>
      <c r="Y877" s="559"/>
      <c r="Z877" s="559"/>
      <c r="AA877" s="559"/>
      <c r="AB877" s="559"/>
      <c r="AC877" s="559"/>
      <c r="AD877" s="559"/>
      <c r="AE877" s="559"/>
      <c r="AF877" s="559"/>
      <c r="AG877" s="559"/>
    </row>
    <row r="878" spans="1:33" ht="18" customHeight="1" x14ac:dyDescent="0.35">
      <c r="A878" s="559"/>
      <c r="B878" s="559"/>
      <c r="C878" s="559"/>
      <c r="D878" s="559"/>
      <c r="E878" s="559"/>
      <c r="F878" s="559"/>
      <c r="G878" s="559"/>
      <c r="H878" s="559"/>
      <c r="I878" s="559"/>
      <c r="J878" s="559"/>
      <c r="K878" s="559"/>
      <c r="L878" s="559"/>
      <c r="M878" s="559"/>
      <c r="N878" s="559"/>
      <c r="O878" s="559"/>
      <c r="P878" s="559"/>
      <c r="Q878" s="559"/>
      <c r="R878" s="559"/>
      <c r="S878" s="559"/>
      <c r="T878" s="559"/>
      <c r="U878" s="559"/>
      <c r="V878" s="559"/>
      <c r="W878" s="559"/>
      <c r="X878" s="559"/>
      <c r="Y878" s="559"/>
      <c r="Z878" s="559"/>
      <c r="AA878" s="559"/>
      <c r="AB878" s="559"/>
      <c r="AC878" s="559"/>
      <c r="AD878" s="559"/>
      <c r="AE878" s="559"/>
      <c r="AF878" s="559"/>
      <c r="AG878" s="559"/>
    </row>
    <row r="879" spans="1:33" ht="18" customHeight="1" x14ac:dyDescent="0.35">
      <c r="A879" s="559"/>
      <c r="B879" s="559"/>
      <c r="C879" s="559"/>
      <c r="D879" s="559"/>
      <c r="E879" s="559"/>
      <c r="F879" s="559"/>
      <c r="G879" s="559"/>
      <c r="H879" s="559"/>
      <c r="I879" s="559"/>
      <c r="J879" s="559"/>
      <c r="K879" s="559"/>
      <c r="L879" s="559"/>
      <c r="M879" s="559"/>
      <c r="N879" s="559"/>
      <c r="O879" s="559"/>
      <c r="P879" s="559"/>
      <c r="Q879" s="559"/>
      <c r="R879" s="559"/>
      <c r="S879" s="559"/>
      <c r="T879" s="559"/>
      <c r="U879" s="559"/>
      <c r="V879" s="559"/>
      <c r="W879" s="559"/>
      <c r="X879" s="559"/>
      <c r="Y879" s="559"/>
      <c r="Z879" s="559"/>
      <c r="AA879" s="559"/>
      <c r="AB879" s="559"/>
      <c r="AC879" s="559"/>
      <c r="AD879" s="559"/>
      <c r="AE879" s="559"/>
      <c r="AF879" s="559"/>
      <c r="AG879" s="559"/>
    </row>
    <row r="880" spans="1:33" ht="18" customHeight="1" x14ac:dyDescent="0.35">
      <c r="A880" s="559"/>
      <c r="B880" s="559"/>
      <c r="C880" s="559"/>
      <c r="D880" s="559"/>
      <c r="E880" s="559"/>
      <c r="F880" s="559"/>
      <c r="G880" s="559"/>
      <c r="H880" s="559"/>
      <c r="I880" s="559"/>
      <c r="J880" s="559"/>
      <c r="K880" s="559"/>
      <c r="L880" s="559"/>
      <c r="M880" s="559"/>
      <c r="N880" s="559"/>
      <c r="O880" s="559"/>
      <c r="P880" s="559"/>
      <c r="Q880" s="559"/>
      <c r="R880" s="559"/>
      <c r="S880" s="559"/>
      <c r="T880" s="559"/>
      <c r="U880" s="559"/>
      <c r="V880" s="559"/>
      <c r="W880" s="559"/>
      <c r="X880" s="559"/>
      <c r="Y880" s="559"/>
      <c r="Z880" s="559"/>
      <c r="AA880" s="559"/>
      <c r="AB880" s="559"/>
      <c r="AC880" s="559"/>
      <c r="AD880" s="559"/>
      <c r="AE880" s="559"/>
      <c r="AF880" s="559"/>
      <c r="AG880" s="559"/>
    </row>
    <row r="881" spans="1:33" ht="18" customHeight="1" x14ac:dyDescent="0.35">
      <c r="A881" s="559"/>
      <c r="B881" s="559"/>
      <c r="C881" s="559"/>
      <c r="D881" s="559"/>
      <c r="E881" s="559"/>
      <c r="F881" s="559"/>
      <c r="G881" s="559"/>
      <c r="H881" s="559"/>
      <c r="I881" s="559"/>
      <c r="J881" s="559"/>
      <c r="K881" s="559"/>
      <c r="L881" s="559"/>
      <c r="M881" s="559"/>
      <c r="N881" s="559"/>
      <c r="O881" s="559"/>
      <c r="P881" s="559"/>
      <c r="Q881" s="559"/>
      <c r="R881" s="559"/>
      <c r="S881" s="559"/>
      <c r="T881" s="559"/>
      <c r="U881" s="559"/>
      <c r="V881" s="559"/>
      <c r="W881" s="559"/>
      <c r="X881" s="559"/>
      <c r="Y881" s="559"/>
      <c r="Z881" s="559"/>
      <c r="AA881" s="559"/>
      <c r="AB881" s="559"/>
      <c r="AC881" s="559"/>
      <c r="AD881" s="559"/>
      <c r="AE881" s="559"/>
      <c r="AF881" s="559"/>
      <c r="AG881" s="559"/>
    </row>
    <row r="882" spans="1:33" ht="18" customHeight="1" x14ac:dyDescent="0.35">
      <c r="A882" s="559"/>
      <c r="B882" s="559"/>
      <c r="C882" s="559"/>
      <c r="D882" s="559"/>
      <c r="E882" s="559"/>
      <c r="F882" s="559"/>
      <c r="G882" s="559"/>
      <c r="H882" s="559"/>
      <c r="I882" s="559"/>
      <c r="J882" s="559"/>
      <c r="K882" s="559"/>
      <c r="L882" s="559"/>
      <c r="M882" s="559"/>
      <c r="N882" s="559"/>
      <c r="O882" s="559"/>
      <c r="P882" s="559"/>
      <c r="Q882" s="559"/>
      <c r="R882" s="559"/>
      <c r="S882" s="559"/>
      <c r="T882" s="559"/>
      <c r="U882" s="559"/>
      <c r="V882" s="559"/>
      <c r="W882" s="559"/>
      <c r="X882" s="559"/>
      <c r="Y882" s="559"/>
      <c r="Z882" s="559"/>
      <c r="AA882" s="559"/>
      <c r="AB882" s="559"/>
      <c r="AC882" s="559"/>
      <c r="AD882" s="559"/>
      <c r="AE882" s="559"/>
      <c r="AF882" s="559"/>
      <c r="AG882" s="559"/>
    </row>
    <row r="883" spans="1:33" ht="18" customHeight="1" x14ac:dyDescent="0.35">
      <c r="A883" s="559"/>
      <c r="B883" s="559"/>
      <c r="C883" s="559"/>
      <c r="D883" s="559"/>
      <c r="E883" s="559"/>
      <c r="F883" s="559"/>
      <c r="G883" s="559"/>
      <c r="H883" s="559"/>
      <c r="I883" s="559"/>
      <c r="J883" s="559"/>
      <c r="K883" s="559"/>
      <c r="L883" s="559"/>
      <c r="M883" s="559"/>
      <c r="N883" s="559"/>
      <c r="O883" s="559"/>
      <c r="P883" s="559"/>
      <c r="Q883" s="559"/>
      <c r="R883" s="559"/>
      <c r="S883" s="559"/>
      <c r="T883" s="559"/>
      <c r="U883" s="559"/>
      <c r="V883" s="559"/>
      <c r="W883" s="559"/>
      <c r="X883" s="559"/>
      <c r="Y883" s="559"/>
      <c r="Z883" s="559"/>
      <c r="AA883" s="559"/>
      <c r="AB883" s="559"/>
      <c r="AC883" s="559"/>
      <c r="AD883" s="559"/>
      <c r="AE883" s="559"/>
      <c r="AF883" s="559"/>
      <c r="AG883" s="559"/>
    </row>
    <row r="884" spans="1:33" ht="18" customHeight="1" x14ac:dyDescent="0.35">
      <c r="A884" s="559"/>
      <c r="B884" s="559"/>
      <c r="C884" s="559"/>
      <c r="D884" s="559"/>
      <c r="E884" s="559"/>
      <c r="F884" s="559"/>
      <c r="G884" s="559"/>
      <c r="H884" s="559"/>
      <c r="I884" s="559"/>
      <c r="J884" s="559"/>
      <c r="K884" s="559"/>
      <c r="L884" s="559"/>
      <c r="M884" s="559"/>
      <c r="N884" s="559"/>
      <c r="O884" s="559"/>
      <c r="P884" s="559"/>
      <c r="Q884" s="559"/>
      <c r="R884" s="559"/>
      <c r="S884" s="559"/>
      <c r="T884" s="559"/>
      <c r="U884" s="559"/>
      <c r="V884" s="559"/>
      <c r="W884" s="559"/>
      <c r="X884" s="559"/>
      <c r="Y884" s="559"/>
      <c r="Z884" s="559"/>
      <c r="AA884" s="559"/>
      <c r="AB884" s="559"/>
      <c r="AC884" s="559"/>
      <c r="AD884" s="559"/>
      <c r="AE884" s="559"/>
      <c r="AF884" s="559"/>
      <c r="AG884" s="559"/>
    </row>
    <row r="885" spans="1:33" ht="18" customHeight="1" x14ac:dyDescent="0.35">
      <c r="A885" s="559"/>
      <c r="B885" s="559"/>
      <c r="C885" s="559"/>
      <c r="D885" s="559"/>
      <c r="E885" s="559"/>
      <c r="F885" s="559"/>
      <c r="G885" s="559"/>
      <c r="H885" s="559"/>
      <c r="I885" s="559"/>
      <c r="J885" s="559"/>
      <c r="K885" s="559"/>
      <c r="L885" s="559"/>
      <c r="M885" s="559"/>
      <c r="N885" s="559"/>
      <c r="O885" s="559"/>
      <c r="P885" s="559"/>
      <c r="Q885" s="559"/>
      <c r="R885" s="559"/>
      <c r="S885" s="559"/>
      <c r="T885" s="559"/>
      <c r="U885" s="559"/>
      <c r="V885" s="559"/>
      <c r="W885" s="559"/>
      <c r="X885" s="559"/>
      <c r="Y885" s="559"/>
      <c r="Z885" s="559"/>
      <c r="AA885" s="559"/>
      <c r="AB885" s="559"/>
      <c r="AC885" s="559"/>
      <c r="AD885" s="559"/>
      <c r="AE885" s="559"/>
      <c r="AF885" s="559"/>
      <c r="AG885" s="559"/>
    </row>
    <row r="886" spans="1:33" ht="18" customHeight="1" x14ac:dyDescent="0.35">
      <c r="A886" s="559"/>
      <c r="B886" s="559"/>
      <c r="C886" s="559"/>
      <c r="D886" s="559"/>
      <c r="E886" s="559"/>
      <c r="F886" s="559"/>
      <c r="G886" s="559"/>
      <c r="H886" s="559"/>
      <c r="I886" s="559"/>
      <c r="J886" s="559"/>
      <c r="K886" s="559"/>
      <c r="L886" s="559"/>
      <c r="M886" s="559"/>
      <c r="N886" s="559"/>
      <c r="O886" s="559"/>
      <c r="P886" s="559"/>
      <c r="Q886" s="559"/>
      <c r="R886" s="559"/>
      <c r="S886" s="559"/>
      <c r="T886" s="559"/>
      <c r="U886" s="559"/>
      <c r="V886" s="559"/>
      <c r="W886" s="559"/>
      <c r="X886" s="559"/>
      <c r="Y886" s="559"/>
      <c r="Z886" s="559"/>
      <c r="AA886" s="559"/>
      <c r="AB886" s="559"/>
      <c r="AC886" s="559"/>
      <c r="AD886" s="559"/>
      <c r="AE886" s="559"/>
      <c r="AF886" s="559"/>
      <c r="AG886" s="559"/>
    </row>
    <row r="887" spans="1:33" ht="18" customHeight="1" x14ac:dyDescent="0.35">
      <c r="A887" s="559"/>
      <c r="B887" s="559"/>
      <c r="C887" s="559"/>
      <c r="D887" s="559"/>
      <c r="E887" s="559"/>
      <c r="F887" s="559"/>
      <c r="G887" s="559"/>
      <c r="H887" s="559"/>
      <c r="I887" s="559"/>
      <c r="J887" s="559"/>
      <c r="K887" s="559"/>
      <c r="L887" s="559"/>
      <c r="M887" s="559"/>
      <c r="N887" s="559"/>
      <c r="O887" s="559"/>
      <c r="P887" s="559"/>
      <c r="Q887" s="559"/>
      <c r="R887" s="559"/>
      <c r="S887" s="559"/>
      <c r="T887" s="559"/>
      <c r="U887" s="559"/>
      <c r="V887" s="559"/>
      <c r="W887" s="559"/>
      <c r="X887" s="559"/>
      <c r="Y887" s="559"/>
      <c r="Z887" s="559"/>
      <c r="AA887" s="559"/>
      <c r="AB887" s="559"/>
      <c r="AC887" s="559"/>
      <c r="AD887" s="559"/>
      <c r="AE887" s="559"/>
      <c r="AF887" s="559"/>
      <c r="AG887" s="559"/>
    </row>
    <row r="888" spans="1:33" ht="18" customHeight="1" x14ac:dyDescent="0.35">
      <c r="A888" s="559"/>
      <c r="B888" s="559"/>
      <c r="C888" s="559"/>
      <c r="D888" s="559"/>
      <c r="E888" s="559"/>
      <c r="F888" s="559"/>
      <c r="G888" s="559"/>
      <c r="H888" s="559"/>
      <c r="I888" s="559"/>
      <c r="J888" s="559"/>
      <c r="K888" s="559"/>
      <c r="L888" s="559"/>
      <c r="M888" s="559"/>
      <c r="N888" s="559"/>
      <c r="O888" s="559"/>
      <c r="P888" s="559"/>
      <c r="Q888" s="559"/>
      <c r="R888" s="559"/>
      <c r="S888" s="559"/>
      <c r="T888" s="559"/>
      <c r="U888" s="559"/>
      <c r="V888" s="559"/>
      <c r="W888" s="559"/>
      <c r="X888" s="559"/>
      <c r="Y888" s="559"/>
      <c r="Z888" s="559"/>
      <c r="AA888" s="559"/>
      <c r="AB888" s="559"/>
      <c r="AC888" s="559"/>
      <c r="AD888" s="559"/>
      <c r="AE888" s="559"/>
      <c r="AF888" s="559"/>
      <c r="AG888" s="559"/>
    </row>
    <row r="889" spans="1:33" ht="18" customHeight="1" x14ac:dyDescent="0.35">
      <c r="A889" s="559"/>
      <c r="B889" s="559"/>
      <c r="C889" s="559"/>
      <c r="D889" s="559"/>
      <c r="E889" s="559"/>
      <c r="F889" s="559"/>
      <c r="G889" s="559"/>
      <c r="H889" s="559"/>
      <c r="I889" s="559"/>
      <c r="J889" s="559"/>
      <c r="K889" s="559"/>
      <c r="L889" s="559"/>
      <c r="M889" s="559"/>
      <c r="N889" s="559"/>
      <c r="O889" s="559"/>
      <c r="P889" s="559"/>
      <c r="Q889" s="559"/>
      <c r="R889" s="559"/>
      <c r="S889" s="559"/>
      <c r="T889" s="559"/>
      <c r="U889" s="559"/>
      <c r="V889" s="559"/>
      <c r="W889" s="559"/>
      <c r="X889" s="559"/>
      <c r="Y889" s="559"/>
      <c r="Z889" s="559"/>
      <c r="AA889" s="559"/>
      <c r="AB889" s="559"/>
      <c r="AC889" s="559"/>
      <c r="AD889" s="559"/>
      <c r="AE889" s="559"/>
      <c r="AF889" s="559"/>
      <c r="AG889" s="559"/>
    </row>
    <row r="890" spans="1:33" ht="18" customHeight="1" x14ac:dyDescent="0.35">
      <c r="A890" s="559"/>
      <c r="B890" s="559"/>
      <c r="C890" s="559"/>
      <c r="D890" s="559"/>
      <c r="E890" s="559"/>
      <c r="F890" s="559"/>
      <c r="G890" s="559"/>
      <c r="H890" s="559"/>
      <c r="I890" s="559"/>
      <c r="J890" s="559"/>
      <c r="K890" s="559"/>
      <c r="L890" s="559"/>
      <c r="M890" s="559"/>
      <c r="N890" s="559"/>
      <c r="O890" s="559"/>
      <c r="P890" s="559"/>
      <c r="Q890" s="559"/>
      <c r="R890" s="559"/>
      <c r="S890" s="559"/>
      <c r="T890" s="559"/>
      <c r="U890" s="559"/>
      <c r="V890" s="559"/>
      <c r="W890" s="559"/>
      <c r="X890" s="559"/>
      <c r="Y890" s="559"/>
      <c r="Z890" s="559"/>
      <c r="AA890" s="559"/>
      <c r="AB890" s="559"/>
      <c r="AC890" s="559"/>
      <c r="AD890" s="559"/>
      <c r="AE890" s="559"/>
      <c r="AF890" s="559"/>
      <c r="AG890" s="559"/>
    </row>
    <row r="891" spans="1:33" ht="18" customHeight="1" x14ac:dyDescent="0.35">
      <c r="A891" s="559"/>
      <c r="B891" s="559"/>
      <c r="C891" s="559"/>
      <c r="D891" s="559"/>
      <c r="E891" s="559"/>
      <c r="F891" s="559"/>
      <c r="G891" s="559"/>
      <c r="H891" s="559"/>
      <c r="I891" s="559"/>
      <c r="J891" s="559"/>
      <c r="K891" s="559"/>
      <c r="L891" s="559"/>
      <c r="M891" s="559"/>
      <c r="N891" s="559"/>
      <c r="O891" s="559"/>
      <c r="P891" s="559"/>
      <c r="Q891" s="559"/>
      <c r="R891" s="559"/>
      <c r="S891" s="559"/>
      <c r="T891" s="559"/>
      <c r="U891" s="559"/>
      <c r="V891" s="559"/>
      <c r="W891" s="559"/>
      <c r="X891" s="559"/>
      <c r="Y891" s="559"/>
      <c r="Z891" s="559"/>
      <c r="AA891" s="559"/>
      <c r="AB891" s="559"/>
      <c r="AC891" s="559"/>
      <c r="AD891" s="559"/>
      <c r="AE891" s="559"/>
      <c r="AF891" s="559"/>
      <c r="AG891" s="559"/>
    </row>
    <row r="892" spans="1:33" ht="18" customHeight="1" x14ac:dyDescent="0.35">
      <c r="A892" s="559"/>
      <c r="B892" s="559"/>
      <c r="C892" s="559"/>
      <c r="D892" s="559"/>
      <c r="E892" s="559"/>
      <c r="F892" s="559"/>
      <c r="G892" s="559"/>
      <c r="H892" s="559"/>
      <c r="I892" s="559"/>
      <c r="J892" s="559"/>
      <c r="K892" s="559"/>
      <c r="L892" s="559"/>
      <c r="M892" s="559"/>
      <c r="N892" s="559"/>
      <c r="O892" s="559"/>
      <c r="P892" s="559"/>
      <c r="Q892" s="559"/>
      <c r="R892" s="559"/>
      <c r="S892" s="559"/>
      <c r="T892" s="559"/>
      <c r="U892" s="559"/>
      <c r="V892" s="559"/>
      <c r="W892" s="559"/>
      <c r="X892" s="559"/>
      <c r="Y892" s="559"/>
      <c r="Z892" s="559"/>
      <c r="AA892" s="559"/>
      <c r="AB892" s="559"/>
      <c r="AC892" s="559"/>
      <c r="AD892" s="559"/>
      <c r="AE892" s="559"/>
      <c r="AF892" s="559"/>
      <c r="AG892" s="559"/>
    </row>
    <row r="893" spans="1:33" ht="18" customHeight="1" x14ac:dyDescent="0.35">
      <c r="A893" s="559"/>
      <c r="B893" s="559"/>
      <c r="C893" s="559"/>
      <c r="D893" s="559"/>
      <c r="E893" s="559"/>
      <c r="F893" s="559"/>
      <c r="G893" s="559"/>
      <c r="H893" s="559"/>
      <c r="I893" s="559"/>
      <c r="J893" s="559"/>
      <c r="K893" s="559"/>
      <c r="L893" s="559"/>
      <c r="M893" s="559"/>
      <c r="N893" s="559"/>
      <c r="O893" s="559"/>
      <c r="P893" s="559"/>
      <c r="Q893" s="559"/>
      <c r="R893" s="559"/>
      <c r="S893" s="559"/>
      <c r="T893" s="559"/>
      <c r="U893" s="559"/>
      <c r="V893" s="559"/>
      <c r="W893" s="559"/>
      <c r="X893" s="559"/>
      <c r="Y893" s="559"/>
      <c r="Z893" s="559"/>
      <c r="AA893" s="559"/>
      <c r="AB893" s="559"/>
      <c r="AC893" s="559"/>
      <c r="AD893" s="559"/>
      <c r="AE893" s="559"/>
      <c r="AF893" s="559"/>
      <c r="AG893" s="559"/>
    </row>
    <row r="894" spans="1:33" ht="18" customHeight="1" x14ac:dyDescent="0.35">
      <c r="A894" s="559"/>
      <c r="B894" s="559"/>
      <c r="C894" s="559"/>
      <c r="D894" s="559"/>
      <c r="E894" s="559"/>
      <c r="F894" s="559"/>
      <c r="G894" s="559"/>
      <c r="H894" s="559"/>
      <c r="I894" s="559"/>
      <c r="J894" s="559"/>
      <c r="K894" s="559"/>
      <c r="L894" s="559"/>
      <c r="M894" s="559"/>
      <c r="N894" s="559"/>
      <c r="O894" s="559"/>
      <c r="P894" s="559"/>
      <c r="Q894" s="559"/>
      <c r="R894" s="559"/>
      <c r="S894" s="559"/>
      <c r="T894" s="559"/>
      <c r="U894" s="559"/>
      <c r="V894" s="559"/>
      <c r="W894" s="559"/>
      <c r="X894" s="559"/>
      <c r="Y894" s="559"/>
      <c r="Z894" s="559"/>
      <c r="AA894" s="559"/>
      <c r="AB894" s="559"/>
      <c r="AC894" s="559"/>
      <c r="AD894" s="559"/>
      <c r="AE894" s="559"/>
      <c r="AF894" s="559"/>
      <c r="AG894" s="559"/>
    </row>
    <row r="895" spans="1:33" ht="18" customHeight="1" x14ac:dyDescent="0.35">
      <c r="A895" s="559"/>
      <c r="B895" s="559"/>
      <c r="C895" s="559"/>
      <c r="D895" s="559"/>
      <c r="E895" s="559"/>
      <c r="F895" s="559"/>
      <c r="G895" s="559"/>
      <c r="H895" s="559"/>
      <c r="I895" s="559"/>
      <c r="J895" s="559"/>
      <c r="K895" s="559"/>
      <c r="L895" s="559"/>
      <c r="M895" s="559"/>
      <c r="N895" s="559"/>
      <c r="O895" s="559"/>
      <c r="P895" s="559"/>
      <c r="Q895" s="559"/>
      <c r="R895" s="559"/>
      <c r="S895" s="559"/>
      <c r="T895" s="559"/>
      <c r="U895" s="559"/>
      <c r="V895" s="559"/>
      <c r="W895" s="559"/>
      <c r="X895" s="559"/>
      <c r="Y895" s="559"/>
      <c r="Z895" s="559"/>
      <c r="AA895" s="559"/>
      <c r="AB895" s="559"/>
      <c r="AC895" s="559"/>
      <c r="AD895" s="559"/>
      <c r="AE895" s="559"/>
      <c r="AF895" s="559"/>
      <c r="AG895" s="559"/>
    </row>
    <row r="896" spans="1:33" ht="18" customHeight="1" x14ac:dyDescent="0.35">
      <c r="A896" s="559"/>
      <c r="B896" s="559"/>
      <c r="C896" s="559"/>
      <c r="D896" s="559"/>
      <c r="E896" s="559"/>
      <c r="F896" s="559"/>
      <c r="G896" s="559"/>
      <c r="H896" s="559"/>
      <c r="I896" s="559"/>
      <c r="J896" s="559"/>
      <c r="K896" s="559"/>
      <c r="L896" s="559"/>
      <c r="M896" s="559"/>
      <c r="N896" s="559"/>
      <c r="O896" s="559"/>
      <c r="P896" s="559"/>
      <c r="Q896" s="559"/>
      <c r="R896" s="559"/>
      <c r="S896" s="559"/>
      <c r="T896" s="559"/>
      <c r="U896" s="559"/>
      <c r="V896" s="559"/>
      <c r="W896" s="559"/>
      <c r="X896" s="559"/>
      <c r="Y896" s="559"/>
      <c r="Z896" s="559"/>
      <c r="AA896" s="559"/>
      <c r="AB896" s="559"/>
      <c r="AC896" s="559"/>
      <c r="AD896" s="559"/>
      <c r="AE896" s="559"/>
      <c r="AF896" s="559"/>
      <c r="AG896" s="559"/>
    </row>
    <row r="897" spans="1:33" ht="18" customHeight="1" x14ac:dyDescent="0.35">
      <c r="A897" s="559"/>
      <c r="B897" s="559"/>
      <c r="C897" s="559"/>
      <c r="D897" s="559"/>
      <c r="E897" s="559"/>
      <c r="F897" s="559"/>
      <c r="G897" s="559"/>
      <c r="H897" s="559"/>
      <c r="I897" s="559"/>
      <c r="J897" s="559"/>
      <c r="K897" s="559"/>
      <c r="L897" s="559"/>
      <c r="M897" s="559"/>
      <c r="N897" s="559"/>
      <c r="O897" s="559"/>
      <c r="P897" s="559"/>
      <c r="Q897" s="559"/>
      <c r="R897" s="559"/>
      <c r="S897" s="559"/>
      <c r="T897" s="559"/>
      <c r="U897" s="559"/>
      <c r="V897" s="559"/>
      <c r="W897" s="559"/>
      <c r="X897" s="559"/>
      <c r="Y897" s="559"/>
      <c r="Z897" s="559"/>
      <c r="AA897" s="559"/>
      <c r="AB897" s="559"/>
      <c r="AC897" s="559"/>
      <c r="AD897" s="559"/>
      <c r="AE897" s="559"/>
      <c r="AF897" s="559"/>
      <c r="AG897" s="559"/>
    </row>
    <row r="898" spans="1:33" ht="18" customHeight="1" x14ac:dyDescent="0.35">
      <c r="A898" s="559"/>
      <c r="B898" s="559"/>
      <c r="C898" s="559"/>
      <c r="D898" s="559"/>
      <c r="E898" s="559"/>
      <c r="F898" s="559"/>
      <c r="G898" s="559"/>
      <c r="H898" s="559"/>
      <c r="I898" s="559"/>
      <c r="J898" s="559"/>
      <c r="K898" s="559"/>
      <c r="L898" s="559"/>
      <c r="M898" s="559"/>
      <c r="N898" s="559"/>
      <c r="O898" s="559"/>
      <c r="P898" s="559"/>
      <c r="Q898" s="559"/>
      <c r="R898" s="559"/>
      <c r="S898" s="559"/>
      <c r="T898" s="559"/>
      <c r="U898" s="559"/>
      <c r="V898" s="559"/>
      <c r="W898" s="559"/>
      <c r="X898" s="559"/>
      <c r="Y898" s="559"/>
      <c r="Z898" s="559"/>
      <c r="AA898" s="559"/>
      <c r="AB898" s="559"/>
      <c r="AC898" s="559"/>
      <c r="AD898" s="559"/>
      <c r="AE898" s="559"/>
      <c r="AF898" s="559"/>
      <c r="AG898" s="559"/>
    </row>
    <row r="899" spans="1:33" ht="18" customHeight="1" x14ac:dyDescent="0.35">
      <c r="A899" s="559"/>
      <c r="B899" s="559"/>
      <c r="C899" s="559"/>
      <c r="D899" s="559"/>
      <c r="E899" s="559"/>
      <c r="F899" s="559"/>
      <c r="G899" s="559"/>
      <c r="H899" s="559"/>
      <c r="I899" s="559"/>
      <c r="J899" s="559"/>
      <c r="K899" s="559"/>
      <c r="L899" s="559"/>
      <c r="M899" s="559"/>
      <c r="N899" s="559"/>
      <c r="O899" s="559"/>
      <c r="P899" s="559"/>
      <c r="Q899" s="559"/>
      <c r="R899" s="559"/>
      <c r="S899" s="559"/>
      <c r="T899" s="559"/>
      <c r="U899" s="559"/>
      <c r="V899" s="559"/>
      <c r="W899" s="559"/>
      <c r="X899" s="559"/>
      <c r="Y899" s="559"/>
      <c r="Z899" s="559"/>
      <c r="AA899" s="559"/>
      <c r="AB899" s="559"/>
      <c r="AC899" s="559"/>
      <c r="AD899" s="559"/>
      <c r="AE899" s="559"/>
      <c r="AF899" s="559"/>
      <c r="AG899" s="559"/>
    </row>
    <row r="900" spans="1:33" ht="18" customHeight="1" x14ac:dyDescent="0.35">
      <c r="A900" s="559"/>
      <c r="B900" s="559"/>
      <c r="C900" s="559"/>
      <c r="D900" s="559"/>
      <c r="E900" s="559"/>
      <c r="F900" s="559"/>
      <c r="G900" s="559"/>
      <c r="H900" s="559"/>
      <c r="I900" s="559"/>
      <c r="J900" s="559"/>
      <c r="K900" s="559"/>
      <c r="L900" s="559"/>
      <c r="M900" s="559"/>
      <c r="N900" s="559"/>
      <c r="O900" s="559"/>
      <c r="P900" s="559"/>
      <c r="Q900" s="559"/>
      <c r="R900" s="559"/>
      <c r="S900" s="559"/>
      <c r="T900" s="559"/>
      <c r="U900" s="559"/>
      <c r="V900" s="559"/>
      <c r="W900" s="559"/>
      <c r="X900" s="559"/>
      <c r="Y900" s="559"/>
      <c r="Z900" s="559"/>
      <c r="AA900" s="559"/>
      <c r="AB900" s="559"/>
      <c r="AC900" s="559"/>
      <c r="AD900" s="559"/>
      <c r="AE900" s="559"/>
      <c r="AF900" s="559"/>
      <c r="AG900" s="559"/>
    </row>
    <row r="901" spans="1:33" ht="18" customHeight="1" x14ac:dyDescent="0.35">
      <c r="A901" s="559"/>
      <c r="B901" s="559"/>
      <c r="C901" s="559"/>
      <c r="D901" s="559"/>
      <c r="E901" s="559"/>
      <c r="F901" s="559"/>
      <c r="G901" s="559"/>
      <c r="H901" s="559"/>
      <c r="I901" s="559"/>
      <c r="J901" s="559"/>
      <c r="K901" s="559"/>
      <c r="L901" s="559"/>
      <c r="M901" s="559"/>
      <c r="N901" s="559"/>
      <c r="O901" s="559"/>
      <c r="P901" s="559"/>
      <c r="Q901" s="559"/>
      <c r="R901" s="559"/>
      <c r="S901" s="559"/>
      <c r="T901" s="559"/>
      <c r="U901" s="559"/>
      <c r="V901" s="559"/>
      <c r="W901" s="559"/>
      <c r="X901" s="559"/>
      <c r="Y901" s="559"/>
      <c r="Z901" s="559"/>
      <c r="AA901" s="559"/>
      <c r="AB901" s="559"/>
      <c r="AC901" s="559"/>
      <c r="AD901" s="559"/>
      <c r="AE901" s="559"/>
      <c r="AF901" s="559"/>
      <c r="AG901" s="559"/>
    </row>
    <row r="902" spans="1:33" ht="18" customHeight="1" x14ac:dyDescent="0.35">
      <c r="A902" s="559"/>
      <c r="B902" s="559"/>
      <c r="C902" s="559"/>
      <c r="D902" s="559"/>
      <c r="E902" s="559"/>
      <c r="F902" s="559"/>
      <c r="G902" s="559"/>
      <c r="H902" s="559"/>
      <c r="I902" s="559"/>
      <c r="J902" s="559"/>
      <c r="K902" s="559"/>
      <c r="L902" s="559"/>
      <c r="M902" s="559"/>
      <c r="N902" s="559"/>
      <c r="O902" s="559"/>
      <c r="P902" s="559"/>
      <c r="Q902" s="559"/>
      <c r="R902" s="559"/>
      <c r="S902" s="559"/>
      <c r="T902" s="559"/>
      <c r="U902" s="559"/>
      <c r="V902" s="559"/>
      <c r="W902" s="559"/>
      <c r="X902" s="559"/>
      <c r="Y902" s="559"/>
      <c r="Z902" s="559"/>
      <c r="AA902" s="559"/>
      <c r="AB902" s="559"/>
      <c r="AC902" s="559"/>
      <c r="AD902" s="559"/>
      <c r="AE902" s="559"/>
      <c r="AF902" s="559"/>
      <c r="AG902" s="559"/>
    </row>
    <row r="903" spans="1:33" ht="18" customHeight="1" x14ac:dyDescent="0.35">
      <c r="A903" s="559"/>
      <c r="B903" s="559"/>
      <c r="C903" s="559"/>
      <c r="D903" s="559"/>
      <c r="E903" s="559"/>
      <c r="F903" s="559"/>
      <c r="G903" s="559"/>
      <c r="H903" s="559"/>
      <c r="I903" s="559"/>
      <c r="J903" s="559"/>
      <c r="K903" s="559"/>
      <c r="L903" s="559"/>
      <c r="M903" s="559"/>
      <c r="N903" s="559"/>
      <c r="O903" s="559"/>
      <c r="P903" s="559"/>
      <c r="Q903" s="559"/>
      <c r="R903" s="559"/>
      <c r="S903" s="559"/>
      <c r="T903" s="559"/>
      <c r="U903" s="559"/>
      <c r="V903" s="559"/>
      <c r="W903" s="559"/>
      <c r="X903" s="559"/>
      <c r="Y903" s="559"/>
      <c r="Z903" s="559"/>
      <c r="AA903" s="559"/>
      <c r="AB903" s="559"/>
      <c r="AC903" s="559"/>
      <c r="AD903" s="559"/>
      <c r="AE903" s="559"/>
      <c r="AF903" s="559"/>
      <c r="AG903" s="559"/>
    </row>
    <row r="904" spans="1:33" ht="18" customHeight="1" x14ac:dyDescent="0.35">
      <c r="A904" s="559"/>
      <c r="B904" s="559"/>
      <c r="C904" s="559"/>
      <c r="D904" s="559"/>
      <c r="E904" s="559"/>
      <c r="F904" s="559"/>
      <c r="G904" s="559"/>
      <c r="H904" s="559"/>
      <c r="I904" s="559"/>
      <c r="J904" s="559"/>
      <c r="K904" s="559"/>
      <c r="L904" s="559"/>
      <c r="M904" s="559"/>
      <c r="N904" s="559"/>
      <c r="O904" s="559"/>
      <c r="P904" s="559"/>
      <c r="Q904" s="559"/>
      <c r="R904" s="559"/>
      <c r="S904" s="559"/>
      <c r="T904" s="559"/>
      <c r="U904" s="559"/>
      <c r="V904" s="559"/>
      <c r="W904" s="559"/>
      <c r="X904" s="559"/>
      <c r="Y904" s="559"/>
      <c r="Z904" s="559"/>
      <c r="AA904" s="559"/>
      <c r="AB904" s="559"/>
      <c r="AC904" s="559"/>
      <c r="AD904" s="559"/>
      <c r="AE904" s="559"/>
      <c r="AF904" s="559"/>
      <c r="AG904" s="559"/>
    </row>
    <row r="905" spans="1:33" ht="18" customHeight="1" x14ac:dyDescent="0.35">
      <c r="A905" s="559"/>
      <c r="B905" s="559"/>
      <c r="C905" s="559"/>
      <c r="D905" s="559"/>
      <c r="E905" s="559"/>
      <c r="F905" s="559"/>
      <c r="G905" s="559"/>
      <c r="H905" s="559"/>
      <c r="I905" s="559"/>
      <c r="J905" s="559"/>
      <c r="K905" s="559"/>
      <c r="L905" s="559"/>
      <c r="M905" s="559"/>
      <c r="N905" s="559"/>
      <c r="O905" s="559"/>
      <c r="P905" s="559"/>
      <c r="Q905" s="559"/>
      <c r="R905" s="559"/>
      <c r="S905" s="559"/>
      <c r="T905" s="559"/>
      <c r="U905" s="559"/>
      <c r="V905" s="559"/>
      <c r="W905" s="559"/>
      <c r="X905" s="559"/>
      <c r="Y905" s="559"/>
      <c r="Z905" s="559"/>
      <c r="AA905" s="559"/>
      <c r="AB905" s="559"/>
      <c r="AC905" s="559"/>
      <c r="AD905" s="559"/>
      <c r="AE905" s="559"/>
      <c r="AF905" s="559"/>
      <c r="AG905" s="559"/>
    </row>
    <row r="906" spans="1:33" ht="18" customHeight="1" x14ac:dyDescent="0.35">
      <c r="A906" s="559"/>
      <c r="B906" s="559"/>
      <c r="C906" s="559"/>
      <c r="D906" s="559"/>
      <c r="E906" s="559"/>
      <c r="F906" s="559"/>
      <c r="G906" s="559"/>
      <c r="H906" s="559"/>
      <c r="I906" s="559"/>
      <c r="J906" s="559"/>
      <c r="K906" s="559"/>
      <c r="L906" s="559"/>
      <c r="M906" s="559"/>
      <c r="N906" s="559"/>
      <c r="O906" s="559"/>
      <c r="P906" s="559"/>
      <c r="Q906" s="559"/>
      <c r="R906" s="559"/>
      <c r="S906" s="559"/>
      <c r="T906" s="559"/>
      <c r="U906" s="559"/>
      <c r="V906" s="559"/>
      <c r="W906" s="559"/>
      <c r="X906" s="559"/>
      <c r="Y906" s="559"/>
      <c r="Z906" s="559"/>
      <c r="AA906" s="559"/>
      <c r="AB906" s="559"/>
      <c r="AC906" s="559"/>
      <c r="AD906" s="559"/>
      <c r="AE906" s="559"/>
      <c r="AF906" s="559"/>
      <c r="AG906" s="559"/>
    </row>
    <row r="907" spans="1:33" ht="18" customHeight="1" x14ac:dyDescent="0.35">
      <c r="A907" s="559"/>
      <c r="B907" s="559"/>
      <c r="C907" s="559"/>
      <c r="D907" s="559"/>
      <c r="E907" s="559"/>
      <c r="F907" s="559"/>
      <c r="G907" s="559"/>
      <c r="H907" s="559"/>
      <c r="I907" s="559"/>
      <c r="J907" s="559"/>
      <c r="K907" s="559"/>
      <c r="L907" s="559"/>
      <c r="M907" s="559"/>
      <c r="N907" s="559"/>
      <c r="O907" s="559"/>
      <c r="P907" s="559"/>
      <c r="Q907" s="559"/>
      <c r="R907" s="559"/>
      <c r="S907" s="559"/>
      <c r="T907" s="559"/>
      <c r="U907" s="559"/>
      <c r="V907" s="559"/>
      <c r="W907" s="559"/>
      <c r="X907" s="559"/>
      <c r="Y907" s="559"/>
      <c r="Z907" s="559"/>
      <c r="AA907" s="559"/>
      <c r="AB907" s="559"/>
      <c r="AC907" s="559"/>
      <c r="AD907" s="559"/>
      <c r="AE907" s="559"/>
      <c r="AF907" s="559"/>
      <c r="AG907" s="559"/>
    </row>
    <row r="908" spans="1:33" ht="18" customHeight="1" x14ac:dyDescent="0.35">
      <c r="A908" s="559"/>
      <c r="B908" s="559"/>
      <c r="C908" s="559"/>
      <c r="D908" s="559"/>
      <c r="E908" s="559"/>
      <c r="F908" s="559"/>
      <c r="G908" s="559"/>
      <c r="H908" s="559"/>
      <c r="I908" s="559"/>
      <c r="J908" s="559"/>
      <c r="K908" s="559"/>
      <c r="L908" s="559"/>
      <c r="M908" s="559"/>
      <c r="N908" s="559"/>
      <c r="O908" s="559"/>
      <c r="P908" s="559"/>
      <c r="Q908" s="559"/>
      <c r="R908" s="559"/>
      <c r="S908" s="559"/>
      <c r="T908" s="559"/>
      <c r="U908" s="559"/>
      <c r="V908" s="559"/>
      <c r="W908" s="559"/>
      <c r="X908" s="559"/>
      <c r="Y908" s="559"/>
      <c r="Z908" s="559"/>
      <c r="AA908" s="559"/>
      <c r="AB908" s="559"/>
      <c r="AC908" s="559"/>
      <c r="AD908" s="559"/>
      <c r="AE908" s="559"/>
      <c r="AF908" s="559"/>
      <c r="AG908" s="559"/>
    </row>
    <row r="909" spans="1:33" ht="18" customHeight="1" x14ac:dyDescent="0.35">
      <c r="A909" s="559"/>
      <c r="B909" s="559"/>
      <c r="C909" s="559"/>
      <c r="D909" s="559"/>
      <c r="E909" s="559"/>
      <c r="F909" s="559"/>
      <c r="G909" s="559"/>
      <c r="H909" s="559"/>
      <c r="I909" s="559"/>
      <c r="J909" s="559"/>
      <c r="K909" s="559"/>
      <c r="L909" s="559"/>
      <c r="M909" s="559"/>
      <c r="N909" s="559"/>
      <c r="O909" s="559"/>
      <c r="P909" s="559"/>
      <c r="Q909" s="559"/>
      <c r="R909" s="559"/>
      <c r="S909" s="559"/>
      <c r="T909" s="559"/>
      <c r="U909" s="559"/>
      <c r="V909" s="559"/>
      <c r="W909" s="559"/>
      <c r="X909" s="559"/>
      <c r="Y909" s="559"/>
      <c r="Z909" s="559"/>
      <c r="AA909" s="559"/>
      <c r="AB909" s="559"/>
      <c r="AC909" s="559"/>
      <c r="AD909" s="559"/>
      <c r="AE909" s="559"/>
      <c r="AF909" s="559"/>
      <c r="AG909" s="559"/>
    </row>
    <row r="910" spans="1:33" ht="18" customHeight="1" x14ac:dyDescent="0.35">
      <c r="A910" s="559"/>
      <c r="B910" s="559"/>
      <c r="C910" s="559"/>
      <c r="D910" s="559"/>
      <c r="E910" s="559"/>
      <c r="F910" s="559"/>
      <c r="G910" s="559"/>
      <c r="H910" s="559"/>
      <c r="I910" s="559"/>
      <c r="J910" s="559"/>
      <c r="K910" s="559"/>
      <c r="L910" s="559"/>
      <c r="M910" s="559"/>
      <c r="N910" s="559"/>
      <c r="O910" s="559"/>
      <c r="P910" s="559"/>
      <c r="Q910" s="559"/>
      <c r="R910" s="559"/>
      <c r="S910" s="559"/>
      <c r="T910" s="559"/>
      <c r="U910" s="559"/>
      <c r="V910" s="559"/>
      <c r="W910" s="559"/>
      <c r="X910" s="559"/>
      <c r="Y910" s="559"/>
      <c r="Z910" s="559"/>
      <c r="AA910" s="559"/>
      <c r="AB910" s="559"/>
      <c r="AC910" s="559"/>
      <c r="AD910" s="559"/>
      <c r="AE910" s="559"/>
      <c r="AF910" s="559"/>
      <c r="AG910" s="559"/>
    </row>
    <row r="911" spans="1:33" ht="18" customHeight="1" x14ac:dyDescent="0.35">
      <c r="A911" s="559"/>
      <c r="B911" s="559"/>
      <c r="C911" s="559"/>
      <c r="D911" s="559"/>
      <c r="E911" s="559"/>
      <c r="F911" s="559"/>
      <c r="G911" s="559"/>
      <c r="H911" s="559"/>
      <c r="I911" s="559"/>
      <c r="J911" s="559"/>
      <c r="K911" s="559"/>
      <c r="L911" s="559"/>
      <c r="M911" s="559"/>
      <c r="N911" s="559"/>
      <c r="O911" s="559"/>
      <c r="P911" s="559"/>
      <c r="Q911" s="559"/>
      <c r="R911" s="559"/>
      <c r="S911" s="559"/>
      <c r="T911" s="559"/>
      <c r="U911" s="559"/>
      <c r="V911" s="559"/>
      <c r="W911" s="559"/>
      <c r="X911" s="559"/>
      <c r="Y911" s="559"/>
      <c r="Z911" s="559"/>
      <c r="AA911" s="559"/>
      <c r="AB911" s="559"/>
      <c r="AC911" s="559"/>
      <c r="AD911" s="559"/>
      <c r="AE911" s="559"/>
      <c r="AF911" s="559"/>
      <c r="AG911" s="559"/>
    </row>
    <row r="912" spans="1:33" ht="18" customHeight="1" x14ac:dyDescent="0.35">
      <c r="A912" s="559"/>
      <c r="B912" s="559"/>
      <c r="C912" s="559"/>
      <c r="D912" s="559"/>
      <c r="E912" s="559"/>
      <c r="F912" s="559"/>
      <c r="G912" s="559"/>
      <c r="H912" s="559"/>
      <c r="I912" s="559"/>
      <c r="J912" s="559"/>
      <c r="K912" s="559"/>
      <c r="L912" s="559"/>
      <c r="M912" s="559"/>
      <c r="N912" s="559"/>
      <c r="O912" s="559"/>
      <c r="P912" s="559"/>
      <c r="Q912" s="559"/>
      <c r="R912" s="559"/>
      <c r="S912" s="559"/>
      <c r="T912" s="559"/>
      <c r="U912" s="559"/>
      <c r="V912" s="559"/>
      <c r="W912" s="559"/>
      <c r="X912" s="559"/>
      <c r="Y912" s="559"/>
      <c r="Z912" s="559"/>
      <c r="AA912" s="559"/>
      <c r="AB912" s="559"/>
      <c r="AC912" s="559"/>
      <c r="AD912" s="559"/>
      <c r="AE912" s="559"/>
      <c r="AF912" s="559"/>
      <c r="AG912" s="559"/>
    </row>
    <row r="913" spans="1:33" ht="18" customHeight="1" x14ac:dyDescent="0.35">
      <c r="A913" s="559"/>
      <c r="B913" s="559"/>
      <c r="C913" s="559"/>
      <c r="D913" s="559"/>
      <c r="E913" s="559"/>
      <c r="F913" s="559"/>
      <c r="G913" s="559"/>
      <c r="H913" s="559"/>
      <c r="I913" s="559"/>
      <c r="J913" s="559"/>
      <c r="K913" s="559"/>
      <c r="L913" s="559"/>
      <c r="M913" s="559"/>
      <c r="N913" s="559"/>
      <c r="O913" s="559"/>
      <c r="P913" s="559"/>
      <c r="Q913" s="559"/>
      <c r="R913" s="559"/>
      <c r="S913" s="559"/>
      <c r="T913" s="559"/>
      <c r="U913" s="559"/>
      <c r="V913" s="559"/>
      <c r="W913" s="559"/>
      <c r="X913" s="559"/>
      <c r="Y913" s="559"/>
      <c r="Z913" s="559"/>
      <c r="AA913" s="559"/>
      <c r="AB913" s="559"/>
      <c r="AC913" s="559"/>
      <c r="AD913" s="559"/>
      <c r="AE913" s="559"/>
      <c r="AF913" s="559"/>
      <c r="AG913" s="559"/>
    </row>
    <row r="914" spans="1:33" ht="18" customHeight="1" x14ac:dyDescent="0.35">
      <c r="A914" s="559"/>
      <c r="B914" s="559"/>
      <c r="C914" s="559"/>
      <c r="D914" s="559"/>
      <c r="E914" s="559"/>
      <c r="F914" s="559"/>
      <c r="G914" s="559"/>
      <c r="H914" s="559"/>
      <c r="I914" s="559"/>
      <c r="J914" s="559"/>
      <c r="K914" s="559"/>
      <c r="L914" s="559"/>
      <c r="M914" s="559"/>
      <c r="N914" s="559"/>
      <c r="O914" s="559"/>
      <c r="P914" s="559"/>
      <c r="Q914" s="559"/>
      <c r="R914" s="559"/>
      <c r="S914" s="559"/>
      <c r="T914" s="559"/>
      <c r="U914" s="559"/>
      <c r="V914" s="559"/>
      <c r="W914" s="559"/>
      <c r="X914" s="559"/>
      <c r="Y914" s="559"/>
      <c r="Z914" s="559"/>
      <c r="AA914" s="559"/>
      <c r="AB914" s="559"/>
      <c r="AC914" s="559"/>
      <c r="AD914" s="559"/>
      <c r="AE914" s="559"/>
      <c r="AF914" s="559"/>
      <c r="AG914" s="559"/>
    </row>
    <row r="915" spans="1:33" ht="18" customHeight="1" x14ac:dyDescent="0.35">
      <c r="A915" s="559"/>
      <c r="B915" s="559"/>
      <c r="C915" s="559"/>
      <c r="D915" s="559"/>
      <c r="E915" s="559"/>
      <c r="F915" s="559"/>
      <c r="G915" s="559"/>
      <c r="H915" s="559"/>
      <c r="I915" s="559"/>
      <c r="J915" s="559"/>
      <c r="K915" s="559"/>
      <c r="L915" s="559"/>
      <c r="M915" s="559"/>
      <c r="N915" s="559"/>
      <c r="O915" s="559"/>
      <c r="P915" s="559"/>
      <c r="Q915" s="559"/>
      <c r="R915" s="559"/>
      <c r="S915" s="559"/>
      <c r="T915" s="559"/>
      <c r="U915" s="559"/>
      <c r="V915" s="559"/>
      <c r="W915" s="559"/>
      <c r="X915" s="559"/>
      <c r="Y915" s="559"/>
      <c r="Z915" s="559"/>
      <c r="AA915" s="559"/>
      <c r="AB915" s="559"/>
      <c r="AC915" s="559"/>
      <c r="AD915" s="559"/>
      <c r="AE915" s="559"/>
      <c r="AF915" s="559"/>
      <c r="AG915" s="559"/>
    </row>
    <row r="916" spans="1:33" ht="18" customHeight="1" x14ac:dyDescent="0.35">
      <c r="A916" s="559"/>
      <c r="B916" s="559"/>
      <c r="C916" s="559"/>
      <c r="D916" s="559"/>
      <c r="E916" s="559"/>
      <c r="F916" s="559"/>
      <c r="G916" s="559"/>
      <c r="H916" s="559"/>
      <c r="I916" s="559"/>
      <c r="J916" s="559"/>
      <c r="K916" s="559"/>
      <c r="L916" s="559"/>
      <c r="M916" s="559"/>
      <c r="N916" s="559"/>
      <c r="O916" s="559"/>
      <c r="P916" s="559"/>
      <c r="Q916" s="559"/>
      <c r="R916" s="559"/>
      <c r="S916" s="559"/>
      <c r="T916" s="559"/>
      <c r="U916" s="559"/>
      <c r="V916" s="559"/>
      <c r="W916" s="559"/>
      <c r="X916" s="559"/>
      <c r="Y916" s="559"/>
      <c r="Z916" s="559"/>
      <c r="AA916" s="559"/>
      <c r="AB916" s="559"/>
      <c r="AC916" s="559"/>
      <c r="AD916" s="559"/>
      <c r="AE916" s="559"/>
      <c r="AF916" s="559"/>
      <c r="AG916" s="559"/>
    </row>
    <row r="917" spans="1:33" ht="18" customHeight="1" x14ac:dyDescent="0.35">
      <c r="A917" s="559"/>
      <c r="B917" s="559"/>
      <c r="C917" s="559"/>
      <c r="D917" s="559"/>
      <c r="E917" s="559"/>
      <c r="F917" s="559"/>
      <c r="G917" s="559"/>
      <c r="H917" s="559"/>
      <c r="I917" s="559"/>
      <c r="J917" s="559"/>
      <c r="K917" s="559"/>
      <c r="L917" s="559"/>
      <c r="M917" s="559"/>
      <c r="N917" s="559"/>
      <c r="O917" s="559"/>
      <c r="P917" s="559"/>
      <c r="Q917" s="559"/>
      <c r="R917" s="559"/>
      <c r="S917" s="559"/>
      <c r="T917" s="559"/>
      <c r="U917" s="559"/>
      <c r="V917" s="559"/>
      <c r="W917" s="559"/>
      <c r="X917" s="559"/>
      <c r="Y917" s="559"/>
      <c r="Z917" s="559"/>
      <c r="AA917" s="559"/>
      <c r="AB917" s="559"/>
      <c r="AC917" s="559"/>
      <c r="AD917" s="559"/>
      <c r="AE917" s="559"/>
      <c r="AF917" s="559"/>
      <c r="AG917" s="559"/>
    </row>
    <row r="918" spans="1:33" ht="18" customHeight="1" x14ac:dyDescent="0.35">
      <c r="A918" s="559"/>
      <c r="B918" s="559"/>
      <c r="C918" s="559"/>
      <c r="D918" s="559"/>
      <c r="E918" s="559"/>
      <c r="F918" s="559"/>
      <c r="G918" s="559"/>
      <c r="H918" s="559"/>
      <c r="I918" s="559"/>
      <c r="J918" s="559"/>
      <c r="K918" s="559"/>
      <c r="L918" s="559"/>
      <c r="M918" s="559"/>
      <c r="N918" s="559"/>
      <c r="O918" s="559"/>
      <c r="P918" s="559"/>
      <c r="Q918" s="559"/>
      <c r="R918" s="559"/>
      <c r="S918" s="559"/>
      <c r="T918" s="559"/>
      <c r="U918" s="559"/>
      <c r="V918" s="559"/>
      <c r="W918" s="559"/>
      <c r="X918" s="559"/>
      <c r="Y918" s="559"/>
      <c r="Z918" s="559"/>
      <c r="AA918" s="559"/>
      <c r="AB918" s="559"/>
      <c r="AC918" s="559"/>
      <c r="AD918" s="559"/>
      <c r="AE918" s="559"/>
      <c r="AF918" s="559"/>
      <c r="AG918" s="559"/>
    </row>
    <row r="919" spans="1:33" ht="18" customHeight="1" x14ac:dyDescent="0.35">
      <c r="A919" s="559"/>
      <c r="B919" s="559"/>
      <c r="C919" s="559"/>
      <c r="D919" s="559"/>
      <c r="E919" s="559"/>
      <c r="F919" s="559"/>
      <c r="G919" s="559"/>
      <c r="H919" s="559"/>
      <c r="I919" s="559"/>
      <c r="J919" s="559"/>
      <c r="K919" s="559"/>
      <c r="L919" s="559"/>
      <c r="M919" s="559"/>
      <c r="N919" s="559"/>
      <c r="O919" s="559"/>
      <c r="P919" s="559"/>
      <c r="Q919" s="559"/>
      <c r="R919" s="559"/>
      <c r="S919" s="559"/>
      <c r="T919" s="559"/>
      <c r="U919" s="559"/>
      <c r="V919" s="559"/>
      <c r="W919" s="559"/>
      <c r="X919" s="559"/>
      <c r="Y919" s="559"/>
      <c r="Z919" s="559"/>
      <c r="AA919" s="559"/>
      <c r="AB919" s="559"/>
      <c r="AC919" s="559"/>
      <c r="AD919" s="559"/>
      <c r="AE919" s="559"/>
      <c r="AF919" s="559"/>
      <c r="AG919" s="559"/>
    </row>
    <row r="920" spans="1:33" ht="18" customHeight="1" x14ac:dyDescent="0.35">
      <c r="A920" s="559"/>
      <c r="B920" s="559"/>
      <c r="C920" s="559"/>
      <c r="D920" s="559"/>
      <c r="E920" s="559"/>
      <c r="F920" s="559"/>
      <c r="G920" s="559"/>
      <c r="H920" s="559"/>
      <c r="I920" s="559"/>
      <c r="J920" s="559"/>
      <c r="K920" s="559"/>
      <c r="L920" s="559"/>
      <c r="M920" s="559"/>
      <c r="N920" s="559"/>
      <c r="O920" s="559"/>
      <c r="P920" s="559"/>
      <c r="Q920" s="559"/>
      <c r="R920" s="559"/>
      <c r="S920" s="559"/>
      <c r="T920" s="559"/>
      <c r="U920" s="559"/>
      <c r="V920" s="559"/>
      <c r="W920" s="559"/>
      <c r="X920" s="559"/>
      <c r="Y920" s="559"/>
      <c r="Z920" s="559"/>
      <c r="AA920" s="559"/>
      <c r="AB920" s="559"/>
      <c r="AC920" s="559"/>
      <c r="AD920" s="559"/>
      <c r="AE920" s="559"/>
      <c r="AF920" s="559"/>
      <c r="AG920" s="559"/>
    </row>
    <row r="921" spans="1:33" ht="18" customHeight="1" x14ac:dyDescent="0.35">
      <c r="A921" s="559"/>
      <c r="B921" s="559"/>
      <c r="C921" s="559"/>
      <c r="D921" s="559"/>
      <c r="E921" s="559"/>
      <c r="F921" s="559"/>
      <c r="G921" s="559"/>
      <c r="H921" s="559"/>
      <c r="I921" s="559"/>
      <c r="J921" s="559"/>
      <c r="K921" s="559"/>
      <c r="L921" s="559"/>
      <c r="M921" s="559"/>
      <c r="N921" s="559"/>
      <c r="O921" s="559"/>
      <c r="P921" s="559"/>
      <c r="Q921" s="559"/>
      <c r="R921" s="559"/>
      <c r="S921" s="559"/>
      <c r="T921" s="559"/>
      <c r="U921" s="559"/>
      <c r="V921" s="559"/>
      <c r="W921" s="559"/>
      <c r="X921" s="559"/>
      <c r="Y921" s="559"/>
      <c r="Z921" s="559"/>
      <c r="AA921" s="559"/>
      <c r="AB921" s="559"/>
      <c r="AC921" s="559"/>
      <c r="AD921" s="559"/>
      <c r="AE921" s="559"/>
      <c r="AF921" s="559"/>
      <c r="AG921" s="559"/>
    </row>
    <row r="922" spans="1:33" ht="18" customHeight="1" x14ac:dyDescent="0.35">
      <c r="A922" s="559"/>
      <c r="B922" s="559"/>
      <c r="C922" s="559"/>
      <c r="D922" s="559"/>
      <c r="E922" s="559"/>
      <c r="F922" s="559"/>
      <c r="G922" s="559"/>
      <c r="H922" s="559"/>
      <c r="I922" s="559"/>
      <c r="J922" s="559"/>
      <c r="K922" s="559"/>
      <c r="L922" s="559"/>
      <c r="M922" s="559"/>
      <c r="N922" s="559"/>
      <c r="O922" s="559"/>
      <c r="P922" s="559"/>
      <c r="Q922" s="559"/>
      <c r="R922" s="559"/>
      <c r="S922" s="559"/>
      <c r="T922" s="559"/>
      <c r="U922" s="559"/>
      <c r="V922" s="559"/>
      <c r="W922" s="559"/>
      <c r="X922" s="559"/>
      <c r="Y922" s="559"/>
      <c r="Z922" s="559"/>
      <c r="AA922" s="559"/>
      <c r="AB922" s="559"/>
      <c r="AC922" s="559"/>
      <c r="AD922" s="559"/>
      <c r="AE922" s="559"/>
      <c r="AF922" s="559"/>
      <c r="AG922" s="559"/>
    </row>
    <row r="923" spans="1:33" ht="18" customHeight="1" x14ac:dyDescent="0.35">
      <c r="A923" s="559"/>
      <c r="B923" s="559"/>
      <c r="C923" s="559"/>
      <c r="D923" s="559"/>
      <c r="E923" s="559"/>
      <c r="F923" s="559"/>
      <c r="G923" s="559"/>
      <c r="H923" s="559"/>
      <c r="I923" s="559"/>
      <c r="J923" s="559"/>
      <c r="K923" s="559"/>
      <c r="L923" s="559"/>
      <c r="M923" s="559"/>
      <c r="N923" s="559"/>
      <c r="O923" s="559"/>
      <c r="P923" s="559"/>
      <c r="Q923" s="559"/>
      <c r="R923" s="559"/>
      <c r="S923" s="559"/>
      <c r="T923" s="559"/>
      <c r="U923" s="559"/>
      <c r="V923" s="559"/>
      <c r="W923" s="559"/>
      <c r="X923" s="559"/>
      <c r="Y923" s="559"/>
      <c r="Z923" s="559"/>
      <c r="AA923" s="559"/>
      <c r="AB923" s="559"/>
      <c r="AC923" s="559"/>
      <c r="AD923" s="559"/>
      <c r="AE923" s="559"/>
      <c r="AF923" s="559"/>
      <c r="AG923" s="559"/>
    </row>
    <row r="924" spans="1:33" ht="18" customHeight="1" x14ac:dyDescent="0.35">
      <c r="A924" s="559"/>
      <c r="B924" s="559"/>
      <c r="C924" s="559"/>
      <c r="D924" s="559"/>
      <c r="E924" s="559"/>
      <c r="F924" s="559"/>
      <c r="G924" s="559"/>
      <c r="H924" s="559"/>
      <c r="I924" s="559"/>
      <c r="J924" s="559"/>
      <c r="K924" s="559"/>
      <c r="L924" s="559"/>
      <c r="M924" s="559"/>
      <c r="N924" s="559"/>
      <c r="O924" s="559"/>
      <c r="P924" s="559"/>
      <c r="Q924" s="559"/>
      <c r="R924" s="559"/>
      <c r="S924" s="559"/>
      <c r="T924" s="559"/>
      <c r="U924" s="559"/>
      <c r="V924" s="559"/>
      <c r="W924" s="559"/>
      <c r="X924" s="559"/>
      <c r="Y924" s="559"/>
      <c r="Z924" s="559"/>
      <c r="AA924" s="559"/>
      <c r="AB924" s="559"/>
      <c r="AC924" s="559"/>
      <c r="AD924" s="559"/>
      <c r="AE924" s="559"/>
      <c r="AF924" s="559"/>
      <c r="AG924" s="559"/>
    </row>
    <row r="925" spans="1:33" ht="18" customHeight="1" x14ac:dyDescent="0.35">
      <c r="A925" s="559"/>
      <c r="B925" s="559"/>
      <c r="C925" s="559"/>
      <c r="D925" s="559"/>
      <c r="E925" s="559"/>
      <c r="F925" s="559"/>
      <c r="G925" s="559"/>
      <c r="H925" s="559"/>
      <c r="I925" s="559"/>
      <c r="J925" s="559"/>
      <c r="K925" s="559"/>
      <c r="L925" s="559"/>
      <c r="M925" s="559"/>
      <c r="N925" s="559"/>
      <c r="O925" s="559"/>
      <c r="P925" s="559"/>
      <c r="Q925" s="559"/>
      <c r="R925" s="559"/>
      <c r="S925" s="559"/>
      <c r="T925" s="559"/>
      <c r="U925" s="559"/>
      <c r="V925" s="559"/>
      <c r="W925" s="559"/>
      <c r="X925" s="559"/>
      <c r="Y925" s="559"/>
      <c r="Z925" s="559"/>
      <c r="AA925" s="559"/>
      <c r="AB925" s="559"/>
      <c r="AC925" s="559"/>
      <c r="AD925" s="559"/>
      <c r="AE925" s="559"/>
      <c r="AF925" s="559"/>
      <c r="AG925" s="559"/>
    </row>
    <row r="926" spans="1:33" ht="18" customHeight="1" x14ac:dyDescent="0.35">
      <c r="A926" s="559"/>
      <c r="B926" s="559"/>
      <c r="C926" s="559"/>
      <c r="D926" s="559"/>
      <c r="E926" s="559"/>
      <c r="F926" s="559"/>
      <c r="G926" s="559"/>
      <c r="H926" s="559"/>
      <c r="I926" s="559"/>
      <c r="J926" s="559"/>
      <c r="K926" s="559"/>
      <c r="L926" s="559"/>
      <c r="M926" s="559"/>
      <c r="N926" s="559"/>
      <c r="O926" s="559"/>
      <c r="P926" s="559"/>
      <c r="Q926" s="559"/>
      <c r="R926" s="559"/>
      <c r="S926" s="559"/>
      <c r="T926" s="559"/>
      <c r="U926" s="559"/>
      <c r="V926" s="559"/>
      <c r="W926" s="559"/>
      <c r="X926" s="559"/>
      <c r="Y926" s="559"/>
      <c r="Z926" s="559"/>
      <c r="AA926" s="559"/>
      <c r="AB926" s="559"/>
      <c r="AC926" s="559"/>
      <c r="AD926" s="559"/>
      <c r="AE926" s="559"/>
      <c r="AF926" s="559"/>
      <c r="AG926" s="559"/>
    </row>
    <row r="927" spans="1:33" ht="18" customHeight="1" x14ac:dyDescent="0.35">
      <c r="A927" s="559"/>
      <c r="B927" s="559"/>
      <c r="C927" s="559"/>
      <c r="D927" s="559"/>
      <c r="E927" s="559"/>
      <c r="F927" s="559"/>
      <c r="G927" s="559"/>
      <c r="H927" s="559"/>
      <c r="I927" s="559"/>
      <c r="J927" s="559"/>
      <c r="K927" s="559"/>
      <c r="L927" s="559"/>
      <c r="M927" s="559"/>
      <c r="N927" s="559"/>
      <c r="O927" s="559"/>
      <c r="P927" s="559"/>
      <c r="Q927" s="559"/>
      <c r="R927" s="559"/>
      <c r="S927" s="559"/>
      <c r="T927" s="559"/>
      <c r="U927" s="559"/>
      <c r="V927" s="559"/>
      <c r="W927" s="559"/>
      <c r="X927" s="559"/>
      <c r="Y927" s="559"/>
      <c r="Z927" s="559"/>
      <c r="AA927" s="559"/>
      <c r="AB927" s="559"/>
      <c r="AC927" s="559"/>
      <c r="AD927" s="559"/>
      <c r="AE927" s="559"/>
      <c r="AF927" s="559"/>
      <c r="AG927" s="559"/>
    </row>
    <row r="928" spans="1:33" ht="18" customHeight="1" x14ac:dyDescent="0.35">
      <c r="A928" s="559"/>
      <c r="B928" s="559"/>
      <c r="C928" s="559"/>
      <c r="D928" s="559"/>
      <c r="E928" s="559"/>
      <c r="F928" s="559"/>
      <c r="G928" s="559"/>
      <c r="H928" s="559"/>
      <c r="I928" s="559"/>
      <c r="J928" s="559"/>
      <c r="K928" s="559"/>
      <c r="L928" s="559"/>
      <c r="M928" s="559"/>
      <c r="N928" s="559"/>
      <c r="O928" s="559"/>
      <c r="P928" s="559"/>
      <c r="Q928" s="559"/>
      <c r="R928" s="559"/>
      <c r="S928" s="559"/>
      <c r="T928" s="559"/>
      <c r="U928" s="559"/>
      <c r="V928" s="559"/>
      <c r="W928" s="559"/>
      <c r="X928" s="559"/>
      <c r="Y928" s="559"/>
      <c r="Z928" s="559"/>
      <c r="AA928" s="559"/>
      <c r="AB928" s="559"/>
      <c r="AC928" s="559"/>
      <c r="AD928" s="559"/>
      <c r="AE928" s="559"/>
      <c r="AF928" s="559"/>
      <c r="AG928" s="559"/>
    </row>
    <row r="929" spans="1:33" ht="18" customHeight="1" x14ac:dyDescent="0.35">
      <c r="A929" s="559"/>
      <c r="B929" s="559"/>
      <c r="C929" s="559"/>
      <c r="D929" s="559"/>
      <c r="E929" s="559"/>
      <c r="F929" s="559"/>
      <c r="G929" s="559"/>
      <c r="H929" s="559"/>
      <c r="I929" s="559"/>
      <c r="J929" s="559"/>
      <c r="K929" s="559"/>
      <c r="L929" s="559"/>
      <c r="M929" s="559"/>
      <c r="N929" s="559"/>
      <c r="O929" s="559"/>
      <c r="P929" s="559"/>
      <c r="Q929" s="559"/>
      <c r="R929" s="559"/>
      <c r="S929" s="559"/>
      <c r="T929" s="559"/>
      <c r="U929" s="559"/>
      <c r="V929" s="559"/>
      <c r="W929" s="559"/>
      <c r="X929" s="559"/>
      <c r="Y929" s="559"/>
      <c r="Z929" s="559"/>
      <c r="AA929" s="559"/>
      <c r="AB929" s="559"/>
      <c r="AC929" s="559"/>
      <c r="AD929" s="559"/>
      <c r="AE929" s="559"/>
      <c r="AF929" s="559"/>
      <c r="AG929" s="559"/>
    </row>
    <row r="930" spans="1:33" ht="18" customHeight="1" x14ac:dyDescent="0.35">
      <c r="A930" s="559"/>
      <c r="B930" s="559"/>
      <c r="C930" s="559"/>
      <c r="D930" s="559"/>
      <c r="E930" s="559"/>
      <c r="F930" s="559"/>
      <c r="G930" s="559"/>
      <c r="H930" s="559"/>
      <c r="I930" s="559"/>
      <c r="J930" s="559"/>
      <c r="K930" s="559"/>
      <c r="L930" s="559"/>
      <c r="M930" s="559"/>
      <c r="N930" s="559"/>
      <c r="O930" s="559"/>
      <c r="P930" s="559"/>
      <c r="Q930" s="559"/>
      <c r="R930" s="559"/>
      <c r="S930" s="559"/>
      <c r="T930" s="559"/>
      <c r="U930" s="559"/>
      <c r="V930" s="559"/>
      <c r="W930" s="559"/>
      <c r="X930" s="559"/>
      <c r="Y930" s="559"/>
      <c r="Z930" s="559"/>
      <c r="AA930" s="559"/>
      <c r="AB930" s="559"/>
      <c r="AC930" s="559"/>
      <c r="AD930" s="559"/>
      <c r="AE930" s="559"/>
      <c r="AF930" s="559"/>
      <c r="AG930" s="559"/>
    </row>
    <row r="931" spans="1:33" ht="18" customHeight="1" x14ac:dyDescent="0.35">
      <c r="A931" s="559"/>
      <c r="B931" s="559"/>
      <c r="C931" s="559"/>
      <c r="D931" s="559"/>
      <c r="E931" s="559"/>
      <c r="F931" s="559"/>
      <c r="G931" s="559"/>
      <c r="H931" s="559"/>
      <c r="I931" s="559"/>
      <c r="J931" s="559"/>
      <c r="K931" s="559"/>
      <c r="L931" s="559"/>
      <c r="M931" s="559"/>
      <c r="N931" s="559"/>
      <c r="O931" s="559"/>
      <c r="P931" s="559"/>
      <c r="Q931" s="559"/>
      <c r="R931" s="559"/>
      <c r="S931" s="559"/>
      <c r="T931" s="559"/>
      <c r="U931" s="559"/>
      <c r="V931" s="559"/>
      <c r="W931" s="559"/>
      <c r="X931" s="559"/>
      <c r="Y931" s="559"/>
      <c r="Z931" s="559"/>
      <c r="AA931" s="559"/>
      <c r="AB931" s="559"/>
      <c r="AC931" s="559"/>
      <c r="AD931" s="559"/>
      <c r="AE931" s="559"/>
      <c r="AF931" s="559"/>
      <c r="AG931" s="559"/>
    </row>
    <row r="932" spans="1:33" ht="18" customHeight="1" x14ac:dyDescent="0.35">
      <c r="A932" s="559"/>
      <c r="B932" s="559"/>
      <c r="C932" s="559"/>
      <c r="D932" s="559"/>
      <c r="E932" s="559"/>
      <c r="F932" s="559"/>
      <c r="G932" s="559"/>
      <c r="H932" s="559"/>
      <c r="I932" s="559"/>
      <c r="J932" s="559"/>
      <c r="K932" s="559"/>
      <c r="L932" s="559"/>
      <c r="M932" s="559"/>
      <c r="N932" s="559"/>
      <c r="O932" s="559"/>
      <c r="P932" s="559"/>
      <c r="Q932" s="559"/>
      <c r="R932" s="559"/>
      <c r="S932" s="559"/>
      <c r="T932" s="559"/>
      <c r="U932" s="559"/>
      <c r="V932" s="559"/>
      <c r="W932" s="559"/>
      <c r="X932" s="559"/>
      <c r="Y932" s="559"/>
      <c r="Z932" s="559"/>
      <c r="AA932" s="559"/>
      <c r="AB932" s="559"/>
      <c r="AC932" s="559"/>
      <c r="AD932" s="559"/>
      <c r="AE932" s="559"/>
      <c r="AF932" s="559"/>
      <c r="AG932" s="559"/>
    </row>
    <row r="933" spans="1:33" ht="18" customHeight="1" x14ac:dyDescent="0.35">
      <c r="A933" s="559"/>
      <c r="B933" s="559"/>
      <c r="C933" s="559"/>
      <c r="D933" s="559"/>
      <c r="E933" s="559"/>
      <c r="F933" s="559"/>
      <c r="G933" s="559"/>
      <c r="H933" s="559"/>
      <c r="I933" s="559"/>
      <c r="J933" s="559"/>
      <c r="K933" s="559"/>
      <c r="L933" s="559"/>
      <c r="M933" s="559"/>
      <c r="N933" s="559"/>
      <c r="O933" s="559"/>
      <c r="P933" s="559"/>
      <c r="Q933" s="559"/>
      <c r="R933" s="559"/>
      <c r="S933" s="559"/>
      <c r="T933" s="559"/>
      <c r="U933" s="559"/>
      <c r="V933" s="559"/>
      <c r="W933" s="559"/>
      <c r="X933" s="559"/>
      <c r="Y933" s="559"/>
      <c r="Z933" s="559"/>
      <c r="AA933" s="559"/>
      <c r="AB933" s="559"/>
      <c r="AC933" s="559"/>
      <c r="AD933" s="559"/>
      <c r="AE933" s="559"/>
      <c r="AF933" s="559"/>
      <c r="AG933" s="559"/>
    </row>
    <row r="934" spans="1:33" ht="18" customHeight="1" x14ac:dyDescent="0.35">
      <c r="A934" s="559"/>
      <c r="B934" s="559"/>
      <c r="C934" s="559"/>
      <c r="D934" s="559"/>
      <c r="E934" s="559"/>
      <c r="F934" s="559"/>
      <c r="G934" s="559"/>
      <c r="H934" s="559"/>
      <c r="I934" s="559"/>
      <c r="J934" s="559"/>
      <c r="K934" s="559"/>
      <c r="L934" s="559"/>
      <c r="M934" s="559"/>
      <c r="N934" s="559"/>
      <c r="O934" s="559"/>
      <c r="P934" s="559"/>
      <c r="Q934" s="559"/>
      <c r="R934" s="559"/>
      <c r="S934" s="559"/>
      <c r="T934" s="559"/>
      <c r="U934" s="559"/>
      <c r="V934" s="559"/>
      <c r="W934" s="559"/>
      <c r="X934" s="559"/>
      <c r="Y934" s="559"/>
      <c r="Z934" s="559"/>
      <c r="AA934" s="559"/>
      <c r="AB934" s="559"/>
      <c r="AC934" s="559"/>
      <c r="AD934" s="559"/>
      <c r="AE934" s="559"/>
      <c r="AF934" s="559"/>
      <c r="AG934" s="559"/>
    </row>
    <row r="935" spans="1:33" ht="18" customHeight="1" x14ac:dyDescent="0.35">
      <c r="A935" s="559"/>
      <c r="B935" s="559"/>
      <c r="C935" s="559"/>
      <c r="D935" s="559"/>
      <c r="E935" s="559"/>
      <c r="F935" s="559"/>
      <c r="G935" s="559"/>
      <c r="H935" s="559"/>
      <c r="I935" s="559"/>
      <c r="J935" s="559"/>
      <c r="K935" s="559"/>
      <c r="L935" s="559"/>
      <c r="M935" s="559"/>
      <c r="N935" s="559"/>
      <c r="O935" s="559"/>
      <c r="P935" s="559"/>
      <c r="Q935" s="559"/>
      <c r="R935" s="559"/>
      <c r="S935" s="559"/>
      <c r="T935" s="559"/>
      <c r="U935" s="559"/>
      <c r="V935" s="559"/>
      <c r="W935" s="559"/>
      <c r="X935" s="559"/>
      <c r="Y935" s="559"/>
      <c r="Z935" s="559"/>
      <c r="AA935" s="559"/>
      <c r="AB935" s="559"/>
      <c r="AC935" s="559"/>
      <c r="AD935" s="559"/>
      <c r="AE935" s="559"/>
      <c r="AF935" s="559"/>
      <c r="AG935" s="559"/>
    </row>
    <row r="936" spans="1:33" ht="18" customHeight="1" x14ac:dyDescent="0.35">
      <c r="A936" s="559"/>
      <c r="B936" s="559"/>
      <c r="C936" s="559"/>
      <c r="D936" s="559"/>
      <c r="E936" s="559"/>
      <c r="F936" s="559"/>
      <c r="G936" s="559"/>
      <c r="H936" s="559"/>
      <c r="I936" s="559"/>
      <c r="J936" s="559"/>
      <c r="K936" s="559"/>
      <c r="L936" s="559"/>
      <c r="M936" s="559"/>
      <c r="N936" s="559"/>
      <c r="O936" s="559"/>
      <c r="P936" s="559"/>
      <c r="Q936" s="559"/>
      <c r="R936" s="559"/>
      <c r="S936" s="559"/>
      <c r="T936" s="559"/>
      <c r="U936" s="559"/>
      <c r="V936" s="559"/>
      <c r="W936" s="559"/>
      <c r="X936" s="559"/>
      <c r="Y936" s="559"/>
      <c r="Z936" s="559"/>
      <c r="AA936" s="559"/>
      <c r="AB936" s="559"/>
      <c r="AC936" s="559"/>
      <c r="AD936" s="559"/>
      <c r="AE936" s="559"/>
      <c r="AF936" s="559"/>
      <c r="AG936" s="559"/>
    </row>
    <row r="937" spans="1:33" ht="18" customHeight="1" x14ac:dyDescent="0.35">
      <c r="A937" s="559"/>
      <c r="B937" s="559"/>
      <c r="C937" s="559"/>
      <c r="D937" s="559"/>
      <c r="E937" s="559"/>
      <c r="F937" s="559"/>
      <c r="G937" s="559"/>
      <c r="H937" s="559"/>
      <c r="I937" s="559"/>
      <c r="J937" s="559"/>
      <c r="K937" s="559"/>
      <c r="L937" s="559"/>
      <c r="M937" s="559"/>
      <c r="N937" s="559"/>
      <c r="O937" s="559"/>
      <c r="P937" s="559"/>
      <c r="Q937" s="559"/>
      <c r="R937" s="559"/>
      <c r="S937" s="559"/>
      <c r="T937" s="559"/>
      <c r="U937" s="559"/>
      <c r="V937" s="559"/>
      <c r="W937" s="559"/>
      <c r="X937" s="559"/>
      <c r="Y937" s="559"/>
      <c r="Z937" s="559"/>
      <c r="AA937" s="559"/>
      <c r="AB937" s="559"/>
      <c r="AC937" s="559"/>
      <c r="AD937" s="559"/>
      <c r="AE937" s="559"/>
      <c r="AF937" s="559"/>
      <c r="AG937" s="559"/>
    </row>
    <row r="938" spans="1:33" ht="18" customHeight="1" x14ac:dyDescent="0.35">
      <c r="A938" s="559"/>
      <c r="B938" s="559"/>
      <c r="C938" s="559"/>
      <c r="D938" s="559"/>
      <c r="E938" s="559"/>
      <c r="F938" s="559"/>
      <c r="G938" s="559"/>
      <c r="H938" s="559"/>
      <c r="I938" s="559"/>
      <c r="J938" s="559"/>
      <c r="K938" s="559"/>
      <c r="L938" s="559"/>
      <c r="M938" s="559"/>
      <c r="N938" s="559"/>
      <c r="O938" s="559"/>
      <c r="P938" s="559"/>
      <c r="Q938" s="559"/>
      <c r="R938" s="559"/>
      <c r="S938" s="559"/>
      <c r="T938" s="559"/>
      <c r="U938" s="559"/>
      <c r="V938" s="559"/>
      <c r="W938" s="559"/>
      <c r="X938" s="559"/>
      <c r="Y938" s="559"/>
      <c r="Z938" s="559"/>
      <c r="AA938" s="559"/>
      <c r="AB938" s="559"/>
      <c r="AC938" s="559"/>
      <c r="AD938" s="559"/>
      <c r="AE938" s="559"/>
      <c r="AF938" s="559"/>
      <c r="AG938" s="559"/>
    </row>
    <row r="939" spans="1:33" ht="18" customHeight="1" x14ac:dyDescent="0.35">
      <c r="A939" s="559"/>
      <c r="B939" s="559"/>
      <c r="C939" s="559"/>
      <c r="D939" s="559"/>
      <c r="E939" s="559"/>
      <c r="F939" s="559"/>
      <c r="G939" s="559"/>
      <c r="H939" s="559"/>
      <c r="I939" s="559"/>
      <c r="J939" s="559"/>
      <c r="K939" s="559"/>
      <c r="L939" s="559"/>
      <c r="M939" s="559"/>
      <c r="N939" s="559"/>
      <c r="O939" s="559"/>
      <c r="P939" s="559"/>
      <c r="Q939" s="559"/>
      <c r="R939" s="559"/>
      <c r="S939" s="559"/>
      <c r="T939" s="559"/>
      <c r="U939" s="559"/>
      <c r="V939" s="559"/>
      <c r="W939" s="559"/>
      <c r="X939" s="559"/>
      <c r="Y939" s="559"/>
      <c r="Z939" s="559"/>
      <c r="AA939" s="559"/>
      <c r="AB939" s="559"/>
      <c r="AC939" s="559"/>
      <c r="AD939" s="559"/>
      <c r="AE939" s="559"/>
      <c r="AF939" s="559"/>
      <c r="AG939" s="559"/>
    </row>
    <row r="940" spans="1:33" ht="18" customHeight="1" x14ac:dyDescent="0.35">
      <c r="A940" s="559"/>
      <c r="B940" s="559"/>
      <c r="C940" s="559"/>
      <c r="D940" s="559"/>
      <c r="E940" s="559"/>
      <c r="F940" s="559"/>
      <c r="G940" s="559"/>
      <c r="H940" s="559"/>
      <c r="I940" s="559"/>
      <c r="J940" s="559"/>
      <c r="K940" s="559"/>
      <c r="L940" s="559"/>
      <c r="M940" s="559"/>
      <c r="N940" s="559"/>
      <c r="O940" s="559"/>
      <c r="P940" s="559"/>
      <c r="Q940" s="559"/>
      <c r="R940" s="559"/>
      <c r="S940" s="559"/>
      <c r="T940" s="559"/>
      <c r="U940" s="559"/>
      <c r="V940" s="559"/>
      <c r="W940" s="559"/>
      <c r="X940" s="559"/>
      <c r="Y940" s="559"/>
      <c r="Z940" s="559"/>
      <c r="AA940" s="559"/>
      <c r="AB940" s="559"/>
      <c r="AC940" s="559"/>
      <c r="AD940" s="559"/>
      <c r="AE940" s="559"/>
      <c r="AF940" s="559"/>
      <c r="AG940" s="559"/>
    </row>
    <row r="941" spans="1:33" ht="18" customHeight="1" x14ac:dyDescent="0.35">
      <c r="A941" s="559"/>
      <c r="B941" s="559"/>
      <c r="C941" s="559"/>
      <c r="D941" s="559"/>
      <c r="E941" s="559"/>
      <c r="F941" s="559"/>
      <c r="G941" s="559"/>
      <c r="H941" s="559"/>
      <c r="I941" s="559"/>
      <c r="J941" s="559"/>
      <c r="K941" s="559"/>
      <c r="L941" s="559"/>
      <c r="M941" s="559"/>
      <c r="N941" s="559"/>
      <c r="O941" s="559"/>
      <c r="P941" s="559"/>
      <c r="Q941" s="559"/>
      <c r="R941" s="559"/>
      <c r="S941" s="559"/>
      <c r="T941" s="559"/>
      <c r="U941" s="559"/>
      <c r="V941" s="559"/>
      <c r="W941" s="559"/>
      <c r="X941" s="559"/>
      <c r="Y941" s="559"/>
      <c r="Z941" s="559"/>
      <c r="AA941" s="559"/>
      <c r="AB941" s="559"/>
      <c r="AC941" s="559"/>
      <c r="AD941" s="559"/>
      <c r="AE941" s="559"/>
      <c r="AF941" s="559"/>
      <c r="AG941" s="559"/>
    </row>
    <row r="942" spans="1:33" ht="18" customHeight="1" x14ac:dyDescent="0.35">
      <c r="A942" s="559"/>
      <c r="B942" s="559"/>
      <c r="C942" s="559"/>
      <c r="D942" s="559"/>
      <c r="E942" s="559"/>
      <c r="F942" s="559"/>
      <c r="G942" s="559"/>
      <c r="H942" s="559"/>
      <c r="I942" s="559"/>
      <c r="J942" s="559"/>
      <c r="K942" s="559"/>
      <c r="L942" s="559"/>
      <c r="M942" s="559"/>
      <c r="N942" s="559"/>
      <c r="O942" s="559"/>
      <c r="P942" s="559"/>
      <c r="Q942" s="559"/>
      <c r="R942" s="559"/>
      <c r="S942" s="559"/>
      <c r="T942" s="559"/>
      <c r="U942" s="559"/>
      <c r="V942" s="559"/>
      <c r="W942" s="559"/>
      <c r="X942" s="559"/>
      <c r="Y942" s="559"/>
      <c r="Z942" s="559"/>
      <c r="AA942" s="559"/>
      <c r="AB942" s="559"/>
      <c r="AC942" s="559"/>
      <c r="AD942" s="559"/>
      <c r="AE942" s="559"/>
      <c r="AF942" s="559"/>
      <c r="AG942" s="559"/>
    </row>
    <row r="943" spans="1:33" ht="18" customHeight="1" x14ac:dyDescent="0.35">
      <c r="A943" s="559"/>
      <c r="B943" s="559"/>
      <c r="C943" s="559"/>
      <c r="D943" s="559"/>
      <c r="E943" s="559"/>
      <c r="F943" s="559"/>
      <c r="G943" s="559"/>
      <c r="H943" s="559"/>
      <c r="I943" s="559"/>
      <c r="J943" s="559"/>
      <c r="K943" s="559"/>
      <c r="L943" s="559"/>
      <c r="M943" s="559"/>
      <c r="N943" s="559"/>
      <c r="O943" s="559"/>
      <c r="P943" s="559"/>
      <c r="Q943" s="559"/>
      <c r="R943" s="559"/>
      <c r="S943" s="559"/>
      <c r="T943" s="559"/>
      <c r="U943" s="559"/>
      <c r="V943" s="559"/>
      <c r="W943" s="559"/>
      <c r="X943" s="559"/>
      <c r="Y943" s="559"/>
      <c r="Z943" s="559"/>
      <c r="AA943" s="559"/>
      <c r="AB943" s="559"/>
      <c r="AC943" s="559"/>
      <c r="AD943" s="559"/>
      <c r="AE943" s="559"/>
      <c r="AF943" s="559"/>
      <c r="AG943" s="559"/>
    </row>
    <row r="944" spans="1:33" ht="18" customHeight="1" x14ac:dyDescent="0.35">
      <c r="A944" s="559"/>
      <c r="B944" s="559"/>
      <c r="C944" s="559"/>
      <c r="D944" s="559"/>
      <c r="E944" s="559"/>
      <c r="F944" s="559"/>
      <c r="G944" s="559"/>
      <c r="H944" s="559"/>
      <c r="I944" s="559"/>
      <c r="J944" s="559"/>
      <c r="K944" s="559"/>
      <c r="L944" s="559"/>
      <c r="M944" s="559"/>
      <c r="N944" s="559"/>
      <c r="O944" s="559"/>
      <c r="P944" s="559"/>
      <c r="Q944" s="559"/>
      <c r="R944" s="559"/>
      <c r="S944" s="559"/>
      <c r="T944" s="559"/>
      <c r="U944" s="559"/>
      <c r="V944" s="559"/>
      <c r="W944" s="559"/>
      <c r="X944" s="559"/>
      <c r="Y944" s="559"/>
      <c r="Z944" s="559"/>
      <c r="AA944" s="559"/>
      <c r="AB944" s="559"/>
      <c r="AC944" s="559"/>
      <c r="AD944" s="559"/>
      <c r="AE944" s="559"/>
      <c r="AF944" s="559"/>
      <c r="AG944" s="559"/>
    </row>
    <row r="945" spans="1:33" ht="18" customHeight="1" x14ac:dyDescent="0.35">
      <c r="A945" s="559"/>
      <c r="B945" s="559"/>
      <c r="C945" s="559"/>
      <c r="D945" s="559"/>
      <c r="E945" s="559"/>
      <c r="F945" s="559"/>
      <c r="G945" s="559"/>
      <c r="H945" s="559"/>
      <c r="I945" s="559"/>
      <c r="J945" s="559"/>
      <c r="K945" s="559"/>
      <c r="L945" s="559"/>
      <c r="M945" s="559"/>
      <c r="N945" s="559"/>
      <c r="O945" s="559"/>
      <c r="P945" s="559"/>
      <c r="Q945" s="559"/>
      <c r="R945" s="559"/>
      <c r="S945" s="559"/>
      <c r="T945" s="559"/>
      <c r="U945" s="559"/>
      <c r="V945" s="559"/>
      <c r="W945" s="559"/>
      <c r="X945" s="559"/>
      <c r="Y945" s="559"/>
      <c r="Z945" s="559"/>
      <c r="AA945" s="559"/>
      <c r="AB945" s="559"/>
      <c r="AC945" s="559"/>
      <c r="AD945" s="559"/>
      <c r="AE945" s="559"/>
      <c r="AF945" s="559"/>
      <c r="AG945" s="559"/>
    </row>
    <row r="946" spans="1:33" ht="18" customHeight="1" x14ac:dyDescent="0.35">
      <c r="A946" s="559"/>
      <c r="B946" s="559"/>
      <c r="C946" s="559"/>
      <c r="D946" s="559"/>
      <c r="E946" s="559"/>
      <c r="F946" s="559"/>
      <c r="G946" s="559"/>
      <c r="H946" s="559"/>
      <c r="I946" s="559"/>
      <c r="J946" s="559"/>
      <c r="K946" s="559"/>
      <c r="L946" s="559"/>
      <c r="M946" s="559"/>
      <c r="N946" s="559"/>
      <c r="O946" s="559"/>
      <c r="P946" s="559"/>
      <c r="Q946" s="559"/>
      <c r="R946" s="559"/>
      <c r="S946" s="559"/>
      <c r="T946" s="559"/>
      <c r="U946" s="559"/>
      <c r="V946" s="559"/>
      <c r="W946" s="559"/>
      <c r="X946" s="559"/>
      <c r="Y946" s="559"/>
      <c r="Z946" s="559"/>
      <c r="AA946" s="559"/>
      <c r="AB946" s="559"/>
      <c r="AC946" s="559"/>
      <c r="AD946" s="559"/>
      <c r="AE946" s="559"/>
      <c r="AF946" s="559"/>
      <c r="AG946" s="559"/>
    </row>
    <row r="947" spans="1:33" ht="18" customHeight="1" x14ac:dyDescent="0.35">
      <c r="A947" s="559"/>
      <c r="B947" s="559"/>
      <c r="C947" s="559"/>
      <c r="D947" s="559"/>
      <c r="E947" s="559"/>
      <c r="F947" s="559"/>
      <c r="G947" s="559"/>
      <c r="H947" s="559"/>
      <c r="I947" s="559"/>
      <c r="J947" s="559"/>
      <c r="K947" s="559"/>
      <c r="L947" s="559"/>
      <c r="M947" s="559"/>
      <c r="N947" s="559"/>
      <c r="O947" s="559"/>
      <c r="P947" s="559"/>
      <c r="Q947" s="559"/>
      <c r="R947" s="559"/>
      <c r="S947" s="559"/>
      <c r="T947" s="559"/>
      <c r="U947" s="559"/>
      <c r="V947" s="559"/>
      <c r="W947" s="559"/>
      <c r="X947" s="559"/>
      <c r="Y947" s="559"/>
      <c r="Z947" s="559"/>
      <c r="AA947" s="559"/>
      <c r="AB947" s="559"/>
      <c r="AC947" s="559"/>
      <c r="AD947" s="559"/>
      <c r="AE947" s="559"/>
      <c r="AF947" s="559"/>
      <c r="AG947" s="559"/>
    </row>
    <row r="948" spans="1:33" ht="18" customHeight="1" x14ac:dyDescent="0.35">
      <c r="A948" s="559"/>
      <c r="B948" s="559"/>
      <c r="C948" s="559"/>
      <c r="D948" s="559"/>
      <c r="E948" s="559"/>
      <c r="F948" s="559"/>
      <c r="G948" s="559"/>
      <c r="H948" s="559"/>
      <c r="I948" s="559"/>
      <c r="J948" s="559"/>
      <c r="K948" s="559"/>
      <c r="L948" s="559"/>
      <c r="M948" s="559"/>
      <c r="N948" s="559"/>
      <c r="O948" s="559"/>
      <c r="P948" s="559"/>
      <c r="Q948" s="559"/>
      <c r="R948" s="559"/>
      <c r="S948" s="559"/>
      <c r="T948" s="559"/>
      <c r="U948" s="559"/>
      <c r="V948" s="559"/>
      <c r="W948" s="559"/>
      <c r="X948" s="559"/>
      <c r="Y948" s="559"/>
      <c r="Z948" s="559"/>
      <c r="AA948" s="559"/>
      <c r="AB948" s="559"/>
      <c r="AC948" s="559"/>
      <c r="AD948" s="559"/>
      <c r="AE948" s="559"/>
      <c r="AF948" s="559"/>
      <c r="AG948" s="559"/>
    </row>
    <row r="949" spans="1:33" ht="18" customHeight="1" x14ac:dyDescent="0.35">
      <c r="A949" s="559"/>
      <c r="B949" s="559"/>
      <c r="C949" s="559"/>
      <c r="D949" s="559"/>
      <c r="E949" s="559"/>
      <c r="F949" s="559"/>
      <c r="G949" s="559"/>
      <c r="H949" s="559"/>
      <c r="I949" s="559"/>
      <c r="J949" s="559"/>
      <c r="K949" s="559"/>
      <c r="L949" s="559"/>
      <c r="M949" s="559"/>
      <c r="N949" s="559"/>
      <c r="O949" s="559"/>
      <c r="P949" s="559"/>
      <c r="Q949" s="559"/>
      <c r="R949" s="559"/>
      <c r="S949" s="559"/>
      <c r="T949" s="559"/>
      <c r="U949" s="559"/>
      <c r="V949" s="559"/>
      <c r="W949" s="559"/>
      <c r="X949" s="559"/>
      <c r="Y949" s="559"/>
      <c r="Z949" s="559"/>
      <c r="AA949" s="559"/>
      <c r="AB949" s="559"/>
      <c r="AC949" s="559"/>
      <c r="AD949" s="559"/>
      <c r="AE949" s="559"/>
      <c r="AF949" s="559"/>
      <c r="AG949" s="559"/>
    </row>
    <row r="950" spans="1:33" ht="18" customHeight="1" x14ac:dyDescent="0.35">
      <c r="A950" s="559"/>
      <c r="B950" s="559"/>
      <c r="C950" s="559"/>
      <c r="D950" s="559"/>
      <c r="E950" s="559"/>
      <c r="F950" s="559"/>
      <c r="G950" s="559"/>
      <c r="H950" s="559"/>
      <c r="I950" s="559"/>
      <c r="J950" s="559"/>
      <c r="K950" s="559"/>
      <c r="L950" s="559"/>
      <c r="M950" s="559"/>
      <c r="N950" s="559"/>
      <c r="O950" s="559"/>
      <c r="P950" s="559"/>
      <c r="Q950" s="559"/>
      <c r="R950" s="559"/>
      <c r="S950" s="559"/>
      <c r="T950" s="559"/>
      <c r="U950" s="559"/>
      <c r="V950" s="559"/>
      <c r="W950" s="559"/>
      <c r="X950" s="559"/>
      <c r="Y950" s="559"/>
      <c r="Z950" s="559"/>
      <c r="AA950" s="559"/>
      <c r="AB950" s="559"/>
      <c r="AC950" s="559"/>
      <c r="AD950" s="559"/>
      <c r="AE950" s="559"/>
      <c r="AF950" s="559"/>
      <c r="AG950" s="559"/>
    </row>
    <row r="951" spans="1:33" ht="18" customHeight="1" x14ac:dyDescent="0.35">
      <c r="A951" s="559"/>
      <c r="B951" s="559"/>
      <c r="C951" s="559"/>
      <c r="D951" s="559"/>
      <c r="E951" s="559"/>
      <c r="F951" s="559"/>
      <c r="G951" s="559"/>
      <c r="H951" s="559"/>
      <c r="I951" s="559"/>
      <c r="J951" s="559"/>
      <c r="K951" s="559"/>
      <c r="L951" s="559"/>
      <c r="M951" s="559"/>
      <c r="N951" s="559"/>
      <c r="O951" s="559"/>
      <c r="P951" s="559"/>
      <c r="Q951" s="559"/>
      <c r="R951" s="559"/>
      <c r="S951" s="559"/>
      <c r="T951" s="559"/>
      <c r="U951" s="559"/>
      <c r="V951" s="559"/>
      <c r="W951" s="559"/>
      <c r="X951" s="559"/>
      <c r="Y951" s="559"/>
      <c r="Z951" s="559"/>
      <c r="AA951" s="559"/>
      <c r="AB951" s="559"/>
      <c r="AC951" s="559"/>
      <c r="AD951" s="559"/>
      <c r="AE951" s="559"/>
      <c r="AF951" s="559"/>
      <c r="AG951" s="559"/>
    </row>
    <row r="952" spans="1:33" ht="18" customHeight="1" x14ac:dyDescent="0.35">
      <c r="A952" s="559"/>
      <c r="B952" s="559"/>
      <c r="C952" s="559"/>
      <c r="D952" s="559"/>
      <c r="E952" s="559"/>
      <c r="F952" s="559"/>
      <c r="G952" s="559"/>
      <c r="H952" s="559"/>
      <c r="I952" s="559"/>
      <c r="J952" s="559"/>
      <c r="K952" s="559"/>
      <c r="L952" s="559"/>
      <c r="M952" s="559"/>
      <c r="N952" s="559"/>
      <c r="O952" s="559"/>
      <c r="P952" s="559"/>
      <c r="Q952" s="559"/>
      <c r="R952" s="559"/>
      <c r="S952" s="559"/>
      <c r="T952" s="559"/>
      <c r="U952" s="559"/>
      <c r="V952" s="559"/>
      <c r="W952" s="559"/>
      <c r="X952" s="559"/>
      <c r="Y952" s="559"/>
      <c r="Z952" s="559"/>
      <c r="AA952" s="559"/>
      <c r="AB952" s="559"/>
      <c r="AC952" s="559"/>
      <c r="AD952" s="559"/>
      <c r="AE952" s="559"/>
      <c r="AF952" s="559"/>
      <c r="AG952" s="559"/>
    </row>
    <row r="953" spans="1:33" ht="18" customHeight="1" x14ac:dyDescent="0.35">
      <c r="A953" s="559"/>
      <c r="B953" s="559"/>
      <c r="C953" s="559"/>
      <c r="D953" s="559"/>
      <c r="E953" s="559"/>
      <c r="F953" s="559"/>
      <c r="G953" s="559"/>
      <c r="H953" s="559"/>
      <c r="I953" s="559"/>
      <c r="J953" s="559"/>
      <c r="K953" s="559"/>
      <c r="L953" s="559"/>
      <c r="M953" s="559"/>
      <c r="N953" s="559"/>
      <c r="O953" s="559"/>
      <c r="P953" s="559"/>
      <c r="Q953" s="559"/>
      <c r="R953" s="559"/>
      <c r="S953" s="559"/>
      <c r="T953" s="559"/>
      <c r="U953" s="559"/>
      <c r="V953" s="559"/>
      <c r="W953" s="559"/>
      <c r="X953" s="559"/>
      <c r="Y953" s="559"/>
      <c r="Z953" s="559"/>
      <c r="AA953" s="559"/>
      <c r="AB953" s="559"/>
      <c r="AC953" s="559"/>
      <c r="AD953" s="559"/>
      <c r="AE953" s="559"/>
      <c r="AF953" s="559"/>
      <c r="AG953" s="559"/>
    </row>
    <row r="954" spans="1:33" ht="18" customHeight="1" x14ac:dyDescent="0.35">
      <c r="A954" s="559"/>
      <c r="B954" s="559"/>
      <c r="C954" s="559"/>
      <c r="D954" s="559"/>
      <c r="E954" s="559"/>
      <c r="F954" s="559"/>
      <c r="G954" s="559"/>
      <c r="H954" s="559"/>
      <c r="I954" s="559"/>
      <c r="J954" s="559"/>
      <c r="K954" s="559"/>
      <c r="L954" s="559"/>
      <c r="M954" s="559"/>
      <c r="N954" s="559"/>
      <c r="O954" s="559"/>
      <c r="P954" s="559"/>
      <c r="Q954" s="559"/>
      <c r="R954" s="559"/>
      <c r="S954" s="559"/>
      <c r="T954" s="559"/>
      <c r="U954" s="559"/>
      <c r="V954" s="559"/>
      <c r="W954" s="559"/>
      <c r="X954" s="559"/>
      <c r="Y954" s="559"/>
      <c r="Z954" s="559"/>
      <c r="AA954" s="559"/>
      <c r="AB954" s="559"/>
      <c r="AC954" s="559"/>
      <c r="AD954" s="559"/>
      <c r="AE954" s="559"/>
      <c r="AF954" s="559"/>
      <c r="AG954" s="559"/>
    </row>
    <row r="955" spans="1:33" ht="18" customHeight="1" x14ac:dyDescent="0.35">
      <c r="A955" s="559"/>
      <c r="B955" s="559"/>
      <c r="C955" s="559"/>
      <c r="D955" s="559"/>
      <c r="E955" s="559"/>
      <c r="F955" s="559"/>
      <c r="G955" s="559"/>
      <c r="H955" s="559"/>
      <c r="I955" s="559"/>
      <c r="J955" s="559"/>
      <c r="K955" s="559"/>
      <c r="L955" s="559"/>
      <c r="M955" s="559"/>
      <c r="N955" s="559"/>
      <c r="O955" s="559"/>
      <c r="P955" s="559"/>
      <c r="Q955" s="559"/>
      <c r="R955" s="559"/>
      <c r="S955" s="559"/>
      <c r="T955" s="559"/>
      <c r="U955" s="559"/>
      <c r="V955" s="559"/>
      <c r="W955" s="559"/>
      <c r="X955" s="559"/>
      <c r="Y955" s="559"/>
      <c r="Z955" s="559"/>
      <c r="AA955" s="559"/>
      <c r="AB955" s="559"/>
      <c r="AC955" s="559"/>
      <c r="AD955" s="559"/>
      <c r="AE955" s="559"/>
      <c r="AF955" s="559"/>
      <c r="AG955" s="559"/>
    </row>
    <row r="956" spans="1:33" ht="18" customHeight="1" x14ac:dyDescent="0.35">
      <c r="A956" s="559"/>
      <c r="B956" s="559"/>
      <c r="C956" s="559"/>
      <c r="D956" s="559"/>
      <c r="E956" s="559"/>
      <c r="F956" s="559"/>
      <c r="G956" s="559"/>
      <c r="H956" s="559"/>
      <c r="I956" s="559"/>
      <c r="J956" s="559"/>
      <c r="K956" s="559"/>
      <c r="L956" s="559"/>
      <c r="M956" s="559"/>
      <c r="N956" s="559"/>
      <c r="O956" s="559"/>
      <c r="P956" s="559"/>
      <c r="Q956" s="559"/>
      <c r="R956" s="559"/>
      <c r="S956" s="559"/>
      <c r="T956" s="559"/>
      <c r="U956" s="559"/>
      <c r="V956" s="559"/>
      <c r="W956" s="559"/>
      <c r="X956" s="559"/>
      <c r="Y956" s="559"/>
      <c r="Z956" s="559"/>
      <c r="AA956" s="559"/>
      <c r="AB956" s="559"/>
      <c r="AC956" s="559"/>
      <c r="AD956" s="559"/>
      <c r="AE956" s="559"/>
      <c r="AF956" s="559"/>
      <c r="AG956" s="559"/>
    </row>
    <row r="957" spans="1:33" ht="18" customHeight="1" x14ac:dyDescent="0.35">
      <c r="A957" s="559"/>
      <c r="B957" s="559"/>
      <c r="C957" s="559"/>
      <c r="D957" s="559"/>
      <c r="E957" s="559"/>
      <c r="F957" s="559"/>
      <c r="G957" s="559"/>
      <c r="H957" s="559"/>
      <c r="I957" s="559"/>
      <c r="J957" s="559"/>
      <c r="K957" s="559"/>
      <c r="L957" s="559"/>
      <c r="M957" s="559"/>
      <c r="N957" s="559"/>
      <c r="O957" s="559"/>
      <c r="P957" s="559"/>
      <c r="Q957" s="559"/>
      <c r="R957" s="559"/>
      <c r="S957" s="559"/>
      <c r="T957" s="559"/>
      <c r="U957" s="559"/>
      <c r="V957" s="559"/>
      <c r="W957" s="559"/>
      <c r="X957" s="559"/>
      <c r="Y957" s="559"/>
      <c r="Z957" s="559"/>
      <c r="AA957" s="559"/>
      <c r="AB957" s="559"/>
      <c r="AC957" s="559"/>
      <c r="AD957" s="559"/>
      <c r="AE957" s="559"/>
      <c r="AF957" s="559"/>
      <c r="AG957" s="559"/>
    </row>
    <row r="958" spans="1:33" ht="18" customHeight="1" x14ac:dyDescent="0.35">
      <c r="A958" s="559"/>
      <c r="B958" s="559"/>
      <c r="C958" s="559"/>
      <c r="D958" s="559"/>
      <c r="E958" s="559"/>
      <c r="F958" s="559"/>
      <c r="G958" s="559"/>
      <c r="H958" s="559"/>
      <c r="I958" s="559"/>
      <c r="J958" s="559"/>
      <c r="K958" s="559"/>
      <c r="L958" s="559"/>
      <c r="M958" s="559"/>
      <c r="N958" s="559"/>
      <c r="O958" s="559"/>
      <c r="P958" s="559"/>
      <c r="Q958" s="559"/>
      <c r="R958" s="559"/>
      <c r="S958" s="559"/>
      <c r="T958" s="559"/>
      <c r="U958" s="559"/>
      <c r="V958" s="559"/>
      <c r="W958" s="559"/>
      <c r="X958" s="559"/>
      <c r="Y958" s="559"/>
      <c r="Z958" s="559"/>
      <c r="AA958" s="559"/>
      <c r="AB958" s="559"/>
      <c r="AC958" s="559"/>
      <c r="AD958" s="559"/>
      <c r="AE958" s="559"/>
      <c r="AF958" s="559"/>
      <c r="AG958" s="559"/>
    </row>
    <row r="959" spans="1:33" ht="18" customHeight="1" x14ac:dyDescent="0.35">
      <c r="A959" s="559"/>
      <c r="B959" s="559"/>
      <c r="C959" s="559"/>
      <c r="D959" s="559"/>
      <c r="E959" s="559"/>
      <c r="F959" s="559"/>
      <c r="G959" s="559"/>
      <c r="H959" s="559"/>
      <c r="I959" s="559"/>
      <c r="J959" s="559"/>
      <c r="K959" s="559"/>
      <c r="L959" s="559"/>
      <c r="M959" s="559"/>
      <c r="N959" s="559"/>
      <c r="O959" s="559"/>
      <c r="P959" s="559"/>
      <c r="Q959" s="559"/>
      <c r="R959" s="559"/>
      <c r="S959" s="559"/>
      <c r="T959" s="559"/>
      <c r="U959" s="559"/>
      <c r="V959" s="559"/>
      <c r="W959" s="559"/>
      <c r="X959" s="559"/>
      <c r="Y959" s="559"/>
      <c r="Z959" s="559"/>
      <c r="AA959" s="559"/>
      <c r="AB959" s="559"/>
      <c r="AC959" s="559"/>
      <c r="AD959" s="559"/>
      <c r="AE959" s="559"/>
      <c r="AF959" s="559"/>
      <c r="AG959" s="559"/>
    </row>
    <row r="960" spans="1:33" ht="18" customHeight="1" x14ac:dyDescent="0.35">
      <c r="A960" s="559"/>
      <c r="B960" s="559"/>
      <c r="C960" s="559"/>
      <c r="D960" s="559"/>
      <c r="E960" s="559"/>
      <c r="F960" s="559"/>
      <c r="G960" s="559"/>
      <c r="H960" s="559"/>
      <c r="I960" s="559"/>
      <c r="J960" s="559"/>
      <c r="K960" s="559"/>
      <c r="L960" s="559"/>
      <c r="M960" s="559"/>
      <c r="N960" s="559"/>
      <c r="O960" s="559"/>
      <c r="P960" s="559"/>
      <c r="Q960" s="559"/>
      <c r="R960" s="559"/>
      <c r="S960" s="559"/>
      <c r="T960" s="559"/>
      <c r="U960" s="559"/>
      <c r="V960" s="559"/>
      <c r="W960" s="559"/>
      <c r="X960" s="559"/>
      <c r="Y960" s="559"/>
      <c r="Z960" s="559"/>
      <c r="AA960" s="559"/>
      <c r="AB960" s="559"/>
      <c r="AC960" s="559"/>
      <c r="AD960" s="559"/>
      <c r="AE960" s="559"/>
      <c r="AF960" s="559"/>
      <c r="AG960" s="559"/>
    </row>
    <row r="961" spans="1:33" ht="18" customHeight="1" x14ac:dyDescent="0.35">
      <c r="A961" s="559"/>
      <c r="B961" s="559"/>
      <c r="C961" s="559"/>
      <c r="D961" s="559"/>
      <c r="E961" s="559"/>
      <c r="F961" s="559"/>
      <c r="G961" s="559"/>
      <c r="H961" s="559"/>
      <c r="I961" s="559"/>
      <c r="J961" s="559"/>
      <c r="K961" s="559"/>
      <c r="L961" s="559"/>
      <c r="M961" s="559"/>
      <c r="N961" s="559"/>
      <c r="O961" s="559"/>
      <c r="P961" s="559"/>
      <c r="Q961" s="559"/>
      <c r="R961" s="559"/>
      <c r="S961" s="559"/>
      <c r="T961" s="559"/>
      <c r="U961" s="559"/>
      <c r="V961" s="559"/>
      <c r="W961" s="559"/>
      <c r="X961" s="559"/>
      <c r="Y961" s="559"/>
      <c r="Z961" s="559"/>
      <c r="AA961" s="559"/>
      <c r="AB961" s="559"/>
      <c r="AC961" s="559"/>
      <c r="AD961" s="559"/>
      <c r="AE961" s="559"/>
      <c r="AF961" s="559"/>
      <c r="AG961" s="559"/>
    </row>
    <row r="962" spans="1:33" ht="18" customHeight="1" x14ac:dyDescent="0.35">
      <c r="A962" s="559"/>
      <c r="B962" s="559"/>
      <c r="C962" s="559"/>
      <c r="D962" s="559"/>
      <c r="E962" s="559"/>
      <c r="F962" s="559"/>
      <c r="G962" s="559"/>
      <c r="H962" s="559"/>
      <c r="I962" s="559"/>
      <c r="J962" s="559"/>
      <c r="K962" s="559"/>
      <c r="L962" s="559"/>
      <c r="M962" s="559"/>
      <c r="N962" s="559"/>
      <c r="O962" s="559"/>
      <c r="P962" s="559"/>
      <c r="Q962" s="559"/>
      <c r="R962" s="559"/>
      <c r="S962" s="559"/>
      <c r="T962" s="559"/>
      <c r="U962" s="559"/>
      <c r="V962" s="559"/>
      <c r="W962" s="559"/>
      <c r="X962" s="559"/>
      <c r="Y962" s="559"/>
      <c r="Z962" s="559"/>
      <c r="AA962" s="559"/>
      <c r="AB962" s="559"/>
      <c r="AC962" s="559"/>
      <c r="AD962" s="559"/>
      <c r="AE962" s="559"/>
      <c r="AF962" s="559"/>
      <c r="AG962" s="559"/>
    </row>
    <row r="963" spans="1:33" ht="18" customHeight="1" x14ac:dyDescent="0.35">
      <c r="A963" s="559"/>
      <c r="B963" s="559"/>
      <c r="C963" s="559"/>
      <c r="D963" s="559"/>
      <c r="E963" s="559"/>
      <c r="F963" s="559"/>
      <c r="G963" s="559"/>
      <c r="H963" s="559"/>
      <c r="I963" s="559"/>
      <c r="J963" s="559"/>
      <c r="K963" s="559"/>
      <c r="L963" s="559"/>
      <c r="M963" s="559"/>
      <c r="N963" s="559"/>
      <c r="O963" s="559"/>
      <c r="P963" s="559"/>
      <c r="Q963" s="559"/>
      <c r="R963" s="559"/>
      <c r="S963" s="559"/>
      <c r="T963" s="559"/>
      <c r="U963" s="559"/>
      <c r="V963" s="559"/>
      <c r="W963" s="559"/>
      <c r="X963" s="559"/>
      <c r="Y963" s="559"/>
      <c r="Z963" s="559"/>
      <c r="AA963" s="559"/>
      <c r="AB963" s="559"/>
      <c r="AC963" s="559"/>
      <c r="AD963" s="559"/>
      <c r="AE963" s="559"/>
      <c r="AF963" s="559"/>
      <c r="AG963" s="559"/>
    </row>
    <row r="964" spans="1:33" ht="18" customHeight="1" x14ac:dyDescent="0.35">
      <c r="A964" s="559"/>
      <c r="B964" s="559"/>
      <c r="C964" s="559"/>
      <c r="D964" s="559"/>
      <c r="E964" s="559"/>
      <c r="F964" s="559"/>
      <c r="G964" s="559"/>
      <c r="H964" s="559"/>
      <c r="I964" s="559"/>
      <c r="J964" s="559"/>
      <c r="K964" s="559"/>
      <c r="L964" s="559"/>
      <c r="M964" s="559"/>
      <c r="N964" s="559"/>
      <c r="O964" s="559"/>
      <c r="P964" s="559"/>
      <c r="Q964" s="559"/>
      <c r="R964" s="559"/>
      <c r="S964" s="559"/>
      <c r="T964" s="559"/>
      <c r="U964" s="559"/>
      <c r="V964" s="559"/>
      <c r="W964" s="559"/>
      <c r="X964" s="559"/>
      <c r="Y964" s="559"/>
      <c r="Z964" s="559"/>
      <c r="AA964" s="559"/>
      <c r="AB964" s="559"/>
      <c r="AC964" s="559"/>
      <c r="AD964" s="559"/>
      <c r="AE964" s="559"/>
      <c r="AF964" s="559"/>
      <c r="AG964" s="559"/>
    </row>
    <row r="965" spans="1:33" ht="18" customHeight="1" x14ac:dyDescent="0.35">
      <c r="A965" s="559"/>
      <c r="B965" s="559"/>
      <c r="C965" s="559"/>
      <c r="D965" s="559"/>
      <c r="E965" s="559"/>
      <c r="F965" s="559"/>
      <c r="G965" s="559"/>
      <c r="H965" s="559"/>
      <c r="I965" s="559"/>
      <c r="J965" s="559"/>
      <c r="K965" s="559"/>
      <c r="L965" s="559"/>
      <c r="M965" s="559"/>
      <c r="N965" s="559"/>
      <c r="O965" s="559"/>
      <c r="P965" s="559"/>
      <c r="Q965" s="559"/>
      <c r="R965" s="559"/>
      <c r="S965" s="559"/>
      <c r="T965" s="559"/>
      <c r="U965" s="559"/>
      <c r="V965" s="559"/>
      <c r="W965" s="559"/>
      <c r="X965" s="559"/>
      <c r="Y965" s="559"/>
      <c r="Z965" s="559"/>
      <c r="AA965" s="559"/>
      <c r="AB965" s="559"/>
      <c r="AC965" s="559"/>
      <c r="AD965" s="559"/>
      <c r="AE965" s="559"/>
      <c r="AF965" s="559"/>
      <c r="AG965" s="559"/>
    </row>
    <row r="966" spans="1:33" ht="18" customHeight="1" x14ac:dyDescent="0.35">
      <c r="A966" s="559"/>
      <c r="B966" s="559"/>
      <c r="C966" s="559"/>
      <c r="D966" s="559"/>
      <c r="E966" s="559"/>
      <c r="F966" s="559"/>
      <c r="G966" s="559"/>
      <c r="H966" s="559"/>
      <c r="I966" s="559"/>
      <c r="J966" s="559"/>
      <c r="K966" s="559"/>
      <c r="L966" s="559"/>
      <c r="M966" s="559"/>
      <c r="N966" s="559"/>
      <c r="O966" s="559"/>
      <c r="P966" s="559"/>
      <c r="Q966" s="559"/>
      <c r="R966" s="559"/>
      <c r="S966" s="559"/>
      <c r="T966" s="559"/>
      <c r="U966" s="559"/>
      <c r="V966" s="559"/>
      <c r="W966" s="559"/>
      <c r="X966" s="559"/>
      <c r="Y966" s="559"/>
      <c r="Z966" s="559"/>
      <c r="AA966" s="559"/>
      <c r="AB966" s="559"/>
      <c r="AC966" s="559"/>
      <c r="AD966" s="559"/>
      <c r="AE966" s="559"/>
      <c r="AF966" s="559"/>
      <c r="AG966" s="559"/>
    </row>
    <row r="967" spans="1:33" ht="18" customHeight="1" x14ac:dyDescent="0.35">
      <c r="A967" s="559"/>
      <c r="B967" s="559"/>
      <c r="C967" s="559"/>
      <c r="D967" s="559"/>
      <c r="E967" s="559"/>
      <c r="F967" s="559"/>
      <c r="G967" s="559"/>
      <c r="H967" s="559"/>
      <c r="I967" s="559"/>
      <c r="J967" s="559"/>
      <c r="K967" s="559"/>
      <c r="L967" s="559"/>
      <c r="M967" s="559"/>
      <c r="N967" s="559"/>
      <c r="O967" s="559"/>
      <c r="P967" s="559"/>
      <c r="Q967" s="559"/>
      <c r="R967" s="559"/>
      <c r="S967" s="559"/>
      <c r="T967" s="559"/>
      <c r="U967" s="559"/>
      <c r="V967" s="559"/>
      <c r="W967" s="559"/>
      <c r="X967" s="559"/>
      <c r="Y967" s="559"/>
      <c r="Z967" s="559"/>
      <c r="AA967" s="559"/>
      <c r="AB967" s="559"/>
      <c r="AC967" s="559"/>
      <c r="AD967" s="559"/>
      <c r="AE967" s="559"/>
      <c r="AF967" s="559"/>
      <c r="AG967" s="559"/>
    </row>
    <row r="968" spans="1:33" ht="18" customHeight="1" x14ac:dyDescent="0.35">
      <c r="A968" s="559"/>
      <c r="B968" s="559"/>
      <c r="C968" s="559"/>
      <c r="D968" s="559"/>
      <c r="E968" s="559"/>
      <c r="F968" s="559"/>
      <c r="G968" s="559"/>
      <c r="H968" s="559"/>
      <c r="I968" s="559"/>
      <c r="J968" s="559"/>
      <c r="K968" s="559"/>
      <c r="L968" s="559"/>
      <c r="M968" s="559"/>
      <c r="N968" s="559"/>
      <c r="O968" s="559"/>
      <c r="P968" s="559"/>
      <c r="Q968" s="559"/>
      <c r="R968" s="559"/>
      <c r="S968" s="559"/>
      <c r="T968" s="559"/>
      <c r="U968" s="559"/>
      <c r="V968" s="559"/>
      <c r="W968" s="559"/>
      <c r="X968" s="559"/>
      <c r="Y968" s="559"/>
      <c r="Z968" s="559"/>
      <c r="AA968" s="559"/>
      <c r="AB968" s="559"/>
      <c r="AC968" s="559"/>
      <c r="AD968" s="559"/>
      <c r="AE968" s="559"/>
      <c r="AF968" s="559"/>
      <c r="AG968" s="559"/>
    </row>
    <row r="969" spans="1:33" ht="18" customHeight="1" x14ac:dyDescent="0.35">
      <c r="A969" s="559"/>
      <c r="B969" s="559"/>
      <c r="C969" s="559"/>
      <c r="D969" s="559"/>
      <c r="E969" s="559"/>
      <c r="F969" s="559"/>
      <c r="G969" s="559"/>
      <c r="H969" s="559"/>
      <c r="I969" s="559"/>
      <c r="J969" s="559"/>
      <c r="K969" s="559"/>
      <c r="L969" s="559"/>
      <c r="M969" s="559"/>
      <c r="N969" s="559"/>
      <c r="O969" s="559"/>
      <c r="P969" s="559"/>
      <c r="Q969" s="559"/>
      <c r="R969" s="559"/>
      <c r="S969" s="559"/>
      <c r="T969" s="559"/>
      <c r="U969" s="559"/>
      <c r="V969" s="559"/>
      <c r="W969" s="559"/>
      <c r="X969" s="559"/>
      <c r="Y969" s="559"/>
      <c r="Z969" s="559"/>
      <c r="AA969" s="559"/>
      <c r="AB969" s="559"/>
      <c r="AC969" s="559"/>
      <c r="AD969" s="559"/>
      <c r="AE969" s="559"/>
      <c r="AF969" s="559"/>
      <c r="AG969" s="559"/>
    </row>
    <row r="970" spans="1:33" ht="18" customHeight="1" x14ac:dyDescent="0.35">
      <c r="A970" s="559"/>
      <c r="B970" s="559"/>
      <c r="C970" s="559"/>
      <c r="D970" s="559"/>
      <c r="E970" s="559"/>
      <c r="F970" s="559"/>
      <c r="G970" s="559"/>
      <c r="H970" s="559"/>
      <c r="I970" s="559"/>
      <c r="J970" s="559"/>
      <c r="K970" s="559"/>
      <c r="L970" s="559"/>
      <c r="M970" s="559"/>
      <c r="N970" s="559"/>
      <c r="O970" s="559"/>
      <c r="P970" s="559"/>
      <c r="Q970" s="559"/>
      <c r="R970" s="559"/>
      <c r="S970" s="559"/>
      <c r="T970" s="559"/>
      <c r="U970" s="559"/>
      <c r="V970" s="559"/>
      <c r="W970" s="559"/>
      <c r="X970" s="559"/>
      <c r="Y970" s="559"/>
      <c r="Z970" s="559"/>
      <c r="AA970" s="559"/>
      <c r="AB970" s="559"/>
      <c r="AC970" s="559"/>
      <c r="AD970" s="559"/>
      <c r="AE970" s="559"/>
      <c r="AF970" s="559"/>
      <c r="AG970" s="559"/>
    </row>
    <row r="971" spans="1:33" ht="18" customHeight="1" x14ac:dyDescent="0.35">
      <c r="A971" s="559"/>
      <c r="B971" s="559"/>
      <c r="C971" s="559"/>
      <c r="D971" s="559"/>
      <c r="E971" s="559"/>
      <c r="F971" s="559"/>
      <c r="G971" s="559"/>
      <c r="H971" s="559"/>
      <c r="I971" s="559"/>
      <c r="J971" s="559"/>
      <c r="K971" s="559"/>
      <c r="L971" s="559"/>
      <c r="M971" s="559"/>
      <c r="N971" s="559"/>
      <c r="O971" s="559"/>
      <c r="P971" s="559"/>
      <c r="Q971" s="559"/>
      <c r="R971" s="559"/>
      <c r="S971" s="559"/>
      <c r="T971" s="559"/>
      <c r="U971" s="559"/>
      <c r="V971" s="559"/>
      <c r="W971" s="559"/>
      <c r="X971" s="559"/>
      <c r="Y971" s="559"/>
      <c r="Z971" s="559"/>
      <c r="AA971" s="559"/>
      <c r="AB971" s="559"/>
      <c r="AC971" s="559"/>
      <c r="AD971" s="559"/>
      <c r="AE971" s="559"/>
      <c r="AF971" s="559"/>
      <c r="AG971" s="559"/>
    </row>
    <row r="972" spans="1:33" ht="18" customHeight="1" x14ac:dyDescent="0.35">
      <c r="A972" s="559"/>
      <c r="B972" s="559"/>
      <c r="C972" s="559"/>
      <c r="D972" s="559"/>
      <c r="E972" s="559"/>
      <c r="F972" s="559"/>
      <c r="G972" s="559"/>
      <c r="H972" s="559"/>
      <c r="I972" s="559"/>
      <c r="J972" s="559"/>
      <c r="K972" s="559"/>
      <c r="L972" s="559"/>
      <c r="M972" s="559"/>
      <c r="N972" s="559"/>
      <c r="O972" s="559"/>
      <c r="P972" s="559"/>
      <c r="Q972" s="559"/>
      <c r="R972" s="559"/>
      <c r="S972" s="559"/>
      <c r="T972" s="559"/>
      <c r="U972" s="559"/>
      <c r="V972" s="559"/>
      <c r="W972" s="559"/>
      <c r="X972" s="559"/>
      <c r="Y972" s="559"/>
      <c r="Z972" s="559"/>
      <c r="AA972" s="559"/>
      <c r="AB972" s="559"/>
      <c r="AC972" s="559"/>
      <c r="AD972" s="559"/>
      <c r="AE972" s="559"/>
      <c r="AF972" s="559"/>
      <c r="AG972" s="559"/>
    </row>
    <row r="973" spans="1:33" ht="18" customHeight="1" x14ac:dyDescent="0.35">
      <c r="A973" s="559"/>
      <c r="B973" s="559"/>
      <c r="C973" s="559"/>
      <c r="D973" s="559"/>
      <c r="E973" s="559"/>
      <c r="F973" s="559"/>
      <c r="G973" s="559"/>
      <c r="H973" s="559"/>
      <c r="I973" s="559"/>
      <c r="J973" s="559"/>
      <c r="K973" s="559"/>
      <c r="L973" s="559"/>
      <c r="M973" s="559"/>
      <c r="N973" s="559"/>
      <c r="O973" s="559"/>
      <c r="P973" s="559"/>
      <c r="Q973" s="559"/>
      <c r="R973" s="559"/>
      <c r="S973" s="559"/>
      <c r="T973" s="559"/>
      <c r="U973" s="559"/>
      <c r="V973" s="559"/>
      <c r="W973" s="559"/>
      <c r="X973" s="559"/>
      <c r="Y973" s="559"/>
      <c r="Z973" s="559"/>
      <c r="AA973" s="559"/>
      <c r="AB973" s="559"/>
      <c r="AC973" s="559"/>
      <c r="AD973" s="559"/>
      <c r="AE973" s="559"/>
      <c r="AF973" s="559"/>
      <c r="AG973" s="559"/>
    </row>
    <row r="974" spans="1:33" ht="18" customHeight="1" x14ac:dyDescent="0.35">
      <c r="A974" s="559"/>
      <c r="B974" s="559"/>
      <c r="C974" s="559"/>
      <c r="D974" s="559"/>
      <c r="E974" s="559"/>
      <c r="F974" s="559"/>
      <c r="G974" s="559"/>
      <c r="H974" s="559"/>
      <c r="I974" s="559"/>
      <c r="J974" s="559"/>
      <c r="K974" s="559"/>
      <c r="L974" s="559"/>
      <c r="M974" s="559"/>
      <c r="N974" s="559"/>
      <c r="O974" s="559"/>
      <c r="P974" s="559"/>
      <c r="Q974" s="559"/>
      <c r="R974" s="559"/>
      <c r="S974" s="559"/>
      <c r="T974" s="559"/>
      <c r="U974" s="559"/>
      <c r="V974" s="559"/>
      <c r="W974" s="559"/>
      <c r="X974" s="559"/>
      <c r="Y974" s="559"/>
      <c r="Z974" s="559"/>
      <c r="AA974" s="559"/>
      <c r="AB974" s="559"/>
      <c r="AC974" s="559"/>
      <c r="AD974" s="559"/>
      <c r="AE974" s="559"/>
      <c r="AF974" s="559"/>
      <c r="AG974" s="559"/>
    </row>
    <row r="975" spans="1:33" ht="18" customHeight="1" x14ac:dyDescent="0.35">
      <c r="A975" s="559"/>
      <c r="B975" s="559"/>
      <c r="C975" s="559"/>
      <c r="D975" s="559"/>
      <c r="E975" s="559"/>
      <c r="F975" s="559"/>
      <c r="G975" s="559"/>
      <c r="H975" s="559"/>
      <c r="I975" s="559"/>
      <c r="J975" s="559"/>
      <c r="K975" s="559"/>
      <c r="L975" s="559"/>
      <c r="M975" s="559"/>
      <c r="N975" s="559"/>
      <c r="O975" s="559"/>
      <c r="P975" s="559"/>
      <c r="Q975" s="559"/>
      <c r="R975" s="559"/>
      <c r="S975" s="559"/>
      <c r="T975" s="559"/>
      <c r="U975" s="559"/>
      <c r="V975" s="559"/>
      <c r="W975" s="559"/>
      <c r="X975" s="559"/>
      <c r="Y975" s="559"/>
      <c r="Z975" s="559"/>
      <c r="AA975" s="559"/>
      <c r="AB975" s="559"/>
      <c r="AC975" s="559"/>
      <c r="AD975" s="559"/>
      <c r="AE975" s="559"/>
      <c r="AF975" s="559"/>
      <c r="AG975" s="559"/>
    </row>
    <row r="976" spans="1:33" ht="18" customHeight="1" x14ac:dyDescent="0.35">
      <c r="A976" s="559"/>
      <c r="B976" s="559"/>
      <c r="C976" s="559"/>
      <c r="D976" s="559"/>
      <c r="E976" s="559"/>
      <c r="F976" s="559"/>
      <c r="G976" s="559"/>
      <c r="H976" s="559"/>
      <c r="I976" s="559"/>
      <c r="J976" s="559"/>
      <c r="K976" s="559"/>
      <c r="L976" s="559"/>
      <c r="M976" s="559"/>
      <c r="N976" s="559"/>
      <c r="O976" s="559"/>
      <c r="P976" s="559"/>
      <c r="Q976" s="559"/>
      <c r="R976" s="559"/>
      <c r="S976" s="559"/>
      <c r="T976" s="559"/>
      <c r="U976" s="559"/>
      <c r="V976" s="559"/>
      <c r="W976" s="559"/>
      <c r="X976" s="559"/>
      <c r="Y976" s="559"/>
      <c r="Z976" s="559"/>
      <c r="AA976" s="559"/>
      <c r="AB976" s="559"/>
      <c r="AC976" s="559"/>
      <c r="AD976" s="559"/>
      <c r="AE976" s="559"/>
      <c r="AF976" s="559"/>
      <c r="AG976" s="559"/>
    </row>
    <row r="977" spans="1:33" ht="18" customHeight="1" x14ac:dyDescent="0.35">
      <c r="A977" s="559"/>
      <c r="B977" s="559"/>
      <c r="C977" s="559"/>
      <c r="D977" s="559"/>
      <c r="E977" s="559"/>
      <c r="F977" s="559"/>
      <c r="G977" s="559"/>
      <c r="H977" s="559"/>
      <c r="I977" s="559"/>
      <c r="J977" s="559"/>
      <c r="K977" s="559"/>
      <c r="L977" s="559"/>
      <c r="M977" s="559"/>
      <c r="N977" s="559"/>
      <c r="O977" s="559"/>
      <c r="P977" s="559"/>
      <c r="Q977" s="559"/>
      <c r="R977" s="559"/>
      <c r="S977" s="559"/>
      <c r="T977" s="559"/>
      <c r="U977" s="559"/>
      <c r="V977" s="559"/>
      <c r="W977" s="559"/>
      <c r="X977" s="559"/>
      <c r="Y977" s="559"/>
      <c r="Z977" s="559"/>
      <c r="AA977" s="559"/>
      <c r="AB977" s="559"/>
      <c r="AC977" s="559"/>
      <c r="AD977" s="559"/>
      <c r="AE977" s="559"/>
      <c r="AF977" s="559"/>
      <c r="AG977" s="559"/>
    </row>
    <row r="978" spans="1:33" ht="18" customHeight="1" x14ac:dyDescent="0.35">
      <c r="A978" s="559"/>
      <c r="B978" s="559"/>
      <c r="C978" s="559"/>
      <c r="D978" s="559"/>
      <c r="E978" s="559"/>
      <c r="F978" s="559"/>
      <c r="G978" s="559"/>
      <c r="H978" s="559"/>
      <c r="I978" s="559"/>
      <c r="J978" s="559"/>
      <c r="K978" s="559"/>
      <c r="L978" s="559"/>
      <c r="M978" s="559"/>
      <c r="N978" s="559"/>
      <c r="O978" s="559"/>
      <c r="P978" s="559"/>
      <c r="Q978" s="559"/>
      <c r="R978" s="559"/>
      <c r="S978" s="559"/>
      <c r="T978" s="559"/>
      <c r="U978" s="559"/>
      <c r="V978" s="559"/>
      <c r="W978" s="559"/>
      <c r="X978" s="559"/>
      <c r="Y978" s="559"/>
      <c r="Z978" s="559"/>
      <c r="AA978" s="559"/>
      <c r="AB978" s="559"/>
      <c r="AC978" s="559"/>
      <c r="AD978" s="559"/>
      <c r="AE978" s="559"/>
      <c r="AF978" s="559"/>
      <c r="AG978" s="559"/>
    </row>
    <row r="979" spans="1:33" ht="18" customHeight="1" x14ac:dyDescent="0.35">
      <c r="A979" s="559"/>
      <c r="B979" s="559"/>
      <c r="C979" s="559"/>
      <c r="D979" s="559"/>
      <c r="E979" s="559"/>
      <c r="F979" s="559"/>
      <c r="G979" s="559"/>
      <c r="H979" s="559"/>
      <c r="I979" s="559"/>
      <c r="J979" s="559"/>
      <c r="K979" s="559"/>
      <c r="L979" s="559"/>
      <c r="M979" s="559"/>
      <c r="N979" s="559"/>
      <c r="O979" s="559"/>
      <c r="P979" s="559"/>
      <c r="Q979" s="559"/>
      <c r="R979" s="559"/>
      <c r="S979" s="559"/>
      <c r="T979" s="559"/>
      <c r="U979" s="559"/>
      <c r="V979" s="559"/>
      <c r="W979" s="559"/>
      <c r="X979" s="559"/>
      <c r="Y979" s="559"/>
      <c r="Z979" s="559"/>
      <c r="AA979" s="559"/>
      <c r="AB979" s="559"/>
      <c r="AC979" s="559"/>
      <c r="AD979" s="559"/>
      <c r="AE979" s="559"/>
      <c r="AF979" s="559"/>
      <c r="AG979" s="559"/>
    </row>
    <row r="980" spans="1:33" ht="18" customHeight="1" x14ac:dyDescent="0.35">
      <c r="A980" s="559"/>
      <c r="B980" s="559"/>
      <c r="C980" s="559"/>
      <c r="D980" s="559"/>
      <c r="E980" s="559"/>
      <c r="F980" s="559"/>
      <c r="G980" s="559"/>
      <c r="H980" s="559"/>
      <c r="I980" s="559"/>
      <c r="J980" s="559"/>
      <c r="K980" s="559"/>
      <c r="L980" s="559"/>
      <c r="M980" s="559"/>
      <c r="N980" s="559"/>
      <c r="O980" s="559"/>
      <c r="P980" s="559"/>
      <c r="Q980" s="559"/>
      <c r="R980" s="559"/>
      <c r="S980" s="559"/>
      <c r="T980" s="559"/>
      <c r="U980" s="559"/>
      <c r="V980" s="559"/>
      <c r="W980" s="559"/>
      <c r="X980" s="559"/>
      <c r="Y980" s="559"/>
      <c r="Z980" s="559"/>
      <c r="AA980" s="559"/>
      <c r="AB980" s="559"/>
      <c r="AC980" s="559"/>
      <c r="AD980" s="559"/>
      <c r="AE980" s="559"/>
      <c r="AF980" s="559"/>
      <c r="AG980" s="559"/>
    </row>
    <row r="981" spans="1:33" ht="18" customHeight="1" x14ac:dyDescent="0.35">
      <c r="A981" s="559"/>
      <c r="B981" s="559"/>
      <c r="C981" s="559"/>
      <c r="D981" s="559"/>
      <c r="E981" s="559"/>
      <c r="F981" s="559"/>
      <c r="G981" s="559"/>
      <c r="H981" s="559"/>
      <c r="I981" s="559"/>
      <c r="J981" s="559"/>
      <c r="K981" s="559"/>
      <c r="L981" s="559"/>
      <c r="M981" s="559"/>
      <c r="N981" s="559"/>
      <c r="O981" s="559"/>
      <c r="P981" s="559"/>
      <c r="Q981" s="559"/>
      <c r="R981" s="559"/>
      <c r="S981" s="559"/>
      <c r="T981" s="559"/>
      <c r="U981" s="559"/>
      <c r="V981" s="559"/>
      <c r="W981" s="559"/>
      <c r="X981" s="559"/>
      <c r="Y981" s="559"/>
      <c r="Z981" s="559"/>
      <c r="AA981" s="559"/>
      <c r="AB981" s="559"/>
      <c r="AC981" s="559"/>
      <c r="AD981" s="559"/>
      <c r="AE981" s="559"/>
      <c r="AF981" s="559"/>
      <c r="AG981" s="559"/>
    </row>
    <row r="982" spans="1:33" ht="18" customHeight="1" x14ac:dyDescent="0.35">
      <c r="A982" s="559"/>
      <c r="B982" s="559"/>
      <c r="C982" s="559"/>
      <c r="D982" s="559"/>
      <c r="E982" s="559"/>
      <c r="F982" s="559"/>
      <c r="G982" s="559"/>
      <c r="H982" s="559"/>
      <c r="I982" s="559"/>
      <c r="J982" s="559"/>
      <c r="K982" s="559"/>
      <c r="L982" s="559"/>
      <c r="M982" s="559"/>
      <c r="N982" s="559"/>
      <c r="O982" s="559"/>
      <c r="P982" s="559"/>
      <c r="Q982" s="559"/>
      <c r="R982" s="559"/>
      <c r="S982" s="559"/>
      <c r="T982" s="559"/>
      <c r="U982" s="559"/>
      <c r="V982" s="559"/>
      <c r="W982" s="559"/>
      <c r="X982" s="559"/>
      <c r="Y982" s="559"/>
      <c r="Z982" s="559"/>
      <c r="AA982" s="559"/>
      <c r="AB982" s="559"/>
      <c r="AC982" s="559"/>
      <c r="AD982" s="559"/>
      <c r="AE982" s="559"/>
      <c r="AF982" s="559"/>
      <c r="AG982" s="559"/>
    </row>
    <row r="983" spans="1:33" ht="18" customHeight="1" x14ac:dyDescent="0.35">
      <c r="A983" s="559"/>
      <c r="B983" s="559"/>
      <c r="C983" s="559"/>
      <c r="D983" s="559"/>
      <c r="E983" s="559"/>
      <c r="F983" s="559"/>
      <c r="G983" s="559"/>
      <c r="H983" s="559"/>
      <c r="I983" s="559"/>
      <c r="J983" s="559"/>
      <c r="K983" s="559"/>
      <c r="L983" s="559"/>
      <c r="M983" s="559"/>
      <c r="N983" s="559"/>
      <c r="O983" s="559"/>
      <c r="P983" s="559"/>
      <c r="Q983" s="559"/>
      <c r="R983" s="559"/>
      <c r="S983" s="559"/>
      <c r="T983" s="559"/>
      <c r="U983" s="559"/>
      <c r="V983" s="559"/>
      <c r="W983" s="559"/>
      <c r="X983" s="559"/>
      <c r="Y983" s="559"/>
      <c r="Z983" s="559"/>
      <c r="AA983" s="559"/>
      <c r="AB983" s="559"/>
      <c r="AC983" s="559"/>
      <c r="AD983" s="559"/>
      <c r="AE983" s="559"/>
      <c r="AF983" s="559"/>
      <c r="AG983" s="559"/>
    </row>
    <row r="984" spans="1:33" ht="18" customHeight="1" x14ac:dyDescent="0.35">
      <c r="A984" s="559"/>
      <c r="B984" s="559"/>
      <c r="C984" s="559"/>
      <c r="D984" s="559"/>
      <c r="E984" s="559"/>
      <c r="F984" s="559"/>
      <c r="G984" s="559"/>
      <c r="H984" s="559"/>
      <c r="I984" s="559"/>
      <c r="J984" s="559"/>
      <c r="K984" s="559"/>
      <c r="L984" s="559"/>
      <c r="M984" s="559"/>
      <c r="N984" s="559"/>
      <c r="O984" s="559"/>
      <c r="P984" s="559"/>
      <c r="Q984" s="559"/>
      <c r="R984" s="559"/>
      <c r="S984" s="559"/>
      <c r="T984" s="559"/>
      <c r="U984" s="559"/>
      <c r="V984" s="559"/>
      <c r="W984" s="559"/>
      <c r="X984" s="559"/>
      <c r="Y984" s="559"/>
      <c r="Z984" s="559"/>
      <c r="AA984" s="559"/>
      <c r="AB984" s="559"/>
      <c r="AC984" s="559"/>
      <c r="AD984" s="559"/>
      <c r="AE984" s="559"/>
      <c r="AF984" s="559"/>
      <c r="AG984" s="559"/>
    </row>
    <row r="985" spans="1:33" ht="18" customHeight="1" x14ac:dyDescent="0.35">
      <c r="A985" s="559"/>
      <c r="B985" s="559"/>
      <c r="C985" s="559"/>
      <c r="D985" s="559"/>
      <c r="E985" s="559"/>
      <c r="F985" s="559"/>
      <c r="G985" s="559"/>
      <c r="H985" s="559"/>
      <c r="I985" s="559"/>
      <c r="J985" s="559"/>
      <c r="K985" s="559"/>
      <c r="L985" s="559"/>
      <c r="M985" s="559"/>
      <c r="N985" s="559"/>
      <c r="O985" s="559"/>
      <c r="P985" s="559"/>
      <c r="Q985" s="559"/>
      <c r="R985" s="559"/>
      <c r="S985" s="559"/>
      <c r="T985" s="559"/>
      <c r="U985" s="559"/>
      <c r="V985" s="559"/>
      <c r="W985" s="559"/>
      <c r="X985" s="559"/>
      <c r="Y985" s="559"/>
      <c r="Z985" s="559"/>
      <c r="AA985" s="559"/>
      <c r="AB985" s="559"/>
      <c r="AC985" s="559"/>
      <c r="AD985" s="559"/>
      <c r="AE985" s="559"/>
      <c r="AF985" s="559"/>
      <c r="AG985" s="559"/>
    </row>
    <row r="986" spans="1:33" ht="18" customHeight="1" x14ac:dyDescent="0.35">
      <c r="A986" s="559"/>
      <c r="B986" s="559"/>
      <c r="C986" s="559"/>
      <c r="D986" s="559"/>
      <c r="E986" s="559"/>
      <c r="F986" s="559"/>
      <c r="G986" s="559"/>
      <c r="H986" s="559"/>
      <c r="I986" s="559"/>
      <c r="J986" s="559"/>
      <c r="K986" s="559"/>
      <c r="L986" s="559"/>
      <c r="M986" s="559"/>
      <c r="N986" s="559"/>
      <c r="O986" s="559"/>
      <c r="P986" s="559"/>
      <c r="Q986" s="559"/>
      <c r="R986" s="559"/>
      <c r="S986" s="559"/>
      <c r="T986" s="559"/>
      <c r="U986" s="559"/>
      <c r="V986" s="559"/>
      <c r="W986" s="559"/>
      <c r="X986" s="559"/>
      <c r="Y986" s="559"/>
      <c r="Z986" s="559"/>
      <c r="AA986" s="559"/>
      <c r="AB986" s="559"/>
      <c r="AC986" s="559"/>
      <c r="AD986" s="559"/>
      <c r="AE986" s="559"/>
      <c r="AF986" s="559"/>
      <c r="AG986" s="559"/>
    </row>
    <row r="987" spans="1:33" ht="18" customHeight="1" x14ac:dyDescent="0.35">
      <c r="A987" s="559"/>
      <c r="B987" s="559"/>
      <c r="C987" s="559"/>
      <c r="D987" s="559"/>
      <c r="E987" s="559"/>
      <c r="F987" s="559"/>
      <c r="G987" s="559"/>
      <c r="H987" s="559"/>
      <c r="I987" s="559"/>
      <c r="J987" s="559"/>
      <c r="K987" s="559"/>
      <c r="L987" s="559"/>
      <c r="M987" s="559"/>
      <c r="N987" s="559"/>
      <c r="O987" s="559"/>
      <c r="P987" s="559"/>
      <c r="Q987" s="559"/>
      <c r="R987" s="559"/>
      <c r="S987" s="559"/>
      <c r="T987" s="559"/>
      <c r="U987" s="559"/>
      <c r="V987" s="559"/>
      <c r="W987" s="559"/>
      <c r="X987" s="559"/>
      <c r="Y987" s="559"/>
      <c r="Z987" s="559"/>
      <c r="AA987" s="559"/>
      <c r="AB987" s="559"/>
      <c r="AC987" s="559"/>
      <c r="AD987" s="559"/>
      <c r="AE987" s="559"/>
      <c r="AF987" s="559"/>
      <c r="AG987" s="559"/>
    </row>
    <row r="988" spans="1:33" ht="18" customHeight="1" x14ac:dyDescent="0.35">
      <c r="A988" s="559"/>
      <c r="B988" s="559"/>
      <c r="C988" s="559"/>
      <c r="D988" s="559"/>
      <c r="E988" s="559"/>
      <c r="F988" s="559"/>
      <c r="G988" s="559"/>
      <c r="H988" s="559"/>
      <c r="I988" s="559"/>
      <c r="J988" s="559"/>
      <c r="K988" s="559"/>
      <c r="L988" s="559"/>
      <c r="M988" s="559"/>
      <c r="N988" s="559"/>
      <c r="O988" s="559"/>
      <c r="P988" s="559"/>
      <c r="Q988" s="559"/>
      <c r="R988" s="559"/>
      <c r="S988" s="559"/>
      <c r="T988" s="559"/>
      <c r="U988" s="559"/>
      <c r="V988" s="559"/>
      <c r="W988" s="559"/>
      <c r="X988" s="559"/>
      <c r="Y988" s="559"/>
      <c r="Z988" s="559"/>
      <c r="AA988" s="559"/>
      <c r="AB988" s="559"/>
      <c r="AC988" s="559"/>
      <c r="AD988" s="559"/>
      <c r="AE988" s="559"/>
      <c r="AF988" s="559"/>
      <c r="AG988" s="559"/>
    </row>
    <row r="989" spans="1:33" ht="18" customHeight="1" x14ac:dyDescent="0.35">
      <c r="A989" s="559"/>
      <c r="B989" s="559"/>
      <c r="C989" s="559"/>
      <c r="D989" s="559"/>
      <c r="E989" s="559"/>
      <c r="F989" s="559"/>
      <c r="G989" s="559"/>
      <c r="H989" s="559"/>
      <c r="I989" s="559"/>
      <c r="J989" s="559"/>
      <c r="K989" s="559"/>
      <c r="L989" s="559"/>
      <c r="M989" s="559"/>
      <c r="N989" s="559"/>
      <c r="O989" s="559"/>
      <c r="P989" s="559"/>
      <c r="Q989" s="559"/>
      <c r="R989" s="559"/>
      <c r="S989" s="559"/>
      <c r="T989" s="559"/>
      <c r="U989" s="559"/>
      <c r="V989" s="559"/>
      <c r="W989" s="559"/>
      <c r="X989" s="559"/>
      <c r="Y989" s="559"/>
      <c r="Z989" s="559"/>
      <c r="AA989" s="559"/>
      <c r="AB989" s="559"/>
      <c r="AC989" s="559"/>
      <c r="AD989" s="559"/>
      <c r="AE989" s="559"/>
      <c r="AF989" s="559"/>
      <c r="AG989" s="559"/>
    </row>
    <row r="990" spans="1:33" ht="18" customHeight="1" x14ac:dyDescent="0.35">
      <c r="A990" s="559"/>
      <c r="B990" s="559"/>
      <c r="C990" s="559"/>
      <c r="D990" s="559"/>
      <c r="E990" s="559"/>
      <c r="F990" s="559"/>
      <c r="G990" s="559"/>
      <c r="H990" s="559"/>
      <c r="I990" s="559"/>
      <c r="J990" s="559"/>
      <c r="K990" s="559"/>
      <c r="L990" s="559"/>
      <c r="M990" s="559"/>
      <c r="N990" s="559"/>
      <c r="O990" s="559"/>
      <c r="P990" s="559"/>
      <c r="Q990" s="559"/>
      <c r="R990" s="559"/>
      <c r="S990" s="559"/>
      <c r="T990" s="559"/>
      <c r="U990" s="559"/>
      <c r="V990" s="559"/>
      <c r="W990" s="559"/>
      <c r="X990" s="559"/>
      <c r="Y990" s="559"/>
      <c r="Z990" s="559"/>
      <c r="AA990" s="559"/>
      <c r="AB990" s="559"/>
      <c r="AC990" s="559"/>
      <c r="AD990" s="559"/>
      <c r="AE990" s="559"/>
      <c r="AF990" s="559"/>
      <c r="AG990" s="559"/>
    </row>
    <row r="991" spans="1:33" ht="18" customHeight="1" x14ac:dyDescent="0.35">
      <c r="A991" s="559"/>
      <c r="B991" s="559"/>
      <c r="C991" s="559"/>
      <c r="D991" s="559"/>
      <c r="E991" s="559"/>
      <c r="F991" s="559"/>
      <c r="G991" s="559"/>
      <c r="H991" s="559"/>
      <c r="I991" s="559"/>
      <c r="J991" s="559"/>
      <c r="K991" s="559"/>
      <c r="L991" s="559"/>
      <c r="M991" s="559"/>
      <c r="N991" s="559"/>
      <c r="O991" s="559"/>
      <c r="P991" s="559"/>
      <c r="Q991" s="559"/>
      <c r="R991" s="559"/>
      <c r="S991" s="559"/>
      <c r="T991" s="559"/>
      <c r="U991" s="559"/>
      <c r="V991" s="559"/>
      <c r="W991" s="559"/>
      <c r="X991" s="559"/>
      <c r="Y991" s="559"/>
      <c r="Z991" s="559"/>
      <c r="AA991" s="559"/>
      <c r="AB991" s="559"/>
      <c r="AC991" s="559"/>
      <c r="AD991" s="559"/>
      <c r="AE991" s="559"/>
      <c r="AF991" s="559"/>
      <c r="AG991" s="559"/>
    </row>
    <row r="992" spans="1:33" ht="18" customHeight="1" x14ac:dyDescent="0.35">
      <c r="A992" s="559"/>
      <c r="B992" s="559"/>
      <c r="C992" s="559"/>
      <c r="D992" s="559"/>
      <c r="E992" s="559"/>
      <c r="F992" s="559"/>
      <c r="G992" s="559"/>
      <c r="H992" s="559"/>
      <c r="I992" s="559"/>
      <c r="J992" s="559"/>
      <c r="K992" s="559"/>
      <c r="L992" s="559"/>
      <c r="M992" s="559"/>
      <c r="N992" s="559"/>
      <c r="O992" s="559"/>
      <c r="P992" s="559"/>
      <c r="Q992" s="559"/>
      <c r="R992" s="559"/>
      <c r="S992" s="559"/>
      <c r="T992" s="559"/>
      <c r="U992" s="559"/>
      <c r="V992" s="559"/>
      <c r="W992" s="559"/>
      <c r="X992" s="559"/>
      <c r="Y992" s="559"/>
      <c r="Z992" s="559"/>
      <c r="AA992" s="559"/>
      <c r="AB992" s="559"/>
      <c r="AC992" s="559"/>
      <c r="AD992" s="559"/>
      <c r="AE992" s="559"/>
      <c r="AF992" s="559"/>
      <c r="AG992" s="559"/>
    </row>
    <row r="993" spans="1:33" ht="18" customHeight="1" x14ac:dyDescent="0.35">
      <c r="A993" s="559"/>
      <c r="B993" s="559"/>
      <c r="C993" s="559"/>
      <c r="D993" s="559"/>
      <c r="E993" s="559"/>
      <c r="F993" s="559"/>
      <c r="G993" s="559"/>
      <c r="H993" s="559"/>
      <c r="I993" s="559"/>
      <c r="J993" s="559"/>
      <c r="K993" s="559"/>
      <c r="L993" s="559"/>
      <c r="M993" s="559"/>
      <c r="N993" s="559"/>
      <c r="O993" s="559"/>
      <c r="P993" s="559"/>
      <c r="Q993" s="559"/>
      <c r="R993" s="559"/>
      <c r="S993" s="559"/>
      <c r="T993" s="559"/>
      <c r="U993" s="559"/>
      <c r="V993" s="559"/>
      <c r="W993" s="559"/>
      <c r="X993" s="559"/>
      <c r="Y993" s="559"/>
      <c r="Z993" s="559"/>
      <c r="AA993" s="559"/>
      <c r="AB993" s="559"/>
      <c r="AC993" s="559"/>
      <c r="AD993" s="559"/>
      <c r="AE993" s="559"/>
      <c r="AF993" s="559"/>
      <c r="AG993" s="559"/>
    </row>
    <row r="994" spans="1:33" ht="18" customHeight="1" x14ac:dyDescent="0.35">
      <c r="A994" s="559"/>
      <c r="B994" s="559"/>
      <c r="C994" s="559"/>
      <c r="D994" s="559"/>
      <c r="E994" s="559"/>
      <c r="F994" s="559"/>
      <c r="G994" s="559"/>
      <c r="H994" s="559"/>
      <c r="I994" s="559"/>
      <c r="J994" s="559"/>
      <c r="K994" s="559"/>
      <c r="L994" s="559"/>
      <c r="M994" s="559"/>
      <c r="N994" s="559"/>
      <c r="O994" s="559"/>
      <c r="P994" s="559"/>
      <c r="Q994" s="559"/>
      <c r="R994" s="559"/>
      <c r="S994" s="559"/>
      <c r="T994" s="559"/>
      <c r="U994" s="559"/>
      <c r="V994" s="559"/>
      <c r="W994" s="559"/>
      <c r="X994" s="559"/>
      <c r="Y994" s="559"/>
      <c r="Z994" s="559"/>
      <c r="AA994" s="559"/>
      <c r="AB994" s="559"/>
      <c r="AC994" s="559"/>
      <c r="AD994" s="559"/>
      <c r="AE994" s="559"/>
      <c r="AF994" s="559"/>
      <c r="AG994" s="559"/>
    </row>
    <row r="995" spans="1:33" ht="18" customHeight="1" x14ac:dyDescent="0.35">
      <c r="A995" s="559"/>
      <c r="B995" s="559"/>
      <c r="C995" s="559"/>
      <c r="D995" s="559"/>
      <c r="E995" s="559"/>
      <c r="F995" s="559"/>
      <c r="G995" s="559"/>
      <c r="H995" s="559"/>
      <c r="I995" s="559"/>
      <c r="J995" s="559"/>
      <c r="K995" s="559"/>
      <c r="L995" s="559"/>
      <c r="M995" s="559"/>
      <c r="N995" s="559"/>
      <c r="O995" s="559"/>
      <c r="P995" s="559"/>
      <c r="Q995" s="559"/>
      <c r="R995" s="559"/>
      <c r="S995" s="559"/>
      <c r="T995" s="559"/>
      <c r="U995" s="559"/>
      <c r="V995" s="559"/>
      <c r="W995" s="559"/>
      <c r="X995" s="559"/>
      <c r="Y995" s="559"/>
      <c r="Z995" s="559"/>
      <c r="AA995" s="559"/>
      <c r="AB995" s="559"/>
      <c r="AC995" s="559"/>
      <c r="AD995" s="559"/>
      <c r="AE995" s="559"/>
      <c r="AF995" s="559"/>
      <c r="AG995" s="559"/>
    </row>
    <row r="996" spans="1:33" ht="18" customHeight="1" x14ac:dyDescent="0.35">
      <c r="A996" s="559"/>
      <c r="B996" s="559"/>
      <c r="C996" s="559"/>
      <c r="D996" s="559"/>
      <c r="E996" s="559"/>
      <c r="F996" s="559"/>
      <c r="G996" s="559"/>
      <c r="H996" s="559"/>
      <c r="I996" s="559"/>
      <c r="J996" s="559"/>
      <c r="K996" s="559"/>
      <c r="L996" s="559"/>
      <c r="M996" s="559"/>
      <c r="N996" s="559"/>
      <c r="O996" s="559"/>
      <c r="P996" s="559"/>
      <c r="Q996" s="559"/>
      <c r="R996" s="559"/>
      <c r="S996" s="559"/>
      <c r="T996" s="559"/>
      <c r="U996" s="559"/>
      <c r="V996" s="559"/>
      <c r="W996" s="559"/>
      <c r="X996" s="559"/>
      <c r="Y996" s="559"/>
      <c r="Z996" s="559"/>
      <c r="AA996" s="559"/>
      <c r="AB996" s="559"/>
      <c r="AC996" s="559"/>
      <c r="AD996" s="559"/>
      <c r="AE996" s="559"/>
      <c r="AF996" s="559"/>
      <c r="AG996" s="559"/>
    </row>
    <row r="997" spans="1:33" ht="18" customHeight="1" x14ac:dyDescent="0.35">
      <c r="A997" s="559"/>
      <c r="B997" s="559"/>
      <c r="C997" s="559"/>
      <c r="D997" s="559"/>
      <c r="E997" s="559"/>
      <c r="F997" s="559"/>
      <c r="G997" s="559"/>
      <c r="H997" s="559"/>
      <c r="I997" s="559"/>
      <c r="J997" s="559"/>
      <c r="K997" s="559"/>
      <c r="L997" s="559"/>
      <c r="M997" s="559"/>
      <c r="N997" s="559"/>
      <c r="O997" s="559"/>
      <c r="P997" s="559"/>
      <c r="Q997" s="559"/>
      <c r="R997" s="559"/>
      <c r="S997" s="559"/>
      <c r="T997" s="559"/>
      <c r="U997" s="559"/>
      <c r="V997" s="559"/>
      <c r="W997" s="559"/>
      <c r="X997" s="559"/>
      <c r="Y997" s="559"/>
      <c r="Z997" s="559"/>
      <c r="AA997" s="559"/>
      <c r="AB997" s="559"/>
      <c r="AC997" s="559"/>
      <c r="AD997" s="559"/>
      <c r="AE997" s="559"/>
      <c r="AF997" s="559"/>
      <c r="AG997" s="559"/>
    </row>
    <row r="998" spans="1:33" ht="18" customHeight="1" x14ac:dyDescent="0.35">
      <c r="A998" s="559"/>
      <c r="B998" s="559"/>
      <c r="C998" s="559"/>
      <c r="D998" s="559"/>
      <c r="E998" s="559"/>
      <c r="F998" s="559"/>
      <c r="G998" s="559"/>
      <c r="H998" s="559"/>
      <c r="I998" s="559"/>
      <c r="J998" s="559"/>
      <c r="K998" s="559"/>
      <c r="L998" s="559"/>
      <c r="M998" s="559"/>
      <c r="N998" s="559"/>
      <c r="O998" s="559"/>
      <c r="P998" s="559"/>
      <c r="Q998" s="559"/>
      <c r="R998" s="559"/>
      <c r="S998" s="559"/>
      <c r="T998" s="559"/>
      <c r="U998" s="559"/>
      <c r="V998" s="559"/>
      <c r="W998" s="559"/>
      <c r="X998" s="559"/>
      <c r="Y998" s="559"/>
      <c r="Z998" s="559"/>
      <c r="AA998" s="559"/>
      <c r="AB998" s="559"/>
      <c r="AC998" s="559"/>
      <c r="AD998" s="559"/>
      <c r="AE998" s="559"/>
      <c r="AF998" s="559"/>
      <c r="AG998" s="559"/>
    </row>
    <row r="999" spans="1:33" ht="18" customHeight="1" x14ac:dyDescent="0.35">
      <c r="A999" s="559"/>
      <c r="B999" s="559"/>
      <c r="C999" s="559"/>
      <c r="D999" s="559"/>
      <c r="E999" s="559"/>
      <c r="F999" s="559"/>
      <c r="G999" s="559"/>
      <c r="H999" s="559"/>
      <c r="I999" s="559"/>
      <c r="J999" s="559"/>
      <c r="K999" s="559"/>
      <c r="L999" s="559"/>
      <c r="M999" s="559"/>
      <c r="N999" s="559"/>
      <c r="O999" s="559"/>
      <c r="P999" s="559"/>
      <c r="Q999" s="559"/>
      <c r="R999" s="559"/>
      <c r="S999" s="559"/>
      <c r="T999" s="559"/>
      <c r="U999" s="559"/>
      <c r="V999" s="559"/>
      <c r="W999" s="559"/>
      <c r="X999" s="559"/>
      <c r="Y999" s="559"/>
      <c r="Z999" s="559"/>
      <c r="AA999" s="559"/>
      <c r="AB999" s="559"/>
      <c r="AC999" s="559"/>
      <c r="AD999" s="559"/>
      <c r="AE999" s="559"/>
      <c r="AF999" s="559"/>
      <c r="AG999" s="559"/>
    </row>
    <row r="1000" spans="1:33" ht="18" customHeight="1" x14ac:dyDescent="0.35">
      <c r="A1000" s="559"/>
      <c r="B1000" s="559"/>
      <c r="C1000" s="559"/>
      <c r="D1000" s="559"/>
      <c r="E1000" s="559"/>
      <c r="F1000" s="559"/>
      <c r="G1000" s="559"/>
      <c r="H1000" s="559"/>
      <c r="I1000" s="559"/>
      <c r="J1000" s="559"/>
      <c r="K1000" s="559"/>
      <c r="L1000" s="559"/>
      <c r="M1000" s="559"/>
      <c r="N1000" s="559"/>
      <c r="O1000" s="559"/>
      <c r="P1000" s="559"/>
      <c r="Q1000" s="559"/>
      <c r="R1000" s="559"/>
      <c r="S1000" s="559"/>
      <c r="T1000" s="559"/>
      <c r="U1000" s="559"/>
      <c r="V1000" s="559"/>
      <c r="W1000" s="559"/>
      <c r="X1000" s="559"/>
      <c r="Y1000" s="559"/>
      <c r="Z1000" s="559"/>
      <c r="AA1000" s="559"/>
      <c r="AB1000" s="559"/>
      <c r="AC1000" s="559"/>
      <c r="AD1000" s="559"/>
      <c r="AE1000" s="559"/>
      <c r="AF1000" s="559"/>
      <c r="AG1000" s="559"/>
    </row>
  </sheetData>
  <mergeCells count="9">
    <mergeCell ref="D25:E25"/>
    <mergeCell ref="D26:E26"/>
    <mergeCell ref="A1:G2"/>
    <mergeCell ref="A3:A4"/>
    <mergeCell ref="C3:E6"/>
    <mergeCell ref="D15:E15"/>
    <mergeCell ref="F17:G17"/>
    <mergeCell ref="F18:G18"/>
    <mergeCell ref="D24:E24"/>
  </mergeCells>
  <conditionalFormatting sqref="C3 F3 C16">
    <cfRule type="beginsWith" dxfId="6" priority="1" operator="beginsWith" text="Boulons">
      <formula>LEFT((C3),LEN("Boulons"))=("Boulons")</formula>
    </cfRule>
  </conditionalFormatting>
  <conditionalFormatting sqref="C3">
    <cfRule type="containsText" dxfId="5" priority="2" operator="containsText" text="Boulons et Platines">
      <formula>NOT(ISERROR(SEARCH(("Boulons et Platines"),(C3))))</formula>
    </cfRule>
  </conditionalFormatting>
  <conditionalFormatting sqref="F3">
    <cfRule type="containsText" dxfId="4" priority="3" operator="containsText" text="Boulons et Platines">
      <formula>NOT(ISERROR(SEARCH(("Boulons et Platines"),(F3))))</formula>
    </cfRule>
  </conditionalFormatting>
  <conditionalFormatting sqref="F16">
    <cfRule type="containsText" dxfId="3" priority="4" operator="containsText" text="Oui">
      <formula>NOT(ISERROR(SEARCH(("Oui"),(F16))))</formula>
    </cfRule>
  </conditionalFormatting>
  <dataValidations count="6">
    <dataValidation type="list" allowBlank="1" showErrorMessage="1" sqref="C24" xr:uid="{00000000-0002-0000-1600-000000000000}">
      <formula1>$A$170:$A$183</formula1>
    </dataValidation>
    <dataValidation type="list" allowBlank="1" showErrorMessage="1" sqref="F18" xr:uid="{00000000-0002-0000-1600-000001000000}">
      <formula1>$A$114:$A$116</formula1>
    </dataValidation>
    <dataValidation type="list" allowBlank="1" showErrorMessage="1" sqref="C26" xr:uid="{00000000-0002-0000-1600-000002000000}">
      <formula1>$A$125:$A$131</formula1>
    </dataValidation>
    <dataValidation type="list" allowBlank="1" showErrorMessage="1" sqref="F24" xr:uid="{00000000-0002-0000-1600-000003000000}">
      <formula1>IF($D$24="Type de mousse",$A$150:$A$152,IF($D$24="Nombre",$A$156:$A$161,0))</formula1>
    </dataValidation>
    <dataValidation type="list" allowBlank="1" showErrorMessage="1" sqref="F26" xr:uid="{00000000-0002-0000-1600-000004000000}">
      <formula1>IF($D$26="Type de mousse du Calage",$A$145:$A$147,0)</formula1>
    </dataValidation>
    <dataValidation type="list" allowBlank="1" showErrorMessage="1" sqref="C27" xr:uid="{00000000-0002-0000-1600-000005000000}">
      <formula1>$A$134:$A$143</formula1>
    </dataValidation>
  </dataValidations>
  <pageMargins left="0.51181102362204722" right="0.11811023622047245" top="0.35433070866141736" bottom="0.35433070866141736" header="0" footer="0"/>
  <pageSetup paperSize="9" orientation="landscape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rgb="FFFF0000"/>
  </sheetPr>
  <dimension ref="A1:Z1000"/>
  <sheetViews>
    <sheetView workbookViewId="0"/>
  </sheetViews>
  <sheetFormatPr baseColWidth="10" defaultColWidth="14.44140625" defaultRowHeight="15" customHeight="1" x14ac:dyDescent="0.3"/>
  <cols>
    <col min="1" max="1" width="29.88671875" customWidth="1"/>
    <col min="2" max="2" width="28.33203125" customWidth="1"/>
    <col min="3" max="3" width="18.44140625" customWidth="1"/>
    <col min="4" max="4" width="15.109375" customWidth="1"/>
    <col min="5" max="5" width="14.88671875" customWidth="1"/>
    <col min="6" max="6" width="11.44140625" customWidth="1"/>
    <col min="7" max="8" width="11.44140625" hidden="1" customWidth="1"/>
    <col min="9" max="9" width="13.44140625" hidden="1" customWidth="1"/>
    <col min="10" max="10" width="11.6640625" hidden="1" customWidth="1"/>
    <col min="11" max="12" width="15.109375" hidden="1" customWidth="1"/>
    <col min="13" max="13" width="16.109375" hidden="1" customWidth="1"/>
    <col min="14" max="15" width="11.44140625" hidden="1" customWidth="1"/>
    <col min="16" max="16" width="14.109375" hidden="1" customWidth="1"/>
    <col min="17" max="17" width="11.44140625" hidden="1" customWidth="1"/>
    <col min="18" max="18" width="15" customWidth="1"/>
    <col min="19" max="26" width="11.44140625" customWidth="1"/>
  </cols>
  <sheetData>
    <row r="1" spans="1:26" ht="18.75" customHeight="1" x14ac:dyDescent="0.35">
      <c r="A1" s="1210" t="s">
        <v>74</v>
      </c>
      <c r="B1" s="1153"/>
      <c r="C1" s="1153"/>
      <c r="D1" s="1153"/>
      <c r="E1" s="1153"/>
      <c r="F1" s="1211"/>
      <c r="G1" s="950"/>
      <c r="H1" s="950"/>
      <c r="I1" s="950"/>
      <c r="J1" s="950"/>
      <c r="K1" s="950"/>
      <c r="L1" s="950"/>
      <c r="M1" s="950"/>
      <c r="N1" s="950"/>
      <c r="O1" s="950"/>
      <c r="P1" s="950"/>
      <c r="Q1" s="950"/>
      <c r="R1" s="951"/>
      <c r="S1" s="952"/>
      <c r="T1" s="952"/>
      <c r="U1" s="952"/>
      <c r="V1" s="952"/>
      <c r="W1" s="952"/>
      <c r="X1" s="952"/>
      <c r="Y1" s="952"/>
      <c r="Z1" s="952"/>
    </row>
    <row r="2" spans="1:26" ht="18.75" customHeight="1" x14ac:dyDescent="0.35">
      <c r="A2" s="953"/>
      <c r="B2" s="954"/>
      <c r="C2" s="954"/>
      <c r="D2" s="954"/>
      <c r="E2" s="954"/>
      <c r="F2" s="954"/>
      <c r="G2" s="952"/>
      <c r="H2" s="952"/>
      <c r="I2" s="952"/>
      <c r="J2" s="952"/>
      <c r="K2" s="952"/>
      <c r="L2" s="952"/>
      <c r="M2" s="952"/>
      <c r="N2" s="952"/>
      <c r="O2" s="952"/>
      <c r="P2" s="952"/>
      <c r="Q2" s="952"/>
      <c r="R2" s="955"/>
      <c r="S2" s="952"/>
      <c r="T2" s="952"/>
      <c r="U2" s="952"/>
      <c r="V2" s="952"/>
      <c r="W2" s="952"/>
      <c r="X2" s="952"/>
      <c r="Y2" s="952"/>
      <c r="Z2" s="952"/>
    </row>
    <row r="3" spans="1:26" ht="18.75" customHeight="1" x14ac:dyDescent="0.35">
      <c r="A3" s="953" t="s">
        <v>507</v>
      </c>
      <c r="B3" s="954" t="s">
        <v>9</v>
      </c>
      <c r="C3" s="954" t="s">
        <v>508</v>
      </c>
      <c r="D3" s="1209" t="s">
        <v>509</v>
      </c>
      <c r="E3" s="1101"/>
      <c r="F3" s="954" t="s">
        <v>34</v>
      </c>
      <c r="G3" s="952"/>
      <c r="H3" s="952"/>
      <c r="I3" s="1207" t="s">
        <v>273</v>
      </c>
      <c r="J3" s="1207" t="s">
        <v>510</v>
      </c>
      <c r="K3" s="1207" t="s">
        <v>511</v>
      </c>
      <c r="L3" s="1207" t="s">
        <v>512</v>
      </c>
      <c r="M3" s="1207" t="s">
        <v>513</v>
      </c>
      <c r="N3" s="1207" t="s">
        <v>514</v>
      </c>
      <c r="O3" s="1207" t="s">
        <v>515</v>
      </c>
      <c r="P3" s="1207" t="s">
        <v>516</v>
      </c>
      <c r="Q3" s="1207" t="s">
        <v>81</v>
      </c>
      <c r="R3" s="1208" t="s">
        <v>517</v>
      </c>
      <c r="S3" s="952"/>
      <c r="T3" s="952"/>
      <c r="U3" s="952"/>
      <c r="V3" s="952"/>
      <c r="W3" s="952"/>
      <c r="X3" s="952"/>
      <c r="Y3" s="952"/>
      <c r="Z3" s="952"/>
    </row>
    <row r="4" spans="1:26" ht="18.75" customHeight="1" x14ac:dyDescent="0.35">
      <c r="A4" s="956"/>
      <c r="B4" s="952"/>
      <c r="C4" s="954" t="s">
        <v>518</v>
      </c>
      <c r="D4" s="954" t="s">
        <v>28</v>
      </c>
      <c r="E4" s="954" t="s">
        <v>519</v>
      </c>
      <c r="F4" s="952"/>
      <c r="G4" s="952"/>
      <c r="H4" s="952"/>
      <c r="I4" s="1108"/>
      <c r="J4" s="1108"/>
      <c r="K4" s="1108"/>
      <c r="L4" s="1108"/>
      <c r="M4" s="1108"/>
      <c r="N4" s="1108"/>
      <c r="O4" s="1108"/>
      <c r="P4" s="1108"/>
      <c r="Q4" s="1108"/>
      <c r="R4" s="1148"/>
      <c r="S4" s="952"/>
      <c r="T4" s="952"/>
      <c r="U4" s="952"/>
      <c r="V4" s="952"/>
      <c r="W4" s="952"/>
      <c r="X4" s="952"/>
      <c r="Y4" s="952"/>
      <c r="Z4" s="952"/>
    </row>
    <row r="5" spans="1:26" ht="18.75" customHeight="1" x14ac:dyDescent="0.35">
      <c r="A5" s="956"/>
      <c r="B5" s="952"/>
      <c r="C5" s="952"/>
      <c r="D5" s="952"/>
      <c r="E5" s="952"/>
      <c r="F5" s="952"/>
      <c r="G5" s="952"/>
      <c r="H5" s="952"/>
      <c r="I5" s="952"/>
      <c r="J5" s="952"/>
      <c r="K5" s="952"/>
      <c r="L5" s="952"/>
      <c r="M5" s="952"/>
      <c r="N5" s="952"/>
      <c r="O5" s="952"/>
      <c r="P5" s="952"/>
      <c r="Q5" s="952"/>
      <c r="R5" s="955"/>
      <c r="S5" s="952"/>
      <c r="T5" s="952"/>
      <c r="U5" s="952"/>
      <c r="V5" s="952"/>
      <c r="W5" s="952"/>
      <c r="X5" s="952"/>
      <c r="Y5" s="952"/>
      <c r="Z5" s="952"/>
    </row>
    <row r="6" spans="1:26" ht="18.75" customHeight="1" x14ac:dyDescent="0.35">
      <c r="A6" s="956">
        <f t="shared" ref="A6:A17" si="0">IF(B6=0,0,VLOOKUP(B6,$A$102:$B$108,2))</f>
        <v>0</v>
      </c>
      <c r="B6" s="957"/>
      <c r="C6" s="957"/>
      <c r="D6" s="957"/>
      <c r="E6" s="957"/>
      <c r="F6" s="958"/>
      <c r="G6" s="952"/>
      <c r="H6" s="952"/>
      <c r="I6" s="959">
        <f t="shared" ref="I6:I17" si="1">IF(B6=0,0,(D6/100)*(E6/100)*F6)</f>
        <v>0</v>
      </c>
      <c r="J6" s="959">
        <f t="shared" ref="J6:J17" si="2">IF(C6="Non",I6,I6/0.8)</f>
        <v>0</v>
      </c>
      <c r="K6" s="960">
        <f>IF(B6=0,0,VLOOKUP(B6,'Prix Matiere'!$A$4:$M$60,2))</f>
        <v>0</v>
      </c>
      <c r="L6" s="960">
        <f t="shared" ref="L6:L17" si="3">K6*J6</f>
        <v>0</v>
      </c>
      <c r="M6" s="961">
        <f t="shared" ref="M6:M17" si="4">IF(I6=0,0,IF(C6="Oui",(6)+2,2))</f>
        <v>0</v>
      </c>
      <c r="N6" s="960">
        <f t="shared" ref="N6:N17" si="5">M6*MinuteMO</f>
        <v>0</v>
      </c>
      <c r="O6" s="960">
        <f t="shared" ref="O6:O17" si="6">IF(C6="Non",0,((L6+N6)/Frais_Généraux)-(L6+N6))</f>
        <v>0</v>
      </c>
      <c r="P6" s="960">
        <f t="shared" ref="P6:P17" si="7">O6+N6+L6</f>
        <v>0</v>
      </c>
      <c r="Q6" s="960">
        <f t="shared" ref="Q6:Q17" si="8">IF(F6=0,0,(P6/(1-Marge)-P6))</f>
        <v>0</v>
      </c>
      <c r="R6" s="962">
        <f t="shared" ref="R6:R17" si="9">P6+Q6</f>
        <v>0</v>
      </c>
      <c r="S6" s="952"/>
      <c r="T6" s="952"/>
      <c r="U6" s="952"/>
      <c r="V6" s="952"/>
      <c r="W6" s="952"/>
      <c r="X6" s="952"/>
      <c r="Y6" s="952"/>
      <c r="Z6" s="952"/>
    </row>
    <row r="7" spans="1:26" ht="18.75" customHeight="1" x14ac:dyDescent="0.35">
      <c r="A7" s="956">
        <f t="shared" si="0"/>
        <v>0</v>
      </c>
      <c r="B7" s="957"/>
      <c r="C7" s="957"/>
      <c r="D7" s="957"/>
      <c r="E7" s="957"/>
      <c r="F7" s="958"/>
      <c r="G7" s="952"/>
      <c r="H7" s="952"/>
      <c r="I7" s="959">
        <f t="shared" si="1"/>
        <v>0</v>
      </c>
      <c r="J7" s="959">
        <f t="shared" si="2"/>
        <v>0</v>
      </c>
      <c r="K7" s="960">
        <f>IF(B7=0,0,VLOOKUP(B7,'Prix Matiere'!$A$4:$M$60,2))</f>
        <v>0</v>
      </c>
      <c r="L7" s="960">
        <f t="shared" si="3"/>
        <v>0</v>
      </c>
      <c r="M7" s="961">
        <f t="shared" si="4"/>
        <v>0</v>
      </c>
      <c r="N7" s="960">
        <f t="shared" si="5"/>
        <v>0</v>
      </c>
      <c r="O7" s="960">
        <f t="shared" si="6"/>
        <v>0</v>
      </c>
      <c r="P7" s="960">
        <f t="shared" si="7"/>
        <v>0</v>
      </c>
      <c r="Q7" s="960">
        <f t="shared" si="8"/>
        <v>0</v>
      </c>
      <c r="R7" s="962">
        <f t="shared" si="9"/>
        <v>0</v>
      </c>
      <c r="S7" s="952"/>
      <c r="T7" s="952"/>
      <c r="U7" s="952"/>
      <c r="V7" s="952"/>
      <c r="W7" s="952"/>
      <c r="X7" s="952"/>
      <c r="Y7" s="952"/>
      <c r="Z7" s="952"/>
    </row>
    <row r="8" spans="1:26" ht="18.75" customHeight="1" x14ac:dyDescent="0.35">
      <c r="A8" s="956">
        <f t="shared" si="0"/>
        <v>0</v>
      </c>
      <c r="B8" s="957"/>
      <c r="C8" s="957"/>
      <c r="D8" s="957"/>
      <c r="E8" s="957"/>
      <c r="F8" s="958"/>
      <c r="G8" s="952"/>
      <c r="H8" s="952"/>
      <c r="I8" s="959">
        <f t="shared" si="1"/>
        <v>0</v>
      </c>
      <c r="J8" s="959">
        <f t="shared" si="2"/>
        <v>0</v>
      </c>
      <c r="K8" s="960">
        <f>IF(B8=0,0,VLOOKUP(B8,'Prix Matiere'!$A$4:$M$60,2))</f>
        <v>0</v>
      </c>
      <c r="L8" s="960">
        <f t="shared" si="3"/>
        <v>0</v>
      </c>
      <c r="M8" s="961">
        <f t="shared" si="4"/>
        <v>0</v>
      </c>
      <c r="N8" s="960">
        <f t="shared" si="5"/>
        <v>0</v>
      </c>
      <c r="O8" s="960">
        <f t="shared" si="6"/>
        <v>0</v>
      </c>
      <c r="P8" s="960">
        <f t="shared" si="7"/>
        <v>0</v>
      </c>
      <c r="Q8" s="960">
        <f t="shared" si="8"/>
        <v>0</v>
      </c>
      <c r="R8" s="962">
        <f t="shared" si="9"/>
        <v>0</v>
      </c>
      <c r="S8" s="952"/>
      <c r="T8" s="952"/>
      <c r="U8" s="952"/>
      <c r="V8" s="952"/>
      <c r="W8" s="952"/>
      <c r="X8" s="952"/>
      <c r="Y8" s="952"/>
      <c r="Z8" s="952"/>
    </row>
    <row r="9" spans="1:26" ht="18.75" customHeight="1" x14ac:dyDescent="0.35">
      <c r="A9" s="956">
        <f t="shared" si="0"/>
        <v>0</v>
      </c>
      <c r="B9" s="957"/>
      <c r="C9" s="957"/>
      <c r="D9" s="957"/>
      <c r="E9" s="957"/>
      <c r="F9" s="958"/>
      <c r="G9" s="952"/>
      <c r="H9" s="952"/>
      <c r="I9" s="959">
        <f t="shared" si="1"/>
        <v>0</v>
      </c>
      <c r="J9" s="959">
        <f t="shared" si="2"/>
        <v>0</v>
      </c>
      <c r="K9" s="960">
        <f>IF(B9=0,0,VLOOKUP(B9,'Prix Matiere'!$A$4:$M$60,2))</f>
        <v>0</v>
      </c>
      <c r="L9" s="960">
        <f t="shared" si="3"/>
        <v>0</v>
      </c>
      <c r="M9" s="961">
        <f t="shared" si="4"/>
        <v>0</v>
      </c>
      <c r="N9" s="960">
        <f t="shared" si="5"/>
        <v>0</v>
      </c>
      <c r="O9" s="960">
        <f t="shared" si="6"/>
        <v>0</v>
      </c>
      <c r="P9" s="960">
        <f t="shared" si="7"/>
        <v>0</v>
      </c>
      <c r="Q9" s="960">
        <f t="shared" si="8"/>
        <v>0</v>
      </c>
      <c r="R9" s="962">
        <f t="shared" si="9"/>
        <v>0</v>
      </c>
      <c r="S9" s="952"/>
      <c r="T9" s="952"/>
      <c r="U9" s="952"/>
      <c r="V9" s="952"/>
      <c r="W9" s="952"/>
      <c r="X9" s="952"/>
      <c r="Y9" s="952"/>
      <c r="Z9" s="952"/>
    </row>
    <row r="10" spans="1:26" ht="18.75" customHeight="1" x14ac:dyDescent="0.35">
      <c r="A10" s="956">
        <f t="shared" si="0"/>
        <v>0</v>
      </c>
      <c r="B10" s="957"/>
      <c r="C10" s="957"/>
      <c r="D10" s="957"/>
      <c r="E10" s="957"/>
      <c r="F10" s="958"/>
      <c r="G10" s="952"/>
      <c r="H10" s="952"/>
      <c r="I10" s="959">
        <f t="shared" si="1"/>
        <v>0</v>
      </c>
      <c r="J10" s="959">
        <f t="shared" si="2"/>
        <v>0</v>
      </c>
      <c r="K10" s="960">
        <f>IF(B10=0,0,VLOOKUP(B10,'Prix Matiere'!$A$4:$M$60,2))</f>
        <v>0</v>
      </c>
      <c r="L10" s="960">
        <f t="shared" si="3"/>
        <v>0</v>
      </c>
      <c r="M10" s="961">
        <f t="shared" si="4"/>
        <v>0</v>
      </c>
      <c r="N10" s="960">
        <f t="shared" si="5"/>
        <v>0</v>
      </c>
      <c r="O10" s="960">
        <f t="shared" si="6"/>
        <v>0</v>
      </c>
      <c r="P10" s="960">
        <f t="shared" si="7"/>
        <v>0</v>
      </c>
      <c r="Q10" s="960">
        <f t="shared" si="8"/>
        <v>0</v>
      </c>
      <c r="R10" s="962">
        <f t="shared" si="9"/>
        <v>0</v>
      </c>
      <c r="S10" s="952"/>
      <c r="T10" s="952"/>
      <c r="U10" s="952"/>
      <c r="V10" s="952"/>
      <c r="W10" s="952"/>
      <c r="X10" s="952"/>
      <c r="Y10" s="952"/>
      <c r="Z10" s="952"/>
    </row>
    <row r="11" spans="1:26" ht="18.75" customHeight="1" x14ac:dyDescent="0.35">
      <c r="A11" s="956">
        <f t="shared" si="0"/>
        <v>0</v>
      </c>
      <c r="B11" s="957"/>
      <c r="C11" s="957"/>
      <c r="D11" s="957"/>
      <c r="E11" s="957"/>
      <c r="F11" s="958"/>
      <c r="G11" s="952"/>
      <c r="H11" s="952"/>
      <c r="I11" s="959">
        <f t="shared" si="1"/>
        <v>0</v>
      </c>
      <c r="J11" s="959">
        <f t="shared" si="2"/>
        <v>0</v>
      </c>
      <c r="K11" s="960">
        <f>IF(B11=0,0,VLOOKUP(B11,'Prix Matiere'!$A$4:$M$60,2))</f>
        <v>0</v>
      </c>
      <c r="L11" s="960">
        <f t="shared" si="3"/>
        <v>0</v>
      </c>
      <c r="M11" s="961">
        <f t="shared" si="4"/>
        <v>0</v>
      </c>
      <c r="N11" s="960">
        <f t="shared" si="5"/>
        <v>0</v>
      </c>
      <c r="O11" s="960">
        <f t="shared" si="6"/>
        <v>0</v>
      </c>
      <c r="P11" s="960">
        <f t="shared" si="7"/>
        <v>0</v>
      </c>
      <c r="Q11" s="960">
        <f t="shared" si="8"/>
        <v>0</v>
      </c>
      <c r="R11" s="962">
        <f t="shared" si="9"/>
        <v>0</v>
      </c>
      <c r="S11" s="952"/>
      <c r="T11" s="952"/>
      <c r="U11" s="952"/>
      <c r="V11" s="952"/>
      <c r="W11" s="952"/>
      <c r="X11" s="952"/>
      <c r="Y11" s="952"/>
      <c r="Z11" s="952"/>
    </row>
    <row r="12" spans="1:26" ht="18.75" customHeight="1" x14ac:dyDescent="0.35">
      <c r="A12" s="956">
        <f t="shared" si="0"/>
        <v>0</v>
      </c>
      <c r="B12" s="957"/>
      <c r="C12" s="957"/>
      <c r="D12" s="957"/>
      <c r="E12" s="957"/>
      <c r="F12" s="958"/>
      <c r="G12" s="952"/>
      <c r="H12" s="952"/>
      <c r="I12" s="959">
        <f t="shared" si="1"/>
        <v>0</v>
      </c>
      <c r="J12" s="959">
        <f t="shared" si="2"/>
        <v>0</v>
      </c>
      <c r="K12" s="960">
        <f>IF(B12=0,0,VLOOKUP(B12,'Prix Matiere'!$A$4:$M$60,2))</f>
        <v>0</v>
      </c>
      <c r="L12" s="960">
        <f t="shared" si="3"/>
        <v>0</v>
      </c>
      <c r="M12" s="961">
        <f t="shared" si="4"/>
        <v>0</v>
      </c>
      <c r="N12" s="960">
        <f t="shared" si="5"/>
        <v>0</v>
      </c>
      <c r="O12" s="960">
        <f t="shared" si="6"/>
        <v>0</v>
      </c>
      <c r="P12" s="960">
        <f t="shared" si="7"/>
        <v>0</v>
      </c>
      <c r="Q12" s="960">
        <f t="shared" si="8"/>
        <v>0</v>
      </c>
      <c r="R12" s="962">
        <f t="shared" si="9"/>
        <v>0</v>
      </c>
      <c r="S12" s="952"/>
      <c r="T12" s="952"/>
      <c r="U12" s="952"/>
      <c r="V12" s="952"/>
      <c r="W12" s="952"/>
      <c r="X12" s="952"/>
      <c r="Y12" s="952"/>
      <c r="Z12" s="952"/>
    </row>
    <row r="13" spans="1:26" ht="18.75" customHeight="1" x14ac:dyDescent="0.35">
      <c r="A13" s="956">
        <f t="shared" si="0"/>
        <v>0</v>
      </c>
      <c r="B13" s="957"/>
      <c r="C13" s="957"/>
      <c r="D13" s="957"/>
      <c r="E13" s="957"/>
      <c r="F13" s="958"/>
      <c r="G13" s="952"/>
      <c r="H13" s="952"/>
      <c r="I13" s="959">
        <f t="shared" si="1"/>
        <v>0</v>
      </c>
      <c r="J13" s="959">
        <f t="shared" si="2"/>
        <v>0</v>
      </c>
      <c r="K13" s="960">
        <f>IF(B13=0,0,VLOOKUP(B13,'Prix Matiere'!$A$4:$M$60,2))</f>
        <v>0</v>
      </c>
      <c r="L13" s="960">
        <f t="shared" si="3"/>
        <v>0</v>
      </c>
      <c r="M13" s="961">
        <f t="shared" si="4"/>
        <v>0</v>
      </c>
      <c r="N13" s="960">
        <f t="shared" si="5"/>
        <v>0</v>
      </c>
      <c r="O13" s="960">
        <f t="shared" si="6"/>
        <v>0</v>
      </c>
      <c r="P13" s="960">
        <f t="shared" si="7"/>
        <v>0</v>
      </c>
      <c r="Q13" s="960">
        <f t="shared" si="8"/>
        <v>0</v>
      </c>
      <c r="R13" s="962">
        <f t="shared" si="9"/>
        <v>0</v>
      </c>
      <c r="S13" s="952"/>
      <c r="T13" s="952"/>
      <c r="U13" s="952"/>
      <c r="V13" s="952"/>
      <c r="W13" s="952"/>
      <c r="X13" s="952"/>
      <c r="Y13" s="952"/>
      <c r="Z13" s="952"/>
    </row>
    <row r="14" spans="1:26" ht="18.75" customHeight="1" x14ac:dyDescent="0.35">
      <c r="A14" s="956">
        <f t="shared" si="0"/>
        <v>0</v>
      </c>
      <c r="B14" s="957"/>
      <c r="C14" s="957"/>
      <c r="D14" s="957"/>
      <c r="E14" s="957"/>
      <c r="F14" s="958"/>
      <c r="G14" s="952"/>
      <c r="H14" s="952"/>
      <c r="I14" s="959">
        <f t="shared" si="1"/>
        <v>0</v>
      </c>
      <c r="J14" s="959">
        <f t="shared" si="2"/>
        <v>0</v>
      </c>
      <c r="K14" s="960">
        <f>IF(B14=0,0,VLOOKUP(B14,'Prix Matiere'!$A$4:$M$60,2))</f>
        <v>0</v>
      </c>
      <c r="L14" s="960">
        <f t="shared" si="3"/>
        <v>0</v>
      </c>
      <c r="M14" s="961">
        <f t="shared" si="4"/>
        <v>0</v>
      </c>
      <c r="N14" s="960">
        <f t="shared" si="5"/>
        <v>0</v>
      </c>
      <c r="O14" s="960">
        <f t="shared" si="6"/>
        <v>0</v>
      </c>
      <c r="P14" s="960">
        <f t="shared" si="7"/>
        <v>0</v>
      </c>
      <c r="Q14" s="960">
        <f t="shared" si="8"/>
        <v>0</v>
      </c>
      <c r="R14" s="962">
        <f t="shared" si="9"/>
        <v>0</v>
      </c>
      <c r="S14" s="952"/>
      <c r="T14" s="952"/>
      <c r="U14" s="952"/>
      <c r="V14" s="952"/>
      <c r="W14" s="952"/>
      <c r="X14" s="952"/>
      <c r="Y14" s="952"/>
      <c r="Z14" s="952"/>
    </row>
    <row r="15" spans="1:26" ht="18.75" customHeight="1" x14ac:dyDescent="0.35">
      <c r="A15" s="956">
        <f t="shared" si="0"/>
        <v>0</v>
      </c>
      <c r="B15" s="957"/>
      <c r="C15" s="957"/>
      <c r="D15" s="957"/>
      <c r="E15" s="957"/>
      <c r="F15" s="958"/>
      <c r="G15" s="952"/>
      <c r="H15" s="952"/>
      <c r="I15" s="959">
        <f t="shared" si="1"/>
        <v>0</v>
      </c>
      <c r="J15" s="959">
        <f t="shared" si="2"/>
        <v>0</v>
      </c>
      <c r="K15" s="960">
        <f>IF(B15=0,0,VLOOKUP(B15,'Prix Matiere'!$A$4:$M$60,2))</f>
        <v>0</v>
      </c>
      <c r="L15" s="960">
        <f t="shared" si="3"/>
        <v>0</v>
      </c>
      <c r="M15" s="961">
        <f t="shared" si="4"/>
        <v>0</v>
      </c>
      <c r="N15" s="960">
        <f t="shared" si="5"/>
        <v>0</v>
      </c>
      <c r="O15" s="960">
        <f t="shared" si="6"/>
        <v>0</v>
      </c>
      <c r="P15" s="960">
        <f t="shared" si="7"/>
        <v>0</v>
      </c>
      <c r="Q15" s="960">
        <f t="shared" si="8"/>
        <v>0</v>
      </c>
      <c r="R15" s="962">
        <f t="shared" si="9"/>
        <v>0</v>
      </c>
      <c r="S15" s="952"/>
      <c r="T15" s="952"/>
      <c r="U15" s="952"/>
      <c r="V15" s="952"/>
      <c r="W15" s="952"/>
      <c r="X15" s="952"/>
      <c r="Y15" s="952"/>
      <c r="Z15" s="952"/>
    </row>
    <row r="16" spans="1:26" ht="18.75" customHeight="1" x14ac:dyDescent="0.35">
      <c r="A16" s="956">
        <f t="shared" si="0"/>
        <v>0</v>
      </c>
      <c r="B16" s="957"/>
      <c r="C16" s="957"/>
      <c r="D16" s="957"/>
      <c r="E16" s="957"/>
      <c r="F16" s="958"/>
      <c r="G16" s="952"/>
      <c r="H16" s="952"/>
      <c r="I16" s="959">
        <f t="shared" si="1"/>
        <v>0</v>
      </c>
      <c r="J16" s="959">
        <f t="shared" si="2"/>
        <v>0</v>
      </c>
      <c r="K16" s="960">
        <f>IF(B16=0,0,VLOOKUP(B16,'Prix Matiere'!$A$4:$M$60,2))</f>
        <v>0</v>
      </c>
      <c r="L16" s="960">
        <f t="shared" si="3"/>
        <v>0</v>
      </c>
      <c r="M16" s="961">
        <f t="shared" si="4"/>
        <v>0</v>
      </c>
      <c r="N16" s="960">
        <f t="shared" si="5"/>
        <v>0</v>
      </c>
      <c r="O16" s="960">
        <f t="shared" si="6"/>
        <v>0</v>
      </c>
      <c r="P16" s="960">
        <f t="shared" si="7"/>
        <v>0</v>
      </c>
      <c r="Q16" s="960">
        <f t="shared" si="8"/>
        <v>0</v>
      </c>
      <c r="R16" s="962">
        <f t="shared" si="9"/>
        <v>0</v>
      </c>
      <c r="S16" s="952"/>
      <c r="T16" s="952"/>
      <c r="U16" s="952"/>
      <c r="V16" s="952"/>
      <c r="W16" s="952"/>
      <c r="X16" s="952"/>
      <c r="Y16" s="952"/>
      <c r="Z16" s="952"/>
    </row>
    <row r="17" spans="1:26" ht="18.75" customHeight="1" x14ac:dyDescent="0.35">
      <c r="A17" s="963">
        <f t="shared" si="0"/>
        <v>0</v>
      </c>
      <c r="B17" s="964"/>
      <c r="C17" s="964"/>
      <c r="D17" s="964"/>
      <c r="E17" s="964"/>
      <c r="F17" s="965"/>
      <c r="G17" s="966"/>
      <c r="H17" s="966"/>
      <c r="I17" s="967">
        <f t="shared" si="1"/>
        <v>0</v>
      </c>
      <c r="J17" s="967">
        <f t="shared" si="2"/>
        <v>0</v>
      </c>
      <c r="K17" s="960">
        <f>IF(B17=0,0,VLOOKUP(B17,'Prix Matiere'!$A$4:$M$60,2))</f>
        <v>0</v>
      </c>
      <c r="L17" s="968">
        <f t="shared" si="3"/>
        <v>0</v>
      </c>
      <c r="M17" s="969">
        <f t="shared" si="4"/>
        <v>0</v>
      </c>
      <c r="N17" s="968">
        <f t="shared" si="5"/>
        <v>0</v>
      </c>
      <c r="O17" s="968">
        <f t="shared" si="6"/>
        <v>0</v>
      </c>
      <c r="P17" s="968">
        <f t="shared" si="7"/>
        <v>0</v>
      </c>
      <c r="Q17" s="968">
        <f t="shared" si="8"/>
        <v>0</v>
      </c>
      <c r="R17" s="970">
        <f t="shared" si="9"/>
        <v>0</v>
      </c>
      <c r="S17" s="952"/>
      <c r="T17" s="952"/>
      <c r="U17" s="952"/>
      <c r="V17" s="952"/>
      <c r="W17" s="952"/>
      <c r="X17" s="952"/>
      <c r="Y17" s="952"/>
      <c r="Z17" s="952"/>
    </row>
    <row r="18" spans="1:26" ht="18.75" customHeight="1" x14ac:dyDescent="0.35">
      <c r="A18" s="952"/>
      <c r="B18" s="952"/>
      <c r="C18" s="952"/>
      <c r="D18" s="952"/>
      <c r="E18" s="952"/>
      <c r="F18" s="952"/>
      <c r="G18" s="952"/>
      <c r="H18" s="952"/>
      <c r="I18" s="952"/>
      <c r="J18" s="952"/>
      <c r="K18" s="952"/>
      <c r="L18" s="952"/>
      <c r="M18" s="952"/>
      <c r="N18" s="952"/>
      <c r="O18" s="952"/>
      <c r="P18" s="952"/>
      <c r="Q18" s="952"/>
      <c r="R18" s="952"/>
      <c r="S18" s="952"/>
      <c r="T18" s="952"/>
      <c r="U18" s="952"/>
      <c r="V18" s="952"/>
      <c r="W18" s="952"/>
      <c r="X18" s="952"/>
      <c r="Y18" s="952"/>
      <c r="Z18" s="952"/>
    </row>
    <row r="19" spans="1:26" ht="18.75" customHeight="1" x14ac:dyDescent="0.35">
      <c r="A19" s="1210" t="s">
        <v>520</v>
      </c>
      <c r="B19" s="1153"/>
      <c r="C19" s="1153"/>
      <c r="D19" s="1153"/>
      <c r="E19" s="1153"/>
      <c r="F19" s="1211"/>
      <c r="G19" s="950"/>
      <c r="H19" s="950"/>
      <c r="I19" s="950"/>
      <c r="J19" s="950"/>
      <c r="K19" s="950"/>
      <c r="L19" s="950"/>
      <c r="M19" s="950"/>
      <c r="N19" s="950"/>
      <c r="O19" s="950"/>
      <c r="P19" s="950"/>
      <c r="Q19" s="950"/>
      <c r="R19" s="951"/>
      <c r="S19" s="952"/>
      <c r="T19" s="952"/>
      <c r="U19" s="952"/>
      <c r="V19" s="952"/>
      <c r="W19" s="952"/>
      <c r="X19" s="952"/>
      <c r="Y19" s="952"/>
      <c r="Z19" s="952"/>
    </row>
    <row r="20" spans="1:26" ht="18.75" customHeight="1" x14ac:dyDescent="0.35">
      <c r="A20" s="953"/>
      <c r="B20" s="954"/>
      <c r="C20" s="954"/>
      <c r="D20" s="954"/>
      <c r="E20" s="954"/>
      <c r="F20" s="954"/>
      <c r="G20" s="952"/>
      <c r="H20" s="952"/>
      <c r="I20" s="952"/>
      <c r="J20" s="952"/>
      <c r="K20" s="952"/>
      <c r="L20" s="952"/>
      <c r="M20" s="952"/>
      <c r="N20" s="952"/>
      <c r="O20" s="952"/>
      <c r="P20" s="952"/>
      <c r="Q20" s="952"/>
      <c r="R20" s="955"/>
      <c r="S20" s="952"/>
      <c r="T20" s="952"/>
      <c r="U20" s="952"/>
      <c r="V20" s="952"/>
      <c r="W20" s="952"/>
      <c r="X20" s="952"/>
      <c r="Y20" s="952"/>
      <c r="Z20" s="952"/>
    </row>
    <row r="21" spans="1:26" ht="18.75" customHeight="1" x14ac:dyDescent="0.35">
      <c r="A21" s="953" t="s">
        <v>521</v>
      </c>
      <c r="B21" s="954" t="s">
        <v>522</v>
      </c>
      <c r="C21" s="954" t="s">
        <v>508</v>
      </c>
      <c r="D21" s="1209" t="s">
        <v>523</v>
      </c>
      <c r="E21" s="1101"/>
      <c r="F21" s="954" t="s">
        <v>34</v>
      </c>
      <c r="G21" s="952"/>
      <c r="H21" s="952"/>
      <c r="I21" s="1207" t="s">
        <v>273</v>
      </c>
      <c r="J21" s="1207" t="s">
        <v>510</v>
      </c>
      <c r="K21" s="1207" t="s">
        <v>511</v>
      </c>
      <c r="L21" s="1207" t="s">
        <v>512</v>
      </c>
      <c r="M21" s="1207" t="s">
        <v>513</v>
      </c>
      <c r="N21" s="1207" t="s">
        <v>514</v>
      </c>
      <c r="O21" s="1207" t="s">
        <v>515</v>
      </c>
      <c r="P21" s="1207" t="s">
        <v>516</v>
      </c>
      <c r="Q21" s="1207" t="s">
        <v>81</v>
      </c>
      <c r="R21" s="1208" t="s">
        <v>517</v>
      </c>
      <c r="S21" s="952"/>
      <c r="T21" s="952"/>
      <c r="U21" s="952"/>
      <c r="V21" s="952"/>
      <c r="W21" s="952"/>
      <c r="X21" s="952"/>
      <c r="Y21" s="952"/>
      <c r="Z21" s="952"/>
    </row>
    <row r="22" spans="1:26" ht="18.75" customHeight="1" x14ac:dyDescent="0.35">
      <c r="A22" s="956"/>
      <c r="B22" s="952"/>
      <c r="C22" s="954" t="s">
        <v>518</v>
      </c>
      <c r="D22" s="1209" t="s">
        <v>28</v>
      </c>
      <c r="E22" s="1101"/>
      <c r="F22" s="952"/>
      <c r="G22" s="952"/>
      <c r="H22" s="952"/>
      <c r="I22" s="1108"/>
      <c r="J22" s="1108"/>
      <c r="K22" s="1108"/>
      <c r="L22" s="1108"/>
      <c r="M22" s="1108"/>
      <c r="N22" s="1108"/>
      <c r="O22" s="1108"/>
      <c r="P22" s="1108"/>
      <c r="Q22" s="1108"/>
      <c r="R22" s="1148"/>
      <c r="S22" s="952"/>
      <c r="T22" s="952"/>
      <c r="U22" s="952"/>
      <c r="V22" s="952"/>
      <c r="W22" s="952"/>
      <c r="X22" s="952"/>
      <c r="Y22" s="952"/>
      <c r="Z22" s="952"/>
    </row>
    <row r="23" spans="1:26" ht="18.75" customHeight="1" x14ac:dyDescent="0.35">
      <c r="A23" s="956"/>
      <c r="B23" s="952"/>
      <c r="C23" s="952"/>
      <c r="D23" s="952"/>
      <c r="E23" s="952"/>
      <c r="F23" s="952"/>
      <c r="G23" s="952"/>
      <c r="H23" s="952"/>
      <c r="I23" s="952"/>
      <c r="J23" s="952"/>
      <c r="K23" s="952"/>
      <c r="L23" s="952"/>
      <c r="M23" s="952"/>
      <c r="N23" s="952"/>
      <c r="O23" s="952"/>
      <c r="P23" s="952"/>
      <c r="Q23" s="952"/>
      <c r="R23" s="955"/>
      <c r="S23" s="952"/>
      <c r="T23" s="952"/>
      <c r="U23" s="952"/>
      <c r="V23" s="952"/>
      <c r="W23" s="952"/>
      <c r="X23" s="952"/>
      <c r="Y23" s="952"/>
      <c r="Z23" s="952"/>
    </row>
    <row r="24" spans="1:26" ht="18.75" customHeight="1" x14ac:dyDescent="0.35">
      <c r="A24" s="953">
        <f t="shared" ref="A24:A35" si="10">IF(B24=0,0,VLOOKUP(B24,$A$92:$C$99,2))</f>
        <v>0</v>
      </c>
      <c r="B24" s="957"/>
      <c r="C24" s="957"/>
      <c r="D24" s="1212"/>
      <c r="E24" s="1172"/>
      <c r="F24" s="958"/>
      <c r="G24" s="952"/>
      <c r="H24" s="952"/>
      <c r="I24" s="959">
        <f t="shared" ref="I24:I35" si="11">IF(B24=0,0,(D24/100)*F24)</f>
        <v>0</v>
      </c>
      <c r="J24" s="959">
        <f t="shared" ref="J24:J35" si="12">IF(C24="Non",I24,I24/0.9)</f>
        <v>0</v>
      </c>
      <c r="K24" s="960">
        <f>IF(B24=0,0,VLOOKUP(B24,'Prix Matiere'!$A$4:$M$60,2))</f>
        <v>0</v>
      </c>
      <c r="L24" s="960">
        <f t="shared" ref="L24:L35" si="13">K24*J24</f>
        <v>0</v>
      </c>
      <c r="M24" s="961">
        <f t="shared" ref="M24:M35" si="14">IF(I24=0,0,IF(C24="Oui",(6)+2,1))</f>
        <v>0</v>
      </c>
      <c r="N24" s="960">
        <f t="shared" ref="N24:N35" si="15">M24*MinuteMO</f>
        <v>0</v>
      </c>
      <c r="O24" s="960">
        <f t="shared" ref="O24:O35" si="16">IF(C24="Non",0,((L24+N24)/Frais_Généraux)-(L24+N24))</f>
        <v>0</v>
      </c>
      <c r="P24" s="960">
        <f t="shared" ref="P24:P35" si="17">O24+N24+L24</f>
        <v>0</v>
      </c>
      <c r="Q24" s="960">
        <f t="shared" ref="Q24:Q35" si="18">IF(F24=0,0,(P24/(1-Marge)-P24))</f>
        <v>0</v>
      </c>
      <c r="R24" s="962">
        <f t="shared" ref="R24:R35" si="19">P24+Q24</f>
        <v>0</v>
      </c>
      <c r="S24" s="952"/>
      <c r="T24" s="952"/>
      <c r="U24" s="952"/>
      <c r="V24" s="952"/>
      <c r="W24" s="952"/>
      <c r="X24" s="952"/>
      <c r="Y24" s="952"/>
      <c r="Z24" s="952"/>
    </row>
    <row r="25" spans="1:26" ht="18.75" customHeight="1" x14ac:dyDescent="0.35">
      <c r="A25" s="953">
        <f t="shared" si="10"/>
        <v>0</v>
      </c>
      <c r="B25" s="957"/>
      <c r="C25" s="957"/>
      <c r="D25" s="1212"/>
      <c r="E25" s="1172"/>
      <c r="F25" s="958"/>
      <c r="G25" s="952"/>
      <c r="H25" s="952"/>
      <c r="I25" s="959">
        <f t="shared" si="11"/>
        <v>0</v>
      </c>
      <c r="J25" s="959">
        <f t="shared" si="12"/>
        <v>0</v>
      </c>
      <c r="K25" s="960">
        <f>IF(B25=0,0,VLOOKUP(B25,'Prix Matiere'!$A$4:$M$60,2))</f>
        <v>0</v>
      </c>
      <c r="L25" s="960">
        <f t="shared" si="13"/>
        <v>0</v>
      </c>
      <c r="M25" s="961">
        <f t="shared" si="14"/>
        <v>0</v>
      </c>
      <c r="N25" s="960">
        <f t="shared" si="15"/>
        <v>0</v>
      </c>
      <c r="O25" s="960">
        <f t="shared" si="16"/>
        <v>0</v>
      </c>
      <c r="P25" s="960">
        <f t="shared" si="17"/>
        <v>0</v>
      </c>
      <c r="Q25" s="960">
        <f t="shared" si="18"/>
        <v>0</v>
      </c>
      <c r="R25" s="962">
        <f t="shared" si="19"/>
        <v>0</v>
      </c>
      <c r="S25" s="952"/>
      <c r="T25" s="952"/>
      <c r="U25" s="952"/>
      <c r="V25" s="952"/>
      <c r="W25" s="952"/>
      <c r="X25" s="952"/>
      <c r="Y25" s="952"/>
      <c r="Z25" s="952"/>
    </row>
    <row r="26" spans="1:26" ht="18.75" customHeight="1" x14ac:dyDescent="0.35">
      <c r="A26" s="953">
        <f t="shared" si="10"/>
        <v>0</v>
      </c>
      <c r="B26" s="957"/>
      <c r="C26" s="957"/>
      <c r="D26" s="1212"/>
      <c r="E26" s="1172"/>
      <c r="F26" s="958"/>
      <c r="G26" s="952"/>
      <c r="H26" s="952"/>
      <c r="I26" s="959">
        <f t="shared" si="11"/>
        <v>0</v>
      </c>
      <c r="J26" s="959">
        <f t="shared" si="12"/>
        <v>0</v>
      </c>
      <c r="K26" s="960">
        <f>IF(B26=0,0,VLOOKUP(B26,'Prix Matiere'!$A$4:$M$60,2))</f>
        <v>0</v>
      </c>
      <c r="L26" s="960">
        <f t="shared" si="13"/>
        <v>0</v>
      </c>
      <c r="M26" s="961">
        <f t="shared" si="14"/>
        <v>0</v>
      </c>
      <c r="N26" s="960">
        <f t="shared" si="15"/>
        <v>0</v>
      </c>
      <c r="O26" s="960">
        <f t="shared" si="16"/>
        <v>0</v>
      </c>
      <c r="P26" s="960">
        <f t="shared" si="17"/>
        <v>0</v>
      </c>
      <c r="Q26" s="960">
        <f t="shared" si="18"/>
        <v>0</v>
      </c>
      <c r="R26" s="962">
        <f t="shared" si="19"/>
        <v>0</v>
      </c>
      <c r="S26" s="952"/>
      <c r="T26" s="952"/>
      <c r="U26" s="952"/>
      <c r="V26" s="952"/>
      <c r="W26" s="952"/>
      <c r="X26" s="952"/>
      <c r="Y26" s="952"/>
      <c r="Z26" s="952"/>
    </row>
    <row r="27" spans="1:26" ht="18.75" customHeight="1" x14ac:dyDescent="0.35">
      <c r="A27" s="953">
        <f t="shared" si="10"/>
        <v>0</v>
      </c>
      <c r="B27" s="957"/>
      <c r="C27" s="957"/>
      <c r="D27" s="1212"/>
      <c r="E27" s="1172"/>
      <c r="F27" s="958"/>
      <c r="G27" s="952"/>
      <c r="H27" s="952"/>
      <c r="I27" s="959">
        <f t="shared" si="11"/>
        <v>0</v>
      </c>
      <c r="J27" s="959">
        <f t="shared" si="12"/>
        <v>0</v>
      </c>
      <c r="K27" s="960">
        <f>IF(B27=0,0,VLOOKUP(B27,'Prix Matiere'!$A$4:$M$60,2))</f>
        <v>0</v>
      </c>
      <c r="L27" s="960">
        <f t="shared" si="13"/>
        <v>0</v>
      </c>
      <c r="M27" s="961">
        <f t="shared" si="14"/>
        <v>0</v>
      </c>
      <c r="N27" s="960">
        <f t="shared" si="15"/>
        <v>0</v>
      </c>
      <c r="O27" s="960">
        <f t="shared" si="16"/>
        <v>0</v>
      </c>
      <c r="P27" s="960">
        <f t="shared" si="17"/>
        <v>0</v>
      </c>
      <c r="Q27" s="960">
        <f t="shared" si="18"/>
        <v>0</v>
      </c>
      <c r="R27" s="962">
        <f t="shared" si="19"/>
        <v>0</v>
      </c>
      <c r="S27" s="952"/>
      <c r="T27" s="952"/>
      <c r="U27" s="952"/>
      <c r="V27" s="952"/>
      <c r="W27" s="952"/>
      <c r="X27" s="952"/>
      <c r="Y27" s="952"/>
      <c r="Z27" s="952"/>
    </row>
    <row r="28" spans="1:26" ht="18.75" customHeight="1" x14ac:dyDescent="0.35">
      <c r="A28" s="953">
        <f t="shared" si="10"/>
        <v>0</v>
      </c>
      <c r="B28" s="957"/>
      <c r="C28" s="957"/>
      <c r="D28" s="1212"/>
      <c r="E28" s="1172"/>
      <c r="F28" s="958"/>
      <c r="G28" s="952"/>
      <c r="H28" s="952"/>
      <c r="I28" s="959">
        <f t="shared" si="11"/>
        <v>0</v>
      </c>
      <c r="J28" s="959">
        <f t="shared" si="12"/>
        <v>0</v>
      </c>
      <c r="K28" s="960">
        <f>IF(B28=0,0,VLOOKUP(B28,'Prix Matiere'!$A$4:$M$60,2))</f>
        <v>0</v>
      </c>
      <c r="L28" s="960">
        <f t="shared" si="13"/>
        <v>0</v>
      </c>
      <c r="M28" s="961">
        <f t="shared" si="14"/>
        <v>0</v>
      </c>
      <c r="N28" s="960">
        <f t="shared" si="15"/>
        <v>0</v>
      </c>
      <c r="O28" s="960">
        <f t="shared" si="16"/>
        <v>0</v>
      </c>
      <c r="P28" s="960">
        <f t="shared" si="17"/>
        <v>0</v>
      </c>
      <c r="Q28" s="960">
        <f t="shared" si="18"/>
        <v>0</v>
      </c>
      <c r="R28" s="962">
        <f t="shared" si="19"/>
        <v>0</v>
      </c>
      <c r="S28" s="952"/>
      <c r="T28" s="952"/>
      <c r="U28" s="952"/>
      <c r="V28" s="952"/>
      <c r="W28" s="952"/>
      <c r="X28" s="952"/>
      <c r="Y28" s="952"/>
      <c r="Z28" s="952"/>
    </row>
    <row r="29" spans="1:26" ht="18.75" customHeight="1" x14ac:dyDescent="0.35">
      <c r="A29" s="953">
        <f t="shared" si="10"/>
        <v>0</v>
      </c>
      <c r="B29" s="957"/>
      <c r="C29" s="957"/>
      <c r="D29" s="1212"/>
      <c r="E29" s="1172"/>
      <c r="F29" s="958"/>
      <c r="G29" s="952"/>
      <c r="H29" s="952"/>
      <c r="I29" s="959">
        <f t="shared" si="11"/>
        <v>0</v>
      </c>
      <c r="J29" s="959">
        <f t="shared" si="12"/>
        <v>0</v>
      </c>
      <c r="K29" s="960">
        <f>IF(B29=0,0,VLOOKUP(B29,'Prix Matiere'!$A$4:$M$60,2))</f>
        <v>0</v>
      </c>
      <c r="L29" s="960">
        <f t="shared" si="13"/>
        <v>0</v>
      </c>
      <c r="M29" s="961">
        <f t="shared" si="14"/>
        <v>0</v>
      </c>
      <c r="N29" s="960">
        <f t="shared" si="15"/>
        <v>0</v>
      </c>
      <c r="O29" s="960">
        <f t="shared" si="16"/>
        <v>0</v>
      </c>
      <c r="P29" s="960">
        <f t="shared" si="17"/>
        <v>0</v>
      </c>
      <c r="Q29" s="960">
        <f t="shared" si="18"/>
        <v>0</v>
      </c>
      <c r="R29" s="962">
        <f t="shared" si="19"/>
        <v>0</v>
      </c>
      <c r="S29" s="952"/>
      <c r="T29" s="952"/>
      <c r="U29" s="952"/>
      <c r="V29" s="952"/>
      <c r="W29" s="952"/>
      <c r="X29" s="952"/>
      <c r="Y29" s="952"/>
      <c r="Z29" s="952"/>
    </row>
    <row r="30" spans="1:26" ht="18.75" customHeight="1" x14ac:dyDescent="0.35">
      <c r="A30" s="953">
        <f t="shared" si="10"/>
        <v>0</v>
      </c>
      <c r="B30" s="957"/>
      <c r="C30" s="957"/>
      <c r="D30" s="1212"/>
      <c r="E30" s="1172"/>
      <c r="F30" s="958"/>
      <c r="G30" s="952"/>
      <c r="H30" s="952"/>
      <c r="I30" s="959">
        <f t="shared" si="11"/>
        <v>0</v>
      </c>
      <c r="J30" s="959">
        <f t="shared" si="12"/>
        <v>0</v>
      </c>
      <c r="K30" s="960">
        <f>IF(B30=0,0,VLOOKUP(B30,'Prix Matiere'!$A$4:$M$60,2))</f>
        <v>0</v>
      </c>
      <c r="L30" s="960">
        <f t="shared" si="13"/>
        <v>0</v>
      </c>
      <c r="M30" s="961">
        <f t="shared" si="14"/>
        <v>0</v>
      </c>
      <c r="N30" s="960">
        <f t="shared" si="15"/>
        <v>0</v>
      </c>
      <c r="O30" s="960">
        <f t="shared" si="16"/>
        <v>0</v>
      </c>
      <c r="P30" s="960">
        <f t="shared" si="17"/>
        <v>0</v>
      </c>
      <c r="Q30" s="960">
        <f t="shared" si="18"/>
        <v>0</v>
      </c>
      <c r="R30" s="962">
        <f t="shared" si="19"/>
        <v>0</v>
      </c>
      <c r="S30" s="952"/>
      <c r="T30" s="952"/>
      <c r="U30" s="952"/>
      <c r="V30" s="952"/>
      <c r="W30" s="952"/>
      <c r="X30" s="952"/>
      <c r="Y30" s="952"/>
      <c r="Z30" s="952"/>
    </row>
    <row r="31" spans="1:26" ht="18.75" customHeight="1" x14ac:dyDescent="0.35">
      <c r="A31" s="953">
        <f t="shared" si="10"/>
        <v>0</v>
      </c>
      <c r="B31" s="957"/>
      <c r="C31" s="957"/>
      <c r="D31" s="1212"/>
      <c r="E31" s="1172"/>
      <c r="F31" s="958"/>
      <c r="G31" s="952"/>
      <c r="H31" s="952"/>
      <c r="I31" s="959">
        <f t="shared" si="11"/>
        <v>0</v>
      </c>
      <c r="J31" s="959">
        <f t="shared" si="12"/>
        <v>0</v>
      </c>
      <c r="K31" s="960">
        <f>IF(B31=0,0,VLOOKUP(B31,'Prix Matiere'!$A$4:$M$60,2))</f>
        <v>0</v>
      </c>
      <c r="L31" s="960">
        <f t="shared" si="13"/>
        <v>0</v>
      </c>
      <c r="M31" s="961">
        <f t="shared" si="14"/>
        <v>0</v>
      </c>
      <c r="N31" s="960">
        <f t="shared" si="15"/>
        <v>0</v>
      </c>
      <c r="O31" s="960">
        <f t="shared" si="16"/>
        <v>0</v>
      </c>
      <c r="P31" s="960">
        <f t="shared" si="17"/>
        <v>0</v>
      </c>
      <c r="Q31" s="960">
        <f t="shared" si="18"/>
        <v>0</v>
      </c>
      <c r="R31" s="962">
        <f t="shared" si="19"/>
        <v>0</v>
      </c>
      <c r="S31" s="952"/>
      <c r="T31" s="952"/>
      <c r="U31" s="952"/>
      <c r="V31" s="952"/>
      <c r="W31" s="952"/>
      <c r="X31" s="952"/>
      <c r="Y31" s="952"/>
      <c r="Z31" s="952"/>
    </row>
    <row r="32" spans="1:26" ht="18.75" customHeight="1" x14ac:dyDescent="0.35">
      <c r="A32" s="953">
        <f t="shared" si="10"/>
        <v>0</v>
      </c>
      <c r="B32" s="957"/>
      <c r="C32" s="957"/>
      <c r="D32" s="1212"/>
      <c r="E32" s="1172"/>
      <c r="F32" s="958"/>
      <c r="G32" s="952"/>
      <c r="H32" s="952"/>
      <c r="I32" s="959">
        <f t="shared" si="11"/>
        <v>0</v>
      </c>
      <c r="J32" s="959">
        <f t="shared" si="12"/>
        <v>0</v>
      </c>
      <c r="K32" s="960">
        <f>IF(B32=0,0,VLOOKUP(B32,'Prix Matiere'!$A$4:$M$60,2))</f>
        <v>0</v>
      </c>
      <c r="L32" s="960">
        <f t="shared" si="13"/>
        <v>0</v>
      </c>
      <c r="M32" s="961">
        <f t="shared" si="14"/>
        <v>0</v>
      </c>
      <c r="N32" s="960">
        <f t="shared" si="15"/>
        <v>0</v>
      </c>
      <c r="O32" s="960">
        <f t="shared" si="16"/>
        <v>0</v>
      </c>
      <c r="P32" s="960">
        <f t="shared" si="17"/>
        <v>0</v>
      </c>
      <c r="Q32" s="960">
        <f t="shared" si="18"/>
        <v>0</v>
      </c>
      <c r="R32" s="962">
        <f t="shared" si="19"/>
        <v>0</v>
      </c>
      <c r="S32" s="952"/>
      <c r="T32" s="952"/>
      <c r="U32" s="952"/>
      <c r="V32" s="952"/>
      <c r="W32" s="952"/>
      <c r="X32" s="952"/>
      <c r="Y32" s="952"/>
      <c r="Z32" s="952"/>
    </row>
    <row r="33" spans="1:26" ht="18.75" customHeight="1" x14ac:dyDescent="0.35">
      <c r="A33" s="953">
        <f t="shared" si="10"/>
        <v>0</v>
      </c>
      <c r="B33" s="957"/>
      <c r="C33" s="957"/>
      <c r="D33" s="1212"/>
      <c r="E33" s="1172"/>
      <c r="F33" s="958"/>
      <c r="G33" s="952"/>
      <c r="H33" s="952"/>
      <c r="I33" s="959">
        <f t="shared" si="11"/>
        <v>0</v>
      </c>
      <c r="J33" s="959">
        <f t="shared" si="12"/>
        <v>0</v>
      </c>
      <c r="K33" s="960">
        <f>IF(B33=0,0,VLOOKUP(B33,'Prix Matiere'!$A$4:$M$60,2))</f>
        <v>0</v>
      </c>
      <c r="L33" s="960">
        <f t="shared" si="13"/>
        <v>0</v>
      </c>
      <c r="M33" s="961">
        <f t="shared" si="14"/>
        <v>0</v>
      </c>
      <c r="N33" s="960">
        <f t="shared" si="15"/>
        <v>0</v>
      </c>
      <c r="O33" s="960">
        <f t="shared" si="16"/>
        <v>0</v>
      </c>
      <c r="P33" s="960">
        <f t="shared" si="17"/>
        <v>0</v>
      </c>
      <c r="Q33" s="960">
        <f t="shared" si="18"/>
        <v>0</v>
      </c>
      <c r="R33" s="962">
        <f t="shared" si="19"/>
        <v>0</v>
      </c>
      <c r="S33" s="952"/>
      <c r="T33" s="952"/>
      <c r="U33" s="952"/>
      <c r="V33" s="952"/>
      <c r="W33" s="952"/>
      <c r="X33" s="952"/>
      <c r="Y33" s="952"/>
      <c r="Z33" s="952"/>
    </row>
    <row r="34" spans="1:26" ht="18.75" customHeight="1" x14ac:dyDescent="0.35">
      <c r="A34" s="953">
        <f t="shared" si="10"/>
        <v>0</v>
      </c>
      <c r="B34" s="957"/>
      <c r="C34" s="957"/>
      <c r="D34" s="1212"/>
      <c r="E34" s="1172"/>
      <c r="F34" s="958"/>
      <c r="G34" s="952"/>
      <c r="H34" s="952"/>
      <c r="I34" s="959">
        <f t="shared" si="11"/>
        <v>0</v>
      </c>
      <c r="J34" s="959">
        <f t="shared" si="12"/>
        <v>0</v>
      </c>
      <c r="K34" s="960">
        <f>IF(B34=0,0,VLOOKUP(B34,'Prix Matiere'!$A$4:$M$60,2))</f>
        <v>0</v>
      </c>
      <c r="L34" s="960">
        <f t="shared" si="13"/>
        <v>0</v>
      </c>
      <c r="M34" s="961">
        <f t="shared" si="14"/>
        <v>0</v>
      </c>
      <c r="N34" s="960">
        <f t="shared" si="15"/>
        <v>0</v>
      </c>
      <c r="O34" s="960">
        <f t="shared" si="16"/>
        <v>0</v>
      </c>
      <c r="P34" s="960">
        <f t="shared" si="17"/>
        <v>0</v>
      </c>
      <c r="Q34" s="960">
        <f t="shared" si="18"/>
        <v>0</v>
      </c>
      <c r="R34" s="962">
        <f t="shared" si="19"/>
        <v>0</v>
      </c>
      <c r="S34" s="952"/>
      <c r="T34" s="952"/>
      <c r="U34" s="952"/>
      <c r="V34" s="952"/>
      <c r="W34" s="952"/>
      <c r="X34" s="952"/>
      <c r="Y34" s="952"/>
      <c r="Z34" s="952"/>
    </row>
    <row r="35" spans="1:26" ht="18.75" customHeight="1" x14ac:dyDescent="0.35">
      <c r="A35" s="971">
        <f t="shared" si="10"/>
        <v>0</v>
      </c>
      <c r="B35" s="964"/>
      <c r="C35" s="964"/>
      <c r="D35" s="1213"/>
      <c r="E35" s="1214"/>
      <c r="F35" s="965"/>
      <c r="G35" s="966"/>
      <c r="H35" s="966"/>
      <c r="I35" s="967">
        <f t="shared" si="11"/>
        <v>0</v>
      </c>
      <c r="J35" s="967">
        <f t="shared" si="12"/>
        <v>0</v>
      </c>
      <c r="K35" s="960">
        <f>IF(B35=0,0,VLOOKUP(B35,'Prix Matiere'!$A$4:$M$60,2))</f>
        <v>0</v>
      </c>
      <c r="L35" s="968">
        <f t="shared" si="13"/>
        <v>0</v>
      </c>
      <c r="M35" s="969">
        <f t="shared" si="14"/>
        <v>0</v>
      </c>
      <c r="N35" s="968">
        <f t="shared" si="15"/>
        <v>0</v>
      </c>
      <c r="O35" s="968">
        <f t="shared" si="16"/>
        <v>0</v>
      </c>
      <c r="P35" s="968">
        <f t="shared" si="17"/>
        <v>0</v>
      </c>
      <c r="Q35" s="968">
        <f t="shared" si="18"/>
        <v>0</v>
      </c>
      <c r="R35" s="970">
        <f t="shared" si="19"/>
        <v>0</v>
      </c>
      <c r="S35" s="952"/>
      <c r="T35" s="952"/>
      <c r="U35" s="952"/>
      <c r="V35" s="952"/>
      <c r="W35" s="952"/>
      <c r="X35" s="952"/>
      <c r="Y35" s="952"/>
      <c r="Z35" s="952"/>
    </row>
    <row r="36" spans="1:26" ht="18.75" customHeight="1" x14ac:dyDescent="0.35">
      <c r="A36" s="952"/>
      <c r="B36" s="952"/>
      <c r="C36" s="952"/>
      <c r="D36" s="952"/>
      <c r="E36" s="952"/>
      <c r="F36" s="952"/>
      <c r="G36" s="952"/>
      <c r="H36" s="952"/>
      <c r="I36" s="952"/>
      <c r="J36" s="952"/>
      <c r="K36" s="952"/>
      <c r="L36" s="952"/>
      <c r="M36" s="952"/>
      <c r="N36" s="952"/>
      <c r="O36" s="952"/>
      <c r="P36" s="952"/>
      <c r="Q36" s="952"/>
      <c r="R36" s="952"/>
      <c r="S36" s="952"/>
      <c r="T36" s="952"/>
      <c r="U36" s="952"/>
      <c r="V36" s="952"/>
      <c r="W36" s="952"/>
      <c r="X36" s="952"/>
      <c r="Y36" s="952"/>
      <c r="Z36" s="952"/>
    </row>
    <row r="37" spans="1:26" ht="18.75" customHeight="1" x14ac:dyDescent="0.35">
      <c r="A37" s="1210" t="s">
        <v>80</v>
      </c>
      <c r="B37" s="1153"/>
      <c r="C37" s="1153"/>
      <c r="D37" s="1153"/>
      <c r="E37" s="1153"/>
      <c r="F37" s="1211"/>
      <c r="G37" s="950"/>
      <c r="H37" s="950"/>
      <c r="I37" s="950"/>
      <c r="J37" s="950"/>
      <c r="K37" s="950"/>
      <c r="L37" s="950"/>
      <c r="M37" s="950"/>
      <c r="N37" s="950"/>
      <c r="O37" s="950"/>
      <c r="P37" s="950"/>
      <c r="Q37" s="950"/>
      <c r="R37" s="951"/>
      <c r="S37" s="952"/>
      <c r="T37" s="952"/>
      <c r="U37" s="952"/>
      <c r="V37" s="952"/>
      <c r="W37" s="952"/>
      <c r="X37" s="952"/>
      <c r="Y37" s="952"/>
      <c r="Z37" s="952"/>
    </row>
    <row r="38" spans="1:26" ht="18.75" customHeight="1" x14ac:dyDescent="0.35">
      <c r="A38" s="953"/>
      <c r="B38" s="954"/>
      <c r="C38" s="954"/>
      <c r="D38" s="954"/>
      <c r="E38" s="954"/>
      <c r="F38" s="954"/>
      <c r="G38" s="952"/>
      <c r="H38" s="952"/>
      <c r="I38" s="952"/>
      <c r="J38" s="952"/>
      <c r="K38" s="952"/>
      <c r="L38" s="952"/>
      <c r="M38" s="952"/>
      <c r="N38" s="952"/>
      <c r="O38" s="952"/>
      <c r="P38" s="952"/>
      <c r="Q38" s="952"/>
      <c r="R38" s="955"/>
      <c r="S38" s="952"/>
      <c r="T38" s="952"/>
      <c r="U38" s="952"/>
      <c r="V38" s="952"/>
      <c r="W38" s="952"/>
      <c r="X38" s="952"/>
      <c r="Y38" s="952"/>
      <c r="Z38" s="952"/>
    </row>
    <row r="39" spans="1:26" ht="18.75" customHeight="1" x14ac:dyDescent="0.35">
      <c r="A39" s="953" t="s">
        <v>524</v>
      </c>
      <c r="B39" s="954" t="s">
        <v>502</v>
      </c>
      <c r="C39" s="954" t="s">
        <v>508</v>
      </c>
      <c r="D39" s="1209" t="s">
        <v>509</v>
      </c>
      <c r="E39" s="1101"/>
      <c r="F39" s="954" t="s">
        <v>34</v>
      </c>
      <c r="G39" s="952"/>
      <c r="H39" s="952"/>
      <c r="I39" s="1207" t="s">
        <v>273</v>
      </c>
      <c r="J39" s="1207" t="s">
        <v>510</v>
      </c>
      <c r="K39" s="1207" t="s">
        <v>511</v>
      </c>
      <c r="L39" s="1207" t="s">
        <v>512</v>
      </c>
      <c r="M39" s="1207" t="s">
        <v>513</v>
      </c>
      <c r="N39" s="1207" t="s">
        <v>514</v>
      </c>
      <c r="O39" s="1207" t="s">
        <v>515</v>
      </c>
      <c r="P39" s="1207" t="s">
        <v>516</v>
      </c>
      <c r="Q39" s="1207" t="s">
        <v>81</v>
      </c>
      <c r="R39" s="1208" t="s">
        <v>517</v>
      </c>
      <c r="S39" s="952"/>
      <c r="T39" s="952"/>
      <c r="U39" s="952"/>
      <c r="V39" s="952"/>
      <c r="W39" s="952"/>
      <c r="X39" s="952"/>
      <c r="Y39" s="952"/>
      <c r="Z39" s="952"/>
    </row>
    <row r="40" spans="1:26" ht="18.75" customHeight="1" x14ac:dyDescent="0.35">
      <c r="A40" s="956"/>
      <c r="B40" s="952"/>
      <c r="C40" s="954" t="s">
        <v>518</v>
      </c>
      <c r="D40" s="954" t="s">
        <v>28</v>
      </c>
      <c r="E40" s="954" t="s">
        <v>519</v>
      </c>
      <c r="F40" s="952"/>
      <c r="G40" s="952"/>
      <c r="H40" s="952"/>
      <c r="I40" s="1108"/>
      <c r="J40" s="1108"/>
      <c r="K40" s="1108"/>
      <c r="L40" s="1108"/>
      <c r="M40" s="1108"/>
      <c r="N40" s="1108"/>
      <c r="O40" s="1108"/>
      <c r="P40" s="1108"/>
      <c r="Q40" s="1108"/>
      <c r="R40" s="1148"/>
      <c r="S40" s="952"/>
      <c r="T40" s="952"/>
      <c r="U40" s="952"/>
      <c r="V40" s="952"/>
      <c r="W40" s="952"/>
      <c r="X40" s="952"/>
      <c r="Y40" s="952"/>
      <c r="Z40" s="952"/>
    </row>
    <row r="41" spans="1:26" ht="18.75" customHeight="1" x14ac:dyDescent="0.35">
      <c r="A41" s="956"/>
      <c r="B41" s="952"/>
      <c r="C41" s="952"/>
      <c r="D41" s="952"/>
      <c r="E41" s="952"/>
      <c r="F41" s="952"/>
      <c r="G41" s="952"/>
      <c r="H41" s="952"/>
      <c r="I41" s="952"/>
      <c r="J41" s="952"/>
      <c r="K41" s="952"/>
      <c r="L41" s="952"/>
      <c r="M41" s="952"/>
      <c r="N41" s="952"/>
      <c r="O41" s="952"/>
      <c r="P41" s="952"/>
      <c r="Q41" s="952"/>
      <c r="R41" s="955"/>
      <c r="S41" s="952"/>
      <c r="T41" s="952"/>
      <c r="U41" s="952"/>
      <c r="V41" s="952"/>
      <c r="W41" s="952"/>
      <c r="X41" s="952"/>
      <c r="Y41" s="952"/>
      <c r="Z41" s="952"/>
    </row>
    <row r="42" spans="1:26" ht="18.75" customHeight="1" x14ac:dyDescent="0.35">
      <c r="A42" s="956">
        <f t="shared" ref="A42:A53" si="20">IF(B42=0,0,VLOOKUP(B42,$A$122:$B$147,2))</f>
        <v>0</v>
      </c>
      <c r="B42" s="957"/>
      <c r="C42" s="957"/>
      <c r="D42" s="957"/>
      <c r="E42" s="957"/>
      <c r="F42" s="958"/>
      <c r="G42" s="952"/>
      <c r="H42" s="952"/>
      <c r="I42" s="959">
        <f t="shared" ref="I42:I53" si="21">IF(B42=0,0,(D42/100)*(E42/100)*F42)</f>
        <v>0</v>
      </c>
      <c r="J42" s="959">
        <f t="shared" ref="J42:J53" si="22">IF(C42="Non",I42,I42/0.8)</f>
        <v>0</v>
      </c>
      <c r="K42" s="960">
        <f>IF(B42=0,0,VLOOKUP(B42,'Prix Matiere'!$A$4:$M$60,2))</f>
        <v>0</v>
      </c>
      <c r="L42" s="960">
        <f t="shared" ref="L42:L53" si="23">K42*J42</f>
        <v>0</v>
      </c>
      <c r="M42" s="961">
        <f t="shared" ref="M42:M53" si="24">IF(I42=0,0,IF(C42="Oui",(2)+2,2))</f>
        <v>0</v>
      </c>
      <c r="N42" s="960">
        <f t="shared" ref="N42:N53" si="25">M42*MinuteMO</f>
        <v>0</v>
      </c>
      <c r="O42" s="960">
        <f t="shared" ref="O42:O53" si="26">IF(C42="Non",0,((L42+N42)/Frais_Généraux)-(L42+N42))</f>
        <v>0</v>
      </c>
      <c r="P42" s="960">
        <f t="shared" ref="P42:P53" si="27">O42+N42+L42</f>
        <v>0</v>
      </c>
      <c r="Q42" s="960">
        <f t="shared" ref="Q42:Q53" si="28">IF(F42=0,0,(P42/(1-Marge)-P42))</f>
        <v>0</v>
      </c>
      <c r="R42" s="962">
        <f t="shared" ref="R42:R53" si="29">P42+Q42</f>
        <v>0</v>
      </c>
      <c r="S42" s="952"/>
      <c r="T42" s="952"/>
      <c r="U42" s="952"/>
      <c r="V42" s="952"/>
      <c r="W42" s="952"/>
      <c r="X42" s="952"/>
      <c r="Y42" s="952"/>
      <c r="Z42" s="952"/>
    </row>
    <row r="43" spans="1:26" ht="18.75" customHeight="1" x14ac:dyDescent="0.35">
      <c r="A43" s="956">
        <f t="shared" si="20"/>
        <v>0</v>
      </c>
      <c r="B43" s="957"/>
      <c r="C43" s="957"/>
      <c r="D43" s="957"/>
      <c r="E43" s="957"/>
      <c r="F43" s="958"/>
      <c r="G43" s="952"/>
      <c r="H43" s="952"/>
      <c r="I43" s="959">
        <f t="shared" si="21"/>
        <v>0</v>
      </c>
      <c r="J43" s="959">
        <f t="shared" si="22"/>
        <v>0</v>
      </c>
      <c r="K43" s="960">
        <f>IF(B43=0,0,VLOOKUP(B43,'Prix Matiere'!$A$4:$M$60,2))</f>
        <v>0</v>
      </c>
      <c r="L43" s="960">
        <f t="shared" si="23"/>
        <v>0</v>
      </c>
      <c r="M43" s="961">
        <f t="shared" si="24"/>
        <v>0</v>
      </c>
      <c r="N43" s="960">
        <f t="shared" si="25"/>
        <v>0</v>
      </c>
      <c r="O43" s="960">
        <f t="shared" si="26"/>
        <v>0</v>
      </c>
      <c r="P43" s="960">
        <f t="shared" si="27"/>
        <v>0</v>
      </c>
      <c r="Q43" s="960">
        <f t="shared" si="28"/>
        <v>0</v>
      </c>
      <c r="R43" s="962">
        <f t="shared" si="29"/>
        <v>0</v>
      </c>
      <c r="S43" s="952"/>
      <c r="T43" s="952"/>
      <c r="U43" s="952"/>
      <c r="V43" s="952"/>
      <c r="W43" s="952"/>
      <c r="X43" s="952"/>
      <c r="Y43" s="952"/>
      <c r="Z43" s="952"/>
    </row>
    <row r="44" spans="1:26" ht="18.75" customHeight="1" x14ac:dyDescent="0.35">
      <c r="A44" s="956">
        <f t="shared" si="20"/>
        <v>0</v>
      </c>
      <c r="B44" s="957"/>
      <c r="C44" s="957"/>
      <c r="D44" s="957"/>
      <c r="E44" s="957"/>
      <c r="F44" s="958"/>
      <c r="G44" s="952"/>
      <c r="H44" s="952"/>
      <c r="I44" s="959">
        <f t="shared" si="21"/>
        <v>0</v>
      </c>
      <c r="J44" s="959">
        <f t="shared" si="22"/>
        <v>0</v>
      </c>
      <c r="K44" s="960">
        <f>IF(B44=0,0,VLOOKUP(B44,'Prix Matiere'!$A$4:$M$60,2))</f>
        <v>0</v>
      </c>
      <c r="L44" s="960">
        <f t="shared" si="23"/>
        <v>0</v>
      </c>
      <c r="M44" s="961">
        <f t="shared" si="24"/>
        <v>0</v>
      </c>
      <c r="N44" s="960">
        <f t="shared" si="25"/>
        <v>0</v>
      </c>
      <c r="O44" s="960">
        <f t="shared" si="26"/>
        <v>0</v>
      </c>
      <c r="P44" s="960">
        <f t="shared" si="27"/>
        <v>0</v>
      </c>
      <c r="Q44" s="960">
        <f t="shared" si="28"/>
        <v>0</v>
      </c>
      <c r="R44" s="962">
        <f t="shared" si="29"/>
        <v>0</v>
      </c>
      <c r="S44" s="952"/>
      <c r="T44" s="952"/>
      <c r="U44" s="952"/>
      <c r="V44" s="952"/>
      <c r="W44" s="952"/>
      <c r="X44" s="952"/>
      <c r="Y44" s="952"/>
      <c r="Z44" s="952"/>
    </row>
    <row r="45" spans="1:26" ht="18.75" customHeight="1" x14ac:dyDescent="0.35">
      <c r="A45" s="956">
        <f t="shared" si="20"/>
        <v>0</v>
      </c>
      <c r="B45" s="957"/>
      <c r="C45" s="957"/>
      <c r="D45" s="957"/>
      <c r="E45" s="957"/>
      <c r="F45" s="958"/>
      <c r="G45" s="952"/>
      <c r="H45" s="952"/>
      <c r="I45" s="959">
        <f t="shared" si="21"/>
        <v>0</v>
      </c>
      <c r="J45" s="959">
        <f t="shared" si="22"/>
        <v>0</v>
      </c>
      <c r="K45" s="960">
        <f>IF(B45=0,0,VLOOKUP(B45,'Prix Matiere'!$A$4:$M$60,2))</f>
        <v>0</v>
      </c>
      <c r="L45" s="960">
        <f t="shared" si="23"/>
        <v>0</v>
      </c>
      <c r="M45" s="961">
        <f t="shared" si="24"/>
        <v>0</v>
      </c>
      <c r="N45" s="960">
        <f t="shared" si="25"/>
        <v>0</v>
      </c>
      <c r="O45" s="960">
        <f t="shared" si="26"/>
        <v>0</v>
      </c>
      <c r="P45" s="960">
        <f t="shared" si="27"/>
        <v>0</v>
      </c>
      <c r="Q45" s="960">
        <f t="shared" si="28"/>
        <v>0</v>
      </c>
      <c r="R45" s="962">
        <f t="shared" si="29"/>
        <v>0</v>
      </c>
      <c r="S45" s="952"/>
      <c r="T45" s="952"/>
      <c r="U45" s="952"/>
      <c r="V45" s="952"/>
      <c r="W45" s="952"/>
      <c r="X45" s="952"/>
      <c r="Y45" s="952"/>
      <c r="Z45" s="952"/>
    </row>
    <row r="46" spans="1:26" ht="18.75" customHeight="1" x14ac:dyDescent="0.35">
      <c r="A46" s="956">
        <f t="shared" si="20"/>
        <v>0</v>
      </c>
      <c r="B46" s="957"/>
      <c r="C46" s="957"/>
      <c r="D46" s="957"/>
      <c r="E46" s="957"/>
      <c r="F46" s="958"/>
      <c r="G46" s="952"/>
      <c r="H46" s="952"/>
      <c r="I46" s="959">
        <f t="shared" si="21"/>
        <v>0</v>
      </c>
      <c r="J46" s="959">
        <f t="shared" si="22"/>
        <v>0</v>
      </c>
      <c r="K46" s="960">
        <f>IF(B46=0,0,VLOOKUP(B46,'Prix Matiere'!$A$4:$M$60,2))</f>
        <v>0</v>
      </c>
      <c r="L46" s="960">
        <f t="shared" si="23"/>
        <v>0</v>
      </c>
      <c r="M46" s="961">
        <f t="shared" si="24"/>
        <v>0</v>
      </c>
      <c r="N46" s="960">
        <f t="shared" si="25"/>
        <v>0</v>
      </c>
      <c r="O46" s="960">
        <f t="shared" si="26"/>
        <v>0</v>
      </c>
      <c r="P46" s="960">
        <f t="shared" si="27"/>
        <v>0</v>
      </c>
      <c r="Q46" s="960">
        <f t="shared" si="28"/>
        <v>0</v>
      </c>
      <c r="R46" s="962">
        <f t="shared" si="29"/>
        <v>0</v>
      </c>
      <c r="S46" s="952"/>
      <c r="T46" s="952"/>
      <c r="U46" s="952"/>
      <c r="V46" s="952"/>
      <c r="W46" s="952"/>
      <c r="X46" s="952"/>
      <c r="Y46" s="952"/>
      <c r="Z46" s="952"/>
    </row>
    <row r="47" spans="1:26" ht="18.75" customHeight="1" x14ac:dyDescent="0.35">
      <c r="A47" s="956">
        <f t="shared" si="20"/>
        <v>0</v>
      </c>
      <c r="B47" s="957"/>
      <c r="C47" s="957"/>
      <c r="D47" s="957"/>
      <c r="E47" s="957"/>
      <c r="F47" s="958"/>
      <c r="G47" s="952"/>
      <c r="H47" s="952"/>
      <c r="I47" s="959">
        <f t="shared" si="21"/>
        <v>0</v>
      </c>
      <c r="J47" s="959">
        <f t="shared" si="22"/>
        <v>0</v>
      </c>
      <c r="K47" s="960">
        <f>IF(B47=0,0,VLOOKUP(B47,'Prix Matiere'!$A$4:$M$60,2))</f>
        <v>0</v>
      </c>
      <c r="L47" s="960">
        <f t="shared" si="23"/>
        <v>0</v>
      </c>
      <c r="M47" s="961">
        <f t="shared" si="24"/>
        <v>0</v>
      </c>
      <c r="N47" s="960">
        <f t="shared" si="25"/>
        <v>0</v>
      </c>
      <c r="O47" s="960">
        <f t="shared" si="26"/>
        <v>0</v>
      </c>
      <c r="P47" s="960">
        <f t="shared" si="27"/>
        <v>0</v>
      </c>
      <c r="Q47" s="960">
        <f t="shared" si="28"/>
        <v>0</v>
      </c>
      <c r="R47" s="962">
        <f t="shared" si="29"/>
        <v>0</v>
      </c>
      <c r="S47" s="952"/>
      <c r="T47" s="952"/>
      <c r="U47" s="952"/>
      <c r="V47" s="952"/>
      <c r="W47" s="952"/>
      <c r="X47" s="952"/>
      <c r="Y47" s="952"/>
      <c r="Z47" s="952"/>
    </row>
    <row r="48" spans="1:26" ht="18.75" customHeight="1" x14ac:dyDescent="0.35">
      <c r="A48" s="956">
        <f t="shared" si="20"/>
        <v>0</v>
      </c>
      <c r="B48" s="957"/>
      <c r="C48" s="957"/>
      <c r="D48" s="957"/>
      <c r="E48" s="957"/>
      <c r="F48" s="958"/>
      <c r="G48" s="952"/>
      <c r="H48" s="952"/>
      <c r="I48" s="959">
        <f t="shared" si="21"/>
        <v>0</v>
      </c>
      <c r="J48" s="959">
        <f t="shared" si="22"/>
        <v>0</v>
      </c>
      <c r="K48" s="960">
        <f>IF(B48=0,0,VLOOKUP(B48,'Prix Matiere'!$A$4:$M$60,2))</f>
        <v>0</v>
      </c>
      <c r="L48" s="960">
        <f t="shared" si="23"/>
        <v>0</v>
      </c>
      <c r="M48" s="961">
        <f t="shared" si="24"/>
        <v>0</v>
      </c>
      <c r="N48" s="960">
        <f t="shared" si="25"/>
        <v>0</v>
      </c>
      <c r="O48" s="960">
        <f t="shared" si="26"/>
        <v>0</v>
      </c>
      <c r="P48" s="960">
        <f t="shared" si="27"/>
        <v>0</v>
      </c>
      <c r="Q48" s="960">
        <f t="shared" si="28"/>
        <v>0</v>
      </c>
      <c r="R48" s="962">
        <f t="shared" si="29"/>
        <v>0</v>
      </c>
      <c r="S48" s="952"/>
      <c r="T48" s="952"/>
      <c r="U48" s="952"/>
      <c r="V48" s="952"/>
      <c r="W48" s="952"/>
      <c r="X48" s="952"/>
      <c r="Y48" s="952"/>
      <c r="Z48" s="952"/>
    </row>
    <row r="49" spans="1:26" ht="18.75" customHeight="1" x14ac:dyDescent="0.35">
      <c r="A49" s="956">
        <f t="shared" si="20"/>
        <v>0</v>
      </c>
      <c r="B49" s="957"/>
      <c r="C49" s="957"/>
      <c r="D49" s="957"/>
      <c r="E49" s="957"/>
      <c r="F49" s="958"/>
      <c r="G49" s="952"/>
      <c r="H49" s="952"/>
      <c r="I49" s="959">
        <f t="shared" si="21"/>
        <v>0</v>
      </c>
      <c r="J49" s="959">
        <f t="shared" si="22"/>
        <v>0</v>
      </c>
      <c r="K49" s="960">
        <f>IF(B49=0,0,VLOOKUP(B49,'Prix Matiere'!$A$4:$M$60,2))</f>
        <v>0</v>
      </c>
      <c r="L49" s="960">
        <f t="shared" si="23"/>
        <v>0</v>
      </c>
      <c r="M49" s="961">
        <f t="shared" si="24"/>
        <v>0</v>
      </c>
      <c r="N49" s="960">
        <f t="shared" si="25"/>
        <v>0</v>
      </c>
      <c r="O49" s="960">
        <f t="shared" si="26"/>
        <v>0</v>
      </c>
      <c r="P49" s="960">
        <f t="shared" si="27"/>
        <v>0</v>
      </c>
      <c r="Q49" s="960">
        <f t="shared" si="28"/>
        <v>0</v>
      </c>
      <c r="R49" s="962">
        <f t="shared" si="29"/>
        <v>0</v>
      </c>
      <c r="S49" s="952"/>
      <c r="T49" s="952"/>
      <c r="U49" s="952"/>
      <c r="V49" s="952"/>
      <c r="W49" s="952"/>
      <c r="X49" s="952"/>
      <c r="Y49" s="952"/>
      <c r="Z49" s="952"/>
    </row>
    <row r="50" spans="1:26" ht="18.75" customHeight="1" x14ac:dyDescent="0.35">
      <c r="A50" s="956">
        <f t="shared" si="20"/>
        <v>0</v>
      </c>
      <c r="B50" s="957"/>
      <c r="C50" s="957"/>
      <c r="D50" s="957"/>
      <c r="E50" s="957"/>
      <c r="F50" s="958"/>
      <c r="G50" s="952"/>
      <c r="H50" s="952"/>
      <c r="I50" s="959">
        <f t="shared" si="21"/>
        <v>0</v>
      </c>
      <c r="J50" s="959">
        <f t="shared" si="22"/>
        <v>0</v>
      </c>
      <c r="K50" s="960">
        <f>IF(B50=0,0,VLOOKUP(B50,'Prix Matiere'!$A$4:$M$60,2))</f>
        <v>0</v>
      </c>
      <c r="L50" s="960">
        <f t="shared" si="23"/>
        <v>0</v>
      </c>
      <c r="M50" s="961">
        <f t="shared" si="24"/>
        <v>0</v>
      </c>
      <c r="N50" s="960">
        <f t="shared" si="25"/>
        <v>0</v>
      </c>
      <c r="O50" s="960">
        <f t="shared" si="26"/>
        <v>0</v>
      </c>
      <c r="P50" s="960">
        <f t="shared" si="27"/>
        <v>0</v>
      </c>
      <c r="Q50" s="960">
        <f t="shared" si="28"/>
        <v>0</v>
      </c>
      <c r="R50" s="962">
        <f t="shared" si="29"/>
        <v>0</v>
      </c>
      <c r="S50" s="952"/>
      <c r="T50" s="952"/>
      <c r="U50" s="952"/>
      <c r="V50" s="952"/>
      <c r="W50" s="952"/>
      <c r="X50" s="952"/>
      <c r="Y50" s="952"/>
      <c r="Z50" s="952"/>
    </row>
    <row r="51" spans="1:26" ht="18.75" customHeight="1" x14ac:dyDescent="0.35">
      <c r="A51" s="956">
        <f t="shared" si="20"/>
        <v>0</v>
      </c>
      <c r="B51" s="957"/>
      <c r="C51" s="957"/>
      <c r="D51" s="957"/>
      <c r="E51" s="957"/>
      <c r="F51" s="958"/>
      <c r="G51" s="952"/>
      <c r="H51" s="952"/>
      <c r="I51" s="959">
        <f t="shared" si="21"/>
        <v>0</v>
      </c>
      <c r="J51" s="959">
        <f t="shared" si="22"/>
        <v>0</v>
      </c>
      <c r="K51" s="960">
        <f>IF(B51=0,0,VLOOKUP(B51,'Prix Matiere'!$A$4:$M$60,2))</f>
        <v>0</v>
      </c>
      <c r="L51" s="960">
        <f t="shared" si="23"/>
        <v>0</v>
      </c>
      <c r="M51" s="961">
        <f t="shared" si="24"/>
        <v>0</v>
      </c>
      <c r="N51" s="960">
        <f t="shared" si="25"/>
        <v>0</v>
      </c>
      <c r="O51" s="960">
        <f t="shared" si="26"/>
        <v>0</v>
      </c>
      <c r="P51" s="960">
        <f t="shared" si="27"/>
        <v>0</v>
      </c>
      <c r="Q51" s="960">
        <f t="shared" si="28"/>
        <v>0</v>
      </c>
      <c r="R51" s="962">
        <f t="shared" si="29"/>
        <v>0</v>
      </c>
      <c r="S51" s="952"/>
      <c r="T51" s="952"/>
      <c r="U51" s="952"/>
      <c r="V51" s="952"/>
      <c r="W51" s="952"/>
      <c r="X51" s="952"/>
      <c r="Y51" s="952"/>
      <c r="Z51" s="952"/>
    </row>
    <row r="52" spans="1:26" ht="18.75" customHeight="1" x14ac:dyDescent="0.35">
      <c r="A52" s="956">
        <f t="shared" si="20"/>
        <v>0</v>
      </c>
      <c r="B52" s="957"/>
      <c r="C52" s="957"/>
      <c r="D52" s="957"/>
      <c r="E52" s="957"/>
      <c r="F52" s="958"/>
      <c r="G52" s="952"/>
      <c r="H52" s="952"/>
      <c r="I52" s="959">
        <f t="shared" si="21"/>
        <v>0</v>
      </c>
      <c r="J52" s="959">
        <f t="shared" si="22"/>
        <v>0</v>
      </c>
      <c r="K52" s="960">
        <f>IF(B52=0,0,VLOOKUP(B52,'Prix Matiere'!$A$4:$M$60,2))</f>
        <v>0</v>
      </c>
      <c r="L52" s="960">
        <f t="shared" si="23"/>
        <v>0</v>
      </c>
      <c r="M52" s="961">
        <f t="shared" si="24"/>
        <v>0</v>
      </c>
      <c r="N52" s="960">
        <f t="shared" si="25"/>
        <v>0</v>
      </c>
      <c r="O52" s="960">
        <f t="shared" si="26"/>
        <v>0</v>
      </c>
      <c r="P52" s="960">
        <f t="shared" si="27"/>
        <v>0</v>
      </c>
      <c r="Q52" s="960">
        <f t="shared" si="28"/>
        <v>0</v>
      </c>
      <c r="R52" s="962">
        <f t="shared" si="29"/>
        <v>0</v>
      </c>
      <c r="S52" s="952"/>
      <c r="T52" s="952"/>
      <c r="U52" s="952"/>
      <c r="V52" s="952"/>
      <c r="W52" s="952"/>
      <c r="X52" s="952"/>
      <c r="Y52" s="952"/>
      <c r="Z52" s="952"/>
    </row>
    <row r="53" spans="1:26" ht="18.75" customHeight="1" x14ac:dyDescent="0.35">
      <c r="A53" s="956">
        <f t="shared" si="20"/>
        <v>0</v>
      </c>
      <c r="B53" s="964"/>
      <c r="C53" s="964"/>
      <c r="D53" s="964"/>
      <c r="E53" s="964"/>
      <c r="F53" s="965"/>
      <c r="G53" s="966"/>
      <c r="H53" s="966"/>
      <c r="I53" s="967">
        <f t="shared" si="21"/>
        <v>0</v>
      </c>
      <c r="J53" s="967">
        <f t="shared" si="22"/>
        <v>0</v>
      </c>
      <c r="K53" s="960">
        <f>IF(B53=0,0,VLOOKUP(B53,'Prix Matiere'!$A$4:$M$60,2))</f>
        <v>0</v>
      </c>
      <c r="L53" s="968">
        <f t="shared" si="23"/>
        <v>0</v>
      </c>
      <c r="M53" s="969">
        <f t="shared" si="24"/>
        <v>0</v>
      </c>
      <c r="N53" s="968">
        <f t="shared" si="25"/>
        <v>0</v>
      </c>
      <c r="O53" s="968">
        <f t="shared" si="26"/>
        <v>0</v>
      </c>
      <c r="P53" s="968">
        <f t="shared" si="27"/>
        <v>0</v>
      </c>
      <c r="Q53" s="968">
        <f t="shared" si="28"/>
        <v>0</v>
      </c>
      <c r="R53" s="970">
        <f t="shared" si="29"/>
        <v>0</v>
      </c>
      <c r="S53" s="952"/>
      <c r="T53" s="952"/>
      <c r="U53" s="952"/>
      <c r="V53" s="952"/>
      <c r="W53" s="952"/>
      <c r="X53" s="952"/>
      <c r="Y53" s="952"/>
      <c r="Z53" s="952"/>
    </row>
    <row r="54" spans="1:26" ht="18.75" customHeight="1" x14ac:dyDescent="0.35">
      <c r="A54" s="952"/>
      <c r="B54" s="952"/>
      <c r="C54" s="952"/>
      <c r="D54" s="952"/>
      <c r="E54" s="952"/>
      <c r="F54" s="952"/>
      <c r="G54" s="952"/>
      <c r="H54" s="952"/>
      <c r="I54" s="952"/>
      <c r="J54" s="952"/>
      <c r="K54" s="952"/>
      <c r="L54" s="952"/>
      <c r="M54" s="952"/>
      <c r="N54" s="952"/>
      <c r="O54" s="952"/>
      <c r="P54" s="952"/>
      <c r="Q54" s="952"/>
      <c r="R54" s="952"/>
      <c r="S54" s="952"/>
      <c r="T54" s="952"/>
      <c r="U54" s="952"/>
      <c r="V54" s="952"/>
      <c r="W54" s="952"/>
      <c r="X54" s="952"/>
      <c r="Y54" s="952"/>
      <c r="Z54" s="952"/>
    </row>
    <row r="55" spans="1:26" ht="18.75" customHeight="1" x14ac:dyDescent="0.35">
      <c r="A55" s="1210" t="s">
        <v>525</v>
      </c>
      <c r="B55" s="1153"/>
      <c r="C55" s="1153"/>
      <c r="D55" s="1153"/>
      <c r="E55" s="1153"/>
      <c r="F55" s="1211"/>
      <c r="G55" s="950"/>
      <c r="H55" s="950"/>
      <c r="I55" s="950"/>
      <c r="J55" s="950"/>
      <c r="K55" s="950"/>
      <c r="L55" s="950"/>
      <c r="M55" s="950"/>
      <c r="N55" s="950"/>
      <c r="O55" s="950"/>
      <c r="P55" s="950"/>
      <c r="Q55" s="950"/>
      <c r="R55" s="951"/>
      <c r="S55" s="952"/>
      <c r="T55" s="952"/>
      <c r="U55" s="952"/>
      <c r="V55" s="952"/>
      <c r="W55" s="952"/>
      <c r="X55" s="952"/>
      <c r="Y55" s="952"/>
      <c r="Z55" s="952"/>
    </row>
    <row r="56" spans="1:26" ht="18.75" customHeight="1" x14ac:dyDescent="0.35">
      <c r="A56" s="953"/>
      <c r="B56" s="954"/>
      <c r="C56" s="954"/>
      <c r="D56" s="954"/>
      <c r="E56" s="954"/>
      <c r="F56" s="954"/>
      <c r="G56" s="952"/>
      <c r="H56" s="952"/>
      <c r="I56" s="952"/>
      <c r="J56" s="952"/>
      <c r="K56" s="952"/>
      <c r="L56" s="952"/>
      <c r="M56" s="952"/>
      <c r="N56" s="952"/>
      <c r="O56" s="952"/>
      <c r="P56" s="952"/>
      <c r="Q56" s="952"/>
      <c r="R56" s="955"/>
      <c r="S56" s="952"/>
      <c r="T56" s="952"/>
      <c r="U56" s="952"/>
      <c r="V56" s="952"/>
      <c r="W56" s="952"/>
      <c r="X56" s="952"/>
      <c r="Y56" s="952"/>
      <c r="Z56" s="952"/>
    </row>
    <row r="57" spans="1:26" ht="18.75" customHeight="1" x14ac:dyDescent="0.35">
      <c r="A57" s="953" t="s">
        <v>526</v>
      </c>
      <c r="B57" s="954" t="s">
        <v>527</v>
      </c>
      <c r="C57" s="954" t="s">
        <v>508</v>
      </c>
      <c r="D57" s="1209" t="s">
        <v>509</v>
      </c>
      <c r="E57" s="1101"/>
      <c r="F57" s="954" t="s">
        <v>34</v>
      </c>
      <c r="G57" s="952"/>
      <c r="H57" s="952"/>
      <c r="I57" s="1207" t="s">
        <v>273</v>
      </c>
      <c r="J57" s="1207" t="s">
        <v>510</v>
      </c>
      <c r="K57" s="1207" t="s">
        <v>511</v>
      </c>
      <c r="L57" s="1207" t="s">
        <v>512</v>
      </c>
      <c r="M57" s="1207" t="s">
        <v>513</v>
      </c>
      <c r="N57" s="1207" t="s">
        <v>514</v>
      </c>
      <c r="O57" s="1207" t="s">
        <v>515</v>
      </c>
      <c r="P57" s="1207" t="s">
        <v>516</v>
      </c>
      <c r="Q57" s="1207" t="s">
        <v>81</v>
      </c>
      <c r="R57" s="1208" t="s">
        <v>517</v>
      </c>
      <c r="S57" s="952"/>
      <c r="T57" s="952"/>
      <c r="U57" s="952"/>
      <c r="V57" s="952"/>
      <c r="W57" s="952"/>
      <c r="X57" s="952"/>
      <c r="Y57" s="952"/>
      <c r="Z57" s="952"/>
    </row>
    <row r="58" spans="1:26" ht="18.75" customHeight="1" x14ac:dyDescent="0.35">
      <c r="A58" s="956"/>
      <c r="B58" s="952"/>
      <c r="C58" s="954" t="s">
        <v>518</v>
      </c>
      <c r="D58" s="954" t="s">
        <v>28</v>
      </c>
      <c r="E58" s="954" t="s">
        <v>519</v>
      </c>
      <c r="F58" s="952"/>
      <c r="G58" s="952"/>
      <c r="H58" s="952"/>
      <c r="I58" s="1108"/>
      <c r="J58" s="1108"/>
      <c r="K58" s="1108"/>
      <c r="L58" s="1108"/>
      <c r="M58" s="1108"/>
      <c r="N58" s="1108"/>
      <c r="O58" s="1108"/>
      <c r="P58" s="1108"/>
      <c r="Q58" s="1108"/>
      <c r="R58" s="1148"/>
      <c r="S58" s="952"/>
      <c r="T58" s="952"/>
      <c r="U58" s="952"/>
      <c r="V58" s="952"/>
      <c r="W58" s="952"/>
      <c r="X58" s="952"/>
      <c r="Y58" s="952"/>
      <c r="Z58" s="952"/>
    </row>
    <row r="59" spans="1:26" ht="18.75" customHeight="1" x14ac:dyDescent="0.35">
      <c r="A59" s="956"/>
      <c r="B59" s="952"/>
      <c r="C59" s="952"/>
      <c r="D59" s="952"/>
      <c r="E59" s="952"/>
      <c r="F59" s="952"/>
      <c r="G59" s="952"/>
      <c r="H59" s="952"/>
      <c r="I59" s="952"/>
      <c r="J59" s="952"/>
      <c r="K59" s="952"/>
      <c r="L59" s="952"/>
      <c r="M59" s="952"/>
      <c r="N59" s="952"/>
      <c r="O59" s="952"/>
      <c r="P59" s="952"/>
      <c r="Q59" s="952"/>
      <c r="R59" s="955"/>
      <c r="S59" s="952"/>
      <c r="T59" s="952"/>
      <c r="U59" s="952"/>
      <c r="V59" s="952"/>
      <c r="W59" s="952"/>
      <c r="X59" s="952"/>
      <c r="Y59" s="952"/>
      <c r="Z59" s="952"/>
    </row>
    <row r="60" spans="1:26" ht="18.75" customHeight="1" x14ac:dyDescent="0.35">
      <c r="A60" s="956">
        <f t="shared" ref="A60:A71" si="30">IF(B60=0,0,VLOOKUP(B60,$A$110:$C$112,2))</f>
        <v>0</v>
      </c>
      <c r="B60" s="957"/>
      <c r="C60" s="957"/>
      <c r="D60" s="957"/>
      <c r="E60" s="957"/>
      <c r="F60" s="958"/>
      <c r="G60" s="952"/>
      <c r="H60" s="952"/>
      <c r="I60" s="959">
        <f t="shared" ref="I60:I71" si="31">IF(B60=0,0,(D60/100)*(E60/100)*F60)</f>
        <v>0</v>
      </c>
      <c r="J60" s="959">
        <f t="shared" ref="J60:J71" si="32">IF(C60="Non",I60,I60/0.8)</f>
        <v>0</v>
      </c>
      <c r="K60" s="960">
        <f>IF(B60=0,0,VLOOKUP(B60,'Prix Matiere'!$A$4:$M$60,2))</f>
        <v>0</v>
      </c>
      <c r="L60" s="960">
        <f t="shared" ref="L60:L71" si="33">K60*J60</f>
        <v>0</v>
      </c>
      <c r="M60" s="961">
        <f t="shared" ref="M60:M71" si="34">IF(I60=0,0,IF(C60="Oui",(2)+2,2))</f>
        <v>0</v>
      </c>
      <c r="N60" s="960">
        <f t="shared" ref="N60:N71" si="35">M60*MinuteMO</f>
        <v>0</v>
      </c>
      <c r="O60" s="960">
        <f t="shared" ref="O60:O71" si="36">IF(C60="Non",0,((L60+N60)/Frais_Généraux)-(L60+N60))</f>
        <v>0</v>
      </c>
      <c r="P60" s="960">
        <f t="shared" ref="P60:P71" si="37">O60+N60+L60</f>
        <v>0</v>
      </c>
      <c r="Q60" s="960">
        <f t="shared" ref="Q60:Q71" si="38">IF(F60=0,0,(P60/(1-Marge)-P60))</f>
        <v>0</v>
      </c>
      <c r="R60" s="962">
        <f t="shared" ref="R60:R71" si="39">P60+Q60</f>
        <v>0</v>
      </c>
      <c r="S60" s="952"/>
      <c r="T60" s="952"/>
      <c r="U60" s="952"/>
      <c r="V60" s="952"/>
      <c r="W60" s="952"/>
      <c r="X60" s="952"/>
      <c r="Y60" s="952"/>
      <c r="Z60" s="952"/>
    </row>
    <row r="61" spans="1:26" ht="18.75" customHeight="1" x14ac:dyDescent="0.35">
      <c r="A61" s="956">
        <f t="shared" si="30"/>
        <v>0</v>
      </c>
      <c r="B61" s="957"/>
      <c r="C61" s="957"/>
      <c r="D61" s="957"/>
      <c r="E61" s="957"/>
      <c r="F61" s="958"/>
      <c r="G61" s="952"/>
      <c r="H61" s="952"/>
      <c r="I61" s="959">
        <f t="shared" si="31"/>
        <v>0</v>
      </c>
      <c r="J61" s="959">
        <f t="shared" si="32"/>
        <v>0</v>
      </c>
      <c r="K61" s="960">
        <f>IF(B61=0,0,VLOOKUP(B61,'Prix Matiere'!$A$4:$M$60,2))</f>
        <v>0</v>
      </c>
      <c r="L61" s="960">
        <f t="shared" si="33"/>
        <v>0</v>
      </c>
      <c r="M61" s="961">
        <f t="shared" si="34"/>
        <v>0</v>
      </c>
      <c r="N61" s="960">
        <f t="shared" si="35"/>
        <v>0</v>
      </c>
      <c r="O61" s="960">
        <f t="shared" si="36"/>
        <v>0</v>
      </c>
      <c r="P61" s="960">
        <f t="shared" si="37"/>
        <v>0</v>
      </c>
      <c r="Q61" s="960">
        <f t="shared" si="38"/>
        <v>0</v>
      </c>
      <c r="R61" s="962">
        <f t="shared" si="39"/>
        <v>0</v>
      </c>
      <c r="S61" s="952"/>
      <c r="T61" s="952"/>
      <c r="U61" s="952"/>
      <c r="V61" s="952"/>
      <c r="W61" s="952"/>
      <c r="X61" s="952"/>
      <c r="Y61" s="952"/>
      <c r="Z61" s="952"/>
    </row>
    <row r="62" spans="1:26" ht="18.75" customHeight="1" x14ac:dyDescent="0.35">
      <c r="A62" s="956">
        <f t="shared" si="30"/>
        <v>0</v>
      </c>
      <c r="B62" s="957"/>
      <c r="C62" s="957"/>
      <c r="D62" s="957"/>
      <c r="E62" s="957"/>
      <c r="F62" s="958"/>
      <c r="G62" s="952"/>
      <c r="H62" s="952"/>
      <c r="I62" s="959">
        <f t="shared" si="31"/>
        <v>0</v>
      </c>
      <c r="J62" s="959">
        <f t="shared" si="32"/>
        <v>0</v>
      </c>
      <c r="K62" s="960">
        <f>IF(B62=0,0,VLOOKUP(B62,'Prix Matiere'!$A$4:$M$60,2))</f>
        <v>0</v>
      </c>
      <c r="L62" s="960">
        <f t="shared" si="33"/>
        <v>0</v>
      </c>
      <c r="M62" s="961">
        <f t="shared" si="34"/>
        <v>0</v>
      </c>
      <c r="N62" s="960">
        <f t="shared" si="35"/>
        <v>0</v>
      </c>
      <c r="O62" s="960">
        <f t="shared" si="36"/>
        <v>0</v>
      </c>
      <c r="P62" s="960">
        <f t="shared" si="37"/>
        <v>0</v>
      </c>
      <c r="Q62" s="960">
        <f t="shared" si="38"/>
        <v>0</v>
      </c>
      <c r="R62" s="962">
        <f t="shared" si="39"/>
        <v>0</v>
      </c>
      <c r="S62" s="952"/>
      <c r="T62" s="952"/>
      <c r="U62" s="952"/>
      <c r="V62" s="952"/>
      <c r="W62" s="952"/>
      <c r="X62" s="952"/>
      <c r="Y62" s="952"/>
      <c r="Z62" s="952"/>
    </row>
    <row r="63" spans="1:26" ht="18.75" customHeight="1" x14ac:dyDescent="0.35">
      <c r="A63" s="956">
        <f t="shared" si="30"/>
        <v>0</v>
      </c>
      <c r="B63" s="957"/>
      <c r="C63" s="957"/>
      <c r="D63" s="957"/>
      <c r="E63" s="957"/>
      <c r="F63" s="958"/>
      <c r="G63" s="952"/>
      <c r="H63" s="952"/>
      <c r="I63" s="959">
        <f t="shared" si="31"/>
        <v>0</v>
      </c>
      <c r="J63" s="959">
        <f t="shared" si="32"/>
        <v>0</v>
      </c>
      <c r="K63" s="960">
        <f>IF(B63=0,0,VLOOKUP(B63,'Prix Matiere'!$A$4:$M$60,2))</f>
        <v>0</v>
      </c>
      <c r="L63" s="960">
        <f t="shared" si="33"/>
        <v>0</v>
      </c>
      <c r="M63" s="961">
        <f t="shared" si="34"/>
        <v>0</v>
      </c>
      <c r="N63" s="960">
        <f t="shared" si="35"/>
        <v>0</v>
      </c>
      <c r="O63" s="960">
        <f t="shared" si="36"/>
        <v>0</v>
      </c>
      <c r="P63" s="960">
        <f t="shared" si="37"/>
        <v>0</v>
      </c>
      <c r="Q63" s="960">
        <f t="shared" si="38"/>
        <v>0</v>
      </c>
      <c r="R63" s="962">
        <f t="shared" si="39"/>
        <v>0</v>
      </c>
      <c r="S63" s="952"/>
      <c r="T63" s="952"/>
      <c r="U63" s="952"/>
      <c r="V63" s="952"/>
      <c r="W63" s="952"/>
      <c r="X63" s="952"/>
      <c r="Y63" s="952"/>
      <c r="Z63" s="952"/>
    </row>
    <row r="64" spans="1:26" ht="18.75" customHeight="1" x14ac:dyDescent="0.35">
      <c r="A64" s="956">
        <f t="shared" si="30"/>
        <v>0</v>
      </c>
      <c r="B64" s="957"/>
      <c r="C64" s="957"/>
      <c r="D64" s="957"/>
      <c r="E64" s="957"/>
      <c r="F64" s="958"/>
      <c r="G64" s="952"/>
      <c r="H64" s="952"/>
      <c r="I64" s="959">
        <f t="shared" si="31"/>
        <v>0</v>
      </c>
      <c r="J64" s="959">
        <f t="shared" si="32"/>
        <v>0</v>
      </c>
      <c r="K64" s="960">
        <f>IF(B64=0,0,VLOOKUP(B64,'Prix Matiere'!$A$4:$M$60,2))</f>
        <v>0</v>
      </c>
      <c r="L64" s="960">
        <f t="shared" si="33"/>
        <v>0</v>
      </c>
      <c r="M64" s="961">
        <f t="shared" si="34"/>
        <v>0</v>
      </c>
      <c r="N64" s="960">
        <f t="shared" si="35"/>
        <v>0</v>
      </c>
      <c r="O64" s="960">
        <f t="shared" si="36"/>
        <v>0</v>
      </c>
      <c r="P64" s="960">
        <f t="shared" si="37"/>
        <v>0</v>
      </c>
      <c r="Q64" s="960">
        <f t="shared" si="38"/>
        <v>0</v>
      </c>
      <c r="R64" s="962">
        <f t="shared" si="39"/>
        <v>0</v>
      </c>
      <c r="S64" s="952"/>
      <c r="T64" s="952"/>
      <c r="U64" s="952"/>
      <c r="V64" s="952"/>
      <c r="W64" s="952"/>
      <c r="X64" s="952"/>
      <c r="Y64" s="952"/>
      <c r="Z64" s="952"/>
    </row>
    <row r="65" spans="1:26" ht="18.75" customHeight="1" x14ac:dyDescent="0.35">
      <c r="A65" s="956">
        <f t="shared" si="30"/>
        <v>0</v>
      </c>
      <c r="B65" s="957"/>
      <c r="C65" s="957"/>
      <c r="D65" s="957"/>
      <c r="E65" s="957"/>
      <c r="F65" s="958"/>
      <c r="G65" s="952"/>
      <c r="H65" s="952"/>
      <c r="I65" s="959">
        <f t="shared" si="31"/>
        <v>0</v>
      </c>
      <c r="J65" s="959">
        <f t="shared" si="32"/>
        <v>0</v>
      </c>
      <c r="K65" s="960">
        <f>IF(B65=0,0,VLOOKUP(B65,'Prix Matiere'!$A$4:$M$60,2))</f>
        <v>0</v>
      </c>
      <c r="L65" s="960">
        <f t="shared" si="33"/>
        <v>0</v>
      </c>
      <c r="M65" s="961">
        <f t="shared" si="34"/>
        <v>0</v>
      </c>
      <c r="N65" s="960">
        <f t="shared" si="35"/>
        <v>0</v>
      </c>
      <c r="O65" s="960">
        <f t="shared" si="36"/>
        <v>0</v>
      </c>
      <c r="P65" s="960">
        <f t="shared" si="37"/>
        <v>0</v>
      </c>
      <c r="Q65" s="960">
        <f t="shared" si="38"/>
        <v>0</v>
      </c>
      <c r="R65" s="962">
        <f t="shared" si="39"/>
        <v>0</v>
      </c>
      <c r="S65" s="952"/>
      <c r="T65" s="952"/>
      <c r="U65" s="952"/>
      <c r="V65" s="952"/>
      <c r="W65" s="952"/>
      <c r="X65" s="952"/>
      <c r="Y65" s="952"/>
      <c r="Z65" s="952"/>
    </row>
    <row r="66" spans="1:26" ht="18.75" customHeight="1" x14ac:dyDescent="0.35">
      <c r="A66" s="956">
        <f t="shared" si="30"/>
        <v>0</v>
      </c>
      <c r="B66" s="957"/>
      <c r="C66" s="957"/>
      <c r="D66" s="957"/>
      <c r="E66" s="957"/>
      <c r="F66" s="958"/>
      <c r="G66" s="952"/>
      <c r="H66" s="952"/>
      <c r="I66" s="959">
        <f t="shared" si="31"/>
        <v>0</v>
      </c>
      <c r="J66" s="959">
        <f t="shared" si="32"/>
        <v>0</v>
      </c>
      <c r="K66" s="960">
        <f>IF(B66=0,0,VLOOKUP(B66,'Prix Matiere'!$A$4:$M$60,2))</f>
        <v>0</v>
      </c>
      <c r="L66" s="960">
        <f t="shared" si="33"/>
        <v>0</v>
      </c>
      <c r="M66" s="961">
        <f t="shared" si="34"/>
        <v>0</v>
      </c>
      <c r="N66" s="960">
        <f t="shared" si="35"/>
        <v>0</v>
      </c>
      <c r="O66" s="960">
        <f t="shared" si="36"/>
        <v>0</v>
      </c>
      <c r="P66" s="960">
        <f t="shared" si="37"/>
        <v>0</v>
      </c>
      <c r="Q66" s="960">
        <f t="shared" si="38"/>
        <v>0</v>
      </c>
      <c r="R66" s="962">
        <f t="shared" si="39"/>
        <v>0</v>
      </c>
      <c r="S66" s="952"/>
      <c r="T66" s="952"/>
      <c r="U66" s="952"/>
      <c r="V66" s="952"/>
      <c r="W66" s="952"/>
      <c r="X66" s="952"/>
      <c r="Y66" s="952"/>
      <c r="Z66" s="952"/>
    </row>
    <row r="67" spans="1:26" ht="18.75" customHeight="1" x14ac:dyDescent="0.35">
      <c r="A67" s="956">
        <f t="shared" si="30"/>
        <v>0</v>
      </c>
      <c r="B67" s="957"/>
      <c r="C67" s="957"/>
      <c r="D67" s="957"/>
      <c r="E67" s="957"/>
      <c r="F67" s="958"/>
      <c r="G67" s="952"/>
      <c r="H67" s="952"/>
      <c r="I67" s="959">
        <f t="shared" si="31"/>
        <v>0</v>
      </c>
      <c r="J67" s="959">
        <f t="shared" si="32"/>
        <v>0</v>
      </c>
      <c r="K67" s="960">
        <f>IF(B67=0,0,VLOOKUP(B67,'Prix Matiere'!$A$4:$M$60,2))</f>
        <v>0</v>
      </c>
      <c r="L67" s="960">
        <f t="shared" si="33"/>
        <v>0</v>
      </c>
      <c r="M67" s="961">
        <f t="shared" si="34"/>
        <v>0</v>
      </c>
      <c r="N67" s="960">
        <f t="shared" si="35"/>
        <v>0</v>
      </c>
      <c r="O67" s="960">
        <f t="shared" si="36"/>
        <v>0</v>
      </c>
      <c r="P67" s="960">
        <f t="shared" si="37"/>
        <v>0</v>
      </c>
      <c r="Q67" s="960">
        <f t="shared" si="38"/>
        <v>0</v>
      </c>
      <c r="R67" s="962">
        <f t="shared" si="39"/>
        <v>0</v>
      </c>
      <c r="S67" s="952"/>
      <c r="T67" s="952"/>
      <c r="U67" s="952"/>
      <c r="V67" s="952"/>
      <c r="W67" s="952"/>
      <c r="X67" s="952"/>
      <c r="Y67" s="952"/>
      <c r="Z67" s="952"/>
    </row>
    <row r="68" spans="1:26" ht="18.75" customHeight="1" x14ac:dyDescent="0.35">
      <c r="A68" s="956">
        <f t="shared" si="30"/>
        <v>0</v>
      </c>
      <c r="B68" s="957"/>
      <c r="C68" s="957"/>
      <c r="D68" s="957"/>
      <c r="E68" s="957"/>
      <c r="F68" s="958"/>
      <c r="G68" s="952"/>
      <c r="H68" s="952"/>
      <c r="I68" s="959">
        <f t="shared" si="31"/>
        <v>0</v>
      </c>
      <c r="J68" s="959">
        <f t="shared" si="32"/>
        <v>0</v>
      </c>
      <c r="K68" s="960">
        <f>IF(B68=0,0,VLOOKUP(B68,'Prix Matiere'!$A$4:$M$60,2))</f>
        <v>0</v>
      </c>
      <c r="L68" s="960">
        <f t="shared" si="33"/>
        <v>0</v>
      </c>
      <c r="M68" s="961">
        <f t="shared" si="34"/>
        <v>0</v>
      </c>
      <c r="N68" s="960">
        <f t="shared" si="35"/>
        <v>0</v>
      </c>
      <c r="O68" s="960">
        <f t="shared" si="36"/>
        <v>0</v>
      </c>
      <c r="P68" s="960">
        <f t="shared" si="37"/>
        <v>0</v>
      </c>
      <c r="Q68" s="960">
        <f t="shared" si="38"/>
        <v>0</v>
      </c>
      <c r="R68" s="962">
        <f t="shared" si="39"/>
        <v>0</v>
      </c>
      <c r="S68" s="952"/>
      <c r="T68" s="952"/>
      <c r="U68" s="952"/>
      <c r="V68" s="952"/>
      <c r="W68" s="952"/>
      <c r="X68" s="952"/>
      <c r="Y68" s="952"/>
      <c r="Z68" s="952"/>
    </row>
    <row r="69" spans="1:26" ht="18.75" customHeight="1" x14ac:dyDescent="0.35">
      <c r="A69" s="956">
        <f t="shared" si="30"/>
        <v>0</v>
      </c>
      <c r="B69" s="957"/>
      <c r="C69" s="957"/>
      <c r="D69" s="957"/>
      <c r="E69" s="957"/>
      <c r="F69" s="958"/>
      <c r="G69" s="952"/>
      <c r="H69" s="952"/>
      <c r="I69" s="959">
        <f t="shared" si="31"/>
        <v>0</v>
      </c>
      <c r="J69" s="959">
        <f t="shared" si="32"/>
        <v>0</v>
      </c>
      <c r="K69" s="960">
        <f>IF(B69=0,0,VLOOKUP(B69,'Prix Matiere'!$A$4:$M$60,2))</f>
        <v>0</v>
      </c>
      <c r="L69" s="960">
        <f t="shared" si="33"/>
        <v>0</v>
      </c>
      <c r="M69" s="961">
        <f t="shared" si="34"/>
        <v>0</v>
      </c>
      <c r="N69" s="960">
        <f t="shared" si="35"/>
        <v>0</v>
      </c>
      <c r="O69" s="960">
        <f t="shared" si="36"/>
        <v>0</v>
      </c>
      <c r="P69" s="960">
        <f t="shared" si="37"/>
        <v>0</v>
      </c>
      <c r="Q69" s="960">
        <f t="shared" si="38"/>
        <v>0</v>
      </c>
      <c r="R69" s="962">
        <f t="shared" si="39"/>
        <v>0</v>
      </c>
      <c r="S69" s="952"/>
      <c r="T69" s="952"/>
      <c r="U69" s="952"/>
      <c r="V69" s="952"/>
      <c r="W69" s="952"/>
      <c r="X69" s="952"/>
      <c r="Y69" s="952"/>
      <c r="Z69" s="952"/>
    </row>
    <row r="70" spans="1:26" ht="18.75" customHeight="1" x14ac:dyDescent="0.35">
      <c r="A70" s="956">
        <f t="shared" si="30"/>
        <v>0</v>
      </c>
      <c r="B70" s="957"/>
      <c r="C70" s="957"/>
      <c r="D70" s="957"/>
      <c r="E70" s="957"/>
      <c r="F70" s="958"/>
      <c r="G70" s="952"/>
      <c r="H70" s="952"/>
      <c r="I70" s="959">
        <f t="shared" si="31"/>
        <v>0</v>
      </c>
      <c r="J70" s="959">
        <f t="shared" si="32"/>
        <v>0</v>
      </c>
      <c r="K70" s="960">
        <f>IF(B70=0,0,VLOOKUP(B70,'Prix Matiere'!$A$4:$M$60,2))</f>
        <v>0</v>
      </c>
      <c r="L70" s="960">
        <f t="shared" si="33"/>
        <v>0</v>
      </c>
      <c r="M70" s="961">
        <f t="shared" si="34"/>
        <v>0</v>
      </c>
      <c r="N70" s="960">
        <f t="shared" si="35"/>
        <v>0</v>
      </c>
      <c r="O70" s="960">
        <f t="shared" si="36"/>
        <v>0</v>
      </c>
      <c r="P70" s="960">
        <f t="shared" si="37"/>
        <v>0</v>
      </c>
      <c r="Q70" s="960">
        <f t="shared" si="38"/>
        <v>0</v>
      </c>
      <c r="R70" s="962">
        <f t="shared" si="39"/>
        <v>0</v>
      </c>
      <c r="S70" s="952"/>
      <c r="T70" s="952"/>
      <c r="U70" s="952"/>
      <c r="V70" s="952"/>
      <c r="W70" s="952"/>
      <c r="X70" s="952"/>
      <c r="Y70" s="952"/>
      <c r="Z70" s="952"/>
    </row>
    <row r="71" spans="1:26" ht="18.75" customHeight="1" x14ac:dyDescent="0.35">
      <c r="A71" s="963">
        <f t="shared" si="30"/>
        <v>0</v>
      </c>
      <c r="B71" s="957"/>
      <c r="C71" s="964"/>
      <c r="D71" s="964"/>
      <c r="E71" s="964"/>
      <c r="F71" s="965"/>
      <c r="G71" s="966"/>
      <c r="H71" s="966"/>
      <c r="I71" s="967">
        <f t="shared" si="31"/>
        <v>0</v>
      </c>
      <c r="J71" s="967">
        <f t="shared" si="32"/>
        <v>0</v>
      </c>
      <c r="K71" s="960">
        <f>IF(B71=0,0,VLOOKUP(B71,'Prix Matiere'!$A$4:$M$60,2))</f>
        <v>0</v>
      </c>
      <c r="L71" s="968">
        <f t="shared" si="33"/>
        <v>0</v>
      </c>
      <c r="M71" s="969">
        <f t="shared" si="34"/>
        <v>0</v>
      </c>
      <c r="N71" s="968">
        <f t="shared" si="35"/>
        <v>0</v>
      </c>
      <c r="O71" s="968">
        <f t="shared" si="36"/>
        <v>0</v>
      </c>
      <c r="P71" s="968">
        <f t="shared" si="37"/>
        <v>0</v>
      </c>
      <c r="Q71" s="968">
        <f t="shared" si="38"/>
        <v>0</v>
      </c>
      <c r="R71" s="970">
        <f t="shared" si="39"/>
        <v>0</v>
      </c>
      <c r="S71" s="952"/>
      <c r="T71" s="952"/>
      <c r="U71" s="952"/>
      <c r="V71" s="952"/>
      <c r="W71" s="952"/>
      <c r="X71" s="952"/>
      <c r="Y71" s="952"/>
      <c r="Z71" s="952"/>
    </row>
    <row r="72" spans="1:26" ht="18.75" customHeight="1" x14ac:dyDescent="0.35">
      <c r="A72" s="952"/>
      <c r="B72" s="952"/>
      <c r="C72" s="952"/>
      <c r="D72" s="952"/>
      <c r="E72" s="952"/>
      <c r="F72" s="952"/>
      <c r="G72" s="952"/>
      <c r="H72" s="952"/>
      <c r="I72" s="952"/>
      <c r="J72" s="952"/>
      <c r="K72" s="952"/>
      <c r="L72" s="952"/>
      <c r="M72" s="952"/>
      <c r="N72" s="952"/>
      <c r="O72" s="952"/>
      <c r="P72" s="952"/>
      <c r="Q72" s="952"/>
      <c r="R72" s="952"/>
      <c r="S72" s="952"/>
      <c r="T72" s="952"/>
      <c r="U72" s="952"/>
      <c r="V72" s="952"/>
      <c r="W72" s="952"/>
      <c r="X72" s="952"/>
      <c r="Y72" s="952"/>
      <c r="Z72" s="952"/>
    </row>
    <row r="73" spans="1:26" ht="18.75" customHeight="1" x14ac:dyDescent="0.35">
      <c r="A73" s="1210" t="s">
        <v>528</v>
      </c>
      <c r="B73" s="1153"/>
      <c r="C73" s="1153"/>
      <c r="D73" s="1153"/>
      <c r="E73" s="1153"/>
      <c r="F73" s="1117"/>
      <c r="G73" s="952"/>
      <c r="H73" s="952"/>
      <c r="I73" s="952"/>
      <c r="J73" s="952"/>
      <c r="K73" s="952"/>
      <c r="L73" s="952"/>
      <c r="M73" s="952"/>
      <c r="N73" s="952"/>
      <c r="O73" s="952"/>
      <c r="P73" s="952"/>
      <c r="Q73" s="952"/>
      <c r="R73" s="952"/>
      <c r="S73" s="952"/>
      <c r="T73" s="952"/>
      <c r="U73" s="952"/>
      <c r="V73" s="952"/>
      <c r="W73" s="952"/>
      <c r="X73" s="952"/>
      <c r="Y73" s="952"/>
      <c r="Z73" s="952"/>
    </row>
    <row r="74" spans="1:26" ht="18.75" customHeight="1" x14ac:dyDescent="0.35">
      <c r="A74" s="953"/>
      <c r="B74" s="954"/>
      <c r="C74" s="954"/>
      <c r="D74" s="954"/>
      <c r="E74" s="954"/>
      <c r="F74" s="972"/>
      <c r="G74" s="952"/>
      <c r="H74" s="952"/>
      <c r="I74" s="952"/>
      <c r="J74" s="952"/>
      <c r="K74" s="952"/>
      <c r="L74" s="952"/>
      <c r="M74" s="952"/>
      <c r="N74" s="952"/>
      <c r="O74" s="952"/>
      <c r="P74" s="952"/>
      <c r="Q74" s="952"/>
      <c r="R74" s="952"/>
      <c r="S74" s="952"/>
      <c r="T74" s="952"/>
      <c r="U74" s="952"/>
      <c r="V74" s="952"/>
      <c r="W74" s="952"/>
      <c r="X74" s="952"/>
      <c r="Y74" s="952"/>
      <c r="Z74" s="952"/>
    </row>
    <row r="75" spans="1:26" ht="18.75" customHeight="1" x14ac:dyDescent="0.35">
      <c r="A75" s="953"/>
      <c r="B75" s="954"/>
      <c r="C75" s="954"/>
      <c r="D75" s="1207" t="s">
        <v>517</v>
      </c>
      <c r="E75" s="954"/>
      <c r="F75" s="972"/>
      <c r="G75" s="952"/>
      <c r="H75" s="952"/>
      <c r="I75" s="952"/>
      <c r="J75" s="952"/>
      <c r="K75" s="952"/>
      <c r="L75" s="952"/>
      <c r="M75" s="952"/>
      <c r="N75" s="952"/>
      <c r="O75" s="952"/>
      <c r="P75" s="952"/>
      <c r="Q75" s="952"/>
      <c r="R75" s="952"/>
      <c r="S75" s="952"/>
      <c r="T75" s="952"/>
      <c r="U75" s="952"/>
      <c r="V75" s="952"/>
      <c r="W75" s="952"/>
      <c r="X75" s="952"/>
      <c r="Y75" s="952"/>
      <c r="Z75" s="952"/>
    </row>
    <row r="76" spans="1:26" ht="18.75" customHeight="1" x14ac:dyDescent="0.35">
      <c r="A76" s="953" t="s">
        <v>529</v>
      </c>
      <c r="B76" s="954" t="s">
        <v>530</v>
      </c>
      <c r="C76" s="954"/>
      <c r="D76" s="1108"/>
      <c r="E76" s="954"/>
      <c r="F76" s="972"/>
      <c r="G76" s="952"/>
      <c r="H76" s="952"/>
      <c r="I76" s="952"/>
      <c r="J76" s="952"/>
      <c r="K76" s="952"/>
      <c r="L76" s="952"/>
      <c r="M76" s="952"/>
      <c r="N76" s="952"/>
      <c r="O76" s="952"/>
      <c r="P76" s="952"/>
      <c r="Q76" s="952"/>
      <c r="R76" s="952"/>
      <c r="S76" s="952"/>
      <c r="T76" s="952"/>
      <c r="U76" s="952"/>
      <c r="V76" s="952"/>
      <c r="W76" s="952"/>
      <c r="X76" s="952"/>
      <c r="Y76" s="952"/>
      <c r="Z76" s="952"/>
    </row>
    <row r="77" spans="1:26" ht="18.75" customHeight="1" x14ac:dyDescent="0.35">
      <c r="A77" s="956"/>
      <c r="B77" s="952"/>
      <c r="C77" s="952"/>
      <c r="D77" s="952"/>
      <c r="E77" s="952"/>
      <c r="F77" s="955"/>
      <c r="G77" s="952"/>
      <c r="H77" s="952"/>
      <c r="I77" s="952"/>
      <c r="J77" s="952"/>
      <c r="K77" s="952"/>
      <c r="L77" s="952"/>
      <c r="M77" s="952"/>
      <c r="N77" s="952"/>
      <c r="O77" s="952"/>
      <c r="P77" s="952"/>
      <c r="Q77" s="952"/>
      <c r="R77" s="952"/>
      <c r="S77" s="952"/>
      <c r="T77" s="952"/>
      <c r="U77" s="952"/>
      <c r="V77" s="952"/>
      <c r="W77" s="952"/>
      <c r="X77" s="952"/>
      <c r="Y77" s="952"/>
      <c r="Z77" s="952"/>
    </row>
    <row r="78" spans="1:26" ht="18.75" customHeight="1" x14ac:dyDescent="0.35">
      <c r="A78" s="956" t="s">
        <v>531</v>
      </c>
      <c r="B78" s="954" t="s">
        <v>532</v>
      </c>
      <c r="C78" s="952"/>
      <c r="D78" s="960">
        <f t="shared" ref="D78:D84" si="40">C114</f>
        <v>2.6</v>
      </c>
      <c r="E78" s="952"/>
      <c r="F78" s="955"/>
      <c r="G78" s="952"/>
      <c r="H78" s="952"/>
      <c r="I78" s="952"/>
      <c r="J78" s="952"/>
      <c r="K78" s="952"/>
      <c r="L78" s="952"/>
      <c r="M78" s="952"/>
      <c r="N78" s="952"/>
      <c r="O78" s="952"/>
      <c r="P78" s="952"/>
      <c r="Q78" s="952"/>
      <c r="R78" s="952"/>
      <c r="S78" s="952"/>
      <c r="T78" s="952"/>
      <c r="U78" s="952"/>
      <c r="V78" s="952"/>
      <c r="W78" s="952"/>
      <c r="X78" s="952"/>
      <c r="Y78" s="952"/>
      <c r="Z78" s="952"/>
    </row>
    <row r="79" spans="1:26" ht="18.75" customHeight="1" x14ac:dyDescent="0.35">
      <c r="A79" s="956" t="s">
        <v>533</v>
      </c>
      <c r="B79" s="954" t="s">
        <v>534</v>
      </c>
      <c r="C79" s="952"/>
      <c r="D79" s="960">
        <f t="shared" si="40"/>
        <v>3.29</v>
      </c>
      <c r="E79" s="952"/>
      <c r="F79" s="955"/>
      <c r="G79" s="952"/>
      <c r="H79" s="952"/>
      <c r="I79" s="952"/>
      <c r="J79" s="952"/>
      <c r="K79" s="952"/>
      <c r="L79" s="952"/>
      <c r="M79" s="952"/>
      <c r="N79" s="952"/>
      <c r="O79" s="952"/>
      <c r="P79" s="952"/>
      <c r="Q79" s="952"/>
      <c r="R79" s="952"/>
      <c r="S79" s="952"/>
      <c r="T79" s="952"/>
      <c r="U79" s="952"/>
      <c r="V79" s="952"/>
      <c r="W79" s="952"/>
      <c r="X79" s="952"/>
      <c r="Y79" s="952"/>
      <c r="Z79" s="952"/>
    </row>
    <row r="80" spans="1:26" ht="18.75" customHeight="1" x14ac:dyDescent="0.35">
      <c r="A80" s="956" t="s">
        <v>535</v>
      </c>
      <c r="B80" s="954" t="s">
        <v>536</v>
      </c>
      <c r="C80" s="952"/>
      <c r="D80" s="960">
        <f t="shared" si="40"/>
        <v>5.19</v>
      </c>
      <c r="E80" s="952"/>
      <c r="F80" s="955"/>
      <c r="G80" s="952"/>
      <c r="H80" s="952"/>
      <c r="I80" s="952"/>
      <c r="J80" s="952"/>
      <c r="K80" s="952"/>
      <c r="L80" s="952"/>
      <c r="M80" s="952"/>
      <c r="N80" s="952"/>
      <c r="O80" s="952"/>
      <c r="P80" s="952"/>
      <c r="Q80" s="952"/>
      <c r="R80" s="952"/>
      <c r="S80" s="952"/>
      <c r="T80" s="952"/>
      <c r="U80" s="952"/>
      <c r="V80" s="952"/>
      <c r="W80" s="952"/>
      <c r="X80" s="952"/>
      <c r="Y80" s="952"/>
      <c r="Z80" s="952"/>
    </row>
    <row r="81" spans="1:26" ht="18.75" customHeight="1" x14ac:dyDescent="0.35">
      <c r="A81" s="956" t="s">
        <v>537</v>
      </c>
      <c r="B81" s="954" t="s">
        <v>538</v>
      </c>
      <c r="C81" s="952"/>
      <c r="D81" s="960">
        <f t="shared" si="40"/>
        <v>102.125</v>
      </c>
      <c r="E81" s="952"/>
      <c r="F81" s="955"/>
      <c r="G81" s="952"/>
      <c r="H81" s="952"/>
      <c r="I81" s="952"/>
      <c r="J81" s="952"/>
      <c r="K81" s="952"/>
      <c r="L81" s="952"/>
      <c r="M81" s="952"/>
      <c r="N81" s="952"/>
      <c r="O81" s="952"/>
      <c r="P81" s="952"/>
      <c r="Q81" s="952"/>
      <c r="R81" s="952"/>
      <c r="S81" s="952"/>
      <c r="T81" s="952"/>
      <c r="U81" s="952"/>
      <c r="V81" s="952"/>
      <c r="W81" s="952"/>
      <c r="X81" s="952"/>
      <c r="Y81" s="952"/>
      <c r="Z81" s="952"/>
    </row>
    <row r="82" spans="1:26" ht="18.75" customHeight="1" x14ac:dyDescent="0.35">
      <c r="A82" s="956" t="s">
        <v>539</v>
      </c>
      <c r="B82" s="954" t="s">
        <v>540</v>
      </c>
      <c r="C82" s="952"/>
      <c r="D82" s="960">
        <f t="shared" si="40"/>
        <v>155.67045454545456</v>
      </c>
      <c r="E82" s="952"/>
      <c r="F82" s="955"/>
      <c r="G82" s="952"/>
      <c r="H82" s="952"/>
      <c r="I82" s="952"/>
      <c r="J82" s="952"/>
      <c r="K82" s="952"/>
      <c r="L82" s="952"/>
      <c r="M82" s="952"/>
      <c r="N82" s="952"/>
      <c r="O82" s="952"/>
      <c r="P82" s="952"/>
      <c r="Q82" s="952"/>
      <c r="R82" s="952"/>
      <c r="S82" s="952"/>
      <c r="T82" s="952"/>
      <c r="U82" s="952"/>
      <c r="V82" s="952"/>
      <c r="W82" s="952"/>
      <c r="X82" s="952"/>
      <c r="Y82" s="952"/>
      <c r="Z82" s="952"/>
    </row>
    <row r="83" spans="1:26" ht="18.75" customHeight="1" x14ac:dyDescent="0.35">
      <c r="A83" s="956" t="s">
        <v>541</v>
      </c>
      <c r="B83" s="954" t="s">
        <v>542</v>
      </c>
      <c r="C83" s="952"/>
      <c r="D83" s="960">
        <f t="shared" si="40"/>
        <v>204.25</v>
      </c>
      <c r="E83" s="952"/>
      <c r="F83" s="955"/>
      <c r="G83" s="952"/>
      <c r="H83" s="952"/>
      <c r="I83" s="952"/>
      <c r="J83" s="952"/>
      <c r="K83" s="952"/>
      <c r="L83" s="952"/>
      <c r="M83" s="952"/>
      <c r="N83" s="952"/>
      <c r="O83" s="952"/>
      <c r="P83" s="952"/>
      <c r="Q83" s="952"/>
      <c r="R83" s="952"/>
      <c r="S83" s="952"/>
      <c r="T83" s="952"/>
      <c r="U83" s="952"/>
      <c r="V83" s="952"/>
      <c r="W83" s="952"/>
      <c r="X83" s="952"/>
      <c r="Y83" s="952"/>
      <c r="Z83" s="952"/>
    </row>
    <row r="84" spans="1:26" ht="18.75" customHeight="1" x14ac:dyDescent="0.35">
      <c r="A84" s="963" t="s">
        <v>543</v>
      </c>
      <c r="B84" s="973" t="s">
        <v>544</v>
      </c>
      <c r="C84" s="966"/>
      <c r="D84" s="968">
        <f t="shared" si="40"/>
        <v>311.29545454545456</v>
      </c>
      <c r="E84" s="966"/>
      <c r="F84" s="974"/>
      <c r="G84" s="952"/>
      <c r="H84" s="952"/>
      <c r="I84" s="952"/>
      <c r="J84" s="952"/>
      <c r="K84" s="952"/>
      <c r="L84" s="952"/>
      <c r="M84" s="952"/>
      <c r="N84" s="952"/>
      <c r="O84" s="952"/>
      <c r="P84" s="952"/>
      <c r="Q84" s="952"/>
      <c r="R84" s="952"/>
      <c r="S84" s="952"/>
      <c r="T84" s="952"/>
      <c r="U84" s="952"/>
      <c r="V84" s="952"/>
      <c r="W84" s="952"/>
      <c r="X84" s="952"/>
      <c r="Y84" s="952"/>
      <c r="Z84" s="952"/>
    </row>
    <row r="85" spans="1:26" ht="18.75" customHeight="1" x14ac:dyDescent="0.35">
      <c r="A85" s="952"/>
      <c r="B85" s="952"/>
      <c r="C85" s="952"/>
      <c r="D85" s="952"/>
      <c r="E85" s="952"/>
      <c r="F85" s="952"/>
      <c r="G85" s="952"/>
      <c r="H85" s="952"/>
      <c r="I85" s="952"/>
      <c r="J85" s="952"/>
      <c r="K85" s="952"/>
      <c r="L85" s="952"/>
      <c r="M85" s="952"/>
      <c r="N85" s="952"/>
      <c r="O85" s="952"/>
      <c r="P85" s="952"/>
      <c r="Q85" s="952"/>
      <c r="R85" s="952"/>
      <c r="S85" s="952"/>
      <c r="T85" s="952"/>
      <c r="U85" s="952"/>
      <c r="V85" s="952"/>
      <c r="W85" s="952"/>
      <c r="X85" s="952"/>
      <c r="Y85" s="952"/>
      <c r="Z85" s="952"/>
    </row>
    <row r="86" spans="1:26" ht="18.75" customHeight="1" x14ac:dyDescent="0.35">
      <c r="A86" s="952"/>
      <c r="B86" s="952"/>
      <c r="C86" s="952"/>
      <c r="D86" s="952"/>
      <c r="E86" s="952"/>
      <c r="F86" s="952"/>
      <c r="G86" s="952"/>
      <c r="H86" s="952"/>
      <c r="I86" s="952"/>
      <c r="J86" s="952"/>
      <c r="K86" s="952"/>
      <c r="L86" s="952"/>
      <c r="M86" s="952"/>
      <c r="N86" s="952"/>
      <c r="O86" s="952"/>
      <c r="P86" s="952"/>
      <c r="Q86" s="952"/>
      <c r="R86" s="952"/>
      <c r="S86" s="952"/>
      <c r="T86" s="952"/>
      <c r="U86" s="952"/>
      <c r="V86" s="952"/>
      <c r="W86" s="952"/>
      <c r="X86" s="952"/>
      <c r="Y86" s="952"/>
      <c r="Z86" s="952"/>
    </row>
    <row r="87" spans="1:26" ht="18.75" customHeight="1" x14ac:dyDescent="0.35">
      <c r="A87" s="952"/>
      <c r="B87" s="952"/>
      <c r="C87" s="952"/>
      <c r="D87" s="952"/>
      <c r="E87" s="952"/>
      <c r="F87" s="952"/>
      <c r="G87" s="952"/>
      <c r="H87" s="952"/>
      <c r="I87" s="952"/>
      <c r="J87" s="952"/>
      <c r="K87" s="952"/>
      <c r="L87" s="952"/>
      <c r="M87" s="952"/>
      <c r="N87" s="952"/>
      <c r="O87" s="952"/>
      <c r="P87" s="952"/>
      <c r="Q87" s="952"/>
      <c r="R87" s="952"/>
      <c r="S87" s="952"/>
      <c r="T87" s="952"/>
      <c r="U87" s="952"/>
      <c r="V87" s="952"/>
      <c r="W87" s="952"/>
      <c r="X87" s="952"/>
      <c r="Y87" s="952"/>
      <c r="Z87" s="952"/>
    </row>
    <row r="88" spans="1:26" ht="18.75" customHeight="1" x14ac:dyDescent="0.35">
      <c r="A88" s="952"/>
      <c r="B88" s="952"/>
      <c r="C88" s="952"/>
      <c r="D88" s="952"/>
      <c r="E88" s="952"/>
      <c r="F88" s="952"/>
      <c r="G88" s="952"/>
      <c r="H88" s="952"/>
      <c r="I88" s="952"/>
      <c r="J88" s="952"/>
      <c r="K88" s="952"/>
      <c r="L88" s="952"/>
      <c r="M88" s="952"/>
      <c r="N88" s="952"/>
      <c r="O88" s="952"/>
      <c r="P88" s="952"/>
      <c r="Q88" s="952"/>
      <c r="R88" s="952"/>
      <c r="S88" s="952"/>
      <c r="T88" s="952"/>
      <c r="U88" s="952"/>
      <c r="V88" s="952"/>
      <c r="W88" s="952"/>
      <c r="X88" s="952"/>
      <c r="Y88" s="952"/>
      <c r="Z88" s="952"/>
    </row>
    <row r="89" spans="1:26" ht="18.75" customHeight="1" x14ac:dyDescent="0.35">
      <c r="A89" s="975" t="s">
        <v>20</v>
      </c>
      <c r="B89" s="952"/>
      <c r="C89" s="952"/>
      <c r="D89" s="952"/>
      <c r="E89" s="952"/>
      <c r="F89" s="952"/>
      <c r="G89" s="952"/>
      <c r="H89" s="952"/>
      <c r="I89" s="952"/>
      <c r="J89" s="952"/>
      <c r="K89" s="952"/>
      <c r="L89" s="952"/>
      <c r="M89" s="952"/>
      <c r="N89" s="952"/>
      <c r="O89" s="952"/>
      <c r="P89" s="952"/>
      <c r="Q89" s="952"/>
      <c r="R89" s="952"/>
      <c r="S89" s="952"/>
      <c r="T89" s="952"/>
      <c r="U89" s="952"/>
      <c r="V89" s="952"/>
      <c r="W89" s="952"/>
      <c r="X89" s="952"/>
      <c r="Y89" s="952"/>
      <c r="Z89" s="952"/>
    </row>
    <row r="90" spans="1:26" ht="18.75" customHeight="1" x14ac:dyDescent="0.35">
      <c r="A90" s="976" t="s">
        <v>14</v>
      </c>
      <c r="B90" s="952"/>
      <c r="C90" s="952"/>
      <c r="D90" s="952"/>
      <c r="E90" s="952"/>
      <c r="F90" s="952"/>
      <c r="G90" s="952"/>
      <c r="H90" s="952"/>
      <c r="I90" s="952"/>
      <c r="J90" s="952"/>
      <c r="K90" s="952"/>
      <c r="L90" s="952"/>
      <c r="M90" s="952"/>
      <c r="N90" s="952"/>
      <c r="O90" s="952"/>
      <c r="P90" s="952"/>
      <c r="Q90" s="952"/>
      <c r="R90" s="952"/>
      <c r="S90" s="952"/>
      <c r="T90" s="952"/>
      <c r="U90" s="952"/>
      <c r="V90" s="952"/>
      <c r="W90" s="952"/>
      <c r="X90" s="952"/>
      <c r="Y90" s="952"/>
      <c r="Z90" s="952"/>
    </row>
    <row r="91" spans="1:26" ht="18.75" customHeight="1" x14ac:dyDescent="0.35">
      <c r="A91" s="952"/>
      <c r="B91" s="952"/>
      <c r="C91" s="952"/>
      <c r="D91" s="952"/>
      <c r="E91" s="952"/>
      <c r="F91" s="952"/>
      <c r="G91" s="952"/>
      <c r="H91" s="952"/>
      <c r="I91" s="952"/>
      <c r="J91" s="952"/>
      <c r="K91" s="952"/>
      <c r="L91" s="952"/>
      <c r="M91" s="952"/>
      <c r="N91" s="952"/>
      <c r="O91" s="952"/>
      <c r="P91" s="952"/>
      <c r="Q91" s="952"/>
      <c r="R91" s="952"/>
      <c r="S91" s="952"/>
      <c r="T91" s="952"/>
      <c r="U91" s="952"/>
      <c r="V91" s="952"/>
      <c r="W91" s="952"/>
      <c r="X91" s="952"/>
      <c r="Y91" s="952"/>
      <c r="Z91" s="952"/>
    </row>
    <row r="92" spans="1:26" ht="18.75" customHeight="1" x14ac:dyDescent="0.35">
      <c r="A92" s="975" t="s">
        <v>545</v>
      </c>
      <c r="B92" s="950" t="s">
        <v>546</v>
      </c>
      <c r="C92" s="977">
        <v>0.8</v>
      </c>
      <c r="D92" s="952"/>
      <c r="E92" s="952"/>
      <c r="F92" s="952"/>
      <c r="G92" s="952"/>
      <c r="H92" s="952"/>
      <c r="I92" s="952"/>
      <c r="J92" s="952"/>
      <c r="K92" s="952"/>
      <c r="L92" s="952"/>
      <c r="M92" s="952"/>
      <c r="N92" s="952"/>
      <c r="O92" s="952"/>
      <c r="P92" s="952"/>
      <c r="Q92" s="952"/>
      <c r="R92" s="952"/>
      <c r="S92" s="952"/>
      <c r="T92" s="952"/>
      <c r="U92" s="952"/>
      <c r="V92" s="952"/>
      <c r="W92" s="952"/>
      <c r="X92" s="952"/>
      <c r="Y92" s="952"/>
      <c r="Z92" s="952"/>
    </row>
    <row r="93" spans="1:26" ht="18.75" customHeight="1" x14ac:dyDescent="0.35">
      <c r="A93" s="978" t="s">
        <v>547</v>
      </c>
      <c r="B93" s="952" t="s">
        <v>548</v>
      </c>
      <c r="C93" s="962">
        <v>2.1</v>
      </c>
      <c r="D93" s="952"/>
      <c r="E93" s="952"/>
      <c r="F93" s="952"/>
      <c r="G93" s="952"/>
      <c r="H93" s="952"/>
      <c r="I93" s="952"/>
      <c r="J93" s="952"/>
      <c r="K93" s="952"/>
      <c r="L93" s="952"/>
      <c r="M93" s="952"/>
      <c r="N93" s="952"/>
      <c r="O93" s="952"/>
      <c r="P93" s="952"/>
      <c r="Q93" s="952"/>
      <c r="R93" s="952"/>
      <c r="S93" s="952"/>
      <c r="T93" s="952"/>
      <c r="U93" s="952"/>
      <c r="V93" s="952"/>
      <c r="W93" s="952"/>
      <c r="X93" s="952"/>
      <c r="Y93" s="952"/>
      <c r="Z93" s="952"/>
    </row>
    <row r="94" spans="1:26" ht="18.75" customHeight="1" x14ac:dyDescent="0.35">
      <c r="A94" s="978" t="s">
        <v>549</v>
      </c>
      <c r="B94" s="952" t="s">
        <v>550</v>
      </c>
      <c r="C94" s="962">
        <v>1.19</v>
      </c>
      <c r="D94" s="952"/>
      <c r="E94" s="952"/>
      <c r="F94" s="952"/>
      <c r="G94" s="952"/>
      <c r="H94" s="952"/>
      <c r="I94" s="952"/>
      <c r="J94" s="952"/>
      <c r="K94" s="952"/>
      <c r="L94" s="952"/>
      <c r="M94" s="952"/>
      <c r="N94" s="952"/>
      <c r="O94" s="952"/>
      <c r="P94" s="952"/>
      <c r="Q94" s="952"/>
      <c r="R94" s="952"/>
      <c r="S94" s="952"/>
      <c r="T94" s="952"/>
      <c r="U94" s="952"/>
      <c r="V94" s="952"/>
      <c r="W94" s="952"/>
      <c r="X94" s="952"/>
      <c r="Y94" s="952"/>
      <c r="Z94" s="952"/>
    </row>
    <row r="95" spans="1:26" ht="18.75" customHeight="1" x14ac:dyDescent="0.35">
      <c r="A95" s="978" t="s">
        <v>551</v>
      </c>
      <c r="B95" s="952" t="s">
        <v>552</v>
      </c>
      <c r="C95" s="962">
        <v>1.45</v>
      </c>
      <c r="D95" s="952"/>
      <c r="E95" s="952"/>
      <c r="F95" s="952"/>
      <c r="G95" s="952"/>
      <c r="H95" s="952"/>
      <c r="I95" s="952"/>
      <c r="J95" s="952"/>
      <c r="K95" s="952"/>
      <c r="L95" s="952"/>
      <c r="M95" s="952"/>
      <c r="N95" s="952"/>
      <c r="O95" s="952"/>
      <c r="P95" s="952"/>
      <c r="Q95" s="952"/>
      <c r="R95" s="952"/>
      <c r="S95" s="952"/>
      <c r="T95" s="952"/>
      <c r="U95" s="952"/>
      <c r="V95" s="952"/>
      <c r="W95" s="952"/>
      <c r="X95" s="952"/>
      <c r="Y95" s="952"/>
      <c r="Z95" s="952"/>
    </row>
    <row r="96" spans="1:26" ht="18.75" customHeight="1" x14ac:dyDescent="0.35">
      <c r="A96" s="979" t="s">
        <v>394</v>
      </c>
      <c r="B96" s="952" t="s">
        <v>553</v>
      </c>
      <c r="C96" s="962">
        <v>2.5499999999999998</v>
      </c>
      <c r="D96" s="952"/>
      <c r="E96" s="952"/>
      <c r="F96" s="952"/>
      <c r="G96" s="952"/>
      <c r="H96" s="952"/>
      <c r="I96" s="952"/>
      <c r="J96" s="952"/>
      <c r="K96" s="952"/>
      <c r="L96" s="952"/>
      <c r="M96" s="952"/>
      <c r="N96" s="952"/>
      <c r="O96" s="952"/>
      <c r="P96" s="952"/>
      <c r="Q96" s="952"/>
      <c r="R96" s="952"/>
      <c r="S96" s="952"/>
      <c r="T96" s="952"/>
      <c r="U96" s="952"/>
      <c r="V96" s="952"/>
      <c r="W96" s="952"/>
      <c r="X96" s="952"/>
      <c r="Y96" s="952"/>
      <c r="Z96" s="952"/>
    </row>
    <row r="97" spans="1:26" ht="18.75" customHeight="1" x14ac:dyDescent="0.35">
      <c r="A97" s="979" t="s">
        <v>554</v>
      </c>
      <c r="B97" s="952"/>
      <c r="C97" s="962">
        <v>5.5</v>
      </c>
      <c r="D97" s="952"/>
      <c r="E97" s="952"/>
      <c r="F97" s="952"/>
      <c r="G97" s="952"/>
      <c r="H97" s="952"/>
      <c r="I97" s="952"/>
      <c r="J97" s="952"/>
      <c r="K97" s="952"/>
      <c r="L97" s="952"/>
      <c r="M97" s="952"/>
      <c r="N97" s="952"/>
      <c r="O97" s="952"/>
      <c r="P97" s="952"/>
      <c r="Q97" s="952"/>
      <c r="R97" s="952"/>
      <c r="S97" s="952"/>
      <c r="T97" s="952"/>
      <c r="U97" s="952"/>
      <c r="V97" s="952"/>
      <c r="W97" s="952"/>
      <c r="X97" s="952"/>
      <c r="Y97" s="952"/>
      <c r="Z97" s="952"/>
    </row>
    <row r="98" spans="1:26" ht="18.75" customHeight="1" x14ac:dyDescent="0.35">
      <c r="A98" s="979" t="s">
        <v>555</v>
      </c>
      <c r="B98" s="952" t="s">
        <v>556</v>
      </c>
      <c r="C98" s="962">
        <v>3.7</v>
      </c>
      <c r="D98" s="952"/>
      <c r="E98" s="952"/>
      <c r="F98" s="952"/>
      <c r="G98" s="952"/>
      <c r="H98" s="952"/>
      <c r="I98" s="952"/>
      <c r="J98" s="952"/>
      <c r="K98" s="952"/>
      <c r="L98" s="952"/>
      <c r="M98" s="952"/>
      <c r="N98" s="952"/>
      <c r="O98" s="952"/>
      <c r="P98" s="952"/>
      <c r="Q98" s="952"/>
      <c r="R98" s="952"/>
      <c r="S98" s="952"/>
      <c r="T98" s="952"/>
      <c r="U98" s="952"/>
      <c r="V98" s="952"/>
      <c r="W98" s="952"/>
      <c r="X98" s="952"/>
      <c r="Y98" s="952"/>
      <c r="Z98" s="952"/>
    </row>
    <row r="99" spans="1:26" ht="18.75" customHeight="1" x14ac:dyDescent="0.35">
      <c r="A99" s="976" t="s">
        <v>557</v>
      </c>
      <c r="B99" s="966" t="s">
        <v>558</v>
      </c>
      <c r="C99" s="970">
        <v>5.2</v>
      </c>
      <c r="D99" s="952"/>
      <c r="E99" s="952"/>
      <c r="F99" s="952"/>
      <c r="G99" s="952"/>
      <c r="H99" s="952"/>
      <c r="I99" s="952"/>
      <c r="J99" s="952"/>
      <c r="K99" s="952"/>
      <c r="L99" s="952"/>
      <c r="M99" s="952"/>
      <c r="N99" s="952"/>
      <c r="O99" s="952"/>
      <c r="P99" s="952"/>
      <c r="Q99" s="952"/>
      <c r="R99" s="952"/>
      <c r="S99" s="952"/>
      <c r="T99" s="952"/>
      <c r="U99" s="952"/>
      <c r="V99" s="952"/>
      <c r="W99" s="952"/>
      <c r="X99" s="952"/>
      <c r="Y99" s="952"/>
      <c r="Z99" s="952"/>
    </row>
    <row r="100" spans="1:26" ht="18.75" customHeight="1" x14ac:dyDescent="0.35">
      <c r="A100" s="952"/>
      <c r="B100" s="952"/>
      <c r="C100" s="952"/>
      <c r="D100" s="952"/>
      <c r="E100" s="952"/>
      <c r="F100" s="952"/>
      <c r="G100" s="952"/>
      <c r="H100" s="952"/>
      <c r="I100" s="952"/>
      <c r="J100" s="952"/>
      <c r="K100" s="952"/>
      <c r="L100" s="952"/>
      <c r="M100" s="952"/>
      <c r="N100" s="952"/>
      <c r="O100" s="952"/>
      <c r="P100" s="952"/>
      <c r="Q100" s="952"/>
      <c r="R100" s="952"/>
      <c r="S100" s="952"/>
      <c r="T100" s="952"/>
      <c r="U100" s="952"/>
      <c r="V100" s="952"/>
      <c r="W100" s="952"/>
      <c r="X100" s="952"/>
      <c r="Y100" s="952"/>
      <c r="Z100" s="952"/>
    </row>
    <row r="101" spans="1:26" ht="18.75" customHeight="1" x14ac:dyDescent="0.35">
      <c r="A101" s="952"/>
      <c r="B101" s="952"/>
      <c r="C101" s="952"/>
      <c r="D101" s="952"/>
      <c r="E101" s="952"/>
      <c r="F101" s="952"/>
      <c r="G101" s="952"/>
      <c r="H101" s="952"/>
      <c r="I101" s="952"/>
      <c r="J101" s="952"/>
      <c r="K101" s="952"/>
      <c r="L101" s="952"/>
      <c r="M101" s="952"/>
      <c r="N101" s="952"/>
      <c r="O101" s="952"/>
      <c r="P101" s="952"/>
      <c r="Q101" s="952"/>
      <c r="R101" s="952"/>
      <c r="S101" s="952"/>
      <c r="T101" s="952"/>
      <c r="U101" s="952"/>
      <c r="V101" s="952"/>
      <c r="W101" s="952"/>
      <c r="X101" s="952"/>
      <c r="Y101" s="952"/>
      <c r="Z101" s="952"/>
    </row>
    <row r="102" spans="1:26" ht="18.75" customHeight="1" x14ac:dyDescent="0.35">
      <c r="A102" s="975" t="s">
        <v>559</v>
      </c>
      <c r="B102" s="952" t="s">
        <v>560</v>
      </c>
      <c r="C102" s="952"/>
      <c r="D102" s="952"/>
      <c r="E102" s="952"/>
      <c r="F102" s="952"/>
      <c r="G102" s="952"/>
      <c r="H102" s="952"/>
      <c r="I102" s="952"/>
      <c r="J102" s="952"/>
      <c r="K102" s="952"/>
      <c r="L102" s="952"/>
      <c r="M102" s="952"/>
      <c r="N102" s="952"/>
      <c r="O102" s="952"/>
      <c r="P102" s="952"/>
      <c r="Q102" s="952"/>
      <c r="R102" s="952"/>
      <c r="S102" s="952"/>
      <c r="T102" s="952"/>
      <c r="U102" s="952"/>
      <c r="V102" s="952"/>
      <c r="W102" s="952"/>
      <c r="X102" s="952"/>
      <c r="Y102" s="952"/>
      <c r="Z102" s="952"/>
    </row>
    <row r="103" spans="1:26" ht="18.75" customHeight="1" x14ac:dyDescent="0.35">
      <c r="A103" s="979" t="s">
        <v>561</v>
      </c>
      <c r="B103" s="952" t="s">
        <v>562</v>
      </c>
      <c r="C103" s="952"/>
      <c r="D103" s="952"/>
      <c r="E103" s="952"/>
      <c r="F103" s="952"/>
      <c r="G103" s="952"/>
      <c r="H103" s="952"/>
      <c r="I103" s="952"/>
      <c r="J103" s="952"/>
      <c r="K103" s="952"/>
      <c r="L103" s="952"/>
      <c r="M103" s="952"/>
      <c r="N103" s="952"/>
      <c r="O103" s="952"/>
      <c r="P103" s="952"/>
      <c r="Q103" s="952"/>
      <c r="R103" s="952"/>
      <c r="S103" s="952"/>
      <c r="T103" s="952"/>
      <c r="U103" s="952"/>
      <c r="V103" s="952"/>
      <c r="W103" s="952"/>
      <c r="X103" s="952"/>
      <c r="Y103" s="952"/>
      <c r="Z103" s="952"/>
    </row>
    <row r="104" spans="1:26" ht="18.75" customHeight="1" x14ac:dyDescent="0.35">
      <c r="A104" s="979" t="s">
        <v>86</v>
      </c>
      <c r="B104" s="952" t="s">
        <v>560</v>
      </c>
      <c r="C104" s="952"/>
      <c r="D104" s="952"/>
      <c r="E104" s="952"/>
      <c r="F104" s="952"/>
      <c r="G104" s="952"/>
      <c r="H104" s="952"/>
      <c r="I104" s="952"/>
      <c r="J104" s="952"/>
      <c r="K104" s="952"/>
      <c r="L104" s="952"/>
      <c r="M104" s="952"/>
      <c r="N104" s="952"/>
      <c r="O104" s="952"/>
      <c r="P104" s="952"/>
      <c r="Q104" s="952"/>
      <c r="R104" s="952"/>
      <c r="S104" s="952"/>
      <c r="T104" s="952"/>
      <c r="U104" s="952"/>
      <c r="V104" s="952"/>
      <c r="W104" s="952"/>
      <c r="X104" s="952"/>
      <c r="Y104" s="952"/>
      <c r="Z104" s="952"/>
    </row>
    <row r="105" spans="1:26" ht="18.75" customHeight="1" x14ac:dyDescent="0.35">
      <c r="A105" s="979" t="s">
        <v>10</v>
      </c>
      <c r="B105" s="952" t="s">
        <v>562</v>
      </c>
      <c r="C105" s="952"/>
      <c r="D105" s="952"/>
      <c r="E105" s="952"/>
      <c r="F105" s="952"/>
      <c r="G105" s="952"/>
      <c r="H105" s="952"/>
      <c r="I105" s="952"/>
      <c r="J105" s="952"/>
      <c r="K105" s="952"/>
      <c r="L105" s="952"/>
      <c r="M105" s="952"/>
      <c r="N105" s="952"/>
      <c r="O105" s="952"/>
      <c r="P105" s="952"/>
      <c r="Q105" s="952"/>
      <c r="R105" s="952"/>
      <c r="S105" s="952"/>
      <c r="T105" s="952"/>
      <c r="U105" s="952"/>
      <c r="V105" s="952"/>
      <c r="W105" s="952"/>
      <c r="X105" s="952"/>
      <c r="Y105" s="952"/>
      <c r="Z105" s="952"/>
    </row>
    <row r="106" spans="1:26" ht="18.75" customHeight="1" x14ac:dyDescent="0.35">
      <c r="A106" s="979" t="s">
        <v>563</v>
      </c>
      <c r="B106" s="952" t="s">
        <v>564</v>
      </c>
      <c r="C106" s="952"/>
      <c r="D106" s="952"/>
      <c r="E106" s="952"/>
      <c r="F106" s="952"/>
      <c r="G106" s="952"/>
      <c r="H106" s="952"/>
      <c r="I106" s="952"/>
      <c r="J106" s="952"/>
      <c r="K106" s="952"/>
      <c r="L106" s="952"/>
      <c r="M106" s="952"/>
      <c r="N106" s="952"/>
      <c r="O106" s="952"/>
      <c r="P106" s="952"/>
      <c r="Q106" s="952"/>
      <c r="R106" s="952"/>
      <c r="S106" s="952"/>
      <c r="T106" s="952"/>
      <c r="U106" s="952"/>
      <c r="V106" s="952"/>
      <c r="W106" s="952"/>
      <c r="X106" s="952"/>
      <c r="Y106" s="952"/>
      <c r="Z106" s="952"/>
    </row>
    <row r="107" spans="1:26" ht="18.75" customHeight="1" x14ac:dyDescent="0.35">
      <c r="A107" s="979" t="s">
        <v>391</v>
      </c>
      <c r="B107" s="952" t="s">
        <v>565</v>
      </c>
      <c r="C107" s="952"/>
      <c r="D107" s="952"/>
      <c r="E107" s="952"/>
      <c r="F107" s="952"/>
      <c r="G107" s="952"/>
      <c r="H107" s="952"/>
      <c r="I107" s="952"/>
      <c r="J107" s="952"/>
      <c r="K107" s="952"/>
      <c r="L107" s="952"/>
      <c r="M107" s="952"/>
      <c r="N107" s="952"/>
      <c r="O107" s="952"/>
      <c r="P107" s="952"/>
      <c r="Q107" s="952"/>
      <c r="R107" s="952"/>
      <c r="S107" s="952"/>
      <c r="T107" s="952"/>
      <c r="U107" s="952"/>
      <c r="V107" s="952"/>
      <c r="W107" s="952"/>
      <c r="X107" s="952"/>
      <c r="Y107" s="952"/>
      <c r="Z107" s="952"/>
    </row>
    <row r="108" spans="1:26" ht="18.75" customHeight="1" x14ac:dyDescent="0.35">
      <c r="A108" s="976" t="s">
        <v>395</v>
      </c>
      <c r="B108" s="952" t="s">
        <v>566</v>
      </c>
      <c r="C108" s="952"/>
      <c r="D108" s="952"/>
      <c r="E108" s="952"/>
      <c r="F108" s="952"/>
      <c r="G108" s="952"/>
      <c r="H108" s="952"/>
      <c r="I108" s="952"/>
      <c r="J108" s="952"/>
      <c r="K108" s="952"/>
      <c r="L108" s="952"/>
      <c r="M108" s="952"/>
      <c r="N108" s="952"/>
      <c r="O108" s="952"/>
      <c r="P108" s="952"/>
      <c r="Q108" s="952"/>
      <c r="R108" s="952"/>
      <c r="S108" s="952"/>
      <c r="T108" s="952"/>
      <c r="U108" s="952"/>
      <c r="V108" s="952"/>
      <c r="W108" s="952"/>
      <c r="X108" s="952"/>
      <c r="Y108" s="952"/>
      <c r="Z108" s="952"/>
    </row>
    <row r="109" spans="1:26" ht="18.75" customHeight="1" x14ac:dyDescent="0.35">
      <c r="A109" s="952"/>
      <c r="B109" s="952"/>
      <c r="C109" s="952"/>
      <c r="D109" s="952"/>
      <c r="E109" s="952"/>
      <c r="F109" s="952"/>
      <c r="G109" s="952"/>
      <c r="H109" s="952"/>
      <c r="I109" s="952"/>
      <c r="J109" s="952"/>
      <c r="K109" s="952"/>
      <c r="L109" s="952"/>
      <c r="M109" s="952"/>
      <c r="N109" s="952"/>
      <c r="O109" s="952"/>
      <c r="P109" s="952"/>
      <c r="Q109" s="952"/>
      <c r="R109" s="952"/>
      <c r="S109" s="952"/>
      <c r="T109" s="952"/>
      <c r="U109" s="952"/>
      <c r="V109" s="952"/>
      <c r="W109" s="952"/>
      <c r="X109" s="952"/>
      <c r="Y109" s="952"/>
      <c r="Z109" s="952"/>
    </row>
    <row r="110" spans="1:26" ht="18.75" customHeight="1" x14ac:dyDescent="0.35">
      <c r="A110" s="975" t="s">
        <v>567</v>
      </c>
      <c r="B110" s="952" t="s">
        <v>568</v>
      </c>
      <c r="C110" s="960">
        <v>2.0499999999999998</v>
      </c>
      <c r="D110" s="952"/>
      <c r="E110" s="952"/>
      <c r="F110" s="952"/>
      <c r="G110" s="952"/>
      <c r="H110" s="952"/>
      <c r="I110" s="952"/>
      <c r="J110" s="952"/>
      <c r="K110" s="952"/>
      <c r="L110" s="952"/>
      <c r="M110" s="952"/>
      <c r="N110" s="952"/>
      <c r="O110" s="952"/>
      <c r="P110" s="952"/>
      <c r="Q110" s="952"/>
      <c r="R110" s="952"/>
      <c r="S110" s="952"/>
      <c r="T110" s="952"/>
      <c r="U110" s="952"/>
      <c r="V110" s="952"/>
      <c r="W110" s="952"/>
      <c r="X110" s="952"/>
      <c r="Y110" s="952"/>
      <c r="Z110" s="952"/>
    </row>
    <row r="111" spans="1:26" ht="18.75" customHeight="1" x14ac:dyDescent="0.35">
      <c r="A111" s="979" t="s">
        <v>198</v>
      </c>
      <c r="B111" s="952" t="s">
        <v>569</v>
      </c>
      <c r="C111" s="960">
        <v>2.6</v>
      </c>
      <c r="D111" s="952"/>
      <c r="E111" s="952"/>
      <c r="F111" s="952"/>
      <c r="G111" s="952"/>
      <c r="H111" s="952"/>
      <c r="I111" s="952"/>
      <c r="J111" s="952"/>
      <c r="K111" s="952"/>
      <c r="L111" s="952"/>
      <c r="M111" s="952"/>
      <c r="N111" s="952"/>
      <c r="O111" s="952"/>
      <c r="P111" s="952"/>
      <c r="Q111" s="952"/>
      <c r="R111" s="952"/>
      <c r="S111" s="952"/>
      <c r="T111" s="952"/>
      <c r="U111" s="952"/>
      <c r="V111" s="952"/>
      <c r="W111" s="952"/>
      <c r="X111" s="952"/>
      <c r="Y111" s="952"/>
      <c r="Z111" s="952"/>
    </row>
    <row r="112" spans="1:26" ht="18.75" customHeight="1" x14ac:dyDescent="0.35">
      <c r="A112" s="976" t="s">
        <v>570</v>
      </c>
      <c r="B112" s="952" t="s">
        <v>571</v>
      </c>
      <c r="C112" s="960">
        <v>15.4</v>
      </c>
      <c r="D112" s="952"/>
      <c r="E112" s="952"/>
      <c r="F112" s="952"/>
      <c r="G112" s="952"/>
      <c r="H112" s="952"/>
      <c r="I112" s="952"/>
      <c r="J112" s="952"/>
      <c r="K112" s="952"/>
      <c r="L112" s="952"/>
      <c r="M112" s="952"/>
      <c r="N112" s="952"/>
      <c r="O112" s="952"/>
      <c r="P112" s="952"/>
      <c r="Q112" s="952"/>
      <c r="R112" s="952"/>
      <c r="S112" s="952"/>
      <c r="T112" s="952"/>
      <c r="U112" s="952"/>
      <c r="V112" s="952"/>
      <c r="W112" s="952"/>
      <c r="X112" s="952"/>
      <c r="Y112" s="952"/>
      <c r="Z112" s="952"/>
    </row>
    <row r="113" spans="1:26" ht="18.75" customHeight="1" x14ac:dyDescent="0.35">
      <c r="A113" s="952"/>
      <c r="B113" s="952"/>
      <c r="C113" s="952"/>
      <c r="D113" s="952"/>
      <c r="E113" s="952"/>
      <c r="F113" s="952"/>
      <c r="G113" s="952"/>
      <c r="H113" s="952"/>
      <c r="I113" s="952"/>
      <c r="J113" s="952"/>
      <c r="K113" s="952"/>
      <c r="L113" s="952"/>
      <c r="M113" s="952"/>
      <c r="N113" s="952"/>
      <c r="O113" s="952"/>
      <c r="P113" s="952"/>
      <c r="Q113" s="952"/>
      <c r="R113" s="952"/>
      <c r="S113" s="952"/>
      <c r="T113" s="952"/>
      <c r="U113" s="952"/>
      <c r="V113" s="952"/>
      <c r="W113" s="952"/>
      <c r="X113" s="952"/>
      <c r="Y113" s="952"/>
      <c r="Z113" s="952"/>
    </row>
    <row r="114" spans="1:26" ht="18.75" customHeight="1" x14ac:dyDescent="0.35">
      <c r="A114" s="980" t="s">
        <v>532</v>
      </c>
      <c r="B114" s="952" t="s">
        <v>572</v>
      </c>
      <c r="C114" s="960">
        <v>2.6</v>
      </c>
      <c r="D114" s="952"/>
      <c r="E114" s="952"/>
      <c r="F114" s="952"/>
      <c r="G114" s="952"/>
      <c r="H114" s="952"/>
      <c r="I114" s="952"/>
      <c r="J114" s="952"/>
      <c r="K114" s="952"/>
      <c r="L114" s="952"/>
      <c r="M114" s="952"/>
      <c r="N114" s="952"/>
      <c r="O114" s="952"/>
      <c r="P114" s="952"/>
      <c r="Q114" s="952"/>
      <c r="R114" s="952"/>
      <c r="S114" s="952"/>
      <c r="T114" s="952"/>
      <c r="U114" s="952"/>
      <c r="V114" s="952"/>
      <c r="W114" s="952"/>
      <c r="X114" s="952"/>
      <c r="Y114" s="952"/>
      <c r="Z114" s="952"/>
    </row>
    <row r="115" spans="1:26" ht="18.75" customHeight="1" x14ac:dyDescent="0.35">
      <c r="A115" s="981" t="s">
        <v>534</v>
      </c>
      <c r="B115" s="952" t="s">
        <v>573</v>
      </c>
      <c r="C115" s="960">
        <v>3.29</v>
      </c>
      <c r="D115" s="952"/>
      <c r="E115" s="952"/>
      <c r="F115" s="952"/>
      <c r="G115" s="952"/>
      <c r="H115" s="952"/>
      <c r="I115" s="952"/>
      <c r="J115" s="952"/>
      <c r="K115" s="952"/>
      <c r="L115" s="952"/>
      <c r="M115" s="952"/>
      <c r="N115" s="952"/>
      <c r="O115" s="952"/>
      <c r="P115" s="952"/>
      <c r="Q115" s="952"/>
      <c r="R115" s="952"/>
      <c r="S115" s="952"/>
      <c r="T115" s="952"/>
      <c r="U115" s="952"/>
      <c r="V115" s="952"/>
      <c r="W115" s="952"/>
      <c r="X115" s="952"/>
      <c r="Y115" s="952"/>
      <c r="Z115" s="952"/>
    </row>
    <row r="116" spans="1:26" ht="18.75" customHeight="1" x14ac:dyDescent="0.35">
      <c r="A116" s="981" t="s">
        <v>536</v>
      </c>
      <c r="B116" s="952" t="s">
        <v>574</v>
      </c>
      <c r="C116" s="960">
        <v>5.19</v>
      </c>
      <c r="D116" s="952"/>
      <c r="E116" s="952"/>
      <c r="F116" s="952"/>
      <c r="G116" s="952"/>
      <c r="H116" s="952"/>
      <c r="I116" s="952"/>
      <c r="J116" s="952"/>
      <c r="K116" s="952"/>
      <c r="L116" s="952"/>
      <c r="M116" s="952"/>
      <c r="N116" s="952"/>
      <c r="O116" s="952"/>
      <c r="P116" s="952"/>
      <c r="Q116" s="952"/>
      <c r="R116" s="952"/>
      <c r="S116" s="952"/>
      <c r="T116" s="952"/>
      <c r="U116" s="952"/>
      <c r="V116" s="952"/>
      <c r="W116" s="952"/>
      <c r="X116" s="952"/>
      <c r="Y116" s="952"/>
      <c r="Z116" s="952"/>
    </row>
    <row r="117" spans="1:26" ht="18.75" customHeight="1" x14ac:dyDescent="0.35">
      <c r="A117" s="981" t="s">
        <v>538</v>
      </c>
      <c r="B117" s="952" t="s">
        <v>575</v>
      </c>
      <c r="C117" s="960">
        <f>C119/2</f>
        <v>102.125</v>
      </c>
      <c r="D117" s="952"/>
      <c r="E117" s="952"/>
      <c r="F117" s="952"/>
      <c r="G117" s="952"/>
      <c r="H117" s="952"/>
      <c r="I117" s="952"/>
      <c r="J117" s="952"/>
      <c r="K117" s="952"/>
      <c r="L117" s="952"/>
      <c r="M117" s="952"/>
      <c r="N117" s="952"/>
      <c r="O117" s="952"/>
      <c r="P117" s="952"/>
      <c r="Q117" s="952"/>
      <c r="R117" s="952"/>
      <c r="S117" s="952"/>
      <c r="T117" s="952"/>
      <c r="U117" s="952"/>
      <c r="V117" s="952"/>
      <c r="W117" s="952"/>
      <c r="X117" s="952"/>
      <c r="Y117" s="952"/>
      <c r="Z117" s="952"/>
    </row>
    <row r="118" spans="1:26" ht="18.75" customHeight="1" x14ac:dyDescent="0.35">
      <c r="A118" s="981" t="s">
        <v>540</v>
      </c>
      <c r="B118" s="952" t="s">
        <v>576</v>
      </c>
      <c r="C118" s="960">
        <f>136.99/0.88</f>
        <v>155.67045454545456</v>
      </c>
      <c r="D118" s="952"/>
      <c r="E118" s="952"/>
      <c r="F118" s="952"/>
      <c r="G118" s="952"/>
      <c r="H118" s="952"/>
      <c r="I118" s="952"/>
      <c r="J118" s="952"/>
      <c r="K118" s="952"/>
      <c r="L118" s="952"/>
      <c r="M118" s="952"/>
      <c r="N118" s="952"/>
      <c r="O118" s="952"/>
      <c r="P118" s="952"/>
      <c r="Q118" s="952"/>
      <c r="R118" s="952"/>
      <c r="S118" s="952"/>
      <c r="T118" s="952"/>
      <c r="U118" s="952"/>
      <c r="V118" s="952"/>
      <c r="W118" s="952"/>
      <c r="X118" s="952"/>
      <c r="Y118" s="952"/>
      <c r="Z118" s="952"/>
    </row>
    <row r="119" spans="1:26" ht="18.75" customHeight="1" x14ac:dyDescent="0.35">
      <c r="A119" s="981" t="s">
        <v>542</v>
      </c>
      <c r="B119" s="952" t="s">
        <v>577</v>
      </c>
      <c r="C119" s="960">
        <f>179.74/0.88</f>
        <v>204.25</v>
      </c>
      <c r="D119" s="952"/>
      <c r="E119" s="952"/>
      <c r="F119" s="952"/>
      <c r="G119" s="952"/>
      <c r="H119" s="952"/>
      <c r="I119" s="952"/>
      <c r="J119" s="952"/>
      <c r="K119" s="952"/>
      <c r="L119" s="952"/>
      <c r="M119" s="952"/>
      <c r="N119" s="952"/>
      <c r="O119" s="952"/>
      <c r="P119" s="952"/>
      <c r="Q119" s="952"/>
      <c r="R119" s="952"/>
      <c r="S119" s="952"/>
      <c r="T119" s="952"/>
      <c r="U119" s="952"/>
      <c r="V119" s="952"/>
      <c r="W119" s="952"/>
      <c r="X119" s="952"/>
      <c r="Y119" s="952"/>
      <c r="Z119" s="952"/>
    </row>
    <row r="120" spans="1:26" ht="18.75" customHeight="1" x14ac:dyDescent="0.35">
      <c r="A120" s="982" t="s">
        <v>544</v>
      </c>
      <c r="B120" s="952" t="s">
        <v>578</v>
      </c>
      <c r="C120" s="960">
        <f>273.94/0.88</f>
        <v>311.29545454545456</v>
      </c>
      <c r="D120" s="952"/>
      <c r="E120" s="952"/>
      <c r="F120" s="952"/>
      <c r="G120" s="952"/>
      <c r="H120" s="952"/>
      <c r="I120" s="952"/>
      <c r="J120" s="952"/>
      <c r="K120" s="952"/>
      <c r="L120" s="952"/>
      <c r="M120" s="952"/>
      <c r="N120" s="952"/>
      <c r="O120" s="952"/>
      <c r="P120" s="952"/>
      <c r="Q120" s="952"/>
      <c r="R120" s="952"/>
      <c r="S120" s="952"/>
      <c r="T120" s="952"/>
      <c r="U120" s="952"/>
      <c r="V120" s="952"/>
      <c r="W120" s="952"/>
      <c r="X120" s="952"/>
      <c r="Y120" s="952"/>
      <c r="Z120" s="952"/>
    </row>
    <row r="121" spans="1:26" ht="18.75" customHeight="1" x14ac:dyDescent="0.35">
      <c r="A121" s="952"/>
      <c r="B121" s="952"/>
      <c r="C121" s="952"/>
      <c r="D121" s="952"/>
      <c r="E121" s="952"/>
      <c r="F121" s="952"/>
      <c r="G121" s="952"/>
      <c r="H121" s="952"/>
      <c r="I121" s="952"/>
      <c r="J121" s="952"/>
      <c r="K121" s="952"/>
      <c r="L121" s="952"/>
      <c r="M121" s="952"/>
      <c r="N121" s="952"/>
      <c r="O121" s="952"/>
      <c r="P121" s="952"/>
      <c r="Q121" s="952"/>
      <c r="R121" s="952"/>
      <c r="S121" s="952"/>
      <c r="T121" s="952"/>
      <c r="U121" s="952"/>
      <c r="V121" s="952"/>
      <c r="W121" s="952"/>
      <c r="X121" s="952"/>
      <c r="Y121" s="952"/>
      <c r="Z121" s="952"/>
    </row>
    <row r="122" spans="1:26" ht="18.75" customHeight="1" x14ac:dyDescent="0.35">
      <c r="A122" s="975" t="s">
        <v>375</v>
      </c>
      <c r="B122" s="952" t="s">
        <v>579</v>
      </c>
      <c r="C122" s="952"/>
      <c r="D122" s="952"/>
      <c r="E122" s="952"/>
      <c r="F122" s="952"/>
      <c r="G122" s="952"/>
      <c r="H122" s="952"/>
      <c r="I122" s="952"/>
      <c r="J122" s="952"/>
      <c r="K122" s="952"/>
      <c r="L122" s="952"/>
      <c r="M122" s="952"/>
      <c r="N122" s="952"/>
      <c r="O122" s="952"/>
      <c r="P122" s="952"/>
      <c r="Q122" s="952"/>
      <c r="R122" s="952"/>
      <c r="S122" s="952"/>
      <c r="T122" s="952"/>
      <c r="U122" s="952"/>
      <c r="V122" s="952"/>
      <c r="W122" s="952"/>
      <c r="X122" s="952"/>
      <c r="Y122" s="952"/>
      <c r="Z122" s="952"/>
    </row>
    <row r="123" spans="1:26" ht="18.75" customHeight="1" x14ac:dyDescent="0.35">
      <c r="A123" s="979" t="s">
        <v>113</v>
      </c>
      <c r="B123" s="952" t="s">
        <v>580</v>
      </c>
      <c r="C123" s="952"/>
      <c r="D123" s="952"/>
      <c r="E123" s="952"/>
      <c r="F123" s="952"/>
      <c r="G123" s="952"/>
      <c r="H123" s="952"/>
      <c r="I123" s="952"/>
      <c r="J123" s="952"/>
      <c r="K123" s="952"/>
      <c r="L123" s="952"/>
      <c r="M123" s="952"/>
      <c r="N123" s="952"/>
      <c r="O123" s="952"/>
      <c r="P123" s="952"/>
      <c r="Q123" s="952"/>
      <c r="R123" s="952"/>
      <c r="S123" s="952"/>
      <c r="T123" s="952"/>
      <c r="U123" s="952"/>
      <c r="V123" s="952"/>
      <c r="W123" s="952"/>
      <c r="X123" s="952"/>
      <c r="Y123" s="952"/>
      <c r="Z123" s="952"/>
    </row>
    <row r="124" spans="1:26" ht="18.75" customHeight="1" x14ac:dyDescent="0.35">
      <c r="A124" s="979" t="s">
        <v>37</v>
      </c>
      <c r="B124" s="952" t="s">
        <v>581</v>
      </c>
      <c r="C124" s="952"/>
      <c r="D124" s="952"/>
      <c r="E124" s="952"/>
      <c r="F124" s="952"/>
      <c r="G124" s="952"/>
      <c r="H124" s="952"/>
      <c r="I124" s="952"/>
      <c r="J124" s="952"/>
      <c r="K124" s="952"/>
      <c r="L124" s="952"/>
      <c r="M124" s="952"/>
      <c r="N124" s="952"/>
      <c r="O124" s="952"/>
      <c r="P124" s="952"/>
      <c r="Q124" s="952"/>
      <c r="R124" s="952"/>
      <c r="S124" s="952"/>
      <c r="T124" s="952"/>
      <c r="U124" s="952"/>
      <c r="V124" s="952"/>
      <c r="W124" s="952"/>
      <c r="X124" s="952"/>
      <c r="Y124" s="952"/>
      <c r="Z124" s="952"/>
    </row>
    <row r="125" spans="1:26" ht="18.75" customHeight="1" x14ac:dyDescent="0.35">
      <c r="A125" s="979" t="s">
        <v>582</v>
      </c>
      <c r="B125" s="952" t="s">
        <v>583</v>
      </c>
      <c r="C125" s="952"/>
      <c r="D125" s="952"/>
      <c r="E125" s="952"/>
      <c r="F125" s="952"/>
      <c r="G125" s="952"/>
      <c r="H125" s="952"/>
      <c r="I125" s="952"/>
      <c r="J125" s="952"/>
      <c r="K125" s="952"/>
      <c r="L125" s="952"/>
      <c r="M125" s="952"/>
      <c r="N125" s="952"/>
      <c r="O125" s="952"/>
      <c r="P125" s="952"/>
      <c r="Q125" s="952"/>
      <c r="R125" s="952"/>
      <c r="S125" s="952"/>
      <c r="T125" s="952"/>
      <c r="U125" s="952"/>
      <c r="V125" s="952"/>
      <c r="W125" s="952"/>
      <c r="X125" s="952"/>
      <c r="Y125" s="952"/>
      <c r="Z125" s="952"/>
    </row>
    <row r="126" spans="1:26" ht="18.75" customHeight="1" x14ac:dyDescent="0.35">
      <c r="A126" s="979" t="s">
        <v>584</v>
      </c>
      <c r="B126" s="952" t="s">
        <v>585</v>
      </c>
      <c r="C126" s="952"/>
      <c r="D126" s="952"/>
      <c r="E126" s="952"/>
      <c r="F126" s="952"/>
      <c r="G126" s="952"/>
      <c r="H126" s="952"/>
      <c r="I126" s="952"/>
      <c r="J126" s="952"/>
      <c r="K126" s="952"/>
      <c r="L126" s="952"/>
      <c r="M126" s="952"/>
      <c r="N126" s="952"/>
      <c r="O126" s="952"/>
      <c r="P126" s="952"/>
      <c r="Q126" s="952"/>
      <c r="R126" s="952"/>
      <c r="S126" s="952"/>
      <c r="T126" s="952"/>
      <c r="U126" s="952"/>
      <c r="V126" s="952"/>
      <c r="W126" s="952"/>
      <c r="X126" s="952"/>
      <c r="Y126" s="952"/>
      <c r="Z126" s="952"/>
    </row>
    <row r="127" spans="1:26" ht="18.75" customHeight="1" x14ac:dyDescent="0.35">
      <c r="A127" s="979" t="s">
        <v>586</v>
      </c>
      <c r="B127" s="952" t="s">
        <v>587</v>
      </c>
      <c r="C127" s="952"/>
      <c r="D127" s="952"/>
      <c r="E127" s="952"/>
      <c r="F127" s="952"/>
      <c r="G127" s="952"/>
      <c r="H127" s="952"/>
      <c r="I127" s="952"/>
      <c r="J127" s="952"/>
      <c r="K127" s="952"/>
      <c r="L127" s="952"/>
      <c r="M127" s="952"/>
      <c r="N127" s="952"/>
      <c r="O127" s="952"/>
      <c r="P127" s="952"/>
      <c r="Q127" s="952"/>
      <c r="R127" s="952"/>
      <c r="S127" s="952"/>
      <c r="T127" s="952"/>
      <c r="U127" s="952"/>
      <c r="V127" s="952"/>
      <c r="W127" s="952"/>
      <c r="X127" s="952"/>
      <c r="Y127" s="952"/>
      <c r="Z127" s="952"/>
    </row>
    <row r="128" spans="1:26" ht="18.75" customHeight="1" x14ac:dyDescent="0.35">
      <c r="A128" s="979" t="s">
        <v>588</v>
      </c>
      <c r="B128" s="952" t="s">
        <v>589</v>
      </c>
      <c r="C128" s="952"/>
      <c r="D128" s="952"/>
      <c r="E128" s="952"/>
      <c r="F128" s="952"/>
      <c r="G128" s="952"/>
      <c r="H128" s="952"/>
      <c r="I128" s="952"/>
      <c r="J128" s="952"/>
      <c r="K128" s="952"/>
      <c r="L128" s="952"/>
      <c r="M128" s="952"/>
      <c r="N128" s="952"/>
      <c r="O128" s="952"/>
      <c r="P128" s="952"/>
      <c r="Q128" s="952"/>
      <c r="R128" s="952"/>
      <c r="S128" s="952"/>
      <c r="T128" s="952"/>
      <c r="U128" s="952"/>
      <c r="V128" s="952"/>
      <c r="W128" s="952"/>
      <c r="X128" s="952"/>
      <c r="Y128" s="952"/>
      <c r="Z128" s="952"/>
    </row>
    <row r="129" spans="1:26" ht="18.75" customHeight="1" x14ac:dyDescent="0.35">
      <c r="A129" s="979" t="s">
        <v>590</v>
      </c>
      <c r="B129" s="952" t="s">
        <v>591</v>
      </c>
      <c r="C129" s="952"/>
      <c r="D129" s="952"/>
      <c r="E129" s="952"/>
      <c r="F129" s="952"/>
      <c r="G129" s="952"/>
      <c r="H129" s="952"/>
      <c r="I129" s="952"/>
      <c r="J129" s="952"/>
      <c r="K129" s="952"/>
      <c r="L129" s="952"/>
      <c r="M129" s="952"/>
      <c r="N129" s="952"/>
      <c r="O129" s="952"/>
      <c r="P129" s="952"/>
      <c r="Q129" s="952"/>
      <c r="R129" s="952"/>
      <c r="S129" s="952"/>
      <c r="T129" s="952"/>
      <c r="U129" s="952"/>
      <c r="V129" s="952"/>
      <c r="W129" s="952"/>
      <c r="X129" s="952"/>
      <c r="Y129" s="952"/>
      <c r="Z129" s="952"/>
    </row>
    <row r="130" spans="1:26" ht="18.75" customHeight="1" x14ac:dyDescent="0.35">
      <c r="A130" s="979" t="s">
        <v>592</v>
      </c>
      <c r="B130" s="952" t="s">
        <v>593</v>
      </c>
      <c r="C130" s="952"/>
      <c r="D130" s="952"/>
      <c r="E130" s="952"/>
      <c r="F130" s="952"/>
      <c r="G130" s="952"/>
      <c r="H130" s="952"/>
      <c r="I130" s="952"/>
      <c r="J130" s="952"/>
      <c r="K130" s="952"/>
      <c r="L130" s="952"/>
      <c r="M130" s="952"/>
      <c r="N130" s="952"/>
      <c r="O130" s="952"/>
      <c r="P130" s="952"/>
      <c r="Q130" s="952"/>
      <c r="R130" s="952"/>
      <c r="S130" s="952"/>
      <c r="T130" s="952"/>
      <c r="U130" s="952"/>
      <c r="V130" s="952"/>
      <c r="W130" s="952"/>
      <c r="X130" s="952"/>
      <c r="Y130" s="952"/>
      <c r="Z130" s="952"/>
    </row>
    <row r="131" spans="1:26" ht="18.75" customHeight="1" x14ac:dyDescent="0.35">
      <c r="A131" s="979" t="s">
        <v>594</v>
      </c>
      <c r="B131" s="952" t="s">
        <v>595</v>
      </c>
      <c r="C131" s="952"/>
      <c r="D131" s="952"/>
      <c r="E131" s="952"/>
      <c r="F131" s="952"/>
      <c r="G131" s="952"/>
      <c r="H131" s="952"/>
      <c r="I131" s="952"/>
      <c r="J131" s="952"/>
      <c r="K131" s="952"/>
      <c r="L131" s="952"/>
      <c r="M131" s="952"/>
      <c r="N131" s="952"/>
      <c r="O131" s="952"/>
      <c r="P131" s="952"/>
      <c r="Q131" s="952"/>
      <c r="R131" s="952"/>
      <c r="S131" s="952"/>
      <c r="T131" s="952"/>
      <c r="U131" s="952"/>
      <c r="V131" s="952"/>
      <c r="W131" s="952"/>
      <c r="X131" s="952"/>
      <c r="Y131" s="952"/>
      <c r="Z131" s="952"/>
    </row>
    <row r="132" spans="1:26" ht="18.75" customHeight="1" x14ac:dyDescent="0.35">
      <c r="A132" s="979" t="s">
        <v>505</v>
      </c>
      <c r="B132" s="952" t="s">
        <v>596</v>
      </c>
      <c r="C132" s="952"/>
      <c r="D132" s="952"/>
      <c r="E132" s="952"/>
      <c r="F132" s="952"/>
      <c r="G132" s="952"/>
      <c r="H132" s="952"/>
      <c r="I132" s="952"/>
      <c r="J132" s="952"/>
      <c r="K132" s="952"/>
      <c r="L132" s="952"/>
      <c r="M132" s="952"/>
      <c r="N132" s="952"/>
      <c r="O132" s="952"/>
      <c r="P132" s="952"/>
      <c r="Q132" s="952"/>
      <c r="R132" s="952"/>
      <c r="S132" s="952"/>
      <c r="T132" s="952"/>
      <c r="U132" s="952"/>
      <c r="V132" s="952"/>
      <c r="W132" s="952"/>
      <c r="X132" s="952"/>
      <c r="Y132" s="952"/>
      <c r="Z132" s="952"/>
    </row>
    <row r="133" spans="1:26" ht="18.75" customHeight="1" x14ac:dyDescent="0.35">
      <c r="A133" s="979" t="s">
        <v>597</v>
      </c>
      <c r="B133" s="952" t="s">
        <v>598</v>
      </c>
      <c r="C133" s="952"/>
      <c r="D133" s="952"/>
      <c r="E133" s="952"/>
      <c r="F133" s="952"/>
      <c r="G133" s="952"/>
      <c r="H133" s="952"/>
      <c r="I133" s="952"/>
      <c r="J133" s="952"/>
      <c r="K133" s="952"/>
      <c r="L133" s="952"/>
      <c r="M133" s="952"/>
      <c r="N133" s="952"/>
      <c r="O133" s="952"/>
      <c r="P133" s="952"/>
      <c r="Q133" s="952"/>
      <c r="R133" s="952"/>
      <c r="S133" s="952"/>
      <c r="T133" s="952"/>
      <c r="U133" s="952"/>
      <c r="V133" s="952"/>
      <c r="W133" s="952"/>
      <c r="X133" s="952"/>
      <c r="Y133" s="952"/>
      <c r="Z133" s="952"/>
    </row>
    <row r="134" spans="1:26" ht="18.75" customHeight="1" x14ac:dyDescent="0.35">
      <c r="A134" s="979" t="s">
        <v>105</v>
      </c>
      <c r="B134" s="952" t="s">
        <v>599</v>
      </c>
      <c r="C134" s="952"/>
      <c r="D134" s="952"/>
      <c r="E134" s="952"/>
      <c r="F134" s="952"/>
      <c r="G134" s="952"/>
      <c r="H134" s="952"/>
      <c r="I134" s="952"/>
      <c r="J134" s="952"/>
      <c r="K134" s="952"/>
      <c r="L134" s="952"/>
      <c r="M134" s="952"/>
      <c r="N134" s="952"/>
      <c r="O134" s="952"/>
      <c r="P134" s="952"/>
      <c r="Q134" s="952"/>
      <c r="R134" s="952"/>
      <c r="S134" s="952"/>
      <c r="T134" s="952"/>
      <c r="U134" s="952"/>
      <c r="V134" s="952"/>
      <c r="W134" s="952"/>
      <c r="X134" s="952"/>
      <c r="Y134" s="952"/>
      <c r="Z134" s="952"/>
    </row>
    <row r="135" spans="1:26" ht="18.75" customHeight="1" x14ac:dyDescent="0.35">
      <c r="A135" s="979" t="s">
        <v>600</v>
      </c>
      <c r="B135" s="952" t="s">
        <v>601</v>
      </c>
      <c r="C135" s="952"/>
      <c r="D135" s="952"/>
      <c r="E135" s="952"/>
      <c r="F135" s="952"/>
      <c r="G135" s="952"/>
      <c r="H135" s="952"/>
      <c r="I135" s="952"/>
      <c r="J135" s="952"/>
      <c r="K135" s="952"/>
      <c r="L135" s="952"/>
      <c r="M135" s="952"/>
      <c r="N135" s="952"/>
      <c r="O135" s="952"/>
      <c r="P135" s="952"/>
      <c r="Q135" s="952"/>
      <c r="R135" s="952"/>
      <c r="S135" s="952"/>
      <c r="T135" s="952"/>
      <c r="U135" s="952"/>
      <c r="V135" s="952"/>
      <c r="W135" s="952"/>
      <c r="X135" s="952"/>
      <c r="Y135" s="952"/>
      <c r="Z135" s="952"/>
    </row>
    <row r="136" spans="1:26" ht="18.75" customHeight="1" x14ac:dyDescent="0.35">
      <c r="A136" s="979" t="s">
        <v>602</v>
      </c>
      <c r="B136" s="952" t="s">
        <v>603</v>
      </c>
      <c r="C136" s="952"/>
      <c r="D136" s="952"/>
      <c r="E136" s="952"/>
      <c r="F136" s="952"/>
      <c r="G136" s="952"/>
      <c r="H136" s="952"/>
      <c r="I136" s="952"/>
      <c r="J136" s="952"/>
      <c r="K136" s="952"/>
      <c r="L136" s="952"/>
      <c r="M136" s="952"/>
      <c r="N136" s="952"/>
      <c r="O136" s="952"/>
      <c r="P136" s="952"/>
      <c r="Q136" s="952"/>
      <c r="R136" s="952"/>
      <c r="S136" s="952"/>
      <c r="T136" s="952"/>
      <c r="U136" s="952"/>
      <c r="V136" s="952"/>
      <c r="W136" s="952"/>
      <c r="X136" s="952"/>
      <c r="Y136" s="952"/>
      <c r="Z136" s="952"/>
    </row>
    <row r="137" spans="1:26" ht="18.75" customHeight="1" x14ac:dyDescent="0.35">
      <c r="A137" s="979" t="s">
        <v>604</v>
      </c>
      <c r="B137" s="952" t="s">
        <v>605</v>
      </c>
      <c r="C137" s="952"/>
      <c r="D137" s="952"/>
      <c r="E137" s="952"/>
      <c r="F137" s="952"/>
      <c r="G137" s="952"/>
      <c r="H137" s="952"/>
      <c r="I137" s="952"/>
      <c r="J137" s="952"/>
      <c r="K137" s="952"/>
      <c r="L137" s="952"/>
      <c r="M137" s="952"/>
      <c r="N137" s="952"/>
      <c r="O137" s="952"/>
      <c r="P137" s="952"/>
      <c r="Q137" s="952"/>
      <c r="R137" s="952"/>
      <c r="S137" s="952"/>
      <c r="T137" s="952"/>
      <c r="U137" s="952"/>
      <c r="V137" s="952"/>
      <c r="W137" s="952"/>
      <c r="X137" s="952"/>
      <c r="Y137" s="952"/>
      <c r="Z137" s="952"/>
    </row>
    <row r="138" spans="1:26" ht="18.75" customHeight="1" x14ac:dyDescent="0.35">
      <c r="A138" s="979" t="s">
        <v>27</v>
      </c>
      <c r="B138" s="952" t="s">
        <v>606</v>
      </c>
      <c r="C138" s="952"/>
      <c r="D138" s="952"/>
      <c r="E138" s="952"/>
      <c r="F138" s="952"/>
      <c r="G138" s="952"/>
      <c r="H138" s="952"/>
      <c r="I138" s="952"/>
      <c r="J138" s="952"/>
      <c r="K138" s="952"/>
      <c r="L138" s="952"/>
      <c r="M138" s="952"/>
      <c r="N138" s="952"/>
      <c r="O138" s="952"/>
      <c r="P138" s="952"/>
      <c r="Q138" s="952"/>
      <c r="R138" s="952"/>
      <c r="S138" s="952"/>
      <c r="T138" s="952"/>
      <c r="U138" s="952"/>
      <c r="V138" s="952"/>
      <c r="W138" s="952"/>
      <c r="X138" s="952"/>
      <c r="Y138" s="952"/>
      <c r="Z138" s="952"/>
    </row>
    <row r="139" spans="1:26" ht="18.75" customHeight="1" x14ac:dyDescent="0.35">
      <c r="A139" s="979" t="s">
        <v>607</v>
      </c>
      <c r="B139" s="952" t="s">
        <v>608</v>
      </c>
      <c r="C139" s="952"/>
      <c r="D139" s="952"/>
      <c r="E139" s="952"/>
      <c r="F139" s="952"/>
      <c r="G139" s="952"/>
      <c r="H139" s="952"/>
      <c r="I139" s="952"/>
      <c r="J139" s="952"/>
      <c r="K139" s="952"/>
      <c r="L139" s="952"/>
      <c r="M139" s="952"/>
      <c r="N139" s="952"/>
      <c r="O139" s="952"/>
      <c r="P139" s="952"/>
      <c r="Q139" s="952"/>
      <c r="R139" s="952"/>
      <c r="S139" s="952"/>
      <c r="T139" s="952"/>
      <c r="U139" s="952"/>
      <c r="V139" s="952"/>
      <c r="W139" s="952"/>
      <c r="X139" s="952"/>
      <c r="Y139" s="952"/>
      <c r="Z139" s="952"/>
    </row>
    <row r="140" spans="1:26" ht="18.75" customHeight="1" x14ac:dyDescent="0.35">
      <c r="A140" s="979" t="s">
        <v>126</v>
      </c>
      <c r="B140" s="952" t="s">
        <v>609</v>
      </c>
      <c r="C140" s="952"/>
      <c r="D140" s="952"/>
      <c r="E140" s="952"/>
      <c r="F140" s="952"/>
      <c r="G140" s="952"/>
      <c r="H140" s="952"/>
      <c r="I140" s="952"/>
      <c r="J140" s="952"/>
      <c r="K140" s="952"/>
      <c r="L140" s="952"/>
      <c r="M140" s="952"/>
      <c r="N140" s="952"/>
      <c r="O140" s="952"/>
      <c r="P140" s="952"/>
      <c r="Q140" s="952"/>
      <c r="R140" s="952"/>
      <c r="S140" s="952"/>
      <c r="T140" s="952"/>
      <c r="U140" s="952"/>
      <c r="V140" s="952"/>
      <c r="W140" s="952"/>
      <c r="X140" s="952"/>
      <c r="Y140" s="952"/>
      <c r="Z140" s="952"/>
    </row>
    <row r="141" spans="1:26" ht="18.75" customHeight="1" x14ac:dyDescent="0.35">
      <c r="A141" s="979" t="s">
        <v>128</v>
      </c>
      <c r="B141" s="952" t="s">
        <v>610</v>
      </c>
      <c r="C141" s="952"/>
      <c r="D141" s="952"/>
      <c r="E141" s="952"/>
      <c r="F141" s="952"/>
      <c r="G141" s="952"/>
      <c r="H141" s="952"/>
      <c r="I141" s="952"/>
      <c r="J141" s="952"/>
      <c r="K141" s="952"/>
      <c r="L141" s="952"/>
      <c r="M141" s="952"/>
      <c r="N141" s="952"/>
      <c r="O141" s="952"/>
      <c r="P141" s="952"/>
      <c r="Q141" s="952"/>
      <c r="R141" s="952"/>
      <c r="S141" s="952"/>
      <c r="T141" s="952"/>
      <c r="U141" s="952"/>
      <c r="V141" s="952"/>
      <c r="W141" s="952"/>
      <c r="X141" s="952"/>
      <c r="Y141" s="952"/>
      <c r="Z141" s="952"/>
    </row>
    <row r="142" spans="1:26" ht="18.75" customHeight="1" x14ac:dyDescent="0.35">
      <c r="A142" s="979" t="s">
        <v>340</v>
      </c>
      <c r="B142" s="952" t="s">
        <v>611</v>
      </c>
      <c r="C142" s="952"/>
      <c r="D142" s="952"/>
      <c r="E142" s="952"/>
      <c r="F142" s="952"/>
      <c r="G142" s="952"/>
      <c r="H142" s="952"/>
      <c r="I142" s="952"/>
      <c r="J142" s="952"/>
      <c r="K142" s="952"/>
      <c r="L142" s="952"/>
      <c r="M142" s="952"/>
      <c r="N142" s="952"/>
      <c r="O142" s="952"/>
      <c r="P142" s="952"/>
      <c r="Q142" s="952"/>
      <c r="R142" s="952"/>
      <c r="S142" s="952"/>
      <c r="T142" s="952"/>
      <c r="U142" s="952"/>
      <c r="V142" s="952"/>
      <c r="W142" s="952"/>
      <c r="X142" s="952"/>
      <c r="Y142" s="952"/>
      <c r="Z142" s="952"/>
    </row>
    <row r="143" spans="1:26" ht="18.75" customHeight="1" x14ac:dyDescent="0.35">
      <c r="A143" s="979" t="s">
        <v>612</v>
      </c>
      <c r="B143" s="952" t="s">
        <v>613</v>
      </c>
      <c r="C143" s="952"/>
      <c r="D143" s="952"/>
      <c r="E143" s="952"/>
      <c r="F143" s="952"/>
      <c r="G143" s="952"/>
      <c r="H143" s="952"/>
      <c r="I143" s="952"/>
      <c r="J143" s="952"/>
      <c r="K143" s="952"/>
      <c r="L143" s="952"/>
      <c r="M143" s="952"/>
      <c r="N143" s="952"/>
      <c r="O143" s="952"/>
      <c r="P143" s="952"/>
      <c r="Q143" s="952"/>
      <c r="R143" s="952"/>
      <c r="S143" s="952"/>
      <c r="T143" s="952"/>
      <c r="U143" s="952"/>
      <c r="V143" s="952"/>
      <c r="W143" s="952"/>
      <c r="X143" s="952"/>
      <c r="Y143" s="952"/>
      <c r="Z143" s="952"/>
    </row>
    <row r="144" spans="1:26" ht="18.75" customHeight="1" x14ac:dyDescent="0.35">
      <c r="A144" s="979" t="s">
        <v>203</v>
      </c>
      <c r="B144" s="952" t="s">
        <v>581</v>
      </c>
      <c r="C144" s="952"/>
      <c r="D144" s="952"/>
      <c r="E144" s="952"/>
      <c r="F144" s="952"/>
      <c r="G144" s="952"/>
      <c r="H144" s="952"/>
      <c r="I144" s="952"/>
      <c r="J144" s="952"/>
      <c r="K144" s="952"/>
      <c r="L144" s="952"/>
      <c r="M144" s="952"/>
      <c r="N144" s="952"/>
      <c r="O144" s="952"/>
      <c r="P144" s="952"/>
      <c r="Q144" s="952"/>
      <c r="R144" s="952"/>
      <c r="S144" s="952"/>
      <c r="T144" s="952"/>
      <c r="U144" s="952"/>
      <c r="V144" s="952"/>
      <c r="W144" s="952"/>
      <c r="X144" s="952"/>
      <c r="Y144" s="952"/>
      <c r="Z144" s="952"/>
    </row>
    <row r="145" spans="1:26" ht="18.75" customHeight="1" x14ac:dyDescent="0.35">
      <c r="A145" s="979" t="s">
        <v>341</v>
      </c>
      <c r="B145" s="952" t="s">
        <v>614</v>
      </c>
      <c r="C145" s="952"/>
      <c r="D145" s="952"/>
      <c r="E145" s="952"/>
      <c r="F145" s="952"/>
      <c r="G145" s="952"/>
      <c r="H145" s="952"/>
      <c r="I145" s="952"/>
      <c r="J145" s="952"/>
      <c r="K145" s="952"/>
      <c r="L145" s="952"/>
      <c r="M145" s="952"/>
      <c r="N145" s="952"/>
      <c r="O145" s="952"/>
      <c r="P145" s="952"/>
      <c r="Q145" s="952"/>
      <c r="R145" s="952"/>
      <c r="S145" s="952"/>
      <c r="T145" s="952"/>
      <c r="U145" s="952"/>
      <c r="V145" s="952"/>
      <c r="W145" s="952"/>
      <c r="X145" s="952"/>
      <c r="Y145" s="952"/>
      <c r="Z145" s="952"/>
    </row>
    <row r="146" spans="1:26" ht="18.75" customHeight="1" x14ac:dyDescent="0.35">
      <c r="A146" s="979" t="s">
        <v>99</v>
      </c>
      <c r="B146" s="952" t="s">
        <v>615</v>
      </c>
      <c r="C146" s="952"/>
      <c r="D146" s="952"/>
      <c r="E146" s="952"/>
      <c r="F146" s="952"/>
      <c r="G146" s="952"/>
      <c r="H146" s="952"/>
      <c r="I146" s="952"/>
      <c r="J146" s="952"/>
      <c r="K146" s="952"/>
      <c r="L146" s="952"/>
      <c r="M146" s="952"/>
      <c r="N146" s="952"/>
      <c r="O146" s="952"/>
      <c r="P146" s="952"/>
      <c r="Q146" s="952"/>
      <c r="R146" s="952"/>
      <c r="S146" s="952"/>
      <c r="T146" s="952"/>
      <c r="U146" s="952"/>
      <c r="V146" s="952"/>
      <c r="W146" s="952"/>
      <c r="X146" s="952"/>
      <c r="Y146" s="952"/>
      <c r="Z146" s="952"/>
    </row>
    <row r="147" spans="1:26" ht="18.75" customHeight="1" x14ac:dyDescent="0.35">
      <c r="A147" s="976" t="s">
        <v>101</v>
      </c>
      <c r="B147" s="952" t="s">
        <v>616</v>
      </c>
      <c r="C147" s="952"/>
      <c r="D147" s="952"/>
      <c r="E147" s="952"/>
      <c r="F147" s="952"/>
      <c r="G147" s="952"/>
      <c r="H147" s="952"/>
      <c r="I147" s="952"/>
      <c r="J147" s="952"/>
      <c r="K147" s="952"/>
      <c r="L147" s="952"/>
      <c r="M147" s="952"/>
      <c r="N147" s="952"/>
      <c r="O147" s="952"/>
      <c r="P147" s="952"/>
      <c r="Q147" s="952"/>
      <c r="R147" s="952"/>
      <c r="S147" s="952"/>
      <c r="T147" s="952"/>
      <c r="U147" s="952"/>
      <c r="V147" s="952"/>
      <c r="W147" s="952"/>
      <c r="X147" s="952"/>
      <c r="Y147" s="952"/>
      <c r="Z147" s="952"/>
    </row>
    <row r="148" spans="1:26" ht="18.75" customHeight="1" x14ac:dyDescent="0.35">
      <c r="A148" s="952"/>
      <c r="B148" s="952"/>
      <c r="C148" s="952"/>
      <c r="D148" s="952"/>
      <c r="E148" s="952"/>
      <c r="F148" s="952"/>
      <c r="G148" s="952"/>
      <c r="H148" s="952"/>
      <c r="I148" s="952"/>
      <c r="J148" s="952"/>
      <c r="K148" s="952"/>
      <c r="L148" s="952"/>
      <c r="M148" s="952"/>
      <c r="N148" s="952"/>
      <c r="O148" s="952"/>
      <c r="P148" s="952"/>
      <c r="Q148" s="952"/>
      <c r="R148" s="952"/>
      <c r="S148" s="952"/>
      <c r="T148" s="952"/>
      <c r="U148" s="952"/>
      <c r="V148" s="952"/>
      <c r="W148" s="952"/>
      <c r="X148" s="952"/>
      <c r="Y148" s="952"/>
      <c r="Z148" s="952"/>
    </row>
    <row r="149" spans="1:26" ht="18.75" customHeight="1" x14ac:dyDescent="0.35">
      <c r="A149" s="952"/>
      <c r="B149" s="952"/>
      <c r="C149" s="952"/>
      <c r="D149" s="952"/>
      <c r="E149" s="952"/>
      <c r="F149" s="952"/>
      <c r="G149" s="952"/>
      <c r="H149" s="952"/>
      <c r="I149" s="952"/>
      <c r="J149" s="952"/>
      <c r="K149" s="952"/>
      <c r="L149" s="952"/>
      <c r="M149" s="952"/>
      <c r="N149" s="952"/>
      <c r="O149" s="952"/>
      <c r="P149" s="952"/>
      <c r="Q149" s="952"/>
      <c r="R149" s="952"/>
      <c r="S149" s="952"/>
      <c r="T149" s="952"/>
      <c r="U149" s="952"/>
      <c r="V149" s="952"/>
      <c r="W149" s="952"/>
      <c r="X149" s="952"/>
      <c r="Y149" s="952"/>
      <c r="Z149" s="952"/>
    </row>
    <row r="150" spans="1:26" ht="18.75" customHeight="1" x14ac:dyDescent="0.35">
      <c r="A150" s="952"/>
      <c r="B150" s="952"/>
      <c r="C150" s="952"/>
      <c r="D150" s="952"/>
      <c r="E150" s="952"/>
      <c r="F150" s="952"/>
      <c r="G150" s="952"/>
      <c r="H150" s="952"/>
      <c r="I150" s="952"/>
      <c r="J150" s="952"/>
      <c r="K150" s="952"/>
      <c r="L150" s="952"/>
      <c r="M150" s="952"/>
      <c r="N150" s="952"/>
      <c r="O150" s="952"/>
      <c r="P150" s="952"/>
      <c r="Q150" s="952"/>
      <c r="R150" s="952"/>
      <c r="S150" s="952"/>
      <c r="T150" s="952"/>
      <c r="U150" s="952"/>
      <c r="V150" s="952"/>
      <c r="W150" s="952"/>
      <c r="X150" s="952"/>
      <c r="Y150" s="952"/>
      <c r="Z150" s="952"/>
    </row>
    <row r="151" spans="1:26" ht="18.75" customHeight="1" x14ac:dyDescent="0.35">
      <c r="A151" s="952"/>
      <c r="B151" s="952"/>
      <c r="C151" s="952"/>
      <c r="D151" s="952"/>
      <c r="E151" s="952"/>
      <c r="F151" s="952"/>
      <c r="G151" s="952"/>
      <c r="H151" s="952"/>
      <c r="I151" s="952"/>
      <c r="J151" s="952"/>
      <c r="K151" s="952"/>
      <c r="L151" s="952"/>
      <c r="M151" s="952"/>
      <c r="N151" s="952"/>
      <c r="O151" s="952"/>
      <c r="P151" s="952"/>
      <c r="Q151" s="952"/>
      <c r="R151" s="952"/>
      <c r="S151" s="952"/>
      <c r="T151" s="952"/>
      <c r="U151" s="952"/>
      <c r="V151" s="952"/>
      <c r="W151" s="952"/>
      <c r="X151" s="952"/>
      <c r="Y151" s="952"/>
      <c r="Z151" s="952"/>
    </row>
    <row r="152" spans="1:26" ht="18.75" customHeight="1" x14ac:dyDescent="0.35">
      <c r="A152" s="952"/>
      <c r="B152" s="952"/>
      <c r="C152" s="952"/>
      <c r="D152" s="952"/>
      <c r="E152" s="952"/>
      <c r="F152" s="952"/>
      <c r="G152" s="952"/>
      <c r="H152" s="952"/>
      <c r="I152" s="952"/>
      <c r="J152" s="952"/>
      <c r="K152" s="952"/>
      <c r="L152" s="952"/>
      <c r="M152" s="952"/>
      <c r="N152" s="952"/>
      <c r="O152" s="952"/>
      <c r="P152" s="952"/>
      <c r="Q152" s="952"/>
      <c r="R152" s="952"/>
      <c r="S152" s="952"/>
      <c r="T152" s="952"/>
      <c r="U152" s="952"/>
      <c r="V152" s="952"/>
      <c r="W152" s="952"/>
      <c r="X152" s="952"/>
      <c r="Y152" s="952"/>
      <c r="Z152" s="952"/>
    </row>
    <row r="153" spans="1:26" ht="18.75" customHeight="1" x14ac:dyDescent="0.35">
      <c r="A153" s="952"/>
      <c r="B153" s="952"/>
      <c r="C153" s="952"/>
      <c r="D153" s="952"/>
      <c r="E153" s="952"/>
      <c r="F153" s="952"/>
      <c r="G153" s="952"/>
      <c r="H153" s="952"/>
      <c r="I153" s="952"/>
      <c r="J153" s="952"/>
      <c r="K153" s="952"/>
      <c r="L153" s="952"/>
      <c r="M153" s="952"/>
      <c r="N153" s="952"/>
      <c r="O153" s="952"/>
      <c r="P153" s="952"/>
      <c r="Q153" s="952"/>
      <c r="R153" s="952"/>
      <c r="S153" s="952"/>
      <c r="T153" s="952"/>
      <c r="U153" s="952"/>
      <c r="V153" s="952"/>
      <c r="W153" s="952"/>
      <c r="X153" s="952"/>
      <c r="Y153" s="952"/>
      <c r="Z153" s="952"/>
    </row>
    <row r="154" spans="1:26" ht="18.75" customHeight="1" x14ac:dyDescent="0.35">
      <c r="A154" s="952"/>
      <c r="B154" s="952"/>
      <c r="C154" s="952"/>
      <c r="D154" s="952"/>
      <c r="E154" s="952"/>
      <c r="F154" s="952"/>
      <c r="G154" s="952"/>
      <c r="H154" s="952"/>
      <c r="I154" s="952"/>
      <c r="J154" s="952"/>
      <c r="K154" s="952"/>
      <c r="L154" s="952"/>
      <c r="M154" s="952"/>
      <c r="N154" s="952"/>
      <c r="O154" s="952"/>
      <c r="P154" s="952"/>
      <c r="Q154" s="952"/>
      <c r="R154" s="952"/>
      <c r="S154" s="952"/>
      <c r="T154" s="952"/>
      <c r="U154" s="952"/>
      <c r="V154" s="952"/>
      <c r="W154" s="952"/>
      <c r="X154" s="952"/>
      <c r="Y154" s="952"/>
      <c r="Z154" s="952"/>
    </row>
    <row r="155" spans="1:26" ht="18.75" customHeight="1" x14ac:dyDescent="0.35">
      <c r="A155" s="952"/>
      <c r="B155" s="952"/>
      <c r="C155" s="952"/>
      <c r="D155" s="952"/>
      <c r="E155" s="952"/>
      <c r="F155" s="952"/>
      <c r="G155" s="952"/>
      <c r="H155" s="952"/>
      <c r="I155" s="952"/>
      <c r="J155" s="952"/>
      <c r="K155" s="952"/>
      <c r="L155" s="952"/>
      <c r="M155" s="952"/>
      <c r="N155" s="952"/>
      <c r="O155" s="952"/>
      <c r="P155" s="952"/>
      <c r="Q155" s="952"/>
      <c r="R155" s="952"/>
      <c r="S155" s="952"/>
      <c r="T155" s="952"/>
      <c r="U155" s="952"/>
      <c r="V155" s="952"/>
      <c r="W155" s="952"/>
      <c r="X155" s="952"/>
      <c r="Y155" s="952"/>
      <c r="Z155" s="952"/>
    </row>
    <row r="156" spans="1:26" ht="18.75" customHeight="1" x14ac:dyDescent="0.35">
      <c r="A156" s="952"/>
      <c r="B156" s="952"/>
      <c r="C156" s="952"/>
      <c r="D156" s="952"/>
      <c r="E156" s="952"/>
      <c r="F156" s="952"/>
      <c r="G156" s="952"/>
      <c r="H156" s="952"/>
      <c r="I156" s="952"/>
      <c r="J156" s="952"/>
      <c r="K156" s="952"/>
      <c r="L156" s="952"/>
      <c r="M156" s="952"/>
      <c r="N156" s="952"/>
      <c r="O156" s="952"/>
      <c r="P156" s="952"/>
      <c r="Q156" s="952"/>
      <c r="R156" s="952"/>
      <c r="S156" s="952"/>
      <c r="T156" s="952"/>
      <c r="U156" s="952"/>
      <c r="V156" s="952"/>
      <c r="W156" s="952"/>
      <c r="X156" s="952"/>
      <c r="Y156" s="952"/>
      <c r="Z156" s="952"/>
    </row>
    <row r="157" spans="1:26" ht="18.75" customHeight="1" x14ac:dyDescent="0.35">
      <c r="A157" s="952"/>
      <c r="B157" s="952"/>
      <c r="C157" s="952"/>
      <c r="D157" s="952"/>
      <c r="E157" s="952"/>
      <c r="F157" s="952"/>
      <c r="G157" s="952"/>
      <c r="H157" s="952"/>
      <c r="I157" s="952"/>
      <c r="J157" s="952"/>
      <c r="K157" s="952"/>
      <c r="L157" s="952"/>
      <c r="M157" s="952"/>
      <c r="N157" s="952"/>
      <c r="O157" s="952"/>
      <c r="P157" s="952"/>
      <c r="Q157" s="952"/>
      <c r="R157" s="952"/>
      <c r="S157" s="952"/>
      <c r="T157" s="952"/>
      <c r="U157" s="952"/>
      <c r="V157" s="952"/>
      <c r="W157" s="952"/>
      <c r="X157" s="952"/>
      <c r="Y157" s="952"/>
      <c r="Z157" s="952"/>
    </row>
    <row r="158" spans="1:26" ht="18.75" customHeight="1" x14ac:dyDescent="0.35">
      <c r="A158" s="952"/>
      <c r="B158" s="952"/>
      <c r="C158" s="952"/>
      <c r="D158" s="952"/>
      <c r="E158" s="952"/>
      <c r="F158" s="952"/>
      <c r="G158" s="952"/>
      <c r="H158" s="952"/>
      <c r="I158" s="952"/>
      <c r="J158" s="952"/>
      <c r="K158" s="952"/>
      <c r="L158" s="952"/>
      <c r="M158" s="952"/>
      <c r="N158" s="952"/>
      <c r="O158" s="952"/>
      <c r="P158" s="952"/>
      <c r="Q158" s="952"/>
      <c r="R158" s="952"/>
      <c r="S158" s="952"/>
      <c r="T158" s="952"/>
      <c r="U158" s="952"/>
      <c r="V158" s="952"/>
      <c r="W158" s="952"/>
      <c r="X158" s="952"/>
      <c r="Y158" s="952"/>
      <c r="Z158" s="952"/>
    </row>
    <row r="159" spans="1:26" ht="18.75" customHeight="1" x14ac:dyDescent="0.35">
      <c r="A159" s="952"/>
      <c r="B159" s="952"/>
      <c r="C159" s="952"/>
      <c r="D159" s="952"/>
      <c r="E159" s="952"/>
      <c r="F159" s="952"/>
      <c r="G159" s="952"/>
      <c r="H159" s="952"/>
      <c r="I159" s="952"/>
      <c r="J159" s="952"/>
      <c r="K159" s="952"/>
      <c r="L159" s="952"/>
      <c r="M159" s="952"/>
      <c r="N159" s="952"/>
      <c r="O159" s="952"/>
      <c r="P159" s="952"/>
      <c r="Q159" s="952"/>
      <c r="R159" s="952"/>
      <c r="S159" s="952"/>
      <c r="T159" s="952"/>
      <c r="U159" s="952"/>
      <c r="V159" s="952"/>
      <c r="W159" s="952"/>
      <c r="X159" s="952"/>
      <c r="Y159" s="952"/>
      <c r="Z159" s="952"/>
    </row>
    <row r="160" spans="1:26" ht="18.75" customHeight="1" x14ac:dyDescent="0.35">
      <c r="A160" s="952"/>
      <c r="B160" s="952"/>
      <c r="C160" s="952"/>
      <c r="D160" s="952"/>
      <c r="E160" s="952"/>
      <c r="F160" s="952"/>
      <c r="G160" s="952"/>
      <c r="H160" s="952"/>
      <c r="I160" s="952"/>
      <c r="J160" s="952"/>
      <c r="K160" s="952"/>
      <c r="L160" s="952"/>
      <c r="M160" s="952"/>
      <c r="N160" s="952"/>
      <c r="O160" s="952"/>
      <c r="P160" s="952"/>
      <c r="Q160" s="952"/>
      <c r="R160" s="952"/>
      <c r="S160" s="952"/>
      <c r="T160" s="952"/>
      <c r="U160" s="952"/>
      <c r="V160" s="952"/>
      <c r="W160" s="952"/>
      <c r="X160" s="952"/>
      <c r="Y160" s="952"/>
      <c r="Z160" s="952"/>
    </row>
    <row r="161" spans="1:26" ht="18.75" customHeight="1" x14ac:dyDescent="0.35">
      <c r="A161" s="952"/>
      <c r="B161" s="952"/>
      <c r="C161" s="952"/>
      <c r="D161" s="952"/>
      <c r="E161" s="952"/>
      <c r="F161" s="952"/>
      <c r="G161" s="952"/>
      <c r="H161" s="952"/>
      <c r="I161" s="952"/>
      <c r="J161" s="952"/>
      <c r="K161" s="952"/>
      <c r="L161" s="952"/>
      <c r="M161" s="952"/>
      <c r="N161" s="952"/>
      <c r="O161" s="952"/>
      <c r="P161" s="952"/>
      <c r="Q161" s="952"/>
      <c r="R161" s="952"/>
      <c r="S161" s="952"/>
      <c r="T161" s="952"/>
      <c r="U161" s="952"/>
      <c r="V161" s="952"/>
      <c r="W161" s="952"/>
      <c r="X161" s="952"/>
      <c r="Y161" s="952"/>
      <c r="Z161" s="952"/>
    </row>
    <row r="162" spans="1:26" ht="18.75" customHeight="1" x14ac:dyDescent="0.35">
      <c r="A162" s="952"/>
      <c r="B162" s="952"/>
      <c r="C162" s="952"/>
      <c r="D162" s="952"/>
      <c r="E162" s="952"/>
      <c r="F162" s="952"/>
      <c r="G162" s="952"/>
      <c r="H162" s="952"/>
      <c r="I162" s="952"/>
      <c r="J162" s="952"/>
      <c r="K162" s="952"/>
      <c r="L162" s="952"/>
      <c r="M162" s="952"/>
      <c r="N162" s="952"/>
      <c r="O162" s="952"/>
      <c r="P162" s="952"/>
      <c r="Q162" s="952"/>
      <c r="R162" s="952"/>
      <c r="S162" s="952"/>
      <c r="T162" s="952"/>
      <c r="U162" s="952"/>
      <c r="V162" s="952"/>
      <c r="W162" s="952"/>
      <c r="X162" s="952"/>
      <c r="Y162" s="952"/>
      <c r="Z162" s="952"/>
    </row>
    <row r="163" spans="1:26" ht="18.75" customHeight="1" x14ac:dyDescent="0.35">
      <c r="A163" s="952"/>
      <c r="B163" s="952"/>
      <c r="C163" s="952"/>
      <c r="D163" s="952"/>
      <c r="E163" s="952"/>
      <c r="F163" s="952"/>
      <c r="G163" s="952"/>
      <c r="H163" s="952"/>
      <c r="I163" s="952"/>
      <c r="J163" s="952"/>
      <c r="K163" s="952"/>
      <c r="L163" s="952"/>
      <c r="M163" s="952"/>
      <c r="N163" s="952"/>
      <c r="O163" s="952"/>
      <c r="P163" s="952"/>
      <c r="Q163" s="952"/>
      <c r="R163" s="952"/>
      <c r="S163" s="952"/>
      <c r="T163" s="952"/>
      <c r="U163" s="952"/>
      <c r="V163" s="952"/>
      <c r="W163" s="952"/>
      <c r="X163" s="952"/>
      <c r="Y163" s="952"/>
      <c r="Z163" s="952"/>
    </row>
    <row r="164" spans="1:26" ht="18.75" customHeight="1" x14ac:dyDescent="0.35">
      <c r="A164" s="952"/>
      <c r="B164" s="952"/>
      <c r="C164" s="952"/>
      <c r="D164" s="952"/>
      <c r="E164" s="952"/>
      <c r="F164" s="952"/>
      <c r="G164" s="952"/>
      <c r="H164" s="952"/>
      <c r="I164" s="952"/>
      <c r="J164" s="952"/>
      <c r="K164" s="952"/>
      <c r="L164" s="952"/>
      <c r="M164" s="952"/>
      <c r="N164" s="952"/>
      <c r="O164" s="952"/>
      <c r="P164" s="952"/>
      <c r="Q164" s="952"/>
      <c r="R164" s="952"/>
      <c r="S164" s="952"/>
      <c r="T164" s="952"/>
      <c r="U164" s="952"/>
      <c r="V164" s="952"/>
      <c r="W164" s="952"/>
      <c r="X164" s="952"/>
      <c r="Y164" s="952"/>
      <c r="Z164" s="952"/>
    </row>
    <row r="165" spans="1:26" ht="18.75" customHeight="1" x14ac:dyDescent="0.35">
      <c r="A165" s="952"/>
      <c r="B165" s="952"/>
      <c r="C165" s="952"/>
      <c r="D165" s="952"/>
      <c r="E165" s="952"/>
      <c r="F165" s="952"/>
      <c r="G165" s="952"/>
      <c r="H165" s="952"/>
      <c r="I165" s="952"/>
      <c r="J165" s="952"/>
      <c r="K165" s="952"/>
      <c r="L165" s="952"/>
      <c r="M165" s="952"/>
      <c r="N165" s="952"/>
      <c r="O165" s="952"/>
      <c r="P165" s="952"/>
      <c r="Q165" s="952"/>
      <c r="R165" s="952"/>
      <c r="S165" s="952"/>
      <c r="T165" s="952"/>
      <c r="U165" s="952"/>
      <c r="V165" s="952"/>
      <c r="W165" s="952"/>
      <c r="X165" s="952"/>
      <c r="Y165" s="952"/>
      <c r="Z165" s="952"/>
    </row>
    <row r="166" spans="1:26" ht="18.75" customHeight="1" x14ac:dyDescent="0.35">
      <c r="A166" s="952"/>
      <c r="B166" s="952"/>
      <c r="C166" s="952"/>
      <c r="D166" s="952"/>
      <c r="E166" s="952"/>
      <c r="F166" s="952"/>
      <c r="G166" s="952"/>
      <c r="H166" s="952"/>
      <c r="I166" s="952"/>
      <c r="J166" s="952"/>
      <c r="K166" s="952"/>
      <c r="L166" s="952"/>
      <c r="M166" s="952"/>
      <c r="N166" s="952"/>
      <c r="O166" s="952"/>
      <c r="P166" s="952"/>
      <c r="Q166" s="952"/>
      <c r="R166" s="952"/>
      <c r="S166" s="952"/>
      <c r="T166" s="952"/>
      <c r="U166" s="952"/>
      <c r="V166" s="952"/>
      <c r="W166" s="952"/>
      <c r="X166" s="952"/>
      <c r="Y166" s="952"/>
      <c r="Z166" s="952"/>
    </row>
    <row r="167" spans="1:26" ht="18.75" customHeight="1" x14ac:dyDescent="0.35">
      <c r="A167" s="952"/>
      <c r="B167" s="952"/>
      <c r="C167" s="952"/>
      <c r="D167" s="952"/>
      <c r="E167" s="952"/>
      <c r="F167" s="952"/>
      <c r="G167" s="952"/>
      <c r="H167" s="952"/>
      <c r="I167" s="952"/>
      <c r="J167" s="952"/>
      <c r="K167" s="952"/>
      <c r="L167" s="952"/>
      <c r="M167" s="952"/>
      <c r="N167" s="952"/>
      <c r="O167" s="952"/>
      <c r="P167" s="952"/>
      <c r="Q167" s="952"/>
      <c r="R167" s="952"/>
      <c r="S167" s="952"/>
      <c r="T167" s="952"/>
      <c r="U167" s="952"/>
      <c r="V167" s="952"/>
      <c r="W167" s="952"/>
      <c r="X167" s="952"/>
      <c r="Y167" s="952"/>
      <c r="Z167" s="952"/>
    </row>
    <row r="168" spans="1:26" ht="18.75" customHeight="1" x14ac:dyDescent="0.35">
      <c r="A168" s="952"/>
      <c r="B168" s="952"/>
      <c r="C168" s="952"/>
      <c r="D168" s="952"/>
      <c r="E168" s="952"/>
      <c r="F168" s="952"/>
      <c r="G168" s="952"/>
      <c r="H168" s="952"/>
      <c r="I168" s="952"/>
      <c r="J168" s="952"/>
      <c r="K168" s="952"/>
      <c r="L168" s="952"/>
      <c r="M168" s="952"/>
      <c r="N168" s="952"/>
      <c r="O168" s="952"/>
      <c r="P168" s="952"/>
      <c r="Q168" s="952"/>
      <c r="R168" s="952"/>
      <c r="S168" s="952"/>
      <c r="T168" s="952"/>
      <c r="U168" s="952"/>
      <c r="V168" s="952"/>
      <c r="W168" s="952"/>
      <c r="X168" s="952"/>
      <c r="Y168" s="952"/>
      <c r="Z168" s="952"/>
    </row>
    <row r="169" spans="1:26" ht="18.75" customHeight="1" x14ac:dyDescent="0.35">
      <c r="A169" s="952"/>
      <c r="B169" s="952"/>
      <c r="C169" s="952"/>
      <c r="D169" s="952"/>
      <c r="E169" s="952"/>
      <c r="F169" s="952"/>
      <c r="G169" s="952"/>
      <c r="H169" s="952"/>
      <c r="I169" s="952"/>
      <c r="J169" s="952"/>
      <c r="K169" s="952"/>
      <c r="L169" s="952"/>
      <c r="M169" s="952"/>
      <c r="N169" s="952"/>
      <c r="O169" s="952"/>
      <c r="P169" s="952"/>
      <c r="Q169" s="952"/>
      <c r="R169" s="952"/>
      <c r="S169" s="952"/>
      <c r="T169" s="952"/>
      <c r="U169" s="952"/>
      <c r="V169" s="952"/>
      <c r="W169" s="952"/>
      <c r="X169" s="952"/>
      <c r="Y169" s="952"/>
      <c r="Z169" s="952"/>
    </row>
    <row r="170" spans="1:26" ht="18.75" customHeight="1" x14ac:dyDescent="0.35">
      <c r="A170" s="952"/>
      <c r="B170" s="952"/>
      <c r="C170" s="952"/>
      <c r="D170" s="952"/>
      <c r="E170" s="952"/>
      <c r="F170" s="952"/>
      <c r="G170" s="952"/>
      <c r="H170" s="952"/>
      <c r="I170" s="952"/>
      <c r="J170" s="952"/>
      <c r="K170" s="952"/>
      <c r="L170" s="952"/>
      <c r="M170" s="952"/>
      <c r="N170" s="952"/>
      <c r="O170" s="952"/>
      <c r="P170" s="952"/>
      <c r="Q170" s="952"/>
      <c r="R170" s="952"/>
      <c r="S170" s="952"/>
      <c r="T170" s="952"/>
      <c r="U170" s="952"/>
      <c r="V170" s="952"/>
      <c r="W170" s="952"/>
      <c r="X170" s="952"/>
      <c r="Y170" s="952"/>
      <c r="Z170" s="952"/>
    </row>
    <row r="171" spans="1:26" ht="18.75" customHeight="1" x14ac:dyDescent="0.35">
      <c r="A171" s="952"/>
      <c r="B171" s="952"/>
      <c r="C171" s="952"/>
      <c r="D171" s="952"/>
      <c r="E171" s="952"/>
      <c r="F171" s="952"/>
      <c r="G171" s="952"/>
      <c r="H171" s="952"/>
      <c r="I171" s="952"/>
      <c r="J171" s="952"/>
      <c r="K171" s="952"/>
      <c r="L171" s="952"/>
      <c r="M171" s="952"/>
      <c r="N171" s="952"/>
      <c r="O171" s="952"/>
      <c r="P171" s="952"/>
      <c r="Q171" s="952"/>
      <c r="R171" s="952"/>
      <c r="S171" s="952"/>
      <c r="T171" s="952"/>
      <c r="U171" s="952"/>
      <c r="V171" s="952"/>
      <c r="W171" s="952"/>
      <c r="X171" s="952"/>
      <c r="Y171" s="952"/>
      <c r="Z171" s="952"/>
    </row>
    <row r="172" spans="1:26" ht="18.75" customHeight="1" x14ac:dyDescent="0.35">
      <c r="A172" s="952"/>
      <c r="B172" s="952"/>
      <c r="C172" s="952"/>
      <c r="D172" s="952"/>
      <c r="E172" s="952"/>
      <c r="F172" s="952"/>
      <c r="G172" s="952"/>
      <c r="H172" s="952"/>
      <c r="I172" s="952"/>
      <c r="J172" s="952"/>
      <c r="K172" s="952"/>
      <c r="L172" s="952"/>
      <c r="M172" s="952"/>
      <c r="N172" s="952"/>
      <c r="O172" s="952"/>
      <c r="P172" s="952"/>
      <c r="Q172" s="952"/>
      <c r="R172" s="952"/>
      <c r="S172" s="952"/>
      <c r="T172" s="952"/>
      <c r="U172" s="952"/>
      <c r="V172" s="952"/>
      <c r="W172" s="952"/>
      <c r="X172" s="952"/>
      <c r="Y172" s="952"/>
      <c r="Z172" s="952"/>
    </row>
    <row r="173" spans="1:26" ht="18.75" customHeight="1" x14ac:dyDescent="0.35">
      <c r="A173" s="952"/>
      <c r="B173" s="952"/>
      <c r="C173" s="952"/>
      <c r="D173" s="952"/>
      <c r="E173" s="952"/>
      <c r="F173" s="952"/>
      <c r="G173" s="952"/>
      <c r="H173" s="952"/>
      <c r="I173" s="952"/>
      <c r="J173" s="952"/>
      <c r="K173" s="952"/>
      <c r="L173" s="952"/>
      <c r="M173" s="952"/>
      <c r="N173" s="952"/>
      <c r="O173" s="952"/>
      <c r="P173" s="952"/>
      <c r="Q173" s="952"/>
      <c r="R173" s="952"/>
      <c r="S173" s="952"/>
      <c r="T173" s="952"/>
      <c r="U173" s="952"/>
      <c r="V173" s="952"/>
      <c r="W173" s="952"/>
      <c r="X173" s="952"/>
      <c r="Y173" s="952"/>
      <c r="Z173" s="952"/>
    </row>
    <row r="174" spans="1:26" ht="18.75" customHeight="1" x14ac:dyDescent="0.35">
      <c r="A174" s="952"/>
      <c r="B174" s="952"/>
      <c r="C174" s="952"/>
      <c r="D174" s="952"/>
      <c r="E174" s="952"/>
      <c r="F174" s="952"/>
      <c r="G174" s="952"/>
      <c r="H174" s="952"/>
      <c r="I174" s="952"/>
      <c r="J174" s="952"/>
      <c r="K174" s="952"/>
      <c r="L174" s="952"/>
      <c r="M174" s="952"/>
      <c r="N174" s="952"/>
      <c r="O174" s="952"/>
      <c r="P174" s="952"/>
      <c r="Q174" s="952"/>
      <c r="R174" s="952"/>
      <c r="S174" s="952"/>
      <c r="T174" s="952"/>
      <c r="U174" s="952"/>
      <c r="V174" s="952"/>
      <c r="W174" s="952"/>
      <c r="X174" s="952"/>
      <c r="Y174" s="952"/>
      <c r="Z174" s="952"/>
    </row>
    <row r="175" spans="1:26" ht="18.75" customHeight="1" x14ac:dyDescent="0.35">
      <c r="A175" s="952"/>
      <c r="B175" s="952"/>
      <c r="C175" s="952"/>
      <c r="D175" s="952"/>
      <c r="E175" s="952"/>
      <c r="F175" s="952"/>
      <c r="G175" s="952"/>
      <c r="H175" s="952"/>
      <c r="I175" s="952"/>
      <c r="J175" s="952"/>
      <c r="K175" s="952"/>
      <c r="L175" s="952"/>
      <c r="M175" s="952"/>
      <c r="N175" s="952"/>
      <c r="O175" s="952"/>
      <c r="P175" s="952"/>
      <c r="Q175" s="952"/>
      <c r="R175" s="952"/>
      <c r="S175" s="952"/>
      <c r="T175" s="952"/>
      <c r="U175" s="952"/>
      <c r="V175" s="952"/>
      <c r="W175" s="952"/>
      <c r="X175" s="952"/>
      <c r="Y175" s="952"/>
      <c r="Z175" s="952"/>
    </row>
    <row r="176" spans="1:26" ht="18.75" customHeight="1" x14ac:dyDescent="0.35">
      <c r="A176" s="952"/>
      <c r="B176" s="952"/>
      <c r="C176" s="952"/>
      <c r="D176" s="952"/>
      <c r="E176" s="952"/>
      <c r="F176" s="952"/>
      <c r="G176" s="952"/>
      <c r="H176" s="952"/>
      <c r="I176" s="952"/>
      <c r="J176" s="952"/>
      <c r="K176" s="952"/>
      <c r="L176" s="952"/>
      <c r="M176" s="952"/>
      <c r="N176" s="952"/>
      <c r="O176" s="952"/>
      <c r="P176" s="952"/>
      <c r="Q176" s="952"/>
      <c r="R176" s="952"/>
      <c r="S176" s="952"/>
      <c r="T176" s="952"/>
      <c r="U176" s="952"/>
      <c r="V176" s="952"/>
      <c r="W176" s="952"/>
      <c r="X176" s="952"/>
      <c r="Y176" s="952"/>
      <c r="Z176" s="952"/>
    </row>
    <row r="177" spans="1:26" ht="18.75" customHeight="1" x14ac:dyDescent="0.35">
      <c r="A177" s="952"/>
      <c r="B177" s="952"/>
      <c r="C177" s="952"/>
      <c r="D177" s="952"/>
      <c r="E177" s="952"/>
      <c r="F177" s="952"/>
      <c r="G177" s="952"/>
      <c r="H177" s="952"/>
      <c r="I177" s="952"/>
      <c r="J177" s="952"/>
      <c r="K177" s="952"/>
      <c r="L177" s="952"/>
      <c r="M177" s="952"/>
      <c r="N177" s="952"/>
      <c r="O177" s="952"/>
      <c r="P177" s="952"/>
      <c r="Q177" s="952"/>
      <c r="R177" s="952"/>
      <c r="S177" s="952"/>
      <c r="T177" s="952"/>
      <c r="U177" s="952"/>
      <c r="V177" s="952"/>
      <c r="W177" s="952"/>
      <c r="X177" s="952"/>
      <c r="Y177" s="952"/>
      <c r="Z177" s="952"/>
    </row>
    <row r="178" spans="1:26" ht="18.75" customHeight="1" x14ac:dyDescent="0.35">
      <c r="A178" s="952"/>
      <c r="B178" s="952"/>
      <c r="C178" s="952"/>
      <c r="D178" s="952"/>
      <c r="E178" s="952"/>
      <c r="F178" s="952"/>
      <c r="G178" s="952"/>
      <c r="H178" s="952"/>
      <c r="I178" s="952"/>
      <c r="J178" s="952"/>
      <c r="K178" s="952"/>
      <c r="L178" s="952"/>
      <c r="M178" s="952"/>
      <c r="N178" s="952"/>
      <c r="O178" s="952"/>
      <c r="P178" s="952"/>
      <c r="Q178" s="952"/>
      <c r="R178" s="952"/>
      <c r="S178" s="952"/>
      <c r="T178" s="952"/>
      <c r="U178" s="952"/>
      <c r="V178" s="952"/>
      <c r="W178" s="952"/>
      <c r="X178" s="952"/>
      <c r="Y178" s="952"/>
      <c r="Z178" s="952"/>
    </row>
    <row r="179" spans="1:26" ht="18.75" customHeight="1" x14ac:dyDescent="0.35">
      <c r="A179" s="952"/>
      <c r="B179" s="952"/>
      <c r="C179" s="952"/>
      <c r="D179" s="952"/>
      <c r="E179" s="952"/>
      <c r="F179" s="952"/>
      <c r="G179" s="952"/>
      <c r="H179" s="952"/>
      <c r="I179" s="952"/>
      <c r="J179" s="952"/>
      <c r="K179" s="952"/>
      <c r="L179" s="952"/>
      <c r="M179" s="952"/>
      <c r="N179" s="952"/>
      <c r="O179" s="952"/>
      <c r="P179" s="952"/>
      <c r="Q179" s="952"/>
      <c r="R179" s="952"/>
      <c r="S179" s="952"/>
      <c r="T179" s="952"/>
      <c r="U179" s="952"/>
      <c r="V179" s="952"/>
      <c r="W179" s="952"/>
      <c r="X179" s="952"/>
      <c r="Y179" s="952"/>
      <c r="Z179" s="952"/>
    </row>
    <row r="180" spans="1:26" ht="18.75" customHeight="1" x14ac:dyDescent="0.35">
      <c r="A180" s="952"/>
      <c r="B180" s="952"/>
      <c r="C180" s="952"/>
      <c r="D180" s="952"/>
      <c r="E180" s="952"/>
      <c r="F180" s="952"/>
      <c r="G180" s="952"/>
      <c r="H180" s="952"/>
      <c r="I180" s="952"/>
      <c r="J180" s="952"/>
      <c r="K180" s="952"/>
      <c r="L180" s="952"/>
      <c r="M180" s="952"/>
      <c r="N180" s="952"/>
      <c r="O180" s="952"/>
      <c r="P180" s="952"/>
      <c r="Q180" s="952"/>
      <c r="R180" s="952"/>
      <c r="S180" s="952"/>
      <c r="T180" s="952"/>
      <c r="U180" s="952"/>
      <c r="V180" s="952"/>
      <c r="W180" s="952"/>
      <c r="X180" s="952"/>
      <c r="Y180" s="952"/>
      <c r="Z180" s="952"/>
    </row>
    <row r="181" spans="1:26" ht="18.75" customHeight="1" x14ac:dyDescent="0.35">
      <c r="A181" s="952"/>
      <c r="B181" s="952"/>
      <c r="C181" s="952"/>
      <c r="D181" s="952"/>
      <c r="E181" s="952"/>
      <c r="F181" s="952"/>
      <c r="G181" s="952"/>
      <c r="H181" s="952"/>
      <c r="I181" s="952"/>
      <c r="J181" s="952"/>
      <c r="K181" s="952"/>
      <c r="L181" s="952"/>
      <c r="M181" s="952"/>
      <c r="N181" s="952"/>
      <c r="O181" s="952"/>
      <c r="P181" s="952"/>
      <c r="Q181" s="952"/>
      <c r="R181" s="952"/>
      <c r="S181" s="952"/>
      <c r="T181" s="952"/>
      <c r="U181" s="952"/>
      <c r="V181" s="952"/>
      <c r="W181" s="952"/>
      <c r="X181" s="952"/>
      <c r="Y181" s="952"/>
      <c r="Z181" s="952"/>
    </row>
    <row r="182" spans="1:26" ht="18.75" customHeight="1" x14ac:dyDescent="0.35">
      <c r="A182" s="952"/>
      <c r="B182" s="952"/>
      <c r="C182" s="952"/>
      <c r="D182" s="952"/>
      <c r="E182" s="952"/>
      <c r="F182" s="952"/>
      <c r="G182" s="952"/>
      <c r="H182" s="952"/>
      <c r="I182" s="952"/>
      <c r="J182" s="952"/>
      <c r="K182" s="952"/>
      <c r="L182" s="952"/>
      <c r="M182" s="952"/>
      <c r="N182" s="952"/>
      <c r="O182" s="952"/>
      <c r="P182" s="952"/>
      <c r="Q182" s="952"/>
      <c r="R182" s="952"/>
      <c r="S182" s="952"/>
      <c r="T182" s="952"/>
      <c r="U182" s="952"/>
      <c r="V182" s="952"/>
      <c r="W182" s="952"/>
      <c r="X182" s="952"/>
      <c r="Y182" s="952"/>
      <c r="Z182" s="952"/>
    </row>
    <row r="183" spans="1:26" ht="18.75" customHeight="1" x14ac:dyDescent="0.35">
      <c r="A183" s="952"/>
      <c r="B183" s="952"/>
      <c r="C183" s="952"/>
      <c r="D183" s="952"/>
      <c r="E183" s="952"/>
      <c r="F183" s="952"/>
      <c r="G183" s="952"/>
      <c r="H183" s="952"/>
      <c r="I183" s="952"/>
      <c r="J183" s="952"/>
      <c r="K183" s="952"/>
      <c r="L183" s="952"/>
      <c r="M183" s="952"/>
      <c r="N183" s="952"/>
      <c r="O183" s="952"/>
      <c r="P183" s="952"/>
      <c r="Q183" s="952"/>
      <c r="R183" s="952"/>
      <c r="S183" s="952"/>
      <c r="T183" s="952"/>
      <c r="U183" s="952"/>
      <c r="V183" s="952"/>
      <c r="W183" s="952"/>
      <c r="X183" s="952"/>
      <c r="Y183" s="952"/>
      <c r="Z183" s="952"/>
    </row>
    <row r="184" spans="1:26" ht="18.75" customHeight="1" x14ac:dyDescent="0.35">
      <c r="A184" s="952"/>
      <c r="B184" s="952"/>
      <c r="C184" s="952"/>
      <c r="D184" s="952"/>
      <c r="E184" s="952"/>
      <c r="F184" s="952"/>
      <c r="G184" s="952"/>
      <c r="H184" s="952"/>
      <c r="I184" s="952"/>
      <c r="J184" s="952"/>
      <c r="K184" s="952"/>
      <c r="L184" s="952"/>
      <c r="M184" s="952"/>
      <c r="N184" s="952"/>
      <c r="O184" s="952"/>
      <c r="P184" s="952"/>
      <c r="Q184" s="952"/>
      <c r="R184" s="952"/>
      <c r="S184" s="952"/>
      <c r="T184" s="952"/>
      <c r="U184" s="952"/>
      <c r="V184" s="952"/>
      <c r="W184" s="952"/>
      <c r="X184" s="952"/>
      <c r="Y184" s="952"/>
      <c r="Z184" s="952"/>
    </row>
    <row r="185" spans="1:26" ht="18.75" customHeight="1" x14ac:dyDescent="0.35">
      <c r="A185" s="952"/>
      <c r="B185" s="952"/>
      <c r="C185" s="952"/>
      <c r="D185" s="952"/>
      <c r="E185" s="952"/>
      <c r="F185" s="952"/>
      <c r="G185" s="952"/>
      <c r="H185" s="952"/>
      <c r="I185" s="952"/>
      <c r="J185" s="952"/>
      <c r="K185" s="952"/>
      <c r="L185" s="952"/>
      <c r="M185" s="952"/>
      <c r="N185" s="952"/>
      <c r="O185" s="952"/>
      <c r="P185" s="952"/>
      <c r="Q185" s="952"/>
      <c r="R185" s="952"/>
      <c r="S185" s="952"/>
      <c r="T185" s="952"/>
      <c r="U185" s="952"/>
      <c r="V185" s="952"/>
      <c r="W185" s="952"/>
      <c r="X185" s="952"/>
      <c r="Y185" s="952"/>
      <c r="Z185" s="952"/>
    </row>
    <row r="186" spans="1:26" ht="18.75" customHeight="1" x14ac:dyDescent="0.35">
      <c r="A186" s="952"/>
      <c r="B186" s="952"/>
      <c r="C186" s="952"/>
      <c r="D186" s="952"/>
      <c r="E186" s="952"/>
      <c r="F186" s="952"/>
      <c r="G186" s="952"/>
      <c r="H186" s="952"/>
      <c r="I186" s="952"/>
      <c r="J186" s="952"/>
      <c r="K186" s="952"/>
      <c r="L186" s="952"/>
      <c r="M186" s="952"/>
      <c r="N186" s="952"/>
      <c r="O186" s="952"/>
      <c r="P186" s="952"/>
      <c r="Q186" s="952"/>
      <c r="R186" s="952"/>
      <c r="S186" s="952"/>
      <c r="T186" s="952"/>
      <c r="U186" s="952"/>
      <c r="V186" s="952"/>
      <c r="W186" s="952"/>
      <c r="X186" s="952"/>
      <c r="Y186" s="952"/>
      <c r="Z186" s="952"/>
    </row>
    <row r="187" spans="1:26" ht="18.75" customHeight="1" x14ac:dyDescent="0.35">
      <c r="A187" s="952"/>
      <c r="B187" s="952"/>
      <c r="C187" s="952"/>
      <c r="D187" s="952"/>
      <c r="E187" s="952"/>
      <c r="F187" s="952"/>
      <c r="G187" s="952"/>
      <c r="H187" s="952"/>
      <c r="I187" s="952"/>
      <c r="J187" s="952"/>
      <c r="K187" s="952"/>
      <c r="L187" s="952"/>
      <c r="M187" s="952"/>
      <c r="N187" s="952"/>
      <c r="O187" s="952"/>
      <c r="P187" s="952"/>
      <c r="Q187" s="952"/>
      <c r="R187" s="952"/>
      <c r="S187" s="952"/>
      <c r="T187" s="952"/>
      <c r="U187" s="952"/>
      <c r="V187" s="952"/>
      <c r="W187" s="952"/>
      <c r="X187" s="952"/>
      <c r="Y187" s="952"/>
      <c r="Z187" s="952"/>
    </row>
    <row r="188" spans="1:26" ht="18.75" customHeight="1" x14ac:dyDescent="0.35">
      <c r="A188" s="952"/>
      <c r="B188" s="952"/>
      <c r="C188" s="952"/>
      <c r="D188" s="952"/>
      <c r="E188" s="952"/>
      <c r="F188" s="952"/>
      <c r="G188" s="952"/>
      <c r="H188" s="952"/>
      <c r="I188" s="952"/>
      <c r="J188" s="952"/>
      <c r="K188" s="952"/>
      <c r="L188" s="952"/>
      <c r="M188" s="952"/>
      <c r="N188" s="952"/>
      <c r="O188" s="952"/>
      <c r="P188" s="952"/>
      <c r="Q188" s="952"/>
      <c r="R188" s="952"/>
      <c r="S188" s="952"/>
      <c r="T188" s="952"/>
      <c r="U188" s="952"/>
      <c r="V188" s="952"/>
      <c r="W188" s="952"/>
      <c r="X188" s="952"/>
      <c r="Y188" s="952"/>
      <c r="Z188" s="952"/>
    </row>
    <row r="189" spans="1:26" ht="18.75" customHeight="1" x14ac:dyDescent="0.35">
      <c r="A189" s="952"/>
      <c r="B189" s="952"/>
      <c r="C189" s="952"/>
      <c r="D189" s="952"/>
      <c r="E189" s="952"/>
      <c r="F189" s="952"/>
      <c r="G189" s="952"/>
      <c r="H189" s="952"/>
      <c r="I189" s="952"/>
      <c r="J189" s="952"/>
      <c r="K189" s="952"/>
      <c r="L189" s="952"/>
      <c r="M189" s="952"/>
      <c r="N189" s="952"/>
      <c r="O189" s="952"/>
      <c r="P189" s="952"/>
      <c r="Q189" s="952"/>
      <c r="R189" s="952"/>
      <c r="S189" s="952"/>
      <c r="T189" s="952"/>
      <c r="U189" s="952"/>
      <c r="V189" s="952"/>
      <c r="W189" s="952"/>
      <c r="X189" s="952"/>
      <c r="Y189" s="952"/>
      <c r="Z189" s="952"/>
    </row>
    <row r="190" spans="1:26" ht="18.75" customHeight="1" x14ac:dyDescent="0.35">
      <c r="A190" s="952"/>
      <c r="B190" s="952"/>
      <c r="C190" s="952"/>
      <c r="D190" s="952"/>
      <c r="E190" s="952"/>
      <c r="F190" s="952"/>
      <c r="G190" s="952"/>
      <c r="H190" s="952"/>
      <c r="I190" s="952"/>
      <c r="J190" s="952"/>
      <c r="K190" s="952"/>
      <c r="L190" s="952"/>
      <c r="M190" s="952"/>
      <c r="N190" s="952"/>
      <c r="O190" s="952"/>
      <c r="P190" s="952"/>
      <c r="Q190" s="952"/>
      <c r="R190" s="952"/>
      <c r="S190" s="952"/>
      <c r="T190" s="952"/>
      <c r="U190" s="952"/>
      <c r="V190" s="952"/>
      <c r="W190" s="952"/>
      <c r="X190" s="952"/>
      <c r="Y190" s="952"/>
      <c r="Z190" s="952"/>
    </row>
    <row r="191" spans="1:26" ht="18.75" customHeight="1" x14ac:dyDescent="0.35">
      <c r="A191" s="952"/>
      <c r="B191" s="952"/>
      <c r="C191" s="952"/>
      <c r="D191" s="952"/>
      <c r="E191" s="952"/>
      <c r="F191" s="952"/>
      <c r="G191" s="952"/>
      <c r="H191" s="952"/>
      <c r="I191" s="952"/>
      <c r="J191" s="952"/>
      <c r="K191" s="952"/>
      <c r="L191" s="952"/>
      <c r="M191" s="952"/>
      <c r="N191" s="952"/>
      <c r="O191" s="952"/>
      <c r="P191" s="952"/>
      <c r="Q191" s="952"/>
      <c r="R191" s="952"/>
      <c r="S191" s="952"/>
      <c r="T191" s="952"/>
      <c r="U191" s="952"/>
      <c r="V191" s="952"/>
      <c r="W191" s="952"/>
      <c r="X191" s="952"/>
      <c r="Y191" s="952"/>
      <c r="Z191" s="952"/>
    </row>
    <row r="192" spans="1:26" ht="18.75" customHeight="1" x14ac:dyDescent="0.35">
      <c r="A192" s="952"/>
      <c r="B192" s="952"/>
      <c r="C192" s="952"/>
      <c r="D192" s="952"/>
      <c r="E192" s="952"/>
      <c r="F192" s="952"/>
      <c r="G192" s="952"/>
      <c r="H192" s="952"/>
      <c r="I192" s="952"/>
      <c r="J192" s="952"/>
      <c r="K192" s="952"/>
      <c r="L192" s="952"/>
      <c r="M192" s="952"/>
      <c r="N192" s="952"/>
      <c r="O192" s="952"/>
      <c r="P192" s="952"/>
      <c r="Q192" s="952"/>
      <c r="R192" s="952"/>
      <c r="S192" s="952"/>
      <c r="T192" s="952"/>
      <c r="U192" s="952"/>
      <c r="V192" s="952"/>
      <c r="W192" s="952"/>
      <c r="X192" s="952"/>
      <c r="Y192" s="952"/>
      <c r="Z192" s="952"/>
    </row>
    <row r="193" spans="1:26" ht="18.75" customHeight="1" x14ac:dyDescent="0.35">
      <c r="A193" s="952"/>
      <c r="B193" s="952"/>
      <c r="C193" s="952"/>
      <c r="D193" s="952"/>
      <c r="E193" s="952"/>
      <c r="F193" s="952"/>
      <c r="G193" s="952"/>
      <c r="H193" s="952"/>
      <c r="I193" s="952"/>
      <c r="J193" s="952"/>
      <c r="K193" s="952"/>
      <c r="L193" s="952"/>
      <c r="M193" s="952"/>
      <c r="N193" s="952"/>
      <c r="O193" s="952"/>
      <c r="P193" s="952"/>
      <c r="Q193" s="952"/>
      <c r="R193" s="952"/>
      <c r="S193" s="952"/>
      <c r="T193" s="952"/>
      <c r="U193" s="952"/>
      <c r="V193" s="952"/>
      <c r="W193" s="952"/>
      <c r="X193" s="952"/>
      <c r="Y193" s="952"/>
      <c r="Z193" s="952"/>
    </row>
    <row r="194" spans="1:26" ht="18.75" customHeight="1" x14ac:dyDescent="0.35">
      <c r="A194" s="952"/>
      <c r="B194" s="952"/>
      <c r="C194" s="952"/>
      <c r="D194" s="952"/>
      <c r="E194" s="952"/>
      <c r="F194" s="952"/>
      <c r="G194" s="952"/>
      <c r="H194" s="952"/>
      <c r="I194" s="952"/>
      <c r="J194" s="952"/>
      <c r="K194" s="952"/>
      <c r="L194" s="952"/>
      <c r="M194" s="952"/>
      <c r="N194" s="952"/>
      <c r="O194" s="952"/>
      <c r="P194" s="952"/>
      <c r="Q194" s="952"/>
      <c r="R194" s="952"/>
      <c r="S194" s="952"/>
      <c r="T194" s="952"/>
      <c r="U194" s="952"/>
      <c r="V194" s="952"/>
      <c r="W194" s="952"/>
      <c r="X194" s="952"/>
      <c r="Y194" s="952"/>
      <c r="Z194" s="952"/>
    </row>
    <row r="195" spans="1:26" ht="18.75" customHeight="1" x14ac:dyDescent="0.35">
      <c r="A195" s="952"/>
      <c r="B195" s="952"/>
      <c r="C195" s="952"/>
      <c r="D195" s="952"/>
      <c r="E195" s="952"/>
      <c r="F195" s="952"/>
      <c r="G195" s="952"/>
      <c r="H195" s="952"/>
      <c r="I195" s="952"/>
      <c r="J195" s="952"/>
      <c r="K195" s="952"/>
      <c r="L195" s="952"/>
      <c r="M195" s="952"/>
      <c r="N195" s="952"/>
      <c r="O195" s="952"/>
      <c r="P195" s="952"/>
      <c r="Q195" s="952"/>
      <c r="R195" s="952"/>
      <c r="S195" s="952"/>
      <c r="T195" s="952"/>
      <c r="U195" s="952"/>
      <c r="V195" s="952"/>
      <c r="W195" s="952"/>
      <c r="X195" s="952"/>
      <c r="Y195" s="952"/>
      <c r="Z195" s="952"/>
    </row>
    <row r="196" spans="1:26" ht="18.75" customHeight="1" x14ac:dyDescent="0.35">
      <c r="A196" s="952"/>
      <c r="B196" s="952"/>
      <c r="C196" s="952"/>
      <c r="D196" s="952"/>
      <c r="E196" s="952"/>
      <c r="F196" s="952"/>
      <c r="G196" s="952"/>
      <c r="H196" s="952"/>
      <c r="I196" s="952"/>
      <c r="J196" s="952"/>
      <c r="K196" s="952"/>
      <c r="L196" s="952"/>
      <c r="M196" s="952"/>
      <c r="N196" s="952"/>
      <c r="O196" s="952"/>
      <c r="P196" s="952"/>
      <c r="Q196" s="952"/>
      <c r="R196" s="952"/>
      <c r="S196" s="952"/>
      <c r="T196" s="952"/>
      <c r="U196" s="952"/>
      <c r="V196" s="952"/>
      <c r="W196" s="952"/>
      <c r="X196" s="952"/>
      <c r="Y196" s="952"/>
      <c r="Z196" s="952"/>
    </row>
    <row r="197" spans="1:26" ht="18.75" customHeight="1" x14ac:dyDescent="0.35">
      <c r="A197" s="952"/>
      <c r="B197" s="952"/>
      <c r="C197" s="952"/>
      <c r="D197" s="952"/>
      <c r="E197" s="952"/>
      <c r="F197" s="952"/>
      <c r="G197" s="952"/>
      <c r="H197" s="952"/>
      <c r="I197" s="952"/>
      <c r="J197" s="952"/>
      <c r="K197" s="952"/>
      <c r="L197" s="952"/>
      <c r="M197" s="952"/>
      <c r="N197" s="952"/>
      <c r="O197" s="952"/>
      <c r="P197" s="952"/>
      <c r="Q197" s="952"/>
      <c r="R197" s="952"/>
      <c r="S197" s="952"/>
      <c r="T197" s="952"/>
      <c r="U197" s="952"/>
      <c r="V197" s="952"/>
      <c r="W197" s="952"/>
      <c r="X197" s="952"/>
      <c r="Y197" s="952"/>
      <c r="Z197" s="952"/>
    </row>
    <row r="198" spans="1:26" ht="18.75" customHeight="1" x14ac:dyDescent="0.35">
      <c r="A198" s="952"/>
      <c r="B198" s="952"/>
      <c r="C198" s="952"/>
      <c r="D198" s="952"/>
      <c r="E198" s="952"/>
      <c r="F198" s="952"/>
      <c r="G198" s="952"/>
      <c r="H198" s="952"/>
      <c r="I198" s="952"/>
      <c r="J198" s="952"/>
      <c r="K198" s="952"/>
      <c r="L198" s="952"/>
      <c r="M198" s="952"/>
      <c r="N198" s="952"/>
      <c r="O198" s="952"/>
      <c r="P198" s="952"/>
      <c r="Q198" s="952"/>
      <c r="R198" s="952"/>
      <c r="S198" s="952"/>
      <c r="T198" s="952"/>
      <c r="U198" s="952"/>
      <c r="V198" s="952"/>
      <c r="W198" s="952"/>
      <c r="X198" s="952"/>
      <c r="Y198" s="952"/>
      <c r="Z198" s="952"/>
    </row>
    <row r="199" spans="1:26" ht="18.75" customHeight="1" x14ac:dyDescent="0.35">
      <c r="A199" s="952"/>
      <c r="B199" s="952"/>
      <c r="C199" s="952"/>
      <c r="D199" s="952"/>
      <c r="E199" s="952"/>
      <c r="F199" s="952"/>
      <c r="G199" s="952"/>
      <c r="H199" s="952"/>
      <c r="I199" s="952"/>
      <c r="J199" s="952"/>
      <c r="K199" s="952"/>
      <c r="L199" s="952"/>
      <c r="M199" s="952"/>
      <c r="N199" s="952"/>
      <c r="O199" s="952"/>
      <c r="P199" s="952"/>
      <c r="Q199" s="952"/>
      <c r="R199" s="952"/>
      <c r="S199" s="952"/>
      <c r="T199" s="952"/>
      <c r="U199" s="952"/>
      <c r="V199" s="952"/>
      <c r="W199" s="952"/>
      <c r="X199" s="952"/>
      <c r="Y199" s="952"/>
      <c r="Z199" s="952"/>
    </row>
    <row r="200" spans="1:26" ht="18.75" customHeight="1" x14ac:dyDescent="0.35">
      <c r="A200" s="952"/>
      <c r="B200" s="952"/>
      <c r="C200" s="952"/>
      <c r="D200" s="952"/>
      <c r="E200" s="952"/>
      <c r="F200" s="952"/>
      <c r="G200" s="952"/>
      <c r="H200" s="952"/>
      <c r="I200" s="952"/>
      <c r="J200" s="952"/>
      <c r="K200" s="952"/>
      <c r="L200" s="952"/>
      <c r="M200" s="952"/>
      <c r="N200" s="952"/>
      <c r="O200" s="952"/>
      <c r="P200" s="952"/>
      <c r="Q200" s="952"/>
      <c r="R200" s="952"/>
      <c r="S200" s="952"/>
      <c r="T200" s="952"/>
      <c r="U200" s="952"/>
      <c r="V200" s="952"/>
      <c r="W200" s="952"/>
      <c r="X200" s="952"/>
      <c r="Y200" s="952"/>
      <c r="Z200" s="952"/>
    </row>
    <row r="201" spans="1:26" ht="18.75" customHeight="1" x14ac:dyDescent="0.35">
      <c r="A201" s="952"/>
      <c r="B201" s="952"/>
      <c r="C201" s="952"/>
      <c r="D201" s="952"/>
      <c r="E201" s="952"/>
      <c r="F201" s="952"/>
      <c r="G201" s="952"/>
      <c r="H201" s="952"/>
      <c r="I201" s="952"/>
      <c r="J201" s="952"/>
      <c r="K201" s="952"/>
      <c r="L201" s="952"/>
      <c r="M201" s="952"/>
      <c r="N201" s="952"/>
      <c r="O201" s="952"/>
      <c r="P201" s="952"/>
      <c r="Q201" s="952"/>
      <c r="R201" s="952"/>
      <c r="S201" s="952"/>
      <c r="T201" s="952"/>
      <c r="U201" s="952"/>
      <c r="V201" s="952"/>
      <c r="W201" s="952"/>
      <c r="X201" s="952"/>
      <c r="Y201" s="952"/>
      <c r="Z201" s="952"/>
    </row>
    <row r="202" spans="1:26" ht="18.75" customHeight="1" x14ac:dyDescent="0.35">
      <c r="A202" s="952"/>
      <c r="B202" s="952"/>
      <c r="C202" s="952"/>
      <c r="D202" s="952"/>
      <c r="E202" s="952"/>
      <c r="F202" s="952"/>
      <c r="G202" s="952"/>
      <c r="H202" s="952"/>
      <c r="I202" s="952"/>
      <c r="J202" s="952"/>
      <c r="K202" s="952"/>
      <c r="L202" s="952"/>
      <c r="M202" s="952"/>
      <c r="N202" s="952"/>
      <c r="O202" s="952"/>
      <c r="P202" s="952"/>
      <c r="Q202" s="952"/>
      <c r="R202" s="952"/>
      <c r="S202" s="952"/>
      <c r="T202" s="952"/>
      <c r="U202" s="952"/>
      <c r="V202" s="952"/>
      <c r="W202" s="952"/>
      <c r="X202" s="952"/>
      <c r="Y202" s="952"/>
      <c r="Z202" s="952"/>
    </row>
    <row r="203" spans="1:26" ht="18.75" customHeight="1" x14ac:dyDescent="0.35">
      <c r="A203" s="952"/>
      <c r="B203" s="952"/>
      <c r="C203" s="952"/>
      <c r="D203" s="952"/>
      <c r="E203" s="952"/>
      <c r="F203" s="952"/>
      <c r="G203" s="952"/>
      <c r="H203" s="952"/>
      <c r="I203" s="952"/>
      <c r="J203" s="952"/>
      <c r="K203" s="952"/>
      <c r="L203" s="952"/>
      <c r="M203" s="952"/>
      <c r="N203" s="952"/>
      <c r="O203" s="952"/>
      <c r="P203" s="952"/>
      <c r="Q203" s="952"/>
      <c r="R203" s="952"/>
      <c r="S203" s="952"/>
      <c r="T203" s="952"/>
      <c r="U203" s="952"/>
      <c r="V203" s="952"/>
      <c r="W203" s="952"/>
      <c r="X203" s="952"/>
      <c r="Y203" s="952"/>
      <c r="Z203" s="952"/>
    </row>
    <row r="204" spans="1:26" ht="18.75" customHeight="1" x14ac:dyDescent="0.35">
      <c r="A204" s="952"/>
      <c r="B204" s="952"/>
      <c r="C204" s="952"/>
      <c r="D204" s="952"/>
      <c r="E204" s="952"/>
      <c r="F204" s="952"/>
      <c r="G204" s="952"/>
      <c r="H204" s="952"/>
      <c r="I204" s="952"/>
      <c r="J204" s="952"/>
      <c r="K204" s="952"/>
      <c r="L204" s="952"/>
      <c r="M204" s="952"/>
      <c r="N204" s="952"/>
      <c r="O204" s="952"/>
      <c r="P204" s="952"/>
      <c r="Q204" s="952"/>
      <c r="R204" s="952"/>
      <c r="S204" s="952"/>
      <c r="T204" s="952"/>
      <c r="U204" s="952"/>
      <c r="V204" s="952"/>
      <c r="W204" s="952"/>
      <c r="X204" s="952"/>
      <c r="Y204" s="952"/>
      <c r="Z204" s="952"/>
    </row>
    <row r="205" spans="1:26" ht="18.75" customHeight="1" x14ac:dyDescent="0.35">
      <c r="A205" s="952"/>
      <c r="B205" s="952"/>
      <c r="C205" s="952"/>
      <c r="D205" s="952"/>
      <c r="E205" s="952"/>
      <c r="F205" s="952"/>
      <c r="G205" s="952"/>
      <c r="H205" s="952"/>
      <c r="I205" s="952"/>
      <c r="J205" s="952"/>
      <c r="K205" s="952"/>
      <c r="L205" s="952"/>
      <c r="M205" s="952"/>
      <c r="N205" s="952"/>
      <c r="O205" s="952"/>
      <c r="P205" s="952"/>
      <c r="Q205" s="952"/>
      <c r="R205" s="952"/>
      <c r="S205" s="952"/>
      <c r="T205" s="952"/>
      <c r="U205" s="952"/>
      <c r="V205" s="952"/>
      <c r="W205" s="952"/>
      <c r="X205" s="952"/>
      <c r="Y205" s="952"/>
      <c r="Z205" s="952"/>
    </row>
    <row r="206" spans="1:26" ht="18.75" customHeight="1" x14ac:dyDescent="0.35">
      <c r="A206" s="952"/>
      <c r="B206" s="952"/>
      <c r="C206" s="952"/>
      <c r="D206" s="952"/>
      <c r="E206" s="952"/>
      <c r="F206" s="952"/>
      <c r="G206" s="952"/>
      <c r="H206" s="952"/>
      <c r="I206" s="952"/>
      <c r="J206" s="952"/>
      <c r="K206" s="952"/>
      <c r="L206" s="952"/>
      <c r="M206" s="952"/>
      <c r="N206" s="952"/>
      <c r="O206" s="952"/>
      <c r="P206" s="952"/>
      <c r="Q206" s="952"/>
      <c r="R206" s="952"/>
      <c r="S206" s="952"/>
      <c r="T206" s="952"/>
      <c r="U206" s="952"/>
      <c r="V206" s="952"/>
      <c r="W206" s="952"/>
      <c r="X206" s="952"/>
      <c r="Y206" s="952"/>
      <c r="Z206" s="952"/>
    </row>
    <row r="207" spans="1:26" ht="18.75" customHeight="1" x14ac:dyDescent="0.35">
      <c r="A207" s="952"/>
      <c r="B207" s="952"/>
      <c r="C207" s="952"/>
      <c r="D207" s="952"/>
      <c r="E207" s="952"/>
      <c r="F207" s="952"/>
      <c r="G207" s="952"/>
      <c r="H207" s="952"/>
      <c r="I207" s="952"/>
      <c r="J207" s="952"/>
      <c r="K207" s="952"/>
      <c r="L207" s="952"/>
      <c r="M207" s="952"/>
      <c r="N207" s="952"/>
      <c r="O207" s="952"/>
      <c r="P207" s="952"/>
      <c r="Q207" s="952"/>
      <c r="R207" s="952"/>
      <c r="S207" s="952"/>
      <c r="T207" s="952"/>
      <c r="U207" s="952"/>
      <c r="V207" s="952"/>
      <c r="W207" s="952"/>
      <c r="X207" s="952"/>
      <c r="Y207" s="952"/>
      <c r="Z207" s="952"/>
    </row>
    <row r="208" spans="1:26" ht="18.75" customHeight="1" x14ac:dyDescent="0.35">
      <c r="A208" s="952"/>
      <c r="B208" s="952"/>
      <c r="C208" s="952"/>
      <c r="D208" s="952"/>
      <c r="E208" s="952"/>
      <c r="F208" s="952"/>
      <c r="G208" s="952"/>
      <c r="H208" s="952"/>
      <c r="I208" s="952"/>
      <c r="J208" s="952"/>
      <c r="K208" s="952"/>
      <c r="L208" s="952"/>
      <c r="M208" s="952"/>
      <c r="N208" s="952"/>
      <c r="O208" s="952"/>
      <c r="P208" s="952"/>
      <c r="Q208" s="952"/>
      <c r="R208" s="952"/>
      <c r="S208" s="952"/>
      <c r="T208" s="952"/>
      <c r="U208" s="952"/>
      <c r="V208" s="952"/>
      <c r="W208" s="952"/>
      <c r="X208" s="952"/>
      <c r="Y208" s="952"/>
      <c r="Z208" s="952"/>
    </row>
    <row r="209" spans="1:26" ht="18.75" customHeight="1" x14ac:dyDescent="0.35">
      <c r="A209" s="952"/>
      <c r="B209" s="952"/>
      <c r="C209" s="952"/>
      <c r="D209" s="952"/>
      <c r="E209" s="952"/>
      <c r="F209" s="952"/>
      <c r="G209" s="952"/>
      <c r="H209" s="952"/>
      <c r="I209" s="952"/>
      <c r="J209" s="952"/>
      <c r="K209" s="952"/>
      <c r="L209" s="952"/>
      <c r="M209" s="952"/>
      <c r="N209" s="952"/>
      <c r="O209" s="952"/>
      <c r="P209" s="952"/>
      <c r="Q209" s="952"/>
      <c r="R209" s="952"/>
      <c r="S209" s="952"/>
      <c r="T209" s="952"/>
      <c r="U209" s="952"/>
      <c r="V209" s="952"/>
      <c r="W209" s="952"/>
      <c r="X209" s="952"/>
      <c r="Y209" s="952"/>
      <c r="Z209" s="952"/>
    </row>
    <row r="210" spans="1:26" ht="18.75" customHeight="1" x14ac:dyDescent="0.35">
      <c r="A210" s="952"/>
      <c r="B210" s="952"/>
      <c r="C210" s="952"/>
      <c r="D210" s="952"/>
      <c r="E210" s="952"/>
      <c r="F210" s="952"/>
      <c r="G210" s="952"/>
      <c r="H210" s="952"/>
      <c r="I210" s="952"/>
      <c r="J210" s="952"/>
      <c r="K210" s="952"/>
      <c r="L210" s="952"/>
      <c r="M210" s="952"/>
      <c r="N210" s="952"/>
      <c r="O210" s="952"/>
      <c r="P210" s="952"/>
      <c r="Q210" s="952"/>
      <c r="R210" s="952"/>
      <c r="S210" s="952"/>
      <c r="T210" s="952"/>
      <c r="U210" s="952"/>
      <c r="V210" s="952"/>
      <c r="W210" s="952"/>
      <c r="X210" s="952"/>
      <c r="Y210" s="952"/>
      <c r="Z210" s="952"/>
    </row>
    <row r="211" spans="1:26" ht="18.75" customHeight="1" x14ac:dyDescent="0.35">
      <c r="A211" s="952"/>
      <c r="B211" s="952"/>
      <c r="C211" s="952"/>
      <c r="D211" s="952"/>
      <c r="E211" s="952"/>
      <c r="F211" s="952"/>
      <c r="G211" s="952"/>
      <c r="H211" s="952"/>
      <c r="I211" s="952"/>
      <c r="J211" s="952"/>
      <c r="K211" s="952"/>
      <c r="L211" s="952"/>
      <c r="M211" s="952"/>
      <c r="N211" s="952"/>
      <c r="O211" s="952"/>
      <c r="P211" s="952"/>
      <c r="Q211" s="952"/>
      <c r="R211" s="952"/>
      <c r="S211" s="952"/>
      <c r="T211" s="952"/>
      <c r="U211" s="952"/>
      <c r="V211" s="952"/>
      <c r="W211" s="952"/>
      <c r="X211" s="952"/>
      <c r="Y211" s="952"/>
      <c r="Z211" s="952"/>
    </row>
    <row r="212" spans="1:26" ht="18.75" customHeight="1" x14ac:dyDescent="0.35">
      <c r="A212" s="952"/>
      <c r="B212" s="952"/>
      <c r="C212" s="952"/>
      <c r="D212" s="952"/>
      <c r="E212" s="952"/>
      <c r="F212" s="952"/>
      <c r="G212" s="952"/>
      <c r="H212" s="952"/>
      <c r="I212" s="952"/>
      <c r="J212" s="952"/>
      <c r="K212" s="952"/>
      <c r="L212" s="952"/>
      <c r="M212" s="952"/>
      <c r="N212" s="952"/>
      <c r="O212" s="952"/>
      <c r="P212" s="952"/>
      <c r="Q212" s="952"/>
      <c r="R212" s="952"/>
      <c r="S212" s="952"/>
      <c r="T212" s="952"/>
      <c r="U212" s="952"/>
      <c r="V212" s="952"/>
      <c r="W212" s="952"/>
      <c r="X212" s="952"/>
      <c r="Y212" s="952"/>
      <c r="Z212" s="952"/>
    </row>
    <row r="213" spans="1:26" ht="18.75" customHeight="1" x14ac:dyDescent="0.35">
      <c r="A213" s="952"/>
      <c r="B213" s="952"/>
      <c r="C213" s="952"/>
      <c r="D213" s="952"/>
      <c r="E213" s="952"/>
      <c r="F213" s="952"/>
      <c r="G213" s="952"/>
      <c r="H213" s="952"/>
      <c r="I213" s="952"/>
      <c r="J213" s="952"/>
      <c r="K213" s="952"/>
      <c r="L213" s="952"/>
      <c r="M213" s="952"/>
      <c r="N213" s="952"/>
      <c r="O213" s="952"/>
      <c r="P213" s="952"/>
      <c r="Q213" s="952"/>
      <c r="R213" s="952"/>
      <c r="S213" s="952"/>
      <c r="T213" s="952"/>
      <c r="U213" s="952"/>
      <c r="V213" s="952"/>
      <c r="W213" s="952"/>
      <c r="X213" s="952"/>
      <c r="Y213" s="952"/>
      <c r="Z213" s="952"/>
    </row>
    <row r="214" spans="1:26" ht="18.75" customHeight="1" x14ac:dyDescent="0.35">
      <c r="A214" s="952"/>
      <c r="B214" s="952"/>
      <c r="C214" s="952"/>
      <c r="D214" s="952"/>
      <c r="E214" s="952"/>
      <c r="F214" s="952"/>
      <c r="G214" s="952"/>
      <c r="H214" s="952"/>
      <c r="I214" s="952"/>
      <c r="J214" s="952"/>
      <c r="K214" s="952"/>
      <c r="L214" s="952"/>
      <c r="M214" s="952"/>
      <c r="N214" s="952"/>
      <c r="O214" s="952"/>
      <c r="P214" s="952"/>
      <c r="Q214" s="952"/>
      <c r="R214" s="952"/>
      <c r="S214" s="952"/>
      <c r="T214" s="952"/>
      <c r="U214" s="952"/>
      <c r="V214" s="952"/>
      <c r="W214" s="952"/>
      <c r="X214" s="952"/>
      <c r="Y214" s="952"/>
      <c r="Z214" s="952"/>
    </row>
    <row r="215" spans="1:26" ht="18.75" customHeight="1" x14ac:dyDescent="0.35">
      <c r="A215" s="952"/>
      <c r="B215" s="952"/>
      <c r="C215" s="952"/>
      <c r="D215" s="952"/>
      <c r="E215" s="952"/>
      <c r="F215" s="952"/>
      <c r="G215" s="952"/>
      <c r="H215" s="952"/>
      <c r="I215" s="952"/>
      <c r="J215" s="952"/>
      <c r="K215" s="952"/>
      <c r="L215" s="952"/>
      <c r="M215" s="952"/>
      <c r="N215" s="952"/>
      <c r="O215" s="952"/>
      <c r="P215" s="952"/>
      <c r="Q215" s="952"/>
      <c r="R215" s="952"/>
      <c r="S215" s="952"/>
      <c r="T215" s="952"/>
      <c r="U215" s="952"/>
      <c r="V215" s="952"/>
      <c r="W215" s="952"/>
      <c r="X215" s="952"/>
      <c r="Y215" s="952"/>
      <c r="Z215" s="952"/>
    </row>
    <row r="216" spans="1:26" ht="18.75" customHeight="1" x14ac:dyDescent="0.35">
      <c r="A216" s="952"/>
      <c r="B216" s="952"/>
      <c r="C216" s="952"/>
      <c r="D216" s="952"/>
      <c r="E216" s="952"/>
      <c r="F216" s="952"/>
      <c r="G216" s="952"/>
      <c r="H216" s="952"/>
      <c r="I216" s="952"/>
      <c r="J216" s="952"/>
      <c r="K216" s="952"/>
      <c r="L216" s="952"/>
      <c r="M216" s="952"/>
      <c r="N216" s="952"/>
      <c r="O216" s="952"/>
      <c r="P216" s="952"/>
      <c r="Q216" s="952"/>
      <c r="R216" s="952"/>
      <c r="S216" s="952"/>
      <c r="T216" s="952"/>
      <c r="U216" s="952"/>
      <c r="V216" s="952"/>
      <c r="W216" s="952"/>
      <c r="X216" s="952"/>
      <c r="Y216" s="952"/>
      <c r="Z216" s="952"/>
    </row>
    <row r="217" spans="1:26" ht="18.75" customHeight="1" x14ac:dyDescent="0.35">
      <c r="A217" s="952"/>
      <c r="B217" s="952"/>
      <c r="C217" s="952"/>
      <c r="D217" s="952"/>
      <c r="E217" s="952"/>
      <c r="F217" s="952"/>
      <c r="G217" s="952"/>
      <c r="H217" s="952"/>
      <c r="I217" s="952"/>
      <c r="J217" s="952"/>
      <c r="K217" s="952"/>
      <c r="L217" s="952"/>
      <c r="M217" s="952"/>
      <c r="N217" s="952"/>
      <c r="O217" s="952"/>
      <c r="P217" s="952"/>
      <c r="Q217" s="952"/>
      <c r="R217" s="952"/>
      <c r="S217" s="952"/>
      <c r="T217" s="952"/>
      <c r="U217" s="952"/>
      <c r="V217" s="952"/>
      <c r="W217" s="952"/>
      <c r="X217" s="952"/>
      <c r="Y217" s="952"/>
      <c r="Z217" s="952"/>
    </row>
    <row r="218" spans="1:26" ht="18.75" customHeight="1" x14ac:dyDescent="0.35">
      <c r="A218" s="952"/>
      <c r="B218" s="952"/>
      <c r="C218" s="952"/>
      <c r="D218" s="952"/>
      <c r="E218" s="952"/>
      <c r="F218" s="952"/>
      <c r="G218" s="952"/>
      <c r="H218" s="952"/>
      <c r="I218" s="952"/>
      <c r="J218" s="952"/>
      <c r="K218" s="952"/>
      <c r="L218" s="952"/>
      <c r="M218" s="952"/>
      <c r="N218" s="952"/>
      <c r="O218" s="952"/>
      <c r="P218" s="952"/>
      <c r="Q218" s="952"/>
      <c r="R218" s="952"/>
      <c r="S218" s="952"/>
      <c r="T218" s="952"/>
      <c r="U218" s="952"/>
      <c r="V218" s="952"/>
      <c r="W218" s="952"/>
      <c r="X218" s="952"/>
      <c r="Y218" s="952"/>
      <c r="Z218" s="952"/>
    </row>
    <row r="219" spans="1:26" ht="18.75" customHeight="1" x14ac:dyDescent="0.35">
      <c r="A219" s="952"/>
      <c r="B219" s="952"/>
      <c r="C219" s="952"/>
      <c r="D219" s="952"/>
      <c r="E219" s="952"/>
      <c r="F219" s="952"/>
      <c r="G219" s="952"/>
      <c r="H219" s="952"/>
      <c r="I219" s="952"/>
      <c r="J219" s="952"/>
      <c r="K219" s="952"/>
      <c r="L219" s="952"/>
      <c r="M219" s="952"/>
      <c r="N219" s="952"/>
      <c r="O219" s="952"/>
      <c r="P219" s="952"/>
      <c r="Q219" s="952"/>
      <c r="R219" s="952"/>
      <c r="S219" s="952"/>
      <c r="T219" s="952"/>
      <c r="U219" s="952"/>
      <c r="V219" s="952"/>
      <c r="W219" s="952"/>
      <c r="X219" s="952"/>
      <c r="Y219" s="952"/>
      <c r="Z219" s="952"/>
    </row>
    <row r="220" spans="1:26" ht="18.75" customHeight="1" x14ac:dyDescent="0.35">
      <c r="A220" s="952"/>
      <c r="B220" s="952"/>
      <c r="C220" s="952"/>
      <c r="D220" s="952"/>
      <c r="E220" s="952"/>
      <c r="F220" s="952"/>
      <c r="G220" s="952"/>
      <c r="H220" s="952"/>
      <c r="I220" s="952"/>
      <c r="J220" s="952"/>
      <c r="K220" s="952"/>
      <c r="L220" s="952"/>
      <c r="M220" s="952"/>
      <c r="N220" s="952"/>
      <c r="O220" s="952"/>
      <c r="P220" s="952"/>
      <c r="Q220" s="952"/>
      <c r="R220" s="952"/>
      <c r="S220" s="952"/>
      <c r="T220" s="952"/>
      <c r="U220" s="952"/>
      <c r="V220" s="952"/>
      <c r="W220" s="952"/>
      <c r="X220" s="952"/>
      <c r="Y220" s="952"/>
      <c r="Z220" s="952"/>
    </row>
    <row r="221" spans="1:26" ht="18.75" customHeight="1" x14ac:dyDescent="0.35">
      <c r="A221" s="952"/>
      <c r="B221" s="952"/>
      <c r="C221" s="952"/>
      <c r="D221" s="952"/>
      <c r="E221" s="952"/>
      <c r="F221" s="952"/>
      <c r="G221" s="952"/>
      <c r="H221" s="952"/>
      <c r="I221" s="952"/>
      <c r="J221" s="952"/>
      <c r="K221" s="952"/>
      <c r="L221" s="952"/>
      <c r="M221" s="952"/>
      <c r="N221" s="952"/>
      <c r="O221" s="952"/>
      <c r="P221" s="952"/>
      <c r="Q221" s="952"/>
      <c r="R221" s="952"/>
      <c r="S221" s="952"/>
      <c r="T221" s="952"/>
      <c r="U221" s="952"/>
      <c r="V221" s="952"/>
      <c r="W221" s="952"/>
      <c r="X221" s="952"/>
      <c r="Y221" s="952"/>
      <c r="Z221" s="952"/>
    </row>
    <row r="222" spans="1:26" ht="18.75" customHeight="1" x14ac:dyDescent="0.35">
      <c r="A222" s="952"/>
      <c r="B222" s="952"/>
      <c r="C222" s="952"/>
      <c r="D222" s="952"/>
      <c r="E222" s="952"/>
      <c r="F222" s="952"/>
      <c r="G222" s="952"/>
      <c r="H222" s="952"/>
      <c r="I222" s="952"/>
      <c r="J222" s="952"/>
      <c r="K222" s="952"/>
      <c r="L222" s="952"/>
      <c r="M222" s="952"/>
      <c r="N222" s="952"/>
      <c r="O222" s="952"/>
      <c r="P222" s="952"/>
      <c r="Q222" s="952"/>
      <c r="R222" s="952"/>
      <c r="S222" s="952"/>
      <c r="T222" s="952"/>
      <c r="U222" s="952"/>
      <c r="V222" s="952"/>
      <c r="W222" s="952"/>
      <c r="X222" s="952"/>
      <c r="Y222" s="952"/>
      <c r="Z222" s="952"/>
    </row>
    <row r="223" spans="1:26" ht="18.75" customHeight="1" x14ac:dyDescent="0.35">
      <c r="A223" s="952"/>
      <c r="B223" s="952"/>
      <c r="C223" s="952"/>
      <c r="D223" s="952"/>
      <c r="E223" s="952"/>
      <c r="F223" s="952"/>
      <c r="G223" s="952"/>
      <c r="H223" s="952"/>
      <c r="I223" s="952"/>
      <c r="J223" s="952"/>
      <c r="K223" s="952"/>
      <c r="L223" s="952"/>
      <c r="M223" s="952"/>
      <c r="N223" s="952"/>
      <c r="O223" s="952"/>
      <c r="P223" s="952"/>
      <c r="Q223" s="952"/>
      <c r="R223" s="952"/>
      <c r="S223" s="952"/>
      <c r="T223" s="952"/>
      <c r="U223" s="952"/>
      <c r="V223" s="952"/>
      <c r="W223" s="952"/>
      <c r="X223" s="952"/>
      <c r="Y223" s="952"/>
      <c r="Z223" s="952"/>
    </row>
    <row r="224" spans="1:26" ht="18.75" customHeight="1" x14ac:dyDescent="0.35">
      <c r="A224" s="952"/>
      <c r="B224" s="952"/>
      <c r="C224" s="952"/>
      <c r="D224" s="952"/>
      <c r="E224" s="952"/>
      <c r="F224" s="952"/>
      <c r="G224" s="952"/>
      <c r="H224" s="952"/>
      <c r="I224" s="952"/>
      <c r="J224" s="952"/>
      <c r="K224" s="952"/>
      <c r="L224" s="952"/>
      <c r="M224" s="952"/>
      <c r="N224" s="952"/>
      <c r="O224" s="952"/>
      <c r="P224" s="952"/>
      <c r="Q224" s="952"/>
      <c r="R224" s="952"/>
      <c r="S224" s="952"/>
      <c r="T224" s="952"/>
      <c r="U224" s="952"/>
      <c r="V224" s="952"/>
      <c r="W224" s="952"/>
      <c r="X224" s="952"/>
      <c r="Y224" s="952"/>
      <c r="Z224" s="952"/>
    </row>
    <row r="225" spans="1:26" ht="18.75" customHeight="1" x14ac:dyDescent="0.35">
      <c r="A225" s="952"/>
      <c r="B225" s="952"/>
      <c r="C225" s="952"/>
      <c r="D225" s="952"/>
      <c r="E225" s="952"/>
      <c r="F225" s="952"/>
      <c r="G225" s="952"/>
      <c r="H225" s="952"/>
      <c r="I225" s="952"/>
      <c r="J225" s="952"/>
      <c r="K225" s="952"/>
      <c r="L225" s="952"/>
      <c r="M225" s="952"/>
      <c r="N225" s="952"/>
      <c r="O225" s="952"/>
      <c r="P225" s="952"/>
      <c r="Q225" s="952"/>
      <c r="R225" s="952"/>
      <c r="S225" s="952"/>
      <c r="T225" s="952"/>
      <c r="U225" s="952"/>
      <c r="V225" s="952"/>
      <c r="W225" s="952"/>
      <c r="X225" s="952"/>
      <c r="Y225" s="952"/>
      <c r="Z225" s="952"/>
    </row>
    <row r="226" spans="1:26" ht="18.75" customHeight="1" x14ac:dyDescent="0.35">
      <c r="A226" s="952"/>
      <c r="B226" s="952"/>
      <c r="C226" s="952"/>
      <c r="D226" s="952"/>
      <c r="E226" s="952"/>
      <c r="F226" s="952"/>
      <c r="G226" s="952"/>
      <c r="H226" s="952"/>
      <c r="I226" s="952"/>
      <c r="J226" s="952"/>
      <c r="K226" s="952"/>
      <c r="L226" s="952"/>
      <c r="M226" s="952"/>
      <c r="N226" s="952"/>
      <c r="O226" s="952"/>
      <c r="P226" s="952"/>
      <c r="Q226" s="952"/>
      <c r="R226" s="952"/>
      <c r="S226" s="952"/>
      <c r="T226" s="952"/>
      <c r="U226" s="952"/>
      <c r="V226" s="952"/>
      <c r="W226" s="952"/>
      <c r="X226" s="952"/>
      <c r="Y226" s="952"/>
      <c r="Z226" s="952"/>
    </row>
    <row r="227" spans="1:26" ht="18.75" customHeight="1" x14ac:dyDescent="0.35">
      <c r="A227" s="952"/>
      <c r="B227" s="952"/>
      <c r="C227" s="952"/>
      <c r="D227" s="952"/>
      <c r="E227" s="952"/>
      <c r="F227" s="952"/>
      <c r="G227" s="952"/>
      <c r="H227" s="952"/>
      <c r="I227" s="952"/>
      <c r="J227" s="952"/>
      <c r="K227" s="952"/>
      <c r="L227" s="952"/>
      <c r="M227" s="952"/>
      <c r="N227" s="952"/>
      <c r="O227" s="952"/>
      <c r="P227" s="952"/>
      <c r="Q227" s="952"/>
      <c r="R227" s="952"/>
      <c r="S227" s="952"/>
      <c r="T227" s="952"/>
      <c r="U227" s="952"/>
      <c r="V227" s="952"/>
      <c r="W227" s="952"/>
      <c r="X227" s="952"/>
      <c r="Y227" s="952"/>
      <c r="Z227" s="952"/>
    </row>
    <row r="228" spans="1:26" ht="18.75" customHeight="1" x14ac:dyDescent="0.35">
      <c r="A228" s="952"/>
      <c r="B228" s="952"/>
      <c r="C228" s="952"/>
      <c r="D228" s="952"/>
      <c r="E228" s="952"/>
      <c r="F228" s="952"/>
      <c r="G228" s="952"/>
      <c r="H228" s="952"/>
      <c r="I228" s="952"/>
      <c r="J228" s="952"/>
      <c r="K228" s="952"/>
      <c r="L228" s="952"/>
      <c r="M228" s="952"/>
      <c r="N228" s="952"/>
      <c r="O228" s="952"/>
      <c r="P228" s="952"/>
      <c r="Q228" s="952"/>
      <c r="R228" s="952"/>
      <c r="S228" s="952"/>
      <c r="T228" s="952"/>
      <c r="U228" s="952"/>
      <c r="V228" s="952"/>
      <c r="W228" s="952"/>
      <c r="X228" s="952"/>
      <c r="Y228" s="952"/>
      <c r="Z228" s="952"/>
    </row>
    <row r="229" spans="1:26" ht="18.75" customHeight="1" x14ac:dyDescent="0.35">
      <c r="A229" s="952"/>
      <c r="B229" s="952"/>
      <c r="C229" s="952"/>
      <c r="D229" s="952"/>
      <c r="E229" s="952"/>
      <c r="F229" s="952"/>
      <c r="G229" s="952"/>
      <c r="H229" s="952"/>
      <c r="I229" s="952"/>
      <c r="J229" s="952"/>
      <c r="K229" s="952"/>
      <c r="L229" s="952"/>
      <c r="M229" s="952"/>
      <c r="N229" s="952"/>
      <c r="O229" s="952"/>
      <c r="P229" s="952"/>
      <c r="Q229" s="952"/>
      <c r="R229" s="952"/>
      <c r="S229" s="952"/>
      <c r="T229" s="952"/>
      <c r="U229" s="952"/>
      <c r="V229" s="952"/>
      <c r="W229" s="952"/>
      <c r="X229" s="952"/>
      <c r="Y229" s="952"/>
      <c r="Z229" s="952"/>
    </row>
    <row r="230" spans="1:26" ht="18.75" customHeight="1" x14ac:dyDescent="0.35">
      <c r="A230" s="952"/>
      <c r="B230" s="952"/>
      <c r="C230" s="952"/>
      <c r="D230" s="952"/>
      <c r="E230" s="952"/>
      <c r="F230" s="952"/>
      <c r="G230" s="952"/>
      <c r="H230" s="952"/>
      <c r="I230" s="952"/>
      <c r="J230" s="952"/>
      <c r="K230" s="952"/>
      <c r="L230" s="952"/>
      <c r="M230" s="952"/>
      <c r="N230" s="952"/>
      <c r="O230" s="952"/>
      <c r="P230" s="952"/>
      <c r="Q230" s="952"/>
      <c r="R230" s="952"/>
      <c r="S230" s="952"/>
      <c r="T230" s="952"/>
      <c r="U230" s="952"/>
      <c r="V230" s="952"/>
      <c r="W230" s="952"/>
      <c r="X230" s="952"/>
      <c r="Y230" s="952"/>
      <c r="Z230" s="952"/>
    </row>
    <row r="231" spans="1:26" ht="18.75" customHeight="1" x14ac:dyDescent="0.35">
      <c r="A231" s="952"/>
      <c r="B231" s="952"/>
      <c r="C231" s="952"/>
      <c r="D231" s="952"/>
      <c r="E231" s="952"/>
      <c r="F231" s="952"/>
      <c r="G231" s="952"/>
      <c r="H231" s="952"/>
      <c r="I231" s="952"/>
      <c r="J231" s="952"/>
      <c r="K231" s="952"/>
      <c r="L231" s="952"/>
      <c r="M231" s="952"/>
      <c r="N231" s="952"/>
      <c r="O231" s="952"/>
      <c r="P231" s="952"/>
      <c r="Q231" s="952"/>
      <c r="R231" s="952"/>
      <c r="S231" s="952"/>
      <c r="T231" s="952"/>
      <c r="U231" s="952"/>
      <c r="V231" s="952"/>
      <c r="W231" s="952"/>
      <c r="X231" s="952"/>
      <c r="Y231" s="952"/>
      <c r="Z231" s="952"/>
    </row>
    <row r="232" spans="1:26" ht="18.75" customHeight="1" x14ac:dyDescent="0.35">
      <c r="A232" s="952"/>
      <c r="B232" s="952"/>
      <c r="C232" s="952"/>
      <c r="D232" s="952"/>
      <c r="E232" s="952"/>
      <c r="F232" s="952"/>
      <c r="G232" s="952"/>
      <c r="H232" s="952"/>
      <c r="I232" s="952"/>
      <c r="J232" s="952"/>
      <c r="K232" s="952"/>
      <c r="L232" s="952"/>
      <c r="M232" s="952"/>
      <c r="N232" s="952"/>
      <c r="O232" s="952"/>
      <c r="P232" s="952"/>
      <c r="Q232" s="952"/>
      <c r="R232" s="952"/>
      <c r="S232" s="952"/>
      <c r="T232" s="952"/>
      <c r="U232" s="952"/>
      <c r="V232" s="952"/>
      <c r="W232" s="952"/>
      <c r="X232" s="952"/>
      <c r="Y232" s="952"/>
      <c r="Z232" s="952"/>
    </row>
    <row r="233" spans="1:26" ht="18.75" customHeight="1" x14ac:dyDescent="0.35">
      <c r="A233" s="952"/>
      <c r="B233" s="952"/>
      <c r="C233" s="952"/>
      <c r="D233" s="952"/>
      <c r="E233" s="952"/>
      <c r="F233" s="952"/>
      <c r="G233" s="952"/>
      <c r="H233" s="952"/>
      <c r="I233" s="952"/>
      <c r="J233" s="952"/>
      <c r="K233" s="952"/>
      <c r="L233" s="952"/>
      <c r="M233" s="952"/>
      <c r="N233" s="952"/>
      <c r="O233" s="952"/>
      <c r="P233" s="952"/>
      <c r="Q233" s="952"/>
      <c r="R233" s="952"/>
      <c r="S233" s="952"/>
      <c r="T233" s="952"/>
      <c r="U233" s="952"/>
      <c r="V233" s="952"/>
      <c r="W233" s="952"/>
      <c r="X233" s="952"/>
      <c r="Y233" s="952"/>
      <c r="Z233" s="952"/>
    </row>
    <row r="234" spans="1:26" ht="18.75" customHeight="1" x14ac:dyDescent="0.35">
      <c r="A234" s="952"/>
      <c r="B234" s="952"/>
      <c r="C234" s="952"/>
      <c r="D234" s="952"/>
      <c r="E234" s="952"/>
      <c r="F234" s="952"/>
      <c r="G234" s="952"/>
      <c r="H234" s="952"/>
      <c r="I234" s="952"/>
      <c r="J234" s="952"/>
      <c r="K234" s="952"/>
      <c r="L234" s="952"/>
      <c r="M234" s="952"/>
      <c r="N234" s="952"/>
      <c r="O234" s="952"/>
      <c r="P234" s="952"/>
      <c r="Q234" s="952"/>
      <c r="R234" s="952"/>
      <c r="S234" s="952"/>
      <c r="T234" s="952"/>
      <c r="U234" s="952"/>
      <c r="V234" s="952"/>
      <c r="W234" s="952"/>
      <c r="X234" s="952"/>
      <c r="Y234" s="952"/>
      <c r="Z234" s="952"/>
    </row>
    <row r="235" spans="1:26" ht="18.75" customHeight="1" x14ac:dyDescent="0.35">
      <c r="A235" s="952"/>
      <c r="B235" s="952"/>
      <c r="C235" s="952"/>
      <c r="D235" s="952"/>
      <c r="E235" s="952"/>
      <c r="F235" s="952"/>
      <c r="G235" s="952"/>
      <c r="H235" s="952"/>
      <c r="I235" s="952"/>
      <c r="J235" s="952"/>
      <c r="K235" s="952"/>
      <c r="L235" s="952"/>
      <c r="M235" s="952"/>
      <c r="N235" s="952"/>
      <c r="O235" s="952"/>
      <c r="P235" s="952"/>
      <c r="Q235" s="952"/>
      <c r="R235" s="952"/>
      <c r="S235" s="952"/>
      <c r="T235" s="952"/>
      <c r="U235" s="952"/>
      <c r="V235" s="952"/>
      <c r="W235" s="952"/>
      <c r="X235" s="952"/>
      <c r="Y235" s="952"/>
      <c r="Z235" s="952"/>
    </row>
    <row r="236" spans="1:26" ht="18.75" customHeight="1" x14ac:dyDescent="0.35">
      <c r="A236" s="952"/>
      <c r="B236" s="952"/>
      <c r="C236" s="952"/>
      <c r="D236" s="952"/>
      <c r="E236" s="952"/>
      <c r="F236" s="952"/>
      <c r="G236" s="952"/>
      <c r="H236" s="952"/>
      <c r="I236" s="952"/>
      <c r="J236" s="952"/>
      <c r="K236" s="952"/>
      <c r="L236" s="952"/>
      <c r="M236" s="952"/>
      <c r="N236" s="952"/>
      <c r="O236" s="952"/>
      <c r="P236" s="952"/>
      <c r="Q236" s="952"/>
      <c r="R236" s="952"/>
      <c r="S236" s="952"/>
      <c r="T236" s="952"/>
      <c r="U236" s="952"/>
      <c r="V236" s="952"/>
      <c r="W236" s="952"/>
      <c r="X236" s="952"/>
      <c r="Y236" s="952"/>
      <c r="Z236" s="952"/>
    </row>
    <row r="237" spans="1:26" ht="18.75" customHeight="1" x14ac:dyDescent="0.35">
      <c r="A237" s="952"/>
      <c r="B237" s="952"/>
      <c r="C237" s="952"/>
      <c r="D237" s="952"/>
      <c r="E237" s="952"/>
      <c r="F237" s="952"/>
      <c r="G237" s="952"/>
      <c r="H237" s="952"/>
      <c r="I237" s="952"/>
      <c r="J237" s="952"/>
      <c r="K237" s="952"/>
      <c r="L237" s="952"/>
      <c r="M237" s="952"/>
      <c r="N237" s="952"/>
      <c r="O237" s="952"/>
      <c r="P237" s="952"/>
      <c r="Q237" s="952"/>
      <c r="R237" s="952"/>
      <c r="S237" s="952"/>
      <c r="T237" s="952"/>
      <c r="U237" s="952"/>
      <c r="V237" s="952"/>
      <c r="W237" s="952"/>
      <c r="X237" s="952"/>
      <c r="Y237" s="952"/>
      <c r="Z237" s="952"/>
    </row>
    <row r="238" spans="1:26" ht="18.75" customHeight="1" x14ac:dyDescent="0.35">
      <c r="A238" s="952"/>
      <c r="B238" s="952"/>
      <c r="C238" s="952"/>
      <c r="D238" s="952"/>
      <c r="E238" s="952"/>
      <c r="F238" s="952"/>
      <c r="G238" s="952"/>
      <c r="H238" s="952"/>
      <c r="I238" s="952"/>
      <c r="J238" s="952"/>
      <c r="K238" s="952"/>
      <c r="L238" s="952"/>
      <c r="M238" s="952"/>
      <c r="N238" s="952"/>
      <c r="O238" s="952"/>
      <c r="P238" s="952"/>
      <c r="Q238" s="952"/>
      <c r="R238" s="952"/>
      <c r="S238" s="952"/>
      <c r="T238" s="952"/>
      <c r="U238" s="952"/>
      <c r="V238" s="952"/>
      <c r="W238" s="952"/>
      <c r="X238" s="952"/>
      <c r="Y238" s="952"/>
      <c r="Z238" s="952"/>
    </row>
    <row r="239" spans="1:26" ht="18.75" customHeight="1" x14ac:dyDescent="0.35">
      <c r="A239" s="952"/>
      <c r="B239" s="952"/>
      <c r="C239" s="952"/>
      <c r="D239" s="952"/>
      <c r="E239" s="952"/>
      <c r="F239" s="952"/>
      <c r="G239" s="952"/>
      <c r="H239" s="952"/>
      <c r="I239" s="952"/>
      <c r="J239" s="952"/>
      <c r="K239" s="952"/>
      <c r="L239" s="952"/>
      <c r="M239" s="952"/>
      <c r="N239" s="952"/>
      <c r="O239" s="952"/>
      <c r="P239" s="952"/>
      <c r="Q239" s="952"/>
      <c r="R239" s="952"/>
      <c r="S239" s="952"/>
      <c r="T239" s="952"/>
      <c r="U239" s="952"/>
      <c r="V239" s="952"/>
      <c r="W239" s="952"/>
      <c r="X239" s="952"/>
      <c r="Y239" s="952"/>
      <c r="Z239" s="952"/>
    </row>
    <row r="240" spans="1:26" ht="18.75" customHeight="1" x14ac:dyDescent="0.35">
      <c r="A240" s="952"/>
      <c r="B240" s="952"/>
      <c r="C240" s="952"/>
      <c r="D240" s="952"/>
      <c r="E240" s="952"/>
      <c r="F240" s="952"/>
      <c r="G240" s="952"/>
      <c r="H240" s="952"/>
      <c r="I240" s="952"/>
      <c r="J240" s="952"/>
      <c r="K240" s="952"/>
      <c r="L240" s="952"/>
      <c r="M240" s="952"/>
      <c r="N240" s="952"/>
      <c r="O240" s="952"/>
      <c r="P240" s="952"/>
      <c r="Q240" s="952"/>
      <c r="R240" s="952"/>
      <c r="S240" s="952"/>
      <c r="T240" s="952"/>
      <c r="U240" s="952"/>
      <c r="V240" s="952"/>
      <c r="W240" s="952"/>
      <c r="X240" s="952"/>
      <c r="Y240" s="952"/>
      <c r="Z240" s="952"/>
    </row>
    <row r="241" spans="1:26" ht="18.75" customHeight="1" x14ac:dyDescent="0.35">
      <c r="A241" s="952"/>
      <c r="B241" s="952"/>
      <c r="C241" s="952"/>
      <c r="D241" s="952"/>
      <c r="E241" s="952"/>
      <c r="F241" s="952"/>
      <c r="G241" s="952"/>
      <c r="H241" s="952"/>
      <c r="I241" s="952"/>
      <c r="J241" s="952"/>
      <c r="K241" s="952"/>
      <c r="L241" s="952"/>
      <c r="M241" s="952"/>
      <c r="N241" s="952"/>
      <c r="O241" s="952"/>
      <c r="P241" s="952"/>
      <c r="Q241" s="952"/>
      <c r="R241" s="952"/>
      <c r="S241" s="952"/>
      <c r="T241" s="952"/>
      <c r="U241" s="952"/>
      <c r="V241" s="952"/>
      <c r="W241" s="952"/>
      <c r="X241" s="952"/>
      <c r="Y241" s="952"/>
      <c r="Z241" s="952"/>
    </row>
    <row r="242" spans="1:26" ht="18.75" customHeight="1" x14ac:dyDescent="0.35">
      <c r="A242" s="952"/>
      <c r="B242" s="952"/>
      <c r="C242" s="952"/>
      <c r="D242" s="952"/>
      <c r="E242" s="952"/>
      <c r="F242" s="952"/>
      <c r="G242" s="952"/>
      <c r="H242" s="952"/>
      <c r="I242" s="952"/>
      <c r="J242" s="952"/>
      <c r="K242" s="952"/>
      <c r="L242" s="952"/>
      <c r="M242" s="952"/>
      <c r="N242" s="952"/>
      <c r="O242" s="952"/>
      <c r="P242" s="952"/>
      <c r="Q242" s="952"/>
      <c r="R242" s="952"/>
      <c r="S242" s="952"/>
      <c r="T242" s="952"/>
      <c r="U242" s="952"/>
      <c r="V242" s="952"/>
      <c r="W242" s="952"/>
      <c r="X242" s="952"/>
      <c r="Y242" s="952"/>
      <c r="Z242" s="952"/>
    </row>
    <row r="243" spans="1:26" ht="18.75" customHeight="1" x14ac:dyDescent="0.35">
      <c r="A243" s="952"/>
      <c r="B243" s="952"/>
      <c r="C243" s="952"/>
      <c r="D243" s="952"/>
      <c r="E243" s="952"/>
      <c r="F243" s="952"/>
      <c r="G243" s="952"/>
      <c r="H243" s="952"/>
      <c r="I243" s="952"/>
      <c r="J243" s="952"/>
      <c r="K243" s="952"/>
      <c r="L243" s="952"/>
      <c r="M243" s="952"/>
      <c r="N243" s="952"/>
      <c r="O243" s="952"/>
      <c r="P243" s="952"/>
      <c r="Q243" s="952"/>
      <c r="R243" s="952"/>
      <c r="S243" s="952"/>
      <c r="T243" s="952"/>
      <c r="U243" s="952"/>
      <c r="V243" s="952"/>
      <c r="W243" s="952"/>
      <c r="X243" s="952"/>
      <c r="Y243" s="952"/>
      <c r="Z243" s="952"/>
    </row>
    <row r="244" spans="1:26" ht="18.75" customHeight="1" x14ac:dyDescent="0.35">
      <c r="A244" s="952"/>
      <c r="B244" s="952"/>
      <c r="C244" s="952"/>
      <c r="D244" s="952"/>
      <c r="E244" s="952"/>
      <c r="F244" s="952"/>
      <c r="G244" s="952"/>
      <c r="H244" s="952"/>
      <c r="I244" s="952"/>
      <c r="J244" s="952"/>
      <c r="K244" s="952"/>
      <c r="L244" s="952"/>
      <c r="M244" s="952"/>
      <c r="N244" s="952"/>
      <c r="O244" s="952"/>
      <c r="P244" s="952"/>
      <c r="Q244" s="952"/>
      <c r="R244" s="952"/>
      <c r="S244" s="952"/>
      <c r="T244" s="952"/>
      <c r="U244" s="952"/>
      <c r="V244" s="952"/>
      <c r="W244" s="952"/>
      <c r="X244" s="952"/>
      <c r="Y244" s="952"/>
      <c r="Z244" s="952"/>
    </row>
    <row r="245" spans="1:26" ht="18.75" customHeight="1" x14ac:dyDescent="0.35">
      <c r="A245" s="952"/>
      <c r="B245" s="952"/>
      <c r="C245" s="952"/>
      <c r="D245" s="952"/>
      <c r="E245" s="952"/>
      <c r="F245" s="952"/>
      <c r="G245" s="952"/>
      <c r="H245" s="952"/>
      <c r="I245" s="952"/>
      <c r="J245" s="952"/>
      <c r="K245" s="952"/>
      <c r="L245" s="952"/>
      <c r="M245" s="952"/>
      <c r="N245" s="952"/>
      <c r="O245" s="952"/>
      <c r="P245" s="952"/>
      <c r="Q245" s="952"/>
      <c r="R245" s="952"/>
      <c r="S245" s="952"/>
      <c r="T245" s="952"/>
      <c r="U245" s="952"/>
      <c r="V245" s="952"/>
      <c r="W245" s="952"/>
      <c r="X245" s="952"/>
      <c r="Y245" s="952"/>
      <c r="Z245" s="952"/>
    </row>
    <row r="246" spans="1:26" ht="18.75" customHeight="1" x14ac:dyDescent="0.35">
      <c r="A246" s="952"/>
      <c r="B246" s="952"/>
      <c r="C246" s="952"/>
      <c r="D246" s="952"/>
      <c r="E246" s="952"/>
      <c r="F246" s="952"/>
      <c r="G246" s="952"/>
      <c r="H246" s="952"/>
      <c r="I246" s="952"/>
      <c r="J246" s="952"/>
      <c r="K246" s="952"/>
      <c r="L246" s="952"/>
      <c r="M246" s="952"/>
      <c r="N246" s="952"/>
      <c r="O246" s="952"/>
      <c r="P246" s="952"/>
      <c r="Q246" s="952"/>
      <c r="R246" s="952"/>
      <c r="S246" s="952"/>
      <c r="T246" s="952"/>
      <c r="U246" s="952"/>
      <c r="V246" s="952"/>
      <c r="W246" s="952"/>
      <c r="X246" s="952"/>
      <c r="Y246" s="952"/>
      <c r="Z246" s="952"/>
    </row>
    <row r="247" spans="1:26" ht="18.75" customHeight="1" x14ac:dyDescent="0.35">
      <c r="A247" s="952"/>
      <c r="B247" s="952"/>
      <c r="C247" s="952"/>
      <c r="D247" s="952"/>
      <c r="E247" s="952"/>
      <c r="F247" s="952"/>
      <c r="G247" s="952"/>
      <c r="H247" s="952"/>
      <c r="I247" s="952"/>
      <c r="J247" s="952"/>
      <c r="K247" s="952"/>
      <c r="L247" s="952"/>
      <c r="M247" s="952"/>
      <c r="N247" s="952"/>
      <c r="O247" s="952"/>
      <c r="P247" s="952"/>
      <c r="Q247" s="952"/>
      <c r="R247" s="952"/>
      <c r="S247" s="952"/>
      <c r="T247" s="952"/>
      <c r="U247" s="952"/>
      <c r="V247" s="952"/>
      <c r="W247" s="952"/>
      <c r="X247" s="952"/>
      <c r="Y247" s="952"/>
      <c r="Z247" s="952"/>
    </row>
    <row r="248" spans="1:26" ht="18.75" customHeight="1" x14ac:dyDescent="0.35">
      <c r="A248" s="952"/>
      <c r="B248" s="952"/>
      <c r="C248" s="952"/>
      <c r="D248" s="952"/>
      <c r="E248" s="952"/>
      <c r="F248" s="952"/>
      <c r="G248" s="952"/>
      <c r="H248" s="952"/>
      <c r="I248" s="952"/>
      <c r="J248" s="952"/>
      <c r="K248" s="952"/>
      <c r="L248" s="952"/>
      <c r="M248" s="952"/>
      <c r="N248" s="952"/>
      <c r="O248" s="952"/>
      <c r="P248" s="952"/>
      <c r="Q248" s="952"/>
      <c r="R248" s="952"/>
      <c r="S248" s="952"/>
      <c r="T248" s="952"/>
      <c r="U248" s="952"/>
      <c r="V248" s="952"/>
      <c r="W248" s="952"/>
      <c r="X248" s="952"/>
      <c r="Y248" s="952"/>
      <c r="Z248" s="952"/>
    </row>
    <row r="249" spans="1:26" ht="18.75" customHeight="1" x14ac:dyDescent="0.35">
      <c r="A249" s="952"/>
      <c r="B249" s="952"/>
      <c r="C249" s="952"/>
      <c r="D249" s="952"/>
      <c r="E249" s="952"/>
      <c r="F249" s="952"/>
      <c r="G249" s="952"/>
      <c r="H249" s="952"/>
      <c r="I249" s="952"/>
      <c r="J249" s="952"/>
      <c r="K249" s="952"/>
      <c r="L249" s="952"/>
      <c r="M249" s="952"/>
      <c r="N249" s="952"/>
      <c r="O249" s="952"/>
      <c r="P249" s="952"/>
      <c r="Q249" s="952"/>
      <c r="R249" s="952"/>
      <c r="S249" s="952"/>
      <c r="T249" s="952"/>
      <c r="U249" s="952"/>
      <c r="V249" s="952"/>
      <c r="W249" s="952"/>
      <c r="X249" s="952"/>
      <c r="Y249" s="952"/>
      <c r="Z249" s="952"/>
    </row>
    <row r="250" spans="1:26" ht="18.75" customHeight="1" x14ac:dyDescent="0.35">
      <c r="A250" s="952"/>
      <c r="B250" s="952"/>
      <c r="C250" s="952"/>
      <c r="D250" s="952"/>
      <c r="E250" s="952"/>
      <c r="F250" s="952"/>
      <c r="G250" s="952"/>
      <c r="H250" s="952"/>
      <c r="I250" s="952"/>
      <c r="J250" s="952"/>
      <c r="K250" s="952"/>
      <c r="L250" s="952"/>
      <c r="M250" s="952"/>
      <c r="N250" s="952"/>
      <c r="O250" s="952"/>
      <c r="P250" s="952"/>
      <c r="Q250" s="952"/>
      <c r="R250" s="952"/>
      <c r="S250" s="952"/>
      <c r="T250" s="952"/>
      <c r="U250" s="952"/>
      <c r="V250" s="952"/>
      <c r="W250" s="952"/>
      <c r="X250" s="952"/>
      <c r="Y250" s="952"/>
      <c r="Z250" s="952"/>
    </row>
    <row r="251" spans="1:26" ht="18.75" customHeight="1" x14ac:dyDescent="0.35">
      <c r="A251" s="952"/>
      <c r="B251" s="952"/>
      <c r="C251" s="952"/>
      <c r="D251" s="952"/>
      <c r="E251" s="952"/>
      <c r="F251" s="952"/>
      <c r="G251" s="952"/>
      <c r="H251" s="952"/>
      <c r="I251" s="952"/>
      <c r="J251" s="952"/>
      <c r="K251" s="952"/>
      <c r="L251" s="952"/>
      <c r="M251" s="952"/>
      <c r="N251" s="952"/>
      <c r="O251" s="952"/>
      <c r="P251" s="952"/>
      <c r="Q251" s="952"/>
      <c r="R251" s="952"/>
      <c r="S251" s="952"/>
      <c r="T251" s="952"/>
      <c r="U251" s="952"/>
      <c r="V251" s="952"/>
      <c r="W251" s="952"/>
      <c r="X251" s="952"/>
      <c r="Y251" s="952"/>
      <c r="Z251" s="952"/>
    </row>
    <row r="252" spans="1:26" ht="18.75" customHeight="1" x14ac:dyDescent="0.35">
      <c r="A252" s="952"/>
      <c r="B252" s="952"/>
      <c r="C252" s="952"/>
      <c r="D252" s="952"/>
      <c r="E252" s="952"/>
      <c r="F252" s="952"/>
      <c r="G252" s="952"/>
      <c r="H252" s="952"/>
      <c r="I252" s="952"/>
      <c r="J252" s="952"/>
      <c r="K252" s="952"/>
      <c r="L252" s="952"/>
      <c r="M252" s="952"/>
      <c r="N252" s="952"/>
      <c r="O252" s="952"/>
      <c r="P252" s="952"/>
      <c r="Q252" s="952"/>
      <c r="R252" s="952"/>
      <c r="S252" s="952"/>
      <c r="T252" s="952"/>
      <c r="U252" s="952"/>
      <c r="V252" s="952"/>
      <c r="W252" s="952"/>
      <c r="X252" s="952"/>
      <c r="Y252" s="952"/>
      <c r="Z252" s="952"/>
    </row>
    <row r="253" spans="1:26" ht="18.75" customHeight="1" x14ac:dyDescent="0.35">
      <c r="A253" s="952"/>
      <c r="B253" s="952"/>
      <c r="C253" s="952"/>
      <c r="D253" s="952"/>
      <c r="E253" s="952"/>
      <c r="F253" s="952"/>
      <c r="G253" s="952"/>
      <c r="H253" s="952"/>
      <c r="I253" s="952"/>
      <c r="J253" s="952"/>
      <c r="K253" s="952"/>
      <c r="L253" s="952"/>
      <c r="M253" s="952"/>
      <c r="N253" s="952"/>
      <c r="O253" s="952"/>
      <c r="P253" s="952"/>
      <c r="Q253" s="952"/>
      <c r="R253" s="952"/>
      <c r="S253" s="952"/>
      <c r="T253" s="952"/>
      <c r="U253" s="952"/>
      <c r="V253" s="952"/>
      <c r="W253" s="952"/>
      <c r="X253" s="952"/>
      <c r="Y253" s="952"/>
      <c r="Z253" s="952"/>
    </row>
    <row r="254" spans="1:26" ht="18.75" customHeight="1" x14ac:dyDescent="0.35">
      <c r="A254" s="952"/>
      <c r="B254" s="952"/>
      <c r="C254" s="952"/>
      <c r="D254" s="952"/>
      <c r="E254" s="952"/>
      <c r="F254" s="952"/>
      <c r="G254" s="952"/>
      <c r="H254" s="952"/>
      <c r="I254" s="952"/>
      <c r="J254" s="952"/>
      <c r="K254" s="952"/>
      <c r="L254" s="952"/>
      <c r="M254" s="952"/>
      <c r="N254" s="952"/>
      <c r="O254" s="952"/>
      <c r="P254" s="952"/>
      <c r="Q254" s="952"/>
      <c r="R254" s="952"/>
      <c r="S254" s="952"/>
      <c r="T254" s="952"/>
      <c r="U254" s="952"/>
      <c r="V254" s="952"/>
      <c r="W254" s="952"/>
      <c r="X254" s="952"/>
      <c r="Y254" s="952"/>
      <c r="Z254" s="952"/>
    </row>
    <row r="255" spans="1:26" ht="18.75" customHeight="1" x14ac:dyDescent="0.35">
      <c r="A255" s="952"/>
      <c r="B255" s="952"/>
      <c r="C255" s="952"/>
      <c r="D255" s="952"/>
      <c r="E255" s="952"/>
      <c r="F255" s="952"/>
      <c r="G255" s="952"/>
      <c r="H255" s="952"/>
      <c r="I255" s="952"/>
      <c r="J255" s="952"/>
      <c r="K255" s="952"/>
      <c r="L255" s="952"/>
      <c r="M255" s="952"/>
      <c r="N255" s="952"/>
      <c r="O255" s="952"/>
      <c r="P255" s="952"/>
      <c r="Q255" s="952"/>
      <c r="R255" s="952"/>
      <c r="S255" s="952"/>
      <c r="T255" s="952"/>
      <c r="U255" s="952"/>
      <c r="V255" s="952"/>
      <c r="W255" s="952"/>
      <c r="X255" s="952"/>
      <c r="Y255" s="952"/>
      <c r="Z255" s="952"/>
    </row>
    <row r="256" spans="1:26" ht="18.75" customHeight="1" x14ac:dyDescent="0.35">
      <c r="A256" s="952"/>
      <c r="B256" s="952"/>
      <c r="C256" s="952"/>
      <c r="D256" s="952"/>
      <c r="E256" s="952"/>
      <c r="F256" s="952"/>
      <c r="G256" s="952"/>
      <c r="H256" s="952"/>
      <c r="I256" s="952"/>
      <c r="J256" s="952"/>
      <c r="K256" s="952"/>
      <c r="L256" s="952"/>
      <c r="M256" s="952"/>
      <c r="N256" s="952"/>
      <c r="O256" s="952"/>
      <c r="P256" s="952"/>
      <c r="Q256" s="952"/>
      <c r="R256" s="952"/>
      <c r="S256" s="952"/>
      <c r="T256" s="952"/>
      <c r="U256" s="952"/>
      <c r="V256" s="952"/>
      <c r="W256" s="952"/>
      <c r="X256" s="952"/>
      <c r="Y256" s="952"/>
      <c r="Z256" s="952"/>
    </row>
    <row r="257" spans="1:26" ht="18.75" customHeight="1" x14ac:dyDescent="0.35">
      <c r="A257" s="952"/>
      <c r="B257" s="952"/>
      <c r="C257" s="952"/>
      <c r="D257" s="952"/>
      <c r="E257" s="952"/>
      <c r="F257" s="952"/>
      <c r="G257" s="952"/>
      <c r="H257" s="952"/>
      <c r="I257" s="952"/>
      <c r="J257" s="952"/>
      <c r="K257" s="952"/>
      <c r="L257" s="952"/>
      <c r="M257" s="952"/>
      <c r="N257" s="952"/>
      <c r="O257" s="952"/>
      <c r="P257" s="952"/>
      <c r="Q257" s="952"/>
      <c r="R257" s="952"/>
      <c r="S257" s="952"/>
      <c r="T257" s="952"/>
      <c r="U257" s="952"/>
      <c r="V257" s="952"/>
      <c r="W257" s="952"/>
      <c r="X257" s="952"/>
      <c r="Y257" s="952"/>
      <c r="Z257" s="952"/>
    </row>
    <row r="258" spans="1:26" ht="18.75" customHeight="1" x14ac:dyDescent="0.35">
      <c r="A258" s="952"/>
      <c r="B258" s="952"/>
      <c r="C258" s="952"/>
      <c r="D258" s="952"/>
      <c r="E258" s="952"/>
      <c r="F258" s="952"/>
      <c r="G258" s="952"/>
      <c r="H258" s="952"/>
      <c r="I258" s="952"/>
      <c r="J258" s="952"/>
      <c r="K258" s="952"/>
      <c r="L258" s="952"/>
      <c r="M258" s="952"/>
      <c r="N258" s="952"/>
      <c r="O258" s="952"/>
      <c r="P258" s="952"/>
      <c r="Q258" s="952"/>
      <c r="R258" s="952"/>
      <c r="S258" s="952"/>
      <c r="T258" s="952"/>
      <c r="U258" s="952"/>
      <c r="V258" s="952"/>
      <c r="W258" s="952"/>
      <c r="X258" s="952"/>
      <c r="Y258" s="952"/>
      <c r="Z258" s="952"/>
    </row>
    <row r="259" spans="1:26" ht="18.75" customHeight="1" x14ac:dyDescent="0.35">
      <c r="A259" s="952"/>
      <c r="B259" s="952"/>
      <c r="C259" s="952"/>
      <c r="D259" s="952"/>
      <c r="E259" s="952"/>
      <c r="F259" s="952"/>
      <c r="G259" s="952"/>
      <c r="H259" s="952"/>
      <c r="I259" s="952"/>
      <c r="J259" s="952"/>
      <c r="K259" s="952"/>
      <c r="L259" s="952"/>
      <c r="M259" s="952"/>
      <c r="N259" s="952"/>
      <c r="O259" s="952"/>
      <c r="P259" s="952"/>
      <c r="Q259" s="952"/>
      <c r="R259" s="952"/>
      <c r="S259" s="952"/>
      <c r="T259" s="952"/>
      <c r="U259" s="952"/>
      <c r="V259" s="952"/>
      <c r="W259" s="952"/>
      <c r="X259" s="952"/>
      <c r="Y259" s="952"/>
      <c r="Z259" s="952"/>
    </row>
    <row r="260" spans="1:26" ht="18.75" customHeight="1" x14ac:dyDescent="0.35">
      <c r="A260" s="952"/>
      <c r="B260" s="952"/>
      <c r="C260" s="952"/>
      <c r="D260" s="952"/>
      <c r="E260" s="952"/>
      <c r="F260" s="952"/>
      <c r="G260" s="952"/>
      <c r="H260" s="952"/>
      <c r="I260" s="952"/>
      <c r="J260" s="952"/>
      <c r="K260" s="952"/>
      <c r="L260" s="952"/>
      <c r="M260" s="952"/>
      <c r="N260" s="952"/>
      <c r="O260" s="952"/>
      <c r="P260" s="952"/>
      <c r="Q260" s="952"/>
      <c r="R260" s="952"/>
      <c r="S260" s="952"/>
      <c r="T260" s="952"/>
      <c r="U260" s="952"/>
      <c r="V260" s="952"/>
      <c r="W260" s="952"/>
      <c r="X260" s="952"/>
      <c r="Y260" s="952"/>
      <c r="Z260" s="952"/>
    </row>
    <row r="261" spans="1:26" ht="18.75" customHeight="1" x14ac:dyDescent="0.35">
      <c r="A261" s="952"/>
      <c r="B261" s="952"/>
      <c r="C261" s="952"/>
      <c r="D261" s="952"/>
      <c r="E261" s="952"/>
      <c r="F261" s="952"/>
      <c r="G261" s="952"/>
      <c r="H261" s="952"/>
      <c r="I261" s="952"/>
      <c r="J261" s="952"/>
      <c r="K261" s="952"/>
      <c r="L261" s="952"/>
      <c r="M261" s="952"/>
      <c r="N261" s="952"/>
      <c r="O261" s="952"/>
      <c r="P261" s="952"/>
      <c r="Q261" s="952"/>
      <c r="R261" s="952"/>
      <c r="S261" s="952"/>
      <c r="T261" s="952"/>
      <c r="U261" s="952"/>
      <c r="V261" s="952"/>
      <c r="W261" s="952"/>
      <c r="X261" s="952"/>
      <c r="Y261" s="952"/>
      <c r="Z261" s="952"/>
    </row>
    <row r="262" spans="1:26" ht="18.75" customHeight="1" x14ac:dyDescent="0.35">
      <c r="A262" s="952"/>
      <c r="B262" s="952"/>
      <c r="C262" s="952"/>
      <c r="D262" s="952"/>
      <c r="E262" s="952"/>
      <c r="F262" s="952"/>
      <c r="G262" s="952"/>
      <c r="H262" s="952"/>
      <c r="I262" s="952"/>
      <c r="J262" s="952"/>
      <c r="K262" s="952"/>
      <c r="L262" s="952"/>
      <c r="M262" s="952"/>
      <c r="N262" s="952"/>
      <c r="O262" s="952"/>
      <c r="P262" s="952"/>
      <c r="Q262" s="952"/>
      <c r="R262" s="952"/>
      <c r="S262" s="952"/>
      <c r="T262" s="952"/>
      <c r="U262" s="952"/>
      <c r="V262" s="952"/>
      <c r="W262" s="952"/>
      <c r="X262" s="952"/>
      <c r="Y262" s="952"/>
      <c r="Z262" s="952"/>
    </row>
    <row r="263" spans="1:26" ht="18.75" customHeight="1" x14ac:dyDescent="0.35">
      <c r="A263" s="952"/>
      <c r="B263" s="952"/>
      <c r="C263" s="952"/>
      <c r="D263" s="952"/>
      <c r="E263" s="952"/>
      <c r="F263" s="952"/>
      <c r="G263" s="952"/>
      <c r="H263" s="952"/>
      <c r="I263" s="952"/>
      <c r="J263" s="952"/>
      <c r="K263" s="952"/>
      <c r="L263" s="952"/>
      <c r="M263" s="952"/>
      <c r="N263" s="952"/>
      <c r="O263" s="952"/>
      <c r="P263" s="952"/>
      <c r="Q263" s="952"/>
      <c r="R263" s="952"/>
      <c r="S263" s="952"/>
      <c r="T263" s="952"/>
      <c r="U263" s="952"/>
      <c r="V263" s="952"/>
      <c r="W263" s="952"/>
      <c r="X263" s="952"/>
      <c r="Y263" s="952"/>
      <c r="Z263" s="952"/>
    </row>
    <row r="264" spans="1:26" ht="18.75" customHeight="1" x14ac:dyDescent="0.35">
      <c r="A264" s="952"/>
      <c r="B264" s="952"/>
      <c r="C264" s="952"/>
      <c r="D264" s="952"/>
      <c r="E264" s="952"/>
      <c r="F264" s="952"/>
      <c r="G264" s="952"/>
      <c r="H264" s="952"/>
      <c r="I264" s="952"/>
      <c r="J264" s="952"/>
      <c r="K264" s="952"/>
      <c r="L264" s="952"/>
      <c r="M264" s="952"/>
      <c r="N264" s="952"/>
      <c r="O264" s="952"/>
      <c r="P264" s="952"/>
      <c r="Q264" s="952"/>
      <c r="R264" s="952"/>
      <c r="S264" s="952"/>
      <c r="T264" s="952"/>
      <c r="U264" s="952"/>
      <c r="V264" s="952"/>
      <c r="W264" s="952"/>
      <c r="X264" s="952"/>
      <c r="Y264" s="952"/>
      <c r="Z264" s="952"/>
    </row>
    <row r="265" spans="1:26" ht="18.75" customHeight="1" x14ac:dyDescent="0.35">
      <c r="A265" s="952"/>
      <c r="B265" s="952"/>
      <c r="C265" s="952"/>
      <c r="D265" s="952"/>
      <c r="E265" s="952"/>
      <c r="F265" s="952"/>
      <c r="G265" s="952"/>
      <c r="H265" s="952"/>
      <c r="I265" s="952"/>
      <c r="J265" s="952"/>
      <c r="K265" s="952"/>
      <c r="L265" s="952"/>
      <c r="M265" s="952"/>
      <c r="N265" s="952"/>
      <c r="O265" s="952"/>
      <c r="P265" s="952"/>
      <c r="Q265" s="952"/>
      <c r="R265" s="952"/>
      <c r="S265" s="952"/>
      <c r="T265" s="952"/>
      <c r="U265" s="952"/>
      <c r="V265" s="952"/>
      <c r="W265" s="952"/>
      <c r="X265" s="952"/>
      <c r="Y265" s="952"/>
      <c r="Z265" s="952"/>
    </row>
    <row r="266" spans="1:26" ht="18.75" customHeight="1" x14ac:dyDescent="0.35">
      <c r="A266" s="952"/>
      <c r="B266" s="952"/>
      <c r="C266" s="952"/>
      <c r="D266" s="952"/>
      <c r="E266" s="952"/>
      <c r="F266" s="952"/>
      <c r="G266" s="952"/>
      <c r="H266" s="952"/>
      <c r="I266" s="952"/>
      <c r="J266" s="952"/>
      <c r="K266" s="952"/>
      <c r="L266" s="952"/>
      <c r="M266" s="952"/>
      <c r="N266" s="952"/>
      <c r="O266" s="952"/>
      <c r="P266" s="952"/>
      <c r="Q266" s="952"/>
      <c r="R266" s="952"/>
      <c r="S266" s="952"/>
      <c r="T266" s="952"/>
      <c r="U266" s="952"/>
      <c r="V266" s="952"/>
      <c r="W266" s="952"/>
      <c r="X266" s="952"/>
      <c r="Y266" s="952"/>
      <c r="Z266" s="952"/>
    </row>
    <row r="267" spans="1:26" ht="18.75" customHeight="1" x14ac:dyDescent="0.35">
      <c r="A267" s="952"/>
      <c r="B267" s="952"/>
      <c r="C267" s="952"/>
      <c r="D267" s="952"/>
      <c r="E267" s="952"/>
      <c r="F267" s="952"/>
      <c r="G267" s="952"/>
      <c r="H267" s="952"/>
      <c r="I267" s="952"/>
      <c r="J267" s="952"/>
      <c r="K267" s="952"/>
      <c r="L267" s="952"/>
      <c r="M267" s="952"/>
      <c r="N267" s="952"/>
      <c r="O267" s="952"/>
      <c r="P267" s="952"/>
      <c r="Q267" s="952"/>
      <c r="R267" s="952"/>
      <c r="S267" s="952"/>
      <c r="T267" s="952"/>
      <c r="U267" s="952"/>
      <c r="V267" s="952"/>
      <c r="W267" s="952"/>
      <c r="X267" s="952"/>
      <c r="Y267" s="952"/>
      <c r="Z267" s="952"/>
    </row>
    <row r="268" spans="1:26" ht="18.75" customHeight="1" x14ac:dyDescent="0.35">
      <c r="A268" s="952"/>
      <c r="B268" s="952"/>
      <c r="C268" s="952"/>
      <c r="D268" s="952"/>
      <c r="E268" s="952"/>
      <c r="F268" s="952"/>
      <c r="G268" s="952"/>
      <c r="H268" s="952"/>
      <c r="I268" s="952"/>
      <c r="J268" s="952"/>
      <c r="K268" s="952"/>
      <c r="L268" s="952"/>
      <c r="M268" s="952"/>
      <c r="N268" s="952"/>
      <c r="O268" s="952"/>
      <c r="P268" s="952"/>
      <c r="Q268" s="952"/>
      <c r="R268" s="952"/>
      <c r="S268" s="952"/>
      <c r="T268" s="952"/>
      <c r="U268" s="952"/>
      <c r="V268" s="952"/>
      <c r="W268" s="952"/>
      <c r="X268" s="952"/>
      <c r="Y268" s="952"/>
      <c r="Z268" s="952"/>
    </row>
    <row r="269" spans="1:26" ht="18.75" customHeight="1" x14ac:dyDescent="0.35">
      <c r="A269" s="952"/>
      <c r="B269" s="952"/>
      <c r="C269" s="952"/>
      <c r="D269" s="952"/>
      <c r="E269" s="952"/>
      <c r="F269" s="952"/>
      <c r="G269" s="952"/>
      <c r="H269" s="952"/>
      <c r="I269" s="952"/>
      <c r="J269" s="952"/>
      <c r="K269" s="952"/>
      <c r="L269" s="952"/>
      <c r="M269" s="952"/>
      <c r="N269" s="952"/>
      <c r="O269" s="952"/>
      <c r="P269" s="952"/>
      <c r="Q269" s="952"/>
      <c r="R269" s="952"/>
      <c r="S269" s="952"/>
      <c r="T269" s="952"/>
      <c r="U269" s="952"/>
      <c r="V269" s="952"/>
      <c r="W269" s="952"/>
      <c r="X269" s="952"/>
      <c r="Y269" s="952"/>
      <c r="Z269" s="952"/>
    </row>
    <row r="270" spans="1:26" ht="18.75" customHeight="1" x14ac:dyDescent="0.35">
      <c r="A270" s="952"/>
      <c r="B270" s="952"/>
      <c r="C270" s="952"/>
      <c r="D270" s="952"/>
      <c r="E270" s="952"/>
      <c r="F270" s="952"/>
      <c r="G270" s="952"/>
      <c r="H270" s="952"/>
      <c r="I270" s="952"/>
      <c r="J270" s="952"/>
      <c r="K270" s="952"/>
      <c r="L270" s="952"/>
      <c r="M270" s="952"/>
      <c r="N270" s="952"/>
      <c r="O270" s="952"/>
      <c r="P270" s="952"/>
      <c r="Q270" s="952"/>
      <c r="R270" s="952"/>
      <c r="S270" s="952"/>
      <c r="T270" s="952"/>
      <c r="U270" s="952"/>
      <c r="V270" s="952"/>
      <c r="W270" s="952"/>
      <c r="X270" s="952"/>
      <c r="Y270" s="952"/>
      <c r="Z270" s="952"/>
    </row>
    <row r="271" spans="1:26" ht="18.75" customHeight="1" x14ac:dyDescent="0.35">
      <c r="A271" s="952"/>
      <c r="B271" s="952"/>
      <c r="C271" s="952"/>
      <c r="D271" s="952"/>
      <c r="E271" s="952"/>
      <c r="F271" s="952"/>
      <c r="G271" s="952"/>
      <c r="H271" s="952"/>
      <c r="I271" s="952"/>
      <c r="J271" s="952"/>
      <c r="K271" s="952"/>
      <c r="L271" s="952"/>
      <c r="M271" s="952"/>
      <c r="N271" s="952"/>
      <c r="O271" s="952"/>
      <c r="P271" s="952"/>
      <c r="Q271" s="952"/>
      <c r="R271" s="952"/>
      <c r="S271" s="952"/>
      <c r="T271" s="952"/>
      <c r="U271" s="952"/>
      <c r="V271" s="952"/>
      <c r="W271" s="952"/>
      <c r="X271" s="952"/>
      <c r="Y271" s="952"/>
      <c r="Z271" s="952"/>
    </row>
    <row r="272" spans="1:26" ht="18.75" customHeight="1" x14ac:dyDescent="0.35">
      <c r="A272" s="952"/>
      <c r="B272" s="952"/>
      <c r="C272" s="952"/>
      <c r="D272" s="952"/>
      <c r="E272" s="952"/>
      <c r="F272" s="952"/>
      <c r="G272" s="952"/>
      <c r="H272" s="952"/>
      <c r="I272" s="952"/>
      <c r="J272" s="952"/>
      <c r="K272" s="952"/>
      <c r="L272" s="952"/>
      <c r="M272" s="952"/>
      <c r="N272" s="952"/>
      <c r="O272" s="952"/>
      <c r="P272" s="952"/>
      <c r="Q272" s="952"/>
      <c r="R272" s="952"/>
      <c r="S272" s="952"/>
      <c r="T272" s="952"/>
      <c r="U272" s="952"/>
      <c r="V272" s="952"/>
      <c r="W272" s="952"/>
      <c r="X272" s="952"/>
      <c r="Y272" s="952"/>
      <c r="Z272" s="952"/>
    </row>
    <row r="273" spans="1:26" ht="18.75" customHeight="1" x14ac:dyDescent="0.35">
      <c r="A273" s="952"/>
      <c r="B273" s="952"/>
      <c r="C273" s="952"/>
      <c r="D273" s="952"/>
      <c r="E273" s="952"/>
      <c r="F273" s="952"/>
      <c r="G273" s="952"/>
      <c r="H273" s="952"/>
      <c r="I273" s="952"/>
      <c r="J273" s="952"/>
      <c r="K273" s="952"/>
      <c r="L273" s="952"/>
      <c r="M273" s="952"/>
      <c r="N273" s="952"/>
      <c r="O273" s="952"/>
      <c r="P273" s="952"/>
      <c r="Q273" s="952"/>
      <c r="R273" s="952"/>
      <c r="S273" s="952"/>
      <c r="T273" s="952"/>
      <c r="U273" s="952"/>
      <c r="V273" s="952"/>
      <c r="W273" s="952"/>
      <c r="X273" s="952"/>
      <c r="Y273" s="952"/>
      <c r="Z273" s="952"/>
    </row>
    <row r="274" spans="1:26" ht="18.75" customHeight="1" x14ac:dyDescent="0.35">
      <c r="A274" s="952"/>
      <c r="B274" s="952"/>
      <c r="C274" s="952"/>
      <c r="D274" s="952"/>
      <c r="E274" s="952"/>
      <c r="F274" s="952"/>
      <c r="G274" s="952"/>
      <c r="H274" s="952"/>
      <c r="I274" s="952"/>
      <c r="J274" s="952"/>
      <c r="K274" s="952"/>
      <c r="L274" s="952"/>
      <c r="M274" s="952"/>
      <c r="N274" s="952"/>
      <c r="O274" s="952"/>
      <c r="P274" s="952"/>
      <c r="Q274" s="952"/>
      <c r="R274" s="952"/>
      <c r="S274" s="952"/>
      <c r="T274" s="952"/>
      <c r="U274" s="952"/>
      <c r="V274" s="952"/>
      <c r="W274" s="952"/>
      <c r="X274" s="952"/>
      <c r="Y274" s="952"/>
      <c r="Z274" s="952"/>
    </row>
    <row r="275" spans="1:26" ht="18.75" customHeight="1" x14ac:dyDescent="0.35">
      <c r="A275" s="952"/>
      <c r="B275" s="952"/>
      <c r="C275" s="952"/>
      <c r="D275" s="952"/>
      <c r="E275" s="952"/>
      <c r="F275" s="952"/>
      <c r="G275" s="952"/>
      <c r="H275" s="952"/>
      <c r="I275" s="952"/>
      <c r="J275" s="952"/>
      <c r="K275" s="952"/>
      <c r="L275" s="952"/>
      <c r="M275" s="952"/>
      <c r="N275" s="952"/>
      <c r="O275" s="952"/>
      <c r="P275" s="952"/>
      <c r="Q275" s="952"/>
      <c r="R275" s="952"/>
      <c r="S275" s="952"/>
      <c r="T275" s="952"/>
      <c r="U275" s="952"/>
      <c r="V275" s="952"/>
      <c r="W275" s="952"/>
      <c r="X275" s="952"/>
      <c r="Y275" s="952"/>
      <c r="Z275" s="952"/>
    </row>
    <row r="276" spans="1:26" ht="18.75" customHeight="1" x14ac:dyDescent="0.35">
      <c r="A276" s="952"/>
      <c r="B276" s="952"/>
      <c r="C276" s="952"/>
      <c r="D276" s="952"/>
      <c r="E276" s="952"/>
      <c r="F276" s="952"/>
      <c r="G276" s="952"/>
      <c r="H276" s="952"/>
      <c r="I276" s="952"/>
      <c r="J276" s="952"/>
      <c r="K276" s="952"/>
      <c r="L276" s="952"/>
      <c r="M276" s="952"/>
      <c r="N276" s="952"/>
      <c r="O276" s="952"/>
      <c r="P276" s="952"/>
      <c r="Q276" s="952"/>
      <c r="R276" s="952"/>
      <c r="S276" s="952"/>
      <c r="T276" s="952"/>
      <c r="U276" s="952"/>
      <c r="V276" s="952"/>
      <c r="W276" s="952"/>
      <c r="X276" s="952"/>
      <c r="Y276" s="952"/>
      <c r="Z276" s="952"/>
    </row>
    <row r="277" spans="1:26" ht="18.75" customHeight="1" x14ac:dyDescent="0.35">
      <c r="A277" s="952"/>
      <c r="B277" s="952"/>
      <c r="C277" s="952"/>
      <c r="D277" s="952"/>
      <c r="E277" s="952"/>
      <c r="F277" s="952"/>
      <c r="G277" s="952"/>
      <c r="H277" s="952"/>
      <c r="I277" s="952"/>
      <c r="J277" s="952"/>
      <c r="K277" s="952"/>
      <c r="L277" s="952"/>
      <c r="M277" s="952"/>
      <c r="N277" s="952"/>
      <c r="O277" s="952"/>
      <c r="P277" s="952"/>
      <c r="Q277" s="952"/>
      <c r="R277" s="952"/>
      <c r="S277" s="952"/>
      <c r="T277" s="952"/>
      <c r="U277" s="952"/>
      <c r="V277" s="952"/>
      <c r="W277" s="952"/>
      <c r="X277" s="952"/>
      <c r="Y277" s="952"/>
      <c r="Z277" s="952"/>
    </row>
    <row r="278" spans="1:26" ht="18.75" customHeight="1" x14ac:dyDescent="0.35">
      <c r="A278" s="952"/>
      <c r="B278" s="952"/>
      <c r="C278" s="952"/>
      <c r="D278" s="952"/>
      <c r="E278" s="952"/>
      <c r="F278" s="952"/>
      <c r="G278" s="952"/>
      <c r="H278" s="952"/>
      <c r="I278" s="952"/>
      <c r="J278" s="952"/>
      <c r="K278" s="952"/>
      <c r="L278" s="952"/>
      <c r="M278" s="952"/>
      <c r="N278" s="952"/>
      <c r="O278" s="952"/>
      <c r="P278" s="952"/>
      <c r="Q278" s="952"/>
      <c r="R278" s="952"/>
      <c r="S278" s="952"/>
      <c r="T278" s="952"/>
      <c r="U278" s="952"/>
      <c r="V278" s="952"/>
      <c r="W278" s="952"/>
      <c r="X278" s="952"/>
      <c r="Y278" s="952"/>
      <c r="Z278" s="952"/>
    </row>
    <row r="279" spans="1:26" ht="18.75" customHeight="1" x14ac:dyDescent="0.35">
      <c r="A279" s="952"/>
      <c r="B279" s="952"/>
      <c r="C279" s="952"/>
      <c r="D279" s="952"/>
      <c r="E279" s="952"/>
      <c r="F279" s="952"/>
      <c r="G279" s="952"/>
      <c r="H279" s="952"/>
      <c r="I279" s="952"/>
      <c r="J279" s="952"/>
      <c r="K279" s="952"/>
      <c r="L279" s="952"/>
      <c r="M279" s="952"/>
      <c r="N279" s="952"/>
      <c r="O279" s="952"/>
      <c r="P279" s="952"/>
      <c r="Q279" s="952"/>
      <c r="R279" s="952"/>
      <c r="S279" s="952"/>
      <c r="T279" s="952"/>
      <c r="U279" s="952"/>
      <c r="V279" s="952"/>
      <c r="W279" s="952"/>
      <c r="X279" s="952"/>
      <c r="Y279" s="952"/>
      <c r="Z279" s="952"/>
    </row>
    <row r="280" spans="1:26" ht="18.75" customHeight="1" x14ac:dyDescent="0.35">
      <c r="A280" s="952"/>
      <c r="B280" s="952"/>
      <c r="C280" s="952"/>
      <c r="D280" s="952"/>
      <c r="E280" s="952"/>
      <c r="F280" s="952"/>
      <c r="G280" s="952"/>
      <c r="H280" s="952"/>
      <c r="I280" s="952"/>
      <c r="J280" s="952"/>
      <c r="K280" s="952"/>
      <c r="L280" s="952"/>
      <c r="M280" s="952"/>
      <c r="N280" s="952"/>
      <c r="O280" s="952"/>
      <c r="P280" s="952"/>
      <c r="Q280" s="952"/>
      <c r="R280" s="952"/>
      <c r="S280" s="952"/>
      <c r="T280" s="952"/>
      <c r="U280" s="952"/>
      <c r="V280" s="952"/>
      <c r="W280" s="952"/>
      <c r="X280" s="952"/>
      <c r="Y280" s="952"/>
      <c r="Z280" s="952"/>
    </row>
    <row r="281" spans="1:26" ht="18.75" customHeight="1" x14ac:dyDescent="0.35">
      <c r="A281" s="952"/>
      <c r="B281" s="952"/>
      <c r="C281" s="952"/>
      <c r="D281" s="952"/>
      <c r="E281" s="952"/>
      <c r="F281" s="952"/>
      <c r="G281" s="952"/>
      <c r="H281" s="952"/>
      <c r="I281" s="952"/>
      <c r="J281" s="952"/>
      <c r="K281" s="952"/>
      <c r="L281" s="952"/>
      <c r="M281" s="952"/>
      <c r="N281" s="952"/>
      <c r="O281" s="952"/>
      <c r="P281" s="952"/>
      <c r="Q281" s="952"/>
      <c r="R281" s="952"/>
      <c r="S281" s="952"/>
      <c r="T281" s="952"/>
      <c r="U281" s="952"/>
      <c r="V281" s="952"/>
      <c r="W281" s="952"/>
      <c r="X281" s="952"/>
      <c r="Y281" s="952"/>
      <c r="Z281" s="952"/>
    </row>
    <row r="282" spans="1:26" ht="18.75" customHeight="1" x14ac:dyDescent="0.35">
      <c r="A282" s="952"/>
      <c r="B282" s="952"/>
      <c r="C282" s="952"/>
      <c r="D282" s="952"/>
      <c r="E282" s="952"/>
      <c r="F282" s="952"/>
      <c r="G282" s="952"/>
      <c r="H282" s="952"/>
      <c r="I282" s="952"/>
      <c r="J282" s="952"/>
      <c r="K282" s="952"/>
      <c r="L282" s="952"/>
      <c r="M282" s="952"/>
      <c r="N282" s="952"/>
      <c r="O282" s="952"/>
      <c r="P282" s="952"/>
      <c r="Q282" s="952"/>
      <c r="R282" s="952"/>
      <c r="S282" s="952"/>
      <c r="T282" s="952"/>
      <c r="U282" s="952"/>
      <c r="V282" s="952"/>
      <c r="W282" s="952"/>
      <c r="X282" s="952"/>
      <c r="Y282" s="952"/>
      <c r="Z282" s="952"/>
    </row>
    <row r="283" spans="1:26" ht="18.75" customHeight="1" x14ac:dyDescent="0.35">
      <c r="A283" s="952"/>
      <c r="B283" s="952"/>
      <c r="C283" s="952"/>
      <c r="D283" s="952"/>
      <c r="E283" s="952"/>
      <c r="F283" s="952"/>
      <c r="G283" s="952"/>
      <c r="H283" s="952"/>
      <c r="I283" s="952"/>
      <c r="J283" s="952"/>
      <c r="K283" s="952"/>
      <c r="L283" s="952"/>
      <c r="M283" s="952"/>
      <c r="N283" s="952"/>
      <c r="O283" s="952"/>
      <c r="P283" s="952"/>
      <c r="Q283" s="952"/>
      <c r="R283" s="952"/>
      <c r="S283" s="952"/>
      <c r="T283" s="952"/>
      <c r="U283" s="952"/>
      <c r="V283" s="952"/>
      <c r="W283" s="952"/>
      <c r="X283" s="952"/>
      <c r="Y283" s="952"/>
      <c r="Z283" s="952"/>
    </row>
    <row r="284" spans="1:26" ht="18.75" customHeight="1" x14ac:dyDescent="0.35">
      <c r="A284" s="952"/>
      <c r="B284" s="952"/>
      <c r="C284" s="952"/>
      <c r="D284" s="952"/>
      <c r="E284" s="952"/>
      <c r="F284" s="952"/>
      <c r="G284" s="952"/>
      <c r="H284" s="952"/>
      <c r="I284" s="952"/>
      <c r="J284" s="952"/>
      <c r="K284" s="952"/>
      <c r="L284" s="952"/>
      <c r="M284" s="952"/>
      <c r="N284" s="952"/>
      <c r="O284" s="952"/>
      <c r="P284" s="952"/>
      <c r="Q284" s="952"/>
      <c r="R284" s="952"/>
      <c r="S284" s="952"/>
      <c r="T284" s="952"/>
      <c r="U284" s="952"/>
      <c r="V284" s="952"/>
      <c r="W284" s="952"/>
      <c r="X284" s="952"/>
      <c r="Y284" s="952"/>
      <c r="Z284" s="952"/>
    </row>
    <row r="285" spans="1:26" ht="18.75" customHeight="1" x14ac:dyDescent="0.35">
      <c r="A285" s="952"/>
      <c r="B285" s="952"/>
      <c r="C285" s="952"/>
      <c r="D285" s="952"/>
      <c r="E285" s="952"/>
      <c r="F285" s="952"/>
      <c r="G285" s="952"/>
      <c r="H285" s="952"/>
      <c r="I285" s="952"/>
      <c r="J285" s="952"/>
      <c r="K285" s="952"/>
      <c r="L285" s="952"/>
      <c r="M285" s="952"/>
      <c r="N285" s="952"/>
      <c r="O285" s="952"/>
      <c r="P285" s="952"/>
      <c r="Q285" s="952"/>
      <c r="R285" s="952"/>
      <c r="S285" s="952"/>
      <c r="T285" s="952"/>
      <c r="U285" s="952"/>
      <c r="V285" s="952"/>
      <c r="W285" s="952"/>
      <c r="X285" s="952"/>
      <c r="Y285" s="952"/>
      <c r="Z285" s="952"/>
    </row>
    <row r="286" spans="1:26" ht="18.75" customHeight="1" x14ac:dyDescent="0.35">
      <c r="A286" s="952"/>
      <c r="B286" s="952"/>
      <c r="C286" s="952"/>
      <c r="D286" s="952"/>
      <c r="E286" s="952"/>
      <c r="F286" s="952"/>
      <c r="G286" s="952"/>
      <c r="H286" s="952"/>
      <c r="I286" s="952"/>
      <c r="J286" s="952"/>
      <c r="K286" s="952"/>
      <c r="L286" s="952"/>
      <c r="M286" s="952"/>
      <c r="N286" s="952"/>
      <c r="O286" s="952"/>
      <c r="P286" s="952"/>
      <c r="Q286" s="952"/>
      <c r="R286" s="952"/>
      <c r="S286" s="952"/>
      <c r="T286" s="952"/>
      <c r="U286" s="952"/>
      <c r="V286" s="952"/>
      <c r="W286" s="952"/>
      <c r="X286" s="952"/>
      <c r="Y286" s="952"/>
      <c r="Z286" s="952"/>
    </row>
    <row r="287" spans="1:26" ht="18.75" customHeight="1" x14ac:dyDescent="0.35">
      <c r="A287" s="952"/>
      <c r="B287" s="952"/>
      <c r="C287" s="952"/>
      <c r="D287" s="952"/>
      <c r="E287" s="952"/>
      <c r="F287" s="952"/>
      <c r="G287" s="952"/>
      <c r="H287" s="952"/>
      <c r="I287" s="952"/>
      <c r="J287" s="952"/>
      <c r="K287" s="952"/>
      <c r="L287" s="952"/>
      <c r="M287" s="952"/>
      <c r="N287" s="952"/>
      <c r="O287" s="952"/>
      <c r="P287" s="952"/>
      <c r="Q287" s="952"/>
      <c r="R287" s="952"/>
      <c r="S287" s="952"/>
      <c r="T287" s="952"/>
      <c r="U287" s="952"/>
      <c r="V287" s="952"/>
      <c r="W287" s="952"/>
      <c r="X287" s="952"/>
      <c r="Y287" s="952"/>
      <c r="Z287" s="952"/>
    </row>
    <row r="288" spans="1:26" ht="18.75" customHeight="1" x14ac:dyDescent="0.35">
      <c r="A288" s="952"/>
      <c r="B288" s="952"/>
      <c r="C288" s="952"/>
      <c r="D288" s="952"/>
      <c r="E288" s="952"/>
      <c r="F288" s="952"/>
      <c r="G288" s="952"/>
      <c r="H288" s="952"/>
      <c r="I288" s="952"/>
      <c r="J288" s="952"/>
      <c r="K288" s="952"/>
      <c r="L288" s="952"/>
      <c r="M288" s="952"/>
      <c r="N288" s="952"/>
      <c r="O288" s="952"/>
      <c r="P288" s="952"/>
      <c r="Q288" s="952"/>
      <c r="R288" s="952"/>
      <c r="S288" s="952"/>
      <c r="T288" s="952"/>
      <c r="U288" s="952"/>
      <c r="V288" s="952"/>
      <c r="W288" s="952"/>
      <c r="X288" s="952"/>
      <c r="Y288" s="952"/>
      <c r="Z288" s="952"/>
    </row>
    <row r="289" spans="1:26" ht="18.75" customHeight="1" x14ac:dyDescent="0.35">
      <c r="A289" s="952"/>
      <c r="B289" s="952"/>
      <c r="C289" s="952"/>
      <c r="D289" s="952"/>
      <c r="E289" s="952"/>
      <c r="F289" s="952"/>
      <c r="G289" s="952"/>
      <c r="H289" s="952"/>
      <c r="I289" s="952"/>
      <c r="J289" s="952"/>
      <c r="K289" s="952"/>
      <c r="L289" s="952"/>
      <c r="M289" s="952"/>
      <c r="N289" s="952"/>
      <c r="O289" s="952"/>
      <c r="P289" s="952"/>
      <c r="Q289" s="952"/>
      <c r="R289" s="952"/>
      <c r="S289" s="952"/>
      <c r="T289" s="952"/>
      <c r="U289" s="952"/>
      <c r="V289" s="952"/>
      <c r="W289" s="952"/>
      <c r="X289" s="952"/>
      <c r="Y289" s="952"/>
      <c r="Z289" s="952"/>
    </row>
    <row r="290" spans="1:26" ht="18.75" customHeight="1" x14ac:dyDescent="0.35">
      <c r="A290" s="952"/>
      <c r="B290" s="952"/>
      <c r="C290" s="952"/>
      <c r="D290" s="952"/>
      <c r="E290" s="952"/>
      <c r="F290" s="952"/>
      <c r="G290" s="952"/>
      <c r="H290" s="952"/>
      <c r="I290" s="952"/>
      <c r="J290" s="952"/>
      <c r="K290" s="952"/>
      <c r="L290" s="952"/>
      <c r="M290" s="952"/>
      <c r="N290" s="952"/>
      <c r="O290" s="952"/>
      <c r="P290" s="952"/>
      <c r="Q290" s="952"/>
      <c r="R290" s="952"/>
      <c r="S290" s="952"/>
      <c r="T290" s="952"/>
      <c r="U290" s="952"/>
      <c r="V290" s="952"/>
      <c r="W290" s="952"/>
      <c r="X290" s="952"/>
      <c r="Y290" s="952"/>
      <c r="Z290" s="952"/>
    </row>
    <row r="291" spans="1:26" ht="18.75" customHeight="1" x14ac:dyDescent="0.35">
      <c r="A291" s="952"/>
      <c r="B291" s="952"/>
      <c r="C291" s="952"/>
      <c r="D291" s="952"/>
      <c r="E291" s="952"/>
      <c r="F291" s="952"/>
      <c r="G291" s="952"/>
      <c r="H291" s="952"/>
      <c r="I291" s="952"/>
      <c r="J291" s="952"/>
      <c r="K291" s="952"/>
      <c r="L291" s="952"/>
      <c r="M291" s="952"/>
      <c r="N291" s="952"/>
      <c r="O291" s="952"/>
      <c r="P291" s="952"/>
      <c r="Q291" s="952"/>
      <c r="R291" s="952"/>
      <c r="S291" s="952"/>
      <c r="T291" s="952"/>
      <c r="U291" s="952"/>
      <c r="V291" s="952"/>
      <c r="W291" s="952"/>
      <c r="X291" s="952"/>
      <c r="Y291" s="952"/>
      <c r="Z291" s="952"/>
    </row>
    <row r="292" spans="1:26" ht="18.75" customHeight="1" x14ac:dyDescent="0.35">
      <c r="A292" s="952"/>
      <c r="B292" s="952"/>
      <c r="C292" s="952"/>
      <c r="D292" s="952"/>
      <c r="E292" s="952"/>
      <c r="F292" s="952"/>
      <c r="G292" s="952"/>
      <c r="H292" s="952"/>
      <c r="I292" s="952"/>
      <c r="J292" s="952"/>
      <c r="K292" s="952"/>
      <c r="L292" s="952"/>
      <c r="M292" s="952"/>
      <c r="N292" s="952"/>
      <c r="O292" s="952"/>
      <c r="P292" s="952"/>
      <c r="Q292" s="952"/>
      <c r="R292" s="952"/>
      <c r="S292" s="952"/>
      <c r="T292" s="952"/>
      <c r="U292" s="952"/>
      <c r="V292" s="952"/>
      <c r="W292" s="952"/>
      <c r="X292" s="952"/>
      <c r="Y292" s="952"/>
      <c r="Z292" s="952"/>
    </row>
    <row r="293" spans="1:26" ht="18.75" customHeight="1" x14ac:dyDescent="0.35">
      <c r="A293" s="952"/>
      <c r="B293" s="952"/>
      <c r="C293" s="952"/>
      <c r="D293" s="952"/>
      <c r="E293" s="952"/>
      <c r="F293" s="952"/>
      <c r="G293" s="952"/>
      <c r="H293" s="952"/>
      <c r="I293" s="952"/>
      <c r="J293" s="952"/>
      <c r="K293" s="952"/>
      <c r="L293" s="952"/>
      <c r="M293" s="952"/>
      <c r="N293" s="952"/>
      <c r="O293" s="952"/>
      <c r="P293" s="952"/>
      <c r="Q293" s="952"/>
      <c r="R293" s="952"/>
      <c r="S293" s="952"/>
      <c r="T293" s="952"/>
      <c r="U293" s="952"/>
      <c r="V293" s="952"/>
      <c r="W293" s="952"/>
      <c r="X293" s="952"/>
      <c r="Y293" s="952"/>
      <c r="Z293" s="952"/>
    </row>
    <row r="294" spans="1:26" ht="18.75" customHeight="1" x14ac:dyDescent="0.35">
      <c r="A294" s="952"/>
      <c r="B294" s="952"/>
      <c r="C294" s="952"/>
      <c r="D294" s="952"/>
      <c r="E294" s="952"/>
      <c r="F294" s="952"/>
      <c r="G294" s="952"/>
      <c r="H294" s="952"/>
      <c r="I294" s="952"/>
      <c r="J294" s="952"/>
      <c r="K294" s="952"/>
      <c r="L294" s="952"/>
      <c r="M294" s="952"/>
      <c r="N294" s="952"/>
      <c r="O294" s="952"/>
      <c r="P294" s="952"/>
      <c r="Q294" s="952"/>
      <c r="R294" s="952"/>
      <c r="S294" s="952"/>
      <c r="T294" s="952"/>
      <c r="U294" s="952"/>
      <c r="V294" s="952"/>
      <c r="W294" s="952"/>
      <c r="X294" s="952"/>
      <c r="Y294" s="952"/>
      <c r="Z294" s="952"/>
    </row>
    <row r="295" spans="1:26" ht="18.75" customHeight="1" x14ac:dyDescent="0.35">
      <c r="A295" s="952"/>
      <c r="B295" s="952"/>
      <c r="C295" s="952"/>
      <c r="D295" s="952"/>
      <c r="E295" s="952"/>
      <c r="F295" s="952"/>
      <c r="G295" s="952"/>
      <c r="H295" s="952"/>
      <c r="I295" s="952"/>
      <c r="J295" s="952"/>
      <c r="K295" s="952"/>
      <c r="L295" s="952"/>
      <c r="M295" s="952"/>
      <c r="N295" s="952"/>
      <c r="O295" s="952"/>
      <c r="P295" s="952"/>
      <c r="Q295" s="952"/>
      <c r="R295" s="952"/>
      <c r="S295" s="952"/>
      <c r="T295" s="952"/>
      <c r="U295" s="952"/>
      <c r="V295" s="952"/>
      <c r="W295" s="952"/>
      <c r="X295" s="952"/>
      <c r="Y295" s="952"/>
      <c r="Z295" s="952"/>
    </row>
    <row r="296" spans="1:26" ht="18.75" customHeight="1" x14ac:dyDescent="0.35">
      <c r="A296" s="952"/>
      <c r="B296" s="952"/>
      <c r="C296" s="952"/>
      <c r="D296" s="952"/>
      <c r="E296" s="952"/>
      <c r="F296" s="952"/>
      <c r="G296" s="952"/>
      <c r="H296" s="952"/>
      <c r="I296" s="952"/>
      <c r="J296" s="952"/>
      <c r="K296" s="952"/>
      <c r="L296" s="952"/>
      <c r="M296" s="952"/>
      <c r="N296" s="952"/>
      <c r="O296" s="952"/>
      <c r="P296" s="952"/>
      <c r="Q296" s="952"/>
      <c r="R296" s="952"/>
      <c r="S296" s="952"/>
      <c r="T296" s="952"/>
      <c r="U296" s="952"/>
      <c r="V296" s="952"/>
      <c r="W296" s="952"/>
      <c r="X296" s="952"/>
      <c r="Y296" s="952"/>
      <c r="Z296" s="952"/>
    </row>
    <row r="297" spans="1:26" ht="18.75" customHeight="1" x14ac:dyDescent="0.35">
      <c r="A297" s="952"/>
      <c r="B297" s="952"/>
      <c r="C297" s="952"/>
      <c r="D297" s="952"/>
      <c r="E297" s="952"/>
      <c r="F297" s="952"/>
      <c r="G297" s="952"/>
      <c r="H297" s="952"/>
      <c r="I297" s="952"/>
      <c r="J297" s="952"/>
      <c r="K297" s="952"/>
      <c r="L297" s="952"/>
      <c r="M297" s="952"/>
      <c r="N297" s="952"/>
      <c r="O297" s="952"/>
      <c r="P297" s="952"/>
      <c r="Q297" s="952"/>
      <c r="R297" s="952"/>
      <c r="S297" s="952"/>
      <c r="T297" s="952"/>
      <c r="U297" s="952"/>
      <c r="V297" s="952"/>
      <c r="W297" s="952"/>
      <c r="X297" s="952"/>
      <c r="Y297" s="952"/>
      <c r="Z297" s="952"/>
    </row>
    <row r="298" spans="1:26" ht="18.75" customHeight="1" x14ac:dyDescent="0.35">
      <c r="A298" s="952"/>
      <c r="B298" s="952"/>
      <c r="C298" s="952"/>
      <c r="D298" s="952"/>
      <c r="E298" s="952"/>
      <c r="F298" s="952"/>
      <c r="G298" s="952"/>
      <c r="H298" s="952"/>
      <c r="I298" s="952"/>
      <c r="J298" s="952"/>
      <c r="K298" s="952"/>
      <c r="L298" s="952"/>
      <c r="M298" s="952"/>
      <c r="N298" s="952"/>
      <c r="O298" s="952"/>
      <c r="P298" s="952"/>
      <c r="Q298" s="952"/>
      <c r="R298" s="952"/>
      <c r="S298" s="952"/>
      <c r="T298" s="952"/>
      <c r="U298" s="952"/>
      <c r="V298" s="952"/>
      <c r="W298" s="952"/>
      <c r="X298" s="952"/>
      <c r="Y298" s="952"/>
      <c r="Z298" s="952"/>
    </row>
    <row r="299" spans="1:26" ht="18.75" customHeight="1" x14ac:dyDescent="0.35">
      <c r="A299" s="952"/>
      <c r="B299" s="952"/>
      <c r="C299" s="952"/>
      <c r="D299" s="952"/>
      <c r="E299" s="952"/>
      <c r="F299" s="952"/>
      <c r="G299" s="952"/>
      <c r="H299" s="952"/>
      <c r="I299" s="952"/>
      <c r="J299" s="952"/>
      <c r="K299" s="952"/>
      <c r="L299" s="952"/>
      <c r="M299" s="952"/>
      <c r="N299" s="952"/>
      <c r="O299" s="952"/>
      <c r="P299" s="952"/>
      <c r="Q299" s="952"/>
      <c r="R299" s="952"/>
      <c r="S299" s="952"/>
      <c r="T299" s="952"/>
      <c r="U299" s="952"/>
      <c r="V299" s="952"/>
      <c r="W299" s="952"/>
      <c r="X299" s="952"/>
      <c r="Y299" s="952"/>
      <c r="Z299" s="952"/>
    </row>
    <row r="300" spans="1:26" ht="18.75" customHeight="1" x14ac:dyDescent="0.35">
      <c r="A300" s="952"/>
      <c r="B300" s="952"/>
      <c r="C300" s="952"/>
      <c r="D300" s="952"/>
      <c r="E300" s="952"/>
      <c r="F300" s="952"/>
      <c r="G300" s="952"/>
      <c r="H300" s="952"/>
      <c r="I300" s="952"/>
      <c r="J300" s="952"/>
      <c r="K300" s="952"/>
      <c r="L300" s="952"/>
      <c r="M300" s="952"/>
      <c r="N300" s="952"/>
      <c r="O300" s="952"/>
      <c r="P300" s="952"/>
      <c r="Q300" s="952"/>
      <c r="R300" s="952"/>
      <c r="S300" s="952"/>
      <c r="T300" s="952"/>
      <c r="U300" s="952"/>
      <c r="V300" s="952"/>
      <c r="W300" s="952"/>
      <c r="X300" s="952"/>
      <c r="Y300" s="952"/>
      <c r="Z300" s="952"/>
    </row>
    <row r="301" spans="1:26" ht="18.75" customHeight="1" x14ac:dyDescent="0.35">
      <c r="A301" s="952"/>
      <c r="B301" s="952"/>
      <c r="C301" s="952"/>
      <c r="D301" s="952"/>
      <c r="E301" s="952"/>
      <c r="F301" s="952"/>
      <c r="G301" s="952"/>
      <c r="H301" s="952"/>
      <c r="I301" s="952"/>
      <c r="J301" s="952"/>
      <c r="K301" s="952"/>
      <c r="L301" s="952"/>
      <c r="M301" s="952"/>
      <c r="N301" s="952"/>
      <c r="O301" s="952"/>
      <c r="P301" s="952"/>
      <c r="Q301" s="952"/>
      <c r="R301" s="952"/>
      <c r="S301" s="952"/>
      <c r="T301" s="952"/>
      <c r="U301" s="952"/>
      <c r="V301" s="952"/>
      <c r="W301" s="952"/>
      <c r="X301" s="952"/>
      <c r="Y301" s="952"/>
      <c r="Z301" s="952"/>
    </row>
    <row r="302" spans="1:26" ht="18.75" customHeight="1" x14ac:dyDescent="0.35">
      <c r="A302" s="952"/>
      <c r="B302" s="952"/>
      <c r="C302" s="952"/>
      <c r="D302" s="952"/>
      <c r="E302" s="952"/>
      <c r="F302" s="952"/>
      <c r="G302" s="952"/>
      <c r="H302" s="952"/>
      <c r="I302" s="952"/>
      <c r="J302" s="952"/>
      <c r="K302" s="952"/>
      <c r="L302" s="952"/>
      <c r="M302" s="952"/>
      <c r="N302" s="952"/>
      <c r="O302" s="952"/>
      <c r="P302" s="952"/>
      <c r="Q302" s="952"/>
      <c r="R302" s="952"/>
      <c r="S302" s="952"/>
      <c r="T302" s="952"/>
      <c r="U302" s="952"/>
      <c r="V302" s="952"/>
      <c r="W302" s="952"/>
      <c r="X302" s="952"/>
      <c r="Y302" s="952"/>
      <c r="Z302" s="952"/>
    </row>
    <row r="303" spans="1:26" ht="18.75" customHeight="1" x14ac:dyDescent="0.35">
      <c r="A303" s="952"/>
      <c r="B303" s="952"/>
      <c r="C303" s="952"/>
      <c r="D303" s="952"/>
      <c r="E303" s="952"/>
      <c r="F303" s="952"/>
      <c r="G303" s="952"/>
      <c r="H303" s="952"/>
      <c r="I303" s="952"/>
      <c r="J303" s="952"/>
      <c r="K303" s="952"/>
      <c r="L303" s="952"/>
      <c r="M303" s="952"/>
      <c r="N303" s="952"/>
      <c r="O303" s="952"/>
      <c r="P303" s="952"/>
      <c r="Q303" s="952"/>
      <c r="R303" s="952"/>
      <c r="S303" s="952"/>
      <c r="T303" s="952"/>
      <c r="U303" s="952"/>
      <c r="V303" s="952"/>
      <c r="W303" s="952"/>
      <c r="X303" s="952"/>
      <c r="Y303" s="952"/>
      <c r="Z303" s="952"/>
    </row>
    <row r="304" spans="1:26" ht="18.75" customHeight="1" x14ac:dyDescent="0.35">
      <c r="A304" s="952"/>
      <c r="B304" s="952"/>
      <c r="C304" s="952"/>
      <c r="D304" s="952"/>
      <c r="E304" s="952"/>
      <c r="F304" s="952"/>
      <c r="G304" s="952"/>
      <c r="H304" s="952"/>
      <c r="I304" s="952"/>
      <c r="J304" s="952"/>
      <c r="K304" s="952"/>
      <c r="L304" s="952"/>
      <c r="M304" s="952"/>
      <c r="N304" s="952"/>
      <c r="O304" s="952"/>
      <c r="P304" s="952"/>
      <c r="Q304" s="952"/>
      <c r="R304" s="952"/>
      <c r="S304" s="952"/>
      <c r="T304" s="952"/>
      <c r="U304" s="952"/>
      <c r="V304" s="952"/>
      <c r="W304" s="952"/>
      <c r="X304" s="952"/>
      <c r="Y304" s="952"/>
      <c r="Z304" s="952"/>
    </row>
    <row r="305" spans="1:26" ht="18.75" customHeight="1" x14ac:dyDescent="0.35">
      <c r="A305" s="952"/>
      <c r="B305" s="952"/>
      <c r="C305" s="952"/>
      <c r="D305" s="952"/>
      <c r="E305" s="952"/>
      <c r="F305" s="952"/>
      <c r="G305" s="952"/>
      <c r="H305" s="952"/>
      <c r="I305" s="952"/>
      <c r="J305" s="952"/>
      <c r="K305" s="952"/>
      <c r="L305" s="952"/>
      <c r="M305" s="952"/>
      <c r="N305" s="952"/>
      <c r="O305" s="952"/>
      <c r="P305" s="952"/>
      <c r="Q305" s="952"/>
      <c r="R305" s="952"/>
      <c r="S305" s="952"/>
      <c r="T305" s="952"/>
      <c r="U305" s="952"/>
      <c r="V305" s="952"/>
      <c r="W305" s="952"/>
      <c r="X305" s="952"/>
      <c r="Y305" s="952"/>
      <c r="Z305" s="952"/>
    </row>
    <row r="306" spans="1:26" ht="18.75" customHeight="1" x14ac:dyDescent="0.35">
      <c r="A306" s="952"/>
      <c r="B306" s="952"/>
      <c r="C306" s="952"/>
      <c r="D306" s="952"/>
      <c r="E306" s="952"/>
      <c r="F306" s="952"/>
      <c r="G306" s="952"/>
      <c r="H306" s="952"/>
      <c r="I306" s="952"/>
      <c r="J306" s="952"/>
      <c r="K306" s="952"/>
      <c r="L306" s="952"/>
      <c r="M306" s="952"/>
      <c r="N306" s="952"/>
      <c r="O306" s="952"/>
      <c r="P306" s="952"/>
      <c r="Q306" s="952"/>
      <c r="R306" s="952"/>
      <c r="S306" s="952"/>
      <c r="T306" s="952"/>
      <c r="U306" s="952"/>
      <c r="V306" s="952"/>
      <c r="W306" s="952"/>
      <c r="X306" s="952"/>
      <c r="Y306" s="952"/>
      <c r="Z306" s="952"/>
    </row>
    <row r="307" spans="1:26" ht="18.75" customHeight="1" x14ac:dyDescent="0.35">
      <c r="A307" s="952"/>
      <c r="B307" s="952"/>
      <c r="C307" s="952"/>
      <c r="D307" s="952"/>
      <c r="E307" s="952"/>
      <c r="F307" s="952"/>
      <c r="G307" s="952"/>
      <c r="H307" s="952"/>
      <c r="I307" s="952"/>
      <c r="J307" s="952"/>
      <c r="K307" s="952"/>
      <c r="L307" s="952"/>
      <c r="M307" s="952"/>
      <c r="N307" s="952"/>
      <c r="O307" s="952"/>
      <c r="P307" s="952"/>
      <c r="Q307" s="952"/>
      <c r="R307" s="952"/>
      <c r="S307" s="952"/>
      <c r="T307" s="952"/>
      <c r="U307" s="952"/>
      <c r="V307" s="952"/>
      <c r="W307" s="952"/>
      <c r="X307" s="952"/>
      <c r="Y307" s="952"/>
      <c r="Z307" s="952"/>
    </row>
    <row r="308" spans="1:26" ht="18.75" customHeight="1" x14ac:dyDescent="0.35">
      <c r="A308" s="952"/>
      <c r="B308" s="952"/>
      <c r="C308" s="952"/>
      <c r="D308" s="952"/>
      <c r="E308" s="952"/>
      <c r="F308" s="952"/>
      <c r="G308" s="952"/>
      <c r="H308" s="952"/>
      <c r="I308" s="952"/>
      <c r="J308" s="952"/>
      <c r="K308" s="952"/>
      <c r="L308" s="952"/>
      <c r="M308" s="952"/>
      <c r="N308" s="952"/>
      <c r="O308" s="952"/>
      <c r="P308" s="952"/>
      <c r="Q308" s="952"/>
      <c r="R308" s="952"/>
      <c r="S308" s="952"/>
      <c r="T308" s="952"/>
      <c r="U308" s="952"/>
      <c r="V308" s="952"/>
      <c r="W308" s="952"/>
      <c r="X308" s="952"/>
      <c r="Y308" s="952"/>
      <c r="Z308" s="952"/>
    </row>
    <row r="309" spans="1:26" ht="18.75" customHeight="1" x14ac:dyDescent="0.35">
      <c r="A309" s="952"/>
      <c r="B309" s="952"/>
      <c r="C309" s="952"/>
      <c r="D309" s="952"/>
      <c r="E309" s="952"/>
      <c r="F309" s="952"/>
      <c r="G309" s="952"/>
      <c r="H309" s="952"/>
      <c r="I309" s="952"/>
      <c r="J309" s="952"/>
      <c r="K309" s="952"/>
      <c r="L309" s="952"/>
      <c r="M309" s="952"/>
      <c r="N309" s="952"/>
      <c r="O309" s="952"/>
      <c r="P309" s="952"/>
      <c r="Q309" s="952"/>
      <c r="R309" s="952"/>
      <c r="S309" s="952"/>
      <c r="T309" s="952"/>
      <c r="U309" s="952"/>
      <c r="V309" s="952"/>
      <c r="W309" s="952"/>
      <c r="X309" s="952"/>
      <c r="Y309" s="952"/>
      <c r="Z309" s="952"/>
    </row>
    <row r="310" spans="1:26" ht="18.75" customHeight="1" x14ac:dyDescent="0.35">
      <c r="A310" s="952"/>
      <c r="B310" s="952"/>
      <c r="C310" s="952"/>
      <c r="D310" s="952"/>
      <c r="E310" s="952"/>
      <c r="F310" s="952"/>
      <c r="G310" s="952"/>
      <c r="H310" s="952"/>
      <c r="I310" s="952"/>
      <c r="J310" s="952"/>
      <c r="K310" s="952"/>
      <c r="L310" s="952"/>
      <c r="M310" s="952"/>
      <c r="N310" s="952"/>
      <c r="O310" s="952"/>
      <c r="P310" s="952"/>
      <c r="Q310" s="952"/>
      <c r="R310" s="952"/>
      <c r="S310" s="952"/>
      <c r="T310" s="952"/>
      <c r="U310" s="952"/>
      <c r="V310" s="952"/>
      <c r="W310" s="952"/>
      <c r="X310" s="952"/>
      <c r="Y310" s="952"/>
      <c r="Z310" s="952"/>
    </row>
    <row r="311" spans="1:26" ht="18.75" customHeight="1" x14ac:dyDescent="0.35">
      <c r="A311" s="952"/>
      <c r="B311" s="952"/>
      <c r="C311" s="952"/>
      <c r="D311" s="952"/>
      <c r="E311" s="952"/>
      <c r="F311" s="952"/>
      <c r="G311" s="952"/>
      <c r="H311" s="952"/>
      <c r="I311" s="952"/>
      <c r="J311" s="952"/>
      <c r="K311" s="952"/>
      <c r="L311" s="952"/>
      <c r="M311" s="952"/>
      <c r="N311" s="952"/>
      <c r="O311" s="952"/>
      <c r="P311" s="952"/>
      <c r="Q311" s="952"/>
      <c r="R311" s="952"/>
      <c r="S311" s="952"/>
      <c r="T311" s="952"/>
      <c r="U311" s="952"/>
      <c r="V311" s="952"/>
      <c r="W311" s="952"/>
      <c r="X311" s="952"/>
      <c r="Y311" s="952"/>
      <c r="Z311" s="952"/>
    </row>
    <row r="312" spans="1:26" ht="18.75" customHeight="1" x14ac:dyDescent="0.35">
      <c r="A312" s="952"/>
      <c r="B312" s="952"/>
      <c r="C312" s="952"/>
      <c r="D312" s="952"/>
      <c r="E312" s="952"/>
      <c r="F312" s="952"/>
      <c r="G312" s="952"/>
      <c r="H312" s="952"/>
      <c r="I312" s="952"/>
      <c r="J312" s="952"/>
      <c r="K312" s="952"/>
      <c r="L312" s="952"/>
      <c r="M312" s="952"/>
      <c r="N312" s="952"/>
      <c r="O312" s="952"/>
      <c r="P312" s="952"/>
      <c r="Q312" s="952"/>
      <c r="R312" s="952"/>
      <c r="S312" s="952"/>
      <c r="T312" s="952"/>
      <c r="U312" s="952"/>
      <c r="V312" s="952"/>
      <c r="W312" s="952"/>
      <c r="X312" s="952"/>
      <c r="Y312" s="952"/>
      <c r="Z312" s="952"/>
    </row>
    <row r="313" spans="1:26" ht="18.75" customHeight="1" x14ac:dyDescent="0.35">
      <c r="A313" s="952"/>
      <c r="B313" s="952"/>
      <c r="C313" s="952"/>
      <c r="D313" s="952"/>
      <c r="E313" s="952"/>
      <c r="F313" s="952"/>
      <c r="G313" s="952"/>
      <c r="H313" s="952"/>
      <c r="I313" s="952"/>
      <c r="J313" s="952"/>
      <c r="K313" s="952"/>
      <c r="L313" s="952"/>
      <c r="M313" s="952"/>
      <c r="N313" s="952"/>
      <c r="O313" s="952"/>
      <c r="P313" s="952"/>
      <c r="Q313" s="952"/>
      <c r="R313" s="952"/>
      <c r="S313" s="952"/>
      <c r="T313" s="952"/>
      <c r="U313" s="952"/>
      <c r="V313" s="952"/>
      <c r="W313" s="952"/>
      <c r="X313" s="952"/>
      <c r="Y313" s="952"/>
      <c r="Z313" s="952"/>
    </row>
    <row r="314" spans="1:26" ht="18.75" customHeight="1" x14ac:dyDescent="0.35">
      <c r="A314" s="952"/>
      <c r="B314" s="952"/>
      <c r="C314" s="952"/>
      <c r="D314" s="952"/>
      <c r="E314" s="952"/>
      <c r="F314" s="952"/>
      <c r="G314" s="952"/>
      <c r="H314" s="952"/>
      <c r="I314" s="952"/>
      <c r="J314" s="952"/>
      <c r="K314" s="952"/>
      <c r="L314" s="952"/>
      <c r="M314" s="952"/>
      <c r="N314" s="952"/>
      <c r="O314" s="952"/>
      <c r="P314" s="952"/>
      <c r="Q314" s="952"/>
      <c r="R314" s="952"/>
      <c r="S314" s="952"/>
      <c r="T314" s="952"/>
      <c r="U314" s="952"/>
      <c r="V314" s="952"/>
      <c r="W314" s="952"/>
      <c r="X314" s="952"/>
      <c r="Y314" s="952"/>
      <c r="Z314" s="952"/>
    </row>
    <row r="315" spans="1:26" ht="18.75" customHeight="1" x14ac:dyDescent="0.35">
      <c r="A315" s="952"/>
      <c r="B315" s="952"/>
      <c r="C315" s="952"/>
      <c r="D315" s="952"/>
      <c r="E315" s="952"/>
      <c r="F315" s="952"/>
      <c r="G315" s="952"/>
      <c r="H315" s="952"/>
      <c r="I315" s="952"/>
      <c r="J315" s="952"/>
      <c r="K315" s="952"/>
      <c r="L315" s="952"/>
      <c r="M315" s="952"/>
      <c r="N315" s="952"/>
      <c r="O315" s="952"/>
      <c r="P315" s="952"/>
      <c r="Q315" s="952"/>
      <c r="R315" s="952"/>
      <c r="S315" s="952"/>
      <c r="T315" s="952"/>
      <c r="U315" s="952"/>
      <c r="V315" s="952"/>
      <c r="W315" s="952"/>
      <c r="X315" s="952"/>
      <c r="Y315" s="952"/>
      <c r="Z315" s="952"/>
    </row>
    <row r="316" spans="1:26" ht="18.75" customHeight="1" x14ac:dyDescent="0.35">
      <c r="A316" s="952"/>
      <c r="B316" s="952"/>
      <c r="C316" s="952"/>
      <c r="D316" s="952"/>
      <c r="E316" s="952"/>
      <c r="F316" s="952"/>
      <c r="G316" s="952"/>
      <c r="H316" s="952"/>
      <c r="I316" s="952"/>
      <c r="J316" s="952"/>
      <c r="K316" s="952"/>
      <c r="L316" s="952"/>
      <c r="M316" s="952"/>
      <c r="N316" s="952"/>
      <c r="O316" s="952"/>
      <c r="P316" s="952"/>
      <c r="Q316" s="952"/>
      <c r="R316" s="952"/>
      <c r="S316" s="952"/>
      <c r="T316" s="952"/>
      <c r="U316" s="952"/>
      <c r="V316" s="952"/>
      <c r="W316" s="952"/>
      <c r="X316" s="952"/>
      <c r="Y316" s="952"/>
      <c r="Z316" s="952"/>
    </row>
    <row r="317" spans="1:26" ht="18.75" customHeight="1" x14ac:dyDescent="0.35">
      <c r="A317" s="952"/>
      <c r="B317" s="952"/>
      <c r="C317" s="952"/>
      <c r="D317" s="952"/>
      <c r="E317" s="952"/>
      <c r="F317" s="952"/>
      <c r="G317" s="952"/>
      <c r="H317" s="952"/>
      <c r="I317" s="952"/>
      <c r="J317" s="952"/>
      <c r="K317" s="952"/>
      <c r="L317" s="952"/>
      <c r="M317" s="952"/>
      <c r="N317" s="952"/>
      <c r="O317" s="952"/>
      <c r="P317" s="952"/>
      <c r="Q317" s="952"/>
      <c r="R317" s="952"/>
      <c r="S317" s="952"/>
      <c r="T317" s="952"/>
      <c r="U317" s="952"/>
      <c r="V317" s="952"/>
      <c r="W317" s="952"/>
      <c r="X317" s="952"/>
      <c r="Y317" s="952"/>
      <c r="Z317" s="952"/>
    </row>
    <row r="318" spans="1:26" ht="18.75" customHeight="1" x14ac:dyDescent="0.35">
      <c r="A318" s="952"/>
      <c r="B318" s="952"/>
      <c r="C318" s="952"/>
      <c r="D318" s="952"/>
      <c r="E318" s="952"/>
      <c r="F318" s="952"/>
      <c r="G318" s="952"/>
      <c r="H318" s="952"/>
      <c r="I318" s="952"/>
      <c r="J318" s="952"/>
      <c r="K318" s="952"/>
      <c r="L318" s="952"/>
      <c r="M318" s="952"/>
      <c r="N318" s="952"/>
      <c r="O318" s="952"/>
      <c r="P318" s="952"/>
      <c r="Q318" s="952"/>
      <c r="R318" s="952"/>
      <c r="S318" s="952"/>
      <c r="T318" s="952"/>
      <c r="U318" s="952"/>
      <c r="V318" s="952"/>
      <c r="W318" s="952"/>
      <c r="X318" s="952"/>
      <c r="Y318" s="952"/>
      <c r="Z318" s="952"/>
    </row>
    <row r="319" spans="1:26" ht="18.75" customHeight="1" x14ac:dyDescent="0.35">
      <c r="A319" s="952"/>
      <c r="B319" s="952"/>
      <c r="C319" s="952"/>
      <c r="D319" s="952"/>
      <c r="E319" s="952"/>
      <c r="F319" s="952"/>
      <c r="G319" s="952"/>
      <c r="H319" s="952"/>
      <c r="I319" s="952"/>
      <c r="J319" s="952"/>
      <c r="K319" s="952"/>
      <c r="L319" s="952"/>
      <c r="M319" s="952"/>
      <c r="N319" s="952"/>
      <c r="O319" s="952"/>
      <c r="P319" s="952"/>
      <c r="Q319" s="952"/>
      <c r="R319" s="952"/>
      <c r="S319" s="952"/>
      <c r="T319" s="952"/>
      <c r="U319" s="952"/>
      <c r="V319" s="952"/>
      <c r="W319" s="952"/>
      <c r="X319" s="952"/>
      <c r="Y319" s="952"/>
      <c r="Z319" s="952"/>
    </row>
    <row r="320" spans="1:26" ht="18.75" customHeight="1" x14ac:dyDescent="0.35">
      <c r="A320" s="952"/>
      <c r="B320" s="952"/>
      <c r="C320" s="952"/>
      <c r="D320" s="952"/>
      <c r="E320" s="952"/>
      <c r="F320" s="952"/>
      <c r="G320" s="952"/>
      <c r="H320" s="952"/>
      <c r="I320" s="952"/>
      <c r="J320" s="952"/>
      <c r="K320" s="952"/>
      <c r="L320" s="952"/>
      <c r="M320" s="952"/>
      <c r="N320" s="952"/>
      <c r="O320" s="952"/>
      <c r="P320" s="952"/>
      <c r="Q320" s="952"/>
      <c r="R320" s="952"/>
      <c r="S320" s="952"/>
      <c r="T320" s="952"/>
      <c r="U320" s="952"/>
      <c r="V320" s="952"/>
      <c r="W320" s="952"/>
      <c r="X320" s="952"/>
      <c r="Y320" s="952"/>
      <c r="Z320" s="952"/>
    </row>
    <row r="321" spans="1:26" ht="18.75" customHeight="1" x14ac:dyDescent="0.35">
      <c r="A321" s="952"/>
      <c r="B321" s="952"/>
      <c r="C321" s="952"/>
      <c r="D321" s="952"/>
      <c r="E321" s="952"/>
      <c r="F321" s="952"/>
      <c r="G321" s="952"/>
      <c r="H321" s="952"/>
      <c r="I321" s="952"/>
      <c r="J321" s="952"/>
      <c r="K321" s="952"/>
      <c r="L321" s="952"/>
      <c r="M321" s="952"/>
      <c r="N321" s="952"/>
      <c r="O321" s="952"/>
      <c r="P321" s="952"/>
      <c r="Q321" s="952"/>
      <c r="R321" s="952"/>
      <c r="S321" s="952"/>
      <c r="T321" s="952"/>
      <c r="U321" s="952"/>
      <c r="V321" s="952"/>
      <c r="W321" s="952"/>
      <c r="X321" s="952"/>
      <c r="Y321" s="952"/>
      <c r="Z321" s="952"/>
    </row>
    <row r="322" spans="1:26" ht="18.75" customHeight="1" x14ac:dyDescent="0.35">
      <c r="A322" s="952"/>
      <c r="B322" s="952"/>
      <c r="C322" s="952"/>
      <c r="D322" s="952"/>
      <c r="E322" s="952"/>
      <c r="F322" s="952"/>
      <c r="G322" s="952"/>
      <c r="H322" s="952"/>
      <c r="I322" s="952"/>
      <c r="J322" s="952"/>
      <c r="K322" s="952"/>
      <c r="L322" s="952"/>
      <c r="M322" s="952"/>
      <c r="N322" s="952"/>
      <c r="O322" s="952"/>
      <c r="P322" s="952"/>
      <c r="Q322" s="952"/>
      <c r="R322" s="952"/>
      <c r="S322" s="952"/>
      <c r="T322" s="952"/>
      <c r="U322" s="952"/>
      <c r="V322" s="952"/>
      <c r="W322" s="952"/>
      <c r="X322" s="952"/>
      <c r="Y322" s="952"/>
      <c r="Z322" s="952"/>
    </row>
    <row r="323" spans="1:26" ht="18.75" customHeight="1" x14ac:dyDescent="0.35">
      <c r="A323" s="952"/>
      <c r="B323" s="952"/>
      <c r="C323" s="952"/>
      <c r="D323" s="952"/>
      <c r="E323" s="952"/>
      <c r="F323" s="952"/>
      <c r="G323" s="952"/>
      <c r="H323" s="952"/>
      <c r="I323" s="952"/>
      <c r="J323" s="952"/>
      <c r="K323" s="952"/>
      <c r="L323" s="952"/>
      <c r="M323" s="952"/>
      <c r="N323" s="952"/>
      <c r="O323" s="952"/>
      <c r="P323" s="952"/>
      <c r="Q323" s="952"/>
      <c r="R323" s="952"/>
      <c r="S323" s="952"/>
      <c r="T323" s="952"/>
      <c r="U323" s="952"/>
      <c r="V323" s="952"/>
      <c r="W323" s="952"/>
      <c r="X323" s="952"/>
      <c r="Y323" s="952"/>
      <c r="Z323" s="952"/>
    </row>
    <row r="324" spans="1:26" ht="18.75" customHeight="1" x14ac:dyDescent="0.35">
      <c r="A324" s="952"/>
      <c r="B324" s="952"/>
      <c r="C324" s="952"/>
      <c r="D324" s="952"/>
      <c r="E324" s="952"/>
      <c r="F324" s="952"/>
      <c r="G324" s="952"/>
      <c r="H324" s="952"/>
      <c r="I324" s="952"/>
      <c r="J324" s="952"/>
      <c r="K324" s="952"/>
      <c r="L324" s="952"/>
      <c r="M324" s="952"/>
      <c r="N324" s="952"/>
      <c r="O324" s="952"/>
      <c r="P324" s="952"/>
      <c r="Q324" s="952"/>
      <c r="R324" s="952"/>
      <c r="S324" s="952"/>
      <c r="T324" s="952"/>
      <c r="U324" s="952"/>
      <c r="V324" s="952"/>
      <c r="W324" s="952"/>
      <c r="X324" s="952"/>
      <c r="Y324" s="952"/>
      <c r="Z324" s="952"/>
    </row>
    <row r="325" spans="1:26" ht="18.75" customHeight="1" x14ac:dyDescent="0.35">
      <c r="A325" s="952"/>
      <c r="B325" s="952"/>
      <c r="C325" s="952"/>
      <c r="D325" s="952"/>
      <c r="E325" s="952"/>
      <c r="F325" s="952"/>
      <c r="G325" s="952"/>
      <c r="H325" s="952"/>
      <c r="I325" s="952"/>
      <c r="J325" s="952"/>
      <c r="K325" s="952"/>
      <c r="L325" s="952"/>
      <c r="M325" s="952"/>
      <c r="N325" s="952"/>
      <c r="O325" s="952"/>
      <c r="P325" s="952"/>
      <c r="Q325" s="952"/>
      <c r="R325" s="952"/>
      <c r="S325" s="952"/>
      <c r="T325" s="952"/>
      <c r="U325" s="952"/>
      <c r="V325" s="952"/>
      <c r="W325" s="952"/>
      <c r="X325" s="952"/>
      <c r="Y325" s="952"/>
      <c r="Z325" s="952"/>
    </row>
    <row r="326" spans="1:26" ht="18.75" customHeight="1" x14ac:dyDescent="0.35">
      <c r="A326" s="952"/>
      <c r="B326" s="952"/>
      <c r="C326" s="952"/>
      <c r="D326" s="952"/>
      <c r="E326" s="952"/>
      <c r="F326" s="952"/>
      <c r="G326" s="952"/>
      <c r="H326" s="952"/>
      <c r="I326" s="952"/>
      <c r="J326" s="952"/>
      <c r="K326" s="952"/>
      <c r="L326" s="952"/>
      <c r="M326" s="952"/>
      <c r="N326" s="952"/>
      <c r="O326" s="952"/>
      <c r="P326" s="952"/>
      <c r="Q326" s="952"/>
      <c r="R326" s="952"/>
      <c r="S326" s="952"/>
      <c r="T326" s="952"/>
      <c r="U326" s="952"/>
      <c r="V326" s="952"/>
      <c r="W326" s="952"/>
      <c r="X326" s="952"/>
      <c r="Y326" s="952"/>
      <c r="Z326" s="952"/>
    </row>
    <row r="327" spans="1:26" ht="18.75" customHeight="1" x14ac:dyDescent="0.35">
      <c r="A327" s="952"/>
      <c r="B327" s="952"/>
      <c r="C327" s="952"/>
      <c r="D327" s="952"/>
      <c r="E327" s="952"/>
      <c r="F327" s="952"/>
      <c r="G327" s="952"/>
      <c r="H327" s="952"/>
      <c r="I327" s="952"/>
      <c r="J327" s="952"/>
      <c r="K327" s="952"/>
      <c r="L327" s="952"/>
      <c r="M327" s="952"/>
      <c r="N327" s="952"/>
      <c r="O327" s="952"/>
      <c r="P327" s="952"/>
      <c r="Q327" s="952"/>
      <c r="R327" s="952"/>
      <c r="S327" s="952"/>
      <c r="T327" s="952"/>
      <c r="U327" s="952"/>
      <c r="V327" s="952"/>
      <c r="W327" s="952"/>
      <c r="X327" s="952"/>
      <c r="Y327" s="952"/>
      <c r="Z327" s="952"/>
    </row>
    <row r="328" spans="1:26" ht="18.75" customHeight="1" x14ac:dyDescent="0.35">
      <c r="A328" s="952"/>
      <c r="B328" s="952"/>
      <c r="C328" s="952"/>
      <c r="D328" s="952"/>
      <c r="E328" s="952"/>
      <c r="F328" s="952"/>
      <c r="G328" s="952"/>
      <c r="H328" s="952"/>
      <c r="I328" s="952"/>
      <c r="J328" s="952"/>
      <c r="K328" s="952"/>
      <c r="L328" s="952"/>
      <c r="M328" s="952"/>
      <c r="N328" s="952"/>
      <c r="O328" s="952"/>
      <c r="P328" s="952"/>
      <c r="Q328" s="952"/>
      <c r="R328" s="952"/>
      <c r="S328" s="952"/>
      <c r="T328" s="952"/>
      <c r="U328" s="952"/>
      <c r="V328" s="952"/>
      <c r="W328" s="952"/>
      <c r="X328" s="952"/>
      <c r="Y328" s="952"/>
      <c r="Z328" s="952"/>
    </row>
    <row r="329" spans="1:26" ht="18.75" customHeight="1" x14ac:dyDescent="0.35">
      <c r="A329" s="952"/>
      <c r="B329" s="952"/>
      <c r="C329" s="952"/>
      <c r="D329" s="952"/>
      <c r="E329" s="952"/>
      <c r="F329" s="952"/>
      <c r="G329" s="952"/>
      <c r="H329" s="952"/>
      <c r="I329" s="952"/>
      <c r="J329" s="952"/>
      <c r="K329" s="952"/>
      <c r="L329" s="952"/>
      <c r="M329" s="952"/>
      <c r="N329" s="952"/>
      <c r="O329" s="952"/>
      <c r="P329" s="952"/>
      <c r="Q329" s="952"/>
      <c r="R329" s="952"/>
      <c r="S329" s="952"/>
      <c r="T329" s="952"/>
      <c r="U329" s="952"/>
      <c r="V329" s="952"/>
      <c r="W329" s="952"/>
      <c r="X329" s="952"/>
      <c r="Y329" s="952"/>
      <c r="Z329" s="952"/>
    </row>
    <row r="330" spans="1:26" ht="18.75" customHeight="1" x14ac:dyDescent="0.35">
      <c r="A330" s="952"/>
      <c r="B330" s="952"/>
      <c r="C330" s="952"/>
      <c r="D330" s="952"/>
      <c r="E330" s="952"/>
      <c r="F330" s="952"/>
      <c r="G330" s="952"/>
      <c r="H330" s="952"/>
      <c r="I330" s="952"/>
      <c r="J330" s="952"/>
      <c r="K330" s="952"/>
      <c r="L330" s="952"/>
      <c r="M330" s="952"/>
      <c r="N330" s="952"/>
      <c r="O330" s="952"/>
      <c r="P330" s="952"/>
      <c r="Q330" s="952"/>
      <c r="R330" s="952"/>
      <c r="S330" s="952"/>
      <c r="T330" s="952"/>
      <c r="U330" s="952"/>
      <c r="V330" s="952"/>
      <c r="W330" s="952"/>
      <c r="X330" s="952"/>
      <c r="Y330" s="952"/>
      <c r="Z330" s="952"/>
    </row>
    <row r="331" spans="1:26" ht="18.75" customHeight="1" x14ac:dyDescent="0.35">
      <c r="A331" s="952"/>
      <c r="B331" s="952"/>
      <c r="C331" s="952"/>
      <c r="D331" s="952"/>
      <c r="E331" s="952"/>
      <c r="F331" s="952"/>
      <c r="G331" s="952"/>
      <c r="H331" s="952"/>
      <c r="I331" s="952"/>
      <c r="J331" s="952"/>
      <c r="K331" s="952"/>
      <c r="L331" s="952"/>
      <c r="M331" s="952"/>
      <c r="N331" s="952"/>
      <c r="O331" s="952"/>
      <c r="P331" s="952"/>
      <c r="Q331" s="952"/>
      <c r="R331" s="952"/>
      <c r="S331" s="952"/>
      <c r="T331" s="952"/>
      <c r="U331" s="952"/>
      <c r="V331" s="952"/>
      <c r="W331" s="952"/>
      <c r="X331" s="952"/>
      <c r="Y331" s="952"/>
      <c r="Z331" s="952"/>
    </row>
    <row r="332" spans="1:26" ht="18.75" customHeight="1" x14ac:dyDescent="0.35">
      <c r="A332" s="952"/>
      <c r="B332" s="952"/>
      <c r="C332" s="952"/>
      <c r="D332" s="952"/>
      <c r="E332" s="952"/>
      <c r="F332" s="952"/>
      <c r="G332" s="952"/>
      <c r="H332" s="952"/>
      <c r="I332" s="952"/>
      <c r="J332" s="952"/>
      <c r="K332" s="952"/>
      <c r="L332" s="952"/>
      <c r="M332" s="952"/>
      <c r="N332" s="952"/>
      <c r="O332" s="952"/>
      <c r="P332" s="952"/>
      <c r="Q332" s="952"/>
      <c r="R332" s="952"/>
      <c r="S332" s="952"/>
      <c r="T332" s="952"/>
      <c r="U332" s="952"/>
      <c r="V332" s="952"/>
      <c r="W332" s="952"/>
      <c r="X332" s="952"/>
      <c r="Y332" s="952"/>
      <c r="Z332" s="952"/>
    </row>
    <row r="333" spans="1:26" ht="18.75" customHeight="1" x14ac:dyDescent="0.35">
      <c r="A333" s="952"/>
      <c r="B333" s="952"/>
      <c r="C333" s="952"/>
      <c r="D333" s="952"/>
      <c r="E333" s="952"/>
      <c r="F333" s="952"/>
      <c r="G333" s="952"/>
      <c r="H333" s="952"/>
      <c r="I333" s="952"/>
      <c r="J333" s="952"/>
      <c r="K333" s="952"/>
      <c r="L333" s="952"/>
      <c r="M333" s="952"/>
      <c r="N333" s="952"/>
      <c r="O333" s="952"/>
      <c r="P333" s="952"/>
      <c r="Q333" s="952"/>
      <c r="R333" s="952"/>
      <c r="S333" s="952"/>
      <c r="T333" s="952"/>
      <c r="U333" s="952"/>
      <c r="V333" s="952"/>
      <c r="W333" s="952"/>
      <c r="X333" s="952"/>
      <c r="Y333" s="952"/>
      <c r="Z333" s="952"/>
    </row>
    <row r="334" spans="1:26" ht="18.75" customHeight="1" x14ac:dyDescent="0.35">
      <c r="A334" s="952"/>
      <c r="B334" s="952"/>
      <c r="C334" s="952"/>
      <c r="D334" s="952"/>
      <c r="E334" s="952"/>
      <c r="F334" s="952"/>
      <c r="G334" s="952"/>
      <c r="H334" s="952"/>
      <c r="I334" s="952"/>
      <c r="J334" s="952"/>
      <c r="K334" s="952"/>
      <c r="L334" s="952"/>
      <c r="M334" s="952"/>
      <c r="N334" s="952"/>
      <c r="O334" s="952"/>
      <c r="P334" s="952"/>
      <c r="Q334" s="952"/>
      <c r="R334" s="952"/>
      <c r="S334" s="952"/>
      <c r="T334" s="952"/>
      <c r="U334" s="952"/>
      <c r="V334" s="952"/>
      <c r="W334" s="952"/>
      <c r="X334" s="952"/>
      <c r="Y334" s="952"/>
      <c r="Z334" s="952"/>
    </row>
    <row r="335" spans="1:26" ht="18.75" customHeight="1" x14ac:dyDescent="0.35">
      <c r="A335" s="952"/>
      <c r="B335" s="952"/>
      <c r="C335" s="952"/>
      <c r="D335" s="952"/>
      <c r="E335" s="952"/>
      <c r="F335" s="952"/>
      <c r="G335" s="952"/>
      <c r="H335" s="952"/>
      <c r="I335" s="952"/>
      <c r="J335" s="952"/>
      <c r="K335" s="952"/>
      <c r="L335" s="952"/>
      <c r="M335" s="952"/>
      <c r="N335" s="952"/>
      <c r="O335" s="952"/>
      <c r="P335" s="952"/>
      <c r="Q335" s="952"/>
      <c r="R335" s="952"/>
      <c r="S335" s="952"/>
      <c r="T335" s="952"/>
      <c r="U335" s="952"/>
      <c r="V335" s="952"/>
      <c r="W335" s="952"/>
      <c r="X335" s="952"/>
      <c r="Y335" s="952"/>
      <c r="Z335" s="952"/>
    </row>
    <row r="336" spans="1:26" ht="18.75" customHeight="1" x14ac:dyDescent="0.35">
      <c r="A336" s="952"/>
      <c r="B336" s="952"/>
      <c r="C336" s="952"/>
      <c r="D336" s="952"/>
      <c r="E336" s="952"/>
      <c r="F336" s="952"/>
      <c r="G336" s="952"/>
      <c r="H336" s="952"/>
      <c r="I336" s="952"/>
      <c r="J336" s="952"/>
      <c r="K336" s="952"/>
      <c r="L336" s="952"/>
      <c r="M336" s="952"/>
      <c r="N336" s="952"/>
      <c r="O336" s="952"/>
      <c r="P336" s="952"/>
      <c r="Q336" s="952"/>
      <c r="R336" s="952"/>
      <c r="S336" s="952"/>
      <c r="T336" s="952"/>
      <c r="U336" s="952"/>
      <c r="V336" s="952"/>
      <c r="W336" s="952"/>
      <c r="X336" s="952"/>
      <c r="Y336" s="952"/>
      <c r="Z336" s="952"/>
    </row>
    <row r="337" spans="1:26" ht="18.75" customHeight="1" x14ac:dyDescent="0.35">
      <c r="A337" s="952"/>
      <c r="B337" s="952"/>
      <c r="C337" s="952"/>
      <c r="D337" s="952"/>
      <c r="E337" s="952"/>
      <c r="F337" s="952"/>
      <c r="G337" s="952"/>
      <c r="H337" s="952"/>
      <c r="I337" s="952"/>
      <c r="J337" s="952"/>
      <c r="K337" s="952"/>
      <c r="L337" s="952"/>
      <c r="M337" s="952"/>
      <c r="N337" s="952"/>
      <c r="O337" s="952"/>
      <c r="P337" s="952"/>
      <c r="Q337" s="952"/>
      <c r="R337" s="952"/>
      <c r="S337" s="952"/>
      <c r="T337" s="952"/>
      <c r="U337" s="952"/>
      <c r="V337" s="952"/>
      <c r="W337" s="952"/>
      <c r="X337" s="952"/>
      <c r="Y337" s="952"/>
      <c r="Z337" s="952"/>
    </row>
    <row r="338" spans="1:26" ht="18.75" customHeight="1" x14ac:dyDescent="0.35">
      <c r="A338" s="952"/>
      <c r="B338" s="952"/>
      <c r="C338" s="952"/>
      <c r="D338" s="952"/>
      <c r="E338" s="952"/>
      <c r="F338" s="952"/>
      <c r="G338" s="952"/>
      <c r="H338" s="952"/>
      <c r="I338" s="952"/>
      <c r="J338" s="952"/>
      <c r="K338" s="952"/>
      <c r="L338" s="952"/>
      <c r="M338" s="952"/>
      <c r="N338" s="952"/>
      <c r="O338" s="952"/>
      <c r="P338" s="952"/>
      <c r="Q338" s="952"/>
      <c r="R338" s="952"/>
      <c r="S338" s="952"/>
      <c r="T338" s="952"/>
      <c r="U338" s="952"/>
      <c r="V338" s="952"/>
      <c r="W338" s="952"/>
      <c r="X338" s="952"/>
      <c r="Y338" s="952"/>
      <c r="Z338" s="952"/>
    </row>
    <row r="339" spans="1:26" ht="18.75" customHeight="1" x14ac:dyDescent="0.35">
      <c r="A339" s="952"/>
      <c r="B339" s="952"/>
      <c r="C339" s="952"/>
      <c r="D339" s="952"/>
      <c r="E339" s="952"/>
      <c r="F339" s="952"/>
      <c r="G339" s="952"/>
      <c r="H339" s="952"/>
      <c r="I339" s="952"/>
      <c r="J339" s="952"/>
      <c r="K339" s="952"/>
      <c r="L339" s="952"/>
      <c r="M339" s="952"/>
      <c r="N339" s="952"/>
      <c r="O339" s="952"/>
      <c r="P339" s="952"/>
      <c r="Q339" s="952"/>
      <c r="R339" s="952"/>
      <c r="S339" s="952"/>
      <c r="T339" s="952"/>
      <c r="U339" s="952"/>
      <c r="V339" s="952"/>
      <c r="W339" s="952"/>
      <c r="X339" s="952"/>
      <c r="Y339" s="952"/>
      <c r="Z339" s="952"/>
    </row>
    <row r="340" spans="1:26" ht="18.75" customHeight="1" x14ac:dyDescent="0.35">
      <c r="A340" s="952"/>
      <c r="B340" s="952"/>
      <c r="C340" s="952"/>
      <c r="D340" s="952"/>
      <c r="E340" s="952"/>
      <c r="F340" s="952"/>
      <c r="G340" s="952"/>
      <c r="H340" s="952"/>
      <c r="I340" s="952"/>
      <c r="J340" s="952"/>
      <c r="K340" s="952"/>
      <c r="L340" s="952"/>
      <c r="M340" s="952"/>
      <c r="N340" s="952"/>
      <c r="O340" s="952"/>
      <c r="P340" s="952"/>
      <c r="Q340" s="952"/>
      <c r="R340" s="952"/>
      <c r="S340" s="952"/>
      <c r="T340" s="952"/>
      <c r="U340" s="952"/>
      <c r="V340" s="952"/>
      <c r="W340" s="952"/>
      <c r="X340" s="952"/>
      <c r="Y340" s="952"/>
      <c r="Z340" s="952"/>
    </row>
    <row r="341" spans="1:26" ht="18.75" customHeight="1" x14ac:dyDescent="0.35">
      <c r="A341" s="952"/>
      <c r="B341" s="952"/>
      <c r="C341" s="952"/>
      <c r="D341" s="952"/>
      <c r="E341" s="952"/>
      <c r="F341" s="952"/>
      <c r="G341" s="952"/>
      <c r="H341" s="952"/>
      <c r="I341" s="952"/>
      <c r="J341" s="952"/>
      <c r="K341" s="952"/>
      <c r="L341" s="952"/>
      <c r="M341" s="952"/>
      <c r="N341" s="952"/>
      <c r="O341" s="952"/>
      <c r="P341" s="952"/>
      <c r="Q341" s="952"/>
      <c r="R341" s="952"/>
      <c r="S341" s="952"/>
      <c r="T341" s="952"/>
      <c r="U341" s="952"/>
      <c r="V341" s="952"/>
      <c r="W341" s="952"/>
      <c r="X341" s="952"/>
      <c r="Y341" s="952"/>
      <c r="Z341" s="952"/>
    </row>
    <row r="342" spans="1:26" ht="18.75" customHeight="1" x14ac:dyDescent="0.35">
      <c r="A342" s="952"/>
      <c r="B342" s="952"/>
      <c r="C342" s="952"/>
      <c r="D342" s="952"/>
      <c r="E342" s="952"/>
      <c r="F342" s="952"/>
      <c r="G342" s="952"/>
      <c r="H342" s="952"/>
      <c r="I342" s="952"/>
      <c r="J342" s="952"/>
      <c r="K342" s="952"/>
      <c r="L342" s="952"/>
      <c r="M342" s="952"/>
      <c r="N342" s="952"/>
      <c r="O342" s="952"/>
      <c r="P342" s="952"/>
      <c r="Q342" s="952"/>
      <c r="R342" s="952"/>
      <c r="S342" s="952"/>
      <c r="T342" s="952"/>
      <c r="U342" s="952"/>
      <c r="V342" s="952"/>
      <c r="W342" s="952"/>
      <c r="X342" s="952"/>
      <c r="Y342" s="952"/>
      <c r="Z342" s="952"/>
    </row>
    <row r="343" spans="1:26" ht="18.75" customHeight="1" x14ac:dyDescent="0.35">
      <c r="A343" s="952"/>
      <c r="B343" s="952"/>
      <c r="C343" s="952"/>
      <c r="D343" s="952"/>
      <c r="E343" s="952"/>
      <c r="F343" s="952"/>
      <c r="G343" s="952"/>
      <c r="H343" s="952"/>
      <c r="I343" s="952"/>
      <c r="J343" s="952"/>
      <c r="K343" s="952"/>
      <c r="L343" s="952"/>
      <c r="M343" s="952"/>
      <c r="N343" s="952"/>
      <c r="O343" s="952"/>
      <c r="P343" s="952"/>
      <c r="Q343" s="952"/>
      <c r="R343" s="952"/>
      <c r="S343" s="952"/>
      <c r="T343" s="952"/>
      <c r="U343" s="952"/>
      <c r="V343" s="952"/>
      <c r="W343" s="952"/>
      <c r="X343" s="952"/>
      <c r="Y343" s="952"/>
      <c r="Z343" s="952"/>
    </row>
    <row r="344" spans="1:26" ht="18.75" customHeight="1" x14ac:dyDescent="0.35">
      <c r="A344" s="952"/>
      <c r="B344" s="952"/>
      <c r="C344" s="952"/>
      <c r="D344" s="952"/>
      <c r="E344" s="952"/>
      <c r="F344" s="952"/>
      <c r="G344" s="952"/>
      <c r="H344" s="952"/>
      <c r="I344" s="952"/>
      <c r="J344" s="952"/>
      <c r="K344" s="952"/>
      <c r="L344" s="952"/>
      <c r="M344" s="952"/>
      <c r="N344" s="952"/>
      <c r="O344" s="952"/>
      <c r="P344" s="952"/>
      <c r="Q344" s="952"/>
      <c r="R344" s="952"/>
      <c r="S344" s="952"/>
      <c r="T344" s="952"/>
      <c r="U344" s="952"/>
      <c r="V344" s="952"/>
      <c r="W344" s="952"/>
      <c r="X344" s="952"/>
      <c r="Y344" s="952"/>
      <c r="Z344" s="952"/>
    </row>
    <row r="345" spans="1:26" ht="18.75" customHeight="1" x14ac:dyDescent="0.35">
      <c r="A345" s="952"/>
      <c r="B345" s="952"/>
      <c r="C345" s="952"/>
      <c r="D345" s="952"/>
      <c r="E345" s="952"/>
      <c r="F345" s="952"/>
      <c r="G345" s="952"/>
      <c r="H345" s="952"/>
      <c r="I345" s="952"/>
      <c r="J345" s="952"/>
      <c r="K345" s="952"/>
      <c r="L345" s="952"/>
      <c r="M345" s="952"/>
      <c r="N345" s="952"/>
      <c r="O345" s="952"/>
      <c r="P345" s="952"/>
      <c r="Q345" s="952"/>
      <c r="R345" s="952"/>
      <c r="S345" s="952"/>
      <c r="T345" s="952"/>
      <c r="U345" s="952"/>
      <c r="V345" s="952"/>
      <c r="W345" s="952"/>
      <c r="X345" s="952"/>
      <c r="Y345" s="952"/>
      <c r="Z345" s="952"/>
    </row>
    <row r="346" spans="1:26" ht="18.75" customHeight="1" x14ac:dyDescent="0.35">
      <c r="A346" s="952"/>
      <c r="B346" s="952"/>
      <c r="C346" s="952"/>
      <c r="D346" s="952"/>
      <c r="E346" s="952"/>
      <c r="F346" s="952"/>
      <c r="G346" s="952"/>
      <c r="H346" s="952"/>
      <c r="I346" s="952"/>
      <c r="J346" s="952"/>
      <c r="K346" s="952"/>
      <c r="L346" s="952"/>
      <c r="M346" s="952"/>
      <c r="N346" s="952"/>
      <c r="O346" s="952"/>
      <c r="P346" s="952"/>
      <c r="Q346" s="952"/>
      <c r="R346" s="952"/>
      <c r="S346" s="952"/>
      <c r="T346" s="952"/>
      <c r="U346" s="952"/>
      <c r="V346" s="952"/>
      <c r="W346" s="952"/>
      <c r="X346" s="952"/>
      <c r="Y346" s="952"/>
      <c r="Z346" s="952"/>
    </row>
    <row r="347" spans="1:26" ht="18.75" customHeight="1" x14ac:dyDescent="0.35">
      <c r="A347" s="952"/>
      <c r="B347" s="952"/>
      <c r="C347" s="952"/>
      <c r="D347" s="952"/>
      <c r="E347" s="952"/>
      <c r="F347" s="952"/>
      <c r="G347" s="952"/>
      <c r="H347" s="952"/>
      <c r="I347" s="952"/>
      <c r="J347" s="952"/>
      <c r="K347" s="952"/>
      <c r="L347" s="952"/>
      <c r="M347" s="952"/>
      <c r="N347" s="952"/>
      <c r="O347" s="952"/>
      <c r="P347" s="952"/>
      <c r="Q347" s="952"/>
      <c r="R347" s="952"/>
      <c r="S347" s="952"/>
      <c r="T347" s="952"/>
      <c r="U347" s="952"/>
      <c r="V347" s="952"/>
      <c r="W347" s="952"/>
      <c r="X347" s="952"/>
      <c r="Y347" s="952"/>
      <c r="Z347" s="952"/>
    </row>
    <row r="348" spans="1:26" ht="18.75" customHeight="1" x14ac:dyDescent="0.35">
      <c r="A348" s="952"/>
      <c r="B348" s="952"/>
      <c r="C348" s="952"/>
      <c r="D348" s="952"/>
      <c r="E348" s="952"/>
      <c r="F348" s="952"/>
      <c r="G348" s="952"/>
      <c r="H348" s="952"/>
      <c r="I348" s="952"/>
      <c r="J348" s="952"/>
      <c r="K348" s="952"/>
      <c r="L348" s="952"/>
      <c r="M348" s="952"/>
      <c r="N348" s="952"/>
      <c r="O348" s="952"/>
      <c r="P348" s="952"/>
      <c r="Q348" s="952"/>
      <c r="R348" s="952"/>
      <c r="S348" s="952"/>
      <c r="T348" s="952"/>
      <c r="U348" s="952"/>
      <c r="V348" s="952"/>
      <c r="W348" s="952"/>
      <c r="X348" s="952"/>
      <c r="Y348" s="952"/>
      <c r="Z348" s="952"/>
    </row>
    <row r="349" spans="1:26" ht="18.75" customHeight="1" x14ac:dyDescent="0.35">
      <c r="A349" s="952"/>
      <c r="B349" s="952"/>
      <c r="C349" s="952"/>
      <c r="D349" s="952"/>
      <c r="E349" s="952"/>
      <c r="F349" s="952"/>
      <c r="G349" s="952"/>
      <c r="H349" s="952"/>
      <c r="I349" s="952"/>
      <c r="J349" s="952"/>
      <c r="K349" s="952"/>
      <c r="L349" s="952"/>
      <c r="M349" s="952"/>
      <c r="N349" s="952"/>
      <c r="O349" s="952"/>
      <c r="P349" s="952"/>
      <c r="Q349" s="952"/>
      <c r="R349" s="952"/>
      <c r="S349" s="952"/>
      <c r="T349" s="952"/>
      <c r="U349" s="952"/>
      <c r="V349" s="952"/>
      <c r="W349" s="952"/>
      <c r="X349" s="952"/>
      <c r="Y349" s="952"/>
      <c r="Z349" s="952"/>
    </row>
    <row r="350" spans="1:26" ht="18.75" customHeight="1" x14ac:dyDescent="0.35">
      <c r="A350" s="952"/>
      <c r="B350" s="952"/>
      <c r="C350" s="952"/>
      <c r="D350" s="952"/>
      <c r="E350" s="952"/>
      <c r="F350" s="952"/>
      <c r="G350" s="952"/>
      <c r="H350" s="952"/>
      <c r="I350" s="952"/>
      <c r="J350" s="952"/>
      <c r="K350" s="952"/>
      <c r="L350" s="952"/>
      <c r="M350" s="952"/>
      <c r="N350" s="952"/>
      <c r="O350" s="952"/>
      <c r="P350" s="952"/>
      <c r="Q350" s="952"/>
      <c r="R350" s="952"/>
      <c r="S350" s="952"/>
      <c r="T350" s="952"/>
      <c r="U350" s="952"/>
      <c r="V350" s="952"/>
      <c r="W350" s="952"/>
      <c r="X350" s="952"/>
      <c r="Y350" s="952"/>
      <c r="Z350" s="952"/>
    </row>
    <row r="351" spans="1:26" ht="18.75" customHeight="1" x14ac:dyDescent="0.35">
      <c r="A351" s="952"/>
      <c r="B351" s="952"/>
      <c r="C351" s="952"/>
      <c r="D351" s="952"/>
      <c r="E351" s="952"/>
      <c r="F351" s="952"/>
      <c r="G351" s="952"/>
      <c r="H351" s="952"/>
      <c r="I351" s="952"/>
      <c r="J351" s="952"/>
      <c r="K351" s="952"/>
      <c r="L351" s="952"/>
      <c r="M351" s="952"/>
      <c r="N351" s="952"/>
      <c r="O351" s="952"/>
      <c r="P351" s="952"/>
      <c r="Q351" s="952"/>
      <c r="R351" s="952"/>
      <c r="S351" s="952"/>
      <c r="T351" s="952"/>
      <c r="U351" s="952"/>
      <c r="V351" s="952"/>
      <c r="W351" s="952"/>
      <c r="X351" s="952"/>
      <c r="Y351" s="952"/>
      <c r="Z351" s="952"/>
    </row>
    <row r="352" spans="1:26" ht="18.75" customHeight="1" x14ac:dyDescent="0.35">
      <c r="A352" s="952"/>
      <c r="B352" s="952"/>
      <c r="C352" s="952"/>
      <c r="D352" s="952"/>
      <c r="E352" s="952"/>
      <c r="F352" s="952"/>
      <c r="G352" s="952"/>
      <c r="H352" s="952"/>
      <c r="I352" s="952"/>
      <c r="J352" s="952"/>
      <c r="K352" s="952"/>
      <c r="L352" s="952"/>
      <c r="M352" s="952"/>
      <c r="N352" s="952"/>
      <c r="O352" s="952"/>
      <c r="P352" s="952"/>
      <c r="Q352" s="952"/>
      <c r="R352" s="952"/>
      <c r="S352" s="952"/>
      <c r="T352" s="952"/>
      <c r="U352" s="952"/>
      <c r="V352" s="952"/>
      <c r="W352" s="952"/>
      <c r="X352" s="952"/>
      <c r="Y352" s="952"/>
      <c r="Z352" s="952"/>
    </row>
    <row r="353" spans="1:26" ht="18.75" customHeight="1" x14ac:dyDescent="0.35">
      <c r="A353" s="952"/>
      <c r="B353" s="952"/>
      <c r="C353" s="952"/>
      <c r="D353" s="952"/>
      <c r="E353" s="952"/>
      <c r="F353" s="952"/>
      <c r="G353" s="952"/>
      <c r="H353" s="952"/>
      <c r="I353" s="952"/>
      <c r="J353" s="952"/>
      <c r="K353" s="952"/>
      <c r="L353" s="952"/>
      <c r="M353" s="952"/>
      <c r="N353" s="952"/>
      <c r="O353" s="952"/>
      <c r="P353" s="952"/>
      <c r="Q353" s="952"/>
      <c r="R353" s="952"/>
      <c r="S353" s="952"/>
      <c r="T353" s="952"/>
      <c r="U353" s="952"/>
      <c r="V353" s="952"/>
      <c r="W353" s="952"/>
      <c r="X353" s="952"/>
      <c r="Y353" s="952"/>
      <c r="Z353" s="952"/>
    </row>
    <row r="354" spans="1:26" ht="18.75" customHeight="1" x14ac:dyDescent="0.35">
      <c r="A354" s="952"/>
      <c r="B354" s="952"/>
      <c r="C354" s="952"/>
      <c r="D354" s="952"/>
      <c r="E354" s="952"/>
      <c r="F354" s="952"/>
      <c r="G354" s="952"/>
      <c r="H354" s="952"/>
      <c r="I354" s="952"/>
      <c r="J354" s="952"/>
      <c r="K354" s="952"/>
      <c r="L354" s="952"/>
      <c r="M354" s="952"/>
      <c r="N354" s="952"/>
      <c r="O354" s="952"/>
      <c r="P354" s="952"/>
      <c r="Q354" s="952"/>
      <c r="R354" s="952"/>
      <c r="S354" s="952"/>
      <c r="T354" s="952"/>
      <c r="U354" s="952"/>
      <c r="V354" s="952"/>
      <c r="W354" s="952"/>
      <c r="X354" s="952"/>
      <c r="Y354" s="952"/>
      <c r="Z354" s="952"/>
    </row>
    <row r="355" spans="1:26" ht="18.75" customHeight="1" x14ac:dyDescent="0.35">
      <c r="A355" s="952"/>
      <c r="B355" s="952"/>
      <c r="C355" s="952"/>
      <c r="D355" s="952"/>
      <c r="E355" s="952"/>
      <c r="F355" s="952"/>
      <c r="G355" s="952"/>
      <c r="H355" s="952"/>
      <c r="I355" s="952"/>
      <c r="J355" s="952"/>
      <c r="K355" s="952"/>
      <c r="L355" s="952"/>
      <c r="M355" s="952"/>
      <c r="N355" s="952"/>
      <c r="O355" s="952"/>
      <c r="P355" s="952"/>
      <c r="Q355" s="952"/>
      <c r="R355" s="952"/>
      <c r="S355" s="952"/>
      <c r="T355" s="952"/>
      <c r="U355" s="952"/>
      <c r="V355" s="952"/>
      <c r="W355" s="952"/>
      <c r="X355" s="952"/>
      <c r="Y355" s="952"/>
      <c r="Z355" s="952"/>
    </row>
    <row r="356" spans="1:26" ht="18.75" customHeight="1" x14ac:dyDescent="0.35">
      <c r="A356" s="952"/>
      <c r="B356" s="952"/>
      <c r="C356" s="952"/>
      <c r="D356" s="952"/>
      <c r="E356" s="952"/>
      <c r="F356" s="952"/>
      <c r="G356" s="952"/>
      <c r="H356" s="952"/>
      <c r="I356" s="952"/>
      <c r="J356" s="952"/>
      <c r="K356" s="952"/>
      <c r="L356" s="952"/>
      <c r="M356" s="952"/>
      <c r="N356" s="952"/>
      <c r="O356" s="952"/>
      <c r="P356" s="952"/>
      <c r="Q356" s="952"/>
      <c r="R356" s="952"/>
      <c r="S356" s="952"/>
      <c r="T356" s="952"/>
      <c r="U356" s="952"/>
      <c r="V356" s="952"/>
      <c r="W356" s="952"/>
      <c r="X356" s="952"/>
      <c r="Y356" s="952"/>
      <c r="Z356" s="952"/>
    </row>
    <row r="357" spans="1:26" ht="18.75" customHeight="1" x14ac:dyDescent="0.35">
      <c r="A357" s="952"/>
      <c r="B357" s="952"/>
      <c r="C357" s="952"/>
      <c r="D357" s="952"/>
      <c r="E357" s="952"/>
      <c r="F357" s="952"/>
      <c r="G357" s="952"/>
      <c r="H357" s="952"/>
      <c r="I357" s="952"/>
      <c r="J357" s="952"/>
      <c r="K357" s="952"/>
      <c r="L357" s="952"/>
      <c r="M357" s="952"/>
      <c r="N357" s="952"/>
      <c r="O357" s="952"/>
      <c r="P357" s="952"/>
      <c r="Q357" s="952"/>
      <c r="R357" s="952"/>
      <c r="S357" s="952"/>
      <c r="T357" s="952"/>
      <c r="U357" s="952"/>
      <c r="V357" s="952"/>
      <c r="W357" s="952"/>
      <c r="X357" s="952"/>
      <c r="Y357" s="952"/>
      <c r="Z357" s="952"/>
    </row>
    <row r="358" spans="1:26" ht="18.75" customHeight="1" x14ac:dyDescent="0.35">
      <c r="A358" s="952"/>
      <c r="B358" s="952"/>
      <c r="C358" s="952"/>
      <c r="D358" s="952"/>
      <c r="E358" s="952"/>
      <c r="F358" s="952"/>
      <c r="G358" s="952"/>
      <c r="H358" s="952"/>
      <c r="I358" s="952"/>
      <c r="J358" s="952"/>
      <c r="K358" s="952"/>
      <c r="L358" s="952"/>
      <c r="M358" s="952"/>
      <c r="N358" s="952"/>
      <c r="O358" s="952"/>
      <c r="P358" s="952"/>
      <c r="Q358" s="952"/>
      <c r="R358" s="952"/>
      <c r="S358" s="952"/>
      <c r="T358" s="952"/>
      <c r="U358" s="952"/>
      <c r="V358" s="952"/>
      <c r="W358" s="952"/>
      <c r="X358" s="952"/>
      <c r="Y358" s="952"/>
      <c r="Z358" s="952"/>
    </row>
    <row r="359" spans="1:26" ht="18.75" customHeight="1" x14ac:dyDescent="0.35">
      <c r="A359" s="952"/>
      <c r="B359" s="952"/>
      <c r="C359" s="952"/>
      <c r="D359" s="952"/>
      <c r="E359" s="952"/>
      <c r="F359" s="952"/>
      <c r="G359" s="952"/>
      <c r="H359" s="952"/>
      <c r="I359" s="952"/>
      <c r="J359" s="952"/>
      <c r="K359" s="952"/>
      <c r="L359" s="952"/>
      <c r="M359" s="952"/>
      <c r="N359" s="952"/>
      <c r="O359" s="952"/>
      <c r="P359" s="952"/>
      <c r="Q359" s="952"/>
      <c r="R359" s="952"/>
      <c r="S359" s="952"/>
      <c r="T359" s="952"/>
      <c r="U359" s="952"/>
      <c r="V359" s="952"/>
      <c r="W359" s="952"/>
      <c r="X359" s="952"/>
      <c r="Y359" s="952"/>
      <c r="Z359" s="952"/>
    </row>
    <row r="360" spans="1:26" ht="18.75" customHeight="1" x14ac:dyDescent="0.35">
      <c r="A360" s="952"/>
      <c r="B360" s="952"/>
      <c r="C360" s="952"/>
      <c r="D360" s="952"/>
      <c r="E360" s="952"/>
      <c r="F360" s="952"/>
      <c r="G360" s="952"/>
      <c r="H360" s="952"/>
      <c r="I360" s="952"/>
      <c r="J360" s="952"/>
      <c r="K360" s="952"/>
      <c r="L360" s="952"/>
      <c r="M360" s="952"/>
      <c r="N360" s="952"/>
      <c r="O360" s="952"/>
      <c r="P360" s="952"/>
      <c r="Q360" s="952"/>
      <c r="R360" s="952"/>
      <c r="S360" s="952"/>
      <c r="T360" s="952"/>
      <c r="U360" s="952"/>
      <c r="V360" s="952"/>
      <c r="W360" s="952"/>
      <c r="X360" s="952"/>
      <c r="Y360" s="952"/>
      <c r="Z360" s="952"/>
    </row>
    <row r="361" spans="1:26" ht="18.75" customHeight="1" x14ac:dyDescent="0.35">
      <c r="A361" s="952"/>
      <c r="B361" s="952"/>
      <c r="C361" s="952"/>
      <c r="D361" s="952"/>
      <c r="E361" s="952"/>
      <c r="F361" s="952"/>
      <c r="G361" s="952"/>
      <c r="H361" s="952"/>
      <c r="I361" s="952"/>
      <c r="J361" s="952"/>
      <c r="K361" s="952"/>
      <c r="L361" s="952"/>
      <c r="M361" s="952"/>
      <c r="N361" s="952"/>
      <c r="O361" s="952"/>
      <c r="P361" s="952"/>
      <c r="Q361" s="952"/>
      <c r="R361" s="952"/>
      <c r="S361" s="952"/>
      <c r="T361" s="952"/>
      <c r="U361" s="952"/>
      <c r="V361" s="952"/>
      <c r="W361" s="952"/>
      <c r="X361" s="952"/>
      <c r="Y361" s="952"/>
      <c r="Z361" s="952"/>
    </row>
    <row r="362" spans="1:26" ht="18.75" customHeight="1" x14ac:dyDescent="0.35">
      <c r="A362" s="952"/>
      <c r="B362" s="952"/>
      <c r="C362" s="952"/>
      <c r="D362" s="952"/>
      <c r="E362" s="952"/>
      <c r="F362" s="952"/>
      <c r="G362" s="952"/>
      <c r="H362" s="952"/>
      <c r="I362" s="952"/>
      <c r="J362" s="952"/>
      <c r="K362" s="952"/>
      <c r="L362" s="952"/>
      <c r="M362" s="952"/>
      <c r="N362" s="952"/>
      <c r="O362" s="952"/>
      <c r="P362" s="952"/>
      <c r="Q362" s="952"/>
      <c r="R362" s="952"/>
      <c r="S362" s="952"/>
      <c r="T362" s="952"/>
      <c r="U362" s="952"/>
      <c r="V362" s="952"/>
      <c r="W362" s="952"/>
      <c r="X362" s="952"/>
      <c r="Y362" s="952"/>
      <c r="Z362" s="952"/>
    </row>
    <row r="363" spans="1:26" ht="18.75" customHeight="1" x14ac:dyDescent="0.35">
      <c r="A363" s="952"/>
      <c r="B363" s="952"/>
      <c r="C363" s="952"/>
      <c r="D363" s="952"/>
      <c r="E363" s="952"/>
      <c r="F363" s="952"/>
      <c r="G363" s="952"/>
      <c r="H363" s="952"/>
      <c r="I363" s="952"/>
      <c r="J363" s="952"/>
      <c r="K363" s="952"/>
      <c r="L363" s="952"/>
      <c r="M363" s="952"/>
      <c r="N363" s="952"/>
      <c r="O363" s="952"/>
      <c r="P363" s="952"/>
      <c r="Q363" s="952"/>
      <c r="R363" s="952"/>
      <c r="S363" s="952"/>
      <c r="T363" s="952"/>
      <c r="U363" s="952"/>
      <c r="V363" s="952"/>
      <c r="W363" s="952"/>
      <c r="X363" s="952"/>
      <c r="Y363" s="952"/>
      <c r="Z363" s="952"/>
    </row>
    <row r="364" spans="1:26" ht="18.75" customHeight="1" x14ac:dyDescent="0.35">
      <c r="A364" s="952"/>
      <c r="B364" s="952"/>
      <c r="C364" s="952"/>
      <c r="D364" s="952"/>
      <c r="E364" s="952"/>
      <c r="F364" s="952"/>
      <c r="G364" s="952"/>
      <c r="H364" s="952"/>
      <c r="I364" s="952"/>
      <c r="J364" s="952"/>
      <c r="K364" s="952"/>
      <c r="L364" s="952"/>
      <c r="M364" s="952"/>
      <c r="N364" s="952"/>
      <c r="O364" s="952"/>
      <c r="P364" s="952"/>
      <c r="Q364" s="952"/>
      <c r="R364" s="952"/>
      <c r="S364" s="952"/>
      <c r="T364" s="952"/>
      <c r="U364" s="952"/>
      <c r="V364" s="952"/>
      <c r="W364" s="952"/>
      <c r="X364" s="952"/>
      <c r="Y364" s="952"/>
      <c r="Z364" s="952"/>
    </row>
    <row r="365" spans="1:26" ht="18.75" customHeight="1" x14ac:dyDescent="0.35">
      <c r="A365" s="952"/>
      <c r="B365" s="952"/>
      <c r="C365" s="952"/>
      <c r="D365" s="952"/>
      <c r="E365" s="952"/>
      <c r="F365" s="952"/>
      <c r="G365" s="952"/>
      <c r="H365" s="952"/>
      <c r="I365" s="952"/>
      <c r="J365" s="952"/>
      <c r="K365" s="952"/>
      <c r="L365" s="952"/>
      <c r="M365" s="952"/>
      <c r="N365" s="952"/>
      <c r="O365" s="952"/>
      <c r="P365" s="952"/>
      <c r="Q365" s="952"/>
      <c r="R365" s="952"/>
      <c r="S365" s="952"/>
      <c r="T365" s="952"/>
      <c r="U365" s="952"/>
      <c r="V365" s="952"/>
      <c r="W365" s="952"/>
      <c r="X365" s="952"/>
      <c r="Y365" s="952"/>
      <c r="Z365" s="952"/>
    </row>
    <row r="366" spans="1:26" ht="18.75" customHeight="1" x14ac:dyDescent="0.35">
      <c r="A366" s="952"/>
      <c r="B366" s="952"/>
      <c r="C366" s="952"/>
      <c r="D366" s="952"/>
      <c r="E366" s="952"/>
      <c r="F366" s="952"/>
      <c r="G366" s="952"/>
      <c r="H366" s="952"/>
      <c r="I366" s="952"/>
      <c r="J366" s="952"/>
      <c r="K366" s="952"/>
      <c r="L366" s="952"/>
      <c r="M366" s="952"/>
      <c r="N366" s="952"/>
      <c r="O366" s="952"/>
      <c r="P366" s="952"/>
      <c r="Q366" s="952"/>
      <c r="R366" s="952"/>
      <c r="S366" s="952"/>
      <c r="T366" s="952"/>
      <c r="U366" s="952"/>
      <c r="V366" s="952"/>
      <c r="W366" s="952"/>
      <c r="X366" s="952"/>
      <c r="Y366" s="952"/>
      <c r="Z366" s="952"/>
    </row>
    <row r="367" spans="1:26" ht="18.75" customHeight="1" x14ac:dyDescent="0.35">
      <c r="A367" s="952"/>
      <c r="B367" s="952"/>
      <c r="C367" s="952"/>
      <c r="D367" s="952"/>
      <c r="E367" s="952"/>
      <c r="F367" s="952"/>
      <c r="G367" s="952"/>
      <c r="H367" s="952"/>
      <c r="I367" s="952"/>
      <c r="J367" s="952"/>
      <c r="K367" s="952"/>
      <c r="L367" s="952"/>
      <c r="M367" s="952"/>
      <c r="N367" s="952"/>
      <c r="O367" s="952"/>
      <c r="P367" s="952"/>
      <c r="Q367" s="952"/>
      <c r="R367" s="952"/>
      <c r="S367" s="952"/>
      <c r="T367" s="952"/>
      <c r="U367" s="952"/>
      <c r="V367" s="952"/>
      <c r="W367" s="952"/>
      <c r="X367" s="952"/>
      <c r="Y367" s="952"/>
      <c r="Z367" s="952"/>
    </row>
    <row r="368" spans="1:26" ht="18.75" customHeight="1" x14ac:dyDescent="0.35">
      <c r="A368" s="952"/>
      <c r="B368" s="952"/>
      <c r="C368" s="952"/>
      <c r="D368" s="952"/>
      <c r="E368" s="952"/>
      <c r="F368" s="952"/>
      <c r="G368" s="952"/>
      <c r="H368" s="952"/>
      <c r="I368" s="952"/>
      <c r="J368" s="952"/>
      <c r="K368" s="952"/>
      <c r="L368" s="952"/>
      <c r="M368" s="952"/>
      <c r="N368" s="952"/>
      <c r="O368" s="952"/>
      <c r="P368" s="952"/>
      <c r="Q368" s="952"/>
      <c r="R368" s="952"/>
      <c r="S368" s="952"/>
      <c r="T368" s="952"/>
      <c r="U368" s="952"/>
      <c r="V368" s="952"/>
      <c r="W368" s="952"/>
      <c r="X368" s="952"/>
      <c r="Y368" s="952"/>
      <c r="Z368" s="952"/>
    </row>
    <row r="369" spans="1:26" ht="18.75" customHeight="1" x14ac:dyDescent="0.35">
      <c r="A369" s="952"/>
      <c r="B369" s="952"/>
      <c r="C369" s="952"/>
      <c r="D369" s="952"/>
      <c r="E369" s="952"/>
      <c r="F369" s="952"/>
      <c r="G369" s="952"/>
      <c r="H369" s="952"/>
      <c r="I369" s="952"/>
      <c r="J369" s="952"/>
      <c r="K369" s="952"/>
      <c r="L369" s="952"/>
      <c r="M369" s="952"/>
      <c r="N369" s="952"/>
      <c r="O369" s="952"/>
      <c r="P369" s="952"/>
      <c r="Q369" s="952"/>
      <c r="R369" s="952"/>
      <c r="S369" s="952"/>
      <c r="T369" s="952"/>
      <c r="U369" s="952"/>
      <c r="V369" s="952"/>
      <c r="W369" s="952"/>
      <c r="X369" s="952"/>
      <c r="Y369" s="952"/>
      <c r="Z369" s="952"/>
    </row>
    <row r="370" spans="1:26" ht="18.75" customHeight="1" x14ac:dyDescent="0.35">
      <c r="A370" s="952"/>
      <c r="B370" s="952"/>
      <c r="C370" s="952"/>
      <c r="D370" s="952"/>
      <c r="E370" s="952"/>
      <c r="F370" s="952"/>
      <c r="G370" s="952"/>
      <c r="H370" s="952"/>
      <c r="I370" s="952"/>
      <c r="J370" s="952"/>
      <c r="K370" s="952"/>
      <c r="L370" s="952"/>
      <c r="M370" s="952"/>
      <c r="N370" s="952"/>
      <c r="O370" s="952"/>
      <c r="P370" s="952"/>
      <c r="Q370" s="952"/>
      <c r="R370" s="952"/>
      <c r="S370" s="952"/>
      <c r="T370" s="952"/>
      <c r="U370" s="952"/>
      <c r="V370" s="952"/>
      <c r="W370" s="952"/>
      <c r="X370" s="952"/>
      <c r="Y370" s="952"/>
      <c r="Z370" s="952"/>
    </row>
    <row r="371" spans="1:26" ht="18.75" customHeight="1" x14ac:dyDescent="0.35">
      <c r="A371" s="952"/>
      <c r="B371" s="952"/>
      <c r="C371" s="952"/>
      <c r="D371" s="952"/>
      <c r="E371" s="952"/>
      <c r="F371" s="952"/>
      <c r="G371" s="952"/>
      <c r="H371" s="952"/>
      <c r="I371" s="952"/>
      <c r="J371" s="952"/>
      <c r="K371" s="952"/>
      <c r="L371" s="952"/>
      <c r="M371" s="952"/>
      <c r="N371" s="952"/>
      <c r="O371" s="952"/>
      <c r="P371" s="952"/>
      <c r="Q371" s="952"/>
      <c r="R371" s="952"/>
      <c r="S371" s="952"/>
      <c r="T371" s="952"/>
      <c r="U371" s="952"/>
      <c r="V371" s="952"/>
      <c r="W371" s="952"/>
      <c r="X371" s="952"/>
      <c r="Y371" s="952"/>
      <c r="Z371" s="952"/>
    </row>
    <row r="372" spans="1:26" ht="18.75" customHeight="1" x14ac:dyDescent="0.35">
      <c r="A372" s="952"/>
      <c r="B372" s="952"/>
      <c r="C372" s="952"/>
      <c r="D372" s="952"/>
      <c r="E372" s="952"/>
      <c r="F372" s="952"/>
      <c r="G372" s="952"/>
      <c r="H372" s="952"/>
      <c r="I372" s="952"/>
      <c r="J372" s="952"/>
      <c r="K372" s="952"/>
      <c r="L372" s="952"/>
      <c r="M372" s="952"/>
      <c r="N372" s="952"/>
      <c r="O372" s="952"/>
      <c r="P372" s="952"/>
      <c r="Q372" s="952"/>
      <c r="R372" s="952"/>
      <c r="S372" s="952"/>
      <c r="T372" s="952"/>
      <c r="U372" s="952"/>
      <c r="V372" s="952"/>
      <c r="W372" s="952"/>
      <c r="X372" s="952"/>
      <c r="Y372" s="952"/>
      <c r="Z372" s="952"/>
    </row>
    <row r="373" spans="1:26" ht="18.75" customHeight="1" x14ac:dyDescent="0.35">
      <c r="A373" s="952"/>
      <c r="B373" s="952"/>
      <c r="C373" s="952"/>
      <c r="D373" s="952"/>
      <c r="E373" s="952"/>
      <c r="F373" s="952"/>
      <c r="G373" s="952"/>
      <c r="H373" s="952"/>
      <c r="I373" s="952"/>
      <c r="J373" s="952"/>
      <c r="K373" s="952"/>
      <c r="L373" s="952"/>
      <c r="M373" s="952"/>
      <c r="N373" s="952"/>
      <c r="O373" s="952"/>
      <c r="P373" s="952"/>
      <c r="Q373" s="952"/>
      <c r="R373" s="952"/>
      <c r="S373" s="952"/>
      <c r="T373" s="952"/>
      <c r="U373" s="952"/>
      <c r="V373" s="952"/>
      <c r="W373" s="952"/>
      <c r="X373" s="952"/>
      <c r="Y373" s="952"/>
      <c r="Z373" s="952"/>
    </row>
    <row r="374" spans="1:26" ht="18.75" customHeight="1" x14ac:dyDescent="0.35">
      <c r="A374" s="952"/>
      <c r="B374" s="952"/>
      <c r="C374" s="952"/>
      <c r="D374" s="952"/>
      <c r="E374" s="952"/>
      <c r="F374" s="952"/>
      <c r="G374" s="952"/>
      <c r="H374" s="952"/>
      <c r="I374" s="952"/>
      <c r="J374" s="952"/>
      <c r="K374" s="952"/>
      <c r="L374" s="952"/>
      <c r="M374" s="952"/>
      <c r="N374" s="952"/>
      <c r="O374" s="952"/>
      <c r="P374" s="952"/>
      <c r="Q374" s="952"/>
      <c r="R374" s="952"/>
      <c r="S374" s="952"/>
      <c r="T374" s="952"/>
      <c r="U374" s="952"/>
      <c r="V374" s="952"/>
      <c r="W374" s="952"/>
      <c r="X374" s="952"/>
      <c r="Y374" s="952"/>
      <c r="Z374" s="952"/>
    </row>
    <row r="375" spans="1:26" ht="18.75" customHeight="1" x14ac:dyDescent="0.35">
      <c r="A375" s="952"/>
      <c r="B375" s="952"/>
      <c r="C375" s="952"/>
      <c r="D375" s="952"/>
      <c r="E375" s="952"/>
      <c r="F375" s="952"/>
      <c r="G375" s="952"/>
      <c r="H375" s="952"/>
      <c r="I375" s="952"/>
      <c r="J375" s="952"/>
      <c r="K375" s="952"/>
      <c r="L375" s="952"/>
      <c r="M375" s="952"/>
      <c r="N375" s="952"/>
      <c r="O375" s="952"/>
      <c r="P375" s="952"/>
      <c r="Q375" s="952"/>
      <c r="R375" s="952"/>
      <c r="S375" s="952"/>
      <c r="T375" s="952"/>
      <c r="U375" s="952"/>
      <c r="V375" s="952"/>
      <c r="W375" s="952"/>
      <c r="X375" s="952"/>
      <c r="Y375" s="952"/>
      <c r="Z375" s="952"/>
    </row>
    <row r="376" spans="1:26" ht="18.75" customHeight="1" x14ac:dyDescent="0.35">
      <c r="A376" s="952"/>
      <c r="B376" s="952"/>
      <c r="C376" s="952"/>
      <c r="D376" s="952"/>
      <c r="E376" s="952"/>
      <c r="F376" s="952"/>
      <c r="G376" s="952"/>
      <c r="H376" s="952"/>
      <c r="I376" s="952"/>
      <c r="J376" s="952"/>
      <c r="K376" s="952"/>
      <c r="L376" s="952"/>
      <c r="M376" s="952"/>
      <c r="N376" s="952"/>
      <c r="O376" s="952"/>
      <c r="P376" s="952"/>
      <c r="Q376" s="952"/>
      <c r="R376" s="952"/>
      <c r="S376" s="952"/>
      <c r="T376" s="952"/>
      <c r="U376" s="952"/>
      <c r="V376" s="952"/>
      <c r="W376" s="952"/>
      <c r="X376" s="952"/>
      <c r="Y376" s="952"/>
      <c r="Z376" s="952"/>
    </row>
    <row r="377" spans="1:26" ht="18.75" customHeight="1" x14ac:dyDescent="0.35">
      <c r="A377" s="952"/>
      <c r="B377" s="952"/>
      <c r="C377" s="952"/>
      <c r="D377" s="952"/>
      <c r="E377" s="952"/>
      <c r="F377" s="952"/>
      <c r="G377" s="952"/>
      <c r="H377" s="952"/>
      <c r="I377" s="952"/>
      <c r="J377" s="952"/>
      <c r="K377" s="952"/>
      <c r="L377" s="952"/>
      <c r="M377" s="952"/>
      <c r="N377" s="952"/>
      <c r="O377" s="952"/>
      <c r="P377" s="952"/>
      <c r="Q377" s="952"/>
      <c r="R377" s="952"/>
      <c r="S377" s="952"/>
      <c r="T377" s="952"/>
      <c r="U377" s="952"/>
      <c r="V377" s="952"/>
      <c r="W377" s="952"/>
      <c r="X377" s="952"/>
      <c r="Y377" s="952"/>
      <c r="Z377" s="952"/>
    </row>
    <row r="378" spans="1:26" ht="18.75" customHeight="1" x14ac:dyDescent="0.35">
      <c r="A378" s="952"/>
      <c r="B378" s="952"/>
      <c r="C378" s="952"/>
      <c r="D378" s="952"/>
      <c r="E378" s="952"/>
      <c r="F378" s="952"/>
      <c r="G378" s="952"/>
      <c r="H378" s="952"/>
      <c r="I378" s="952"/>
      <c r="J378" s="952"/>
      <c r="K378" s="952"/>
      <c r="L378" s="952"/>
      <c r="M378" s="952"/>
      <c r="N378" s="952"/>
      <c r="O378" s="952"/>
      <c r="P378" s="952"/>
      <c r="Q378" s="952"/>
      <c r="R378" s="952"/>
      <c r="S378" s="952"/>
      <c r="T378" s="952"/>
      <c r="U378" s="952"/>
      <c r="V378" s="952"/>
      <c r="W378" s="952"/>
      <c r="X378" s="952"/>
      <c r="Y378" s="952"/>
      <c r="Z378" s="952"/>
    </row>
    <row r="379" spans="1:26" ht="18.75" customHeight="1" x14ac:dyDescent="0.35">
      <c r="A379" s="952"/>
      <c r="B379" s="952"/>
      <c r="C379" s="952"/>
      <c r="D379" s="952"/>
      <c r="E379" s="952"/>
      <c r="F379" s="952"/>
      <c r="G379" s="952"/>
      <c r="H379" s="952"/>
      <c r="I379" s="952"/>
      <c r="J379" s="952"/>
      <c r="K379" s="952"/>
      <c r="L379" s="952"/>
      <c r="M379" s="952"/>
      <c r="N379" s="952"/>
      <c r="O379" s="952"/>
      <c r="P379" s="952"/>
      <c r="Q379" s="952"/>
      <c r="R379" s="952"/>
      <c r="S379" s="952"/>
      <c r="T379" s="952"/>
      <c r="U379" s="952"/>
      <c r="V379" s="952"/>
      <c r="W379" s="952"/>
      <c r="X379" s="952"/>
      <c r="Y379" s="952"/>
      <c r="Z379" s="952"/>
    </row>
    <row r="380" spans="1:26" ht="18.75" customHeight="1" x14ac:dyDescent="0.35">
      <c r="A380" s="952"/>
      <c r="B380" s="952"/>
      <c r="C380" s="952"/>
      <c r="D380" s="952"/>
      <c r="E380" s="952"/>
      <c r="F380" s="952"/>
      <c r="G380" s="952"/>
      <c r="H380" s="952"/>
      <c r="I380" s="952"/>
      <c r="J380" s="952"/>
      <c r="K380" s="952"/>
      <c r="L380" s="952"/>
      <c r="M380" s="952"/>
      <c r="N380" s="952"/>
      <c r="O380" s="952"/>
      <c r="P380" s="952"/>
      <c r="Q380" s="952"/>
      <c r="R380" s="952"/>
      <c r="S380" s="952"/>
      <c r="T380" s="952"/>
      <c r="U380" s="952"/>
      <c r="V380" s="952"/>
      <c r="W380" s="952"/>
      <c r="X380" s="952"/>
      <c r="Y380" s="952"/>
      <c r="Z380" s="952"/>
    </row>
    <row r="381" spans="1:26" ht="18.75" customHeight="1" x14ac:dyDescent="0.35">
      <c r="A381" s="952"/>
      <c r="B381" s="952"/>
      <c r="C381" s="952"/>
      <c r="D381" s="952"/>
      <c r="E381" s="952"/>
      <c r="F381" s="952"/>
      <c r="G381" s="952"/>
      <c r="H381" s="952"/>
      <c r="I381" s="952"/>
      <c r="J381" s="952"/>
      <c r="K381" s="952"/>
      <c r="L381" s="952"/>
      <c r="M381" s="952"/>
      <c r="N381" s="952"/>
      <c r="O381" s="952"/>
      <c r="P381" s="952"/>
      <c r="Q381" s="952"/>
      <c r="R381" s="952"/>
      <c r="S381" s="952"/>
      <c r="T381" s="952"/>
      <c r="U381" s="952"/>
      <c r="V381" s="952"/>
      <c r="W381" s="952"/>
      <c r="X381" s="952"/>
      <c r="Y381" s="952"/>
      <c r="Z381" s="952"/>
    </row>
    <row r="382" spans="1:26" ht="18.75" customHeight="1" x14ac:dyDescent="0.35">
      <c r="A382" s="952"/>
      <c r="B382" s="952"/>
      <c r="C382" s="952"/>
      <c r="D382" s="952"/>
      <c r="E382" s="952"/>
      <c r="F382" s="952"/>
      <c r="G382" s="952"/>
      <c r="H382" s="952"/>
      <c r="I382" s="952"/>
      <c r="J382" s="952"/>
      <c r="K382" s="952"/>
      <c r="L382" s="952"/>
      <c r="M382" s="952"/>
      <c r="N382" s="952"/>
      <c r="O382" s="952"/>
      <c r="P382" s="952"/>
      <c r="Q382" s="952"/>
      <c r="R382" s="952"/>
      <c r="S382" s="952"/>
      <c r="T382" s="952"/>
      <c r="U382" s="952"/>
      <c r="V382" s="952"/>
      <c r="W382" s="952"/>
      <c r="X382" s="952"/>
      <c r="Y382" s="952"/>
      <c r="Z382" s="952"/>
    </row>
    <row r="383" spans="1:26" ht="18.75" customHeight="1" x14ac:dyDescent="0.35">
      <c r="A383" s="952"/>
      <c r="B383" s="952"/>
      <c r="C383" s="952"/>
      <c r="D383" s="952"/>
      <c r="E383" s="952"/>
      <c r="F383" s="952"/>
      <c r="G383" s="952"/>
      <c r="H383" s="952"/>
      <c r="I383" s="952"/>
      <c r="J383" s="952"/>
      <c r="K383" s="952"/>
      <c r="L383" s="952"/>
      <c r="M383" s="952"/>
      <c r="N383" s="952"/>
      <c r="O383" s="952"/>
      <c r="P383" s="952"/>
      <c r="Q383" s="952"/>
      <c r="R383" s="952"/>
      <c r="S383" s="952"/>
      <c r="T383" s="952"/>
      <c r="U383" s="952"/>
      <c r="V383" s="952"/>
      <c r="W383" s="952"/>
      <c r="X383" s="952"/>
      <c r="Y383" s="952"/>
      <c r="Z383" s="952"/>
    </row>
    <row r="384" spans="1:26" ht="18.75" customHeight="1" x14ac:dyDescent="0.35">
      <c r="A384" s="952"/>
      <c r="B384" s="952"/>
      <c r="C384" s="952"/>
      <c r="D384" s="952"/>
      <c r="E384" s="952"/>
      <c r="F384" s="952"/>
      <c r="G384" s="952"/>
      <c r="H384" s="952"/>
      <c r="I384" s="952"/>
      <c r="J384" s="952"/>
      <c r="K384" s="952"/>
      <c r="L384" s="952"/>
      <c r="M384" s="952"/>
      <c r="N384" s="952"/>
      <c r="O384" s="952"/>
      <c r="P384" s="952"/>
      <c r="Q384" s="952"/>
      <c r="R384" s="952"/>
      <c r="S384" s="952"/>
      <c r="T384" s="952"/>
      <c r="U384" s="952"/>
      <c r="V384" s="952"/>
      <c r="W384" s="952"/>
      <c r="X384" s="952"/>
      <c r="Y384" s="952"/>
      <c r="Z384" s="952"/>
    </row>
    <row r="385" spans="1:26" ht="18.75" customHeight="1" x14ac:dyDescent="0.35">
      <c r="A385" s="952"/>
      <c r="B385" s="952"/>
      <c r="C385" s="952"/>
      <c r="D385" s="952"/>
      <c r="E385" s="952"/>
      <c r="F385" s="952"/>
      <c r="G385" s="952"/>
      <c r="H385" s="952"/>
      <c r="I385" s="952"/>
      <c r="J385" s="952"/>
      <c r="K385" s="952"/>
      <c r="L385" s="952"/>
      <c r="M385" s="952"/>
      <c r="N385" s="952"/>
      <c r="O385" s="952"/>
      <c r="P385" s="952"/>
      <c r="Q385" s="952"/>
      <c r="R385" s="952"/>
      <c r="S385" s="952"/>
      <c r="T385" s="952"/>
      <c r="U385" s="952"/>
      <c r="V385" s="952"/>
      <c r="W385" s="952"/>
      <c r="X385" s="952"/>
      <c r="Y385" s="952"/>
      <c r="Z385" s="952"/>
    </row>
    <row r="386" spans="1:26" ht="18.75" customHeight="1" x14ac:dyDescent="0.35">
      <c r="A386" s="952"/>
      <c r="B386" s="952"/>
      <c r="C386" s="952"/>
      <c r="D386" s="952"/>
      <c r="E386" s="952"/>
      <c r="F386" s="952"/>
      <c r="G386" s="952"/>
      <c r="H386" s="952"/>
      <c r="I386" s="952"/>
      <c r="J386" s="952"/>
      <c r="K386" s="952"/>
      <c r="L386" s="952"/>
      <c r="M386" s="952"/>
      <c r="N386" s="952"/>
      <c r="O386" s="952"/>
      <c r="P386" s="952"/>
      <c r="Q386" s="952"/>
      <c r="R386" s="952"/>
      <c r="S386" s="952"/>
      <c r="T386" s="952"/>
      <c r="U386" s="952"/>
      <c r="V386" s="952"/>
      <c r="W386" s="952"/>
      <c r="X386" s="952"/>
      <c r="Y386" s="952"/>
      <c r="Z386" s="952"/>
    </row>
    <row r="387" spans="1:26" ht="18.75" customHeight="1" x14ac:dyDescent="0.35">
      <c r="A387" s="952"/>
      <c r="B387" s="952"/>
      <c r="C387" s="952"/>
      <c r="D387" s="952"/>
      <c r="E387" s="952"/>
      <c r="F387" s="952"/>
      <c r="G387" s="952"/>
      <c r="H387" s="952"/>
      <c r="I387" s="952"/>
      <c r="J387" s="952"/>
      <c r="K387" s="952"/>
      <c r="L387" s="952"/>
      <c r="M387" s="952"/>
      <c r="N387" s="952"/>
      <c r="O387" s="952"/>
      <c r="P387" s="952"/>
      <c r="Q387" s="952"/>
      <c r="R387" s="952"/>
      <c r="S387" s="952"/>
      <c r="T387" s="952"/>
      <c r="U387" s="952"/>
      <c r="V387" s="952"/>
      <c r="W387" s="952"/>
      <c r="X387" s="952"/>
      <c r="Y387" s="952"/>
      <c r="Z387" s="952"/>
    </row>
    <row r="388" spans="1:26" ht="18.75" customHeight="1" x14ac:dyDescent="0.35">
      <c r="A388" s="952"/>
      <c r="B388" s="952"/>
      <c r="C388" s="952"/>
      <c r="D388" s="952"/>
      <c r="E388" s="952"/>
      <c r="F388" s="952"/>
      <c r="G388" s="952"/>
      <c r="H388" s="952"/>
      <c r="I388" s="952"/>
      <c r="J388" s="952"/>
      <c r="K388" s="952"/>
      <c r="L388" s="952"/>
      <c r="M388" s="952"/>
      <c r="N388" s="952"/>
      <c r="O388" s="952"/>
      <c r="P388" s="952"/>
      <c r="Q388" s="952"/>
      <c r="R388" s="952"/>
      <c r="S388" s="952"/>
      <c r="T388" s="952"/>
      <c r="U388" s="952"/>
      <c r="V388" s="952"/>
      <c r="W388" s="952"/>
      <c r="X388" s="952"/>
      <c r="Y388" s="952"/>
      <c r="Z388" s="952"/>
    </row>
    <row r="389" spans="1:26" ht="18.75" customHeight="1" x14ac:dyDescent="0.35">
      <c r="A389" s="952"/>
      <c r="B389" s="952"/>
      <c r="C389" s="952"/>
      <c r="D389" s="952"/>
      <c r="E389" s="952"/>
      <c r="F389" s="952"/>
      <c r="G389" s="952"/>
      <c r="H389" s="952"/>
      <c r="I389" s="952"/>
      <c r="J389" s="952"/>
      <c r="K389" s="952"/>
      <c r="L389" s="952"/>
      <c r="M389" s="952"/>
      <c r="N389" s="952"/>
      <c r="O389" s="952"/>
      <c r="P389" s="952"/>
      <c r="Q389" s="952"/>
      <c r="R389" s="952"/>
      <c r="S389" s="952"/>
      <c r="T389" s="952"/>
      <c r="U389" s="952"/>
      <c r="V389" s="952"/>
      <c r="W389" s="952"/>
      <c r="X389" s="952"/>
      <c r="Y389" s="952"/>
      <c r="Z389" s="952"/>
    </row>
    <row r="390" spans="1:26" ht="18.75" customHeight="1" x14ac:dyDescent="0.35">
      <c r="A390" s="952"/>
      <c r="B390" s="952"/>
      <c r="C390" s="952"/>
      <c r="D390" s="952"/>
      <c r="E390" s="952"/>
      <c r="F390" s="952"/>
      <c r="G390" s="952"/>
      <c r="H390" s="952"/>
      <c r="I390" s="952"/>
      <c r="J390" s="952"/>
      <c r="K390" s="952"/>
      <c r="L390" s="952"/>
      <c r="M390" s="952"/>
      <c r="N390" s="952"/>
      <c r="O390" s="952"/>
      <c r="P390" s="952"/>
      <c r="Q390" s="952"/>
      <c r="R390" s="952"/>
      <c r="S390" s="952"/>
      <c r="T390" s="952"/>
      <c r="U390" s="952"/>
      <c r="V390" s="952"/>
      <c r="W390" s="952"/>
      <c r="X390" s="952"/>
      <c r="Y390" s="952"/>
      <c r="Z390" s="952"/>
    </row>
    <row r="391" spans="1:26" ht="18.75" customHeight="1" x14ac:dyDescent="0.35">
      <c r="A391" s="952"/>
      <c r="B391" s="952"/>
      <c r="C391" s="952"/>
      <c r="D391" s="952"/>
      <c r="E391" s="952"/>
      <c r="F391" s="952"/>
      <c r="G391" s="952"/>
      <c r="H391" s="952"/>
      <c r="I391" s="952"/>
      <c r="J391" s="952"/>
      <c r="K391" s="952"/>
      <c r="L391" s="952"/>
      <c r="M391" s="952"/>
      <c r="N391" s="952"/>
      <c r="O391" s="952"/>
      <c r="P391" s="952"/>
      <c r="Q391" s="952"/>
      <c r="R391" s="952"/>
      <c r="S391" s="952"/>
      <c r="T391" s="952"/>
      <c r="U391" s="952"/>
      <c r="V391" s="952"/>
      <c r="W391" s="952"/>
      <c r="X391" s="952"/>
      <c r="Y391" s="952"/>
      <c r="Z391" s="952"/>
    </row>
    <row r="392" spans="1:26" ht="18.75" customHeight="1" x14ac:dyDescent="0.35">
      <c r="A392" s="952"/>
      <c r="B392" s="952"/>
      <c r="C392" s="952"/>
      <c r="D392" s="952"/>
      <c r="E392" s="952"/>
      <c r="F392" s="952"/>
      <c r="G392" s="952"/>
      <c r="H392" s="952"/>
      <c r="I392" s="952"/>
      <c r="J392" s="952"/>
      <c r="K392" s="952"/>
      <c r="L392" s="952"/>
      <c r="M392" s="952"/>
      <c r="N392" s="952"/>
      <c r="O392" s="952"/>
      <c r="P392" s="952"/>
      <c r="Q392" s="952"/>
      <c r="R392" s="952"/>
      <c r="S392" s="952"/>
      <c r="T392" s="952"/>
      <c r="U392" s="952"/>
      <c r="V392" s="952"/>
      <c r="W392" s="952"/>
      <c r="X392" s="952"/>
      <c r="Y392" s="952"/>
      <c r="Z392" s="952"/>
    </row>
    <row r="393" spans="1:26" ht="18.75" customHeight="1" x14ac:dyDescent="0.35">
      <c r="A393" s="952"/>
      <c r="B393" s="952"/>
      <c r="C393" s="952"/>
      <c r="D393" s="952"/>
      <c r="E393" s="952"/>
      <c r="F393" s="952"/>
      <c r="G393" s="952"/>
      <c r="H393" s="952"/>
      <c r="I393" s="952"/>
      <c r="J393" s="952"/>
      <c r="K393" s="952"/>
      <c r="L393" s="952"/>
      <c r="M393" s="952"/>
      <c r="N393" s="952"/>
      <c r="O393" s="952"/>
      <c r="P393" s="952"/>
      <c r="Q393" s="952"/>
      <c r="R393" s="952"/>
      <c r="S393" s="952"/>
      <c r="T393" s="952"/>
      <c r="U393" s="952"/>
      <c r="V393" s="952"/>
      <c r="W393" s="952"/>
      <c r="X393" s="952"/>
      <c r="Y393" s="952"/>
      <c r="Z393" s="952"/>
    </row>
    <row r="394" spans="1:26" ht="18.75" customHeight="1" x14ac:dyDescent="0.35">
      <c r="A394" s="952"/>
      <c r="B394" s="952"/>
      <c r="C394" s="952"/>
      <c r="D394" s="952"/>
      <c r="E394" s="952"/>
      <c r="F394" s="952"/>
      <c r="G394" s="952"/>
      <c r="H394" s="952"/>
      <c r="I394" s="952"/>
      <c r="J394" s="952"/>
      <c r="K394" s="952"/>
      <c r="L394" s="952"/>
      <c r="M394" s="952"/>
      <c r="N394" s="952"/>
      <c r="O394" s="952"/>
      <c r="P394" s="952"/>
      <c r="Q394" s="952"/>
      <c r="R394" s="952"/>
      <c r="S394" s="952"/>
      <c r="T394" s="952"/>
      <c r="U394" s="952"/>
      <c r="V394" s="952"/>
      <c r="W394" s="952"/>
      <c r="X394" s="952"/>
      <c r="Y394" s="952"/>
      <c r="Z394" s="952"/>
    </row>
    <row r="395" spans="1:26" ht="18.75" customHeight="1" x14ac:dyDescent="0.35">
      <c r="A395" s="952"/>
      <c r="B395" s="952"/>
      <c r="C395" s="952"/>
      <c r="D395" s="952"/>
      <c r="E395" s="952"/>
      <c r="F395" s="952"/>
      <c r="G395" s="952"/>
      <c r="H395" s="952"/>
      <c r="I395" s="952"/>
      <c r="J395" s="952"/>
      <c r="K395" s="952"/>
      <c r="L395" s="952"/>
      <c r="M395" s="952"/>
      <c r="N395" s="952"/>
      <c r="O395" s="952"/>
      <c r="P395" s="952"/>
      <c r="Q395" s="952"/>
      <c r="R395" s="952"/>
      <c r="S395" s="952"/>
      <c r="T395" s="952"/>
      <c r="U395" s="952"/>
      <c r="V395" s="952"/>
      <c r="W395" s="952"/>
      <c r="X395" s="952"/>
      <c r="Y395" s="952"/>
      <c r="Z395" s="952"/>
    </row>
    <row r="396" spans="1:26" ht="18.75" customHeight="1" x14ac:dyDescent="0.35">
      <c r="A396" s="952"/>
      <c r="B396" s="952"/>
      <c r="C396" s="952"/>
      <c r="D396" s="952"/>
      <c r="E396" s="952"/>
      <c r="F396" s="952"/>
      <c r="G396" s="952"/>
      <c r="H396" s="952"/>
      <c r="I396" s="952"/>
      <c r="J396" s="952"/>
      <c r="K396" s="952"/>
      <c r="L396" s="952"/>
      <c r="M396" s="952"/>
      <c r="N396" s="952"/>
      <c r="O396" s="952"/>
      <c r="P396" s="952"/>
      <c r="Q396" s="952"/>
      <c r="R396" s="952"/>
      <c r="S396" s="952"/>
      <c r="T396" s="952"/>
      <c r="U396" s="952"/>
      <c r="V396" s="952"/>
      <c r="W396" s="952"/>
      <c r="X396" s="952"/>
      <c r="Y396" s="952"/>
      <c r="Z396" s="952"/>
    </row>
    <row r="397" spans="1:26" ht="18.75" customHeight="1" x14ac:dyDescent="0.35">
      <c r="A397" s="952"/>
      <c r="B397" s="952"/>
      <c r="C397" s="952"/>
      <c r="D397" s="952"/>
      <c r="E397" s="952"/>
      <c r="F397" s="952"/>
      <c r="G397" s="952"/>
      <c r="H397" s="952"/>
      <c r="I397" s="952"/>
      <c r="J397" s="952"/>
      <c r="K397" s="952"/>
      <c r="L397" s="952"/>
      <c r="M397" s="952"/>
      <c r="N397" s="952"/>
      <c r="O397" s="952"/>
      <c r="P397" s="952"/>
      <c r="Q397" s="952"/>
      <c r="R397" s="952"/>
      <c r="S397" s="952"/>
      <c r="T397" s="952"/>
      <c r="U397" s="952"/>
      <c r="V397" s="952"/>
      <c r="W397" s="952"/>
      <c r="X397" s="952"/>
      <c r="Y397" s="952"/>
      <c r="Z397" s="952"/>
    </row>
    <row r="398" spans="1:26" ht="18.75" customHeight="1" x14ac:dyDescent="0.35">
      <c r="A398" s="952"/>
      <c r="B398" s="952"/>
      <c r="C398" s="952"/>
      <c r="D398" s="952"/>
      <c r="E398" s="952"/>
      <c r="F398" s="952"/>
      <c r="G398" s="952"/>
      <c r="H398" s="952"/>
      <c r="I398" s="952"/>
      <c r="J398" s="952"/>
      <c r="K398" s="952"/>
      <c r="L398" s="952"/>
      <c r="M398" s="952"/>
      <c r="N398" s="952"/>
      <c r="O398" s="952"/>
      <c r="P398" s="952"/>
      <c r="Q398" s="952"/>
      <c r="R398" s="952"/>
      <c r="S398" s="952"/>
      <c r="T398" s="952"/>
      <c r="U398" s="952"/>
      <c r="V398" s="952"/>
      <c r="W398" s="952"/>
      <c r="X398" s="952"/>
      <c r="Y398" s="952"/>
      <c r="Z398" s="952"/>
    </row>
    <row r="399" spans="1:26" ht="18.75" customHeight="1" x14ac:dyDescent="0.35">
      <c r="A399" s="952"/>
      <c r="B399" s="952"/>
      <c r="C399" s="952"/>
      <c r="D399" s="952"/>
      <c r="E399" s="952"/>
      <c r="F399" s="952"/>
      <c r="G399" s="952"/>
      <c r="H399" s="952"/>
      <c r="I399" s="952"/>
      <c r="J399" s="952"/>
      <c r="K399" s="952"/>
      <c r="L399" s="952"/>
      <c r="M399" s="952"/>
      <c r="N399" s="952"/>
      <c r="O399" s="952"/>
      <c r="P399" s="952"/>
      <c r="Q399" s="952"/>
      <c r="R399" s="952"/>
      <c r="S399" s="952"/>
      <c r="T399" s="952"/>
      <c r="U399" s="952"/>
      <c r="V399" s="952"/>
      <c r="W399" s="952"/>
      <c r="X399" s="952"/>
      <c r="Y399" s="952"/>
      <c r="Z399" s="952"/>
    </row>
    <row r="400" spans="1:26" ht="18.75" customHeight="1" x14ac:dyDescent="0.35">
      <c r="A400" s="952"/>
      <c r="B400" s="952"/>
      <c r="C400" s="952"/>
      <c r="D400" s="952"/>
      <c r="E400" s="952"/>
      <c r="F400" s="952"/>
      <c r="G400" s="952"/>
      <c r="H400" s="952"/>
      <c r="I400" s="952"/>
      <c r="J400" s="952"/>
      <c r="K400" s="952"/>
      <c r="L400" s="952"/>
      <c r="M400" s="952"/>
      <c r="N400" s="952"/>
      <c r="O400" s="952"/>
      <c r="P400" s="952"/>
      <c r="Q400" s="952"/>
      <c r="R400" s="952"/>
      <c r="S400" s="952"/>
      <c r="T400" s="952"/>
      <c r="U400" s="952"/>
      <c r="V400" s="952"/>
      <c r="W400" s="952"/>
      <c r="X400" s="952"/>
      <c r="Y400" s="952"/>
      <c r="Z400" s="952"/>
    </row>
    <row r="401" spans="1:26" ht="18.75" customHeight="1" x14ac:dyDescent="0.35">
      <c r="A401" s="952"/>
      <c r="B401" s="952"/>
      <c r="C401" s="952"/>
      <c r="D401" s="952"/>
      <c r="E401" s="952"/>
      <c r="F401" s="952"/>
      <c r="G401" s="952"/>
      <c r="H401" s="952"/>
      <c r="I401" s="952"/>
      <c r="J401" s="952"/>
      <c r="K401" s="952"/>
      <c r="L401" s="952"/>
      <c r="M401" s="952"/>
      <c r="N401" s="952"/>
      <c r="O401" s="952"/>
      <c r="P401" s="952"/>
      <c r="Q401" s="952"/>
      <c r="R401" s="952"/>
      <c r="S401" s="952"/>
      <c r="T401" s="952"/>
      <c r="U401" s="952"/>
      <c r="V401" s="952"/>
      <c r="W401" s="952"/>
      <c r="X401" s="952"/>
      <c r="Y401" s="952"/>
      <c r="Z401" s="952"/>
    </row>
    <row r="402" spans="1:26" ht="18.75" customHeight="1" x14ac:dyDescent="0.35">
      <c r="A402" s="952"/>
      <c r="B402" s="952"/>
      <c r="C402" s="952"/>
      <c r="D402" s="952"/>
      <c r="E402" s="952"/>
      <c r="F402" s="952"/>
      <c r="G402" s="952"/>
      <c r="H402" s="952"/>
      <c r="I402" s="952"/>
      <c r="J402" s="952"/>
      <c r="K402" s="952"/>
      <c r="L402" s="952"/>
      <c r="M402" s="952"/>
      <c r="N402" s="952"/>
      <c r="O402" s="952"/>
      <c r="P402" s="952"/>
      <c r="Q402" s="952"/>
      <c r="R402" s="952"/>
      <c r="S402" s="952"/>
      <c r="T402" s="952"/>
      <c r="U402" s="952"/>
      <c r="V402" s="952"/>
      <c r="W402" s="952"/>
      <c r="X402" s="952"/>
      <c r="Y402" s="952"/>
      <c r="Z402" s="952"/>
    </row>
    <row r="403" spans="1:26" ht="18.75" customHeight="1" x14ac:dyDescent="0.35">
      <c r="A403" s="952"/>
      <c r="B403" s="952"/>
      <c r="C403" s="952"/>
      <c r="D403" s="952"/>
      <c r="E403" s="952"/>
      <c r="F403" s="952"/>
      <c r="G403" s="952"/>
      <c r="H403" s="952"/>
      <c r="I403" s="952"/>
      <c r="J403" s="952"/>
      <c r="K403" s="952"/>
      <c r="L403" s="952"/>
      <c r="M403" s="952"/>
      <c r="N403" s="952"/>
      <c r="O403" s="952"/>
      <c r="P403" s="952"/>
      <c r="Q403" s="952"/>
      <c r="R403" s="952"/>
      <c r="S403" s="952"/>
      <c r="T403" s="952"/>
      <c r="U403" s="952"/>
      <c r="V403" s="952"/>
      <c r="W403" s="952"/>
      <c r="X403" s="952"/>
      <c r="Y403" s="952"/>
      <c r="Z403" s="952"/>
    </row>
    <row r="404" spans="1:26" ht="18.75" customHeight="1" x14ac:dyDescent="0.35">
      <c r="A404" s="952"/>
      <c r="B404" s="952"/>
      <c r="C404" s="952"/>
      <c r="D404" s="952"/>
      <c r="E404" s="952"/>
      <c r="F404" s="952"/>
      <c r="G404" s="952"/>
      <c r="H404" s="952"/>
      <c r="I404" s="952"/>
      <c r="J404" s="952"/>
      <c r="K404" s="952"/>
      <c r="L404" s="952"/>
      <c r="M404" s="952"/>
      <c r="N404" s="952"/>
      <c r="O404" s="952"/>
      <c r="P404" s="952"/>
      <c r="Q404" s="952"/>
      <c r="R404" s="952"/>
      <c r="S404" s="952"/>
      <c r="T404" s="952"/>
      <c r="U404" s="952"/>
      <c r="V404" s="952"/>
      <c r="W404" s="952"/>
      <c r="X404" s="952"/>
      <c r="Y404" s="952"/>
      <c r="Z404" s="952"/>
    </row>
    <row r="405" spans="1:26" ht="18.75" customHeight="1" x14ac:dyDescent="0.35">
      <c r="A405" s="952"/>
      <c r="B405" s="952"/>
      <c r="C405" s="952"/>
      <c r="D405" s="952"/>
      <c r="E405" s="952"/>
      <c r="F405" s="952"/>
      <c r="G405" s="952"/>
      <c r="H405" s="952"/>
      <c r="I405" s="952"/>
      <c r="J405" s="952"/>
      <c r="K405" s="952"/>
      <c r="L405" s="952"/>
      <c r="M405" s="952"/>
      <c r="N405" s="952"/>
      <c r="O405" s="952"/>
      <c r="P405" s="952"/>
      <c r="Q405" s="952"/>
      <c r="R405" s="952"/>
      <c r="S405" s="952"/>
      <c r="T405" s="952"/>
      <c r="U405" s="952"/>
      <c r="V405" s="952"/>
      <c r="W405" s="952"/>
      <c r="X405" s="952"/>
      <c r="Y405" s="952"/>
      <c r="Z405" s="952"/>
    </row>
    <row r="406" spans="1:26" ht="18.75" customHeight="1" x14ac:dyDescent="0.35">
      <c r="A406" s="952"/>
      <c r="B406" s="952"/>
      <c r="C406" s="952"/>
      <c r="D406" s="952"/>
      <c r="E406" s="952"/>
      <c r="F406" s="952"/>
      <c r="G406" s="952"/>
      <c r="H406" s="952"/>
      <c r="I406" s="952"/>
      <c r="J406" s="952"/>
      <c r="K406" s="952"/>
      <c r="L406" s="952"/>
      <c r="M406" s="952"/>
      <c r="N406" s="952"/>
      <c r="O406" s="952"/>
      <c r="P406" s="952"/>
      <c r="Q406" s="952"/>
      <c r="R406" s="952"/>
      <c r="S406" s="952"/>
      <c r="T406" s="952"/>
      <c r="U406" s="952"/>
      <c r="V406" s="952"/>
      <c r="W406" s="952"/>
      <c r="X406" s="952"/>
      <c r="Y406" s="952"/>
      <c r="Z406" s="952"/>
    </row>
    <row r="407" spans="1:26" ht="18.75" customHeight="1" x14ac:dyDescent="0.35">
      <c r="A407" s="952"/>
      <c r="B407" s="952"/>
      <c r="C407" s="952"/>
      <c r="D407" s="952"/>
      <c r="E407" s="952"/>
      <c r="F407" s="952"/>
      <c r="G407" s="952"/>
      <c r="H407" s="952"/>
      <c r="I407" s="952"/>
      <c r="J407" s="952"/>
      <c r="K407" s="952"/>
      <c r="L407" s="952"/>
      <c r="M407" s="952"/>
      <c r="N407" s="952"/>
      <c r="O407" s="952"/>
      <c r="P407" s="952"/>
      <c r="Q407" s="952"/>
      <c r="R407" s="952"/>
      <c r="S407" s="952"/>
      <c r="T407" s="952"/>
      <c r="U407" s="952"/>
      <c r="V407" s="952"/>
      <c r="W407" s="952"/>
      <c r="X407" s="952"/>
      <c r="Y407" s="952"/>
      <c r="Z407" s="952"/>
    </row>
    <row r="408" spans="1:26" ht="18.75" customHeight="1" x14ac:dyDescent="0.35">
      <c r="A408" s="952"/>
      <c r="B408" s="952"/>
      <c r="C408" s="952"/>
      <c r="D408" s="952"/>
      <c r="E408" s="952"/>
      <c r="F408" s="952"/>
      <c r="G408" s="952"/>
      <c r="H408" s="952"/>
      <c r="I408" s="952"/>
      <c r="J408" s="952"/>
      <c r="K408" s="952"/>
      <c r="L408" s="952"/>
      <c r="M408" s="952"/>
      <c r="N408" s="952"/>
      <c r="O408" s="952"/>
      <c r="P408" s="952"/>
      <c r="Q408" s="952"/>
      <c r="R408" s="952"/>
      <c r="S408" s="952"/>
      <c r="T408" s="952"/>
      <c r="U408" s="952"/>
      <c r="V408" s="952"/>
      <c r="W408" s="952"/>
      <c r="X408" s="952"/>
      <c r="Y408" s="952"/>
      <c r="Z408" s="952"/>
    </row>
    <row r="409" spans="1:26" ht="18.75" customHeight="1" x14ac:dyDescent="0.35">
      <c r="A409" s="952"/>
      <c r="B409" s="952"/>
      <c r="C409" s="952"/>
      <c r="D409" s="952"/>
      <c r="E409" s="952"/>
      <c r="F409" s="952"/>
      <c r="G409" s="952"/>
      <c r="H409" s="952"/>
      <c r="I409" s="952"/>
      <c r="J409" s="952"/>
      <c r="K409" s="952"/>
      <c r="L409" s="952"/>
      <c r="M409" s="952"/>
      <c r="N409" s="952"/>
      <c r="O409" s="952"/>
      <c r="P409" s="952"/>
      <c r="Q409" s="952"/>
      <c r="R409" s="952"/>
      <c r="S409" s="952"/>
      <c r="T409" s="952"/>
      <c r="U409" s="952"/>
      <c r="V409" s="952"/>
      <c r="W409" s="952"/>
      <c r="X409" s="952"/>
      <c r="Y409" s="952"/>
      <c r="Z409" s="952"/>
    </row>
    <row r="410" spans="1:26" ht="18.75" customHeight="1" x14ac:dyDescent="0.35">
      <c r="A410" s="952"/>
      <c r="B410" s="952"/>
      <c r="C410" s="952"/>
      <c r="D410" s="952"/>
      <c r="E410" s="952"/>
      <c r="F410" s="952"/>
      <c r="G410" s="952"/>
      <c r="H410" s="952"/>
      <c r="I410" s="952"/>
      <c r="J410" s="952"/>
      <c r="K410" s="952"/>
      <c r="L410" s="952"/>
      <c r="M410" s="952"/>
      <c r="N410" s="952"/>
      <c r="O410" s="952"/>
      <c r="P410" s="952"/>
      <c r="Q410" s="952"/>
      <c r="R410" s="952"/>
      <c r="S410" s="952"/>
      <c r="T410" s="952"/>
      <c r="U410" s="952"/>
      <c r="V410" s="952"/>
      <c r="W410" s="952"/>
      <c r="X410" s="952"/>
      <c r="Y410" s="952"/>
      <c r="Z410" s="952"/>
    </row>
    <row r="411" spans="1:26" ht="18.75" customHeight="1" x14ac:dyDescent="0.35">
      <c r="A411" s="952"/>
      <c r="B411" s="952"/>
      <c r="C411" s="952"/>
      <c r="D411" s="952"/>
      <c r="E411" s="952"/>
      <c r="F411" s="952"/>
      <c r="G411" s="952"/>
      <c r="H411" s="952"/>
      <c r="I411" s="952"/>
      <c r="J411" s="952"/>
      <c r="K411" s="952"/>
      <c r="L411" s="952"/>
      <c r="M411" s="952"/>
      <c r="N411" s="952"/>
      <c r="O411" s="952"/>
      <c r="P411" s="952"/>
      <c r="Q411" s="952"/>
      <c r="R411" s="952"/>
      <c r="S411" s="952"/>
      <c r="T411" s="952"/>
      <c r="U411" s="952"/>
      <c r="V411" s="952"/>
      <c r="W411" s="952"/>
      <c r="X411" s="952"/>
      <c r="Y411" s="952"/>
      <c r="Z411" s="952"/>
    </row>
    <row r="412" spans="1:26" ht="18.75" customHeight="1" x14ac:dyDescent="0.35">
      <c r="A412" s="952"/>
      <c r="B412" s="952"/>
      <c r="C412" s="952"/>
      <c r="D412" s="952"/>
      <c r="E412" s="952"/>
      <c r="F412" s="952"/>
      <c r="G412" s="952"/>
      <c r="H412" s="952"/>
      <c r="I412" s="952"/>
      <c r="J412" s="952"/>
      <c r="K412" s="952"/>
      <c r="L412" s="952"/>
      <c r="M412" s="952"/>
      <c r="N412" s="952"/>
      <c r="O412" s="952"/>
      <c r="P412" s="952"/>
      <c r="Q412" s="952"/>
      <c r="R412" s="952"/>
      <c r="S412" s="952"/>
      <c r="T412" s="952"/>
      <c r="U412" s="952"/>
      <c r="V412" s="952"/>
      <c r="W412" s="952"/>
      <c r="X412" s="952"/>
      <c r="Y412" s="952"/>
      <c r="Z412" s="952"/>
    </row>
    <row r="413" spans="1:26" ht="18.75" customHeight="1" x14ac:dyDescent="0.35">
      <c r="A413" s="952"/>
      <c r="B413" s="952"/>
      <c r="C413" s="952"/>
      <c r="D413" s="952"/>
      <c r="E413" s="952"/>
      <c r="F413" s="952"/>
      <c r="G413" s="952"/>
      <c r="H413" s="952"/>
      <c r="I413" s="952"/>
      <c r="J413" s="952"/>
      <c r="K413" s="952"/>
      <c r="L413" s="952"/>
      <c r="M413" s="952"/>
      <c r="N413" s="952"/>
      <c r="O413" s="952"/>
      <c r="P413" s="952"/>
      <c r="Q413" s="952"/>
      <c r="R413" s="952"/>
      <c r="S413" s="952"/>
      <c r="T413" s="952"/>
      <c r="U413" s="952"/>
      <c r="V413" s="952"/>
      <c r="W413" s="952"/>
      <c r="X413" s="952"/>
      <c r="Y413" s="952"/>
      <c r="Z413" s="952"/>
    </row>
    <row r="414" spans="1:26" ht="18.75" customHeight="1" x14ac:dyDescent="0.35">
      <c r="A414" s="952"/>
      <c r="B414" s="952"/>
      <c r="C414" s="952"/>
      <c r="D414" s="952"/>
      <c r="E414" s="952"/>
      <c r="F414" s="952"/>
      <c r="G414" s="952"/>
      <c r="H414" s="952"/>
      <c r="I414" s="952"/>
      <c r="J414" s="952"/>
      <c r="K414" s="952"/>
      <c r="L414" s="952"/>
      <c r="M414" s="952"/>
      <c r="N414" s="952"/>
      <c r="O414" s="952"/>
      <c r="P414" s="952"/>
      <c r="Q414" s="952"/>
      <c r="R414" s="952"/>
      <c r="S414" s="952"/>
      <c r="T414" s="952"/>
      <c r="U414" s="952"/>
      <c r="V414" s="952"/>
      <c r="W414" s="952"/>
      <c r="X414" s="952"/>
      <c r="Y414" s="952"/>
      <c r="Z414" s="952"/>
    </row>
    <row r="415" spans="1:26" ht="18.75" customHeight="1" x14ac:dyDescent="0.35">
      <c r="A415" s="952"/>
      <c r="B415" s="952"/>
      <c r="C415" s="952"/>
      <c r="D415" s="952"/>
      <c r="E415" s="952"/>
      <c r="F415" s="952"/>
      <c r="G415" s="952"/>
      <c r="H415" s="952"/>
      <c r="I415" s="952"/>
      <c r="J415" s="952"/>
      <c r="K415" s="952"/>
      <c r="L415" s="952"/>
      <c r="M415" s="952"/>
      <c r="N415" s="952"/>
      <c r="O415" s="952"/>
      <c r="P415" s="952"/>
      <c r="Q415" s="952"/>
      <c r="R415" s="952"/>
      <c r="S415" s="952"/>
      <c r="T415" s="952"/>
      <c r="U415" s="952"/>
      <c r="V415" s="952"/>
      <c r="W415" s="952"/>
      <c r="X415" s="952"/>
      <c r="Y415" s="952"/>
      <c r="Z415" s="952"/>
    </row>
    <row r="416" spans="1:26" ht="18.75" customHeight="1" x14ac:dyDescent="0.35">
      <c r="A416" s="952"/>
      <c r="B416" s="952"/>
      <c r="C416" s="952"/>
      <c r="D416" s="952"/>
      <c r="E416" s="952"/>
      <c r="F416" s="952"/>
      <c r="G416" s="952"/>
      <c r="H416" s="952"/>
      <c r="I416" s="952"/>
      <c r="J416" s="952"/>
      <c r="K416" s="952"/>
      <c r="L416" s="952"/>
      <c r="M416" s="952"/>
      <c r="N416" s="952"/>
      <c r="O416" s="952"/>
      <c r="P416" s="952"/>
      <c r="Q416" s="952"/>
      <c r="R416" s="952"/>
      <c r="S416" s="952"/>
      <c r="T416" s="952"/>
      <c r="U416" s="952"/>
      <c r="V416" s="952"/>
      <c r="W416" s="952"/>
      <c r="X416" s="952"/>
      <c r="Y416" s="952"/>
      <c r="Z416" s="952"/>
    </row>
    <row r="417" spans="1:26" ht="18.75" customHeight="1" x14ac:dyDescent="0.35">
      <c r="A417" s="952"/>
      <c r="B417" s="952"/>
      <c r="C417" s="952"/>
      <c r="D417" s="952"/>
      <c r="E417" s="952"/>
      <c r="F417" s="952"/>
      <c r="G417" s="952"/>
      <c r="H417" s="952"/>
      <c r="I417" s="952"/>
      <c r="J417" s="952"/>
      <c r="K417" s="952"/>
      <c r="L417" s="952"/>
      <c r="M417" s="952"/>
      <c r="N417" s="952"/>
      <c r="O417" s="952"/>
      <c r="P417" s="952"/>
      <c r="Q417" s="952"/>
      <c r="R417" s="952"/>
      <c r="S417" s="952"/>
      <c r="T417" s="952"/>
      <c r="U417" s="952"/>
      <c r="V417" s="952"/>
      <c r="W417" s="952"/>
      <c r="X417" s="952"/>
      <c r="Y417" s="952"/>
      <c r="Z417" s="952"/>
    </row>
    <row r="418" spans="1:26" ht="18.75" customHeight="1" x14ac:dyDescent="0.35">
      <c r="A418" s="952"/>
      <c r="B418" s="952"/>
      <c r="C418" s="952"/>
      <c r="D418" s="952"/>
      <c r="E418" s="952"/>
      <c r="F418" s="952"/>
      <c r="G418" s="952"/>
      <c r="H418" s="952"/>
      <c r="I418" s="952"/>
      <c r="J418" s="952"/>
      <c r="K418" s="952"/>
      <c r="L418" s="952"/>
      <c r="M418" s="952"/>
      <c r="N418" s="952"/>
      <c r="O418" s="952"/>
      <c r="P418" s="952"/>
      <c r="Q418" s="952"/>
      <c r="R418" s="952"/>
      <c r="S418" s="952"/>
      <c r="T418" s="952"/>
      <c r="U418" s="952"/>
      <c r="V418" s="952"/>
      <c r="W418" s="952"/>
      <c r="X418" s="952"/>
      <c r="Y418" s="952"/>
      <c r="Z418" s="952"/>
    </row>
    <row r="419" spans="1:26" ht="18.75" customHeight="1" x14ac:dyDescent="0.35">
      <c r="A419" s="952"/>
      <c r="B419" s="952"/>
      <c r="C419" s="952"/>
      <c r="D419" s="952"/>
      <c r="E419" s="952"/>
      <c r="F419" s="952"/>
      <c r="G419" s="952"/>
      <c r="H419" s="952"/>
      <c r="I419" s="952"/>
      <c r="J419" s="952"/>
      <c r="K419" s="952"/>
      <c r="L419" s="952"/>
      <c r="M419" s="952"/>
      <c r="N419" s="952"/>
      <c r="O419" s="952"/>
      <c r="P419" s="952"/>
      <c r="Q419" s="952"/>
      <c r="R419" s="952"/>
      <c r="S419" s="952"/>
      <c r="T419" s="952"/>
      <c r="U419" s="952"/>
      <c r="V419" s="952"/>
      <c r="W419" s="952"/>
      <c r="X419" s="952"/>
      <c r="Y419" s="952"/>
      <c r="Z419" s="952"/>
    </row>
    <row r="420" spans="1:26" ht="18.75" customHeight="1" x14ac:dyDescent="0.35">
      <c r="A420" s="952"/>
      <c r="B420" s="952"/>
      <c r="C420" s="952"/>
      <c r="D420" s="952"/>
      <c r="E420" s="952"/>
      <c r="F420" s="952"/>
      <c r="G420" s="952"/>
      <c r="H420" s="952"/>
      <c r="I420" s="952"/>
      <c r="J420" s="952"/>
      <c r="K420" s="952"/>
      <c r="L420" s="952"/>
      <c r="M420" s="952"/>
      <c r="N420" s="952"/>
      <c r="O420" s="952"/>
      <c r="P420" s="952"/>
      <c r="Q420" s="952"/>
      <c r="R420" s="952"/>
      <c r="S420" s="952"/>
      <c r="T420" s="952"/>
      <c r="U420" s="952"/>
      <c r="V420" s="952"/>
      <c r="W420" s="952"/>
      <c r="X420" s="952"/>
      <c r="Y420" s="952"/>
      <c r="Z420" s="952"/>
    </row>
    <row r="421" spans="1:26" ht="18.75" customHeight="1" x14ac:dyDescent="0.35">
      <c r="A421" s="952"/>
      <c r="B421" s="952"/>
      <c r="C421" s="952"/>
      <c r="D421" s="952"/>
      <c r="E421" s="952"/>
      <c r="F421" s="952"/>
      <c r="G421" s="952"/>
      <c r="H421" s="952"/>
      <c r="I421" s="952"/>
      <c r="J421" s="952"/>
      <c r="K421" s="952"/>
      <c r="L421" s="952"/>
      <c r="M421" s="952"/>
      <c r="N421" s="952"/>
      <c r="O421" s="952"/>
      <c r="P421" s="952"/>
      <c r="Q421" s="952"/>
      <c r="R421" s="952"/>
      <c r="S421" s="952"/>
      <c r="T421" s="952"/>
      <c r="U421" s="952"/>
      <c r="V421" s="952"/>
      <c r="W421" s="952"/>
      <c r="X421" s="952"/>
      <c r="Y421" s="952"/>
      <c r="Z421" s="952"/>
    </row>
    <row r="422" spans="1:26" ht="18.75" customHeight="1" x14ac:dyDescent="0.35">
      <c r="A422" s="952"/>
      <c r="B422" s="952"/>
      <c r="C422" s="952"/>
      <c r="D422" s="952"/>
      <c r="E422" s="952"/>
      <c r="F422" s="952"/>
      <c r="G422" s="952"/>
      <c r="H422" s="952"/>
      <c r="I422" s="952"/>
      <c r="J422" s="952"/>
      <c r="K422" s="952"/>
      <c r="L422" s="952"/>
      <c r="M422" s="952"/>
      <c r="N422" s="952"/>
      <c r="O422" s="952"/>
      <c r="P422" s="952"/>
      <c r="Q422" s="952"/>
      <c r="R422" s="952"/>
      <c r="S422" s="952"/>
      <c r="T422" s="952"/>
      <c r="U422" s="952"/>
      <c r="V422" s="952"/>
      <c r="W422" s="952"/>
      <c r="X422" s="952"/>
      <c r="Y422" s="952"/>
      <c r="Z422" s="952"/>
    </row>
    <row r="423" spans="1:26" ht="18.75" customHeight="1" x14ac:dyDescent="0.35">
      <c r="A423" s="952"/>
      <c r="B423" s="952"/>
      <c r="C423" s="952"/>
      <c r="D423" s="952"/>
      <c r="E423" s="952"/>
      <c r="F423" s="952"/>
      <c r="G423" s="952"/>
      <c r="H423" s="952"/>
      <c r="I423" s="952"/>
      <c r="J423" s="952"/>
      <c r="K423" s="952"/>
      <c r="L423" s="952"/>
      <c r="M423" s="952"/>
      <c r="N423" s="952"/>
      <c r="O423" s="952"/>
      <c r="P423" s="952"/>
      <c r="Q423" s="952"/>
      <c r="R423" s="952"/>
      <c r="S423" s="952"/>
      <c r="T423" s="952"/>
      <c r="U423" s="952"/>
      <c r="V423" s="952"/>
      <c r="W423" s="952"/>
      <c r="X423" s="952"/>
      <c r="Y423" s="952"/>
      <c r="Z423" s="952"/>
    </row>
    <row r="424" spans="1:26" ht="18.75" customHeight="1" x14ac:dyDescent="0.35">
      <c r="A424" s="952"/>
      <c r="B424" s="952"/>
      <c r="C424" s="952"/>
      <c r="D424" s="952"/>
      <c r="E424" s="952"/>
      <c r="F424" s="952"/>
      <c r="G424" s="952"/>
      <c r="H424" s="952"/>
      <c r="I424" s="952"/>
      <c r="J424" s="952"/>
      <c r="K424" s="952"/>
      <c r="L424" s="952"/>
      <c r="M424" s="952"/>
      <c r="N424" s="952"/>
      <c r="O424" s="952"/>
      <c r="P424" s="952"/>
      <c r="Q424" s="952"/>
      <c r="R424" s="952"/>
      <c r="S424" s="952"/>
      <c r="T424" s="952"/>
      <c r="U424" s="952"/>
      <c r="V424" s="952"/>
      <c r="W424" s="952"/>
      <c r="X424" s="952"/>
      <c r="Y424" s="952"/>
      <c r="Z424" s="952"/>
    </row>
    <row r="425" spans="1:26" ht="18.75" customHeight="1" x14ac:dyDescent="0.35">
      <c r="A425" s="952"/>
      <c r="B425" s="952"/>
      <c r="C425" s="952"/>
      <c r="D425" s="952"/>
      <c r="E425" s="952"/>
      <c r="F425" s="952"/>
      <c r="G425" s="952"/>
      <c r="H425" s="952"/>
      <c r="I425" s="952"/>
      <c r="J425" s="952"/>
      <c r="K425" s="952"/>
      <c r="L425" s="952"/>
      <c r="M425" s="952"/>
      <c r="N425" s="952"/>
      <c r="O425" s="952"/>
      <c r="P425" s="952"/>
      <c r="Q425" s="952"/>
      <c r="R425" s="952"/>
      <c r="S425" s="952"/>
      <c r="T425" s="952"/>
      <c r="U425" s="952"/>
      <c r="V425" s="952"/>
      <c r="W425" s="952"/>
      <c r="X425" s="952"/>
      <c r="Y425" s="952"/>
      <c r="Z425" s="952"/>
    </row>
    <row r="426" spans="1:26" ht="18.75" customHeight="1" x14ac:dyDescent="0.35">
      <c r="A426" s="952"/>
      <c r="B426" s="952"/>
      <c r="C426" s="952"/>
      <c r="D426" s="952"/>
      <c r="E426" s="952"/>
      <c r="F426" s="952"/>
      <c r="G426" s="952"/>
      <c r="H426" s="952"/>
      <c r="I426" s="952"/>
      <c r="J426" s="952"/>
      <c r="K426" s="952"/>
      <c r="L426" s="952"/>
      <c r="M426" s="952"/>
      <c r="N426" s="952"/>
      <c r="O426" s="952"/>
      <c r="P426" s="952"/>
      <c r="Q426" s="952"/>
      <c r="R426" s="952"/>
      <c r="S426" s="952"/>
      <c r="T426" s="952"/>
      <c r="U426" s="952"/>
      <c r="V426" s="952"/>
      <c r="W426" s="952"/>
      <c r="X426" s="952"/>
      <c r="Y426" s="952"/>
      <c r="Z426" s="952"/>
    </row>
    <row r="427" spans="1:26" ht="18.75" customHeight="1" x14ac:dyDescent="0.35">
      <c r="A427" s="952"/>
      <c r="B427" s="952"/>
      <c r="C427" s="952"/>
      <c r="D427" s="952"/>
      <c r="E427" s="952"/>
      <c r="F427" s="952"/>
      <c r="G427" s="952"/>
      <c r="H427" s="952"/>
      <c r="I427" s="952"/>
      <c r="J427" s="952"/>
      <c r="K427" s="952"/>
      <c r="L427" s="952"/>
      <c r="M427" s="952"/>
      <c r="N427" s="952"/>
      <c r="O427" s="952"/>
      <c r="P427" s="952"/>
      <c r="Q427" s="952"/>
      <c r="R427" s="952"/>
      <c r="S427" s="952"/>
      <c r="T427" s="952"/>
      <c r="U427" s="952"/>
      <c r="V427" s="952"/>
      <c r="W427" s="952"/>
      <c r="X427" s="952"/>
      <c r="Y427" s="952"/>
      <c r="Z427" s="952"/>
    </row>
    <row r="428" spans="1:26" ht="18.75" customHeight="1" x14ac:dyDescent="0.35">
      <c r="A428" s="952"/>
      <c r="B428" s="952"/>
      <c r="C428" s="952"/>
      <c r="D428" s="952"/>
      <c r="E428" s="952"/>
      <c r="F428" s="952"/>
      <c r="G428" s="952"/>
      <c r="H428" s="952"/>
      <c r="I428" s="952"/>
      <c r="J428" s="952"/>
      <c r="K428" s="952"/>
      <c r="L428" s="952"/>
      <c r="M428" s="952"/>
      <c r="N428" s="952"/>
      <c r="O428" s="952"/>
      <c r="P428" s="952"/>
      <c r="Q428" s="952"/>
      <c r="R428" s="952"/>
      <c r="S428" s="952"/>
      <c r="T428" s="952"/>
      <c r="U428" s="952"/>
      <c r="V428" s="952"/>
      <c r="W428" s="952"/>
      <c r="X428" s="952"/>
      <c r="Y428" s="952"/>
      <c r="Z428" s="952"/>
    </row>
    <row r="429" spans="1:26" ht="18.75" customHeight="1" x14ac:dyDescent="0.35">
      <c r="A429" s="952"/>
      <c r="B429" s="952"/>
      <c r="C429" s="952"/>
      <c r="D429" s="952"/>
      <c r="E429" s="952"/>
      <c r="F429" s="952"/>
      <c r="G429" s="952"/>
      <c r="H429" s="952"/>
      <c r="I429" s="952"/>
      <c r="J429" s="952"/>
      <c r="K429" s="952"/>
      <c r="L429" s="952"/>
      <c r="M429" s="952"/>
      <c r="N429" s="952"/>
      <c r="O429" s="952"/>
      <c r="P429" s="952"/>
      <c r="Q429" s="952"/>
      <c r="R429" s="952"/>
      <c r="S429" s="952"/>
      <c r="T429" s="952"/>
      <c r="U429" s="952"/>
      <c r="V429" s="952"/>
      <c r="W429" s="952"/>
      <c r="X429" s="952"/>
      <c r="Y429" s="952"/>
      <c r="Z429" s="952"/>
    </row>
    <row r="430" spans="1:26" ht="18.75" customHeight="1" x14ac:dyDescent="0.35">
      <c r="A430" s="952"/>
      <c r="B430" s="952"/>
      <c r="C430" s="952"/>
      <c r="D430" s="952"/>
      <c r="E430" s="952"/>
      <c r="F430" s="952"/>
      <c r="G430" s="952"/>
      <c r="H430" s="952"/>
      <c r="I430" s="952"/>
      <c r="J430" s="952"/>
      <c r="K430" s="952"/>
      <c r="L430" s="952"/>
      <c r="M430" s="952"/>
      <c r="N430" s="952"/>
      <c r="O430" s="952"/>
      <c r="P430" s="952"/>
      <c r="Q430" s="952"/>
      <c r="R430" s="952"/>
      <c r="S430" s="952"/>
      <c r="T430" s="952"/>
      <c r="U430" s="952"/>
      <c r="V430" s="952"/>
      <c r="W430" s="952"/>
      <c r="X430" s="952"/>
      <c r="Y430" s="952"/>
      <c r="Z430" s="952"/>
    </row>
    <row r="431" spans="1:26" ht="18.75" customHeight="1" x14ac:dyDescent="0.35">
      <c r="A431" s="952"/>
      <c r="B431" s="952"/>
      <c r="C431" s="952"/>
      <c r="D431" s="952"/>
      <c r="E431" s="952"/>
      <c r="F431" s="952"/>
      <c r="G431" s="952"/>
      <c r="H431" s="952"/>
      <c r="I431" s="952"/>
      <c r="J431" s="952"/>
      <c r="K431" s="952"/>
      <c r="L431" s="952"/>
      <c r="M431" s="952"/>
      <c r="N431" s="952"/>
      <c r="O431" s="952"/>
      <c r="P431" s="952"/>
      <c r="Q431" s="952"/>
      <c r="R431" s="952"/>
      <c r="S431" s="952"/>
      <c r="T431" s="952"/>
      <c r="U431" s="952"/>
      <c r="V431" s="952"/>
      <c r="W431" s="952"/>
      <c r="X431" s="952"/>
      <c r="Y431" s="952"/>
      <c r="Z431" s="952"/>
    </row>
    <row r="432" spans="1:26" ht="18.75" customHeight="1" x14ac:dyDescent="0.35">
      <c r="A432" s="952"/>
      <c r="B432" s="952"/>
      <c r="C432" s="952"/>
      <c r="D432" s="952"/>
      <c r="E432" s="952"/>
      <c r="F432" s="952"/>
      <c r="G432" s="952"/>
      <c r="H432" s="952"/>
      <c r="I432" s="952"/>
      <c r="J432" s="952"/>
      <c r="K432" s="952"/>
      <c r="L432" s="952"/>
      <c r="M432" s="952"/>
      <c r="N432" s="952"/>
      <c r="O432" s="952"/>
      <c r="P432" s="952"/>
      <c r="Q432" s="952"/>
      <c r="R432" s="952"/>
      <c r="S432" s="952"/>
      <c r="T432" s="952"/>
      <c r="U432" s="952"/>
      <c r="V432" s="952"/>
      <c r="W432" s="952"/>
      <c r="X432" s="952"/>
      <c r="Y432" s="952"/>
      <c r="Z432" s="952"/>
    </row>
    <row r="433" spans="1:26" ht="18.75" customHeight="1" x14ac:dyDescent="0.35">
      <c r="A433" s="952"/>
      <c r="B433" s="952"/>
      <c r="C433" s="952"/>
      <c r="D433" s="952"/>
      <c r="E433" s="952"/>
      <c r="F433" s="952"/>
      <c r="G433" s="952"/>
      <c r="H433" s="952"/>
      <c r="I433" s="952"/>
      <c r="J433" s="952"/>
      <c r="K433" s="952"/>
      <c r="L433" s="952"/>
      <c r="M433" s="952"/>
      <c r="N433" s="952"/>
      <c r="O433" s="952"/>
      <c r="P433" s="952"/>
      <c r="Q433" s="952"/>
      <c r="R433" s="952"/>
      <c r="S433" s="952"/>
      <c r="T433" s="952"/>
      <c r="U433" s="952"/>
      <c r="V433" s="952"/>
      <c r="W433" s="952"/>
      <c r="X433" s="952"/>
      <c r="Y433" s="952"/>
      <c r="Z433" s="952"/>
    </row>
    <row r="434" spans="1:26" ht="18.75" customHeight="1" x14ac:dyDescent="0.35">
      <c r="A434" s="952"/>
      <c r="B434" s="952"/>
      <c r="C434" s="952"/>
      <c r="D434" s="952"/>
      <c r="E434" s="952"/>
      <c r="F434" s="952"/>
      <c r="G434" s="952"/>
      <c r="H434" s="952"/>
      <c r="I434" s="952"/>
      <c r="J434" s="952"/>
      <c r="K434" s="952"/>
      <c r="L434" s="952"/>
      <c r="M434" s="952"/>
      <c r="N434" s="952"/>
      <c r="O434" s="952"/>
      <c r="P434" s="952"/>
      <c r="Q434" s="952"/>
      <c r="R434" s="952"/>
      <c r="S434" s="952"/>
      <c r="T434" s="952"/>
      <c r="U434" s="952"/>
      <c r="V434" s="952"/>
      <c r="W434" s="952"/>
      <c r="X434" s="952"/>
      <c r="Y434" s="952"/>
      <c r="Z434" s="952"/>
    </row>
    <row r="435" spans="1:26" ht="18.75" customHeight="1" x14ac:dyDescent="0.35">
      <c r="A435" s="952"/>
      <c r="B435" s="952"/>
      <c r="C435" s="952"/>
      <c r="D435" s="952"/>
      <c r="E435" s="952"/>
      <c r="F435" s="952"/>
      <c r="G435" s="952"/>
      <c r="H435" s="952"/>
      <c r="I435" s="952"/>
      <c r="J435" s="952"/>
      <c r="K435" s="952"/>
      <c r="L435" s="952"/>
      <c r="M435" s="952"/>
      <c r="N435" s="952"/>
      <c r="O435" s="952"/>
      <c r="P435" s="952"/>
      <c r="Q435" s="952"/>
      <c r="R435" s="952"/>
      <c r="S435" s="952"/>
      <c r="T435" s="952"/>
      <c r="U435" s="952"/>
      <c r="V435" s="952"/>
      <c r="W435" s="952"/>
      <c r="X435" s="952"/>
      <c r="Y435" s="952"/>
      <c r="Z435" s="952"/>
    </row>
    <row r="436" spans="1:26" ht="18.75" customHeight="1" x14ac:dyDescent="0.35">
      <c r="A436" s="952"/>
      <c r="B436" s="952"/>
      <c r="C436" s="952"/>
      <c r="D436" s="952"/>
      <c r="E436" s="952"/>
      <c r="F436" s="952"/>
      <c r="G436" s="952"/>
      <c r="H436" s="952"/>
      <c r="I436" s="952"/>
      <c r="J436" s="952"/>
      <c r="K436" s="952"/>
      <c r="L436" s="952"/>
      <c r="M436" s="952"/>
      <c r="N436" s="952"/>
      <c r="O436" s="952"/>
      <c r="P436" s="952"/>
      <c r="Q436" s="952"/>
      <c r="R436" s="952"/>
      <c r="S436" s="952"/>
      <c r="T436" s="952"/>
      <c r="U436" s="952"/>
      <c r="V436" s="952"/>
      <c r="W436" s="952"/>
      <c r="X436" s="952"/>
      <c r="Y436" s="952"/>
      <c r="Z436" s="952"/>
    </row>
    <row r="437" spans="1:26" ht="18.75" customHeight="1" x14ac:dyDescent="0.35">
      <c r="A437" s="952"/>
      <c r="B437" s="952"/>
      <c r="C437" s="952"/>
      <c r="D437" s="952"/>
      <c r="E437" s="952"/>
      <c r="F437" s="952"/>
      <c r="G437" s="952"/>
      <c r="H437" s="952"/>
      <c r="I437" s="952"/>
      <c r="J437" s="952"/>
      <c r="K437" s="952"/>
      <c r="L437" s="952"/>
      <c r="M437" s="952"/>
      <c r="N437" s="952"/>
      <c r="O437" s="952"/>
      <c r="P437" s="952"/>
      <c r="Q437" s="952"/>
      <c r="R437" s="952"/>
      <c r="S437" s="952"/>
      <c r="T437" s="952"/>
      <c r="U437" s="952"/>
      <c r="V437" s="952"/>
      <c r="W437" s="952"/>
      <c r="X437" s="952"/>
      <c r="Y437" s="952"/>
      <c r="Z437" s="952"/>
    </row>
    <row r="438" spans="1:26" ht="18.75" customHeight="1" x14ac:dyDescent="0.35">
      <c r="A438" s="952"/>
      <c r="B438" s="952"/>
      <c r="C438" s="952"/>
      <c r="D438" s="952"/>
      <c r="E438" s="952"/>
      <c r="F438" s="952"/>
      <c r="G438" s="952"/>
      <c r="H438" s="952"/>
      <c r="I438" s="952"/>
      <c r="J438" s="952"/>
      <c r="K438" s="952"/>
      <c r="L438" s="952"/>
      <c r="M438" s="952"/>
      <c r="N438" s="952"/>
      <c r="O438" s="952"/>
      <c r="P438" s="952"/>
      <c r="Q438" s="952"/>
      <c r="R438" s="952"/>
      <c r="S438" s="952"/>
      <c r="T438" s="952"/>
      <c r="U438" s="952"/>
      <c r="V438" s="952"/>
      <c r="W438" s="952"/>
      <c r="X438" s="952"/>
      <c r="Y438" s="952"/>
      <c r="Z438" s="952"/>
    </row>
    <row r="439" spans="1:26" ht="18.75" customHeight="1" x14ac:dyDescent="0.35">
      <c r="A439" s="952"/>
      <c r="B439" s="952"/>
      <c r="C439" s="952"/>
      <c r="D439" s="952"/>
      <c r="E439" s="952"/>
      <c r="F439" s="952"/>
      <c r="G439" s="952"/>
      <c r="H439" s="952"/>
      <c r="I439" s="952"/>
      <c r="J439" s="952"/>
      <c r="K439" s="952"/>
      <c r="L439" s="952"/>
      <c r="M439" s="952"/>
      <c r="N439" s="952"/>
      <c r="O439" s="952"/>
      <c r="P439" s="952"/>
      <c r="Q439" s="952"/>
      <c r="R439" s="952"/>
      <c r="S439" s="952"/>
      <c r="T439" s="952"/>
      <c r="U439" s="952"/>
      <c r="V439" s="952"/>
      <c r="W439" s="952"/>
      <c r="X439" s="952"/>
      <c r="Y439" s="952"/>
      <c r="Z439" s="952"/>
    </row>
    <row r="440" spans="1:26" ht="18.75" customHeight="1" x14ac:dyDescent="0.35">
      <c r="A440" s="952"/>
      <c r="B440" s="952"/>
      <c r="C440" s="952"/>
      <c r="D440" s="952"/>
      <c r="E440" s="952"/>
      <c r="F440" s="952"/>
      <c r="G440" s="952"/>
      <c r="H440" s="952"/>
      <c r="I440" s="952"/>
      <c r="J440" s="952"/>
      <c r="K440" s="952"/>
      <c r="L440" s="952"/>
      <c r="M440" s="952"/>
      <c r="N440" s="952"/>
      <c r="O440" s="952"/>
      <c r="P440" s="952"/>
      <c r="Q440" s="952"/>
      <c r="R440" s="952"/>
      <c r="S440" s="952"/>
      <c r="T440" s="952"/>
      <c r="U440" s="952"/>
      <c r="V440" s="952"/>
      <c r="W440" s="952"/>
      <c r="X440" s="952"/>
      <c r="Y440" s="952"/>
      <c r="Z440" s="952"/>
    </row>
    <row r="441" spans="1:26" ht="18.75" customHeight="1" x14ac:dyDescent="0.35">
      <c r="A441" s="952"/>
      <c r="B441" s="952"/>
      <c r="C441" s="952"/>
      <c r="D441" s="952"/>
      <c r="E441" s="952"/>
      <c r="F441" s="952"/>
      <c r="G441" s="952"/>
      <c r="H441" s="952"/>
      <c r="I441" s="952"/>
      <c r="J441" s="952"/>
      <c r="K441" s="952"/>
      <c r="L441" s="952"/>
      <c r="M441" s="952"/>
      <c r="N441" s="952"/>
      <c r="O441" s="952"/>
      <c r="P441" s="952"/>
      <c r="Q441" s="952"/>
      <c r="R441" s="952"/>
      <c r="S441" s="952"/>
      <c r="T441" s="952"/>
      <c r="U441" s="952"/>
      <c r="V441" s="952"/>
      <c r="W441" s="952"/>
      <c r="X441" s="952"/>
      <c r="Y441" s="952"/>
      <c r="Z441" s="952"/>
    </row>
    <row r="442" spans="1:26" ht="18.75" customHeight="1" x14ac:dyDescent="0.35">
      <c r="A442" s="952"/>
      <c r="B442" s="952"/>
      <c r="C442" s="952"/>
      <c r="D442" s="952"/>
      <c r="E442" s="952"/>
      <c r="F442" s="952"/>
      <c r="G442" s="952"/>
      <c r="H442" s="952"/>
      <c r="I442" s="952"/>
      <c r="J442" s="952"/>
      <c r="K442" s="952"/>
      <c r="L442" s="952"/>
      <c r="M442" s="952"/>
      <c r="N442" s="952"/>
      <c r="O442" s="952"/>
      <c r="P442" s="952"/>
      <c r="Q442" s="952"/>
      <c r="R442" s="952"/>
      <c r="S442" s="952"/>
      <c r="T442" s="952"/>
      <c r="U442" s="952"/>
      <c r="V442" s="952"/>
      <c r="W442" s="952"/>
      <c r="X442" s="952"/>
      <c r="Y442" s="952"/>
      <c r="Z442" s="952"/>
    </row>
    <row r="443" spans="1:26" ht="18.75" customHeight="1" x14ac:dyDescent="0.35">
      <c r="A443" s="952"/>
      <c r="B443" s="952"/>
      <c r="C443" s="952"/>
      <c r="D443" s="952"/>
      <c r="E443" s="952"/>
      <c r="F443" s="952"/>
      <c r="G443" s="952"/>
      <c r="H443" s="952"/>
      <c r="I443" s="952"/>
      <c r="J443" s="952"/>
      <c r="K443" s="952"/>
      <c r="L443" s="952"/>
      <c r="M443" s="952"/>
      <c r="N443" s="952"/>
      <c r="O443" s="952"/>
      <c r="P443" s="952"/>
      <c r="Q443" s="952"/>
      <c r="R443" s="952"/>
      <c r="S443" s="952"/>
      <c r="T443" s="952"/>
      <c r="U443" s="952"/>
      <c r="V443" s="952"/>
      <c r="W443" s="952"/>
      <c r="X443" s="952"/>
      <c r="Y443" s="952"/>
      <c r="Z443" s="952"/>
    </row>
    <row r="444" spans="1:26" ht="18.75" customHeight="1" x14ac:dyDescent="0.35">
      <c r="A444" s="952"/>
      <c r="B444" s="952"/>
      <c r="C444" s="952"/>
      <c r="D444" s="952"/>
      <c r="E444" s="952"/>
      <c r="F444" s="952"/>
      <c r="G444" s="952"/>
      <c r="H444" s="952"/>
      <c r="I444" s="952"/>
      <c r="J444" s="952"/>
      <c r="K444" s="952"/>
      <c r="L444" s="952"/>
      <c r="M444" s="952"/>
      <c r="N444" s="952"/>
      <c r="O444" s="952"/>
      <c r="P444" s="952"/>
      <c r="Q444" s="952"/>
      <c r="R444" s="952"/>
      <c r="S444" s="952"/>
      <c r="T444" s="952"/>
      <c r="U444" s="952"/>
      <c r="V444" s="952"/>
      <c r="W444" s="952"/>
      <c r="X444" s="952"/>
      <c r="Y444" s="952"/>
      <c r="Z444" s="952"/>
    </row>
    <row r="445" spans="1:26" ht="18.75" customHeight="1" x14ac:dyDescent="0.35">
      <c r="A445" s="952"/>
      <c r="B445" s="952"/>
      <c r="C445" s="952"/>
      <c r="D445" s="952"/>
      <c r="E445" s="952"/>
      <c r="F445" s="952"/>
      <c r="G445" s="952"/>
      <c r="H445" s="952"/>
      <c r="I445" s="952"/>
      <c r="J445" s="952"/>
      <c r="K445" s="952"/>
      <c r="L445" s="952"/>
      <c r="M445" s="952"/>
      <c r="N445" s="952"/>
      <c r="O445" s="952"/>
      <c r="P445" s="952"/>
      <c r="Q445" s="952"/>
      <c r="R445" s="952"/>
      <c r="S445" s="952"/>
      <c r="T445" s="952"/>
      <c r="U445" s="952"/>
      <c r="V445" s="952"/>
      <c r="W445" s="952"/>
      <c r="X445" s="952"/>
      <c r="Y445" s="952"/>
      <c r="Z445" s="952"/>
    </row>
    <row r="446" spans="1:26" ht="18.75" customHeight="1" x14ac:dyDescent="0.35">
      <c r="A446" s="952"/>
      <c r="B446" s="952"/>
      <c r="C446" s="952"/>
      <c r="D446" s="952"/>
      <c r="E446" s="952"/>
      <c r="F446" s="952"/>
      <c r="G446" s="952"/>
      <c r="H446" s="952"/>
      <c r="I446" s="952"/>
      <c r="J446" s="952"/>
      <c r="K446" s="952"/>
      <c r="L446" s="952"/>
      <c r="M446" s="952"/>
      <c r="N446" s="952"/>
      <c r="O446" s="952"/>
      <c r="P446" s="952"/>
      <c r="Q446" s="952"/>
      <c r="R446" s="952"/>
      <c r="S446" s="952"/>
      <c r="T446" s="952"/>
      <c r="U446" s="952"/>
      <c r="V446" s="952"/>
      <c r="W446" s="952"/>
      <c r="X446" s="952"/>
      <c r="Y446" s="952"/>
      <c r="Z446" s="952"/>
    </row>
    <row r="447" spans="1:26" ht="18.75" customHeight="1" x14ac:dyDescent="0.35">
      <c r="A447" s="952"/>
      <c r="B447" s="952"/>
      <c r="C447" s="952"/>
      <c r="D447" s="952"/>
      <c r="E447" s="952"/>
      <c r="F447" s="952"/>
      <c r="G447" s="952"/>
      <c r="H447" s="952"/>
      <c r="I447" s="952"/>
      <c r="J447" s="952"/>
      <c r="K447" s="952"/>
      <c r="L447" s="952"/>
      <c r="M447" s="952"/>
      <c r="N447" s="952"/>
      <c r="O447" s="952"/>
      <c r="P447" s="952"/>
      <c r="Q447" s="952"/>
      <c r="R447" s="952"/>
      <c r="S447" s="952"/>
      <c r="T447" s="952"/>
      <c r="U447" s="952"/>
      <c r="V447" s="952"/>
      <c r="W447" s="952"/>
      <c r="X447" s="952"/>
      <c r="Y447" s="952"/>
      <c r="Z447" s="952"/>
    </row>
    <row r="448" spans="1:26" ht="18.75" customHeight="1" x14ac:dyDescent="0.35">
      <c r="A448" s="952"/>
      <c r="B448" s="952"/>
      <c r="C448" s="952"/>
      <c r="D448" s="952"/>
      <c r="E448" s="952"/>
      <c r="F448" s="952"/>
      <c r="G448" s="952"/>
      <c r="H448" s="952"/>
      <c r="I448" s="952"/>
      <c r="J448" s="952"/>
      <c r="K448" s="952"/>
      <c r="L448" s="952"/>
      <c r="M448" s="952"/>
      <c r="N448" s="952"/>
      <c r="O448" s="952"/>
      <c r="P448" s="952"/>
      <c r="Q448" s="952"/>
      <c r="R448" s="952"/>
      <c r="S448" s="952"/>
      <c r="T448" s="952"/>
      <c r="U448" s="952"/>
      <c r="V448" s="952"/>
      <c r="W448" s="952"/>
      <c r="X448" s="952"/>
      <c r="Y448" s="952"/>
      <c r="Z448" s="952"/>
    </row>
    <row r="449" spans="1:26" ht="18.75" customHeight="1" x14ac:dyDescent="0.35">
      <c r="A449" s="952"/>
      <c r="B449" s="952"/>
      <c r="C449" s="952"/>
      <c r="D449" s="952"/>
      <c r="E449" s="952"/>
      <c r="F449" s="952"/>
      <c r="G449" s="952"/>
      <c r="H449" s="952"/>
      <c r="I449" s="952"/>
      <c r="J449" s="952"/>
      <c r="K449" s="952"/>
      <c r="L449" s="952"/>
      <c r="M449" s="952"/>
      <c r="N449" s="952"/>
      <c r="O449" s="952"/>
      <c r="P449" s="952"/>
      <c r="Q449" s="952"/>
      <c r="R449" s="952"/>
      <c r="S449" s="952"/>
      <c r="T449" s="952"/>
      <c r="U449" s="952"/>
      <c r="V449" s="952"/>
      <c r="W449" s="952"/>
      <c r="X449" s="952"/>
      <c r="Y449" s="952"/>
      <c r="Z449" s="952"/>
    </row>
    <row r="450" spans="1:26" ht="18.75" customHeight="1" x14ac:dyDescent="0.35">
      <c r="A450" s="952"/>
      <c r="B450" s="952"/>
      <c r="C450" s="952"/>
      <c r="D450" s="952"/>
      <c r="E450" s="952"/>
      <c r="F450" s="952"/>
      <c r="G450" s="952"/>
      <c r="H450" s="952"/>
      <c r="I450" s="952"/>
      <c r="J450" s="952"/>
      <c r="K450" s="952"/>
      <c r="L450" s="952"/>
      <c r="M450" s="952"/>
      <c r="N450" s="952"/>
      <c r="O450" s="952"/>
      <c r="P450" s="952"/>
      <c r="Q450" s="952"/>
      <c r="R450" s="952"/>
      <c r="S450" s="952"/>
      <c r="T450" s="952"/>
      <c r="U450" s="952"/>
      <c r="V450" s="952"/>
      <c r="W450" s="952"/>
      <c r="X450" s="952"/>
      <c r="Y450" s="952"/>
      <c r="Z450" s="952"/>
    </row>
    <row r="451" spans="1:26" ht="18.75" customHeight="1" x14ac:dyDescent="0.35">
      <c r="A451" s="952"/>
      <c r="B451" s="952"/>
      <c r="C451" s="952"/>
      <c r="D451" s="952"/>
      <c r="E451" s="952"/>
      <c r="F451" s="952"/>
      <c r="G451" s="952"/>
      <c r="H451" s="952"/>
      <c r="I451" s="952"/>
      <c r="J451" s="952"/>
      <c r="K451" s="952"/>
      <c r="L451" s="952"/>
      <c r="M451" s="952"/>
      <c r="N451" s="952"/>
      <c r="O451" s="952"/>
      <c r="P451" s="952"/>
      <c r="Q451" s="952"/>
      <c r="R451" s="952"/>
      <c r="S451" s="952"/>
      <c r="T451" s="952"/>
      <c r="U451" s="952"/>
      <c r="V451" s="952"/>
      <c r="W451" s="952"/>
      <c r="X451" s="952"/>
      <c r="Y451" s="952"/>
      <c r="Z451" s="952"/>
    </row>
    <row r="452" spans="1:26" ht="18.75" customHeight="1" x14ac:dyDescent="0.35">
      <c r="A452" s="952"/>
      <c r="B452" s="952"/>
      <c r="C452" s="952"/>
      <c r="D452" s="952"/>
      <c r="E452" s="952"/>
      <c r="F452" s="952"/>
      <c r="G452" s="952"/>
      <c r="H452" s="952"/>
      <c r="I452" s="952"/>
      <c r="J452" s="952"/>
      <c r="K452" s="952"/>
      <c r="L452" s="952"/>
      <c r="M452" s="952"/>
      <c r="N452" s="952"/>
      <c r="O452" s="952"/>
      <c r="P452" s="952"/>
      <c r="Q452" s="952"/>
      <c r="R452" s="952"/>
      <c r="S452" s="952"/>
      <c r="T452" s="952"/>
      <c r="U452" s="952"/>
      <c r="V452" s="952"/>
      <c r="W452" s="952"/>
      <c r="X452" s="952"/>
      <c r="Y452" s="952"/>
      <c r="Z452" s="952"/>
    </row>
    <row r="453" spans="1:26" ht="18.75" customHeight="1" x14ac:dyDescent="0.35">
      <c r="A453" s="952"/>
      <c r="B453" s="952"/>
      <c r="C453" s="952"/>
      <c r="D453" s="952"/>
      <c r="E453" s="952"/>
      <c r="F453" s="952"/>
      <c r="G453" s="952"/>
      <c r="H453" s="952"/>
      <c r="I453" s="952"/>
      <c r="J453" s="952"/>
      <c r="K453" s="952"/>
      <c r="L453" s="952"/>
      <c r="M453" s="952"/>
      <c r="N453" s="952"/>
      <c r="O453" s="952"/>
      <c r="P453" s="952"/>
      <c r="Q453" s="952"/>
      <c r="R453" s="952"/>
      <c r="S453" s="952"/>
      <c r="T453" s="952"/>
      <c r="U453" s="952"/>
      <c r="V453" s="952"/>
      <c r="W453" s="952"/>
      <c r="X453" s="952"/>
      <c r="Y453" s="952"/>
      <c r="Z453" s="952"/>
    </row>
    <row r="454" spans="1:26" ht="18.75" customHeight="1" x14ac:dyDescent="0.35">
      <c r="A454" s="952"/>
      <c r="B454" s="952"/>
      <c r="C454" s="952"/>
      <c r="D454" s="952"/>
      <c r="E454" s="952"/>
      <c r="F454" s="952"/>
      <c r="G454" s="952"/>
      <c r="H454" s="952"/>
      <c r="I454" s="952"/>
      <c r="J454" s="952"/>
      <c r="K454" s="952"/>
      <c r="L454" s="952"/>
      <c r="M454" s="952"/>
      <c r="N454" s="952"/>
      <c r="O454" s="952"/>
      <c r="P454" s="952"/>
      <c r="Q454" s="952"/>
      <c r="R454" s="952"/>
      <c r="S454" s="952"/>
      <c r="T454" s="952"/>
      <c r="U454" s="952"/>
      <c r="V454" s="952"/>
      <c r="W454" s="952"/>
      <c r="X454" s="952"/>
      <c r="Y454" s="952"/>
      <c r="Z454" s="952"/>
    </row>
    <row r="455" spans="1:26" ht="18.75" customHeight="1" x14ac:dyDescent="0.35">
      <c r="A455" s="952"/>
      <c r="B455" s="952"/>
      <c r="C455" s="952"/>
      <c r="D455" s="952"/>
      <c r="E455" s="952"/>
      <c r="F455" s="952"/>
      <c r="G455" s="952"/>
      <c r="H455" s="952"/>
      <c r="I455" s="952"/>
      <c r="J455" s="952"/>
      <c r="K455" s="952"/>
      <c r="L455" s="952"/>
      <c r="M455" s="952"/>
      <c r="N455" s="952"/>
      <c r="O455" s="952"/>
      <c r="P455" s="952"/>
      <c r="Q455" s="952"/>
      <c r="R455" s="952"/>
      <c r="S455" s="952"/>
      <c r="T455" s="952"/>
      <c r="U455" s="952"/>
      <c r="V455" s="952"/>
      <c r="W455" s="952"/>
      <c r="X455" s="952"/>
      <c r="Y455" s="952"/>
      <c r="Z455" s="952"/>
    </row>
    <row r="456" spans="1:26" ht="18.75" customHeight="1" x14ac:dyDescent="0.35">
      <c r="A456" s="952"/>
      <c r="B456" s="952"/>
      <c r="C456" s="952"/>
      <c r="D456" s="952"/>
      <c r="E456" s="952"/>
      <c r="F456" s="952"/>
      <c r="G456" s="952"/>
      <c r="H456" s="952"/>
      <c r="I456" s="952"/>
      <c r="J456" s="952"/>
      <c r="K456" s="952"/>
      <c r="L456" s="952"/>
      <c r="M456" s="952"/>
      <c r="N456" s="952"/>
      <c r="O456" s="952"/>
      <c r="P456" s="952"/>
      <c r="Q456" s="952"/>
      <c r="R456" s="952"/>
      <c r="S456" s="952"/>
      <c r="T456" s="952"/>
      <c r="U456" s="952"/>
      <c r="V456" s="952"/>
      <c r="W456" s="952"/>
      <c r="X456" s="952"/>
      <c r="Y456" s="952"/>
      <c r="Z456" s="952"/>
    </row>
    <row r="457" spans="1:26" ht="18.75" customHeight="1" x14ac:dyDescent="0.35">
      <c r="A457" s="952"/>
      <c r="B457" s="952"/>
      <c r="C457" s="952"/>
      <c r="D457" s="952"/>
      <c r="E457" s="952"/>
      <c r="F457" s="952"/>
      <c r="G457" s="952"/>
      <c r="H457" s="952"/>
      <c r="I457" s="952"/>
      <c r="J457" s="952"/>
      <c r="K457" s="952"/>
      <c r="L457" s="952"/>
      <c r="M457" s="952"/>
      <c r="N457" s="952"/>
      <c r="O457" s="952"/>
      <c r="P457" s="952"/>
      <c r="Q457" s="952"/>
      <c r="R457" s="952"/>
      <c r="S457" s="952"/>
      <c r="T457" s="952"/>
      <c r="U457" s="952"/>
      <c r="V457" s="952"/>
      <c r="W457" s="952"/>
      <c r="X457" s="952"/>
      <c r="Y457" s="952"/>
      <c r="Z457" s="952"/>
    </row>
    <row r="458" spans="1:26" ht="18.75" customHeight="1" x14ac:dyDescent="0.35">
      <c r="A458" s="952"/>
      <c r="B458" s="952"/>
      <c r="C458" s="952"/>
      <c r="D458" s="952"/>
      <c r="E458" s="952"/>
      <c r="F458" s="952"/>
      <c r="G458" s="952"/>
      <c r="H458" s="952"/>
      <c r="I458" s="952"/>
      <c r="J458" s="952"/>
      <c r="K458" s="952"/>
      <c r="L458" s="952"/>
      <c r="M458" s="952"/>
      <c r="N458" s="952"/>
      <c r="O458" s="952"/>
      <c r="P458" s="952"/>
      <c r="Q458" s="952"/>
      <c r="R458" s="952"/>
      <c r="S458" s="952"/>
      <c r="T458" s="952"/>
      <c r="U458" s="952"/>
      <c r="V458" s="952"/>
      <c r="W458" s="952"/>
      <c r="X458" s="952"/>
      <c r="Y458" s="952"/>
      <c r="Z458" s="952"/>
    </row>
    <row r="459" spans="1:26" ht="18.75" customHeight="1" x14ac:dyDescent="0.35">
      <c r="A459" s="952"/>
      <c r="B459" s="952"/>
      <c r="C459" s="952"/>
      <c r="D459" s="952"/>
      <c r="E459" s="952"/>
      <c r="F459" s="952"/>
      <c r="G459" s="952"/>
      <c r="H459" s="952"/>
      <c r="I459" s="952"/>
      <c r="J459" s="952"/>
      <c r="K459" s="952"/>
      <c r="L459" s="952"/>
      <c r="M459" s="952"/>
      <c r="N459" s="952"/>
      <c r="O459" s="952"/>
      <c r="P459" s="952"/>
      <c r="Q459" s="952"/>
      <c r="R459" s="952"/>
      <c r="S459" s="952"/>
      <c r="T459" s="952"/>
      <c r="U459" s="952"/>
      <c r="V459" s="952"/>
      <c r="W459" s="952"/>
      <c r="X459" s="952"/>
      <c r="Y459" s="952"/>
      <c r="Z459" s="952"/>
    </row>
    <row r="460" spans="1:26" ht="18.75" customHeight="1" x14ac:dyDescent="0.35">
      <c r="A460" s="952"/>
      <c r="B460" s="952"/>
      <c r="C460" s="952"/>
      <c r="D460" s="952"/>
      <c r="E460" s="952"/>
      <c r="F460" s="952"/>
      <c r="G460" s="952"/>
      <c r="H460" s="952"/>
      <c r="I460" s="952"/>
      <c r="J460" s="952"/>
      <c r="K460" s="952"/>
      <c r="L460" s="952"/>
      <c r="M460" s="952"/>
      <c r="N460" s="952"/>
      <c r="O460" s="952"/>
      <c r="P460" s="952"/>
      <c r="Q460" s="952"/>
      <c r="R460" s="952"/>
      <c r="S460" s="952"/>
      <c r="T460" s="952"/>
      <c r="U460" s="952"/>
      <c r="V460" s="952"/>
      <c r="W460" s="952"/>
      <c r="X460" s="952"/>
      <c r="Y460" s="952"/>
      <c r="Z460" s="952"/>
    </row>
    <row r="461" spans="1:26" ht="18.75" customHeight="1" x14ac:dyDescent="0.35">
      <c r="A461" s="952"/>
      <c r="B461" s="952"/>
      <c r="C461" s="952"/>
      <c r="D461" s="952"/>
      <c r="E461" s="952"/>
      <c r="F461" s="952"/>
      <c r="G461" s="952"/>
      <c r="H461" s="952"/>
      <c r="I461" s="952"/>
      <c r="J461" s="952"/>
      <c r="K461" s="952"/>
      <c r="L461" s="952"/>
      <c r="M461" s="952"/>
      <c r="N461" s="952"/>
      <c r="O461" s="952"/>
      <c r="P461" s="952"/>
      <c r="Q461" s="952"/>
      <c r="R461" s="952"/>
      <c r="S461" s="952"/>
      <c r="T461" s="952"/>
      <c r="U461" s="952"/>
      <c r="V461" s="952"/>
      <c r="W461" s="952"/>
      <c r="X461" s="952"/>
      <c r="Y461" s="952"/>
      <c r="Z461" s="952"/>
    </row>
    <row r="462" spans="1:26" ht="18.75" customHeight="1" x14ac:dyDescent="0.35">
      <c r="A462" s="952"/>
      <c r="B462" s="952"/>
      <c r="C462" s="952"/>
      <c r="D462" s="952"/>
      <c r="E462" s="952"/>
      <c r="F462" s="952"/>
      <c r="G462" s="952"/>
      <c r="H462" s="952"/>
      <c r="I462" s="952"/>
      <c r="J462" s="952"/>
      <c r="K462" s="952"/>
      <c r="L462" s="952"/>
      <c r="M462" s="952"/>
      <c r="N462" s="952"/>
      <c r="O462" s="952"/>
      <c r="P462" s="952"/>
      <c r="Q462" s="952"/>
      <c r="R462" s="952"/>
      <c r="S462" s="952"/>
      <c r="T462" s="952"/>
      <c r="U462" s="952"/>
      <c r="V462" s="952"/>
      <c r="W462" s="952"/>
      <c r="X462" s="952"/>
      <c r="Y462" s="952"/>
      <c r="Z462" s="952"/>
    </row>
    <row r="463" spans="1:26" ht="18.75" customHeight="1" x14ac:dyDescent="0.35">
      <c r="A463" s="952"/>
      <c r="B463" s="952"/>
      <c r="C463" s="952"/>
      <c r="D463" s="952"/>
      <c r="E463" s="952"/>
      <c r="F463" s="952"/>
      <c r="G463" s="952"/>
      <c r="H463" s="952"/>
      <c r="I463" s="952"/>
      <c r="J463" s="952"/>
      <c r="K463" s="952"/>
      <c r="L463" s="952"/>
      <c r="M463" s="952"/>
      <c r="N463" s="952"/>
      <c r="O463" s="952"/>
      <c r="P463" s="952"/>
      <c r="Q463" s="952"/>
      <c r="R463" s="952"/>
      <c r="S463" s="952"/>
      <c r="T463" s="952"/>
      <c r="U463" s="952"/>
      <c r="V463" s="952"/>
      <c r="W463" s="952"/>
      <c r="X463" s="952"/>
      <c r="Y463" s="952"/>
      <c r="Z463" s="952"/>
    </row>
    <row r="464" spans="1:26" ht="18.75" customHeight="1" x14ac:dyDescent="0.35">
      <c r="A464" s="952"/>
      <c r="B464" s="952"/>
      <c r="C464" s="952"/>
      <c r="D464" s="952"/>
      <c r="E464" s="952"/>
      <c r="F464" s="952"/>
      <c r="G464" s="952"/>
      <c r="H464" s="952"/>
      <c r="I464" s="952"/>
      <c r="J464" s="952"/>
      <c r="K464" s="952"/>
      <c r="L464" s="952"/>
      <c r="M464" s="952"/>
      <c r="N464" s="952"/>
      <c r="O464" s="952"/>
      <c r="P464" s="952"/>
      <c r="Q464" s="952"/>
      <c r="R464" s="952"/>
      <c r="S464" s="952"/>
      <c r="T464" s="952"/>
      <c r="U464" s="952"/>
      <c r="V464" s="952"/>
      <c r="W464" s="952"/>
      <c r="X464" s="952"/>
      <c r="Y464" s="952"/>
      <c r="Z464" s="952"/>
    </row>
    <row r="465" spans="1:26" ht="18.75" customHeight="1" x14ac:dyDescent="0.35">
      <c r="A465" s="952"/>
      <c r="B465" s="952"/>
      <c r="C465" s="952"/>
      <c r="D465" s="952"/>
      <c r="E465" s="952"/>
      <c r="F465" s="952"/>
      <c r="G465" s="952"/>
      <c r="H465" s="952"/>
      <c r="I465" s="952"/>
      <c r="J465" s="952"/>
      <c r="K465" s="952"/>
      <c r="L465" s="952"/>
      <c r="M465" s="952"/>
      <c r="N465" s="952"/>
      <c r="O465" s="952"/>
      <c r="P465" s="952"/>
      <c r="Q465" s="952"/>
      <c r="R465" s="952"/>
      <c r="S465" s="952"/>
      <c r="T465" s="952"/>
      <c r="U465" s="952"/>
      <c r="V465" s="952"/>
      <c r="W465" s="952"/>
      <c r="X465" s="952"/>
      <c r="Y465" s="952"/>
      <c r="Z465" s="952"/>
    </row>
    <row r="466" spans="1:26" ht="18.75" customHeight="1" x14ac:dyDescent="0.35">
      <c r="A466" s="952"/>
      <c r="B466" s="952"/>
      <c r="C466" s="952"/>
      <c r="D466" s="952"/>
      <c r="E466" s="952"/>
      <c r="F466" s="952"/>
      <c r="G466" s="952"/>
      <c r="H466" s="952"/>
      <c r="I466" s="952"/>
      <c r="J466" s="952"/>
      <c r="K466" s="952"/>
      <c r="L466" s="952"/>
      <c r="M466" s="952"/>
      <c r="N466" s="952"/>
      <c r="O466" s="952"/>
      <c r="P466" s="952"/>
      <c r="Q466" s="952"/>
      <c r="R466" s="952"/>
      <c r="S466" s="952"/>
      <c r="T466" s="952"/>
      <c r="U466" s="952"/>
      <c r="V466" s="952"/>
      <c r="W466" s="952"/>
      <c r="X466" s="952"/>
      <c r="Y466" s="952"/>
      <c r="Z466" s="952"/>
    </row>
    <row r="467" spans="1:26" ht="18.75" customHeight="1" x14ac:dyDescent="0.35">
      <c r="A467" s="952"/>
      <c r="B467" s="952"/>
      <c r="C467" s="952"/>
      <c r="D467" s="952"/>
      <c r="E467" s="952"/>
      <c r="F467" s="952"/>
      <c r="G467" s="952"/>
      <c r="H467" s="952"/>
      <c r="I467" s="952"/>
      <c r="J467" s="952"/>
      <c r="K467" s="952"/>
      <c r="L467" s="952"/>
      <c r="M467" s="952"/>
      <c r="N467" s="952"/>
      <c r="O467" s="952"/>
      <c r="P467" s="952"/>
      <c r="Q467" s="952"/>
      <c r="R467" s="952"/>
      <c r="S467" s="952"/>
      <c r="T467" s="952"/>
      <c r="U467" s="952"/>
      <c r="V467" s="952"/>
      <c r="W467" s="952"/>
      <c r="X467" s="952"/>
      <c r="Y467" s="952"/>
      <c r="Z467" s="952"/>
    </row>
    <row r="468" spans="1:26" ht="18.75" customHeight="1" x14ac:dyDescent="0.35">
      <c r="A468" s="952"/>
      <c r="B468" s="952"/>
      <c r="C468" s="952"/>
      <c r="D468" s="952"/>
      <c r="E468" s="952"/>
      <c r="F468" s="952"/>
      <c r="G468" s="952"/>
      <c r="H468" s="952"/>
      <c r="I468" s="952"/>
      <c r="J468" s="952"/>
      <c r="K468" s="952"/>
      <c r="L468" s="952"/>
      <c r="M468" s="952"/>
      <c r="N468" s="952"/>
      <c r="O468" s="952"/>
      <c r="P468" s="952"/>
      <c r="Q468" s="952"/>
      <c r="R468" s="952"/>
      <c r="S468" s="952"/>
      <c r="T468" s="952"/>
      <c r="U468" s="952"/>
      <c r="V468" s="952"/>
      <c r="W468" s="952"/>
      <c r="X468" s="952"/>
      <c r="Y468" s="952"/>
      <c r="Z468" s="952"/>
    </row>
    <row r="469" spans="1:26" ht="18.75" customHeight="1" x14ac:dyDescent="0.35">
      <c r="A469" s="952"/>
      <c r="B469" s="952"/>
      <c r="C469" s="952"/>
      <c r="D469" s="952"/>
      <c r="E469" s="952"/>
      <c r="F469" s="952"/>
      <c r="G469" s="952"/>
      <c r="H469" s="952"/>
      <c r="I469" s="952"/>
      <c r="J469" s="952"/>
      <c r="K469" s="952"/>
      <c r="L469" s="952"/>
      <c r="M469" s="952"/>
      <c r="N469" s="952"/>
      <c r="O469" s="952"/>
      <c r="P469" s="952"/>
      <c r="Q469" s="952"/>
      <c r="R469" s="952"/>
      <c r="S469" s="952"/>
      <c r="T469" s="952"/>
      <c r="U469" s="952"/>
      <c r="V469" s="952"/>
      <c r="W469" s="952"/>
      <c r="X469" s="952"/>
      <c r="Y469" s="952"/>
      <c r="Z469" s="952"/>
    </row>
    <row r="470" spans="1:26" ht="18.75" customHeight="1" x14ac:dyDescent="0.35">
      <c r="A470" s="952"/>
      <c r="B470" s="952"/>
      <c r="C470" s="952"/>
      <c r="D470" s="952"/>
      <c r="E470" s="952"/>
      <c r="F470" s="952"/>
      <c r="G470" s="952"/>
      <c r="H470" s="952"/>
      <c r="I470" s="952"/>
      <c r="J470" s="952"/>
      <c r="K470" s="952"/>
      <c r="L470" s="952"/>
      <c r="M470" s="952"/>
      <c r="N470" s="952"/>
      <c r="O470" s="952"/>
      <c r="P470" s="952"/>
      <c r="Q470" s="952"/>
      <c r="R470" s="952"/>
      <c r="S470" s="952"/>
      <c r="T470" s="952"/>
      <c r="U470" s="952"/>
      <c r="V470" s="952"/>
      <c r="W470" s="952"/>
      <c r="X470" s="952"/>
      <c r="Y470" s="952"/>
      <c r="Z470" s="952"/>
    </row>
    <row r="471" spans="1:26" ht="18.75" customHeight="1" x14ac:dyDescent="0.35">
      <c r="A471" s="952"/>
      <c r="B471" s="952"/>
      <c r="C471" s="952"/>
      <c r="D471" s="952"/>
      <c r="E471" s="952"/>
      <c r="F471" s="952"/>
      <c r="G471" s="952"/>
      <c r="H471" s="952"/>
      <c r="I471" s="952"/>
      <c r="J471" s="952"/>
      <c r="K471" s="952"/>
      <c r="L471" s="952"/>
      <c r="M471" s="952"/>
      <c r="N471" s="952"/>
      <c r="O471" s="952"/>
      <c r="P471" s="952"/>
      <c r="Q471" s="952"/>
      <c r="R471" s="952"/>
      <c r="S471" s="952"/>
      <c r="T471" s="952"/>
      <c r="U471" s="952"/>
      <c r="V471" s="952"/>
      <c r="W471" s="952"/>
      <c r="X471" s="952"/>
      <c r="Y471" s="952"/>
      <c r="Z471" s="952"/>
    </row>
    <row r="472" spans="1:26" ht="18.75" customHeight="1" x14ac:dyDescent="0.35">
      <c r="A472" s="952"/>
      <c r="B472" s="952"/>
      <c r="C472" s="952"/>
      <c r="D472" s="952"/>
      <c r="E472" s="952"/>
      <c r="F472" s="952"/>
      <c r="G472" s="952"/>
      <c r="H472" s="952"/>
      <c r="I472" s="952"/>
      <c r="J472" s="952"/>
      <c r="K472" s="952"/>
      <c r="L472" s="952"/>
      <c r="M472" s="952"/>
      <c r="N472" s="952"/>
      <c r="O472" s="952"/>
      <c r="P472" s="952"/>
      <c r="Q472" s="952"/>
      <c r="R472" s="952"/>
      <c r="S472" s="952"/>
      <c r="T472" s="952"/>
      <c r="U472" s="952"/>
      <c r="V472" s="952"/>
      <c r="W472" s="952"/>
      <c r="X472" s="952"/>
      <c r="Y472" s="952"/>
      <c r="Z472" s="952"/>
    </row>
    <row r="473" spans="1:26" ht="18.75" customHeight="1" x14ac:dyDescent="0.35">
      <c r="A473" s="952"/>
      <c r="B473" s="952"/>
      <c r="C473" s="952"/>
      <c r="D473" s="952"/>
      <c r="E473" s="952"/>
      <c r="F473" s="952"/>
      <c r="G473" s="952"/>
      <c r="H473" s="952"/>
      <c r="I473" s="952"/>
      <c r="J473" s="952"/>
      <c r="K473" s="952"/>
      <c r="L473" s="952"/>
      <c r="M473" s="952"/>
      <c r="N473" s="952"/>
      <c r="O473" s="952"/>
      <c r="P473" s="952"/>
      <c r="Q473" s="952"/>
      <c r="R473" s="952"/>
      <c r="S473" s="952"/>
      <c r="T473" s="952"/>
      <c r="U473" s="952"/>
      <c r="V473" s="952"/>
      <c r="W473" s="952"/>
      <c r="X473" s="952"/>
      <c r="Y473" s="952"/>
      <c r="Z473" s="952"/>
    </row>
    <row r="474" spans="1:26" ht="18.75" customHeight="1" x14ac:dyDescent="0.35">
      <c r="A474" s="952"/>
      <c r="B474" s="952"/>
      <c r="C474" s="952"/>
      <c r="D474" s="952"/>
      <c r="E474" s="952"/>
      <c r="F474" s="952"/>
      <c r="G474" s="952"/>
      <c r="H474" s="952"/>
      <c r="I474" s="952"/>
      <c r="J474" s="952"/>
      <c r="K474" s="952"/>
      <c r="L474" s="952"/>
      <c r="M474" s="952"/>
      <c r="N474" s="952"/>
      <c r="O474" s="952"/>
      <c r="P474" s="952"/>
      <c r="Q474" s="952"/>
      <c r="R474" s="952"/>
      <c r="S474" s="952"/>
      <c r="T474" s="952"/>
      <c r="U474" s="952"/>
      <c r="V474" s="952"/>
      <c r="W474" s="952"/>
      <c r="X474" s="952"/>
      <c r="Y474" s="952"/>
      <c r="Z474" s="952"/>
    </row>
    <row r="475" spans="1:26" ht="18.75" customHeight="1" x14ac:dyDescent="0.35">
      <c r="A475" s="952"/>
      <c r="B475" s="952"/>
      <c r="C475" s="952"/>
      <c r="D475" s="952"/>
      <c r="E475" s="952"/>
      <c r="F475" s="952"/>
      <c r="G475" s="952"/>
      <c r="H475" s="952"/>
      <c r="I475" s="952"/>
      <c r="J475" s="952"/>
      <c r="K475" s="952"/>
      <c r="L475" s="952"/>
      <c r="M475" s="952"/>
      <c r="N475" s="952"/>
      <c r="O475" s="952"/>
      <c r="P475" s="952"/>
      <c r="Q475" s="952"/>
      <c r="R475" s="952"/>
      <c r="S475" s="952"/>
      <c r="T475" s="952"/>
      <c r="U475" s="952"/>
      <c r="V475" s="952"/>
      <c r="W475" s="952"/>
      <c r="X475" s="952"/>
      <c r="Y475" s="952"/>
      <c r="Z475" s="952"/>
    </row>
    <row r="476" spans="1:26" ht="18.75" customHeight="1" x14ac:dyDescent="0.35">
      <c r="A476" s="952"/>
      <c r="B476" s="952"/>
      <c r="C476" s="952"/>
      <c r="D476" s="952"/>
      <c r="E476" s="952"/>
      <c r="F476" s="952"/>
      <c r="G476" s="952"/>
      <c r="H476" s="952"/>
      <c r="I476" s="952"/>
      <c r="J476" s="952"/>
      <c r="K476" s="952"/>
      <c r="L476" s="952"/>
      <c r="M476" s="952"/>
      <c r="N476" s="952"/>
      <c r="O476" s="952"/>
      <c r="P476" s="952"/>
      <c r="Q476" s="952"/>
      <c r="R476" s="952"/>
      <c r="S476" s="952"/>
      <c r="T476" s="952"/>
      <c r="U476" s="952"/>
      <c r="V476" s="952"/>
      <c r="W476" s="952"/>
      <c r="X476" s="952"/>
      <c r="Y476" s="952"/>
      <c r="Z476" s="952"/>
    </row>
    <row r="477" spans="1:26" ht="18.75" customHeight="1" x14ac:dyDescent="0.35">
      <c r="A477" s="952"/>
      <c r="B477" s="952"/>
      <c r="C477" s="952"/>
      <c r="D477" s="952"/>
      <c r="E477" s="952"/>
      <c r="F477" s="952"/>
      <c r="G477" s="952"/>
      <c r="H477" s="952"/>
      <c r="I477" s="952"/>
      <c r="J477" s="952"/>
      <c r="K477" s="952"/>
      <c r="L477" s="952"/>
      <c r="M477" s="952"/>
      <c r="N477" s="952"/>
      <c r="O477" s="952"/>
      <c r="P477" s="952"/>
      <c r="Q477" s="952"/>
      <c r="R477" s="952"/>
      <c r="S477" s="952"/>
      <c r="T477" s="952"/>
      <c r="U477" s="952"/>
      <c r="V477" s="952"/>
      <c r="W477" s="952"/>
      <c r="X477" s="952"/>
      <c r="Y477" s="952"/>
      <c r="Z477" s="952"/>
    </row>
    <row r="478" spans="1:26" ht="18.75" customHeight="1" x14ac:dyDescent="0.35">
      <c r="A478" s="952"/>
      <c r="B478" s="952"/>
      <c r="C478" s="952"/>
      <c r="D478" s="952"/>
      <c r="E478" s="952"/>
      <c r="F478" s="952"/>
      <c r="G478" s="952"/>
      <c r="H478" s="952"/>
      <c r="I478" s="952"/>
      <c r="J478" s="952"/>
      <c r="K478" s="952"/>
      <c r="L478" s="952"/>
      <c r="M478" s="952"/>
      <c r="N478" s="952"/>
      <c r="O478" s="952"/>
      <c r="P478" s="952"/>
      <c r="Q478" s="952"/>
      <c r="R478" s="952"/>
      <c r="S478" s="952"/>
      <c r="T478" s="952"/>
      <c r="U478" s="952"/>
      <c r="V478" s="952"/>
      <c r="W478" s="952"/>
      <c r="X478" s="952"/>
      <c r="Y478" s="952"/>
      <c r="Z478" s="952"/>
    </row>
    <row r="479" spans="1:26" ht="18.75" customHeight="1" x14ac:dyDescent="0.35">
      <c r="A479" s="952"/>
      <c r="B479" s="952"/>
      <c r="C479" s="952"/>
      <c r="D479" s="952"/>
      <c r="E479" s="952"/>
      <c r="F479" s="952"/>
      <c r="G479" s="952"/>
      <c r="H479" s="952"/>
      <c r="I479" s="952"/>
      <c r="J479" s="952"/>
      <c r="K479" s="952"/>
      <c r="L479" s="952"/>
      <c r="M479" s="952"/>
      <c r="N479" s="952"/>
      <c r="O479" s="952"/>
      <c r="P479" s="952"/>
      <c r="Q479" s="952"/>
      <c r="R479" s="952"/>
      <c r="S479" s="952"/>
      <c r="T479" s="952"/>
      <c r="U479" s="952"/>
      <c r="V479" s="952"/>
      <c r="W479" s="952"/>
      <c r="X479" s="952"/>
      <c r="Y479" s="952"/>
      <c r="Z479" s="952"/>
    </row>
    <row r="480" spans="1:26" ht="18.75" customHeight="1" x14ac:dyDescent="0.35">
      <c r="A480" s="952"/>
      <c r="B480" s="952"/>
      <c r="C480" s="952"/>
      <c r="D480" s="952"/>
      <c r="E480" s="952"/>
      <c r="F480" s="952"/>
      <c r="G480" s="952"/>
      <c r="H480" s="952"/>
      <c r="I480" s="952"/>
      <c r="J480" s="952"/>
      <c r="K480" s="952"/>
      <c r="L480" s="952"/>
      <c r="M480" s="952"/>
      <c r="N480" s="952"/>
      <c r="O480" s="952"/>
      <c r="P480" s="952"/>
      <c r="Q480" s="952"/>
      <c r="R480" s="952"/>
      <c r="S480" s="952"/>
      <c r="T480" s="952"/>
      <c r="U480" s="952"/>
      <c r="V480" s="952"/>
      <c r="W480" s="952"/>
      <c r="X480" s="952"/>
      <c r="Y480" s="952"/>
      <c r="Z480" s="952"/>
    </row>
    <row r="481" spans="1:26" ht="18.75" customHeight="1" x14ac:dyDescent="0.35">
      <c r="A481" s="952"/>
      <c r="B481" s="952"/>
      <c r="C481" s="952"/>
      <c r="D481" s="952"/>
      <c r="E481" s="952"/>
      <c r="F481" s="952"/>
      <c r="G481" s="952"/>
      <c r="H481" s="952"/>
      <c r="I481" s="952"/>
      <c r="J481" s="952"/>
      <c r="K481" s="952"/>
      <c r="L481" s="952"/>
      <c r="M481" s="952"/>
      <c r="N481" s="952"/>
      <c r="O481" s="952"/>
      <c r="P481" s="952"/>
      <c r="Q481" s="952"/>
      <c r="R481" s="952"/>
      <c r="S481" s="952"/>
      <c r="T481" s="952"/>
      <c r="U481" s="952"/>
      <c r="V481" s="952"/>
      <c r="W481" s="952"/>
      <c r="X481" s="952"/>
      <c r="Y481" s="952"/>
      <c r="Z481" s="952"/>
    </row>
    <row r="482" spans="1:26" ht="18.75" customHeight="1" x14ac:dyDescent="0.35">
      <c r="A482" s="952"/>
      <c r="B482" s="952"/>
      <c r="C482" s="952"/>
      <c r="D482" s="952"/>
      <c r="E482" s="952"/>
      <c r="F482" s="952"/>
      <c r="G482" s="952"/>
      <c r="H482" s="952"/>
      <c r="I482" s="952"/>
      <c r="J482" s="952"/>
      <c r="K482" s="952"/>
      <c r="L482" s="952"/>
      <c r="M482" s="952"/>
      <c r="N482" s="952"/>
      <c r="O482" s="952"/>
      <c r="P482" s="952"/>
      <c r="Q482" s="952"/>
      <c r="R482" s="952"/>
      <c r="S482" s="952"/>
      <c r="T482" s="952"/>
      <c r="U482" s="952"/>
      <c r="V482" s="952"/>
      <c r="W482" s="952"/>
      <c r="X482" s="952"/>
      <c r="Y482" s="952"/>
      <c r="Z482" s="952"/>
    </row>
    <row r="483" spans="1:26" ht="18.75" customHeight="1" x14ac:dyDescent="0.35">
      <c r="A483" s="952"/>
      <c r="B483" s="952"/>
      <c r="C483" s="952"/>
      <c r="D483" s="952"/>
      <c r="E483" s="952"/>
      <c r="F483" s="952"/>
      <c r="G483" s="952"/>
      <c r="H483" s="952"/>
      <c r="I483" s="952"/>
      <c r="J483" s="952"/>
      <c r="K483" s="952"/>
      <c r="L483" s="952"/>
      <c r="M483" s="952"/>
      <c r="N483" s="952"/>
      <c r="O483" s="952"/>
      <c r="P483" s="952"/>
      <c r="Q483" s="952"/>
      <c r="R483" s="952"/>
      <c r="S483" s="952"/>
      <c r="T483" s="952"/>
      <c r="U483" s="952"/>
      <c r="V483" s="952"/>
      <c r="W483" s="952"/>
      <c r="X483" s="952"/>
      <c r="Y483" s="952"/>
      <c r="Z483" s="952"/>
    </row>
    <row r="484" spans="1:26" ht="18.75" customHeight="1" x14ac:dyDescent="0.35">
      <c r="A484" s="952"/>
      <c r="B484" s="952"/>
      <c r="C484" s="952"/>
      <c r="D484" s="952"/>
      <c r="E484" s="952"/>
      <c r="F484" s="952"/>
      <c r="G484" s="952"/>
      <c r="H484" s="952"/>
      <c r="I484" s="952"/>
      <c r="J484" s="952"/>
      <c r="K484" s="952"/>
      <c r="L484" s="952"/>
      <c r="M484" s="952"/>
      <c r="N484" s="952"/>
      <c r="O484" s="952"/>
      <c r="P484" s="952"/>
      <c r="Q484" s="952"/>
      <c r="R484" s="952"/>
      <c r="S484" s="952"/>
      <c r="T484" s="952"/>
      <c r="U484" s="952"/>
      <c r="V484" s="952"/>
      <c r="W484" s="952"/>
      <c r="X484" s="952"/>
      <c r="Y484" s="952"/>
      <c r="Z484" s="952"/>
    </row>
    <row r="485" spans="1:26" ht="18.75" customHeight="1" x14ac:dyDescent="0.35">
      <c r="A485" s="952"/>
      <c r="B485" s="952"/>
      <c r="C485" s="952"/>
      <c r="D485" s="952"/>
      <c r="E485" s="952"/>
      <c r="F485" s="952"/>
      <c r="G485" s="952"/>
      <c r="H485" s="952"/>
      <c r="I485" s="952"/>
      <c r="J485" s="952"/>
      <c r="K485" s="952"/>
      <c r="L485" s="952"/>
      <c r="M485" s="952"/>
      <c r="N485" s="952"/>
      <c r="O485" s="952"/>
      <c r="P485" s="952"/>
      <c r="Q485" s="952"/>
      <c r="R485" s="952"/>
      <c r="S485" s="952"/>
      <c r="T485" s="952"/>
      <c r="U485" s="952"/>
      <c r="V485" s="952"/>
      <c r="W485" s="952"/>
      <c r="X485" s="952"/>
      <c r="Y485" s="952"/>
      <c r="Z485" s="952"/>
    </row>
    <row r="486" spans="1:26" ht="18.75" customHeight="1" x14ac:dyDescent="0.35">
      <c r="A486" s="952"/>
      <c r="B486" s="952"/>
      <c r="C486" s="952"/>
      <c r="D486" s="952"/>
      <c r="E486" s="952"/>
      <c r="F486" s="952"/>
      <c r="G486" s="952"/>
      <c r="H486" s="952"/>
      <c r="I486" s="952"/>
      <c r="J486" s="952"/>
      <c r="K486" s="952"/>
      <c r="L486" s="952"/>
      <c r="M486" s="952"/>
      <c r="N486" s="952"/>
      <c r="O486" s="952"/>
      <c r="P486" s="952"/>
      <c r="Q486" s="952"/>
      <c r="R486" s="952"/>
      <c r="S486" s="952"/>
      <c r="T486" s="952"/>
      <c r="U486" s="952"/>
      <c r="V486" s="952"/>
      <c r="W486" s="952"/>
      <c r="X486" s="952"/>
      <c r="Y486" s="952"/>
      <c r="Z486" s="952"/>
    </row>
    <row r="487" spans="1:26" ht="18.75" customHeight="1" x14ac:dyDescent="0.35">
      <c r="A487" s="952"/>
      <c r="B487" s="952"/>
      <c r="C487" s="952"/>
      <c r="D487" s="952"/>
      <c r="E487" s="952"/>
      <c r="F487" s="952"/>
      <c r="G487" s="952"/>
      <c r="H487" s="952"/>
      <c r="I487" s="952"/>
      <c r="J487" s="952"/>
      <c r="K487" s="952"/>
      <c r="L487" s="952"/>
      <c r="M487" s="952"/>
      <c r="N487" s="952"/>
      <c r="O487" s="952"/>
      <c r="P487" s="952"/>
      <c r="Q487" s="952"/>
      <c r="R487" s="952"/>
      <c r="S487" s="952"/>
      <c r="T487" s="952"/>
      <c r="U487" s="952"/>
      <c r="V487" s="952"/>
      <c r="W487" s="952"/>
      <c r="X487" s="952"/>
      <c r="Y487" s="952"/>
      <c r="Z487" s="952"/>
    </row>
    <row r="488" spans="1:26" ht="18.75" customHeight="1" x14ac:dyDescent="0.35">
      <c r="A488" s="952"/>
      <c r="B488" s="952"/>
      <c r="C488" s="952"/>
      <c r="D488" s="952"/>
      <c r="E488" s="952"/>
      <c r="F488" s="952"/>
      <c r="G488" s="952"/>
      <c r="H488" s="952"/>
      <c r="I488" s="952"/>
      <c r="J488" s="952"/>
      <c r="K488" s="952"/>
      <c r="L488" s="952"/>
      <c r="M488" s="952"/>
      <c r="N488" s="952"/>
      <c r="O488" s="952"/>
      <c r="P488" s="952"/>
      <c r="Q488" s="952"/>
      <c r="R488" s="952"/>
      <c r="S488" s="952"/>
      <c r="T488" s="952"/>
      <c r="U488" s="952"/>
      <c r="V488" s="952"/>
      <c r="W488" s="952"/>
      <c r="X488" s="952"/>
      <c r="Y488" s="952"/>
      <c r="Z488" s="952"/>
    </row>
    <row r="489" spans="1:26" ht="18.75" customHeight="1" x14ac:dyDescent="0.35">
      <c r="A489" s="952"/>
      <c r="B489" s="952"/>
      <c r="C489" s="952"/>
      <c r="D489" s="952"/>
      <c r="E489" s="952"/>
      <c r="F489" s="952"/>
      <c r="G489" s="952"/>
      <c r="H489" s="952"/>
      <c r="I489" s="952"/>
      <c r="J489" s="952"/>
      <c r="K489" s="952"/>
      <c r="L489" s="952"/>
      <c r="M489" s="952"/>
      <c r="N489" s="952"/>
      <c r="O489" s="952"/>
      <c r="P489" s="952"/>
      <c r="Q489" s="952"/>
      <c r="R489" s="952"/>
      <c r="S489" s="952"/>
      <c r="T489" s="952"/>
      <c r="U489" s="952"/>
      <c r="V489" s="952"/>
      <c r="W489" s="952"/>
      <c r="X489" s="952"/>
      <c r="Y489" s="952"/>
      <c r="Z489" s="952"/>
    </row>
    <row r="490" spans="1:26" ht="18.75" customHeight="1" x14ac:dyDescent="0.35">
      <c r="A490" s="952"/>
      <c r="B490" s="952"/>
      <c r="C490" s="952"/>
      <c r="D490" s="952"/>
      <c r="E490" s="952"/>
      <c r="F490" s="952"/>
      <c r="G490" s="952"/>
      <c r="H490" s="952"/>
      <c r="I490" s="952"/>
      <c r="J490" s="952"/>
      <c r="K490" s="952"/>
      <c r="L490" s="952"/>
      <c r="M490" s="952"/>
      <c r="N490" s="952"/>
      <c r="O490" s="952"/>
      <c r="P490" s="952"/>
      <c r="Q490" s="952"/>
      <c r="R490" s="952"/>
      <c r="S490" s="952"/>
      <c r="T490" s="952"/>
      <c r="U490" s="952"/>
      <c r="V490" s="952"/>
      <c r="W490" s="952"/>
      <c r="X490" s="952"/>
      <c r="Y490" s="952"/>
      <c r="Z490" s="952"/>
    </row>
    <row r="491" spans="1:26" ht="18.75" customHeight="1" x14ac:dyDescent="0.35">
      <c r="A491" s="952"/>
      <c r="B491" s="952"/>
      <c r="C491" s="952"/>
      <c r="D491" s="952"/>
      <c r="E491" s="952"/>
      <c r="F491" s="952"/>
      <c r="G491" s="952"/>
      <c r="H491" s="952"/>
      <c r="I491" s="952"/>
      <c r="J491" s="952"/>
      <c r="K491" s="952"/>
      <c r="L491" s="952"/>
      <c r="M491" s="952"/>
      <c r="N491" s="952"/>
      <c r="O491" s="952"/>
      <c r="P491" s="952"/>
      <c r="Q491" s="952"/>
      <c r="R491" s="952"/>
      <c r="S491" s="952"/>
      <c r="T491" s="952"/>
      <c r="U491" s="952"/>
      <c r="V491" s="952"/>
      <c r="W491" s="952"/>
      <c r="X491" s="952"/>
      <c r="Y491" s="952"/>
      <c r="Z491" s="952"/>
    </row>
    <row r="492" spans="1:26" ht="18.75" customHeight="1" x14ac:dyDescent="0.35">
      <c r="A492" s="952"/>
      <c r="B492" s="952"/>
      <c r="C492" s="952"/>
      <c r="D492" s="952"/>
      <c r="E492" s="952"/>
      <c r="F492" s="952"/>
      <c r="G492" s="952"/>
      <c r="H492" s="952"/>
      <c r="I492" s="952"/>
      <c r="J492" s="952"/>
      <c r="K492" s="952"/>
      <c r="L492" s="952"/>
      <c r="M492" s="952"/>
      <c r="N492" s="952"/>
      <c r="O492" s="952"/>
      <c r="P492" s="952"/>
      <c r="Q492" s="952"/>
      <c r="R492" s="952"/>
      <c r="S492" s="952"/>
      <c r="T492" s="952"/>
      <c r="U492" s="952"/>
      <c r="V492" s="952"/>
      <c r="W492" s="952"/>
      <c r="X492" s="952"/>
      <c r="Y492" s="952"/>
      <c r="Z492" s="952"/>
    </row>
    <row r="493" spans="1:26" ht="18.75" customHeight="1" x14ac:dyDescent="0.35">
      <c r="A493" s="952"/>
      <c r="B493" s="952"/>
      <c r="C493" s="952"/>
      <c r="D493" s="952"/>
      <c r="E493" s="952"/>
      <c r="F493" s="952"/>
      <c r="G493" s="952"/>
      <c r="H493" s="952"/>
      <c r="I493" s="952"/>
      <c r="J493" s="952"/>
      <c r="K493" s="952"/>
      <c r="L493" s="952"/>
      <c r="M493" s="952"/>
      <c r="N493" s="952"/>
      <c r="O493" s="952"/>
      <c r="P493" s="952"/>
      <c r="Q493" s="952"/>
      <c r="R493" s="952"/>
      <c r="S493" s="952"/>
      <c r="T493" s="952"/>
      <c r="U493" s="952"/>
      <c r="V493" s="952"/>
      <c r="W493" s="952"/>
      <c r="X493" s="952"/>
      <c r="Y493" s="952"/>
      <c r="Z493" s="952"/>
    </row>
    <row r="494" spans="1:26" ht="18.75" customHeight="1" x14ac:dyDescent="0.35">
      <c r="A494" s="952"/>
      <c r="B494" s="952"/>
      <c r="C494" s="952"/>
      <c r="D494" s="952"/>
      <c r="E494" s="952"/>
      <c r="F494" s="952"/>
      <c r="G494" s="952"/>
      <c r="H494" s="952"/>
      <c r="I494" s="952"/>
      <c r="J494" s="952"/>
      <c r="K494" s="952"/>
      <c r="L494" s="952"/>
      <c r="M494" s="952"/>
      <c r="N494" s="952"/>
      <c r="O494" s="952"/>
      <c r="P494" s="952"/>
      <c r="Q494" s="952"/>
      <c r="R494" s="952"/>
      <c r="S494" s="952"/>
      <c r="T494" s="952"/>
      <c r="U494" s="952"/>
      <c r="V494" s="952"/>
      <c r="W494" s="952"/>
      <c r="X494" s="952"/>
      <c r="Y494" s="952"/>
      <c r="Z494" s="952"/>
    </row>
    <row r="495" spans="1:26" ht="18.75" customHeight="1" x14ac:dyDescent="0.35">
      <c r="A495" s="952"/>
      <c r="B495" s="952"/>
      <c r="C495" s="952"/>
      <c r="D495" s="952"/>
      <c r="E495" s="952"/>
      <c r="F495" s="952"/>
      <c r="G495" s="952"/>
      <c r="H495" s="952"/>
      <c r="I495" s="952"/>
      <c r="J495" s="952"/>
      <c r="K495" s="952"/>
      <c r="L495" s="952"/>
      <c r="M495" s="952"/>
      <c r="N495" s="952"/>
      <c r="O495" s="952"/>
      <c r="P495" s="952"/>
      <c r="Q495" s="952"/>
      <c r="R495" s="952"/>
      <c r="S495" s="952"/>
      <c r="T495" s="952"/>
      <c r="U495" s="952"/>
      <c r="V495" s="952"/>
      <c r="W495" s="952"/>
      <c r="X495" s="952"/>
      <c r="Y495" s="952"/>
      <c r="Z495" s="952"/>
    </row>
    <row r="496" spans="1:26" ht="18.75" customHeight="1" x14ac:dyDescent="0.35">
      <c r="A496" s="952"/>
      <c r="B496" s="952"/>
      <c r="C496" s="952"/>
      <c r="D496" s="952"/>
      <c r="E496" s="952"/>
      <c r="F496" s="952"/>
      <c r="G496" s="952"/>
      <c r="H496" s="952"/>
      <c r="I496" s="952"/>
      <c r="J496" s="952"/>
      <c r="K496" s="952"/>
      <c r="L496" s="952"/>
      <c r="M496" s="952"/>
      <c r="N496" s="952"/>
      <c r="O496" s="952"/>
      <c r="P496" s="952"/>
      <c r="Q496" s="952"/>
      <c r="R496" s="952"/>
      <c r="S496" s="952"/>
      <c r="T496" s="952"/>
      <c r="U496" s="952"/>
      <c r="V496" s="952"/>
      <c r="W496" s="952"/>
      <c r="X496" s="952"/>
      <c r="Y496" s="952"/>
      <c r="Z496" s="952"/>
    </row>
    <row r="497" spans="1:26" ht="18.75" customHeight="1" x14ac:dyDescent="0.35">
      <c r="A497" s="952"/>
      <c r="B497" s="952"/>
      <c r="C497" s="952"/>
      <c r="D497" s="952"/>
      <c r="E497" s="952"/>
      <c r="F497" s="952"/>
      <c r="G497" s="952"/>
      <c r="H497" s="952"/>
      <c r="I497" s="952"/>
      <c r="J497" s="952"/>
      <c r="K497" s="952"/>
      <c r="L497" s="952"/>
      <c r="M497" s="952"/>
      <c r="N497" s="952"/>
      <c r="O497" s="952"/>
      <c r="P497" s="952"/>
      <c r="Q497" s="952"/>
      <c r="R497" s="952"/>
      <c r="S497" s="952"/>
      <c r="T497" s="952"/>
      <c r="U497" s="952"/>
      <c r="V497" s="952"/>
      <c r="W497" s="952"/>
      <c r="X497" s="952"/>
      <c r="Y497" s="952"/>
      <c r="Z497" s="952"/>
    </row>
    <row r="498" spans="1:26" ht="18.75" customHeight="1" x14ac:dyDescent="0.35">
      <c r="A498" s="952"/>
      <c r="B498" s="952"/>
      <c r="C498" s="952"/>
      <c r="D498" s="952"/>
      <c r="E498" s="952"/>
      <c r="F498" s="952"/>
      <c r="G498" s="952"/>
      <c r="H498" s="952"/>
      <c r="I498" s="952"/>
      <c r="J498" s="952"/>
      <c r="K498" s="952"/>
      <c r="L498" s="952"/>
      <c r="M498" s="952"/>
      <c r="N498" s="952"/>
      <c r="O498" s="952"/>
      <c r="P498" s="952"/>
      <c r="Q498" s="952"/>
      <c r="R498" s="952"/>
      <c r="S498" s="952"/>
      <c r="T498" s="952"/>
      <c r="U498" s="952"/>
      <c r="V498" s="952"/>
      <c r="W498" s="952"/>
      <c r="X498" s="952"/>
      <c r="Y498" s="952"/>
      <c r="Z498" s="952"/>
    </row>
    <row r="499" spans="1:26" ht="18.75" customHeight="1" x14ac:dyDescent="0.35">
      <c r="A499" s="952"/>
      <c r="B499" s="952"/>
      <c r="C499" s="952"/>
      <c r="D499" s="952"/>
      <c r="E499" s="952"/>
      <c r="F499" s="952"/>
      <c r="G499" s="952"/>
      <c r="H499" s="952"/>
      <c r="I499" s="952"/>
      <c r="J499" s="952"/>
      <c r="K499" s="952"/>
      <c r="L499" s="952"/>
      <c r="M499" s="952"/>
      <c r="N499" s="952"/>
      <c r="O499" s="952"/>
      <c r="P499" s="952"/>
      <c r="Q499" s="952"/>
      <c r="R499" s="952"/>
      <c r="S499" s="952"/>
      <c r="T499" s="952"/>
      <c r="U499" s="952"/>
      <c r="V499" s="952"/>
      <c r="W499" s="952"/>
      <c r="X499" s="952"/>
      <c r="Y499" s="952"/>
      <c r="Z499" s="952"/>
    </row>
    <row r="500" spans="1:26" ht="18.75" customHeight="1" x14ac:dyDescent="0.35">
      <c r="A500" s="952"/>
      <c r="B500" s="952"/>
      <c r="C500" s="952"/>
      <c r="D500" s="952"/>
      <c r="E500" s="952"/>
      <c r="F500" s="952"/>
      <c r="G500" s="952"/>
      <c r="H500" s="952"/>
      <c r="I500" s="952"/>
      <c r="J500" s="952"/>
      <c r="K500" s="952"/>
      <c r="L500" s="952"/>
      <c r="M500" s="952"/>
      <c r="N500" s="952"/>
      <c r="O500" s="952"/>
      <c r="P500" s="952"/>
      <c r="Q500" s="952"/>
      <c r="R500" s="952"/>
      <c r="S500" s="952"/>
      <c r="T500" s="952"/>
      <c r="U500" s="952"/>
      <c r="V500" s="952"/>
      <c r="W500" s="952"/>
      <c r="X500" s="952"/>
      <c r="Y500" s="952"/>
      <c r="Z500" s="952"/>
    </row>
    <row r="501" spans="1:26" ht="18.75" customHeight="1" x14ac:dyDescent="0.35">
      <c r="A501" s="952"/>
      <c r="B501" s="952"/>
      <c r="C501" s="952"/>
      <c r="D501" s="952"/>
      <c r="E501" s="952"/>
      <c r="F501" s="952"/>
      <c r="G501" s="952"/>
      <c r="H501" s="952"/>
      <c r="I501" s="952"/>
      <c r="J501" s="952"/>
      <c r="K501" s="952"/>
      <c r="L501" s="952"/>
      <c r="M501" s="952"/>
      <c r="N501" s="952"/>
      <c r="O501" s="952"/>
      <c r="P501" s="952"/>
      <c r="Q501" s="952"/>
      <c r="R501" s="952"/>
      <c r="S501" s="952"/>
      <c r="T501" s="952"/>
      <c r="U501" s="952"/>
      <c r="V501" s="952"/>
      <c r="W501" s="952"/>
      <c r="X501" s="952"/>
      <c r="Y501" s="952"/>
      <c r="Z501" s="952"/>
    </row>
    <row r="502" spans="1:26" ht="18.75" customHeight="1" x14ac:dyDescent="0.35">
      <c r="A502" s="952"/>
      <c r="B502" s="952"/>
      <c r="C502" s="952"/>
      <c r="D502" s="952"/>
      <c r="E502" s="952"/>
      <c r="F502" s="952"/>
      <c r="G502" s="952"/>
      <c r="H502" s="952"/>
      <c r="I502" s="952"/>
      <c r="J502" s="952"/>
      <c r="K502" s="952"/>
      <c r="L502" s="952"/>
      <c r="M502" s="952"/>
      <c r="N502" s="952"/>
      <c r="O502" s="952"/>
      <c r="P502" s="952"/>
      <c r="Q502" s="952"/>
      <c r="R502" s="952"/>
      <c r="S502" s="952"/>
      <c r="T502" s="952"/>
      <c r="U502" s="952"/>
      <c r="V502" s="952"/>
      <c r="W502" s="952"/>
      <c r="X502" s="952"/>
      <c r="Y502" s="952"/>
      <c r="Z502" s="952"/>
    </row>
    <row r="503" spans="1:26" ht="18.75" customHeight="1" x14ac:dyDescent="0.35">
      <c r="A503" s="952"/>
      <c r="B503" s="952"/>
      <c r="C503" s="952"/>
      <c r="D503" s="952"/>
      <c r="E503" s="952"/>
      <c r="F503" s="952"/>
      <c r="G503" s="952"/>
      <c r="H503" s="952"/>
      <c r="I503" s="952"/>
      <c r="J503" s="952"/>
      <c r="K503" s="952"/>
      <c r="L503" s="952"/>
      <c r="M503" s="952"/>
      <c r="N503" s="952"/>
      <c r="O503" s="952"/>
      <c r="P503" s="952"/>
      <c r="Q503" s="952"/>
      <c r="R503" s="952"/>
      <c r="S503" s="952"/>
      <c r="T503" s="952"/>
      <c r="U503" s="952"/>
      <c r="V503" s="952"/>
      <c r="W503" s="952"/>
      <c r="X503" s="952"/>
      <c r="Y503" s="952"/>
      <c r="Z503" s="952"/>
    </row>
    <row r="504" spans="1:26" ht="18.75" customHeight="1" x14ac:dyDescent="0.35">
      <c r="A504" s="952"/>
      <c r="B504" s="952"/>
      <c r="C504" s="952"/>
      <c r="D504" s="952"/>
      <c r="E504" s="952"/>
      <c r="F504" s="952"/>
      <c r="G504" s="952"/>
      <c r="H504" s="952"/>
      <c r="I504" s="952"/>
      <c r="J504" s="952"/>
      <c r="K504" s="952"/>
      <c r="L504" s="952"/>
      <c r="M504" s="952"/>
      <c r="N504" s="952"/>
      <c r="O504" s="952"/>
      <c r="P504" s="952"/>
      <c r="Q504" s="952"/>
      <c r="R504" s="952"/>
      <c r="S504" s="952"/>
      <c r="T504" s="952"/>
      <c r="U504" s="952"/>
      <c r="V504" s="952"/>
      <c r="W504" s="952"/>
      <c r="X504" s="952"/>
      <c r="Y504" s="952"/>
      <c r="Z504" s="952"/>
    </row>
    <row r="505" spans="1:26" ht="18.75" customHeight="1" x14ac:dyDescent="0.35">
      <c r="A505" s="952"/>
      <c r="B505" s="952"/>
      <c r="C505" s="952"/>
      <c r="D505" s="952"/>
      <c r="E505" s="952"/>
      <c r="F505" s="952"/>
      <c r="G505" s="952"/>
      <c r="H505" s="952"/>
      <c r="I505" s="952"/>
      <c r="J505" s="952"/>
      <c r="K505" s="952"/>
      <c r="L505" s="952"/>
      <c r="M505" s="952"/>
      <c r="N505" s="952"/>
      <c r="O505" s="952"/>
      <c r="P505" s="952"/>
      <c r="Q505" s="952"/>
      <c r="R505" s="952"/>
      <c r="S505" s="952"/>
      <c r="T505" s="952"/>
      <c r="U505" s="952"/>
      <c r="V505" s="952"/>
      <c r="W505" s="952"/>
      <c r="X505" s="952"/>
      <c r="Y505" s="952"/>
      <c r="Z505" s="952"/>
    </row>
    <row r="506" spans="1:26" ht="18.75" customHeight="1" x14ac:dyDescent="0.35">
      <c r="A506" s="952"/>
      <c r="B506" s="952"/>
      <c r="C506" s="952"/>
      <c r="D506" s="952"/>
      <c r="E506" s="952"/>
      <c r="F506" s="952"/>
      <c r="G506" s="952"/>
      <c r="H506" s="952"/>
      <c r="I506" s="952"/>
      <c r="J506" s="952"/>
      <c r="K506" s="952"/>
      <c r="L506" s="952"/>
      <c r="M506" s="952"/>
      <c r="N506" s="952"/>
      <c r="O506" s="952"/>
      <c r="P506" s="952"/>
      <c r="Q506" s="952"/>
      <c r="R506" s="952"/>
      <c r="S506" s="952"/>
      <c r="T506" s="952"/>
      <c r="U506" s="952"/>
      <c r="V506" s="952"/>
      <c r="W506" s="952"/>
      <c r="X506" s="952"/>
      <c r="Y506" s="952"/>
      <c r="Z506" s="952"/>
    </row>
    <row r="507" spans="1:26" ht="18.75" customHeight="1" x14ac:dyDescent="0.35">
      <c r="A507" s="952"/>
      <c r="B507" s="952"/>
      <c r="C507" s="952"/>
      <c r="D507" s="952"/>
      <c r="E507" s="952"/>
      <c r="F507" s="952"/>
      <c r="G507" s="952"/>
      <c r="H507" s="952"/>
      <c r="I507" s="952"/>
      <c r="J507" s="952"/>
      <c r="K507" s="952"/>
      <c r="L507" s="952"/>
      <c r="M507" s="952"/>
      <c r="N507" s="952"/>
      <c r="O507" s="952"/>
      <c r="P507" s="952"/>
      <c r="Q507" s="952"/>
      <c r="R507" s="952"/>
      <c r="S507" s="952"/>
      <c r="T507" s="952"/>
      <c r="U507" s="952"/>
      <c r="V507" s="952"/>
      <c r="W507" s="952"/>
      <c r="X507" s="952"/>
      <c r="Y507" s="952"/>
      <c r="Z507" s="952"/>
    </row>
    <row r="508" spans="1:26" ht="18.75" customHeight="1" x14ac:dyDescent="0.35">
      <c r="A508" s="952"/>
      <c r="B508" s="952"/>
      <c r="C508" s="952"/>
      <c r="D508" s="952"/>
      <c r="E508" s="952"/>
      <c r="F508" s="952"/>
      <c r="G508" s="952"/>
      <c r="H508" s="952"/>
      <c r="I508" s="952"/>
      <c r="J508" s="952"/>
      <c r="K508" s="952"/>
      <c r="L508" s="952"/>
      <c r="M508" s="952"/>
      <c r="N508" s="952"/>
      <c r="O508" s="952"/>
      <c r="P508" s="952"/>
      <c r="Q508" s="952"/>
      <c r="R508" s="952"/>
      <c r="S508" s="952"/>
      <c r="T508" s="952"/>
      <c r="U508" s="952"/>
      <c r="V508" s="952"/>
      <c r="W508" s="952"/>
      <c r="X508" s="952"/>
      <c r="Y508" s="952"/>
      <c r="Z508" s="952"/>
    </row>
    <row r="509" spans="1:26" ht="18.75" customHeight="1" x14ac:dyDescent="0.35">
      <c r="A509" s="952"/>
      <c r="B509" s="952"/>
      <c r="C509" s="952"/>
      <c r="D509" s="952"/>
      <c r="E509" s="952"/>
      <c r="F509" s="952"/>
      <c r="G509" s="952"/>
      <c r="H509" s="952"/>
      <c r="I509" s="952"/>
      <c r="J509" s="952"/>
      <c r="K509" s="952"/>
      <c r="L509" s="952"/>
      <c r="M509" s="952"/>
      <c r="N509" s="952"/>
      <c r="O509" s="952"/>
      <c r="P509" s="952"/>
      <c r="Q509" s="952"/>
      <c r="R509" s="952"/>
      <c r="S509" s="952"/>
      <c r="T509" s="952"/>
      <c r="U509" s="952"/>
      <c r="V509" s="952"/>
      <c r="W509" s="952"/>
      <c r="X509" s="952"/>
      <c r="Y509" s="952"/>
      <c r="Z509" s="952"/>
    </row>
    <row r="510" spans="1:26" ht="18.75" customHeight="1" x14ac:dyDescent="0.35">
      <c r="A510" s="952"/>
      <c r="B510" s="952"/>
      <c r="C510" s="952"/>
      <c r="D510" s="952"/>
      <c r="E510" s="952"/>
      <c r="F510" s="952"/>
      <c r="G510" s="952"/>
      <c r="H510" s="952"/>
      <c r="I510" s="952"/>
      <c r="J510" s="952"/>
      <c r="K510" s="952"/>
      <c r="L510" s="952"/>
      <c r="M510" s="952"/>
      <c r="N510" s="952"/>
      <c r="O510" s="952"/>
      <c r="P510" s="952"/>
      <c r="Q510" s="952"/>
      <c r="R510" s="952"/>
      <c r="S510" s="952"/>
      <c r="T510" s="952"/>
      <c r="U510" s="952"/>
      <c r="V510" s="952"/>
      <c r="W510" s="952"/>
      <c r="X510" s="952"/>
      <c r="Y510" s="952"/>
      <c r="Z510" s="952"/>
    </row>
    <row r="511" spans="1:26" ht="18.75" customHeight="1" x14ac:dyDescent="0.35">
      <c r="A511" s="952"/>
      <c r="B511" s="952"/>
      <c r="C511" s="952"/>
      <c r="D511" s="952"/>
      <c r="E511" s="952"/>
      <c r="F511" s="952"/>
      <c r="G511" s="952"/>
      <c r="H511" s="952"/>
      <c r="I511" s="952"/>
      <c r="J511" s="952"/>
      <c r="K511" s="952"/>
      <c r="L511" s="952"/>
      <c r="M511" s="952"/>
      <c r="N511" s="952"/>
      <c r="O511" s="952"/>
      <c r="P511" s="952"/>
      <c r="Q511" s="952"/>
      <c r="R511" s="952"/>
      <c r="S511" s="952"/>
      <c r="T511" s="952"/>
      <c r="U511" s="952"/>
      <c r="V511" s="952"/>
      <c r="W511" s="952"/>
      <c r="X511" s="952"/>
      <c r="Y511" s="952"/>
      <c r="Z511" s="952"/>
    </row>
    <row r="512" spans="1:26" ht="18.75" customHeight="1" x14ac:dyDescent="0.35">
      <c r="A512" s="952"/>
      <c r="B512" s="952"/>
      <c r="C512" s="952"/>
      <c r="D512" s="952"/>
      <c r="E512" s="952"/>
      <c r="F512" s="952"/>
      <c r="G512" s="952"/>
      <c r="H512" s="952"/>
      <c r="I512" s="952"/>
      <c r="J512" s="952"/>
      <c r="K512" s="952"/>
      <c r="L512" s="952"/>
      <c r="M512" s="952"/>
      <c r="N512" s="952"/>
      <c r="O512" s="952"/>
      <c r="P512" s="952"/>
      <c r="Q512" s="952"/>
      <c r="R512" s="952"/>
      <c r="S512" s="952"/>
      <c r="T512" s="952"/>
      <c r="U512" s="952"/>
      <c r="V512" s="952"/>
      <c r="W512" s="952"/>
      <c r="X512" s="952"/>
      <c r="Y512" s="952"/>
      <c r="Z512" s="952"/>
    </row>
    <row r="513" spans="1:26" ht="18.75" customHeight="1" x14ac:dyDescent="0.35">
      <c r="A513" s="952"/>
      <c r="B513" s="952"/>
      <c r="C513" s="952"/>
      <c r="D513" s="952"/>
      <c r="E513" s="952"/>
      <c r="F513" s="952"/>
      <c r="G513" s="952"/>
      <c r="H513" s="952"/>
      <c r="I513" s="952"/>
      <c r="J513" s="952"/>
      <c r="K513" s="952"/>
      <c r="L513" s="952"/>
      <c r="M513" s="952"/>
      <c r="N513" s="952"/>
      <c r="O513" s="952"/>
      <c r="P513" s="952"/>
      <c r="Q513" s="952"/>
      <c r="R513" s="952"/>
      <c r="S513" s="952"/>
      <c r="T513" s="952"/>
      <c r="U513" s="952"/>
      <c r="V513" s="952"/>
      <c r="W513" s="952"/>
      <c r="X513" s="952"/>
      <c r="Y513" s="952"/>
      <c r="Z513" s="952"/>
    </row>
    <row r="514" spans="1:26" ht="18.75" customHeight="1" x14ac:dyDescent="0.35">
      <c r="A514" s="952"/>
      <c r="B514" s="952"/>
      <c r="C514" s="952"/>
      <c r="D514" s="952"/>
      <c r="E514" s="952"/>
      <c r="F514" s="952"/>
      <c r="G514" s="952"/>
      <c r="H514" s="952"/>
      <c r="I514" s="952"/>
      <c r="J514" s="952"/>
      <c r="K514" s="952"/>
      <c r="L514" s="952"/>
      <c r="M514" s="952"/>
      <c r="N514" s="952"/>
      <c r="O514" s="952"/>
      <c r="P514" s="952"/>
      <c r="Q514" s="952"/>
      <c r="R514" s="952"/>
      <c r="S514" s="952"/>
      <c r="T514" s="952"/>
      <c r="U514" s="952"/>
      <c r="V514" s="952"/>
      <c r="W514" s="952"/>
      <c r="X514" s="952"/>
      <c r="Y514" s="952"/>
      <c r="Z514" s="952"/>
    </row>
    <row r="515" spans="1:26" ht="18.75" customHeight="1" x14ac:dyDescent="0.35">
      <c r="A515" s="952"/>
      <c r="B515" s="952"/>
      <c r="C515" s="952"/>
      <c r="D515" s="952"/>
      <c r="E515" s="952"/>
      <c r="F515" s="952"/>
      <c r="G515" s="952"/>
      <c r="H515" s="952"/>
      <c r="I515" s="952"/>
      <c r="J515" s="952"/>
      <c r="K515" s="952"/>
      <c r="L515" s="952"/>
      <c r="M515" s="952"/>
      <c r="N515" s="952"/>
      <c r="O515" s="952"/>
      <c r="P515" s="952"/>
      <c r="Q515" s="952"/>
      <c r="R515" s="952"/>
      <c r="S515" s="952"/>
      <c r="T515" s="952"/>
      <c r="U515" s="952"/>
      <c r="V515" s="952"/>
      <c r="W515" s="952"/>
      <c r="X515" s="952"/>
      <c r="Y515" s="952"/>
      <c r="Z515" s="952"/>
    </row>
    <row r="516" spans="1:26" ht="18.75" customHeight="1" x14ac:dyDescent="0.35">
      <c r="A516" s="952"/>
      <c r="B516" s="952"/>
      <c r="C516" s="952"/>
      <c r="D516" s="952"/>
      <c r="E516" s="952"/>
      <c r="F516" s="952"/>
      <c r="G516" s="952"/>
      <c r="H516" s="952"/>
      <c r="I516" s="952"/>
      <c r="J516" s="952"/>
      <c r="K516" s="952"/>
      <c r="L516" s="952"/>
      <c r="M516" s="952"/>
      <c r="N516" s="952"/>
      <c r="O516" s="952"/>
      <c r="P516" s="952"/>
      <c r="Q516" s="952"/>
      <c r="R516" s="952"/>
      <c r="S516" s="952"/>
      <c r="T516" s="952"/>
      <c r="U516" s="952"/>
      <c r="V516" s="952"/>
      <c r="W516" s="952"/>
      <c r="X516" s="952"/>
      <c r="Y516" s="952"/>
      <c r="Z516" s="952"/>
    </row>
    <row r="517" spans="1:26" ht="18.75" customHeight="1" x14ac:dyDescent="0.35">
      <c r="A517" s="952"/>
      <c r="B517" s="952"/>
      <c r="C517" s="952"/>
      <c r="D517" s="952"/>
      <c r="E517" s="952"/>
      <c r="F517" s="952"/>
      <c r="G517" s="952"/>
      <c r="H517" s="952"/>
      <c r="I517" s="952"/>
      <c r="J517" s="952"/>
      <c r="K517" s="952"/>
      <c r="L517" s="952"/>
      <c r="M517" s="952"/>
      <c r="N517" s="952"/>
      <c r="O517" s="952"/>
      <c r="P517" s="952"/>
      <c r="Q517" s="952"/>
      <c r="R517" s="952"/>
      <c r="S517" s="952"/>
      <c r="T517" s="952"/>
      <c r="U517" s="952"/>
      <c r="V517" s="952"/>
      <c r="W517" s="952"/>
      <c r="X517" s="952"/>
      <c r="Y517" s="952"/>
      <c r="Z517" s="952"/>
    </row>
    <row r="518" spans="1:26" ht="18.75" customHeight="1" x14ac:dyDescent="0.35">
      <c r="A518" s="952"/>
      <c r="B518" s="952"/>
      <c r="C518" s="952"/>
      <c r="D518" s="952"/>
      <c r="E518" s="952"/>
      <c r="F518" s="952"/>
      <c r="G518" s="952"/>
      <c r="H518" s="952"/>
      <c r="I518" s="952"/>
      <c r="J518" s="952"/>
      <c r="K518" s="952"/>
      <c r="L518" s="952"/>
      <c r="M518" s="952"/>
      <c r="N518" s="952"/>
      <c r="O518" s="952"/>
      <c r="P518" s="952"/>
      <c r="Q518" s="952"/>
      <c r="R518" s="952"/>
      <c r="S518" s="952"/>
      <c r="T518" s="952"/>
      <c r="U518" s="952"/>
      <c r="V518" s="952"/>
      <c r="W518" s="952"/>
      <c r="X518" s="952"/>
      <c r="Y518" s="952"/>
      <c r="Z518" s="952"/>
    </row>
    <row r="519" spans="1:26" ht="18.75" customHeight="1" x14ac:dyDescent="0.35">
      <c r="A519" s="952"/>
      <c r="B519" s="952"/>
      <c r="C519" s="952"/>
      <c r="D519" s="952"/>
      <c r="E519" s="952"/>
      <c r="F519" s="952"/>
      <c r="G519" s="952"/>
      <c r="H519" s="952"/>
      <c r="I519" s="952"/>
      <c r="J519" s="952"/>
      <c r="K519" s="952"/>
      <c r="L519" s="952"/>
      <c r="M519" s="952"/>
      <c r="N519" s="952"/>
      <c r="O519" s="952"/>
      <c r="P519" s="952"/>
      <c r="Q519" s="952"/>
      <c r="R519" s="952"/>
      <c r="S519" s="952"/>
      <c r="T519" s="952"/>
      <c r="U519" s="952"/>
      <c r="V519" s="952"/>
      <c r="W519" s="952"/>
      <c r="X519" s="952"/>
      <c r="Y519" s="952"/>
      <c r="Z519" s="952"/>
    </row>
    <row r="520" spans="1:26" ht="18.75" customHeight="1" x14ac:dyDescent="0.35">
      <c r="A520" s="952"/>
      <c r="B520" s="952"/>
      <c r="C520" s="952"/>
      <c r="D520" s="952"/>
      <c r="E520" s="952"/>
      <c r="F520" s="952"/>
      <c r="G520" s="952"/>
      <c r="H520" s="952"/>
      <c r="I520" s="952"/>
      <c r="J520" s="952"/>
      <c r="K520" s="952"/>
      <c r="L520" s="952"/>
      <c r="M520" s="952"/>
      <c r="N520" s="952"/>
      <c r="O520" s="952"/>
      <c r="P520" s="952"/>
      <c r="Q520" s="952"/>
      <c r="R520" s="952"/>
      <c r="S520" s="952"/>
      <c r="T520" s="952"/>
      <c r="U520" s="952"/>
      <c r="V520" s="952"/>
      <c r="W520" s="952"/>
      <c r="X520" s="952"/>
      <c r="Y520" s="952"/>
      <c r="Z520" s="952"/>
    </row>
    <row r="521" spans="1:26" ht="18.75" customHeight="1" x14ac:dyDescent="0.35">
      <c r="A521" s="952"/>
      <c r="B521" s="952"/>
      <c r="C521" s="952"/>
      <c r="D521" s="952"/>
      <c r="E521" s="952"/>
      <c r="F521" s="952"/>
      <c r="G521" s="952"/>
      <c r="H521" s="952"/>
      <c r="I521" s="952"/>
      <c r="J521" s="952"/>
      <c r="K521" s="952"/>
      <c r="L521" s="952"/>
      <c r="M521" s="952"/>
      <c r="N521" s="952"/>
      <c r="O521" s="952"/>
      <c r="P521" s="952"/>
      <c r="Q521" s="952"/>
      <c r="R521" s="952"/>
      <c r="S521" s="952"/>
      <c r="T521" s="952"/>
      <c r="U521" s="952"/>
      <c r="V521" s="952"/>
      <c r="W521" s="952"/>
      <c r="X521" s="952"/>
      <c r="Y521" s="952"/>
      <c r="Z521" s="952"/>
    </row>
    <row r="522" spans="1:26" ht="18.75" customHeight="1" x14ac:dyDescent="0.35">
      <c r="A522" s="952"/>
      <c r="B522" s="952"/>
      <c r="C522" s="952"/>
      <c r="D522" s="952"/>
      <c r="E522" s="952"/>
      <c r="F522" s="952"/>
      <c r="G522" s="952"/>
      <c r="H522" s="952"/>
      <c r="I522" s="952"/>
      <c r="J522" s="952"/>
      <c r="K522" s="952"/>
      <c r="L522" s="952"/>
      <c r="M522" s="952"/>
      <c r="N522" s="952"/>
      <c r="O522" s="952"/>
      <c r="P522" s="952"/>
      <c r="Q522" s="952"/>
      <c r="R522" s="952"/>
      <c r="S522" s="952"/>
      <c r="T522" s="952"/>
      <c r="U522" s="952"/>
      <c r="V522" s="952"/>
      <c r="W522" s="952"/>
      <c r="X522" s="952"/>
      <c r="Y522" s="952"/>
      <c r="Z522" s="952"/>
    </row>
    <row r="523" spans="1:26" ht="18.75" customHeight="1" x14ac:dyDescent="0.35">
      <c r="A523" s="952"/>
      <c r="B523" s="952"/>
      <c r="C523" s="952"/>
      <c r="D523" s="952"/>
      <c r="E523" s="952"/>
      <c r="F523" s="952"/>
      <c r="G523" s="952"/>
      <c r="H523" s="952"/>
      <c r="I523" s="952"/>
      <c r="J523" s="952"/>
      <c r="K523" s="952"/>
      <c r="L523" s="952"/>
      <c r="M523" s="952"/>
      <c r="N523" s="952"/>
      <c r="O523" s="952"/>
      <c r="P523" s="952"/>
      <c r="Q523" s="952"/>
      <c r="R523" s="952"/>
      <c r="S523" s="952"/>
      <c r="T523" s="952"/>
      <c r="U523" s="952"/>
      <c r="V523" s="952"/>
      <c r="W523" s="952"/>
      <c r="X523" s="952"/>
      <c r="Y523" s="952"/>
      <c r="Z523" s="952"/>
    </row>
    <row r="524" spans="1:26" ht="18.75" customHeight="1" x14ac:dyDescent="0.35">
      <c r="A524" s="952"/>
      <c r="B524" s="952"/>
      <c r="C524" s="952"/>
      <c r="D524" s="952"/>
      <c r="E524" s="952"/>
      <c r="F524" s="952"/>
      <c r="G524" s="952"/>
      <c r="H524" s="952"/>
      <c r="I524" s="952"/>
      <c r="J524" s="952"/>
      <c r="K524" s="952"/>
      <c r="L524" s="952"/>
      <c r="M524" s="952"/>
      <c r="N524" s="952"/>
      <c r="O524" s="952"/>
      <c r="P524" s="952"/>
      <c r="Q524" s="952"/>
      <c r="R524" s="952"/>
      <c r="S524" s="952"/>
      <c r="T524" s="952"/>
      <c r="U524" s="952"/>
      <c r="V524" s="952"/>
      <c r="W524" s="952"/>
      <c r="X524" s="952"/>
      <c r="Y524" s="952"/>
      <c r="Z524" s="952"/>
    </row>
    <row r="525" spans="1:26" ht="18.75" customHeight="1" x14ac:dyDescent="0.35">
      <c r="A525" s="952"/>
      <c r="B525" s="952"/>
      <c r="C525" s="952"/>
      <c r="D525" s="952"/>
      <c r="E525" s="952"/>
      <c r="F525" s="952"/>
      <c r="G525" s="952"/>
      <c r="H525" s="952"/>
      <c r="I525" s="952"/>
      <c r="J525" s="952"/>
      <c r="K525" s="952"/>
      <c r="L525" s="952"/>
      <c r="M525" s="952"/>
      <c r="N525" s="952"/>
      <c r="O525" s="952"/>
      <c r="P525" s="952"/>
      <c r="Q525" s="952"/>
      <c r="R525" s="952"/>
      <c r="S525" s="952"/>
      <c r="T525" s="952"/>
      <c r="U525" s="952"/>
      <c r="V525" s="952"/>
      <c r="W525" s="952"/>
      <c r="X525" s="952"/>
      <c r="Y525" s="952"/>
      <c r="Z525" s="952"/>
    </row>
    <row r="526" spans="1:26" ht="18.75" customHeight="1" x14ac:dyDescent="0.35">
      <c r="A526" s="952"/>
      <c r="B526" s="952"/>
      <c r="C526" s="952"/>
      <c r="D526" s="952"/>
      <c r="E526" s="952"/>
      <c r="F526" s="952"/>
      <c r="G526" s="952"/>
      <c r="H526" s="952"/>
      <c r="I526" s="952"/>
      <c r="J526" s="952"/>
      <c r="K526" s="952"/>
      <c r="L526" s="952"/>
      <c r="M526" s="952"/>
      <c r="N526" s="952"/>
      <c r="O526" s="952"/>
      <c r="P526" s="952"/>
      <c r="Q526" s="952"/>
      <c r="R526" s="952"/>
      <c r="S526" s="952"/>
      <c r="T526" s="952"/>
      <c r="U526" s="952"/>
      <c r="V526" s="952"/>
      <c r="W526" s="952"/>
      <c r="X526" s="952"/>
      <c r="Y526" s="952"/>
      <c r="Z526" s="952"/>
    </row>
    <row r="527" spans="1:26" ht="18.75" customHeight="1" x14ac:dyDescent="0.35">
      <c r="A527" s="952"/>
      <c r="B527" s="952"/>
      <c r="C527" s="952"/>
      <c r="D527" s="952"/>
      <c r="E527" s="952"/>
      <c r="F527" s="952"/>
      <c r="G527" s="952"/>
      <c r="H527" s="952"/>
      <c r="I527" s="952"/>
      <c r="J527" s="952"/>
      <c r="K527" s="952"/>
      <c r="L527" s="952"/>
      <c r="M527" s="952"/>
      <c r="N527" s="952"/>
      <c r="O527" s="952"/>
      <c r="P527" s="952"/>
      <c r="Q527" s="952"/>
      <c r="R527" s="952"/>
      <c r="S527" s="952"/>
      <c r="T527" s="952"/>
      <c r="U527" s="952"/>
      <c r="V527" s="952"/>
      <c r="W527" s="952"/>
      <c r="X527" s="952"/>
      <c r="Y527" s="952"/>
      <c r="Z527" s="952"/>
    </row>
    <row r="528" spans="1:26" ht="18.75" customHeight="1" x14ac:dyDescent="0.35">
      <c r="A528" s="952"/>
      <c r="B528" s="952"/>
      <c r="C528" s="952"/>
      <c r="D528" s="952"/>
      <c r="E528" s="952"/>
      <c r="F528" s="952"/>
      <c r="G528" s="952"/>
      <c r="H528" s="952"/>
      <c r="I528" s="952"/>
      <c r="J528" s="952"/>
      <c r="K528" s="952"/>
      <c r="L528" s="952"/>
      <c r="M528" s="952"/>
      <c r="N528" s="952"/>
      <c r="O528" s="952"/>
      <c r="P528" s="952"/>
      <c r="Q528" s="952"/>
      <c r="R528" s="952"/>
      <c r="S528" s="952"/>
      <c r="T528" s="952"/>
      <c r="U528" s="952"/>
      <c r="V528" s="952"/>
      <c r="W528" s="952"/>
      <c r="X528" s="952"/>
      <c r="Y528" s="952"/>
      <c r="Z528" s="952"/>
    </row>
    <row r="529" spans="1:26" ht="18.75" customHeight="1" x14ac:dyDescent="0.35">
      <c r="A529" s="952"/>
      <c r="B529" s="952"/>
      <c r="C529" s="952"/>
      <c r="D529" s="952"/>
      <c r="E529" s="952"/>
      <c r="F529" s="952"/>
      <c r="G529" s="952"/>
      <c r="H529" s="952"/>
      <c r="I529" s="952"/>
      <c r="J529" s="952"/>
      <c r="K529" s="952"/>
      <c r="L529" s="952"/>
      <c r="M529" s="952"/>
      <c r="N529" s="952"/>
      <c r="O529" s="952"/>
      <c r="P529" s="952"/>
      <c r="Q529" s="952"/>
      <c r="R529" s="952"/>
      <c r="S529" s="952"/>
      <c r="T529" s="952"/>
      <c r="U529" s="952"/>
      <c r="V529" s="952"/>
      <c r="W529" s="952"/>
      <c r="X529" s="952"/>
      <c r="Y529" s="952"/>
      <c r="Z529" s="952"/>
    </row>
    <row r="530" spans="1:26" ht="18.75" customHeight="1" x14ac:dyDescent="0.35">
      <c r="A530" s="952"/>
      <c r="B530" s="952"/>
      <c r="C530" s="952"/>
      <c r="D530" s="952"/>
      <c r="E530" s="952"/>
      <c r="F530" s="952"/>
      <c r="G530" s="952"/>
      <c r="H530" s="952"/>
      <c r="I530" s="952"/>
      <c r="J530" s="952"/>
      <c r="K530" s="952"/>
      <c r="L530" s="952"/>
      <c r="M530" s="952"/>
      <c r="N530" s="952"/>
      <c r="O530" s="952"/>
      <c r="P530" s="952"/>
      <c r="Q530" s="952"/>
      <c r="R530" s="952"/>
      <c r="S530" s="952"/>
      <c r="T530" s="952"/>
      <c r="U530" s="952"/>
      <c r="V530" s="952"/>
      <c r="W530" s="952"/>
      <c r="X530" s="952"/>
      <c r="Y530" s="952"/>
      <c r="Z530" s="952"/>
    </row>
    <row r="531" spans="1:26" ht="18.75" customHeight="1" x14ac:dyDescent="0.35">
      <c r="A531" s="952"/>
      <c r="B531" s="952"/>
      <c r="C531" s="952"/>
      <c r="D531" s="952"/>
      <c r="E531" s="952"/>
      <c r="F531" s="952"/>
      <c r="G531" s="952"/>
      <c r="H531" s="952"/>
      <c r="I531" s="952"/>
      <c r="J531" s="952"/>
      <c r="K531" s="952"/>
      <c r="L531" s="952"/>
      <c r="M531" s="952"/>
      <c r="N531" s="952"/>
      <c r="O531" s="952"/>
      <c r="P531" s="952"/>
      <c r="Q531" s="952"/>
      <c r="R531" s="952"/>
      <c r="S531" s="952"/>
      <c r="T531" s="952"/>
      <c r="U531" s="952"/>
      <c r="V531" s="952"/>
      <c r="W531" s="952"/>
      <c r="X531" s="952"/>
      <c r="Y531" s="952"/>
      <c r="Z531" s="952"/>
    </row>
    <row r="532" spans="1:26" ht="18.75" customHeight="1" x14ac:dyDescent="0.35">
      <c r="A532" s="952"/>
      <c r="B532" s="952"/>
      <c r="C532" s="952"/>
      <c r="D532" s="952"/>
      <c r="E532" s="952"/>
      <c r="F532" s="952"/>
      <c r="G532" s="952"/>
      <c r="H532" s="952"/>
      <c r="I532" s="952"/>
      <c r="J532" s="952"/>
      <c r="K532" s="952"/>
      <c r="L532" s="952"/>
      <c r="M532" s="952"/>
      <c r="N532" s="952"/>
      <c r="O532" s="952"/>
      <c r="P532" s="952"/>
      <c r="Q532" s="952"/>
      <c r="R532" s="952"/>
      <c r="S532" s="952"/>
      <c r="T532" s="952"/>
      <c r="U532" s="952"/>
      <c r="V532" s="952"/>
      <c r="W532" s="952"/>
      <c r="X532" s="952"/>
      <c r="Y532" s="952"/>
      <c r="Z532" s="952"/>
    </row>
    <row r="533" spans="1:26" ht="18.75" customHeight="1" x14ac:dyDescent="0.35">
      <c r="A533" s="952"/>
      <c r="B533" s="952"/>
      <c r="C533" s="952"/>
      <c r="D533" s="952"/>
      <c r="E533" s="952"/>
      <c r="F533" s="952"/>
      <c r="G533" s="952"/>
      <c r="H533" s="952"/>
      <c r="I533" s="952"/>
      <c r="J533" s="952"/>
      <c r="K533" s="952"/>
      <c r="L533" s="952"/>
      <c r="M533" s="952"/>
      <c r="N533" s="952"/>
      <c r="O533" s="952"/>
      <c r="P533" s="952"/>
      <c r="Q533" s="952"/>
      <c r="R533" s="952"/>
      <c r="S533" s="952"/>
      <c r="T533" s="952"/>
      <c r="U533" s="952"/>
      <c r="V533" s="952"/>
      <c r="W533" s="952"/>
      <c r="X533" s="952"/>
      <c r="Y533" s="952"/>
      <c r="Z533" s="952"/>
    </row>
    <row r="534" spans="1:26" ht="18.75" customHeight="1" x14ac:dyDescent="0.35">
      <c r="A534" s="952"/>
      <c r="B534" s="952"/>
      <c r="C534" s="952"/>
      <c r="D534" s="952"/>
      <c r="E534" s="952"/>
      <c r="F534" s="952"/>
      <c r="G534" s="952"/>
      <c r="H534" s="952"/>
      <c r="I534" s="952"/>
      <c r="J534" s="952"/>
      <c r="K534" s="952"/>
      <c r="L534" s="952"/>
      <c r="M534" s="952"/>
      <c r="N534" s="952"/>
      <c r="O534" s="952"/>
      <c r="P534" s="952"/>
      <c r="Q534" s="952"/>
      <c r="R534" s="952"/>
      <c r="S534" s="952"/>
      <c r="T534" s="952"/>
      <c r="U534" s="952"/>
      <c r="V534" s="952"/>
      <c r="W534" s="952"/>
      <c r="X534" s="952"/>
      <c r="Y534" s="952"/>
      <c r="Z534" s="952"/>
    </row>
    <row r="535" spans="1:26" ht="18.75" customHeight="1" x14ac:dyDescent="0.35">
      <c r="A535" s="952"/>
      <c r="B535" s="952"/>
      <c r="C535" s="952"/>
      <c r="D535" s="952"/>
      <c r="E535" s="952"/>
      <c r="F535" s="952"/>
      <c r="G535" s="952"/>
      <c r="H535" s="952"/>
      <c r="I535" s="952"/>
      <c r="J535" s="952"/>
      <c r="K535" s="952"/>
      <c r="L535" s="952"/>
      <c r="M535" s="952"/>
      <c r="N535" s="952"/>
      <c r="O535" s="952"/>
      <c r="P535" s="952"/>
      <c r="Q535" s="952"/>
      <c r="R535" s="952"/>
      <c r="S535" s="952"/>
      <c r="T535" s="952"/>
      <c r="U535" s="952"/>
      <c r="V535" s="952"/>
      <c r="W535" s="952"/>
      <c r="X535" s="952"/>
      <c r="Y535" s="952"/>
      <c r="Z535" s="952"/>
    </row>
    <row r="536" spans="1:26" ht="18.75" customHeight="1" x14ac:dyDescent="0.35">
      <c r="A536" s="952"/>
      <c r="B536" s="952"/>
      <c r="C536" s="952"/>
      <c r="D536" s="952"/>
      <c r="E536" s="952"/>
      <c r="F536" s="952"/>
      <c r="G536" s="952"/>
      <c r="H536" s="952"/>
      <c r="I536" s="952"/>
      <c r="J536" s="952"/>
      <c r="K536" s="952"/>
      <c r="L536" s="952"/>
      <c r="M536" s="952"/>
      <c r="N536" s="952"/>
      <c r="O536" s="952"/>
      <c r="P536" s="952"/>
      <c r="Q536" s="952"/>
      <c r="R536" s="952"/>
      <c r="S536" s="952"/>
      <c r="T536" s="952"/>
      <c r="U536" s="952"/>
      <c r="V536" s="952"/>
      <c r="W536" s="952"/>
      <c r="X536" s="952"/>
      <c r="Y536" s="952"/>
      <c r="Z536" s="952"/>
    </row>
    <row r="537" spans="1:26" ht="18.75" customHeight="1" x14ac:dyDescent="0.35">
      <c r="A537" s="952"/>
      <c r="B537" s="952"/>
      <c r="C537" s="952"/>
      <c r="D537" s="952"/>
      <c r="E537" s="952"/>
      <c r="F537" s="952"/>
      <c r="G537" s="952"/>
      <c r="H537" s="952"/>
      <c r="I537" s="952"/>
      <c r="J537" s="952"/>
      <c r="K537" s="952"/>
      <c r="L537" s="952"/>
      <c r="M537" s="952"/>
      <c r="N537" s="952"/>
      <c r="O537" s="952"/>
      <c r="P537" s="952"/>
      <c r="Q537" s="952"/>
      <c r="R537" s="952"/>
      <c r="S537" s="952"/>
      <c r="T537" s="952"/>
      <c r="U537" s="952"/>
      <c r="V537" s="952"/>
      <c r="W537" s="952"/>
      <c r="X537" s="952"/>
      <c r="Y537" s="952"/>
      <c r="Z537" s="952"/>
    </row>
    <row r="538" spans="1:26" ht="18.75" customHeight="1" x14ac:dyDescent="0.35">
      <c r="A538" s="952"/>
      <c r="B538" s="952"/>
      <c r="C538" s="952"/>
      <c r="D538" s="952"/>
      <c r="E538" s="952"/>
      <c r="F538" s="952"/>
      <c r="G538" s="952"/>
      <c r="H538" s="952"/>
      <c r="I538" s="952"/>
      <c r="J538" s="952"/>
      <c r="K538" s="952"/>
      <c r="L538" s="952"/>
      <c r="M538" s="952"/>
      <c r="N538" s="952"/>
      <c r="O538" s="952"/>
      <c r="P538" s="952"/>
      <c r="Q538" s="952"/>
      <c r="R538" s="952"/>
      <c r="S538" s="952"/>
      <c r="T538" s="952"/>
      <c r="U538" s="952"/>
      <c r="V538" s="952"/>
      <c r="W538" s="952"/>
      <c r="X538" s="952"/>
      <c r="Y538" s="952"/>
      <c r="Z538" s="952"/>
    </row>
    <row r="539" spans="1:26" ht="18.75" customHeight="1" x14ac:dyDescent="0.35">
      <c r="A539" s="952"/>
      <c r="B539" s="952"/>
      <c r="C539" s="952"/>
      <c r="D539" s="952"/>
      <c r="E539" s="952"/>
      <c r="F539" s="952"/>
      <c r="G539" s="952"/>
      <c r="H539" s="952"/>
      <c r="I539" s="952"/>
      <c r="J539" s="952"/>
      <c r="K539" s="952"/>
      <c r="L539" s="952"/>
      <c r="M539" s="952"/>
      <c r="N539" s="952"/>
      <c r="O539" s="952"/>
      <c r="P539" s="952"/>
      <c r="Q539" s="952"/>
      <c r="R539" s="952"/>
      <c r="S539" s="952"/>
      <c r="T539" s="952"/>
      <c r="U539" s="952"/>
      <c r="V539" s="952"/>
      <c r="W539" s="952"/>
      <c r="X539" s="952"/>
      <c r="Y539" s="952"/>
      <c r="Z539" s="952"/>
    </row>
    <row r="540" spans="1:26" ht="18.75" customHeight="1" x14ac:dyDescent="0.35">
      <c r="A540" s="952"/>
      <c r="B540" s="952"/>
      <c r="C540" s="952"/>
      <c r="D540" s="952"/>
      <c r="E540" s="952"/>
      <c r="F540" s="952"/>
      <c r="G540" s="952"/>
      <c r="H540" s="952"/>
      <c r="I540" s="952"/>
      <c r="J540" s="952"/>
      <c r="K540" s="952"/>
      <c r="L540" s="952"/>
      <c r="M540" s="952"/>
      <c r="N540" s="952"/>
      <c r="O540" s="952"/>
      <c r="P540" s="952"/>
      <c r="Q540" s="952"/>
      <c r="R540" s="952"/>
      <c r="S540" s="952"/>
      <c r="T540" s="952"/>
      <c r="U540" s="952"/>
      <c r="V540" s="952"/>
      <c r="W540" s="952"/>
      <c r="X540" s="952"/>
      <c r="Y540" s="952"/>
      <c r="Z540" s="952"/>
    </row>
    <row r="541" spans="1:26" ht="18.75" customHeight="1" x14ac:dyDescent="0.35">
      <c r="A541" s="952"/>
      <c r="B541" s="952"/>
      <c r="C541" s="952"/>
      <c r="D541" s="952"/>
      <c r="E541" s="952"/>
      <c r="F541" s="952"/>
      <c r="G541" s="952"/>
      <c r="H541" s="952"/>
      <c r="I541" s="952"/>
      <c r="J541" s="952"/>
      <c r="K541" s="952"/>
      <c r="L541" s="952"/>
      <c r="M541" s="952"/>
      <c r="N541" s="952"/>
      <c r="O541" s="952"/>
      <c r="P541" s="952"/>
      <c r="Q541" s="952"/>
      <c r="R541" s="952"/>
      <c r="S541" s="952"/>
      <c r="T541" s="952"/>
      <c r="U541" s="952"/>
      <c r="V541" s="952"/>
      <c r="W541" s="952"/>
      <c r="X541" s="952"/>
      <c r="Y541" s="952"/>
      <c r="Z541" s="952"/>
    </row>
    <row r="542" spans="1:26" ht="18.75" customHeight="1" x14ac:dyDescent="0.35">
      <c r="A542" s="952"/>
      <c r="B542" s="952"/>
      <c r="C542" s="952"/>
      <c r="D542" s="952"/>
      <c r="E542" s="952"/>
      <c r="F542" s="952"/>
      <c r="G542" s="952"/>
      <c r="H542" s="952"/>
      <c r="I542" s="952"/>
      <c r="J542" s="952"/>
      <c r="K542" s="952"/>
      <c r="L542" s="952"/>
      <c r="M542" s="952"/>
      <c r="N542" s="952"/>
      <c r="O542" s="952"/>
      <c r="P542" s="952"/>
      <c r="Q542" s="952"/>
      <c r="R542" s="952"/>
      <c r="S542" s="952"/>
      <c r="T542" s="952"/>
      <c r="U542" s="952"/>
      <c r="V542" s="952"/>
      <c r="W542" s="952"/>
      <c r="X542" s="952"/>
      <c r="Y542" s="952"/>
      <c r="Z542" s="952"/>
    </row>
    <row r="543" spans="1:26" ht="18.75" customHeight="1" x14ac:dyDescent="0.35">
      <c r="A543" s="952"/>
      <c r="B543" s="952"/>
      <c r="C543" s="952"/>
      <c r="D543" s="952"/>
      <c r="E543" s="952"/>
      <c r="F543" s="952"/>
      <c r="G543" s="952"/>
      <c r="H543" s="952"/>
      <c r="I543" s="952"/>
      <c r="J543" s="952"/>
      <c r="K543" s="952"/>
      <c r="L543" s="952"/>
      <c r="M543" s="952"/>
      <c r="N543" s="952"/>
      <c r="O543" s="952"/>
      <c r="P543" s="952"/>
      <c r="Q543" s="952"/>
      <c r="R543" s="952"/>
      <c r="S543" s="952"/>
      <c r="T543" s="952"/>
      <c r="U543" s="952"/>
      <c r="V543" s="952"/>
      <c r="W543" s="952"/>
      <c r="X543" s="952"/>
      <c r="Y543" s="952"/>
      <c r="Z543" s="952"/>
    </row>
    <row r="544" spans="1:26" ht="18.75" customHeight="1" x14ac:dyDescent="0.35">
      <c r="A544" s="952"/>
      <c r="B544" s="952"/>
      <c r="C544" s="952"/>
      <c r="D544" s="952"/>
      <c r="E544" s="952"/>
      <c r="F544" s="952"/>
      <c r="G544" s="952"/>
      <c r="H544" s="952"/>
      <c r="I544" s="952"/>
      <c r="J544" s="952"/>
      <c r="K544" s="952"/>
      <c r="L544" s="952"/>
      <c r="M544" s="952"/>
      <c r="N544" s="952"/>
      <c r="O544" s="952"/>
      <c r="P544" s="952"/>
      <c r="Q544" s="952"/>
      <c r="R544" s="952"/>
      <c r="S544" s="952"/>
      <c r="T544" s="952"/>
      <c r="U544" s="952"/>
      <c r="V544" s="952"/>
      <c r="W544" s="952"/>
      <c r="X544" s="952"/>
      <c r="Y544" s="952"/>
      <c r="Z544" s="952"/>
    </row>
    <row r="545" spans="1:26" ht="18.75" customHeight="1" x14ac:dyDescent="0.35">
      <c r="A545" s="952"/>
      <c r="B545" s="952"/>
      <c r="C545" s="952"/>
      <c r="D545" s="952"/>
      <c r="E545" s="952"/>
      <c r="F545" s="952"/>
      <c r="G545" s="952"/>
      <c r="H545" s="952"/>
      <c r="I545" s="952"/>
      <c r="J545" s="952"/>
      <c r="K545" s="952"/>
      <c r="L545" s="952"/>
      <c r="M545" s="952"/>
      <c r="N545" s="952"/>
      <c r="O545" s="952"/>
      <c r="P545" s="952"/>
      <c r="Q545" s="952"/>
      <c r="R545" s="952"/>
      <c r="S545" s="952"/>
      <c r="T545" s="952"/>
      <c r="U545" s="952"/>
      <c r="V545" s="952"/>
      <c r="W545" s="952"/>
      <c r="X545" s="952"/>
      <c r="Y545" s="952"/>
      <c r="Z545" s="952"/>
    </row>
    <row r="546" spans="1:26" ht="18.75" customHeight="1" x14ac:dyDescent="0.35">
      <c r="A546" s="952"/>
      <c r="B546" s="952"/>
      <c r="C546" s="952"/>
      <c r="D546" s="952"/>
      <c r="E546" s="952"/>
      <c r="F546" s="952"/>
      <c r="G546" s="952"/>
      <c r="H546" s="952"/>
      <c r="I546" s="952"/>
      <c r="J546" s="952"/>
      <c r="K546" s="952"/>
      <c r="L546" s="952"/>
      <c r="M546" s="952"/>
      <c r="N546" s="952"/>
      <c r="O546" s="952"/>
      <c r="P546" s="952"/>
      <c r="Q546" s="952"/>
      <c r="R546" s="952"/>
      <c r="S546" s="952"/>
      <c r="T546" s="952"/>
      <c r="U546" s="952"/>
      <c r="V546" s="952"/>
      <c r="W546" s="952"/>
      <c r="X546" s="952"/>
      <c r="Y546" s="952"/>
      <c r="Z546" s="952"/>
    </row>
    <row r="547" spans="1:26" ht="18.75" customHeight="1" x14ac:dyDescent="0.35">
      <c r="A547" s="952"/>
      <c r="B547" s="952"/>
      <c r="C547" s="952"/>
      <c r="D547" s="952"/>
      <c r="E547" s="952"/>
      <c r="F547" s="952"/>
      <c r="G547" s="952"/>
      <c r="H547" s="952"/>
      <c r="I547" s="952"/>
      <c r="J547" s="952"/>
      <c r="K547" s="952"/>
      <c r="L547" s="952"/>
      <c r="M547" s="952"/>
      <c r="N547" s="952"/>
      <c r="O547" s="952"/>
      <c r="P547" s="952"/>
      <c r="Q547" s="952"/>
      <c r="R547" s="952"/>
      <c r="S547" s="952"/>
      <c r="T547" s="952"/>
      <c r="U547" s="952"/>
      <c r="V547" s="952"/>
      <c r="W547" s="952"/>
      <c r="X547" s="952"/>
      <c r="Y547" s="952"/>
      <c r="Z547" s="952"/>
    </row>
    <row r="548" spans="1:26" ht="18.75" customHeight="1" x14ac:dyDescent="0.35">
      <c r="A548" s="952"/>
      <c r="B548" s="952"/>
      <c r="C548" s="952"/>
      <c r="D548" s="952"/>
      <c r="E548" s="952"/>
      <c r="F548" s="952"/>
      <c r="G548" s="952"/>
      <c r="H548" s="952"/>
      <c r="I548" s="952"/>
      <c r="J548" s="952"/>
      <c r="K548" s="952"/>
      <c r="L548" s="952"/>
      <c r="M548" s="952"/>
      <c r="N548" s="952"/>
      <c r="O548" s="952"/>
      <c r="P548" s="952"/>
      <c r="Q548" s="952"/>
      <c r="R548" s="952"/>
      <c r="S548" s="952"/>
      <c r="T548" s="952"/>
      <c r="U548" s="952"/>
      <c r="V548" s="952"/>
      <c r="W548" s="952"/>
      <c r="X548" s="952"/>
      <c r="Y548" s="952"/>
      <c r="Z548" s="952"/>
    </row>
    <row r="549" spans="1:26" ht="18.75" customHeight="1" x14ac:dyDescent="0.35">
      <c r="A549" s="952"/>
      <c r="B549" s="952"/>
      <c r="C549" s="952"/>
      <c r="D549" s="952"/>
      <c r="E549" s="952"/>
      <c r="F549" s="952"/>
      <c r="G549" s="952"/>
      <c r="H549" s="952"/>
      <c r="I549" s="952"/>
      <c r="J549" s="952"/>
      <c r="K549" s="952"/>
      <c r="L549" s="952"/>
      <c r="M549" s="952"/>
      <c r="N549" s="952"/>
      <c r="O549" s="952"/>
      <c r="P549" s="952"/>
      <c r="Q549" s="952"/>
      <c r="R549" s="952"/>
      <c r="S549" s="952"/>
      <c r="T549" s="952"/>
      <c r="U549" s="952"/>
      <c r="V549" s="952"/>
      <c r="W549" s="952"/>
      <c r="X549" s="952"/>
      <c r="Y549" s="952"/>
      <c r="Z549" s="952"/>
    </row>
    <row r="550" spans="1:26" ht="18.75" customHeight="1" x14ac:dyDescent="0.35">
      <c r="A550" s="952"/>
      <c r="B550" s="952"/>
      <c r="C550" s="952"/>
      <c r="D550" s="952"/>
      <c r="E550" s="952"/>
      <c r="F550" s="952"/>
      <c r="G550" s="952"/>
      <c r="H550" s="952"/>
      <c r="I550" s="952"/>
      <c r="J550" s="952"/>
      <c r="K550" s="952"/>
      <c r="L550" s="952"/>
      <c r="M550" s="952"/>
      <c r="N550" s="952"/>
      <c r="O550" s="952"/>
      <c r="P550" s="952"/>
      <c r="Q550" s="952"/>
      <c r="R550" s="952"/>
      <c r="S550" s="952"/>
      <c r="T550" s="952"/>
      <c r="U550" s="952"/>
      <c r="V550" s="952"/>
      <c r="W550" s="952"/>
      <c r="X550" s="952"/>
      <c r="Y550" s="952"/>
      <c r="Z550" s="952"/>
    </row>
    <row r="551" spans="1:26" ht="18.75" customHeight="1" x14ac:dyDescent="0.35">
      <c r="A551" s="952"/>
      <c r="B551" s="952"/>
      <c r="C551" s="952"/>
      <c r="D551" s="952"/>
      <c r="E551" s="952"/>
      <c r="F551" s="952"/>
      <c r="G551" s="952"/>
      <c r="H551" s="952"/>
      <c r="I551" s="952"/>
      <c r="J551" s="952"/>
      <c r="K551" s="952"/>
      <c r="L551" s="952"/>
      <c r="M551" s="952"/>
      <c r="N551" s="952"/>
      <c r="O551" s="952"/>
      <c r="P551" s="952"/>
      <c r="Q551" s="952"/>
      <c r="R551" s="952"/>
      <c r="S551" s="952"/>
      <c r="T551" s="952"/>
      <c r="U551" s="952"/>
      <c r="V551" s="952"/>
      <c r="W551" s="952"/>
      <c r="X551" s="952"/>
      <c r="Y551" s="952"/>
      <c r="Z551" s="952"/>
    </row>
    <row r="552" spans="1:26" ht="18.75" customHeight="1" x14ac:dyDescent="0.35">
      <c r="A552" s="952"/>
      <c r="B552" s="952"/>
      <c r="C552" s="952"/>
      <c r="D552" s="952"/>
      <c r="E552" s="952"/>
      <c r="F552" s="952"/>
      <c r="G552" s="952"/>
      <c r="H552" s="952"/>
      <c r="I552" s="952"/>
      <c r="J552" s="952"/>
      <c r="K552" s="952"/>
      <c r="L552" s="952"/>
      <c r="M552" s="952"/>
      <c r="N552" s="952"/>
      <c r="O552" s="952"/>
      <c r="P552" s="952"/>
      <c r="Q552" s="952"/>
      <c r="R552" s="952"/>
      <c r="S552" s="952"/>
      <c r="T552" s="952"/>
      <c r="U552" s="952"/>
      <c r="V552" s="952"/>
      <c r="W552" s="952"/>
      <c r="X552" s="952"/>
      <c r="Y552" s="952"/>
      <c r="Z552" s="952"/>
    </row>
    <row r="553" spans="1:26" ht="18.75" customHeight="1" x14ac:dyDescent="0.35">
      <c r="A553" s="952"/>
      <c r="B553" s="952"/>
      <c r="C553" s="952"/>
      <c r="D553" s="952"/>
      <c r="E553" s="952"/>
      <c r="F553" s="952"/>
      <c r="G553" s="952"/>
      <c r="H553" s="952"/>
      <c r="I553" s="952"/>
      <c r="J553" s="952"/>
      <c r="K553" s="952"/>
      <c r="L553" s="952"/>
      <c r="M553" s="952"/>
      <c r="N553" s="952"/>
      <c r="O553" s="952"/>
      <c r="P553" s="952"/>
      <c r="Q553" s="952"/>
      <c r="R553" s="952"/>
      <c r="S553" s="952"/>
      <c r="T553" s="952"/>
      <c r="U553" s="952"/>
      <c r="V553" s="952"/>
      <c r="W553" s="952"/>
      <c r="X553" s="952"/>
      <c r="Y553" s="952"/>
      <c r="Z553" s="952"/>
    </row>
    <row r="554" spans="1:26" ht="18.75" customHeight="1" x14ac:dyDescent="0.35">
      <c r="A554" s="952"/>
      <c r="B554" s="952"/>
      <c r="C554" s="952"/>
      <c r="D554" s="952"/>
      <c r="E554" s="952"/>
      <c r="F554" s="952"/>
      <c r="G554" s="952"/>
      <c r="H554" s="952"/>
      <c r="I554" s="952"/>
      <c r="J554" s="952"/>
      <c r="K554" s="952"/>
      <c r="L554" s="952"/>
      <c r="M554" s="952"/>
      <c r="N554" s="952"/>
      <c r="O554" s="952"/>
      <c r="P554" s="952"/>
      <c r="Q554" s="952"/>
      <c r="R554" s="952"/>
      <c r="S554" s="952"/>
      <c r="T554" s="952"/>
      <c r="U554" s="952"/>
      <c r="V554" s="952"/>
      <c r="W554" s="952"/>
      <c r="X554" s="952"/>
      <c r="Y554" s="952"/>
      <c r="Z554" s="952"/>
    </row>
    <row r="555" spans="1:26" ht="18.75" customHeight="1" x14ac:dyDescent="0.35">
      <c r="A555" s="952"/>
      <c r="B555" s="952"/>
      <c r="C555" s="952"/>
      <c r="D555" s="952"/>
      <c r="E555" s="952"/>
      <c r="F555" s="952"/>
      <c r="G555" s="952"/>
      <c r="H555" s="952"/>
      <c r="I555" s="952"/>
      <c r="J555" s="952"/>
      <c r="K555" s="952"/>
      <c r="L555" s="952"/>
      <c r="M555" s="952"/>
      <c r="N555" s="952"/>
      <c r="O555" s="952"/>
      <c r="P555" s="952"/>
      <c r="Q555" s="952"/>
      <c r="R555" s="952"/>
      <c r="S555" s="952"/>
      <c r="T555" s="952"/>
      <c r="U555" s="952"/>
      <c r="V555" s="952"/>
      <c r="W555" s="952"/>
      <c r="X555" s="952"/>
      <c r="Y555" s="952"/>
      <c r="Z555" s="952"/>
    </row>
    <row r="556" spans="1:26" ht="18.75" customHeight="1" x14ac:dyDescent="0.35">
      <c r="A556" s="952"/>
      <c r="B556" s="952"/>
      <c r="C556" s="952"/>
      <c r="D556" s="952"/>
      <c r="E556" s="952"/>
      <c r="F556" s="952"/>
      <c r="G556" s="952"/>
      <c r="H556" s="952"/>
      <c r="I556" s="952"/>
      <c r="J556" s="952"/>
      <c r="K556" s="952"/>
      <c r="L556" s="952"/>
      <c r="M556" s="952"/>
      <c r="N556" s="952"/>
      <c r="O556" s="952"/>
      <c r="P556" s="952"/>
      <c r="Q556" s="952"/>
      <c r="R556" s="952"/>
      <c r="S556" s="952"/>
      <c r="T556" s="952"/>
      <c r="U556" s="952"/>
      <c r="V556" s="952"/>
      <c r="W556" s="952"/>
      <c r="X556" s="952"/>
      <c r="Y556" s="952"/>
      <c r="Z556" s="952"/>
    </row>
    <row r="557" spans="1:26" ht="18.75" customHeight="1" x14ac:dyDescent="0.35">
      <c r="A557" s="952"/>
      <c r="B557" s="952"/>
      <c r="C557" s="952"/>
      <c r="D557" s="952"/>
      <c r="E557" s="952"/>
      <c r="F557" s="952"/>
      <c r="G557" s="952"/>
      <c r="H557" s="952"/>
      <c r="I557" s="952"/>
      <c r="J557" s="952"/>
      <c r="K557" s="952"/>
      <c r="L557" s="952"/>
      <c r="M557" s="952"/>
      <c r="N557" s="952"/>
      <c r="O557" s="952"/>
      <c r="P557" s="952"/>
      <c r="Q557" s="952"/>
      <c r="R557" s="952"/>
      <c r="S557" s="952"/>
      <c r="T557" s="952"/>
      <c r="U557" s="952"/>
      <c r="V557" s="952"/>
      <c r="W557" s="952"/>
      <c r="X557" s="952"/>
      <c r="Y557" s="952"/>
      <c r="Z557" s="952"/>
    </row>
    <row r="558" spans="1:26" ht="18.75" customHeight="1" x14ac:dyDescent="0.35">
      <c r="A558" s="952"/>
      <c r="B558" s="952"/>
      <c r="C558" s="952"/>
      <c r="D558" s="952"/>
      <c r="E558" s="952"/>
      <c r="F558" s="952"/>
      <c r="G558" s="952"/>
      <c r="H558" s="952"/>
      <c r="I558" s="952"/>
      <c r="J558" s="952"/>
      <c r="K558" s="952"/>
      <c r="L558" s="952"/>
      <c r="M558" s="952"/>
      <c r="N558" s="952"/>
      <c r="O558" s="952"/>
      <c r="P558" s="952"/>
      <c r="Q558" s="952"/>
      <c r="R558" s="952"/>
      <c r="S558" s="952"/>
      <c r="T558" s="952"/>
      <c r="U558" s="952"/>
      <c r="V558" s="952"/>
      <c r="W558" s="952"/>
      <c r="X558" s="952"/>
      <c r="Y558" s="952"/>
      <c r="Z558" s="952"/>
    </row>
    <row r="559" spans="1:26" ht="18.75" customHeight="1" x14ac:dyDescent="0.35">
      <c r="A559" s="952"/>
      <c r="B559" s="952"/>
      <c r="C559" s="952"/>
      <c r="D559" s="952"/>
      <c r="E559" s="952"/>
      <c r="F559" s="952"/>
      <c r="G559" s="952"/>
      <c r="H559" s="952"/>
      <c r="I559" s="952"/>
      <c r="J559" s="952"/>
      <c r="K559" s="952"/>
      <c r="L559" s="952"/>
      <c r="M559" s="952"/>
      <c r="N559" s="952"/>
      <c r="O559" s="952"/>
      <c r="P559" s="952"/>
      <c r="Q559" s="952"/>
      <c r="R559" s="952"/>
      <c r="S559" s="952"/>
      <c r="T559" s="952"/>
      <c r="U559" s="952"/>
      <c r="V559" s="952"/>
      <c r="W559" s="952"/>
      <c r="X559" s="952"/>
      <c r="Y559" s="952"/>
      <c r="Z559" s="952"/>
    </row>
    <row r="560" spans="1:26" ht="18.75" customHeight="1" x14ac:dyDescent="0.35">
      <c r="A560" s="952"/>
      <c r="B560" s="952"/>
      <c r="C560" s="952"/>
      <c r="D560" s="952"/>
      <c r="E560" s="952"/>
      <c r="F560" s="952"/>
      <c r="G560" s="952"/>
      <c r="H560" s="952"/>
      <c r="I560" s="952"/>
      <c r="J560" s="952"/>
      <c r="K560" s="952"/>
      <c r="L560" s="952"/>
      <c r="M560" s="952"/>
      <c r="N560" s="952"/>
      <c r="O560" s="952"/>
      <c r="P560" s="952"/>
      <c r="Q560" s="952"/>
      <c r="R560" s="952"/>
      <c r="S560" s="952"/>
      <c r="T560" s="952"/>
      <c r="U560" s="952"/>
      <c r="V560" s="952"/>
      <c r="W560" s="952"/>
      <c r="X560" s="952"/>
      <c r="Y560" s="952"/>
      <c r="Z560" s="952"/>
    </row>
    <row r="561" spans="1:26" ht="18.75" customHeight="1" x14ac:dyDescent="0.35">
      <c r="A561" s="952"/>
      <c r="B561" s="952"/>
      <c r="C561" s="952"/>
      <c r="D561" s="952"/>
      <c r="E561" s="952"/>
      <c r="F561" s="952"/>
      <c r="G561" s="952"/>
      <c r="H561" s="952"/>
      <c r="I561" s="952"/>
      <c r="J561" s="952"/>
      <c r="K561" s="952"/>
      <c r="L561" s="952"/>
      <c r="M561" s="952"/>
      <c r="N561" s="952"/>
      <c r="O561" s="952"/>
      <c r="P561" s="952"/>
      <c r="Q561" s="952"/>
      <c r="R561" s="952"/>
      <c r="S561" s="952"/>
      <c r="T561" s="952"/>
      <c r="U561" s="952"/>
      <c r="V561" s="952"/>
      <c r="W561" s="952"/>
      <c r="X561" s="952"/>
      <c r="Y561" s="952"/>
      <c r="Z561" s="952"/>
    </row>
    <row r="562" spans="1:26" ht="18.75" customHeight="1" x14ac:dyDescent="0.35">
      <c r="A562" s="952"/>
      <c r="B562" s="952"/>
      <c r="C562" s="952"/>
      <c r="D562" s="952"/>
      <c r="E562" s="952"/>
      <c r="F562" s="952"/>
      <c r="G562" s="952"/>
      <c r="H562" s="952"/>
      <c r="I562" s="952"/>
      <c r="J562" s="952"/>
      <c r="K562" s="952"/>
      <c r="L562" s="952"/>
      <c r="M562" s="952"/>
      <c r="N562" s="952"/>
      <c r="O562" s="952"/>
      <c r="P562" s="952"/>
      <c r="Q562" s="952"/>
      <c r="R562" s="952"/>
      <c r="S562" s="952"/>
      <c r="T562" s="952"/>
      <c r="U562" s="952"/>
      <c r="V562" s="952"/>
      <c r="W562" s="952"/>
      <c r="X562" s="952"/>
      <c r="Y562" s="952"/>
      <c r="Z562" s="952"/>
    </row>
    <row r="563" spans="1:26" ht="18.75" customHeight="1" x14ac:dyDescent="0.35">
      <c r="A563" s="952"/>
      <c r="B563" s="952"/>
      <c r="C563" s="952"/>
      <c r="D563" s="952"/>
      <c r="E563" s="952"/>
      <c r="F563" s="952"/>
      <c r="G563" s="952"/>
      <c r="H563" s="952"/>
      <c r="I563" s="952"/>
      <c r="J563" s="952"/>
      <c r="K563" s="952"/>
      <c r="L563" s="952"/>
      <c r="M563" s="952"/>
      <c r="N563" s="952"/>
      <c r="O563" s="952"/>
      <c r="P563" s="952"/>
      <c r="Q563" s="952"/>
      <c r="R563" s="952"/>
      <c r="S563" s="952"/>
      <c r="T563" s="952"/>
      <c r="U563" s="952"/>
      <c r="V563" s="952"/>
      <c r="W563" s="952"/>
      <c r="X563" s="952"/>
      <c r="Y563" s="952"/>
      <c r="Z563" s="952"/>
    </row>
    <row r="564" spans="1:26" ht="18.75" customHeight="1" x14ac:dyDescent="0.35">
      <c r="A564" s="952"/>
      <c r="B564" s="952"/>
      <c r="C564" s="952"/>
      <c r="D564" s="952"/>
      <c r="E564" s="952"/>
      <c r="F564" s="952"/>
      <c r="G564" s="952"/>
      <c r="H564" s="952"/>
      <c r="I564" s="952"/>
      <c r="J564" s="952"/>
      <c r="K564" s="952"/>
      <c r="L564" s="952"/>
      <c r="M564" s="952"/>
      <c r="N564" s="952"/>
      <c r="O564" s="952"/>
      <c r="P564" s="952"/>
      <c r="Q564" s="952"/>
      <c r="R564" s="952"/>
      <c r="S564" s="952"/>
      <c r="T564" s="952"/>
      <c r="U564" s="952"/>
      <c r="V564" s="952"/>
      <c r="W564" s="952"/>
      <c r="X564" s="952"/>
      <c r="Y564" s="952"/>
      <c r="Z564" s="952"/>
    </row>
    <row r="565" spans="1:26" ht="18.75" customHeight="1" x14ac:dyDescent="0.35">
      <c r="A565" s="952"/>
      <c r="B565" s="952"/>
      <c r="C565" s="952"/>
      <c r="D565" s="952"/>
      <c r="E565" s="952"/>
      <c r="F565" s="952"/>
      <c r="G565" s="952"/>
      <c r="H565" s="952"/>
      <c r="I565" s="952"/>
      <c r="J565" s="952"/>
      <c r="K565" s="952"/>
      <c r="L565" s="952"/>
      <c r="M565" s="952"/>
      <c r="N565" s="952"/>
      <c r="O565" s="952"/>
      <c r="P565" s="952"/>
      <c r="Q565" s="952"/>
      <c r="R565" s="952"/>
      <c r="S565" s="952"/>
      <c r="T565" s="952"/>
      <c r="U565" s="952"/>
      <c r="V565" s="952"/>
      <c r="W565" s="952"/>
      <c r="X565" s="952"/>
      <c r="Y565" s="952"/>
      <c r="Z565" s="952"/>
    </row>
    <row r="566" spans="1:26" ht="18.75" customHeight="1" x14ac:dyDescent="0.35">
      <c r="A566" s="952"/>
      <c r="B566" s="952"/>
      <c r="C566" s="952"/>
      <c r="D566" s="952"/>
      <c r="E566" s="952"/>
      <c r="F566" s="952"/>
      <c r="G566" s="952"/>
      <c r="H566" s="952"/>
      <c r="I566" s="952"/>
      <c r="J566" s="952"/>
      <c r="K566" s="952"/>
      <c r="L566" s="952"/>
      <c r="M566" s="952"/>
      <c r="N566" s="952"/>
      <c r="O566" s="952"/>
      <c r="P566" s="952"/>
      <c r="Q566" s="952"/>
      <c r="R566" s="952"/>
      <c r="S566" s="952"/>
      <c r="T566" s="952"/>
      <c r="U566" s="952"/>
      <c r="V566" s="952"/>
      <c r="W566" s="952"/>
      <c r="X566" s="952"/>
      <c r="Y566" s="952"/>
      <c r="Z566" s="952"/>
    </row>
    <row r="567" spans="1:26" ht="18.75" customHeight="1" x14ac:dyDescent="0.35">
      <c r="A567" s="952"/>
      <c r="B567" s="952"/>
      <c r="C567" s="952"/>
      <c r="D567" s="952"/>
      <c r="E567" s="952"/>
      <c r="F567" s="952"/>
      <c r="G567" s="952"/>
      <c r="H567" s="952"/>
      <c r="I567" s="952"/>
      <c r="J567" s="952"/>
      <c r="K567" s="952"/>
      <c r="L567" s="952"/>
      <c r="M567" s="952"/>
      <c r="N567" s="952"/>
      <c r="O567" s="952"/>
      <c r="P567" s="952"/>
      <c r="Q567" s="952"/>
      <c r="R567" s="952"/>
      <c r="S567" s="952"/>
      <c r="T567" s="952"/>
      <c r="U567" s="952"/>
      <c r="V567" s="952"/>
      <c r="W567" s="952"/>
      <c r="X567" s="952"/>
      <c r="Y567" s="952"/>
      <c r="Z567" s="952"/>
    </row>
    <row r="568" spans="1:26" ht="18.75" customHeight="1" x14ac:dyDescent="0.35">
      <c r="A568" s="952"/>
      <c r="B568" s="952"/>
      <c r="C568" s="952"/>
      <c r="D568" s="952"/>
      <c r="E568" s="952"/>
      <c r="F568" s="952"/>
      <c r="G568" s="952"/>
      <c r="H568" s="952"/>
      <c r="I568" s="952"/>
      <c r="J568" s="952"/>
      <c r="K568" s="952"/>
      <c r="L568" s="952"/>
      <c r="M568" s="952"/>
      <c r="N568" s="952"/>
      <c r="O568" s="952"/>
      <c r="P568" s="952"/>
      <c r="Q568" s="952"/>
      <c r="R568" s="952"/>
      <c r="S568" s="952"/>
      <c r="T568" s="952"/>
      <c r="U568" s="952"/>
      <c r="V568" s="952"/>
      <c r="W568" s="952"/>
      <c r="X568" s="952"/>
      <c r="Y568" s="952"/>
      <c r="Z568" s="952"/>
    </row>
    <row r="569" spans="1:26" ht="18.75" customHeight="1" x14ac:dyDescent="0.35">
      <c r="A569" s="952"/>
      <c r="B569" s="952"/>
      <c r="C569" s="952"/>
      <c r="D569" s="952"/>
      <c r="E569" s="952"/>
      <c r="F569" s="952"/>
      <c r="G569" s="952"/>
      <c r="H569" s="952"/>
      <c r="I569" s="952"/>
      <c r="J569" s="952"/>
      <c r="K569" s="952"/>
      <c r="L569" s="952"/>
      <c r="M569" s="952"/>
      <c r="N569" s="952"/>
      <c r="O569" s="952"/>
      <c r="P569" s="952"/>
      <c r="Q569" s="952"/>
      <c r="R569" s="952"/>
      <c r="S569" s="952"/>
      <c r="T569" s="952"/>
      <c r="U569" s="952"/>
      <c r="V569" s="952"/>
      <c r="W569" s="952"/>
      <c r="X569" s="952"/>
      <c r="Y569" s="952"/>
      <c r="Z569" s="952"/>
    </row>
    <row r="570" spans="1:26" ht="18.75" customHeight="1" x14ac:dyDescent="0.35">
      <c r="A570" s="952"/>
      <c r="B570" s="952"/>
      <c r="C570" s="952"/>
      <c r="D570" s="952"/>
      <c r="E570" s="952"/>
      <c r="F570" s="952"/>
      <c r="G570" s="952"/>
      <c r="H570" s="952"/>
      <c r="I570" s="952"/>
      <c r="J570" s="952"/>
      <c r="K570" s="952"/>
      <c r="L570" s="952"/>
      <c r="M570" s="952"/>
      <c r="N570" s="952"/>
      <c r="O570" s="952"/>
      <c r="P570" s="952"/>
      <c r="Q570" s="952"/>
      <c r="R570" s="952"/>
      <c r="S570" s="952"/>
      <c r="T570" s="952"/>
      <c r="U570" s="952"/>
      <c r="V570" s="952"/>
      <c r="W570" s="952"/>
      <c r="X570" s="952"/>
      <c r="Y570" s="952"/>
      <c r="Z570" s="952"/>
    </row>
    <row r="571" spans="1:26" ht="18.75" customHeight="1" x14ac:dyDescent="0.35">
      <c r="A571" s="952"/>
      <c r="B571" s="952"/>
      <c r="C571" s="952"/>
      <c r="D571" s="952"/>
      <c r="E571" s="952"/>
      <c r="F571" s="952"/>
      <c r="G571" s="952"/>
      <c r="H571" s="952"/>
      <c r="I571" s="952"/>
      <c r="J571" s="952"/>
      <c r="K571" s="952"/>
      <c r="L571" s="952"/>
      <c r="M571" s="952"/>
      <c r="N571" s="952"/>
      <c r="O571" s="952"/>
      <c r="P571" s="952"/>
      <c r="Q571" s="952"/>
      <c r="R571" s="952"/>
      <c r="S571" s="952"/>
      <c r="T571" s="952"/>
      <c r="U571" s="952"/>
      <c r="V571" s="952"/>
      <c r="W571" s="952"/>
      <c r="X571" s="952"/>
      <c r="Y571" s="952"/>
      <c r="Z571" s="952"/>
    </row>
    <row r="572" spans="1:26" ht="18.75" customHeight="1" x14ac:dyDescent="0.35">
      <c r="A572" s="952"/>
      <c r="B572" s="952"/>
      <c r="C572" s="952"/>
      <c r="D572" s="952"/>
      <c r="E572" s="952"/>
      <c r="F572" s="952"/>
      <c r="G572" s="952"/>
      <c r="H572" s="952"/>
      <c r="I572" s="952"/>
      <c r="J572" s="952"/>
      <c r="K572" s="952"/>
      <c r="L572" s="952"/>
      <c r="M572" s="952"/>
      <c r="N572" s="952"/>
      <c r="O572" s="952"/>
      <c r="P572" s="952"/>
      <c r="Q572" s="952"/>
      <c r="R572" s="952"/>
      <c r="S572" s="952"/>
      <c r="T572" s="952"/>
      <c r="U572" s="952"/>
      <c r="V572" s="952"/>
      <c r="W572" s="952"/>
      <c r="X572" s="952"/>
      <c r="Y572" s="952"/>
      <c r="Z572" s="952"/>
    </row>
    <row r="573" spans="1:26" ht="18.75" customHeight="1" x14ac:dyDescent="0.35">
      <c r="A573" s="952"/>
      <c r="B573" s="952"/>
      <c r="C573" s="952"/>
      <c r="D573" s="952"/>
      <c r="E573" s="952"/>
      <c r="F573" s="952"/>
      <c r="G573" s="952"/>
      <c r="H573" s="952"/>
      <c r="I573" s="952"/>
      <c r="J573" s="952"/>
      <c r="K573" s="952"/>
      <c r="L573" s="952"/>
      <c r="M573" s="952"/>
      <c r="N573" s="952"/>
      <c r="O573" s="952"/>
      <c r="P573" s="952"/>
      <c r="Q573" s="952"/>
      <c r="R573" s="952"/>
      <c r="S573" s="952"/>
      <c r="T573" s="952"/>
      <c r="U573" s="952"/>
      <c r="V573" s="952"/>
      <c r="W573" s="952"/>
      <c r="X573" s="952"/>
      <c r="Y573" s="952"/>
      <c r="Z573" s="952"/>
    </row>
    <row r="574" spans="1:26" ht="18.75" customHeight="1" x14ac:dyDescent="0.35">
      <c r="A574" s="952"/>
      <c r="B574" s="952"/>
      <c r="C574" s="952"/>
      <c r="D574" s="952"/>
      <c r="E574" s="952"/>
      <c r="F574" s="952"/>
      <c r="G574" s="952"/>
      <c r="H574" s="952"/>
      <c r="I574" s="952"/>
      <c r="J574" s="952"/>
      <c r="K574" s="952"/>
      <c r="L574" s="952"/>
      <c r="M574" s="952"/>
      <c r="N574" s="952"/>
      <c r="O574" s="952"/>
      <c r="P574" s="952"/>
      <c r="Q574" s="952"/>
      <c r="R574" s="952"/>
      <c r="S574" s="952"/>
      <c r="T574" s="952"/>
      <c r="U574" s="952"/>
      <c r="V574" s="952"/>
      <c r="W574" s="952"/>
      <c r="X574" s="952"/>
      <c r="Y574" s="952"/>
      <c r="Z574" s="952"/>
    </row>
    <row r="575" spans="1:26" ht="18.75" customHeight="1" x14ac:dyDescent="0.35">
      <c r="A575" s="952"/>
      <c r="B575" s="952"/>
      <c r="C575" s="952"/>
      <c r="D575" s="952"/>
      <c r="E575" s="952"/>
      <c r="F575" s="952"/>
      <c r="G575" s="952"/>
      <c r="H575" s="952"/>
      <c r="I575" s="952"/>
      <c r="J575" s="952"/>
      <c r="K575" s="952"/>
      <c r="L575" s="952"/>
      <c r="M575" s="952"/>
      <c r="N575" s="952"/>
      <c r="O575" s="952"/>
      <c r="P575" s="952"/>
      <c r="Q575" s="952"/>
      <c r="R575" s="952"/>
      <c r="S575" s="952"/>
      <c r="T575" s="952"/>
      <c r="U575" s="952"/>
      <c r="V575" s="952"/>
      <c r="W575" s="952"/>
      <c r="X575" s="952"/>
      <c r="Y575" s="952"/>
      <c r="Z575" s="952"/>
    </row>
    <row r="576" spans="1:26" ht="18.75" customHeight="1" x14ac:dyDescent="0.35">
      <c r="A576" s="952"/>
      <c r="B576" s="952"/>
      <c r="C576" s="952"/>
      <c r="D576" s="952"/>
      <c r="E576" s="952"/>
      <c r="F576" s="952"/>
      <c r="G576" s="952"/>
      <c r="H576" s="952"/>
      <c r="I576" s="952"/>
      <c r="J576" s="952"/>
      <c r="K576" s="952"/>
      <c r="L576" s="952"/>
      <c r="M576" s="952"/>
      <c r="N576" s="952"/>
      <c r="O576" s="952"/>
      <c r="P576" s="952"/>
      <c r="Q576" s="952"/>
      <c r="R576" s="952"/>
      <c r="S576" s="952"/>
      <c r="T576" s="952"/>
      <c r="U576" s="952"/>
      <c r="V576" s="952"/>
      <c r="W576" s="952"/>
      <c r="X576" s="952"/>
      <c r="Y576" s="952"/>
      <c r="Z576" s="952"/>
    </row>
    <row r="577" spans="1:26" ht="18.75" customHeight="1" x14ac:dyDescent="0.35">
      <c r="A577" s="952"/>
      <c r="B577" s="952"/>
      <c r="C577" s="952"/>
      <c r="D577" s="952"/>
      <c r="E577" s="952"/>
      <c r="F577" s="952"/>
      <c r="G577" s="952"/>
      <c r="H577" s="952"/>
      <c r="I577" s="952"/>
      <c r="J577" s="952"/>
      <c r="K577" s="952"/>
      <c r="L577" s="952"/>
      <c r="M577" s="952"/>
      <c r="N577" s="952"/>
      <c r="O577" s="952"/>
      <c r="P577" s="952"/>
      <c r="Q577" s="952"/>
      <c r="R577" s="952"/>
      <c r="S577" s="952"/>
      <c r="T577" s="952"/>
      <c r="U577" s="952"/>
      <c r="V577" s="952"/>
      <c r="W577" s="952"/>
      <c r="X577" s="952"/>
      <c r="Y577" s="952"/>
      <c r="Z577" s="952"/>
    </row>
    <row r="578" spans="1:26" ht="18.75" customHeight="1" x14ac:dyDescent="0.35">
      <c r="A578" s="952"/>
      <c r="B578" s="952"/>
      <c r="C578" s="952"/>
      <c r="D578" s="952"/>
      <c r="E578" s="952"/>
      <c r="F578" s="952"/>
      <c r="G578" s="952"/>
      <c r="H578" s="952"/>
      <c r="I578" s="952"/>
      <c r="J578" s="952"/>
      <c r="K578" s="952"/>
      <c r="L578" s="952"/>
      <c r="M578" s="952"/>
      <c r="N578" s="952"/>
      <c r="O578" s="952"/>
      <c r="P578" s="952"/>
      <c r="Q578" s="952"/>
      <c r="R578" s="952"/>
      <c r="S578" s="952"/>
      <c r="T578" s="952"/>
      <c r="U578" s="952"/>
      <c r="V578" s="952"/>
      <c r="W578" s="952"/>
      <c r="X578" s="952"/>
      <c r="Y578" s="952"/>
      <c r="Z578" s="952"/>
    </row>
    <row r="579" spans="1:26" ht="18.75" customHeight="1" x14ac:dyDescent="0.35">
      <c r="A579" s="952"/>
      <c r="B579" s="952"/>
      <c r="C579" s="952"/>
      <c r="D579" s="952"/>
      <c r="E579" s="952"/>
      <c r="F579" s="952"/>
      <c r="G579" s="952"/>
      <c r="H579" s="952"/>
      <c r="I579" s="952"/>
      <c r="J579" s="952"/>
      <c r="K579" s="952"/>
      <c r="L579" s="952"/>
      <c r="M579" s="952"/>
      <c r="N579" s="952"/>
      <c r="O579" s="952"/>
      <c r="P579" s="952"/>
      <c r="Q579" s="952"/>
      <c r="R579" s="952"/>
      <c r="S579" s="952"/>
      <c r="T579" s="952"/>
      <c r="U579" s="952"/>
      <c r="V579" s="952"/>
      <c r="W579" s="952"/>
      <c r="X579" s="952"/>
      <c r="Y579" s="952"/>
      <c r="Z579" s="952"/>
    </row>
    <row r="580" spans="1:26" ht="18.75" customHeight="1" x14ac:dyDescent="0.35">
      <c r="A580" s="952"/>
      <c r="B580" s="952"/>
      <c r="C580" s="952"/>
      <c r="D580" s="952"/>
      <c r="E580" s="952"/>
      <c r="F580" s="952"/>
      <c r="G580" s="952"/>
      <c r="H580" s="952"/>
      <c r="I580" s="952"/>
      <c r="J580" s="952"/>
      <c r="K580" s="952"/>
      <c r="L580" s="952"/>
      <c r="M580" s="952"/>
      <c r="N580" s="952"/>
      <c r="O580" s="952"/>
      <c r="P580" s="952"/>
      <c r="Q580" s="952"/>
      <c r="R580" s="952"/>
      <c r="S580" s="952"/>
      <c r="T580" s="952"/>
      <c r="U580" s="952"/>
      <c r="V580" s="952"/>
      <c r="W580" s="952"/>
      <c r="X580" s="952"/>
      <c r="Y580" s="952"/>
      <c r="Z580" s="952"/>
    </row>
    <row r="581" spans="1:26" ht="18.75" customHeight="1" x14ac:dyDescent="0.35">
      <c r="A581" s="952"/>
      <c r="B581" s="952"/>
      <c r="C581" s="952"/>
      <c r="D581" s="952"/>
      <c r="E581" s="952"/>
      <c r="F581" s="952"/>
      <c r="G581" s="952"/>
      <c r="H581" s="952"/>
      <c r="I581" s="952"/>
      <c r="J581" s="952"/>
      <c r="K581" s="952"/>
      <c r="L581" s="952"/>
      <c r="M581" s="952"/>
      <c r="N581" s="952"/>
      <c r="O581" s="952"/>
      <c r="P581" s="952"/>
      <c r="Q581" s="952"/>
      <c r="R581" s="952"/>
      <c r="S581" s="952"/>
      <c r="T581" s="952"/>
      <c r="U581" s="952"/>
      <c r="V581" s="952"/>
      <c r="W581" s="952"/>
      <c r="X581" s="952"/>
      <c r="Y581" s="952"/>
      <c r="Z581" s="952"/>
    </row>
    <row r="582" spans="1:26" ht="18.75" customHeight="1" x14ac:dyDescent="0.35">
      <c r="A582" s="952"/>
      <c r="B582" s="952"/>
      <c r="C582" s="952"/>
      <c r="D582" s="952"/>
      <c r="E582" s="952"/>
      <c r="F582" s="952"/>
      <c r="G582" s="952"/>
      <c r="H582" s="952"/>
      <c r="I582" s="952"/>
      <c r="J582" s="952"/>
      <c r="K582" s="952"/>
      <c r="L582" s="952"/>
      <c r="M582" s="952"/>
      <c r="N582" s="952"/>
      <c r="O582" s="952"/>
      <c r="P582" s="952"/>
      <c r="Q582" s="952"/>
      <c r="R582" s="952"/>
      <c r="S582" s="952"/>
      <c r="T582" s="952"/>
      <c r="U582" s="952"/>
      <c r="V582" s="952"/>
      <c r="W582" s="952"/>
      <c r="X582" s="952"/>
      <c r="Y582" s="952"/>
      <c r="Z582" s="952"/>
    </row>
    <row r="583" spans="1:26" ht="18.75" customHeight="1" x14ac:dyDescent="0.35">
      <c r="A583" s="952"/>
      <c r="B583" s="952"/>
      <c r="C583" s="952"/>
      <c r="D583" s="952"/>
      <c r="E583" s="952"/>
      <c r="F583" s="952"/>
      <c r="G583" s="952"/>
      <c r="H583" s="952"/>
      <c r="I583" s="952"/>
      <c r="J583" s="952"/>
      <c r="K583" s="952"/>
      <c r="L583" s="952"/>
      <c r="M583" s="952"/>
      <c r="N583" s="952"/>
      <c r="O583" s="952"/>
      <c r="P583" s="952"/>
      <c r="Q583" s="952"/>
      <c r="R583" s="952"/>
      <c r="S583" s="952"/>
      <c r="T583" s="952"/>
      <c r="U583" s="952"/>
      <c r="V583" s="952"/>
      <c r="W583" s="952"/>
      <c r="X583" s="952"/>
      <c r="Y583" s="952"/>
      <c r="Z583" s="952"/>
    </row>
    <row r="584" spans="1:26" ht="18.75" customHeight="1" x14ac:dyDescent="0.35">
      <c r="A584" s="952"/>
      <c r="B584" s="952"/>
      <c r="C584" s="952"/>
      <c r="D584" s="952"/>
      <c r="E584" s="952"/>
      <c r="F584" s="952"/>
      <c r="G584" s="952"/>
      <c r="H584" s="952"/>
      <c r="I584" s="952"/>
      <c r="J584" s="952"/>
      <c r="K584" s="952"/>
      <c r="L584" s="952"/>
      <c r="M584" s="952"/>
      <c r="N584" s="952"/>
      <c r="O584" s="952"/>
      <c r="P584" s="952"/>
      <c r="Q584" s="952"/>
      <c r="R584" s="952"/>
      <c r="S584" s="952"/>
      <c r="T584" s="952"/>
      <c r="U584" s="952"/>
      <c r="V584" s="952"/>
      <c r="W584" s="952"/>
      <c r="X584" s="952"/>
      <c r="Y584" s="952"/>
      <c r="Z584" s="952"/>
    </row>
    <row r="585" spans="1:26" ht="18.75" customHeight="1" x14ac:dyDescent="0.35">
      <c r="A585" s="952"/>
      <c r="B585" s="952"/>
      <c r="C585" s="952"/>
      <c r="D585" s="952"/>
      <c r="E585" s="952"/>
      <c r="F585" s="952"/>
      <c r="G585" s="952"/>
      <c r="H585" s="952"/>
      <c r="I585" s="952"/>
      <c r="J585" s="952"/>
      <c r="K585" s="952"/>
      <c r="L585" s="952"/>
      <c r="M585" s="952"/>
      <c r="N585" s="952"/>
      <c r="O585" s="952"/>
      <c r="P585" s="952"/>
      <c r="Q585" s="952"/>
      <c r="R585" s="952"/>
      <c r="S585" s="952"/>
      <c r="T585" s="952"/>
      <c r="U585" s="952"/>
      <c r="V585" s="952"/>
      <c r="W585" s="952"/>
      <c r="X585" s="952"/>
      <c r="Y585" s="952"/>
      <c r="Z585" s="952"/>
    </row>
    <row r="586" spans="1:26" ht="18.75" customHeight="1" x14ac:dyDescent="0.35">
      <c r="A586" s="952"/>
      <c r="B586" s="952"/>
      <c r="C586" s="952"/>
      <c r="D586" s="952"/>
      <c r="E586" s="952"/>
      <c r="F586" s="952"/>
      <c r="G586" s="952"/>
      <c r="H586" s="952"/>
      <c r="I586" s="952"/>
      <c r="J586" s="952"/>
      <c r="K586" s="952"/>
      <c r="L586" s="952"/>
      <c r="M586" s="952"/>
      <c r="N586" s="952"/>
      <c r="O586" s="952"/>
      <c r="P586" s="952"/>
      <c r="Q586" s="952"/>
      <c r="R586" s="952"/>
      <c r="S586" s="952"/>
      <c r="T586" s="952"/>
      <c r="U586" s="952"/>
      <c r="V586" s="952"/>
      <c r="W586" s="952"/>
      <c r="X586" s="952"/>
      <c r="Y586" s="952"/>
      <c r="Z586" s="952"/>
    </row>
    <row r="587" spans="1:26" ht="18.75" customHeight="1" x14ac:dyDescent="0.35">
      <c r="A587" s="952"/>
      <c r="B587" s="952"/>
      <c r="C587" s="952"/>
      <c r="D587" s="952"/>
      <c r="E587" s="952"/>
      <c r="F587" s="952"/>
      <c r="G587" s="952"/>
      <c r="H587" s="952"/>
      <c r="I587" s="952"/>
      <c r="J587" s="952"/>
      <c r="K587" s="952"/>
      <c r="L587" s="952"/>
      <c r="M587" s="952"/>
      <c r="N587" s="952"/>
      <c r="O587" s="952"/>
      <c r="P587" s="952"/>
      <c r="Q587" s="952"/>
      <c r="R587" s="952"/>
      <c r="S587" s="952"/>
      <c r="T587" s="952"/>
      <c r="U587" s="952"/>
      <c r="V587" s="952"/>
      <c r="W587" s="952"/>
      <c r="X587" s="952"/>
      <c r="Y587" s="952"/>
      <c r="Z587" s="952"/>
    </row>
    <row r="588" spans="1:26" ht="18.75" customHeight="1" x14ac:dyDescent="0.35">
      <c r="A588" s="952"/>
      <c r="B588" s="952"/>
      <c r="C588" s="952"/>
      <c r="D588" s="952"/>
      <c r="E588" s="952"/>
      <c r="F588" s="952"/>
      <c r="G588" s="952"/>
      <c r="H588" s="952"/>
      <c r="I588" s="952"/>
      <c r="J588" s="952"/>
      <c r="K588" s="952"/>
      <c r="L588" s="952"/>
      <c r="M588" s="952"/>
      <c r="N588" s="952"/>
      <c r="O588" s="952"/>
      <c r="P588" s="952"/>
      <c r="Q588" s="952"/>
      <c r="R588" s="952"/>
      <c r="S588" s="952"/>
      <c r="T588" s="952"/>
      <c r="U588" s="952"/>
      <c r="V588" s="952"/>
      <c r="W588" s="952"/>
      <c r="X588" s="952"/>
      <c r="Y588" s="952"/>
      <c r="Z588" s="952"/>
    </row>
    <row r="589" spans="1:26" ht="18.75" customHeight="1" x14ac:dyDescent="0.35">
      <c r="A589" s="952"/>
      <c r="B589" s="952"/>
      <c r="C589" s="952"/>
      <c r="D589" s="952"/>
      <c r="E589" s="952"/>
      <c r="F589" s="952"/>
      <c r="G589" s="952"/>
      <c r="H589" s="952"/>
      <c r="I589" s="952"/>
      <c r="J589" s="952"/>
      <c r="K589" s="952"/>
      <c r="L589" s="952"/>
      <c r="M589" s="952"/>
      <c r="N589" s="952"/>
      <c r="O589" s="952"/>
      <c r="P589" s="952"/>
      <c r="Q589" s="952"/>
      <c r="R589" s="952"/>
      <c r="S589" s="952"/>
      <c r="T589" s="952"/>
      <c r="U589" s="952"/>
      <c r="V589" s="952"/>
      <c r="W589" s="952"/>
      <c r="X589" s="952"/>
      <c r="Y589" s="952"/>
      <c r="Z589" s="952"/>
    </row>
    <row r="590" spans="1:26" ht="18.75" customHeight="1" x14ac:dyDescent="0.35">
      <c r="A590" s="952"/>
      <c r="B590" s="952"/>
      <c r="C590" s="952"/>
      <c r="D590" s="952"/>
      <c r="E590" s="952"/>
      <c r="F590" s="952"/>
      <c r="G590" s="952"/>
      <c r="H590" s="952"/>
      <c r="I590" s="952"/>
      <c r="J590" s="952"/>
      <c r="K590" s="952"/>
      <c r="L590" s="952"/>
      <c r="M590" s="952"/>
      <c r="N590" s="952"/>
      <c r="O590" s="952"/>
      <c r="P590" s="952"/>
      <c r="Q590" s="952"/>
      <c r="R590" s="952"/>
      <c r="S590" s="952"/>
      <c r="T590" s="952"/>
      <c r="U590" s="952"/>
      <c r="V590" s="952"/>
      <c r="W590" s="952"/>
      <c r="X590" s="952"/>
      <c r="Y590" s="952"/>
      <c r="Z590" s="952"/>
    </row>
    <row r="591" spans="1:26" ht="18.75" customHeight="1" x14ac:dyDescent="0.35">
      <c r="A591" s="952"/>
      <c r="B591" s="952"/>
      <c r="C591" s="952"/>
      <c r="D591" s="952"/>
      <c r="E591" s="952"/>
      <c r="F591" s="952"/>
      <c r="G591" s="952"/>
      <c r="H591" s="952"/>
      <c r="I591" s="952"/>
      <c r="J591" s="952"/>
      <c r="K591" s="952"/>
      <c r="L591" s="952"/>
      <c r="M591" s="952"/>
      <c r="N591" s="952"/>
      <c r="O591" s="952"/>
      <c r="P591" s="952"/>
      <c r="Q591" s="952"/>
      <c r="R591" s="952"/>
      <c r="S591" s="952"/>
      <c r="T591" s="952"/>
      <c r="U591" s="952"/>
      <c r="V591" s="952"/>
      <c r="W591" s="952"/>
      <c r="X591" s="952"/>
      <c r="Y591" s="952"/>
      <c r="Z591" s="952"/>
    </row>
    <row r="592" spans="1:26" ht="18.75" customHeight="1" x14ac:dyDescent="0.35">
      <c r="A592" s="952"/>
      <c r="B592" s="952"/>
      <c r="C592" s="952"/>
      <c r="D592" s="952"/>
      <c r="E592" s="952"/>
      <c r="F592" s="952"/>
      <c r="G592" s="952"/>
      <c r="H592" s="952"/>
      <c r="I592" s="952"/>
      <c r="J592" s="952"/>
      <c r="K592" s="952"/>
      <c r="L592" s="952"/>
      <c r="M592" s="952"/>
      <c r="N592" s="952"/>
      <c r="O592" s="952"/>
      <c r="P592" s="952"/>
      <c r="Q592" s="952"/>
      <c r="R592" s="952"/>
      <c r="S592" s="952"/>
      <c r="T592" s="952"/>
      <c r="U592" s="952"/>
      <c r="V592" s="952"/>
      <c r="W592" s="952"/>
      <c r="X592" s="952"/>
      <c r="Y592" s="952"/>
      <c r="Z592" s="952"/>
    </row>
    <row r="593" spans="1:26" ht="18.75" customHeight="1" x14ac:dyDescent="0.35">
      <c r="A593" s="952"/>
      <c r="B593" s="952"/>
      <c r="C593" s="952"/>
      <c r="D593" s="952"/>
      <c r="E593" s="952"/>
      <c r="F593" s="952"/>
      <c r="G593" s="952"/>
      <c r="H593" s="952"/>
      <c r="I593" s="952"/>
      <c r="J593" s="952"/>
      <c r="K593" s="952"/>
      <c r="L593" s="952"/>
      <c r="M593" s="952"/>
      <c r="N593" s="952"/>
      <c r="O593" s="952"/>
      <c r="P593" s="952"/>
      <c r="Q593" s="952"/>
      <c r="R593" s="952"/>
      <c r="S593" s="952"/>
      <c r="T593" s="952"/>
      <c r="U593" s="952"/>
      <c r="V593" s="952"/>
      <c r="W593" s="952"/>
      <c r="X593" s="952"/>
      <c r="Y593" s="952"/>
      <c r="Z593" s="952"/>
    </row>
    <row r="594" spans="1:26" ht="18.75" customHeight="1" x14ac:dyDescent="0.35">
      <c r="A594" s="952"/>
      <c r="B594" s="952"/>
      <c r="C594" s="952"/>
      <c r="D594" s="952"/>
      <c r="E594" s="952"/>
      <c r="F594" s="952"/>
      <c r="G594" s="952"/>
      <c r="H594" s="952"/>
      <c r="I594" s="952"/>
      <c r="J594" s="952"/>
      <c r="K594" s="952"/>
      <c r="L594" s="952"/>
      <c r="M594" s="952"/>
      <c r="N594" s="952"/>
      <c r="O594" s="952"/>
      <c r="P594" s="952"/>
      <c r="Q594" s="952"/>
      <c r="R594" s="952"/>
      <c r="S594" s="952"/>
      <c r="T594" s="952"/>
      <c r="U594" s="952"/>
      <c r="V594" s="952"/>
      <c r="W594" s="952"/>
      <c r="X594" s="952"/>
      <c r="Y594" s="952"/>
      <c r="Z594" s="952"/>
    </row>
    <row r="595" spans="1:26" ht="18.75" customHeight="1" x14ac:dyDescent="0.35">
      <c r="A595" s="952"/>
      <c r="B595" s="952"/>
      <c r="C595" s="952"/>
      <c r="D595" s="952"/>
      <c r="E595" s="952"/>
      <c r="F595" s="952"/>
      <c r="G595" s="952"/>
      <c r="H595" s="952"/>
      <c r="I595" s="952"/>
      <c r="J595" s="952"/>
      <c r="K595" s="952"/>
      <c r="L595" s="952"/>
      <c r="M595" s="952"/>
      <c r="N595" s="952"/>
      <c r="O595" s="952"/>
      <c r="P595" s="952"/>
      <c r="Q595" s="952"/>
      <c r="R595" s="952"/>
      <c r="S595" s="952"/>
      <c r="T595" s="952"/>
      <c r="U595" s="952"/>
      <c r="V595" s="952"/>
      <c r="W595" s="952"/>
      <c r="X595" s="952"/>
      <c r="Y595" s="952"/>
      <c r="Z595" s="952"/>
    </row>
    <row r="596" spans="1:26" ht="18.75" customHeight="1" x14ac:dyDescent="0.35">
      <c r="A596" s="952"/>
      <c r="B596" s="952"/>
      <c r="C596" s="952"/>
      <c r="D596" s="952"/>
      <c r="E596" s="952"/>
      <c r="F596" s="952"/>
      <c r="G596" s="952"/>
      <c r="H596" s="952"/>
      <c r="I596" s="952"/>
      <c r="J596" s="952"/>
      <c r="K596" s="952"/>
      <c r="L596" s="952"/>
      <c r="M596" s="952"/>
      <c r="N596" s="952"/>
      <c r="O596" s="952"/>
      <c r="P596" s="952"/>
      <c r="Q596" s="952"/>
      <c r="R596" s="952"/>
      <c r="S596" s="952"/>
      <c r="T596" s="952"/>
      <c r="U596" s="952"/>
      <c r="V596" s="952"/>
      <c r="W596" s="952"/>
      <c r="X596" s="952"/>
      <c r="Y596" s="952"/>
      <c r="Z596" s="952"/>
    </row>
    <row r="597" spans="1:26" ht="18.75" customHeight="1" x14ac:dyDescent="0.35">
      <c r="A597" s="952"/>
      <c r="B597" s="952"/>
      <c r="C597" s="952"/>
      <c r="D597" s="952"/>
      <c r="E597" s="952"/>
      <c r="F597" s="952"/>
      <c r="G597" s="952"/>
      <c r="H597" s="952"/>
      <c r="I597" s="952"/>
      <c r="J597" s="952"/>
      <c r="K597" s="952"/>
      <c r="L597" s="952"/>
      <c r="M597" s="952"/>
      <c r="N597" s="952"/>
      <c r="O597" s="952"/>
      <c r="P597" s="952"/>
      <c r="Q597" s="952"/>
      <c r="R597" s="952"/>
      <c r="S597" s="952"/>
      <c r="T597" s="952"/>
      <c r="U597" s="952"/>
      <c r="V597" s="952"/>
      <c r="W597" s="952"/>
      <c r="X597" s="952"/>
      <c r="Y597" s="952"/>
      <c r="Z597" s="952"/>
    </row>
    <row r="598" spans="1:26" ht="18.75" customHeight="1" x14ac:dyDescent="0.35">
      <c r="A598" s="952"/>
      <c r="B598" s="952"/>
      <c r="C598" s="952"/>
      <c r="D598" s="952"/>
      <c r="E598" s="952"/>
      <c r="F598" s="952"/>
      <c r="G598" s="952"/>
      <c r="H598" s="952"/>
      <c r="I598" s="952"/>
      <c r="J598" s="952"/>
      <c r="K598" s="952"/>
      <c r="L598" s="952"/>
      <c r="M598" s="952"/>
      <c r="N598" s="952"/>
      <c r="O598" s="952"/>
      <c r="P598" s="952"/>
      <c r="Q598" s="952"/>
      <c r="R598" s="952"/>
      <c r="S598" s="952"/>
      <c r="T598" s="952"/>
      <c r="U598" s="952"/>
      <c r="V598" s="952"/>
      <c r="W598" s="952"/>
      <c r="X598" s="952"/>
      <c r="Y598" s="952"/>
      <c r="Z598" s="952"/>
    </row>
    <row r="599" spans="1:26" ht="18.75" customHeight="1" x14ac:dyDescent="0.35">
      <c r="A599" s="952"/>
      <c r="B599" s="952"/>
      <c r="C599" s="952"/>
      <c r="D599" s="952"/>
      <c r="E599" s="952"/>
      <c r="F599" s="952"/>
      <c r="G599" s="952"/>
      <c r="H599" s="952"/>
      <c r="I599" s="952"/>
      <c r="J599" s="952"/>
      <c r="K599" s="952"/>
      <c r="L599" s="952"/>
      <c r="M599" s="952"/>
      <c r="N599" s="952"/>
      <c r="O599" s="952"/>
      <c r="P599" s="952"/>
      <c r="Q599" s="952"/>
      <c r="R599" s="952"/>
      <c r="S599" s="952"/>
      <c r="T599" s="952"/>
      <c r="U599" s="952"/>
      <c r="V599" s="952"/>
      <c r="W599" s="952"/>
      <c r="X599" s="952"/>
      <c r="Y599" s="952"/>
      <c r="Z599" s="952"/>
    </row>
    <row r="600" spans="1:26" ht="18.75" customHeight="1" x14ac:dyDescent="0.35">
      <c r="A600" s="952"/>
      <c r="B600" s="952"/>
      <c r="C600" s="952"/>
      <c r="D600" s="952"/>
      <c r="E600" s="952"/>
      <c r="F600" s="952"/>
      <c r="G600" s="952"/>
      <c r="H600" s="952"/>
      <c r="I600" s="952"/>
      <c r="J600" s="952"/>
      <c r="K600" s="952"/>
      <c r="L600" s="952"/>
      <c r="M600" s="952"/>
      <c r="N600" s="952"/>
      <c r="O600" s="952"/>
      <c r="P600" s="952"/>
      <c r="Q600" s="952"/>
      <c r="R600" s="952"/>
      <c r="S600" s="952"/>
      <c r="T600" s="952"/>
      <c r="U600" s="952"/>
      <c r="V600" s="952"/>
      <c r="W600" s="952"/>
      <c r="X600" s="952"/>
      <c r="Y600" s="952"/>
      <c r="Z600" s="952"/>
    </row>
    <row r="601" spans="1:26" ht="18.75" customHeight="1" x14ac:dyDescent="0.35">
      <c r="A601" s="952"/>
      <c r="B601" s="952"/>
      <c r="C601" s="952"/>
      <c r="D601" s="952"/>
      <c r="E601" s="952"/>
      <c r="F601" s="952"/>
      <c r="G601" s="952"/>
      <c r="H601" s="952"/>
      <c r="I601" s="952"/>
      <c r="J601" s="952"/>
      <c r="K601" s="952"/>
      <c r="L601" s="952"/>
      <c r="M601" s="952"/>
      <c r="N601" s="952"/>
      <c r="O601" s="952"/>
      <c r="P601" s="952"/>
      <c r="Q601" s="952"/>
      <c r="R601" s="952"/>
      <c r="S601" s="952"/>
      <c r="T601" s="952"/>
      <c r="U601" s="952"/>
      <c r="V601" s="952"/>
      <c r="W601" s="952"/>
      <c r="X601" s="952"/>
      <c r="Y601" s="952"/>
      <c r="Z601" s="952"/>
    </row>
    <row r="602" spans="1:26" ht="18.75" customHeight="1" x14ac:dyDescent="0.35">
      <c r="A602" s="952"/>
      <c r="B602" s="952"/>
      <c r="C602" s="952"/>
      <c r="D602" s="952"/>
      <c r="E602" s="952"/>
      <c r="F602" s="952"/>
      <c r="G602" s="952"/>
      <c r="H602" s="952"/>
      <c r="I602" s="952"/>
      <c r="J602" s="952"/>
      <c r="K602" s="952"/>
      <c r="L602" s="952"/>
      <c r="M602" s="952"/>
      <c r="N602" s="952"/>
      <c r="O602" s="952"/>
      <c r="P602" s="952"/>
      <c r="Q602" s="952"/>
      <c r="R602" s="952"/>
      <c r="S602" s="952"/>
      <c r="T602" s="952"/>
      <c r="U602" s="952"/>
      <c r="V602" s="952"/>
      <c r="W602" s="952"/>
      <c r="X602" s="952"/>
      <c r="Y602" s="952"/>
      <c r="Z602" s="952"/>
    </row>
    <row r="603" spans="1:26" ht="18.75" customHeight="1" x14ac:dyDescent="0.35">
      <c r="A603" s="952"/>
      <c r="B603" s="952"/>
      <c r="C603" s="952"/>
      <c r="D603" s="952"/>
      <c r="E603" s="952"/>
      <c r="F603" s="952"/>
      <c r="G603" s="952"/>
      <c r="H603" s="952"/>
      <c r="I603" s="952"/>
      <c r="J603" s="952"/>
      <c r="K603" s="952"/>
      <c r="L603" s="952"/>
      <c r="M603" s="952"/>
      <c r="N603" s="952"/>
      <c r="O603" s="952"/>
      <c r="P603" s="952"/>
      <c r="Q603" s="952"/>
      <c r="R603" s="952"/>
      <c r="S603" s="952"/>
      <c r="T603" s="952"/>
      <c r="U603" s="952"/>
      <c r="V603" s="952"/>
      <c r="W603" s="952"/>
      <c r="X603" s="952"/>
      <c r="Y603" s="952"/>
      <c r="Z603" s="952"/>
    </row>
    <row r="604" spans="1:26" ht="18.75" customHeight="1" x14ac:dyDescent="0.35">
      <c r="A604" s="952"/>
      <c r="B604" s="952"/>
      <c r="C604" s="952"/>
      <c r="D604" s="952"/>
      <c r="E604" s="952"/>
      <c r="F604" s="952"/>
      <c r="G604" s="952"/>
      <c r="H604" s="952"/>
      <c r="I604" s="952"/>
      <c r="J604" s="952"/>
      <c r="K604" s="952"/>
      <c r="L604" s="952"/>
      <c r="M604" s="952"/>
      <c r="N604" s="952"/>
      <c r="O604" s="952"/>
      <c r="P604" s="952"/>
      <c r="Q604" s="952"/>
      <c r="R604" s="952"/>
      <c r="S604" s="952"/>
      <c r="T604" s="952"/>
      <c r="U604" s="952"/>
      <c r="V604" s="952"/>
      <c r="W604" s="952"/>
      <c r="X604" s="952"/>
      <c r="Y604" s="952"/>
      <c r="Z604" s="952"/>
    </row>
    <row r="605" spans="1:26" ht="18.75" customHeight="1" x14ac:dyDescent="0.35">
      <c r="A605" s="952"/>
      <c r="B605" s="952"/>
      <c r="C605" s="952"/>
      <c r="D605" s="952"/>
      <c r="E605" s="952"/>
      <c r="F605" s="952"/>
      <c r="G605" s="952"/>
      <c r="H605" s="952"/>
      <c r="I605" s="952"/>
      <c r="J605" s="952"/>
      <c r="K605" s="952"/>
      <c r="L605" s="952"/>
      <c r="M605" s="952"/>
      <c r="N605" s="952"/>
      <c r="O605" s="952"/>
      <c r="P605" s="952"/>
      <c r="Q605" s="952"/>
      <c r="R605" s="952"/>
      <c r="S605" s="952"/>
      <c r="T605" s="952"/>
      <c r="U605" s="952"/>
      <c r="V605" s="952"/>
      <c r="W605" s="952"/>
      <c r="X605" s="952"/>
      <c r="Y605" s="952"/>
      <c r="Z605" s="952"/>
    </row>
    <row r="606" spans="1:26" ht="18.75" customHeight="1" x14ac:dyDescent="0.35">
      <c r="A606" s="952"/>
      <c r="B606" s="952"/>
      <c r="C606" s="952"/>
      <c r="D606" s="952"/>
      <c r="E606" s="952"/>
      <c r="F606" s="952"/>
      <c r="G606" s="952"/>
      <c r="H606" s="952"/>
      <c r="I606" s="952"/>
      <c r="J606" s="952"/>
      <c r="K606" s="952"/>
      <c r="L606" s="952"/>
      <c r="M606" s="952"/>
      <c r="N606" s="952"/>
      <c r="O606" s="952"/>
      <c r="P606" s="952"/>
      <c r="Q606" s="952"/>
      <c r="R606" s="952"/>
      <c r="S606" s="952"/>
      <c r="T606" s="952"/>
      <c r="U606" s="952"/>
      <c r="V606" s="952"/>
      <c r="W606" s="952"/>
      <c r="X606" s="952"/>
      <c r="Y606" s="952"/>
      <c r="Z606" s="952"/>
    </row>
    <row r="607" spans="1:26" ht="18.75" customHeight="1" x14ac:dyDescent="0.35">
      <c r="A607" s="952"/>
      <c r="B607" s="952"/>
      <c r="C607" s="952"/>
      <c r="D607" s="952"/>
      <c r="E607" s="952"/>
      <c r="F607" s="952"/>
      <c r="G607" s="952"/>
      <c r="H607" s="952"/>
      <c r="I607" s="952"/>
      <c r="J607" s="952"/>
      <c r="K607" s="952"/>
      <c r="L607" s="952"/>
      <c r="M607" s="952"/>
      <c r="N607" s="952"/>
      <c r="O607" s="952"/>
      <c r="P607" s="952"/>
      <c r="Q607" s="952"/>
      <c r="R607" s="952"/>
      <c r="S607" s="952"/>
      <c r="T607" s="952"/>
      <c r="U607" s="952"/>
      <c r="V607" s="952"/>
      <c r="W607" s="952"/>
      <c r="X607" s="952"/>
      <c r="Y607" s="952"/>
      <c r="Z607" s="952"/>
    </row>
    <row r="608" spans="1:26" ht="18.75" customHeight="1" x14ac:dyDescent="0.35">
      <c r="A608" s="952"/>
      <c r="B608" s="952"/>
      <c r="C608" s="952"/>
      <c r="D608" s="952"/>
      <c r="E608" s="952"/>
      <c r="F608" s="952"/>
      <c r="G608" s="952"/>
      <c r="H608" s="952"/>
      <c r="I608" s="952"/>
      <c r="J608" s="952"/>
      <c r="K608" s="952"/>
      <c r="L608" s="952"/>
      <c r="M608" s="952"/>
      <c r="N608" s="952"/>
      <c r="O608" s="952"/>
      <c r="P608" s="952"/>
      <c r="Q608" s="952"/>
      <c r="R608" s="952"/>
      <c r="S608" s="952"/>
      <c r="T608" s="952"/>
      <c r="U608" s="952"/>
      <c r="V608" s="952"/>
      <c r="W608" s="952"/>
      <c r="X608" s="952"/>
      <c r="Y608" s="952"/>
      <c r="Z608" s="952"/>
    </row>
    <row r="609" spans="1:26" ht="18.75" customHeight="1" x14ac:dyDescent="0.35">
      <c r="A609" s="952"/>
      <c r="B609" s="952"/>
      <c r="C609" s="952"/>
      <c r="D609" s="952"/>
      <c r="E609" s="952"/>
      <c r="F609" s="952"/>
      <c r="G609" s="952"/>
      <c r="H609" s="952"/>
      <c r="I609" s="952"/>
      <c r="J609" s="952"/>
      <c r="K609" s="952"/>
      <c r="L609" s="952"/>
      <c r="M609" s="952"/>
      <c r="N609" s="952"/>
      <c r="O609" s="952"/>
      <c r="P609" s="952"/>
      <c r="Q609" s="952"/>
      <c r="R609" s="952"/>
      <c r="S609" s="952"/>
      <c r="T609" s="952"/>
      <c r="U609" s="952"/>
      <c r="V609" s="952"/>
      <c r="W609" s="952"/>
      <c r="X609" s="952"/>
      <c r="Y609" s="952"/>
      <c r="Z609" s="952"/>
    </row>
    <row r="610" spans="1:26" ht="18.75" customHeight="1" x14ac:dyDescent="0.35">
      <c r="A610" s="952"/>
      <c r="B610" s="952"/>
      <c r="C610" s="952"/>
      <c r="D610" s="952"/>
      <c r="E610" s="952"/>
      <c r="F610" s="952"/>
      <c r="G610" s="952"/>
      <c r="H610" s="952"/>
      <c r="I610" s="952"/>
      <c r="J610" s="952"/>
      <c r="K610" s="952"/>
      <c r="L610" s="952"/>
      <c r="M610" s="952"/>
      <c r="N610" s="952"/>
      <c r="O610" s="952"/>
      <c r="P610" s="952"/>
      <c r="Q610" s="952"/>
      <c r="R610" s="952"/>
      <c r="S610" s="952"/>
      <c r="T610" s="952"/>
      <c r="U610" s="952"/>
      <c r="V610" s="952"/>
      <c r="W610" s="952"/>
      <c r="X610" s="952"/>
      <c r="Y610" s="952"/>
      <c r="Z610" s="952"/>
    </row>
    <row r="611" spans="1:26" ht="18.75" customHeight="1" x14ac:dyDescent="0.35">
      <c r="A611" s="952"/>
      <c r="B611" s="952"/>
      <c r="C611" s="952"/>
      <c r="D611" s="952"/>
      <c r="E611" s="952"/>
      <c r="F611" s="952"/>
      <c r="G611" s="952"/>
      <c r="H611" s="952"/>
      <c r="I611" s="952"/>
      <c r="J611" s="952"/>
      <c r="K611" s="952"/>
      <c r="L611" s="952"/>
      <c r="M611" s="952"/>
      <c r="N611" s="952"/>
      <c r="O611" s="952"/>
      <c r="P611" s="952"/>
      <c r="Q611" s="952"/>
      <c r="R611" s="952"/>
      <c r="S611" s="952"/>
      <c r="T611" s="952"/>
      <c r="U611" s="952"/>
      <c r="V611" s="952"/>
      <c r="W611" s="952"/>
      <c r="X611" s="952"/>
      <c r="Y611" s="952"/>
      <c r="Z611" s="952"/>
    </row>
    <row r="612" spans="1:26" ht="18.75" customHeight="1" x14ac:dyDescent="0.35">
      <c r="A612" s="952"/>
      <c r="B612" s="952"/>
      <c r="C612" s="952"/>
      <c r="D612" s="952"/>
      <c r="E612" s="952"/>
      <c r="F612" s="952"/>
      <c r="G612" s="952"/>
      <c r="H612" s="952"/>
      <c r="I612" s="952"/>
      <c r="J612" s="952"/>
      <c r="K612" s="952"/>
      <c r="L612" s="952"/>
      <c r="M612" s="952"/>
      <c r="N612" s="952"/>
      <c r="O612" s="952"/>
      <c r="P612" s="952"/>
      <c r="Q612" s="952"/>
      <c r="R612" s="952"/>
      <c r="S612" s="952"/>
      <c r="T612" s="952"/>
      <c r="U612" s="952"/>
      <c r="V612" s="952"/>
      <c r="W612" s="952"/>
      <c r="X612" s="952"/>
      <c r="Y612" s="952"/>
      <c r="Z612" s="952"/>
    </row>
    <row r="613" spans="1:26" ht="18.75" customHeight="1" x14ac:dyDescent="0.35">
      <c r="A613" s="952"/>
      <c r="B613" s="952"/>
      <c r="C613" s="952"/>
      <c r="D613" s="952"/>
      <c r="E613" s="952"/>
      <c r="F613" s="952"/>
      <c r="G613" s="952"/>
      <c r="H613" s="952"/>
      <c r="I613" s="952"/>
      <c r="J613" s="952"/>
      <c r="K613" s="952"/>
      <c r="L613" s="952"/>
      <c r="M613" s="952"/>
      <c r="N613" s="952"/>
      <c r="O613" s="952"/>
      <c r="P613" s="952"/>
      <c r="Q613" s="952"/>
      <c r="R613" s="952"/>
      <c r="S613" s="952"/>
      <c r="T613" s="952"/>
      <c r="U613" s="952"/>
      <c r="V613" s="952"/>
      <c r="W613" s="952"/>
      <c r="X613" s="952"/>
      <c r="Y613" s="952"/>
      <c r="Z613" s="952"/>
    </row>
    <row r="614" spans="1:26" ht="18.75" customHeight="1" x14ac:dyDescent="0.35">
      <c r="A614" s="952"/>
      <c r="B614" s="952"/>
      <c r="C614" s="952"/>
      <c r="D614" s="952"/>
      <c r="E614" s="952"/>
      <c r="F614" s="952"/>
      <c r="G614" s="952"/>
      <c r="H614" s="952"/>
      <c r="I614" s="952"/>
      <c r="J614" s="952"/>
      <c r="K614" s="952"/>
      <c r="L614" s="952"/>
      <c r="M614" s="952"/>
      <c r="N614" s="952"/>
      <c r="O614" s="952"/>
      <c r="P614" s="952"/>
      <c r="Q614" s="952"/>
      <c r="R614" s="952"/>
      <c r="S614" s="952"/>
      <c r="T614" s="952"/>
      <c r="U614" s="952"/>
      <c r="V614" s="952"/>
      <c r="W614" s="952"/>
      <c r="X614" s="952"/>
      <c r="Y614" s="952"/>
      <c r="Z614" s="952"/>
    </row>
    <row r="615" spans="1:26" ht="18.75" customHeight="1" x14ac:dyDescent="0.35">
      <c r="A615" s="952"/>
      <c r="B615" s="952"/>
      <c r="C615" s="952"/>
      <c r="D615" s="952"/>
      <c r="E615" s="952"/>
      <c r="F615" s="952"/>
      <c r="G615" s="952"/>
      <c r="H615" s="952"/>
      <c r="I615" s="952"/>
      <c r="J615" s="952"/>
      <c r="K615" s="952"/>
      <c r="L615" s="952"/>
      <c r="M615" s="952"/>
      <c r="N615" s="952"/>
      <c r="O615" s="952"/>
      <c r="P615" s="952"/>
      <c r="Q615" s="952"/>
      <c r="R615" s="952"/>
      <c r="S615" s="952"/>
      <c r="T615" s="952"/>
      <c r="U615" s="952"/>
      <c r="V615" s="952"/>
      <c r="W615" s="952"/>
      <c r="X615" s="952"/>
      <c r="Y615" s="952"/>
      <c r="Z615" s="952"/>
    </row>
    <row r="616" spans="1:26" ht="18.75" customHeight="1" x14ac:dyDescent="0.35">
      <c r="A616" s="952"/>
      <c r="B616" s="952"/>
      <c r="C616" s="952"/>
      <c r="D616" s="952"/>
      <c r="E616" s="952"/>
      <c r="F616" s="952"/>
      <c r="G616" s="952"/>
      <c r="H616" s="952"/>
      <c r="I616" s="952"/>
      <c r="J616" s="952"/>
      <c r="K616" s="952"/>
      <c r="L616" s="952"/>
      <c r="M616" s="952"/>
      <c r="N616" s="952"/>
      <c r="O616" s="952"/>
      <c r="P616" s="952"/>
      <c r="Q616" s="952"/>
      <c r="R616" s="952"/>
      <c r="S616" s="952"/>
      <c r="T616" s="952"/>
      <c r="U616" s="952"/>
      <c r="V616" s="952"/>
      <c r="W616" s="952"/>
      <c r="X616" s="952"/>
      <c r="Y616" s="952"/>
      <c r="Z616" s="952"/>
    </row>
    <row r="617" spans="1:26" ht="18.75" customHeight="1" x14ac:dyDescent="0.35">
      <c r="A617" s="952"/>
      <c r="B617" s="952"/>
      <c r="C617" s="952"/>
      <c r="D617" s="952"/>
      <c r="E617" s="952"/>
      <c r="F617" s="952"/>
      <c r="G617" s="952"/>
      <c r="H617" s="952"/>
      <c r="I617" s="952"/>
      <c r="J617" s="952"/>
      <c r="K617" s="952"/>
      <c r="L617" s="952"/>
      <c r="M617" s="952"/>
      <c r="N617" s="952"/>
      <c r="O617" s="952"/>
      <c r="P617" s="952"/>
      <c r="Q617" s="952"/>
      <c r="R617" s="952"/>
      <c r="S617" s="952"/>
      <c r="T617" s="952"/>
      <c r="U617" s="952"/>
      <c r="V617" s="952"/>
      <c r="W617" s="952"/>
      <c r="X617" s="952"/>
      <c r="Y617" s="952"/>
      <c r="Z617" s="952"/>
    </row>
    <row r="618" spans="1:26" ht="18.75" customHeight="1" x14ac:dyDescent="0.35">
      <c r="A618" s="952"/>
      <c r="B618" s="952"/>
      <c r="C618" s="952"/>
      <c r="D618" s="952"/>
      <c r="E618" s="952"/>
      <c r="F618" s="952"/>
      <c r="G618" s="952"/>
      <c r="H618" s="952"/>
      <c r="I618" s="952"/>
      <c r="J618" s="952"/>
      <c r="K618" s="952"/>
      <c r="L618" s="952"/>
      <c r="M618" s="952"/>
      <c r="N618" s="952"/>
      <c r="O618" s="952"/>
      <c r="P618" s="952"/>
      <c r="Q618" s="952"/>
      <c r="R618" s="952"/>
      <c r="S618" s="952"/>
      <c r="T618" s="952"/>
      <c r="U618" s="952"/>
      <c r="V618" s="952"/>
      <c r="W618" s="952"/>
      <c r="X618" s="952"/>
      <c r="Y618" s="952"/>
      <c r="Z618" s="952"/>
    </row>
    <row r="619" spans="1:26" ht="18.75" customHeight="1" x14ac:dyDescent="0.35">
      <c r="A619" s="952"/>
      <c r="B619" s="952"/>
      <c r="C619" s="952"/>
      <c r="D619" s="952"/>
      <c r="E619" s="952"/>
      <c r="F619" s="952"/>
      <c r="G619" s="952"/>
      <c r="H619" s="952"/>
      <c r="I619" s="952"/>
      <c r="J619" s="952"/>
      <c r="K619" s="952"/>
      <c r="L619" s="952"/>
      <c r="M619" s="952"/>
      <c r="N619" s="952"/>
      <c r="O619" s="952"/>
      <c r="P619" s="952"/>
      <c r="Q619" s="952"/>
      <c r="R619" s="952"/>
      <c r="S619" s="952"/>
      <c r="T619" s="952"/>
      <c r="U619" s="952"/>
      <c r="V619" s="952"/>
      <c r="W619" s="952"/>
      <c r="X619" s="952"/>
      <c r="Y619" s="952"/>
      <c r="Z619" s="952"/>
    </row>
    <row r="620" spans="1:26" ht="18.75" customHeight="1" x14ac:dyDescent="0.35">
      <c r="A620" s="952"/>
      <c r="B620" s="952"/>
      <c r="C620" s="952"/>
      <c r="D620" s="952"/>
      <c r="E620" s="952"/>
      <c r="F620" s="952"/>
      <c r="G620" s="952"/>
      <c r="H620" s="952"/>
      <c r="I620" s="952"/>
      <c r="J620" s="952"/>
      <c r="K620" s="952"/>
      <c r="L620" s="952"/>
      <c r="M620" s="952"/>
      <c r="N620" s="952"/>
      <c r="O620" s="952"/>
      <c r="P620" s="952"/>
      <c r="Q620" s="952"/>
      <c r="R620" s="952"/>
      <c r="S620" s="952"/>
      <c r="T620" s="952"/>
      <c r="U620" s="952"/>
      <c r="V620" s="952"/>
      <c r="W620" s="952"/>
      <c r="X620" s="952"/>
      <c r="Y620" s="952"/>
      <c r="Z620" s="952"/>
    </row>
    <row r="621" spans="1:26" ht="18.75" customHeight="1" x14ac:dyDescent="0.35">
      <c r="A621" s="952"/>
      <c r="B621" s="952"/>
      <c r="C621" s="952"/>
      <c r="D621" s="952"/>
      <c r="E621" s="952"/>
      <c r="F621" s="952"/>
      <c r="G621" s="952"/>
      <c r="H621" s="952"/>
      <c r="I621" s="952"/>
      <c r="J621" s="952"/>
      <c r="K621" s="952"/>
      <c r="L621" s="952"/>
      <c r="M621" s="952"/>
      <c r="N621" s="952"/>
      <c r="O621" s="952"/>
      <c r="P621" s="952"/>
      <c r="Q621" s="952"/>
      <c r="R621" s="952"/>
      <c r="S621" s="952"/>
      <c r="T621" s="952"/>
      <c r="U621" s="952"/>
      <c r="V621" s="952"/>
      <c r="W621" s="952"/>
      <c r="X621" s="952"/>
      <c r="Y621" s="952"/>
      <c r="Z621" s="952"/>
    </row>
    <row r="622" spans="1:26" ht="18.75" customHeight="1" x14ac:dyDescent="0.35">
      <c r="A622" s="952"/>
      <c r="B622" s="952"/>
      <c r="C622" s="952"/>
      <c r="D622" s="952"/>
      <c r="E622" s="952"/>
      <c r="F622" s="952"/>
      <c r="G622" s="952"/>
      <c r="H622" s="952"/>
      <c r="I622" s="952"/>
      <c r="J622" s="952"/>
      <c r="K622" s="952"/>
      <c r="L622" s="952"/>
      <c r="M622" s="952"/>
      <c r="N622" s="952"/>
      <c r="O622" s="952"/>
      <c r="P622" s="952"/>
      <c r="Q622" s="952"/>
      <c r="R622" s="952"/>
      <c r="S622" s="952"/>
      <c r="T622" s="952"/>
      <c r="U622" s="952"/>
      <c r="V622" s="952"/>
      <c r="W622" s="952"/>
      <c r="X622" s="952"/>
      <c r="Y622" s="952"/>
      <c r="Z622" s="952"/>
    </row>
    <row r="623" spans="1:26" ht="18.75" customHeight="1" x14ac:dyDescent="0.35">
      <c r="A623" s="952"/>
      <c r="B623" s="952"/>
      <c r="C623" s="952"/>
      <c r="D623" s="952"/>
      <c r="E623" s="952"/>
      <c r="F623" s="952"/>
      <c r="G623" s="952"/>
      <c r="H623" s="952"/>
      <c r="I623" s="952"/>
      <c r="J623" s="952"/>
      <c r="K623" s="952"/>
      <c r="L623" s="952"/>
      <c r="M623" s="952"/>
      <c r="N623" s="952"/>
      <c r="O623" s="952"/>
      <c r="P623" s="952"/>
      <c r="Q623" s="952"/>
      <c r="R623" s="952"/>
      <c r="S623" s="952"/>
      <c r="T623" s="952"/>
      <c r="U623" s="952"/>
      <c r="V623" s="952"/>
      <c r="W623" s="952"/>
      <c r="X623" s="952"/>
      <c r="Y623" s="952"/>
      <c r="Z623" s="952"/>
    </row>
    <row r="624" spans="1:26" ht="18.75" customHeight="1" x14ac:dyDescent="0.35">
      <c r="A624" s="952"/>
      <c r="B624" s="952"/>
      <c r="C624" s="952"/>
      <c r="D624" s="952"/>
      <c r="E624" s="952"/>
      <c r="F624" s="952"/>
      <c r="G624" s="952"/>
      <c r="H624" s="952"/>
      <c r="I624" s="952"/>
      <c r="J624" s="952"/>
      <c r="K624" s="952"/>
      <c r="L624" s="952"/>
      <c r="M624" s="952"/>
      <c r="N624" s="952"/>
      <c r="O624" s="952"/>
      <c r="P624" s="952"/>
      <c r="Q624" s="952"/>
      <c r="R624" s="952"/>
      <c r="S624" s="952"/>
      <c r="T624" s="952"/>
      <c r="U624" s="952"/>
      <c r="V624" s="952"/>
      <c r="W624" s="952"/>
      <c r="X624" s="952"/>
      <c r="Y624" s="952"/>
      <c r="Z624" s="952"/>
    </row>
    <row r="625" spans="1:26" ht="18.75" customHeight="1" x14ac:dyDescent="0.35">
      <c r="A625" s="952"/>
      <c r="B625" s="952"/>
      <c r="C625" s="952"/>
      <c r="D625" s="952"/>
      <c r="E625" s="952"/>
      <c r="F625" s="952"/>
      <c r="G625" s="952"/>
      <c r="H625" s="952"/>
      <c r="I625" s="952"/>
      <c r="J625" s="952"/>
      <c r="K625" s="952"/>
      <c r="L625" s="952"/>
      <c r="M625" s="952"/>
      <c r="N625" s="952"/>
      <c r="O625" s="952"/>
      <c r="P625" s="952"/>
      <c r="Q625" s="952"/>
      <c r="R625" s="952"/>
      <c r="S625" s="952"/>
      <c r="T625" s="952"/>
      <c r="U625" s="952"/>
      <c r="V625" s="952"/>
      <c r="W625" s="952"/>
      <c r="X625" s="952"/>
      <c r="Y625" s="952"/>
      <c r="Z625" s="952"/>
    </row>
    <row r="626" spans="1:26" ht="18.75" customHeight="1" x14ac:dyDescent="0.35">
      <c r="A626" s="952"/>
      <c r="B626" s="952"/>
      <c r="C626" s="952"/>
      <c r="D626" s="952"/>
      <c r="E626" s="952"/>
      <c r="F626" s="952"/>
      <c r="G626" s="952"/>
      <c r="H626" s="952"/>
      <c r="I626" s="952"/>
      <c r="J626" s="952"/>
      <c r="K626" s="952"/>
      <c r="L626" s="952"/>
      <c r="M626" s="952"/>
      <c r="N626" s="952"/>
      <c r="O626" s="952"/>
      <c r="P626" s="952"/>
      <c r="Q626" s="952"/>
      <c r="R626" s="952"/>
      <c r="S626" s="952"/>
      <c r="T626" s="952"/>
      <c r="U626" s="952"/>
      <c r="V626" s="952"/>
      <c r="W626" s="952"/>
      <c r="X626" s="952"/>
      <c r="Y626" s="952"/>
      <c r="Z626" s="952"/>
    </row>
    <row r="627" spans="1:26" ht="18.75" customHeight="1" x14ac:dyDescent="0.35">
      <c r="A627" s="952"/>
      <c r="B627" s="952"/>
      <c r="C627" s="952"/>
      <c r="D627" s="952"/>
      <c r="E627" s="952"/>
      <c r="F627" s="952"/>
      <c r="G627" s="952"/>
      <c r="H627" s="952"/>
      <c r="I627" s="952"/>
      <c r="J627" s="952"/>
      <c r="K627" s="952"/>
      <c r="L627" s="952"/>
      <c r="M627" s="952"/>
      <c r="N627" s="952"/>
      <c r="O627" s="952"/>
      <c r="P627" s="952"/>
      <c r="Q627" s="952"/>
      <c r="R627" s="952"/>
      <c r="S627" s="952"/>
      <c r="T627" s="952"/>
      <c r="U627" s="952"/>
      <c r="V627" s="952"/>
      <c r="W627" s="952"/>
      <c r="X627" s="952"/>
      <c r="Y627" s="952"/>
      <c r="Z627" s="952"/>
    </row>
    <row r="628" spans="1:26" ht="18.75" customHeight="1" x14ac:dyDescent="0.35">
      <c r="A628" s="952"/>
      <c r="B628" s="952"/>
      <c r="C628" s="952"/>
      <c r="D628" s="952"/>
      <c r="E628" s="952"/>
      <c r="F628" s="952"/>
      <c r="G628" s="952"/>
      <c r="H628" s="952"/>
      <c r="I628" s="952"/>
      <c r="J628" s="952"/>
      <c r="K628" s="952"/>
      <c r="L628" s="952"/>
      <c r="M628" s="952"/>
      <c r="N628" s="952"/>
      <c r="O628" s="952"/>
      <c r="P628" s="952"/>
      <c r="Q628" s="952"/>
      <c r="R628" s="952"/>
      <c r="S628" s="952"/>
      <c r="T628" s="952"/>
      <c r="U628" s="952"/>
      <c r="V628" s="952"/>
      <c r="W628" s="952"/>
      <c r="X628" s="952"/>
      <c r="Y628" s="952"/>
      <c r="Z628" s="952"/>
    </row>
    <row r="629" spans="1:26" ht="18.75" customHeight="1" x14ac:dyDescent="0.35">
      <c r="A629" s="952"/>
      <c r="B629" s="952"/>
      <c r="C629" s="952"/>
      <c r="D629" s="952"/>
      <c r="E629" s="952"/>
      <c r="F629" s="952"/>
      <c r="G629" s="952"/>
      <c r="H629" s="952"/>
      <c r="I629" s="952"/>
      <c r="J629" s="952"/>
      <c r="K629" s="952"/>
      <c r="L629" s="952"/>
      <c r="M629" s="952"/>
      <c r="N629" s="952"/>
      <c r="O629" s="952"/>
      <c r="P629" s="952"/>
      <c r="Q629" s="952"/>
      <c r="R629" s="952"/>
      <c r="S629" s="952"/>
      <c r="T629" s="952"/>
      <c r="U629" s="952"/>
      <c r="V629" s="952"/>
      <c r="W629" s="952"/>
      <c r="X629" s="952"/>
      <c r="Y629" s="952"/>
      <c r="Z629" s="952"/>
    </row>
    <row r="630" spans="1:26" ht="18.75" customHeight="1" x14ac:dyDescent="0.35">
      <c r="A630" s="952"/>
      <c r="B630" s="952"/>
      <c r="C630" s="952"/>
      <c r="D630" s="952"/>
      <c r="E630" s="952"/>
      <c r="F630" s="952"/>
      <c r="G630" s="952"/>
      <c r="H630" s="952"/>
      <c r="I630" s="952"/>
      <c r="J630" s="952"/>
      <c r="K630" s="952"/>
      <c r="L630" s="952"/>
      <c r="M630" s="952"/>
      <c r="N630" s="952"/>
      <c r="O630" s="952"/>
      <c r="P630" s="952"/>
      <c r="Q630" s="952"/>
      <c r="R630" s="952"/>
      <c r="S630" s="952"/>
      <c r="T630" s="952"/>
      <c r="U630" s="952"/>
      <c r="V630" s="952"/>
      <c r="W630" s="952"/>
      <c r="X630" s="952"/>
      <c r="Y630" s="952"/>
      <c r="Z630" s="952"/>
    </row>
    <row r="631" spans="1:26" ht="18.75" customHeight="1" x14ac:dyDescent="0.35">
      <c r="A631" s="952"/>
      <c r="B631" s="952"/>
      <c r="C631" s="952"/>
      <c r="D631" s="952"/>
      <c r="E631" s="952"/>
      <c r="F631" s="952"/>
      <c r="G631" s="952"/>
      <c r="H631" s="952"/>
      <c r="I631" s="952"/>
      <c r="J631" s="952"/>
      <c r="K631" s="952"/>
      <c r="L631" s="952"/>
      <c r="M631" s="952"/>
      <c r="N631" s="952"/>
      <c r="O631" s="952"/>
      <c r="P631" s="952"/>
      <c r="Q631" s="952"/>
      <c r="R631" s="952"/>
      <c r="S631" s="952"/>
      <c r="T631" s="952"/>
      <c r="U631" s="952"/>
      <c r="V631" s="952"/>
      <c r="W631" s="952"/>
      <c r="X631" s="952"/>
      <c r="Y631" s="952"/>
      <c r="Z631" s="952"/>
    </row>
    <row r="632" spans="1:26" ht="18.75" customHeight="1" x14ac:dyDescent="0.35">
      <c r="A632" s="952"/>
      <c r="B632" s="952"/>
      <c r="C632" s="952"/>
      <c r="D632" s="952"/>
      <c r="E632" s="952"/>
      <c r="F632" s="952"/>
      <c r="G632" s="952"/>
      <c r="H632" s="952"/>
      <c r="I632" s="952"/>
      <c r="J632" s="952"/>
      <c r="K632" s="952"/>
      <c r="L632" s="952"/>
      <c r="M632" s="952"/>
      <c r="N632" s="952"/>
      <c r="O632" s="952"/>
      <c r="P632" s="952"/>
      <c r="Q632" s="952"/>
      <c r="R632" s="952"/>
      <c r="S632" s="952"/>
      <c r="T632" s="952"/>
      <c r="U632" s="952"/>
      <c r="V632" s="952"/>
      <c r="W632" s="952"/>
      <c r="X632" s="952"/>
      <c r="Y632" s="952"/>
      <c r="Z632" s="952"/>
    </row>
    <row r="633" spans="1:26" ht="18.75" customHeight="1" x14ac:dyDescent="0.35">
      <c r="A633" s="952"/>
      <c r="B633" s="952"/>
      <c r="C633" s="952"/>
      <c r="D633" s="952"/>
      <c r="E633" s="952"/>
      <c r="F633" s="952"/>
      <c r="G633" s="952"/>
      <c r="H633" s="952"/>
      <c r="I633" s="952"/>
      <c r="J633" s="952"/>
      <c r="K633" s="952"/>
      <c r="L633" s="952"/>
      <c r="M633" s="952"/>
      <c r="N633" s="952"/>
      <c r="O633" s="952"/>
      <c r="P633" s="952"/>
      <c r="Q633" s="952"/>
      <c r="R633" s="952"/>
      <c r="S633" s="952"/>
      <c r="T633" s="952"/>
      <c r="U633" s="952"/>
      <c r="V633" s="952"/>
      <c r="W633" s="952"/>
      <c r="X633" s="952"/>
      <c r="Y633" s="952"/>
      <c r="Z633" s="952"/>
    </row>
    <row r="634" spans="1:26" ht="18.75" customHeight="1" x14ac:dyDescent="0.35">
      <c r="A634" s="952"/>
      <c r="B634" s="952"/>
      <c r="C634" s="952"/>
      <c r="D634" s="952"/>
      <c r="E634" s="952"/>
      <c r="F634" s="952"/>
      <c r="G634" s="952"/>
      <c r="H634" s="952"/>
      <c r="I634" s="952"/>
      <c r="J634" s="952"/>
      <c r="K634" s="952"/>
      <c r="L634" s="952"/>
      <c r="M634" s="952"/>
      <c r="N634" s="952"/>
      <c r="O634" s="952"/>
      <c r="P634" s="952"/>
      <c r="Q634" s="952"/>
      <c r="R634" s="952"/>
      <c r="S634" s="952"/>
      <c r="T634" s="952"/>
      <c r="U634" s="952"/>
      <c r="V634" s="952"/>
      <c r="W634" s="952"/>
      <c r="X634" s="952"/>
      <c r="Y634" s="952"/>
      <c r="Z634" s="952"/>
    </row>
    <row r="635" spans="1:26" ht="18.75" customHeight="1" x14ac:dyDescent="0.35">
      <c r="A635" s="952"/>
      <c r="B635" s="952"/>
      <c r="C635" s="952"/>
      <c r="D635" s="952"/>
      <c r="E635" s="952"/>
      <c r="F635" s="952"/>
      <c r="G635" s="952"/>
      <c r="H635" s="952"/>
      <c r="I635" s="952"/>
      <c r="J635" s="952"/>
      <c r="K635" s="952"/>
      <c r="L635" s="952"/>
      <c r="M635" s="952"/>
      <c r="N635" s="952"/>
      <c r="O635" s="952"/>
      <c r="P635" s="952"/>
      <c r="Q635" s="952"/>
      <c r="R635" s="952"/>
      <c r="S635" s="952"/>
      <c r="T635" s="952"/>
      <c r="U635" s="952"/>
      <c r="V635" s="952"/>
      <c r="W635" s="952"/>
      <c r="X635" s="952"/>
      <c r="Y635" s="952"/>
      <c r="Z635" s="952"/>
    </row>
    <row r="636" spans="1:26" ht="18.75" customHeight="1" x14ac:dyDescent="0.35">
      <c r="A636" s="952"/>
      <c r="B636" s="952"/>
      <c r="C636" s="952"/>
      <c r="D636" s="952"/>
      <c r="E636" s="952"/>
      <c r="F636" s="952"/>
      <c r="G636" s="952"/>
      <c r="H636" s="952"/>
      <c r="I636" s="952"/>
      <c r="J636" s="952"/>
      <c r="K636" s="952"/>
      <c r="L636" s="952"/>
      <c r="M636" s="952"/>
      <c r="N636" s="952"/>
      <c r="O636" s="952"/>
      <c r="P636" s="952"/>
      <c r="Q636" s="952"/>
      <c r="R636" s="952"/>
      <c r="S636" s="952"/>
      <c r="T636" s="952"/>
      <c r="U636" s="952"/>
      <c r="V636" s="952"/>
      <c r="W636" s="952"/>
      <c r="X636" s="952"/>
      <c r="Y636" s="952"/>
      <c r="Z636" s="952"/>
    </row>
    <row r="637" spans="1:26" ht="18.75" customHeight="1" x14ac:dyDescent="0.35">
      <c r="A637" s="952"/>
      <c r="B637" s="952"/>
      <c r="C637" s="952"/>
      <c r="D637" s="952"/>
      <c r="E637" s="952"/>
      <c r="F637" s="952"/>
      <c r="G637" s="952"/>
      <c r="H637" s="952"/>
      <c r="I637" s="952"/>
      <c r="J637" s="952"/>
      <c r="K637" s="952"/>
      <c r="L637" s="952"/>
      <c r="M637" s="952"/>
      <c r="N637" s="952"/>
      <c r="O637" s="952"/>
      <c r="P637" s="952"/>
      <c r="Q637" s="952"/>
      <c r="R637" s="952"/>
      <c r="S637" s="952"/>
      <c r="T637" s="952"/>
      <c r="U637" s="952"/>
      <c r="V637" s="952"/>
      <c r="W637" s="952"/>
      <c r="X637" s="952"/>
      <c r="Y637" s="952"/>
      <c r="Z637" s="952"/>
    </row>
    <row r="638" spans="1:26" ht="18.75" customHeight="1" x14ac:dyDescent="0.35">
      <c r="A638" s="952"/>
      <c r="B638" s="952"/>
      <c r="C638" s="952"/>
      <c r="D638" s="952"/>
      <c r="E638" s="952"/>
      <c r="F638" s="952"/>
      <c r="G638" s="952"/>
      <c r="H638" s="952"/>
      <c r="I638" s="952"/>
      <c r="J638" s="952"/>
      <c r="K638" s="952"/>
      <c r="L638" s="952"/>
      <c r="M638" s="952"/>
      <c r="N638" s="952"/>
      <c r="O638" s="952"/>
      <c r="P638" s="952"/>
      <c r="Q638" s="952"/>
      <c r="R638" s="952"/>
      <c r="S638" s="952"/>
      <c r="T638" s="952"/>
      <c r="U638" s="952"/>
      <c r="V638" s="952"/>
      <c r="W638" s="952"/>
      <c r="X638" s="952"/>
      <c r="Y638" s="952"/>
      <c r="Z638" s="952"/>
    </row>
    <row r="639" spans="1:26" ht="18.75" customHeight="1" x14ac:dyDescent="0.35">
      <c r="A639" s="952"/>
      <c r="B639" s="952"/>
      <c r="C639" s="952"/>
      <c r="D639" s="952"/>
      <c r="E639" s="952"/>
      <c r="F639" s="952"/>
      <c r="G639" s="952"/>
      <c r="H639" s="952"/>
      <c r="I639" s="952"/>
      <c r="J639" s="952"/>
      <c r="K639" s="952"/>
      <c r="L639" s="952"/>
      <c r="M639" s="952"/>
      <c r="N639" s="952"/>
      <c r="O639" s="952"/>
      <c r="P639" s="952"/>
      <c r="Q639" s="952"/>
      <c r="R639" s="952"/>
      <c r="S639" s="952"/>
      <c r="T639" s="952"/>
      <c r="U639" s="952"/>
      <c r="V639" s="952"/>
      <c r="W639" s="952"/>
      <c r="X639" s="952"/>
      <c r="Y639" s="952"/>
      <c r="Z639" s="952"/>
    </row>
    <row r="640" spans="1:26" ht="18.75" customHeight="1" x14ac:dyDescent="0.35">
      <c r="A640" s="952"/>
      <c r="B640" s="952"/>
      <c r="C640" s="952"/>
      <c r="D640" s="952"/>
      <c r="E640" s="952"/>
      <c r="F640" s="952"/>
      <c r="G640" s="952"/>
      <c r="H640" s="952"/>
      <c r="I640" s="952"/>
      <c r="J640" s="952"/>
      <c r="K640" s="952"/>
      <c r="L640" s="952"/>
      <c r="M640" s="952"/>
      <c r="N640" s="952"/>
      <c r="O640" s="952"/>
      <c r="P640" s="952"/>
      <c r="Q640" s="952"/>
      <c r="R640" s="952"/>
      <c r="S640" s="952"/>
      <c r="T640" s="952"/>
      <c r="U640" s="952"/>
      <c r="V640" s="952"/>
      <c r="W640" s="952"/>
      <c r="X640" s="952"/>
      <c r="Y640" s="952"/>
      <c r="Z640" s="952"/>
    </row>
    <row r="641" spans="1:26" ht="18.75" customHeight="1" x14ac:dyDescent="0.35">
      <c r="A641" s="952"/>
      <c r="B641" s="952"/>
      <c r="C641" s="952"/>
      <c r="D641" s="952"/>
      <c r="E641" s="952"/>
      <c r="F641" s="952"/>
      <c r="G641" s="952"/>
      <c r="H641" s="952"/>
      <c r="I641" s="952"/>
      <c r="J641" s="952"/>
      <c r="K641" s="952"/>
      <c r="L641" s="952"/>
      <c r="M641" s="952"/>
      <c r="N641" s="952"/>
      <c r="O641" s="952"/>
      <c r="P641" s="952"/>
      <c r="Q641" s="952"/>
      <c r="R641" s="952"/>
      <c r="S641" s="952"/>
      <c r="T641" s="952"/>
      <c r="U641" s="952"/>
      <c r="V641" s="952"/>
      <c r="W641" s="952"/>
      <c r="X641" s="952"/>
      <c r="Y641" s="952"/>
      <c r="Z641" s="952"/>
    </row>
    <row r="642" spans="1:26" ht="18.75" customHeight="1" x14ac:dyDescent="0.35">
      <c r="A642" s="952"/>
      <c r="B642" s="952"/>
      <c r="C642" s="952"/>
      <c r="D642" s="952"/>
      <c r="E642" s="952"/>
      <c r="F642" s="952"/>
      <c r="G642" s="952"/>
      <c r="H642" s="952"/>
      <c r="I642" s="952"/>
      <c r="J642" s="952"/>
      <c r="K642" s="952"/>
      <c r="L642" s="952"/>
      <c r="M642" s="952"/>
      <c r="N642" s="952"/>
      <c r="O642" s="952"/>
      <c r="P642" s="952"/>
      <c r="Q642" s="952"/>
      <c r="R642" s="952"/>
      <c r="S642" s="952"/>
      <c r="T642" s="952"/>
      <c r="U642" s="952"/>
      <c r="V642" s="952"/>
      <c r="W642" s="952"/>
      <c r="X642" s="952"/>
      <c r="Y642" s="952"/>
      <c r="Z642" s="952"/>
    </row>
    <row r="643" spans="1:26" ht="18.75" customHeight="1" x14ac:dyDescent="0.35">
      <c r="A643" s="952"/>
      <c r="B643" s="952"/>
      <c r="C643" s="952"/>
      <c r="D643" s="952"/>
      <c r="E643" s="952"/>
      <c r="F643" s="952"/>
      <c r="G643" s="952"/>
      <c r="H643" s="952"/>
      <c r="I643" s="952"/>
      <c r="J643" s="952"/>
      <c r="K643" s="952"/>
      <c r="L643" s="952"/>
      <c r="M643" s="952"/>
      <c r="N643" s="952"/>
      <c r="O643" s="952"/>
      <c r="P643" s="952"/>
      <c r="Q643" s="952"/>
      <c r="R643" s="952"/>
      <c r="S643" s="952"/>
      <c r="T643" s="952"/>
      <c r="U643" s="952"/>
      <c r="V643" s="952"/>
      <c r="W643" s="952"/>
      <c r="X643" s="952"/>
      <c r="Y643" s="952"/>
      <c r="Z643" s="952"/>
    </row>
    <row r="644" spans="1:26" ht="18.75" customHeight="1" x14ac:dyDescent="0.35">
      <c r="A644" s="952"/>
      <c r="B644" s="952"/>
      <c r="C644" s="952"/>
      <c r="D644" s="952"/>
      <c r="E644" s="952"/>
      <c r="F644" s="952"/>
      <c r="G644" s="952"/>
      <c r="H644" s="952"/>
      <c r="I644" s="952"/>
      <c r="J644" s="952"/>
      <c r="K644" s="952"/>
      <c r="L644" s="952"/>
      <c r="M644" s="952"/>
      <c r="N644" s="952"/>
      <c r="O644" s="952"/>
      <c r="P644" s="952"/>
      <c r="Q644" s="952"/>
      <c r="R644" s="952"/>
      <c r="S644" s="952"/>
      <c r="T644" s="952"/>
      <c r="U644" s="952"/>
      <c r="V644" s="952"/>
      <c r="W644" s="952"/>
      <c r="X644" s="952"/>
      <c r="Y644" s="952"/>
      <c r="Z644" s="952"/>
    </row>
    <row r="645" spans="1:26" ht="18.75" customHeight="1" x14ac:dyDescent="0.35">
      <c r="A645" s="952"/>
      <c r="B645" s="952"/>
      <c r="C645" s="952"/>
      <c r="D645" s="952"/>
      <c r="E645" s="952"/>
      <c r="F645" s="952"/>
      <c r="G645" s="952"/>
      <c r="H645" s="952"/>
      <c r="I645" s="952"/>
      <c r="J645" s="952"/>
      <c r="K645" s="952"/>
      <c r="L645" s="952"/>
      <c r="M645" s="952"/>
      <c r="N645" s="952"/>
      <c r="O645" s="952"/>
      <c r="P645" s="952"/>
      <c r="Q645" s="952"/>
      <c r="R645" s="952"/>
      <c r="S645" s="952"/>
      <c r="T645" s="952"/>
      <c r="U645" s="952"/>
      <c r="V645" s="952"/>
      <c r="W645" s="952"/>
      <c r="X645" s="952"/>
      <c r="Y645" s="952"/>
      <c r="Z645" s="952"/>
    </row>
    <row r="646" spans="1:26" ht="18.75" customHeight="1" x14ac:dyDescent="0.35">
      <c r="A646" s="952"/>
      <c r="B646" s="952"/>
      <c r="C646" s="952"/>
      <c r="D646" s="952"/>
      <c r="E646" s="952"/>
      <c r="F646" s="952"/>
      <c r="G646" s="952"/>
      <c r="H646" s="952"/>
      <c r="I646" s="952"/>
      <c r="J646" s="952"/>
      <c r="K646" s="952"/>
      <c r="L646" s="952"/>
      <c r="M646" s="952"/>
      <c r="N646" s="952"/>
      <c r="O646" s="952"/>
      <c r="P646" s="952"/>
      <c r="Q646" s="952"/>
      <c r="R646" s="952"/>
      <c r="S646" s="952"/>
      <c r="T646" s="952"/>
      <c r="U646" s="952"/>
      <c r="V646" s="952"/>
      <c r="W646" s="952"/>
      <c r="X646" s="952"/>
      <c r="Y646" s="952"/>
      <c r="Z646" s="952"/>
    </row>
    <row r="647" spans="1:26" ht="18.75" customHeight="1" x14ac:dyDescent="0.35">
      <c r="A647" s="952"/>
      <c r="B647" s="952"/>
      <c r="C647" s="952"/>
      <c r="D647" s="952"/>
      <c r="E647" s="952"/>
      <c r="F647" s="952"/>
      <c r="G647" s="952"/>
      <c r="H647" s="952"/>
      <c r="I647" s="952"/>
      <c r="J647" s="952"/>
      <c r="K647" s="952"/>
      <c r="L647" s="952"/>
      <c r="M647" s="952"/>
      <c r="N647" s="952"/>
      <c r="O647" s="952"/>
      <c r="P647" s="952"/>
      <c r="Q647" s="952"/>
      <c r="R647" s="952"/>
      <c r="S647" s="952"/>
      <c r="T647" s="952"/>
      <c r="U647" s="952"/>
      <c r="V647" s="952"/>
      <c r="W647" s="952"/>
      <c r="X647" s="952"/>
      <c r="Y647" s="952"/>
      <c r="Z647" s="952"/>
    </row>
    <row r="648" spans="1:26" ht="18.75" customHeight="1" x14ac:dyDescent="0.35">
      <c r="A648" s="952"/>
      <c r="B648" s="952"/>
      <c r="C648" s="952"/>
      <c r="D648" s="952"/>
      <c r="E648" s="952"/>
      <c r="F648" s="952"/>
      <c r="G648" s="952"/>
      <c r="H648" s="952"/>
      <c r="I648" s="952"/>
      <c r="J648" s="952"/>
      <c r="K648" s="952"/>
      <c r="L648" s="952"/>
      <c r="M648" s="952"/>
      <c r="N648" s="952"/>
      <c r="O648" s="952"/>
      <c r="P648" s="952"/>
      <c r="Q648" s="952"/>
      <c r="R648" s="952"/>
      <c r="S648" s="952"/>
      <c r="T648" s="952"/>
      <c r="U648" s="952"/>
      <c r="V648" s="952"/>
      <c r="W648" s="952"/>
      <c r="X648" s="952"/>
      <c r="Y648" s="952"/>
      <c r="Z648" s="952"/>
    </row>
    <row r="649" spans="1:26" ht="18.75" customHeight="1" x14ac:dyDescent="0.35">
      <c r="A649" s="952"/>
      <c r="B649" s="952"/>
      <c r="C649" s="952"/>
      <c r="D649" s="952"/>
      <c r="E649" s="952"/>
      <c r="F649" s="952"/>
      <c r="G649" s="952"/>
      <c r="H649" s="952"/>
      <c r="I649" s="952"/>
      <c r="J649" s="952"/>
      <c r="K649" s="952"/>
      <c r="L649" s="952"/>
      <c r="M649" s="952"/>
      <c r="N649" s="952"/>
      <c r="O649" s="952"/>
      <c r="P649" s="952"/>
      <c r="Q649" s="952"/>
      <c r="R649" s="952"/>
      <c r="S649" s="952"/>
      <c r="T649" s="952"/>
      <c r="U649" s="952"/>
      <c r="V649" s="952"/>
      <c r="W649" s="952"/>
      <c r="X649" s="952"/>
      <c r="Y649" s="952"/>
      <c r="Z649" s="952"/>
    </row>
    <row r="650" spans="1:26" ht="18.75" customHeight="1" x14ac:dyDescent="0.35">
      <c r="A650" s="952"/>
      <c r="B650" s="952"/>
      <c r="C650" s="952"/>
      <c r="D650" s="952"/>
      <c r="E650" s="952"/>
      <c r="F650" s="952"/>
      <c r="G650" s="952"/>
      <c r="H650" s="952"/>
      <c r="I650" s="952"/>
      <c r="J650" s="952"/>
      <c r="K650" s="952"/>
      <c r="L650" s="952"/>
      <c r="M650" s="952"/>
      <c r="N650" s="952"/>
      <c r="O650" s="952"/>
      <c r="P650" s="952"/>
      <c r="Q650" s="952"/>
      <c r="R650" s="952"/>
      <c r="S650" s="952"/>
      <c r="T650" s="952"/>
      <c r="U650" s="952"/>
      <c r="V650" s="952"/>
      <c r="W650" s="952"/>
      <c r="X650" s="952"/>
      <c r="Y650" s="952"/>
      <c r="Z650" s="952"/>
    </row>
    <row r="651" spans="1:26" ht="18.75" customHeight="1" x14ac:dyDescent="0.35">
      <c r="A651" s="952"/>
      <c r="B651" s="952"/>
      <c r="C651" s="952"/>
      <c r="D651" s="952"/>
      <c r="E651" s="952"/>
      <c r="F651" s="952"/>
      <c r="G651" s="952"/>
      <c r="H651" s="952"/>
      <c r="I651" s="952"/>
      <c r="J651" s="952"/>
      <c r="K651" s="952"/>
      <c r="L651" s="952"/>
      <c r="M651" s="952"/>
      <c r="N651" s="952"/>
      <c r="O651" s="952"/>
      <c r="P651" s="952"/>
      <c r="Q651" s="952"/>
      <c r="R651" s="952"/>
      <c r="S651" s="952"/>
      <c r="T651" s="952"/>
      <c r="U651" s="952"/>
      <c r="V651" s="952"/>
      <c r="W651" s="952"/>
      <c r="X651" s="952"/>
      <c r="Y651" s="952"/>
      <c r="Z651" s="952"/>
    </row>
    <row r="652" spans="1:26" ht="18.75" customHeight="1" x14ac:dyDescent="0.35">
      <c r="A652" s="952"/>
      <c r="B652" s="952"/>
      <c r="C652" s="952"/>
      <c r="D652" s="952"/>
      <c r="E652" s="952"/>
      <c r="F652" s="952"/>
      <c r="G652" s="952"/>
      <c r="H652" s="952"/>
      <c r="I652" s="952"/>
      <c r="J652" s="952"/>
      <c r="K652" s="952"/>
      <c r="L652" s="952"/>
      <c r="M652" s="952"/>
      <c r="N652" s="952"/>
      <c r="O652" s="952"/>
      <c r="P652" s="952"/>
      <c r="Q652" s="952"/>
      <c r="R652" s="952"/>
      <c r="S652" s="952"/>
      <c r="T652" s="952"/>
      <c r="U652" s="952"/>
      <c r="V652" s="952"/>
      <c r="W652" s="952"/>
      <c r="X652" s="952"/>
      <c r="Y652" s="952"/>
      <c r="Z652" s="952"/>
    </row>
    <row r="653" spans="1:26" ht="18.75" customHeight="1" x14ac:dyDescent="0.35">
      <c r="A653" s="952"/>
      <c r="B653" s="952"/>
      <c r="C653" s="952"/>
      <c r="D653" s="952"/>
      <c r="E653" s="952"/>
      <c r="F653" s="952"/>
      <c r="G653" s="952"/>
      <c r="H653" s="952"/>
      <c r="I653" s="952"/>
      <c r="J653" s="952"/>
      <c r="K653" s="952"/>
      <c r="L653" s="952"/>
      <c r="M653" s="952"/>
      <c r="N653" s="952"/>
      <c r="O653" s="952"/>
      <c r="P653" s="952"/>
      <c r="Q653" s="952"/>
      <c r="R653" s="952"/>
      <c r="S653" s="952"/>
      <c r="T653" s="952"/>
      <c r="U653" s="952"/>
      <c r="V653" s="952"/>
      <c r="W653" s="952"/>
      <c r="X653" s="952"/>
      <c r="Y653" s="952"/>
      <c r="Z653" s="952"/>
    </row>
    <row r="654" spans="1:26" ht="18.75" customHeight="1" x14ac:dyDescent="0.35">
      <c r="A654" s="952"/>
      <c r="B654" s="952"/>
      <c r="C654" s="952"/>
      <c r="D654" s="952"/>
      <c r="E654" s="952"/>
      <c r="F654" s="952"/>
      <c r="G654" s="952"/>
      <c r="H654" s="952"/>
      <c r="I654" s="952"/>
      <c r="J654" s="952"/>
      <c r="K654" s="952"/>
      <c r="L654" s="952"/>
      <c r="M654" s="952"/>
      <c r="N654" s="952"/>
      <c r="O654" s="952"/>
      <c r="P654" s="952"/>
      <c r="Q654" s="952"/>
      <c r="R654" s="952"/>
      <c r="S654" s="952"/>
      <c r="T654" s="952"/>
      <c r="U654" s="952"/>
      <c r="V654" s="952"/>
      <c r="W654" s="952"/>
      <c r="X654" s="952"/>
      <c r="Y654" s="952"/>
      <c r="Z654" s="952"/>
    </row>
    <row r="655" spans="1:26" ht="18.75" customHeight="1" x14ac:dyDescent="0.35">
      <c r="A655" s="952"/>
      <c r="B655" s="952"/>
      <c r="C655" s="952"/>
      <c r="D655" s="952"/>
      <c r="E655" s="952"/>
      <c r="F655" s="952"/>
      <c r="G655" s="952"/>
      <c r="H655" s="952"/>
      <c r="I655" s="952"/>
      <c r="J655" s="952"/>
      <c r="K655" s="952"/>
      <c r="L655" s="952"/>
      <c r="M655" s="952"/>
      <c r="N655" s="952"/>
      <c r="O655" s="952"/>
      <c r="P655" s="952"/>
      <c r="Q655" s="952"/>
      <c r="R655" s="952"/>
      <c r="S655" s="952"/>
      <c r="T655" s="952"/>
      <c r="U655" s="952"/>
      <c r="V655" s="952"/>
      <c r="W655" s="952"/>
      <c r="X655" s="952"/>
      <c r="Y655" s="952"/>
      <c r="Z655" s="952"/>
    </row>
    <row r="656" spans="1:26" ht="18.75" customHeight="1" x14ac:dyDescent="0.35">
      <c r="A656" s="952"/>
      <c r="B656" s="952"/>
      <c r="C656" s="952"/>
      <c r="D656" s="952"/>
      <c r="E656" s="952"/>
      <c r="F656" s="952"/>
      <c r="G656" s="952"/>
      <c r="H656" s="952"/>
      <c r="I656" s="952"/>
      <c r="J656" s="952"/>
      <c r="K656" s="952"/>
      <c r="L656" s="952"/>
      <c r="M656" s="952"/>
      <c r="N656" s="952"/>
      <c r="O656" s="952"/>
      <c r="P656" s="952"/>
      <c r="Q656" s="952"/>
      <c r="R656" s="952"/>
      <c r="S656" s="952"/>
      <c r="T656" s="952"/>
      <c r="U656" s="952"/>
      <c r="V656" s="952"/>
      <c r="W656" s="952"/>
      <c r="X656" s="952"/>
      <c r="Y656" s="952"/>
      <c r="Z656" s="952"/>
    </row>
    <row r="657" spans="1:26" ht="18.75" customHeight="1" x14ac:dyDescent="0.35">
      <c r="A657" s="952"/>
      <c r="B657" s="952"/>
      <c r="C657" s="952"/>
      <c r="D657" s="952"/>
      <c r="E657" s="952"/>
      <c r="F657" s="952"/>
      <c r="G657" s="952"/>
      <c r="H657" s="952"/>
      <c r="I657" s="952"/>
      <c r="J657" s="952"/>
      <c r="K657" s="952"/>
      <c r="L657" s="952"/>
      <c r="M657" s="952"/>
      <c r="N657" s="952"/>
      <c r="O657" s="952"/>
      <c r="P657" s="952"/>
      <c r="Q657" s="952"/>
      <c r="R657" s="952"/>
      <c r="S657" s="952"/>
      <c r="T657" s="952"/>
      <c r="U657" s="952"/>
      <c r="V657" s="952"/>
      <c r="W657" s="952"/>
      <c r="X657" s="952"/>
      <c r="Y657" s="952"/>
      <c r="Z657" s="952"/>
    </row>
    <row r="658" spans="1:26" ht="18.75" customHeight="1" x14ac:dyDescent="0.35">
      <c r="A658" s="952"/>
      <c r="B658" s="952"/>
      <c r="C658" s="952"/>
      <c r="D658" s="952"/>
      <c r="E658" s="952"/>
      <c r="F658" s="952"/>
      <c r="G658" s="952"/>
      <c r="H658" s="952"/>
      <c r="I658" s="952"/>
      <c r="J658" s="952"/>
      <c r="K658" s="952"/>
      <c r="L658" s="952"/>
      <c r="M658" s="952"/>
      <c r="N658" s="952"/>
      <c r="O658" s="952"/>
      <c r="P658" s="952"/>
      <c r="Q658" s="952"/>
      <c r="R658" s="952"/>
      <c r="S658" s="952"/>
      <c r="T658" s="952"/>
      <c r="U658" s="952"/>
      <c r="V658" s="952"/>
      <c r="W658" s="952"/>
      <c r="X658" s="952"/>
      <c r="Y658" s="952"/>
      <c r="Z658" s="952"/>
    </row>
    <row r="659" spans="1:26" ht="18.75" customHeight="1" x14ac:dyDescent="0.35">
      <c r="A659" s="952"/>
      <c r="B659" s="952"/>
      <c r="C659" s="952"/>
      <c r="D659" s="952"/>
      <c r="E659" s="952"/>
      <c r="F659" s="952"/>
      <c r="G659" s="952"/>
      <c r="H659" s="952"/>
      <c r="I659" s="952"/>
      <c r="J659" s="952"/>
      <c r="K659" s="952"/>
      <c r="L659" s="952"/>
      <c r="M659" s="952"/>
      <c r="N659" s="952"/>
      <c r="O659" s="952"/>
      <c r="P659" s="952"/>
      <c r="Q659" s="952"/>
      <c r="R659" s="952"/>
      <c r="S659" s="952"/>
      <c r="T659" s="952"/>
      <c r="U659" s="952"/>
      <c r="V659" s="952"/>
      <c r="W659" s="952"/>
      <c r="X659" s="952"/>
      <c r="Y659" s="952"/>
      <c r="Z659" s="952"/>
    </row>
    <row r="660" spans="1:26" ht="18.75" customHeight="1" x14ac:dyDescent="0.35">
      <c r="A660" s="952"/>
      <c r="B660" s="952"/>
      <c r="C660" s="952"/>
      <c r="D660" s="952"/>
      <c r="E660" s="952"/>
      <c r="F660" s="952"/>
      <c r="G660" s="952"/>
      <c r="H660" s="952"/>
      <c r="I660" s="952"/>
      <c r="J660" s="952"/>
      <c r="K660" s="952"/>
      <c r="L660" s="952"/>
      <c r="M660" s="952"/>
      <c r="N660" s="952"/>
      <c r="O660" s="952"/>
      <c r="P660" s="952"/>
      <c r="Q660" s="952"/>
      <c r="R660" s="952"/>
      <c r="S660" s="952"/>
      <c r="T660" s="952"/>
      <c r="U660" s="952"/>
      <c r="V660" s="952"/>
      <c r="W660" s="952"/>
      <c r="X660" s="952"/>
      <c r="Y660" s="952"/>
      <c r="Z660" s="952"/>
    </row>
    <row r="661" spans="1:26" ht="18.75" customHeight="1" x14ac:dyDescent="0.35">
      <c r="A661" s="952"/>
      <c r="B661" s="952"/>
      <c r="C661" s="952"/>
      <c r="D661" s="952"/>
      <c r="E661" s="952"/>
      <c r="F661" s="952"/>
      <c r="G661" s="952"/>
      <c r="H661" s="952"/>
      <c r="I661" s="952"/>
      <c r="J661" s="952"/>
      <c r="K661" s="952"/>
      <c r="L661" s="952"/>
      <c r="M661" s="952"/>
      <c r="N661" s="952"/>
      <c r="O661" s="952"/>
      <c r="P661" s="952"/>
      <c r="Q661" s="952"/>
      <c r="R661" s="952"/>
      <c r="S661" s="952"/>
      <c r="T661" s="952"/>
      <c r="U661" s="952"/>
      <c r="V661" s="952"/>
      <c r="W661" s="952"/>
      <c r="X661" s="952"/>
      <c r="Y661" s="952"/>
      <c r="Z661" s="952"/>
    </row>
    <row r="662" spans="1:26" ht="18.75" customHeight="1" x14ac:dyDescent="0.35">
      <c r="A662" s="952"/>
      <c r="B662" s="952"/>
      <c r="C662" s="952"/>
      <c r="D662" s="952"/>
      <c r="E662" s="952"/>
      <c r="F662" s="952"/>
      <c r="G662" s="952"/>
      <c r="H662" s="952"/>
      <c r="I662" s="952"/>
      <c r="J662" s="952"/>
      <c r="K662" s="952"/>
      <c r="L662" s="952"/>
      <c r="M662" s="952"/>
      <c r="N662" s="952"/>
      <c r="O662" s="952"/>
      <c r="P662" s="952"/>
      <c r="Q662" s="952"/>
      <c r="R662" s="952"/>
      <c r="S662" s="952"/>
      <c r="T662" s="952"/>
      <c r="U662" s="952"/>
      <c r="V662" s="952"/>
      <c r="W662" s="952"/>
      <c r="X662" s="952"/>
      <c r="Y662" s="952"/>
      <c r="Z662" s="952"/>
    </row>
    <row r="663" spans="1:26" ht="18.75" customHeight="1" x14ac:dyDescent="0.35">
      <c r="A663" s="952"/>
      <c r="B663" s="952"/>
      <c r="C663" s="952"/>
      <c r="D663" s="952"/>
      <c r="E663" s="952"/>
      <c r="F663" s="952"/>
      <c r="G663" s="952"/>
      <c r="H663" s="952"/>
      <c r="I663" s="952"/>
      <c r="J663" s="952"/>
      <c r="K663" s="952"/>
      <c r="L663" s="952"/>
      <c r="M663" s="952"/>
      <c r="N663" s="952"/>
      <c r="O663" s="952"/>
      <c r="P663" s="952"/>
      <c r="Q663" s="952"/>
      <c r="R663" s="952"/>
      <c r="S663" s="952"/>
      <c r="T663" s="952"/>
      <c r="U663" s="952"/>
      <c r="V663" s="952"/>
      <c r="W663" s="952"/>
      <c r="X663" s="952"/>
      <c r="Y663" s="952"/>
      <c r="Z663" s="952"/>
    </row>
    <row r="664" spans="1:26" ht="18.75" customHeight="1" x14ac:dyDescent="0.35">
      <c r="A664" s="952"/>
      <c r="B664" s="952"/>
      <c r="C664" s="952"/>
      <c r="D664" s="952"/>
      <c r="E664" s="952"/>
      <c r="F664" s="952"/>
      <c r="G664" s="952"/>
      <c r="H664" s="952"/>
      <c r="I664" s="952"/>
      <c r="J664" s="952"/>
      <c r="K664" s="952"/>
      <c r="L664" s="952"/>
      <c r="M664" s="952"/>
      <c r="N664" s="952"/>
      <c r="O664" s="952"/>
      <c r="P664" s="952"/>
      <c r="Q664" s="952"/>
      <c r="R664" s="952"/>
      <c r="S664" s="952"/>
      <c r="T664" s="952"/>
      <c r="U664" s="952"/>
      <c r="V664" s="952"/>
      <c r="W664" s="952"/>
      <c r="X664" s="952"/>
      <c r="Y664" s="952"/>
      <c r="Z664" s="952"/>
    </row>
    <row r="665" spans="1:26" ht="18.75" customHeight="1" x14ac:dyDescent="0.35">
      <c r="A665" s="952"/>
      <c r="B665" s="952"/>
      <c r="C665" s="952"/>
      <c r="D665" s="952"/>
      <c r="E665" s="952"/>
      <c r="F665" s="952"/>
      <c r="G665" s="952"/>
      <c r="H665" s="952"/>
      <c r="I665" s="952"/>
      <c r="J665" s="952"/>
      <c r="K665" s="952"/>
      <c r="L665" s="952"/>
      <c r="M665" s="952"/>
      <c r="N665" s="952"/>
      <c r="O665" s="952"/>
      <c r="P665" s="952"/>
      <c r="Q665" s="952"/>
      <c r="R665" s="952"/>
      <c r="S665" s="952"/>
      <c r="T665" s="952"/>
      <c r="U665" s="952"/>
      <c r="V665" s="952"/>
      <c r="W665" s="952"/>
      <c r="X665" s="952"/>
      <c r="Y665" s="952"/>
      <c r="Z665" s="952"/>
    </row>
    <row r="666" spans="1:26" ht="18.75" customHeight="1" x14ac:dyDescent="0.35">
      <c r="A666" s="952"/>
      <c r="B666" s="952"/>
      <c r="C666" s="952"/>
      <c r="D666" s="952"/>
      <c r="E666" s="952"/>
      <c r="F666" s="952"/>
      <c r="G666" s="952"/>
      <c r="H666" s="952"/>
      <c r="I666" s="952"/>
      <c r="J666" s="952"/>
      <c r="K666" s="952"/>
      <c r="L666" s="952"/>
      <c r="M666" s="952"/>
      <c r="N666" s="952"/>
      <c r="O666" s="952"/>
      <c r="P666" s="952"/>
      <c r="Q666" s="952"/>
      <c r="R666" s="952"/>
      <c r="S666" s="952"/>
      <c r="T666" s="952"/>
      <c r="U666" s="952"/>
      <c r="V666" s="952"/>
      <c r="W666" s="952"/>
      <c r="X666" s="952"/>
      <c r="Y666" s="952"/>
      <c r="Z666" s="952"/>
    </row>
    <row r="667" spans="1:26" ht="18.75" customHeight="1" x14ac:dyDescent="0.35">
      <c r="A667" s="952"/>
      <c r="B667" s="952"/>
      <c r="C667" s="952"/>
      <c r="D667" s="952"/>
      <c r="E667" s="952"/>
      <c r="F667" s="952"/>
      <c r="G667" s="952"/>
      <c r="H667" s="952"/>
      <c r="I667" s="952"/>
      <c r="J667" s="952"/>
      <c r="K667" s="952"/>
      <c r="L667" s="952"/>
      <c r="M667" s="952"/>
      <c r="N667" s="952"/>
      <c r="O667" s="952"/>
      <c r="P667" s="952"/>
      <c r="Q667" s="952"/>
      <c r="R667" s="952"/>
      <c r="S667" s="952"/>
      <c r="T667" s="952"/>
      <c r="U667" s="952"/>
      <c r="V667" s="952"/>
      <c r="W667" s="952"/>
      <c r="X667" s="952"/>
      <c r="Y667" s="952"/>
      <c r="Z667" s="952"/>
    </row>
    <row r="668" spans="1:26" ht="18.75" customHeight="1" x14ac:dyDescent="0.35">
      <c r="A668" s="952"/>
      <c r="B668" s="952"/>
      <c r="C668" s="952"/>
      <c r="D668" s="952"/>
      <c r="E668" s="952"/>
      <c r="F668" s="952"/>
      <c r="G668" s="952"/>
      <c r="H668" s="952"/>
      <c r="I668" s="952"/>
      <c r="J668" s="952"/>
      <c r="K668" s="952"/>
      <c r="L668" s="952"/>
      <c r="M668" s="952"/>
      <c r="N668" s="952"/>
      <c r="O668" s="952"/>
      <c r="P668" s="952"/>
      <c r="Q668" s="952"/>
      <c r="R668" s="952"/>
      <c r="S668" s="952"/>
      <c r="T668" s="952"/>
      <c r="U668" s="952"/>
      <c r="V668" s="952"/>
      <c r="W668" s="952"/>
      <c r="X668" s="952"/>
      <c r="Y668" s="952"/>
      <c r="Z668" s="952"/>
    </row>
    <row r="669" spans="1:26" ht="18.75" customHeight="1" x14ac:dyDescent="0.35">
      <c r="A669" s="952"/>
      <c r="B669" s="952"/>
      <c r="C669" s="952"/>
      <c r="D669" s="952"/>
      <c r="E669" s="952"/>
      <c r="F669" s="952"/>
      <c r="G669" s="952"/>
      <c r="H669" s="952"/>
      <c r="I669" s="952"/>
      <c r="J669" s="952"/>
      <c r="K669" s="952"/>
      <c r="L669" s="952"/>
      <c r="M669" s="952"/>
      <c r="N669" s="952"/>
      <c r="O669" s="952"/>
      <c r="P669" s="952"/>
      <c r="Q669" s="952"/>
      <c r="R669" s="952"/>
      <c r="S669" s="952"/>
      <c r="T669" s="952"/>
      <c r="U669" s="952"/>
      <c r="V669" s="952"/>
      <c r="W669" s="952"/>
      <c r="X669" s="952"/>
      <c r="Y669" s="952"/>
      <c r="Z669" s="952"/>
    </row>
    <row r="670" spans="1:26" ht="18.75" customHeight="1" x14ac:dyDescent="0.35">
      <c r="A670" s="952"/>
      <c r="B670" s="952"/>
      <c r="C670" s="952"/>
      <c r="D670" s="952"/>
      <c r="E670" s="952"/>
      <c r="F670" s="952"/>
      <c r="G670" s="952"/>
      <c r="H670" s="952"/>
      <c r="I670" s="952"/>
      <c r="J670" s="952"/>
      <c r="K670" s="952"/>
      <c r="L670" s="952"/>
      <c r="M670" s="952"/>
      <c r="N670" s="952"/>
      <c r="O670" s="952"/>
      <c r="P670" s="952"/>
      <c r="Q670" s="952"/>
      <c r="R670" s="952"/>
      <c r="S670" s="952"/>
      <c r="T670" s="952"/>
      <c r="U670" s="952"/>
      <c r="V670" s="952"/>
      <c r="W670" s="952"/>
      <c r="X670" s="952"/>
      <c r="Y670" s="952"/>
      <c r="Z670" s="952"/>
    </row>
    <row r="671" spans="1:26" ht="18.75" customHeight="1" x14ac:dyDescent="0.35">
      <c r="A671" s="952"/>
      <c r="B671" s="952"/>
      <c r="C671" s="952"/>
      <c r="D671" s="952"/>
      <c r="E671" s="952"/>
      <c r="F671" s="952"/>
      <c r="G671" s="952"/>
      <c r="H671" s="952"/>
      <c r="I671" s="952"/>
      <c r="J671" s="952"/>
      <c r="K671" s="952"/>
      <c r="L671" s="952"/>
      <c r="M671" s="952"/>
      <c r="N671" s="952"/>
      <c r="O671" s="952"/>
      <c r="P671" s="952"/>
      <c r="Q671" s="952"/>
      <c r="R671" s="952"/>
      <c r="S671" s="952"/>
      <c r="T671" s="952"/>
      <c r="U671" s="952"/>
      <c r="V671" s="952"/>
      <c r="W671" s="952"/>
      <c r="X671" s="952"/>
      <c r="Y671" s="952"/>
      <c r="Z671" s="952"/>
    </row>
    <row r="672" spans="1:26" ht="18.75" customHeight="1" x14ac:dyDescent="0.35">
      <c r="A672" s="952"/>
      <c r="B672" s="952"/>
      <c r="C672" s="952"/>
      <c r="D672" s="952"/>
      <c r="E672" s="952"/>
      <c r="F672" s="952"/>
      <c r="G672" s="952"/>
      <c r="H672" s="952"/>
      <c r="I672" s="952"/>
      <c r="J672" s="952"/>
      <c r="K672" s="952"/>
      <c r="L672" s="952"/>
      <c r="M672" s="952"/>
      <c r="N672" s="952"/>
      <c r="O672" s="952"/>
      <c r="P672" s="952"/>
      <c r="Q672" s="952"/>
      <c r="R672" s="952"/>
      <c r="S672" s="952"/>
      <c r="T672" s="952"/>
      <c r="U672" s="952"/>
      <c r="V672" s="952"/>
      <c r="W672" s="952"/>
      <c r="X672" s="952"/>
      <c r="Y672" s="952"/>
      <c r="Z672" s="952"/>
    </row>
    <row r="673" spans="1:26" ht="18.75" customHeight="1" x14ac:dyDescent="0.35">
      <c r="A673" s="952"/>
      <c r="B673" s="952"/>
      <c r="C673" s="952"/>
      <c r="D673" s="952"/>
      <c r="E673" s="952"/>
      <c r="F673" s="952"/>
      <c r="G673" s="952"/>
      <c r="H673" s="952"/>
      <c r="I673" s="952"/>
      <c r="J673" s="952"/>
      <c r="K673" s="952"/>
      <c r="L673" s="952"/>
      <c r="M673" s="952"/>
      <c r="N673" s="952"/>
      <c r="O673" s="952"/>
      <c r="P673" s="952"/>
      <c r="Q673" s="952"/>
      <c r="R673" s="952"/>
      <c r="S673" s="952"/>
      <c r="T673" s="952"/>
      <c r="U673" s="952"/>
      <c r="V673" s="952"/>
      <c r="W673" s="952"/>
      <c r="X673" s="952"/>
      <c r="Y673" s="952"/>
      <c r="Z673" s="952"/>
    </row>
    <row r="674" spans="1:26" ht="18.75" customHeight="1" x14ac:dyDescent="0.35">
      <c r="A674" s="952"/>
      <c r="B674" s="952"/>
      <c r="C674" s="952"/>
      <c r="D674" s="952"/>
      <c r="E674" s="952"/>
      <c r="F674" s="952"/>
      <c r="G674" s="952"/>
      <c r="H674" s="952"/>
      <c r="I674" s="952"/>
      <c r="J674" s="952"/>
      <c r="K674" s="952"/>
      <c r="L674" s="952"/>
      <c r="M674" s="952"/>
      <c r="N674" s="952"/>
      <c r="O674" s="952"/>
      <c r="P674" s="952"/>
      <c r="Q674" s="952"/>
      <c r="R674" s="952"/>
      <c r="S674" s="952"/>
      <c r="T674" s="952"/>
      <c r="U674" s="952"/>
      <c r="V674" s="952"/>
      <c r="W674" s="952"/>
      <c r="X674" s="952"/>
      <c r="Y674" s="952"/>
      <c r="Z674" s="952"/>
    </row>
    <row r="675" spans="1:26" ht="18.75" customHeight="1" x14ac:dyDescent="0.35">
      <c r="A675" s="952"/>
      <c r="B675" s="952"/>
      <c r="C675" s="952"/>
      <c r="D675" s="952"/>
      <c r="E675" s="952"/>
      <c r="F675" s="952"/>
      <c r="G675" s="952"/>
      <c r="H675" s="952"/>
      <c r="I675" s="952"/>
      <c r="J675" s="952"/>
      <c r="K675" s="952"/>
      <c r="L675" s="952"/>
      <c r="M675" s="952"/>
      <c r="N675" s="952"/>
      <c r="O675" s="952"/>
      <c r="P675" s="952"/>
      <c r="Q675" s="952"/>
      <c r="R675" s="952"/>
      <c r="S675" s="952"/>
      <c r="T675" s="952"/>
      <c r="U675" s="952"/>
      <c r="V675" s="952"/>
      <c r="W675" s="952"/>
      <c r="X675" s="952"/>
      <c r="Y675" s="952"/>
      <c r="Z675" s="952"/>
    </row>
    <row r="676" spans="1:26" ht="18.75" customHeight="1" x14ac:dyDescent="0.35">
      <c r="A676" s="952"/>
      <c r="B676" s="952"/>
      <c r="C676" s="952"/>
      <c r="D676" s="952"/>
      <c r="E676" s="952"/>
      <c r="F676" s="952"/>
      <c r="G676" s="952"/>
      <c r="H676" s="952"/>
      <c r="I676" s="952"/>
      <c r="J676" s="952"/>
      <c r="K676" s="952"/>
      <c r="L676" s="952"/>
      <c r="M676" s="952"/>
      <c r="N676" s="952"/>
      <c r="O676" s="952"/>
      <c r="P676" s="952"/>
      <c r="Q676" s="952"/>
      <c r="R676" s="952"/>
      <c r="S676" s="952"/>
      <c r="T676" s="952"/>
      <c r="U676" s="952"/>
      <c r="V676" s="952"/>
      <c r="W676" s="952"/>
      <c r="X676" s="952"/>
      <c r="Y676" s="952"/>
      <c r="Z676" s="952"/>
    </row>
    <row r="677" spans="1:26" ht="18.75" customHeight="1" x14ac:dyDescent="0.35">
      <c r="A677" s="952"/>
      <c r="B677" s="952"/>
      <c r="C677" s="952"/>
      <c r="D677" s="952"/>
      <c r="E677" s="952"/>
      <c r="F677" s="952"/>
      <c r="G677" s="952"/>
      <c r="H677" s="952"/>
      <c r="I677" s="952"/>
      <c r="J677" s="952"/>
      <c r="K677" s="952"/>
      <c r="L677" s="952"/>
      <c r="M677" s="952"/>
      <c r="N677" s="952"/>
      <c r="O677" s="952"/>
      <c r="P677" s="952"/>
      <c r="Q677" s="952"/>
      <c r="R677" s="952"/>
      <c r="S677" s="952"/>
      <c r="T677" s="952"/>
      <c r="U677" s="952"/>
      <c r="V677" s="952"/>
      <c r="W677" s="952"/>
      <c r="X677" s="952"/>
      <c r="Y677" s="952"/>
      <c r="Z677" s="952"/>
    </row>
    <row r="678" spans="1:26" ht="18.75" customHeight="1" x14ac:dyDescent="0.35">
      <c r="A678" s="952"/>
      <c r="B678" s="952"/>
      <c r="C678" s="952"/>
      <c r="D678" s="952"/>
      <c r="E678" s="952"/>
      <c r="F678" s="952"/>
      <c r="G678" s="952"/>
      <c r="H678" s="952"/>
      <c r="I678" s="952"/>
      <c r="J678" s="952"/>
      <c r="K678" s="952"/>
      <c r="L678" s="952"/>
      <c r="M678" s="952"/>
      <c r="N678" s="952"/>
      <c r="O678" s="952"/>
      <c r="P678" s="952"/>
      <c r="Q678" s="952"/>
      <c r="R678" s="952"/>
      <c r="S678" s="952"/>
      <c r="T678" s="952"/>
      <c r="U678" s="952"/>
      <c r="V678" s="952"/>
      <c r="W678" s="952"/>
      <c r="X678" s="952"/>
      <c r="Y678" s="952"/>
      <c r="Z678" s="952"/>
    </row>
    <row r="679" spans="1:26" ht="18.75" customHeight="1" x14ac:dyDescent="0.35">
      <c r="A679" s="952"/>
      <c r="B679" s="952"/>
      <c r="C679" s="952"/>
      <c r="D679" s="952"/>
      <c r="E679" s="952"/>
      <c r="F679" s="952"/>
      <c r="G679" s="952"/>
      <c r="H679" s="952"/>
      <c r="I679" s="952"/>
      <c r="J679" s="952"/>
      <c r="K679" s="952"/>
      <c r="L679" s="952"/>
      <c r="M679" s="952"/>
      <c r="N679" s="952"/>
      <c r="O679" s="952"/>
      <c r="P679" s="952"/>
      <c r="Q679" s="952"/>
      <c r="R679" s="952"/>
      <c r="S679" s="952"/>
      <c r="T679" s="952"/>
      <c r="U679" s="952"/>
      <c r="V679" s="952"/>
      <c r="W679" s="952"/>
      <c r="X679" s="952"/>
      <c r="Y679" s="952"/>
      <c r="Z679" s="952"/>
    </row>
    <row r="680" spans="1:26" ht="18.75" customHeight="1" x14ac:dyDescent="0.35">
      <c r="A680" s="952"/>
      <c r="B680" s="952"/>
      <c r="C680" s="952"/>
      <c r="D680" s="952"/>
      <c r="E680" s="952"/>
      <c r="F680" s="952"/>
      <c r="G680" s="952"/>
      <c r="H680" s="952"/>
      <c r="I680" s="952"/>
      <c r="J680" s="952"/>
      <c r="K680" s="952"/>
      <c r="L680" s="952"/>
      <c r="M680" s="952"/>
      <c r="N680" s="952"/>
      <c r="O680" s="952"/>
      <c r="P680" s="952"/>
      <c r="Q680" s="952"/>
      <c r="R680" s="952"/>
      <c r="S680" s="952"/>
      <c r="T680" s="952"/>
      <c r="U680" s="952"/>
      <c r="V680" s="952"/>
      <c r="W680" s="952"/>
      <c r="X680" s="952"/>
      <c r="Y680" s="952"/>
      <c r="Z680" s="952"/>
    </row>
    <row r="681" spans="1:26" ht="18.75" customHeight="1" x14ac:dyDescent="0.35">
      <c r="A681" s="952"/>
      <c r="B681" s="952"/>
      <c r="C681" s="952"/>
      <c r="D681" s="952"/>
      <c r="E681" s="952"/>
      <c r="F681" s="952"/>
      <c r="G681" s="952"/>
      <c r="H681" s="952"/>
      <c r="I681" s="952"/>
      <c r="J681" s="952"/>
      <c r="K681" s="952"/>
      <c r="L681" s="952"/>
      <c r="M681" s="952"/>
      <c r="N681" s="952"/>
      <c r="O681" s="952"/>
      <c r="P681" s="952"/>
      <c r="Q681" s="952"/>
      <c r="R681" s="952"/>
      <c r="S681" s="952"/>
      <c r="T681" s="952"/>
      <c r="U681" s="952"/>
      <c r="V681" s="952"/>
      <c r="W681" s="952"/>
      <c r="X681" s="952"/>
      <c r="Y681" s="952"/>
      <c r="Z681" s="952"/>
    </row>
    <row r="682" spans="1:26" ht="18.75" customHeight="1" x14ac:dyDescent="0.35">
      <c r="A682" s="952"/>
      <c r="B682" s="952"/>
      <c r="C682" s="952"/>
      <c r="D682" s="952"/>
      <c r="E682" s="952"/>
      <c r="F682" s="952"/>
      <c r="G682" s="952"/>
      <c r="H682" s="952"/>
      <c r="I682" s="952"/>
      <c r="J682" s="952"/>
      <c r="K682" s="952"/>
      <c r="L682" s="952"/>
      <c r="M682" s="952"/>
      <c r="N682" s="952"/>
      <c r="O682" s="952"/>
      <c r="P682" s="952"/>
      <c r="Q682" s="952"/>
      <c r="R682" s="952"/>
      <c r="S682" s="952"/>
      <c r="T682" s="952"/>
      <c r="U682" s="952"/>
      <c r="V682" s="952"/>
      <c r="W682" s="952"/>
      <c r="X682" s="952"/>
      <c r="Y682" s="952"/>
      <c r="Z682" s="952"/>
    </row>
    <row r="683" spans="1:26" ht="18.75" customHeight="1" x14ac:dyDescent="0.35">
      <c r="A683" s="952"/>
      <c r="B683" s="952"/>
      <c r="C683" s="952"/>
      <c r="D683" s="952"/>
      <c r="E683" s="952"/>
      <c r="F683" s="952"/>
      <c r="G683" s="952"/>
      <c r="H683" s="952"/>
      <c r="I683" s="952"/>
      <c r="J683" s="952"/>
      <c r="K683" s="952"/>
      <c r="L683" s="952"/>
      <c r="M683" s="952"/>
      <c r="N683" s="952"/>
      <c r="O683" s="952"/>
      <c r="P683" s="952"/>
      <c r="Q683" s="952"/>
      <c r="R683" s="952"/>
      <c r="S683" s="952"/>
      <c r="T683" s="952"/>
      <c r="U683" s="952"/>
      <c r="V683" s="952"/>
      <c r="W683" s="952"/>
      <c r="X683" s="952"/>
      <c r="Y683" s="952"/>
      <c r="Z683" s="952"/>
    </row>
    <row r="684" spans="1:26" ht="18.75" customHeight="1" x14ac:dyDescent="0.35">
      <c r="A684" s="952"/>
      <c r="B684" s="952"/>
      <c r="C684" s="952"/>
      <c r="D684" s="952"/>
      <c r="E684" s="952"/>
      <c r="F684" s="952"/>
      <c r="G684" s="952"/>
      <c r="H684" s="952"/>
      <c r="I684" s="952"/>
      <c r="J684" s="952"/>
      <c r="K684" s="952"/>
      <c r="L684" s="952"/>
      <c r="M684" s="952"/>
      <c r="N684" s="952"/>
      <c r="O684" s="952"/>
      <c r="P684" s="952"/>
      <c r="Q684" s="952"/>
      <c r="R684" s="952"/>
      <c r="S684" s="952"/>
      <c r="T684" s="952"/>
      <c r="U684" s="952"/>
      <c r="V684" s="952"/>
      <c r="W684" s="952"/>
      <c r="X684" s="952"/>
      <c r="Y684" s="952"/>
      <c r="Z684" s="952"/>
    </row>
    <row r="685" spans="1:26" ht="18.75" customHeight="1" x14ac:dyDescent="0.35">
      <c r="A685" s="952"/>
      <c r="B685" s="952"/>
      <c r="C685" s="952"/>
      <c r="D685" s="952"/>
      <c r="E685" s="952"/>
      <c r="F685" s="952"/>
      <c r="G685" s="952"/>
      <c r="H685" s="952"/>
      <c r="I685" s="952"/>
      <c r="J685" s="952"/>
      <c r="K685" s="952"/>
      <c r="L685" s="952"/>
      <c r="M685" s="952"/>
      <c r="N685" s="952"/>
      <c r="O685" s="952"/>
      <c r="P685" s="952"/>
      <c r="Q685" s="952"/>
      <c r="R685" s="952"/>
      <c r="S685" s="952"/>
      <c r="T685" s="952"/>
      <c r="U685" s="952"/>
      <c r="V685" s="952"/>
      <c r="W685" s="952"/>
      <c r="X685" s="952"/>
      <c r="Y685" s="952"/>
      <c r="Z685" s="952"/>
    </row>
    <row r="686" spans="1:26" ht="18.75" customHeight="1" x14ac:dyDescent="0.35">
      <c r="A686" s="952"/>
      <c r="B686" s="952"/>
      <c r="C686" s="952"/>
      <c r="D686" s="952"/>
      <c r="E686" s="952"/>
      <c r="F686" s="952"/>
      <c r="G686" s="952"/>
      <c r="H686" s="952"/>
      <c r="I686" s="952"/>
      <c r="J686" s="952"/>
      <c r="K686" s="952"/>
      <c r="L686" s="952"/>
      <c r="M686" s="952"/>
      <c r="N686" s="952"/>
      <c r="O686" s="952"/>
      <c r="P686" s="952"/>
      <c r="Q686" s="952"/>
      <c r="R686" s="952"/>
      <c r="S686" s="952"/>
      <c r="T686" s="952"/>
      <c r="U686" s="952"/>
      <c r="V686" s="952"/>
      <c r="W686" s="952"/>
      <c r="X686" s="952"/>
      <c r="Y686" s="952"/>
      <c r="Z686" s="952"/>
    </row>
    <row r="687" spans="1:26" ht="18.75" customHeight="1" x14ac:dyDescent="0.35">
      <c r="A687" s="952"/>
      <c r="B687" s="952"/>
      <c r="C687" s="952"/>
      <c r="D687" s="952"/>
      <c r="E687" s="952"/>
      <c r="F687" s="952"/>
      <c r="G687" s="952"/>
      <c r="H687" s="952"/>
      <c r="I687" s="952"/>
      <c r="J687" s="952"/>
      <c r="K687" s="952"/>
      <c r="L687" s="952"/>
      <c r="M687" s="952"/>
      <c r="N687" s="952"/>
      <c r="O687" s="952"/>
      <c r="P687" s="952"/>
      <c r="Q687" s="952"/>
      <c r="R687" s="952"/>
      <c r="S687" s="952"/>
      <c r="T687" s="952"/>
      <c r="U687" s="952"/>
      <c r="V687" s="952"/>
      <c r="W687" s="952"/>
      <c r="X687" s="952"/>
      <c r="Y687" s="952"/>
      <c r="Z687" s="952"/>
    </row>
    <row r="688" spans="1:26" ht="18.75" customHeight="1" x14ac:dyDescent="0.35">
      <c r="A688" s="952"/>
      <c r="B688" s="952"/>
      <c r="C688" s="952"/>
      <c r="D688" s="952"/>
      <c r="E688" s="952"/>
      <c r="F688" s="952"/>
      <c r="G688" s="952"/>
      <c r="H688" s="952"/>
      <c r="I688" s="952"/>
      <c r="J688" s="952"/>
      <c r="K688" s="952"/>
      <c r="L688" s="952"/>
      <c r="M688" s="952"/>
      <c r="N688" s="952"/>
      <c r="O688" s="952"/>
      <c r="P688" s="952"/>
      <c r="Q688" s="952"/>
      <c r="R688" s="952"/>
      <c r="S688" s="952"/>
      <c r="T688" s="952"/>
      <c r="U688" s="952"/>
      <c r="V688" s="952"/>
      <c r="W688" s="952"/>
      <c r="X688" s="952"/>
      <c r="Y688" s="952"/>
      <c r="Z688" s="952"/>
    </row>
    <row r="689" spans="1:26" ht="18.75" customHeight="1" x14ac:dyDescent="0.35">
      <c r="A689" s="952"/>
      <c r="B689" s="952"/>
      <c r="C689" s="952"/>
      <c r="D689" s="952"/>
      <c r="E689" s="952"/>
      <c r="F689" s="952"/>
      <c r="G689" s="952"/>
      <c r="H689" s="952"/>
      <c r="I689" s="952"/>
      <c r="J689" s="952"/>
      <c r="K689" s="952"/>
      <c r="L689" s="952"/>
      <c r="M689" s="952"/>
      <c r="N689" s="952"/>
      <c r="O689" s="952"/>
      <c r="P689" s="952"/>
      <c r="Q689" s="952"/>
      <c r="R689" s="952"/>
      <c r="S689" s="952"/>
      <c r="T689" s="952"/>
      <c r="U689" s="952"/>
      <c r="V689" s="952"/>
      <c r="W689" s="952"/>
      <c r="X689" s="952"/>
      <c r="Y689" s="952"/>
      <c r="Z689" s="952"/>
    </row>
    <row r="690" spans="1:26" ht="18.75" customHeight="1" x14ac:dyDescent="0.35">
      <c r="A690" s="952"/>
      <c r="B690" s="952"/>
      <c r="C690" s="952"/>
      <c r="D690" s="952"/>
      <c r="E690" s="952"/>
      <c r="F690" s="952"/>
      <c r="G690" s="952"/>
      <c r="H690" s="952"/>
      <c r="I690" s="952"/>
      <c r="J690" s="952"/>
      <c r="K690" s="952"/>
      <c r="L690" s="952"/>
      <c r="M690" s="952"/>
      <c r="N690" s="952"/>
      <c r="O690" s="952"/>
      <c r="P690" s="952"/>
      <c r="Q690" s="952"/>
      <c r="R690" s="952"/>
      <c r="S690" s="952"/>
      <c r="T690" s="952"/>
      <c r="U690" s="952"/>
      <c r="V690" s="952"/>
      <c r="W690" s="952"/>
      <c r="X690" s="952"/>
      <c r="Y690" s="952"/>
      <c r="Z690" s="952"/>
    </row>
    <row r="691" spans="1:26" ht="18.75" customHeight="1" x14ac:dyDescent="0.35">
      <c r="A691" s="952"/>
      <c r="B691" s="952"/>
      <c r="C691" s="952"/>
      <c r="D691" s="952"/>
      <c r="E691" s="952"/>
      <c r="F691" s="952"/>
      <c r="G691" s="952"/>
      <c r="H691" s="952"/>
      <c r="I691" s="952"/>
      <c r="J691" s="952"/>
      <c r="K691" s="952"/>
      <c r="L691" s="952"/>
      <c r="M691" s="952"/>
      <c r="N691" s="952"/>
      <c r="O691" s="952"/>
      <c r="P691" s="952"/>
      <c r="Q691" s="952"/>
      <c r="R691" s="952"/>
      <c r="S691" s="952"/>
      <c r="T691" s="952"/>
      <c r="U691" s="952"/>
      <c r="V691" s="952"/>
      <c r="W691" s="952"/>
      <c r="X691" s="952"/>
      <c r="Y691" s="952"/>
      <c r="Z691" s="952"/>
    </row>
    <row r="692" spans="1:26" ht="18.75" customHeight="1" x14ac:dyDescent="0.35">
      <c r="A692" s="952"/>
      <c r="B692" s="952"/>
      <c r="C692" s="952"/>
      <c r="D692" s="952"/>
      <c r="E692" s="952"/>
      <c r="F692" s="952"/>
      <c r="G692" s="952"/>
      <c r="H692" s="952"/>
      <c r="I692" s="952"/>
      <c r="J692" s="952"/>
      <c r="K692" s="952"/>
      <c r="L692" s="952"/>
      <c r="M692" s="952"/>
      <c r="N692" s="952"/>
      <c r="O692" s="952"/>
      <c r="P692" s="952"/>
      <c r="Q692" s="952"/>
      <c r="R692" s="952"/>
      <c r="S692" s="952"/>
      <c r="T692" s="952"/>
      <c r="U692" s="952"/>
      <c r="V692" s="952"/>
      <c r="W692" s="952"/>
      <c r="X692" s="952"/>
      <c r="Y692" s="952"/>
      <c r="Z692" s="952"/>
    </row>
    <row r="693" spans="1:26" ht="18.75" customHeight="1" x14ac:dyDescent="0.35">
      <c r="A693" s="952"/>
      <c r="B693" s="952"/>
      <c r="C693" s="952"/>
      <c r="D693" s="952"/>
      <c r="E693" s="952"/>
      <c r="F693" s="952"/>
      <c r="G693" s="952"/>
      <c r="H693" s="952"/>
      <c r="I693" s="952"/>
      <c r="J693" s="952"/>
      <c r="K693" s="952"/>
      <c r="L693" s="952"/>
      <c r="M693" s="952"/>
      <c r="N693" s="952"/>
      <c r="O693" s="952"/>
      <c r="P693" s="952"/>
      <c r="Q693" s="952"/>
      <c r="R693" s="952"/>
      <c r="S693" s="952"/>
      <c r="T693" s="952"/>
      <c r="U693" s="952"/>
      <c r="V693" s="952"/>
      <c r="W693" s="952"/>
      <c r="X693" s="952"/>
      <c r="Y693" s="952"/>
      <c r="Z693" s="952"/>
    </row>
    <row r="694" spans="1:26" ht="18.75" customHeight="1" x14ac:dyDescent="0.35">
      <c r="A694" s="952"/>
      <c r="B694" s="952"/>
      <c r="C694" s="952"/>
      <c r="D694" s="952"/>
      <c r="E694" s="952"/>
      <c r="F694" s="952"/>
      <c r="G694" s="952"/>
      <c r="H694" s="952"/>
      <c r="I694" s="952"/>
      <c r="J694" s="952"/>
      <c r="K694" s="952"/>
      <c r="L694" s="952"/>
      <c r="M694" s="952"/>
      <c r="N694" s="952"/>
      <c r="O694" s="952"/>
      <c r="P694" s="952"/>
      <c r="Q694" s="952"/>
      <c r="R694" s="952"/>
      <c r="S694" s="952"/>
      <c r="T694" s="952"/>
      <c r="U694" s="952"/>
      <c r="V694" s="952"/>
      <c r="W694" s="952"/>
      <c r="X694" s="952"/>
      <c r="Y694" s="952"/>
      <c r="Z694" s="952"/>
    </row>
    <row r="695" spans="1:26" ht="18.75" customHeight="1" x14ac:dyDescent="0.35">
      <c r="A695" s="952"/>
      <c r="B695" s="952"/>
      <c r="C695" s="952"/>
      <c r="D695" s="952"/>
      <c r="E695" s="952"/>
      <c r="F695" s="952"/>
      <c r="G695" s="952"/>
      <c r="H695" s="952"/>
      <c r="I695" s="952"/>
      <c r="J695" s="952"/>
      <c r="K695" s="952"/>
      <c r="L695" s="952"/>
      <c r="M695" s="952"/>
      <c r="N695" s="952"/>
      <c r="O695" s="952"/>
      <c r="P695" s="952"/>
      <c r="Q695" s="952"/>
      <c r="R695" s="952"/>
      <c r="S695" s="952"/>
      <c r="T695" s="952"/>
      <c r="U695" s="952"/>
      <c r="V695" s="952"/>
      <c r="W695" s="952"/>
      <c r="X695" s="952"/>
      <c r="Y695" s="952"/>
      <c r="Z695" s="952"/>
    </row>
    <row r="696" spans="1:26" ht="18.75" customHeight="1" x14ac:dyDescent="0.35">
      <c r="A696" s="952"/>
      <c r="B696" s="952"/>
      <c r="C696" s="952"/>
      <c r="D696" s="952"/>
      <c r="E696" s="952"/>
      <c r="F696" s="952"/>
      <c r="G696" s="952"/>
      <c r="H696" s="952"/>
      <c r="I696" s="952"/>
      <c r="J696" s="952"/>
      <c r="K696" s="952"/>
      <c r="L696" s="952"/>
      <c r="M696" s="952"/>
      <c r="N696" s="952"/>
      <c r="O696" s="952"/>
      <c r="P696" s="952"/>
      <c r="Q696" s="952"/>
      <c r="R696" s="952"/>
      <c r="S696" s="952"/>
      <c r="T696" s="952"/>
      <c r="U696" s="952"/>
      <c r="V696" s="952"/>
      <c r="W696" s="952"/>
      <c r="X696" s="952"/>
      <c r="Y696" s="952"/>
      <c r="Z696" s="952"/>
    </row>
    <row r="697" spans="1:26" ht="18.75" customHeight="1" x14ac:dyDescent="0.35">
      <c r="A697" s="952"/>
      <c r="B697" s="952"/>
      <c r="C697" s="952"/>
      <c r="D697" s="952"/>
      <c r="E697" s="952"/>
      <c r="F697" s="952"/>
      <c r="G697" s="952"/>
      <c r="H697" s="952"/>
      <c r="I697" s="952"/>
      <c r="J697" s="952"/>
      <c r="K697" s="952"/>
      <c r="L697" s="952"/>
      <c r="M697" s="952"/>
      <c r="N697" s="952"/>
      <c r="O697" s="952"/>
      <c r="P697" s="952"/>
      <c r="Q697" s="952"/>
      <c r="R697" s="952"/>
      <c r="S697" s="952"/>
      <c r="T697" s="952"/>
      <c r="U697" s="952"/>
      <c r="V697" s="952"/>
      <c r="W697" s="952"/>
      <c r="X697" s="952"/>
      <c r="Y697" s="952"/>
      <c r="Z697" s="952"/>
    </row>
    <row r="698" spans="1:26" ht="18.75" customHeight="1" x14ac:dyDescent="0.35">
      <c r="A698" s="952"/>
      <c r="B698" s="952"/>
      <c r="C698" s="952"/>
      <c r="D698" s="952"/>
      <c r="E698" s="952"/>
      <c r="F698" s="952"/>
      <c r="G698" s="952"/>
      <c r="H698" s="952"/>
      <c r="I698" s="952"/>
      <c r="J698" s="952"/>
      <c r="K698" s="952"/>
      <c r="L698" s="952"/>
      <c r="M698" s="952"/>
      <c r="N698" s="952"/>
      <c r="O698" s="952"/>
      <c r="P698" s="952"/>
      <c r="Q698" s="952"/>
      <c r="R698" s="952"/>
      <c r="S698" s="952"/>
      <c r="T698" s="952"/>
      <c r="U698" s="952"/>
      <c r="V698" s="952"/>
      <c r="W698" s="952"/>
      <c r="X698" s="952"/>
      <c r="Y698" s="952"/>
      <c r="Z698" s="952"/>
    </row>
    <row r="699" spans="1:26" ht="18.75" customHeight="1" x14ac:dyDescent="0.35">
      <c r="A699" s="952"/>
      <c r="B699" s="952"/>
      <c r="C699" s="952"/>
      <c r="D699" s="952"/>
      <c r="E699" s="952"/>
      <c r="F699" s="952"/>
      <c r="G699" s="952"/>
      <c r="H699" s="952"/>
      <c r="I699" s="952"/>
      <c r="J699" s="952"/>
      <c r="K699" s="952"/>
      <c r="L699" s="952"/>
      <c r="M699" s="952"/>
      <c r="N699" s="952"/>
      <c r="O699" s="952"/>
      <c r="P699" s="952"/>
      <c r="Q699" s="952"/>
      <c r="R699" s="952"/>
      <c r="S699" s="952"/>
      <c r="T699" s="952"/>
      <c r="U699" s="952"/>
      <c r="V699" s="952"/>
      <c r="W699" s="952"/>
      <c r="X699" s="952"/>
      <c r="Y699" s="952"/>
      <c r="Z699" s="952"/>
    </row>
    <row r="700" spans="1:26" ht="18.75" customHeight="1" x14ac:dyDescent="0.35">
      <c r="A700" s="952"/>
      <c r="B700" s="952"/>
      <c r="C700" s="952"/>
      <c r="D700" s="952"/>
      <c r="E700" s="952"/>
      <c r="F700" s="952"/>
      <c r="G700" s="952"/>
      <c r="H700" s="952"/>
      <c r="I700" s="952"/>
      <c r="J700" s="952"/>
      <c r="K700" s="952"/>
      <c r="L700" s="952"/>
      <c r="M700" s="952"/>
      <c r="N700" s="952"/>
      <c r="O700" s="952"/>
      <c r="P700" s="952"/>
      <c r="Q700" s="952"/>
      <c r="R700" s="952"/>
      <c r="S700" s="952"/>
      <c r="T700" s="952"/>
      <c r="U700" s="952"/>
      <c r="V700" s="952"/>
      <c r="W700" s="952"/>
      <c r="X700" s="952"/>
      <c r="Y700" s="952"/>
      <c r="Z700" s="952"/>
    </row>
    <row r="701" spans="1:26" ht="18.75" customHeight="1" x14ac:dyDescent="0.35">
      <c r="A701" s="952"/>
      <c r="B701" s="952"/>
      <c r="C701" s="952"/>
      <c r="D701" s="952"/>
      <c r="E701" s="952"/>
      <c r="F701" s="952"/>
      <c r="G701" s="952"/>
      <c r="H701" s="952"/>
      <c r="I701" s="952"/>
      <c r="J701" s="952"/>
      <c r="K701" s="952"/>
      <c r="L701" s="952"/>
      <c r="M701" s="952"/>
      <c r="N701" s="952"/>
      <c r="O701" s="952"/>
      <c r="P701" s="952"/>
      <c r="Q701" s="952"/>
      <c r="R701" s="952"/>
      <c r="S701" s="952"/>
      <c r="T701" s="952"/>
      <c r="U701" s="952"/>
      <c r="V701" s="952"/>
      <c r="W701" s="952"/>
      <c r="X701" s="952"/>
      <c r="Y701" s="952"/>
      <c r="Z701" s="952"/>
    </row>
    <row r="702" spans="1:26" ht="18.75" customHeight="1" x14ac:dyDescent="0.35">
      <c r="A702" s="952"/>
      <c r="B702" s="952"/>
      <c r="C702" s="952"/>
      <c r="D702" s="952"/>
      <c r="E702" s="952"/>
      <c r="F702" s="952"/>
      <c r="G702" s="952"/>
      <c r="H702" s="952"/>
      <c r="I702" s="952"/>
      <c r="J702" s="952"/>
      <c r="K702" s="952"/>
      <c r="L702" s="952"/>
      <c r="M702" s="952"/>
      <c r="N702" s="952"/>
      <c r="O702" s="952"/>
      <c r="P702" s="952"/>
      <c r="Q702" s="952"/>
      <c r="R702" s="952"/>
      <c r="S702" s="952"/>
      <c r="T702" s="952"/>
      <c r="U702" s="952"/>
      <c r="V702" s="952"/>
      <c r="W702" s="952"/>
      <c r="X702" s="952"/>
      <c r="Y702" s="952"/>
      <c r="Z702" s="952"/>
    </row>
    <row r="703" spans="1:26" ht="18.75" customHeight="1" x14ac:dyDescent="0.35">
      <c r="A703" s="952"/>
      <c r="B703" s="952"/>
      <c r="C703" s="952"/>
      <c r="D703" s="952"/>
      <c r="E703" s="952"/>
      <c r="F703" s="952"/>
      <c r="G703" s="952"/>
      <c r="H703" s="952"/>
      <c r="I703" s="952"/>
      <c r="J703" s="952"/>
      <c r="K703" s="952"/>
      <c r="L703" s="952"/>
      <c r="M703" s="952"/>
      <c r="N703" s="952"/>
      <c r="O703" s="952"/>
      <c r="P703" s="952"/>
      <c r="Q703" s="952"/>
      <c r="R703" s="952"/>
      <c r="S703" s="952"/>
      <c r="T703" s="952"/>
      <c r="U703" s="952"/>
      <c r="V703" s="952"/>
      <c r="W703" s="952"/>
      <c r="X703" s="952"/>
      <c r="Y703" s="952"/>
      <c r="Z703" s="952"/>
    </row>
    <row r="704" spans="1:26" ht="18.75" customHeight="1" x14ac:dyDescent="0.35">
      <c r="A704" s="952"/>
      <c r="B704" s="952"/>
      <c r="C704" s="952"/>
      <c r="D704" s="952"/>
      <c r="E704" s="952"/>
      <c r="F704" s="952"/>
      <c r="G704" s="952"/>
      <c r="H704" s="952"/>
      <c r="I704" s="952"/>
      <c r="J704" s="952"/>
      <c r="K704" s="952"/>
      <c r="L704" s="952"/>
      <c r="M704" s="952"/>
      <c r="N704" s="952"/>
      <c r="O704" s="952"/>
      <c r="P704" s="952"/>
      <c r="Q704" s="952"/>
      <c r="R704" s="952"/>
      <c r="S704" s="952"/>
      <c r="T704" s="952"/>
      <c r="U704" s="952"/>
      <c r="V704" s="952"/>
      <c r="W704" s="952"/>
      <c r="X704" s="952"/>
      <c r="Y704" s="952"/>
      <c r="Z704" s="952"/>
    </row>
    <row r="705" spans="1:26" ht="18.75" customHeight="1" x14ac:dyDescent="0.35">
      <c r="A705" s="952"/>
      <c r="B705" s="952"/>
      <c r="C705" s="952"/>
      <c r="D705" s="952"/>
      <c r="E705" s="952"/>
      <c r="F705" s="952"/>
      <c r="G705" s="952"/>
      <c r="H705" s="952"/>
      <c r="I705" s="952"/>
      <c r="J705" s="952"/>
      <c r="K705" s="952"/>
      <c r="L705" s="952"/>
      <c r="M705" s="952"/>
      <c r="N705" s="952"/>
      <c r="O705" s="952"/>
      <c r="P705" s="952"/>
      <c r="Q705" s="952"/>
      <c r="R705" s="952"/>
      <c r="S705" s="952"/>
      <c r="T705" s="952"/>
      <c r="U705" s="952"/>
      <c r="V705" s="952"/>
      <c r="W705" s="952"/>
      <c r="X705" s="952"/>
      <c r="Y705" s="952"/>
      <c r="Z705" s="952"/>
    </row>
    <row r="706" spans="1:26" ht="18.75" customHeight="1" x14ac:dyDescent="0.35">
      <c r="A706" s="952"/>
      <c r="B706" s="952"/>
      <c r="C706" s="952"/>
      <c r="D706" s="952"/>
      <c r="E706" s="952"/>
      <c r="F706" s="952"/>
      <c r="G706" s="952"/>
      <c r="H706" s="952"/>
      <c r="I706" s="952"/>
      <c r="J706" s="952"/>
      <c r="K706" s="952"/>
      <c r="L706" s="952"/>
      <c r="M706" s="952"/>
      <c r="N706" s="952"/>
      <c r="O706" s="952"/>
      <c r="P706" s="952"/>
      <c r="Q706" s="952"/>
      <c r="R706" s="952"/>
      <c r="S706" s="952"/>
      <c r="T706" s="952"/>
      <c r="U706" s="952"/>
      <c r="V706" s="952"/>
      <c r="W706" s="952"/>
      <c r="X706" s="952"/>
      <c r="Y706" s="952"/>
      <c r="Z706" s="952"/>
    </row>
    <row r="707" spans="1:26" ht="18.75" customHeight="1" x14ac:dyDescent="0.35">
      <c r="A707" s="952"/>
      <c r="B707" s="952"/>
      <c r="C707" s="952"/>
      <c r="D707" s="952"/>
      <c r="E707" s="952"/>
      <c r="F707" s="952"/>
      <c r="G707" s="952"/>
      <c r="H707" s="952"/>
      <c r="I707" s="952"/>
      <c r="J707" s="952"/>
      <c r="K707" s="952"/>
      <c r="L707" s="952"/>
      <c r="M707" s="952"/>
      <c r="N707" s="952"/>
      <c r="O707" s="952"/>
      <c r="P707" s="952"/>
      <c r="Q707" s="952"/>
      <c r="R707" s="952"/>
      <c r="S707" s="952"/>
      <c r="T707" s="952"/>
      <c r="U707" s="952"/>
      <c r="V707" s="952"/>
      <c r="W707" s="952"/>
      <c r="X707" s="952"/>
      <c r="Y707" s="952"/>
      <c r="Z707" s="952"/>
    </row>
    <row r="708" spans="1:26" ht="18.75" customHeight="1" x14ac:dyDescent="0.35">
      <c r="A708" s="952"/>
      <c r="B708" s="952"/>
      <c r="C708" s="952"/>
      <c r="D708" s="952"/>
      <c r="E708" s="952"/>
      <c r="F708" s="952"/>
      <c r="G708" s="952"/>
      <c r="H708" s="952"/>
      <c r="I708" s="952"/>
      <c r="J708" s="952"/>
      <c r="K708" s="952"/>
      <c r="L708" s="952"/>
      <c r="M708" s="952"/>
      <c r="N708" s="952"/>
      <c r="O708" s="952"/>
      <c r="P708" s="952"/>
      <c r="Q708" s="952"/>
      <c r="R708" s="952"/>
      <c r="S708" s="952"/>
      <c r="T708" s="952"/>
      <c r="U708" s="952"/>
      <c r="V708" s="952"/>
      <c r="W708" s="952"/>
      <c r="X708" s="952"/>
      <c r="Y708" s="952"/>
      <c r="Z708" s="952"/>
    </row>
    <row r="709" spans="1:26" ht="18.75" customHeight="1" x14ac:dyDescent="0.35">
      <c r="A709" s="952"/>
      <c r="B709" s="952"/>
      <c r="C709" s="952"/>
      <c r="D709" s="952"/>
      <c r="E709" s="952"/>
      <c r="F709" s="952"/>
      <c r="G709" s="952"/>
      <c r="H709" s="952"/>
      <c r="I709" s="952"/>
      <c r="J709" s="952"/>
      <c r="K709" s="952"/>
      <c r="L709" s="952"/>
      <c r="M709" s="952"/>
      <c r="N709" s="952"/>
      <c r="O709" s="952"/>
      <c r="P709" s="952"/>
      <c r="Q709" s="952"/>
      <c r="R709" s="952"/>
      <c r="S709" s="952"/>
      <c r="T709" s="952"/>
      <c r="U709" s="952"/>
      <c r="V709" s="952"/>
      <c r="W709" s="952"/>
      <c r="X709" s="952"/>
      <c r="Y709" s="952"/>
      <c r="Z709" s="952"/>
    </row>
    <row r="710" spans="1:26" ht="18.75" customHeight="1" x14ac:dyDescent="0.35">
      <c r="A710" s="952"/>
      <c r="B710" s="952"/>
      <c r="C710" s="952"/>
      <c r="D710" s="952"/>
      <c r="E710" s="952"/>
      <c r="F710" s="952"/>
      <c r="G710" s="952"/>
      <c r="H710" s="952"/>
      <c r="I710" s="952"/>
      <c r="J710" s="952"/>
      <c r="K710" s="952"/>
      <c r="L710" s="952"/>
      <c r="M710" s="952"/>
      <c r="N710" s="952"/>
      <c r="O710" s="952"/>
      <c r="P710" s="952"/>
      <c r="Q710" s="952"/>
      <c r="R710" s="952"/>
      <c r="S710" s="952"/>
      <c r="T710" s="952"/>
      <c r="U710" s="952"/>
      <c r="V710" s="952"/>
      <c r="W710" s="952"/>
      <c r="X710" s="952"/>
      <c r="Y710" s="952"/>
      <c r="Z710" s="952"/>
    </row>
    <row r="711" spans="1:26" ht="18.75" customHeight="1" x14ac:dyDescent="0.35">
      <c r="A711" s="952"/>
      <c r="B711" s="952"/>
      <c r="C711" s="952"/>
      <c r="D711" s="952"/>
      <c r="E711" s="952"/>
      <c r="F711" s="952"/>
      <c r="G711" s="952"/>
      <c r="H711" s="952"/>
      <c r="I711" s="952"/>
      <c r="J711" s="952"/>
      <c r="K711" s="952"/>
      <c r="L711" s="952"/>
      <c r="M711" s="952"/>
      <c r="N711" s="952"/>
      <c r="O711" s="952"/>
      <c r="P711" s="952"/>
      <c r="Q711" s="952"/>
      <c r="R711" s="952"/>
      <c r="S711" s="952"/>
      <c r="T711" s="952"/>
      <c r="U711" s="952"/>
      <c r="V711" s="952"/>
      <c r="W711" s="952"/>
      <c r="X711" s="952"/>
      <c r="Y711" s="952"/>
      <c r="Z711" s="952"/>
    </row>
    <row r="712" spans="1:26" ht="18.75" customHeight="1" x14ac:dyDescent="0.35">
      <c r="A712" s="952"/>
      <c r="B712" s="952"/>
      <c r="C712" s="952"/>
      <c r="D712" s="952"/>
      <c r="E712" s="952"/>
      <c r="F712" s="952"/>
      <c r="G712" s="952"/>
      <c r="H712" s="952"/>
      <c r="I712" s="952"/>
      <c r="J712" s="952"/>
      <c r="K712" s="952"/>
      <c r="L712" s="952"/>
      <c r="M712" s="952"/>
      <c r="N712" s="952"/>
      <c r="O712" s="952"/>
      <c r="P712" s="952"/>
      <c r="Q712" s="952"/>
      <c r="R712" s="952"/>
      <c r="S712" s="952"/>
      <c r="T712" s="952"/>
      <c r="U712" s="952"/>
      <c r="V712" s="952"/>
      <c r="W712" s="952"/>
      <c r="X712" s="952"/>
      <c r="Y712" s="952"/>
      <c r="Z712" s="952"/>
    </row>
    <row r="713" spans="1:26" ht="18.75" customHeight="1" x14ac:dyDescent="0.35">
      <c r="A713" s="952"/>
      <c r="B713" s="952"/>
      <c r="C713" s="952"/>
      <c r="D713" s="952"/>
      <c r="E713" s="952"/>
      <c r="F713" s="952"/>
      <c r="G713" s="952"/>
      <c r="H713" s="952"/>
      <c r="I713" s="952"/>
      <c r="J713" s="952"/>
      <c r="K713" s="952"/>
      <c r="L713" s="952"/>
      <c r="M713" s="952"/>
      <c r="N713" s="952"/>
      <c r="O713" s="952"/>
      <c r="P713" s="952"/>
      <c r="Q713" s="952"/>
      <c r="R713" s="952"/>
      <c r="S713" s="952"/>
      <c r="T713" s="952"/>
      <c r="U713" s="952"/>
      <c r="V713" s="952"/>
      <c r="W713" s="952"/>
      <c r="X713" s="952"/>
      <c r="Y713" s="952"/>
      <c r="Z713" s="952"/>
    </row>
    <row r="714" spans="1:26" ht="18.75" customHeight="1" x14ac:dyDescent="0.35">
      <c r="A714" s="952"/>
      <c r="B714" s="952"/>
      <c r="C714" s="952"/>
      <c r="D714" s="952"/>
      <c r="E714" s="952"/>
      <c r="F714" s="952"/>
      <c r="G714" s="952"/>
      <c r="H714" s="952"/>
      <c r="I714" s="952"/>
      <c r="J714" s="952"/>
      <c r="K714" s="952"/>
      <c r="L714" s="952"/>
      <c r="M714" s="952"/>
      <c r="N714" s="952"/>
      <c r="O714" s="952"/>
      <c r="P714" s="952"/>
      <c r="Q714" s="952"/>
      <c r="R714" s="952"/>
      <c r="S714" s="952"/>
      <c r="T714" s="952"/>
      <c r="U714" s="952"/>
      <c r="V714" s="952"/>
      <c r="W714" s="952"/>
      <c r="X714" s="952"/>
      <c r="Y714" s="952"/>
      <c r="Z714" s="952"/>
    </row>
    <row r="715" spans="1:26" ht="18.75" customHeight="1" x14ac:dyDescent="0.35">
      <c r="A715" s="952"/>
      <c r="B715" s="952"/>
      <c r="C715" s="952"/>
      <c r="D715" s="952"/>
      <c r="E715" s="952"/>
      <c r="F715" s="952"/>
      <c r="G715" s="952"/>
      <c r="H715" s="952"/>
      <c r="I715" s="952"/>
      <c r="J715" s="952"/>
      <c r="K715" s="952"/>
      <c r="L715" s="952"/>
      <c r="M715" s="952"/>
      <c r="N715" s="952"/>
      <c r="O715" s="952"/>
      <c r="P715" s="952"/>
      <c r="Q715" s="952"/>
      <c r="R715" s="952"/>
      <c r="S715" s="952"/>
      <c r="T715" s="952"/>
      <c r="U715" s="952"/>
      <c r="V715" s="952"/>
      <c r="W715" s="952"/>
      <c r="X715" s="952"/>
      <c r="Y715" s="952"/>
      <c r="Z715" s="952"/>
    </row>
    <row r="716" spans="1:26" ht="18.75" customHeight="1" x14ac:dyDescent="0.35">
      <c r="A716" s="952"/>
      <c r="B716" s="952"/>
      <c r="C716" s="952"/>
      <c r="D716" s="952"/>
      <c r="E716" s="952"/>
      <c r="F716" s="952"/>
      <c r="G716" s="952"/>
      <c r="H716" s="952"/>
      <c r="I716" s="952"/>
      <c r="J716" s="952"/>
      <c r="K716" s="952"/>
      <c r="L716" s="952"/>
      <c r="M716" s="952"/>
      <c r="N716" s="952"/>
      <c r="O716" s="952"/>
      <c r="P716" s="952"/>
      <c r="Q716" s="952"/>
      <c r="R716" s="952"/>
      <c r="S716" s="952"/>
      <c r="T716" s="952"/>
      <c r="U716" s="952"/>
      <c r="V716" s="952"/>
      <c r="W716" s="952"/>
      <c r="X716" s="952"/>
      <c r="Y716" s="952"/>
      <c r="Z716" s="952"/>
    </row>
    <row r="717" spans="1:26" ht="18.75" customHeight="1" x14ac:dyDescent="0.35">
      <c r="A717" s="952"/>
      <c r="B717" s="952"/>
      <c r="C717" s="952"/>
      <c r="D717" s="952"/>
      <c r="E717" s="952"/>
      <c r="F717" s="952"/>
      <c r="G717" s="952"/>
      <c r="H717" s="952"/>
      <c r="I717" s="952"/>
      <c r="J717" s="952"/>
      <c r="K717" s="952"/>
      <c r="L717" s="952"/>
      <c r="M717" s="952"/>
      <c r="N717" s="952"/>
      <c r="O717" s="952"/>
      <c r="P717" s="952"/>
      <c r="Q717" s="952"/>
      <c r="R717" s="952"/>
      <c r="S717" s="952"/>
      <c r="T717" s="952"/>
      <c r="U717" s="952"/>
      <c r="V717" s="952"/>
      <c r="W717" s="952"/>
      <c r="X717" s="952"/>
      <c r="Y717" s="952"/>
      <c r="Z717" s="952"/>
    </row>
    <row r="718" spans="1:26" ht="18.75" customHeight="1" x14ac:dyDescent="0.35">
      <c r="A718" s="952"/>
      <c r="B718" s="952"/>
      <c r="C718" s="952"/>
      <c r="D718" s="952"/>
      <c r="E718" s="952"/>
      <c r="F718" s="952"/>
      <c r="G718" s="952"/>
      <c r="H718" s="952"/>
      <c r="I718" s="952"/>
      <c r="J718" s="952"/>
      <c r="K718" s="952"/>
      <c r="L718" s="952"/>
      <c r="M718" s="952"/>
      <c r="N718" s="952"/>
      <c r="O718" s="952"/>
      <c r="P718" s="952"/>
      <c r="Q718" s="952"/>
      <c r="R718" s="952"/>
      <c r="S718" s="952"/>
      <c r="T718" s="952"/>
      <c r="U718" s="952"/>
      <c r="V718" s="952"/>
      <c r="W718" s="952"/>
      <c r="X718" s="952"/>
      <c r="Y718" s="952"/>
      <c r="Z718" s="952"/>
    </row>
    <row r="719" spans="1:26" ht="18.75" customHeight="1" x14ac:dyDescent="0.35">
      <c r="A719" s="952"/>
      <c r="B719" s="952"/>
      <c r="C719" s="952"/>
      <c r="D719" s="952"/>
      <c r="E719" s="952"/>
      <c r="F719" s="952"/>
      <c r="G719" s="952"/>
      <c r="H719" s="952"/>
      <c r="I719" s="952"/>
      <c r="J719" s="952"/>
      <c r="K719" s="952"/>
      <c r="L719" s="952"/>
      <c r="M719" s="952"/>
      <c r="N719" s="952"/>
      <c r="O719" s="952"/>
      <c r="P719" s="952"/>
      <c r="Q719" s="952"/>
      <c r="R719" s="952"/>
      <c r="S719" s="952"/>
      <c r="T719" s="952"/>
      <c r="U719" s="952"/>
      <c r="V719" s="952"/>
      <c r="W719" s="952"/>
      <c r="X719" s="952"/>
      <c r="Y719" s="952"/>
      <c r="Z719" s="952"/>
    </row>
    <row r="720" spans="1:26" ht="18.75" customHeight="1" x14ac:dyDescent="0.35">
      <c r="A720" s="952"/>
      <c r="B720" s="952"/>
      <c r="C720" s="952"/>
      <c r="D720" s="952"/>
      <c r="E720" s="952"/>
      <c r="F720" s="952"/>
      <c r="G720" s="952"/>
      <c r="H720" s="952"/>
      <c r="I720" s="952"/>
      <c r="J720" s="952"/>
      <c r="K720" s="952"/>
      <c r="L720" s="952"/>
      <c r="M720" s="952"/>
      <c r="N720" s="952"/>
      <c r="O720" s="952"/>
      <c r="P720" s="952"/>
      <c r="Q720" s="952"/>
      <c r="R720" s="952"/>
      <c r="S720" s="952"/>
      <c r="T720" s="952"/>
      <c r="U720" s="952"/>
      <c r="V720" s="952"/>
      <c r="W720" s="952"/>
      <c r="X720" s="952"/>
      <c r="Y720" s="952"/>
      <c r="Z720" s="952"/>
    </row>
    <row r="721" spans="1:26" ht="18.75" customHeight="1" x14ac:dyDescent="0.35">
      <c r="A721" s="952"/>
      <c r="B721" s="952"/>
      <c r="C721" s="952"/>
      <c r="D721" s="952"/>
      <c r="E721" s="952"/>
      <c r="F721" s="952"/>
      <c r="G721" s="952"/>
      <c r="H721" s="952"/>
      <c r="I721" s="952"/>
      <c r="J721" s="952"/>
      <c r="K721" s="952"/>
      <c r="L721" s="952"/>
      <c r="M721" s="952"/>
      <c r="N721" s="952"/>
      <c r="O721" s="952"/>
      <c r="P721" s="952"/>
      <c r="Q721" s="952"/>
      <c r="R721" s="952"/>
      <c r="S721" s="952"/>
      <c r="T721" s="952"/>
      <c r="U721" s="952"/>
      <c r="V721" s="952"/>
      <c r="W721" s="952"/>
      <c r="X721" s="952"/>
      <c r="Y721" s="952"/>
      <c r="Z721" s="952"/>
    </row>
    <row r="722" spans="1:26" ht="18.75" customHeight="1" x14ac:dyDescent="0.35">
      <c r="A722" s="952"/>
      <c r="B722" s="952"/>
      <c r="C722" s="952"/>
      <c r="D722" s="952"/>
      <c r="E722" s="952"/>
      <c r="F722" s="952"/>
      <c r="G722" s="952"/>
      <c r="H722" s="952"/>
      <c r="I722" s="952"/>
      <c r="J722" s="952"/>
      <c r="K722" s="952"/>
      <c r="L722" s="952"/>
      <c r="M722" s="952"/>
      <c r="N722" s="952"/>
      <c r="O722" s="952"/>
      <c r="P722" s="952"/>
      <c r="Q722" s="952"/>
      <c r="R722" s="952"/>
      <c r="S722" s="952"/>
      <c r="T722" s="952"/>
      <c r="U722" s="952"/>
      <c r="V722" s="952"/>
      <c r="W722" s="952"/>
      <c r="X722" s="952"/>
      <c r="Y722" s="952"/>
      <c r="Z722" s="952"/>
    </row>
    <row r="723" spans="1:26" ht="18.75" customHeight="1" x14ac:dyDescent="0.35">
      <c r="A723" s="952"/>
      <c r="B723" s="952"/>
      <c r="C723" s="952"/>
      <c r="D723" s="952"/>
      <c r="E723" s="952"/>
      <c r="F723" s="952"/>
      <c r="G723" s="952"/>
      <c r="H723" s="952"/>
      <c r="I723" s="952"/>
      <c r="J723" s="952"/>
      <c r="K723" s="952"/>
      <c r="L723" s="952"/>
      <c r="M723" s="952"/>
      <c r="N723" s="952"/>
      <c r="O723" s="952"/>
      <c r="P723" s="952"/>
      <c r="Q723" s="952"/>
      <c r="R723" s="952"/>
      <c r="S723" s="952"/>
      <c r="T723" s="952"/>
      <c r="U723" s="952"/>
      <c r="V723" s="952"/>
      <c r="W723" s="952"/>
      <c r="X723" s="952"/>
      <c r="Y723" s="952"/>
      <c r="Z723" s="952"/>
    </row>
    <row r="724" spans="1:26" ht="18.75" customHeight="1" x14ac:dyDescent="0.35">
      <c r="A724" s="952"/>
      <c r="B724" s="952"/>
      <c r="C724" s="952"/>
      <c r="D724" s="952"/>
      <c r="E724" s="952"/>
      <c r="F724" s="952"/>
      <c r="G724" s="952"/>
      <c r="H724" s="952"/>
      <c r="I724" s="952"/>
      <c r="J724" s="952"/>
      <c r="K724" s="952"/>
      <c r="L724" s="952"/>
      <c r="M724" s="952"/>
      <c r="N724" s="952"/>
      <c r="O724" s="952"/>
      <c r="P724" s="952"/>
      <c r="Q724" s="952"/>
      <c r="R724" s="952"/>
      <c r="S724" s="952"/>
      <c r="T724" s="952"/>
      <c r="U724" s="952"/>
      <c r="V724" s="952"/>
      <c r="W724" s="952"/>
      <c r="X724" s="952"/>
      <c r="Y724" s="952"/>
      <c r="Z724" s="952"/>
    </row>
    <row r="725" spans="1:26" ht="18.75" customHeight="1" x14ac:dyDescent="0.35">
      <c r="A725" s="952"/>
      <c r="B725" s="952"/>
      <c r="C725" s="952"/>
      <c r="D725" s="952"/>
      <c r="E725" s="952"/>
      <c r="F725" s="952"/>
      <c r="G725" s="952"/>
      <c r="H725" s="952"/>
      <c r="I725" s="952"/>
      <c r="J725" s="952"/>
      <c r="K725" s="952"/>
      <c r="L725" s="952"/>
      <c r="M725" s="952"/>
      <c r="N725" s="952"/>
      <c r="O725" s="952"/>
      <c r="P725" s="952"/>
      <c r="Q725" s="952"/>
      <c r="R725" s="952"/>
      <c r="S725" s="952"/>
      <c r="T725" s="952"/>
      <c r="U725" s="952"/>
      <c r="V725" s="952"/>
      <c r="W725" s="952"/>
      <c r="X725" s="952"/>
      <c r="Y725" s="952"/>
      <c r="Z725" s="952"/>
    </row>
    <row r="726" spans="1:26" ht="18.75" customHeight="1" x14ac:dyDescent="0.35">
      <c r="A726" s="952"/>
      <c r="B726" s="952"/>
      <c r="C726" s="952"/>
      <c r="D726" s="952"/>
      <c r="E726" s="952"/>
      <c r="F726" s="952"/>
      <c r="G726" s="952"/>
      <c r="H726" s="952"/>
      <c r="I726" s="952"/>
      <c r="J726" s="952"/>
      <c r="K726" s="952"/>
      <c r="L726" s="952"/>
      <c r="M726" s="952"/>
      <c r="N726" s="952"/>
      <c r="O726" s="952"/>
      <c r="P726" s="952"/>
      <c r="Q726" s="952"/>
      <c r="R726" s="952"/>
      <c r="S726" s="952"/>
      <c r="T726" s="952"/>
      <c r="U726" s="952"/>
      <c r="V726" s="952"/>
      <c r="W726" s="952"/>
      <c r="X726" s="952"/>
      <c r="Y726" s="952"/>
      <c r="Z726" s="952"/>
    </row>
    <row r="727" spans="1:26" ht="18.75" customHeight="1" x14ac:dyDescent="0.35">
      <c r="A727" s="952"/>
      <c r="B727" s="952"/>
      <c r="C727" s="952"/>
      <c r="D727" s="952"/>
      <c r="E727" s="952"/>
      <c r="F727" s="952"/>
      <c r="G727" s="952"/>
      <c r="H727" s="952"/>
      <c r="I727" s="952"/>
      <c r="J727" s="952"/>
      <c r="K727" s="952"/>
      <c r="L727" s="952"/>
      <c r="M727" s="952"/>
      <c r="N727" s="952"/>
      <c r="O727" s="952"/>
      <c r="P727" s="952"/>
      <c r="Q727" s="952"/>
      <c r="R727" s="952"/>
      <c r="S727" s="952"/>
      <c r="T727" s="952"/>
      <c r="U727" s="952"/>
      <c r="V727" s="952"/>
      <c r="W727" s="952"/>
      <c r="X727" s="952"/>
      <c r="Y727" s="952"/>
      <c r="Z727" s="952"/>
    </row>
    <row r="728" spans="1:26" ht="18.75" customHeight="1" x14ac:dyDescent="0.35">
      <c r="A728" s="952"/>
      <c r="B728" s="952"/>
      <c r="C728" s="952"/>
      <c r="D728" s="952"/>
      <c r="E728" s="952"/>
      <c r="F728" s="952"/>
      <c r="G728" s="952"/>
      <c r="H728" s="952"/>
      <c r="I728" s="952"/>
      <c r="J728" s="952"/>
      <c r="K728" s="952"/>
      <c r="L728" s="952"/>
      <c r="M728" s="952"/>
      <c r="N728" s="952"/>
      <c r="O728" s="952"/>
      <c r="P728" s="952"/>
      <c r="Q728" s="952"/>
      <c r="R728" s="952"/>
      <c r="S728" s="952"/>
      <c r="T728" s="952"/>
      <c r="U728" s="952"/>
      <c r="V728" s="952"/>
      <c r="W728" s="952"/>
      <c r="X728" s="952"/>
      <c r="Y728" s="952"/>
      <c r="Z728" s="952"/>
    </row>
    <row r="729" spans="1:26" ht="18.75" customHeight="1" x14ac:dyDescent="0.35">
      <c r="A729" s="952"/>
      <c r="B729" s="952"/>
      <c r="C729" s="952"/>
      <c r="D729" s="952"/>
      <c r="E729" s="952"/>
      <c r="F729" s="952"/>
      <c r="G729" s="952"/>
      <c r="H729" s="952"/>
      <c r="I729" s="952"/>
      <c r="J729" s="952"/>
      <c r="K729" s="952"/>
      <c r="L729" s="952"/>
      <c r="M729" s="952"/>
      <c r="N729" s="952"/>
      <c r="O729" s="952"/>
      <c r="P729" s="952"/>
      <c r="Q729" s="952"/>
      <c r="R729" s="952"/>
      <c r="S729" s="952"/>
      <c r="T729" s="952"/>
      <c r="U729" s="952"/>
      <c r="V729" s="952"/>
      <c r="W729" s="952"/>
      <c r="X729" s="952"/>
      <c r="Y729" s="952"/>
      <c r="Z729" s="952"/>
    </row>
    <row r="730" spans="1:26" ht="18.75" customHeight="1" x14ac:dyDescent="0.35">
      <c r="A730" s="952"/>
      <c r="B730" s="952"/>
      <c r="C730" s="952"/>
      <c r="D730" s="952"/>
      <c r="E730" s="952"/>
      <c r="F730" s="952"/>
      <c r="G730" s="952"/>
      <c r="H730" s="952"/>
      <c r="I730" s="952"/>
      <c r="J730" s="952"/>
      <c r="K730" s="952"/>
      <c r="L730" s="952"/>
      <c r="M730" s="952"/>
      <c r="N730" s="952"/>
      <c r="O730" s="952"/>
      <c r="P730" s="952"/>
      <c r="Q730" s="952"/>
      <c r="R730" s="952"/>
      <c r="S730" s="952"/>
      <c r="T730" s="952"/>
      <c r="U730" s="952"/>
      <c r="V730" s="952"/>
      <c r="W730" s="952"/>
      <c r="X730" s="952"/>
      <c r="Y730" s="952"/>
      <c r="Z730" s="952"/>
    </row>
    <row r="731" spans="1:26" ht="18.75" customHeight="1" x14ac:dyDescent="0.35">
      <c r="A731" s="952"/>
      <c r="B731" s="952"/>
      <c r="C731" s="952"/>
      <c r="D731" s="952"/>
      <c r="E731" s="952"/>
      <c r="F731" s="952"/>
      <c r="G731" s="952"/>
      <c r="H731" s="952"/>
      <c r="I731" s="952"/>
      <c r="J731" s="952"/>
      <c r="K731" s="952"/>
      <c r="L731" s="952"/>
      <c r="M731" s="952"/>
      <c r="N731" s="952"/>
      <c r="O731" s="952"/>
      <c r="P731" s="952"/>
      <c r="Q731" s="952"/>
      <c r="R731" s="952"/>
      <c r="S731" s="952"/>
      <c r="T731" s="952"/>
      <c r="U731" s="952"/>
      <c r="V731" s="952"/>
      <c r="W731" s="952"/>
      <c r="X731" s="952"/>
      <c r="Y731" s="952"/>
      <c r="Z731" s="952"/>
    </row>
    <row r="732" spans="1:26" ht="18.75" customHeight="1" x14ac:dyDescent="0.35">
      <c r="A732" s="952"/>
      <c r="B732" s="952"/>
      <c r="C732" s="952"/>
      <c r="D732" s="952"/>
      <c r="E732" s="952"/>
      <c r="F732" s="952"/>
      <c r="G732" s="952"/>
      <c r="H732" s="952"/>
      <c r="I732" s="952"/>
      <c r="J732" s="952"/>
      <c r="K732" s="952"/>
      <c r="L732" s="952"/>
      <c r="M732" s="952"/>
      <c r="N732" s="952"/>
      <c r="O732" s="952"/>
      <c r="P732" s="952"/>
      <c r="Q732" s="952"/>
      <c r="R732" s="952"/>
      <c r="S732" s="952"/>
      <c r="T732" s="952"/>
      <c r="U732" s="952"/>
      <c r="V732" s="952"/>
      <c r="W732" s="952"/>
      <c r="X732" s="952"/>
      <c r="Y732" s="952"/>
      <c r="Z732" s="952"/>
    </row>
    <row r="733" spans="1:26" ht="18.75" customHeight="1" x14ac:dyDescent="0.35">
      <c r="A733" s="952"/>
      <c r="B733" s="952"/>
      <c r="C733" s="952"/>
      <c r="D733" s="952"/>
      <c r="E733" s="952"/>
      <c r="F733" s="952"/>
      <c r="G733" s="952"/>
      <c r="H733" s="952"/>
      <c r="I733" s="952"/>
      <c r="J733" s="952"/>
      <c r="K733" s="952"/>
      <c r="L733" s="952"/>
      <c r="M733" s="952"/>
      <c r="N733" s="952"/>
      <c r="O733" s="952"/>
      <c r="P733" s="952"/>
      <c r="Q733" s="952"/>
      <c r="R733" s="952"/>
      <c r="S733" s="952"/>
      <c r="T733" s="952"/>
      <c r="U733" s="952"/>
      <c r="V733" s="952"/>
      <c r="W733" s="952"/>
      <c r="X733" s="952"/>
      <c r="Y733" s="952"/>
      <c r="Z733" s="952"/>
    </row>
    <row r="734" spans="1:26" ht="18.75" customHeight="1" x14ac:dyDescent="0.35">
      <c r="A734" s="952"/>
      <c r="B734" s="952"/>
      <c r="C734" s="952"/>
      <c r="D734" s="952"/>
      <c r="E734" s="952"/>
      <c r="F734" s="952"/>
      <c r="G734" s="952"/>
      <c r="H734" s="952"/>
      <c r="I734" s="952"/>
      <c r="J734" s="952"/>
      <c r="K734" s="952"/>
      <c r="L734" s="952"/>
      <c r="M734" s="952"/>
      <c r="N734" s="952"/>
      <c r="O734" s="952"/>
      <c r="P734" s="952"/>
      <c r="Q734" s="952"/>
      <c r="R734" s="952"/>
      <c r="S734" s="952"/>
      <c r="T734" s="952"/>
      <c r="U734" s="952"/>
      <c r="V734" s="952"/>
      <c r="W734" s="952"/>
      <c r="X734" s="952"/>
      <c r="Y734" s="952"/>
      <c r="Z734" s="952"/>
    </row>
    <row r="735" spans="1:26" ht="18.75" customHeight="1" x14ac:dyDescent="0.35">
      <c r="A735" s="952"/>
      <c r="B735" s="952"/>
      <c r="C735" s="952"/>
      <c r="D735" s="952"/>
      <c r="E735" s="952"/>
      <c r="F735" s="952"/>
      <c r="G735" s="952"/>
      <c r="H735" s="952"/>
      <c r="I735" s="952"/>
      <c r="J735" s="952"/>
      <c r="K735" s="952"/>
      <c r="L735" s="952"/>
      <c r="M735" s="952"/>
      <c r="N735" s="952"/>
      <c r="O735" s="952"/>
      <c r="P735" s="952"/>
      <c r="Q735" s="952"/>
      <c r="R735" s="952"/>
      <c r="S735" s="952"/>
      <c r="T735" s="952"/>
      <c r="U735" s="952"/>
      <c r="V735" s="952"/>
      <c r="W735" s="952"/>
      <c r="X735" s="952"/>
      <c r="Y735" s="952"/>
      <c r="Z735" s="952"/>
    </row>
    <row r="736" spans="1:26" ht="18.75" customHeight="1" x14ac:dyDescent="0.35">
      <c r="A736" s="952"/>
      <c r="B736" s="952"/>
      <c r="C736" s="952"/>
      <c r="D736" s="952"/>
      <c r="E736" s="952"/>
      <c r="F736" s="952"/>
      <c r="G736" s="952"/>
      <c r="H736" s="952"/>
      <c r="I736" s="952"/>
      <c r="J736" s="952"/>
      <c r="K736" s="952"/>
      <c r="L736" s="952"/>
      <c r="M736" s="952"/>
      <c r="N736" s="952"/>
      <c r="O736" s="952"/>
      <c r="P736" s="952"/>
      <c r="Q736" s="952"/>
      <c r="R736" s="952"/>
      <c r="S736" s="952"/>
      <c r="T736" s="952"/>
      <c r="U736" s="952"/>
      <c r="V736" s="952"/>
      <c r="W736" s="952"/>
      <c r="X736" s="952"/>
      <c r="Y736" s="952"/>
      <c r="Z736" s="952"/>
    </row>
    <row r="737" spans="1:26" ht="18.75" customHeight="1" x14ac:dyDescent="0.35">
      <c r="A737" s="952"/>
      <c r="B737" s="952"/>
      <c r="C737" s="952"/>
      <c r="D737" s="952"/>
      <c r="E737" s="952"/>
      <c r="F737" s="952"/>
      <c r="G737" s="952"/>
      <c r="H737" s="952"/>
      <c r="I737" s="952"/>
      <c r="J737" s="952"/>
      <c r="K737" s="952"/>
      <c r="L737" s="952"/>
      <c r="M737" s="952"/>
      <c r="N737" s="952"/>
      <c r="O737" s="952"/>
      <c r="P737" s="952"/>
      <c r="Q737" s="952"/>
      <c r="R737" s="952"/>
      <c r="S737" s="952"/>
      <c r="T737" s="952"/>
      <c r="U737" s="952"/>
      <c r="V737" s="952"/>
      <c r="W737" s="952"/>
      <c r="X737" s="952"/>
      <c r="Y737" s="952"/>
      <c r="Z737" s="952"/>
    </row>
    <row r="738" spans="1:26" ht="18.75" customHeight="1" x14ac:dyDescent="0.35">
      <c r="A738" s="952"/>
      <c r="B738" s="952"/>
      <c r="C738" s="952"/>
      <c r="D738" s="952"/>
      <c r="E738" s="952"/>
      <c r="F738" s="952"/>
      <c r="G738" s="952"/>
      <c r="H738" s="952"/>
      <c r="I738" s="952"/>
      <c r="J738" s="952"/>
      <c r="K738" s="952"/>
      <c r="L738" s="952"/>
      <c r="M738" s="952"/>
      <c r="N738" s="952"/>
      <c r="O738" s="952"/>
      <c r="P738" s="952"/>
      <c r="Q738" s="952"/>
      <c r="R738" s="952"/>
      <c r="S738" s="952"/>
      <c r="T738" s="952"/>
      <c r="U738" s="952"/>
      <c r="V738" s="952"/>
      <c r="W738" s="952"/>
      <c r="X738" s="952"/>
      <c r="Y738" s="952"/>
      <c r="Z738" s="952"/>
    </row>
    <row r="739" spans="1:26" ht="18.75" customHeight="1" x14ac:dyDescent="0.35">
      <c r="A739" s="952"/>
      <c r="B739" s="952"/>
      <c r="C739" s="952"/>
      <c r="D739" s="952"/>
      <c r="E739" s="952"/>
      <c r="F739" s="952"/>
      <c r="G739" s="952"/>
      <c r="H739" s="952"/>
      <c r="I739" s="952"/>
      <c r="J739" s="952"/>
      <c r="K739" s="952"/>
      <c r="L739" s="952"/>
      <c r="M739" s="952"/>
      <c r="N739" s="952"/>
      <c r="O739" s="952"/>
      <c r="P739" s="952"/>
      <c r="Q739" s="952"/>
      <c r="R739" s="952"/>
      <c r="S739" s="952"/>
      <c r="T739" s="952"/>
      <c r="U739" s="952"/>
      <c r="V739" s="952"/>
      <c r="W739" s="952"/>
      <c r="X739" s="952"/>
      <c r="Y739" s="952"/>
      <c r="Z739" s="952"/>
    </row>
    <row r="740" spans="1:26" ht="18.75" customHeight="1" x14ac:dyDescent="0.35">
      <c r="A740" s="952"/>
      <c r="B740" s="952"/>
      <c r="C740" s="952"/>
      <c r="D740" s="952"/>
      <c r="E740" s="952"/>
      <c r="F740" s="952"/>
      <c r="G740" s="952"/>
      <c r="H740" s="952"/>
      <c r="I740" s="952"/>
      <c r="J740" s="952"/>
      <c r="K740" s="952"/>
      <c r="L740" s="952"/>
      <c r="M740" s="952"/>
      <c r="N740" s="952"/>
      <c r="O740" s="952"/>
      <c r="P740" s="952"/>
      <c r="Q740" s="952"/>
      <c r="R740" s="952"/>
      <c r="S740" s="952"/>
      <c r="T740" s="952"/>
      <c r="U740" s="952"/>
      <c r="V740" s="952"/>
      <c r="W740" s="952"/>
      <c r="X740" s="952"/>
      <c r="Y740" s="952"/>
      <c r="Z740" s="952"/>
    </row>
    <row r="741" spans="1:26" ht="18.75" customHeight="1" x14ac:dyDescent="0.35">
      <c r="A741" s="952"/>
      <c r="B741" s="952"/>
      <c r="C741" s="952"/>
      <c r="D741" s="952"/>
      <c r="E741" s="952"/>
      <c r="F741" s="952"/>
      <c r="G741" s="952"/>
      <c r="H741" s="952"/>
      <c r="I741" s="952"/>
      <c r="J741" s="952"/>
      <c r="K741" s="952"/>
      <c r="L741" s="952"/>
      <c r="M741" s="952"/>
      <c r="N741" s="952"/>
      <c r="O741" s="952"/>
      <c r="P741" s="952"/>
      <c r="Q741" s="952"/>
      <c r="R741" s="952"/>
      <c r="S741" s="952"/>
      <c r="T741" s="952"/>
      <c r="U741" s="952"/>
      <c r="V741" s="952"/>
      <c r="W741" s="952"/>
      <c r="X741" s="952"/>
      <c r="Y741" s="952"/>
      <c r="Z741" s="952"/>
    </row>
    <row r="742" spans="1:26" ht="18.75" customHeight="1" x14ac:dyDescent="0.35">
      <c r="A742" s="952"/>
      <c r="B742" s="952"/>
      <c r="C742" s="952"/>
      <c r="D742" s="952"/>
      <c r="E742" s="952"/>
      <c r="F742" s="952"/>
      <c r="G742" s="952"/>
      <c r="H742" s="952"/>
      <c r="I742" s="952"/>
      <c r="J742" s="952"/>
      <c r="K742" s="952"/>
      <c r="L742" s="952"/>
      <c r="M742" s="952"/>
      <c r="N742" s="952"/>
      <c r="O742" s="952"/>
      <c r="P742" s="952"/>
      <c r="Q742" s="952"/>
      <c r="R742" s="952"/>
      <c r="S742" s="952"/>
      <c r="T742" s="952"/>
      <c r="U742" s="952"/>
      <c r="V742" s="952"/>
      <c r="W742" s="952"/>
      <c r="X742" s="952"/>
      <c r="Y742" s="952"/>
      <c r="Z742" s="952"/>
    </row>
    <row r="743" spans="1:26" ht="18.75" customHeight="1" x14ac:dyDescent="0.35">
      <c r="A743" s="952"/>
      <c r="B743" s="952"/>
      <c r="C743" s="952"/>
      <c r="D743" s="952"/>
      <c r="E743" s="952"/>
      <c r="F743" s="952"/>
      <c r="G743" s="952"/>
      <c r="H743" s="952"/>
      <c r="I743" s="952"/>
      <c r="J743" s="952"/>
      <c r="K743" s="952"/>
      <c r="L743" s="952"/>
      <c r="M743" s="952"/>
      <c r="N743" s="952"/>
      <c r="O743" s="952"/>
      <c r="P743" s="952"/>
      <c r="Q743" s="952"/>
      <c r="R743" s="952"/>
      <c r="S743" s="952"/>
      <c r="T743" s="952"/>
      <c r="U743" s="952"/>
      <c r="V743" s="952"/>
      <c r="W743" s="952"/>
      <c r="X743" s="952"/>
      <c r="Y743" s="952"/>
      <c r="Z743" s="952"/>
    </row>
    <row r="744" spans="1:26" ht="18.75" customHeight="1" x14ac:dyDescent="0.35">
      <c r="A744" s="952"/>
      <c r="B744" s="952"/>
      <c r="C744" s="952"/>
      <c r="D744" s="952"/>
      <c r="E744" s="952"/>
      <c r="F744" s="952"/>
      <c r="G744" s="952"/>
      <c r="H744" s="952"/>
      <c r="I744" s="952"/>
      <c r="J744" s="952"/>
      <c r="K744" s="952"/>
      <c r="L744" s="952"/>
      <c r="M744" s="952"/>
      <c r="N744" s="952"/>
      <c r="O744" s="952"/>
      <c r="P744" s="952"/>
      <c r="Q744" s="952"/>
      <c r="R744" s="952"/>
      <c r="S744" s="952"/>
      <c r="T744" s="952"/>
      <c r="U744" s="952"/>
      <c r="V744" s="952"/>
      <c r="W744" s="952"/>
      <c r="X744" s="952"/>
      <c r="Y744" s="952"/>
      <c r="Z744" s="952"/>
    </row>
    <row r="745" spans="1:26" ht="18.75" customHeight="1" x14ac:dyDescent="0.35">
      <c r="A745" s="952"/>
      <c r="B745" s="952"/>
      <c r="C745" s="952"/>
      <c r="D745" s="952"/>
      <c r="E745" s="952"/>
      <c r="F745" s="952"/>
      <c r="G745" s="952"/>
      <c r="H745" s="952"/>
      <c r="I745" s="952"/>
      <c r="J745" s="952"/>
      <c r="K745" s="952"/>
      <c r="L745" s="952"/>
      <c r="M745" s="952"/>
      <c r="N745" s="952"/>
      <c r="O745" s="952"/>
      <c r="P745" s="952"/>
      <c r="Q745" s="952"/>
      <c r="R745" s="952"/>
      <c r="S745" s="952"/>
      <c r="T745" s="952"/>
      <c r="U745" s="952"/>
      <c r="V745" s="952"/>
      <c r="W745" s="952"/>
      <c r="X745" s="952"/>
      <c r="Y745" s="952"/>
      <c r="Z745" s="952"/>
    </row>
    <row r="746" spans="1:26" ht="18.75" customHeight="1" x14ac:dyDescent="0.35">
      <c r="A746" s="952"/>
      <c r="B746" s="952"/>
      <c r="C746" s="952"/>
      <c r="D746" s="952"/>
      <c r="E746" s="952"/>
      <c r="F746" s="952"/>
      <c r="G746" s="952"/>
      <c r="H746" s="952"/>
      <c r="I746" s="952"/>
      <c r="J746" s="952"/>
      <c r="K746" s="952"/>
      <c r="L746" s="952"/>
      <c r="M746" s="952"/>
      <c r="N746" s="952"/>
      <c r="O746" s="952"/>
      <c r="P746" s="952"/>
      <c r="Q746" s="952"/>
      <c r="R746" s="952"/>
      <c r="S746" s="952"/>
      <c r="T746" s="952"/>
      <c r="U746" s="952"/>
      <c r="V746" s="952"/>
      <c r="W746" s="952"/>
      <c r="X746" s="952"/>
      <c r="Y746" s="952"/>
      <c r="Z746" s="952"/>
    </row>
    <row r="747" spans="1:26" ht="18.75" customHeight="1" x14ac:dyDescent="0.35">
      <c r="A747" s="952"/>
      <c r="B747" s="952"/>
      <c r="C747" s="952"/>
      <c r="D747" s="952"/>
      <c r="E747" s="952"/>
      <c r="F747" s="952"/>
      <c r="G747" s="952"/>
      <c r="H747" s="952"/>
      <c r="I747" s="952"/>
      <c r="J747" s="952"/>
      <c r="K747" s="952"/>
      <c r="L747" s="952"/>
      <c r="M747" s="952"/>
      <c r="N747" s="952"/>
      <c r="O747" s="952"/>
      <c r="P747" s="952"/>
      <c r="Q747" s="952"/>
      <c r="R747" s="952"/>
      <c r="S747" s="952"/>
      <c r="T747" s="952"/>
      <c r="U747" s="952"/>
      <c r="V747" s="952"/>
      <c r="W747" s="952"/>
      <c r="X747" s="952"/>
      <c r="Y747" s="952"/>
      <c r="Z747" s="952"/>
    </row>
    <row r="748" spans="1:26" ht="18.75" customHeight="1" x14ac:dyDescent="0.35">
      <c r="A748" s="952"/>
      <c r="B748" s="952"/>
      <c r="C748" s="952"/>
      <c r="D748" s="952"/>
      <c r="E748" s="952"/>
      <c r="F748" s="952"/>
      <c r="G748" s="952"/>
      <c r="H748" s="952"/>
      <c r="I748" s="952"/>
      <c r="J748" s="952"/>
      <c r="K748" s="952"/>
      <c r="L748" s="952"/>
      <c r="M748" s="952"/>
      <c r="N748" s="952"/>
      <c r="O748" s="952"/>
      <c r="P748" s="952"/>
      <c r="Q748" s="952"/>
      <c r="R748" s="952"/>
      <c r="S748" s="952"/>
      <c r="T748" s="952"/>
      <c r="U748" s="952"/>
      <c r="V748" s="952"/>
      <c r="W748" s="952"/>
      <c r="X748" s="952"/>
      <c r="Y748" s="952"/>
      <c r="Z748" s="952"/>
    </row>
    <row r="749" spans="1:26" ht="18.75" customHeight="1" x14ac:dyDescent="0.35">
      <c r="A749" s="952"/>
      <c r="B749" s="952"/>
      <c r="C749" s="952"/>
      <c r="D749" s="952"/>
      <c r="E749" s="952"/>
      <c r="F749" s="952"/>
      <c r="G749" s="952"/>
      <c r="H749" s="952"/>
      <c r="I749" s="952"/>
      <c r="J749" s="952"/>
      <c r="K749" s="952"/>
      <c r="L749" s="952"/>
      <c r="M749" s="952"/>
      <c r="N749" s="952"/>
      <c r="O749" s="952"/>
      <c r="P749" s="952"/>
      <c r="Q749" s="952"/>
      <c r="R749" s="952"/>
      <c r="S749" s="952"/>
      <c r="T749" s="952"/>
      <c r="U749" s="952"/>
      <c r="V749" s="952"/>
      <c r="W749" s="952"/>
      <c r="X749" s="952"/>
      <c r="Y749" s="952"/>
      <c r="Z749" s="952"/>
    </row>
    <row r="750" spans="1:26" ht="18.75" customHeight="1" x14ac:dyDescent="0.35">
      <c r="A750" s="952"/>
      <c r="B750" s="952"/>
      <c r="C750" s="952"/>
      <c r="D750" s="952"/>
      <c r="E750" s="952"/>
      <c r="F750" s="952"/>
      <c r="G750" s="952"/>
      <c r="H750" s="952"/>
      <c r="I750" s="952"/>
      <c r="J750" s="952"/>
      <c r="K750" s="952"/>
      <c r="L750" s="952"/>
      <c r="M750" s="952"/>
      <c r="N750" s="952"/>
      <c r="O750" s="952"/>
      <c r="P750" s="952"/>
      <c r="Q750" s="952"/>
      <c r="R750" s="952"/>
      <c r="S750" s="952"/>
      <c r="T750" s="952"/>
      <c r="U750" s="952"/>
      <c r="V750" s="952"/>
      <c r="W750" s="952"/>
      <c r="X750" s="952"/>
      <c r="Y750" s="952"/>
      <c r="Z750" s="952"/>
    </row>
    <row r="751" spans="1:26" ht="18.75" customHeight="1" x14ac:dyDescent="0.35">
      <c r="A751" s="952"/>
      <c r="B751" s="952"/>
      <c r="C751" s="952"/>
      <c r="D751" s="952"/>
      <c r="E751" s="952"/>
      <c r="F751" s="952"/>
      <c r="G751" s="952"/>
      <c r="H751" s="952"/>
      <c r="I751" s="952"/>
      <c r="J751" s="952"/>
      <c r="K751" s="952"/>
      <c r="L751" s="952"/>
      <c r="M751" s="952"/>
      <c r="N751" s="952"/>
      <c r="O751" s="952"/>
      <c r="P751" s="952"/>
      <c r="Q751" s="952"/>
      <c r="R751" s="952"/>
      <c r="S751" s="952"/>
      <c r="T751" s="952"/>
      <c r="U751" s="952"/>
      <c r="V751" s="952"/>
      <c r="W751" s="952"/>
      <c r="X751" s="952"/>
      <c r="Y751" s="952"/>
      <c r="Z751" s="952"/>
    </row>
    <row r="752" spans="1:26" ht="18.75" customHeight="1" x14ac:dyDescent="0.35">
      <c r="A752" s="952"/>
      <c r="B752" s="952"/>
      <c r="C752" s="952"/>
      <c r="D752" s="952"/>
      <c r="E752" s="952"/>
      <c r="F752" s="952"/>
      <c r="G752" s="952"/>
      <c r="H752" s="952"/>
      <c r="I752" s="952"/>
      <c r="J752" s="952"/>
      <c r="K752" s="952"/>
      <c r="L752" s="952"/>
      <c r="M752" s="952"/>
      <c r="N752" s="952"/>
      <c r="O752" s="952"/>
      <c r="P752" s="952"/>
      <c r="Q752" s="952"/>
      <c r="R752" s="952"/>
      <c r="S752" s="952"/>
      <c r="T752" s="952"/>
      <c r="U752" s="952"/>
      <c r="V752" s="952"/>
      <c r="W752" s="952"/>
      <c r="X752" s="952"/>
      <c r="Y752" s="952"/>
      <c r="Z752" s="952"/>
    </row>
    <row r="753" spans="1:26" ht="18.75" customHeight="1" x14ac:dyDescent="0.35">
      <c r="A753" s="952"/>
      <c r="B753" s="952"/>
      <c r="C753" s="952"/>
      <c r="D753" s="952"/>
      <c r="E753" s="952"/>
      <c r="F753" s="952"/>
      <c r="G753" s="952"/>
      <c r="H753" s="952"/>
      <c r="I753" s="952"/>
      <c r="J753" s="952"/>
      <c r="K753" s="952"/>
      <c r="L753" s="952"/>
      <c r="M753" s="952"/>
      <c r="N753" s="952"/>
      <c r="O753" s="952"/>
      <c r="P753" s="952"/>
      <c r="Q753" s="952"/>
      <c r="R753" s="952"/>
      <c r="S753" s="952"/>
      <c r="T753" s="952"/>
      <c r="U753" s="952"/>
      <c r="V753" s="952"/>
      <c r="W753" s="952"/>
      <c r="X753" s="952"/>
      <c r="Y753" s="952"/>
      <c r="Z753" s="952"/>
    </row>
    <row r="754" spans="1:26" ht="18.75" customHeight="1" x14ac:dyDescent="0.35">
      <c r="A754" s="952"/>
      <c r="B754" s="952"/>
      <c r="C754" s="952"/>
      <c r="D754" s="952"/>
      <c r="E754" s="952"/>
      <c r="F754" s="952"/>
      <c r="G754" s="952"/>
      <c r="H754" s="952"/>
      <c r="I754" s="952"/>
      <c r="J754" s="952"/>
      <c r="K754" s="952"/>
      <c r="L754" s="952"/>
      <c r="M754" s="952"/>
      <c r="N754" s="952"/>
      <c r="O754" s="952"/>
      <c r="P754" s="952"/>
      <c r="Q754" s="952"/>
      <c r="R754" s="952"/>
      <c r="S754" s="952"/>
      <c r="T754" s="952"/>
      <c r="U754" s="952"/>
      <c r="V754" s="952"/>
      <c r="W754" s="952"/>
      <c r="X754" s="952"/>
      <c r="Y754" s="952"/>
      <c r="Z754" s="952"/>
    </row>
    <row r="755" spans="1:26" ht="18.75" customHeight="1" x14ac:dyDescent="0.35">
      <c r="A755" s="952"/>
      <c r="B755" s="952"/>
      <c r="C755" s="952"/>
      <c r="D755" s="952"/>
      <c r="E755" s="952"/>
      <c r="F755" s="952"/>
      <c r="G755" s="952"/>
      <c r="H755" s="952"/>
      <c r="I755" s="952"/>
      <c r="J755" s="952"/>
      <c r="K755" s="952"/>
      <c r="L755" s="952"/>
      <c r="M755" s="952"/>
      <c r="N755" s="952"/>
      <c r="O755" s="952"/>
      <c r="P755" s="952"/>
      <c r="Q755" s="952"/>
      <c r="R755" s="952"/>
      <c r="S755" s="952"/>
      <c r="T755" s="952"/>
      <c r="U755" s="952"/>
      <c r="V755" s="952"/>
      <c r="W755" s="952"/>
      <c r="X755" s="952"/>
      <c r="Y755" s="952"/>
      <c r="Z755" s="952"/>
    </row>
    <row r="756" spans="1:26" ht="18.75" customHeight="1" x14ac:dyDescent="0.35">
      <c r="A756" s="952"/>
      <c r="B756" s="952"/>
      <c r="C756" s="952"/>
      <c r="D756" s="952"/>
      <c r="E756" s="952"/>
      <c r="F756" s="952"/>
      <c r="G756" s="952"/>
      <c r="H756" s="952"/>
      <c r="I756" s="952"/>
      <c r="J756" s="952"/>
      <c r="K756" s="952"/>
      <c r="L756" s="952"/>
      <c r="M756" s="952"/>
      <c r="N756" s="952"/>
      <c r="O756" s="952"/>
      <c r="P756" s="952"/>
      <c r="Q756" s="952"/>
      <c r="R756" s="952"/>
      <c r="S756" s="952"/>
      <c r="T756" s="952"/>
      <c r="U756" s="952"/>
      <c r="V756" s="952"/>
      <c r="W756" s="952"/>
      <c r="X756" s="952"/>
      <c r="Y756" s="952"/>
      <c r="Z756" s="952"/>
    </row>
    <row r="757" spans="1:26" ht="18.75" customHeight="1" x14ac:dyDescent="0.35">
      <c r="A757" s="952"/>
      <c r="B757" s="952"/>
      <c r="C757" s="952"/>
      <c r="D757" s="952"/>
      <c r="E757" s="952"/>
      <c r="F757" s="952"/>
      <c r="G757" s="952"/>
      <c r="H757" s="952"/>
      <c r="I757" s="952"/>
      <c r="J757" s="952"/>
      <c r="K757" s="952"/>
      <c r="L757" s="952"/>
      <c r="M757" s="952"/>
      <c r="N757" s="952"/>
      <c r="O757" s="952"/>
      <c r="P757" s="952"/>
      <c r="Q757" s="952"/>
      <c r="R757" s="952"/>
      <c r="S757" s="952"/>
      <c r="T757" s="952"/>
      <c r="U757" s="952"/>
      <c r="V757" s="952"/>
      <c r="W757" s="952"/>
      <c r="X757" s="952"/>
      <c r="Y757" s="952"/>
      <c r="Z757" s="952"/>
    </row>
    <row r="758" spans="1:26" ht="18.75" customHeight="1" x14ac:dyDescent="0.35">
      <c r="A758" s="952"/>
      <c r="B758" s="952"/>
      <c r="C758" s="952"/>
      <c r="D758" s="952"/>
      <c r="E758" s="952"/>
      <c r="F758" s="952"/>
      <c r="G758" s="952"/>
      <c r="H758" s="952"/>
      <c r="I758" s="952"/>
      <c r="J758" s="952"/>
      <c r="K758" s="952"/>
      <c r="L758" s="952"/>
      <c r="M758" s="952"/>
      <c r="N758" s="952"/>
      <c r="O758" s="952"/>
      <c r="P758" s="952"/>
      <c r="Q758" s="952"/>
      <c r="R758" s="952"/>
      <c r="S758" s="952"/>
      <c r="T758" s="952"/>
      <c r="U758" s="952"/>
      <c r="V758" s="952"/>
      <c r="W758" s="952"/>
      <c r="X758" s="952"/>
      <c r="Y758" s="952"/>
      <c r="Z758" s="952"/>
    </row>
    <row r="759" spans="1:26" ht="18.75" customHeight="1" x14ac:dyDescent="0.35">
      <c r="A759" s="952"/>
      <c r="B759" s="952"/>
      <c r="C759" s="952"/>
      <c r="D759" s="952"/>
      <c r="E759" s="952"/>
      <c r="F759" s="952"/>
      <c r="G759" s="952"/>
      <c r="H759" s="952"/>
      <c r="I759" s="952"/>
      <c r="J759" s="952"/>
      <c r="K759" s="952"/>
      <c r="L759" s="952"/>
      <c r="M759" s="952"/>
      <c r="N759" s="952"/>
      <c r="O759" s="952"/>
      <c r="P759" s="952"/>
      <c r="Q759" s="952"/>
      <c r="R759" s="952"/>
      <c r="S759" s="952"/>
      <c r="T759" s="952"/>
      <c r="U759" s="952"/>
      <c r="V759" s="952"/>
      <c r="W759" s="952"/>
      <c r="X759" s="952"/>
      <c r="Y759" s="952"/>
      <c r="Z759" s="952"/>
    </row>
    <row r="760" spans="1:26" ht="18.75" customHeight="1" x14ac:dyDescent="0.35">
      <c r="A760" s="952"/>
      <c r="B760" s="952"/>
      <c r="C760" s="952"/>
      <c r="D760" s="952"/>
      <c r="E760" s="952"/>
      <c r="F760" s="952"/>
      <c r="G760" s="952"/>
      <c r="H760" s="952"/>
      <c r="I760" s="952"/>
      <c r="J760" s="952"/>
      <c r="K760" s="952"/>
      <c r="L760" s="952"/>
      <c r="M760" s="952"/>
      <c r="N760" s="952"/>
      <c r="O760" s="952"/>
      <c r="P760" s="952"/>
      <c r="Q760" s="952"/>
      <c r="R760" s="952"/>
      <c r="S760" s="952"/>
      <c r="T760" s="952"/>
      <c r="U760" s="952"/>
      <c r="V760" s="952"/>
      <c r="W760" s="952"/>
      <c r="X760" s="952"/>
      <c r="Y760" s="952"/>
      <c r="Z760" s="952"/>
    </row>
    <row r="761" spans="1:26" ht="18.75" customHeight="1" x14ac:dyDescent="0.35">
      <c r="A761" s="952"/>
      <c r="B761" s="952"/>
      <c r="C761" s="952"/>
      <c r="D761" s="952"/>
      <c r="E761" s="952"/>
      <c r="F761" s="952"/>
      <c r="G761" s="952"/>
      <c r="H761" s="952"/>
      <c r="I761" s="952"/>
      <c r="J761" s="952"/>
      <c r="K761" s="952"/>
      <c r="L761" s="952"/>
      <c r="M761" s="952"/>
      <c r="N761" s="952"/>
      <c r="O761" s="952"/>
      <c r="P761" s="952"/>
      <c r="Q761" s="952"/>
      <c r="R761" s="952"/>
      <c r="S761" s="952"/>
      <c r="T761" s="952"/>
      <c r="U761" s="952"/>
      <c r="V761" s="952"/>
      <c r="W761" s="952"/>
      <c r="X761" s="952"/>
      <c r="Y761" s="952"/>
      <c r="Z761" s="952"/>
    </row>
    <row r="762" spans="1:26" ht="18.75" customHeight="1" x14ac:dyDescent="0.35">
      <c r="A762" s="952"/>
      <c r="B762" s="952"/>
      <c r="C762" s="952"/>
      <c r="D762" s="952"/>
      <c r="E762" s="952"/>
      <c r="F762" s="952"/>
      <c r="G762" s="952"/>
      <c r="H762" s="952"/>
      <c r="I762" s="952"/>
      <c r="J762" s="952"/>
      <c r="K762" s="952"/>
      <c r="L762" s="952"/>
      <c r="M762" s="952"/>
      <c r="N762" s="952"/>
      <c r="O762" s="952"/>
      <c r="P762" s="952"/>
      <c r="Q762" s="952"/>
      <c r="R762" s="952"/>
      <c r="S762" s="952"/>
      <c r="T762" s="952"/>
      <c r="U762" s="952"/>
      <c r="V762" s="952"/>
      <c r="W762" s="952"/>
      <c r="X762" s="952"/>
      <c r="Y762" s="952"/>
      <c r="Z762" s="952"/>
    </row>
    <row r="763" spans="1:26" ht="18.75" customHeight="1" x14ac:dyDescent="0.35">
      <c r="A763" s="952"/>
      <c r="B763" s="952"/>
      <c r="C763" s="952"/>
      <c r="D763" s="952"/>
      <c r="E763" s="952"/>
      <c r="F763" s="952"/>
      <c r="G763" s="952"/>
      <c r="H763" s="952"/>
      <c r="I763" s="952"/>
      <c r="J763" s="952"/>
      <c r="K763" s="952"/>
      <c r="L763" s="952"/>
      <c r="M763" s="952"/>
      <c r="N763" s="952"/>
      <c r="O763" s="952"/>
      <c r="P763" s="952"/>
      <c r="Q763" s="952"/>
      <c r="R763" s="952"/>
      <c r="S763" s="952"/>
      <c r="T763" s="952"/>
      <c r="U763" s="952"/>
      <c r="V763" s="952"/>
      <c r="W763" s="952"/>
      <c r="X763" s="952"/>
      <c r="Y763" s="952"/>
      <c r="Z763" s="952"/>
    </row>
    <row r="764" spans="1:26" ht="18.75" customHeight="1" x14ac:dyDescent="0.35">
      <c r="A764" s="952"/>
      <c r="B764" s="952"/>
      <c r="C764" s="952"/>
      <c r="D764" s="952"/>
      <c r="E764" s="952"/>
      <c r="F764" s="952"/>
      <c r="G764" s="952"/>
      <c r="H764" s="952"/>
      <c r="I764" s="952"/>
      <c r="J764" s="952"/>
      <c r="K764" s="952"/>
      <c r="L764" s="952"/>
      <c r="M764" s="952"/>
      <c r="N764" s="952"/>
      <c r="O764" s="952"/>
      <c r="P764" s="952"/>
      <c r="Q764" s="952"/>
      <c r="R764" s="952"/>
      <c r="S764" s="952"/>
      <c r="T764" s="952"/>
      <c r="U764" s="952"/>
      <c r="V764" s="952"/>
      <c r="W764" s="952"/>
      <c r="X764" s="952"/>
      <c r="Y764" s="952"/>
      <c r="Z764" s="952"/>
    </row>
    <row r="765" spans="1:26" ht="18.75" customHeight="1" x14ac:dyDescent="0.35">
      <c r="A765" s="952"/>
      <c r="B765" s="952"/>
      <c r="C765" s="952"/>
      <c r="D765" s="952"/>
      <c r="E765" s="952"/>
      <c r="F765" s="952"/>
      <c r="G765" s="952"/>
      <c r="H765" s="952"/>
      <c r="I765" s="952"/>
      <c r="J765" s="952"/>
      <c r="K765" s="952"/>
      <c r="L765" s="952"/>
      <c r="M765" s="952"/>
      <c r="N765" s="952"/>
      <c r="O765" s="952"/>
      <c r="P765" s="952"/>
      <c r="Q765" s="952"/>
      <c r="R765" s="952"/>
      <c r="S765" s="952"/>
      <c r="T765" s="952"/>
      <c r="U765" s="952"/>
      <c r="V765" s="952"/>
      <c r="W765" s="952"/>
      <c r="X765" s="952"/>
      <c r="Y765" s="952"/>
      <c r="Z765" s="952"/>
    </row>
    <row r="766" spans="1:26" ht="18.75" customHeight="1" x14ac:dyDescent="0.35">
      <c r="A766" s="952"/>
      <c r="B766" s="952"/>
      <c r="C766" s="952"/>
      <c r="D766" s="952"/>
      <c r="E766" s="952"/>
      <c r="F766" s="952"/>
      <c r="G766" s="952"/>
      <c r="H766" s="952"/>
      <c r="I766" s="952"/>
      <c r="J766" s="952"/>
      <c r="K766" s="952"/>
      <c r="L766" s="952"/>
      <c r="M766" s="952"/>
      <c r="N766" s="952"/>
      <c r="O766" s="952"/>
      <c r="P766" s="952"/>
      <c r="Q766" s="952"/>
      <c r="R766" s="952"/>
      <c r="S766" s="952"/>
      <c r="T766" s="952"/>
      <c r="U766" s="952"/>
      <c r="V766" s="952"/>
      <c r="W766" s="952"/>
      <c r="X766" s="952"/>
      <c r="Y766" s="952"/>
      <c r="Z766" s="952"/>
    </row>
    <row r="767" spans="1:26" ht="18.75" customHeight="1" x14ac:dyDescent="0.35">
      <c r="A767" s="952"/>
      <c r="B767" s="952"/>
      <c r="C767" s="952"/>
      <c r="D767" s="952"/>
      <c r="E767" s="952"/>
      <c r="F767" s="952"/>
      <c r="G767" s="952"/>
      <c r="H767" s="952"/>
      <c r="I767" s="952"/>
      <c r="J767" s="952"/>
      <c r="K767" s="952"/>
      <c r="L767" s="952"/>
      <c r="M767" s="952"/>
      <c r="N767" s="952"/>
      <c r="O767" s="952"/>
      <c r="P767" s="952"/>
      <c r="Q767" s="952"/>
      <c r="R767" s="952"/>
      <c r="S767" s="952"/>
      <c r="T767" s="952"/>
      <c r="U767" s="952"/>
      <c r="V767" s="952"/>
      <c r="W767" s="952"/>
      <c r="X767" s="952"/>
      <c r="Y767" s="952"/>
      <c r="Z767" s="952"/>
    </row>
    <row r="768" spans="1:26" ht="18.75" customHeight="1" x14ac:dyDescent="0.35">
      <c r="A768" s="952"/>
      <c r="B768" s="952"/>
      <c r="C768" s="952"/>
      <c r="D768" s="952"/>
      <c r="E768" s="952"/>
      <c r="F768" s="952"/>
      <c r="G768" s="952"/>
      <c r="H768" s="952"/>
      <c r="I768" s="952"/>
      <c r="J768" s="952"/>
      <c r="K768" s="952"/>
      <c r="L768" s="952"/>
      <c r="M768" s="952"/>
      <c r="N768" s="952"/>
      <c r="O768" s="952"/>
      <c r="P768" s="952"/>
      <c r="Q768" s="952"/>
      <c r="R768" s="952"/>
      <c r="S768" s="952"/>
      <c r="T768" s="952"/>
      <c r="U768" s="952"/>
      <c r="V768" s="952"/>
      <c r="W768" s="952"/>
      <c r="X768" s="952"/>
      <c r="Y768" s="952"/>
      <c r="Z768" s="952"/>
    </row>
    <row r="769" spans="1:26" ht="18.75" customHeight="1" x14ac:dyDescent="0.35">
      <c r="A769" s="952"/>
      <c r="B769" s="952"/>
      <c r="C769" s="952"/>
      <c r="D769" s="952"/>
      <c r="E769" s="952"/>
      <c r="F769" s="952"/>
      <c r="G769" s="952"/>
      <c r="H769" s="952"/>
      <c r="I769" s="952"/>
      <c r="J769" s="952"/>
      <c r="K769" s="952"/>
      <c r="L769" s="952"/>
      <c r="M769" s="952"/>
      <c r="N769" s="952"/>
      <c r="O769" s="952"/>
      <c r="P769" s="952"/>
      <c r="Q769" s="952"/>
      <c r="R769" s="952"/>
      <c r="S769" s="952"/>
      <c r="T769" s="952"/>
      <c r="U769" s="952"/>
      <c r="V769" s="952"/>
      <c r="W769" s="952"/>
      <c r="X769" s="952"/>
      <c r="Y769" s="952"/>
      <c r="Z769" s="952"/>
    </row>
    <row r="770" spans="1:26" ht="18.75" customHeight="1" x14ac:dyDescent="0.35">
      <c r="A770" s="952"/>
      <c r="B770" s="952"/>
      <c r="C770" s="952"/>
      <c r="D770" s="952"/>
      <c r="E770" s="952"/>
      <c r="F770" s="952"/>
      <c r="G770" s="952"/>
      <c r="H770" s="952"/>
      <c r="I770" s="952"/>
      <c r="J770" s="952"/>
      <c r="K770" s="952"/>
      <c r="L770" s="952"/>
      <c r="M770" s="952"/>
      <c r="N770" s="952"/>
      <c r="O770" s="952"/>
      <c r="P770" s="952"/>
      <c r="Q770" s="952"/>
      <c r="R770" s="952"/>
      <c r="S770" s="952"/>
      <c r="T770" s="952"/>
      <c r="U770" s="952"/>
      <c r="V770" s="952"/>
      <c r="W770" s="952"/>
      <c r="X770" s="952"/>
      <c r="Y770" s="952"/>
      <c r="Z770" s="952"/>
    </row>
    <row r="771" spans="1:26" ht="18.75" customHeight="1" x14ac:dyDescent="0.35">
      <c r="A771" s="952"/>
      <c r="B771" s="952"/>
      <c r="C771" s="952"/>
      <c r="D771" s="952"/>
      <c r="E771" s="952"/>
      <c r="F771" s="952"/>
      <c r="G771" s="952"/>
      <c r="H771" s="952"/>
      <c r="I771" s="952"/>
      <c r="J771" s="952"/>
      <c r="K771" s="952"/>
      <c r="L771" s="952"/>
      <c r="M771" s="952"/>
      <c r="N771" s="952"/>
      <c r="O771" s="952"/>
      <c r="P771" s="952"/>
      <c r="Q771" s="952"/>
      <c r="R771" s="952"/>
      <c r="S771" s="952"/>
      <c r="T771" s="952"/>
      <c r="U771" s="952"/>
      <c r="V771" s="952"/>
      <c r="W771" s="952"/>
      <c r="X771" s="952"/>
      <c r="Y771" s="952"/>
      <c r="Z771" s="952"/>
    </row>
    <row r="772" spans="1:26" ht="18.75" customHeight="1" x14ac:dyDescent="0.35">
      <c r="A772" s="952"/>
      <c r="B772" s="952"/>
      <c r="C772" s="952"/>
      <c r="D772" s="952"/>
      <c r="E772" s="952"/>
      <c r="F772" s="952"/>
      <c r="G772" s="952"/>
      <c r="H772" s="952"/>
      <c r="I772" s="952"/>
      <c r="J772" s="952"/>
      <c r="K772" s="952"/>
      <c r="L772" s="952"/>
      <c r="M772" s="952"/>
      <c r="N772" s="952"/>
      <c r="O772" s="952"/>
      <c r="P772" s="952"/>
      <c r="Q772" s="952"/>
      <c r="R772" s="952"/>
      <c r="S772" s="952"/>
      <c r="T772" s="952"/>
      <c r="U772" s="952"/>
      <c r="V772" s="952"/>
      <c r="W772" s="952"/>
      <c r="X772" s="952"/>
      <c r="Y772" s="952"/>
      <c r="Z772" s="952"/>
    </row>
    <row r="773" spans="1:26" ht="18.75" customHeight="1" x14ac:dyDescent="0.35">
      <c r="A773" s="952"/>
      <c r="B773" s="952"/>
      <c r="C773" s="952"/>
      <c r="D773" s="952"/>
      <c r="E773" s="952"/>
      <c r="F773" s="952"/>
      <c r="G773" s="952"/>
      <c r="H773" s="952"/>
      <c r="I773" s="952"/>
      <c r="J773" s="952"/>
      <c r="K773" s="952"/>
      <c r="L773" s="952"/>
      <c r="M773" s="952"/>
      <c r="N773" s="952"/>
      <c r="O773" s="952"/>
      <c r="P773" s="952"/>
      <c r="Q773" s="952"/>
      <c r="R773" s="952"/>
      <c r="S773" s="952"/>
      <c r="T773" s="952"/>
      <c r="U773" s="952"/>
      <c r="V773" s="952"/>
      <c r="W773" s="952"/>
      <c r="X773" s="952"/>
      <c r="Y773" s="952"/>
      <c r="Z773" s="952"/>
    </row>
    <row r="774" spans="1:26" ht="18.75" customHeight="1" x14ac:dyDescent="0.35">
      <c r="A774" s="952"/>
      <c r="B774" s="952"/>
      <c r="C774" s="952"/>
      <c r="D774" s="952"/>
      <c r="E774" s="952"/>
      <c r="F774" s="952"/>
      <c r="G774" s="952"/>
      <c r="H774" s="952"/>
      <c r="I774" s="952"/>
      <c r="J774" s="952"/>
      <c r="K774" s="952"/>
      <c r="L774" s="952"/>
      <c r="M774" s="952"/>
      <c r="N774" s="952"/>
      <c r="O774" s="952"/>
      <c r="P774" s="952"/>
      <c r="Q774" s="952"/>
      <c r="R774" s="952"/>
      <c r="S774" s="952"/>
      <c r="T774" s="952"/>
      <c r="U774" s="952"/>
      <c r="V774" s="952"/>
      <c r="W774" s="952"/>
      <c r="X774" s="952"/>
      <c r="Y774" s="952"/>
      <c r="Z774" s="952"/>
    </row>
    <row r="775" spans="1:26" ht="18.75" customHeight="1" x14ac:dyDescent="0.35">
      <c r="A775" s="952"/>
      <c r="B775" s="952"/>
      <c r="C775" s="952"/>
      <c r="D775" s="952"/>
      <c r="E775" s="952"/>
      <c r="F775" s="952"/>
      <c r="G775" s="952"/>
      <c r="H775" s="952"/>
      <c r="I775" s="952"/>
      <c r="J775" s="952"/>
      <c r="K775" s="952"/>
      <c r="L775" s="952"/>
      <c r="M775" s="952"/>
      <c r="N775" s="952"/>
      <c r="O775" s="952"/>
      <c r="P775" s="952"/>
      <c r="Q775" s="952"/>
      <c r="R775" s="952"/>
      <c r="S775" s="952"/>
      <c r="T775" s="952"/>
      <c r="U775" s="952"/>
      <c r="V775" s="952"/>
      <c r="W775" s="952"/>
      <c r="X775" s="952"/>
      <c r="Y775" s="952"/>
      <c r="Z775" s="952"/>
    </row>
    <row r="776" spans="1:26" ht="18.75" customHeight="1" x14ac:dyDescent="0.35">
      <c r="A776" s="952"/>
      <c r="B776" s="952"/>
      <c r="C776" s="952"/>
      <c r="D776" s="952"/>
      <c r="E776" s="952"/>
      <c r="F776" s="952"/>
      <c r="G776" s="952"/>
      <c r="H776" s="952"/>
      <c r="I776" s="952"/>
      <c r="J776" s="952"/>
      <c r="K776" s="952"/>
      <c r="L776" s="952"/>
      <c r="M776" s="952"/>
      <c r="N776" s="952"/>
      <c r="O776" s="952"/>
      <c r="P776" s="952"/>
      <c r="Q776" s="952"/>
      <c r="R776" s="952"/>
      <c r="S776" s="952"/>
      <c r="T776" s="952"/>
      <c r="U776" s="952"/>
      <c r="V776" s="952"/>
      <c r="W776" s="952"/>
      <c r="X776" s="952"/>
      <c r="Y776" s="952"/>
      <c r="Z776" s="952"/>
    </row>
    <row r="777" spans="1:26" ht="18.75" customHeight="1" x14ac:dyDescent="0.35">
      <c r="A777" s="952"/>
      <c r="B777" s="952"/>
      <c r="C777" s="952"/>
      <c r="D777" s="952"/>
      <c r="E777" s="952"/>
      <c r="F777" s="952"/>
      <c r="G777" s="952"/>
      <c r="H777" s="952"/>
      <c r="I777" s="952"/>
      <c r="J777" s="952"/>
      <c r="K777" s="952"/>
      <c r="L777" s="952"/>
      <c r="M777" s="952"/>
      <c r="N777" s="952"/>
      <c r="O777" s="952"/>
      <c r="P777" s="952"/>
      <c r="Q777" s="952"/>
      <c r="R777" s="952"/>
      <c r="S777" s="952"/>
      <c r="T777" s="952"/>
      <c r="U777" s="952"/>
      <c r="V777" s="952"/>
      <c r="W777" s="952"/>
      <c r="X777" s="952"/>
      <c r="Y777" s="952"/>
      <c r="Z777" s="952"/>
    </row>
    <row r="778" spans="1:26" ht="18.75" customHeight="1" x14ac:dyDescent="0.35">
      <c r="A778" s="952"/>
      <c r="B778" s="952"/>
      <c r="C778" s="952"/>
      <c r="D778" s="952"/>
      <c r="E778" s="952"/>
      <c r="F778" s="952"/>
      <c r="G778" s="952"/>
      <c r="H778" s="952"/>
      <c r="I778" s="952"/>
      <c r="J778" s="952"/>
      <c r="K778" s="952"/>
      <c r="L778" s="952"/>
      <c r="M778" s="952"/>
      <c r="N778" s="952"/>
      <c r="O778" s="952"/>
      <c r="P778" s="952"/>
      <c r="Q778" s="952"/>
      <c r="R778" s="952"/>
      <c r="S778" s="952"/>
      <c r="T778" s="952"/>
      <c r="U778" s="952"/>
      <c r="V778" s="952"/>
      <c r="W778" s="952"/>
      <c r="X778" s="952"/>
      <c r="Y778" s="952"/>
      <c r="Z778" s="952"/>
    </row>
    <row r="779" spans="1:26" ht="18.75" customHeight="1" x14ac:dyDescent="0.35">
      <c r="A779" s="952"/>
      <c r="B779" s="952"/>
      <c r="C779" s="952"/>
      <c r="D779" s="952"/>
      <c r="E779" s="952"/>
      <c r="F779" s="952"/>
      <c r="G779" s="952"/>
      <c r="H779" s="952"/>
      <c r="I779" s="952"/>
      <c r="J779" s="952"/>
      <c r="K779" s="952"/>
      <c r="L779" s="952"/>
      <c r="M779" s="952"/>
      <c r="N779" s="952"/>
      <c r="O779" s="952"/>
      <c r="P779" s="952"/>
      <c r="Q779" s="952"/>
      <c r="R779" s="952"/>
      <c r="S779" s="952"/>
      <c r="T779" s="952"/>
      <c r="U779" s="952"/>
      <c r="V779" s="952"/>
      <c r="W779" s="952"/>
      <c r="X779" s="952"/>
      <c r="Y779" s="952"/>
      <c r="Z779" s="952"/>
    </row>
    <row r="780" spans="1:26" ht="18.75" customHeight="1" x14ac:dyDescent="0.35">
      <c r="A780" s="952"/>
      <c r="B780" s="952"/>
      <c r="C780" s="952"/>
      <c r="D780" s="952"/>
      <c r="E780" s="952"/>
      <c r="F780" s="952"/>
      <c r="G780" s="952"/>
      <c r="H780" s="952"/>
      <c r="I780" s="952"/>
      <c r="J780" s="952"/>
      <c r="K780" s="952"/>
      <c r="L780" s="952"/>
      <c r="M780" s="952"/>
      <c r="N780" s="952"/>
      <c r="O780" s="952"/>
      <c r="P780" s="952"/>
      <c r="Q780" s="952"/>
      <c r="R780" s="952"/>
      <c r="S780" s="952"/>
      <c r="T780" s="952"/>
      <c r="U780" s="952"/>
      <c r="V780" s="952"/>
      <c r="W780" s="952"/>
      <c r="X780" s="952"/>
      <c r="Y780" s="952"/>
      <c r="Z780" s="952"/>
    </row>
    <row r="781" spans="1:26" ht="18.75" customHeight="1" x14ac:dyDescent="0.35">
      <c r="A781" s="952"/>
      <c r="B781" s="952"/>
      <c r="C781" s="952"/>
      <c r="D781" s="952"/>
      <c r="E781" s="952"/>
      <c r="F781" s="952"/>
      <c r="G781" s="952"/>
      <c r="H781" s="952"/>
      <c r="I781" s="952"/>
      <c r="J781" s="952"/>
      <c r="K781" s="952"/>
      <c r="L781" s="952"/>
      <c r="M781" s="952"/>
      <c r="N781" s="952"/>
      <c r="O781" s="952"/>
      <c r="P781" s="952"/>
      <c r="Q781" s="952"/>
      <c r="R781" s="952"/>
      <c r="S781" s="952"/>
      <c r="T781" s="952"/>
      <c r="U781" s="952"/>
      <c r="V781" s="952"/>
      <c r="W781" s="952"/>
      <c r="X781" s="952"/>
      <c r="Y781" s="952"/>
      <c r="Z781" s="952"/>
    </row>
    <row r="782" spans="1:26" ht="18.75" customHeight="1" x14ac:dyDescent="0.35">
      <c r="A782" s="952"/>
      <c r="B782" s="952"/>
      <c r="C782" s="952"/>
      <c r="D782" s="952"/>
      <c r="E782" s="952"/>
      <c r="F782" s="952"/>
      <c r="G782" s="952"/>
      <c r="H782" s="952"/>
      <c r="I782" s="952"/>
      <c r="J782" s="952"/>
      <c r="K782" s="952"/>
      <c r="L782" s="952"/>
      <c r="M782" s="952"/>
      <c r="N782" s="952"/>
      <c r="O782" s="952"/>
      <c r="P782" s="952"/>
      <c r="Q782" s="952"/>
      <c r="R782" s="952"/>
      <c r="S782" s="952"/>
      <c r="T782" s="952"/>
      <c r="U782" s="952"/>
      <c r="V782" s="952"/>
      <c r="W782" s="952"/>
      <c r="X782" s="952"/>
      <c r="Y782" s="952"/>
      <c r="Z782" s="952"/>
    </row>
    <row r="783" spans="1:26" ht="18.75" customHeight="1" x14ac:dyDescent="0.35">
      <c r="A783" s="952"/>
      <c r="B783" s="952"/>
      <c r="C783" s="952"/>
      <c r="D783" s="952"/>
      <c r="E783" s="952"/>
      <c r="F783" s="952"/>
      <c r="G783" s="952"/>
      <c r="H783" s="952"/>
      <c r="I783" s="952"/>
      <c r="J783" s="952"/>
      <c r="K783" s="952"/>
      <c r="L783" s="952"/>
      <c r="M783" s="952"/>
      <c r="N783" s="952"/>
      <c r="O783" s="952"/>
      <c r="P783" s="952"/>
      <c r="Q783" s="952"/>
      <c r="R783" s="952"/>
      <c r="S783" s="952"/>
      <c r="T783" s="952"/>
      <c r="U783" s="952"/>
      <c r="V783" s="952"/>
      <c r="W783" s="952"/>
      <c r="X783" s="952"/>
      <c r="Y783" s="952"/>
      <c r="Z783" s="952"/>
    </row>
    <row r="784" spans="1:26" ht="18.75" customHeight="1" x14ac:dyDescent="0.35">
      <c r="A784" s="952"/>
      <c r="B784" s="952"/>
      <c r="C784" s="952"/>
      <c r="D784" s="952"/>
      <c r="E784" s="952"/>
      <c r="F784" s="952"/>
      <c r="G784" s="952"/>
      <c r="H784" s="952"/>
      <c r="I784" s="952"/>
      <c r="J784" s="952"/>
      <c r="K784" s="952"/>
      <c r="L784" s="952"/>
      <c r="M784" s="952"/>
      <c r="N784" s="952"/>
      <c r="O784" s="952"/>
      <c r="P784" s="952"/>
      <c r="Q784" s="952"/>
      <c r="R784" s="952"/>
      <c r="S784" s="952"/>
      <c r="T784" s="952"/>
      <c r="U784" s="952"/>
      <c r="V784" s="952"/>
      <c r="W784" s="952"/>
      <c r="X784" s="952"/>
      <c r="Y784" s="952"/>
      <c r="Z784" s="952"/>
    </row>
    <row r="785" spans="1:26" ht="18.75" customHeight="1" x14ac:dyDescent="0.35">
      <c r="A785" s="952"/>
      <c r="B785" s="952"/>
      <c r="C785" s="952"/>
      <c r="D785" s="952"/>
      <c r="E785" s="952"/>
      <c r="F785" s="952"/>
      <c r="G785" s="952"/>
      <c r="H785" s="952"/>
      <c r="I785" s="952"/>
      <c r="J785" s="952"/>
      <c r="K785" s="952"/>
      <c r="L785" s="952"/>
      <c r="M785" s="952"/>
      <c r="N785" s="952"/>
      <c r="O785" s="952"/>
      <c r="P785" s="952"/>
      <c r="Q785" s="952"/>
      <c r="R785" s="952"/>
      <c r="S785" s="952"/>
      <c r="T785" s="952"/>
      <c r="U785" s="952"/>
      <c r="V785" s="952"/>
      <c r="W785" s="952"/>
      <c r="X785" s="952"/>
      <c r="Y785" s="952"/>
      <c r="Z785" s="952"/>
    </row>
    <row r="786" spans="1:26" ht="18.75" customHeight="1" x14ac:dyDescent="0.35">
      <c r="A786" s="952"/>
      <c r="B786" s="952"/>
      <c r="C786" s="952"/>
      <c r="D786" s="952"/>
      <c r="E786" s="952"/>
      <c r="F786" s="952"/>
      <c r="G786" s="952"/>
      <c r="H786" s="952"/>
      <c r="I786" s="952"/>
      <c r="J786" s="952"/>
      <c r="K786" s="952"/>
      <c r="L786" s="952"/>
      <c r="M786" s="952"/>
      <c r="N786" s="952"/>
      <c r="O786" s="952"/>
      <c r="P786" s="952"/>
      <c r="Q786" s="952"/>
      <c r="R786" s="952"/>
      <c r="S786" s="952"/>
      <c r="T786" s="952"/>
      <c r="U786" s="952"/>
      <c r="V786" s="952"/>
      <c r="W786" s="952"/>
      <c r="X786" s="952"/>
      <c r="Y786" s="952"/>
      <c r="Z786" s="952"/>
    </row>
    <row r="787" spans="1:26" ht="18.75" customHeight="1" x14ac:dyDescent="0.35">
      <c r="A787" s="952"/>
      <c r="B787" s="952"/>
      <c r="C787" s="952"/>
      <c r="D787" s="952"/>
      <c r="E787" s="952"/>
      <c r="F787" s="952"/>
      <c r="G787" s="952"/>
      <c r="H787" s="952"/>
      <c r="I787" s="952"/>
      <c r="J787" s="952"/>
      <c r="K787" s="952"/>
      <c r="L787" s="952"/>
      <c r="M787" s="952"/>
      <c r="N787" s="952"/>
      <c r="O787" s="952"/>
      <c r="P787" s="952"/>
      <c r="Q787" s="952"/>
      <c r="R787" s="952"/>
      <c r="S787" s="952"/>
      <c r="T787" s="952"/>
      <c r="U787" s="952"/>
      <c r="V787" s="952"/>
      <c r="W787" s="952"/>
      <c r="X787" s="952"/>
      <c r="Y787" s="952"/>
      <c r="Z787" s="952"/>
    </row>
    <row r="788" spans="1:26" ht="18.75" customHeight="1" x14ac:dyDescent="0.35">
      <c r="A788" s="952"/>
      <c r="B788" s="952"/>
      <c r="C788" s="952"/>
      <c r="D788" s="952"/>
      <c r="E788" s="952"/>
      <c r="F788" s="952"/>
      <c r="G788" s="952"/>
      <c r="H788" s="952"/>
      <c r="I788" s="952"/>
      <c r="J788" s="952"/>
      <c r="K788" s="952"/>
      <c r="L788" s="952"/>
      <c r="M788" s="952"/>
      <c r="N788" s="952"/>
      <c r="O788" s="952"/>
      <c r="P788" s="952"/>
      <c r="Q788" s="952"/>
      <c r="R788" s="952"/>
      <c r="S788" s="952"/>
      <c r="T788" s="952"/>
      <c r="U788" s="952"/>
      <c r="V788" s="952"/>
      <c r="W788" s="952"/>
      <c r="X788" s="952"/>
      <c r="Y788" s="952"/>
      <c r="Z788" s="952"/>
    </row>
    <row r="789" spans="1:26" ht="18.75" customHeight="1" x14ac:dyDescent="0.35">
      <c r="A789" s="952"/>
      <c r="B789" s="952"/>
      <c r="C789" s="952"/>
      <c r="D789" s="952"/>
      <c r="E789" s="952"/>
      <c r="F789" s="952"/>
      <c r="G789" s="952"/>
      <c r="H789" s="952"/>
      <c r="I789" s="952"/>
      <c r="J789" s="952"/>
      <c r="K789" s="952"/>
      <c r="L789" s="952"/>
      <c r="M789" s="952"/>
      <c r="N789" s="952"/>
      <c r="O789" s="952"/>
      <c r="P789" s="952"/>
      <c r="Q789" s="952"/>
      <c r="R789" s="952"/>
      <c r="S789" s="952"/>
      <c r="T789" s="952"/>
      <c r="U789" s="952"/>
      <c r="V789" s="952"/>
      <c r="W789" s="952"/>
      <c r="X789" s="952"/>
      <c r="Y789" s="952"/>
      <c r="Z789" s="952"/>
    </row>
    <row r="790" spans="1:26" ht="18.75" customHeight="1" x14ac:dyDescent="0.35">
      <c r="A790" s="952"/>
      <c r="B790" s="952"/>
      <c r="C790" s="952"/>
      <c r="D790" s="952"/>
      <c r="E790" s="952"/>
      <c r="F790" s="952"/>
      <c r="G790" s="952"/>
      <c r="H790" s="952"/>
      <c r="I790" s="952"/>
      <c r="J790" s="952"/>
      <c r="K790" s="952"/>
      <c r="L790" s="952"/>
      <c r="M790" s="952"/>
      <c r="N790" s="952"/>
      <c r="O790" s="952"/>
      <c r="P790" s="952"/>
      <c r="Q790" s="952"/>
      <c r="R790" s="952"/>
      <c r="S790" s="952"/>
      <c r="T790" s="952"/>
      <c r="U790" s="952"/>
      <c r="V790" s="952"/>
      <c r="W790" s="952"/>
      <c r="X790" s="952"/>
      <c r="Y790" s="952"/>
      <c r="Z790" s="952"/>
    </row>
    <row r="791" spans="1:26" ht="18.75" customHeight="1" x14ac:dyDescent="0.35">
      <c r="A791" s="952"/>
      <c r="B791" s="952"/>
      <c r="C791" s="952"/>
      <c r="D791" s="952"/>
      <c r="E791" s="952"/>
      <c r="F791" s="952"/>
      <c r="G791" s="952"/>
      <c r="H791" s="952"/>
      <c r="I791" s="952"/>
      <c r="J791" s="952"/>
      <c r="K791" s="952"/>
      <c r="L791" s="952"/>
      <c r="M791" s="952"/>
      <c r="N791" s="952"/>
      <c r="O791" s="952"/>
      <c r="P791" s="952"/>
      <c r="Q791" s="952"/>
      <c r="R791" s="952"/>
      <c r="S791" s="952"/>
      <c r="T791" s="952"/>
      <c r="U791" s="952"/>
      <c r="V791" s="952"/>
      <c r="W791" s="952"/>
      <c r="X791" s="952"/>
      <c r="Y791" s="952"/>
      <c r="Z791" s="952"/>
    </row>
    <row r="792" spans="1:26" ht="18.75" customHeight="1" x14ac:dyDescent="0.35">
      <c r="A792" s="952"/>
      <c r="B792" s="952"/>
      <c r="C792" s="952"/>
      <c r="D792" s="952"/>
      <c r="E792" s="952"/>
      <c r="F792" s="952"/>
      <c r="G792" s="952"/>
      <c r="H792" s="952"/>
      <c r="I792" s="952"/>
      <c r="J792" s="952"/>
      <c r="K792" s="952"/>
      <c r="L792" s="952"/>
      <c r="M792" s="952"/>
      <c r="N792" s="952"/>
      <c r="O792" s="952"/>
      <c r="P792" s="952"/>
      <c r="Q792" s="952"/>
      <c r="R792" s="952"/>
      <c r="S792" s="952"/>
      <c r="T792" s="952"/>
      <c r="U792" s="952"/>
      <c r="V792" s="952"/>
      <c r="W792" s="952"/>
      <c r="X792" s="952"/>
      <c r="Y792" s="952"/>
      <c r="Z792" s="952"/>
    </row>
    <row r="793" spans="1:26" ht="18.75" customHeight="1" x14ac:dyDescent="0.35">
      <c r="A793" s="952"/>
      <c r="B793" s="952"/>
      <c r="C793" s="952"/>
      <c r="D793" s="952"/>
      <c r="E793" s="952"/>
      <c r="F793" s="952"/>
      <c r="G793" s="952"/>
      <c r="H793" s="952"/>
      <c r="I793" s="952"/>
      <c r="J793" s="952"/>
      <c r="K793" s="952"/>
      <c r="L793" s="952"/>
      <c r="M793" s="952"/>
      <c r="N793" s="952"/>
      <c r="O793" s="952"/>
      <c r="P793" s="952"/>
      <c r="Q793" s="952"/>
      <c r="R793" s="952"/>
      <c r="S793" s="952"/>
      <c r="T793" s="952"/>
      <c r="U793" s="952"/>
      <c r="V793" s="952"/>
      <c r="W793" s="952"/>
      <c r="X793" s="952"/>
      <c r="Y793" s="952"/>
      <c r="Z793" s="952"/>
    </row>
    <row r="794" spans="1:26" ht="18.75" customHeight="1" x14ac:dyDescent="0.35">
      <c r="A794" s="952"/>
      <c r="B794" s="952"/>
      <c r="C794" s="952"/>
      <c r="D794" s="952"/>
      <c r="E794" s="952"/>
      <c r="F794" s="952"/>
      <c r="G794" s="952"/>
      <c r="H794" s="952"/>
      <c r="I794" s="952"/>
      <c r="J794" s="952"/>
      <c r="K794" s="952"/>
      <c r="L794" s="952"/>
      <c r="M794" s="952"/>
      <c r="N794" s="952"/>
      <c r="O794" s="952"/>
      <c r="P794" s="952"/>
      <c r="Q794" s="952"/>
      <c r="R794" s="952"/>
      <c r="S794" s="952"/>
      <c r="T794" s="952"/>
      <c r="U794" s="952"/>
      <c r="V794" s="952"/>
      <c r="W794" s="952"/>
      <c r="X794" s="952"/>
      <c r="Y794" s="952"/>
      <c r="Z794" s="952"/>
    </row>
    <row r="795" spans="1:26" ht="18.75" customHeight="1" x14ac:dyDescent="0.35">
      <c r="A795" s="952"/>
      <c r="B795" s="952"/>
      <c r="C795" s="952"/>
      <c r="D795" s="952"/>
      <c r="E795" s="952"/>
      <c r="F795" s="952"/>
      <c r="G795" s="952"/>
      <c r="H795" s="952"/>
      <c r="I795" s="952"/>
      <c r="J795" s="952"/>
      <c r="K795" s="952"/>
      <c r="L795" s="952"/>
      <c r="M795" s="952"/>
      <c r="N795" s="952"/>
      <c r="O795" s="952"/>
      <c r="P795" s="952"/>
      <c r="Q795" s="952"/>
      <c r="R795" s="952"/>
      <c r="S795" s="952"/>
      <c r="T795" s="952"/>
      <c r="U795" s="952"/>
      <c r="V795" s="952"/>
      <c r="W795" s="952"/>
      <c r="X795" s="952"/>
      <c r="Y795" s="952"/>
      <c r="Z795" s="952"/>
    </row>
    <row r="796" spans="1:26" ht="18.75" customHeight="1" x14ac:dyDescent="0.35">
      <c r="A796" s="952"/>
      <c r="B796" s="952"/>
      <c r="C796" s="952"/>
      <c r="D796" s="952"/>
      <c r="E796" s="952"/>
      <c r="F796" s="952"/>
      <c r="G796" s="952"/>
      <c r="H796" s="952"/>
      <c r="I796" s="952"/>
      <c r="J796" s="952"/>
      <c r="K796" s="952"/>
      <c r="L796" s="952"/>
      <c r="M796" s="952"/>
      <c r="N796" s="952"/>
      <c r="O796" s="952"/>
      <c r="P796" s="952"/>
      <c r="Q796" s="952"/>
      <c r="R796" s="952"/>
      <c r="S796" s="952"/>
      <c r="T796" s="952"/>
      <c r="U796" s="952"/>
      <c r="V796" s="952"/>
      <c r="W796" s="952"/>
      <c r="X796" s="952"/>
      <c r="Y796" s="952"/>
      <c r="Z796" s="952"/>
    </row>
    <row r="797" spans="1:26" ht="18.75" customHeight="1" x14ac:dyDescent="0.35">
      <c r="A797" s="952"/>
      <c r="B797" s="952"/>
      <c r="C797" s="952"/>
      <c r="D797" s="952"/>
      <c r="E797" s="952"/>
      <c r="F797" s="952"/>
      <c r="G797" s="952"/>
      <c r="H797" s="952"/>
      <c r="I797" s="952"/>
      <c r="J797" s="952"/>
      <c r="K797" s="952"/>
      <c r="L797" s="952"/>
      <c r="M797" s="952"/>
      <c r="N797" s="952"/>
      <c r="O797" s="952"/>
      <c r="P797" s="952"/>
      <c r="Q797" s="952"/>
      <c r="R797" s="952"/>
      <c r="S797" s="952"/>
      <c r="T797" s="952"/>
      <c r="U797" s="952"/>
      <c r="V797" s="952"/>
      <c r="W797" s="952"/>
      <c r="X797" s="952"/>
      <c r="Y797" s="952"/>
      <c r="Z797" s="952"/>
    </row>
    <row r="798" spans="1:26" ht="18.75" customHeight="1" x14ac:dyDescent="0.35">
      <c r="A798" s="952"/>
      <c r="B798" s="952"/>
      <c r="C798" s="952"/>
      <c r="D798" s="952"/>
      <c r="E798" s="952"/>
      <c r="F798" s="952"/>
      <c r="G798" s="952"/>
      <c r="H798" s="952"/>
      <c r="I798" s="952"/>
      <c r="J798" s="952"/>
      <c r="K798" s="952"/>
      <c r="L798" s="952"/>
      <c r="M798" s="952"/>
      <c r="N798" s="952"/>
      <c r="O798" s="952"/>
      <c r="P798" s="952"/>
      <c r="Q798" s="952"/>
      <c r="R798" s="952"/>
      <c r="S798" s="952"/>
      <c r="T798" s="952"/>
      <c r="U798" s="952"/>
      <c r="V798" s="952"/>
      <c r="W798" s="952"/>
      <c r="X798" s="952"/>
      <c r="Y798" s="952"/>
      <c r="Z798" s="952"/>
    </row>
    <row r="799" spans="1:26" ht="18.75" customHeight="1" x14ac:dyDescent="0.35">
      <c r="A799" s="952"/>
      <c r="B799" s="952"/>
      <c r="C799" s="952"/>
      <c r="D799" s="952"/>
      <c r="E799" s="952"/>
      <c r="F799" s="952"/>
      <c r="G799" s="952"/>
      <c r="H799" s="952"/>
      <c r="I799" s="952"/>
      <c r="J799" s="952"/>
      <c r="K799" s="952"/>
      <c r="L799" s="952"/>
      <c r="M799" s="952"/>
      <c r="N799" s="952"/>
      <c r="O799" s="952"/>
      <c r="P799" s="952"/>
      <c r="Q799" s="952"/>
      <c r="R799" s="952"/>
      <c r="S799" s="952"/>
      <c r="T799" s="952"/>
      <c r="U799" s="952"/>
      <c r="V799" s="952"/>
      <c r="W799" s="952"/>
      <c r="X799" s="952"/>
      <c r="Y799" s="952"/>
      <c r="Z799" s="952"/>
    </row>
    <row r="800" spans="1:26" ht="18.75" customHeight="1" x14ac:dyDescent="0.35">
      <c r="A800" s="952"/>
      <c r="B800" s="952"/>
      <c r="C800" s="952"/>
      <c r="D800" s="952"/>
      <c r="E800" s="952"/>
      <c r="F800" s="952"/>
      <c r="G800" s="952"/>
      <c r="H800" s="952"/>
      <c r="I800" s="952"/>
      <c r="J800" s="952"/>
      <c r="K800" s="952"/>
      <c r="L800" s="952"/>
      <c r="M800" s="952"/>
      <c r="N800" s="952"/>
      <c r="O800" s="952"/>
      <c r="P800" s="952"/>
      <c r="Q800" s="952"/>
      <c r="R800" s="952"/>
      <c r="S800" s="952"/>
      <c r="T800" s="952"/>
      <c r="U800" s="952"/>
      <c r="V800" s="952"/>
      <c r="W800" s="952"/>
      <c r="X800" s="952"/>
      <c r="Y800" s="952"/>
      <c r="Z800" s="952"/>
    </row>
    <row r="801" spans="1:26" ht="18.75" customHeight="1" x14ac:dyDescent="0.35">
      <c r="A801" s="952"/>
      <c r="B801" s="952"/>
      <c r="C801" s="952"/>
      <c r="D801" s="952"/>
      <c r="E801" s="952"/>
      <c r="F801" s="952"/>
      <c r="G801" s="952"/>
      <c r="H801" s="952"/>
      <c r="I801" s="952"/>
      <c r="J801" s="952"/>
      <c r="K801" s="952"/>
      <c r="L801" s="952"/>
      <c r="M801" s="952"/>
      <c r="N801" s="952"/>
      <c r="O801" s="952"/>
      <c r="P801" s="952"/>
      <c r="Q801" s="952"/>
      <c r="R801" s="952"/>
      <c r="S801" s="952"/>
      <c r="T801" s="952"/>
      <c r="U801" s="952"/>
      <c r="V801" s="952"/>
      <c r="W801" s="952"/>
      <c r="X801" s="952"/>
      <c r="Y801" s="952"/>
      <c r="Z801" s="952"/>
    </row>
    <row r="802" spans="1:26" ht="18.75" customHeight="1" x14ac:dyDescent="0.35">
      <c r="A802" s="952"/>
      <c r="B802" s="952"/>
      <c r="C802" s="952"/>
      <c r="D802" s="952"/>
      <c r="E802" s="952"/>
      <c r="F802" s="952"/>
      <c r="G802" s="952"/>
      <c r="H802" s="952"/>
      <c r="I802" s="952"/>
      <c r="J802" s="952"/>
      <c r="K802" s="952"/>
      <c r="L802" s="952"/>
      <c r="M802" s="952"/>
      <c r="N802" s="952"/>
      <c r="O802" s="952"/>
      <c r="P802" s="952"/>
      <c r="Q802" s="952"/>
      <c r="R802" s="952"/>
      <c r="S802" s="952"/>
      <c r="T802" s="952"/>
      <c r="U802" s="952"/>
      <c r="V802" s="952"/>
      <c r="W802" s="952"/>
      <c r="X802" s="952"/>
      <c r="Y802" s="952"/>
      <c r="Z802" s="952"/>
    </row>
    <row r="803" spans="1:26" ht="18.75" customHeight="1" x14ac:dyDescent="0.35">
      <c r="A803" s="952"/>
      <c r="B803" s="952"/>
      <c r="C803" s="952"/>
      <c r="D803" s="952"/>
      <c r="E803" s="952"/>
      <c r="F803" s="952"/>
      <c r="G803" s="952"/>
      <c r="H803" s="952"/>
      <c r="I803" s="952"/>
      <c r="J803" s="952"/>
      <c r="K803" s="952"/>
      <c r="L803" s="952"/>
      <c r="M803" s="952"/>
      <c r="N803" s="952"/>
      <c r="O803" s="952"/>
      <c r="P803" s="952"/>
      <c r="Q803" s="952"/>
      <c r="R803" s="952"/>
      <c r="S803" s="952"/>
      <c r="T803" s="952"/>
      <c r="U803" s="952"/>
      <c r="V803" s="952"/>
      <c r="W803" s="952"/>
      <c r="X803" s="952"/>
      <c r="Y803" s="952"/>
      <c r="Z803" s="952"/>
    </row>
    <row r="804" spans="1:26" ht="18.75" customHeight="1" x14ac:dyDescent="0.35">
      <c r="A804" s="952"/>
      <c r="B804" s="952"/>
      <c r="C804" s="952"/>
      <c r="D804" s="952"/>
      <c r="E804" s="952"/>
      <c r="F804" s="952"/>
      <c r="G804" s="952"/>
      <c r="H804" s="952"/>
      <c r="I804" s="952"/>
      <c r="J804" s="952"/>
      <c r="K804" s="952"/>
      <c r="L804" s="952"/>
      <c r="M804" s="952"/>
      <c r="N804" s="952"/>
      <c r="O804" s="952"/>
      <c r="P804" s="952"/>
      <c r="Q804" s="952"/>
      <c r="R804" s="952"/>
      <c r="S804" s="952"/>
      <c r="T804" s="952"/>
      <c r="U804" s="952"/>
      <c r="V804" s="952"/>
      <c r="W804" s="952"/>
      <c r="X804" s="952"/>
      <c r="Y804" s="952"/>
      <c r="Z804" s="952"/>
    </row>
    <row r="805" spans="1:26" ht="18.75" customHeight="1" x14ac:dyDescent="0.35">
      <c r="A805" s="952"/>
      <c r="B805" s="952"/>
      <c r="C805" s="952"/>
      <c r="D805" s="952"/>
      <c r="E805" s="952"/>
      <c r="F805" s="952"/>
      <c r="G805" s="952"/>
      <c r="H805" s="952"/>
      <c r="I805" s="952"/>
      <c r="J805" s="952"/>
      <c r="K805" s="952"/>
      <c r="L805" s="952"/>
      <c r="M805" s="952"/>
      <c r="N805" s="952"/>
      <c r="O805" s="952"/>
      <c r="P805" s="952"/>
      <c r="Q805" s="952"/>
      <c r="R805" s="952"/>
      <c r="S805" s="952"/>
      <c r="T805" s="952"/>
      <c r="U805" s="952"/>
      <c r="V805" s="952"/>
      <c r="W805" s="952"/>
      <c r="X805" s="952"/>
      <c r="Y805" s="952"/>
      <c r="Z805" s="952"/>
    </row>
    <row r="806" spans="1:26" ht="18.75" customHeight="1" x14ac:dyDescent="0.35">
      <c r="A806" s="952"/>
      <c r="B806" s="952"/>
      <c r="C806" s="952"/>
      <c r="D806" s="952"/>
      <c r="E806" s="952"/>
      <c r="F806" s="952"/>
      <c r="G806" s="952"/>
      <c r="H806" s="952"/>
      <c r="I806" s="952"/>
      <c r="J806" s="952"/>
      <c r="K806" s="952"/>
      <c r="L806" s="952"/>
      <c r="M806" s="952"/>
      <c r="N806" s="952"/>
      <c r="O806" s="952"/>
      <c r="P806" s="952"/>
      <c r="Q806" s="952"/>
      <c r="R806" s="952"/>
      <c r="S806" s="952"/>
      <c r="T806" s="952"/>
      <c r="U806" s="952"/>
      <c r="V806" s="952"/>
      <c r="W806" s="952"/>
      <c r="X806" s="952"/>
      <c r="Y806" s="952"/>
      <c r="Z806" s="952"/>
    </row>
    <row r="807" spans="1:26" ht="18.75" customHeight="1" x14ac:dyDescent="0.35">
      <c r="A807" s="952"/>
      <c r="B807" s="952"/>
      <c r="C807" s="952"/>
      <c r="D807" s="952"/>
      <c r="E807" s="952"/>
      <c r="F807" s="952"/>
      <c r="G807" s="952"/>
      <c r="H807" s="952"/>
      <c r="I807" s="952"/>
      <c r="J807" s="952"/>
      <c r="K807" s="952"/>
      <c r="L807" s="952"/>
      <c r="M807" s="952"/>
      <c r="N807" s="952"/>
      <c r="O807" s="952"/>
      <c r="P807" s="952"/>
      <c r="Q807" s="952"/>
      <c r="R807" s="952"/>
      <c r="S807" s="952"/>
      <c r="T807" s="952"/>
      <c r="U807" s="952"/>
      <c r="V807" s="952"/>
      <c r="W807" s="952"/>
      <c r="X807" s="952"/>
      <c r="Y807" s="952"/>
      <c r="Z807" s="952"/>
    </row>
    <row r="808" spans="1:26" ht="18.75" customHeight="1" x14ac:dyDescent="0.35">
      <c r="A808" s="952"/>
      <c r="B808" s="952"/>
      <c r="C808" s="952"/>
      <c r="D808" s="952"/>
      <c r="E808" s="952"/>
      <c r="F808" s="952"/>
      <c r="G808" s="952"/>
      <c r="H808" s="952"/>
      <c r="I808" s="952"/>
      <c r="J808" s="952"/>
      <c r="K808" s="952"/>
      <c r="L808" s="952"/>
      <c r="M808" s="952"/>
      <c r="N808" s="952"/>
      <c r="O808" s="952"/>
      <c r="P808" s="952"/>
      <c r="Q808" s="952"/>
      <c r="R808" s="952"/>
      <c r="S808" s="952"/>
      <c r="T808" s="952"/>
      <c r="U808" s="952"/>
      <c r="V808" s="952"/>
      <c r="W808" s="952"/>
      <c r="X808" s="952"/>
      <c r="Y808" s="952"/>
      <c r="Z808" s="952"/>
    </row>
    <row r="809" spans="1:26" ht="18.75" customHeight="1" x14ac:dyDescent="0.35">
      <c r="A809" s="952"/>
      <c r="B809" s="952"/>
      <c r="C809" s="952"/>
      <c r="D809" s="952"/>
      <c r="E809" s="952"/>
      <c r="F809" s="952"/>
      <c r="G809" s="952"/>
      <c r="H809" s="952"/>
      <c r="I809" s="952"/>
      <c r="J809" s="952"/>
      <c r="K809" s="952"/>
      <c r="L809" s="952"/>
      <c r="M809" s="952"/>
      <c r="N809" s="952"/>
      <c r="O809" s="952"/>
      <c r="P809" s="952"/>
      <c r="Q809" s="952"/>
      <c r="R809" s="952"/>
      <c r="S809" s="952"/>
      <c r="T809" s="952"/>
      <c r="U809" s="952"/>
      <c r="V809" s="952"/>
      <c r="W809" s="952"/>
      <c r="X809" s="952"/>
      <c r="Y809" s="952"/>
      <c r="Z809" s="952"/>
    </row>
    <row r="810" spans="1:26" ht="18.75" customHeight="1" x14ac:dyDescent="0.35">
      <c r="A810" s="952"/>
      <c r="B810" s="952"/>
      <c r="C810" s="952"/>
      <c r="D810" s="952"/>
      <c r="E810" s="952"/>
      <c r="F810" s="952"/>
      <c r="G810" s="952"/>
      <c r="H810" s="952"/>
      <c r="I810" s="952"/>
      <c r="J810" s="952"/>
      <c r="K810" s="952"/>
      <c r="L810" s="952"/>
      <c r="M810" s="952"/>
      <c r="N810" s="952"/>
      <c r="O810" s="952"/>
      <c r="P810" s="952"/>
      <c r="Q810" s="952"/>
      <c r="R810" s="952"/>
      <c r="S810" s="952"/>
      <c r="T810" s="952"/>
      <c r="U810" s="952"/>
      <c r="V810" s="952"/>
      <c r="W810" s="952"/>
      <c r="X810" s="952"/>
      <c r="Y810" s="952"/>
      <c r="Z810" s="952"/>
    </row>
    <row r="811" spans="1:26" ht="18.75" customHeight="1" x14ac:dyDescent="0.35">
      <c r="A811" s="952"/>
      <c r="B811" s="952"/>
      <c r="C811" s="952"/>
      <c r="D811" s="952"/>
      <c r="E811" s="952"/>
      <c r="F811" s="952"/>
      <c r="G811" s="952"/>
      <c r="H811" s="952"/>
      <c r="I811" s="952"/>
      <c r="J811" s="952"/>
      <c r="K811" s="952"/>
      <c r="L811" s="952"/>
      <c r="M811" s="952"/>
      <c r="N811" s="952"/>
      <c r="O811" s="952"/>
      <c r="P811" s="952"/>
      <c r="Q811" s="952"/>
      <c r="R811" s="952"/>
      <c r="S811" s="952"/>
      <c r="T811" s="952"/>
      <c r="U811" s="952"/>
      <c r="V811" s="952"/>
      <c r="W811" s="952"/>
      <c r="X811" s="952"/>
      <c r="Y811" s="952"/>
      <c r="Z811" s="952"/>
    </row>
    <row r="812" spans="1:26" ht="18.75" customHeight="1" x14ac:dyDescent="0.35">
      <c r="A812" s="952"/>
      <c r="B812" s="952"/>
      <c r="C812" s="952"/>
      <c r="D812" s="952"/>
      <c r="E812" s="952"/>
      <c r="F812" s="952"/>
      <c r="G812" s="952"/>
      <c r="H812" s="952"/>
      <c r="I812" s="952"/>
      <c r="J812" s="952"/>
      <c r="K812" s="952"/>
      <c r="L812" s="952"/>
      <c r="M812" s="952"/>
      <c r="N812" s="952"/>
      <c r="O812" s="952"/>
      <c r="P812" s="952"/>
      <c r="Q812" s="952"/>
      <c r="R812" s="952"/>
      <c r="S812" s="952"/>
      <c r="T812" s="952"/>
      <c r="U812" s="952"/>
      <c r="V812" s="952"/>
      <c r="W812" s="952"/>
      <c r="X812" s="952"/>
      <c r="Y812" s="952"/>
      <c r="Z812" s="952"/>
    </row>
    <row r="813" spans="1:26" ht="18.75" customHeight="1" x14ac:dyDescent="0.35">
      <c r="A813" s="952"/>
      <c r="B813" s="952"/>
      <c r="C813" s="952"/>
      <c r="D813" s="952"/>
      <c r="E813" s="952"/>
      <c r="F813" s="952"/>
      <c r="G813" s="952"/>
      <c r="H813" s="952"/>
      <c r="I813" s="952"/>
      <c r="J813" s="952"/>
      <c r="K813" s="952"/>
      <c r="L813" s="952"/>
      <c r="M813" s="952"/>
      <c r="N813" s="952"/>
      <c r="O813" s="952"/>
      <c r="P813" s="952"/>
      <c r="Q813" s="952"/>
      <c r="R813" s="952"/>
      <c r="S813" s="952"/>
      <c r="T813" s="952"/>
      <c r="U813" s="952"/>
      <c r="V813" s="952"/>
      <c r="W813" s="952"/>
      <c r="X813" s="952"/>
      <c r="Y813" s="952"/>
      <c r="Z813" s="952"/>
    </row>
    <row r="814" spans="1:26" ht="18.75" customHeight="1" x14ac:dyDescent="0.35">
      <c r="A814" s="952"/>
      <c r="B814" s="952"/>
      <c r="C814" s="952"/>
      <c r="D814" s="952"/>
      <c r="E814" s="952"/>
      <c r="F814" s="952"/>
      <c r="G814" s="952"/>
      <c r="H814" s="952"/>
      <c r="I814" s="952"/>
      <c r="J814" s="952"/>
      <c r="K814" s="952"/>
      <c r="L814" s="952"/>
      <c r="M814" s="952"/>
      <c r="N814" s="952"/>
      <c r="O814" s="952"/>
      <c r="P814" s="952"/>
      <c r="Q814" s="952"/>
      <c r="R814" s="952"/>
      <c r="S814" s="952"/>
      <c r="T814" s="952"/>
      <c r="U814" s="952"/>
      <c r="V814" s="952"/>
      <c r="W814" s="952"/>
      <c r="X814" s="952"/>
      <c r="Y814" s="952"/>
      <c r="Z814" s="952"/>
    </row>
    <row r="815" spans="1:26" ht="18.75" customHeight="1" x14ac:dyDescent="0.35">
      <c r="A815" s="952"/>
      <c r="B815" s="952"/>
      <c r="C815" s="952"/>
      <c r="D815" s="952"/>
      <c r="E815" s="952"/>
      <c r="F815" s="952"/>
      <c r="G815" s="952"/>
      <c r="H815" s="952"/>
      <c r="I815" s="952"/>
      <c r="J815" s="952"/>
      <c r="K815" s="952"/>
      <c r="L815" s="952"/>
      <c r="M815" s="952"/>
      <c r="N815" s="952"/>
      <c r="O815" s="952"/>
      <c r="P815" s="952"/>
      <c r="Q815" s="952"/>
      <c r="R815" s="952"/>
      <c r="S815" s="952"/>
      <c r="T815" s="952"/>
      <c r="U815" s="952"/>
      <c r="V815" s="952"/>
      <c r="W815" s="952"/>
      <c r="X815" s="952"/>
      <c r="Y815" s="952"/>
      <c r="Z815" s="952"/>
    </row>
    <row r="816" spans="1:26" ht="18.75" customHeight="1" x14ac:dyDescent="0.35">
      <c r="A816" s="952"/>
      <c r="B816" s="952"/>
      <c r="C816" s="952"/>
      <c r="D816" s="952"/>
      <c r="E816" s="952"/>
      <c r="F816" s="952"/>
      <c r="G816" s="952"/>
      <c r="H816" s="952"/>
      <c r="I816" s="952"/>
      <c r="J816" s="952"/>
      <c r="K816" s="952"/>
      <c r="L816" s="952"/>
      <c r="M816" s="952"/>
      <c r="N816" s="952"/>
      <c r="O816" s="952"/>
      <c r="P816" s="952"/>
      <c r="Q816" s="952"/>
      <c r="R816" s="952"/>
      <c r="S816" s="952"/>
      <c r="T816" s="952"/>
      <c r="U816" s="952"/>
      <c r="V816" s="952"/>
      <c r="W816" s="952"/>
      <c r="X816" s="952"/>
      <c r="Y816" s="952"/>
      <c r="Z816" s="952"/>
    </row>
    <row r="817" spans="1:26" ht="18.75" customHeight="1" x14ac:dyDescent="0.35">
      <c r="A817" s="952"/>
      <c r="B817" s="952"/>
      <c r="C817" s="952"/>
      <c r="D817" s="952"/>
      <c r="E817" s="952"/>
      <c r="F817" s="952"/>
      <c r="G817" s="952"/>
      <c r="H817" s="952"/>
      <c r="I817" s="952"/>
      <c r="J817" s="952"/>
      <c r="K817" s="952"/>
      <c r="L817" s="952"/>
      <c r="M817" s="952"/>
      <c r="N817" s="952"/>
      <c r="O817" s="952"/>
      <c r="P817" s="952"/>
      <c r="Q817" s="952"/>
      <c r="R817" s="952"/>
      <c r="S817" s="952"/>
      <c r="T817" s="952"/>
      <c r="U817" s="952"/>
      <c r="V817" s="952"/>
      <c r="W817" s="952"/>
      <c r="X817" s="952"/>
      <c r="Y817" s="952"/>
      <c r="Z817" s="952"/>
    </row>
    <row r="818" spans="1:26" ht="18.75" customHeight="1" x14ac:dyDescent="0.35">
      <c r="A818" s="952"/>
      <c r="B818" s="952"/>
      <c r="C818" s="952"/>
      <c r="D818" s="952"/>
      <c r="E818" s="952"/>
      <c r="F818" s="952"/>
      <c r="G818" s="952"/>
      <c r="H818" s="952"/>
      <c r="I818" s="952"/>
      <c r="J818" s="952"/>
      <c r="K818" s="952"/>
      <c r="L818" s="952"/>
      <c r="M818" s="952"/>
      <c r="N818" s="952"/>
      <c r="O818" s="952"/>
      <c r="P818" s="952"/>
      <c r="Q818" s="952"/>
      <c r="R818" s="952"/>
      <c r="S818" s="952"/>
      <c r="T818" s="952"/>
      <c r="U818" s="952"/>
      <c r="V818" s="952"/>
      <c r="W818" s="952"/>
      <c r="X818" s="952"/>
      <c r="Y818" s="952"/>
      <c r="Z818" s="952"/>
    </row>
    <row r="819" spans="1:26" ht="18.75" customHeight="1" x14ac:dyDescent="0.35">
      <c r="A819" s="952"/>
      <c r="B819" s="952"/>
      <c r="C819" s="952"/>
      <c r="D819" s="952"/>
      <c r="E819" s="952"/>
      <c r="F819" s="952"/>
      <c r="G819" s="952"/>
      <c r="H819" s="952"/>
      <c r="I819" s="952"/>
      <c r="J819" s="952"/>
      <c r="K819" s="952"/>
      <c r="L819" s="952"/>
      <c r="M819" s="952"/>
      <c r="N819" s="952"/>
      <c r="O819" s="952"/>
      <c r="P819" s="952"/>
      <c r="Q819" s="952"/>
      <c r="R819" s="952"/>
      <c r="S819" s="952"/>
      <c r="T819" s="952"/>
      <c r="U819" s="952"/>
      <c r="V819" s="952"/>
      <c r="W819" s="952"/>
      <c r="X819" s="952"/>
      <c r="Y819" s="952"/>
      <c r="Z819" s="952"/>
    </row>
    <row r="820" spans="1:26" ht="18.75" customHeight="1" x14ac:dyDescent="0.35">
      <c r="A820" s="952"/>
      <c r="B820" s="952"/>
      <c r="C820" s="952"/>
      <c r="D820" s="952"/>
      <c r="E820" s="952"/>
      <c r="F820" s="952"/>
      <c r="G820" s="952"/>
      <c r="H820" s="952"/>
      <c r="I820" s="952"/>
      <c r="J820" s="952"/>
      <c r="K820" s="952"/>
      <c r="L820" s="952"/>
      <c r="M820" s="952"/>
      <c r="N820" s="952"/>
      <c r="O820" s="952"/>
      <c r="P820" s="952"/>
      <c r="Q820" s="952"/>
      <c r="R820" s="952"/>
      <c r="S820" s="952"/>
      <c r="T820" s="952"/>
      <c r="U820" s="952"/>
      <c r="V820" s="952"/>
      <c r="W820" s="952"/>
      <c r="X820" s="952"/>
      <c r="Y820" s="952"/>
      <c r="Z820" s="952"/>
    </row>
    <row r="821" spans="1:26" ht="18.75" customHeight="1" x14ac:dyDescent="0.35">
      <c r="A821" s="952"/>
      <c r="B821" s="952"/>
      <c r="C821" s="952"/>
      <c r="D821" s="952"/>
      <c r="E821" s="952"/>
      <c r="F821" s="952"/>
      <c r="G821" s="952"/>
      <c r="H821" s="952"/>
      <c r="I821" s="952"/>
      <c r="J821" s="952"/>
      <c r="K821" s="952"/>
      <c r="L821" s="952"/>
      <c r="M821" s="952"/>
      <c r="N821" s="952"/>
      <c r="O821" s="952"/>
      <c r="P821" s="952"/>
      <c r="Q821" s="952"/>
      <c r="R821" s="952"/>
      <c r="S821" s="952"/>
      <c r="T821" s="952"/>
      <c r="U821" s="952"/>
      <c r="V821" s="952"/>
      <c r="W821" s="952"/>
      <c r="X821" s="952"/>
      <c r="Y821" s="952"/>
      <c r="Z821" s="952"/>
    </row>
    <row r="822" spans="1:26" ht="18.75" customHeight="1" x14ac:dyDescent="0.35">
      <c r="A822" s="952"/>
      <c r="B822" s="952"/>
      <c r="C822" s="952"/>
      <c r="D822" s="952"/>
      <c r="E822" s="952"/>
      <c r="F822" s="952"/>
      <c r="G822" s="952"/>
      <c r="H822" s="952"/>
      <c r="I822" s="952"/>
      <c r="J822" s="952"/>
      <c r="K822" s="952"/>
      <c r="L822" s="952"/>
      <c r="M822" s="952"/>
      <c r="N822" s="952"/>
      <c r="O822" s="952"/>
      <c r="P822" s="952"/>
      <c r="Q822" s="952"/>
      <c r="R822" s="952"/>
      <c r="S822" s="952"/>
      <c r="T822" s="952"/>
      <c r="U822" s="952"/>
      <c r="V822" s="952"/>
      <c r="W822" s="952"/>
      <c r="X822" s="952"/>
      <c r="Y822" s="952"/>
      <c r="Z822" s="952"/>
    </row>
    <row r="823" spans="1:26" ht="18.75" customHeight="1" x14ac:dyDescent="0.35">
      <c r="A823" s="952"/>
      <c r="B823" s="952"/>
      <c r="C823" s="952"/>
      <c r="D823" s="952"/>
      <c r="E823" s="952"/>
      <c r="F823" s="952"/>
      <c r="G823" s="952"/>
      <c r="H823" s="952"/>
      <c r="I823" s="952"/>
      <c r="J823" s="952"/>
      <c r="K823" s="952"/>
      <c r="L823" s="952"/>
      <c r="M823" s="952"/>
      <c r="N823" s="952"/>
      <c r="O823" s="952"/>
      <c r="P823" s="952"/>
      <c r="Q823" s="952"/>
      <c r="R823" s="952"/>
      <c r="S823" s="952"/>
      <c r="T823" s="952"/>
      <c r="U823" s="952"/>
      <c r="V823" s="952"/>
      <c r="W823" s="952"/>
      <c r="X823" s="952"/>
      <c r="Y823" s="952"/>
      <c r="Z823" s="952"/>
    </row>
    <row r="824" spans="1:26" ht="18.75" customHeight="1" x14ac:dyDescent="0.35">
      <c r="A824" s="952"/>
      <c r="B824" s="952"/>
      <c r="C824" s="952"/>
      <c r="D824" s="952"/>
      <c r="E824" s="952"/>
      <c r="F824" s="952"/>
      <c r="G824" s="952"/>
      <c r="H824" s="952"/>
      <c r="I824" s="952"/>
      <c r="J824" s="952"/>
      <c r="K824" s="952"/>
      <c r="L824" s="952"/>
      <c r="M824" s="952"/>
      <c r="N824" s="952"/>
      <c r="O824" s="952"/>
      <c r="P824" s="952"/>
      <c r="Q824" s="952"/>
      <c r="R824" s="952"/>
      <c r="S824" s="952"/>
      <c r="T824" s="952"/>
      <c r="U824" s="952"/>
      <c r="V824" s="952"/>
      <c r="W824" s="952"/>
      <c r="X824" s="952"/>
      <c r="Y824" s="952"/>
      <c r="Z824" s="952"/>
    </row>
    <row r="825" spans="1:26" ht="18.75" customHeight="1" x14ac:dyDescent="0.35">
      <c r="A825" s="952"/>
      <c r="B825" s="952"/>
      <c r="C825" s="952"/>
      <c r="D825" s="952"/>
      <c r="E825" s="952"/>
      <c r="F825" s="952"/>
      <c r="G825" s="952"/>
      <c r="H825" s="952"/>
      <c r="I825" s="952"/>
      <c r="J825" s="952"/>
      <c r="K825" s="952"/>
      <c r="L825" s="952"/>
      <c r="M825" s="952"/>
      <c r="N825" s="952"/>
      <c r="O825" s="952"/>
      <c r="P825" s="952"/>
      <c r="Q825" s="952"/>
      <c r="R825" s="952"/>
      <c r="S825" s="952"/>
      <c r="T825" s="952"/>
      <c r="U825" s="952"/>
      <c r="V825" s="952"/>
      <c r="W825" s="952"/>
      <c r="X825" s="952"/>
      <c r="Y825" s="952"/>
      <c r="Z825" s="952"/>
    </row>
    <row r="826" spans="1:26" ht="18.75" customHeight="1" x14ac:dyDescent="0.35">
      <c r="A826" s="952"/>
      <c r="B826" s="952"/>
      <c r="C826" s="952"/>
      <c r="D826" s="952"/>
      <c r="E826" s="952"/>
      <c r="F826" s="952"/>
      <c r="G826" s="952"/>
      <c r="H826" s="952"/>
      <c r="I826" s="952"/>
      <c r="J826" s="952"/>
      <c r="K826" s="952"/>
      <c r="L826" s="952"/>
      <c r="M826" s="952"/>
      <c r="N826" s="952"/>
      <c r="O826" s="952"/>
      <c r="P826" s="952"/>
      <c r="Q826" s="952"/>
      <c r="R826" s="952"/>
      <c r="S826" s="952"/>
      <c r="T826" s="952"/>
      <c r="U826" s="952"/>
      <c r="V826" s="952"/>
      <c r="W826" s="952"/>
      <c r="X826" s="952"/>
      <c r="Y826" s="952"/>
      <c r="Z826" s="952"/>
    </row>
    <row r="827" spans="1:26" ht="18.75" customHeight="1" x14ac:dyDescent="0.35">
      <c r="A827" s="952"/>
      <c r="B827" s="952"/>
      <c r="C827" s="952"/>
      <c r="D827" s="952"/>
      <c r="E827" s="952"/>
      <c r="F827" s="952"/>
      <c r="G827" s="952"/>
      <c r="H827" s="952"/>
      <c r="I827" s="952"/>
      <c r="J827" s="952"/>
      <c r="K827" s="952"/>
      <c r="L827" s="952"/>
      <c r="M827" s="952"/>
      <c r="N827" s="952"/>
      <c r="O827" s="952"/>
      <c r="P827" s="952"/>
      <c r="Q827" s="952"/>
      <c r="R827" s="952"/>
      <c r="S827" s="952"/>
      <c r="T827" s="952"/>
      <c r="U827" s="952"/>
      <c r="V827" s="952"/>
      <c r="W827" s="952"/>
      <c r="X827" s="952"/>
      <c r="Y827" s="952"/>
      <c r="Z827" s="952"/>
    </row>
    <row r="828" spans="1:26" ht="18.75" customHeight="1" x14ac:dyDescent="0.35">
      <c r="A828" s="952"/>
      <c r="B828" s="952"/>
      <c r="C828" s="952"/>
      <c r="D828" s="952"/>
      <c r="E828" s="952"/>
      <c r="F828" s="952"/>
      <c r="G828" s="952"/>
      <c r="H828" s="952"/>
      <c r="I828" s="952"/>
      <c r="J828" s="952"/>
      <c r="K828" s="952"/>
      <c r="L828" s="952"/>
      <c r="M828" s="952"/>
      <c r="N828" s="952"/>
      <c r="O828" s="952"/>
      <c r="P828" s="952"/>
      <c r="Q828" s="952"/>
      <c r="R828" s="952"/>
      <c r="S828" s="952"/>
      <c r="T828" s="952"/>
      <c r="U828" s="952"/>
      <c r="V828" s="952"/>
      <c r="W828" s="952"/>
      <c r="X828" s="952"/>
      <c r="Y828" s="952"/>
      <c r="Z828" s="952"/>
    </row>
    <row r="829" spans="1:26" ht="18.75" customHeight="1" x14ac:dyDescent="0.35">
      <c r="A829" s="952"/>
      <c r="B829" s="952"/>
      <c r="C829" s="952"/>
      <c r="D829" s="952"/>
      <c r="E829" s="952"/>
      <c r="F829" s="952"/>
      <c r="G829" s="952"/>
      <c r="H829" s="952"/>
      <c r="I829" s="952"/>
      <c r="J829" s="952"/>
      <c r="K829" s="952"/>
      <c r="L829" s="952"/>
      <c r="M829" s="952"/>
      <c r="N829" s="952"/>
      <c r="O829" s="952"/>
      <c r="P829" s="952"/>
      <c r="Q829" s="952"/>
      <c r="R829" s="952"/>
      <c r="S829" s="952"/>
      <c r="T829" s="952"/>
      <c r="U829" s="952"/>
      <c r="V829" s="952"/>
      <c r="W829" s="952"/>
      <c r="X829" s="952"/>
      <c r="Y829" s="952"/>
      <c r="Z829" s="952"/>
    </row>
    <row r="830" spans="1:26" ht="18.75" customHeight="1" x14ac:dyDescent="0.35">
      <c r="A830" s="952"/>
      <c r="B830" s="952"/>
      <c r="C830" s="952"/>
      <c r="D830" s="952"/>
      <c r="E830" s="952"/>
      <c r="F830" s="952"/>
      <c r="G830" s="952"/>
      <c r="H830" s="952"/>
      <c r="I830" s="952"/>
      <c r="J830" s="952"/>
      <c r="K830" s="952"/>
      <c r="L830" s="952"/>
      <c r="M830" s="952"/>
      <c r="N830" s="952"/>
      <c r="O830" s="952"/>
      <c r="P830" s="952"/>
      <c r="Q830" s="952"/>
      <c r="R830" s="952"/>
      <c r="S830" s="952"/>
      <c r="T830" s="952"/>
      <c r="U830" s="952"/>
      <c r="V830" s="952"/>
      <c r="W830" s="952"/>
      <c r="X830" s="952"/>
      <c r="Y830" s="952"/>
      <c r="Z830" s="952"/>
    </row>
    <row r="831" spans="1:26" ht="18.75" customHeight="1" x14ac:dyDescent="0.35">
      <c r="A831" s="952"/>
      <c r="B831" s="952"/>
      <c r="C831" s="952"/>
      <c r="D831" s="952"/>
      <c r="E831" s="952"/>
      <c r="F831" s="952"/>
      <c r="G831" s="952"/>
      <c r="H831" s="952"/>
      <c r="I831" s="952"/>
      <c r="J831" s="952"/>
      <c r="K831" s="952"/>
      <c r="L831" s="952"/>
      <c r="M831" s="952"/>
      <c r="N831" s="952"/>
      <c r="O831" s="952"/>
      <c r="P831" s="952"/>
      <c r="Q831" s="952"/>
      <c r="R831" s="952"/>
      <c r="S831" s="952"/>
      <c r="T831" s="952"/>
      <c r="U831" s="952"/>
      <c r="V831" s="952"/>
      <c r="W831" s="952"/>
      <c r="X831" s="952"/>
      <c r="Y831" s="952"/>
      <c r="Z831" s="952"/>
    </row>
    <row r="832" spans="1:26" ht="18.75" customHeight="1" x14ac:dyDescent="0.35">
      <c r="A832" s="952"/>
      <c r="B832" s="952"/>
      <c r="C832" s="952"/>
      <c r="D832" s="952"/>
      <c r="E832" s="952"/>
      <c r="F832" s="952"/>
      <c r="G832" s="952"/>
      <c r="H832" s="952"/>
      <c r="I832" s="952"/>
      <c r="J832" s="952"/>
      <c r="K832" s="952"/>
      <c r="L832" s="952"/>
      <c r="M832" s="952"/>
      <c r="N832" s="952"/>
      <c r="O832" s="952"/>
      <c r="P832" s="952"/>
      <c r="Q832" s="952"/>
      <c r="R832" s="952"/>
      <c r="S832" s="952"/>
      <c r="T832" s="952"/>
      <c r="U832" s="952"/>
      <c r="V832" s="952"/>
      <c r="W832" s="952"/>
      <c r="X832" s="952"/>
      <c r="Y832" s="952"/>
      <c r="Z832" s="952"/>
    </row>
    <row r="833" spans="1:26" ht="18.75" customHeight="1" x14ac:dyDescent="0.35">
      <c r="A833" s="952"/>
      <c r="B833" s="952"/>
      <c r="C833" s="952"/>
      <c r="D833" s="952"/>
      <c r="E833" s="952"/>
      <c r="F833" s="952"/>
      <c r="G833" s="952"/>
      <c r="H833" s="952"/>
      <c r="I833" s="952"/>
      <c r="J833" s="952"/>
      <c r="K833" s="952"/>
      <c r="L833" s="952"/>
      <c r="M833" s="952"/>
      <c r="N833" s="952"/>
      <c r="O833" s="952"/>
      <c r="P833" s="952"/>
      <c r="Q833" s="952"/>
      <c r="R833" s="952"/>
      <c r="S833" s="952"/>
      <c r="T833" s="952"/>
      <c r="U833" s="952"/>
      <c r="V833" s="952"/>
      <c r="W833" s="952"/>
      <c r="X833" s="952"/>
      <c r="Y833" s="952"/>
      <c r="Z833" s="952"/>
    </row>
    <row r="834" spans="1:26" ht="18.75" customHeight="1" x14ac:dyDescent="0.35">
      <c r="A834" s="952"/>
      <c r="B834" s="952"/>
      <c r="C834" s="952"/>
      <c r="D834" s="952"/>
      <c r="E834" s="952"/>
      <c r="F834" s="952"/>
      <c r="G834" s="952"/>
      <c r="H834" s="952"/>
      <c r="I834" s="952"/>
      <c r="J834" s="952"/>
      <c r="K834" s="952"/>
      <c r="L834" s="952"/>
      <c r="M834" s="952"/>
      <c r="N834" s="952"/>
      <c r="O834" s="952"/>
      <c r="P834" s="952"/>
      <c r="Q834" s="952"/>
      <c r="R834" s="952"/>
      <c r="S834" s="952"/>
      <c r="T834" s="952"/>
      <c r="U834" s="952"/>
      <c r="V834" s="952"/>
      <c r="W834" s="952"/>
      <c r="X834" s="952"/>
      <c r="Y834" s="952"/>
      <c r="Z834" s="952"/>
    </row>
    <row r="835" spans="1:26" ht="18.75" customHeight="1" x14ac:dyDescent="0.35">
      <c r="A835" s="952"/>
      <c r="B835" s="952"/>
      <c r="C835" s="952"/>
      <c r="D835" s="952"/>
      <c r="E835" s="952"/>
      <c r="F835" s="952"/>
      <c r="G835" s="952"/>
      <c r="H835" s="952"/>
      <c r="I835" s="952"/>
      <c r="J835" s="952"/>
      <c r="K835" s="952"/>
      <c r="L835" s="952"/>
      <c r="M835" s="952"/>
      <c r="N835" s="952"/>
      <c r="O835" s="952"/>
      <c r="P835" s="952"/>
      <c r="Q835" s="952"/>
      <c r="R835" s="952"/>
      <c r="S835" s="952"/>
      <c r="T835" s="952"/>
      <c r="U835" s="952"/>
      <c r="V835" s="952"/>
      <c r="W835" s="952"/>
      <c r="X835" s="952"/>
      <c r="Y835" s="952"/>
      <c r="Z835" s="952"/>
    </row>
    <row r="836" spans="1:26" ht="18.75" customHeight="1" x14ac:dyDescent="0.35">
      <c r="A836" s="952"/>
      <c r="B836" s="952"/>
      <c r="C836" s="952"/>
      <c r="D836" s="952"/>
      <c r="E836" s="952"/>
      <c r="F836" s="952"/>
      <c r="G836" s="952"/>
      <c r="H836" s="952"/>
      <c r="I836" s="952"/>
      <c r="J836" s="952"/>
      <c r="K836" s="952"/>
      <c r="L836" s="952"/>
      <c r="M836" s="952"/>
      <c r="N836" s="952"/>
      <c r="O836" s="952"/>
      <c r="P836" s="952"/>
      <c r="Q836" s="952"/>
      <c r="R836" s="952"/>
      <c r="S836" s="952"/>
      <c r="T836" s="952"/>
      <c r="U836" s="952"/>
      <c r="V836" s="952"/>
      <c r="W836" s="952"/>
      <c r="X836" s="952"/>
      <c r="Y836" s="952"/>
      <c r="Z836" s="952"/>
    </row>
    <row r="837" spans="1:26" ht="18.75" customHeight="1" x14ac:dyDescent="0.35">
      <c r="A837" s="952"/>
      <c r="B837" s="952"/>
      <c r="C837" s="952"/>
      <c r="D837" s="952"/>
      <c r="E837" s="952"/>
      <c r="F837" s="952"/>
      <c r="G837" s="952"/>
      <c r="H837" s="952"/>
      <c r="I837" s="952"/>
      <c r="J837" s="952"/>
      <c r="K837" s="952"/>
      <c r="L837" s="952"/>
      <c r="M837" s="952"/>
      <c r="N837" s="952"/>
      <c r="O837" s="952"/>
      <c r="P837" s="952"/>
      <c r="Q837" s="952"/>
      <c r="R837" s="952"/>
      <c r="S837" s="952"/>
      <c r="T837" s="952"/>
      <c r="U837" s="952"/>
      <c r="V837" s="952"/>
      <c r="W837" s="952"/>
      <c r="X837" s="952"/>
      <c r="Y837" s="952"/>
      <c r="Z837" s="952"/>
    </row>
    <row r="838" spans="1:26" ht="18.75" customHeight="1" x14ac:dyDescent="0.35">
      <c r="A838" s="952"/>
      <c r="B838" s="952"/>
      <c r="C838" s="952"/>
      <c r="D838" s="952"/>
      <c r="E838" s="952"/>
      <c r="F838" s="952"/>
      <c r="G838" s="952"/>
      <c r="H838" s="952"/>
      <c r="I838" s="952"/>
      <c r="J838" s="952"/>
      <c r="K838" s="952"/>
      <c r="L838" s="952"/>
      <c r="M838" s="952"/>
      <c r="N838" s="952"/>
      <c r="O838" s="952"/>
      <c r="P838" s="952"/>
      <c r="Q838" s="952"/>
      <c r="R838" s="952"/>
      <c r="S838" s="952"/>
      <c r="T838" s="952"/>
      <c r="U838" s="952"/>
      <c r="V838" s="952"/>
      <c r="W838" s="952"/>
      <c r="X838" s="952"/>
      <c r="Y838" s="952"/>
      <c r="Z838" s="952"/>
    </row>
    <row r="839" spans="1:26" ht="18.75" customHeight="1" x14ac:dyDescent="0.35">
      <c r="A839" s="952"/>
      <c r="B839" s="952"/>
      <c r="C839" s="952"/>
      <c r="D839" s="952"/>
      <c r="E839" s="952"/>
      <c r="F839" s="952"/>
      <c r="G839" s="952"/>
      <c r="H839" s="952"/>
      <c r="I839" s="952"/>
      <c r="J839" s="952"/>
      <c r="K839" s="952"/>
      <c r="L839" s="952"/>
      <c r="M839" s="952"/>
      <c r="N839" s="952"/>
      <c r="O839" s="952"/>
      <c r="P839" s="952"/>
      <c r="Q839" s="952"/>
      <c r="R839" s="952"/>
      <c r="S839" s="952"/>
      <c r="T839" s="952"/>
      <c r="U839" s="952"/>
      <c r="V839" s="952"/>
      <c r="W839" s="952"/>
      <c r="X839" s="952"/>
      <c r="Y839" s="952"/>
      <c r="Z839" s="952"/>
    </row>
    <row r="840" spans="1:26" ht="18.75" customHeight="1" x14ac:dyDescent="0.35">
      <c r="A840" s="952"/>
      <c r="B840" s="952"/>
      <c r="C840" s="952"/>
      <c r="D840" s="952"/>
      <c r="E840" s="952"/>
      <c r="F840" s="952"/>
      <c r="G840" s="952"/>
      <c r="H840" s="952"/>
      <c r="I840" s="952"/>
      <c r="J840" s="952"/>
      <c r="K840" s="952"/>
      <c r="L840" s="952"/>
      <c r="M840" s="952"/>
      <c r="N840" s="952"/>
      <c r="O840" s="952"/>
      <c r="P840" s="952"/>
      <c r="Q840" s="952"/>
      <c r="R840" s="952"/>
      <c r="S840" s="952"/>
      <c r="T840" s="952"/>
      <c r="U840" s="952"/>
      <c r="V840" s="952"/>
      <c r="W840" s="952"/>
      <c r="X840" s="952"/>
      <c r="Y840" s="952"/>
      <c r="Z840" s="952"/>
    </row>
    <row r="841" spans="1:26" ht="18.75" customHeight="1" x14ac:dyDescent="0.35">
      <c r="A841" s="952"/>
      <c r="B841" s="952"/>
      <c r="C841" s="952"/>
      <c r="D841" s="952"/>
      <c r="E841" s="952"/>
      <c r="F841" s="952"/>
      <c r="G841" s="952"/>
      <c r="H841" s="952"/>
      <c r="I841" s="952"/>
      <c r="J841" s="952"/>
      <c r="K841" s="952"/>
      <c r="L841" s="952"/>
      <c r="M841" s="952"/>
      <c r="N841" s="952"/>
      <c r="O841" s="952"/>
      <c r="P841" s="952"/>
      <c r="Q841" s="952"/>
      <c r="R841" s="952"/>
      <c r="S841" s="952"/>
      <c r="T841" s="952"/>
      <c r="U841" s="952"/>
      <c r="V841" s="952"/>
      <c r="W841" s="952"/>
      <c r="X841" s="952"/>
      <c r="Y841" s="952"/>
      <c r="Z841" s="952"/>
    </row>
    <row r="842" spans="1:26" ht="18.75" customHeight="1" x14ac:dyDescent="0.35">
      <c r="A842" s="952"/>
      <c r="B842" s="952"/>
      <c r="C842" s="952"/>
      <c r="D842" s="952"/>
      <c r="E842" s="952"/>
      <c r="F842" s="952"/>
      <c r="G842" s="952"/>
      <c r="H842" s="952"/>
      <c r="I842" s="952"/>
      <c r="J842" s="952"/>
      <c r="K842" s="952"/>
      <c r="L842" s="952"/>
      <c r="M842" s="952"/>
      <c r="N842" s="952"/>
      <c r="O842" s="952"/>
      <c r="P842" s="952"/>
      <c r="Q842" s="952"/>
      <c r="R842" s="952"/>
      <c r="S842" s="952"/>
      <c r="T842" s="952"/>
      <c r="U842" s="952"/>
      <c r="V842" s="952"/>
      <c r="W842" s="952"/>
      <c r="X842" s="952"/>
      <c r="Y842" s="952"/>
      <c r="Z842" s="952"/>
    </row>
    <row r="843" spans="1:26" ht="18.75" customHeight="1" x14ac:dyDescent="0.35">
      <c r="A843" s="952"/>
      <c r="B843" s="952"/>
      <c r="C843" s="952"/>
      <c r="D843" s="952"/>
      <c r="E843" s="952"/>
      <c r="F843" s="952"/>
      <c r="G843" s="952"/>
      <c r="H843" s="952"/>
      <c r="I843" s="952"/>
      <c r="J843" s="952"/>
      <c r="K843" s="952"/>
      <c r="L843" s="952"/>
      <c r="M843" s="952"/>
      <c r="N843" s="952"/>
      <c r="O843" s="952"/>
      <c r="P843" s="952"/>
      <c r="Q843" s="952"/>
      <c r="R843" s="952"/>
      <c r="S843" s="952"/>
      <c r="T843" s="952"/>
      <c r="U843" s="952"/>
      <c r="V843" s="952"/>
      <c r="W843" s="952"/>
      <c r="X843" s="952"/>
      <c r="Y843" s="952"/>
      <c r="Z843" s="952"/>
    </row>
    <row r="844" spans="1:26" ht="18.75" customHeight="1" x14ac:dyDescent="0.35">
      <c r="A844" s="952"/>
      <c r="B844" s="952"/>
      <c r="C844" s="952"/>
      <c r="D844" s="952"/>
      <c r="E844" s="952"/>
      <c r="F844" s="952"/>
      <c r="G844" s="952"/>
      <c r="H844" s="952"/>
      <c r="I844" s="952"/>
      <c r="J844" s="952"/>
      <c r="K844" s="952"/>
      <c r="L844" s="952"/>
      <c r="M844" s="952"/>
      <c r="N844" s="952"/>
      <c r="O844" s="952"/>
      <c r="P844" s="952"/>
      <c r="Q844" s="952"/>
      <c r="R844" s="952"/>
      <c r="S844" s="952"/>
      <c r="T844" s="952"/>
      <c r="U844" s="952"/>
      <c r="V844" s="952"/>
      <c r="W844" s="952"/>
      <c r="X844" s="952"/>
      <c r="Y844" s="952"/>
      <c r="Z844" s="952"/>
    </row>
    <row r="845" spans="1:26" ht="18.75" customHeight="1" x14ac:dyDescent="0.35">
      <c r="A845" s="952"/>
      <c r="B845" s="952"/>
      <c r="C845" s="952"/>
      <c r="D845" s="952"/>
      <c r="E845" s="952"/>
      <c r="F845" s="952"/>
      <c r="G845" s="952"/>
      <c r="H845" s="952"/>
      <c r="I845" s="952"/>
      <c r="J845" s="952"/>
      <c r="K845" s="952"/>
      <c r="L845" s="952"/>
      <c r="M845" s="952"/>
      <c r="N845" s="952"/>
      <c r="O845" s="952"/>
      <c r="P845" s="952"/>
      <c r="Q845" s="952"/>
      <c r="R845" s="952"/>
      <c r="S845" s="952"/>
      <c r="T845" s="952"/>
      <c r="U845" s="952"/>
      <c r="V845" s="952"/>
      <c r="W845" s="952"/>
      <c r="X845" s="952"/>
      <c r="Y845" s="952"/>
      <c r="Z845" s="952"/>
    </row>
    <row r="846" spans="1:26" ht="18.75" customHeight="1" x14ac:dyDescent="0.35">
      <c r="A846" s="952"/>
      <c r="B846" s="952"/>
      <c r="C846" s="952"/>
      <c r="D846" s="952"/>
      <c r="E846" s="952"/>
      <c r="F846" s="952"/>
      <c r="G846" s="952"/>
      <c r="H846" s="952"/>
      <c r="I846" s="952"/>
      <c r="J846" s="952"/>
      <c r="K846" s="952"/>
      <c r="L846" s="952"/>
      <c r="M846" s="952"/>
      <c r="N846" s="952"/>
      <c r="O846" s="952"/>
      <c r="P846" s="952"/>
      <c r="Q846" s="952"/>
      <c r="R846" s="952"/>
      <c r="S846" s="952"/>
      <c r="T846" s="952"/>
      <c r="U846" s="952"/>
      <c r="V846" s="952"/>
      <c r="W846" s="952"/>
      <c r="X846" s="952"/>
      <c r="Y846" s="952"/>
      <c r="Z846" s="952"/>
    </row>
    <row r="847" spans="1:26" ht="18.75" customHeight="1" x14ac:dyDescent="0.35">
      <c r="A847" s="952"/>
      <c r="B847" s="952"/>
      <c r="C847" s="952"/>
      <c r="D847" s="952"/>
      <c r="E847" s="952"/>
      <c r="F847" s="952"/>
      <c r="G847" s="952"/>
      <c r="H847" s="952"/>
      <c r="I847" s="952"/>
      <c r="J847" s="952"/>
      <c r="K847" s="952"/>
      <c r="L847" s="952"/>
      <c r="M847" s="952"/>
      <c r="N847" s="952"/>
      <c r="O847" s="952"/>
      <c r="P847" s="952"/>
      <c r="Q847" s="952"/>
      <c r="R847" s="952"/>
      <c r="S847" s="952"/>
      <c r="T847" s="952"/>
      <c r="U847" s="952"/>
      <c r="V847" s="952"/>
      <c r="W847" s="952"/>
      <c r="X847" s="952"/>
      <c r="Y847" s="952"/>
      <c r="Z847" s="952"/>
    </row>
    <row r="848" spans="1:26" ht="18.75" customHeight="1" x14ac:dyDescent="0.35">
      <c r="A848" s="952"/>
      <c r="B848" s="952"/>
      <c r="C848" s="952"/>
      <c r="D848" s="952"/>
      <c r="E848" s="952"/>
      <c r="F848" s="952"/>
      <c r="G848" s="952"/>
      <c r="H848" s="952"/>
      <c r="I848" s="952"/>
      <c r="J848" s="952"/>
      <c r="K848" s="952"/>
      <c r="L848" s="952"/>
      <c r="M848" s="952"/>
      <c r="N848" s="952"/>
      <c r="O848" s="952"/>
      <c r="P848" s="952"/>
      <c r="Q848" s="952"/>
      <c r="R848" s="952"/>
      <c r="S848" s="952"/>
      <c r="T848" s="952"/>
      <c r="U848" s="952"/>
      <c r="V848" s="952"/>
      <c r="W848" s="952"/>
      <c r="X848" s="952"/>
      <c r="Y848" s="952"/>
      <c r="Z848" s="952"/>
    </row>
    <row r="849" spans="1:26" ht="18.75" customHeight="1" x14ac:dyDescent="0.35">
      <c r="A849" s="952"/>
      <c r="B849" s="952"/>
      <c r="C849" s="952"/>
      <c r="D849" s="952"/>
      <c r="E849" s="952"/>
      <c r="F849" s="952"/>
      <c r="G849" s="952"/>
      <c r="H849" s="952"/>
      <c r="I849" s="952"/>
      <c r="J849" s="952"/>
      <c r="K849" s="952"/>
      <c r="L849" s="952"/>
      <c r="M849" s="952"/>
      <c r="N849" s="952"/>
      <c r="O849" s="952"/>
      <c r="P849" s="952"/>
      <c r="Q849" s="952"/>
      <c r="R849" s="952"/>
      <c r="S849" s="952"/>
      <c r="T849" s="952"/>
      <c r="U849" s="952"/>
      <c r="V849" s="952"/>
      <c r="W849" s="952"/>
      <c r="X849" s="952"/>
      <c r="Y849" s="952"/>
      <c r="Z849" s="952"/>
    </row>
    <row r="850" spans="1:26" ht="18.75" customHeight="1" x14ac:dyDescent="0.35">
      <c r="A850" s="952"/>
      <c r="B850" s="952"/>
      <c r="C850" s="952"/>
      <c r="D850" s="952"/>
      <c r="E850" s="952"/>
      <c r="F850" s="952"/>
      <c r="G850" s="952"/>
      <c r="H850" s="952"/>
      <c r="I850" s="952"/>
      <c r="J850" s="952"/>
      <c r="K850" s="952"/>
      <c r="L850" s="952"/>
      <c r="M850" s="952"/>
      <c r="N850" s="952"/>
      <c r="O850" s="952"/>
      <c r="P850" s="952"/>
      <c r="Q850" s="952"/>
      <c r="R850" s="952"/>
      <c r="S850" s="952"/>
      <c r="T850" s="952"/>
      <c r="U850" s="952"/>
      <c r="V850" s="952"/>
      <c r="W850" s="952"/>
      <c r="X850" s="952"/>
      <c r="Y850" s="952"/>
      <c r="Z850" s="952"/>
    </row>
    <row r="851" spans="1:26" ht="18.75" customHeight="1" x14ac:dyDescent="0.35">
      <c r="A851" s="952"/>
      <c r="B851" s="952"/>
      <c r="C851" s="952"/>
      <c r="D851" s="952"/>
      <c r="E851" s="952"/>
      <c r="F851" s="952"/>
      <c r="G851" s="952"/>
      <c r="H851" s="952"/>
      <c r="I851" s="952"/>
      <c r="J851" s="952"/>
      <c r="K851" s="952"/>
      <c r="L851" s="952"/>
      <c r="M851" s="952"/>
      <c r="N851" s="952"/>
      <c r="O851" s="952"/>
      <c r="P851" s="952"/>
      <c r="Q851" s="952"/>
      <c r="R851" s="952"/>
      <c r="S851" s="952"/>
      <c r="T851" s="952"/>
      <c r="U851" s="952"/>
      <c r="V851" s="952"/>
      <c r="W851" s="952"/>
      <c r="X851" s="952"/>
      <c r="Y851" s="952"/>
      <c r="Z851" s="952"/>
    </row>
    <row r="852" spans="1:26" ht="18.75" customHeight="1" x14ac:dyDescent="0.35">
      <c r="A852" s="952"/>
      <c r="B852" s="952"/>
      <c r="C852" s="952"/>
      <c r="D852" s="952"/>
      <c r="E852" s="952"/>
      <c r="F852" s="952"/>
      <c r="G852" s="952"/>
      <c r="H852" s="952"/>
      <c r="I852" s="952"/>
      <c r="J852" s="952"/>
      <c r="K852" s="952"/>
      <c r="L852" s="952"/>
      <c r="M852" s="952"/>
      <c r="N852" s="952"/>
      <c r="O852" s="952"/>
      <c r="P852" s="952"/>
      <c r="Q852" s="952"/>
      <c r="R852" s="952"/>
      <c r="S852" s="952"/>
      <c r="T852" s="952"/>
      <c r="U852" s="952"/>
      <c r="V852" s="952"/>
      <c r="W852" s="952"/>
      <c r="X852" s="952"/>
      <c r="Y852" s="952"/>
      <c r="Z852" s="952"/>
    </row>
    <row r="853" spans="1:26" ht="18.75" customHeight="1" x14ac:dyDescent="0.35">
      <c r="A853" s="952"/>
      <c r="B853" s="952"/>
      <c r="C853" s="952"/>
      <c r="D853" s="952"/>
      <c r="E853" s="952"/>
      <c r="F853" s="952"/>
      <c r="G853" s="952"/>
      <c r="H853" s="952"/>
      <c r="I853" s="952"/>
      <c r="J853" s="952"/>
      <c r="K853" s="952"/>
      <c r="L853" s="952"/>
      <c r="M853" s="952"/>
      <c r="N853" s="952"/>
      <c r="O853" s="952"/>
      <c r="P853" s="952"/>
      <c r="Q853" s="952"/>
      <c r="R853" s="952"/>
      <c r="S853" s="952"/>
      <c r="T853" s="952"/>
      <c r="U853" s="952"/>
      <c r="V853" s="952"/>
      <c r="W853" s="952"/>
      <c r="X853" s="952"/>
      <c r="Y853" s="952"/>
      <c r="Z853" s="952"/>
    </row>
    <row r="854" spans="1:26" ht="18.75" customHeight="1" x14ac:dyDescent="0.35">
      <c r="A854" s="952"/>
      <c r="B854" s="952"/>
      <c r="C854" s="952"/>
      <c r="D854" s="952"/>
      <c r="E854" s="952"/>
      <c r="F854" s="952"/>
      <c r="G854" s="952"/>
      <c r="H854" s="952"/>
      <c r="I854" s="952"/>
      <c r="J854" s="952"/>
      <c r="K854" s="952"/>
      <c r="L854" s="952"/>
      <c r="M854" s="952"/>
      <c r="N854" s="952"/>
      <c r="O854" s="952"/>
      <c r="P854" s="952"/>
      <c r="Q854" s="952"/>
      <c r="R854" s="952"/>
      <c r="S854" s="952"/>
      <c r="T854" s="952"/>
      <c r="U854" s="952"/>
      <c r="V854" s="952"/>
      <c r="W854" s="952"/>
      <c r="X854" s="952"/>
      <c r="Y854" s="952"/>
      <c r="Z854" s="952"/>
    </row>
    <row r="855" spans="1:26" ht="18.75" customHeight="1" x14ac:dyDescent="0.35">
      <c r="A855" s="952"/>
      <c r="B855" s="952"/>
      <c r="C855" s="952"/>
      <c r="D855" s="952"/>
      <c r="E855" s="952"/>
      <c r="F855" s="952"/>
      <c r="G855" s="952"/>
      <c r="H855" s="952"/>
      <c r="I855" s="952"/>
      <c r="J855" s="952"/>
      <c r="K855" s="952"/>
      <c r="L855" s="952"/>
      <c r="M855" s="952"/>
      <c r="N855" s="952"/>
      <c r="O855" s="952"/>
      <c r="P855" s="952"/>
      <c r="Q855" s="952"/>
      <c r="R855" s="952"/>
      <c r="S855" s="952"/>
      <c r="T855" s="952"/>
      <c r="U855" s="952"/>
      <c r="V855" s="952"/>
      <c r="W855" s="952"/>
      <c r="X855" s="952"/>
      <c r="Y855" s="952"/>
      <c r="Z855" s="952"/>
    </row>
    <row r="856" spans="1:26" ht="18.75" customHeight="1" x14ac:dyDescent="0.35">
      <c r="A856" s="952"/>
      <c r="B856" s="952"/>
      <c r="C856" s="952"/>
      <c r="D856" s="952"/>
      <c r="E856" s="952"/>
      <c r="F856" s="952"/>
      <c r="G856" s="952"/>
      <c r="H856" s="952"/>
      <c r="I856" s="952"/>
      <c r="J856" s="952"/>
      <c r="K856" s="952"/>
      <c r="L856" s="952"/>
      <c r="M856" s="952"/>
      <c r="N856" s="952"/>
      <c r="O856" s="952"/>
      <c r="P856" s="952"/>
      <c r="Q856" s="952"/>
      <c r="R856" s="952"/>
      <c r="S856" s="952"/>
      <c r="T856" s="952"/>
      <c r="U856" s="952"/>
      <c r="V856" s="952"/>
      <c r="W856" s="952"/>
      <c r="X856" s="952"/>
      <c r="Y856" s="952"/>
      <c r="Z856" s="952"/>
    </row>
    <row r="857" spans="1:26" ht="18.75" customHeight="1" x14ac:dyDescent="0.35">
      <c r="A857" s="952"/>
      <c r="B857" s="952"/>
      <c r="C857" s="952"/>
      <c r="D857" s="952"/>
      <c r="E857" s="952"/>
      <c r="F857" s="952"/>
      <c r="G857" s="952"/>
      <c r="H857" s="952"/>
      <c r="I857" s="952"/>
      <c r="J857" s="952"/>
      <c r="K857" s="952"/>
      <c r="L857" s="952"/>
      <c r="M857" s="952"/>
      <c r="N857" s="952"/>
      <c r="O857" s="952"/>
      <c r="P857" s="952"/>
      <c r="Q857" s="952"/>
      <c r="R857" s="952"/>
      <c r="S857" s="952"/>
      <c r="T857" s="952"/>
      <c r="U857" s="952"/>
      <c r="V857" s="952"/>
      <c r="W857" s="952"/>
      <c r="X857" s="952"/>
      <c r="Y857" s="952"/>
      <c r="Z857" s="952"/>
    </row>
    <row r="858" spans="1:26" ht="18.75" customHeight="1" x14ac:dyDescent="0.35">
      <c r="A858" s="952"/>
      <c r="B858" s="952"/>
      <c r="C858" s="952"/>
      <c r="D858" s="952"/>
      <c r="E858" s="952"/>
      <c r="F858" s="952"/>
      <c r="G858" s="952"/>
      <c r="H858" s="952"/>
      <c r="I858" s="952"/>
      <c r="J858" s="952"/>
      <c r="K858" s="952"/>
      <c r="L858" s="952"/>
      <c r="M858" s="952"/>
      <c r="N858" s="952"/>
      <c r="O858" s="952"/>
      <c r="P858" s="952"/>
      <c r="Q858" s="952"/>
      <c r="R858" s="952"/>
      <c r="S858" s="952"/>
      <c r="T858" s="952"/>
      <c r="U858" s="952"/>
      <c r="V858" s="952"/>
      <c r="W858" s="952"/>
      <c r="X858" s="952"/>
      <c r="Y858" s="952"/>
      <c r="Z858" s="952"/>
    </row>
    <row r="859" spans="1:26" ht="18.75" customHeight="1" x14ac:dyDescent="0.35">
      <c r="A859" s="952"/>
      <c r="B859" s="952"/>
      <c r="C859" s="952"/>
      <c r="D859" s="952"/>
      <c r="E859" s="952"/>
      <c r="F859" s="952"/>
      <c r="G859" s="952"/>
      <c r="H859" s="952"/>
      <c r="I859" s="952"/>
      <c r="J859" s="952"/>
      <c r="K859" s="952"/>
      <c r="L859" s="952"/>
      <c r="M859" s="952"/>
      <c r="N859" s="952"/>
      <c r="O859" s="952"/>
      <c r="P859" s="952"/>
      <c r="Q859" s="952"/>
      <c r="R859" s="952"/>
      <c r="S859" s="952"/>
      <c r="T859" s="952"/>
      <c r="U859" s="952"/>
      <c r="V859" s="952"/>
      <c r="W859" s="952"/>
      <c r="X859" s="952"/>
      <c r="Y859" s="952"/>
      <c r="Z859" s="952"/>
    </row>
    <row r="860" spans="1:26" ht="18.75" customHeight="1" x14ac:dyDescent="0.35">
      <c r="A860" s="952"/>
      <c r="B860" s="952"/>
      <c r="C860" s="952"/>
      <c r="D860" s="952"/>
      <c r="E860" s="952"/>
      <c r="F860" s="952"/>
      <c r="G860" s="952"/>
      <c r="H860" s="952"/>
      <c r="I860" s="952"/>
      <c r="J860" s="952"/>
      <c r="K860" s="952"/>
      <c r="L860" s="952"/>
      <c r="M860" s="952"/>
      <c r="N860" s="952"/>
      <c r="O860" s="952"/>
      <c r="P860" s="952"/>
      <c r="Q860" s="952"/>
      <c r="R860" s="952"/>
      <c r="S860" s="952"/>
      <c r="T860" s="952"/>
      <c r="U860" s="952"/>
      <c r="V860" s="952"/>
      <c r="W860" s="952"/>
      <c r="X860" s="952"/>
      <c r="Y860" s="952"/>
      <c r="Z860" s="952"/>
    </row>
    <row r="861" spans="1:26" ht="18.75" customHeight="1" x14ac:dyDescent="0.35">
      <c r="A861" s="952"/>
      <c r="B861" s="952"/>
      <c r="C861" s="952"/>
      <c r="D861" s="952"/>
      <c r="E861" s="952"/>
      <c r="F861" s="952"/>
      <c r="G861" s="952"/>
      <c r="H861" s="952"/>
      <c r="I861" s="952"/>
      <c r="J861" s="952"/>
      <c r="K861" s="952"/>
      <c r="L861" s="952"/>
      <c r="M861" s="952"/>
      <c r="N861" s="952"/>
      <c r="O861" s="952"/>
      <c r="P861" s="952"/>
      <c r="Q861" s="952"/>
      <c r="R861" s="952"/>
      <c r="S861" s="952"/>
      <c r="T861" s="952"/>
      <c r="U861" s="952"/>
      <c r="V861" s="952"/>
      <c r="W861" s="952"/>
      <c r="X861" s="952"/>
      <c r="Y861" s="952"/>
      <c r="Z861" s="952"/>
    </row>
    <row r="862" spans="1:26" ht="18.75" customHeight="1" x14ac:dyDescent="0.35">
      <c r="A862" s="952"/>
      <c r="B862" s="952"/>
      <c r="C862" s="952"/>
      <c r="D862" s="952"/>
      <c r="E862" s="952"/>
      <c r="F862" s="952"/>
      <c r="G862" s="952"/>
      <c r="H862" s="952"/>
      <c r="I862" s="952"/>
      <c r="J862" s="952"/>
      <c r="K862" s="952"/>
      <c r="L862" s="952"/>
      <c r="M862" s="952"/>
      <c r="N862" s="952"/>
      <c r="O862" s="952"/>
      <c r="P862" s="952"/>
      <c r="Q862" s="952"/>
      <c r="R862" s="952"/>
      <c r="S862" s="952"/>
      <c r="T862" s="952"/>
      <c r="U862" s="952"/>
      <c r="V862" s="952"/>
      <c r="W862" s="952"/>
      <c r="X862" s="952"/>
      <c r="Y862" s="952"/>
      <c r="Z862" s="952"/>
    </row>
    <row r="863" spans="1:26" ht="18.75" customHeight="1" x14ac:dyDescent="0.35">
      <c r="A863" s="952"/>
      <c r="B863" s="952"/>
      <c r="C863" s="952"/>
      <c r="D863" s="952"/>
      <c r="E863" s="952"/>
      <c r="F863" s="952"/>
      <c r="G863" s="952"/>
      <c r="H863" s="952"/>
      <c r="I863" s="952"/>
      <c r="J863" s="952"/>
      <c r="K863" s="952"/>
      <c r="L863" s="952"/>
      <c r="M863" s="952"/>
      <c r="N863" s="952"/>
      <c r="O863" s="952"/>
      <c r="P863" s="952"/>
      <c r="Q863" s="952"/>
      <c r="R863" s="952"/>
      <c r="S863" s="952"/>
      <c r="T863" s="952"/>
      <c r="U863" s="952"/>
      <c r="V863" s="952"/>
      <c r="W863" s="952"/>
      <c r="X863" s="952"/>
      <c r="Y863" s="952"/>
      <c r="Z863" s="952"/>
    </row>
    <row r="864" spans="1:26" ht="18.75" customHeight="1" x14ac:dyDescent="0.35">
      <c r="A864" s="952"/>
      <c r="B864" s="952"/>
      <c r="C864" s="952"/>
      <c r="D864" s="952"/>
      <c r="E864" s="952"/>
      <c r="F864" s="952"/>
      <c r="G864" s="952"/>
      <c r="H864" s="952"/>
      <c r="I864" s="952"/>
      <c r="J864" s="952"/>
      <c r="K864" s="952"/>
      <c r="L864" s="952"/>
      <c r="M864" s="952"/>
      <c r="N864" s="952"/>
      <c r="O864" s="952"/>
      <c r="P864" s="952"/>
      <c r="Q864" s="952"/>
      <c r="R864" s="952"/>
      <c r="S864" s="952"/>
      <c r="T864" s="952"/>
      <c r="U864" s="952"/>
      <c r="V864" s="952"/>
      <c r="W864" s="952"/>
      <c r="X864" s="952"/>
      <c r="Y864" s="952"/>
      <c r="Z864" s="952"/>
    </row>
    <row r="865" spans="1:26" ht="18.75" customHeight="1" x14ac:dyDescent="0.35">
      <c r="A865" s="952"/>
      <c r="B865" s="952"/>
      <c r="C865" s="952"/>
      <c r="D865" s="952"/>
      <c r="E865" s="952"/>
      <c r="F865" s="952"/>
      <c r="G865" s="952"/>
      <c r="H865" s="952"/>
      <c r="I865" s="952"/>
      <c r="J865" s="952"/>
      <c r="K865" s="952"/>
      <c r="L865" s="952"/>
      <c r="M865" s="952"/>
      <c r="N865" s="952"/>
      <c r="O865" s="952"/>
      <c r="P865" s="952"/>
      <c r="Q865" s="952"/>
      <c r="R865" s="952"/>
      <c r="S865" s="952"/>
      <c r="T865" s="952"/>
      <c r="U865" s="952"/>
      <c r="V865" s="952"/>
      <c r="W865" s="952"/>
      <c r="X865" s="952"/>
      <c r="Y865" s="952"/>
      <c r="Z865" s="952"/>
    </row>
    <row r="866" spans="1:26" ht="18.75" customHeight="1" x14ac:dyDescent="0.35">
      <c r="A866" s="952"/>
      <c r="B866" s="952"/>
      <c r="C866" s="952"/>
      <c r="D866" s="952"/>
      <c r="E866" s="952"/>
      <c r="F866" s="952"/>
      <c r="G866" s="952"/>
      <c r="H866" s="952"/>
      <c r="I866" s="952"/>
      <c r="J866" s="952"/>
      <c r="K866" s="952"/>
      <c r="L866" s="952"/>
      <c r="M866" s="952"/>
      <c r="N866" s="952"/>
      <c r="O866" s="952"/>
      <c r="P866" s="952"/>
      <c r="Q866" s="952"/>
      <c r="R866" s="952"/>
      <c r="S866" s="952"/>
      <c r="T866" s="952"/>
      <c r="U866" s="952"/>
      <c r="V866" s="952"/>
      <c r="W866" s="952"/>
      <c r="X866" s="952"/>
      <c r="Y866" s="952"/>
      <c r="Z866" s="952"/>
    </row>
    <row r="867" spans="1:26" ht="18.75" customHeight="1" x14ac:dyDescent="0.35">
      <c r="A867" s="952"/>
      <c r="B867" s="952"/>
      <c r="C867" s="952"/>
      <c r="D867" s="952"/>
      <c r="E867" s="952"/>
      <c r="F867" s="952"/>
      <c r="G867" s="952"/>
      <c r="H867" s="952"/>
      <c r="I867" s="952"/>
      <c r="J867" s="952"/>
      <c r="K867" s="952"/>
      <c r="L867" s="952"/>
      <c r="M867" s="952"/>
      <c r="N867" s="952"/>
      <c r="O867" s="952"/>
      <c r="P867" s="952"/>
      <c r="Q867" s="952"/>
      <c r="R867" s="952"/>
      <c r="S867" s="952"/>
      <c r="T867" s="952"/>
      <c r="U867" s="952"/>
      <c r="V867" s="952"/>
      <c r="W867" s="952"/>
      <c r="X867" s="952"/>
      <c r="Y867" s="952"/>
      <c r="Z867" s="952"/>
    </row>
    <row r="868" spans="1:26" ht="18.75" customHeight="1" x14ac:dyDescent="0.35">
      <c r="A868" s="952"/>
      <c r="B868" s="952"/>
      <c r="C868" s="952"/>
      <c r="D868" s="952"/>
      <c r="E868" s="952"/>
      <c r="F868" s="952"/>
      <c r="G868" s="952"/>
      <c r="H868" s="952"/>
      <c r="I868" s="952"/>
      <c r="J868" s="952"/>
      <c r="K868" s="952"/>
      <c r="L868" s="952"/>
      <c r="M868" s="952"/>
      <c r="N868" s="952"/>
      <c r="O868" s="952"/>
      <c r="P868" s="952"/>
      <c r="Q868" s="952"/>
      <c r="R868" s="952"/>
      <c r="S868" s="952"/>
      <c r="T868" s="952"/>
      <c r="U868" s="952"/>
      <c r="V868" s="952"/>
      <c r="W868" s="952"/>
      <c r="X868" s="952"/>
      <c r="Y868" s="952"/>
      <c r="Z868" s="952"/>
    </row>
    <row r="869" spans="1:26" ht="18.75" customHeight="1" x14ac:dyDescent="0.35">
      <c r="A869" s="952"/>
      <c r="B869" s="952"/>
      <c r="C869" s="952"/>
      <c r="D869" s="952"/>
      <c r="E869" s="952"/>
      <c r="F869" s="952"/>
      <c r="G869" s="952"/>
      <c r="H869" s="952"/>
      <c r="I869" s="952"/>
      <c r="J869" s="952"/>
      <c r="K869" s="952"/>
      <c r="L869" s="952"/>
      <c r="M869" s="952"/>
      <c r="N869" s="952"/>
      <c r="O869" s="952"/>
      <c r="P869" s="952"/>
      <c r="Q869" s="952"/>
      <c r="R869" s="952"/>
      <c r="S869" s="952"/>
      <c r="T869" s="952"/>
      <c r="U869" s="952"/>
      <c r="V869" s="952"/>
      <c r="W869" s="952"/>
      <c r="X869" s="952"/>
      <c r="Y869" s="952"/>
      <c r="Z869" s="952"/>
    </row>
    <row r="870" spans="1:26" ht="18.75" customHeight="1" x14ac:dyDescent="0.35">
      <c r="A870" s="952"/>
      <c r="B870" s="952"/>
      <c r="C870" s="952"/>
      <c r="D870" s="952"/>
      <c r="E870" s="952"/>
      <c r="F870" s="952"/>
      <c r="G870" s="952"/>
      <c r="H870" s="952"/>
      <c r="I870" s="952"/>
      <c r="J870" s="952"/>
      <c r="K870" s="952"/>
      <c r="L870" s="952"/>
      <c r="M870" s="952"/>
      <c r="N870" s="952"/>
      <c r="O870" s="952"/>
      <c r="P870" s="952"/>
      <c r="Q870" s="952"/>
      <c r="R870" s="952"/>
      <c r="S870" s="952"/>
      <c r="T870" s="952"/>
      <c r="U870" s="952"/>
      <c r="V870" s="952"/>
      <c r="W870" s="952"/>
      <c r="X870" s="952"/>
      <c r="Y870" s="952"/>
      <c r="Z870" s="952"/>
    </row>
    <row r="871" spans="1:26" ht="18.75" customHeight="1" x14ac:dyDescent="0.35">
      <c r="A871" s="952"/>
      <c r="B871" s="952"/>
      <c r="C871" s="952"/>
      <c r="D871" s="952"/>
      <c r="E871" s="952"/>
      <c r="F871" s="952"/>
      <c r="G871" s="952"/>
      <c r="H871" s="952"/>
      <c r="I871" s="952"/>
      <c r="J871" s="952"/>
      <c r="K871" s="952"/>
      <c r="L871" s="952"/>
      <c r="M871" s="952"/>
      <c r="N871" s="952"/>
      <c r="O871" s="952"/>
      <c r="P871" s="952"/>
      <c r="Q871" s="952"/>
      <c r="R871" s="952"/>
      <c r="S871" s="952"/>
      <c r="T871" s="952"/>
      <c r="U871" s="952"/>
      <c r="V871" s="952"/>
      <c r="W871" s="952"/>
      <c r="X871" s="952"/>
      <c r="Y871" s="952"/>
      <c r="Z871" s="952"/>
    </row>
    <row r="872" spans="1:26" ht="18.75" customHeight="1" x14ac:dyDescent="0.35">
      <c r="A872" s="952"/>
      <c r="B872" s="952"/>
      <c r="C872" s="952"/>
      <c r="D872" s="952"/>
      <c r="E872" s="952"/>
      <c r="F872" s="952"/>
      <c r="G872" s="952"/>
      <c r="H872" s="952"/>
      <c r="I872" s="952"/>
      <c r="J872" s="952"/>
      <c r="K872" s="952"/>
      <c r="L872" s="952"/>
      <c r="M872" s="952"/>
      <c r="N872" s="952"/>
      <c r="O872" s="952"/>
      <c r="P872" s="952"/>
      <c r="Q872" s="952"/>
      <c r="R872" s="952"/>
      <c r="S872" s="952"/>
      <c r="T872" s="952"/>
      <c r="U872" s="952"/>
      <c r="V872" s="952"/>
      <c r="W872" s="952"/>
      <c r="X872" s="952"/>
      <c r="Y872" s="952"/>
      <c r="Z872" s="952"/>
    </row>
    <row r="873" spans="1:26" ht="18.75" customHeight="1" x14ac:dyDescent="0.35">
      <c r="A873" s="952"/>
      <c r="B873" s="952"/>
      <c r="C873" s="952"/>
      <c r="D873" s="952"/>
      <c r="E873" s="952"/>
      <c r="F873" s="952"/>
      <c r="G873" s="952"/>
      <c r="H873" s="952"/>
      <c r="I873" s="952"/>
      <c r="J873" s="952"/>
      <c r="K873" s="952"/>
      <c r="L873" s="952"/>
      <c r="M873" s="952"/>
      <c r="N873" s="952"/>
      <c r="O873" s="952"/>
      <c r="P873" s="952"/>
      <c r="Q873" s="952"/>
      <c r="R873" s="952"/>
      <c r="S873" s="952"/>
      <c r="T873" s="952"/>
      <c r="U873" s="952"/>
      <c r="V873" s="952"/>
      <c r="W873" s="952"/>
      <c r="X873" s="952"/>
      <c r="Y873" s="952"/>
      <c r="Z873" s="952"/>
    </row>
    <row r="874" spans="1:26" ht="18.75" customHeight="1" x14ac:dyDescent="0.35">
      <c r="A874" s="952"/>
      <c r="B874" s="952"/>
      <c r="C874" s="952"/>
      <c r="D874" s="952"/>
      <c r="E874" s="952"/>
      <c r="F874" s="952"/>
      <c r="G874" s="952"/>
      <c r="H874" s="952"/>
      <c r="I874" s="952"/>
      <c r="J874" s="952"/>
      <c r="K874" s="952"/>
      <c r="L874" s="952"/>
      <c r="M874" s="952"/>
      <c r="N874" s="952"/>
      <c r="O874" s="952"/>
      <c r="P874" s="952"/>
      <c r="Q874" s="952"/>
      <c r="R874" s="952"/>
      <c r="S874" s="952"/>
      <c r="T874" s="952"/>
      <c r="U874" s="952"/>
      <c r="V874" s="952"/>
      <c r="W874" s="952"/>
      <c r="X874" s="952"/>
      <c r="Y874" s="952"/>
      <c r="Z874" s="952"/>
    </row>
    <row r="875" spans="1:26" ht="18.75" customHeight="1" x14ac:dyDescent="0.35">
      <c r="A875" s="952"/>
      <c r="B875" s="952"/>
      <c r="C875" s="952"/>
      <c r="D875" s="952"/>
      <c r="E875" s="952"/>
      <c r="F875" s="952"/>
      <c r="G875" s="952"/>
      <c r="H875" s="952"/>
      <c r="I875" s="952"/>
      <c r="J875" s="952"/>
      <c r="K875" s="952"/>
      <c r="L875" s="952"/>
      <c r="M875" s="952"/>
      <c r="N875" s="952"/>
      <c r="O875" s="952"/>
      <c r="P875" s="952"/>
      <c r="Q875" s="952"/>
      <c r="R875" s="952"/>
      <c r="S875" s="952"/>
      <c r="T875" s="952"/>
      <c r="U875" s="952"/>
      <c r="V875" s="952"/>
      <c r="W875" s="952"/>
      <c r="X875" s="952"/>
      <c r="Y875" s="952"/>
      <c r="Z875" s="952"/>
    </row>
    <row r="876" spans="1:26" ht="18.75" customHeight="1" x14ac:dyDescent="0.35">
      <c r="A876" s="952"/>
      <c r="B876" s="952"/>
      <c r="C876" s="952"/>
      <c r="D876" s="952"/>
      <c r="E876" s="952"/>
      <c r="F876" s="952"/>
      <c r="G876" s="952"/>
      <c r="H876" s="952"/>
      <c r="I876" s="952"/>
      <c r="J876" s="952"/>
      <c r="K876" s="952"/>
      <c r="L876" s="952"/>
      <c r="M876" s="952"/>
      <c r="N876" s="952"/>
      <c r="O876" s="952"/>
      <c r="P876" s="952"/>
      <c r="Q876" s="952"/>
      <c r="R876" s="952"/>
      <c r="S876" s="952"/>
      <c r="T876" s="952"/>
      <c r="U876" s="952"/>
      <c r="V876" s="952"/>
      <c r="W876" s="952"/>
      <c r="X876" s="952"/>
      <c r="Y876" s="952"/>
      <c r="Z876" s="952"/>
    </row>
    <row r="877" spans="1:26" ht="18.75" customHeight="1" x14ac:dyDescent="0.35">
      <c r="A877" s="952"/>
      <c r="B877" s="952"/>
      <c r="C877" s="952"/>
      <c r="D877" s="952"/>
      <c r="E877" s="952"/>
      <c r="F877" s="952"/>
      <c r="G877" s="952"/>
      <c r="H877" s="952"/>
      <c r="I877" s="952"/>
      <c r="J877" s="952"/>
      <c r="K877" s="952"/>
      <c r="L877" s="952"/>
      <c r="M877" s="952"/>
      <c r="N877" s="952"/>
      <c r="O877" s="952"/>
      <c r="P877" s="952"/>
      <c r="Q877" s="952"/>
      <c r="R877" s="952"/>
      <c r="S877" s="952"/>
      <c r="T877" s="952"/>
      <c r="U877" s="952"/>
      <c r="V877" s="952"/>
      <c r="W877" s="952"/>
      <c r="X877" s="952"/>
      <c r="Y877" s="952"/>
      <c r="Z877" s="952"/>
    </row>
    <row r="878" spans="1:26" ht="18.75" customHeight="1" x14ac:dyDescent="0.35">
      <c r="A878" s="952"/>
      <c r="B878" s="952"/>
      <c r="C878" s="952"/>
      <c r="D878" s="952"/>
      <c r="E878" s="952"/>
      <c r="F878" s="952"/>
      <c r="G878" s="952"/>
      <c r="H878" s="952"/>
      <c r="I878" s="952"/>
      <c r="J878" s="952"/>
      <c r="K878" s="952"/>
      <c r="L878" s="952"/>
      <c r="M878" s="952"/>
      <c r="N878" s="952"/>
      <c r="O878" s="952"/>
      <c r="P878" s="952"/>
      <c r="Q878" s="952"/>
      <c r="R878" s="952"/>
      <c r="S878" s="952"/>
      <c r="T878" s="952"/>
      <c r="U878" s="952"/>
      <c r="V878" s="952"/>
      <c r="W878" s="952"/>
      <c r="X878" s="952"/>
      <c r="Y878" s="952"/>
      <c r="Z878" s="952"/>
    </row>
    <row r="879" spans="1:26" ht="18.75" customHeight="1" x14ac:dyDescent="0.35">
      <c r="A879" s="952"/>
      <c r="B879" s="952"/>
      <c r="C879" s="952"/>
      <c r="D879" s="952"/>
      <c r="E879" s="952"/>
      <c r="F879" s="952"/>
      <c r="G879" s="952"/>
      <c r="H879" s="952"/>
      <c r="I879" s="952"/>
      <c r="J879" s="952"/>
      <c r="K879" s="952"/>
      <c r="L879" s="952"/>
      <c r="M879" s="952"/>
      <c r="N879" s="952"/>
      <c r="O879" s="952"/>
      <c r="P879" s="952"/>
      <c r="Q879" s="952"/>
      <c r="R879" s="952"/>
      <c r="S879" s="952"/>
      <c r="T879" s="952"/>
      <c r="U879" s="952"/>
      <c r="V879" s="952"/>
      <c r="W879" s="952"/>
      <c r="X879" s="952"/>
      <c r="Y879" s="952"/>
      <c r="Z879" s="952"/>
    </row>
    <row r="880" spans="1:26" ht="18.75" customHeight="1" x14ac:dyDescent="0.35">
      <c r="A880" s="952"/>
      <c r="B880" s="952"/>
      <c r="C880" s="952"/>
      <c r="D880" s="952"/>
      <c r="E880" s="952"/>
      <c r="F880" s="952"/>
      <c r="G880" s="952"/>
      <c r="H880" s="952"/>
      <c r="I880" s="952"/>
      <c r="J880" s="952"/>
      <c r="K880" s="952"/>
      <c r="L880" s="952"/>
      <c r="M880" s="952"/>
      <c r="N880" s="952"/>
      <c r="O880" s="952"/>
      <c r="P880" s="952"/>
      <c r="Q880" s="952"/>
      <c r="R880" s="952"/>
      <c r="S880" s="952"/>
      <c r="T880" s="952"/>
      <c r="U880" s="952"/>
      <c r="V880" s="952"/>
      <c r="W880" s="952"/>
      <c r="X880" s="952"/>
      <c r="Y880" s="952"/>
      <c r="Z880" s="952"/>
    </row>
    <row r="881" spans="1:26" ht="18.75" customHeight="1" x14ac:dyDescent="0.35">
      <c r="A881" s="952"/>
      <c r="B881" s="952"/>
      <c r="C881" s="952"/>
      <c r="D881" s="952"/>
      <c r="E881" s="952"/>
      <c r="F881" s="952"/>
      <c r="G881" s="952"/>
      <c r="H881" s="952"/>
      <c r="I881" s="952"/>
      <c r="J881" s="952"/>
      <c r="K881" s="952"/>
      <c r="L881" s="952"/>
      <c r="M881" s="952"/>
      <c r="N881" s="952"/>
      <c r="O881" s="952"/>
      <c r="P881" s="952"/>
      <c r="Q881" s="952"/>
      <c r="R881" s="952"/>
      <c r="S881" s="952"/>
      <c r="T881" s="952"/>
      <c r="U881" s="952"/>
      <c r="V881" s="952"/>
      <c r="W881" s="952"/>
      <c r="X881" s="952"/>
      <c r="Y881" s="952"/>
      <c r="Z881" s="952"/>
    </row>
    <row r="882" spans="1:26" ht="18.75" customHeight="1" x14ac:dyDescent="0.35">
      <c r="A882" s="952"/>
      <c r="B882" s="952"/>
      <c r="C882" s="952"/>
      <c r="D882" s="952"/>
      <c r="E882" s="952"/>
      <c r="F882" s="952"/>
      <c r="G882" s="952"/>
      <c r="H882" s="952"/>
      <c r="I882" s="952"/>
      <c r="J882" s="952"/>
      <c r="K882" s="952"/>
      <c r="L882" s="952"/>
      <c r="M882" s="952"/>
      <c r="N882" s="952"/>
      <c r="O882" s="952"/>
      <c r="P882" s="952"/>
      <c r="Q882" s="952"/>
      <c r="R882" s="952"/>
      <c r="S882" s="952"/>
      <c r="T882" s="952"/>
      <c r="U882" s="952"/>
      <c r="V882" s="952"/>
      <c r="W882" s="952"/>
      <c r="X882" s="952"/>
      <c r="Y882" s="952"/>
      <c r="Z882" s="952"/>
    </row>
    <row r="883" spans="1:26" ht="18.75" customHeight="1" x14ac:dyDescent="0.35">
      <c r="A883" s="952"/>
      <c r="B883" s="952"/>
      <c r="C883" s="952"/>
      <c r="D883" s="952"/>
      <c r="E883" s="952"/>
      <c r="F883" s="952"/>
      <c r="G883" s="952"/>
      <c r="H883" s="952"/>
      <c r="I883" s="952"/>
      <c r="J883" s="952"/>
      <c r="K883" s="952"/>
      <c r="L883" s="952"/>
      <c r="M883" s="952"/>
      <c r="N883" s="952"/>
      <c r="O883" s="952"/>
      <c r="P883" s="952"/>
      <c r="Q883" s="952"/>
      <c r="R883" s="952"/>
      <c r="S883" s="952"/>
      <c r="T883" s="952"/>
      <c r="U883" s="952"/>
      <c r="V883" s="952"/>
      <c r="W883" s="952"/>
      <c r="X883" s="952"/>
      <c r="Y883" s="952"/>
      <c r="Z883" s="952"/>
    </row>
    <row r="884" spans="1:26" ht="18.75" customHeight="1" x14ac:dyDescent="0.35">
      <c r="A884" s="952"/>
      <c r="B884" s="952"/>
      <c r="C884" s="952"/>
      <c r="D884" s="952"/>
      <c r="E884" s="952"/>
      <c r="F884" s="952"/>
      <c r="G884" s="952"/>
      <c r="H884" s="952"/>
      <c r="I884" s="952"/>
      <c r="J884" s="952"/>
      <c r="K884" s="952"/>
      <c r="L884" s="952"/>
      <c r="M884" s="952"/>
      <c r="N884" s="952"/>
      <c r="O884" s="952"/>
      <c r="P884" s="952"/>
      <c r="Q884" s="952"/>
      <c r="R884" s="952"/>
      <c r="S884" s="952"/>
      <c r="T884" s="952"/>
      <c r="U884" s="952"/>
      <c r="V884" s="952"/>
      <c r="W884" s="952"/>
      <c r="X884" s="952"/>
      <c r="Y884" s="952"/>
      <c r="Z884" s="952"/>
    </row>
    <row r="885" spans="1:26" ht="18.75" customHeight="1" x14ac:dyDescent="0.35">
      <c r="A885" s="952"/>
      <c r="B885" s="952"/>
      <c r="C885" s="952"/>
      <c r="D885" s="952"/>
      <c r="E885" s="952"/>
      <c r="F885" s="952"/>
      <c r="G885" s="952"/>
      <c r="H885" s="952"/>
      <c r="I885" s="952"/>
      <c r="J885" s="952"/>
      <c r="K885" s="952"/>
      <c r="L885" s="952"/>
      <c r="M885" s="952"/>
      <c r="N885" s="952"/>
      <c r="O885" s="952"/>
      <c r="P885" s="952"/>
      <c r="Q885" s="952"/>
      <c r="R885" s="952"/>
      <c r="S885" s="952"/>
      <c r="T885" s="952"/>
      <c r="U885" s="952"/>
      <c r="V885" s="952"/>
      <c r="W885" s="952"/>
      <c r="X885" s="952"/>
      <c r="Y885" s="952"/>
      <c r="Z885" s="952"/>
    </row>
    <row r="886" spans="1:26" ht="18.75" customHeight="1" x14ac:dyDescent="0.35">
      <c r="A886" s="952"/>
      <c r="B886" s="952"/>
      <c r="C886" s="952"/>
      <c r="D886" s="952"/>
      <c r="E886" s="952"/>
      <c r="F886" s="952"/>
      <c r="G886" s="952"/>
      <c r="H886" s="952"/>
      <c r="I886" s="952"/>
      <c r="J886" s="952"/>
      <c r="K886" s="952"/>
      <c r="L886" s="952"/>
      <c r="M886" s="952"/>
      <c r="N886" s="952"/>
      <c r="O886" s="952"/>
      <c r="P886" s="952"/>
      <c r="Q886" s="952"/>
      <c r="R886" s="952"/>
      <c r="S886" s="952"/>
      <c r="T886" s="952"/>
      <c r="U886" s="952"/>
      <c r="V886" s="952"/>
      <c r="W886" s="952"/>
      <c r="X886" s="952"/>
      <c r="Y886" s="952"/>
      <c r="Z886" s="952"/>
    </row>
    <row r="887" spans="1:26" ht="18.75" customHeight="1" x14ac:dyDescent="0.35">
      <c r="A887" s="952"/>
      <c r="B887" s="952"/>
      <c r="C887" s="952"/>
      <c r="D887" s="952"/>
      <c r="E887" s="952"/>
      <c r="F887" s="952"/>
      <c r="G887" s="952"/>
      <c r="H887" s="952"/>
      <c r="I887" s="952"/>
      <c r="J887" s="952"/>
      <c r="K887" s="952"/>
      <c r="L887" s="952"/>
      <c r="M887" s="952"/>
      <c r="N887" s="952"/>
      <c r="O887" s="952"/>
      <c r="P887" s="952"/>
      <c r="Q887" s="952"/>
      <c r="R887" s="952"/>
      <c r="S887" s="952"/>
      <c r="T887" s="952"/>
      <c r="U887" s="952"/>
      <c r="V887" s="952"/>
      <c r="W887" s="952"/>
      <c r="X887" s="952"/>
      <c r="Y887" s="952"/>
      <c r="Z887" s="952"/>
    </row>
    <row r="888" spans="1:26" ht="18.75" customHeight="1" x14ac:dyDescent="0.35">
      <c r="A888" s="952"/>
      <c r="B888" s="952"/>
      <c r="C888" s="952"/>
      <c r="D888" s="952"/>
      <c r="E888" s="952"/>
      <c r="F888" s="952"/>
      <c r="G888" s="952"/>
      <c r="H888" s="952"/>
      <c r="I888" s="952"/>
      <c r="J888" s="952"/>
      <c r="K888" s="952"/>
      <c r="L888" s="952"/>
      <c r="M888" s="952"/>
      <c r="N888" s="952"/>
      <c r="O888" s="952"/>
      <c r="P888" s="952"/>
      <c r="Q888" s="952"/>
      <c r="R888" s="952"/>
      <c r="S888" s="952"/>
      <c r="T888" s="952"/>
      <c r="U888" s="952"/>
      <c r="V888" s="952"/>
      <c r="W888" s="952"/>
      <c r="X888" s="952"/>
      <c r="Y888" s="952"/>
      <c r="Z888" s="952"/>
    </row>
    <row r="889" spans="1:26" ht="18.75" customHeight="1" x14ac:dyDescent="0.35">
      <c r="A889" s="952"/>
      <c r="B889" s="952"/>
      <c r="C889" s="952"/>
      <c r="D889" s="952"/>
      <c r="E889" s="952"/>
      <c r="F889" s="952"/>
      <c r="G889" s="952"/>
      <c r="H889" s="952"/>
      <c r="I889" s="952"/>
      <c r="J889" s="952"/>
      <c r="K889" s="952"/>
      <c r="L889" s="952"/>
      <c r="M889" s="952"/>
      <c r="N889" s="952"/>
      <c r="O889" s="952"/>
      <c r="P889" s="952"/>
      <c r="Q889" s="952"/>
      <c r="R889" s="952"/>
      <c r="S889" s="952"/>
      <c r="T889" s="952"/>
      <c r="U889" s="952"/>
      <c r="V889" s="952"/>
      <c r="W889" s="952"/>
      <c r="X889" s="952"/>
      <c r="Y889" s="952"/>
      <c r="Z889" s="952"/>
    </row>
    <row r="890" spans="1:26" ht="18.75" customHeight="1" x14ac:dyDescent="0.35">
      <c r="A890" s="952"/>
      <c r="B890" s="952"/>
      <c r="C890" s="952"/>
      <c r="D890" s="952"/>
      <c r="E890" s="952"/>
      <c r="F890" s="952"/>
      <c r="G890" s="952"/>
      <c r="H890" s="952"/>
      <c r="I890" s="952"/>
      <c r="J890" s="952"/>
      <c r="K890" s="952"/>
      <c r="L890" s="952"/>
      <c r="M890" s="952"/>
      <c r="N890" s="952"/>
      <c r="O890" s="952"/>
      <c r="P890" s="952"/>
      <c r="Q890" s="952"/>
      <c r="R890" s="952"/>
      <c r="S890" s="952"/>
      <c r="T890" s="952"/>
      <c r="U890" s="952"/>
      <c r="V890" s="952"/>
      <c r="W890" s="952"/>
      <c r="X890" s="952"/>
      <c r="Y890" s="952"/>
      <c r="Z890" s="952"/>
    </row>
    <row r="891" spans="1:26" ht="18.75" customHeight="1" x14ac:dyDescent="0.35">
      <c r="A891" s="952"/>
      <c r="B891" s="952"/>
      <c r="C891" s="952"/>
      <c r="D891" s="952"/>
      <c r="E891" s="952"/>
      <c r="F891" s="952"/>
      <c r="G891" s="952"/>
      <c r="H891" s="952"/>
      <c r="I891" s="952"/>
      <c r="J891" s="952"/>
      <c r="K891" s="952"/>
      <c r="L891" s="952"/>
      <c r="M891" s="952"/>
      <c r="N891" s="952"/>
      <c r="O891" s="952"/>
      <c r="P891" s="952"/>
      <c r="Q891" s="952"/>
      <c r="R891" s="952"/>
      <c r="S891" s="952"/>
      <c r="T891" s="952"/>
      <c r="U891" s="952"/>
      <c r="V891" s="952"/>
      <c r="W891" s="952"/>
      <c r="X891" s="952"/>
      <c r="Y891" s="952"/>
      <c r="Z891" s="952"/>
    </row>
    <row r="892" spans="1:26" ht="18.75" customHeight="1" x14ac:dyDescent="0.35">
      <c r="A892" s="952"/>
      <c r="B892" s="952"/>
      <c r="C892" s="952"/>
      <c r="D892" s="952"/>
      <c r="E892" s="952"/>
      <c r="F892" s="952"/>
      <c r="G892" s="952"/>
      <c r="H892" s="952"/>
      <c r="I892" s="952"/>
      <c r="J892" s="952"/>
      <c r="K892" s="952"/>
      <c r="L892" s="952"/>
      <c r="M892" s="952"/>
      <c r="N892" s="952"/>
      <c r="O892" s="952"/>
      <c r="P892" s="952"/>
      <c r="Q892" s="952"/>
      <c r="R892" s="952"/>
      <c r="S892" s="952"/>
      <c r="T892" s="952"/>
      <c r="U892" s="952"/>
      <c r="V892" s="952"/>
      <c r="W892" s="952"/>
      <c r="X892" s="952"/>
      <c r="Y892" s="952"/>
      <c r="Z892" s="952"/>
    </row>
    <row r="893" spans="1:26" ht="18.75" customHeight="1" x14ac:dyDescent="0.35">
      <c r="A893" s="952"/>
      <c r="B893" s="952"/>
      <c r="C893" s="952"/>
      <c r="D893" s="952"/>
      <c r="E893" s="952"/>
      <c r="F893" s="952"/>
      <c r="G893" s="952"/>
      <c r="H893" s="952"/>
      <c r="I893" s="952"/>
      <c r="J893" s="952"/>
      <c r="K893" s="952"/>
      <c r="L893" s="952"/>
      <c r="M893" s="952"/>
      <c r="N893" s="952"/>
      <c r="O893" s="952"/>
      <c r="P893" s="952"/>
      <c r="Q893" s="952"/>
      <c r="R893" s="952"/>
      <c r="S893" s="952"/>
      <c r="T893" s="952"/>
      <c r="U893" s="952"/>
      <c r="V893" s="952"/>
      <c r="W893" s="952"/>
      <c r="X893" s="952"/>
      <c r="Y893" s="952"/>
      <c r="Z893" s="952"/>
    </row>
    <row r="894" spans="1:26" ht="18.75" customHeight="1" x14ac:dyDescent="0.35">
      <c r="A894" s="952"/>
      <c r="B894" s="952"/>
      <c r="C894" s="952"/>
      <c r="D894" s="952"/>
      <c r="E894" s="952"/>
      <c r="F894" s="952"/>
      <c r="G894" s="952"/>
      <c r="H894" s="952"/>
      <c r="I894" s="952"/>
      <c r="J894" s="952"/>
      <c r="K894" s="952"/>
      <c r="L894" s="952"/>
      <c r="M894" s="952"/>
      <c r="N894" s="952"/>
      <c r="O894" s="952"/>
      <c r="P894" s="952"/>
      <c r="Q894" s="952"/>
      <c r="R894" s="952"/>
      <c r="S894" s="952"/>
      <c r="T894" s="952"/>
      <c r="U894" s="952"/>
      <c r="V894" s="952"/>
      <c r="W894" s="952"/>
      <c r="X894" s="952"/>
      <c r="Y894" s="952"/>
      <c r="Z894" s="952"/>
    </row>
    <row r="895" spans="1:26" ht="18.75" customHeight="1" x14ac:dyDescent="0.35">
      <c r="A895" s="952"/>
      <c r="B895" s="952"/>
      <c r="C895" s="952"/>
      <c r="D895" s="952"/>
      <c r="E895" s="952"/>
      <c r="F895" s="952"/>
      <c r="G895" s="952"/>
      <c r="H895" s="952"/>
      <c r="I895" s="952"/>
      <c r="J895" s="952"/>
      <c r="K895" s="952"/>
      <c r="L895" s="952"/>
      <c r="M895" s="952"/>
      <c r="N895" s="952"/>
      <c r="O895" s="952"/>
      <c r="P895" s="952"/>
      <c r="Q895" s="952"/>
      <c r="R895" s="952"/>
      <c r="S895" s="952"/>
      <c r="T895" s="952"/>
      <c r="U895" s="952"/>
      <c r="V895" s="952"/>
      <c r="W895" s="952"/>
      <c r="X895" s="952"/>
      <c r="Y895" s="952"/>
      <c r="Z895" s="952"/>
    </row>
    <row r="896" spans="1:26" ht="18.75" customHeight="1" x14ac:dyDescent="0.35">
      <c r="A896" s="952"/>
      <c r="B896" s="952"/>
      <c r="C896" s="952"/>
      <c r="D896" s="952"/>
      <c r="E896" s="952"/>
      <c r="F896" s="952"/>
      <c r="G896" s="952"/>
      <c r="H896" s="952"/>
      <c r="I896" s="952"/>
      <c r="J896" s="952"/>
      <c r="K896" s="952"/>
      <c r="L896" s="952"/>
      <c r="M896" s="952"/>
      <c r="N896" s="952"/>
      <c r="O896" s="952"/>
      <c r="P896" s="952"/>
      <c r="Q896" s="952"/>
      <c r="R896" s="952"/>
      <c r="S896" s="952"/>
      <c r="T896" s="952"/>
      <c r="U896" s="952"/>
      <c r="V896" s="952"/>
      <c r="W896" s="952"/>
      <c r="X896" s="952"/>
      <c r="Y896" s="952"/>
      <c r="Z896" s="952"/>
    </row>
    <row r="897" spans="1:26" ht="18.75" customHeight="1" x14ac:dyDescent="0.35">
      <c r="A897" s="952"/>
      <c r="B897" s="952"/>
      <c r="C897" s="952"/>
      <c r="D897" s="952"/>
      <c r="E897" s="952"/>
      <c r="F897" s="952"/>
      <c r="G897" s="952"/>
      <c r="H897" s="952"/>
      <c r="I897" s="952"/>
      <c r="J897" s="952"/>
      <c r="K897" s="952"/>
      <c r="L897" s="952"/>
      <c r="M897" s="952"/>
      <c r="N897" s="952"/>
      <c r="O897" s="952"/>
      <c r="P897" s="952"/>
      <c r="Q897" s="952"/>
      <c r="R897" s="952"/>
      <c r="S897" s="952"/>
      <c r="T897" s="952"/>
      <c r="U897" s="952"/>
      <c r="V897" s="952"/>
      <c r="W897" s="952"/>
      <c r="X897" s="952"/>
      <c r="Y897" s="952"/>
      <c r="Z897" s="952"/>
    </row>
    <row r="898" spans="1:26" ht="18.75" customHeight="1" x14ac:dyDescent="0.35">
      <c r="A898" s="952"/>
      <c r="B898" s="952"/>
      <c r="C898" s="952"/>
      <c r="D898" s="952"/>
      <c r="E898" s="952"/>
      <c r="F898" s="952"/>
      <c r="G898" s="952"/>
      <c r="H898" s="952"/>
      <c r="I898" s="952"/>
      <c r="J898" s="952"/>
      <c r="K898" s="952"/>
      <c r="L898" s="952"/>
      <c r="M898" s="952"/>
      <c r="N898" s="952"/>
      <c r="O898" s="952"/>
      <c r="P898" s="952"/>
      <c r="Q898" s="952"/>
      <c r="R898" s="952"/>
      <c r="S898" s="952"/>
      <c r="T898" s="952"/>
      <c r="U898" s="952"/>
      <c r="V898" s="952"/>
      <c r="W898" s="952"/>
      <c r="X898" s="952"/>
      <c r="Y898" s="952"/>
      <c r="Z898" s="952"/>
    </row>
    <row r="899" spans="1:26" ht="18.75" customHeight="1" x14ac:dyDescent="0.35">
      <c r="A899" s="952"/>
      <c r="B899" s="952"/>
      <c r="C899" s="952"/>
      <c r="D899" s="952"/>
      <c r="E899" s="952"/>
      <c r="F899" s="952"/>
      <c r="G899" s="952"/>
      <c r="H899" s="952"/>
      <c r="I899" s="952"/>
      <c r="J899" s="952"/>
      <c r="K899" s="952"/>
      <c r="L899" s="952"/>
      <c r="M899" s="952"/>
      <c r="N899" s="952"/>
      <c r="O899" s="952"/>
      <c r="P899" s="952"/>
      <c r="Q899" s="952"/>
      <c r="R899" s="952"/>
      <c r="S899" s="952"/>
      <c r="T899" s="952"/>
      <c r="U899" s="952"/>
      <c r="V899" s="952"/>
      <c r="W899" s="952"/>
      <c r="X899" s="952"/>
      <c r="Y899" s="952"/>
      <c r="Z899" s="952"/>
    </row>
    <row r="900" spans="1:26" ht="18.75" customHeight="1" x14ac:dyDescent="0.35">
      <c r="A900" s="952"/>
      <c r="B900" s="952"/>
      <c r="C900" s="952"/>
      <c r="D900" s="952"/>
      <c r="E900" s="952"/>
      <c r="F900" s="952"/>
      <c r="G900" s="952"/>
      <c r="H900" s="952"/>
      <c r="I900" s="952"/>
      <c r="J900" s="952"/>
      <c r="K900" s="952"/>
      <c r="L900" s="952"/>
      <c r="M900" s="952"/>
      <c r="N900" s="952"/>
      <c r="O900" s="952"/>
      <c r="P900" s="952"/>
      <c r="Q900" s="952"/>
      <c r="R900" s="952"/>
      <c r="S900" s="952"/>
      <c r="T900" s="952"/>
      <c r="U900" s="952"/>
      <c r="V900" s="952"/>
      <c r="W900" s="952"/>
      <c r="X900" s="952"/>
      <c r="Y900" s="952"/>
      <c r="Z900" s="952"/>
    </row>
    <row r="901" spans="1:26" ht="18.75" customHeight="1" x14ac:dyDescent="0.35">
      <c r="A901" s="952"/>
      <c r="B901" s="952"/>
      <c r="C901" s="952"/>
      <c r="D901" s="952"/>
      <c r="E901" s="952"/>
      <c r="F901" s="952"/>
      <c r="G901" s="952"/>
      <c r="H901" s="952"/>
      <c r="I901" s="952"/>
      <c r="J901" s="952"/>
      <c r="K901" s="952"/>
      <c r="L901" s="952"/>
      <c r="M901" s="952"/>
      <c r="N901" s="952"/>
      <c r="O901" s="952"/>
      <c r="P901" s="952"/>
      <c r="Q901" s="952"/>
      <c r="R901" s="952"/>
      <c r="S901" s="952"/>
      <c r="T901" s="952"/>
      <c r="U901" s="952"/>
      <c r="V901" s="952"/>
      <c r="W901" s="952"/>
      <c r="X901" s="952"/>
      <c r="Y901" s="952"/>
      <c r="Z901" s="952"/>
    </row>
    <row r="902" spans="1:26" ht="18.75" customHeight="1" x14ac:dyDescent="0.35">
      <c r="A902" s="952"/>
      <c r="B902" s="952"/>
      <c r="C902" s="952"/>
      <c r="D902" s="952"/>
      <c r="E902" s="952"/>
      <c r="F902" s="952"/>
      <c r="G902" s="952"/>
      <c r="H902" s="952"/>
      <c r="I902" s="952"/>
      <c r="J902" s="952"/>
      <c r="K902" s="952"/>
      <c r="L902" s="952"/>
      <c r="M902" s="952"/>
      <c r="N902" s="952"/>
      <c r="O902" s="952"/>
      <c r="P902" s="952"/>
      <c r="Q902" s="952"/>
      <c r="R902" s="952"/>
      <c r="S902" s="952"/>
      <c r="T902" s="952"/>
      <c r="U902" s="952"/>
      <c r="V902" s="952"/>
      <c r="W902" s="952"/>
      <c r="X902" s="952"/>
      <c r="Y902" s="952"/>
      <c r="Z902" s="952"/>
    </row>
    <row r="903" spans="1:26" ht="18.75" customHeight="1" x14ac:dyDescent="0.35">
      <c r="A903" s="952"/>
      <c r="B903" s="952"/>
      <c r="C903" s="952"/>
      <c r="D903" s="952"/>
      <c r="E903" s="952"/>
      <c r="F903" s="952"/>
      <c r="G903" s="952"/>
      <c r="H903" s="952"/>
      <c r="I903" s="952"/>
      <c r="J903" s="952"/>
      <c r="K903" s="952"/>
      <c r="L903" s="952"/>
      <c r="M903" s="952"/>
      <c r="N903" s="952"/>
      <c r="O903" s="952"/>
      <c r="P903" s="952"/>
      <c r="Q903" s="952"/>
      <c r="R903" s="952"/>
      <c r="S903" s="952"/>
      <c r="T903" s="952"/>
      <c r="U903" s="952"/>
      <c r="V903" s="952"/>
      <c r="W903" s="952"/>
      <c r="X903" s="952"/>
      <c r="Y903" s="952"/>
      <c r="Z903" s="952"/>
    </row>
    <row r="904" spans="1:26" ht="18.75" customHeight="1" x14ac:dyDescent="0.35">
      <c r="A904" s="952"/>
      <c r="B904" s="952"/>
      <c r="C904" s="952"/>
      <c r="D904" s="952"/>
      <c r="E904" s="952"/>
      <c r="F904" s="952"/>
      <c r="G904" s="952"/>
      <c r="H904" s="952"/>
      <c r="I904" s="952"/>
      <c r="J904" s="952"/>
      <c r="K904" s="952"/>
      <c r="L904" s="952"/>
      <c r="M904" s="952"/>
      <c r="N904" s="952"/>
      <c r="O904" s="952"/>
      <c r="P904" s="952"/>
      <c r="Q904" s="952"/>
      <c r="R904" s="952"/>
      <c r="S904" s="952"/>
      <c r="T904" s="952"/>
      <c r="U904" s="952"/>
      <c r="V904" s="952"/>
      <c r="W904" s="952"/>
      <c r="X904" s="952"/>
      <c r="Y904" s="952"/>
      <c r="Z904" s="952"/>
    </row>
    <row r="905" spans="1:26" ht="18.75" customHeight="1" x14ac:dyDescent="0.35">
      <c r="A905" s="952"/>
      <c r="B905" s="952"/>
      <c r="C905" s="952"/>
      <c r="D905" s="952"/>
      <c r="E905" s="952"/>
      <c r="F905" s="952"/>
      <c r="G905" s="952"/>
      <c r="H905" s="952"/>
      <c r="I905" s="952"/>
      <c r="J905" s="952"/>
      <c r="K905" s="952"/>
      <c r="L905" s="952"/>
      <c r="M905" s="952"/>
      <c r="N905" s="952"/>
      <c r="O905" s="952"/>
      <c r="P905" s="952"/>
      <c r="Q905" s="952"/>
      <c r="R905" s="952"/>
      <c r="S905" s="952"/>
      <c r="T905" s="952"/>
      <c r="U905" s="952"/>
      <c r="V905" s="952"/>
      <c r="W905" s="952"/>
      <c r="X905" s="952"/>
      <c r="Y905" s="952"/>
      <c r="Z905" s="952"/>
    </row>
    <row r="906" spans="1:26" ht="18.75" customHeight="1" x14ac:dyDescent="0.35">
      <c r="A906" s="952"/>
      <c r="B906" s="952"/>
      <c r="C906" s="952"/>
      <c r="D906" s="952"/>
      <c r="E906" s="952"/>
      <c r="F906" s="952"/>
      <c r="G906" s="952"/>
      <c r="H906" s="952"/>
      <c r="I906" s="952"/>
      <c r="J906" s="952"/>
      <c r="K906" s="952"/>
      <c r="L906" s="952"/>
      <c r="M906" s="952"/>
      <c r="N906" s="952"/>
      <c r="O906" s="952"/>
      <c r="P906" s="952"/>
      <c r="Q906" s="952"/>
      <c r="R906" s="952"/>
      <c r="S906" s="952"/>
      <c r="T906" s="952"/>
      <c r="U906" s="952"/>
      <c r="V906" s="952"/>
      <c r="W906" s="952"/>
      <c r="X906" s="952"/>
      <c r="Y906" s="952"/>
      <c r="Z906" s="952"/>
    </row>
    <row r="907" spans="1:26" ht="18.75" customHeight="1" x14ac:dyDescent="0.35">
      <c r="A907" s="952"/>
      <c r="B907" s="952"/>
      <c r="C907" s="952"/>
      <c r="D907" s="952"/>
      <c r="E907" s="952"/>
      <c r="F907" s="952"/>
      <c r="G907" s="952"/>
      <c r="H907" s="952"/>
      <c r="I907" s="952"/>
      <c r="J907" s="952"/>
      <c r="K907" s="952"/>
      <c r="L907" s="952"/>
      <c r="M907" s="952"/>
      <c r="N907" s="952"/>
      <c r="O907" s="952"/>
      <c r="P907" s="952"/>
      <c r="Q907" s="952"/>
      <c r="R907" s="952"/>
      <c r="S907" s="952"/>
      <c r="T907" s="952"/>
      <c r="U907" s="952"/>
      <c r="V907" s="952"/>
      <c r="W907" s="952"/>
      <c r="X907" s="952"/>
      <c r="Y907" s="952"/>
      <c r="Z907" s="952"/>
    </row>
    <row r="908" spans="1:26" ht="18.75" customHeight="1" x14ac:dyDescent="0.35">
      <c r="A908" s="952"/>
      <c r="B908" s="952"/>
      <c r="C908" s="952"/>
      <c r="D908" s="952"/>
      <c r="E908" s="952"/>
      <c r="F908" s="952"/>
      <c r="G908" s="952"/>
      <c r="H908" s="952"/>
      <c r="I908" s="952"/>
      <c r="J908" s="952"/>
      <c r="K908" s="952"/>
      <c r="L908" s="952"/>
      <c r="M908" s="952"/>
      <c r="N908" s="952"/>
      <c r="O908" s="952"/>
      <c r="P908" s="952"/>
      <c r="Q908" s="952"/>
      <c r="R908" s="952"/>
      <c r="S908" s="952"/>
      <c r="T908" s="952"/>
      <c r="U908" s="952"/>
      <c r="V908" s="952"/>
      <c r="W908" s="952"/>
      <c r="X908" s="952"/>
      <c r="Y908" s="952"/>
      <c r="Z908" s="952"/>
    </row>
    <row r="909" spans="1:26" ht="18.75" customHeight="1" x14ac:dyDescent="0.35">
      <c r="A909" s="952"/>
      <c r="B909" s="952"/>
      <c r="C909" s="952"/>
      <c r="D909" s="952"/>
      <c r="E909" s="952"/>
      <c r="F909" s="952"/>
      <c r="G909" s="952"/>
      <c r="H909" s="952"/>
      <c r="I909" s="952"/>
      <c r="J909" s="952"/>
      <c r="K909" s="952"/>
      <c r="L909" s="952"/>
      <c r="M909" s="952"/>
      <c r="N909" s="952"/>
      <c r="O909" s="952"/>
      <c r="P909" s="952"/>
      <c r="Q909" s="952"/>
      <c r="R909" s="952"/>
      <c r="S909" s="952"/>
      <c r="T909" s="952"/>
      <c r="U909" s="952"/>
      <c r="V909" s="952"/>
      <c r="W909" s="952"/>
      <c r="X909" s="952"/>
      <c r="Y909" s="952"/>
      <c r="Z909" s="952"/>
    </row>
    <row r="910" spans="1:26" ht="18.75" customHeight="1" x14ac:dyDescent="0.35">
      <c r="A910" s="952"/>
      <c r="B910" s="952"/>
      <c r="C910" s="952"/>
      <c r="D910" s="952"/>
      <c r="E910" s="952"/>
      <c r="F910" s="952"/>
      <c r="G910" s="952"/>
      <c r="H910" s="952"/>
      <c r="I910" s="952"/>
      <c r="J910" s="952"/>
      <c r="K910" s="952"/>
      <c r="L910" s="952"/>
      <c r="M910" s="952"/>
      <c r="N910" s="952"/>
      <c r="O910" s="952"/>
      <c r="P910" s="952"/>
      <c r="Q910" s="952"/>
      <c r="R910" s="952"/>
      <c r="S910" s="952"/>
      <c r="T910" s="952"/>
      <c r="U910" s="952"/>
      <c r="V910" s="952"/>
      <c r="W910" s="952"/>
      <c r="X910" s="952"/>
      <c r="Y910" s="952"/>
      <c r="Z910" s="952"/>
    </row>
    <row r="911" spans="1:26" ht="18.75" customHeight="1" x14ac:dyDescent="0.35">
      <c r="A911" s="952"/>
      <c r="B911" s="952"/>
      <c r="C911" s="952"/>
      <c r="D911" s="952"/>
      <c r="E911" s="952"/>
      <c r="F911" s="952"/>
      <c r="G911" s="952"/>
      <c r="H911" s="952"/>
      <c r="I911" s="952"/>
      <c r="J911" s="952"/>
      <c r="K911" s="952"/>
      <c r="L911" s="952"/>
      <c r="M911" s="952"/>
      <c r="N911" s="952"/>
      <c r="O911" s="952"/>
      <c r="P911" s="952"/>
      <c r="Q911" s="952"/>
      <c r="R911" s="952"/>
      <c r="S911" s="952"/>
      <c r="T911" s="952"/>
      <c r="U911" s="952"/>
      <c r="V911" s="952"/>
      <c r="W911" s="952"/>
      <c r="X911" s="952"/>
      <c r="Y911" s="952"/>
      <c r="Z911" s="952"/>
    </row>
    <row r="912" spans="1:26" ht="18.75" customHeight="1" x14ac:dyDescent="0.35">
      <c r="A912" s="952"/>
      <c r="B912" s="952"/>
      <c r="C912" s="952"/>
      <c r="D912" s="952"/>
      <c r="E912" s="952"/>
      <c r="F912" s="952"/>
      <c r="G912" s="952"/>
      <c r="H912" s="952"/>
      <c r="I912" s="952"/>
      <c r="J912" s="952"/>
      <c r="K912" s="952"/>
      <c r="L912" s="952"/>
      <c r="M912" s="952"/>
      <c r="N912" s="952"/>
      <c r="O912" s="952"/>
      <c r="P912" s="952"/>
      <c r="Q912" s="952"/>
      <c r="R912" s="952"/>
      <c r="S912" s="952"/>
      <c r="T912" s="952"/>
      <c r="U912" s="952"/>
      <c r="V912" s="952"/>
      <c r="W912" s="952"/>
      <c r="X912" s="952"/>
      <c r="Y912" s="952"/>
      <c r="Z912" s="952"/>
    </row>
    <row r="913" spans="1:26" ht="18.75" customHeight="1" x14ac:dyDescent="0.35">
      <c r="A913" s="952"/>
      <c r="B913" s="952"/>
      <c r="C913" s="952"/>
      <c r="D913" s="952"/>
      <c r="E913" s="952"/>
      <c r="F913" s="952"/>
      <c r="G913" s="952"/>
      <c r="H913" s="952"/>
      <c r="I913" s="952"/>
      <c r="J913" s="952"/>
      <c r="K913" s="952"/>
      <c r="L913" s="952"/>
      <c r="M913" s="952"/>
      <c r="N913" s="952"/>
      <c r="O913" s="952"/>
      <c r="P913" s="952"/>
      <c r="Q913" s="952"/>
      <c r="R913" s="952"/>
      <c r="S913" s="952"/>
      <c r="T913" s="952"/>
      <c r="U913" s="952"/>
      <c r="V913" s="952"/>
      <c r="W913" s="952"/>
      <c r="X913" s="952"/>
      <c r="Y913" s="952"/>
      <c r="Z913" s="952"/>
    </row>
    <row r="914" spans="1:26" ht="18.75" customHeight="1" x14ac:dyDescent="0.35">
      <c r="A914" s="952"/>
      <c r="B914" s="952"/>
      <c r="C914" s="952"/>
      <c r="D914" s="952"/>
      <c r="E914" s="952"/>
      <c r="F914" s="952"/>
      <c r="G914" s="952"/>
      <c r="H914" s="952"/>
      <c r="I914" s="952"/>
      <c r="J914" s="952"/>
      <c r="K914" s="952"/>
      <c r="L914" s="952"/>
      <c r="M914" s="952"/>
      <c r="N914" s="952"/>
      <c r="O914" s="952"/>
      <c r="P914" s="952"/>
      <c r="Q914" s="952"/>
      <c r="R914" s="952"/>
      <c r="S914" s="952"/>
      <c r="T914" s="952"/>
      <c r="U914" s="952"/>
      <c r="V914" s="952"/>
      <c r="W914" s="952"/>
      <c r="X914" s="952"/>
      <c r="Y914" s="952"/>
      <c r="Z914" s="952"/>
    </row>
    <row r="915" spans="1:26" ht="18.75" customHeight="1" x14ac:dyDescent="0.35">
      <c r="A915" s="952"/>
      <c r="B915" s="952"/>
      <c r="C915" s="952"/>
      <c r="D915" s="952"/>
      <c r="E915" s="952"/>
      <c r="F915" s="952"/>
      <c r="G915" s="952"/>
      <c r="H915" s="952"/>
      <c r="I915" s="952"/>
      <c r="J915" s="952"/>
      <c r="K915" s="952"/>
      <c r="L915" s="952"/>
      <c r="M915" s="952"/>
      <c r="N915" s="952"/>
      <c r="O915" s="952"/>
      <c r="P915" s="952"/>
      <c r="Q915" s="952"/>
      <c r="R915" s="952"/>
      <c r="S915" s="952"/>
      <c r="T915" s="952"/>
      <c r="U915" s="952"/>
      <c r="V915" s="952"/>
      <c r="W915" s="952"/>
      <c r="X915" s="952"/>
      <c r="Y915" s="952"/>
      <c r="Z915" s="952"/>
    </row>
    <row r="916" spans="1:26" ht="18.75" customHeight="1" x14ac:dyDescent="0.35">
      <c r="A916" s="952"/>
      <c r="B916" s="952"/>
      <c r="C916" s="952"/>
      <c r="D916" s="952"/>
      <c r="E916" s="952"/>
      <c r="F916" s="952"/>
      <c r="G916" s="952"/>
      <c r="H916" s="952"/>
      <c r="I916" s="952"/>
      <c r="J916" s="952"/>
      <c r="K916" s="952"/>
      <c r="L916" s="952"/>
      <c r="M916" s="952"/>
      <c r="N916" s="952"/>
      <c r="O916" s="952"/>
      <c r="P916" s="952"/>
      <c r="Q916" s="952"/>
      <c r="R916" s="952"/>
      <c r="S916" s="952"/>
      <c r="T916" s="952"/>
      <c r="U916" s="952"/>
      <c r="V916" s="952"/>
      <c r="W916" s="952"/>
      <c r="X916" s="952"/>
      <c r="Y916" s="952"/>
      <c r="Z916" s="952"/>
    </row>
    <row r="917" spans="1:26" ht="18.75" customHeight="1" x14ac:dyDescent="0.35">
      <c r="A917" s="952"/>
      <c r="B917" s="952"/>
      <c r="C917" s="952"/>
      <c r="D917" s="952"/>
      <c r="E917" s="952"/>
      <c r="F917" s="952"/>
      <c r="G917" s="952"/>
      <c r="H917" s="952"/>
      <c r="I917" s="952"/>
      <c r="J917" s="952"/>
      <c r="K917" s="952"/>
      <c r="L917" s="952"/>
      <c r="M917" s="952"/>
      <c r="N917" s="952"/>
      <c r="O917" s="952"/>
      <c r="P917" s="952"/>
      <c r="Q917" s="952"/>
      <c r="R917" s="952"/>
      <c r="S917" s="952"/>
      <c r="T917" s="952"/>
      <c r="U917" s="952"/>
      <c r="V917" s="952"/>
      <c r="W917" s="952"/>
      <c r="X917" s="952"/>
      <c r="Y917" s="952"/>
      <c r="Z917" s="952"/>
    </row>
    <row r="918" spans="1:26" ht="18.75" customHeight="1" x14ac:dyDescent="0.35">
      <c r="A918" s="952"/>
      <c r="B918" s="952"/>
      <c r="C918" s="952"/>
      <c r="D918" s="952"/>
      <c r="E918" s="952"/>
      <c r="F918" s="952"/>
      <c r="G918" s="952"/>
      <c r="H918" s="952"/>
      <c r="I918" s="952"/>
      <c r="J918" s="952"/>
      <c r="K918" s="952"/>
      <c r="L918" s="952"/>
      <c r="M918" s="952"/>
      <c r="N918" s="952"/>
      <c r="O918" s="952"/>
      <c r="P918" s="952"/>
      <c r="Q918" s="952"/>
      <c r="R918" s="952"/>
      <c r="S918" s="952"/>
      <c r="T918" s="952"/>
      <c r="U918" s="952"/>
      <c r="V918" s="952"/>
      <c r="W918" s="952"/>
      <c r="X918" s="952"/>
      <c r="Y918" s="952"/>
      <c r="Z918" s="952"/>
    </row>
    <row r="919" spans="1:26" ht="18.75" customHeight="1" x14ac:dyDescent="0.35">
      <c r="A919" s="952"/>
      <c r="B919" s="952"/>
      <c r="C919" s="952"/>
      <c r="D919" s="952"/>
      <c r="E919" s="952"/>
      <c r="F919" s="952"/>
      <c r="G919" s="952"/>
      <c r="H919" s="952"/>
      <c r="I919" s="952"/>
      <c r="J919" s="952"/>
      <c r="K919" s="952"/>
      <c r="L919" s="952"/>
      <c r="M919" s="952"/>
      <c r="N919" s="952"/>
      <c r="O919" s="952"/>
      <c r="P919" s="952"/>
      <c r="Q919" s="952"/>
      <c r="R919" s="952"/>
      <c r="S919" s="952"/>
      <c r="T919" s="952"/>
      <c r="U919" s="952"/>
      <c r="V919" s="952"/>
      <c r="W919" s="952"/>
      <c r="X919" s="952"/>
      <c r="Y919" s="952"/>
      <c r="Z919" s="952"/>
    </row>
    <row r="920" spans="1:26" ht="18.75" customHeight="1" x14ac:dyDescent="0.35">
      <c r="A920" s="952"/>
      <c r="B920" s="952"/>
      <c r="C920" s="952"/>
      <c r="D920" s="952"/>
      <c r="E920" s="952"/>
      <c r="F920" s="952"/>
      <c r="G920" s="952"/>
      <c r="H920" s="952"/>
      <c r="I920" s="952"/>
      <c r="J920" s="952"/>
      <c r="K920" s="952"/>
      <c r="L920" s="952"/>
      <c r="M920" s="952"/>
      <c r="N920" s="952"/>
      <c r="O920" s="952"/>
      <c r="P920" s="952"/>
      <c r="Q920" s="952"/>
      <c r="R920" s="952"/>
      <c r="S920" s="952"/>
      <c r="T920" s="952"/>
      <c r="U920" s="952"/>
      <c r="V920" s="952"/>
      <c r="W920" s="952"/>
      <c r="X920" s="952"/>
      <c r="Y920" s="952"/>
      <c r="Z920" s="952"/>
    </row>
    <row r="921" spans="1:26" ht="18.75" customHeight="1" x14ac:dyDescent="0.35">
      <c r="A921" s="952"/>
      <c r="B921" s="952"/>
      <c r="C921" s="952"/>
      <c r="D921" s="952"/>
      <c r="E921" s="952"/>
      <c r="F921" s="952"/>
      <c r="G921" s="952"/>
      <c r="H921" s="952"/>
      <c r="I921" s="952"/>
      <c r="J921" s="952"/>
      <c r="K921" s="952"/>
      <c r="L921" s="952"/>
      <c r="M921" s="952"/>
      <c r="N921" s="952"/>
      <c r="O921" s="952"/>
      <c r="P921" s="952"/>
      <c r="Q921" s="952"/>
      <c r="R921" s="952"/>
      <c r="S921" s="952"/>
      <c r="T921" s="952"/>
      <c r="U921" s="952"/>
      <c r="V921" s="952"/>
      <c r="W921" s="952"/>
      <c r="X921" s="952"/>
      <c r="Y921" s="952"/>
      <c r="Z921" s="952"/>
    </row>
    <row r="922" spans="1:26" ht="18.75" customHeight="1" x14ac:dyDescent="0.35">
      <c r="A922" s="952"/>
      <c r="B922" s="952"/>
      <c r="C922" s="952"/>
      <c r="D922" s="952"/>
      <c r="E922" s="952"/>
      <c r="F922" s="952"/>
      <c r="G922" s="952"/>
      <c r="H922" s="952"/>
      <c r="I922" s="952"/>
      <c r="J922" s="952"/>
      <c r="K922" s="952"/>
      <c r="L922" s="952"/>
      <c r="M922" s="952"/>
      <c r="N922" s="952"/>
      <c r="O922" s="952"/>
      <c r="P922" s="952"/>
      <c r="Q922" s="952"/>
      <c r="R922" s="952"/>
      <c r="S922" s="952"/>
      <c r="T922" s="952"/>
      <c r="U922" s="952"/>
      <c r="V922" s="952"/>
      <c r="W922" s="952"/>
      <c r="X922" s="952"/>
      <c r="Y922" s="952"/>
      <c r="Z922" s="952"/>
    </row>
    <row r="923" spans="1:26" ht="18.75" customHeight="1" x14ac:dyDescent="0.35">
      <c r="A923" s="952"/>
      <c r="B923" s="952"/>
      <c r="C923" s="952"/>
      <c r="D923" s="952"/>
      <c r="E923" s="952"/>
      <c r="F923" s="952"/>
      <c r="G923" s="952"/>
      <c r="H923" s="952"/>
      <c r="I923" s="952"/>
      <c r="J923" s="952"/>
      <c r="K923" s="952"/>
      <c r="L923" s="952"/>
      <c r="M923" s="952"/>
      <c r="N923" s="952"/>
      <c r="O923" s="952"/>
      <c r="P923" s="952"/>
      <c r="Q923" s="952"/>
      <c r="R923" s="952"/>
      <c r="S923" s="952"/>
      <c r="T923" s="952"/>
      <c r="U923" s="952"/>
      <c r="V923" s="952"/>
      <c r="W923" s="952"/>
      <c r="X923" s="952"/>
      <c r="Y923" s="952"/>
      <c r="Z923" s="952"/>
    </row>
    <row r="924" spans="1:26" ht="18.75" customHeight="1" x14ac:dyDescent="0.35">
      <c r="A924" s="952"/>
      <c r="B924" s="952"/>
      <c r="C924" s="952"/>
      <c r="D924" s="952"/>
      <c r="E924" s="952"/>
      <c r="F924" s="952"/>
      <c r="G924" s="952"/>
      <c r="H924" s="952"/>
      <c r="I924" s="952"/>
      <c r="J924" s="952"/>
      <c r="K924" s="952"/>
      <c r="L924" s="952"/>
      <c r="M924" s="952"/>
      <c r="N924" s="952"/>
      <c r="O924" s="952"/>
      <c r="P924" s="952"/>
      <c r="Q924" s="952"/>
      <c r="R924" s="952"/>
      <c r="S924" s="952"/>
      <c r="T924" s="952"/>
      <c r="U924" s="952"/>
      <c r="V924" s="952"/>
      <c r="W924" s="952"/>
      <c r="X924" s="952"/>
      <c r="Y924" s="952"/>
      <c r="Z924" s="952"/>
    </row>
    <row r="925" spans="1:26" ht="18.75" customHeight="1" x14ac:dyDescent="0.35">
      <c r="A925" s="952"/>
      <c r="B925" s="952"/>
      <c r="C925" s="952"/>
      <c r="D925" s="952"/>
      <c r="E925" s="952"/>
      <c r="F925" s="952"/>
      <c r="G925" s="952"/>
      <c r="H925" s="952"/>
      <c r="I925" s="952"/>
      <c r="J925" s="952"/>
      <c r="K925" s="952"/>
      <c r="L925" s="952"/>
      <c r="M925" s="952"/>
      <c r="N925" s="952"/>
      <c r="O925" s="952"/>
      <c r="P925" s="952"/>
      <c r="Q925" s="952"/>
      <c r="R925" s="952"/>
      <c r="S925" s="952"/>
      <c r="T925" s="952"/>
      <c r="U925" s="952"/>
      <c r="V925" s="952"/>
      <c r="W925" s="952"/>
      <c r="X925" s="952"/>
      <c r="Y925" s="952"/>
      <c r="Z925" s="952"/>
    </row>
    <row r="926" spans="1:26" ht="18.75" customHeight="1" x14ac:dyDescent="0.35">
      <c r="A926" s="952"/>
      <c r="B926" s="952"/>
      <c r="C926" s="952"/>
      <c r="D926" s="952"/>
      <c r="E926" s="952"/>
      <c r="F926" s="952"/>
      <c r="G926" s="952"/>
      <c r="H926" s="952"/>
      <c r="I926" s="952"/>
      <c r="J926" s="952"/>
      <c r="K926" s="952"/>
      <c r="L926" s="952"/>
      <c r="M926" s="952"/>
      <c r="N926" s="952"/>
      <c r="O926" s="952"/>
      <c r="P926" s="952"/>
      <c r="Q926" s="952"/>
      <c r="R926" s="952"/>
      <c r="S926" s="952"/>
      <c r="T926" s="952"/>
      <c r="U926" s="952"/>
      <c r="V926" s="952"/>
      <c r="W926" s="952"/>
      <c r="X926" s="952"/>
      <c r="Y926" s="952"/>
      <c r="Z926" s="952"/>
    </row>
    <row r="927" spans="1:26" ht="18.75" customHeight="1" x14ac:dyDescent="0.35">
      <c r="A927" s="952"/>
      <c r="B927" s="952"/>
      <c r="C927" s="952"/>
      <c r="D927" s="952"/>
      <c r="E927" s="952"/>
      <c r="F927" s="952"/>
      <c r="G927" s="952"/>
      <c r="H927" s="952"/>
      <c r="I927" s="952"/>
      <c r="J927" s="952"/>
      <c r="K927" s="952"/>
      <c r="L927" s="952"/>
      <c r="M927" s="952"/>
      <c r="N927" s="952"/>
      <c r="O927" s="952"/>
      <c r="P927" s="952"/>
      <c r="Q927" s="952"/>
      <c r="R927" s="952"/>
      <c r="S927" s="952"/>
      <c r="T927" s="952"/>
      <c r="U927" s="952"/>
      <c r="V927" s="952"/>
      <c r="W927" s="952"/>
      <c r="X927" s="952"/>
      <c r="Y927" s="952"/>
      <c r="Z927" s="952"/>
    </row>
    <row r="928" spans="1:26" ht="18.75" customHeight="1" x14ac:dyDescent="0.35">
      <c r="A928" s="952"/>
      <c r="B928" s="952"/>
      <c r="C928" s="952"/>
      <c r="D928" s="952"/>
      <c r="E928" s="952"/>
      <c r="F928" s="952"/>
      <c r="G928" s="952"/>
      <c r="H928" s="952"/>
      <c r="I928" s="952"/>
      <c r="J928" s="952"/>
      <c r="K928" s="952"/>
      <c r="L928" s="952"/>
      <c r="M928" s="952"/>
      <c r="N928" s="952"/>
      <c r="O928" s="952"/>
      <c r="P928" s="952"/>
      <c r="Q928" s="952"/>
      <c r="R928" s="952"/>
      <c r="S928" s="952"/>
      <c r="T928" s="952"/>
      <c r="U928" s="952"/>
      <c r="V928" s="952"/>
      <c r="W928" s="952"/>
      <c r="X928" s="952"/>
      <c r="Y928" s="952"/>
      <c r="Z928" s="952"/>
    </row>
    <row r="929" spans="1:26" ht="18.75" customHeight="1" x14ac:dyDescent="0.35">
      <c r="A929" s="952"/>
      <c r="B929" s="952"/>
      <c r="C929" s="952"/>
      <c r="D929" s="952"/>
      <c r="E929" s="952"/>
      <c r="F929" s="952"/>
      <c r="G929" s="952"/>
      <c r="H929" s="952"/>
      <c r="I929" s="952"/>
      <c r="J929" s="952"/>
      <c r="K929" s="952"/>
      <c r="L929" s="952"/>
      <c r="M929" s="952"/>
      <c r="N929" s="952"/>
      <c r="O929" s="952"/>
      <c r="P929" s="952"/>
      <c r="Q929" s="952"/>
      <c r="R929" s="952"/>
      <c r="S929" s="952"/>
      <c r="T929" s="952"/>
      <c r="U929" s="952"/>
      <c r="V929" s="952"/>
      <c r="W929" s="952"/>
      <c r="X929" s="952"/>
      <c r="Y929" s="952"/>
      <c r="Z929" s="952"/>
    </row>
    <row r="930" spans="1:26" ht="18.75" customHeight="1" x14ac:dyDescent="0.35">
      <c r="A930" s="952"/>
      <c r="B930" s="952"/>
      <c r="C930" s="952"/>
      <c r="D930" s="952"/>
      <c r="E930" s="952"/>
      <c r="F930" s="952"/>
      <c r="G930" s="952"/>
      <c r="H930" s="952"/>
      <c r="I930" s="952"/>
      <c r="J930" s="952"/>
      <c r="K930" s="952"/>
      <c r="L930" s="952"/>
      <c r="M930" s="952"/>
      <c r="N930" s="952"/>
      <c r="O930" s="952"/>
      <c r="P930" s="952"/>
      <c r="Q930" s="952"/>
      <c r="R930" s="952"/>
      <c r="S930" s="952"/>
      <c r="T930" s="952"/>
      <c r="U930" s="952"/>
      <c r="V930" s="952"/>
      <c r="W930" s="952"/>
      <c r="X930" s="952"/>
      <c r="Y930" s="952"/>
      <c r="Z930" s="952"/>
    </row>
    <row r="931" spans="1:26" ht="18.75" customHeight="1" x14ac:dyDescent="0.35">
      <c r="A931" s="952"/>
      <c r="B931" s="952"/>
      <c r="C931" s="952"/>
      <c r="D931" s="952"/>
      <c r="E931" s="952"/>
      <c r="F931" s="952"/>
      <c r="G931" s="952"/>
      <c r="H931" s="952"/>
      <c r="I931" s="952"/>
      <c r="J931" s="952"/>
      <c r="K931" s="952"/>
      <c r="L931" s="952"/>
      <c r="M931" s="952"/>
      <c r="N931" s="952"/>
      <c r="O931" s="952"/>
      <c r="P931" s="952"/>
      <c r="Q931" s="952"/>
      <c r="R931" s="952"/>
      <c r="S931" s="952"/>
      <c r="T931" s="952"/>
      <c r="U931" s="952"/>
      <c r="V931" s="952"/>
      <c r="W931" s="952"/>
      <c r="X931" s="952"/>
      <c r="Y931" s="952"/>
      <c r="Z931" s="952"/>
    </row>
    <row r="932" spans="1:26" ht="18.75" customHeight="1" x14ac:dyDescent="0.35">
      <c r="A932" s="952"/>
      <c r="B932" s="952"/>
      <c r="C932" s="952"/>
      <c r="D932" s="952"/>
      <c r="E932" s="952"/>
      <c r="F932" s="952"/>
      <c r="G932" s="952"/>
      <c r="H932" s="952"/>
      <c r="I932" s="952"/>
      <c r="J932" s="952"/>
      <c r="K932" s="952"/>
      <c r="L932" s="952"/>
      <c r="M932" s="952"/>
      <c r="N932" s="952"/>
      <c r="O932" s="952"/>
      <c r="P932" s="952"/>
      <c r="Q932" s="952"/>
      <c r="R932" s="952"/>
      <c r="S932" s="952"/>
      <c r="T932" s="952"/>
      <c r="U932" s="952"/>
      <c r="V932" s="952"/>
      <c r="W932" s="952"/>
      <c r="X932" s="952"/>
      <c r="Y932" s="952"/>
      <c r="Z932" s="952"/>
    </row>
    <row r="933" spans="1:26" ht="18.75" customHeight="1" x14ac:dyDescent="0.35">
      <c r="A933" s="952"/>
      <c r="B933" s="952"/>
      <c r="C933" s="952"/>
      <c r="D933" s="952"/>
      <c r="E933" s="952"/>
      <c r="F933" s="952"/>
      <c r="G933" s="952"/>
      <c r="H933" s="952"/>
      <c r="I933" s="952"/>
      <c r="J933" s="952"/>
      <c r="K933" s="952"/>
      <c r="L933" s="952"/>
      <c r="M933" s="952"/>
      <c r="N933" s="952"/>
      <c r="O933" s="952"/>
      <c r="P933" s="952"/>
      <c r="Q933" s="952"/>
      <c r="R933" s="952"/>
      <c r="S933" s="952"/>
      <c r="T933" s="952"/>
      <c r="U933" s="952"/>
      <c r="V933" s="952"/>
      <c r="W933" s="952"/>
      <c r="X933" s="952"/>
      <c r="Y933" s="952"/>
      <c r="Z933" s="952"/>
    </row>
    <row r="934" spans="1:26" ht="18.75" customHeight="1" x14ac:dyDescent="0.35">
      <c r="A934" s="952"/>
      <c r="B934" s="952"/>
      <c r="C934" s="952"/>
      <c r="D934" s="952"/>
      <c r="E934" s="952"/>
      <c r="F934" s="952"/>
      <c r="G934" s="952"/>
      <c r="H934" s="952"/>
      <c r="I934" s="952"/>
      <c r="J934" s="952"/>
      <c r="K934" s="952"/>
      <c r="L934" s="952"/>
      <c r="M934" s="952"/>
      <c r="N934" s="952"/>
      <c r="O934" s="952"/>
      <c r="P934" s="952"/>
      <c r="Q934" s="952"/>
      <c r="R934" s="952"/>
      <c r="S934" s="952"/>
      <c r="T934" s="952"/>
      <c r="U934" s="952"/>
      <c r="V934" s="952"/>
      <c r="W934" s="952"/>
      <c r="X934" s="952"/>
      <c r="Y934" s="952"/>
      <c r="Z934" s="952"/>
    </row>
    <row r="935" spans="1:26" ht="18.75" customHeight="1" x14ac:dyDescent="0.35">
      <c r="A935" s="952"/>
      <c r="B935" s="952"/>
      <c r="C935" s="952"/>
      <c r="D935" s="952"/>
      <c r="E935" s="952"/>
      <c r="F935" s="952"/>
      <c r="G935" s="952"/>
      <c r="H935" s="952"/>
      <c r="I935" s="952"/>
      <c r="J935" s="952"/>
      <c r="K935" s="952"/>
      <c r="L935" s="952"/>
      <c r="M935" s="952"/>
      <c r="N935" s="952"/>
      <c r="O935" s="952"/>
      <c r="P935" s="952"/>
      <c r="Q935" s="952"/>
      <c r="R935" s="952"/>
      <c r="S935" s="952"/>
      <c r="T935" s="952"/>
      <c r="U935" s="952"/>
      <c r="V935" s="952"/>
      <c r="W935" s="952"/>
      <c r="X935" s="952"/>
      <c r="Y935" s="952"/>
      <c r="Z935" s="952"/>
    </row>
    <row r="936" spans="1:26" ht="18.75" customHeight="1" x14ac:dyDescent="0.35">
      <c r="A936" s="952"/>
      <c r="B936" s="952"/>
      <c r="C936" s="952"/>
      <c r="D936" s="952"/>
      <c r="E936" s="952"/>
      <c r="F936" s="952"/>
      <c r="G936" s="952"/>
      <c r="H936" s="952"/>
      <c r="I936" s="952"/>
      <c r="J936" s="952"/>
      <c r="K936" s="952"/>
      <c r="L936" s="952"/>
      <c r="M936" s="952"/>
      <c r="N936" s="952"/>
      <c r="O936" s="952"/>
      <c r="P936" s="952"/>
      <c r="Q936" s="952"/>
      <c r="R936" s="952"/>
      <c r="S936" s="952"/>
      <c r="T936" s="952"/>
      <c r="U936" s="952"/>
      <c r="V936" s="952"/>
      <c r="W936" s="952"/>
      <c r="X936" s="952"/>
      <c r="Y936" s="952"/>
      <c r="Z936" s="952"/>
    </row>
    <row r="937" spans="1:26" ht="18.75" customHeight="1" x14ac:dyDescent="0.35">
      <c r="A937" s="952"/>
      <c r="B937" s="952"/>
      <c r="C937" s="952"/>
      <c r="D937" s="952"/>
      <c r="E937" s="952"/>
      <c r="F937" s="952"/>
      <c r="G937" s="952"/>
      <c r="H937" s="952"/>
      <c r="I937" s="952"/>
      <c r="J937" s="952"/>
      <c r="K937" s="952"/>
      <c r="L937" s="952"/>
      <c r="M937" s="952"/>
      <c r="N937" s="952"/>
      <c r="O937" s="952"/>
      <c r="P937" s="952"/>
      <c r="Q937" s="952"/>
      <c r="R937" s="952"/>
      <c r="S937" s="952"/>
      <c r="T937" s="952"/>
      <c r="U937" s="952"/>
      <c r="V937" s="952"/>
      <c r="W937" s="952"/>
      <c r="X937" s="952"/>
      <c r="Y937" s="952"/>
      <c r="Z937" s="952"/>
    </row>
    <row r="938" spans="1:26" ht="18.75" customHeight="1" x14ac:dyDescent="0.35">
      <c r="A938" s="952"/>
      <c r="B938" s="952"/>
      <c r="C938" s="952"/>
      <c r="D938" s="952"/>
      <c r="E938" s="952"/>
      <c r="F938" s="952"/>
      <c r="G938" s="952"/>
      <c r="H938" s="952"/>
      <c r="I938" s="952"/>
      <c r="J938" s="952"/>
      <c r="K938" s="952"/>
      <c r="L938" s="952"/>
      <c r="M938" s="952"/>
      <c r="N938" s="952"/>
      <c r="O938" s="952"/>
      <c r="P938" s="952"/>
      <c r="Q938" s="952"/>
      <c r="R938" s="952"/>
      <c r="S938" s="952"/>
      <c r="T938" s="952"/>
      <c r="U938" s="952"/>
      <c r="V938" s="952"/>
      <c r="W938" s="952"/>
      <c r="X938" s="952"/>
      <c r="Y938" s="952"/>
      <c r="Z938" s="952"/>
    </row>
    <row r="939" spans="1:26" ht="18.75" customHeight="1" x14ac:dyDescent="0.35">
      <c r="A939" s="952"/>
      <c r="B939" s="952"/>
      <c r="C939" s="952"/>
      <c r="D939" s="952"/>
      <c r="E939" s="952"/>
      <c r="F939" s="952"/>
      <c r="G939" s="952"/>
      <c r="H939" s="952"/>
      <c r="I939" s="952"/>
      <c r="J939" s="952"/>
      <c r="K939" s="952"/>
      <c r="L939" s="952"/>
      <c r="M939" s="952"/>
      <c r="N939" s="952"/>
      <c r="O939" s="952"/>
      <c r="P939" s="952"/>
      <c r="Q939" s="952"/>
      <c r="R939" s="952"/>
      <c r="S939" s="952"/>
      <c r="T939" s="952"/>
      <c r="U939" s="952"/>
      <c r="V939" s="952"/>
      <c r="W939" s="952"/>
      <c r="X939" s="952"/>
      <c r="Y939" s="952"/>
      <c r="Z939" s="952"/>
    </row>
    <row r="940" spans="1:26" ht="18.75" customHeight="1" x14ac:dyDescent="0.35">
      <c r="A940" s="952"/>
      <c r="B940" s="952"/>
      <c r="C940" s="952"/>
      <c r="D940" s="952"/>
      <c r="E940" s="952"/>
      <c r="F940" s="952"/>
      <c r="G940" s="952"/>
      <c r="H940" s="952"/>
      <c r="I940" s="952"/>
      <c r="J940" s="952"/>
      <c r="K940" s="952"/>
      <c r="L940" s="952"/>
      <c r="M940" s="952"/>
      <c r="N940" s="952"/>
      <c r="O940" s="952"/>
      <c r="P940" s="952"/>
      <c r="Q940" s="952"/>
      <c r="R940" s="952"/>
      <c r="S940" s="952"/>
      <c r="T940" s="952"/>
      <c r="U940" s="952"/>
      <c r="V940" s="952"/>
      <c r="W940" s="952"/>
      <c r="X940" s="952"/>
      <c r="Y940" s="952"/>
      <c r="Z940" s="952"/>
    </row>
    <row r="941" spans="1:26" ht="18.75" customHeight="1" x14ac:dyDescent="0.35">
      <c r="A941" s="952"/>
      <c r="B941" s="952"/>
      <c r="C941" s="952"/>
      <c r="D941" s="952"/>
      <c r="E941" s="952"/>
      <c r="F941" s="952"/>
      <c r="G941" s="952"/>
      <c r="H941" s="952"/>
      <c r="I941" s="952"/>
      <c r="J941" s="952"/>
      <c r="K941" s="952"/>
      <c r="L941" s="952"/>
      <c r="M941" s="952"/>
      <c r="N941" s="952"/>
      <c r="O941" s="952"/>
      <c r="P941" s="952"/>
      <c r="Q941" s="952"/>
      <c r="R941" s="952"/>
      <c r="S941" s="952"/>
      <c r="T941" s="952"/>
      <c r="U941" s="952"/>
      <c r="V941" s="952"/>
      <c r="W941" s="952"/>
      <c r="X941" s="952"/>
      <c r="Y941" s="952"/>
      <c r="Z941" s="952"/>
    </row>
    <row r="942" spans="1:26" ht="18.75" customHeight="1" x14ac:dyDescent="0.35">
      <c r="A942" s="952"/>
      <c r="B942" s="952"/>
      <c r="C942" s="952"/>
      <c r="D942" s="952"/>
      <c r="E942" s="952"/>
      <c r="F942" s="952"/>
      <c r="G942" s="952"/>
      <c r="H942" s="952"/>
      <c r="I942" s="952"/>
      <c r="J942" s="952"/>
      <c r="K942" s="952"/>
      <c r="L942" s="952"/>
      <c r="M942" s="952"/>
      <c r="N942" s="952"/>
      <c r="O942" s="952"/>
      <c r="P942" s="952"/>
      <c r="Q942" s="952"/>
      <c r="R942" s="952"/>
      <c r="S942" s="952"/>
      <c r="T942" s="952"/>
      <c r="U942" s="952"/>
      <c r="V942" s="952"/>
      <c r="W942" s="952"/>
      <c r="X942" s="952"/>
      <c r="Y942" s="952"/>
      <c r="Z942" s="952"/>
    </row>
    <row r="943" spans="1:26" ht="18.75" customHeight="1" x14ac:dyDescent="0.35">
      <c r="A943" s="952"/>
      <c r="B943" s="952"/>
      <c r="C943" s="952"/>
      <c r="D943" s="952"/>
      <c r="E943" s="952"/>
      <c r="F943" s="952"/>
      <c r="G943" s="952"/>
      <c r="H943" s="952"/>
      <c r="I943" s="952"/>
      <c r="J943" s="952"/>
      <c r="K943" s="952"/>
      <c r="L943" s="952"/>
      <c r="M943" s="952"/>
      <c r="N943" s="952"/>
      <c r="O943" s="952"/>
      <c r="P943" s="952"/>
      <c r="Q943" s="952"/>
      <c r="R943" s="952"/>
      <c r="S943" s="952"/>
      <c r="T943" s="952"/>
      <c r="U943" s="952"/>
      <c r="V943" s="952"/>
      <c r="W943" s="952"/>
      <c r="X943" s="952"/>
      <c r="Y943" s="952"/>
      <c r="Z943" s="952"/>
    </row>
    <row r="944" spans="1:26" ht="18.75" customHeight="1" x14ac:dyDescent="0.35">
      <c r="A944" s="952"/>
      <c r="B944" s="952"/>
      <c r="C944" s="952"/>
      <c r="D944" s="952"/>
      <c r="E944" s="952"/>
      <c r="F944" s="952"/>
      <c r="G944" s="952"/>
      <c r="H944" s="952"/>
      <c r="I944" s="952"/>
      <c r="J944" s="952"/>
      <c r="K944" s="952"/>
      <c r="L944" s="952"/>
      <c r="M944" s="952"/>
      <c r="N944" s="952"/>
      <c r="O944" s="952"/>
      <c r="P944" s="952"/>
      <c r="Q944" s="952"/>
      <c r="R944" s="952"/>
      <c r="S944" s="952"/>
      <c r="T944" s="952"/>
      <c r="U944" s="952"/>
      <c r="V944" s="952"/>
      <c r="W944" s="952"/>
      <c r="X944" s="952"/>
      <c r="Y944" s="952"/>
      <c r="Z944" s="952"/>
    </row>
    <row r="945" spans="1:26" ht="18.75" customHeight="1" x14ac:dyDescent="0.35">
      <c r="A945" s="952"/>
      <c r="B945" s="952"/>
      <c r="C945" s="952"/>
      <c r="D945" s="952"/>
      <c r="E945" s="952"/>
      <c r="F945" s="952"/>
      <c r="G945" s="952"/>
      <c r="H945" s="952"/>
      <c r="I945" s="952"/>
      <c r="J945" s="952"/>
      <c r="K945" s="952"/>
      <c r="L945" s="952"/>
      <c r="M945" s="952"/>
      <c r="N945" s="952"/>
      <c r="O945" s="952"/>
      <c r="P945" s="952"/>
      <c r="Q945" s="952"/>
      <c r="R945" s="952"/>
      <c r="S945" s="952"/>
      <c r="T945" s="952"/>
      <c r="U945" s="952"/>
      <c r="V945" s="952"/>
      <c r="W945" s="952"/>
      <c r="X945" s="952"/>
      <c r="Y945" s="952"/>
      <c r="Z945" s="952"/>
    </row>
    <row r="946" spans="1:26" ht="18.75" customHeight="1" x14ac:dyDescent="0.35">
      <c r="A946" s="952"/>
      <c r="B946" s="952"/>
      <c r="C946" s="952"/>
      <c r="D946" s="952"/>
      <c r="E946" s="952"/>
      <c r="F946" s="952"/>
      <c r="G946" s="952"/>
      <c r="H946" s="952"/>
      <c r="I946" s="952"/>
      <c r="J946" s="952"/>
      <c r="K946" s="952"/>
      <c r="L946" s="952"/>
      <c r="M946" s="952"/>
      <c r="N946" s="952"/>
      <c r="O946" s="952"/>
      <c r="P946" s="952"/>
      <c r="Q946" s="952"/>
      <c r="R946" s="952"/>
      <c r="S946" s="952"/>
      <c r="T946" s="952"/>
      <c r="U946" s="952"/>
      <c r="V946" s="952"/>
      <c r="W946" s="952"/>
      <c r="X946" s="952"/>
      <c r="Y946" s="952"/>
      <c r="Z946" s="952"/>
    </row>
    <row r="947" spans="1:26" ht="18.75" customHeight="1" x14ac:dyDescent="0.35">
      <c r="A947" s="952"/>
      <c r="B947" s="952"/>
      <c r="C947" s="952"/>
      <c r="D947" s="952"/>
      <c r="E947" s="952"/>
      <c r="F947" s="952"/>
      <c r="G947" s="952"/>
      <c r="H947" s="952"/>
      <c r="I947" s="952"/>
      <c r="J947" s="952"/>
      <c r="K947" s="952"/>
      <c r="L947" s="952"/>
      <c r="M947" s="952"/>
      <c r="N947" s="952"/>
      <c r="O947" s="952"/>
      <c r="P947" s="952"/>
      <c r="Q947" s="952"/>
      <c r="R947" s="952"/>
      <c r="S947" s="952"/>
      <c r="T947" s="952"/>
      <c r="U947" s="952"/>
      <c r="V947" s="952"/>
      <c r="W947" s="952"/>
      <c r="X947" s="952"/>
      <c r="Y947" s="952"/>
      <c r="Z947" s="952"/>
    </row>
    <row r="948" spans="1:26" ht="18.75" customHeight="1" x14ac:dyDescent="0.35">
      <c r="A948" s="952"/>
      <c r="B948" s="952"/>
      <c r="C948" s="952"/>
      <c r="D948" s="952"/>
      <c r="E948" s="952"/>
      <c r="F948" s="952"/>
      <c r="G948" s="952"/>
      <c r="H948" s="952"/>
      <c r="I948" s="952"/>
      <c r="J948" s="952"/>
      <c r="K948" s="952"/>
      <c r="L948" s="952"/>
      <c r="M948" s="952"/>
      <c r="N948" s="952"/>
      <c r="O948" s="952"/>
      <c r="P948" s="952"/>
      <c r="Q948" s="952"/>
      <c r="R948" s="952"/>
      <c r="S948" s="952"/>
      <c r="T948" s="952"/>
      <c r="U948" s="952"/>
      <c r="V948" s="952"/>
      <c r="W948" s="952"/>
      <c r="X948" s="952"/>
      <c r="Y948" s="952"/>
      <c r="Z948" s="952"/>
    </row>
    <row r="949" spans="1:26" ht="18.75" customHeight="1" x14ac:dyDescent="0.35">
      <c r="A949" s="952"/>
      <c r="B949" s="952"/>
      <c r="C949" s="952"/>
      <c r="D949" s="952"/>
      <c r="E949" s="952"/>
      <c r="F949" s="952"/>
      <c r="G949" s="952"/>
      <c r="H949" s="952"/>
      <c r="I949" s="952"/>
      <c r="J949" s="952"/>
      <c r="K949" s="952"/>
      <c r="L949" s="952"/>
      <c r="M949" s="952"/>
      <c r="N949" s="952"/>
      <c r="O949" s="952"/>
      <c r="P949" s="952"/>
      <c r="Q949" s="952"/>
      <c r="R949" s="952"/>
      <c r="S949" s="952"/>
      <c r="T949" s="952"/>
      <c r="U949" s="952"/>
      <c r="V949" s="952"/>
      <c r="W949" s="952"/>
      <c r="X949" s="952"/>
      <c r="Y949" s="952"/>
      <c r="Z949" s="952"/>
    </row>
    <row r="950" spans="1:26" ht="18.75" customHeight="1" x14ac:dyDescent="0.35">
      <c r="A950" s="952"/>
      <c r="B950" s="952"/>
      <c r="C950" s="952"/>
      <c r="D950" s="952"/>
      <c r="E950" s="952"/>
      <c r="F950" s="952"/>
      <c r="G950" s="952"/>
      <c r="H950" s="952"/>
      <c r="I950" s="952"/>
      <c r="J950" s="952"/>
      <c r="K950" s="952"/>
      <c r="L950" s="952"/>
      <c r="M950" s="952"/>
      <c r="N950" s="952"/>
      <c r="O950" s="952"/>
      <c r="P950" s="952"/>
      <c r="Q950" s="952"/>
      <c r="R950" s="952"/>
      <c r="S950" s="952"/>
      <c r="T950" s="952"/>
      <c r="U950" s="952"/>
      <c r="V950" s="952"/>
      <c r="W950" s="952"/>
      <c r="X950" s="952"/>
      <c r="Y950" s="952"/>
      <c r="Z950" s="952"/>
    </row>
    <row r="951" spans="1:26" ht="18.75" customHeight="1" x14ac:dyDescent="0.35">
      <c r="A951" s="952"/>
      <c r="B951" s="952"/>
      <c r="C951" s="952"/>
      <c r="D951" s="952"/>
      <c r="E951" s="952"/>
      <c r="F951" s="952"/>
      <c r="G951" s="952"/>
      <c r="H951" s="952"/>
      <c r="I951" s="952"/>
      <c r="J951" s="952"/>
      <c r="K951" s="952"/>
      <c r="L951" s="952"/>
      <c r="M951" s="952"/>
      <c r="N951" s="952"/>
      <c r="O951" s="952"/>
      <c r="P951" s="952"/>
      <c r="Q951" s="952"/>
      <c r="R951" s="952"/>
      <c r="S951" s="952"/>
      <c r="T951" s="952"/>
      <c r="U951" s="952"/>
      <c r="V951" s="952"/>
      <c r="W951" s="952"/>
      <c r="X951" s="952"/>
      <c r="Y951" s="952"/>
      <c r="Z951" s="952"/>
    </row>
    <row r="952" spans="1:26" ht="18.75" customHeight="1" x14ac:dyDescent="0.35">
      <c r="A952" s="952"/>
      <c r="B952" s="952"/>
      <c r="C952" s="952"/>
      <c r="D952" s="952"/>
      <c r="E952" s="952"/>
      <c r="F952" s="952"/>
      <c r="G952" s="952"/>
      <c r="H952" s="952"/>
      <c r="I952" s="952"/>
      <c r="J952" s="952"/>
      <c r="K952" s="952"/>
      <c r="L952" s="952"/>
      <c r="M952" s="952"/>
      <c r="N952" s="952"/>
      <c r="O952" s="952"/>
      <c r="P952" s="952"/>
      <c r="Q952" s="952"/>
      <c r="R952" s="952"/>
      <c r="S952" s="952"/>
      <c r="T952" s="952"/>
      <c r="U952" s="952"/>
      <c r="V952" s="952"/>
      <c r="W952" s="952"/>
      <c r="X952" s="952"/>
      <c r="Y952" s="952"/>
      <c r="Z952" s="952"/>
    </row>
    <row r="953" spans="1:26" ht="18.75" customHeight="1" x14ac:dyDescent="0.35">
      <c r="A953" s="952"/>
      <c r="B953" s="952"/>
      <c r="C953" s="952"/>
      <c r="D953" s="952"/>
      <c r="E953" s="952"/>
      <c r="F953" s="952"/>
      <c r="G953" s="952"/>
      <c r="H953" s="952"/>
      <c r="I953" s="952"/>
      <c r="J953" s="952"/>
      <c r="K953" s="952"/>
      <c r="L953" s="952"/>
      <c r="M953" s="952"/>
      <c r="N953" s="952"/>
      <c r="O953" s="952"/>
      <c r="P953" s="952"/>
      <c r="Q953" s="952"/>
      <c r="R953" s="952"/>
      <c r="S953" s="952"/>
      <c r="T953" s="952"/>
      <c r="U953" s="952"/>
      <c r="V953" s="952"/>
      <c r="W953" s="952"/>
      <c r="X953" s="952"/>
      <c r="Y953" s="952"/>
      <c r="Z953" s="952"/>
    </row>
    <row r="954" spans="1:26" ht="18.75" customHeight="1" x14ac:dyDescent="0.35">
      <c r="A954" s="952"/>
      <c r="B954" s="952"/>
      <c r="C954" s="952"/>
      <c r="D954" s="952"/>
      <c r="E954" s="952"/>
      <c r="F954" s="952"/>
      <c r="G954" s="952"/>
      <c r="H954" s="952"/>
      <c r="I954" s="952"/>
      <c r="J954" s="952"/>
      <c r="K954" s="952"/>
      <c r="L954" s="952"/>
      <c r="M954" s="952"/>
      <c r="N954" s="952"/>
      <c r="O954" s="952"/>
      <c r="P954" s="952"/>
      <c r="Q954" s="952"/>
      <c r="R954" s="952"/>
      <c r="S954" s="952"/>
      <c r="T954" s="952"/>
      <c r="U954" s="952"/>
      <c r="V954" s="952"/>
      <c r="W954" s="952"/>
      <c r="X954" s="952"/>
      <c r="Y954" s="952"/>
      <c r="Z954" s="952"/>
    </row>
    <row r="955" spans="1:26" ht="18.75" customHeight="1" x14ac:dyDescent="0.35">
      <c r="A955" s="952"/>
      <c r="B955" s="952"/>
      <c r="C955" s="952"/>
      <c r="D955" s="952"/>
      <c r="E955" s="952"/>
      <c r="F955" s="952"/>
      <c r="G955" s="952"/>
      <c r="H955" s="952"/>
      <c r="I955" s="952"/>
      <c r="J955" s="952"/>
      <c r="K955" s="952"/>
      <c r="L955" s="952"/>
      <c r="M955" s="952"/>
      <c r="N955" s="952"/>
      <c r="O955" s="952"/>
      <c r="P955" s="952"/>
      <c r="Q955" s="952"/>
      <c r="R955" s="952"/>
      <c r="S955" s="952"/>
      <c r="T955" s="952"/>
      <c r="U955" s="952"/>
      <c r="V955" s="952"/>
      <c r="W955" s="952"/>
      <c r="X955" s="952"/>
      <c r="Y955" s="952"/>
      <c r="Z955" s="952"/>
    </row>
    <row r="956" spans="1:26" ht="18.75" customHeight="1" x14ac:dyDescent="0.35">
      <c r="A956" s="952"/>
      <c r="B956" s="952"/>
      <c r="C956" s="952"/>
      <c r="D956" s="952"/>
      <c r="E956" s="952"/>
      <c r="F956" s="952"/>
      <c r="G956" s="952"/>
      <c r="H956" s="952"/>
      <c r="I956" s="952"/>
      <c r="J956" s="952"/>
      <c r="K956" s="952"/>
      <c r="L956" s="952"/>
      <c r="M956" s="952"/>
      <c r="N956" s="952"/>
      <c r="O956" s="952"/>
      <c r="P956" s="952"/>
      <c r="Q956" s="952"/>
      <c r="R956" s="952"/>
      <c r="S956" s="952"/>
      <c r="T956" s="952"/>
      <c r="U956" s="952"/>
      <c r="V956" s="952"/>
      <c r="W956" s="952"/>
      <c r="X956" s="952"/>
      <c r="Y956" s="952"/>
      <c r="Z956" s="952"/>
    </row>
    <row r="957" spans="1:26" ht="18.75" customHeight="1" x14ac:dyDescent="0.35">
      <c r="A957" s="952"/>
      <c r="B957" s="952"/>
      <c r="C957" s="952"/>
      <c r="D957" s="952"/>
      <c r="E957" s="952"/>
      <c r="F957" s="952"/>
      <c r="G957" s="952"/>
      <c r="H957" s="952"/>
      <c r="I957" s="952"/>
      <c r="J957" s="952"/>
      <c r="K957" s="952"/>
      <c r="L957" s="952"/>
      <c r="M957" s="952"/>
      <c r="N957" s="952"/>
      <c r="O957" s="952"/>
      <c r="P957" s="952"/>
      <c r="Q957" s="952"/>
      <c r="R957" s="952"/>
      <c r="S957" s="952"/>
      <c r="T957" s="952"/>
      <c r="U957" s="952"/>
      <c r="V957" s="952"/>
      <c r="W957" s="952"/>
      <c r="X957" s="952"/>
      <c r="Y957" s="952"/>
      <c r="Z957" s="952"/>
    </row>
    <row r="958" spans="1:26" ht="18.75" customHeight="1" x14ac:dyDescent="0.35">
      <c r="A958" s="952"/>
      <c r="B958" s="952"/>
      <c r="C958" s="952"/>
      <c r="D958" s="952"/>
      <c r="E958" s="952"/>
      <c r="F958" s="952"/>
      <c r="G958" s="952"/>
      <c r="H958" s="952"/>
      <c r="I958" s="952"/>
      <c r="J958" s="952"/>
      <c r="K958" s="952"/>
      <c r="L958" s="952"/>
      <c r="M958" s="952"/>
      <c r="N958" s="952"/>
      <c r="O958" s="952"/>
      <c r="P958" s="952"/>
      <c r="Q958" s="952"/>
      <c r="R958" s="952"/>
      <c r="S958" s="952"/>
      <c r="T958" s="952"/>
      <c r="U958" s="952"/>
      <c r="V958" s="952"/>
      <c r="W958" s="952"/>
      <c r="X958" s="952"/>
      <c r="Y958" s="952"/>
      <c r="Z958" s="952"/>
    </row>
    <row r="959" spans="1:26" ht="18.75" customHeight="1" x14ac:dyDescent="0.35">
      <c r="A959" s="952"/>
      <c r="B959" s="952"/>
      <c r="C959" s="952"/>
      <c r="D959" s="952"/>
      <c r="E959" s="952"/>
      <c r="F959" s="952"/>
      <c r="G959" s="952"/>
      <c r="H959" s="952"/>
      <c r="I959" s="952"/>
      <c r="J959" s="952"/>
      <c r="K959" s="952"/>
      <c r="L959" s="952"/>
      <c r="M959" s="952"/>
      <c r="N959" s="952"/>
      <c r="O959" s="952"/>
      <c r="P959" s="952"/>
      <c r="Q959" s="952"/>
      <c r="R959" s="952"/>
      <c r="S959" s="952"/>
      <c r="T959" s="952"/>
      <c r="U959" s="952"/>
      <c r="V959" s="952"/>
      <c r="W959" s="952"/>
      <c r="X959" s="952"/>
      <c r="Y959" s="952"/>
      <c r="Z959" s="952"/>
    </row>
    <row r="960" spans="1:26" ht="18.75" customHeight="1" x14ac:dyDescent="0.35">
      <c r="A960" s="952"/>
      <c r="B960" s="952"/>
      <c r="C960" s="952"/>
      <c r="D960" s="952"/>
      <c r="E960" s="952"/>
      <c r="F960" s="952"/>
      <c r="G960" s="952"/>
      <c r="H960" s="952"/>
      <c r="I960" s="952"/>
      <c r="J960" s="952"/>
      <c r="K960" s="952"/>
      <c r="L960" s="952"/>
      <c r="M960" s="952"/>
      <c r="N960" s="952"/>
      <c r="O960" s="952"/>
      <c r="P960" s="952"/>
      <c r="Q960" s="952"/>
      <c r="R960" s="952"/>
      <c r="S960" s="952"/>
      <c r="T960" s="952"/>
      <c r="U960" s="952"/>
      <c r="V960" s="952"/>
      <c r="W960" s="952"/>
      <c r="X960" s="952"/>
      <c r="Y960" s="952"/>
      <c r="Z960" s="952"/>
    </row>
    <row r="961" spans="1:26" ht="18.75" customHeight="1" x14ac:dyDescent="0.35">
      <c r="A961" s="952"/>
      <c r="B961" s="952"/>
      <c r="C961" s="952"/>
      <c r="D961" s="952"/>
      <c r="E961" s="952"/>
      <c r="F961" s="952"/>
      <c r="G961" s="952"/>
      <c r="H961" s="952"/>
      <c r="I961" s="952"/>
      <c r="J961" s="952"/>
      <c r="K961" s="952"/>
      <c r="L961" s="952"/>
      <c r="M961" s="952"/>
      <c r="N961" s="952"/>
      <c r="O961" s="952"/>
      <c r="P961" s="952"/>
      <c r="Q961" s="952"/>
      <c r="R961" s="952"/>
      <c r="S961" s="952"/>
      <c r="T961" s="952"/>
      <c r="U961" s="952"/>
      <c r="V961" s="952"/>
      <c r="W961" s="952"/>
      <c r="X961" s="952"/>
      <c r="Y961" s="952"/>
      <c r="Z961" s="952"/>
    </row>
    <row r="962" spans="1:26" ht="18.75" customHeight="1" x14ac:dyDescent="0.35">
      <c r="A962" s="952"/>
      <c r="B962" s="952"/>
      <c r="C962" s="952"/>
      <c r="D962" s="952"/>
      <c r="E962" s="952"/>
      <c r="F962" s="952"/>
      <c r="G962" s="952"/>
      <c r="H962" s="952"/>
      <c r="I962" s="952"/>
      <c r="J962" s="952"/>
      <c r="K962" s="952"/>
      <c r="L962" s="952"/>
      <c r="M962" s="952"/>
      <c r="N962" s="952"/>
      <c r="O962" s="952"/>
      <c r="P962" s="952"/>
      <c r="Q962" s="952"/>
      <c r="R962" s="952"/>
      <c r="S962" s="952"/>
      <c r="T962" s="952"/>
      <c r="U962" s="952"/>
      <c r="V962" s="952"/>
      <c r="W962" s="952"/>
      <c r="X962" s="952"/>
      <c r="Y962" s="952"/>
      <c r="Z962" s="952"/>
    </row>
    <row r="963" spans="1:26" ht="18.75" customHeight="1" x14ac:dyDescent="0.35">
      <c r="A963" s="952"/>
      <c r="B963" s="952"/>
      <c r="C963" s="952"/>
      <c r="D963" s="952"/>
      <c r="E963" s="952"/>
      <c r="F963" s="952"/>
      <c r="G963" s="952"/>
      <c r="H963" s="952"/>
      <c r="I963" s="952"/>
      <c r="J963" s="952"/>
      <c r="K963" s="952"/>
      <c r="L963" s="952"/>
      <c r="M963" s="952"/>
      <c r="N963" s="952"/>
      <c r="O963" s="952"/>
      <c r="P963" s="952"/>
      <c r="Q963" s="952"/>
      <c r="R963" s="952"/>
      <c r="S963" s="952"/>
      <c r="T963" s="952"/>
      <c r="U963" s="952"/>
      <c r="V963" s="952"/>
      <c r="W963" s="952"/>
      <c r="X963" s="952"/>
      <c r="Y963" s="952"/>
      <c r="Z963" s="952"/>
    </row>
    <row r="964" spans="1:26" ht="18.75" customHeight="1" x14ac:dyDescent="0.35">
      <c r="A964" s="952"/>
      <c r="B964" s="952"/>
      <c r="C964" s="952"/>
      <c r="D964" s="952"/>
      <c r="E964" s="952"/>
      <c r="F964" s="952"/>
      <c r="G964" s="952"/>
      <c r="H964" s="952"/>
      <c r="I964" s="952"/>
      <c r="J964" s="952"/>
      <c r="K964" s="952"/>
      <c r="L964" s="952"/>
      <c r="M964" s="952"/>
      <c r="N964" s="952"/>
      <c r="O964" s="952"/>
      <c r="P964" s="952"/>
      <c r="Q964" s="952"/>
      <c r="R964" s="952"/>
      <c r="S964" s="952"/>
      <c r="T964" s="952"/>
      <c r="U964" s="952"/>
      <c r="V964" s="952"/>
      <c r="W964" s="952"/>
      <c r="X964" s="952"/>
      <c r="Y964" s="952"/>
      <c r="Z964" s="952"/>
    </row>
    <row r="965" spans="1:26" ht="18.75" customHeight="1" x14ac:dyDescent="0.35">
      <c r="A965" s="952"/>
      <c r="B965" s="952"/>
      <c r="C965" s="952"/>
      <c r="D965" s="952"/>
      <c r="E965" s="952"/>
      <c r="F965" s="952"/>
      <c r="G965" s="952"/>
      <c r="H965" s="952"/>
      <c r="I965" s="952"/>
      <c r="J965" s="952"/>
      <c r="K965" s="952"/>
      <c r="L965" s="952"/>
      <c r="M965" s="952"/>
      <c r="N965" s="952"/>
      <c r="O965" s="952"/>
      <c r="P965" s="952"/>
      <c r="Q965" s="952"/>
      <c r="R965" s="952"/>
      <c r="S965" s="952"/>
      <c r="T965" s="952"/>
      <c r="U965" s="952"/>
      <c r="V965" s="952"/>
      <c r="W965" s="952"/>
      <c r="X965" s="952"/>
      <c r="Y965" s="952"/>
      <c r="Z965" s="952"/>
    </row>
    <row r="966" spans="1:26" ht="18.75" customHeight="1" x14ac:dyDescent="0.35">
      <c r="A966" s="952"/>
      <c r="B966" s="952"/>
      <c r="C966" s="952"/>
      <c r="D966" s="952"/>
      <c r="E966" s="952"/>
      <c r="F966" s="952"/>
      <c r="G966" s="952"/>
      <c r="H966" s="952"/>
      <c r="I966" s="952"/>
      <c r="J966" s="952"/>
      <c r="K966" s="952"/>
      <c r="L966" s="952"/>
      <c r="M966" s="952"/>
      <c r="N966" s="952"/>
      <c r="O966" s="952"/>
      <c r="P966" s="952"/>
      <c r="Q966" s="952"/>
      <c r="R966" s="952"/>
      <c r="S966" s="952"/>
      <c r="T966" s="952"/>
      <c r="U966" s="952"/>
      <c r="V966" s="952"/>
      <c r="W966" s="952"/>
      <c r="X966" s="952"/>
      <c r="Y966" s="952"/>
      <c r="Z966" s="952"/>
    </row>
    <row r="967" spans="1:26" ht="18.75" customHeight="1" x14ac:dyDescent="0.35">
      <c r="A967" s="952"/>
      <c r="B967" s="952"/>
      <c r="C967" s="952"/>
      <c r="D967" s="952"/>
      <c r="E967" s="952"/>
      <c r="F967" s="952"/>
      <c r="G967" s="952"/>
      <c r="H967" s="952"/>
      <c r="I967" s="952"/>
      <c r="J967" s="952"/>
      <c r="K967" s="952"/>
      <c r="L967" s="952"/>
      <c r="M967" s="952"/>
      <c r="N967" s="952"/>
      <c r="O967" s="952"/>
      <c r="P967" s="952"/>
      <c r="Q967" s="952"/>
      <c r="R967" s="952"/>
      <c r="S967" s="952"/>
      <c r="T967" s="952"/>
      <c r="U967" s="952"/>
      <c r="V967" s="952"/>
      <c r="W967" s="952"/>
      <c r="X967" s="952"/>
      <c r="Y967" s="952"/>
      <c r="Z967" s="952"/>
    </row>
    <row r="968" spans="1:26" ht="18.75" customHeight="1" x14ac:dyDescent="0.35">
      <c r="A968" s="952"/>
      <c r="B968" s="952"/>
      <c r="C968" s="952"/>
      <c r="D968" s="952"/>
      <c r="E968" s="952"/>
      <c r="F968" s="952"/>
      <c r="G968" s="952"/>
      <c r="H968" s="952"/>
      <c r="I968" s="952"/>
      <c r="J968" s="952"/>
      <c r="K968" s="952"/>
      <c r="L968" s="952"/>
      <c r="M968" s="952"/>
      <c r="N968" s="952"/>
      <c r="O968" s="952"/>
      <c r="P968" s="952"/>
      <c r="Q968" s="952"/>
      <c r="R968" s="952"/>
      <c r="S968" s="952"/>
      <c r="T968" s="952"/>
      <c r="U968" s="952"/>
      <c r="V968" s="952"/>
      <c r="W968" s="952"/>
      <c r="X968" s="952"/>
      <c r="Y968" s="952"/>
      <c r="Z968" s="952"/>
    </row>
    <row r="969" spans="1:26" ht="18.75" customHeight="1" x14ac:dyDescent="0.35">
      <c r="A969" s="952"/>
      <c r="B969" s="952"/>
      <c r="C969" s="952"/>
      <c r="D969" s="952"/>
      <c r="E969" s="952"/>
      <c r="F969" s="952"/>
      <c r="G969" s="952"/>
      <c r="H969" s="952"/>
      <c r="I969" s="952"/>
      <c r="J969" s="952"/>
      <c r="K969" s="952"/>
      <c r="L969" s="952"/>
      <c r="M969" s="952"/>
      <c r="N969" s="952"/>
      <c r="O969" s="952"/>
      <c r="P969" s="952"/>
      <c r="Q969" s="952"/>
      <c r="R969" s="952"/>
      <c r="S969" s="952"/>
      <c r="T969" s="952"/>
      <c r="U969" s="952"/>
      <c r="V969" s="952"/>
      <c r="W969" s="952"/>
      <c r="X969" s="952"/>
      <c r="Y969" s="952"/>
      <c r="Z969" s="952"/>
    </row>
    <row r="970" spans="1:26" ht="18.75" customHeight="1" x14ac:dyDescent="0.35">
      <c r="A970" s="952"/>
      <c r="B970" s="952"/>
      <c r="C970" s="952"/>
      <c r="D970" s="952"/>
      <c r="E970" s="952"/>
      <c r="F970" s="952"/>
      <c r="G970" s="952"/>
      <c r="H970" s="952"/>
      <c r="I970" s="952"/>
      <c r="J970" s="952"/>
      <c r="K970" s="952"/>
      <c r="L970" s="952"/>
      <c r="M970" s="952"/>
      <c r="N970" s="952"/>
      <c r="O970" s="952"/>
      <c r="P970" s="952"/>
      <c r="Q970" s="952"/>
      <c r="R970" s="952"/>
      <c r="S970" s="952"/>
      <c r="T970" s="952"/>
      <c r="U970" s="952"/>
      <c r="V970" s="952"/>
      <c r="W970" s="952"/>
      <c r="X970" s="952"/>
      <c r="Y970" s="952"/>
      <c r="Z970" s="952"/>
    </row>
    <row r="971" spans="1:26" ht="18.75" customHeight="1" x14ac:dyDescent="0.35">
      <c r="A971" s="952"/>
      <c r="B971" s="952"/>
      <c r="C971" s="952"/>
      <c r="D971" s="952"/>
      <c r="E971" s="952"/>
      <c r="F971" s="952"/>
      <c r="G971" s="952"/>
      <c r="H971" s="952"/>
      <c r="I971" s="952"/>
      <c r="J971" s="952"/>
      <c r="K971" s="952"/>
      <c r="L971" s="952"/>
      <c r="M971" s="952"/>
      <c r="N971" s="952"/>
      <c r="O971" s="952"/>
      <c r="P971" s="952"/>
      <c r="Q971" s="952"/>
      <c r="R971" s="952"/>
      <c r="S971" s="952"/>
      <c r="T971" s="952"/>
      <c r="U971" s="952"/>
      <c r="V971" s="952"/>
      <c r="W971" s="952"/>
      <c r="X971" s="952"/>
      <c r="Y971" s="952"/>
      <c r="Z971" s="952"/>
    </row>
    <row r="972" spans="1:26" ht="18.75" customHeight="1" x14ac:dyDescent="0.35">
      <c r="A972" s="952"/>
      <c r="B972" s="952"/>
      <c r="C972" s="952"/>
      <c r="D972" s="952"/>
      <c r="E972" s="952"/>
      <c r="F972" s="952"/>
      <c r="G972" s="952"/>
      <c r="H972" s="952"/>
      <c r="I972" s="952"/>
      <c r="J972" s="952"/>
      <c r="K972" s="952"/>
      <c r="L972" s="952"/>
      <c r="M972" s="952"/>
      <c r="N972" s="952"/>
      <c r="O972" s="952"/>
      <c r="P972" s="952"/>
      <c r="Q972" s="952"/>
      <c r="R972" s="952"/>
      <c r="S972" s="952"/>
      <c r="T972" s="952"/>
      <c r="U972" s="952"/>
      <c r="V972" s="952"/>
      <c r="W972" s="952"/>
      <c r="X972" s="952"/>
      <c r="Y972" s="952"/>
      <c r="Z972" s="952"/>
    </row>
    <row r="973" spans="1:26" ht="18.75" customHeight="1" x14ac:dyDescent="0.35">
      <c r="A973" s="952"/>
      <c r="B973" s="952"/>
      <c r="C973" s="952"/>
      <c r="D973" s="952"/>
      <c r="E973" s="952"/>
      <c r="F973" s="952"/>
      <c r="G973" s="952"/>
      <c r="H973" s="952"/>
      <c r="I973" s="952"/>
      <c r="J973" s="952"/>
      <c r="K973" s="952"/>
      <c r="L973" s="952"/>
      <c r="M973" s="952"/>
      <c r="N973" s="952"/>
      <c r="O973" s="952"/>
      <c r="P973" s="952"/>
      <c r="Q973" s="952"/>
      <c r="R973" s="952"/>
      <c r="S973" s="952"/>
      <c r="T973" s="952"/>
      <c r="U973" s="952"/>
      <c r="V973" s="952"/>
      <c r="W973" s="952"/>
      <c r="X973" s="952"/>
      <c r="Y973" s="952"/>
      <c r="Z973" s="952"/>
    </row>
    <row r="974" spans="1:26" ht="18.75" customHeight="1" x14ac:dyDescent="0.35">
      <c r="A974" s="952"/>
      <c r="B974" s="952"/>
      <c r="C974" s="952"/>
      <c r="D974" s="952"/>
      <c r="E974" s="952"/>
      <c r="F974" s="952"/>
      <c r="G974" s="952"/>
      <c r="H974" s="952"/>
      <c r="I974" s="952"/>
      <c r="J974" s="952"/>
      <c r="K974" s="952"/>
      <c r="L974" s="952"/>
      <c r="M974" s="952"/>
      <c r="N974" s="952"/>
      <c r="O974" s="952"/>
      <c r="P974" s="952"/>
      <c r="Q974" s="952"/>
      <c r="R974" s="952"/>
      <c r="S974" s="952"/>
      <c r="T974" s="952"/>
      <c r="U974" s="952"/>
      <c r="V974" s="952"/>
      <c r="W974" s="952"/>
      <c r="X974" s="952"/>
      <c r="Y974" s="952"/>
      <c r="Z974" s="952"/>
    </row>
    <row r="975" spans="1:26" ht="18.75" customHeight="1" x14ac:dyDescent="0.35">
      <c r="A975" s="952"/>
      <c r="B975" s="952"/>
      <c r="C975" s="952"/>
      <c r="D975" s="952"/>
      <c r="E975" s="952"/>
      <c r="F975" s="952"/>
      <c r="G975" s="952"/>
      <c r="H975" s="952"/>
      <c r="I975" s="952"/>
      <c r="J975" s="952"/>
      <c r="K975" s="952"/>
      <c r="L975" s="952"/>
      <c r="M975" s="952"/>
      <c r="N975" s="952"/>
      <c r="O975" s="952"/>
      <c r="P975" s="952"/>
      <c r="Q975" s="952"/>
      <c r="R975" s="952"/>
      <c r="S975" s="952"/>
      <c r="T975" s="952"/>
      <c r="U975" s="952"/>
      <c r="V975" s="952"/>
      <c r="W975" s="952"/>
      <c r="X975" s="952"/>
      <c r="Y975" s="952"/>
      <c r="Z975" s="952"/>
    </row>
    <row r="976" spans="1:26" ht="18.75" customHeight="1" x14ac:dyDescent="0.35">
      <c r="A976" s="952"/>
      <c r="B976" s="952"/>
      <c r="C976" s="952"/>
      <c r="D976" s="952"/>
      <c r="E976" s="952"/>
      <c r="F976" s="952"/>
      <c r="G976" s="952"/>
      <c r="H976" s="952"/>
      <c r="I976" s="952"/>
      <c r="J976" s="952"/>
      <c r="K976" s="952"/>
      <c r="L976" s="952"/>
      <c r="M976" s="952"/>
      <c r="N976" s="952"/>
      <c r="O976" s="952"/>
      <c r="P976" s="952"/>
      <c r="Q976" s="952"/>
      <c r="R976" s="952"/>
      <c r="S976" s="952"/>
      <c r="T976" s="952"/>
      <c r="U976" s="952"/>
      <c r="V976" s="952"/>
      <c r="W976" s="952"/>
      <c r="X976" s="952"/>
      <c r="Y976" s="952"/>
      <c r="Z976" s="952"/>
    </row>
    <row r="977" spans="1:26" ht="18.75" customHeight="1" x14ac:dyDescent="0.35">
      <c r="A977" s="952"/>
      <c r="B977" s="952"/>
      <c r="C977" s="952"/>
      <c r="D977" s="952"/>
      <c r="E977" s="952"/>
      <c r="F977" s="952"/>
      <c r="G977" s="952"/>
      <c r="H977" s="952"/>
      <c r="I977" s="952"/>
      <c r="J977" s="952"/>
      <c r="K977" s="952"/>
      <c r="L977" s="952"/>
      <c r="M977" s="952"/>
      <c r="N977" s="952"/>
      <c r="O977" s="952"/>
      <c r="P977" s="952"/>
      <c r="Q977" s="952"/>
      <c r="R977" s="952"/>
      <c r="S977" s="952"/>
      <c r="T977" s="952"/>
      <c r="U977" s="952"/>
      <c r="V977" s="952"/>
      <c r="W977" s="952"/>
      <c r="X977" s="952"/>
      <c r="Y977" s="952"/>
      <c r="Z977" s="952"/>
    </row>
    <row r="978" spans="1:26" ht="18.75" customHeight="1" x14ac:dyDescent="0.35">
      <c r="A978" s="952"/>
      <c r="B978" s="952"/>
      <c r="C978" s="952"/>
      <c r="D978" s="952"/>
      <c r="E978" s="952"/>
      <c r="F978" s="952"/>
      <c r="G978" s="952"/>
      <c r="H978" s="952"/>
      <c r="I978" s="952"/>
      <c r="J978" s="952"/>
      <c r="K978" s="952"/>
      <c r="L978" s="952"/>
      <c r="M978" s="952"/>
      <c r="N978" s="952"/>
      <c r="O978" s="952"/>
      <c r="P978" s="952"/>
      <c r="Q978" s="952"/>
      <c r="R978" s="952"/>
      <c r="S978" s="952"/>
      <c r="T978" s="952"/>
      <c r="U978" s="952"/>
      <c r="V978" s="952"/>
      <c r="W978" s="952"/>
      <c r="X978" s="952"/>
      <c r="Y978" s="952"/>
      <c r="Z978" s="952"/>
    </row>
    <row r="979" spans="1:26" ht="18.75" customHeight="1" x14ac:dyDescent="0.35">
      <c r="A979" s="952"/>
      <c r="B979" s="952"/>
      <c r="C979" s="952"/>
      <c r="D979" s="952"/>
      <c r="E979" s="952"/>
      <c r="F979" s="952"/>
      <c r="G979" s="952"/>
      <c r="H979" s="952"/>
      <c r="I979" s="952"/>
      <c r="J979" s="952"/>
      <c r="K979" s="952"/>
      <c r="L979" s="952"/>
      <c r="M979" s="952"/>
      <c r="N979" s="952"/>
      <c r="O979" s="952"/>
      <c r="P979" s="952"/>
      <c r="Q979" s="952"/>
      <c r="R979" s="952"/>
      <c r="S979" s="952"/>
      <c r="T979" s="952"/>
      <c r="U979" s="952"/>
      <c r="V979" s="952"/>
      <c r="W979" s="952"/>
      <c r="X979" s="952"/>
      <c r="Y979" s="952"/>
      <c r="Z979" s="952"/>
    </row>
    <row r="980" spans="1:26" ht="18.75" customHeight="1" x14ac:dyDescent="0.35">
      <c r="A980" s="952"/>
      <c r="B980" s="952"/>
      <c r="C980" s="952"/>
      <c r="D980" s="952"/>
      <c r="E980" s="952"/>
      <c r="F980" s="952"/>
      <c r="G980" s="952"/>
      <c r="H980" s="952"/>
      <c r="I980" s="952"/>
      <c r="J980" s="952"/>
      <c r="K980" s="952"/>
      <c r="L980" s="952"/>
      <c r="M980" s="952"/>
      <c r="N980" s="952"/>
      <c r="O980" s="952"/>
      <c r="P980" s="952"/>
      <c r="Q980" s="952"/>
      <c r="R980" s="952"/>
      <c r="S980" s="952"/>
      <c r="T980" s="952"/>
      <c r="U980" s="952"/>
      <c r="V980" s="952"/>
      <c r="W980" s="952"/>
      <c r="X980" s="952"/>
      <c r="Y980" s="952"/>
      <c r="Z980" s="952"/>
    </row>
    <row r="981" spans="1:26" ht="18.75" customHeight="1" x14ac:dyDescent="0.35">
      <c r="A981" s="952"/>
      <c r="B981" s="952"/>
      <c r="C981" s="952"/>
      <c r="D981" s="952"/>
      <c r="E981" s="952"/>
      <c r="F981" s="952"/>
      <c r="G981" s="952"/>
      <c r="H981" s="952"/>
      <c r="I981" s="952"/>
      <c r="J981" s="952"/>
      <c r="K981" s="952"/>
      <c r="L981" s="952"/>
      <c r="M981" s="952"/>
      <c r="N981" s="952"/>
      <c r="O981" s="952"/>
      <c r="P981" s="952"/>
      <c r="Q981" s="952"/>
      <c r="R981" s="952"/>
      <c r="S981" s="952"/>
      <c r="T981" s="952"/>
      <c r="U981" s="952"/>
      <c r="V981" s="952"/>
      <c r="W981" s="952"/>
      <c r="X981" s="952"/>
      <c r="Y981" s="952"/>
      <c r="Z981" s="952"/>
    </row>
    <row r="982" spans="1:26" ht="18.75" customHeight="1" x14ac:dyDescent="0.35">
      <c r="A982" s="952"/>
      <c r="B982" s="952"/>
      <c r="C982" s="952"/>
      <c r="D982" s="952"/>
      <c r="E982" s="952"/>
      <c r="F982" s="952"/>
      <c r="G982" s="952"/>
      <c r="H982" s="952"/>
      <c r="I982" s="952"/>
      <c r="J982" s="952"/>
      <c r="K982" s="952"/>
      <c r="L982" s="952"/>
      <c r="M982" s="952"/>
      <c r="N982" s="952"/>
      <c r="O982" s="952"/>
      <c r="P982" s="952"/>
      <c r="Q982" s="952"/>
      <c r="R982" s="952"/>
      <c r="S982" s="952"/>
      <c r="T982" s="952"/>
      <c r="U982" s="952"/>
      <c r="V982" s="952"/>
      <c r="W982" s="952"/>
      <c r="X982" s="952"/>
      <c r="Y982" s="952"/>
      <c r="Z982" s="952"/>
    </row>
    <row r="983" spans="1:26" ht="18.75" customHeight="1" x14ac:dyDescent="0.35">
      <c r="A983" s="952"/>
      <c r="B983" s="952"/>
      <c r="C983" s="952"/>
      <c r="D983" s="952"/>
      <c r="E983" s="952"/>
      <c r="F983" s="952"/>
      <c r="G983" s="952"/>
      <c r="H983" s="952"/>
      <c r="I983" s="952"/>
      <c r="J983" s="952"/>
      <c r="K983" s="952"/>
      <c r="L983" s="952"/>
      <c r="M983" s="952"/>
      <c r="N983" s="952"/>
      <c r="O983" s="952"/>
      <c r="P983" s="952"/>
      <c r="Q983" s="952"/>
      <c r="R983" s="952"/>
      <c r="S983" s="952"/>
      <c r="T983" s="952"/>
      <c r="U983" s="952"/>
      <c r="V983" s="952"/>
      <c r="W983" s="952"/>
      <c r="X983" s="952"/>
      <c r="Y983" s="952"/>
      <c r="Z983" s="952"/>
    </row>
    <row r="984" spans="1:26" ht="18.75" customHeight="1" x14ac:dyDescent="0.35">
      <c r="A984" s="952"/>
      <c r="B984" s="952"/>
      <c r="C984" s="952"/>
      <c r="D984" s="952"/>
      <c r="E984" s="952"/>
      <c r="F984" s="952"/>
      <c r="G984" s="952"/>
      <c r="H984" s="952"/>
      <c r="I984" s="952"/>
      <c r="J984" s="952"/>
      <c r="K984" s="952"/>
      <c r="L984" s="952"/>
      <c r="M984" s="952"/>
      <c r="N984" s="952"/>
      <c r="O984" s="952"/>
      <c r="P984" s="952"/>
      <c r="Q984" s="952"/>
      <c r="R984" s="952"/>
      <c r="S984" s="952"/>
      <c r="T984" s="952"/>
      <c r="U984" s="952"/>
      <c r="V984" s="952"/>
      <c r="W984" s="952"/>
      <c r="X984" s="952"/>
      <c r="Y984" s="952"/>
      <c r="Z984" s="952"/>
    </row>
    <row r="985" spans="1:26" ht="18.75" customHeight="1" x14ac:dyDescent="0.35">
      <c r="A985" s="952"/>
      <c r="B985" s="952"/>
      <c r="C985" s="952"/>
      <c r="D985" s="952"/>
      <c r="E985" s="952"/>
      <c r="F985" s="952"/>
      <c r="G985" s="952"/>
      <c r="H985" s="952"/>
      <c r="I985" s="952"/>
      <c r="J985" s="952"/>
      <c r="K985" s="952"/>
      <c r="L985" s="952"/>
      <c r="M985" s="952"/>
      <c r="N985" s="952"/>
      <c r="O985" s="952"/>
      <c r="P985" s="952"/>
      <c r="Q985" s="952"/>
      <c r="R985" s="952"/>
      <c r="S985" s="952"/>
      <c r="T985" s="952"/>
      <c r="U985" s="952"/>
      <c r="V985" s="952"/>
      <c r="W985" s="952"/>
      <c r="X985" s="952"/>
      <c r="Y985" s="952"/>
      <c r="Z985" s="952"/>
    </row>
    <row r="986" spans="1:26" ht="18.75" customHeight="1" x14ac:dyDescent="0.35">
      <c r="A986" s="952"/>
      <c r="B986" s="952"/>
      <c r="C986" s="952"/>
      <c r="D986" s="952"/>
      <c r="E986" s="952"/>
      <c r="F986" s="952"/>
      <c r="G986" s="952"/>
      <c r="H986" s="952"/>
      <c r="I986" s="952"/>
      <c r="J986" s="952"/>
      <c r="K986" s="952"/>
      <c r="L986" s="952"/>
      <c r="M986" s="952"/>
      <c r="N986" s="952"/>
      <c r="O986" s="952"/>
      <c r="P986" s="952"/>
      <c r="Q986" s="952"/>
      <c r="R986" s="952"/>
      <c r="S986" s="952"/>
      <c r="T986" s="952"/>
      <c r="U986" s="952"/>
      <c r="V986" s="952"/>
      <c r="W986" s="952"/>
      <c r="X986" s="952"/>
      <c r="Y986" s="952"/>
      <c r="Z986" s="952"/>
    </row>
    <row r="987" spans="1:26" ht="18.75" customHeight="1" x14ac:dyDescent="0.35">
      <c r="A987" s="952"/>
      <c r="B987" s="952"/>
      <c r="C987" s="952"/>
      <c r="D987" s="952"/>
      <c r="E987" s="952"/>
      <c r="F987" s="952"/>
      <c r="G987" s="952"/>
      <c r="H987" s="952"/>
      <c r="I987" s="952"/>
      <c r="J987" s="952"/>
      <c r="K987" s="952"/>
      <c r="L987" s="952"/>
      <c r="M987" s="952"/>
      <c r="N987" s="952"/>
      <c r="O987" s="952"/>
      <c r="P987" s="952"/>
      <c r="Q987" s="952"/>
      <c r="R987" s="952"/>
      <c r="S987" s="952"/>
      <c r="T987" s="952"/>
      <c r="U987" s="952"/>
      <c r="V987" s="952"/>
      <c r="W987" s="952"/>
      <c r="X987" s="952"/>
      <c r="Y987" s="952"/>
      <c r="Z987" s="952"/>
    </row>
    <row r="988" spans="1:26" ht="18.75" customHeight="1" x14ac:dyDescent="0.35">
      <c r="A988" s="952"/>
      <c r="B988" s="952"/>
      <c r="C988" s="952"/>
      <c r="D988" s="952"/>
      <c r="E988" s="952"/>
      <c r="F988" s="952"/>
      <c r="G988" s="952"/>
      <c r="H988" s="952"/>
      <c r="I988" s="952"/>
      <c r="J988" s="952"/>
      <c r="K988" s="952"/>
      <c r="L988" s="952"/>
      <c r="M988" s="952"/>
      <c r="N988" s="952"/>
      <c r="O988" s="952"/>
      <c r="P988" s="952"/>
      <c r="Q988" s="952"/>
      <c r="R988" s="952"/>
      <c r="S988" s="952"/>
      <c r="T988" s="952"/>
      <c r="U988" s="952"/>
      <c r="V988" s="952"/>
      <c r="W988" s="952"/>
      <c r="X988" s="952"/>
      <c r="Y988" s="952"/>
      <c r="Z988" s="952"/>
    </row>
    <row r="989" spans="1:26" ht="18.75" customHeight="1" x14ac:dyDescent="0.35">
      <c r="A989" s="952"/>
      <c r="B989" s="952"/>
      <c r="C989" s="952"/>
      <c r="D989" s="952"/>
      <c r="E989" s="952"/>
      <c r="F989" s="952"/>
      <c r="G989" s="952"/>
      <c r="H989" s="952"/>
      <c r="I989" s="952"/>
      <c r="J989" s="952"/>
      <c r="K989" s="952"/>
      <c r="L989" s="952"/>
      <c r="M989" s="952"/>
      <c r="N989" s="952"/>
      <c r="O989" s="952"/>
      <c r="P989" s="952"/>
      <c r="Q989" s="952"/>
      <c r="R989" s="952"/>
      <c r="S989" s="952"/>
      <c r="T989" s="952"/>
      <c r="U989" s="952"/>
      <c r="V989" s="952"/>
      <c r="W989" s="952"/>
      <c r="X989" s="952"/>
      <c r="Y989" s="952"/>
      <c r="Z989" s="952"/>
    </row>
    <row r="990" spans="1:26" ht="18.75" customHeight="1" x14ac:dyDescent="0.35">
      <c r="A990" s="952"/>
      <c r="B990" s="952"/>
      <c r="C990" s="952"/>
      <c r="D990" s="952"/>
      <c r="E990" s="952"/>
      <c r="F990" s="952"/>
      <c r="G990" s="952"/>
      <c r="H990" s="952"/>
      <c r="I990" s="952"/>
      <c r="J990" s="952"/>
      <c r="K990" s="952"/>
      <c r="L990" s="952"/>
      <c r="M990" s="952"/>
      <c r="N990" s="952"/>
      <c r="O990" s="952"/>
      <c r="P990" s="952"/>
      <c r="Q990" s="952"/>
      <c r="R990" s="952"/>
      <c r="S990" s="952"/>
      <c r="T990" s="952"/>
      <c r="U990" s="952"/>
      <c r="V990" s="952"/>
      <c r="W990" s="952"/>
      <c r="X990" s="952"/>
      <c r="Y990" s="952"/>
      <c r="Z990" s="952"/>
    </row>
    <row r="991" spans="1:26" ht="18.75" customHeight="1" x14ac:dyDescent="0.35">
      <c r="A991" s="952"/>
      <c r="B991" s="952"/>
      <c r="C991" s="952"/>
      <c r="D991" s="952"/>
      <c r="E991" s="952"/>
      <c r="F991" s="952"/>
      <c r="G991" s="952"/>
      <c r="H991" s="952"/>
      <c r="I991" s="952"/>
      <c r="J991" s="952"/>
      <c r="K991" s="952"/>
      <c r="L991" s="952"/>
      <c r="M991" s="952"/>
      <c r="N991" s="952"/>
      <c r="O991" s="952"/>
      <c r="P991" s="952"/>
      <c r="Q991" s="952"/>
      <c r="R991" s="952"/>
      <c r="S991" s="952"/>
      <c r="T991" s="952"/>
      <c r="U991" s="952"/>
      <c r="V991" s="952"/>
      <c r="W991" s="952"/>
      <c r="X991" s="952"/>
      <c r="Y991" s="952"/>
      <c r="Z991" s="952"/>
    </row>
    <row r="992" spans="1:26" ht="18.75" customHeight="1" x14ac:dyDescent="0.35">
      <c r="A992" s="952"/>
      <c r="B992" s="952"/>
      <c r="C992" s="952"/>
      <c r="D992" s="952"/>
      <c r="E992" s="952"/>
      <c r="F992" s="952"/>
      <c r="G992" s="952"/>
      <c r="H992" s="952"/>
      <c r="I992" s="952"/>
      <c r="J992" s="952"/>
      <c r="K992" s="952"/>
      <c r="L992" s="952"/>
      <c r="M992" s="952"/>
      <c r="N992" s="952"/>
      <c r="O992" s="952"/>
      <c r="P992" s="952"/>
      <c r="Q992" s="952"/>
      <c r="R992" s="952"/>
      <c r="S992" s="952"/>
      <c r="T992" s="952"/>
      <c r="U992" s="952"/>
      <c r="V992" s="952"/>
      <c r="W992" s="952"/>
      <c r="X992" s="952"/>
      <c r="Y992" s="952"/>
      <c r="Z992" s="952"/>
    </row>
    <row r="993" spans="1:26" ht="18.75" customHeight="1" x14ac:dyDescent="0.35">
      <c r="A993" s="952"/>
      <c r="B993" s="952"/>
      <c r="C993" s="952"/>
      <c r="D993" s="952"/>
      <c r="E993" s="952"/>
      <c r="F993" s="952"/>
      <c r="G993" s="952"/>
      <c r="H993" s="952"/>
      <c r="I993" s="952"/>
      <c r="J993" s="952"/>
      <c r="K993" s="952"/>
      <c r="L993" s="952"/>
      <c r="M993" s="952"/>
      <c r="N993" s="952"/>
      <c r="O993" s="952"/>
      <c r="P993" s="952"/>
      <c r="Q993" s="952"/>
      <c r="R993" s="952"/>
      <c r="S993" s="952"/>
      <c r="T993" s="952"/>
      <c r="U993" s="952"/>
      <c r="V993" s="952"/>
      <c r="W993" s="952"/>
      <c r="X993" s="952"/>
      <c r="Y993" s="952"/>
      <c r="Z993" s="952"/>
    </row>
    <row r="994" spans="1:26" ht="18.75" customHeight="1" x14ac:dyDescent="0.35">
      <c r="A994" s="952"/>
      <c r="B994" s="952"/>
      <c r="C994" s="952"/>
      <c r="D994" s="952"/>
      <c r="E994" s="952"/>
      <c r="F994" s="952"/>
      <c r="G994" s="952"/>
      <c r="H994" s="952"/>
      <c r="I994" s="952"/>
      <c r="J994" s="952"/>
      <c r="K994" s="952"/>
      <c r="L994" s="952"/>
      <c r="M994" s="952"/>
      <c r="N994" s="952"/>
      <c r="O994" s="952"/>
      <c r="P994" s="952"/>
      <c r="Q994" s="952"/>
      <c r="R994" s="952"/>
      <c r="S994" s="952"/>
      <c r="T994" s="952"/>
      <c r="U994" s="952"/>
      <c r="V994" s="952"/>
      <c r="W994" s="952"/>
      <c r="X994" s="952"/>
      <c r="Y994" s="952"/>
      <c r="Z994" s="952"/>
    </row>
    <row r="995" spans="1:26" ht="18.75" customHeight="1" x14ac:dyDescent="0.35">
      <c r="A995" s="952"/>
      <c r="B995" s="952"/>
      <c r="C995" s="952"/>
      <c r="D995" s="952"/>
      <c r="E995" s="952"/>
      <c r="F995" s="952"/>
      <c r="G995" s="952"/>
      <c r="H995" s="952"/>
      <c r="I995" s="952"/>
      <c r="J995" s="952"/>
      <c r="K995" s="952"/>
      <c r="L995" s="952"/>
      <c r="M995" s="952"/>
      <c r="N995" s="952"/>
      <c r="O995" s="952"/>
      <c r="P995" s="952"/>
      <c r="Q995" s="952"/>
      <c r="R995" s="952"/>
      <c r="S995" s="952"/>
      <c r="T995" s="952"/>
      <c r="U995" s="952"/>
      <c r="V995" s="952"/>
      <c r="W995" s="952"/>
      <c r="X995" s="952"/>
      <c r="Y995" s="952"/>
      <c r="Z995" s="952"/>
    </row>
    <row r="996" spans="1:26" ht="18.75" customHeight="1" x14ac:dyDescent="0.35">
      <c r="A996" s="952"/>
      <c r="B996" s="952"/>
      <c r="C996" s="952"/>
      <c r="D996" s="952"/>
      <c r="E996" s="952"/>
      <c r="F996" s="952"/>
      <c r="G996" s="952"/>
      <c r="H996" s="952"/>
      <c r="I996" s="952"/>
      <c r="J996" s="952"/>
      <c r="K996" s="952"/>
      <c r="L996" s="952"/>
      <c r="M996" s="952"/>
      <c r="N996" s="952"/>
      <c r="O996" s="952"/>
      <c r="P996" s="952"/>
      <c r="Q996" s="952"/>
      <c r="R996" s="952"/>
      <c r="S996" s="952"/>
      <c r="T996" s="952"/>
      <c r="U996" s="952"/>
      <c r="V996" s="952"/>
      <c r="W996" s="952"/>
      <c r="X996" s="952"/>
      <c r="Y996" s="952"/>
      <c r="Z996" s="952"/>
    </row>
    <row r="997" spans="1:26" ht="18.75" customHeight="1" x14ac:dyDescent="0.35">
      <c r="A997" s="952"/>
      <c r="B997" s="952"/>
      <c r="C997" s="952"/>
      <c r="D997" s="952"/>
      <c r="E997" s="952"/>
      <c r="F997" s="952"/>
      <c r="G997" s="952"/>
      <c r="H997" s="952"/>
      <c r="I997" s="952"/>
      <c r="J997" s="952"/>
      <c r="K997" s="952"/>
      <c r="L997" s="952"/>
      <c r="M997" s="952"/>
      <c r="N997" s="952"/>
      <c r="O997" s="952"/>
      <c r="P997" s="952"/>
      <c r="Q997" s="952"/>
      <c r="R997" s="952"/>
      <c r="S997" s="952"/>
      <c r="T997" s="952"/>
      <c r="U997" s="952"/>
      <c r="V997" s="952"/>
      <c r="W997" s="952"/>
      <c r="X997" s="952"/>
      <c r="Y997" s="952"/>
      <c r="Z997" s="952"/>
    </row>
    <row r="998" spans="1:26" ht="18.75" customHeight="1" x14ac:dyDescent="0.35">
      <c r="A998" s="952"/>
      <c r="B998" s="952"/>
      <c r="C998" s="952"/>
      <c r="D998" s="952"/>
      <c r="E998" s="952"/>
      <c r="F998" s="952"/>
      <c r="G998" s="952"/>
      <c r="H998" s="952"/>
      <c r="I998" s="952"/>
      <c r="J998" s="952"/>
      <c r="K998" s="952"/>
      <c r="L998" s="952"/>
      <c r="M998" s="952"/>
      <c r="N998" s="952"/>
      <c r="O998" s="952"/>
      <c r="P998" s="952"/>
      <c r="Q998" s="952"/>
      <c r="R998" s="952"/>
      <c r="S998" s="952"/>
      <c r="T998" s="952"/>
      <c r="U998" s="952"/>
      <c r="V998" s="952"/>
      <c r="W998" s="952"/>
      <c r="X998" s="952"/>
      <c r="Y998" s="952"/>
      <c r="Z998" s="952"/>
    </row>
    <row r="999" spans="1:26" ht="18.75" customHeight="1" x14ac:dyDescent="0.35">
      <c r="A999" s="952"/>
      <c r="B999" s="952"/>
      <c r="C999" s="952"/>
      <c r="D999" s="952"/>
      <c r="E999" s="952"/>
      <c r="F999" s="952"/>
      <c r="G999" s="952"/>
      <c r="H999" s="952"/>
      <c r="I999" s="952"/>
      <c r="J999" s="952"/>
      <c r="K999" s="952"/>
      <c r="L999" s="952"/>
      <c r="M999" s="952"/>
      <c r="N999" s="952"/>
      <c r="O999" s="952"/>
      <c r="P999" s="952"/>
      <c r="Q999" s="952"/>
      <c r="R999" s="952"/>
      <c r="S999" s="952"/>
      <c r="T999" s="952"/>
      <c r="U999" s="952"/>
      <c r="V999" s="952"/>
      <c r="W999" s="952"/>
      <c r="X999" s="952"/>
      <c r="Y999" s="952"/>
      <c r="Z999" s="952"/>
    </row>
    <row r="1000" spans="1:26" ht="18.75" customHeight="1" x14ac:dyDescent="0.35">
      <c r="A1000" s="952"/>
      <c r="B1000" s="952"/>
      <c r="C1000" s="952"/>
      <c r="D1000" s="952"/>
      <c r="E1000" s="952"/>
      <c r="F1000" s="952"/>
      <c r="G1000" s="952"/>
      <c r="H1000" s="952"/>
      <c r="I1000" s="952"/>
      <c r="J1000" s="952"/>
      <c r="K1000" s="952"/>
      <c r="L1000" s="952"/>
      <c r="M1000" s="952"/>
      <c r="N1000" s="952"/>
      <c r="O1000" s="952"/>
      <c r="P1000" s="952"/>
      <c r="Q1000" s="952"/>
      <c r="R1000" s="952"/>
      <c r="S1000" s="952"/>
      <c r="T1000" s="952"/>
      <c r="U1000" s="952"/>
      <c r="V1000" s="952"/>
      <c r="W1000" s="952"/>
      <c r="X1000" s="952"/>
      <c r="Y1000" s="952"/>
      <c r="Z1000" s="952"/>
    </row>
  </sheetData>
  <mergeCells count="63">
    <mergeCell ref="O21:O22"/>
    <mergeCell ref="P21:P22"/>
    <mergeCell ref="N3:N4"/>
    <mergeCell ref="D75:D76"/>
    <mergeCell ref="D30:E30"/>
    <mergeCell ref="D31:E31"/>
    <mergeCell ref="D32:E32"/>
    <mergeCell ref="D33:E33"/>
    <mergeCell ref="D34:E34"/>
    <mergeCell ref="D35:E35"/>
    <mergeCell ref="A37:F37"/>
    <mergeCell ref="A55:F55"/>
    <mergeCell ref="D57:E57"/>
    <mergeCell ref="D28:E28"/>
    <mergeCell ref="D29:E29"/>
    <mergeCell ref="A73:F73"/>
    <mergeCell ref="D22:E22"/>
    <mergeCell ref="D24:E24"/>
    <mergeCell ref="D25:E25"/>
    <mergeCell ref="D26:E26"/>
    <mergeCell ref="D27:E27"/>
    <mergeCell ref="A1:F1"/>
    <mergeCell ref="D3:E3"/>
    <mergeCell ref="I3:I4"/>
    <mergeCell ref="J3:J4"/>
    <mergeCell ref="K3:K4"/>
    <mergeCell ref="O3:O4"/>
    <mergeCell ref="P3:P4"/>
    <mergeCell ref="Q21:Q22"/>
    <mergeCell ref="R21:R22"/>
    <mergeCell ref="A19:F19"/>
    <mergeCell ref="D21:E21"/>
    <mergeCell ref="I21:I22"/>
    <mergeCell ref="J21:J22"/>
    <mergeCell ref="K21:K22"/>
    <mergeCell ref="L21:L22"/>
    <mergeCell ref="M21:M22"/>
    <mergeCell ref="Q3:Q4"/>
    <mergeCell ref="R3:R4"/>
    <mergeCell ref="L3:L4"/>
    <mergeCell ref="M3:M4"/>
    <mergeCell ref="N21:N22"/>
    <mergeCell ref="O39:O40"/>
    <mergeCell ref="P39:P40"/>
    <mergeCell ref="Q39:Q40"/>
    <mergeCell ref="R39:R40"/>
    <mergeCell ref="D39:E39"/>
    <mergeCell ref="I39:I40"/>
    <mergeCell ref="J39:J40"/>
    <mergeCell ref="K39:K40"/>
    <mergeCell ref="L39:L40"/>
    <mergeCell ref="M39:M40"/>
    <mergeCell ref="N39:N40"/>
    <mergeCell ref="N57:N58"/>
    <mergeCell ref="O57:O58"/>
    <mergeCell ref="P57:P58"/>
    <mergeCell ref="Q57:Q58"/>
    <mergeCell ref="R57:R58"/>
    <mergeCell ref="I57:I58"/>
    <mergeCell ref="J57:J58"/>
    <mergeCell ref="K57:K58"/>
    <mergeCell ref="L57:L58"/>
    <mergeCell ref="M57:M58"/>
  </mergeCells>
  <dataValidations count="5">
    <dataValidation type="list" allowBlank="1" showErrorMessage="1" sqref="B24:B35" xr:uid="{00000000-0002-0000-1700-000000000000}">
      <formula1>$A$92:$A$99</formula1>
    </dataValidation>
    <dataValidation type="list" allowBlank="1" showErrorMessage="1" sqref="B60:B71" xr:uid="{00000000-0002-0000-1700-000001000000}">
      <formula1>$A$110:$A$112</formula1>
    </dataValidation>
    <dataValidation type="list" allowBlank="1" showErrorMessage="1" sqref="B42:B53" xr:uid="{00000000-0002-0000-1700-000002000000}">
      <formula1>$A$122:$A$147</formula1>
    </dataValidation>
    <dataValidation type="list" allowBlank="1" showErrorMessage="1" sqref="B6:B17" xr:uid="{00000000-0002-0000-1700-000003000000}">
      <formula1>$A$102:$A$108</formula1>
    </dataValidation>
    <dataValidation type="list" allowBlank="1" showErrorMessage="1" sqref="C6:C17 C24:C35 C42:C53 C60:C71" xr:uid="{00000000-0002-0000-1700-000004000000}">
      <formula1>$A$89:$A$90</formula1>
    </dataValidation>
  </dataValidations>
  <pageMargins left="0.7" right="0.7" top="0.75" bottom="0.75" header="0" footer="0"/>
  <pageSetup paperSize="9" orientation="portrait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Z1000"/>
  <sheetViews>
    <sheetView workbookViewId="0"/>
  </sheetViews>
  <sheetFormatPr baseColWidth="10" defaultColWidth="14.44140625" defaultRowHeight="15" customHeight="1" x14ac:dyDescent="0.3"/>
  <cols>
    <col min="1" max="1" width="17" customWidth="1"/>
    <col min="2" max="2" width="40" customWidth="1"/>
    <col min="3" max="3" width="30.5546875" customWidth="1"/>
    <col min="4" max="4" width="17.88671875" customWidth="1"/>
    <col min="5" max="5" width="23.5546875" customWidth="1"/>
    <col min="6" max="6" width="27" customWidth="1"/>
    <col min="7" max="7" width="17" customWidth="1"/>
    <col min="8" max="8" width="15.44140625" customWidth="1"/>
    <col min="9" max="9" width="14.6640625" customWidth="1"/>
    <col min="10" max="10" width="11.44140625" customWidth="1"/>
    <col min="11" max="11" width="11.5546875" customWidth="1"/>
    <col min="12" max="13" width="12.88671875" customWidth="1"/>
    <col min="14" max="14" width="15.44140625" customWidth="1"/>
    <col min="15" max="15" width="14.5546875" customWidth="1"/>
    <col min="16" max="16" width="11.44140625" customWidth="1"/>
    <col min="17" max="17" width="12.109375" customWidth="1"/>
    <col min="18" max="26" width="11.44140625" customWidth="1"/>
  </cols>
  <sheetData>
    <row r="1" spans="1:26" ht="18.75" customHeight="1" x14ac:dyDescent="0.35">
      <c r="A1" s="1217" t="s">
        <v>617</v>
      </c>
      <c r="B1" s="1085"/>
      <c r="C1" s="1085"/>
      <c r="D1" s="1085"/>
      <c r="E1" s="1085"/>
      <c r="F1" s="1085"/>
      <c r="G1" s="1086"/>
      <c r="H1" s="983"/>
      <c r="I1" s="984"/>
      <c r="J1" s="984"/>
      <c r="K1" s="984"/>
      <c r="L1" s="984"/>
      <c r="M1" s="984"/>
      <c r="N1" s="984"/>
      <c r="O1" s="984"/>
      <c r="P1" s="984"/>
      <c r="Q1" s="984"/>
      <c r="R1" s="984"/>
      <c r="S1" s="984"/>
      <c r="T1" s="984"/>
      <c r="U1" s="984"/>
      <c r="V1" s="984"/>
      <c r="W1" s="984"/>
      <c r="X1" s="984"/>
      <c r="Y1" s="984"/>
      <c r="Z1" s="984"/>
    </row>
    <row r="2" spans="1:26" ht="19.5" customHeight="1" x14ac:dyDescent="0.35">
      <c r="A2" s="1087"/>
      <c r="B2" s="1088"/>
      <c r="C2" s="1088"/>
      <c r="D2" s="1088"/>
      <c r="E2" s="1088"/>
      <c r="F2" s="1088"/>
      <c r="G2" s="1089"/>
      <c r="H2" s="983"/>
      <c r="I2" s="984"/>
      <c r="J2" s="984"/>
      <c r="K2" s="984"/>
      <c r="L2" s="984"/>
      <c r="M2" s="984"/>
      <c r="N2" s="984"/>
      <c r="O2" s="984"/>
      <c r="P2" s="984"/>
      <c r="Q2" s="984"/>
      <c r="R2" s="984"/>
      <c r="S2" s="984"/>
      <c r="T2" s="984"/>
      <c r="U2" s="984"/>
      <c r="V2" s="984"/>
      <c r="W2" s="984"/>
      <c r="X2" s="984"/>
      <c r="Y2" s="984"/>
      <c r="Z2" s="984"/>
    </row>
    <row r="3" spans="1:26" ht="42.75" customHeight="1" x14ac:dyDescent="0.35">
      <c r="A3" s="1218"/>
      <c r="B3" s="984"/>
      <c r="C3" s="1219" t="str">
        <f>IF(C19="Boulons et platines","Boulons et Platines GC",0)</f>
        <v>Boulons et Platines GC</v>
      </c>
      <c r="D3" s="1158"/>
      <c r="E3" s="985" t="str">
        <f>IF(C3="Boulons et Platines GC","Nbre de Trous",0)</f>
        <v>Nbre de Trous</v>
      </c>
      <c r="F3" s="986" t="str">
        <f>IF(C3="Boulons et Platines GC","Dim du Bord",0)</f>
        <v>Dim du Bord</v>
      </c>
      <c r="G3" s="987"/>
      <c r="H3" s="987"/>
      <c r="I3" s="984"/>
      <c r="J3" s="984"/>
      <c r="K3" s="984"/>
      <c r="L3" s="984"/>
      <c r="M3" s="984"/>
      <c r="N3" s="984"/>
      <c r="O3" s="984"/>
      <c r="P3" s="984"/>
      <c r="Q3" s="984"/>
      <c r="R3" s="984"/>
      <c r="S3" s="984"/>
      <c r="T3" s="984"/>
      <c r="U3" s="984"/>
      <c r="V3" s="984"/>
      <c r="W3" s="984"/>
      <c r="X3" s="984"/>
      <c r="Y3" s="984"/>
      <c r="Z3" s="984"/>
    </row>
    <row r="4" spans="1:26" ht="18" customHeight="1" x14ac:dyDescent="0.35">
      <c r="A4" s="1108"/>
      <c r="B4" s="984"/>
      <c r="C4" s="1220" t="str">
        <f>IF(C19="Vis bois",0,"Trous dans la Longueur pour plateau")</f>
        <v>Trous dans la Longueur pour plateau</v>
      </c>
      <c r="D4" s="1101"/>
      <c r="E4" s="988">
        <f>IF(C4=0,0,IF(C42&lt;100,2,IF(C42&lt;150,3,IF(C42&lt;200,4,IF(C42&lt;250,5,IF(C42&lt;300,6,7))))))</f>
        <v>4</v>
      </c>
      <c r="F4" s="989">
        <f>IF(E4=0,0,IF(E4=2,0,IF(E4=3,0,(($C$42-32)/(E4-1))+16)))</f>
        <v>56.333333333333336</v>
      </c>
      <c r="G4" s="988"/>
      <c r="H4" s="990"/>
      <c r="I4" s="984"/>
      <c r="J4" s="984"/>
      <c r="K4" s="984"/>
      <c r="L4" s="984"/>
      <c r="M4" s="984"/>
      <c r="N4" s="984"/>
      <c r="O4" s="984"/>
      <c r="P4" s="984"/>
      <c r="Q4" s="984"/>
      <c r="R4" s="984"/>
      <c r="S4" s="984"/>
      <c r="T4" s="984"/>
      <c r="U4" s="984"/>
      <c r="V4" s="984"/>
      <c r="W4" s="984"/>
      <c r="X4" s="984"/>
      <c r="Y4" s="984"/>
      <c r="Z4" s="984"/>
    </row>
    <row r="5" spans="1:26" ht="18" customHeight="1" x14ac:dyDescent="0.35">
      <c r="A5" s="984"/>
      <c r="B5" s="984"/>
      <c r="C5" s="991">
        <f>IF(E4=6,"2ème Trou",IF(E4=7,"2ème Trou",0))</f>
        <v>0</v>
      </c>
      <c r="D5" s="984"/>
      <c r="E5" s="984"/>
      <c r="F5" s="989">
        <f>IF(C5=0,0,F4+F4-16)</f>
        <v>0</v>
      </c>
      <c r="G5" s="984"/>
      <c r="H5" s="990"/>
      <c r="I5" s="984"/>
      <c r="J5" s="984"/>
      <c r="K5" s="984"/>
      <c r="L5" s="984"/>
      <c r="M5" s="984"/>
      <c r="N5" s="984"/>
      <c r="O5" s="984"/>
      <c r="P5" s="984"/>
      <c r="Q5" s="984"/>
      <c r="R5" s="984"/>
      <c r="S5" s="984"/>
      <c r="T5" s="984"/>
      <c r="U5" s="984"/>
      <c r="V5" s="984"/>
      <c r="W5" s="984"/>
      <c r="X5" s="984"/>
      <c r="Y5" s="984"/>
      <c r="Z5" s="984"/>
    </row>
    <row r="6" spans="1:26" ht="18" customHeight="1" x14ac:dyDescent="0.35">
      <c r="A6" s="984"/>
      <c r="B6" s="984"/>
      <c r="C6" s="1220" t="str">
        <f>IF(C19="Vis bois",0,"Trous dans la Hauteur sur Bout")</f>
        <v>Trous dans la Hauteur sur Bout</v>
      </c>
      <c r="D6" s="1101"/>
      <c r="E6" s="988">
        <f>IF(C6=0,0,IF(D42&lt;100,2,IF(D42&lt;150,3,IF(D42&lt;200,4,IF(D42&lt;250,5,IF(D42&lt;310,6,7))))))</f>
        <v>5</v>
      </c>
      <c r="F6" s="989">
        <f>IF(E6=0,0,IF(E6=2,0,IF(E6=3,0,(($D$42-32)/(E6-1))+16)))</f>
        <v>64.599999999999994</v>
      </c>
      <c r="G6" s="988"/>
      <c r="H6" s="990"/>
      <c r="I6" s="984"/>
      <c r="J6" s="984"/>
      <c r="K6" s="984"/>
      <c r="L6" s="984"/>
      <c r="M6" s="984"/>
      <c r="N6" s="984"/>
      <c r="O6" s="984"/>
      <c r="P6" s="984"/>
      <c r="Q6" s="984"/>
      <c r="R6" s="984"/>
      <c r="S6" s="984"/>
      <c r="T6" s="984"/>
      <c r="U6" s="984"/>
      <c r="V6" s="984"/>
      <c r="W6" s="984"/>
      <c r="X6" s="984"/>
      <c r="Y6" s="984"/>
      <c r="Z6" s="984"/>
    </row>
    <row r="7" spans="1:26" ht="18" customHeight="1" x14ac:dyDescent="0.35">
      <c r="A7" s="984"/>
      <c r="B7" s="984"/>
      <c r="C7" s="992">
        <f>IF(E6=6,"2ème Trou",IF(E6=7,"2ème Trou",0))</f>
        <v>0</v>
      </c>
      <c r="D7" s="993"/>
      <c r="E7" s="993"/>
      <c r="F7" s="994">
        <f>IF(C7=0,0,F6+F6-16)</f>
        <v>0</v>
      </c>
      <c r="G7" s="984"/>
      <c r="H7" s="990"/>
      <c r="I7" s="984"/>
      <c r="J7" s="984"/>
      <c r="K7" s="984"/>
      <c r="L7" s="984"/>
      <c r="M7" s="984"/>
      <c r="N7" s="984"/>
      <c r="O7" s="984"/>
      <c r="P7" s="984"/>
      <c r="Q7" s="984"/>
      <c r="R7" s="984"/>
      <c r="S7" s="984"/>
      <c r="T7" s="984"/>
      <c r="U7" s="984"/>
      <c r="V7" s="984"/>
      <c r="W7" s="984"/>
      <c r="X7" s="984"/>
      <c r="Y7" s="984"/>
      <c r="Z7" s="984"/>
    </row>
    <row r="8" spans="1:26" ht="18" customHeight="1" x14ac:dyDescent="0.35">
      <c r="A8" s="984"/>
      <c r="B8" s="984"/>
      <c r="C8" s="984"/>
      <c r="D8" s="984"/>
      <c r="E8" s="984"/>
      <c r="F8" s="984"/>
      <c r="G8" s="984"/>
      <c r="H8" s="984"/>
      <c r="I8" s="984"/>
      <c r="J8" s="984"/>
      <c r="K8" s="984"/>
      <c r="L8" s="984"/>
      <c r="M8" s="984"/>
      <c r="N8" s="984"/>
      <c r="O8" s="984"/>
      <c r="P8" s="984"/>
      <c r="Q8" s="984"/>
      <c r="R8" s="984"/>
      <c r="S8" s="984"/>
      <c r="T8" s="984"/>
      <c r="U8" s="984"/>
      <c r="V8" s="984"/>
      <c r="W8" s="984"/>
      <c r="X8" s="984"/>
      <c r="Y8" s="984"/>
      <c r="Z8" s="984"/>
    </row>
    <row r="9" spans="1:26" ht="18" customHeight="1" x14ac:dyDescent="0.35">
      <c r="A9" s="984"/>
      <c r="B9" s="984" t="s">
        <v>1</v>
      </c>
      <c r="C9" s="20"/>
      <c r="D9" s="984"/>
      <c r="E9" s="988" t="s">
        <v>2</v>
      </c>
      <c r="F9" s="22" t="s">
        <v>618</v>
      </c>
      <c r="G9" s="984"/>
      <c r="H9" s="984"/>
      <c r="I9" s="984"/>
      <c r="J9" s="984"/>
      <c r="K9" s="984"/>
      <c r="L9" s="984"/>
      <c r="M9" s="984"/>
      <c r="N9" s="984"/>
      <c r="O9" s="984"/>
      <c r="P9" s="984"/>
      <c r="Q9" s="984"/>
      <c r="R9" s="984"/>
      <c r="S9" s="984"/>
      <c r="T9" s="984"/>
      <c r="U9" s="984"/>
      <c r="V9" s="984"/>
      <c r="W9" s="984"/>
      <c r="X9" s="984"/>
      <c r="Y9" s="984"/>
      <c r="Z9" s="984"/>
    </row>
    <row r="10" spans="1:26" ht="18" customHeight="1" x14ac:dyDescent="0.35">
      <c r="A10" s="984"/>
      <c r="B10" s="984" t="s">
        <v>4</v>
      </c>
      <c r="C10" s="23"/>
      <c r="D10" s="984"/>
      <c r="E10" s="988" t="s">
        <v>5</v>
      </c>
      <c r="F10" s="23" t="s">
        <v>216</v>
      </c>
      <c r="G10" s="984"/>
      <c r="H10" s="995"/>
      <c r="I10" s="984"/>
      <c r="J10" s="984"/>
      <c r="K10" s="984"/>
      <c r="L10" s="984"/>
      <c r="M10" s="984"/>
      <c r="N10" s="984"/>
      <c r="O10" s="984"/>
      <c r="P10" s="984"/>
      <c r="Q10" s="984"/>
      <c r="R10" s="984"/>
      <c r="S10" s="984"/>
      <c r="T10" s="984"/>
      <c r="U10" s="984"/>
      <c r="V10" s="984"/>
      <c r="W10" s="984"/>
      <c r="X10" s="984"/>
      <c r="Y10" s="984"/>
      <c r="Z10" s="984"/>
    </row>
    <row r="11" spans="1:26" ht="18" customHeight="1" x14ac:dyDescent="0.35">
      <c r="A11" s="984"/>
      <c r="B11" s="984" t="s">
        <v>138</v>
      </c>
      <c r="C11" s="20"/>
      <c r="D11" s="984"/>
      <c r="E11" s="996" t="s">
        <v>8</v>
      </c>
      <c r="F11" s="25"/>
      <c r="G11" s="984"/>
      <c r="H11" s="984"/>
      <c r="I11" s="984"/>
      <c r="J11" s="984"/>
      <c r="K11" s="984"/>
      <c r="L11" s="984"/>
      <c r="M11" s="984"/>
      <c r="N11" s="984"/>
      <c r="O11" s="984"/>
      <c r="P11" s="984"/>
      <c r="Q11" s="984"/>
      <c r="R11" s="984"/>
      <c r="S11" s="984"/>
      <c r="T11" s="984"/>
      <c r="U11" s="984"/>
      <c r="V11" s="984"/>
      <c r="W11" s="984"/>
      <c r="X11" s="984"/>
      <c r="Y11" s="984"/>
      <c r="Z11" s="984"/>
    </row>
    <row r="12" spans="1:26" ht="18" customHeight="1" x14ac:dyDescent="0.35">
      <c r="A12" s="984"/>
      <c r="B12" s="984"/>
      <c r="C12" s="988"/>
      <c r="D12" s="984"/>
      <c r="E12" s="996"/>
      <c r="F12" s="984"/>
      <c r="G12" s="984"/>
      <c r="H12" s="984"/>
      <c r="I12" s="984"/>
      <c r="J12" s="984"/>
      <c r="K12" s="984"/>
      <c r="L12" s="984"/>
      <c r="M12" s="984"/>
      <c r="N12" s="984"/>
      <c r="O12" s="984"/>
      <c r="P12" s="984"/>
      <c r="Q12" s="984"/>
      <c r="R12" s="984"/>
      <c r="S12" s="984"/>
      <c r="T12" s="984"/>
      <c r="U12" s="984"/>
      <c r="V12" s="984"/>
      <c r="W12" s="984"/>
      <c r="X12" s="984"/>
      <c r="Y12" s="984"/>
      <c r="Z12" s="984"/>
    </row>
    <row r="13" spans="1:26" ht="18" customHeight="1" x14ac:dyDescent="0.35">
      <c r="A13" s="984"/>
      <c r="B13" s="997" t="s">
        <v>9</v>
      </c>
      <c r="C13" s="23" t="s">
        <v>10</v>
      </c>
      <c r="D13" s="984"/>
      <c r="E13" s="987" t="s">
        <v>205</v>
      </c>
      <c r="F13" s="23" t="s">
        <v>133</v>
      </c>
      <c r="G13" s="984"/>
      <c r="H13" s="984"/>
      <c r="I13" s="984"/>
      <c r="J13" s="984"/>
      <c r="K13" s="984"/>
      <c r="L13" s="984"/>
      <c r="M13" s="984"/>
      <c r="N13" s="984"/>
      <c r="O13" s="984"/>
      <c r="P13" s="984"/>
      <c r="Q13" s="984"/>
      <c r="R13" s="984"/>
      <c r="S13" s="984"/>
      <c r="T13" s="984"/>
      <c r="U13" s="984"/>
      <c r="V13" s="984"/>
      <c r="W13" s="984"/>
      <c r="X13" s="984"/>
      <c r="Y13" s="984"/>
      <c r="Z13" s="984"/>
    </row>
    <row r="14" spans="1:26" ht="20.25" customHeight="1" x14ac:dyDescent="0.35">
      <c r="A14" s="984"/>
      <c r="B14" s="997"/>
      <c r="C14" s="988"/>
      <c r="D14" s="984"/>
      <c r="E14" s="998" t="s">
        <v>206</v>
      </c>
      <c r="F14" s="997" t="str">
        <f>IF(F10="Bovis","Clouage au 32 mm intérieur",IF(C19="Boulons et Platines","Clouage au 32 mm intérieur","Clouage au 45 mm de l'extérieur"))</f>
        <v>Clouage au 32 mm intérieur</v>
      </c>
      <c r="G14" s="984"/>
      <c r="H14" s="984"/>
      <c r="I14" s="984"/>
      <c r="J14" s="984"/>
      <c r="K14" s="984"/>
      <c r="L14" s="984"/>
      <c r="M14" s="984"/>
      <c r="N14" s="984"/>
      <c r="O14" s="984"/>
      <c r="P14" s="984"/>
      <c r="Q14" s="984"/>
      <c r="R14" s="984"/>
      <c r="S14" s="984"/>
      <c r="T14" s="984"/>
      <c r="U14" s="984"/>
      <c r="V14" s="984"/>
      <c r="W14" s="984"/>
      <c r="X14" s="984"/>
      <c r="Y14" s="984"/>
      <c r="Z14" s="984"/>
    </row>
    <row r="15" spans="1:26" ht="18" customHeight="1" x14ac:dyDescent="0.35">
      <c r="A15" s="984"/>
      <c r="B15" s="997" t="s">
        <v>11</v>
      </c>
      <c r="C15" s="23" t="s">
        <v>555</v>
      </c>
      <c r="D15" s="984"/>
      <c r="E15" s="998" t="s">
        <v>13</v>
      </c>
      <c r="F15" s="23" t="s">
        <v>14</v>
      </c>
      <c r="G15" s="984"/>
      <c r="H15" s="984"/>
      <c r="I15" s="984"/>
      <c r="J15" s="984"/>
      <c r="K15" s="984"/>
      <c r="L15" s="984"/>
      <c r="M15" s="984"/>
      <c r="N15" s="984"/>
      <c r="O15" s="984"/>
      <c r="P15" s="984"/>
      <c r="Q15" s="984"/>
      <c r="R15" s="984"/>
      <c r="S15" s="984"/>
      <c r="T15" s="984"/>
      <c r="U15" s="984"/>
      <c r="V15" s="984"/>
      <c r="W15" s="984"/>
      <c r="X15" s="984"/>
      <c r="Y15" s="984"/>
      <c r="Z15" s="984"/>
    </row>
    <row r="16" spans="1:26" ht="19.5" customHeight="1" x14ac:dyDescent="0.35">
      <c r="A16" s="984"/>
      <c r="B16" s="984"/>
      <c r="C16" s="988"/>
      <c r="D16" s="984"/>
      <c r="E16" s="1221" t="str">
        <f>VLOOKUP(F10,'Infos Clients'!B2:E10,3)</f>
        <v>Valsem Scotch Marron, Styrofoam Armé,                         Carton Scotch Marron, Joint 19 mm</v>
      </c>
      <c r="F16" s="1085"/>
      <c r="G16" s="1086"/>
      <c r="H16" s="984"/>
      <c r="I16" s="984"/>
      <c r="J16" s="984"/>
      <c r="K16" s="984"/>
      <c r="L16" s="984"/>
      <c r="M16" s="984"/>
      <c r="N16" s="984"/>
      <c r="O16" s="984"/>
      <c r="P16" s="984"/>
      <c r="Q16" s="984"/>
      <c r="R16" s="984"/>
      <c r="S16" s="984"/>
      <c r="T16" s="984"/>
      <c r="U16" s="984"/>
      <c r="V16" s="984"/>
      <c r="W16" s="984"/>
      <c r="X16" s="984"/>
      <c r="Y16" s="984"/>
      <c r="Z16" s="984"/>
    </row>
    <row r="17" spans="1:26" ht="18" customHeight="1" x14ac:dyDescent="0.35">
      <c r="A17" s="984"/>
      <c r="B17" s="997"/>
      <c r="C17" s="988"/>
      <c r="D17" s="984"/>
      <c r="E17" s="1091"/>
      <c r="F17" s="1097"/>
      <c r="G17" s="1092"/>
      <c r="H17" s="984"/>
      <c r="I17" s="984"/>
      <c r="J17" s="984"/>
      <c r="K17" s="984"/>
      <c r="L17" s="984"/>
      <c r="M17" s="984"/>
      <c r="N17" s="984"/>
      <c r="O17" s="984"/>
      <c r="P17" s="984"/>
      <c r="Q17" s="984"/>
      <c r="R17" s="984"/>
      <c r="S17" s="984"/>
      <c r="T17" s="984"/>
      <c r="U17" s="984"/>
      <c r="V17" s="984"/>
      <c r="W17" s="984"/>
      <c r="X17" s="984"/>
      <c r="Y17" s="984"/>
      <c r="Z17" s="984"/>
    </row>
    <row r="18" spans="1:26" ht="18" customHeight="1" x14ac:dyDescent="0.35">
      <c r="A18" s="984"/>
      <c r="B18" s="984"/>
      <c r="C18" s="988"/>
      <c r="D18" s="984"/>
      <c r="E18" s="1087"/>
      <c r="F18" s="1088"/>
      <c r="G18" s="1089"/>
      <c r="H18" s="984"/>
      <c r="I18" s="984"/>
      <c r="J18" s="984"/>
      <c r="K18" s="984"/>
      <c r="L18" s="984"/>
      <c r="M18" s="984"/>
      <c r="N18" s="984"/>
      <c r="O18" s="984"/>
      <c r="P18" s="984"/>
      <c r="Q18" s="984"/>
      <c r="R18" s="984"/>
      <c r="S18" s="984"/>
      <c r="T18" s="984"/>
      <c r="U18" s="984"/>
      <c r="V18" s="984"/>
      <c r="W18" s="984"/>
      <c r="X18" s="984"/>
      <c r="Y18" s="984"/>
      <c r="Z18" s="984"/>
    </row>
    <row r="19" spans="1:26" ht="18" customHeight="1" x14ac:dyDescent="0.35">
      <c r="A19" s="984"/>
      <c r="B19" s="997" t="s">
        <v>17</v>
      </c>
      <c r="C19" s="23" t="s">
        <v>107</v>
      </c>
      <c r="D19" s="984"/>
      <c r="E19" s="998"/>
      <c r="F19" s="988"/>
      <c r="G19" s="984"/>
      <c r="H19" s="984"/>
      <c r="I19" s="984"/>
      <c r="J19" s="984"/>
      <c r="K19" s="984"/>
      <c r="L19" s="984"/>
      <c r="M19" s="984"/>
      <c r="N19" s="984"/>
      <c r="O19" s="984"/>
      <c r="P19" s="984"/>
      <c r="Q19" s="984"/>
      <c r="R19" s="984"/>
      <c r="S19" s="984"/>
      <c r="T19" s="984"/>
      <c r="U19" s="984"/>
      <c r="V19" s="984"/>
      <c r="W19" s="984"/>
      <c r="X19" s="984"/>
      <c r="Y19" s="984"/>
      <c r="Z19" s="984"/>
    </row>
    <row r="20" spans="1:26" ht="18" customHeight="1" x14ac:dyDescent="0.35">
      <c r="A20" s="984"/>
      <c r="B20" s="984"/>
      <c r="C20" s="988"/>
      <c r="D20" s="984"/>
      <c r="E20" s="997">
        <f>IF(F19="Oui","Type de Peinture",0)</f>
        <v>0</v>
      </c>
      <c r="F20" s="1215"/>
      <c r="G20" s="1101"/>
      <c r="H20" s="984"/>
      <c r="I20" s="984"/>
      <c r="J20" s="984"/>
      <c r="K20" s="984"/>
      <c r="L20" s="984"/>
      <c r="M20" s="984"/>
      <c r="N20" s="984"/>
      <c r="O20" s="984"/>
      <c r="P20" s="984"/>
      <c r="Q20" s="984"/>
      <c r="R20" s="984"/>
      <c r="S20" s="984"/>
      <c r="T20" s="984"/>
      <c r="U20" s="984"/>
      <c r="V20" s="984"/>
      <c r="W20" s="984"/>
      <c r="X20" s="984"/>
      <c r="Y20" s="984"/>
      <c r="Z20" s="984"/>
    </row>
    <row r="21" spans="1:26" ht="18" customHeight="1" x14ac:dyDescent="0.35">
      <c r="A21" s="984"/>
      <c r="B21" s="997"/>
      <c r="C21" s="988"/>
      <c r="D21" s="984"/>
      <c r="E21" s="998" t="s">
        <v>24</v>
      </c>
      <c r="F21" s="1157" t="s">
        <v>136</v>
      </c>
      <c r="G21" s="1158"/>
      <c r="H21" s="984"/>
      <c r="I21" s="984"/>
      <c r="J21" s="984"/>
      <c r="K21" s="984"/>
      <c r="L21" s="984"/>
      <c r="M21" s="984"/>
      <c r="N21" s="984"/>
      <c r="O21" s="984"/>
      <c r="P21" s="984"/>
      <c r="Q21" s="984"/>
      <c r="R21" s="984"/>
      <c r="S21" s="984"/>
      <c r="T21" s="984"/>
      <c r="U21" s="984"/>
      <c r="V21" s="984"/>
      <c r="W21" s="984"/>
      <c r="X21" s="984"/>
      <c r="Y21" s="984"/>
      <c r="Z21" s="984"/>
    </row>
    <row r="22" spans="1:26" ht="20.25" customHeight="1" x14ac:dyDescent="0.35">
      <c r="A22" s="984"/>
      <c r="B22" s="997"/>
      <c r="C22" s="988"/>
      <c r="D22" s="984"/>
      <c r="E22" s="999"/>
      <c r="F22" s="996"/>
      <c r="G22" s="996"/>
      <c r="H22" s="984"/>
      <c r="I22" s="984"/>
      <c r="J22" s="984"/>
      <c r="K22" s="984"/>
      <c r="L22" s="984"/>
      <c r="M22" s="984"/>
      <c r="N22" s="984"/>
      <c r="O22" s="984"/>
      <c r="P22" s="984"/>
      <c r="Q22" s="984"/>
      <c r="R22" s="984"/>
      <c r="S22" s="984"/>
      <c r="T22" s="984"/>
      <c r="U22" s="984"/>
      <c r="V22" s="984"/>
      <c r="W22" s="984"/>
      <c r="X22" s="984"/>
      <c r="Y22" s="984"/>
      <c r="Z22" s="984"/>
    </row>
    <row r="23" spans="1:26" ht="18" customHeight="1" x14ac:dyDescent="0.35">
      <c r="A23" s="984"/>
      <c r="B23" s="997"/>
      <c r="C23" s="984"/>
      <c r="D23" s="984"/>
      <c r="E23" s="996"/>
      <c r="F23" s="996"/>
      <c r="G23" s="996"/>
      <c r="H23" s="984"/>
      <c r="I23" s="984"/>
      <c r="J23" s="984"/>
      <c r="K23" s="984"/>
      <c r="L23" s="984"/>
      <c r="M23" s="984"/>
      <c r="N23" s="984"/>
      <c r="O23" s="984"/>
      <c r="P23" s="984"/>
      <c r="Q23" s="984"/>
      <c r="R23" s="984"/>
      <c r="S23" s="984"/>
      <c r="T23" s="984"/>
      <c r="U23" s="984"/>
      <c r="V23" s="984"/>
      <c r="W23" s="984"/>
      <c r="X23" s="984"/>
      <c r="Y23" s="984"/>
      <c r="Z23" s="984"/>
    </row>
    <row r="24" spans="1:26" ht="18" customHeight="1" x14ac:dyDescent="0.35">
      <c r="A24" s="984"/>
      <c r="B24" s="997"/>
      <c r="C24" s="984"/>
      <c r="D24" s="1215" t="s">
        <v>301</v>
      </c>
      <c r="E24" s="1170"/>
      <c r="F24" s="1000" t="s">
        <v>619</v>
      </c>
      <c r="G24" s="996"/>
      <c r="H24" s="984"/>
      <c r="I24" s="984"/>
      <c r="J24" s="984"/>
      <c r="K24" s="984"/>
      <c r="L24" s="984"/>
      <c r="M24" s="984"/>
      <c r="N24" s="984"/>
      <c r="O24" s="984"/>
      <c r="P24" s="984"/>
      <c r="Q24" s="984"/>
      <c r="R24" s="984"/>
      <c r="S24" s="984"/>
      <c r="T24" s="984"/>
      <c r="U24" s="984"/>
      <c r="V24" s="984"/>
      <c r="W24" s="984"/>
      <c r="X24" s="984"/>
      <c r="Y24" s="984"/>
      <c r="Z24" s="984"/>
    </row>
    <row r="25" spans="1:26" ht="18" customHeight="1" x14ac:dyDescent="0.35">
      <c r="A25" s="984"/>
      <c r="B25" s="1216"/>
      <c r="C25" s="1086"/>
      <c r="D25" s="984"/>
      <c r="E25" s="996"/>
      <c r="F25" s="996"/>
      <c r="G25" s="996"/>
      <c r="H25" s="984"/>
      <c r="I25" s="984"/>
      <c r="J25" s="984"/>
      <c r="K25" s="984"/>
      <c r="L25" s="984"/>
      <c r="M25" s="984"/>
      <c r="N25" s="984"/>
      <c r="O25" s="984"/>
      <c r="P25" s="984"/>
      <c r="Q25" s="984"/>
      <c r="R25" s="984"/>
      <c r="S25" s="984"/>
      <c r="T25" s="984"/>
      <c r="U25" s="984"/>
      <c r="V25" s="984"/>
      <c r="W25" s="984"/>
      <c r="X25" s="984"/>
      <c r="Y25" s="984"/>
      <c r="Z25" s="984"/>
    </row>
    <row r="26" spans="1:26" ht="18" customHeight="1" x14ac:dyDescent="0.35">
      <c r="A26" s="984"/>
      <c r="B26" s="1087"/>
      <c r="C26" s="1089"/>
      <c r="D26" s="984"/>
      <c r="E26" s="996"/>
      <c r="F26" s="996"/>
      <c r="G26" s="996"/>
      <c r="H26" s="984"/>
      <c r="I26" s="984"/>
      <c r="J26" s="984"/>
      <c r="K26" s="984"/>
      <c r="L26" s="984"/>
      <c r="M26" s="984"/>
      <c r="N26" s="984"/>
      <c r="O26" s="984"/>
      <c r="P26" s="984"/>
      <c r="Q26" s="984"/>
      <c r="R26" s="984"/>
      <c r="S26" s="984"/>
      <c r="T26" s="984"/>
      <c r="U26" s="984"/>
      <c r="V26" s="984"/>
      <c r="W26" s="984"/>
      <c r="X26" s="984"/>
      <c r="Y26" s="984"/>
      <c r="Z26" s="984"/>
    </row>
    <row r="27" spans="1:26" ht="18" customHeight="1" x14ac:dyDescent="0.35">
      <c r="A27" s="984"/>
      <c r="B27" s="997"/>
      <c r="C27" s="984"/>
      <c r="D27" s="984"/>
      <c r="E27" s="996"/>
      <c r="F27" s="996"/>
      <c r="G27" s="996"/>
      <c r="H27" s="984"/>
      <c r="I27" s="984"/>
      <c r="J27" s="984"/>
      <c r="K27" s="984"/>
      <c r="L27" s="984"/>
      <c r="M27" s="984"/>
      <c r="N27" s="984"/>
      <c r="O27" s="984"/>
      <c r="P27" s="984"/>
      <c r="Q27" s="984"/>
      <c r="R27" s="984"/>
      <c r="S27" s="984"/>
      <c r="T27" s="984"/>
      <c r="U27" s="984"/>
      <c r="V27" s="984"/>
      <c r="W27" s="984"/>
      <c r="X27" s="984"/>
      <c r="Y27" s="984"/>
      <c r="Z27" s="984"/>
    </row>
    <row r="28" spans="1:26" ht="18" customHeight="1" x14ac:dyDescent="0.35">
      <c r="A28" s="984"/>
      <c r="B28" s="984"/>
      <c r="C28" s="1001" t="s">
        <v>28</v>
      </c>
      <c r="D28" s="1001" t="s">
        <v>29</v>
      </c>
      <c r="E28" s="1001" t="s">
        <v>30</v>
      </c>
      <c r="F28" s="984"/>
      <c r="G28" s="984"/>
      <c r="H28" s="984"/>
      <c r="I28" s="984"/>
      <c r="J28" s="984"/>
      <c r="K28" s="984"/>
      <c r="L28" s="984"/>
      <c r="M28" s="984"/>
      <c r="N28" s="984"/>
      <c r="O28" s="984"/>
      <c r="P28" s="984"/>
      <c r="Q28" s="984"/>
      <c r="R28" s="984"/>
      <c r="S28" s="984"/>
      <c r="T28" s="984"/>
      <c r="U28" s="984"/>
      <c r="V28" s="984"/>
      <c r="W28" s="984"/>
      <c r="X28" s="984"/>
      <c r="Y28" s="984"/>
      <c r="Z28" s="984"/>
    </row>
    <row r="29" spans="1:26" ht="18" customHeight="1" x14ac:dyDescent="0.35">
      <c r="A29" s="984"/>
      <c r="B29" s="997" t="s">
        <v>303</v>
      </c>
      <c r="C29" s="581">
        <v>145.80000000000001</v>
      </c>
      <c r="D29" s="581">
        <v>232.8</v>
      </c>
      <c r="E29" s="581">
        <v>218.6</v>
      </c>
      <c r="F29" s="984"/>
      <c r="G29" s="984"/>
      <c r="H29" s="984"/>
      <c r="I29" s="984"/>
      <c r="J29" s="984"/>
      <c r="K29" s="984"/>
      <c r="L29" s="984"/>
      <c r="M29" s="984"/>
      <c r="N29" s="984"/>
      <c r="O29" s="984"/>
      <c r="P29" s="984"/>
      <c r="Q29" s="984"/>
      <c r="R29" s="984"/>
      <c r="S29" s="984"/>
      <c r="T29" s="984"/>
      <c r="U29" s="984"/>
      <c r="V29" s="984"/>
      <c r="W29" s="984"/>
      <c r="X29" s="984"/>
      <c r="Y29" s="984"/>
      <c r="Z29" s="984"/>
    </row>
    <row r="30" spans="1:26" ht="18" customHeight="1" x14ac:dyDescent="0.35">
      <c r="A30" s="984"/>
      <c r="B30" s="984"/>
      <c r="C30" s="984"/>
      <c r="D30" s="984"/>
      <c r="E30" s="984"/>
      <c r="F30" s="984"/>
      <c r="G30" s="984"/>
      <c r="H30" s="984"/>
      <c r="I30" s="984"/>
      <c r="J30" s="984"/>
      <c r="K30" s="984"/>
      <c r="L30" s="984"/>
      <c r="M30" s="984"/>
      <c r="N30" s="984"/>
      <c r="O30" s="984"/>
      <c r="P30" s="984"/>
      <c r="Q30" s="984"/>
      <c r="R30" s="984"/>
      <c r="S30" s="984"/>
      <c r="T30" s="984"/>
      <c r="U30" s="984"/>
      <c r="V30" s="984"/>
      <c r="W30" s="984"/>
      <c r="X30" s="984"/>
      <c r="Y30" s="984"/>
      <c r="Z30" s="984"/>
    </row>
    <row r="31" spans="1:26" ht="18" customHeight="1" x14ac:dyDescent="0.35">
      <c r="A31" s="984"/>
      <c r="B31" s="997"/>
      <c r="C31" s="996"/>
      <c r="D31" s="996"/>
      <c r="E31" s="1002"/>
      <c r="F31" s="1003"/>
      <c r="G31" s="984"/>
      <c r="H31" s="984"/>
      <c r="I31" s="984"/>
      <c r="J31" s="984"/>
      <c r="K31" s="984"/>
      <c r="L31" s="984"/>
      <c r="M31" s="984"/>
      <c r="N31" s="984"/>
      <c r="O31" s="984"/>
      <c r="P31" s="984"/>
      <c r="Q31" s="984"/>
      <c r="R31" s="984"/>
      <c r="S31" s="984"/>
      <c r="T31" s="984"/>
      <c r="U31" s="984"/>
      <c r="V31" s="984"/>
      <c r="W31" s="984"/>
      <c r="X31" s="984"/>
      <c r="Y31" s="984"/>
      <c r="Z31" s="984"/>
    </row>
    <row r="32" spans="1:26" ht="18" customHeight="1" x14ac:dyDescent="0.35">
      <c r="A32" s="984"/>
      <c r="B32" s="984"/>
      <c r="C32" s="984"/>
      <c r="D32" s="984"/>
      <c r="E32" s="984"/>
      <c r="F32" s="984"/>
      <c r="G32" s="984"/>
      <c r="H32" s="984"/>
      <c r="I32" s="984"/>
      <c r="J32" s="984"/>
      <c r="K32" s="984"/>
      <c r="L32" s="984"/>
      <c r="M32" s="984"/>
      <c r="N32" s="984"/>
      <c r="O32" s="984"/>
      <c r="P32" s="984"/>
      <c r="Q32" s="984"/>
      <c r="R32" s="984"/>
      <c r="S32" s="984"/>
      <c r="T32" s="984"/>
      <c r="U32" s="984"/>
      <c r="V32" s="984"/>
      <c r="W32" s="984"/>
      <c r="X32" s="984"/>
      <c r="Y32" s="984"/>
      <c r="Z32" s="984"/>
    </row>
    <row r="33" spans="1:26" ht="18" customHeight="1" x14ac:dyDescent="0.35">
      <c r="A33" s="984"/>
      <c r="B33" s="1004" t="s">
        <v>42</v>
      </c>
      <c r="C33" s="1005">
        <f t="shared" ref="C33:E33" si="0">C29</f>
        <v>145.80000000000001</v>
      </c>
      <c r="D33" s="1005">
        <f t="shared" si="0"/>
        <v>232.8</v>
      </c>
      <c r="E33" s="1006">
        <f t="shared" si="0"/>
        <v>218.6</v>
      </c>
      <c r="F33" s="984"/>
      <c r="G33" s="984"/>
      <c r="H33" s="984"/>
      <c r="I33" s="984"/>
      <c r="J33" s="984"/>
      <c r="K33" s="984"/>
      <c r="L33" s="984"/>
      <c r="M33" s="984"/>
      <c r="N33" s="984"/>
      <c r="O33" s="984"/>
      <c r="P33" s="984"/>
      <c r="Q33" s="984"/>
      <c r="R33" s="984"/>
      <c r="S33" s="984"/>
      <c r="T33" s="984"/>
      <c r="U33" s="984"/>
      <c r="V33" s="984"/>
      <c r="W33" s="984"/>
      <c r="X33" s="984"/>
      <c r="Y33" s="984"/>
      <c r="Z33" s="984"/>
    </row>
    <row r="34" spans="1:26" ht="18" customHeight="1" x14ac:dyDescent="0.35">
      <c r="A34" s="984"/>
      <c r="B34" s="997"/>
      <c r="C34" s="997"/>
      <c r="D34" s="997"/>
      <c r="E34" s="997"/>
      <c r="F34" s="984"/>
      <c r="G34" s="1007" t="s">
        <v>256</v>
      </c>
      <c r="H34" s="987"/>
      <c r="I34" s="984"/>
      <c r="J34" s="984"/>
      <c r="K34" s="984"/>
      <c r="L34" s="984"/>
      <c r="M34" s="984"/>
      <c r="N34" s="984"/>
      <c r="O34" s="984"/>
      <c r="P34" s="984"/>
      <c r="Q34" s="984"/>
      <c r="R34" s="984"/>
      <c r="S34" s="984"/>
      <c r="T34" s="984"/>
      <c r="U34" s="984"/>
      <c r="V34" s="984"/>
      <c r="W34" s="984"/>
      <c r="X34" s="984"/>
      <c r="Y34" s="984"/>
      <c r="Z34" s="984"/>
    </row>
    <row r="35" spans="1:26" ht="18" customHeight="1" x14ac:dyDescent="0.35">
      <c r="A35" s="984"/>
      <c r="B35" s="1004" t="s">
        <v>44</v>
      </c>
      <c r="C35" s="1008">
        <f t="shared" ref="C35:D35" si="1">C33+VLOOKUP($C$13,$A$90:$E$91,4)*2+VLOOKUP($C$15,$A$94:$F$95,5)*2</f>
        <v>153</v>
      </c>
      <c r="D35" s="1008">
        <f t="shared" si="1"/>
        <v>240</v>
      </c>
      <c r="E35" s="1009">
        <f>E33+(VLOOKUP($C$13,$A$90:$E$91,4)+VLOOKUP($C$13,$A$90:$E$91,5)+VLOOKUP($C$15,$A$94:$F$95,4)+VLOOKUP($C$15,$A$94:$F$95,5)+IF(F21="Skis",2.1,10))</f>
        <v>240</v>
      </c>
      <c r="F35" s="984"/>
      <c r="G35" s="1010" t="e">
        <f>C71</f>
        <v>#REF!</v>
      </c>
      <c r="H35" s="1011"/>
      <c r="I35" s="984"/>
      <c r="J35" s="984"/>
      <c r="K35" s="984"/>
      <c r="L35" s="984"/>
      <c r="M35" s="984"/>
      <c r="N35" s="984"/>
      <c r="O35" s="984"/>
      <c r="P35" s="984"/>
      <c r="Q35" s="984"/>
      <c r="R35" s="984"/>
      <c r="S35" s="984"/>
      <c r="T35" s="984"/>
      <c r="U35" s="984"/>
      <c r="V35" s="984"/>
      <c r="W35" s="984"/>
      <c r="X35" s="984"/>
      <c r="Y35" s="984"/>
      <c r="Z35" s="984"/>
    </row>
    <row r="36" spans="1:26" ht="18" customHeight="1" x14ac:dyDescent="0.35">
      <c r="A36" s="984"/>
      <c r="B36" s="997"/>
      <c r="C36" s="997"/>
      <c r="D36" s="997"/>
      <c r="E36" s="997"/>
      <c r="F36" s="984"/>
      <c r="G36" s="984"/>
      <c r="H36" s="984"/>
      <c r="I36" s="984"/>
      <c r="J36" s="984"/>
      <c r="K36" s="984"/>
      <c r="L36" s="984"/>
      <c r="M36" s="984"/>
      <c r="N36" s="984"/>
      <c r="O36" s="984"/>
      <c r="P36" s="984"/>
      <c r="Q36" s="984"/>
      <c r="R36" s="984"/>
      <c r="S36" s="984"/>
      <c r="T36" s="984"/>
      <c r="U36" s="984"/>
      <c r="V36" s="984"/>
      <c r="W36" s="984"/>
      <c r="X36" s="984"/>
      <c r="Y36" s="984"/>
      <c r="Z36" s="984"/>
    </row>
    <row r="37" spans="1:26" ht="18" customHeight="1" x14ac:dyDescent="0.35">
      <c r="A37" s="984"/>
      <c r="B37" s="1012" t="s">
        <v>45</v>
      </c>
      <c r="C37" s="1013" t="e">
        <f>Q65</f>
        <v>#REF!</v>
      </c>
      <c r="D37" s="1014" t="s">
        <v>46</v>
      </c>
      <c r="E37" s="997"/>
      <c r="F37" s="984"/>
      <c r="G37" s="984"/>
      <c r="H37" s="984"/>
      <c r="I37" s="984"/>
      <c r="J37" s="984"/>
      <c r="K37" s="984"/>
      <c r="L37" s="984"/>
      <c r="M37" s="984"/>
      <c r="N37" s="984"/>
      <c r="O37" s="984"/>
      <c r="P37" s="984"/>
      <c r="Q37" s="984"/>
      <c r="R37" s="984"/>
      <c r="S37" s="984"/>
      <c r="T37" s="984"/>
      <c r="U37" s="984"/>
      <c r="V37" s="984"/>
      <c r="W37" s="984"/>
      <c r="X37" s="984"/>
      <c r="Y37" s="984"/>
      <c r="Z37" s="984"/>
    </row>
    <row r="38" spans="1:26" ht="18" customHeight="1" x14ac:dyDescent="0.35">
      <c r="A38" s="984"/>
      <c r="B38" s="1015" t="s">
        <v>48</v>
      </c>
      <c r="C38" s="1016">
        <f>D67</f>
        <v>361.72386648320003</v>
      </c>
      <c r="D38" s="1017" t="s">
        <v>49</v>
      </c>
      <c r="E38" s="997"/>
      <c r="F38" s="984"/>
      <c r="G38" s="984"/>
      <c r="H38" s="984"/>
      <c r="I38" s="984"/>
      <c r="J38" s="984"/>
      <c r="K38" s="984"/>
      <c r="L38" s="984"/>
      <c r="M38" s="984"/>
      <c r="N38" s="984"/>
      <c r="O38" s="984"/>
      <c r="P38" s="984"/>
      <c r="Q38" s="984"/>
      <c r="R38" s="984"/>
      <c r="S38" s="984"/>
      <c r="T38" s="984"/>
      <c r="U38" s="984"/>
      <c r="V38" s="984"/>
      <c r="W38" s="984"/>
      <c r="X38" s="984"/>
      <c r="Y38" s="984"/>
      <c r="Z38" s="984"/>
    </row>
    <row r="39" spans="1:26" ht="18" customHeight="1" x14ac:dyDescent="0.35">
      <c r="A39" s="984"/>
      <c r="B39" s="1018" t="s">
        <v>620</v>
      </c>
      <c r="C39" s="1019">
        <f>C29*D29*E29/1000000</f>
        <v>7.4197736640000009</v>
      </c>
      <c r="D39" s="1020" t="s">
        <v>621</v>
      </c>
      <c r="E39" s="984"/>
      <c r="F39" s="984"/>
      <c r="G39" s="984"/>
      <c r="H39" s="984"/>
      <c r="I39" s="984"/>
      <c r="J39" s="984"/>
      <c r="K39" s="984"/>
      <c r="L39" s="984"/>
      <c r="M39" s="984"/>
      <c r="N39" s="984"/>
      <c r="O39" s="984"/>
      <c r="P39" s="984"/>
      <c r="Q39" s="984"/>
      <c r="R39" s="984"/>
      <c r="S39" s="984"/>
      <c r="T39" s="984"/>
      <c r="U39" s="984"/>
      <c r="V39" s="984"/>
      <c r="W39" s="984"/>
      <c r="X39" s="984"/>
      <c r="Y39" s="984"/>
      <c r="Z39" s="984"/>
    </row>
    <row r="40" spans="1:26" ht="18" customHeight="1" x14ac:dyDescent="0.35">
      <c r="A40" s="984"/>
      <c r="B40" s="984"/>
      <c r="C40" s="1011"/>
      <c r="D40" s="984"/>
      <c r="E40" s="984"/>
      <c r="F40" s="984"/>
      <c r="G40" s="984"/>
      <c r="H40" s="984"/>
      <c r="I40" s="984"/>
      <c r="J40" s="984"/>
      <c r="K40" s="984"/>
      <c r="L40" s="984"/>
      <c r="M40" s="984"/>
      <c r="N40" s="984"/>
      <c r="O40" s="984"/>
      <c r="P40" s="984"/>
      <c r="Q40" s="984"/>
      <c r="R40" s="984"/>
      <c r="S40" s="984"/>
      <c r="T40" s="984"/>
      <c r="U40" s="984"/>
      <c r="V40" s="984"/>
      <c r="W40" s="984"/>
      <c r="X40" s="984"/>
      <c r="Y40" s="984"/>
      <c r="Z40" s="984"/>
    </row>
    <row r="41" spans="1:26" ht="18" customHeight="1" x14ac:dyDescent="0.35">
      <c r="A41" s="984"/>
      <c r="B41" s="984"/>
      <c r="C41" s="984"/>
      <c r="D41" s="984"/>
      <c r="E41" s="984"/>
      <c r="F41" s="984" t="s">
        <v>34</v>
      </c>
      <c r="G41" s="984"/>
      <c r="H41" s="984"/>
      <c r="I41" s="984"/>
      <c r="J41" s="984"/>
      <c r="K41" s="984"/>
      <c r="L41" s="984"/>
      <c r="M41" s="984"/>
      <c r="N41" s="984"/>
      <c r="O41" s="984"/>
      <c r="P41" s="984"/>
      <c r="Q41" s="984" t="s">
        <v>157</v>
      </c>
      <c r="R41" s="984"/>
      <c r="S41" s="984"/>
      <c r="T41" s="984"/>
      <c r="U41" s="984"/>
      <c r="V41" s="984"/>
      <c r="W41" s="984"/>
      <c r="X41" s="984"/>
      <c r="Y41" s="984"/>
      <c r="Z41" s="984"/>
    </row>
    <row r="42" spans="1:26" ht="18" customHeight="1" x14ac:dyDescent="0.35">
      <c r="A42" s="1021" t="s">
        <v>53</v>
      </c>
      <c r="B42" s="1022" t="e">
        <f t="shared" ref="B42:B43" si="2">VLOOKUP($C$13,#REF!,2)</f>
        <v>#REF!</v>
      </c>
      <c r="C42" s="1022">
        <f>C33+2*(VLOOKUP(C13,A90:E91,4)+VLOOKUP($C$15,A94:E95,5))</f>
        <v>153</v>
      </c>
      <c r="D42" s="1022">
        <f>E33+(VLOOKUP(C13,A90:E91,5)+VLOOKUP($C$15,A94:D95,4))</f>
        <v>226.4</v>
      </c>
      <c r="E42" s="1023" t="e">
        <f t="shared" ref="E42:E45" si="3">B42</f>
        <v>#REF!</v>
      </c>
      <c r="F42" s="1024">
        <v>2</v>
      </c>
      <c r="G42" s="984"/>
      <c r="H42" s="984"/>
      <c r="I42" s="984"/>
      <c r="J42" s="1025">
        <f t="shared" ref="J42:J45" si="4">IF(C42=0,0,(C42/100)*(D42/100)*F42)</f>
        <v>6.9278400000000007</v>
      </c>
      <c r="K42" s="1025">
        <f t="shared" ref="K42:K45" si="5">J42/0.8</f>
        <v>8.6598000000000006</v>
      </c>
      <c r="L42" s="1026" t="e">
        <f>IF(E42=0,0,VLOOKUP(E42,'Prix Matiere'!$A$4:$J$65,10))</f>
        <v>#REF!</v>
      </c>
      <c r="M42" s="1026" t="e">
        <f t="shared" ref="M42:M45" si="6">L42*K42-IF($F$15="Non",K42*0.75,0)</f>
        <v>#REF!</v>
      </c>
      <c r="N42" s="1027">
        <f t="shared" ref="N42:N45" si="7">IF(J42=0,0,IF($F$15="Oui",(7.0924*J42)+15,(6.0924*J42)+10))</f>
        <v>64.135012415999995</v>
      </c>
      <c r="O42" s="1026">
        <f>N42*MinuteMO</f>
        <v>54.514760553599992</v>
      </c>
      <c r="P42" s="984"/>
      <c r="Q42" s="1028" t="e">
        <f>IF(J42=0,0,J42*VLOOKUP(E42,'Prix Matiere'!$A$4:$L$60,12))</f>
        <v>#REF!</v>
      </c>
      <c r="R42" s="984"/>
      <c r="S42" s="984"/>
      <c r="T42" s="984"/>
      <c r="U42" s="984"/>
      <c r="V42" s="984"/>
      <c r="W42" s="984"/>
      <c r="X42" s="984"/>
      <c r="Y42" s="984"/>
      <c r="Z42" s="984"/>
    </row>
    <row r="43" spans="1:26" ht="18" customHeight="1" x14ac:dyDescent="0.35">
      <c r="A43" s="1021" t="s">
        <v>175</v>
      </c>
      <c r="B43" s="1022" t="e">
        <f t="shared" si="2"/>
        <v>#REF!</v>
      </c>
      <c r="C43" s="1022">
        <f>C42</f>
        <v>153</v>
      </c>
      <c r="D43" s="1022">
        <f>D33+2*(VLOOKUP(C13,A90:E91,4)+VLOOKUP($C$15,A94:E95,5))</f>
        <v>240</v>
      </c>
      <c r="E43" s="1023" t="e">
        <f t="shared" si="3"/>
        <v>#REF!</v>
      </c>
      <c r="F43" s="1024">
        <v>1</v>
      </c>
      <c r="G43" s="984"/>
      <c r="H43" s="984"/>
      <c r="I43" s="984"/>
      <c r="J43" s="1025">
        <f t="shared" si="4"/>
        <v>3.6719999999999997</v>
      </c>
      <c r="K43" s="1025">
        <f t="shared" si="5"/>
        <v>4.589999999999999</v>
      </c>
      <c r="L43" s="1026" t="e">
        <f>IF(E43=0,0,VLOOKUP(E43,'Prix Matiere'!$A$4:$J$65,10))</f>
        <v>#REF!</v>
      </c>
      <c r="M43" s="1026" t="e">
        <f t="shared" si="6"/>
        <v>#REF!</v>
      </c>
      <c r="N43" s="1027">
        <f t="shared" si="7"/>
        <v>41.043292799999996</v>
      </c>
      <c r="O43" s="1026">
        <f>N43*MinuteMO</f>
        <v>34.886798879999994</v>
      </c>
      <c r="P43" s="984"/>
      <c r="Q43" s="1028" t="e">
        <f>IF(J43=0,0,J43*VLOOKUP(E43,'Prix Matiere'!$A$4:$L$60,12))</f>
        <v>#REF!</v>
      </c>
      <c r="R43" s="984"/>
      <c r="S43" s="984"/>
      <c r="T43" s="984"/>
      <c r="U43" s="984"/>
      <c r="V43" s="984"/>
      <c r="W43" s="984"/>
      <c r="X43" s="984"/>
      <c r="Y43" s="984"/>
      <c r="Z43" s="984"/>
    </row>
    <row r="44" spans="1:26" ht="18" customHeight="1" x14ac:dyDescent="0.35">
      <c r="A44" s="1021" t="s">
        <v>176</v>
      </c>
      <c r="B44" s="1022" t="e">
        <f>VLOOKUP($C$13,#REF!,3)</f>
        <v>#REF!</v>
      </c>
      <c r="C44" s="1022">
        <f t="shared" ref="C44:D44" si="8">C33</f>
        <v>145.80000000000001</v>
      </c>
      <c r="D44" s="1022">
        <f t="shared" si="8"/>
        <v>232.8</v>
      </c>
      <c r="E44" s="1023" t="e">
        <f t="shared" si="3"/>
        <v>#REF!</v>
      </c>
      <c r="F44" s="1024">
        <v>1</v>
      </c>
      <c r="G44" s="984"/>
      <c r="H44" s="984"/>
      <c r="I44" s="984"/>
      <c r="J44" s="1025">
        <f t="shared" si="4"/>
        <v>3.3942240000000008</v>
      </c>
      <c r="K44" s="1025">
        <f t="shared" si="5"/>
        <v>4.2427800000000007</v>
      </c>
      <c r="L44" s="1026" t="e">
        <f>IF(E44=0,0,VLOOKUP(E44,'Prix Matiere'!$A$4:$J$65,10))</f>
        <v>#REF!</v>
      </c>
      <c r="M44" s="1026" t="e">
        <f t="shared" si="6"/>
        <v>#REF!</v>
      </c>
      <c r="N44" s="1027">
        <f t="shared" si="7"/>
        <v>39.073194297600004</v>
      </c>
      <c r="O44" s="1026">
        <f>N44*MinuteMO</f>
        <v>33.212215152960006</v>
      </c>
      <c r="P44" s="984"/>
      <c r="Q44" s="1028" t="e">
        <f>IF(J44=0,0,J44*VLOOKUP(E44,'Prix Matiere'!$A$4:$L$60,12))</f>
        <v>#REF!</v>
      </c>
      <c r="R44" s="984"/>
      <c r="S44" s="984"/>
      <c r="T44" s="984"/>
      <c r="U44" s="984"/>
      <c r="V44" s="984"/>
      <c r="W44" s="984"/>
      <c r="X44" s="984"/>
      <c r="Y44" s="984"/>
      <c r="Z44" s="984"/>
    </row>
    <row r="45" spans="1:26" ht="18" customHeight="1" x14ac:dyDescent="0.35">
      <c r="A45" s="1021" t="s">
        <v>55</v>
      </c>
      <c r="B45" s="1022" t="e">
        <f>VLOOKUP($C$13,#REF!,2)</f>
        <v>#REF!</v>
      </c>
      <c r="C45" s="1022">
        <f>D33</f>
        <v>232.8</v>
      </c>
      <c r="D45" s="1022">
        <f>E33+VLOOKUP(C13,A90:E91,5)+VLOOKUP(C15,A94:F95,6)</f>
        <v>223.4</v>
      </c>
      <c r="E45" s="1023" t="e">
        <f t="shared" si="3"/>
        <v>#REF!</v>
      </c>
      <c r="F45" s="1024">
        <v>2</v>
      </c>
      <c r="G45" s="984"/>
      <c r="H45" s="984"/>
      <c r="I45" s="984"/>
      <c r="J45" s="1025">
        <f t="shared" si="4"/>
        <v>10.401504000000001</v>
      </c>
      <c r="K45" s="1025">
        <f t="shared" si="5"/>
        <v>13.00188</v>
      </c>
      <c r="L45" s="1026" t="e">
        <f>IF(E45=0,0,VLOOKUP(E45,'Prix Matiere'!$A$4:$J$65,10))</f>
        <v>#REF!</v>
      </c>
      <c r="M45" s="1026" t="e">
        <f t="shared" si="6"/>
        <v>#REF!</v>
      </c>
      <c r="N45" s="1027">
        <f t="shared" si="7"/>
        <v>88.771626969600007</v>
      </c>
      <c r="O45" s="1026">
        <f>N45*MinuteMO</f>
        <v>75.455882924160008</v>
      </c>
      <c r="P45" s="984"/>
      <c r="Q45" s="1028" t="e">
        <f>IF(J45=0,0,J45*VLOOKUP(E45,'Prix Matiere'!$A$4:$L$60,12))</f>
        <v>#REF!</v>
      </c>
      <c r="R45" s="984"/>
      <c r="S45" s="984"/>
      <c r="T45" s="984"/>
      <c r="U45" s="984"/>
      <c r="V45" s="984"/>
      <c r="W45" s="984"/>
      <c r="X45" s="984"/>
      <c r="Y45" s="984"/>
      <c r="Z45" s="984"/>
    </row>
    <row r="46" spans="1:26" ht="18" customHeight="1" x14ac:dyDescent="0.35">
      <c r="A46" s="984"/>
      <c r="B46" s="984"/>
      <c r="C46" s="984"/>
      <c r="D46" s="984"/>
      <c r="E46" s="984"/>
      <c r="F46" s="984"/>
      <c r="G46" s="984"/>
      <c r="H46" s="984"/>
      <c r="I46" s="984"/>
      <c r="J46" s="1025"/>
      <c r="K46" s="1025"/>
      <c r="L46" s="1026"/>
      <c r="M46" s="1026"/>
      <c r="N46" s="1027"/>
      <c r="O46" s="1026"/>
      <c r="P46" s="984"/>
      <c r="Q46" s="1028"/>
      <c r="R46" s="984"/>
      <c r="S46" s="984"/>
      <c r="T46" s="984"/>
      <c r="U46" s="984"/>
      <c r="V46" s="984"/>
      <c r="W46" s="984"/>
      <c r="X46" s="984"/>
      <c r="Y46" s="984"/>
      <c r="Z46" s="984"/>
    </row>
    <row r="47" spans="1:26" ht="18" customHeight="1" x14ac:dyDescent="0.35">
      <c r="A47" s="984"/>
      <c r="B47" s="984"/>
      <c r="C47" s="984"/>
      <c r="D47" s="984"/>
      <c r="E47" s="984"/>
      <c r="F47" s="984"/>
      <c r="G47" s="984"/>
      <c r="H47" s="984"/>
      <c r="I47" s="984"/>
      <c r="J47" s="1025"/>
      <c r="K47" s="1025"/>
      <c r="L47" s="1026"/>
      <c r="M47" s="1026"/>
      <c r="N47" s="1027"/>
      <c r="O47" s="1026"/>
      <c r="P47" s="984"/>
      <c r="Q47" s="1028"/>
      <c r="R47" s="984"/>
      <c r="S47" s="984"/>
      <c r="T47" s="984"/>
      <c r="U47" s="984"/>
      <c r="V47" s="984"/>
      <c r="W47" s="984"/>
      <c r="X47" s="984"/>
      <c r="Y47" s="984"/>
      <c r="Z47" s="984"/>
    </row>
    <row r="48" spans="1:26" ht="18" customHeight="1" x14ac:dyDescent="0.35">
      <c r="A48" s="997" t="s">
        <v>11</v>
      </c>
      <c r="B48" s="1029" t="s">
        <v>56</v>
      </c>
      <c r="C48" s="1022">
        <f>C42</f>
        <v>153</v>
      </c>
      <c r="D48" s="1029">
        <f>IF(D42&gt;80,9.5,7)</f>
        <v>9.5</v>
      </c>
      <c r="E48" s="1001" t="s">
        <v>61</v>
      </c>
      <c r="F48" s="1029">
        <v>4</v>
      </c>
      <c r="G48" s="984"/>
      <c r="H48" s="984"/>
      <c r="I48" s="984"/>
      <c r="J48" s="1025">
        <f t="shared" ref="J48:J53" si="9">IF(C48=0,0,(C48/100)*(D48/100)*F48)</f>
        <v>0.58140000000000003</v>
      </c>
      <c r="K48" s="1025">
        <f t="shared" ref="K48:K53" si="10">J48/0.8</f>
        <v>0.72675000000000001</v>
      </c>
      <c r="L48" s="1026">
        <f>IF(E48=0,0,VLOOKUP(E48,'Prix Matiere'!$A$4:$J$65,10))</f>
        <v>18.969072164948454</v>
      </c>
      <c r="M48" s="1026">
        <f t="shared" ref="M48:M53" si="11">L48*K48</f>
        <v>13.785773195876288</v>
      </c>
      <c r="N48" s="1027">
        <f t="shared" ref="N48:N53" si="12">IF(J48=0,0,1+(11*J48))</f>
        <v>7.3954000000000004</v>
      </c>
      <c r="O48" s="1026">
        <f t="shared" ref="O48:O53" si="13">N48*MinuteMO</f>
        <v>6.2860900000000006</v>
      </c>
      <c r="P48" s="984"/>
      <c r="Q48" s="1028">
        <f>IF(J48=0,0,J48*VLOOKUP(E48,'Prix Matiere'!$A$4:$L$60,12))</f>
        <v>5.8140000000000001</v>
      </c>
      <c r="R48" s="984"/>
      <c r="S48" s="984"/>
      <c r="T48" s="984"/>
      <c r="U48" s="984"/>
      <c r="V48" s="984"/>
      <c r="W48" s="984"/>
      <c r="X48" s="984"/>
      <c r="Y48" s="984"/>
      <c r="Z48" s="984"/>
    </row>
    <row r="49" spans="1:26" ht="18" customHeight="1" x14ac:dyDescent="0.35">
      <c r="A49" s="984"/>
      <c r="B49" s="1029" t="str">
        <f>IF($F$13="Expo","Remplis GC",0)</f>
        <v>Remplis GC</v>
      </c>
      <c r="C49" s="1022">
        <f>IF($F$13="Expo",D42-2*D48,0)</f>
        <v>207.4</v>
      </c>
      <c r="D49" s="1029">
        <f>IF($F$13="Expo",D48,0)</f>
        <v>9.5</v>
      </c>
      <c r="E49" s="1001" t="s">
        <v>61</v>
      </c>
      <c r="F49" s="1029">
        <f>IF($F$13="Expo",4,0)</f>
        <v>4</v>
      </c>
      <c r="G49" s="984"/>
      <c r="H49" s="984"/>
      <c r="I49" s="984"/>
      <c r="J49" s="1025">
        <f t="shared" si="9"/>
        <v>0.78811999999999993</v>
      </c>
      <c r="K49" s="1025">
        <f t="shared" si="10"/>
        <v>0.98514999999999986</v>
      </c>
      <c r="L49" s="1026">
        <f>IF(E49=0,0,VLOOKUP(E49,'Prix Matiere'!$A$4:$J$65,10))</f>
        <v>18.969072164948454</v>
      </c>
      <c r="M49" s="1026">
        <f t="shared" si="11"/>
        <v>18.687381443298968</v>
      </c>
      <c r="N49" s="1027">
        <f t="shared" si="12"/>
        <v>9.669319999999999</v>
      </c>
      <c r="O49" s="1026">
        <f t="shared" si="13"/>
        <v>8.2189219999999992</v>
      </c>
      <c r="P49" s="984"/>
      <c r="Q49" s="1028">
        <f>IF(J49=0,0,J49*VLOOKUP(E49,'Prix Matiere'!$A$4:$L$60,12))</f>
        <v>7.8811999999999998</v>
      </c>
      <c r="R49" s="984"/>
      <c r="S49" s="984"/>
      <c r="T49" s="984"/>
      <c r="U49" s="984"/>
      <c r="V49" s="984"/>
      <c r="W49" s="984"/>
      <c r="X49" s="984"/>
      <c r="Y49" s="984"/>
      <c r="Z49" s="984"/>
    </row>
    <row r="50" spans="1:26" ht="18" customHeight="1" x14ac:dyDescent="0.35">
      <c r="A50" s="984"/>
      <c r="B50" s="1029" t="s">
        <v>177</v>
      </c>
      <c r="C50" s="1022">
        <f>C48</f>
        <v>153</v>
      </c>
      <c r="D50" s="1029">
        <f>IF($D$33&lt;80,7,9.5)</f>
        <v>9.5</v>
      </c>
      <c r="E50" s="1001" t="s">
        <v>61</v>
      </c>
      <c r="F50" s="1029">
        <f t="shared" ref="F50:F51" si="14">IF(D50&lt;14.5,2,4)</f>
        <v>2</v>
      </c>
      <c r="G50" s="984"/>
      <c r="H50" s="984"/>
      <c r="I50" s="984"/>
      <c r="J50" s="1025">
        <f t="shared" si="9"/>
        <v>0.29070000000000001</v>
      </c>
      <c r="K50" s="1025">
        <f t="shared" si="10"/>
        <v>0.363375</v>
      </c>
      <c r="L50" s="1026">
        <f>IF(E50=0,0,VLOOKUP(E50,'Prix Matiere'!$A$4:$J$65,10))</f>
        <v>18.969072164948454</v>
      </c>
      <c r="M50" s="1026">
        <f t="shared" si="11"/>
        <v>6.8928865979381442</v>
      </c>
      <c r="N50" s="1027">
        <f t="shared" si="12"/>
        <v>4.1977000000000002</v>
      </c>
      <c r="O50" s="1026">
        <f t="shared" si="13"/>
        <v>3.5680450000000001</v>
      </c>
      <c r="P50" s="984"/>
      <c r="Q50" s="1028">
        <f>IF(J50=0,0,J50*VLOOKUP(E50,'Prix Matiere'!$A$4:$L$60,12))</f>
        <v>2.907</v>
      </c>
      <c r="R50" s="984"/>
      <c r="S50" s="984"/>
      <c r="T50" s="984"/>
      <c r="U50" s="984"/>
      <c r="V50" s="984"/>
      <c r="W50" s="984"/>
      <c r="X50" s="984"/>
      <c r="Y50" s="984"/>
      <c r="Z50" s="984"/>
    </row>
    <row r="51" spans="1:26" ht="18" customHeight="1" x14ac:dyDescent="0.35">
      <c r="A51" s="984"/>
      <c r="B51" s="1029" t="s">
        <v>178</v>
      </c>
      <c r="C51" s="1022">
        <f>IF($F$13="Expo",D43-2*D50,0)</f>
        <v>221</v>
      </c>
      <c r="D51" s="1029">
        <f>D50</f>
        <v>9.5</v>
      </c>
      <c r="E51" s="1001" t="s">
        <v>61</v>
      </c>
      <c r="F51" s="1029">
        <f t="shared" si="14"/>
        <v>2</v>
      </c>
      <c r="G51" s="984"/>
      <c r="H51" s="984"/>
      <c r="I51" s="984"/>
      <c r="J51" s="1025">
        <f t="shared" si="9"/>
        <v>0.4199</v>
      </c>
      <c r="K51" s="1025">
        <f t="shared" si="10"/>
        <v>0.52487499999999998</v>
      </c>
      <c r="L51" s="1026">
        <f>IF(E51=0,0,VLOOKUP(E51,'Prix Matiere'!$A$4:$J$65,10))</f>
        <v>18.969072164948454</v>
      </c>
      <c r="M51" s="1026">
        <f t="shared" si="11"/>
        <v>9.9563917525773196</v>
      </c>
      <c r="N51" s="1027">
        <f t="shared" si="12"/>
        <v>5.6189</v>
      </c>
      <c r="O51" s="1026">
        <f t="shared" si="13"/>
        <v>4.776065</v>
      </c>
      <c r="P51" s="984"/>
      <c r="Q51" s="1028">
        <f>IF(J51=0,0,J51*VLOOKUP(E51,'Prix Matiere'!$A$4:$L$60,12))</f>
        <v>4.1989999999999998</v>
      </c>
      <c r="R51" s="984"/>
      <c r="S51" s="984"/>
      <c r="T51" s="984"/>
      <c r="U51" s="984"/>
      <c r="V51" s="984"/>
      <c r="W51" s="984"/>
      <c r="X51" s="984"/>
      <c r="Y51" s="984"/>
      <c r="Z51" s="984"/>
    </row>
    <row r="52" spans="1:26" ht="18" customHeight="1" x14ac:dyDescent="0.35">
      <c r="A52" s="984"/>
      <c r="B52" s="1029" t="s">
        <v>179</v>
      </c>
      <c r="C52" s="1022">
        <f>C33</f>
        <v>145.80000000000001</v>
      </c>
      <c r="D52" s="1029">
        <v>10</v>
      </c>
      <c r="E52" s="1001" t="str">
        <f t="shared" ref="E52:E54" si="15">VLOOKUP($C$15,$A$94:$E$95,2)</f>
        <v>Semelles 63 mm</v>
      </c>
      <c r="F52" s="1029">
        <v>2</v>
      </c>
      <c r="G52" s="984"/>
      <c r="H52" s="984"/>
      <c r="I52" s="984"/>
      <c r="J52" s="1025">
        <f t="shared" si="9"/>
        <v>0.29160000000000003</v>
      </c>
      <c r="K52" s="1025">
        <f t="shared" si="10"/>
        <v>0.36449999999999999</v>
      </c>
      <c r="L52" s="1026">
        <f>IF(E52=0,0,VLOOKUP(E52,'Prix Matiere'!$A$4:$J$65,10))</f>
        <v>44.742268041237111</v>
      </c>
      <c r="M52" s="1026">
        <f t="shared" si="11"/>
        <v>16.308556701030927</v>
      </c>
      <c r="N52" s="1027">
        <f t="shared" si="12"/>
        <v>4.2076000000000002</v>
      </c>
      <c r="O52" s="1026">
        <f t="shared" si="13"/>
        <v>3.57646</v>
      </c>
      <c r="P52" s="984"/>
      <c r="Q52" s="1028">
        <f>IF(J52=0,0,J52*VLOOKUP(E52,'Prix Matiere'!$A$4:$L$60,12))</f>
        <v>9.3312000000000008</v>
      </c>
      <c r="R52" s="984"/>
      <c r="S52" s="984"/>
      <c r="T52" s="984"/>
      <c r="U52" s="984"/>
      <c r="V52" s="984"/>
      <c r="W52" s="984"/>
      <c r="X52" s="984"/>
      <c r="Y52" s="984"/>
      <c r="Z52" s="984"/>
    </row>
    <row r="53" spans="1:26" ht="18" customHeight="1" x14ac:dyDescent="0.35">
      <c r="A53" s="984"/>
      <c r="B53" s="1029" t="s">
        <v>180</v>
      </c>
      <c r="C53" s="1022">
        <f>(D33-2*D52)</f>
        <v>212.8</v>
      </c>
      <c r="D53" s="1029">
        <v>10</v>
      </c>
      <c r="E53" s="1001" t="str">
        <f t="shared" si="15"/>
        <v>Semelles 63 mm</v>
      </c>
      <c r="F53" s="1029">
        <v>3</v>
      </c>
      <c r="G53" s="984"/>
      <c r="H53" s="984"/>
      <c r="I53" s="984"/>
      <c r="J53" s="1025">
        <f t="shared" si="9"/>
        <v>0.63840000000000008</v>
      </c>
      <c r="K53" s="1025">
        <f t="shared" si="10"/>
        <v>0.79800000000000004</v>
      </c>
      <c r="L53" s="1026">
        <f>IF(E53=0,0,VLOOKUP(E53,'Prix Matiere'!$A$4:$J$65,10))</f>
        <v>44.742268041237111</v>
      </c>
      <c r="M53" s="1026">
        <f t="shared" si="11"/>
        <v>35.704329896907218</v>
      </c>
      <c r="N53" s="1027">
        <f t="shared" si="12"/>
        <v>8.0224000000000011</v>
      </c>
      <c r="O53" s="1026">
        <f t="shared" si="13"/>
        <v>6.8190400000000011</v>
      </c>
      <c r="P53" s="984"/>
      <c r="Q53" s="1028">
        <f>IF(J53=0,0,J53*VLOOKUP(E53,'Prix Matiere'!$A$4:$L$60,12))</f>
        <v>20.428800000000003</v>
      </c>
      <c r="R53" s="984"/>
      <c r="S53" s="984"/>
      <c r="T53" s="984"/>
      <c r="U53" s="984"/>
      <c r="V53" s="984"/>
      <c r="W53" s="984"/>
      <c r="X53" s="984"/>
      <c r="Y53" s="984"/>
      <c r="Z53" s="984"/>
    </row>
    <row r="54" spans="1:26" ht="18" customHeight="1" x14ac:dyDescent="0.35">
      <c r="A54" s="984"/>
      <c r="B54" s="1029"/>
      <c r="C54" s="1022">
        <f>(C52-3*D52)/2</f>
        <v>57.900000000000006</v>
      </c>
      <c r="D54" s="1029">
        <v>10</v>
      </c>
      <c r="E54" s="1001" t="str">
        <f t="shared" si="15"/>
        <v>Semelles 63 mm</v>
      </c>
      <c r="F54" s="1029">
        <v>4</v>
      </c>
      <c r="G54" s="984"/>
      <c r="H54" s="984"/>
      <c r="I54" s="984"/>
      <c r="J54" s="1025"/>
      <c r="K54" s="1025"/>
      <c r="L54" s="1026"/>
      <c r="M54" s="1026"/>
      <c r="N54" s="1027"/>
      <c r="O54" s="1026"/>
      <c r="P54" s="984"/>
      <c r="Q54" s="1028"/>
      <c r="R54" s="984"/>
      <c r="S54" s="984"/>
      <c r="T54" s="984"/>
      <c r="U54" s="984"/>
      <c r="V54" s="984"/>
      <c r="W54" s="984"/>
      <c r="X54" s="984"/>
      <c r="Y54" s="984"/>
      <c r="Z54" s="984"/>
    </row>
    <row r="55" spans="1:26" ht="18" customHeight="1" x14ac:dyDescent="0.35">
      <c r="A55" s="984"/>
      <c r="B55" s="1029" t="str">
        <f>F21</f>
        <v>10 dessous en skis</v>
      </c>
      <c r="C55" s="1022">
        <f>IF(B55="10 dessous en skis", (D43-65)/2,IF(B55="10 dessous en semelles",D43,C50))</f>
        <v>87.5</v>
      </c>
      <c r="D55" s="1029">
        <v>7</v>
      </c>
      <c r="E55" s="1001" t="str">
        <f>IF(B55="skis","Barres 21 R4F","Semelles R4F")</f>
        <v>Semelles R4F</v>
      </c>
      <c r="F55" s="1029">
        <f>IF(B55="10 dessous en skis",6,IF(B55="10 dessous en semelles",2,2))</f>
        <v>6</v>
      </c>
      <c r="G55" s="984"/>
      <c r="H55" s="984"/>
      <c r="I55" s="984"/>
      <c r="J55" s="1025">
        <f t="shared" ref="J55:J57" si="16">IF(C55=0,0,(C55/100)*(D55/100)*F55)</f>
        <v>0.36750000000000005</v>
      </c>
      <c r="K55" s="1025">
        <f t="shared" ref="K55:K57" si="17">J55/0.8</f>
        <v>0.45937500000000003</v>
      </c>
      <c r="L55" s="1026">
        <f>IF(E55=0,0,VLOOKUP(E55,'Prix Matiere'!$A$4:$J$65,10))</f>
        <v>63.319587628865982</v>
      </c>
      <c r="M55" s="1026">
        <f t="shared" ref="M55:M57" si="18">L55*K55</f>
        <v>29.087435567010314</v>
      </c>
      <c r="N55" s="1027">
        <f t="shared" ref="N55:N57" si="19">IF(J55=0,0,1+(11*J55))</f>
        <v>5.0425000000000004</v>
      </c>
      <c r="O55" s="1026">
        <f>N55*MinuteMO</f>
        <v>4.2861250000000002</v>
      </c>
      <c r="P55" s="984"/>
      <c r="Q55" s="1028">
        <f>IF(J55=0,0,J55*VLOOKUP(E55,'Prix Matiere'!$A$4:$L$60,12))</f>
        <v>12.862500000000002</v>
      </c>
      <c r="R55" s="984"/>
      <c r="S55" s="984"/>
      <c r="T55" s="984"/>
      <c r="U55" s="984"/>
      <c r="V55" s="984"/>
      <c r="W55" s="984"/>
      <c r="X55" s="984"/>
      <c r="Y55" s="984"/>
      <c r="Z55" s="984"/>
    </row>
    <row r="56" spans="1:26" ht="18" customHeight="1" x14ac:dyDescent="0.35">
      <c r="A56" s="984"/>
      <c r="B56" s="1029" t="s">
        <v>59</v>
      </c>
      <c r="C56" s="1022">
        <f>IF($D$45&lt;14.5,0,C45)</f>
        <v>232.8</v>
      </c>
      <c r="D56" s="1029">
        <f>IF(D33&lt;14.5,0,D48)</f>
        <v>9.5</v>
      </c>
      <c r="E56" s="1001" t="s">
        <v>61</v>
      </c>
      <c r="F56" s="1029">
        <f>IF(D33&lt;14.5,0,4)</f>
        <v>4</v>
      </c>
      <c r="G56" s="984"/>
      <c r="H56" s="984"/>
      <c r="I56" s="984"/>
      <c r="J56" s="1025">
        <f t="shared" si="16"/>
        <v>0.88464000000000009</v>
      </c>
      <c r="K56" s="1025">
        <f t="shared" si="17"/>
        <v>1.1058000000000001</v>
      </c>
      <c r="L56" s="1026">
        <f>IF(E56=0,0,VLOOKUP(E56,'Prix Matiere'!$A$4:$J$65,10))</f>
        <v>18.969072164948454</v>
      </c>
      <c r="M56" s="1026">
        <f t="shared" si="18"/>
        <v>20.976000000000003</v>
      </c>
      <c r="N56" s="1027">
        <f t="shared" si="19"/>
        <v>10.73104</v>
      </c>
      <c r="O56" s="1026">
        <f>N56*MinuteMO</f>
        <v>9.121383999999999</v>
      </c>
      <c r="P56" s="984"/>
      <c r="Q56" s="1028">
        <f>IF(J56=0,0,J56*VLOOKUP(E56,'Prix Matiere'!$A$4:$L$60,12))</f>
        <v>8.8464000000000009</v>
      </c>
      <c r="R56" s="984"/>
      <c r="S56" s="984"/>
      <c r="T56" s="984"/>
      <c r="U56" s="984"/>
      <c r="V56" s="984"/>
      <c r="W56" s="984"/>
      <c r="X56" s="984"/>
      <c r="Y56" s="984"/>
      <c r="Z56" s="984"/>
    </row>
    <row r="57" spans="1:26" ht="18" customHeight="1" x14ac:dyDescent="0.35">
      <c r="A57" s="984"/>
      <c r="B57" s="1029" t="s">
        <v>60</v>
      </c>
      <c r="C57" s="1022">
        <f>IF(D33&lt;14.5,E34,D45-2*D56)</f>
        <v>204.4</v>
      </c>
      <c r="D57" s="1029">
        <v>9.5</v>
      </c>
      <c r="E57" s="1001" t="s">
        <v>61</v>
      </c>
      <c r="F57" s="1029">
        <v>6</v>
      </c>
      <c r="G57" s="984"/>
      <c r="H57" s="984"/>
      <c r="I57" s="984"/>
      <c r="J57" s="1025">
        <f t="shared" si="16"/>
        <v>1.1650800000000001</v>
      </c>
      <c r="K57" s="1025">
        <f t="shared" si="17"/>
        <v>1.45635</v>
      </c>
      <c r="L57" s="1026">
        <f>IF(E57=0,0,VLOOKUP(E57,'Prix Matiere'!$A$4:$J$65,10))</f>
        <v>18.969072164948454</v>
      </c>
      <c r="M57" s="1026">
        <f t="shared" si="18"/>
        <v>27.625608247422683</v>
      </c>
      <c r="N57" s="1027">
        <f t="shared" si="19"/>
        <v>13.815880000000002</v>
      </c>
      <c r="O57" s="1026">
        <f>N57*MinuteMO</f>
        <v>11.743498000000001</v>
      </c>
      <c r="P57" s="984"/>
      <c r="Q57" s="1028">
        <f>IF(J57=0,0,J57*VLOOKUP(E57,'Prix Matiere'!$A$4:$L$60,12))</f>
        <v>11.6508</v>
      </c>
      <c r="R57" s="984"/>
      <c r="S57" s="984"/>
      <c r="T57" s="984"/>
      <c r="U57" s="984"/>
      <c r="V57" s="984"/>
      <c r="W57" s="984"/>
      <c r="X57" s="984"/>
      <c r="Y57" s="984"/>
      <c r="Z57" s="984"/>
    </row>
    <row r="58" spans="1:26" ht="18" customHeight="1" x14ac:dyDescent="0.35">
      <c r="A58" s="984"/>
      <c r="B58" s="984"/>
      <c r="C58" s="984"/>
      <c r="D58" s="984"/>
      <c r="E58" s="984"/>
      <c r="F58" s="984"/>
      <c r="G58" s="984"/>
      <c r="H58" s="984"/>
      <c r="I58" s="984"/>
      <c r="J58" s="1025"/>
      <c r="K58" s="1025"/>
      <c r="L58" s="1026"/>
      <c r="M58" s="1026"/>
      <c r="N58" s="1027"/>
      <c r="O58" s="1026"/>
      <c r="P58" s="984"/>
      <c r="Q58" s="1028"/>
      <c r="R58" s="984"/>
      <c r="S58" s="984"/>
      <c r="T58" s="984"/>
      <c r="U58" s="984"/>
      <c r="V58" s="984"/>
      <c r="W58" s="984"/>
      <c r="X58" s="984"/>
      <c r="Y58" s="984"/>
      <c r="Z58" s="984"/>
    </row>
    <row r="59" spans="1:26" ht="18" customHeight="1" x14ac:dyDescent="0.35">
      <c r="A59" s="984"/>
      <c r="B59" s="984"/>
      <c r="C59" s="984"/>
      <c r="D59" s="984"/>
      <c r="E59" s="984"/>
      <c r="F59" s="984"/>
      <c r="G59" s="984"/>
      <c r="H59" s="984"/>
      <c r="I59" s="984"/>
      <c r="J59" s="1025"/>
      <c r="K59" s="1025"/>
      <c r="L59" s="1026"/>
      <c r="M59" s="1026"/>
      <c r="N59" s="1027"/>
      <c r="O59" s="1026"/>
      <c r="P59" s="984"/>
      <c r="Q59" s="1028"/>
      <c r="R59" s="984"/>
      <c r="S59" s="984"/>
      <c r="T59" s="984"/>
      <c r="U59" s="984"/>
      <c r="V59" s="984"/>
      <c r="W59" s="984"/>
      <c r="X59" s="984"/>
      <c r="Y59" s="984"/>
      <c r="Z59" s="984"/>
    </row>
    <row r="60" spans="1:26" ht="18" customHeight="1" x14ac:dyDescent="0.35">
      <c r="A60" s="984"/>
      <c r="B60" s="984"/>
      <c r="C60" s="1030"/>
      <c r="D60" s="1030"/>
      <c r="E60" s="1030"/>
      <c r="F60" s="984"/>
      <c r="G60" s="984"/>
      <c r="H60" s="984"/>
      <c r="I60" s="984"/>
      <c r="J60" s="984"/>
      <c r="K60" s="984"/>
      <c r="L60" s="1026"/>
      <c r="M60" s="1026"/>
      <c r="N60" s="1027"/>
      <c r="O60" s="1026"/>
      <c r="P60" s="984"/>
      <c r="Q60" s="984"/>
      <c r="R60" s="984"/>
      <c r="S60" s="984"/>
      <c r="T60" s="984"/>
      <c r="U60" s="984"/>
      <c r="V60" s="984"/>
      <c r="W60" s="984"/>
      <c r="X60" s="984"/>
      <c r="Y60" s="984"/>
      <c r="Z60" s="984"/>
    </row>
    <row r="61" spans="1:26" ht="18" customHeight="1" x14ac:dyDescent="0.35">
      <c r="A61" s="984"/>
      <c r="B61" s="984"/>
      <c r="C61" s="984"/>
      <c r="D61" s="984"/>
      <c r="E61" s="984"/>
      <c r="F61" s="984"/>
      <c r="G61" s="984"/>
      <c r="H61" s="984"/>
      <c r="I61" s="984"/>
      <c r="J61" s="984"/>
      <c r="K61" s="984"/>
      <c r="L61" s="984"/>
      <c r="M61" s="984"/>
      <c r="N61" s="1027"/>
      <c r="O61" s="984"/>
      <c r="P61" s="984"/>
      <c r="Q61" s="984"/>
      <c r="R61" s="984"/>
      <c r="S61" s="984"/>
      <c r="T61" s="984"/>
      <c r="U61" s="984"/>
      <c r="V61" s="984"/>
      <c r="W61" s="984"/>
      <c r="X61" s="984"/>
      <c r="Y61" s="984"/>
      <c r="Z61" s="984"/>
    </row>
    <row r="62" spans="1:26" ht="18" customHeight="1" x14ac:dyDescent="0.35">
      <c r="A62" s="984"/>
      <c r="B62" s="984"/>
      <c r="C62" s="984"/>
      <c r="D62" s="984"/>
      <c r="E62" s="984"/>
      <c r="F62" s="984"/>
      <c r="G62" s="984"/>
      <c r="H62" s="984"/>
      <c r="I62" s="984"/>
      <c r="J62" s="984"/>
      <c r="K62" s="984"/>
      <c r="L62" s="984"/>
      <c r="M62" s="984"/>
      <c r="N62" s="1027"/>
      <c r="O62" s="984"/>
      <c r="P62" s="984"/>
      <c r="Q62" s="984"/>
      <c r="R62" s="984"/>
      <c r="S62" s="984"/>
      <c r="T62" s="984"/>
      <c r="U62" s="984"/>
      <c r="V62" s="984"/>
      <c r="W62" s="984"/>
      <c r="X62" s="984"/>
      <c r="Y62" s="984"/>
      <c r="Z62" s="984"/>
    </row>
    <row r="63" spans="1:26" ht="18" customHeight="1" x14ac:dyDescent="0.35">
      <c r="A63" s="984" t="s">
        <v>72</v>
      </c>
      <c r="B63" s="984" t="str">
        <f>C19</f>
        <v>Boulons et platines</v>
      </c>
      <c r="C63" s="984"/>
      <c r="D63" s="984"/>
      <c r="E63" s="984"/>
      <c r="F63" s="984"/>
      <c r="G63" s="984"/>
      <c r="H63" s="984"/>
      <c r="I63" s="984"/>
      <c r="J63" s="984"/>
      <c r="K63" s="984"/>
      <c r="L63" s="984"/>
      <c r="M63" s="1026">
        <f>IF(B63="Vis bois",0,(E4+E6*2)*1.5)</f>
        <v>21</v>
      </c>
      <c r="N63" s="1027">
        <f>IF(B63="Vis bois",0,60)</f>
        <v>60</v>
      </c>
      <c r="O63" s="1026">
        <f>N63*MinuteMO</f>
        <v>51</v>
      </c>
      <c r="P63" s="984"/>
      <c r="Q63" s="984"/>
      <c r="R63" s="984"/>
      <c r="S63" s="984"/>
      <c r="T63" s="984"/>
      <c r="U63" s="984"/>
      <c r="V63" s="984"/>
      <c r="W63" s="984"/>
      <c r="X63" s="984"/>
      <c r="Y63" s="984"/>
      <c r="Z63" s="984"/>
    </row>
    <row r="64" spans="1:26" ht="18" customHeight="1" x14ac:dyDescent="0.35">
      <c r="A64" s="984"/>
      <c r="B64" s="984"/>
      <c r="C64" s="984"/>
      <c r="D64" s="984"/>
      <c r="E64" s="984"/>
      <c r="F64" s="984"/>
      <c r="G64" s="984"/>
      <c r="H64" s="984"/>
      <c r="I64" s="984"/>
      <c r="J64" s="984"/>
      <c r="K64" s="984"/>
      <c r="L64" s="984"/>
      <c r="M64" s="984"/>
      <c r="N64" s="1027"/>
      <c r="O64" s="984"/>
      <c r="P64" s="984"/>
      <c r="Q64" s="984"/>
      <c r="R64" s="984"/>
      <c r="S64" s="984"/>
      <c r="T64" s="984"/>
      <c r="U64" s="984"/>
      <c r="V64" s="984"/>
      <c r="W64" s="984"/>
      <c r="X64" s="984"/>
      <c r="Y64" s="984"/>
      <c r="Z64" s="984"/>
    </row>
    <row r="65" spans="1:26" ht="18" customHeight="1" x14ac:dyDescent="0.35">
      <c r="A65" s="984"/>
      <c r="B65" s="984"/>
      <c r="C65" s="984"/>
      <c r="D65" s="984"/>
      <c r="E65" s="984"/>
      <c r="F65" s="984"/>
      <c r="G65" s="984"/>
      <c r="H65" s="984"/>
      <c r="I65" s="984"/>
      <c r="J65" s="984"/>
      <c r="K65" s="984"/>
      <c r="L65" s="1011"/>
      <c r="M65" s="1011" t="e">
        <f t="shared" ref="M65:O65" si="20">SUM(M42:M64)</f>
        <v>#REF!</v>
      </c>
      <c r="N65" s="1031">
        <f t="shared" si="20"/>
        <v>361.72386648320003</v>
      </c>
      <c r="O65" s="1011">
        <f t="shared" si="20"/>
        <v>307.46528651071998</v>
      </c>
      <c r="P65" s="984"/>
      <c r="Q65" s="1028" t="e">
        <f>SUM(Q42:Q64)</f>
        <v>#REF!</v>
      </c>
      <c r="R65" s="984"/>
      <c r="S65" s="984"/>
      <c r="T65" s="984"/>
      <c r="U65" s="984"/>
      <c r="V65" s="984"/>
      <c r="W65" s="984"/>
      <c r="X65" s="984"/>
      <c r="Y65" s="984"/>
      <c r="Z65" s="984"/>
    </row>
    <row r="66" spans="1:26" ht="18" customHeight="1" x14ac:dyDescent="0.35">
      <c r="A66" s="984"/>
      <c r="B66" s="1032" t="s">
        <v>73</v>
      </c>
      <c r="C66" s="1033" t="e">
        <f>M65</f>
        <v>#REF!</v>
      </c>
      <c r="D66" s="1034"/>
      <c r="E66" s="1035" t="s">
        <v>74</v>
      </c>
      <c r="F66" s="1036" t="str">
        <f>CONCATENATE(ROUNDUP(SUM(K42:K45),2)," m²")</f>
        <v>30,5 m²</v>
      </c>
      <c r="G66" s="1037" t="e">
        <f>(SUM(M42:M45))</f>
        <v>#REF!</v>
      </c>
      <c r="H66" s="984"/>
      <c r="I66" s="984"/>
      <c r="J66" s="984"/>
      <c r="K66" s="984"/>
      <c r="L66" s="984"/>
      <c r="M66" s="984"/>
      <c r="N66" s="984"/>
      <c r="O66" s="984"/>
      <c r="P66" s="984"/>
      <c r="Q66" s="984"/>
      <c r="R66" s="984"/>
      <c r="S66" s="984"/>
      <c r="T66" s="984"/>
      <c r="U66" s="984"/>
      <c r="V66" s="984"/>
      <c r="W66" s="984"/>
      <c r="X66" s="984"/>
      <c r="Y66" s="984"/>
      <c r="Z66" s="984"/>
    </row>
    <row r="67" spans="1:26" ht="18" customHeight="1" x14ac:dyDescent="0.35">
      <c r="A67" s="984"/>
      <c r="B67" s="1038" t="s">
        <v>75</v>
      </c>
      <c r="C67" s="1026">
        <f>O65</f>
        <v>307.46528651071998</v>
      </c>
      <c r="D67" s="1039">
        <f>N65</f>
        <v>361.72386648320003</v>
      </c>
      <c r="E67" s="1040" t="s">
        <v>76</v>
      </c>
      <c r="F67" s="1041" t="str">
        <f>CONCATENATE(ROUNDUP(SUM(K48:K57),2)," m²")</f>
        <v>6,79 m²</v>
      </c>
      <c r="G67" s="1042">
        <f>(SUM(M48:M57))</f>
        <v>179.02436340206188</v>
      </c>
      <c r="H67" s="984"/>
      <c r="I67" s="984"/>
      <c r="J67" s="984"/>
      <c r="K67" s="984"/>
      <c r="L67" s="984"/>
      <c r="M67" s="984"/>
      <c r="N67" s="984"/>
      <c r="O67" s="984"/>
      <c r="P67" s="984"/>
      <c r="Q67" s="984"/>
      <c r="R67" s="984"/>
      <c r="S67" s="984"/>
      <c r="T67" s="984"/>
      <c r="U67" s="984"/>
      <c r="V67" s="984"/>
      <c r="W67" s="984"/>
      <c r="X67" s="984"/>
      <c r="Y67" s="984"/>
      <c r="Z67" s="984"/>
    </row>
    <row r="68" spans="1:26" ht="18" customHeight="1" x14ac:dyDescent="0.35">
      <c r="A68" s="984"/>
      <c r="B68" s="1038" t="s">
        <v>77</v>
      </c>
      <c r="C68" s="1026" t="e">
        <f>((C66+C67)/0.78)-(C66+C67)</f>
        <v>#REF!</v>
      </c>
      <c r="D68" s="1043"/>
      <c r="E68" s="1040"/>
      <c r="F68" s="1041"/>
      <c r="G68" s="1042"/>
      <c r="H68" s="984"/>
      <c r="I68" s="984"/>
      <c r="J68" s="984"/>
      <c r="K68" s="984"/>
      <c r="L68" s="984"/>
      <c r="M68" s="984"/>
      <c r="N68" s="984"/>
      <c r="O68" s="984"/>
      <c r="P68" s="984"/>
      <c r="Q68" s="984"/>
      <c r="R68" s="984"/>
      <c r="S68" s="984"/>
      <c r="T68" s="984"/>
      <c r="U68" s="984"/>
      <c r="V68" s="984"/>
      <c r="W68" s="984"/>
      <c r="X68" s="984"/>
      <c r="Y68" s="984"/>
      <c r="Z68" s="984"/>
    </row>
    <row r="69" spans="1:26" ht="18" customHeight="1" x14ac:dyDescent="0.35">
      <c r="A69" s="984"/>
      <c r="B69" s="1038" t="s">
        <v>79</v>
      </c>
      <c r="C69" s="1026" t="e">
        <f>SUM(C66:C68)</f>
        <v>#REF!</v>
      </c>
      <c r="D69" s="1043"/>
      <c r="E69" s="1040"/>
      <c r="F69" s="1041"/>
      <c r="G69" s="1042"/>
      <c r="H69" s="984"/>
      <c r="I69" s="984"/>
      <c r="J69" s="984"/>
      <c r="K69" s="984"/>
      <c r="L69" s="984"/>
      <c r="M69" s="984"/>
      <c r="N69" s="984"/>
      <c r="O69" s="984"/>
      <c r="P69" s="984"/>
      <c r="Q69" s="984"/>
      <c r="R69" s="984"/>
      <c r="S69" s="984"/>
      <c r="T69" s="984"/>
      <c r="U69" s="984"/>
      <c r="V69" s="984"/>
      <c r="W69" s="984"/>
      <c r="X69" s="984"/>
      <c r="Y69" s="984"/>
      <c r="Z69" s="984"/>
    </row>
    <row r="70" spans="1:26" ht="18" customHeight="1" x14ac:dyDescent="0.35">
      <c r="A70" s="984"/>
      <c r="B70" s="1038"/>
      <c r="C70" s="1026"/>
      <c r="D70" s="1043"/>
      <c r="E70" s="1040"/>
      <c r="F70" s="1041"/>
      <c r="G70" s="1044"/>
      <c r="H70" s="984"/>
      <c r="I70" s="984"/>
      <c r="J70" s="984"/>
      <c r="K70" s="984"/>
      <c r="L70" s="984"/>
      <c r="M70" s="984"/>
      <c r="N70" s="984"/>
      <c r="O70" s="984"/>
      <c r="P70" s="984"/>
      <c r="Q70" s="984"/>
      <c r="R70" s="984"/>
      <c r="S70" s="984"/>
      <c r="T70" s="984"/>
      <c r="U70" s="984"/>
      <c r="V70" s="984"/>
      <c r="W70" s="984"/>
      <c r="X70" s="984"/>
      <c r="Y70" s="984"/>
      <c r="Z70" s="984"/>
    </row>
    <row r="71" spans="1:26" ht="18" customHeight="1" x14ac:dyDescent="0.35">
      <c r="A71" s="984"/>
      <c r="B71" s="1045" t="s">
        <v>84</v>
      </c>
      <c r="C71" s="1046" t="e">
        <f>SUM(C69:C70)</f>
        <v>#REF!</v>
      </c>
      <c r="D71" s="1047"/>
      <c r="E71" s="1048" t="s">
        <v>85</v>
      </c>
      <c r="F71" s="993"/>
      <c r="G71" s="1049" t="e">
        <f>C66-SUM(G66:G70)</f>
        <v>#REF!</v>
      </c>
      <c r="H71" s="984"/>
      <c r="I71" s="984"/>
      <c r="J71" s="984"/>
      <c r="K71" s="984"/>
      <c r="L71" s="984"/>
      <c r="M71" s="984"/>
      <c r="N71" s="984"/>
      <c r="O71" s="984"/>
      <c r="P71" s="984"/>
      <c r="Q71" s="984"/>
      <c r="R71" s="984"/>
      <c r="S71" s="984"/>
      <c r="T71" s="984"/>
      <c r="U71" s="984"/>
      <c r="V71" s="984"/>
      <c r="W71" s="984"/>
      <c r="X71" s="984"/>
      <c r="Y71" s="984"/>
      <c r="Z71" s="984"/>
    </row>
    <row r="72" spans="1:26" ht="18" customHeight="1" x14ac:dyDescent="0.35">
      <c r="A72" s="984"/>
      <c r="B72" s="984"/>
      <c r="C72" s="984"/>
      <c r="D72" s="984"/>
      <c r="E72" s="984"/>
      <c r="F72" s="984"/>
      <c r="G72" s="984"/>
      <c r="H72" s="984"/>
      <c r="I72" s="984"/>
      <c r="J72" s="984"/>
      <c r="K72" s="984"/>
      <c r="L72" s="984"/>
      <c r="M72" s="984"/>
      <c r="N72" s="984"/>
      <c r="O72" s="984"/>
      <c r="P72" s="984"/>
      <c r="Q72" s="984"/>
      <c r="R72" s="984"/>
      <c r="S72" s="984"/>
      <c r="T72" s="984"/>
      <c r="U72" s="984"/>
      <c r="V72" s="984"/>
      <c r="W72" s="984"/>
      <c r="X72" s="984"/>
      <c r="Y72" s="984"/>
      <c r="Z72" s="984"/>
    </row>
    <row r="73" spans="1:26" ht="18" customHeight="1" x14ac:dyDescent="0.35">
      <c r="A73" s="984"/>
      <c r="B73" s="984"/>
      <c r="C73" s="984"/>
      <c r="D73" s="984"/>
      <c r="E73" s="984"/>
      <c r="F73" s="984"/>
      <c r="G73" s="984"/>
      <c r="H73" s="984"/>
      <c r="I73" s="984"/>
      <c r="J73" s="984"/>
      <c r="K73" s="984"/>
      <c r="L73" s="984"/>
      <c r="M73" s="984"/>
      <c r="N73" s="984"/>
      <c r="O73" s="984"/>
      <c r="P73" s="984"/>
      <c r="Q73" s="984"/>
      <c r="R73" s="984"/>
      <c r="S73" s="984"/>
      <c r="T73" s="984"/>
      <c r="U73" s="984"/>
      <c r="V73" s="984"/>
      <c r="W73" s="984"/>
      <c r="X73" s="984"/>
      <c r="Y73" s="984"/>
      <c r="Z73" s="984"/>
    </row>
    <row r="74" spans="1:26" ht="18" customHeight="1" x14ac:dyDescent="0.35">
      <c r="A74" s="984"/>
      <c r="B74" s="984"/>
      <c r="C74" s="984"/>
      <c r="D74" s="984"/>
      <c r="E74" s="984"/>
      <c r="F74" s="984"/>
      <c r="G74" s="984"/>
      <c r="H74" s="984"/>
      <c r="I74" s="984"/>
      <c r="J74" s="984"/>
      <c r="K74" s="984"/>
      <c r="L74" s="984"/>
      <c r="M74" s="984"/>
      <c r="N74" s="984"/>
      <c r="O74" s="984"/>
      <c r="P74" s="984"/>
      <c r="Q74" s="984"/>
      <c r="R74" s="984"/>
      <c r="S74" s="984"/>
      <c r="T74" s="984"/>
      <c r="U74" s="984"/>
      <c r="V74" s="984"/>
      <c r="W74" s="984"/>
      <c r="X74" s="984"/>
      <c r="Y74" s="984"/>
      <c r="Z74" s="984"/>
    </row>
    <row r="75" spans="1:26" ht="18" customHeight="1" x14ac:dyDescent="0.35">
      <c r="A75" s="984"/>
      <c r="B75" s="984"/>
      <c r="C75" s="984"/>
      <c r="D75" s="984"/>
      <c r="E75" s="984"/>
      <c r="F75" s="984"/>
      <c r="G75" s="984"/>
      <c r="H75" s="984"/>
      <c r="I75" s="984"/>
      <c r="J75" s="984"/>
      <c r="K75" s="984"/>
      <c r="L75" s="984"/>
      <c r="M75" s="984"/>
      <c r="N75" s="984"/>
      <c r="O75" s="984"/>
      <c r="P75" s="984"/>
      <c r="Q75" s="984"/>
      <c r="R75" s="984"/>
      <c r="S75" s="984"/>
      <c r="T75" s="984"/>
      <c r="U75" s="984"/>
      <c r="V75" s="984"/>
      <c r="W75" s="984"/>
      <c r="X75" s="984"/>
      <c r="Y75" s="984"/>
      <c r="Z75" s="984"/>
    </row>
    <row r="76" spans="1:26" ht="18" customHeight="1" x14ac:dyDescent="0.35">
      <c r="A76" s="984"/>
      <c r="B76" s="984"/>
      <c r="C76" s="984"/>
      <c r="D76" s="984"/>
      <c r="E76" s="984"/>
      <c r="F76" s="984"/>
      <c r="G76" s="984"/>
      <c r="H76" s="984"/>
      <c r="I76" s="984"/>
      <c r="J76" s="984"/>
      <c r="K76" s="984"/>
      <c r="L76" s="984"/>
      <c r="M76" s="984"/>
      <c r="N76" s="984"/>
      <c r="O76" s="984"/>
      <c r="P76" s="984"/>
      <c r="Q76" s="984"/>
      <c r="R76" s="984"/>
      <c r="S76" s="984"/>
      <c r="T76" s="984"/>
      <c r="U76" s="984"/>
      <c r="V76" s="984"/>
      <c r="W76" s="984"/>
      <c r="X76" s="984"/>
      <c r="Y76" s="984"/>
      <c r="Z76" s="984"/>
    </row>
    <row r="77" spans="1:26" ht="18" customHeight="1" x14ac:dyDescent="0.35">
      <c r="A77" s="984"/>
      <c r="B77" s="984"/>
      <c r="C77" s="984"/>
      <c r="D77" s="1026"/>
      <c r="E77" s="984"/>
      <c r="F77" s="984"/>
      <c r="G77" s="984"/>
      <c r="H77" s="984"/>
      <c r="I77" s="984"/>
      <c r="J77" s="984"/>
      <c r="K77" s="984"/>
      <c r="L77" s="984"/>
      <c r="M77" s="984"/>
      <c r="N77" s="984"/>
      <c r="O77" s="984"/>
      <c r="P77" s="984"/>
      <c r="Q77" s="984"/>
      <c r="R77" s="984"/>
      <c r="S77" s="984"/>
      <c r="T77" s="984"/>
      <c r="U77" s="984"/>
      <c r="V77" s="984"/>
      <c r="W77" s="984"/>
      <c r="X77" s="984"/>
      <c r="Y77" s="984"/>
      <c r="Z77" s="984"/>
    </row>
    <row r="78" spans="1:26" ht="18" customHeight="1" x14ac:dyDescent="0.35">
      <c r="A78" s="984"/>
      <c r="B78" s="984"/>
      <c r="C78" s="984"/>
      <c r="D78" s="984"/>
      <c r="E78" s="984"/>
      <c r="F78" s="984"/>
      <c r="G78" s="984"/>
      <c r="H78" s="984"/>
      <c r="I78" s="984"/>
      <c r="J78" s="984"/>
      <c r="K78" s="984"/>
      <c r="L78" s="984"/>
      <c r="M78" s="984"/>
      <c r="N78" s="984"/>
      <c r="O78" s="984"/>
      <c r="P78" s="984"/>
      <c r="Q78" s="984"/>
      <c r="R78" s="984"/>
      <c r="S78" s="984"/>
      <c r="T78" s="984"/>
      <c r="U78" s="984"/>
      <c r="V78" s="984"/>
      <c r="W78" s="984"/>
      <c r="X78" s="984"/>
      <c r="Y78" s="984"/>
      <c r="Z78" s="984"/>
    </row>
    <row r="79" spans="1:26" ht="18" customHeight="1" x14ac:dyDescent="0.35">
      <c r="A79" s="984"/>
      <c r="B79" s="984"/>
      <c r="C79" s="984"/>
      <c r="D79" s="984"/>
      <c r="E79" s="984"/>
      <c r="F79" s="984"/>
      <c r="G79" s="984"/>
      <c r="H79" s="984"/>
      <c r="I79" s="984"/>
      <c r="J79" s="984"/>
      <c r="K79" s="984"/>
      <c r="L79" s="984"/>
      <c r="M79" s="984"/>
      <c r="N79" s="984"/>
      <c r="O79" s="984"/>
      <c r="P79" s="984"/>
      <c r="Q79" s="984"/>
      <c r="R79" s="984"/>
      <c r="S79" s="984"/>
      <c r="T79" s="984"/>
      <c r="U79" s="984"/>
      <c r="V79" s="984"/>
      <c r="W79" s="984"/>
      <c r="X79" s="984"/>
      <c r="Y79" s="984"/>
      <c r="Z79" s="984"/>
    </row>
    <row r="80" spans="1:26" ht="18" customHeight="1" x14ac:dyDescent="0.35">
      <c r="A80" s="984"/>
      <c r="B80" s="984"/>
      <c r="C80" s="984"/>
      <c r="D80" s="984"/>
      <c r="E80" s="984"/>
      <c r="F80" s="984"/>
      <c r="G80" s="984"/>
      <c r="H80" s="984"/>
      <c r="I80" s="984"/>
      <c r="J80" s="984"/>
      <c r="K80" s="984"/>
      <c r="L80" s="984"/>
      <c r="M80" s="984"/>
      <c r="N80" s="984"/>
      <c r="O80" s="984"/>
      <c r="P80" s="984"/>
      <c r="Q80" s="984"/>
      <c r="R80" s="984"/>
      <c r="S80" s="984"/>
      <c r="T80" s="984"/>
      <c r="U80" s="984"/>
      <c r="V80" s="984"/>
      <c r="W80" s="984"/>
      <c r="X80" s="984"/>
      <c r="Y80" s="984"/>
      <c r="Z80" s="984"/>
    </row>
    <row r="81" spans="1:26" ht="18" customHeight="1" x14ac:dyDescent="0.35">
      <c r="A81" s="119" t="s">
        <v>107</v>
      </c>
      <c r="B81" s="121">
        <v>1</v>
      </c>
      <c r="C81" s="984"/>
      <c r="D81" s="984"/>
      <c r="E81" s="984"/>
      <c r="F81" s="984"/>
      <c r="G81" s="984"/>
      <c r="H81" s="984"/>
      <c r="I81" s="984"/>
      <c r="J81" s="984"/>
      <c r="K81" s="984"/>
      <c r="L81" s="984"/>
      <c r="M81" s="984"/>
      <c r="N81" s="984"/>
      <c r="O81" s="984"/>
      <c r="P81" s="984"/>
      <c r="Q81" s="984"/>
      <c r="R81" s="984"/>
      <c r="S81" s="984"/>
      <c r="T81" s="984"/>
      <c r="U81" s="984"/>
      <c r="V81" s="984"/>
      <c r="W81" s="984"/>
      <c r="X81" s="984"/>
      <c r="Y81" s="984"/>
      <c r="Z81" s="984"/>
    </row>
    <row r="82" spans="1:26" ht="18" customHeight="1" x14ac:dyDescent="0.35">
      <c r="A82" s="127" t="s">
        <v>18</v>
      </c>
      <c r="B82" s="129">
        <v>0</v>
      </c>
      <c r="C82" s="984"/>
      <c r="D82" s="984"/>
      <c r="E82" s="984"/>
      <c r="F82" s="984"/>
      <c r="G82" s="984"/>
      <c r="H82" s="984"/>
      <c r="I82" s="984"/>
      <c r="J82" s="984"/>
      <c r="K82" s="984"/>
      <c r="L82" s="984"/>
      <c r="M82" s="984"/>
      <c r="N82" s="984"/>
      <c r="O82" s="984"/>
      <c r="P82" s="984"/>
      <c r="Q82" s="984"/>
      <c r="R82" s="984"/>
      <c r="S82" s="984"/>
      <c r="T82" s="984"/>
      <c r="U82" s="984"/>
      <c r="V82" s="984"/>
      <c r="W82" s="984"/>
      <c r="X82" s="984"/>
      <c r="Y82" s="984"/>
      <c r="Z82" s="984"/>
    </row>
    <row r="83" spans="1:26" ht="18" customHeight="1" x14ac:dyDescent="0.35">
      <c r="A83" s="984"/>
      <c r="B83" s="984"/>
      <c r="C83" s="984"/>
      <c r="D83" s="984"/>
      <c r="E83" s="984"/>
      <c r="F83" s="984"/>
      <c r="G83" s="984"/>
      <c r="H83" s="984"/>
      <c r="I83" s="984"/>
      <c r="J83" s="984"/>
      <c r="K83" s="984"/>
      <c r="L83" s="984"/>
      <c r="M83" s="984"/>
      <c r="N83" s="984"/>
      <c r="O83" s="984"/>
      <c r="P83" s="984"/>
      <c r="Q83" s="984"/>
      <c r="R83" s="984"/>
      <c r="S83" s="984"/>
      <c r="T83" s="984"/>
      <c r="U83" s="984"/>
      <c r="V83" s="984"/>
      <c r="W83" s="984"/>
      <c r="X83" s="984"/>
      <c r="Y83" s="984"/>
      <c r="Z83" s="984"/>
    </row>
    <row r="84" spans="1:26" ht="18" customHeight="1" x14ac:dyDescent="0.35">
      <c r="A84" s="984"/>
      <c r="B84" s="984"/>
      <c r="C84" s="984"/>
      <c r="D84" s="984"/>
      <c r="E84" s="984"/>
      <c r="F84" s="984"/>
      <c r="G84" s="984"/>
      <c r="H84" s="984"/>
      <c r="I84" s="984"/>
      <c r="J84" s="984"/>
      <c r="K84" s="984"/>
      <c r="L84" s="984"/>
      <c r="M84" s="984"/>
      <c r="N84" s="984"/>
      <c r="O84" s="984"/>
      <c r="P84" s="984"/>
      <c r="Q84" s="984"/>
      <c r="R84" s="984"/>
      <c r="S84" s="984"/>
      <c r="T84" s="984"/>
      <c r="U84" s="984"/>
      <c r="V84" s="984"/>
      <c r="W84" s="984"/>
      <c r="X84" s="984"/>
      <c r="Y84" s="984"/>
      <c r="Z84" s="984"/>
    </row>
    <row r="85" spans="1:26" ht="18" customHeight="1" x14ac:dyDescent="0.35">
      <c r="A85" s="119" t="s">
        <v>135</v>
      </c>
      <c r="B85" s="1050"/>
      <c r="C85" s="984"/>
      <c r="D85" s="984"/>
      <c r="E85" s="984"/>
      <c r="F85" s="984"/>
      <c r="G85" s="984"/>
      <c r="H85" s="984"/>
      <c r="I85" s="984"/>
      <c r="J85" s="984"/>
      <c r="K85" s="984"/>
      <c r="L85" s="984"/>
      <c r="M85" s="984"/>
      <c r="N85" s="984"/>
      <c r="O85" s="984"/>
      <c r="P85" s="984"/>
      <c r="Q85" s="984"/>
      <c r="R85" s="984"/>
      <c r="S85" s="984"/>
      <c r="T85" s="984"/>
      <c r="U85" s="984"/>
      <c r="V85" s="984"/>
      <c r="W85" s="984"/>
      <c r="X85" s="984"/>
      <c r="Y85" s="984"/>
      <c r="Z85" s="984"/>
    </row>
    <row r="86" spans="1:26" ht="18" customHeight="1" x14ac:dyDescent="0.35">
      <c r="A86" s="124" t="s">
        <v>136</v>
      </c>
      <c r="B86" s="1051"/>
      <c r="C86" s="984"/>
      <c r="D86" s="984"/>
      <c r="E86" s="984"/>
      <c r="F86" s="984"/>
      <c r="G86" s="984"/>
      <c r="H86" s="984"/>
      <c r="I86" s="984"/>
      <c r="J86" s="984"/>
      <c r="K86" s="984"/>
      <c r="L86" s="984"/>
      <c r="M86" s="984"/>
      <c r="N86" s="984"/>
      <c r="O86" s="984"/>
      <c r="P86" s="984"/>
      <c r="Q86" s="984"/>
      <c r="R86" s="984"/>
      <c r="S86" s="984"/>
      <c r="T86" s="984"/>
      <c r="U86" s="984"/>
      <c r="V86" s="984"/>
      <c r="W86" s="984"/>
      <c r="X86" s="984"/>
      <c r="Y86" s="984"/>
      <c r="Z86" s="984"/>
    </row>
    <row r="87" spans="1:26" ht="18" customHeight="1" x14ac:dyDescent="0.35">
      <c r="A87" s="127" t="s">
        <v>24</v>
      </c>
      <c r="B87" s="1052"/>
      <c r="C87" s="984"/>
      <c r="D87" s="984"/>
      <c r="E87" s="984"/>
      <c r="F87" s="984"/>
      <c r="G87" s="984"/>
      <c r="H87" s="984"/>
      <c r="I87" s="984"/>
      <c r="J87" s="984"/>
      <c r="K87" s="984"/>
      <c r="L87" s="984"/>
      <c r="M87" s="984"/>
      <c r="N87" s="984"/>
      <c r="O87" s="984"/>
      <c r="P87" s="984"/>
      <c r="Q87" s="984"/>
      <c r="R87" s="984"/>
      <c r="S87" s="984"/>
      <c r="T87" s="984"/>
      <c r="U87" s="984"/>
      <c r="V87" s="984"/>
      <c r="W87" s="984"/>
      <c r="X87" s="984"/>
      <c r="Y87" s="984"/>
      <c r="Z87" s="984"/>
    </row>
    <row r="88" spans="1:26" ht="18" customHeight="1" x14ac:dyDescent="0.35">
      <c r="A88" s="984"/>
      <c r="B88" s="984"/>
      <c r="C88" s="984"/>
      <c r="D88" s="984"/>
      <c r="E88" s="984"/>
      <c r="F88" s="984"/>
      <c r="G88" s="984"/>
      <c r="H88" s="984"/>
      <c r="I88" s="984"/>
      <c r="J88" s="984"/>
      <c r="K88" s="984"/>
      <c r="L88" s="984"/>
      <c r="M88" s="984"/>
      <c r="N88" s="984"/>
      <c r="O88" s="984"/>
      <c r="P88" s="984"/>
      <c r="Q88" s="984"/>
      <c r="R88" s="984"/>
      <c r="S88" s="984"/>
      <c r="T88" s="984"/>
      <c r="U88" s="984"/>
      <c r="V88" s="984"/>
      <c r="W88" s="984"/>
      <c r="X88" s="984"/>
      <c r="Y88" s="984"/>
      <c r="Z88" s="984"/>
    </row>
    <row r="89" spans="1:26" ht="18" customHeight="1" x14ac:dyDescent="0.35">
      <c r="A89" s="984"/>
      <c r="B89" s="984"/>
      <c r="C89" s="984"/>
      <c r="D89" s="984"/>
      <c r="E89" s="984"/>
      <c r="F89" s="984"/>
      <c r="G89" s="984"/>
      <c r="H89" s="984"/>
      <c r="I89" s="984"/>
      <c r="J89" s="984"/>
      <c r="K89" s="984"/>
      <c r="L89" s="984"/>
      <c r="M89" s="984"/>
      <c r="N89" s="984"/>
      <c r="O89" s="984"/>
      <c r="P89" s="984"/>
      <c r="Q89" s="984"/>
      <c r="R89" s="984"/>
      <c r="S89" s="984"/>
      <c r="T89" s="984"/>
      <c r="U89" s="984"/>
      <c r="V89" s="984"/>
      <c r="W89" s="984"/>
      <c r="X89" s="984"/>
      <c r="Y89" s="984"/>
      <c r="Z89" s="984"/>
    </row>
    <row r="90" spans="1:26" ht="18" customHeight="1" x14ac:dyDescent="0.35">
      <c r="A90" s="125" t="s">
        <v>86</v>
      </c>
      <c r="B90" s="125" t="s">
        <v>86</v>
      </c>
      <c r="C90" s="125" t="s">
        <v>10</v>
      </c>
      <c r="D90" s="125">
        <v>1</v>
      </c>
      <c r="E90" s="125">
        <v>1.5</v>
      </c>
      <c r="F90" s="984"/>
      <c r="G90" s="984"/>
      <c r="H90" s="984"/>
      <c r="I90" s="984"/>
      <c r="J90" s="984"/>
      <c r="K90" s="984"/>
      <c r="L90" s="984"/>
      <c r="M90" s="984"/>
      <c r="N90" s="984"/>
      <c r="O90" s="984"/>
      <c r="P90" s="984"/>
      <c r="Q90" s="984"/>
      <c r="R90" s="984"/>
      <c r="S90" s="984"/>
      <c r="T90" s="984"/>
      <c r="U90" s="984"/>
      <c r="V90" s="984"/>
      <c r="W90" s="984"/>
      <c r="X90" s="984"/>
      <c r="Y90" s="984"/>
      <c r="Z90" s="984"/>
    </row>
    <row r="91" spans="1:26" ht="18" customHeight="1" x14ac:dyDescent="0.35">
      <c r="A91" s="125" t="s">
        <v>10</v>
      </c>
      <c r="B91" s="125" t="s">
        <v>10</v>
      </c>
      <c r="C91" s="125" t="s">
        <v>10</v>
      </c>
      <c r="D91" s="125">
        <v>1.5</v>
      </c>
      <c r="E91" s="125">
        <v>1.5</v>
      </c>
      <c r="F91" s="984"/>
      <c r="G91" s="984"/>
      <c r="H91" s="984"/>
      <c r="I91" s="984"/>
      <c r="J91" s="984"/>
      <c r="K91" s="984"/>
      <c r="L91" s="984"/>
      <c r="M91" s="984"/>
      <c r="N91" s="984"/>
      <c r="O91" s="984"/>
      <c r="P91" s="984"/>
      <c r="Q91" s="984"/>
      <c r="R91" s="984"/>
      <c r="S91" s="984"/>
      <c r="T91" s="984"/>
      <c r="U91" s="984"/>
      <c r="V91" s="984"/>
      <c r="W91" s="984"/>
      <c r="X91" s="984"/>
      <c r="Y91" s="984"/>
      <c r="Z91" s="984"/>
    </row>
    <row r="92" spans="1:26" ht="18" customHeight="1" x14ac:dyDescent="0.35">
      <c r="A92" s="984"/>
      <c r="B92" s="984"/>
      <c r="C92" s="984"/>
      <c r="D92" s="984"/>
      <c r="E92" s="984"/>
      <c r="F92" s="984"/>
      <c r="G92" s="984"/>
      <c r="H92" s="984"/>
      <c r="I92" s="984"/>
      <c r="J92" s="984"/>
      <c r="K92" s="984"/>
      <c r="L92" s="984"/>
      <c r="M92" s="984"/>
      <c r="N92" s="984"/>
      <c r="O92" s="984"/>
      <c r="P92" s="984"/>
      <c r="Q92" s="984"/>
      <c r="R92" s="984"/>
      <c r="S92" s="984"/>
      <c r="T92" s="984"/>
      <c r="U92" s="984"/>
      <c r="V92" s="984"/>
      <c r="W92" s="984"/>
      <c r="X92" s="984"/>
      <c r="Y92" s="984"/>
      <c r="Z92" s="984"/>
    </row>
    <row r="93" spans="1:26" ht="18" customHeight="1" x14ac:dyDescent="0.35">
      <c r="A93" s="984"/>
      <c r="B93" s="984"/>
      <c r="C93" s="984"/>
      <c r="D93" s="984"/>
      <c r="E93" s="984"/>
      <c r="F93" s="984"/>
      <c r="G93" s="984"/>
      <c r="H93" s="984"/>
      <c r="I93" s="984"/>
      <c r="J93" s="984"/>
      <c r="K93" s="984"/>
      <c r="L93" s="984"/>
      <c r="M93" s="984"/>
      <c r="N93" s="984"/>
      <c r="O93" s="984"/>
      <c r="P93" s="984"/>
      <c r="Q93" s="984"/>
      <c r="R93" s="984"/>
      <c r="S93" s="984"/>
      <c r="T93" s="984"/>
      <c r="U93" s="984"/>
      <c r="V93" s="984"/>
      <c r="W93" s="984"/>
      <c r="X93" s="984"/>
      <c r="Y93" s="984"/>
      <c r="Z93" s="984"/>
    </row>
    <row r="94" spans="1:26" ht="18" customHeight="1" x14ac:dyDescent="0.35">
      <c r="A94" s="124" t="s">
        <v>12</v>
      </c>
      <c r="B94" s="124" t="s">
        <v>90</v>
      </c>
      <c r="C94" s="124" t="s">
        <v>90</v>
      </c>
      <c r="D94" s="125">
        <v>2.1</v>
      </c>
      <c r="E94" s="125">
        <v>2.1</v>
      </c>
      <c r="F94" s="125">
        <v>2.1</v>
      </c>
      <c r="G94" s="984"/>
      <c r="H94" s="984"/>
      <c r="I94" s="984"/>
      <c r="J94" s="984"/>
      <c r="K94" s="984"/>
      <c r="L94" s="984"/>
      <c r="M94" s="984"/>
      <c r="N94" s="984"/>
      <c r="O94" s="984"/>
      <c r="P94" s="984"/>
      <c r="Q94" s="984"/>
      <c r="R94" s="984"/>
      <c r="S94" s="984"/>
      <c r="T94" s="984"/>
      <c r="U94" s="984"/>
      <c r="V94" s="984"/>
      <c r="W94" s="984"/>
      <c r="X94" s="984"/>
      <c r="Y94" s="984"/>
      <c r="Z94" s="984"/>
    </row>
    <row r="95" spans="1:26" ht="18" customHeight="1" x14ac:dyDescent="0.35">
      <c r="A95" s="125" t="s">
        <v>555</v>
      </c>
      <c r="B95" s="125" t="s">
        <v>555</v>
      </c>
      <c r="C95" s="125" t="s">
        <v>555</v>
      </c>
      <c r="D95" s="125">
        <v>6.3</v>
      </c>
      <c r="E95" s="125">
        <v>2.1</v>
      </c>
      <c r="F95" s="125">
        <v>3.3</v>
      </c>
      <c r="G95" s="984"/>
      <c r="H95" s="984"/>
      <c r="I95" s="984"/>
      <c r="J95" s="984"/>
      <c r="K95" s="984"/>
      <c r="L95" s="984"/>
      <c r="M95" s="984"/>
      <c r="N95" s="984"/>
      <c r="O95" s="984"/>
      <c r="P95" s="984"/>
      <c r="Q95" s="984"/>
      <c r="R95" s="984"/>
      <c r="S95" s="984"/>
      <c r="T95" s="984"/>
      <c r="U95" s="984"/>
      <c r="V95" s="984"/>
      <c r="W95" s="984"/>
      <c r="X95" s="984"/>
      <c r="Y95" s="984"/>
      <c r="Z95" s="984"/>
    </row>
    <row r="96" spans="1:26" ht="18" customHeight="1" x14ac:dyDescent="0.35">
      <c r="A96" s="984"/>
      <c r="B96" s="984"/>
      <c r="C96" s="984"/>
      <c r="D96" s="984"/>
      <c r="E96" s="984"/>
      <c r="F96" s="984"/>
      <c r="G96" s="984"/>
      <c r="H96" s="984"/>
      <c r="I96" s="984"/>
      <c r="J96" s="984"/>
      <c r="K96" s="984"/>
      <c r="L96" s="984"/>
      <c r="M96" s="984"/>
      <c r="N96" s="984"/>
      <c r="O96" s="984"/>
      <c r="P96" s="984"/>
      <c r="Q96" s="984"/>
      <c r="R96" s="984"/>
      <c r="S96" s="984"/>
      <c r="T96" s="984"/>
      <c r="U96" s="984"/>
      <c r="V96" s="984"/>
      <c r="W96" s="984"/>
      <c r="X96" s="984"/>
      <c r="Y96" s="984"/>
      <c r="Z96" s="984"/>
    </row>
    <row r="97" spans="1:26" ht="18" customHeight="1" x14ac:dyDescent="0.35">
      <c r="A97" s="984"/>
      <c r="B97" s="984"/>
      <c r="C97" s="984"/>
      <c r="D97" s="984"/>
      <c r="E97" s="984"/>
      <c r="F97" s="984"/>
      <c r="G97" s="984"/>
      <c r="H97" s="984"/>
      <c r="I97" s="984"/>
      <c r="J97" s="984"/>
      <c r="K97" s="984"/>
      <c r="L97" s="984"/>
      <c r="M97" s="984"/>
      <c r="N97" s="984"/>
      <c r="O97" s="984"/>
      <c r="P97" s="984"/>
      <c r="Q97" s="984"/>
      <c r="R97" s="984"/>
      <c r="S97" s="984"/>
      <c r="T97" s="984"/>
      <c r="U97" s="984"/>
      <c r="V97" s="984"/>
      <c r="W97" s="984"/>
      <c r="X97" s="984"/>
      <c r="Y97" s="984"/>
      <c r="Z97" s="984"/>
    </row>
    <row r="98" spans="1:26" ht="18" customHeight="1" x14ac:dyDescent="0.35">
      <c r="A98" s="984"/>
      <c r="B98" s="984"/>
      <c r="C98" s="984"/>
      <c r="D98" s="984"/>
      <c r="E98" s="984"/>
      <c r="F98" s="984"/>
      <c r="G98" s="984"/>
      <c r="H98" s="984"/>
      <c r="I98" s="984"/>
      <c r="J98" s="984"/>
      <c r="K98" s="984"/>
      <c r="L98" s="984"/>
      <c r="M98" s="984"/>
      <c r="N98" s="984"/>
      <c r="O98" s="984"/>
      <c r="P98" s="984"/>
      <c r="Q98" s="984"/>
      <c r="R98" s="984"/>
      <c r="S98" s="984"/>
      <c r="T98" s="984"/>
      <c r="U98" s="984"/>
      <c r="V98" s="984"/>
      <c r="W98" s="984"/>
      <c r="X98" s="984"/>
      <c r="Y98" s="984"/>
      <c r="Z98" s="984"/>
    </row>
    <row r="99" spans="1:26" ht="18" customHeight="1" x14ac:dyDescent="0.35">
      <c r="A99" s="984"/>
      <c r="B99" s="984"/>
      <c r="C99" s="984"/>
      <c r="D99" s="984"/>
      <c r="E99" s="984"/>
      <c r="F99" s="984"/>
      <c r="G99" s="984"/>
      <c r="H99" s="984"/>
      <c r="I99" s="984"/>
      <c r="J99" s="984"/>
      <c r="K99" s="984"/>
      <c r="L99" s="984"/>
      <c r="M99" s="984"/>
      <c r="N99" s="984"/>
      <c r="O99" s="984"/>
      <c r="P99" s="984"/>
      <c r="Q99" s="984"/>
      <c r="R99" s="984"/>
      <c r="S99" s="984"/>
      <c r="T99" s="984"/>
      <c r="U99" s="984"/>
      <c r="V99" s="984"/>
      <c r="W99" s="984"/>
      <c r="X99" s="984"/>
      <c r="Y99" s="984"/>
      <c r="Z99" s="984"/>
    </row>
    <row r="100" spans="1:26" ht="18" customHeight="1" x14ac:dyDescent="0.35">
      <c r="A100" s="984"/>
      <c r="B100" s="984"/>
      <c r="C100" s="984"/>
      <c r="D100" s="984"/>
      <c r="E100" s="984"/>
      <c r="F100" s="984"/>
      <c r="G100" s="984"/>
      <c r="H100" s="984"/>
      <c r="I100" s="984"/>
      <c r="J100" s="984"/>
      <c r="K100" s="984"/>
      <c r="L100" s="984"/>
      <c r="M100" s="984"/>
      <c r="N100" s="984"/>
      <c r="O100" s="984"/>
      <c r="P100" s="984"/>
      <c r="Q100" s="984"/>
      <c r="R100" s="984"/>
      <c r="S100" s="984"/>
      <c r="T100" s="984"/>
      <c r="U100" s="984"/>
      <c r="V100" s="984"/>
      <c r="W100" s="984"/>
      <c r="X100" s="984"/>
      <c r="Y100" s="984"/>
      <c r="Z100" s="984"/>
    </row>
    <row r="101" spans="1:26" ht="18" customHeight="1" x14ac:dyDescent="0.35">
      <c r="A101" s="984"/>
      <c r="B101" s="984"/>
      <c r="C101" s="984"/>
      <c r="D101" s="984"/>
      <c r="E101" s="984"/>
      <c r="F101" s="984"/>
      <c r="G101" s="984"/>
      <c r="H101" s="984"/>
      <c r="I101" s="984"/>
      <c r="J101" s="984"/>
      <c r="K101" s="984"/>
      <c r="L101" s="984"/>
      <c r="M101" s="984"/>
      <c r="N101" s="984"/>
      <c r="O101" s="984"/>
      <c r="P101" s="984"/>
      <c r="Q101" s="984"/>
      <c r="R101" s="984"/>
      <c r="S101" s="984"/>
      <c r="T101" s="984"/>
      <c r="U101" s="984"/>
      <c r="V101" s="984"/>
      <c r="W101" s="984"/>
      <c r="X101" s="984"/>
      <c r="Y101" s="984"/>
      <c r="Z101" s="984"/>
    </row>
    <row r="102" spans="1:26" ht="18" customHeight="1" x14ac:dyDescent="0.35">
      <c r="A102" s="984"/>
      <c r="B102" s="984"/>
      <c r="C102" s="984"/>
      <c r="D102" s="984"/>
      <c r="E102" s="984"/>
      <c r="F102" s="984"/>
      <c r="G102" s="984"/>
      <c r="H102" s="984"/>
      <c r="I102" s="984"/>
      <c r="J102" s="984"/>
      <c r="K102" s="984"/>
      <c r="L102" s="984"/>
      <c r="M102" s="984"/>
      <c r="N102" s="984"/>
      <c r="O102" s="984"/>
      <c r="P102" s="984"/>
      <c r="Q102" s="984"/>
      <c r="R102" s="984"/>
      <c r="S102" s="984"/>
      <c r="T102" s="984"/>
      <c r="U102" s="984"/>
      <c r="V102" s="984"/>
      <c r="W102" s="984"/>
      <c r="X102" s="984"/>
      <c r="Y102" s="984"/>
      <c r="Z102" s="984"/>
    </row>
    <row r="103" spans="1:26" ht="18" customHeight="1" x14ac:dyDescent="0.35">
      <c r="A103" s="984"/>
      <c r="B103" s="984"/>
      <c r="C103" s="984"/>
      <c r="D103" s="984"/>
      <c r="E103" s="984"/>
      <c r="F103" s="984"/>
      <c r="G103" s="984"/>
      <c r="H103" s="984"/>
      <c r="I103" s="984"/>
      <c r="J103" s="984"/>
      <c r="K103" s="984"/>
      <c r="L103" s="984"/>
      <c r="M103" s="984"/>
      <c r="N103" s="984"/>
      <c r="O103" s="984"/>
      <c r="P103" s="984"/>
      <c r="Q103" s="984"/>
      <c r="R103" s="984"/>
      <c r="S103" s="984"/>
      <c r="T103" s="984"/>
      <c r="U103" s="984"/>
      <c r="V103" s="984"/>
      <c r="W103" s="984"/>
      <c r="X103" s="984"/>
      <c r="Y103" s="984"/>
      <c r="Z103" s="984"/>
    </row>
    <row r="104" spans="1:26" ht="18" customHeight="1" x14ac:dyDescent="0.35">
      <c r="A104" s="984"/>
      <c r="B104" s="984"/>
      <c r="C104" s="984"/>
      <c r="D104" s="984"/>
      <c r="E104" s="984"/>
      <c r="F104" s="984"/>
      <c r="G104" s="984"/>
      <c r="H104" s="984"/>
      <c r="I104" s="984"/>
      <c r="J104" s="984"/>
      <c r="K104" s="984"/>
      <c r="L104" s="984"/>
      <c r="M104" s="984"/>
      <c r="N104" s="984"/>
      <c r="O104" s="984"/>
      <c r="P104" s="984"/>
      <c r="Q104" s="984"/>
      <c r="R104" s="984"/>
      <c r="S104" s="984"/>
      <c r="T104" s="984"/>
      <c r="U104" s="984"/>
      <c r="V104" s="984"/>
      <c r="W104" s="984"/>
      <c r="X104" s="984"/>
      <c r="Y104" s="984"/>
      <c r="Z104" s="984"/>
    </row>
    <row r="105" spans="1:26" ht="18" customHeight="1" x14ac:dyDescent="0.35">
      <c r="A105" s="984"/>
      <c r="B105" s="984"/>
      <c r="C105" s="984"/>
      <c r="D105" s="984"/>
      <c r="E105" s="984"/>
      <c r="F105" s="984"/>
      <c r="G105" s="984"/>
      <c r="H105" s="984"/>
      <c r="I105" s="984"/>
      <c r="J105" s="984"/>
      <c r="K105" s="984"/>
      <c r="L105" s="984"/>
      <c r="M105" s="984"/>
      <c r="N105" s="984"/>
      <c r="O105" s="984"/>
      <c r="P105" s="984"/>
      <c r="Q105" s="984"/>
      <c r="R105" s="984"/>
      <c r="S105" s="984"/>
      <c r="T105" s="984"/>
      <c r="U105" s="984"/>
      <c r="V105" s="984"/>
      <c r="W105" s="984"/>
      <c r="X105" s="984"/>
      <c r="Y105" s="984"/>
      <c r="Z105" s="984"/>
    </row>
    <row r="106" spans="1:26" ht="18" customHeight="1" x14ac:dyDescent="0.35">
      <c r="A106" s="984"/>
      <c r="B106" s="984"/>
      <c r="C106" s="984"/>
      <c r="D106" s="984"/>
      <c r="E106" s="984"/>
      <c r="F106" s="984"/>
      <c r="G106" s="984"/>
      <c r="H106" s="984"/>
      <c r="I106" s="984"/>
      <c r="J106" s="984"/>
      <c r="K106" s="984"/>
      <c r="L106" s="984"/>
      <c r="M106" s="984"/>
      <c r="N106" s="984"/>
      <c r="O106" s="984"/>
      <c r="P106" s="984"/>
      <c r="Q106" s="984"/>
      <c r="R106" s="984"/>
      <c r="S106" s="984"/>
      <c r="T106" s="984"/>
      <c r="U106" s="984"/>
      <c r="V106" s="984"/>
      <c r="W106" s="984"/>
      <c r="X106" s="984"/>
      <c r="Y106" s="984"/>
      <c r="Z106" s="984"/>
    </row>
    <row r="107" spans="1:26" ht="18" customHeight="1" x14ac:dyDescent="0.35">
      <c r="A107" s="984"/>
      <c r="B107" s="984"/>
      <c r="C107" s="984"/>
      <c r="D107" s="984"/>
      <c r="E107" s="984"/>
      <c r="F107" s="984"/>
      <c r="G107" s="984"/>
      <c r="H107" s="984"/>
      <c r="I107" s="984"/>
      <c r="J107" s="984"/>
      <c r="K107" s="984"/>
      <c r="L107" s="984"/>
      <c r="M107" s="984"/>
      <c r="N107" s="984"/>
      <c r="O107" s="984"/>
      <c r="P107" s="984"/>
      <c r="Q107" s="984"/>
      <c r="R107" s="984"/>
      <c r="S107" s="984"/>
      <c r="T107" s="984"/>
      <c r="U107" s="984"/>
      <c r="V107" s="984"/>
      <c r="W107" s="984"/>
      <c r="X107" s="984"/>
      <c r="Y107" s="984"/>
      <c r="Z107" s="984"/>
    </row>
    <row r="108" spans="1:26" ht="18" customHeight="1" x14ac:dyDescent="0.35">
      <c r="A108" s="984"/>
      <c r="B108" s="984"/>
      <c r="C108" s="984"/>
      <c r="D108" s="984"/>
      <c r="E108" s="984"/>
      <c r="F108" s="984"/>
      <c r="G108" s="984"/>
      <c r="H108" s="984"/>
      <c r="I108" s="984"/>
      <c r="J108" s="984"/>
      <c r="K108" s="984"/>
      <c r="L108" s="984"/>
      <c r="M108" s="984"/>
      <c r="N108" s="984"/>
      <c r="O108" s="984"/>
      <c r="P108" s="984"/>
      <c r="Q108" s="984"/>
      <c r="R108" s="984"/>
      <c r="S108" s="984"/>
      <c r="T108" s="984"/>
      <c r="U108" s="984"/>
      <c r="V108" s="984"/>
      <c r="W108" s="984"/>
      <c r="X108" s="984"/>
      <c r="Y108" s="984"/>
      <c r="Z108" s="984"/>
    </row>
    <row r="109" spans="1:26" ht="18" customHeight="1" x14ac:dyDescent="0.35">
      <c r="A109" s="984"/>
      <c r="B109" s="984"/>
      <c r="C109" s="984"/>
      <c r="D109" s="984"/>
      <c r="E109" s="984"/>
      <c r="F109" s="984"/>
      <c r="G109" s="984"/>
      <c r="H109" s="984"/>
      <c r="I109" s="984"/>
      <c r="J109" s="984"/>
      <c r="K109" s="984"/>
      <c r="L109" s="984"/>
      <c r="M109" s="984"/>
      <c r="N109" s="984"/>
      <c r="O109" s="984"/>
      <c r="P109" s="984"/>
      <c r="Q109" s="984"/>
      <c r="R109" s="984"/>
      <c r="S109" s="984"/>
      <c r="T109" s="984"/>
      <c r="U109" s="984"/>
      <c r="V109" s="984"/>
      <c r="W109" s="984"/>
      <c r="X109" s="984"/>
      <c r="Y109" s="984"/>
      <c r="Z109" s="984"/>
    </row>
    <row r="110" spans="1:26" ht="18" customHeight="1" x14ac:dyDescent="0.35">
      <c r="A110" s="984"/>
      <c r="B110" s="984"/>
      <c r="C110" s="984"/>
      <c r="D110" s="984"/>
      <c r="E110" s="984"/>
      <c r="F110" s="984"/>
      <c r="G110" s="984"/>
      <c r="H110" s="984"/>
      <c r="I110" s="984"/>
      <c r="J110" s="984"/>
      <c r="K110" s="984"/>
      <c r="L110" s="984"/>
      <c r="M110" s="984"/>
      <c r="N110" s="984"/>
      <c r="O110" s="984"/>
      <c r="P110" s="984"/>
      <c r="Q110" s="984"/>
      <c r="R110" s="984"/>
      <c r="S110" s="984"/>
      <c r="T110" s="984"/>
      <c r="U110" s="984"/>
      <c r="V110" s="984"/>
      <c r="W110" s="984"/>
      <c r="X110" s="984"/>
      <c r="Y110" s="984"/>
      <c r="Z110" s="984"/>
    </row>
    <row r="111" spans="1:26" ht="18" customHeight="1" x14ac:dyDescent="0.35">
      <c r="A111" s="984"/>
      <c r="B111" s="984"/>
      <c r="C111" s="984"/>
      <c r="D111" s="984"/>
      <c r="E111" s="984"/>
      <c r="F111" s="984"/>
      <c r="G111" s="984"/>
      <c r="H111" s="984"/>
      <c r="I111" s="984"/>
      <c r="J111" s="984"/>
      <c r="K111" s="984"/>
      <c r="L111" s="984"/>
      <c r="M111" s="984"/>
      <c r="N111" s="984"/>
      <c r="O111" s="984"/>
      <c r="P111" s="984"/>
      <c r="Q111" s="984"/>
      <c r="R111" s="984"/>
      <c r="S111" s="984"/>
      <c r="T111" s="984"/>
      <c r="U111" s="984"/>
      <c r="V111" s="984"/>
      <c r="W111" s="984"/>
      <c r="X111" s="984"/>
      <c r="Y111" s="984"/>
      <c r="Z111" s="984"/>
    </row>
    <row r="112" spans="1:26" ht="18" customHeight="1" x14ac:dyDescent="0.35">
      <c r="A112" s="984"/>
      <c r="B112" s="984"/>
      <c r="C112" s="984"/>
      <c r="D112" s="984"/>
      <c r="E112" s="984"/>
      <c r="F112" s="984"/>
      <c r="G112" s="984"/>
      <c r="H112" s="984"/>
      <c r="I112" s="984"/>
      <c r="J112" s="984"/>
      <c r="K112" s="984"/>
      <c r="L112" s="984"/>
      <c r="M112" s="984"/>
      <c r="N112" s="984"/>
      <c r="O112" s="984"/>
      <c r="P112" s="984"/>
      <c r="Q112" s="984"/>
      <c r="R112" s="984"/>
      <c r="S112" s="984"/>
      <c r="T112" s="984"/>
      <c r="U112" s="984"/>
      <c r="V112" s="984"/>
      <c r="W112" s="984"/>
      <c r="X112" s="984"/>
      <c r="Y112" s="984"/>
      <c r="Z112" s="984"/>
    </row>
    <row r="113" spans="1:26" ht="18" customHeight="1" x14ac:dyDescent="0.35">
      <c r="A113" s="984"/>
      <c r="B113" s="984"/>
      <c r="C113" s="984"/>
      <c r="D113" s="984"/>
      <c r="E113" s="984"/>
      <c r="F113" s="984"/>
      <c r="G113" s="984"/>
      <c r="H113" s="984"/>
      <c r="I113" s="984"/>
      <c r="J113" s="984"/>
      <c r="K113" s="984"/>
      <c r="L113" s="984"/>
      <c r="M113" s="984"/>
      <c r="N113" s="984"/>
      <c r="O113" s="984"/>
      <c r="P113" s="984"/>
      <c r="Q113" s="984"/>
      <c r="R113" s="984"/>
      <c r="S113" s="984"/>
      <c r="T113" s="984"/>
      <c r="U113" s="984"/>
      <c r="V113" s="984"/>
      <c r="W113" s="984"/>
      <c r="X113" s="984"/>
      <c r="Y113" s="984"/>
      <c r="Z113" s="984"/>
    </row>
    <row r="114" spans="1:26" ht="18" customHeight="1" x14ac:dyDescent="0.35">
      <c r="A114" s="984"/>
      <c r="B114" s="984"/>
      <c r="C114" s="984"/>
      <c r="D114" s="984"/>
      <c r="E114" s="984"/>
      <c r="F114" s="984"/>
      <c r="G114" s="984"/>
      <c r="H114" s="984"/>
      <c r="I114" s="984"/>
      <c r="J114" s="984"/>
      <c r="K114" s="984"/>
      <c r="L114" s="984"/>
      <c r="M114" s="984"/>
      <c r="N114" s="984"/>
      <c r="O114" s="984"/>
      <c r="P114" s="984"/>
      <c r="Q114" s="984"/>
      <c r="R114" s="984"/>
      <c r="S114" s="984"/>
      <c r="T114" s="984"/>
      <c r="U114" s="984"/>
      <c r="V114" s="984"/>
      <c r="W114" s="984"/>
      <c r="X114" s="984"/>
      <c r="Y114" s="984"/>
      <c r="Z114" s="984"/>
    </row>
    <row r="115" spans="1:26" ht="18" customHeight="1" x14ac:dyDescent="0.35">
      <c r="A115" s="984"/>
      <c r="B115" s="984"/>
      <c r="C115" s="984"/>
      <c r="D115" s="984"/>
      <c r="E115" s="984"/>
      <c r="F115" s="984"/>
      <c r="G115" s="984"/>
      <c r="H115" s="984"/>
      <c r="I115" s="984"/>
      <c r="J115" s="984"/>
      <c r="K115" s="984"/>
      <c r="L115" s="984"/>
      <c r="M115" s="984"/>
      <c r="N115" s="984"/>
      <c r="O115" s="984"/>
      <c r="P115" s="984"/>
      <c r="Q115" s="984"/>
      <c r="R115" s="984"/>
      <c r="S115" s="984"/>
      <c r="T115" s="984"/>
      <c r="U115" s="984"/>
      <c r="V115" s="984"/>
      <c r="W115" s="984"/>
      <c r="X115" s="984"/>
      <c r="Y115" s="984"/>
      <c r="Z115" s="984"/>
    </row>
    <row r="116" spans="1:26" ht="18" customHeight="1" x14ac:dyDescent="0.35">
      <c r="A116" s="984"/>
      <c r="B116" s="984"/>
      <c r="C116" s="984"/>
      <c r="D116" s="984"/>
      <c r="E116" s="984"/>
      <c r="F116" s="984"/>
      <c r="G116" s="984"/>
      <c r="H116" s="984"/>
      <c r="I116" s="984"/>
      <c r="J116" s="984"/>
      <c r="K116" s="984"/>
      <c r="L116" s="984"/>
      <c r="M116" s="984"/>
      <c r="N116" s="984"/>
      <c r="O116" s="984"/>
      <c r="P116" s="984"/>
      <c r="Q116" s="984"/>
      <c r="R116" s="984"/>
      <c r="S116" s="984"/>
      <c r="T116" s="984"/>
      <c r="U116" s="984"/>
      <c r="V116" s="984"/>
      <c r="W116" s="984"/>
      <c r="X116" s="984"/>
      <c r="Y116" s="984"/>
      <c r="Z116" s="984"/>
    </row>
    <row r="117" spans="1:26" ht="18" customHeight="1" x14ac:dyDescent="0.35">
      <c r="A117" s="984"/>
      <c r="B117" s="984"/>
      <c r="C117" s="984"/>
      <c r="D117" s="984"/>
      <c r="E117" s="984"/>
      <c r="F117" s="984"/>
      <c r="G117" s="984"/>
      <c r="H117" s="984"/>
      <c r="I117" s="984"/>
      <c r="J117" s="984"/>
      <c r="K117" s="984"/>
      <c r="L117" s="984"/>
      <c r="M117" s="984"/>
      <c r="N117" s="984"/>
      <c r="O117" s="984"/>
      <c r="P117" s="984"/>
      <c r="Q117" s="984"/>
      <c r="R117" s="984"/>
      <c r="S117" s="984"/>
      <c r="T117" s="984"/>
      <c r="U117" s="984"/>
      <c r="V117" s="984"/>
      <c r="W117" s="984"/>
      <c r="X117" s="984"/>
      <c r="Y117" s="984"/>
      <c r="Z117" s="984"/>
    </row>
    <row r="118" spans="1:26" ht="18" customHeight="1" x14ac:dyDescent="0.35">
      <c r="A118" s="984"/>
      <c r="B118" s="984"/>
      <c r="C118" s="984"/>
      <c r="D118" s="984"/>
      <c r="E118" s="984"/>
      <c r="F118" s="984"/>
      <c r="G118" s="984"/>
      <c r="H118" s="984"/>
      <c r="I118" s="984"/>
      <c r="J118" s="984"/>
      <c r="K118" s="984"/>
      <c r="L118" s="984"/>
      <c r="M118" s="984"/>
      <c r="N118" s="984"/>
      <c r="O118" s="984"/>
      <c r="P118" s="984"/>
      <c r="Q118" s="984"/>
      <c r="R118" s="984"/>
      <c r="S118" s="984"/>
      <c r="T118" s="984"/>
      <c r="U118" s="984"/>
      <c r="V118" s="984"/>
      <c r="W118" s="984"/>
      <c r="X118" s="984"/>
      <c r="Y118" s="984"/>
      <c r="Z118" s="984"/>
    </row>
    <row r="119" spans="1:26" ht="18" customHeight="1" x14ac:dyDescent="0.35">
      <c r="A119" s="984"/>
      <c r="B119" s="984"/>
      <c r="C119" s="984"/>
      <c r="D119" s="984"/>
      <c r="E119" s="984"/>
      <c r="F119" s="984"/>
      <c r="G119" s="984"/>
      <c r="H119" s="984"/>
      <c r="I119" s="984"/>
      <c r="J119" s="984"/>
      <c r="K119" s="984"/>
      <c r="L119" s="984"/>
      <c r="M119" s="984"/>
      <c r="N119" s="984"/>
      <c r="O119" s="984"/>
      <c r="P119" s="984"/>
      <c r="Q119" s="984"/>
      <c r="R119" s="984"/>
      <c r="S119" s="984"/>
      <c r="T119" s="984"/>
      <c r="U119" s="984"/>
      <c r="V119" s="984"/>
      <c r="W119" s="984"/>
      <c r="X119" s="984"/>
      <c r="Y119" s="984"/>
      <c r="Z119" s="984"/>
    </row>
    <row r="120" spans="1:26" ht="18" customHeight="1" x14ac:dyDescent="0.35">
      <c r="A120" s="984"/>
      <c r="B120" s="984"/>
      <c r="C120" s="984"/>
      <c r="D120" s="984"/>
      <c r="E120" s="984"/>
      <c r="F120" s="984"/>
      <c r="G120" s="984"/>
      <c r="H120" s="984"/>
      <c r="I120" s="984"/>
      <c r="J120" s="984"/>
      <c r="K120" s="984"/>
      <c r="L120" s="984"/>
      <c r="M120" s="984"/>
      <c r="N120" s="984"/>
      <c r="O120" s="984"/>
      <c r="P120" s="984"/>
      <c r="Q120" s="984"/>
      <c r="R120" s="984"/>
      <c r="S120" s="984"/>
      <c r="T120" s="984"/>
      <c r="U120" s="984"/>
      <c r="V120" s="984"/>
      <c r="W120" s="984"/>
      <c r="X120" s="984"/>
      <c r="Y120" s="984"/>
      <c r="Z120" s="984"/>
    </row>
    <row r="121" spans="1:26" ht="18" customHeight="1" x14ac:dyDescent="0.35">
      <c r="A121" s="984"/>
      <c r="B121" s="984"/>
      <c r="C121" s="984"/>
      <c r="D121" s="984"/>
      <c r="E121" s="984"/>
      <c r="F121" s="984"/>
      <c r="G121" s="984"/>
      <c r="H121" s="984"/>
      <c r="I121" s="984"/>
      <c r="J121" s="984"/>
      <c r="K121" s="984"/>
      <c r="L121" s="984"/>
      <c r="M121" s="984"/>
      <c r="N121" s="984"/>
      <c r="O121" s="984"/>
      <c r="P121" s="984"/>
      <c r="Q121" s="984"/>
      <c r="R121" s="984"/>
      <c r="S121" s="984"/>
      <c r="T121" s="984"/>
      <c r="U121" s="984"/>
      <c r="V121" s="984"/>
      <c r="W121" s="984"/>
      <c r="X121" s="984"/>
      <c r="Y121" s="984"/>
      <c r="Z121" s="984"/>
    </row>
    <row r="122" spans="1:26" ht="18" customHeight="1" x14ac:dyDescent="0.35">
      <c r="A122" s="984"/>
      <c r="B122" s="984"/>
      <c r="C122" s="984"/>
      <c r="D122" s="984"/>
      <c r="E122" s="984"/>
      <c r="F122" s="984"/>
      <c r="G122" s="984"/>
      <c r="H122" s="984"/>
      <c r="I122" s="984"/>
      <c r="J122" s="984"/>
      <c r="K122" s="984"/>
      <c r="L122" s="984"/>
      <c r="M122" s="984"/>
      <c r="N122" s="984"/>
      <c r="O122" s="984"/>
      <c r="P122" s="984"/>
      <c r="Q122" s="984"/>
      <c r="R122" s="984"/>
      <c r="S122" s="984"/>
      <c r="T122" s="984"/>
      <c r="U122" s="984"/>
      <c r="V122" s="984"/>
      <c r="W122" s="984"/>
      <c r="X122" s="984"/>
      <c r="Y122" s="984"/>
      <c r="Z122" s="984"/>
    </row>
    <row r="123" spans="1:26" ht="18" customHeight="1" x14ac:dyDescent="0.35">
      <c r="A123" s="984"/>
      <c r="B123" s="984"/>
      <c r="C123" s="984"/>
      <c r="D123" s="984"/>
      <c r="E123" s="984"/>
      <c r="F123" s="984"/>
      <c r="G123" s="984"/>
      <c r="H123" s="984"/>
      <c r="I123" s="984"/>
      <c r="J123" s="984"/>
      <c r="K123" s="984"/>
      <c r="L123" s="984"/>
      <c r="M123" s="984"/>
      <c r="N123" s="984"/>
      <c r="O123" s="984"/>
      <c r="P123" s="984"/>
      <c r="Q123" s="984"/>
      <c r="R123" s="984"/>
      <c r="S123" s="984"/>
      <c r="T123" s="984"/>
      <c r="U123" s="984"/>
      <c r="V123" s="984"/>
      <c r="W123" s="984"/>
      <c r="X123" s="984"/>
      <c r="Y123" s="984"/>
      <c r="Z123" s="984"/>
    </row>
    <row r="124" spans="1:26" ht="18" customHeight="1" x14ac:dyDescent="0.35">
      <c r="A124" s="984"/>
      <c r="B124" s="984"/>
      <c r="C124" s="984"/>
      <c r="D124" s="984"/>
      <c r="E124" s="984"/>
      <c r="F124" s="984"/>
      <c r="G124" s="984"/>
      <c r="H124" s="984"/>
      <c r="I124" s="984"/>
      <c r="J124" s="984"/>
      <c r="K124" s="984"/>
      <c r="L124" s="984"/>
      <c r="M124" s="984"/>
      <c r="N124" s="984"/>
      <c r="O124" s="984"/>
      <c r="P124" s="984"/>
      <c r="Q124" s="984"/>
      <c r="R124" s="984"/>
      <c r="S124" s="984"/>
      <c r="T124" s="984"/>
      <c r="U124" s="984"/>
      <c r="V124" s="984"/>
      <c r="W124" s="984"/>
      <c r="X124" s="984"/>
      <c r="Y124" s="984"/>
      <c r="Z124" s="984"/>
    </row>
    <row r="125" spans="1:26" ht="18" customHeight="1" x14ac:dyDescent="0.35">
      <c r="A125" s="984"/>
      <c r="B125" s="984"/>
      <c r="C125" s="984"/>
      <c r="D125" s="984"/>
      <c r="E125" s="984"/>
      <c r="F125" s="984"/>
      <c r="G125" s="984"/>
      <c r="H125" s="984"/>
      <c r="I125" s="984"/>
      <c r="J125" s="984"/>
      <c r="K125" s="984"/>
      <c r="L125" s="984"/>
      <c r="M125" s="984"/>
      <c r="N125" s="984"/>
      <c r="O125" s="984"/>
      <c r="P125" s="984"/>
      <c r="Q125" s="984"/>
      <c r="R125" s="984"/>
      <c r="S125" s="984"/>
      <c r="T125" s="984"/>
      <c r="U125" s="984"/>
      <c r="V125" s="984"/>
      <c r="W125" s="984"/>
      <c r="X125" s="984"/>
      <c r="Y125" s="984"/>
      <c r="Z125" s="984"/>
    </row>
    <row r="126" spans="1:26" ht="18" customHeight="1" x14ac:dyDescent="0.35">
      <c r="A126" s="984"/>
      <c r="B126" s="984"/>
      <c r="C126" s="984"/>
      <c r="D126" s="984"/>
      <c r="E126" s="984"/>
      <c r="F126" s="984"/>
      <c r="G126" s="984"/>
      <c r="H126" s="984"/>
      <c r="I126" s="984"/>
      <c r="J126" s="984"/>
      <c r="K126" s="984"/>
      <c r="L126" s="984"/>
      <c r="M126" s="984"/>
      <c r="N126" s="984"/>
      <c r="O126" s="984"/>
      <c r="P126" s="984"/>
      <c r="Q126" s="984"/>
      <c r="R126" s="984"/>
      <c r="S126" s="984"/>
      <c r="T126" s="984"/>
      <c r="U126" s="984"/>
      <c r="V126" s="984"/>
      <c r="W126" s="984"/>
      <c r="X126" s="984"/>
      <c r="Y126" s="984"/>
      <c r="Z126" s="984"/>
    </row>
    <row r="127" spans="1:26" ht="18" customHeight="1" x14ac:dyDescent="0.35">
      <c r="A127" s="984"/>
      <c r="B127" s="984"/>
      <c r="C127" s="984"/>
      <c r="D127" s="984"/>
      <c r="E127" s="984"/>
      <c r="F127" s="984"/>
      <c r="G127" s="984"/>
      <c r="H127" s="984"/>
      <c r="I127" s="984"/>
      <c r="J127" s="984"/>
      <c r="K127" s="984"/>
      <c r="L127" s="984"/>
      <c r="M127" s="984"/>
      <c r="N127" s="984"/>
      <c r="O127" s="984"/>
      <c r="P127" s="984"/>
      <c r="Q127" s="984"/>
      <c r="R127" s="984"/>
      <c r="S127" s="984"/>
      <c r="T127" s="984"/>
      <c r="U127" s="984"/>
      <c r="V127" s="984"/>
      <c r="W127" s="984"/>
      <c r="X127" s="984"/>
      <c r="Y127" s="984"/>
      <c r="Z127" s="984"/>
    </row>
    <row r="128" spans="1:26" ht="18" customHeight="1" x14ac:dyDescent="0.35">
      <c r="A128" s="984"/>
      <c r="B128" s="984"/>
      <c r="C128" s="984"/>
      <c r="D128" s="984"/>
      <c r="E128" s="984"/>
      <c r="F128" s="984"/>
      <c r="G128" s="984"/>
      <c r="H128" s="984"/>
      <c r="I128" s="984"/>
      <c r="J128" s="984"/>
      <c r="K128" s="984"/>
      <c r="L128" s="984"/>
      <c r="M128" s="984"/>
      <c r="N128" s="984"/>
      <c r="O128" s="984"/>
      <c r="P128" s="984"/>
      <c r="Q128" s="984"/>
      <c r="R128" s="984"/>
      <c r="S128" s="984"/>
      <c r="T128" s="984"/>
      <c r="U128" s="984"/>
      <c r="V128" s="984"/>
      <c r="W128" s="984"/>
      <c r="X128" s="984"/>
      <c r="Y128" s="984"/>
      <c r="Z128" s="984"/>
    </row>
    <row r="129" spans="1:26" ht="18" customHeight="1" x14ac:dyDescent="0.35">
      <c r="A129" s="984"/>
      <c r="B129" s="984"/>
      <c r="C129" s="984"/>
      <c r="D129" s="984"/>
      <c r="E129" s="984"/>
      <c r="F129" s="984"/>
      <c r="G129" s="984"/>
      <c r="H129" s="984"/>
      <c r="I129" s="984"/>
      <c r="J129" s="984"/>
      <c r="K129" s="984"/>
      <c r="L129" s="984"/>
      <c r="M129" s="984"/>
      <c r="N129" s="984"/>
      <c r="O129" s="984"/>
      <c r="P129" s="984"/>
      <c r="Q129" s="984"/>
      <c r="R129" s="984"/>
      <c r="S129" s="984"/>
      <c r="T129" s="984"/>
      <c r="U129" s="984"/>
      <c r="V129" s="984"/>
      <c r="W129" s="984"/>
      <c r="X129" s="984"/>
      <c r="Y129" s="984"/>
      <c r="Z129" s="984"/>
    </row>
    <row r="130" spans="1:26" ht="18" customHeight="1" x14ac:dyDescent="0.35">
      <c r="A130" s="984"/>
      <c r="B130" s="984"/>
      <c r="C130" s="984"/>
      <c r="D130" s="984"/>
      <c r="E130" s="984"/>
      <c r="F130" s="984"/>
      <c r="G130" s="984"/>
      <c r="H130" s="984"/>
      <c r="I130" s="984"/>
      <c r="J130" s="984"/>
      <c r="K130" s="984"/>
      <c r="L130" s="984"/>
      <c r="M130" s="984"/>
      <c r="N130" s="984"/>
      <c r="O130" s="984"/>
      <c r="P130" s="984"/>
      <c r="Q130" s="984"/>
      <c r="R130" s="984"/>
      <c r="S130" s="984"/>
      <c r="T130" s="984"/>
      <c r="U130" s="984"/>
      <c r="V130" s="984"/>
      <c r="W130" s="984"/>
      <c r="X130" s="984"/>
      <c r="Y130" s="984"/>
      <c r="Z130" s="984"/>
    </row>
    <row r="131" spans="1:26" ht="18" customHeight="1" x14ac:dyDescent="0.35">
      <c r="A131" s="984"/>
      <c r="B131" s="984"/>
      <c r="C131" s="984"/>
      <c r="D131" s="984"/>
      <c r="E131" s="984"/>
      <c r="F131" s="984"/>
      <c r="G131" s="984"/>
      <c r="H131" s="984"/>
      <c r="I131" s="984"/>
      <c r="J131" s="984"/>
      <c r="K131" s="984"/>
      <c r="L131" s="984"/>
      <c r="M131" s="984"/>
      <c r="N131" s="984"/>
      <c r="O131" s="984"/>
      <c r="P131" s="984"/>
      <c r="Q131" s="984"/>
      <c r="R131" s="984"/>
      <c r="S131" s="984"/>
      <c r="T131" s="984"/>
      <c r="U131" s="984"/>
      <c r="V131" s="984"/>
      <c r="W131" s="984"/>
      <c r="X131" s="984"/>
      <c r="Y131" s="984"/>
      <c r="Z131" s="984"/>
    </row>
    <row r="132" spans="1:26" ht="18" customHeight="1" x14ac:dyDescent="0.35">
      <c r="A132" s="984"/>
      <c r="B132" s="984"/>
      <c r="C132" s="984"/>
      <c r="D132" s="984"/>
      <c r="E132" s="984"/>
      <c r="F132" s="984"/>
      <c r="G132" s="984"/>
      <c r="H132" s="984"/>
      <c r="I132" s="984"/>
      <c r="J132" s="984"/>
      <c r="K132" s="984"/>
      <c r="L132" s="984"/>
      <c r="M132" s="984"/>
      <c r="N132" s="984"/>
      <c r="O132" s="984"/>
      <c r="P132" s="984"/>
      <c r="Q132" s="984"/>
      <c r="R132" s="984"/>
      <c r="S132" s="984"/>
      <c r="T132" s="984"/>
      <c r="U132" s="984"/>
      <c r="V132" s="984"/>
      <c r="W132" s="984"/>
      <c r="X132" s="984"/>
      <c r="Y132" s="984"/>
      <c r="Z132" s="984"/>
    </row>
    <row r="133" spans="1:26" ht="18" customHeight="1" x14ac:dyDescent="0.35">
      <c r="A133" s="984"/>
      <c r="B133" s="984"/>
      <c r="C133" s="984"/>
      <c r="D133" s="984"/>
      <c r="E133" s="984"/>
      <c r="F133" s="984"/>
      <c r="G133" s="984"/>
      <c r="H133" s="984"/>
      <c r="I133" s="984"/>
      <c r="J133" s="984"/>
      <c r="K133" s="984"/>
      <c r="L133" s="984"/>
      <c r="M133" s="984"/>
      <c r="N133" s="984"/>
      <c r="O133" s="984"/>
      <c r="P133" s="984"/>
      <c r="Q133" s="984"/>
      <c r="R133" s="984"/>
      <c r="S133" s="984"/>
      <c r="T133" s="984"/>
      <c r="U133" s="984"/>
      <c r="V133" s="984"/>
      <c r="W133" s="984"/>
      <c r="X133" s="984"/>
      <c r="Y133" s="984"/>
      <c r="Z133" s="984"/>
    </row>
    <row r="134" spans="1:26" ht="18" customHeight="1" x14ac:dyDescent="0.35">
      <c r="A134" s="984"/>
      <c r="B134" s="984"/>
      <c r="C134" s="984"/>
      <c r="D134" s="984"/>
      <c r="E134" s="984"/>
      <c r="F134" s="984"/>
      <c r="G134" s="984"/>
      <c r="H134" s="984"/>
      <c r="I134" s="984"/>
      <c r="J134" s="984"/>
      <c r="K134" s="984"/>
      <c r="L134" s="984"/>
      <c r="M134" s="984"/>
      <c r="N134" s="984"/>
      <c r="O134" s="984"/>
      <c r="P134" s="984"/>
      <c r="Q134" s="984"/>
      <c r="R134" s="984"/>
      <c r="S134" s="984"/>
      <c r="T134" s="984"/>
      <c r="U134" s="984"/>
      <c r="V134" s="984"/>
      <c r="W134" s="984"/>
      <c r="X134" s="984"/>
      <c r="Y134" s="984"/>
      <c r="Z134" s="984"/>
    </row>
    <row r="135" spans="1:26" ht="18" customHeight="1" x14ac:dyDescent="0.35">
      <c r="A135" s="984"/>
      <c r="B135" s="984"/>
      <c r="C135" s="984"/>
      <c r="D135" s="984"/>
      <c r="E135" s="984"/>
      <c r="F135" s="984"/>
      <c r="G135" s="984"/>
      <c r="H135" s="984"/>
      <c r="I135" s="984"/>
      <c r="J135" s="984"/>
      <c r="K135" s="984"/>
      <c r="L135" s="984"/>
      <c r="M135" s="984"/>
      <c r="N135" s="984"/>
      <c r="O135" s="984"/>
      <c r="P135" s="984"/>
      <c r="Q135" s="984"/>
      <c r="R135" s="984"/>
      <c r="S135" s="984"/>
      <c r="T135" s="984"/>
      <c r="U135" s="984"/>
      <c r="V135" s="984"/>
      <c r="W135" s="984"/>
      <c r="X135" s="984"/>
      <c r="Y135" s="984"/>
      <c r="Z135" s="984"/>
    </row>
    <row r="136" spans="1:26" ht="18" customHeight="1" x14ac:dyDescent="0.35">
      <c r="A136" s="984"/>
      <c r="B136" s="984"/>
      <c r="C136" s="984"/>
      <c r="D136" s="984"/>
      <c r="E136" s="984"/>
      <c r="F136" s="984"/>
      <c r="G136" s="984"/>
      <c r="H136" s="984"/>
      <c r="I136" s="984"/>
      <c r="J136" s="984"/>
      <c r="K136" s="984"/>
      <c r="L136" s="984"/>
      <c r="M136" s="984"/>
      <c r="N136" s="984"/>
      <c r="O136" s="984"/>
      <c r="P136" s="984"/>
      <c r="Q136" s="984"/>
      <c r="R136" s="984"/>
      <c r="S136" s="984"/>
      <c r="T136" s="984"/>
      <c r="U136" s="984"/>
      <c r="V136" s="984"/>
      <c r="W136" s="984"/>
      <c r="X136" s="984"/>
      <c r="Y136" s="984"/>
      <c r="Z136" s="984"/>
    </row>
    <row r="137" spans="1:26" ht="18" customHeight="1" x14ac:dyDescent="0.35">
      <c r="A137" s="984"/>
      <c r="B137" s="984"/>
      <c r="C137" s="984"/>
      <c r="D137" s="984"/>
      <c r="E137" s="984"/>
      <c r="F137" s="984"/>
      <c r="G137" s="984"/>
      <c r="H137" s="984"/>
      <c r="I137" s="984"/>
      <c r="J137" s="984"/>
      <c r="K137" s="984"/>
      <c r="L137" s="984"/>
      <c r="M137" s="984"/>
      <c r="N137" s="984"/>
      <c r="O137" s="984"/>
      <c r="P137" s="984"/>
      <c r="Q137" s="984"/>
      <c r="R137" s="984"/>
      <c r="S137" s="984"/>
      <c r="T137" s="984"/>
      <c r="U137" s="984"/>
      <c r="V137" s="984"/>
      <c r="W137" s="984"/>
      <c r="X137" s="984"/>
      <c r="Y137" s="984"/>
      <c r="Z137" s="984"/>
    </row>
    <row r="138" spans="1:26" ht="18" customHeight="1" x14ac:dyDescent="0.35">
      <c r="A138" s="984"/>
      <c r="B138" s="984"/>
      <c r="C138" s="984"/>
      <c r="D138" s="984"/>
      <c r="E138" s="984"/>
      <c r="F138" s="984"/>
      <c r="G138" s="984"/>
      <c r="H138" s="984"/>
      <c r="I138" s="984"/>
      <c r="J138" s="984"/>
      <c r="K138" s="984"/>
      <c r="L138" s="984"/>
      <c r="M138" s="984"/>
      <c r="N138" s="984"/>
      <c r="O138" s="984"/>
      <c r="P138" s="984"/>
      <c r="Q138" s="984"/>
      <c r="R138" s="984"/>
      <c r="S138" s="984"/>
      <c r="T138" s="984"/>
      <c r="U138" s="984"/>
      <c r="V138" s="984"/>
      <c r="W138" s="984"/>
      <c r="X138" s="984"/>
      <c r="Y138" s="984"/>
      <c r="Z138" s="984"/>
    </row>
    <row r="139" spans="1:26" ht="18" customHeight="1" x14ac:dyDescent="0.35">
      <c r="A139" s="984"/>
      <c r="B139" s="984"/>
      <c r="C139" s="984"/>
      <c r="D139" s="984"/>
      <c r="E139" s="984"/>
      <c r="F139" s="984"/>
      <c r="G139" s="984"/>
      <c r="H139" s="984"/>
      <c r="I139" s="984"/>
      <c r="J139" s="984"/>
      <c r="K139" s="984"/>
      <c r="L139" s="984"/>
      <c r="M139" s="984"/>
      <c r="N139" s="984"/>
      <c r="O139" s="984"/>
      <c r="P139" s="984"/>
      <c r="Q139" s="984"/>
      <c r="R139" s="984"/>
      <c r="S139" s="984"/>
      <c r="T139" s="984"/>
      <c r="U139" s="984"/>
      <c r="V139" s="984"/>
      <c r="W139" s="984"/>
      <c r="X139" s="984"/>
      <c r="Y139" s="984"/>
      <c r="Z139" s="984"/>
    </row>
    <row r="140" spans="1:26" ht="18" customHeight="1" x14ac:dyDescent="0.35">
      <c r="A140" s="984"/>
      <c r="B140" s="984"/>
      <c r="C140" s="984"/>
      <c r="D140" s="984"/>
      <c r="E140" s="984"/>
      <c r="F140" s="984"/>
      <c r="G140" s="984"/>
      <c r="H140" s="984"/>
      <c r="I140" s="984"/>
      <c r="J140" s="984"/>
      <c r="K140" s="984"/>
      <c r="L140" s="984"/>
      <c r="M140" s="984"/>
      <c r="N140" s="984"/>
      <c r="O140" s="984"/>
      <c r="P140" s="984"/>
      <c r="Q140" s="984"/>
      <c r="R140" s="984"/>
      <c r="S140" s="984"/>
      <c r="T140" s="984"/>
      <c r="U140" s="984"/>
      <c r="V140" s="984"/>
      <c r="W140" s="984"/>
      <c r="X140" s="984"/>
      <c r="Y140" s="984"/>
      <c r="Z140" s="984"/>
    </row>
    <row r="141" spans="1:26" ht="18" customHeight="1" x14ac:dyDescent="0.35">
      <c r="A141" s="984"/>
      <c r="B141" s="984"/>
      <c r="C141" s="984"/>
      <c r="D141" s="984"/>
      <c r="E141" s="984"/>
      <c r="F141" s="984"/>
      <c r="G141" s="984"/>
      <c r="H141" s="984"/>
      <c r="I141" s="984"/>
      <c r="J141" s="984"/>
      <c r="K141" s="984"/>
      <c r="L141" s="984"/>
      <c r="M141" s="984"/>
      <c r="N141" s="984"/>
      <c r="O141" s="984"/>
      <c r="P141" s="984"/>
      <c r="Q141" s="984"/>
      <c r="R141" s="984"/>
      <c r="S141" s="984"/>
      <c r="T141" s="984"/>
      <c r="U141" s="984"/>
      <c r="V141" s="984"/>
      <c r="W141" s="984"/>
      <c r="X141" s="984"/>
      <c r="Y141" s="984"/>
      <c r="Z141" s="984"/>
    </row>
    <row r="142" spans="1:26" ht="18" customHeight="1" x14ac:dyDescent="0.35">
      <c r="A142" s="984"/>
      <c r="B142" s="984"/>
      <c r="C142" s="984"/>
      <c r="D142" s="984"/>
      <c r="E142" s="984"/>
      <c r="F142" s="984"/>
      <c r="G142" s="984"/>
      <c r="H142" s="984"/>
      <c r="I142" s="984"/>
      <c r="J142" s="984"/>
      <c r="K142" s="984"/>
      <c r="L142" s="984"/>
      <c r="M142" s="984"/>
      <c r="N142" s="984"/>
      <c r="O142" s="984"/>
      <c r="P142" s="984"/>
      <c r="Q142" s="984"/>
      <c r="R142" s="984"/>
      <c r="S142" s="984"/>
      <c r="T142" s="984"/>
      <c r="U142" s="984"/>
      <c r="V142" s="984"/>
      <c r="W142" s="984"/>
      <c r="X142" s="984"/>
      <c r="Y142" s="984"/>
      <c r="Z142" s="984"/>
    </row>
    <row r="143" spans="1:26" ht="18" customHeight="1" x14ac:dyDescent="0.35">
      <c r="A143" s="984"/>
      <c r="B143" s="984"/>
      <c r="C143" s="984"/>
      <c r="D143" s="984"/>
      <c r="E143" s="984"/>
      <c r="F143" s="984"/>
      <c r="G143" s="984"/>
      <c r="H143" s="984"/>
      <c r="I143" s="984"/>
      <c r="J143" s="984"/>
      <c r="K143" s="984"/>
      <c r="L143" s="984"/>
      <c r="M143" s="984"/>
      <c r="N143" s="984"/>
      <c r="O143" s="984"/>
      <c r="P143" s="984"/>
      <c r="Q143" s="984"/>
      <c r="R143" s="984"/>
      <c r="S143" s="984"/>
      <c r="T143" s="984"/>
      <c r="U143" s="984"/>
      <c r="V143" s="984"/>
      <c r="W143" s="984"/>
      <c r="X143" s="984"/>
      <c r="Y143" s="984"/>
      <c r="Z143" s="984"/>
    </row>
    <row r="144" spans="1:26" ht="18" customHeight="1" x14ac:dyDescent="0.35">
      <c r="A144" s="984"/>
      <c r="B144" s="984"/>
      <c r="C144" s="984"/>
      <c r="D144" s="984"/>
      <c r="E144" s="984"/>
      <c r="F144" s="984"/>
      <c r="G144" s="984"/>
      <c r="H144" s="984"/>
      <c r="I144" s="984"/>
      <c r="J144" s="984"/>
      <c r="K144" s="984"/>
      <c r="L144" s="984"/>
      <c r="M144" s="984"/>
      <c r="N144" s="984"/>
      <c r="O144" s="984"/>
      <c r="P144" s="984"/>
      <c r="Q144" s="984"/>
      <c r="R144" s="984"/>
      <c r="S144" s="984"/>
      <c r="T144" s="984"/>
      <c r="U144" s="984"/>
      <c r="V144" s="984"/>
      <c r="W144" s="984"/>
      <c r="X144" s="984"/>
      <c r="Y144" s="984"/>
      <c r="Z144" s="984"/>
    </row>
    <row r="145" spans="1:26" ht="18" customHeight="1" x14ac:dyDescent="0.35">
      <c r="A145" s="984"/>
      <c r="B145" s="984"/>
      <c r="C145" s="984"/>
      <c r="D145" s="984"/>
      <c r="E145" s="984"/>
      <c r="F145" s="984"/>
      <c r="G145" s="984"/>
      <c r="H145" s="984"/>
      <c r="I145" s="984"/>
      <c r="J145" s="984"/>
      <c r="K145" s="984"/>
      <c r="L145" s="984"/>
      <c r="M145" s="984"/>
      <c r="N145" s="984"/>
      <c r="O145" s="984"/>
      <c r="P145" s="984"/>
      <c r="Q145" s="984"/>
      <c r="R145" s="984"/>
      <c r="S145" s="984"/>
      <c r="T145" s="984"/>
      <c r="U145" s="984"/>
      <c r="V145" s="984"/>
      <c r="W145" s="984"/>
      <c r="X145" s="984"/>
      <c r="Y145" s="984"/>
      <c r="Z145" s="984"/>
    </row>
    <row r="146" spans="1:26" ht="18" customHeight="1" x14ac:dyDescent="0.35">
      <c r="A146" s="984"/>
      <c r="B146" s="984"/>
      <c r="C146" s="984"/>
      <c r="D146" s="984"/>
      <c r="E146" s="984"/>
      <c r="F146" s="984"/>
      <c r="G146" s="984"/>
      <c r="H146" s="984"/>
      <c r="I146" s="984"/>
      <c r="J146" s="984"/>
      <c r="K146" s="984"/>
      <c r="L146" s="984"/>
      <c r="M146" s="984"/>
      <c r="N146" s="984"/>
      <c r="O146" s="984"/>
      <c r="P146" s="984"/>
      <c r="Q146" s="984"/>
      <c r="R146" s="984"/>
      <c r="S146" s="984"/>
      <c r="T146" s="984"/>
      <c r="U146" s="984"/>
      <c r="V146" s="984"/>
      <c r="W146" s="984"/>
      <c r="X146" s="984"/>
      <c r="Y146" s="984"/>
      <c r="Z146" s="984"/>
    </row>
    <row r="147" spans="1:26" ht="18" customHeight="1" x14ac:dyDescent="0.35">
      <c r="A147" s="984"/>
      <c r="B147" s="984"/>
      <c r="C147" s="984"/>
      <c r="D147" s="984"/>
      <c r="E147" s="984"/>
      <c r="F147" s="984"/>
      <c r="G147" s="984"/>
      <c r="H147" s="984"/>
      <c r="I147" s="984"/>
      <c r="J147" s="984"/>
      <c r="K147" s="984"/>
      <c r="L147" s="984"/>
      <c r="M147" s="984"/>
      <c r="N147" s="984"/>
      <c r="O147" s="984"/>
      <c r="P147" s="984"/>
      <c r="Q147" s="984"/>
      <c r="R147" s="984"/>
      <c r="S147" s="984"/>
      <c r="T147" s="984"/>
      <c r="U147" s="984"/>
      <c r="V147" s="984"/>
      <c r="W147" s="984"/>
      <c r="X147" s="984"/>
      <c r="Y147" s="984"/>
      <c r="Z147" s="984"/>
    </row>
    <row r="148" spans="1:26" ht="18" customHeight="1" x14ac:dyDescent="0.35">
      <c r="A148" s="984"/>
      <c r="B148" s="984"/>
      <c r="C148" s="984"/>
      <c r="D148" s="984"/>
      <c r="E148" s="984"/>
      <c r="F148" s="984"/>
      <c r="G148" s="984"/>
      <c r="H148" s="984"/>
      <c r="I148" s="984"/>
      <c r="J148" s="984"/>
      <c r="K148" s="984"/>
      <c r="L148" s="984"/>
      <c r="M148" s="984"/>
      <c r="N148" s="984"/>
      <c r="O148" s="984"/>
      <c r="P148" s="984"/>
      <c r="Q148" s="984"/>
      <c r="R148" s="984"/>
      <c r="S148" s="984"/>
      <c r="T148" s="984"/>
      <c r="U148" s="984"/>
      <c r="V148" s="984"/>
      <c r="W148" s="984"/>
      <c r="X148" s="984"/>
      <c r="Y148" s="984"/>
      <c r="Z148" s="984"/>
    </row>
    <row r="149" spans="1:26" ht="18" customHeight="1" x14ac:dyDescent="0.35">
      <c r="A149" s="984"/>
      <c r="B149" s="984"/>
      <c r="C149" s="984"/>
      <c r="D149" s="984"/>
      <c r="E149" s="984"/>
      <c r="F149" s="984"/>
      <c r="G149" s="984"/>
      <c r="H149" s="984"/>
      <c r="I149" s="984"/>
      <c r="J149" s="984"/>
      <c r="K149" s="984"/>
      <c r="L149" s="984"/>
      <c r="M149" s="984"/>
      <c r="N149" s="984"/>
      <c r="O149" s="984"/>
      <c r="P149" s="984"/>
      <c r="Q149" s="984"/>
      <c r="R149" s="984"/>
      <c r="S149" s="984"/>
      <c r="T149" s="984"/>
      <c r="U149" s="984"/>
      <c r="V149" s="984"/>
      <c r="W149" s="984"/>
      <c r="X149" s="984"/>
      <c r="Y149" s="984"/>
      <c r="Z149" s="984"/>
    </row>
    <row r="150" spans="1:26" ht="18" customHeight="1" x14ac:dyDescent="0.35">
      <c r="A150" s="984"/>
      <c r="B150" s="984"/>
      <c r="C150" s="984"/>
      <c r="D150" s="984"/>
      <c r="E150" s="984"/>
      <c r="F150" s="984"/>
      <c r="G150" s="984"/>
      <c r="H150" s="984"/>
      <c r="I150" s="984"/>
      <c r="J150" s="984"/>
      <c r="K150" s="984"/>
      <c r="L150" s="984"/>
      <c r="M150" s="984"/>
      <c r="N150" s="984"/>
      <c r="O150" s="984"/>
      <c r="P150" s="984"/>
      <c r="Q150" s="984"/>
      <c r="R150" s="984"/>
      <c r="S150" s="984"/>
      <c r="T150" s="984"/>
      <c r="U150" s="984"/>
      <c r="V150" s="984"/>
      <c r="W150" s="984"/>
      <c r="X150" s="984"/>
      <c r="Y150" s="984"/>
      <c r="Z150" s="984"/>
    </row>
    <row r="151" spans="1:26" ht="18" customHeight="1" x14ac:dyDescent="0.35">
      <c r="A151" s="984"/>
      <c r="B151" s="984"/>
      <c r="C151" s="984"/>
      <c r="D151" s="984"/>
      <c r="E151" s="984"/>
      <c r="F151" s="984"/>
      <c r="G151" s="984"/>
      <c r="H151" s="984"/>
      <c r="I151" s="984"/>
      <c r="J151" s="984"/>
      <c r="K151" s="984"/>
      <c r="L151" s="984"/>
      <c r="M151" s="984"/>
      <c r="N151" s="984"/>
      <c r="O151" s="984"/>
      <c r="P151" s="984"/>
      <c r="Q151" s="984"/>
      <c r="R151" s="984"/>
      <c r="S151" s="984"/>
      <c r="T151" s="984"/>
      <c r="U151" s="984"/>
      <c r="V151" s="984"/>
      <c r="W151" s="984"/>
      <c r="X151" s="984"/>
      <c r="Y151" s="984"/>
      <c r="Z151" s="984"/>
    </row>
    <row r="152" spans="1:26" ht="18" customHeight="1" x14ac:dyDescent="0.35">
      <c r="A152" s="984"/>
      <c r="B152" s="984"/>
      <c r="C152" s="984"/>
      <c r="D152" s="984"/>
      <c r="E152" s="984"/>
      <c r="F152" s="984"/>
      <c r="G152" s="984"/>
      <c r="H152" s="984"/>
      <c r="I152" s="984"/>
      <c r="J152" s="984"/>
      <c r="K152" s="984"/>
      <c r="L152" s="984"/>
      <c r="M152" s="984"/>
      <c r="N152" s="984"/>
      <c r="O152" s="984"/>
      <c r="P152" s="984"/>
      <c r="Q152" s="984"/>
      <c r="R152" s="984"/>
      <c r="S152" s="984"/>
      <c r="T152" s="984"/>
      <c r="U152" s="984"/>
      <c r="V152" s="984"/>
      <c r="W152" s="984"/>
      <c r="X152" s="984"/>
      <c r="Y152" s="984"/>
      <c r="Z152" s="984"/>
    </row>
    <row r="153" spans="1:26" ht="18" customHeight="1" x14ac:dyDescent="0.35">
      <c r="A153" s="984"/>
      <c r="B153" s="984"/>
      <c r="C153" s="984"/>
      <c r="D153" s="984"/>
      <c r="E153" s="984"/>
      <c r="F153" s="984"/>
      <c r="G153" s="984"/>
      <c r="H153" s="984"/>
      <c r="I153" s="984"/>
      <c r="J153" s="984"/>
      <c r="K153" s="984"/>
      <c r="L153" s="984"/>
      <c r="M153" s="984"/>
      <c r="N153" s="984"/>
      <c r="O153" s="984"/>
      <c r="P153" s="984"/>
      <c r="Q153" s="984"/>
      <c r="R153" s="984"/>
      <c r="S153" s="984"/>
      <c r="T153" s="984"/>
      <c r="U153" s="984"/>
      <c r="V153" s="984"/>
      <c r="W153" s="984"/>
      <c r="X153" s="984"/>
      <c r="Y153" s="984"/>
      <c r="Z153" s="984"/>
    </row>
    <row r="154" spans="1:26" ht="18" customHeight="1" x14ac:dyDescent="0.35">
      <c r="A154" s="984"/>
      <c r="B154" s="984"/>
      <c r="C154" s="984"/>
      <c r="D154" s="984"/>
      <c r="E154" s="984"/>
      <c r="F154" s="984"/>
      <c r="G154" s="984"/>
      <c r="H154" s="984"/>
      <c r="I154" s="984"/>
      <c r="J154" s="984"/>
      <c r="K154" s="984"/>
      <c r="L154" s="984"/>
      <c r="M154" s="984"/>
      <c r="N154" s="984"/>
      <c r="O154" s="984"/>
      <c r="P154" s="984"/>
      <c r="Q154" s="984"/>
      <c r="R154" s="984"/>
      <c r="S154" s="984"/>
      <c r="T154" s="984"/>
      <c r="U154" s="984"/>
      <c r="V154" s="984"/>
      <c r="W154" s="984"/>
      <c r="X154" s="984"/>
      <c r="Y154" s="984"/>
      <c r="Z154" s="984"/>
    </row>
    <row r="155" spans="1:26" ht="18" customHeight="1" x14ac:dyDescent="0.35">
      <c r="A155" s="984"/>
      <c r="B155" s="984"/>
      <c r="C155" s="984"/>
      <c r="D155" s="984"/>
      <c r="E155" s="984"/>
      <c r="F155" s="984"/>
      <c r="G155" s="984"/>
      <c r="H155" s="984"/>
      <c r="I155" s="984"/>
      <c r="J155" s="984"/>
      <c r="K155" s="984"/>
      <c r="L155" s="984"/>
      <c r="M155" s="984"/>
      <c r="N155" s="984"/>
      <c r="O155" s="984"/>
      <c r="P155" s="984"/>
      <c r="Q155" s="984"/>
      <c r="R155" s="984"/>
      <c r="S155" s="984"/>
      <c r="T155" s="984"/>
      <c r="U155" s="984"/>
      <c r="V155" s="984"/>
      <c r="W155" s="984"/>
      <c r="X155" s="984"/>
      <c r="Y155" s="984"/>
      <c r="Z155" s="984"/>
    </row>
    <row r="156" spans="1:26" ht="18" customHeight="1" x14ac:dyDescent="0.35">
      <c r="A156" s="984"/>
      <c r="B156" s="984"/>
      <c r="C156" s="984"/>
      <c r="D156" s="984"/>
      <c r="E156" s="984"/>
      <c r="F156" s="984"/>
      <c r="G156" s="984"/>
      <c r="H156" s="984"/>
      <c r="I156" s="984"/>
      <c r="J156" s="984"/>
      <c r="K156" s="984"/>
      <c r="L156" s="984"/>
      <c r="M156" s="984"/>
      <c r="N156" s="984"/>
      <c r="O156" s="984"/>
      <c r="P156" s="984"/>
      <c r="Q156" s="984"/>
      <c r="R156" s="984"/>
      <c r="S156" s="984"/>
      <c r="T156" s="984"/>
      <c r="U156" s="984"/>
      <c r="V156" s="984"/>
      <c r="W156" s="984"/>
      <c r="X156" s="984"/>
      <c r="Y156" s="984"/>
      <c r="Z156" s="984"/>
    </row>
    <row r="157" spans="1:26" ht="18" customHeight="1" x14ac:dyDescent="0.35">
      <c r="A157" s="984"/>
      <c r="B157" s="984"/>
      <c r="C157" s="984"/>
      <c r="D157" s="984"/>
      <c r="E157" s="984"/>
      <c r="F157" s="984"/>
      <c r="G157" s="984"/>
      <c r="H157" s="984"/>
      <c r="I157" s="984"/>
      <c r="J157" s="984"/>
      <c r="K157" s="984"/>
      <c r="L157" s="984"/>
      <c r="M157" s="984"/>
      <c r="N157" s="984"/>
      <c r="O157" s="984"/>
      <c r="P157" s="984"/>
      <c r="Q157" s="984"/>
      <c r="R157" s="984"/>
      <c r="S157" s="984"/>
      <c r="T157" s="984"/>
      <c r="U157" s="984"/>
      <c r="V157" s="984"/>
      <c r="W157" s="984"/>
      <c r="X157" s="984"/>
      <c r="Y157" s="984"/>
      <c r="Z157" s="984"/>
    </row>
    <row r="158" spans="1:26" ht="18" customHeight="1" x14ac:dyDescent="0.35">
      <c r="A158" s="984"/>
      <c r="B158" s="984"/>
      <c r="C158" s="984"/>
      <c r="D158" s="984"/>
      <c r="E158" s="984"/>
      <c r="F158" s="984"/>
      <c r="G158" s="984"/>
      <c r="H158" s="984"/>
      <c r="I158" s="984"/>
      <c r="J158" s="984"/>
      <c r="K158" s="984"/>
      <c r="L158" s="984"/>
      <c r="M158" s="984"/>
      <c r="N158" s="984"/>
      <c r="O158" s="984"/>
      <c r="P158" s="984"/>
      <c r="Q158" s="984"/>
      <c r="R158" s="984"/>
      <c r="S158" s="984"/>
      <c r="T158" s="984"/>
      <c r="U158" s="984"/>
      <c r="V158" s="984"/>
      <c r="W158" s="984"/>
      <c r="X158" s="984"/>
      <c r="Y158" s="984"/>
      <c r="Z158" s="984"/>
    </row>
    <row r="159" spans="1:26" ht="18" customHeight="1" x14ac:dyDescent="0.35">
      <c r="A159" s="984"/>
      <c r="B159" s="984"/>
      <c r="C159" s="984"/>
      <c r="D159" s="984"/>
      <c r="E159" s="984"/>
      <c r="F159" s="984"/>
      <c r="G159" s="984"/>
      <c r="H159" s="984"/>
      <c r="I159" s="984"/>
      <c r="J159" s="984"/>
      <c r="K159" s="984"/>
      <c r="L159" s="984"/>
      <c r="M159" s="984"/>
      <c r="N159" s="984"/>
      <c r="O159" s="984"/>
      <c r="P159" s="984"/>
      <c r="Q159" s="984"/>
      <c r="R159" s="984"/>
      <c r="S159" s="984"/>
      <c r="T159" s="984"/>
      <c r="U159" s="984"/>
      <c r="V159" s="984"/>
      <c r="W159" s="984"/>
      <c r="X159" s="984"/>
      <c r="Y159" s="984"/>
      <c r="Z159" s="984"/>
    </row>
    <row r="160" spans="1:26" ht="18" customHeight="1" x14ac:dyDescent="0.35">
      <c r="A160" s="984"/>
      <c r="B160" s="984"/>
      <c r="C160" s="984"/>
      <c r="D160" s="984"/>
      <c r="E160" s="984"/>
      <c r="F160" s="984"/>
      <c r="G160" s="984"/>
      <c r="H160" s="984"/>
      <c r="I160" s="984"/>
      <c r="J160" s="984"/>
      <c r="K160" s="984"/>
      <c r="L160" s="984"/>
      <c r="M160" s="984"/>
      <c r="N160" s="984"/>
      <c r="O160" s="984"/>
      <c r="P160" s="984"/>
      <c r="Q160" s="984"/>
      <c r="R160" s="984"/>
      <c r="S160" s="984"/>
      <c r="T160" s="984"/>
      <c r="U160" s="984"/>
      <c r="V160" s="984"/>
      <c r="W160" s="984"/>
      <c r="X160" s="984"/>
      <c r="Y160" s="984"/>
      <c r="Z160" s="984"/>
    </row>
    <row r="161" spans="1:26" ht="18" customHeight="1" x14ac:dyDescent="0.35">
      <c r="A161" s="984"/>
      <c r="B161" s="984"/>
      <c r="C161" s="984"/>
      <c r="D161" s="984"/>
      <c r="E161" s="984"/>
      <c r="F161" s="984"/>
      <c r="G161" s="984"/>
      <c r="H161" s="984"/>
      <c r="I161" s="984"/>
      <c r="J161" s="984"/>
      <c r="K161" s="984"/>
      <c r="L161" s="984"/>
      <c r="M161" s="984"/>
      <c r="N161" s="984"/>
      <c r="O161" s="984"/>
      <c r="P161" s="984"/>
      <c r="Q161" s="984"/>
      <c r="R161" s="984"/>
      <c r="S161" s="984"/>
      <c r="T161" s="984"/>
      <c r="U161" s="984"/>
      <c r="V161" s="984"/>
      <c r="W161" s="984"/>
      <c r="X161" s="984"/>
      <c r="Y161" s="984"/>
      <c r="Z161" s="984"/>
    </row>
    <row r="162" spans="1:26" ht="18" customHeight="1" x14ac:dyDescent="0.35">
      <c r="A162" s="984"/>
      <c r="B162" s="984"/>
      <c r="C162" s="984"/>
      <c r="D162" s="984"/>
      <c r="E162" s="984"/>
      <c r="F162" s="984"/>
      <c r="G162" s="984"/>
      <c r="H162" s="984"/>
      <c r="I162" s="984"/>
      <c r="J162" s="984"/>
      <c r="K162" s="984"/>
      <c r="L162" s="984"/>
      <c r="M162" s="984"/>
      <c r="N162" s="984"/>
      <c r="O162" s="984"/>
      <c r="P162" s="984"/>
      <c r="Q162" s="984"/>
      <c r="R162" s="984"/>
      <c r="S162" s="984"/>
      <c r="T162" s="984"/>
      <c r="U162" s="984"/>
      <c r="V162" s="984"/>
      <c r="W162" s="984"/>
      <c r="X162" s="984"/>
      <c r="Y162" s="984"/>
      <c r="Z162" s="984"/>
    </row>
    <row r="163" spans="1:26" ht="18" customHeight="1" x14ac:dyDescent="0.35">
      <c r="A163" s="984"/>
      <c r="B163" s="984"/>
      <c r="C163" s="984"/>
      <c r="D163" s="984"/>
      <c r="E163" s="984"/>
      <c r="F163" s="984"/>
      <c r="G163" s="984"/>
      <c r="H163" s="984"/>
      <c r="I163" s="984"/>
      <c r="J163" s="984"/>
      <c r="K163" s="984"/>
      <c r="L163" s="984"/>
      <c r="M163" s="984"/>
      <c r="N163" s="984"/>
      <c r="O163" s="984"/>
      <c r="P163" s="984"/>
      <c r="Q163" s="984"/>
      <c r="R163" s="984"/>
      <c r="S163" s="984"/>
      <c r="T163" s="984"/>
      <c r="U163" s="984"/>
      <c r="V163" s="984"/>
      <c r="W163" s="984"/>
      <c r="X163" s="984"/>
      <c r="Y163" s="984"/>
      <c r="Z163" s="984"/>
    </row>
    <row r="164" spans="1:26" ht="18" customHeight="1" x14ac:dyDescent="0.35">
      <c r="A164" s="984"/>
      <c r="B164" s="984"/>
      <c r="C164" s="984"/>
      <c r="D164" s="984"/>
      <c r="E164" s="984"/>
      <c r="F164" s="984"/>
      <c r="G164" s="984"/>
      <c r="H164" s="984"/>
      <c r="I164" s="984"/>
      <c r="J164" s="984"/>
      <c r="K164" s="984"/>
      <c r="L164" s="984"/>
      <c r="M164" s="984"/>
      <c r="N164" s="984"/>
      <c r="O164" s="984"/>
      <c r="P164" s="984"/>
      <c r="Q164" s="984"/>
      <c r="R164" s="984"/>
      <c r="S164" s="984"/>
      <c r="T164" s="984"/>
      <c r="U164" s="984"/>
      <c r="V164" s="984"/>
      <c r="W164" s="984"/>
      <c r="X164" s="984"/>
      <c r="Y164" s="984"/>
      <c r="Z164" s="984"/>
    </row>
    <row r="165" spans="1:26" ht="18" customHeight="1" x14ac:dyDescent="0.35">
      <c r="A165" s="984"/>
      <c r="B165" s="984"/>
      <c r="C165" s="984"/>
      <c r="D165" s="984"/>
      <c r="E165" s="984"/>
      <c r="F165" s="984"/>
      <c r="G165" s="984"/>
      <c r="H165" s="984"/>
      <c r="I165" s="984"/>
      <c r="J165" s="984"/>
      <c r="K165" s="984"/>
      <c r="L165" s="984"/>
      <c r="M165" s="984"/>
      <c r="N165" s="984"/>
      <c r="O165" s="984"/>
      <c r="P165" s="984"/>
      <c r="Q165" s="984"/>
      <c r="R165" s="984"/>
      <c r="S165" s="984"/>
      <c r="T165" s="984"/>
      <c r="U165" s="984"/>
      <c r="V165" s="984"/>
      <c r="W165" s="984"/>
      <c r="X165" s="984"/>
      <c r="Y165" s="984"/>
      <c r="Z165" s="984"/>
    </row>
    <row r="166" spans="1:26" ht="18" customHeight="1" x14ac:dyDescent="0.35">
      <c r="A166" s="984"/>
      <c r="B166" s="984"/>
      <c r="C166" s="984"/>
      <c r="D166" s="984"/>
      <c r="E166" s="984"/>
      <c r="F166" s="984"/>
      <c r="G166" s="984"/>
      <c r="H166" s="984"/>
      <c r="I166" s="984"/>
      <c r="J166" s="984"/>
      <c r="K166" s="984"/>
      <c r="L166" s="984"/>
      <c r="M166" s="984"/>
      <c r="N166" s="984"/>
      <c r="O166" s="984"/>
      <c r="P166" s="984"/>
      <c r="Q166" s="984"/>
      <c r="R166" s="984"/>
      <c r="S166" s="984"/>
      <c r="T166" s="984"/>
      <c r="U166" s="984"/>
      <c r="V166" s="984"/>
      <c r="W166" s="984"/>
      <c r="X166" s="984"/>
      <c r="Y166" s="984"/>
      <c r="Z166" s="984"/>
    </row>
    <row r="167" spans="1:26" ht="18" customHeight="1" x14ac:dyDescent="0.35">
      <c r="A167" s="984"/>
      <c r="B167" s="984"/>
      <c r="C167" s="984"/>
      <c r="D167" s="984"/>
      <c r="E167" s="984"/>
      <c r="F167" s="984"/>
      <c r="G167" s="984"/>
      <c r="H167" s="984"/>
      <c r="I167" s="984"/>
      <c r="J167" s="984"/>
      <c r="K167" s="984"/>
      <c r="L167" s="984"/>
      <c r="M167" s="984"/>
      <c r="N167" s="984"/>
      <c r="O167" s="984"/>
      <c r="P167" s="984"/>
      <c r="Q167" s="984"/>
      <c r="R167" s="984"/>
      <c r="S167" s="984"/>
      <c r="T167" s="984"/>
      <c r="U167" s="984"/>
      <c r="V167" s="984"/>
      <c r="W167" s="984"/>
      <c r="X167" s="984"/>
      <c r="Y167" s="984"/>
      <c r="Z167" s="984"/>
    </row>
    <row r="168" spans="1:26" ht="18" customHeight="1" x14ac:dyDescent="0.35">
      <c r="A168" s="984"/>
      <c r="B168" s="984"/>
      <c r="C168" s="984"/>
      <c r="D168" s="984"/>
      <c r="E168" s="984"/>
      <c r="F168" s="984"/>
      <c r="G168" s="984"/>
      <c r="H168" s="984"/>
      <c r="I168" s="984"/>
      <c r="J168" s="984"/>
      <c r="K168" s="984"/>
      <c r="L168" s="984"/>
      <c r="M168" s="984"/>
      <c r="N168" s="984"/>
      <c r="O168" s="984"/>
      <c r="P168" s="984"/>
      <c r="Q168" s="984"/>
      <c r="R168" s="984"/>
      <c r="S168" s="984"/>
      <c r="T168" s="984"/>
      <c r="U168" s="984"/>
      <c r="V168" s="984"/>
      <c r="W168" s="984"/>
      <c r="X168" s="984"/>
      <c r="Y168" s="984"/>
      <c r="Z168" s="984"/>
    </row>
    <row r="169" spans="1:26" ht="18" customHeight="1" x14ac:dyDescent="0.35">
      <c r="A169" s="984"/>
      <c r="B169" s="984"/>
      <c r="C169" s="984"/>
      <c r="D169" s="984"/>
      <c r="E169" s="984"/>
      <c r="F169" s="984"/>
      <c r="G169" s="984"/>
      <c r="H169" s="984"/>
      <c r="I169" s="984"/>
      <c r="J169" s="984"/>
      <c r="K169" s="984"/>
      <c r="L169" s="984"/>
      <c r="M169" s="984"/>
      <c r="N169" s="984"/>
      <c r="O169" s="984"/>
      <c r="P169" s="984"/>
      <c r="Q169" s="984"/>
      <c r="R169" s="984"/>
      <c r="S169" s="984"/>
      <c r="T169" s="984"/>
      <c r="U169" s="984"/>
      <c r="V169" s="984"/>
      <c r="W169" s="984"/>
      <c r="X169" s="984"/>
      <c r="Y169" s="984"/>
      <c r="Z169" s="984"/>
    </row>
    <row r="170" spans="1:26" ht="18" customHeight="1" x14ac:dyDescent="0.35">
      <c r="A170" s="984"/>
      <c r="B170" s="984"/>
      <c r="C170" s="984"/>
      <c r="D170" s="984"/>
      <c r="E170" s="984"/>
      <c r="F170" s="984"/>
      <c r="G170" s="984"/>
      <c r="H170" s="984"/>
      <c r="I170" s="984"/>
      <c r="J170" s="984"/>
      <c r="K170" s="984"/>
      <c r="L170" s="984"/>
      <c r="M170" s="984"/>
      <c r="N170" s="984"/>
      <c r="O170" s="984"/>
      <c r="P170" s="984"/>
      <c r="Q170" s="984"/>
      <c r="R170" s="984"/>
      <c r="S170" s="984"/>
      <c r="T170" s="984"/>
      <c r="U170" s="984"/>
      <c r="V170" s="984"/>
      <c r="W170" s="984"/>
      <c r="X170" s="984"/>
      <c r="Y170" s="984"/>
      <c r="Z170" s="984"/>
    </row>
    <row r="171" spans="1:26" ht="18" customHeight="1" x14ac:dyDescent="0.35">
      <c r="A171" s="984"/>
      <c r="B171" s="984"/>
      <c r="C171" s="984"/>
      <c r="D171" s="984"/>
      <c r="E171" s="984"/>
      <c r="F171" s="984"/>
      <c r="G171" s="984"/>
      <c r="H171" s="984"/>
      <c r="I171" s="984"/>
      <c r="J171" s="984"/>
      <c r="K171" s="984"/>
      <c r="L171" s="984"/>
      <c r="M171" s="984"/>
      <c r="N171" s="984"/>
      <c r="O171" s="984"/>
      <c r="P171" s="984"/>
      <c r="Q171" s="984"/>
      <c r="R171" s="984"/>
      <c r="S171" s="984"/>
      <c r="T171" s="984"/>
      <c r="U171" s="984"/>
      <c r="V171" s="984"/>
      <c r="W171" s="984"/>
      <c r="X171" s="984"/>
      <c r="Y171" s="984"/>
      <c r="Z171" s="984"/>
    </row>
    <row r="172" spans="1:26" ht="18" customHeight="1" x14ac:dyDescent="0.35">
      <c r="A172" s="984"/>
      <c r="B172" s="984"/>
      <c r="C172" s="984"/>
      <c r="D172" s="984"/>
      <c r="E172" s="984"/>
      <c r="F172" s="984"/>
      <c r="G172" s="984"/>
      <c r="H172" s="984"/>
      <c r="I172" s="984"/>
      <c r="J172" s="984"/>
      <c r="K172" s="984"/>
      <c r="L172" s="984"/>
      <c r="M172" s="984"/>
      <c r="N172" s="984"/>
      <c r="O172" s="984"/>
      <c r="P172" s="984"/>
      <c r="Q172" s="984"/>
      <c r="R172" s="984"/>
      <c r="S172" s="984"/>
      <c r="T172" s="984"/>
      <c r="U172" s="984"/>
      <c r="V172" s="984"/>
      <c r="W172" s="984"/>
      <c r="X172" s="984"/>
      <c r="Y172" s="984"/>
      <c r="Z172" s="984"/>
    </row>
    <row r="173" spans="1:26" ht="18" customHeight="1" x14ac:dyDescent="0.35">
      <c r="A173" s="984"/>
      <c r="B173" s="984"/>
      <c r="C173" s="984"/>
      <c r="D173" s="984"/>
      <c r="E173" s="984"/>
      <c r="F173" s="984"/>
      <c r="G173" s="984"/>
      <c r="H173" s="984"/>
      <c r="I173" s="984"/>
      <c r="J173" s="984"/>
      <c r="K173" s="984"/>
      <c r="L173" s="984"/>
      <c r="M173" s="984"/>
      <c r="N173" s="984"/>
      <c r="O173" s="984"/>
      <c r="P173" s="984"/>
      <c r="Q173" s="984"/>
      <c r="R173" s="984"/>
      <c r="S173" s="984"/>
      <c r="T173" s="984"/>
      <c r="U173" s="984"/>
      <c r="V173" s="984"/>
      <c r="W173" s="984"/>
      <c r="X173" s="984"/>
      <c r="Y173" s="984"/>
      <c r="Z173" s="984"/>
    </row>
    <row r="174" spans="1:26" ht="18" customHeight="1" x14ac:dyDescent="0.35">
      <c r="A174" s="984"/>
      <c r="B174" s="984"/>
      <c r="C174" s="984"/>
      <c r="D174" s="984"/>
      <c r="E174" s="984"/>
      <c r="F174" s="984"/>
      <c r="G174" s="984"/>
      <c r="H174" s="984"/>
      <c r="I174" s="984"/>
      <c r="J174" s="984"/>
      <c r="K174" s="984"/>
      <c r="L174" s="984"/>
      <c r="M174" s="984"/>
      <c r="N174" s="984"/>
      <c r="O174" s="984"/>
      <c r="P174" s="984"/>
      <c r="Q174" s="984"/>
      <c r="R174" s="984"/>
      <c r="S174" s="984"/>
      <c r="T174" s="984"/>
      <c r="U174" s="984"/>
      <c r="V174" s="984"/>
      <c r="W174" s="984"/>
      <c r="X174" s="984"/>
      <c r="Y174" s="984"/>
      <c r="Z174" s="984"/>
    </row>
    <row r="175" spans="1:26" ht="18" customHeight="1" x14ac:dyDescent="0.35">
      <c r="A175" s="984"/>
      <c r="B175" s="984"/>
      <c r="C175" s="984"/>
      <c r="D175" s="984"/>
      <c r="E175" s="984"/>
      <c r="F175" s="984"/>
      <c r="G175" s="984"/>
      <c r="H175" s="984"/>
      <c r="I175" s="984"/>
      <c r="J175" s="984"/>
      <c r="K175" s="984"/>
      <c r="L175" s="984"/>
      <c r="M175" s="984"/>
      <c r="N175" s="984"/>
      <c r="O175" s="984"/>
      <c r="P175" s="984"/>
      <c r="Q175" s="984"/>
      <c r="R175" s="984"/>
      <c r="S175" s="984"/>
      <c r="T175" s="984"/>
      <c r="U175" s="984"/>
      <c r="V175" s="984"/>
      <c r="W175" s="984"/>
      <c r="X175" s="984"/>
      <c r="Y175" s="984"/>
      <c r="Z175" s="984"/>
    </row>
    <row r="176" spans="1:26" ht="18" customHeight="1" x14ac:dyDescent="0.35">
      <c r="A176" s="984"/>
      <c r="B176" s="984"/>
      <c r="C176" s="984"/>
      <c r="D176" s="984"/>
      <c r="E176" s="984"/>
      <c r="F176" s="984"/>
      <c r="G176" s="984"/>
      <c r="H176" s="984"/>
      <c r="I176" s="984"/>
      <c r="J176" s="984"/>
      <c r="K176" s="984"/>
      <c r="L176" s="984"/>
      <c r="M176" s="984"/>
      <c r="N176" s="984"/>
      <c r="O176" s="984"/>
      <c r="P176" s="984"/>
      <c r="Q176" s="984"/>
      <c r="R176" s="984"/>
      <c r="S176" s="984"/>
      <c r="T176" s="984"/>
      <c r="U176" s="984"/>
      <c r="V176" s="984"/>
      <c r="W176" s="984"/>
      <c r="X176" s="984"/>
      <c r="Y176" s="984"/>
      <c r="Z176" s="984"/>
    </row>
    <row r="177" spans="1:26" ht="18" customHeight="1" x14ac:dyDescent="0.35">
      <c r="A177" s="984"/>
      <c r="B177" s="984"/>
      <c r="C177" s="984"/>
      <c r="D177" s="984"/>
      <c r="E177" s="984"/>
      <c r="F177" s="984"/>
      <c r="G177" s="984"/>
      <c r="H177" s="984"/>
      <c r="I177" s="984"/>
      <c r="J177" s="984"/>
      <c r="K177" s="984"/>
      <c r="L177" s="984"/>
      <c r="M177" s="984"/>
      <c r="N177" s="984"/>
      <c r="O177" s="984"/>
      <c r="P177" s="984"/>
      <c r="Q177" s="984"/>
      <c r="R177" s="984"/>
      <c r="S177" s="984"/>
      <c r="T177" s="984"/>
      <c r="U177" s="984"/>
      <c r="V177" s="984"/>
      <c r="W177" s="984"/>
      <c r="X177" s="984"/>
      <c r="Y177" s="984"/>
      <c r="Z177" s="984"/>
    </row>
    <row r="178" spans="1:26" ht="18" customHeight="1" x14ac:dyDescent="0.35">
      <c r="A178" s="984"/>
      <c r="B178" s="984"/>
      <c r="C178" s="984"/>
      <c r="D178" s="984"/>
      <c r="E178" s="984"/>
      <c r="F178" s="984"/>
      <c r="G178" s="984"/>
      <c r="H178" s="984"/>
      <c r="I178" s="984"/>
      <c r="J178" s="984"/>
      <c r="K178" s="984"/>
      <c r="L178" s="984"/>
      <c r="M178" s="984"/>
      <c r="N178" s="984"/>
      <c r="O178" s="984"/>
      <c r="P178" s="984"/>
      <c r="Q178" s="984"/>
      <c r="R178" s="984"/>
      <c r="S178" s="984"/>
      <c r="T178" s="984"/>
      <c r="U178" s="984"/>
      <c r="V178" s="984"/>
      <c r="W178" s="984"/>
      <c r="X178" s="984"/>
      <c r="Y178" s="984"/>
      <c r="Z178" s="984"/>
    </row>
    <row r="179" spans="1:26" ht="18" customHeight="1" x14ac:dyDescent="0.35">
      <c r="A179" s="984"/>
      <c r="B179" s="984"/>
      <c r="C179" s="984"/>
      <c r="D179" s="984"/>
      <c r="E179" s="984"/>
      <c r="F179" s="984"/>
      <c r="G179" s="984"/>
      <c r="H179" s="984"/>
      <c r="I179" s="984"/>
      <c r="J179" s="984"/>
      <c r="K179" s="984"/>
      <c r="L179" s="984"/>
      <c r="M179" s="984"/>
      <c r="N179" s="984"/>
      <c r="O179" s="984"/>
      <c r="P179" s="984"/>
      <c r="Q179" s="984"/>
      <c r="R179" s="984"/>
      <c r="S179" s="984"/>
      <c r="T179" s="984"/>
      <c r="U179" s="984"/>
      <c r="V179" s="984"/>
      <c r="W179" s="984"/>
      <c r="X179" s="984"/>
      <c r="Y179" s="984"/>
      <c r="Z179" s="984"/>
    </row>
    <row r="180" spans="1:26" ht="18" customHeight="1" x14ac:dyDescent="0.35">
      <c r="A180" s="984"/>
      <c r="B180" s="984"/>
      <c r="C180" s="984"/>
      <c r="D180" s="984"/>
      <c r="E180" s="984"/>
      <c r="F180" s="984"/>
      <c r="G180" s="984"/>
      <c r="H180" s="984"/>
      <c r="I180" s="984"/>
      <c r="J180" s="984"/>
      <c r="K180" s="984"/>
      <c r="L180" s="984"/>
      <c r="M180" s="984"/>
      <c r="N180" s="984"/>
      <c r="O180" s="984"/>
      <c r="P180" s="984"/>
      <c r="Q180" s="984"/>
      <c r="R180" s="984"/>
      <c r="S180" s="984"/>
      <c r="T180" s="984"/>
      <c r="U180" s="984"/>
      <c r="V180" s="984"/>
      <c r="W180" s="984"/>
      <c r="X180" s="984"/>
      <c r="Y180" s="984"/>
      <c r="Z180" s="984"/>
    </row>
    <row r="181" spans="1:26" ht="18" customHeight="1" x14ac:dyDescent="0.35">
      <c r="A181" s="984"/>
      <c r="B181" s="984"/>
      <c r="C181" s="984"/>
      <c r="D181" s="984"/>
      <c r="E181" s="984"/>
      <c r="F181" s="984"/>
      <c r="G181" s="984"/>
      <c r="H181" s="984"/>
      <c r="I181" s="984"/>
      <c r="J181" s="984"/>
      <c r="K181" s="984"/>
      <c r="L181" s="984"/>
      <c r="M181" s="984"/>
      <c r="N181" s="984"/>
      <c r="O181" s="984"/>
      <c r="P181" s="984"/>
      <c r="Q181" s="984"/>
      <c r="R181" s="984"/>
      <c r="S181" s="984"/>
      <c r="T181" s="984"/>
      <c r="U181" s="984"/>
      <c r="V181" s="984"/>
      <c r="W181" s="984"/>
      <c r="X181" s="984"/>
      <c r="Y181" s="984"/>
      <c r="Z181" s="984"/>
    </row>
    <row r="182" spans="1:26" ht="18" customHeight="1" x14ac:dyDescent="0.35">
      <c r="A182" s="984"/>
      <c r="B182" s="984"/>
      <c r="C182" s="984"/>
      <c r="D182" s="984"/>
      <c r="E182" s="984"/>
      <c r="F182" s="984"/>
      <c r="G182" s="984"/>
      <c r="H182" s="984"/>
      <c r="I182" s="984"/>
      <c r="J182" s="984"/>
      <c r="K182" s="984"/>
      <c r="L182" s="984"/>
      <c r="M182" s="984"/>
      <c r="N182" s="984"/>
      <c r="O182" s="984"/>
      <c r="P182" s="984"/>
      <c r="Q182" s="984"/>
      <c r="R182" s="984"/>
      <c r="S182" s="984"/>
      <c r="T182" s="984"/>
      <c r="U182" s="984"/>
      <c r="V182" s="984"/>
      <c r="W182" s="984"/>
      <c r="X182" s="984"/>
      <c r="Y182" s="984"/>
      <c r="Z182" s="984"/>
    </row>
    <row r="183" spans="1:26" ht="18" customHeight="1" x14ac:dyDescent="0.35">
      <c r="A183" s="984"/>
      <c r="B183" s="984"/>
      <c r="C183" s="984"/>
      <c r="D183" s="984"/>
      <c r="E183" s="984"/>
      <c r="F183" s="984"/>
      <c r="G183" s="984"/>
      <c r="H183" s="984"/>
      <c r="I183" s="984"/>
      <c r="J183" s="984"/>
      <c r="K183" s="984"/>
      <c r="L183" s="984"/>
      <c r="M183" s="984"/>
      <c r="N183" s="984"/>
      <c r="O183" s="984"/>
      <c r="P183" s="984"/>
      <c r="Q183" s="984"/>
      <c r="R183" s="984"/>
      <c r="S183" s="984"/>
      <c r="T183" s="984"/>
      <c r="U183" s="984"/>
      <c r="V183" s="984"/>
      <c r="W183" s="984"/>
      <c r="X183" s="984"/>
      <c r="Y183" s="984"/>
      <c r="Z183" s="984"/>
    </row>
    <row r="184" spans="1:26" ht="18" customHeight="1" x14ac:dyDescent="0.35">
      <c r="A184" s="984"/>
      <c r="B184" s="984"/>
      <c r="C184" s="984"/>
      <c r="D184" s="984"/>
      <c r="E184" s="984"/>
      <c r="F184" s="984"/>
      <c r="G184" s="984"/>
      <c r="H184" s="984"/>
      <c r="I184" s="984"/>
      <c r="J184" s="984"/>
      <c r="K184" s="984"/>
      <c r="L184" s="984"/>
      <c r="M184" s="984"/>
      <c r="N184" s="984"/>
      <c r="O184" s="984"/>
      <c r="P184" s="984"/>
      <c r="Q184" s="984"/>
      <c r="R184" s="984"/>
      <c r="S184" s="984"/>
      <c r="T184" s="984"/>
      <c r="U184" s="984"/>
      <c r="V184" s="984"/>
      <c r="W184" s="984"/>
      <c r="X184" s="984"/>
      <c r="Y184" s="984"/>
      <c r="Z184" s="984"/>
    </row>
    <row r="185" spans="1:26" ht="18" customHeight="1" x14ac:dyDescent="0.35">
      <c r="A185" s="984"/>
      <c r="B185" s="984"/>
      <c r="C185" s="984"/>
      <c r="D185" s="984"/>
      <c r="E185" s="984"/>
      <c r="F185" s="984"/>
      <c r="G185" s="984"/>
      <c r="H185" s="984"/>
      <c r="I185" s="984"/>
      <c r="J185" s="984"/>
      <c r="K185" s="984"/>
      <c r="L185" s="984"/>
      <c r="M185" s="984"/>
      <c r="N185" s="984"/>
      <c r="O185" s="984"/>
      <c r="P185" s="984"/>
      <c r="Q185" s="984"/>
      <c r="R185" s="984"/>
      <c r="S185" s="984"/>
      <c r="T185" s="984"/>
      <c r="U185" s="984"/>
      <c r="V185" s="984"/>
      <c r="W185" s="984"/>
      <c r="X185" s="984"/>
      <c r="Y185" s="984"/>
      <c r="Z185" s="984"/>
    </row>
    <row r="186" spans="1:26" ht="18" customHeight="1" x14ac:dyDescent="0.35">
      <c r="A186" s="984"/>
      <c r="B186" s="984"/>
      <c r="C186" s="984"/>
      <c r="D186" s="984"/>
      <c r="E186" s="984"/>
      <c r="F186" s="984"/>
      <c r="G186" s="984"/>
      <c r="H186" s="984"/>
      <c r="I186" s="984"/>
      <c r="J186" s="984"/>
      <c r="K186" s="984"/>
      <c r="L186" s="984"/>
      <c r="M186" s="984"/>
      <c r="N186" s="984"/>
      <c r="O186" s="984"/>
      <c r="P186" s="984"/>
      <c r="Q186" s="984"/>
      <c r="R186" s="984"/>
      <c r="S186" s="984"/>
      <c r="T186" s="984"/>
      <c r="U186" s="984"/>
      <c r="V186" s="984"/>
      <c r="W186" s="984"/>
      <c r="X186" s="984"/>
      <c r="Y186" s="984"/>
      <c r="Z186" s="984"/>
    </row>
    <row r="187" spans="1:26" ht="18" customHeight="1" x14ac:dyDescent="0.35">
      <c r="A187" s="984"/>
      <c r="B187" s="984"/>
      <c r="C187" s="984"/>
      <c r="D187" s="984"/>
      <c r="E187" s="984"/>
      <c r="F187" s="984"/>
      <c r="G187" s="984"/>
      <c r="H187" s="984"/>
      <c r="I187" s="984"/>
      <c r="J187" s="984"/>
      <c r="K187" s="984"/>
      <c r="L187" s="984"/>
      <c r="M187" s="984"/>
      <c r="N187" s="984"/>
      <c r="O187" s="984"/>
      <c r="P187" s="984"/>
      <c r="Q187" s="984"/>
      <c r="R187" s="984"/>
      <c r="S187" s="984"/>
      <c r="T187" s="984"/>
      <c r="U187" s="984"/>
      <c r="V187" s="984"/>
      <c r="W187" s="984"/>
      <c r="X187" s="984"/>
      <c r="Y187" s="984"/>
      <c r="Z187" s="984"/>
    </row>
    <row r="188" spans="1:26" ht="18" customHeight="1" x14ac:dyDescent="0.35">
      <c r="A188" s="984"/>
      <c r="B188" s="984"/>
      <c r="C188" s="984"/>
      <c r="D188" s="984"/>
      <c r="E188" s="984"/>
      <c r="F188" s="984"/>
      <c r="G188" s="984"/>
      <c r="H188" s="984"/>
      <c r="I188" s="984"/>
      <c r="J188" s="984"/>
      <c r="K188" s="984"/>
      <c r="L188" s="984"/>
      <c r="M188" s="984"/>
      <c r="N188" s="984"/>
      <c r="O188" s="984"/>
      <c r="P188" s="984"/>
      <c r="Q188" s="984"/>
      <c r="R188" s="984"/>
      <c r="S188" s="984"/>
      <c r="T188" s="984"/>
      <c r="U188" s="984"/>
      <c r="V188" s="984"/>
      <c r="W188" s="984"/>
      <c r="X188" s="984"/>
      <c r="Y188" s="984"/>
      <c r="Z188" s="984"/>
    </row>
    <row r="189" spans="1:26" ht="18" customHeight="1" x14ac:dyDescent="0.35">
      <c r="A189" s="984"/>
      <c r="B189" s="984"/>
      <c r="C189" s="984"/>
      <c r="D189" s="984"/>
      <c r="E189" s="984"/>
      <c r="F189" s="984"/>
      <c r="G189" s="984"/>
      <c r="H189" s="984"/>
      <c r="I189" s="984"/>
      <c r="J189" s="984"/>
      <c r="K189" s="984"/>
      <c r="L189" s="984"/>
      <c r="M189" s="984"/>
      <c r="N189" s="984"/>
      <c r="O189" s="984"/>
      <c r="P189" s="984"/>
      <c r="Q189" s="984"/>
      <c r="R189" s="984"/>
      <c r="S189" s="984"/>
      <c r="T189" s="984"/>
      <c r="U189" s="984"/>
      <c r="V189" s="984"/>
      <c r="W189" s="984"/>
      <c r="X189" s="984"/>
      <c r="Y189" s="984"/>
      <c r="Z189" s="984"/>
    </row>
    <row r="190" spans="1:26" ht="18" customHeight="1" x14ac:dyDescent="0.35">
      <c r="A190" s="984"/>
      <c r="B190" s="984"/>
      <c r="C190" s="984"/>
      <c r="D190" s="984"/>
      <c r="E190" s="984"/>
      <c r="F190" s="984"/>
      <c r="G190" s="984"/>
      <c r="H190" s="984"/>
      <c r="I190" s="984"/>
      <c r="J190" s="984"/>
      <c r="K190" s="984"/>
      <c r="L190" s="984"/>
      <c r="M190" s="984"/>
      <c r="N190" s="984"/>
      <c r="O190" s="984"/>
      <c r="P190" s="984"/>
      <c r="Q190" s="984"/>
      <c r="R190" s="984"/>
      <c r="S190" s="984"/>
      <c r="T190" s="984"/>
      <c r="U190" s="984"/>
      <c r="V190" s="984"/>
      <c r="W190" s="984"/>
      <c r="X190" s="984"/>
      <c r="Y190" s="984"/>
      <c r="Z190" s="984"/>
    </row>
    <row r="191" spans="1:26" ht="18" customHeight="1" x14ac:dyDescent="0.35">
      <c r="A191" s="984"/>
      <c r="B191" s="984"/>
      <c r="C191" s="984"/>
      <c r="D191" s="984"/>
      <c r="E191" s="984"/>
      <c r="F191" s="984"/>
      <c r="G191" s="984"/>
      <c r="H191" s="984"/>
      <c r="I191" s="984"/>
      <c r="J191" s="984"/>
      <c r="K191" s="984"/>
      <c r="L191" s="984"/>
      <c r="M191" s="984"/>
      <c r="N191" s="984"/>
      <c r="O191" s="984"/>
      <c r="P191" s="984"/>
      <c r="Q191" s="984"/>
      <c r="R191" s="984"/>
      <c r="S191" s="984"/>
      <c r="T191" s="984"/>
      <c r="U191" s="984"/>
      <c r="V191" s="984"/>
      <c r="W191" s="984"/>
      <c r="X191" s="984"/>
      <c r="Y191" s="984"/>
      <c r="Z191" s="984"/>
    </row>
    <row r="192" spans="1:26" ht="18" customHeight="1" x14ac:dyDescent="0.35">
      <c r="A192" s="984"/>
      <c r="B192" s="984"/>
      <c r="C192" s="984"/>
      <c r="D192" s="984"/>
      <c r="E192" s="984"/>
      <c r="F192" s="984"/>
      <c r="G192" s="984"/>
      <c r="H192" s="984"/>
      <c r="I192" s="984"/>
      <c r="J192" s="984"/>
      <c r="K192" s="984"/>
      <c r="L192" s="984"/>
      <c r="M192" s="984"/>
      <c r="N192" s="984"/>
      <c r="O192" s="984"/>
      <c r="P192" s="984"/>
      <c r="Q192" s="984"/>
      <c r="R192" s="984"/>
      <c r="S192" s="984"/>
      <c r="T192" s="984"/>
      <c r="U192" s="984"/>
      <c r="V192" s="984"/>
      <c r="W192" s="984"/>
      <c r="X192" s="984"/>
      <c r="Y192" s="984"/>
      <c r="Z192" s="984"/>
    </row>
    <row r="193" spans="1:26" ht="18" customHeight="1" x14ac:dyDescent="0.35">
      <c r="A193" s="984"/>
      <c r="B193" s="984"/>
      <c r="C193" s="984"/>
      <c r="D193" s="984"/>
      <c r="E193" s="984"/>
      <c r="F193" s="984"/>
      <c r="G193" s="984"/>
      <c r="H193" s="984"/>
      <c r="I193" s="984"/>
      <c r="J193" s="984"/>
      <c r="K193" s="984"/>
      <c r="L193" s="984"/>
      <c r="M193" s="984"/>
      <c r="N193" s="984"/>
      <c r="O193" s="984"/>
      <c r="P193" s="984"/>
      <c r="Q193" s="984"/>
      <c r="R193" s="984"/>
      <c r="S193" s="984"/>
      <c r="T193" s="984"/>
      <c r="U193" s="984"/>
      <c r="V193" s="984"/>
      <c r="W193" s="984"/>
      <c r="X193" s="984"/>
      <c r="Y193" s="984"/>
      <c r="Z193" s="984"/>
    </row>
    <row r="194" spans="1:26" ht="18" customHeight="1" x14ac:dyDescent="0.35">
      <c r="A194" s="984"/>
      <c r="B194" s="984"/>
      <c r="C194" s="984"/>
      <c r="D194" s="984"/>
      <c r="E194" s="984"/>
      <c r="F194" s="984"/>
      <c r="G194" s="984"/>
      <c r="H194" s="984"/>
      <c r="I194" s="984"/>
      <c r="J194" s="984"/>
      <c r="K194" s="984"/>
      <c r="L194" s="984"/>
      <c r="M194" s="984"/>
      <c r="N194" s="984"/>
      <c r="O194" s="984"/>
      <c r="P194" s="984"/>
      <c r="Q194" s="984"/>
      <c r="R194" s="984"/>
      <c r="S194" s="984"/>
      <c r="T194" s="984"/>
      <c r="U194" s="984"/>
      <c r="V194" s="984"/>
      <c r="W194" s="984"/>
      <c r="X194" s="984"/>
      <c r="Y194" s="984"/>
      <c r="Z194" s="984"/>
    </row>
    <row r="195" spans="1:26" ht="18" customHeight="1" x14ac:dyDescent="0.35">
      <c r="A195" s="984"/>
      <c r="B195" s="984"/>
      <c r="C195" s="984"/>
      <c r="D195" s="984"/>
      <c r="E195" s="984"/>
      <c r="F195" s="984"/>
      <c r="G195" s="984"/>
      <c r="H195" s="984"/>
      <c r="I195" s="984"/>
      <c r="J195" s="984"/>
      <c r="K195" s="984"/>
      <c r="L195" s="984"/>
      <c r="M195" s="984"/>
      <c r="N195" s="984"/>
      <c r="O195" s="984"/>
      <c r="P195" s="984"/>
      <c r="Q195" s="984"/>
      <c r="R195" s="984"/>
      <c r="S195" s="984"/>
      <c r="T195" s="984"/>
      <c r="U195" s="984"/>
      <c r="V195" s="984"/>
      <c r="W195" s="984"/>
      <c r="X195" s="984"/>
      <c r="Y195" s="984"/>
      <c r="Z195" s="984"/>
    </row>
    <row r="196" spans="1:26" ht="18" customHeight="1" x14ac:dyDescent="0.35">
      <c r="A196" s="984"/>
      <c r="B196" s="984"/>
      <c r="C196" s="984"/>
      <c r="D196" s="984"/>
      <c r="E196" s="984"/>
      <c r="F196" s="984"/>
      <c r="G196" s="984"/>
      <c r="H196" s="984"/>
      <c r="I196" s="984"/>
      <c r="J196" s="984"/>
      <c r="K196" s="984"/>
      <c r="L196" s="984"/>
      <c r="M196" s="984"/>
      <c r="N196" s="984"/>
      <c r="O196" s="984"/>
      <c r="P196" s="984"/>
      <c r="Q196" s="984"/>
      <c r="R196" s="984"/>
      <c r="S196" s="984"/>
      <c r="T196" s="984"/>
      <c r="U196" s="984"/>
      <c r="V196" s="984"/>
      <c r="W196" s="984"/>
      <c r="X196" s="984"/>
      <c r="Y196" s="984"/>
      <c r="Z196" s="984"/>
    </row>
    <row r="197" spans="1:26" ht="18" customHeight="1" x14ac:dyDescent="0.35">
      <c r="A197" s="984"/>
      <c r="B197" s="984"/>
      <c r="C197" s="984"/>
      <c r="D197" s="984"/>
      <c r="E197" s="984"/>
      <c r="F197" s="984"/>
      <c r="G197" s="984"/>
      <c r="H197" s="984"/>
      <c r="I197" s="984"/>
      <c r="J197" s="984"/>
      <c r="K197" s="984"/>
      <c r="L197" s="984"/>
      <c r="M197" s="984"/>
      <c r="N197" s="984"/>
      <c r="O197" s="984"/>
      <c r="P197" s="984"/>
      <c r="Q197" s="984"/>
      <c r="R197" s="984"/>
      <c r="S197" s="984"/>
      <c r="T197" s="984"/>
      <c r="U197" s="984"/>
      <c r="V197" s="984"/>
      <c r="W197" s="984"/>
      <c r="X197" s="984"/>
      <c r="Y197" s="984"/>
      <c r="Z197" s="984"/>
    </row>
    <row r="198" spans="1:26" ht="18" customHeight="1" x14ac:dyDescent="0.35">
      <c r="A198" s="984"/>
      <c r="B198" s="984"/>
      <c r="C198" s="984"/>
      <c r="D198" s="984"/>
      <c r="E198" s="984"/>
      <c r="F198" s="984"/>
      <c r="G198" s="984"/>
      <c r="H198" s="984"/>
      <c r="I198" s="984"/>
      <c r="J198" s="984"/>
      <c r="K198" s="984"/>
      <c r="L198" s="984"/>
      <c r="M198" s="984"/>
      <c r="N198" s="984"/>
      <c r="O198" s="984"/>
      <c r="P198" s="984"/>
      <c r="Q198" s="984"/>
      <c r="R198" s="984"/>
      <c r="S198" s="984"/>
      <c r="T198" s="984"/>
      <c r="U198" s="984"/>
      <c r="V198" s="984"/>
      <c r="W198" s="984"/>
      <c r="X198" s="984"/>
      <c r="Y198" s="984"/>
      <c r="Z198" s="984"/>
    </row>
    <row r="199" spans="1:26" ht="18" customHeight="1" x14ac:dyDescent="0.35">
      <c r="A199" s="984"/>
      <c r="B199" s="984"/>
      <c r="C199" s="984"/>
      <c r="D199" s="984"/>
      <c r="E199" s="984"/>
      <c r="F199" s="984"/>
      <c r="G199" s="984"/>
      <c r="H199" s="984"/>
      <c r="I199" s="984"/>
      <c r="J199" s="984"/>
      <c r="K199" s="984"/>
      <c r="L199" s="984"/>
      <c r="M199" s="984"/>
      <c r="N199" s="984"/>
      <c r="O199" s="984"/>
      <c r="P199" s="984"/>
      <c r="Q199" s="984"/>
      <c r="R199" s="984"/>
      <c r="S199" s="984"/>
      <c r="T199" s="984"/>
      <c r="U199" s="984"/>
      <c r="V199" s="984"/>
      <c r="W199" s="984"/>
      <c r="X199" s="984"/>
      <c r="Y199" s="984"/>
      <c r="Z199" s="984"/>
    </row>
    <row r="200" spans="1:26" ht="18" customHeight="1" x14ac:dyDescent="0.35">
      <c r="A200" s="984"/>
      <c r="B200" s="984"/>
      <c r="C200" s="984"/>
      <c r="D200" s="984"/>
      <c r="E200" s="984"/>
      <c r="F200" s="984"/>
      <c r="G200" s="984"/>
      <c r="H200" s="984"/>
      <c r="I200" s="984"/>
      <c r="J200" s="984"/>
      <c r="K200" s="984"/>
      <c r="L200" s="984"/>
      <c r="M200" s="984"/>
      <c r="N200" s="984"/>
      <c r="O200" s="984"/>
      <c r="P200" s="984"/>
      <c r="Q200" s="984"/>
      <c r="R200" s="984"/>
      <c r="S200" s="984"/>
      <c r="T200" s="984"/>
      <c r="U200" s="984"/>
      <c r="V200" s="984"/>
      <c r="W200" s="984"/>
      <c r="X200" s="984"/>
      <c r="Y200" s="984"/>
      <c r="Z200" s="984"/>
    </row>
    <row r="201" spans="1:26" ht="18" customHeight="1" x14ac:dyDescent="0.35">
      <c r="A201" s="984"/>
      <c r="B201" s="984"/>
      <c r="C201" s="984"/>
      <c r="D201" s="984"/>
      <c r="E201" s="984"/>
      <c r="F201" s="984"/>
      <c r="G201" s="984"/>
      <c r="H201" s="984"/>
      <c r="I201" s="984"/>
      <c r="J201" s="984"/>
      <c r="K201" s="984"/>
      <c r="L201" s="984"/>
      <c r="M201" s="984"/>
      <c r="N201" s="984"/>
      <c r="O201" s="984"/>
      <c r="P201" s="984"/>
      <c r="Q201" s="984"/>
      <c r="R201" s="984"/>
      <c r="S201" s="984"/>
      <c r="T201" s="984"/>
      <c r="U201" s="984"/>
      <c r="V201" s="984"/>
      <c r="W201" s="984"/>
      <c r="X201" s="984"/>
      <c r="Y201" s="984"/>
      <c r="Z201" s="984"/>
    </row>
    <row r="202" spans="1:26" ht="18" customHeight="1" x14ac:dyDescent="0.35">
      <c r="A202" s="984"/>
      <c r="B202" s="984"/>
      <c r="C202" s="984"/>
      <c r="D202" s="984"/>
      <c r="E202" s="984"/>
      <c r="F202" s="984"/>
      <c r="G202" s="984"/>
      <c r="H202" s="984"/>
      <c r="I202" s="984"/>
      <c r="J202" s="984"/>
      <c r="K202" s="984"/>
      <c r="L202" s="984"/>
      <c r="M202" s="984"/>
      <c r="N202" s="984"/>
      <c r="O202" s="984"/>
      <c r="P202" s="984"/>
      <c r="Q202" s="984"/>
      <c r="R202" s="984"/>
      <c r="S202" s="984"/>
      <c r="T202" s="984"/>
      <c r="U202" s="984"/>
      <c r="V202" s="984"/>
      <c r="W202" s="984"/>
      <c r="X202" s="984"/>
      <c r="Y202" s="984"/>
      <c r="Z202" s="984"/>
    </row>
    <row r="203" spans="1:26" ht="18" customHeight="1" x14ac:dyDescent="0.35">
      <c r="A203" s="984"/>
      <c r="B203" s="984"/>
      <c r="C203" s="984"/>
      <c r="D203" s="984"/>
      <c r="E203" s="984"/>
      <c r="F203" s="984"/>
      <c r="G203" s="984"/>
      <c r="H203" s="984"/>
      <c r="I203" s="984"/>
      <c r="J203" s="984"/>
      <c r="K203" s="984"/>
      <c r="L203" s="984"/>
      <c r="M203" s="984"/>
      <c r="N203" s="984"/>
      <c r="O203" s="984"/>
      <c r="P203" s="984"/>
      <c r="Q203" s="984"/>
      <c r="R203" s="984"/>
      <c r="S203" s="984"/>
      <c r="T203" s="984"/>
      <c r="U203" s="984"/>
      <c r="V203" s="984"/>
      <c r="W203" s="984"/>
      <c r="X203" s="984"/>
      <c r="Y203" s="984"/>
      <c r="Z203" s="984"/>
    </row>
    <row r="204" spans="1:26" ht="18" customHeight="1" x14ac:dyDescent="0.35">
      <c r="A204" s="984"/>
      <c r="B204" s="984"/>
      <c r="C204" s="984"/>
      <c r="D204" s="984"/>
      <c r="E204" s="984"/>
      <c r="F204" s="984"/>
      <c r="G204" s="984"/>
      <c r="H204" s="984"/>
      <c r="I204" s="984"/>
      <c r="J204" s="984"/>
      <c r="K204" s="984"/>
      <c r="L204" s="984"/>
      <c r="M204" s="984"/>
      <c r="N204" s="984"/>
      <c r="O204" s="984"/>
      <c r="P204" s="984"/>
      <c r="Q204" s="984"/>
      <c r="R204" s="984"/>
      <c r="S204" s="984"/>
      <c r="T204" s="984"/>
      <c r="U204" s="984"/>
      <c r="V204" s="984"/>
      <c r="W204" s="984"/>
      <c r="X204" s="984"/>
      <c r="Y204" s="984"/>
      <c r="Z204" s="984"/>
    </row>
    <row r="205" spans="1:26" ht="18" customHeight="1" x14ac:dyDescent="0.35">
      <c r="A205" s="984"/>
      <c r="B205" s="984"/>
      <c r="C205" s="984"/>
      <c r="D205" s="984"/>
      <c r="E205" s="984"/>
      <c r="F205" s="984"/>
      <c r="G205" s="984"/>
      <c r="H205" s="984"/>
      <c r="I205" s="984"/>
      <c r="J205" s="984"/>
      <c r="K205" s="984"/>
      <c r="L205" s="984"/>
      <c r="M205" s="984"/>
      <c r="N205" s="984"/>
      <c r="O205" s="984"/>
      <c r="P205" s="984"/>
      <c r="Q205" s="984"/>
      <c r="R205" s="984"/>
      <c r="S205" s="984"/>
      <c r="T205" s="984"/>
      <c r="U205" s="984"/>
      <c r="V205" s="984"/>
      <c r="W205" s="984"/>
      <c r="X205" s="984"/>
      <c r="Y205" s="984"/>
      <c r="Z205" s="984"/>
    </row>
    <row r="206" spans="1:26" ht="18" customHeight="1" x14ac:dyDescent="0.35">
      <c r="A206" s="984"/>
      <c r="B206" s="984"/>
      <c r="C206" s="984"/>
      <c r="D206" s="984"/>
      <c r="E206" s="984"/>
      <c r="F206" s="984"/>
      <c r="G206" s="984"/>
      <c r="H206" s="984"/>
      <c r="I206" s="984"/>
      <c r="J206" s="984"/>
      <c r="K206" s="984"/>
      <c r="L206" s="984"/>
      <c r="M206" s="984"/>
      <c r="N206" s="984"/>
      <c r="O206" s="984"/>
      <c r="P206" s="984"/>
      <c r="Q206" s="984"/>
      <c r="R206" s="984"/>
      <c r="S206" s="984"/>
      <c r="T206" s="984"/>
      <c r="U206" s="984"/>
      <c r="V206" s="984"/>
      <c r="W206" s="984"/>
      <c r="X206" s="984"/>
      <c r="Y206" s="984"/>
      <c r="Z206" s="984"/>
    </row>
    <row r="207" spans="1:26" ht="18" customHeight="1" x14ac:dyDescent="0.35">
      <c r="A207" s="984"/>
      <c r="B207" s="984"/>
      <c r="C207" s="984"/>
      <c r="D207" s="984"/>
      <c r="E207" s="984"/>
      <c r="F207" s="984"/>
      <c r="G207" s="984"/>
      <c r="H207" s="984"/>
      <c r="I207" s="984"/>
      <c r="J207" s="984"/>
      <c r="K207" s="984"/>
      <c r="L207" s="984"/>
      <c r="M207" s="984"/>
      <c r="N207" s="984"/>
      <c r="O207" s="984"/>
      <c r="P207" s="984"/>
      <c r="Q207" s="984"/>
      <c r="R207" s="984"/>
      <c r="S207" s="984"/>
      <c r="T207" s="984"/>
      <c r="U207" s="984"/>
      <c r="V207" s="984"/>
      <c r="W207" s="984"/>
      <c r="X207" s="984"/>
      <c r="Y207" s="984"/>
      <c r="Z207" s="984"/>
    </row>
    <row r="208" spans="1:26" ht="18" customHeight="1" x14ac:dyDescent="0.35">
      <c r="A208" s="984"/>
      <c r="B208" s="984"/>
      <c r="C208" s="984"/>
      <c r="D208" s="984"/>
      <c r="E208" s="984"/>
      <c r="F208" s="984"/>
      <c r="G208" s="984"/>
      <c r="H208" s="984"/>
      <c r="I208" s="984"/>
      <c r="J208" s="984"/>
      <c r="K208" s="984"/>
      <c r="L208" s="984"/>
      <c r="M208" s="984"/>
      <c r="N208" s="984"/>
      <c r="O208" s="984"/>
      <c r="P208" s="984"/>
      <c r="Q208" s="984"/>
      <c r="R208" s="984"/>
      <c r="S208" s="984"/>
      <c r="T208" s="984"/>
      <c r="U208" s="984"/>
      <c r="V208" s="984"/>
      <c r="W208" s="984"/>
      <c r="X208" s="984"/>
      <c r="Y208" s="984"/>
      <c r="Z208" s="984"/>
    </row>
    <row r="209" spans="1:26" ht="18" customHeight="1" x14ac:dyDescent="0.35">
      <c r="A209" s="984"/>
      <c r="B209" s="984"/>
      <c r="C209" s="984"/>
      <c r="D209" s="984"/>
      <c r="E209" s="984"/>
      <c r="F209" s="984"/>
      <c r="G209" s="984"/>
      <c r="H209" s="984"/>
      <c r="I209" s="984"/>
      <c r="J209" s="984"/>
      <c r="K209" s="984"/>
      <c r="L209" s="984"/>
      <c r="M209" s="984"/>
      <c r="N209" s="984"/>
      <c r="O209" s="984"/>
      <c r="P209" s="984"/>
      <c r="Q209" s="984"/>
      <c r="R209" s="984"/>
      <c r="S209" s="984"/>
      <c r="T209" s="984"/>
      <c r="U209" s="984"/>
      <c r="V209" s="984"/>
      <c r="W209" s="984"/>
      <c r="X209" s="984"/>
      <c r="Y209" s="984"/>
      <c r="Z209" s="984"/>
    </row>
    <row r="210" spans="1:26" ht="18" customHeight="1" x14ac:dyDescent="0.35">
      <c r="A210" s="984"/>
      <c r="B210" s="984"/>
      <c r="C210" s="984"/>
      <c r="D210" s="984"/>
      <c r="E210" s="984"/>
      <c r="F210" s="984"/>
      <c r="G210" s="984"/>
      <c r="H210" s="984"/>
      <c r="I210" s="984"/>
      <c r="J210" s="984"/>
      <c r="K210" s="984"/>
      <c r="L210" s="984"/>
      <c r="M210" s="984"/>
      <c r="N210" s="984"/>
      <c r="O210" s="984"/>
      <c r="P210" s="984"/>
      <c r="Q210" s="984"/>
      <c r="R210" s="984"/>
      <c r="S210" s="984"/>
      <c r="T210" s="984"/>
      <c r="U210" s="984"/>
      <c r="V210" s="984"/>
      <c r="W210" s="984"/>
      <c r="X210" s="984"/>
      <c r="Y210" s="984"/>
      <c r="Z210" s="984"/>
    </row>
    <row r="211" spans="1:26" ht="18" customHeight="1" x14ac:dyDescent="0.35">
      <c r="A211" s="984"/>
      <c r="B211" s="984"/>
      <c r="C211" s="984"/>
      <c r="D211" s="984"/>
      <c r="E211" s="984"/>
      <c r="F211" s="984"/>
      <c r="G211" s="984"/>
      <c r="H211" s="984"/>
      <c r="I211" s="984"/>
      <c r="J211" s="984"/>
      <c r="K211" s="984"/>
      <c r="L211" s="984"/>
      <c r="M211" s="984"/>
      <c r="N211" s="984"/>
      <c r="O211" s="984"/>
      <c r="P211" s="984"/>
      <c r="Q211" s="984"/>
      <c r="R211" s="984"/>
      <c r="S211" s="984"/>
      <c r="T211" s="984"/>
      <c r="U211" s="984"/>
      <c r="V211" s="984"/>
      <c r="W211" s="984"/>
      <c r="X211" s="984"/>
      <c r="Y211" s="984"/>
      <c r="Z211" s="984"/>
    </row>
    <row r="212" spans="1:26" ht="18" customHeight="1" x14ac:dyDescent="0.35">
      <c r="A212" s="984"/>
      <c r="B212" s="984"/>
      <c r="C212" s="984"/>
      <c r="D212" s="984"/>
      <c r="E212" s="984"/>
      <c r="F212" s="984"/>
      <c r="G212" s="984"/>
      <c r="H212" s="984"/>
      <c r="I212" s="984"/>
      <c r="J212" s="984"/>
      <c r="K212" s="984"/>
      <c r="L212" s="984"/>
      <c r="M212" s="984"/>
      <c r="N212" s="984"/>
      <c r="O212" s="984"/>
      <c r="P212" s="984"/>
      <c r="Q212" s="984"/>
      <c r="R212" s="984"/>
      <c r="S212" s="984"/>
      <c r="T212" s="984"/>
      <c r="U212" s="984"/>
      <c r="V212" s="984"/>
      <c r="W212" s="984"/>
      <c r="X212" s="984"/>
      <c r="Y212" s="984"/>
      <c r="Z212" s="984"/>
    </row>
    <row r="213" spans="1:26" ht="18" customHeight="1" x14ac:dyDescent="0.35">
      <c r="A213" s="984"/>
      <c r="B213" s="984"/>
      <c r="C213" s="984"/>
      <c r="D213" s="984"/>
      <c r="E213" s="984"/>
      <c r="F213" s="984"/>
      <c r="G213" s="984"/>
      <c r="H213" s="984"/>
      <c r="I213" s="984"/>
      <c r="J213" s="984"/>
      <c r="K213" s="984"/>
      <c r="L213" s="984"/>
      <c r="M213" s="984"/>
      <c r="N213" s="984"/>
      <c r="O213" s="984"/>
      <c r="P213" s="984"/>
      <c r="Q213" s="984"/>
      <c r="R213" s="984"/>
      <c r="S213" s="984"/>
      <c r="T213" s="984"/>
      <c r="U213" s="984"/>
      <c r="V213" s="984"/>
      <c r="W213" s="984"/>
      <c r="X213" s="984"/>
      <c r="Y213" s="984"/>
      <c r="Z213" s="984"/>
    </row>
    <row r="214" spans="1:26" ht="18" customHeight="1" x14ac:dyDescent="0.35">
      <c r="A214" s="984"/>
      <c r="B214" s="984"/>
      <c r="C214" s="984"/>
      <c r="D214" s="984"/>
      <c r="E214" s="984"/>
      <c r="F214" s="984"/>
      <c r="G214" s="984"/>
      <c r="H214" s="984"/>
      <c r="I214" s="984"/>
      <c r="J214" s="984"/>
      <c r="K214" s="984"/>
      <c r="L214" s="984"/>
      <c r="M214" s="984"/>
      <c r="N214" s="984"/>
      <c r="O214" s="984"/>
      <c r="P214" s="984"/>
      <c r="Q214" s="984"/>
      <c r="R214" s="984"/>
      <c r="S214" s="984"/>
      <c r="T214" s="984"/>
      <c r="U214" s="984"/>
      <c r="V214" s="984"/>
      <c r="W214" s="984"/>
      <c r="X214" s="984"/>
      <c r="Y214" s="984"/>
      <c r="Z214" s="984"/>
    </row>
    <row r="215" spans="1:26" ht="18" customHeight="1" x14ac:dyDescent="0.35">
      <c r="A215" s="984"/>
      <c r="B215" s="984"/>
      <c r="C215" s="984"/>
      <c r="D215" s="984"/>
      <c r="E215" s="984"/>
      <c r="F215" s="984"/>
      <c r="G215" s="984"/>
      <c r="H215" s="984"/>
      <c r="I215" s="984"/>
      <c r="J215" s="984"/>
      <c r="K215" s="984"/>
      <c r="L215" s="984"/>
      <c r="M215" s="984"/>
      <c r="N215" s="984"/>
      <c r="O215" s="984"/>
      <c r="P215" s="984"/>
      <c r="Q215" s="984"/>
      <c r="R215" s="984"/>
      <c r="S215" s="984"/>
      <c r="T215" s="984"/>
      <c r="U215" s="984"/>
      <c r="V215" s="984"/>
      <c r="W215" s="984"/>
      <c r="X215" s="984"/>
      <c r="Y215" s="984"/>
      <c r="Z215" s="984"/>
    </row>
    <row r="216" spans="1:26" ht="18" customHeight="1" x14ac:dyDescent="0.35">
      <c r="A216" s="984"/>
      <c r="B216" s="984"/>
      <c r="C216" s="984"/>
      <c r="D216" s="984"/>
      <c r="E216" s="984"/>
      <c r="F216" s="984"/>
      <c r="G216" s="984"/>
      <c r="H216" s="984"/>
      <c r="I216" s="984"/>
      <c r="J216" s="984"/>
      <c r="K216" s="984"/>
      <c r="L216" s="984"/>
      <c r="M216" s="984"/>
      <c r="N216" s="984"/>
      <c r="O216" s="984"/>
      <c r="P216" s="984"/>
      <c r="Q216" s="984"/>
      <c r="R216" s="984"/>
      <c r="S216" s="984"/>
      <c r="T216" s="984"/>
      <c r="U216" s="984"/>
      <c r="V216" s="984"/>
      <c r="W216" s="984"/>
      <c r="X216" s="984"/>
      <c r="Y216" s="984"/>
      <c r="Z216" s="984"/>
    </row>
    <row r="217" spans="1:26" ht="18" customHeight="1" x14ac:dyDescent="0.35">
      <c r="A217" s="984"/>
      <c r="B217" s="984"/>
      <c r="C217" s="984"/>
      <c r="D217" s="984"/>
      <c r="E217" s="984"/>
      <c r="F217" s="984"/>
      <c r="G217" s="984"/>
      <c r="H217" s="984"/>
      <c r="I217" s="984"/>
      <c r="J217" s="984"/>
      <c r="K217" s="984"/>
      <c r="L217" s="984"/>
      <c r="M217" s="984"/>
      <c r="N217" s="984"/>
      <c r="O217" s="984"/>
      <c r="P217" s="984"/>
      <c r="Q217" s="984"/>
      <c r="R217" s="984"/>
      <c r="S217" s="984"/>
      <c r="T217" s="984"/>
      <c r="U217" s="984"/>
      <c r="V217" s="984"/>
      <c r="W217" s="984"/>
      <c r="X217" s="984"/>
      <c r="Y217" s="984"/>
      <c r="Z217" s="984"/>
    </row>
    <row r="218" spans="1:26" ht="18" customHeight="1" x14ac:dyDescent="0.35">
      <c r="A218" s="984"/>
      <c r="B218" s="984"/>
      <c r="C218" s="984"/>
      <c r="D218" s="984"/>
      <c r="E218" s="984"/>
      <c r="F218" s="984"/>
      <c r="G218" s="984"/>
      <c r="H218" s="984"/>
      <c r="I218" s="984"/>
      <c r="J218" s="984"/>
      <c r="K218" s="984"/>
      <c r="L218" s="984"/>
      <c r="M218" s="984"/>
      <c r="N218" s="984"/>
      <c r="O218" s="984"/>
      <c r="P218" s="984"/>
      <c r="Q218" s="984"/>
      <c r="R218" s="984"/>
      <c r="S218" s="984"/>
      <c r="T218" s="984"/>
      <c r="U218" s="984"/>
      <c r="V218" s="984"/>
      <c r="W218" s="984"/>
      <c r="X218" s="984"/>
      <c r="Y218" s="984"/>
      <c r="Z218" s="984"/>
    </row>
    <row r="219" spans="1:26" ht="18" customHeight="1" x14ac:dyDescent="0.35">
      <c r="A219" s="984"/>
      <c r="B219" s="984"/>
      <c r="C219" s="984"/>
      <c r="D219" s="984"/>
      <c r="E219" s="984"/>
      <c r="F219" s="984"/>
      <c r="G219" s="984"/>
      <c r="H219" s="984"/>
      <c r="I219" s="984"/>
      <c r="J219" s="984"/>
      <c r="K219" s="984"/>
      <c r="L219" s="984"/>
      <c r="M219" s="984"/>
      <c r="N219" s="984"/>
      <c r="O219" s="984"/>
      <c r="P219" s="984"/>
      <c r="Q219" s="984"/>
      <c r="R219" s="984"/>
      <c r="S219" s="984"/>
      <c r="T219" s="984"/>
      <c r="U219" s="984"/>
      <c r="V219" s="984"/>
      <c r="W219" s="984"/>
      <c r="X219" s="984"/>
      <c r="Y219" s="984"/>
      <c r="Z219" s="984"/>
    </row>
    <row r="220" spans="1:26" ht="18" customHeight="1" x14ac:dyDescent="0.35">
      <c r="A220" s="984"/>
      <c r="B220" s="984"/>
      <c r="C220" s="984"/>
      <c r="D220" s="984"/>
      <c r="E220" s="984"/>
      <c r="F220" s="984"/>
      <c r="G220" s="984"/>
      <c r="H220" s="984"/>
      <c r="I220" s="984"/>
      <c r="J220" s="984"/>
      <c r="K220" s="984"/>
      <c r="L220" s="984"/>
      <c r="M220" s="984"/>
      <c r="N220" s="984"/>
      <c r="O220" s="984"/>
      <c r="P220" s="984"/>
      <c r="Q220" s="984"/>
      <c r="R220" s="984"/>
      <c r="S220" s="984"/>
      <c r="T220" s="984"/>
      <c r="U220" s="984"/>
      <c r="V220" s="984"/>
      <c r="W220" s="984"/>
      <c r="X220" s="984"/>
      <c r="Y220" s="984"/>
      <c r="Z220" s="984"/>
    </row>
    <row r="221" spans="1:26" ht="18" customHeight="1" x14ac:dyDescent="0.35">
      <c r="A221" s="984"/>
      <c r="B221" s="984"/>
      <c r="C221" s="984"/>
      <c r="D221" s="984"/>
      <c r="E221" s="984"/>
      <c r="F221" s="984"/>
      <c r="G221" s="984"/>
      <c r="H221" s="984"/>
      <c r="I221" s="984"/>
      <c r="J221" s="984"/>
      <c r="K221" s="984"/>
      <c r="L221" s="984"/>
      <c r="M221" s="984"/>
      <c r="N221" s="984"/>
      <c r="O221" s="984"/>
      <c r="P221" s="984"/>
      <c r="Q221" s="984"/>
      <c r="R221" s="984"/>
      <c r="S221" s="984"/>
      <c r="T221" s="984"/>
      <c r="U221" s="984"/>
      <c r="V221" s="984"/>
      <c r="W221" s="984"/>
      <c r="X221" s="984"/>
      <c r="Y221" s="984"/>
      <c r="Z221" s="984"/>
    </row>
    <row r="222" spans="1:26" ht="18" customHeight="1" x14ac:dyDescent="0.35">
      <c r="A222" s="984"/>
      <c r="B222" s="984"/>
      <c r="C222" s="984"/>
      <c r="D222" s="984"/>
      <c r="E222" s="984"/>
      <c r="F222" s="984"/>
      <c r="G222" s="984"/>
      <c r="H222" s="984"/>
      <c r="I222" s="984"/>
      <c r="J222" s="984"/>
      <c r="K222" s="984"/>
      <c r="L222" s="984"/>
      <c r="M222" s="984"/>
      <c r="N222" s="984"/>
      <c r="O222" s="984"/>
      <c r="P222" s="984"/>
      <c r="Q222" s="984"/>
      <c r="R222" s="984"/>
      <c r="S222" s="984"/>
      <c r="T222" s="984"/>
      <c r="U222" s="984"/>
      <c r="V222" s="984"/>
      <c r="W222" s="984"/>
      <c r="X222" s="984"/>
      <c r="Y222" s="984"/>
      <c r="Z222" s="984"/>
    </row>
    <row r="223" spans="1:26" ht="18" customHeight="1" x14ac:dyDescent="0.35">
      <c r="A223" s="984"/>
      <c r="B223" s="984"/>
      <c r="C223" s="984"/>
      <c r="D223" s="984"/>
      <c r="E223" s="984"/>
      <c r="F223" s="984"/>
      <c r="G223" s="984"/>
      <c r="H223" s="984"/>
      <c r="I223" s="984"/>
      <c r="J223" s="984"/>
      <c r="K223" s="984"/>
      <c r="L223" s="984"/>
      <c r="M223" s="984"/>
      <c r="N223" s="984"/>
      <c r="O223" s="984"/>
      <c r="P223" s="984"/>
      <c r="Q223" s="984"/>
      <c r="R223" s="984"/>
      <c r="S223" s="984"/>
      <c r="T223" s="984"/>
      <c r="U223" s="984"/>
      <c r="V223" s="984"/>
      <c r="W223" s="984"/>
      <c r="X223" s="984"/>
      <c r="Y223" s="984"/>
      <c r="Z223" s="984"/>
    </row>
    <row r="224" spans="1:26" ht="18" customHeight="1" x14ac:dyDescent="0.35">
      <c r="A224" s="984"/>
      <c r="B224" s="984"/>
      <c r="C224" s="984"/>
      <c r="D224" s="984"/>
      <c r="E224" s="984"/>
      <c r="F224" s="984"/>
      <c r="G224" s="984"/>
      <c r="H224" s="984"/>
      <c r="I224" s="984"/>
      <c r="J224" s="984"/>
      <c r="K224" s="984"/>
      <c r="L224" s="984"/>
      <c r="M224" s="984"/>
      <c r="N224" s="984"/>
      <c r="O224" s="984"/>
      <c r="P224" s="984"/>
      <c r="Q224" s="984"/>
      <c r="R224" s="984"/>
      <c r="S224" s="984"/>
      <c r="T224" s="984"/>
      <c r="U224" s="984"/>
      <c r="V224" s="984"/>
      <c r="W224" s="984"/>
      <c r="X224" s="984"/>
      <c r="Y224" s="984"/>
      <c r="Z224" s="984"/>
    </row>
    <row r="225" spans="1:26" ht="18" customHeight="1" x14ac:dyDescent="0.35">
      <c r="A225" s="984"/>
      <c r="B225" s="984"/>
      <c r="C225" s="984"/>
      <c r="D225" s="984"/>
      <c r="E225" s="984"/>
      <c r="F225" s="984"/>
      <c r="G225" s="984"/>
      <c r="H225" s="984"/>
      <c r="I225" s="984"/>
      <c r="J225" s="984"/>
      <c r="K225" s="984"/>
      <c r="L225" s="984"/>
      <c r="M225" s="984"/>
      <c r="N225" s="984"/>
      <c r="O225" s="984"/>
      <c r="P225" s="984"/>
      <c r="Q225" s="984"/>
      <c r="R225" s="984"/>
      <c r="S225" s="984"/>
      <c r="T225" s="984"/>
      <c r="U225" s="984"/>
      <c r="V225" s="984"/>
      <c r="W225" s="984"/>
      <c r="X225" s="984"/>
      <c r="Y225" s="984"/>
      <c r="Z225" s="984"/>
    </row>
    <row r="226" spans="1:26" ht="18" customHeight="1" x14ac:dyDescent="0.35">
      <c r="A226" s="984"/>
      <c r="B226" s="984"/>
      <c r="C226" s="984"/>
      <c r="D226" s="984"/>
      <c r="E226" s="984"/>
      <c r="F226" s="984"/>
      <c r="G226" s="984"/>
      <c r="H226" s="984"/>
      <c r="I226" s="984"/>
      <c r="J226" s="984"/>
      <c r="K226" s="984"/>
      <c r="L226" s="984"/>
      <c r="M226" s="984"/>
      <c r="N226" s="984"/>
      <c r="O226" s="984"/>
      <c r="P226" s="984"/>
      <c r="Q226" s="984"/>
      <c r="R226" s="984"/>
      <c r="S226" s="984"/>
      <c r="T226" s="984"/>
      <c r="U226" s="984"/>
      <c r="V226" s="984"/>
      <c r="W226" s="984"/>
      <c r="X226" s="984"/>
      <c r="Y226" s="984"/>
      <c r="Z226" s="984"/>
    </row>
    <row r="227" spans="1:26" ht="18" customHeight="1" x14ac:dyDescent="0.35">
      <c r="A227" s="984"/>
      <c r="B227" s="984"/>
      <c r="C227" s="984"/>
      <c r="D227" s="984"/>
      <c r="E227" s="984"/>
      <c r="F227" s="984"/>
      <c r="G227" s="984"/>
      <c r="H227" s="984"/>
      <c r="I227" s="984"/>
      <c r="J227" s="984"/>
      <c r="K227" s="984"/>
      <c r="L227" s="984"/>
      <c r="M227" s="984"/>
      <c r="N227" s="984"/>
      <c r="O227" s="984"/>
      <c r="P227" s="984"/>
      <c r="Q227" s="984"/>
      <c r="R227" s="984"/>
      <c r="S227" s="984"/>
      <c r="T227" s="984"/>
      <c r="U227" s="984"/>
      <c r="V227" s="984"/>
      <c r="W227" s="984"/>
      <c r="X227" s="984"/>
      <c r="Y227" s="984"/>
      <c r="Z227" s="984"/>
    </row>
    <row r="228" spans="1:26" ht="18" customHeight="1" x14ac:dyDescent="0.35">
      <c r="A228" s="984"/>
      <c r="B228" s="984"/>
      <c r="C228" s="984"/>
      <c r="D228" s="984"/>
      <c r="E228" s="984"/>
      <c r="F228" s="984"/>
      <c r="G228" s="984"/>
      <c r="H228" s="984"/>
      <c r="I228" s="984"/>
      <c r="J228" s="984"/>
      <c r="K228" s="984"/>
      <c r="L228" s="984"/>
      <c r="M228" s="984"/>
      <c r="N228" s="984"/>
      <c r="O228" s="984"/>
      <c r="P228" s="984"/>
      <c r="Q228" s="984"/>
      <c r="R228" s="984"/>
      <c r="S228" s="984"/>
      <c r="T228" s="984"/>
      <c r="U228" s="984"/>
      <c r="V228" s="984"/>
      <c r="W228" s="984"/>
      <c r="X228" s="984"/>
      <c r="Y228" s="984"/>
      <c r="Z228" s="984"/>
    </row>
    <row r="229" spans="1:26" ht="18" customHeight="1" x14ac:dyDescent="0.35">
      <c r="A229" s="984"/>
      <c r="B229" s="984"/>
      <c r="C229" s="984"/>
      <c r="D229" s="984"/>
      <c r="E229" s="984"/>
      <c r="F229" s="984"/>
      <c r="G229" s="984"/>
      <c r="H229" s="984"/>
      <c r="I229" s="984"/>
      <c r="J229" s="984"/>
      <c r="K229" s="984"/>
      <c r="L229" s="984"/>
      <c r="M229" s="984"/>
      <c r="N229" s="984"/>
      <c r="O229" s="984"/>
      <c r="P229" s="984"/>
      <c r="Q229" s="984"/>
      <c r="R229" s="984"/>
      <c r="S229" s="984"/>
      <c r="T229" s="984"/>
      <c r="U229" s="984"/>
      <c r="V229" s="984"/>
      <c r="W229" s="984"/>
      <c r="X229" s="984"/>
      <c r="Y229" s="984"/>
      <c r="Z229" s="984"/>
    </row>
    <row r="230" spans="1:26" ht="18" customHeight="1" x14ac:dyDescent="0.35">
      <c r="A230" s="984"/>
      <c r="B230" s="984"/>
      <c r="C230" s="984"/>
      <c r="D230" s="984"/>
      <c r="E230" s="984"/>
      <c r="F230" s="984"/>
      <c r="G230" s="984"/>
      <c r="H230" s="984"/>
      <c r="I230" s="984"/>
      <c r="J230" s="984"/>
      <c r="K230" s="984"/>
      <c r="L230" s="984"/>
      <c r="M230" s="984"/>
      <c r="N230" s="984"/>
      <c r="O230" s="984"/>
      <c r="P230" s="984"/>
      <c r="Q230" s="984"/>
      <c r="R230" s="984"/>
      <c r="S230" s="984"/>
      <c r="T230" s="984"/>
      <c r="U230" s="984"/>
      <c r="V230" s="984"/>
      <c r="W230" s="984"/>
      <c r="X230" s="984"/>
      <c r="Y230" s="984"/>
      <c r="Z230" s="984"/>
    </row>
    <row r="231" spans="1:26" ht="18" customHeight="1" x14ac:dyDescent="0.35">
      <c r="A231" s="984"/>
      <c r="B231" s="984"/>
      <c r="C231" s="984"/>
      <c r="D231" s="984"/>
      <c r="E231" s="984"/>
      <c r="F231" s="984"/>
      <c r="G231" s="984"/>
      <c r="H231" s="984"/>
      <c r="I231" s="984"/>
      <c r="J231" s="984"/>
      <c r="K231" s="984"/>
      <c r="L231" s="984"/>
      <c r="M231" s="984"/>
      <c r="N231" s="984"/>
      <c r="O231" s="984"/>
      <c r="P231" s="984"/>
      <c r="Q231" s="984"/>
      <c r="R231" s="984"/>
      <c r="S231" s="984"/>
      <c r="T231" s="984"/>
      <c r="U231" s="984"/>
      <c r="V231" s="984"/>
      <c r="W231" s="984"/>
      <c r="X231" s="984"/>
      <c r="Y231" s="984"/>
      <c r="Z231" s="984"/>
    </row>
    <row r="232" spans="1:26" ht="18" customHeight="1" x14ac:dyDescent="0.35">
      <c r="A232" s="984"/>
      <c r="B232" s="984"/>
      <c r="C232" s="984"/>
      <c r="D232" s="984"/>
      <c r="E232" s="984"/>
      <c r="F232" s="984"/>
      <c r="G232" s="984"/>
      <c r="H232" s="984"/>
      <c r="I232" s="984"/>
      <c r="J232" s="984"/>
      <c r="K232" s="984"/>
      <c r="L232" s="984"/>
      <c r="M232" s="984"/>
      <c r="N232" s="984"/>
      <c r="O232" s="984"/>
      <c r="P232" s="984"/>
      <c r="Q232" s="984"/>
      <c r="R232" s="984"/>
      <c r="S232" s="984"/>
      <c r="T232" s="984"/>
      <c r="U232" s="984"/>
      <c r="V232" s="984"/>
      <c r="W232" s="984"/>
      <c r="X232" s="984"/>
      <c r="Y232" s="984"/>
      <c r="Z232" s="984"/>
    </row>
    <row r="233" spans="1:26" ht="18" customHeight="1" x14ac:dyDescent="0.35">
      <c r="A233" s="984"/>
      <c r="B233" s="984"/>
      <c r="C233" s="984"/>
      <c r="D233" s="984"/>
      <c r="E233" s="984"/>
      <c r="F233" s="984"/>
      <c r="G233" s="984"/>
      <c r="H233" s="984"/>
      <c r="I233" s="984"/>
      <c r="J233" s="984"/>
      <c r="K233" s="984"/>
      <c r="L233" s="984"/>
      <c r="M233" s="984"/>
      <c r="N233" s="984"/>
      <c r="O233" s="984"/>
      <c r="P233" s="984"/>
      <c r="Q233" s="984"/>
      <c r="R233" s="984"/>
      <c r="S233" s="984"/>
      <c r="T233" s="984"/>
      <c r="U233" s="984"/>
      <c r="V233" s="984"/>
      <c r="W233" s="984"/>
      <c r="X233" s="984"/>
      <c r="Y233" s="984"/>
      <c r="Z233" s="984"/>
    </row>
    <row r="234" spans="1:26" ht="18" customHeight="1" x14ac:dyDescent="0.35">
      <c r="A234" s="984"/>
      <c r="B234" s="984"/>
      <c r="C234" s="984"/>
      <c r="D234" s="984"/>
      <c r="E234" s="984"/>
      <c r="F234" s="984"/>
      <c r="G234" s="984"/>
      <c r="H234" s="984"/>
      <c r="I234" s="984"/>
      <c r="J234" s="984"/>
      <c r="K234" s="984"/>
      <c r="L234" s="984"/>
      <c r="M234" s="984"/>
      <c r="N234" s="984"/>
      <c r="O234" s="984"/>
      <c r="P234" s="984"/>
      <c r="Q234" s="984"/>
      <c r="R234" s="984"/>
      <c r="S234" s="984"/>
      <c r="T234" s="984"/>
      <c r="U234" s="984"/>
      <c r="V234" s="984"/>
      <c r="W234" s="984"/>
      <c r="X234" s="984"/>
      <c r="Y234" s="984"/>
      <c r="Z234" s="984"/>
    </row>
    <row r="235" spans="1:26" ht="18" customHeight="1" x14ac:dyDescent="0.35">
      <c r="A235" s="984"/>
      <c r="B235" s="984"/>
      <c r="C235" s="984"/>
      <c r="D235" s="984"/>
      <c r="E235" s="984"/>
      <c r="F235" s="984"/>
      <c r="G235" s="984"/>
      <c r="H235" s="984"/>
      <c r="I235" s="984"/>
      <c r="J235" s="984"/>
      <c r="K235" s="984"/>
      <c r="L235" s="984"/>
      <c r="M235" s="984"/>
      <c r="N235" s="984"/>
      <c r="O235" s="984"/>
      <c r="P235" s="984"/>
      <c r="Q235" s="984"/>
      <c r="R235" s="984"/>
      <c r="S235" s="984"/>
      <c r="T235" s="984"/>
      <c r="U235" s="984"/>
      <c r="V235" s="984"/>
      <c r="W235" s="984"/>
      <c r="X235" s="984"/>
      <c r="Y235" s="984"/>
      <c r="Z235" s="984"/>
    </row>
    <row r="236" spans="1:26" ht="18" customHeight="1" x14ac:dyDescent="0.35">
      <c r="A236" s="984"/>
      <c r="B236" s="984"/>
      <c r="C236" s="984"/>
      <c r="D236" s="984"/>
      <c r="E236" s="984"/>
      <c r="F236" s="984"/>
      <c r="G236" s="984"/>
      <c r="H236" s="984"/>
      <c r="I236" s="984"/>
      <c r="J236" s="984"/>
      <c r="K236" s="984"/>
      <c r="L236" s="984"/>
      <c r="M236" s="984"/>
      <c r="N236" s="984"/>
      <c r="O236" s="984"/>
      <c r="P236" s="984"/>
      <c r="Q236" s="984"/>
      <c r="R236" s="984"/>
      <c r="S236" s="984"/>
      <c r="T236" s="984"/>
      <c r="U236" s="984"/>
      <c r="V236" s="984"/>
      <c r="W236" s="984"/>
      <c r="X236" s="984"/>
      <c r="Y236" s="984"/>
      <c r="Z236" s="984"/>
    </row>
    <row r="237" spans="1:26" ht="18" customHeight="1" x14ac:dyDescent="0.35">
      <c r="A237" s="984"/>
      <c r="B237" s="984"/>
      <c r="C237" s="984"/>
      <c r="D237" s="984"/>
      <c r="E237" s="984"/>
      <c r="F237" s="984"/>
      <c r="G237" s="984"/>
      <c r="H237" s="984"/>
      <c r="I237" s="984"/>
      <c r="J237" s="984"/>
      <c r="K237" s="984"/>
      <c r="L237" s="984"/>
      <c r="M237" s="984"/>
      <c r="N237" s="984"/>
      <c r="O237" s="984"/>
      <c r="P237" s="984"/>
      <c r="Q237" s="984"/>
      <c r="R237" s="984"/>
      <c r="S237" s="984"/>
      <c r="T237" s="984"/>
      <c r="U237" s="984"/>
      <c r="V237" s="984"/>
      <c r="W237" s="984"/>
      <c r="X237" s="984"/>
      <c r="Y237" s="984"/>
      <c r="Z237" s="984"/>
    </row>
    <row r="238" spans="1:26" ht="18" customHeight="1" x14ac:dyDescent="0.35">
      <c r="A238" s="984"/>
      <c r="B238" s="984"/>
      <c r="C238" s="984"/>
      <c r="D238" s="984"/>
      <c r="E238" s="984"/>
      <c r="F238" s="984"/>
      <c r="G238" s="984"/>
      <c r="H238" s="984"/>
      <c r="I238" s="984"/>
      <c r="J238" s="984"/>
      <c r="K238" s="984"/>
      <c r="L238" s="984"/>
      <c r="M238" s="984"/>
      <c r="N238" s="984"/>
      <c r="O238" s="984"/>
      <c r="P238" s="984"/>
      <c r="Q238" s="984"/>
      <c r="R238" s="984"/>
      <c r="S238" s="984"/>
      <c r="T238" s="984"/>
      <c r="U238" s="984"/>
      <c r="V238" s="984"/>
      <c r="W238" s="984"/>
      <c r="X238" s="984"/>
      <c r="Y238" s="984"/>
      <c r="Z238" s="984"/>
    </row>
    <row r="239" spans="1:26" ht="18" customHeight="1" x14ac:dyDescent="0.35">
      <c r="A239" s="984"/>
      <c r="B239" s="984"/>
      <c r="C239" s="984"/>
      <c r="D239" s="984"/>
      <c r="E239" s="984"/>
      <c r="F239" s="984"/>
      <c r="G239" s="984"/>
      <c r="H239" s="984"/>
      <c r="I239" s="984"/>
      <c r="J239" s="984"/>
      <c r="K239" s="984"/>
      <c r="L239" s="984"/>
      <c r="M239" s="984"/>
      <c r="N239" s="984"/>
      <c r="O239" s="984"/>
      <c r="P239" s="984"/>
      <c r="Q239" s="984"/>
      <c r="R239" s="984"/>
      <c r="S239" s="984"/>
      <c r="T239" s="984"/>
      <c r="U239" s="984"/>
      <c r="V239" s="984"/>
      <c r="W239" s="984"/>
      <c r="X239" s="984"/>
      <c r="Y239" s="984"/>
      <c r="Z239" s="984"/>
    </row>
    <row r="240" spans="1:26" ht="18" customHeight="1" x14ac:dyDescent="0.35">
      <c r="A240" s="984"/>
      <c r="B240" s="984"/>
      <c r="C240" s="984"/>
      <c r="D240" s="984"/>
      <c r="E240" s="984"/>
      <c r="F240" s="984"/>
      <c r="G240" s="984"/>
      <c r="H240" s="984"/>
      <c r="I240" s="984"/>
      <c r="J240" s="984"/>
      <c r="K240" s="984"/>
      <c r="L240" s="984"/>
      <c r="M240" s="984"/>
      <c r="N240" s="984"/>
      <c r="O240" s="984"/>
      <c r="P240" s="984"/>
      <c r="Q240" s="984"/>
      <c r="R240" s="984"/>
      <c r="S240" s="984"/>
      <c r="T240" s="984"/>
      <c r="U240" s="984"/>
      <c r="V240" s="984"/>
      <c r="W240" s="984"/>
      <c r="X240" s="984"/>
      <c r="Y240" s="984"/>
      <c r="Z240" s="984"/>
    </row>
    <row r="241" spans="1:26" ht="18" customHeight="1" x14ac:dyDescent="0.35">
      <c r="A241" s="984"/>
      <c r="B241" s="984"/>
      <c r="C241" s="984"/>
      <c r="D241" s="984"/>
      <c r="E241" s="984"/>
      <c r="F241" s="984"/>
      <c r="G241" s="984"/>
      <c r="H241" s="984"/>
      <c r="I241" s="984"/>
      <c r="J241" s="984"/>
      <c r="K241" s="984"/>
      <c r="L241" s="984"/>
      <c r="M241" s="984"/>
      <c r="N241" s="984"/>
      <c r="O241" s="984"/>
      <c r="P241" s="984"/>
      <c r="Q241" s="984"/>
      <c r="R241" s="984"/>
      <c r="S241" s="984"/>
      <c r="T241" s="984"/>
      <c r="U241" s="984"/>
      <c r="V241" s="984"/>
      <c r="W241" s="984"/>
      <c r="X241" s="984"/>
      <c r="Y241" s="984"/>
      <c r="Z241" s="984"/>
    </row>
    <row r="242" spans="1:26" ht="18" customHeight="1" x14ac:dyDescent="0.35">
      <c r="A242" s="984"/>
      <c r="B242" s="984"/>
      <c r="C242" s="984"/>
      <c r="D242" s="984"/>
      <c r="E242" s="984"/>
      <c r="F242" s="984"/>
      <c r="G242" s="984"/>
      <c r="H242" s="984"/>
      <c r="I242" s="984"/>
      <c r="J242" s="984"/>
      <c r="K242" s="984"/>
      <c r="L242" s="984"/>
      <c r="M242" s="984"/>
      <c r="N242" s="984"/>
      <c r="O242" s="984"/>
      <c r="P242" s="984"/>
      <c r="Q242" s="984"/>
      <c r="R242" s="984"/>
      <c r="S242" s="984"/>
      <c r="T242" s="984"/>
      <c r="U242" s="984"/>
      <c r="V242" s="984"/>
      <c r="W242" s="984"/>
      <c r="X242" s="984"/>
      <c r="Y242" s="984"/>
      <c r="Z242" s="984"/>
    </row>
    <row r="243" spans="1:26" ht="18" customHeight="1" x14ac:dyDescent="0.35">
      <c r="A243" s="984"/>
      <c r="B243" s="984"/>
      <c r="C243" s="984"/>
      <c r="D243" s="984"/>
      <c r="E243" s="984"/>
      <c r="F243" s="984"/>
      <c r="G243" s="984"/>
      <c r="H243" s="984"/>
      <c r="I243" s="984"/>
      <c r="J243" s="984"/>
      <c r="K243" s="984"/>
      <c r="L243" s="984"/>
      <c r="M243" s="984"/>
      <c r="N243" s="984"/>
      <c r="O243" s="984"/>
      <c r="P243" s="984"/>
      <c r="Q243" s="984"/>
      <c r="R243" s="984"/>
      <c r="S243" s="984"/>
      <c r="T243" s="984"/>
      <c r="U243" s="984"/>
      <c r="V243" s="984"/>
      <c r="W243" s="984"/>
      <c r="X243" s="984"/>
      <c r="Y243" s="984"/>
      <c r="Z243" s="984"/>
    </row>
    <row r="244" spans="1:26" ht="18" customHeight="1" x14ac:dyDescent="0.35">
      <c r="A244" s="984"/>
      <c r="B244" s="984"/>
      <c r="C244" s="984"/>
      <c r="D244" s="984"/>
      <c r="E244" s="984"/>
      <c r="F244" s="984"/>
      <c r="G244" s="984"/>
      <c r="H244" s="984"/>
      <c r="I244" s="984"/>
      <c r="J244" s="984"/>
      <c r="K244" s="984"/>
      <c r="L244" s="984"/>
      <c r="M244" s="984"/>
      <c r="N244" s="984"/>
      <c r="O244" s="984"/>
      <c r="P244" s="984"/>
      <c r="Q244" s="984"/>
      <c r="R244" s="984"/>
      <c r="S244" s="984"/>
      <c r="T244" s="984"/>
      <c r="U244" s="984"/>
      <c r="V244" s="984"/>
      <c r="W244" s="984"/>
      <c r="X244" s="984"/>
      <c r="Y244" s="984"/>
      <c r="Z244" s="984"/>
    </row>
    <row r="245" spans="1:26" ht="18" customHeight="1" x14ac:dyDescent="0.35">
      <c r="A245" s="984"/>
      <c r="B245" s="984"/>
      <c r="C245" s="984"/>
      <c r="D245" s="984"/>
      <c r="E245" s="984"/>
      <c r="F245" s="984"/>
      <c r="G245" s="984"/>
      <c r="H245" s="984"/>
      <c r="I245" s="984"/>
      <c r="J245" s="984"/>
      <c r="K245" s="984"/>
      <c r="L245" s="984"/>
      <c r="M245" s="984"/>
      <c r="N245" s="984"/>
      <c r="O245" s="984"/>
      <c r="P245" s="984"/>
      <c r="Q245" s="984"/>
      <c r="R245" s="984"/>
      <c r="S245" s="984"/>
      <c r="T245" s="984"/>
      <c r="U245" s="984"/>
      <c r="V245" s="984"/>
      <c r="W245" s="984"/>
      <c r="X245" s="984"/>
      <c r="Y245" s="984"/>
      <c r="Z245" s="984"/>
    </row>
    <row r="246" spans="1:26" ht="18" customHeight="1" x14ac:dyDescent="0.35">
      <c r="A246" s="984"/>
      <c r="B246" s="984"/>
      <c r="C246" s="984"/>
      <c r="D246" s="984"/>
      <c r="E246" s="984"/>
      <c r="F246" s="984"/>
      <c r="G246" s="984"/>
      <c r="H246" s="984"/>
      <c r="I246" s="984"/>
      <c r="J246" s="984"/>
      <c r="K246" s="984"/>
      <c r="L246" s="984"/>
      <c r="M246" s="984"/>
      <c r="N246" s="984"/>
      <c r="O246" s="984"/>
      <c r="P246" s="984"/>
      <c r="Q246" s="984"/>
      <c r="R246" s="984"/>
      <c r="S246" s="984"/>
      <c r="T246" s="984"/>
      <c r="U246" s="984"/>
      <c r="V246" s="984"/>
      <c r="W246" s="984"/>
      <c r="X246" s="984"/>
      <c r="Y246" s="984"/>
      <c r="Z246" s="984"/>
    </row>
    <row r="247" spans="1:26" ht="18" customHeight="1" x14ac:dyDescent="0.35">
      <c r="A247" s="984"/>
      <c r="B247" s="984"/>
      <c r="C247" s="984"/>
      <c r="D247" s="984"/>
      <c r="E247" s="984"/>
      <c r="F247" s="984"/>
      <c r="G247" s="984"/>
      <c r="H247" s="984"/>
      <c r="I247" s="984"/>
      <c r="J247" s="984"/>
      <c r="K247" s="984"/>
      <c r="L247" s="984"/>
      <c r="M247" s="984"/>
      <c r="N247" s="984"/>
      <c r="O247" s="984"/>
      <c r="P247" s="984"/>
      <c r="Q247" s="984"/>
      <c r="R247" s="984"/>
      <c r="S247" s="984"/>
      <c r="T247" s="984"/>
      <c r="U247" s="984"/>
      <c r="V247" s="984"/>
      <c r="W247" s="984"/>
      <c r="X247" s="984"/>
      <c r="Y247" s="984"/>
      <c r="Z247" s="984"/>
    </row>
    <row r="248" spans="1:26" ht="18" customHeight="1" x14ac:dyDescent="0.35">
      <c r="A248" s="984"/>
      <c r="B248" s="984"/>
      <c r="C248" s="984"/>
      <c r="D248" s="984"/>
      <c r="E248" s="984"/>
      <c r="F248" s="984"/>
      <c r="G248" s="984"/>
      <c r="H248" s="984"/>
      <c r="I248" s="984"/>
      <c r="J248" s="984"/>
      <c r="K248" s="984"/>
      <c r="L248" s="984"/>
      <c r="M248" s="984"/>
      <c r="N248" s="984"/>
      <c r="O248" s="984"/>
      <c r="P248" s="984"/>
      <c r="Q248" s="984"/>
      <c r="R248" s="984"/>
      <c r="S248" s="984"/>
      <c r="T248" s="984"/>
      <c r="U248" s="984"/>
      <c r="V248" s="984"/>
      <c r="W248" s="984"/>
      <c r="X248" s="984"/>
      <c r="Y248" s="984"/>
      <c r="Z248" s="984"/>
    </row>
    <row r="249" spans="1:26" ht="18" customHeight="1" x14ac:dyDescent="0.35">
      <c r="A249" s="984"/>
      <c r="B249" s="984"/>
      <c r="C249" s="984"/>
      <c r="D249" s="984"/>
      <c r="E249" s="984"/>
      <c r="F249" s="984"/>
      <c r="G249" s="984"/>
      <c r="H249" s="984"/>
      <c r="I249" s="984"/>
      <c r="J249" s="984"/>
      <c r="K249" s="984"/>
      <c r="L249" s="984"/>
      <c r="M249" s="984"/>
      <c r="N249" s="984"/>
      <c r="O249" s="984"/>
      <c r="P249" s="984"/>
      <c r="Q249" s="984"/>
      <c r="R249" s="984"/>
      <c r="S249" s="984"/>
      <c r="T249" s="984"/>
      <c r="U249" s="984"/>
      <c r="V249" s="984"/>
      <c r="W249" s="984"/>
      <c r="X249" s="984"/>
      <c r="Y249" s="984"/>
      <c r="Z249" s="984"/>
    </row>
    <row r="250" spans="1:26" ht="18" customHeight="1" x14ac:dyDescent="0.35">
      <c r="A250" s="984"/>
      <c r="B250" s="984"/>
      <c r="C250" s="984"/>
      <c r="D250" s="984"/>
      <c r="E250" s="984"/>
      <c r="F250" s="984"/>
      <c r="G250" s="984"/>
      <c r="H250" s="984"/>
      <c r="I250" s="984"/>
      <c r="J250" s="984"/>
      <c r="K250" s="984"/>
      <c r="L250" s="984"/>
      <c r="M250" s="984"/>
      <c r="N250" s="984"/>
      <c r="O250" s="984"/>
      <c r="P250" s="984"/>
      <c r="Q250" s="984"/>
      <c r="R250" s="984"/>
      <c r="S250" s="984"/>
      <c r="T250" s="984"/>
      <c r="U250" s="984"/>
      <c r="V250" s="984"/>
      <c r="W250" s="984"/>
      <c r="X250" s="984"/>
      <c r="Y250" s="984"/>
      <c r="Z250" s="984"/>
    </row>
    <row r="251" spans="1:26" ht="18" customHeight="1" x14ac:dyDescent="0.35">
      <c r="A251" s="984"/>
      <c r="B251" s="984"/>
      <c r="C251" s="984"/>
      <c r="D251" s="984"/>
      <c r="E251" s="984"/>
      <c r="F251" s="984"/>
      <c r="G251" s="984"/>
      <c r="H251" s="984"/>
      <c r="I251" s="984"/>
      <c r="J251" s="984"/>
      <c r="K251" s="984"/>
      <c r="L251" s="984"/>
      <c r="M251" s="984"/>
      <c r="N251" s="984"/>
      <c r="O251" s="984"/>
      <c r="P251" s="984"/>
      <c r="Q251" s="984"/>
      <c r="R251" s="984"/>
      <c r="S251" s="984"/>
      <c r="T251" s="984"/>
      <c r="U251" s="984"/>
      <c r="V251" s="984"/>
      <c r="W251" s="984"/>
      <c r="X251" s="984"/>
      <c r="Y251" s="984"/>
      <c r="Z251" s="984"/>
    </row>
    <row r="252" spans="1:26" ht="18" customHeight="1" x14ac:dyDescent="0.35">
      <c r="A252" s="984"/>
      <c r="B252" s="984"/>
      <c r="C252" s="984"/>
      <c r="D252" s="984"/>
      <c r="E252" s="984"/>
      <c r="F252" s="984"/>
      <c r="G252" s="984"/>
      <c r="H252" s="984"/>
      <c r="I252" s="984"/>
      <c r="J252" s="984"/>
      <c r="K252" s="984"/>
      <c r="L252" s="984"/>
      <c r="M252" s="984"/>
      <c r="N252" s="984"/>
      <c r="O252" s="984"/>
      <c r="P252" s="984"/>
      <c r="Q252" s="984"/>
      <c r="R252" s="984"/>
      <c r="S252" s="984"/>
      <c r="T252" s="984"/>
      <c r="U252" s="984"/>
      <c r="V252" s="984"/>
      <c r="W252" s="984"/>
      <c r="X252" s="984"/>
      <c r="Y252" s="984"/>
      <c r="Z252" s="984"/>
    </row>
    <row r="253" spans="1:26" ht="18" customHeight="1" x14ac:dyDescent="0.35">
      <c r="A253" s="984"/>
      <c r="B253" s="984"/>
      <c r="C253" s="984"/>
      <c r="D253" s="984"/>
      <c r="E253" s="984"/>
      <c r="F253" s="984"/>
      <c r="G253" s="984"/>
      <c r="H253" s="984"/>
      <c r="I253" s="984"/>
      <c r="J253" s="984"/>
      <c r="K253" s="984"/>
      <c r="L253" s="984"/>
      <c r="M253" s="984"/>
      <c r="N253" s="984"/>
      <c r="O253" s="984"/>
      <c r="P253" s="984"/>
      <c r="Q253" s="984"/>
      <c r="R253" s="984"/>
      <c r="S253" s="984"/>
      <c r="T253" s="984"/>
      <c r="U253" s="984"/>
      <c r="V253" s="984"/>
      <c r="W253" s="984"/>
      <c r="X253" s="984"/>
      <c r="Y253" s="984"/>
      <c r="Z253" s="984"/>
    </row>
    <row r="254" spans="1:26" ht="18" customHeight="1" x14ac:dyDescent="0.35">
      <c r="A254" s="984"/>
      <c r="B254" s="984"/>
      <c r="C254" s="984"/>
      <c r="D254" s="984"/>
      <c r="E254" s="984"/>
      <c r="F254" s="984"/>
      <c r="G254" s="984"/>
      <c r="H254" s="984"/>
      <c r="I254" s="984"/>
      <c r="J254" s="984"/>
      <c r="K254" s="984"/>
      <c r="L254" s="984"/>
      <c r="M254" s="984"/>
      <c r="N254" s="984"/>
      <c r="O254" s="984"/>
      <c r="P254" s="984"/>
      <c r="Q254" s="984"/>
      <c r="R254" s="984"/>
      <c r="S254" s="984"/>
      <c r="T254" s="984"/>
      <c r="U254" s="984"/>
      <c r="V254" s="984"/>
      <c r="W254" s="984"/>
      <c r="X254" s="984"/>
      <c r="Y254" s="984"/>
      <c r="Z254" s="984"/>
    </row>
    <row r="255" spans="1:26" ht="18" customHeight="1" x14ac:dyDescent="0.35">
      <c r="A255" s="984"/>
      <c r="B255" s="984"/>
      <c r="C255" s="984"/>
      <c r="D255" s="984"/>
      <c r="E255" s="984"/>
      <c r="F255" s="984"/>
      <c r="G255" s="984"/>
      <c r="H255" s="984"/>
      <c r="I255" s="984"/>
      <c r="J255" s="984"/>
      <c r="K255" s="984"/>
      <c r="L255" s="984"/>
      <c r="M255" s="984"/>
      <c r="N255" s="984"/>
      <c r="O255" s="984"/>
      <c r="P255" s="984"/>
      <c r="Q255" s="984"/>
      <c r="R255" s="984"/>
      <c r="S255" s="984"/>
      <c r="T255" s="984"/>
      <c r="U255" s="984"/>
      <c r="V255" s="984"/>
      <c r="W255" s="984"/>
      <c r="X255" s="984"/>
      <c r="Y255" s="984"/>
      <c r="Z255" s="984"/>
    </row>
    <row r="256" spans="1:26" ht="18" customHeight="1" x14ac:dyDescent="0.35">
      <c r="A256" s="984"/>
      <c r="B256" s="984"/>
      <c r="C256" s="984"/>
      <c r="D256" s="984"/>
      <c r="E256" s="984"/>
      <c r="F256" s="984"/>
      <c r="G256" s="984"/>
      <c r="H256" s="984"/>
      <c r="I256" s="984"/>
      <c r="J256" s="984"/>
      <c r="K256" s="984"/>
      <c r="L256" s="984"/>
      <c r="M256" s="984"/>
      <c r="N256" s="984"/>
      <c r="O256" s="984"/>
      <c r="P256" s="984"/>
      <c r="Q256" s="984"/>
      <c r="R256" s="984"/>
      <c r="S256" s="984"/>
      <c r="T256" s="984"/>
      <c r="U256" s="984"/>
      <c r="V256" s="984"/>
      <c r="W256" s="984"/>
      <c r="X256" s="984"/>
      <c r="Y256" s="984"/>
      <c r="Z256" s="984"/>
    </row>
    <row r="257" spans="1:26" ht="18" customHeight="1" x14ac:dyDescent="0.35">
      <c r="A257" s="984"/>
      <c r="B257" s="984"/>
      <c r="C257" s="984"/>
      <c r="D257" s="984"/>
      <c r="E257" s="984"/>
      <c r="F257" s="984"/>
      <c r="G257" s="984"/>
      <c r="H257" s="984"/>
      <c r="I257" s="984"/>
      <c r="J257" s="984"/>
      <c r="K257" s="984"/>
      <c r="L257" s="984"/>
      <c r="M257" s="984"/>
      <c r="N257" s="984"/>
      <c r="O257" s="984"/>
      <c r="P257" s="984"/>
      <c r="Q257" s="984"/>
      <c r="R257" s="984"/>
      <c r="S257" s="984"/>
      <c r="T257" s="984"/>
      <c r="U257" s="984"/>
      <c r="V257" s="984"/>
      <c r="W257" s="984"/>
      <c r="X257" s="984"/>
      <c r="Y257" s="984"/>
      <c r="Z257" s="984"/>
    </row>
    <row r="258" spans="1:26" ht="18" customHeight="1" x14ac:dyDescent="0.35">
      <c r="A258" s="984"/>
      <c r="B258" s="984"/>
      <c r="C258" s="984"/>
      <c r="D258" s="984"/>
      <c r="E258" s="984"/>
      <c r="F258" s="984"/>
      <c r="G258" s="984"/>
      <c r="H258" s="984"/>
      <c r="I258" s="984"/>
      <c r="J258" s="984"/>
      <c r="K258" s="984"/>
      <c r="L258" s="984"/>
      <c r="M258" s="984"/>
      <c r="N258" s="984"/>
      <c r="O258" s="984"/>
      <c r="P258" s="984"/>
      <c r="Q258" s="984"/>
      <c r="R258" s="984"/>
      <c r="S258" s="984"/>
      <c r="T258" s="984"/>
      <c r="U258" s="984"/>
      <c r="V258" s="984"/>
      <c r="W258" s="984"/>
      <c r="X258" s="984"/>
      <c r="Y258" s="984"/>
      <c r="Z258" s="984"/>
    </row>
    <row r="259" spans="1:26" ht="18" customHeight="1" x14ac:dyDescent="0.35">
      <c r="A259" s="984"/>
      <c r="B259" s="984"/>
      <c r="C259" s="984"/>
      <c r="D259" s="984"/>
      <c r="E259" s="984"/>
      <c r="F259" s="984"/>
      <c r="G259" s="984"/>
      <c r="H259" s="984"/>
      <c r="I259" s="984"/>
      <c r="J259" s="984"/>
      <c r="K259" s="984"/>
      <c r="L259" s="984"/>
      <c r="M259" s="984"/>
      <c r="N259" s="984"/>
      <c r="O259" s="984"/>
      <c r="P259" s="984"/>
      <c r="Q259" s="984"/>
      <c r="R259" s="984"/>
      <c r="S259" s="984"/>
      <c r="T259" s="984"/>
      <c r="U259" s="984"/>
      <c r="V259" s="984"/>
      <c r="W259" s="984"/>
      <c r="X259" s="984"/>
      <c r="Y259" s="984"/>
      <c r="Z259" s="984"/>
    </row>
    <row r="260" spans="1:26" ht="18" customHeight="1" x14ac:dyDescent="0.35">
      <c r="A260" s="984"/>
      <c r="B260" s="984"/>
      <c r="C260" s="984"/>
      <c r="D260" s="984"/>
      <c r="E260" s="984"/>
      <c r="F260" s="984"/>
      <c r="G260" s="984"/>
      <c r="H260" s="984"/>
      <c r="I260" s="984"/>
      <c r="J260" s="984"/>
      <c r="K260" s="984"/>
      <c r="L260" s="984"/>
      <c r="M260" s="984"/>
      <c r="N260" s="984"/>
      <c r="O260" s="984"/>
      <c r="P260" s="984"/>
      <c r="Q260" s="984"/>
      <c r="R260" s="984"/>
      <c r="S260" s="984"/>
      <c r="T260" s="984"/>
      <c r="U260" s="984"/>
      <c r="V260" s="984"/>
      <c r="W260" s="984"/>
      <c r="X260" s="984"/>
      <c r="Y260" s="984"/>
      <c r="Z260" s="984"/>
    </row>
    <row r="261" spans="1:26" ht="18" customHeight="1" x14ac:dyDescent="0.35">
      <c r="A261" s="984"/>
      <c r="B261" s="984"/>
      <c r="C261" s="984"/>
      <c r="D261" s="984"/>
      <c r="E261" s="984"/>
      <c r="F261" s="984"/>
      <c r="G261" s="984"/>
      <c r="H261" s="984"/>
      <c r="I261" s="984"/>
      <c r="J261" s="984"/>
      <c r="K261" s="984"/>
      <c r="L261" s="984"/>
      <c r="M261" s="984"/>
      <c r="N261" s="984"/>
      <c r="O261" s="984"/>
      <c r="P261" s="984"/>
      <c r="Q261" s="984"/>
      <c r="R261" s="984"/>
      <c r="S261" s="984"/>
      <c r="T261" s="984"/>
      <c r="U261" s="984"/>
      <c r="V261" s="984"/>
      <c r="W261" s="984"/>
      <c r="X261" s="984"/>
      <c r="Y261" s="984"/>
      <c r="Z261" s="984"/>
    </row>
    <row r="262" spans="1:26" ht="18" customHeight="1" x14ac:dyDescent="0.35">
      <c r="A262" s="984"/>
      <c r="B262" s="984"/>
      <c r="C262" s="984"/>
      <c r="D262" s="984"/>
      <c r="E262" s="984"/>
      <c r="F262" s="984"/>
      <c r="G262" s="984"/>
      <c r="H262" s="984"/>
      <c r="I262" s="984"/>
      <c r="J262" s="984"/>
      <c r="K262" s="984"/>
      <c r="L262" s="984"/>
      <c r="M262" s="984"/>
      <c r="N262" s="984"/>
      <c r="O262" s="984"/>
      <c r="P262" s="984"/>
      <c r="Q262" s="984"/>
      <c r="R262" s="984"/>
      <c r="S262" s="984"/>
      <c r="T262" s="984"/>
      <c r="U262" s="984"/>
      <c r="V262" s="984"/>
      <c r="W262" s="984"/>
      <c r="X262" s="984"/>
      <c r="Y262" s="984"/>
      <c r="Z262" s="984"/>
    </row>
    <row r="263" spans="1:26" ht="18" customHeight="1" x14ac:dyDescent="0.35">
      <c r="A263" s="984"/>
      <c r="B263" s="984"/>
      <c r="C263" s="984"/>
      <c r="D263" s="984"/>
      <c r="E263" s="984"/>
      <c r="F263" s="984"/>
      <c r="G263" s="984"/>
      <c r="H263" s="984"/>
      <c r="I263" s="984"/>
      <c r="J263" s="984"/>
      <c r="K263" s="984"/>
      <c r="L263" s="984"/>
      <c r="M263" s="984"/>
      <c r="N263" s="984"/>
      <c r="O263" s="984"/>
      <c r="P263" s="984"/>
      <c r="Q263" s="984"/>
      <c r="R263" s="984"/>
      <c r="S263" s="984"/>
      <c r="T263" s="984"/>
      <c r="U263" s="984"/>
      <c r="V263" s="984"/>
      <c r="W263" s="984"/>
      <c r="X263" s="984"/>
      <c r="Y263" s="984"/>
      <c r="Z263" s="984"/>
    </row>
    <row r="264" spans="1:26" ht="18" customHeight="1" x14ac:dyDescent="0.35">
      <c r="A264" s="984"/>
      <c r="B264" s="984"/>
      <c r="C264" s="984"/>
      <c r="D264" s="984"/>
      <c r="E264" s="984"/>
      <c r="F264" s="984"/>
      <c r="G264" s="984"/>
      <c r="H264" s="984"/>
      <c r="I264" s="984"/>
      <c r="J264" s="984"/>
      <c r="K264" s="984"/>
      <c r="L264" s="984"/>
      <c r="M264" s="984"/>
      <c r="N264" s="984"/>
      <c r="O264" s="984"/>
      <c r="P264" s="984"/>
      <c r="Q264" s="984"/>
      <c r="R264" s="984"/>
      <c r="S264" s="984"/>
      <c r="T264" s="984"/>
      <c r="U264" s="984"/>
      <c r="V264" s="984"/>
      <c r="W264" s="984"/>
      <c r="X264" s="984"/>
      <c r="Y264" s="984"/>
      <c r="Z264" s="984"/>
    </row>
    <row r="265" spans="1:26" ht="18" customHeight="1" x14ac:dyDescent="0.35">
      <c r="A265" s="984"/>
      <c r="B265" s="984"/>
      <c r="C265" s="984"/>
      <c r="D265" s="984"/>
      <c r="E265" s="984"/>
      <c r="F265" s="984"/>
      <c r="G265" s="984"/>
      <c r="H265" s="984"/>
      <c r="I265" s="984"/>
      <c r="J265" s="984"/>
      <c r="K265" s="984"/>
      <c r="L265" s="984"/>
      <c r="M265" s="984"/>
      <c r="N265" s="984"/>
      <c r="O265" s="984"/>
      <c r="P265" s="984"/>
      <c r="Q265" s="984"/>
      <c r="R265" s="984"/>
      <c r="S265" s="984"/>
      <c r="T265" s="984"/>
      <c r="U265" s="984"/>
      <c r="V265" s="984"/>
      <c r="W265" s="984"/>
      <c r="X265" s="984"/>
      <c r="Y265" s="984"/>
      <c r="Z265" s="984"/>
    </row>
    <row r="266" spans="1:26" ht="18" customHeight="1" x14ac:dyDescent="0.35">
      <c r="A266" s="984"/>
      <c r="B266" s="984"/>
      <c r="C266" s="984"/>
      <c r="D266" s="984"/>
      <c r="E266" s="984"/>
      <c r="F266" s="984"/>
      <c r="G266" s="984"/>
      <c r="H266" s="984"/>
      <c r="I266" s="984"/>
      <c r="J266" s="984"/>
      <c r="K266" s="984"/>
      <c r="L266" s="984"/>
      <c r="M266" s="984"/>
      <c r="N266" s="984"/>
      <c r="O266" s="984"/>
      <c r="P266" s="984"/>
      <c r="Q266" s="984"/>
      <c r="R266" s="984"/>
      <c r="S266" s="984"/>
      <c r="T266" s="984"/>
      <c r="U266" s="984"/>
      <c r="V266" s="984"/>
      <c r="W266" s="984"/>
      <c r="X266" s="984"/>
      <c r="Y266" s="984"/>
      <c r="Z266" s="984"/>
    </row>
    <row r="267" spans="1:26" ht="18" customHeight="1" x14ac:dyDescent="0.35">
      <c r="A267" s="984"/>
      <c r="B267" s="984"/>
      <c r="C267" s="984"/>
      <c r="D267" s="984"/>
      <c r="E267" s="984"/>
      <c r="F267" s="984"/>
      <c r="G267" s="984"/>
      <c r="H267" s="984"/>
      <c r="I267" s="984"/>
      <c r="J267" s="984"/>
      <c r="K267" s="984"/>
      <c r="L267" s="984"/>
      <c r="M267" s="984"/>
      <c r="N267" s="984"/>
      <c r="O267" s="984"/>
      <c r="P267" s="984"/>
      <c r="Q267" s="984"/>
      <c r="R267" s="984"/>
      <c r="S267" s="984"/>
      <c r="T267" s="984"/>
      <c r="U267" s="984"/>
      <c r="V267" s="984"/>
      <c r="W267" s="984"/>
      <c r="X267" s="984"/>
      <c r="Y267" s="984"/>
      <c r="Z267" s="984"/>
    </row>
    <row r="268" spans="1:26" ht="18" customHeight="1" x14ac:dyDescent="0.35">
      <c r="A268" s="984"/>
      <c r="B268" s="984"/>
      <c r="C268" s="984"/>
      <c r="D268" s="984"/>
      <c r="E268" s="984"/>
      <c r="F268" s="984"/>
      <c r="G268" s="984"/>
      <c r="H268" s="984"/>
      <c r="I268" s="984"/>
      <c r="J268" s="984"/>
      <c r="K268" s="984"/>
      <c r="L268" s="984"/>
      <c r="M268" s="984"/>
      <c r="N268" s="984"/>
      <c r="O268" s="984"/>
      <c r="P268" s="984"/>
      <c r="Q268" s="984"/>
      <c r="R268" s="984"/>
      <c r="S268" s="984"/>
      <c r="T268" s="984"/>
      <c r="U268" s="984"/>
      <c r="V268" s="984"/>
      <c r="W268" s="984"/>
      <c r="X268" s="984"/>
      <c r="Y268" s="984"/>
      <c r="Z268" s="984"/>
    </row>
    <row r="269" spans="1:26" ht="18" customHeight="1" x14ac:dyDescent="0.35">
      <c r="A269" s="984"/>
      <c r="B269" s="984"/>
      <c r="C269" s="984"/>
      <c r="D269" s="984"/>
      <c r="E269" s="984"/>
      <c r="F269" s="984"/>
      <c r="G269" s="984"/>
      <c r="H269" s="984"/>
      <c r="I269" s="984"/>
      <c r="J269" s="984"/>
      <c r="K269" s="984"/>
      <c r="L269" s="984"/>
      <c r="M269" s="984"/>
      <c r="N269" s="984"/>
      <c r="O269" s="984"/>
      <c r="P269" s="984"/>
      <c r="Q269" s="984"/>
      <c r="R269" s="984"/>
      <c r="S269" s="984"/>
      <c r="T269" s="984"/>
      <c r="U269" s="984"/>
      <c r="V269" s="984"/>
      <c r="W269" s="984"/>
      <c r="X269" s="984"/>
      <c r="Y269" s="984"/>
      <c r="Z269" s="984"/>
    </row>
    <row r="270" spans="1:26" ht="18" customHeight="1" x14ac:dyDescent="0.35">
      <c r="A270" s="984"/>
      <c r="B270" s="984"/>
      <c r="C270" s="984"/>
      <c r="D270" s="984"/>
      <c r="E270" s="984"/>
      <c r="F270" s="984"/>
      <c r="G270" s="984"/>
      <c r="H270" s="984"/>
      <c r="I270" s="984"/>
      <c r="J270" s="984"/>
      <c r="K270" s="984"/>
      <c r="L270" s="984"/>
      <c r="M270" s="984"/>
      <c r="N270" s="984"/>
      <c r="O270" s="984"/>
      <c r="P270" s="984"/>
      <c r="Q270" s="984"/>
      <c r="R270" s="984"/>
      <c r="S270" s="984"/>
      <c r="T270" s="984"/>
      <c r="U270" s="984"/>
      <c r="V270" s="984"/>
      <c r="W270" s="984"/>
      <c r="X270" s="984"/>
      <c r="Y270" s="984"/>
      <c r="Z270" s="984"/>
    </row>
    <row r="271" spans="1:26" ht="18" customHeight="1" x14ac:dyDescent="0.35">
      <c r="A271" s="984"/>
      <c r="B271" s="984"/>
      <c r="C271" s="984"/>
      <c r="D271" s="984"/>
      <c r="E271" s="984"/>
      <c r="F271" s="984"/>
      <c r="G271" s="984"/>
      <c r="H271" s="984"/>
      <c r="I271" s="984"/>
      <c r="J271" s="984"/>
      <c r="K271" s="984"/>
      <c r="L271" s="984"/>
      <c r="M271" s="984"/>
      <c r="N271" s="984"/>
      <c r="O271" s="984"/>
      <c r="P271" s="984"/>
      <c r="Q271" s="984"/>
      <c r="R271" s="984"/>
      <c r="S271" s="984"/>
      <c r="T271" s="984"/>
      <c r="U271" s="984"/>
      <c r="V271" s="984"/>
      <c r="W271" s="984"/>
      <c r="X271" s="984"/>
      <c r="Y271" s="984"/>
      <c r="Z271" s="984"/>
    </row>
    <row r="272" spans="1:26" ht="18" customHeight="1" x14ac:dyDescent="0.35">
      <c r="A272" s="984"/>
      <c r="B272" s="984"/>
      <c r="C272" s="984"/>
      <c r="D272" s="984"/>
      <c r="E272" s="984"/>
      <c r="F272" s="984"/>
      <c r="G272" s="984"/>
      <c r="H272" s="984"/>
      <c r="I272" s="984"/>
      <c r="J272" s="984"/>
      <c r="K272" s="984"/>
      <c r="L272" s="984"/>
      <c r="M272" s="984"/>
      <c r="N272" s="984"/>
      <c r="O272" s="984"/>
      <c r="P272" s="984"/>
      <c r="Q272" s="984"/>
      <c r="R272" s="984"/>
      <c r="S272" s="984"/>
      <c r="T272" s="984"/>
      <c r="U272" s="984"/>
      <c r="V272" s="984"/>
      <c r="W272" s="984"/>
      <c r="X272" s="984"/>
      <c r="Y272" s="984"/>
      <c r="Z272" s="984"/>
    </row>
    <row r="273" spans="1:26" ht="18" customHeight="1" x14ac:dyDescent="0.35">
      <c r="A273" s="984"/>
      <c r="B273" s="984"/>
      <c r="C273" s="984"/>
      <c r="D273" s="984"/>
      <c r="E273" s="984"/>
      <c r="F273" s="984"/>
      <c r="G273" s="984"/>
      <c r="H273" s="984"/>
      <c r="I273" s="984"/>
      <c r="J273" s="984"/>
      <c r="K273" s="984"/>
      <c r="L273" s="984"/>
      <c r="M273" s="984"/>
      <c r="N273" s="984"/>
      <c r="O273" s="984"/>
      <c r="P273" s="984"/>
      <c r="Q273" s="984"/>
      <c r="R273" s="984"/>
      <c r="S273" s="984"/>
      <c r="T273" s="984"/>
      <c r="U273" s="984"/>
      <c r="V273" s="984"/>
      <c r="W273" s="984"/>
      <c r="X273" s="984"/>
      <c r="Y273" s="984"/>
      <c r="Z273" s="984"/>
    </row>
    <row r="274" spans="1:26" ht="18" customHeight="1" x14ac:dyDescent="0.35">
      <c r="A274" s="984"/>
      <c r="B274" s="984"/>
      <c r="C274" s="984"/>
      <c r="D274" s="984"/>
      <c r="E274" s="984"/>
      <c r="F274" s="984"/>
      <c r="G274" s="984"/>
      <c r="H274" s="984"/>
      <c r="I274" s="984"/>
      <c r="J274" s="984"/>
      <c r="K274" s="984"/>
      <c r="L274" s="984"/>
      <c r="M274" s="984"/>
      <c r="N274" s="984"/>
      <c r="O274" s="984"/>
      <c r="P274" s="984"/>
      <c r="Q274" s="984"/>
      <c r="R274" s="984"/>
      <c r="S274" s="984"/>
      <c r="T274" s="984"/>
      <c r="U274" s="984"/>
      <c r="V274" s="984"/>
      <c r="W274" s="984"/>
      <c r="X274" s="984"/>
      <c r="Y274" s="984"/>
      <c r="Z274" s="984"/>
    </row>
    <row r="275" spans="1:26" ht="18" customHeight="1" x14ac:dyDescent="0.35">
      <c r="A275" s="984"/>
      <c r="B275" s="984"/>
      <c r="C275" s="984"/>
      <c r="D275" s="984"/>
      <c r="E275" s="984"/>
      <c r="F275" s="984"/>
      <c r="G275" s="984"/>
      <c r="H275" s="984"/>
      <c r="I275" s="984"/>
      <c r="J275" s="984"/>
      <c r="K275" s="984"/>
      <c r="L275" s="984"/>
      <c r="M275" s="984"/>
      <c r="N275" s="984"/>
      <c r="O275" s="984"/>
      <c r="P275" s="984"/>
      <c r="Q275" s="984"/>
      <c r="R275" s="984"/>
      <c r="S275" s="984"/>
      <c r="T275" s="984"/>
      <c r="U275" s="984"/>
      <c r="V275" s="984"/>
      <c r="W275" s="984"/>
      <c r="X275" s="984"/>
      <c r="Y275" s="984"/>
      <c r="Z275" s="984"/>
    </row>
    <row r="276" spans="1:26" ht="18" customHeight="1" x14ac:dyDescent="0.35">
      <c r="A276" s="984"/>
      <c r="B276" s="984"/>
      <c r="C276" s="984"/>
      <c r="D276" s="984"/>
      <c r="E276" s="984"/>
      <c r="F276" s="984"/>
      <c r="G276" s="984"/>
      <c r="H276" s="984"/>
      <c r="I276" s="984"/>
      <c r="J276" s="984"/>
      <c r="K276" s="984"/>
      <c r="L276" s="984"/>
      <c r="M276" s="984"/>
      <c r="N276" s="984"/>
      <c r="O276" s="984"/>
      <c r="P276" s="984"/>
      <c r="Q276" s="984"/>
      <c r="R276" s="984"/>
      <c r="S276" s="984"/>
      <c r="T276" s="984"/>
      <c r="U276" s="984"/>
      <c r="V276" s="984"/>
      <c r="W276" s="984"/>
      <c r="X276" s="984"/>
      <c r="Y276" s="984"/>
      <c r="Z276" s="984"/>
    </row>
    <row r="277" spans="1:26" ht="18" customHeight="1" x14ac:dyDescent="0.35">
      <c r="A277" s="984"/>
      <c r="B277" s="984"/>
      <c r="C277" s="984"/>
      <c r="D277" s="984"/>
      <c r="E277" s="984"/>
      <c r="F277" s="984"/>
      <c r="G277" s="984"/>
      <c r="H277" s="984"/>
      <c r="I277" s="984"/>
      <c r="J277" s="984"/>
      <c r="K277" s="984"/>
      <c r="L277" s="984"/>
      <c r="M277" s="984"/>
      <c r="N277" s="984"/>
      <c r="O277" s="984"/>
      <c r="P277" s="984"/>
      <c r="Q277" s="984"/>
      <c r="R277" s="984"/>
      <c r="S277" s="984"/>
      <c r="T277" s="984"/>
      <c r="U277" s="984"/>
      <c r="V277" s="984"/>
      <c r="W277" s="984"/>
      <c r="X277" s="984"/>
      <c r="Y277" s="984"/>
      <c r="Z277" s="984"/>
    </row>
    <row r="278" spans="1:26" ht="18" customHeight="1" x14ac:dyDescent="0.35">
      <c r="A278" s="984"/>
      <c r="B278" s="984"/>
      <c r="C278" s="984"/>
      <c r="D278" s="984"/>
      <c r="E278" s="984"/>
      <c r="F278" s="984"/>
      <c r="G278" s="984"/>
      <c r="H278" s="984"/>
      <c r="I278" s="984"/>
      <c r="J278" s="984"/>
      <c r="K278" s="984"/>
      <c r="L278" s="984"/>
      <c r="M278" s="984"/>
      <c r="N278" s="984"/>
      <c r="O278" s="984"/>
      <c r="P278" s="984"/>
      <c r="Q278" s="984"/>
      <c r="R278" s="984"/>
      <c r="S278" s="984"/>
      <c r="T278" s="984"/>
      <c r="U278" s="984"/>
      <c r="V278" s="984"/>
      <c r="W278" s="984"/>
      <c r="X278" s="984"/>
      <c r="Y278" s="984"/>
      <c r="Z278" s="984"/>
    </row>
    <row r="279" spans="1:26" ht="18" customHeight="1" x14ac:dyDescent="0.35">
      <c r="A279" s="984"/>
      <c r="B279" s="984"/>
      <c r="C279" s="984"/>
      <c r="D279" s="984"/>
      <c r="E279" s="984"/>
      <c r="F279" s="984"/>
      <c r="G279" s="984"/>
      <c r="H279" s="984"/>
      <c r="I279" s="984"/>
      <c r="J279" s="984"/>
      <c r="K279" s="984"/>
      <c r="L279" s="984"/>
      <c r="M279" s="984"/>
      <c r="N279" s="984"/>
      <c r="O279" s="984"/>
      <c r="P279" s="984"/>
      <c r="Q279" s="984"/>
      <c r="R279" s="984"/>
      <c r="S279" s="984"/>
      <c r="T279" s="984"/>
      <c r="U279" s="984"/>
      <c r="V279" s="984"/>
      <c r="W279" s="984"/>
      <c r="X279" s="984"/>
      <c r="Y279" s="984"/>
      <c r="Z279" s="984"/>
    </row>
    <row r="280" spans="1:26" ht="18" customHeight="1" x14ac:dyDescent="0.35">
      <c r="A280" s="984"/>
      <c r="B280" s="984"/>
      <c r="C280" s="984"/>
      <c r="D280" s="984"/>
      <c r="E280" s="984"/>
      <c r="F280" s="984"/>
      <c r="G280" s="984"/>
      <c r="H280" s="984"/>
      <c r="I280" s="984"/>
      <c r="J280" s="984"/>
      <c r="K280" s="984"/>
      <c r="L280" s="984"/>
      <c r="M280" s="984"/>
      <c r="N280" s="984"/>
      <c r="O280" s="984"/>
      <c r="P280" s="984"/>
      <c r="Q280" s="984"/>
      <c r="R280" s="984"/>
      <c r="S280" s="984"/>
      <c r="T280" s="984"/>
      <c r="U280" s="984"/>
      <c r="V280" s="984"/>
      <c r="W280" s="984"/>
      <c r="X280" s="984"/>
      <c r="Y280" s="984"/>
      <c r="Z280" s="984"/>
    </row>
    <row r="281" spans="1:26" ht="18" customHeight="1" x14ac:dyDescent="0.35">
      <c r="A281" s="984"/>
      <c r="B281" s="984"/>
      <c r="C281" s="984"/>
      <c r="D281" s="984"/>
      <c r="E281" s="984"/>
      <c r="F281" s="984"/>
      <c r="G281" s="984"/>
      <c r="H281" s="984"/>
      <c r="I281" s="984"/>
      <c r="J281" s="984"/>
      <c r="K281" s="984"/>
      <c r="L281" s="984"/>
      <c r="M281" s="984"/>
      <c r="N281" s="984"/>
      <c r="O281" s="984"/>
      <c r="P281" s="984"/>
      <c r="Q281" s="984"/>
      <c r="R281" s="984"/>
      <c r="S281" s="984"/>
      <c r="T281" s="984"/>
      <c r="U281" s="984"/>
      <c r="V281" s="984"/>
      <c r="W281" s="984"/>
      <c r="X281" s="984"/>
      <c r="Y281" s="984"/>
      <c r="Z281" s="984"/>
    </row>
    <row r="282" spans="1:26" ht="18" customHeight="1" x14ac:dyDescent="0.35">
      <c r="A282" s="984"/>
      <c r="B282" s="984"/>
      <c r="C282" s="984"/>
      <c r="D282" s="984"/>
      <c r="E282" s="984"/>
      <c r="F282" s="984"/>
      <c r="G282" s="984"/>
      <c r="H282" s="984"/>
      <c r="I282" s="984"/>
      <c r="J282" s="984"/>
      <c r="K282" s="984"/>
      <c r="L282" s="984"/>
      <c r="M282" s="984"/>
      <c r="N282" s="984"/>
      <c r="O282" s="984"/>
      <c r="P282" s="984"/>
      <c r="Q282" s="984"/>
      <c r="R282" s="984"/>
      <c r="S282" s="984"/>
      <c r="T282" s="984"/>
      <c r="U282" s="984"/>
      <c r="V282" s="984"/>
      <c r="W282" s="984"/>
      <c r="X282" s="984"/>
      <c r="Y282" s="984"/>
      <c r="Z282" s="984"/>
    </row>
    <row r="283" spans="1:26" ht="18" customHeight="1" x14ac:dyDescent="0.35">
      <c r="A283" s="984"/>
      <c r="B283" s="984"/>
      <c r="C283" s="984"/>
      <c r="D283" s="984"/>
      <c r="E283" s="984"/>
      <c r="F283" s="984"/>
      <c r="G283" s="984"/>
      <c r="H283" s="984"/>
      <c r="I283" s="984"/>
      <c r="J283" s="984"/>
      <c r="K283" s="984"/>
      <c r="L283" s="984"/>
      <c r="M283" s="984"/>
      <c r="N283" s="984"/>
      <c r="O283" s="984"/>
      <c r="P283" s="984"/>
      <c r="Q283" s="984"/>
      <c r="R283" s="984"/>
      <c r="S283" s="984"/>
      <c r="T283" s="984"/>
      <c r="U283" s="984"/>
      <c r="V283" s="984"/>
      <c r="W283" s="984"/>
      <c r="X283" s="984"/>
      <c r="Y283" s="984"/>
      <c r="Z283" s="984"/>
    </row>
    <row r="284" spans="1:26" ht="18" customHeight="1" x14ac:dyDescent="0.35">
      <c r="A284" s="984"/>
      <c r="B284" s="984"/>
      <c r="C284" s="984"/>
      <c r="D284" s="984"/>
      <c r="E284" s="984"/>
      <c r="F284" s="984"/>
      <c r="G284" s="984"/>
      <c r="H284" s="984"/>
      <c r="I284" s="984"/>
      <c r="J284" s="984"/>
      <c r="K284" s="984"/>
      <c r="L284" s="984"/>
      <c r="M284" s="984"/>
      <c r="N284" s="984"/>
      <c r="O284" s="984"/>
      <c r="P284" s="984"/>
      <c r="Q284" s="984"/>
      <c r="R284" s="984"/>
      <c r="S284" s="984"/>
      <c r="T284" s="984"/>
      <c r="U284" s="984"/>
      <c r="V284" s="984"/>
      <c r="W284" s="984"/>
      <c r="X284" s="984"/>
      <c r="Y284" s="984"/>
      <c r="Z284" s="984"/>
    </row>
    <row r="285" spans="1:26" ht="18" customHeight="1" x14ac:dyDescent="0.35">
      <c r="A285" s="984"/>
      <c r="B285" s="984"/>
      <c r="C285" s="984"/>
      <c r="D285" s="984"/>
      <c r="E285" s="984"/>
      <c r="F285" s="984"/>
      <c r="G285" s="984"/>
      <c r="H285" s="984"/>
      <c r="I285" s="984"/>
      <c r="J285" s="984"/>
      <c r="K285" s="984"/>
      <c r="L285" s="984"/>
      <c r="M285" s="984"/>
      <c r="N285" s="984"/>
      <c r="O285" s="984"/>
      <c r="P285" s="984"/>
      <c r="Q285" s="984"/>
      <c r="R285" s="984"/>
      <c r="S285" s="984"/>
      <c r="T285" s="984"/>
      <c r="U285" s="984"/>
      <c r="V285" s="984"/>
      <c r="W285" s="984"/>
      <c r="X285" s="984"/>
      <c r="Y285" s="984"/>
      <c r="Z285" s="984"/>
    </row>
    <row r="286" spans="1:26" ht="18" customHeight="1" x14ac:dyDescent="0.35">
      <c r="A286" s="984"/>
      <c r="B286" s="984"/>
      <c r="C286" s="984"/>
      <c r="D286" s="984"/>
      <c r="E286" s="984"/>
      <c r="F286" s="984"/>
      <c r="G286" s="984"/>
      <c r="H286" s="984"/>
      <c r="I286" s="984"/>
      <c r="J286" s="984"/>
      <c r="K286" s="984"/>
      <c r="L286" s="984"/>
      <c r="M286" s="984"/>
      <c r="N286" s="984"/>
      <c r="O286" s="984"/>
      <c r="P286" s="984"/>
      <c r="Q286" s="984"/>
      <c r="R286" s="984"/>
      <c r="S286" s="984"/>
      <c r="T286" s="984"/>
      <c r="U286" s="984"/>
      <c r="V286" s="984"/>
      <c r="W286" s="984"/>
      <c r="X286" s="984"/>
      <c r="Y286" s="984"/>
      <c r="Z286" s="984"/>
    </row>
    <row r="287" spans="1:26" ht="18" customHeight="1" x14ac:dyDescent="0.35">
      <c r="A287" s="984"/>
      <c r="B287" s="984"/>
      <c r="C287" s="984"/>
      <c r="D287" s="984"/>
      <c r="E287" s="984"/>
      <c r="F287" s="984"/>
      <c r="G287" s="984"/>
      <c r="H287" s="984"/>
      <c r="I287" s="984"/>
      <c r="J287" s="984"/>
      <c r="K287" s="984"/>
      <c r="L287" s="984"/>
      <c r="M287" s="984"/>
      <c r="N287" s="984"/>
      <c r="O287" s="984"/>
      <c r="P287" s="984"/>
      <c r="Q287" s="984"/>
      <c r="R287" s="984"/>
      <c r="S287" s="984"/>
      <c r="T287" s="984"/>
      <c r="U287" s="984"/>
      <c r="V287" s="984"/>
      <c r="W287" s="984"/>
      <c r="X287" s="984"/>
      <c r="Y287" s="984"/>
      <c r="Z287" s="984"/>
    </row>
    <row r="288" spans="1:26" ht="18" customHeight="1" x14ac:dyDescent="0.35">
      <c r="A288" s="984"/>
      <c r="B288" s="984"/>
      <c r="C288" s="984"/>
      <c r="D288" s="984"/>
      <c r="E288" s="984"/>
      <c r="F288" s="984"/>
      <c r="G288" s="984"/>
      <c r="H288" s="984"/>
      <c r="I288" s="984"/>
      <c r="J288" s="984"/>
      <c r="K288" s="984"/>
      <c r="L288" s="984"/>
      <c r="M288" s="984"/>
      <c r="N288" s="984"/>
      <c r="O288" s="984"/>
      <c r="P288" s="984"/>
      <c r="Q288" s="984"/>
      <c r="R288" s="984"/>
      <c r="S288" s="984"/>
      <c r="T288" s="984"/>
      <c r="U288" s="984"/>
      <c r="V288" s="984"/>
      <c r="W288" s="984"/>
      <c r="X288" s="984"/>
      <c r="Y288" s="984"/>
      <c r="Z288" s="984"/>
    </row>
    <row r="289" spans="1:26" ht="18" customHeight="1" x14ac:dyDescent="0.35">
      <c r="A289" s="984"/>
      <c r="B289" s="984"/>
      <c r="C289" s="984"/>
      <c r="D289" s="984"/>
      <c r="E289" s="984"/>
      <c r="F289" s="984"/>
      <c r="G289" s="984"/>
      <c r="H289" s="984"/>
      <c r="I289" s="984"/>
      <c r="J289" s="984"/>
      <c r="K289" s="984"/>
      <c r="L289" s="984"/>
      <c r="M289" s="984"/>
      <c r="N289" s="984"/>
      <c r="O289" s="984"/>
      <c r="P289" s="984"/>
      <c r="Q289" s="984"/>
      <c r="R289" s="984"/>
      <c r="S289" s="984"/>
      <c r="T289" s="984"/>
      <c r="U289" s="984"/>
      <c r="V289" s="984"/>
      <c r="W289" s="984"/>
      <c r="X289" s="984"/>
      <c r="Y289" s="984"/>
      <c r="Z289" s="984"/>
    </row>
    <row r="290" spans="1:26" ht="18" customHeight="1" x14ac:dyDescent="0.35">
      <c r="A290" s="984"/>
      <c r="B290" s="984"/>
      <c r="C290" s="984"/>
      <c r="D290" s="984"/>
      <c r="E290" s="984"/>
      <c r="F290" s="984"/>
      <c r="G290" s="984"/>
      <c r="H290" s="984"/>
      <c r="I290" s="984"/>
      <c r="J290" s="984"/>
      <c r="K290" s="984"/>
      <c r="L290" s="984"/>
      <c r="M290" s="984"/>
      <c r="N290" s="984"/>
      <c r="O290" s="984"/>
      <c r="P290" s="984"/>
      <c r="Q290" s="984"/>
      <c r="R290" s="984"/>
      <c r="S290" s="984"/>
      <c r="T290" s="984"/>
      <c r="U290" s="984"/>
      <c r="V290" s="984"/>
      <c r="W290" s="984"/>
      <c r="X290" s="984"/>
      <c r="Y290" s="984"/>
      <c r="Z290" s="984"/>
    </row>
    <row r="291" spans="1:26" ht="18" customHeight="1" x14ac:dyDescent="0.35">
      <c r="A291" s="984"/>
      <c r="B291" s="984"/>
      <c r="C291" s="984"/>
      <c r="D291" s="984"/>
      <c r="E291" s="984"/>
      <c r="F291" s="984"/>
      <c r="G291" s="984"/>
      <c r="H291" s="984"/>
      <c r="I291" s="984"/>
      <c r="J291" s="984"/>
      <c r="K291" s="984"/>
      <c r="L291" s="984"/>
      <c r="M291" s="984"/>
      <c r="N291" s="984"/>
      <c r="O291" s="984"/>
      <c r="P291" s="984"/>
      <c r="Q291" s="984"/>
      <c r="R291" s="984"/>
      <c r="S291" s="984"/>
      <c r="T291" s="984"/>
      <c r="U291" s="984"/>
      <c r="V291" s="984"/>
      <c r="W291" s="984"/>
      <c r="X291" s="984"/>
      <c r="Y291" s="984"/>
      <c r="Z291" s="984"/>
    </row>
    <row r="292" spans="1:26" ht="18" customHeight="1" x14ac:dyDescent="0.35">
      <c r="A292" s="984"/>
      <c r="B292" s="984"/>
      <c r="C292" s="984"/>
      <c r="D292" s="984"/>
      <c r="E292" s="984"/>
      <c r="F292" s="984"/>
      <c r="G292" s="984"/>
      <c r="H292" s="984"/>
      <c r="I292" s="984"/>
      <c r="J292" s="984"/>
      <c r="K292" s="984"/>
      <c r="L292" s="984"/>
      <c r="M292" s="984"/>
      <c r="N292" s="984"/>
      <c r="O292" s="984"/>
      <c r="P292" s="984"/>
      <c r="Q292" s="984"/>
      <c r="R292" s="984"/>
      <c r="S292" s="984"/>
      <c r="T292" s="984"/>
      <c r="U292" s="984"/>
      <c r="V292" s="984"/>
      <c r="W292" s="984"/>
      <c r="X292" s="984"/>
      <c r="Y292" s="984"/>
      <c r="Z292" s="984"/>
    </row>
    <row r="293" spans="1:26" ht="18" customHeight="1" x14ac:dyDescent="0.35">
      <c r="A293" s="984"/>
      <c r="B293" s="984"/>
      <c r="C293" s="984"/>
      <c r="D293" s="984"/>
      <c r="E293" s="984"/>
      <c r="F293" s="984"/>
      <c r="G293" s="984"/>
      <c r="H293" s="984"/>
      <c r="I293" s="984"/>
      <c r="J293" s="984"/>
      <c r="K293" s="984"/>
      <c r="L293" s="984"/>
      <c r="M293" s="984"/>
      <c r="N293" s="984"/>
      <c r="O293" s="984"/>
      <c r="P293" s="984"/>
      <c r="Q293" s="984"/>
      <c r="R293" s="984"/>
      <c r="S293" s="984"/>
      <c r="T293" s="984"/>
      <c r="U293" s="984"/>
      <c r="V293" s="984"/>
      <c r="W293" s="984"/>
      <c r="X293" s="984"/>
      <c r="Y293" s="984"/>
      <c r="Z293" s="984"/>
    </row>
    <row r="294" spans="1:26" ht="18" customHeight="1" x14ac:dyDescent="0.35">
      <c r="A294" s="984"/>
      <c r="B294" s="984"/>
      <c r="C294" s="984"/>
      <c r="D294" s="984"/>
      <c r="E294" s="984"/>
      <c r="F294" s="984"/>
      <c r="G294" s="984"/>
      <c r="H294" s="984"/>
      <c r="I294" s="984"/>
      <c r="J294" s="984"/>
      <c r="K294" s="984"/>
      <c r="L294" s="984"/>
      <c r="M294" s="984"/>
      <c r="N294" s="984"/>
      <c r="O294" s="984"/>
      <c r="P294" s="984"/>
      <c r="Q294" s="984"/>
      <c r="R294" s="984"/>
      <c r="S294" s="984"/>
      <c r="T294" s="984"/>
      <c r="U294" s="984"/>
      <c r="V294" s="984"/>
      <c r="W294" s="984"/>
      <c r="X294" s="984"/>
      <c r="Y294" s="984"/>
      <c r="Z294" s="984"/>
    </row>
    <row r="295" spans="1:26" ht="18" customHeight="1" x14ac:dyDescent="0.35">
      <c r="A295" s="984"/>
      <c r="B295" s="984"/>
      <c r="C295" s="984"/>
      <c r="D295" s="984"/>
      <c r="E295" s="984"/>
      <c r="F295" s="984"/>
      <c r="G295" s="984"/>
      <c r="H295" s="984"/>
      <c r="I295" s="984"/>
      <c r="J295" s="984"/>
      <c r="K295" s="984"/>
      <c r="L295" s="984"/>
      <c r="M295" s="984"/>
      <c r="N295" s="984"/>
      <c r="O295" s="984"/>
      <c r="P295" s="984"/>
      <c r="Q295" s="984"/>
      <c r="R295" s="984"/>
      <c r="S295" s="984"/>
      <c r="T295" s="984"/>
      <c r="U295" s="984"/>
      <c r="V295" s="984"/>
      <c r="W295" s="984"/>
      <c r="X295" s="984"/>
      <c r="Y295" s="984"/>
      <c r="Z295" s="984"/>
    </row>
    <row r="296" spans="1:26" ht="18" customHeight="1" x14ac:dyDescent="0.35">
      <c r="A296" s="984"/>
      <c r="B296" s="984"/>
      <c r="C296" s="984"/>
      <c r="D296" s="984"/>
      <c r="E296" s="984"/>
      <c r="F296" s="984"/>
      <c r="G296" s="984"/>
      <c r="H296" s="984"/>
      <c r="I296" s="984"/>
      <c r="J296" s="984"/>
      <c r="K296" s="984"/>
      <c r="L296" s="984"/>
      <c r="M296" s="984"/>
      <c r="N296" s="984"/>
      <c r="O296" s="984"/>
      <c r="P296" s="984"/>
      <c r="Q296" s="984"/>
      <c r="R296" s="984"/>
      <c r="S296" s="984"/>
      <c r="T296" s="984"/>
      <c r="U296" s="984"/>
      <c r="V296" s="984"/>
      <c r="W296" s="984"/>
      <c r="X296" s="984"/>
      <c r="Y296" s="984"/>
      <c r="Z296" s="984"/>
    </row>
    <row r="297" spans="1:26" ht="18" customHeight="1" x14ac:dyDescent="0.35">
      <c r="A297" s="984"/>
      <c r="B297" s="984"/>
      <c r="C297" s="984"/>
      <c r="D297" s="984"/>
      <c r="E297" s="984"/>
      <c r="F297" s="984"/>
      <c r="G297" s="984"/>
      <c r="H297" s="984"/>
      <c r="I297" s="984"/>
      <c r="J297" s="984"/>
      <c r="K297" s="984"/>
      <c r="L297" s="984"/>
      <c r="M297" s="984"/>
      <c r="N297" s="984"/>
      <c r="O297" s="984"/>
      <c r="P297" s="984"/>
      <c r="Q297" s="984"/>
      <c r="R297" s="984"/>
      <c r="S297" s="984"/>
      <c r="T297" s="984"/>
      <c r="U297" s="984"/>
      <c r="V297" s="984"/>
      <c r="W297" s="984"/>
      <c r="X297" s="984"/>
      <c r="Y297" s="984"/>
      <c r="Z297" s="984"/>
    </row>
    <row r="298" spans="1:26" ht="18" customHeight="1" x14ac:dyDescent="0.35">
      <c r="A298" s="984"/>
      <c r="B298" s="984"/>
      <c r="C298" s="984"/>
      <c r="D298" s="984"/>
      <c r="E298" s="984"/>
      <c r="F298" s="984"/>
      <c r="G298" s="984"/>
      <c r="H298" s="984"/>
      <c r="I298" s="984"/>
      <c r="J298" s="984"/>
      <c r="K298" s="984"/>
      <c r="L298" s="984"/>
      <c r="M298" s="984"/>
      <c r="N298" s="984"/>
      <c r="O298" s="984"/>
      <c r="P298" s="984"/>
      <c r="Q298" s="984"/>
      <c r="R298" s="984"/>
      <c r="S298" s="984"/>
      <c r="T298" s="984"/>
      <c r="U298" s="984"/>
      <c r="V298" s="984"/>
      <c r="W298" s="984"/>
      <c r="X298" s="984"/>
      <c r="Y298" s="984"/>
      <c r="Z298" s="984"/>
    </row>
    <row r="299" spans="1:26" ht="18" customHeight="1" x14ac:dyDescent="0.35">
      <c r="A299" s="984"/>
      <c r="B299" s="984"/>
      <c r="C299" s="984"/>
      <c r="D299" s="984"/>
      <c r="E299" s="984"/>
      <c r="F299" s="984"/>
      <c r="G299" s="984"/>
      <c r="H299" s="984"/>
      <c r="I299" s="984"/>
      <c r="J299" s="984"/>
      <c r="K299" s="984"/>
      <c r="L299" s="984"/>
      <c r="M299" s="984"/>
      <c r="N299" s="984"/>
      <c r="O299" s="984"/>
      <c r="P299" s="984"/>
      <c r="Q299" s="984"/>
      <c r="R299" s="984"/>
      <c r="S299" s="984"/>
      <c r="T299" s="984"/>
      <c r="U299" s="984"/>
      <c r="V299" s="984"/>
      <c r="W299" s="984"/>
      <c r="X299" s="984"/>
      <c r="Y299" s="984"/>
      <c r="Z299" s="984"/>
    </row>
    <row r="300" spans="1:26" ht="18" customHeight="1" x14ac:dyDescent="0.35">
      <c r="A300" s="984"/>
      <c r="B300" s="984"/>
      <c r="C300" s="984"/>
      <c r="D300" s="984"/>
      <c r="E300" s="984"/>
      <c r="F300" s="984"/>
      <c r="G300" s="984"/>
      <c r="H300" s="984"/>
      <c r="I300" s="984"/>
      <c r="J300" s="984"/>
      <c r="K300" s="984"/>
      <c r="L300" s="984"/>
      <c r="M300" s="984"/>
      <c r="N300" s="984"/>
      <c r="O300" s="984"/>
      <c r="P300" s="984"/>
      <c r="Q300" s="984"/>
      <c r="R300" s="984"/>
      <c r="S300" s="984"/>
      <c r="T300" s="984"/>
      <c r="U300" s="984"/>
      <c r="V300" s="984"/>
      <c r="W300" s="984"/>
      <c r="X300" s="984"/>
      <c r="Y300" s="984"/>
      <c r="Z300" s="984"/>
    </row>
    <row r="301" spans="1:26" ht="18" customHeight="1" x14ac:dyDescent="0.35">
      <c r="A301" s="984"/>
      <c r="B301" s="984"/>
      <c r="C301" s="984"/>
      <c r="D301" s="984"/>
      <c r="E301" s="984"/>
      <c r="F301" s="984"/>
      <c r="G301" s="984"/>
      <c r="H301" s="984"/>
      <c r="I301" s="984"/>
      <c r="J301" s="984"/>
      <c r="K301" s="984"/>
      <c r="L301" s="984"/>
      <c r="M301" s="984"/>
      <c r="N301" s="984"/>
      <c r="O301" s="984"/>
      <c r="P301" s="984"/>
      <c r="Q301" s="984"/>
      <c r="R301" s="984"/>
      <c r="S301" s="984"/>
      <c r="T301" s="984"/>
      <c r="U301" s="984"/>
      <c r="V301" s="984"/>
      <c r="W301" s="984"/>
      <c r="X301" s="984"/>
      <c r="Y301" s="984"/>
      <c r="Z301" s="984"/>
    </row>
    <row r="302" spans="1:26" ht="18" customHeight="1" x14ac:dyDescent="0.35">
      <c r="A302" s="984"/>
      <c r="B302" s="984"/>
      <c r="C302" s="984"/>
      <c r="D302" s="984"/>
      <c r="E302" s="984"/>
      <c r="F302" s="984"/>
      <c r="G302" s="984"/>
      <c r="H302" s="984"/>
      <c r="I302" s="984"/>
      <c r="J302" s="984"/>
      <c r="K302" s="984"/>
      <c r="L302" s="984"/>
      <c r="M302" s="984"/>
      <c r="N302" s="984"/>
      <c r="O302" s="984"/>
      <c r="P302" s="984"/>
      <c r="Q302" s="984"/>
      <c r="R302" s="984"/>
      <c r="S302" s="984"/>
      <c r="T302" s="984"/>
      <c r="U302" s="984"/>
      <c r="V302" s="984"/>
      <c r="W302" s="984"/>
      <c r="X302" s="984"/>
      <c r="Y302" s="984"/>
      <c r="Z302" s="984"/>
    </row>
    <row r="303" spans="1:26" ht="18" customHeight="1" x14ac:dyDescent="0.35">
      <c r="A303" s="984"/>
      <c r="B303" s="984"/>
      <c r="C303" s="984"/>
      <c r="D303" s="984"/>
      <c r="E303" s="984"/>
      <c r="F303" s="984"/>
      <c r="G303" s="984"/>
      <c r="H303" s="984"/>
      <c r="I303" s="984"/>
      <c r="J303" s="984"/>
      <c r="K303" s="984"/>
      <c r="L303" s="984"/>
      <c r="M303" s="984"/>
      <c r="N303" s="984"/>
      <c r="O303" s="984"/>
      <c r="P303" s="984"/>
      <c r="Q303" s="984"/>
      <c r="R303" s="984"/>
      <c r="S303" s="984"/>
      <c r="T303" s="984"/>
      <c r="U303" s="984"/>
      <c r="V303" s="984"/>
      <c r="W303" s="984"/>
      <c r="X303" s="984"/>
      <c r="Y303" s="984"/>
      <c r="Z303" s="984"/>
    </row>
    <row r="304" spans="1:26" ht="18" customHeight="1" x14ac:dyDescent="0.35">
      <c r="A304" s="984"/>
      <c r="B304" s="984"/>
      <c r="C304" s="984"/>
      <c r="D304" s="984"/>
      <c r="E304" s="984"/>
      <c r="F304" s="984"/>
      <c r="G304" s="984"/>
      <c r="H304" s="984"/>
      <c r="I304" s="984"/>
      <c r="J304" s="984"/>
      <c r="K304" s="984"/>
      <c r="L304" s="984"/>
      <c r="M304" s="984"/>
      <c r="N304" s="984"/>
      <c r="O304" s="984"/>
      <c r="P304" s="984"/>
      <c r="Q304" s="984"/>
      <c r="R304" s="984"/>
      <c r="S304" s="984"/>
      <c r="T304" s="984"/>
      <c r="U304" s="984"/>
      <c r="V304" s="984"/>
      <c r="W304" s="984"/>
      <c r="X304" s="984"/>
      <c r="Y304" s="984"/>
      <c r="Z304" s="984"/>
    </row>
    <row r="305" spans="1:26" ht="18" customHeight="1" x14ac:dyDescent="0.35">
      <c r="A305" s="984"/>
      <c r="B305" s="984"/>
      <c r="C305" s="984"/>
      <c r="D305" s="984"/>
      <c r="E305" s="984"/>
      <c r="F305" s="984"/>
      <c r="G305" s="984"/>
      <c r="H305" s="984"/>
      <c r="I305" s="984"/>
      <c r="J305" s="984"/>
      <c r="K305" s="984"/>
      <c r="L305" s="984"/>
      <c r="M305" s="984"/>
      <c r="N305" s="984"/>
      <c r="O305" s="984"/>
      <c r="P305" s="984"/>
      <c r="Q305" s="984"/>
      <c r="R305" s="984"/>
      <c r="S305" s="984"/>
      <c r="T305" s="984"/>
      <c r="U305" s="984"/>
      <c r="V305" s="984"/>
      <c r="W305" s="984"/>
      <c r="X305" s="984"/>
      <c r="Y305" s="984"/>
      <c r="Z305" s="984"/>
    </row>
    <row r="306" spans="1:26" ht="18" customHeight="1" x14ac:dyDescent="0.35">
      <c r="A306" s="984"/>
      <c r="B306" s="984"/>
      <c r="C306" s="984"/>
      <c r="D306" s="984"/>
      <c r="E306" s="984"/>
      <c r="F306" s="984"/>
      <c r="G306" s="984"/>
      <c r="H306" s="984"/>
      <c r="I306" s="984"/>
      <c r="J306" s="984"/>
      <c r="K306" s="984"/>
      <c r="L306" s="984"/>
      <c r="M306" s="984"/>
      <c r="N306" s="984"/>
      <c r="O306" s="984"/>
      <c r="P306" s="984"/>
      <c r="Q306" s="984"/>
      <c r="R306" s="984"/>
      <c r="S306" s="984"/>
      <c r="T306" s="984"/>
      <c r="U306" s="984"/>
      <c r="V306" s="984"/>
      <c r="W306" s="984"/>
      <c r="X306" s="984"/>
      <c r="Y306" s="984"/>
      <c r="Z306" s="984"/>
    </row>
    <row r="307" spans="1:26" ht="18" customHeight="1" x14ac:dyDescent="0.35">
      <c r="A307" s="984"/>
      <c r="B307" s="984"/>
      <c r="C307" s="984"/>
      <c r="D307" s="984"/>
      <c r="E307" s="984"/>
      <c r="F307" s="984"/>
      <c r="G307" s="984"/>
      <c r="H307" s="984"/>
      <c r="I307" s="984"/>
      <c r="J307" s="984"/>
      <c r="K307" s="984"/>
      <c r="L307" s="984"/>
      <c r="M307" s="984"/>
      <c r="N307" s="984"/>
      <c r="O307" s="984"/>
      <c r="P307" s="984"/>
      <c r="Q307" s="984"/>
      <c r="R307" s="984"/>
      <c r="S307" s="984"/>
      <c r="T307" s="984"/>
      <c r="U307" s="984"/>
      <c r="V307" s="984"/>
      <c r="W307" s="984"/>
      <c r="X307" s="984"/>
      <c r="Y307" s="984"/>
      <c r="Z307" s="984"/>
    </row>
    <row r="308" spans="1:26" ht="18" customHeight="1" x14ac:dyDescent="0.35">
      <c r="A308" s="984"/>
      <c r="B308" s="984"/>
      <c r="C308" s="984"/>
      <c r="D308" s="984"/>
      <c r="E308" s="984"/>
      <c r="F308" s="984"/>
      <c r="G308" s="984"/>
      <c r="H308" s="984"/>
      <c r="I308" s="984"/>
      <c r="J308" s="984"/>
      <c r="K308" s="984"/>
      <c r="L308" s="984"/>
      <c r="M308" s="984"/>
      <c r="N308" s="984"/>
      <c r="O308" s="984"/>
      <c r="P308" s="984"/>
      <c r="Q308" s="984"/>
      <c r="R308" s="984"/>
      <c r="S308" s="984"/>
      <c r="T308" s="984"/>
      <c r="U308" s="984"/>
      <c r="V308" s="984"/>
      <c r="W308" s="984"/>
      <c r="X308" s="984"/>
      <c r="Y308" s="984"/>
      <c r="Z308" s="984"/>
    </row>
    <row r="309" spans="1:26" ht="18" customHeight="1" x14ac:dyDescent="0.35">
      <c r="A309" s="984"/>
      <c r="B309" s="984"/>
      <c r="C309" s="984"/>
      <c r="D309" s="984"/>
      <c r="E309" s="984"/>
      <c r="F309" s="984"/>
      <c r="G309" s="984"/>
      <c r="H309" s="984"/>
      <c r="I309" s="984"/>
      <c r="J309" s="984"/>
      <c r="K309" s="984"/>
      <c r="L309" s="984"/>
      <c r="M309" s="984"/>
      <c r="N309" s="984"/>
      <c r="O309" s="984"/>
      <c r="P309" s="984"/>
      <c r="Q309" s="984"/>
      <c r="R309" s="984"/>
      <c r="S309" s="984"/>
      <c r="T309" s="984"/>
      <c r="U309" s="984"/>
      <c r="V309" s="984"/>
      <c r="W309" s="984"/>
      <c r="X309" s="984"/>
      <c r="Y309" s="984"/>
      <c r="Z309" s="984"/>
    </row>
    <row r="310" spans="1:26" ht="18" customHeight="1" x14ac:dyDescent="0.35">
      <c r="A310" s="984"/>
      <c r="B310" s="984"/>
      <c r="C310" s="984"/>
      <c r="D310" s="984"/>
      <c r="E310" s="984"/>
      <c r="F310" s="984"/>
      <c r="G310" s="984"/>
      <c r="H310" s="984"/>
      <c r="I310" s="984"/>
      <c r="J310" s="984"/>
      <c r="K310" s="984"/>
      <c r="L310" s="984"/>
      <c r="M310" s="984"/>
      <c r="N310" s="984"/>
      <c r="O310" s="984"/>
      <c r="P310" s="984"/>
      <c r="Q310" s="984"/>
      <c r="R310" s="984"/>
      <c r="S310" s="984"/>
      <c r="T310" s="984"/>
      <c r="U310" s="984"/>
      <c r="V310" s="984"/>
      <c r="W310" s="984"/>
      <c r="X310" s="984"/>
      <c r="Y310" s="984"/>
      <c r="Z310" s="984"/>
    </row>
    <row r="311" spans="1:26" ht="18" customHeight="1" x14ac:dyDescent="0.35">
      <c r="A311" s="984"/>
      <c r="B311" s="984"/>
      <c r="C311" s="984"/>
      <c r="D311" s="984"/>
      <c r="E311" s="984"/>
      <c r="F311" s="984"/>
      <c r="G311" s="984"/>
      <c r="H311" s="984"/>
      <c r="I311" s="984"/>
      <c r="J311" s="984"/>
      <c r="K311" s="984"/>
      <c r="L311" s="984"/>
      <c r="M311" s="984"/>
      <c r="N311" s="984"/>
      <c r="O311" s="984"/>
      <c r="P311" s="984"/>
      <c r="Q311" s="984"/>
      <c r="R311" s="984"/>
      <c r="S311" s="984"/>
      <c r="T311" s="984"/>
      <c r="U311" s="984"/>
      <c r="V311" s="984"/>
      <c r="W311" s="984"/>
      <c r="X311" s="984"/>
      <c r="Y311" s="984"/>
      <c r="Z311" s="984"/>
    </row>
    <row r="312" spans="1:26" ht="18" customHeight="1" x14ac:dyDescent="0.35">
      <c r="A312" s="984"/>
      <c r="B312" s="984"/>
      <c r="C312" s="984"/>
      <c r="D312" s="984"/>
      <c r="E312" s="984"/>
      <c r="F312" s="984"/>
      <c r="G312" s="984"/>
      <c r="H312" s="984"/>
      <c r="I312" s="984"/>
      <c r="J312" s="984"/>
      <c r="K312" s="984"/>
      <c r="L312" s="984"/>
      <c r="M312" s="984"/>
      <c r="N312" s="984"/>
      <c r="O312" s="984"/>
      <c r="P312" s="984"/>
      <c r="Q312" s="984"/>
      <c r="R312" s="984"/>
      <c r="S312" s="984"/>
      <c r="T312" s="984"/>
      <c r="U312" s="984"/>
      <c r="V312" s="984"/>
      <c r="W312" s="984"/>
      <c r="X312" s="984"/>
      <c r="Y312" s="984"/>
      <c r="Z312" s="984"/>
    </row>
    <row r="313" spans="1:26" ht="18" customHeight="1" x14ac:dyDescent="0.35">
      <c r="A313" s="984"/>
      <c r="B313" s="984"/>
      <c r="C313" s="984"/>
      <c r="D313" s="984"/>
      <c r="E313" s="984"/>
      <c r="F313" s="984"/>
      <c r="G313" s="984"/>
      <c r="H313" s="984"/>
      <c r="I313" s="984"/>
      <c r="J313" s="984"/>
      <c r="K313" s="984"/>
      <c r="L313" s="984"/>
      <c r="M313" s="984"/>
      <c r="N313" s="984"/>
      <c r="O313" s="984"/>
      <c r="P313" s="984"/>
      <c r="Q313" s="984"/>
      <c r="R313" s="984"/>
      <c r="S313" s="984"/>
      <c r="T313" s="984"/>
      <c r="U313" s="984"/>
      <c r="V313" s="984"/>
      <c r="W313" s="984"/>
      <c r="X313" s="984"/>
      <c r="Y313" s="984"/>
      <c r="Z313" s="984"/>
    </row>
    <row r="314" spans="1:26" ht="18" customHeight="1" x14ac:dyDescent="0.35">
      <c r="A314" s="984"/>
      <c r="B314" s="984"/>
      <c r="C314" s="984"/>
      <c r="D314" s="984"/>
      <c r="E314" s="984"/>
      <c r="F314" s="984"/>
      <c r="G314" s="984"/>
      <c r="H314" s="984"/>
      <c r="I314" s="984"/>
      <c r="J314" s="984"/>
      <c r="K314" s="984"/>
      <c r="L314" s="984"/>
      <c r="M314" s="984"/>
      <c r="N314" s="984"/>
      <c r="O314" s="984"/>
      <c r="P314" s="984"/>
      <c r="Q314" s="984"/>
      <c r="R314" s="984"/>
      <c r="S314" s="984"/>
      <c r="T314" s="984"/>
      <c r="U314" s="984"/>
      <c r="V314" s="984"/>
      <c r="W314" s="984"/>
      <c r="X314" s="984"/>
      <c r="Y314" s="984"/>
      <c r="Z314" s="984"/>
    </row>
    <row r="315" spans="1:26" ht="18" customHeight="1" x14ac:dyDescent="0.35">
      <c r="A315" s="984"/>
      <c r="B315" s="984"/>
      <c r="C315" s="984"/>
      <c r="D315" s="984"/>
      <c r="E315" s="984"/>
      <c r="F315" s="984"/>
      <c r="G315" s="984"/>
      <c r="H315" s="984"/>
      <c r="I315" s="984"/>
      <c r="J315" s="984"/>
      <c r="K315" s="984"/>
      <c r="L315" s="984"/>
      <c r="M315" s="984"/>
      <c r="N315" s="984"/>
      <c r="O315" s="984"/>
      <c r="P315" s="984"/>
      <c r="Q315" s="984"/>
      <c r="R315" s="984"/>
      <c r="S315" s="984"/>
      <c r="T315" s="984"/>
      <c r="U315" s="984"/>
      <c r="V315" s="984"/>
      <c r="W315" s="984"/>
      <c r="X315" s="984"/>
      <c r="Y315" s="984"/>
      <c r="Z315" s="984"/>
    </row>
    <row r="316" spans="1:26" ht="18" customHeight="1" x14ac:dyDescent="0.35">
      <c r="A316" s="984"/>
      <c r="B316" s="984"/>
      <c r="C316" s="984"/>
      <c r="D316" s="984"/>
      <c r="E316" s="984"/>
      <c r="F316" s="984"/>
      <c r="G316" s="984"/>
      <c r="H316" s="984"/>
      <c r="I316" s="984"/>
      <c r="J316" s="984"/>
      <c r="K316" s="984"/>
      <c r="L316" s="984"/>
      <c r="M316" s="984"/>
      <c r="N316" s="984"/>
      <c r="O316" s="984"/>
      <c r="P316" s="984"/>
      <c r="Q316" s="984"/>
      <c r="R316" s="984"/>
      <c r="S316" s="984"/>
      <c r="T316" s="984"/>
      <c r="U316" s="984"/>
      <c r="V316" s="984"/>
      <c r="W316" s="984"/>
      <c r="X316" s="984"/>
      <c r="Y316" s="984"/>
      <c r="Z316" s="984"/>
    </row>
    <row r="317" spans="1:26" ht="18" customHeight="1" x14ac:dyDescent="0.35">
      <c r="A317" s="984"/>
      <c r="B317" s="984"/>
      <c r="C317" s="984"/>
      <c r="D317" s="984"/>
      <c r="E317" s="984"/>
      <c r="F317" s="984"/>
      <c r="G317" s="984"/>
      <c r="H317" s="984"/>
      <c r="I317" s="984"/>
      <c r="J317" s="984"/>
      <c r="K317" s="984"/>
      <c r="L317" s="984"/>
      <c r="M317" s="984"/>
      <c r="N317" s="984"/>
      <c r="O317" s="984"/>
      <c r="P317" s="984"/>
      <c r="Q317" s="984"/>
      <c r="R317" s="984"/>
      <c r="S317" s="984"/>
      <c r="T317" s="984"/>
      <c r="U317" s="984"/>
      <c r="V317" s="984"/>
      <c r="W317" s="984"/>
      <c r="X317" s="984"/>
      <c r="Y317" s="984"/>
      <c r="Z317" s="984"/>
    </row>
    <row r="318" spans="1:26" ht="18" customHeight="1" x14ac:dyDescent="0.35">
      <c r="A318" s="984"/>
      <c r="B318" s="984"/>
      <c r="C318" s="984"/>
      <c r="D318" s="984"/>
      <c r="E318" s="984"/>
      <c r="F318" s="984"/>
      <c r="G318" s="984"/>
      <c r="H318" s="984"/>
      <c r="I318" s="984"/>
      <c r="J318" s="984"/>
      <c r="K318" s="984"/>
      <c r="L318" s="984"/>
      <c r="M318" s="984"/>
      <c r="N318" s="984"/>
      <c r="O318" s="984"/>
      <c r="P318" s="984"/>
      <c r="Q318" s="984"/>
      <c r="R318" s="984"/>
      <c r="S318" s="984"/>
      <c r="T318" s="984"/>
      <c r="U318" s="984"/>
      <c r="V318" s="984"/>
      <c r="W318" s="984"/>
      <c r="X318" s="984"/>
      <c r="Y318" s="984"/>
      <c r="Z318" s="984"/>
    </row>
    <row r="319" spans="1:26" ht="18" customHeight="1" x14ac:dyDescent="0.35">
      <c r="A319" s="984"/>
      <c r="B319" s="984"/>
      <c r="C319" s="984"/>
      <c r="D319" s="984"/>
      <c r="E319" s="984"/>
      <c r="F319" s="984"/>
      <c r="G319" s="984"/>
      <c r="H319" s="984"/>
      <c r="I319" s="984"/>
      <c r="J319" s="984"/>
      <c r="K319" s="984"/>
      <c r="L319" s="984"/>
      <c r="M319" s="984"/>
      <c r="N319" s="984"/>
      <c r="O319" s="984"/>
      <c r="P319" s="984"/>
      <c r="Q319" s="984"/>
      <c r="R319" s="984"/>
      <c r="S319" s="984"/>
      <c r="T319" s="984"/>
      <c r="U319" s="984"/>
      <c r="V319" s="984"/>
      <c r="W319" s="984"/>
      <c r="X319" s="984"/>
      <c r="Y319" s="984"/>
      <c r="Z319" s="984"/>
    </row>
    <row r="320" spans="1:26" ht="18" customHeight="1" x14ac:dyDescent="0.35">
      <c r="A320" s="984"/>
      <c r="B320" s="984"/>
      <c r="C320" s="984"/>
      <c r="D320" s="984"/>
      <c r="E320" s="984"/>
      <c r="F320" s="984"/>
      <c r="G320" s="984"/>
      <c r="H320" s="984"/>
      <c r="I320" s="984"/>
      <c r="J320" s="984"/>
      <c r="K320" s="984"/>
      <c r="L320" s="984"/>
      <c r="M320" s="984"/>
      <c r="N320" s="984"/>
      <c r="O320" s="984"/>
      <c r="P320" s="984"/>
      <c r="Q320" s="984"/>
      <c r="R320" s="984"/>
      <c r="S320" s="984"/>
      <c r="T320" s="984"/>
      <c r="U320" s="984"/>
      <c r="V320" s="984"/>
      <c r="W320" s="984"/>
      <c r="X320" s="984"/>
      <c r="Y320" s="984"/>
      <c r="Z320" s="984"/>
    </row>
    <row r="321" spans="1:26" ht="18" customHeight="1" x14ac:dyDescent="0.35">
      <c r="A321" s="984"/>
      <c r="B321" s="984"/>
      <c r="C321" s="984"/>
      <c r="D321" s="984"/>
      <c r="E321" s="984"/>
      <c r="F321" s="984"/>
      <c r="G321" s="984"/>
      <c r="H321" s="984"/>
      <c r="I321" s="984"/>
      <c r="J321" s="984"/>
      <c r="K321" s="984"/>
      <c r="L321" s="984"/>
      <c r="M321" s="984"/>
      <c r="N321" s="984"/>
      <c r="O321" s="984"/>
      <c r="P321" s="984"/>
      <c r="Q321" s="984"/>
      <c r="R321" s="984"/>
      <c r="S321" s="984"/>
      <c r="T321" s="984"/>
      <c r="U321" s="984"/>
      <c r="V321" s="984"/>
      <c r="W321" s="984"/>
      <c r="X321" s="984"/>
      <c r="Y321" s="984"/>
      <c r="Z321" s="984"/>
    </row>
    <row r="322" spans="1:26" ht="18" customHeight="1" x14ac:dyDescent="0.35">
      <c r="A322" s="984"/>
      <c r="B322" s="984"/>
      <c r="C322" s="984"/>
      <c r="D322" s="984"/>
      <c r="E322" s="984"/>
      <c r="F322" s="984"/>
      <c r="G322" s="984"/>
      <c r="H322" s="984"/>
      <c r="I322" s="984"/>
      <c r="J322" s="984"/>
      <c r="K322" s="984"/>
      <c r="L322" s="984"/>
      <c r="M322" s="984"/>
      <c r="N322" s="984"/>
      <c r="O322" s="984"/>
      <c r="P322" s="984"/>
      <c r="Q322" s="984"/>
      <c r="R322" s="984"/>
      <c r="S322" s="984"/>
      <c r="T322" s="984"/>
      <c r="U322" s="984"/>
      <c r="V322" s="984"/>
      <c r="W322" s="984"/>
      <c r="X322" s="984"/>
      <c r="Y322" s="984"/>
      <c r="Z322" s="984"/>
    </row>
    <row r="323" spans="1:26" ht="18" customHeight="1" x14ac:dyDescent="0.35">
      <c r="A323" s="984"/>
      <c r="B323" s="984"/>
      <c r="C323" s="984"/>
      <c r="D323" s="984"/>
      <c r="E323" s="984"/>
      <c r="F323" s="984"/>
      <c r="G323" s="984"/>
      <c r="H323" s="984"/>
      <c r="I323" s="984"/>
      <c r="J323" s="984"/>
      <c r="K323" s="984"/>
      <c r="L323" s="984"/>
      <c r="M323" s="984"/>
      <c r="N323" s="984"/>
      <c r="O323" s="984"/>
      <c r="P323" s="984"/>
      <c r="Q323" s="984"/>
      <c r="R323" s="984"/>
      <c r="S323" s="984"/>
      <c r="T323" s="984"/>
      <c r="U323" s="984"/>
      <c r="V323" s="984"/>
      <c r="W323" s="984"/>
      <c r="X323" s="984"/>
      <c r="Y323" s="984"/>
      <c r="Z323" s="984"/>
    </row>
    <row r="324" spans="1:26" ht="18" customHeight="1" x14ac:dyDescent="0.35">
      <c r="A324" s="984"/>
      <c r="B324" s="984"/>
      <c r="C324" s="984"/>
      <c r="D324" s="984"/>
      <c r="E324" s="984"/>
      <c r="F324" s="984"/>
      <c r="G324" s="984"/>
      <c r="H324" s="984"/>
      <c r="I324" s="984"/>
      <c r="J324" s="984"/>
      <c r="K324" s="984"/>
      <c r="L324" s="984"/>
      <c r="M324" s="984"/>
      <c r="N324" s="984"/>
      <c r="O324" s="984"/>
      <c r="P324" s="984"/>
      <c r="Q324" s="984"/>
      <c r="R324" s="984"/>
      <c r="S324" s="984"/>
      <c r="T324" s="984"/>
      <c r="U324" s="984"/>
      <c r="V324" s="984"/>
      <c r="W324" s="984"/>
      <c r="X324" s="984"/>
      <c r="Y324" s="984"/>
      <c r="Z324" s="984"/>
    </row>
    <row r="325" spans="1:26" ht="18" customHeight="1" x14ac:dyDescent="0.35">
      <c r="A325" s="984"/>
      <c r="B325" s="984"/>
      <c r="C325" s="984"/>
      <c r="D325" s="984"/>
      <c r="E325" s="984"/>
      <c r="F325" s="984"/>
      <c r="G325" s="984"/>
      <c r="H325" s="984"/>
      <c r="I325" s="984"/>
      <c r="J325" s="984"/>
      <c r="K325" s="984"/>
      <c r="L325" s="984"/>
      <c r="M325" s="984"/>
      <c r="N325" s="984"/>
      <c r="O325" s="984"/>
      <c r="P325" s="984"/>
      <c r="Q325" s="984"/>
      <c r="R325" s="984"/>
      <c r="S325" s="984"/>
      <c r="T325" s="984"/>
      <c r="U325" s="984"/>
      <c r="V325" s="984"/>
      <c r="W325" s="984"/>
      <c r="X325" s="984"/>
      <c r="Y325" s="984"/>
      <c r="Z325" s="984"/>
    </row>
    <row r="326" spans="1:26" ht="18" customHeight="1" x14ac:dyDescent="0.35">
      <c r="A326" s="984"/>
      <c r="B326" s="984"/>
      <c r="C326" s="984"/>
      <c r="D326" s="984"/>
      <c r="E326" s="984"/>
      <c r="F326" s="984"/>
      <c r="G326" s="984"/>
      <c r="H326" s="984"/>
      <c r="I326" s="984"/>
      <c r="J326" s="984"/>
      <c r="K326" s="984"/>
      <c r="L326" s="984"/>
      <c r="M326" s="984"/>
      <c r="N326" s="984"/>
      <c r="O326" s="984"/>
      <c r="P326" s="984"/>
      <c r="Q326" s="984"/>
      <c r="R326" s="984"/>
      <c r="S326" s="984"/>
      <c r="T326" s="984"/>
      <c r="U326" s="984"/>
      <c r="V326" s="984"/>
      <c r="W326" s="984"/>
      <c r="X326" s="984"/>
      <c r="Y326" s="984"/>
      <c r="Z326" s="984"/>
    </row>
    <row r="327" spans="1:26" ht="18" customHeight="1" x14ac:dyDescent="0.35">
      <c r="A327" s="984"/>
      <c r="B327" s="984"/>
      <c r="C327" s="984"/>
      <c r="D327" s="984"/>
      <c r="E327" s="984"/>
      <c r="F327" s="984"/>
      <c r="G327" s="984"/>
      <c r="H327" s="984"/>
      <c r="I327" s="984"/>
      <c r="J327" s="984"/>
      <c r="K327" s="984"/>
      <c r="L327" s="984"/>
      <c r="M327" s="984"/>
      <c r="N327" s="984"/>
      <c r="O327" s="984"/>
      <c r="P327" s="984"/>
      <c r="Q327" s="984"/>
      <c r="R327" s="984"/>
      <c r="S327" s="984"/>
      <c r="T327" s="984"/>
      <c r="U327" s="984"/>
      <c r="V327" s="984"/>
      <c r="W327" s="984"/>
      <c r="X327" s="984"/>
      <c r="Y327" s="984"/>
      <c r="Z327" s="984"/>
    </row>
    <row r="328" spans="1:26" ht="18" customHeight="1" x14ac:dyDescent="0.35">
      <c r="A328" s="984"/>
      <c r="B328" s="984"/>
      <c r="C328" s="984"/>
      <c r="D328" s="984"/>
      <c r="E328" s="984"/>
      <c r="F328" s="984"/>
      <c r="G328" s="984"/>
      <c r="H328" s="984"/>
      <c r="I328" s="984"/>
      <c r="J328" s="984"/>
      <c r="K328" s="984"/>
      <c r="L328" s="984"/>
      <c r="M328" s="984"/>
      <c r="N328" s="984"/>
      <c r="O328" s="984"/>
      <c r="P328" s="984"/>
      <c r="Q328" s="984"/>
      <c r="R328" s="984"/>
      <c r="S328" s="984"/>
      <c r="T328" s="984"/>
      <c r="U328" s="984"/>
      <c r="V328" s="984"/>
      <c r="W328" s="984"/>
      <c r="X328" s="984"/>
      <c r="Y328" s="984"/>
      <c r="Z328" s="984"/>
    </row>
    <row r="329" spans="1:26" ht="18" customHeight="1" x14ac:dyDescent="0.35">
      <c r="A329" s="984"/>
      <c r="B329" s="984"/>
      <c r="C329" s="984"/>
      <c r="D329" s="984"/>
      <c r="E329" s="984"/>
      <c r="F329" s="984"/>
      <c r="G329" s="984"/>
      <c r="H329" s="984"/>
      <c r="I329" s="984"/>
      <c r="J329" s="984"/>
      <c r="K329" s="984"/>
      <c r="L329" s="984"/>
      <c r="M329" s="984"/>
      <c r="N329" s="984"/>
      <c r="O329" s="984"/>
      <c r="P329" s="984"/>
      <c r="Q329" s="984"/>
      <c r="R329" s="984"/>
      <c r="S329" s="984"/>
      <c r="T329" s="984"/>
      <c r="U329" s="984"/>
      <c r="V329" s="984"/>
      <c r="W329" s="984"/>
      <c r="X329" s="984"/>
      <c r="Y329" s="984"/>
      <c r="Z329" s="984"/>
    </row>
    <row r="330" spans="1:26" ht="18" customHeight="1" x14ac:dyDescent="0.35">
      <c r="A330" s="984"/>
      <c r="B330" s="984"/>
      <c r="C330" s="984"/>
      <c r="D330" s="984"/>
      <c r="E330" s="984"/>
      <c r="F330" s="984"/>
      <c r="G330" s="984"/>
      <c r="H330" s="984"/>
      <c r="I330" s="984"/>
      <c r="J330" s="984"/>
      <c r="K330" s="984"/>
      <c r="L330" s="984"/>
      <c r="M330" s="984"/>
      <c r="N330" s="984"/>
      <c r="O330" s="984"/>
      <c r="P330" s="984"/>
      <c r="Q330" s="984"/>
      <c r="R330" s="984"/>
      <c r="S330" s="984"/>
      <c r="T330" s="984"/>
      <c r="U330" s="984"/>
      <c r="V330" s="984"/>
      <c r="W330" s="984"/>
      <c r="X330" s="984"/>
      <c r="Y330" s="984"/>
      <c r="Z330" s="984"/>
    </row>
    <row r="331" spans="1:26" ht="18" customHeight="1" x14ac:dyDescent="0.35">
      <c r="A331" s="984"/>
      <c r="B331" s="984"/>
      <c r="C331" s="984"/>
      <c r="D331" s="984"/>
      <c r="E331" s="984"/>
      <c r="F331" s="984"/>
      <c r="G331" s="984"/>
      <c r="H331" s="984"/>
      <c r="I331" s="984"/>
      <c r="J331" s="984"/>
      <c r="K331" s="984"/>
      <c r="L331" s="984"/>
      <c r="M331" s="984"/>
      <c r="N331" s="984"/>
      <c r="O331" s="984"/>
      <c r="P331" s="984"/>
      <c r="Q331" s="984"/>
      <c r="R331" s="984"/>
      <c r="S331" s="984"/>
      <c r="T331" s="984"/>
      <c r="U331" s="984"/>
      <c r="V331" s="984"/>
      <c r="W331" s="984"/>
      <c r="X331" s="984"/>
      <c r="Y331" s="984"/>
      <c r="Z331" s="984"/>
    </row>
    <row r="332" spans="1:26" ht="18" customHeight="1" x14ac:dyDescent="0.35">
      <c r="A332" s="984"/>
      <c r="B332" s="984"/>
      <c r="C332" s="984"/>
      <c r="D332" s="984"/>
      <c r="E332" s="984"/>
      <c r="F332" s="984"/>
      <c r="G332" s="984"/>
      <c r="H332" s="984"/>
      <c r="I332" s="984"/>
      <c r="J332" s="984"/>
      <c r="K332" s="984"/>
      <c r="L332" s="984"/>
      <c r="M332" s="984"/>
      <c r="N332" s="984"/>
      <c r="O332" s="984"/>
      <c r="P332" s="984"/>
      <c r="Q332" s="984"/>
      <c r="R332" s="984"/>
      <c r="S332" s="984"/>
      <c r="T332" s="984"/>
      <c r="U332" s="984"/>
      <c r="V332" s="984"/>
      <c r="W332" s="984"/>
      <c r="X332" s="984"/>
      <c r="Y332" s="984"/>
      <c r="Z332" s="984"/>
    </row>
    <row r="333" spans="1:26" ht="18" customHeight="1" x14ac:dyDescent="0.35">
      <c r="A333" s="984"/>
      <c r="B333" s="984"/>
      <c r="C333" s="984"/>
      <c r="D333" s="984"/>
      <c r="E333" s="984"/>
      <c r="F333" s="984"/>
      <c r="G333" s="984"/>
      <c r="H333" s="984"/>
      <c r="I333" s="984"/>
      <c r="J333" s="984"/>
      <c r="K333" s="984"/>
      <c r="L333" s="984"/>
      <c r="M333" s="984"/>
      <c r="N333" s="984"/>
      <c r="O333" s="984"/>
      <c r="P333" s="984"/>
      <c r="Q333" s="984"/>
      <c r="R333" s="984"/>
      <c r="S333" s="984"/>
      <c r="T333" s="984"/>
      <c r="U333" s="984"/>
      <c r="V333" s="984"/>
      <c r="W333" s="984"/>
      <c r="X333" s="984"/>
      <c r="Y333" s="984"/>
      <c r="Z333" s="984"/>
    </row>
    <row r="334" spans="1:26" ht="18" customHeight="1" x14ac:dyDescent="0.35">
      <c r="A334" s="984"/>
      <c r="B334" s="984"/>
      <c r="C334" s="984"/>
      <c r="D334" s="984"/>
      <c r="E334" s="984"/>
      <c r="F334" s="984"/>
      <c r="G334" s="984"/>
      <c r="H334" s="984"/>
      <c r="I334" s="984"/>
      <c r="J334" s="984"/>
      <c r="K334" s="984"/>
      <c r="L334" s="984"/>
      <c r="M334" s="984"/>
      <c r="N334" s="984"/>
      <c r="O334" s="984"/>
      <c r="P334" s="984"/>
      <c r="Q334" s="984"/>
      <c r="R334" s="984"/>
      <c r="S334" s="984"/>
      <c r="T334" s="984"/>
      <c r="U334" s="984"/>
      <c r="V334" s="984"/>
      <c r="W334" s="984"/>
      <c r="X334" s="984"/>
      <c r="Y334" s="984"/>
      <c r="Z334" s="984"/>
    </row>
    <row r="335" spans="1:26" ht="18" customHeight="1" x14ac:dyDescent="0.35">
      <c r="A335" s="984"/>
      <c r="B335" s="984"/>
      <c r="C335" s="984"/>
      <c r="D335" s="984"/>
      <c r="E335" s="984"/>
      <c r="F335" s="984"/>
      <c r="G335" s="984"/>
      <c r="H335" s="984"/>
      <c r="I335" s="984"/>
      <c r="J335" s="984"/>
      <c r="K335" s="984"/>
      <c r="L335" s="984"/>
      <c r="M335" s="984"/>
      <c r="N335" s="984"/>
      <c r="O335" s="984"/>
      <c r="P335" s="984"/>
      <c r="Q335" s="984"/>
      <c r="R335" s="984"/>
      <c r="S335" s="984"/>
      <c r="T335" s="984"/>
      <c r="U335" s="984"/>
      <c r="V335" s="984"/>
      <c r="W335" s="984"/>
      <c r="X335" s="984"/>
      <c r="Y335" s="984"/>
      <c r="Z335" s="984"/>
    </row>
    <row r="336" spans="1:26" ht="18" customHeight="1" x14ac:dyDescent="0.35">
      <c r="A336" s="984"/>
      <c r="B336" s="984"/>
      <c r="C336" s="984"/>
      <c r="D336" s="984"/>
      <c r="E336" s="984"/>
      <c r="F336" s="984"/>
      <c r="G336" s="984"/>
      <c r="H336" s="984"/>
      <c r="I336" s="984"/>
      <c r="J336" s="984"/>
      <c r="K336" s="984"/>
      <c r="L336" s="984"/>
      <c r="M336" s="984"/>
      <c r="N336" s="984"/>
      <c r="O336" s="984"/>
      <c r="P336" s="984"/>
      <c r="Q336" s="984"/>
      <c r="R336" s="984"/>
      <c r="S336" s="984"/>
      <c r="T336" s="984"/>
      <c r="U336" s="984"/>
      <c r="V336" s="984"/>
      <c r="W336" s="984"/>
      <c r="X336" s="984"/>
      <c r="Y336" s="984"/>
      <c r="Z336" s="984"/>
    </row>
    <row r="337" spans="1:26" ht="18" customHeight="1" x14ac:dyDescent="0.35">
      <c r="A337" s="984"/>
      <c r="B337" s="984"/>
      <c r="C337" s="984"/>
      <c r="D337" s="984"/>
      <c r="E337" s="984"/>
      <c r="F337" s="984"/>
      <c r="G337" s="984"/>
      <c r="H337" s="984"/>
      <c r="I337" s="984"/>
      <c r="J337" s="984"/>
      <c r="K337" s="984"/>
      <c r="L337" s="984"/>
      <c r="M337" s="984"/>
      <c r="N337" s="984"/>
      <c r="O337" s="984"/>
      <c r="P337" s="984"/>
      <c r="Q337" s="984"/>
      <c r="R337" s="984"/>
      <c r="S337" s="984"/>
      <c r="T337" s="984"/>
      <c r="U337" s="984"/>
      <c r="V337" s="984"/>
      <c r="W337" s="984"/>
      <c r="X337" s="984"/>
      <c r="Y337" s="984"/>
      <c r="Z337" s="984"/>
    </row>
    <row r="338" spans="1:26" ht="18" customHeight="1" x14ac:dyDescent="0.35">
      <c r="A338" s="984"/>
      <c r="B338" s="984"/>
      <c r="C338" s="984"/>
      <c r="D338" s="984"/>
      <c r="E338" s="984"/>
      <c r="F338" s="984"/>
      <c r="G338" s="984"/>
      <c r="H338" s="984"/>
      <c r="I338" s="984"/>
      <c r="J338" s="984"/>
      <c r="K338" s="984"/>
      <c r="L338" s="984"/>
      <c r="M338" s="984"/>
      <c r="N338" s="984"/>
      <c r="O338" s="984"/>
      <c r="P338" s="984"/>
      <c r="Q338" s="984"/>
      <c r="R338" s="984"/>
      <c r="S338" s="984"/>
      <c r="T338" s="984"/>
      <c r="U338" s="984"/>
      <c r="V338" s="984"/>
      <c r="W338" s="984"/>
      <c r="X338" s="984"/>
      <c r="Y338" s="984"/>
      <c r="Z338" s="984"/>
    </row>
    <row r="339" spans="1:26" ht="18" customHeight="1" x14ac:dyDescent="0.35">
      <c r="A339" s="984"/>
      <c r="B339" s="984"/>
      <c r="C339" s="984"/>
      <c r="D339" s="984"/>
      <c r="E339" s="984"/>
      <c r="F339" s="984"/>
      <c r="G339" s="984"/>
      <c r="H339" s="984"/>
      <c r="I339" s="984"/>
      <c r="J339" s="984"/>
      <c r="K339" s="984"/>
      <c r="L339" s="984"/>
      <c r="M339" s="984"/>
      <c r="N339" s="984"/>
      <c r="O339" s="984"/>
      <c r="P339" s="984"/>
      <c r="Q339" s="984"/>
      <c r="R339" s="984"/>
      <c r="S339" s="984"/>
      <c r="T339" s="984"/>
      <c r="U339" s="984"/>
      <c r="V339" s="984"/>
      <c r="W339" s="984"/>
      <c r="X339" s="984"/>
      <c r="Y339" s="984"/>
      <c r="Z339" s="984"/>
    </row>
    <row r="340" spans="1:26" ht="18" customHeight="1" x14ac:dyDescent="0.35">
      <c r="A340" s="984"/>
      <c r="B340" s="984"/>
      <c r="C340" s="984"/>
      <c r="D340" s="984"/>
      <c r="E340" s="984"/>
      <c r="F340" s="984"/>
      <c r="G340" s="984"/>
      <c r="H340" s="984"/>
      <c r="I340" s="984"/>
      <c r="J340" s="984"/>
      <c r="K340" s="984"/>
      <c r="L340" s="984"/>
      <c r="M340" s="984"/>
      <c r="N340" s="984"/>
      <c r="O340" s="984"/>
      <c r="P340" s="984"/>
      <c r="Q340" s="984"/>
      <c r="R340" s="984"/>
      <c r="S340" s="984"/>
      <c r="T340" s="984"/>
      <c r="U340" s="984"/>
      <c r="V340" s="984"/>
      <c r="W340" s="984"/>
      <c r="X340" s="984"/>
      <c r="Y340" s="984"/>
      <c r="Z340" s="984"/>
    </row>
    <row r="341" spans="1:26" ht="18" customHeight="1" x14ac:dyDescent="0.35">
      <c r="A341" s="984"/>
      <c r="B341" s="984"/>
      <c r="C341" s="984"/>
      <c r="D341" s="984"/>
      <c r="E341" s="984"/>
      <c r="F341" s="984"/>
      <c r="G341" s="984"/>
      <c r="H341" s="984"/>
      <c r="I341" s="984"/>
      <c r="J341" s="984"/>
      <c r="K341" s="984"/>
      <c r="L341" s="984"/>
      <c r="M341" s="984"/>
      <c r="N341" s="984"/>
      <c r="O341" s="984"/>
      <c r="P341" s="984"/>
      <c r="Q341" s="984"/>
      <c r="R341" s="984"/>
      <c r="S341" s="984"/>
      <c r="T341" s="984"/>
      <c r="U341" s="984"/>
      <c r="V341" s="984"/>
      <c r="W341" s="984"/>
      <c r="X341" s="984"/>
      <c r="Y341" s="984"/>
      <c r="Z341" s="984"/>
    </row>
    <row r="342" spans="1:26" ht="18" customHeight="1" x14ac:dyDescent="0.35">
      <c r="A342" s="984"/>
      <c r="B342" s="984"/>
      <c r="C342" s="984"/>
      <c r="D342" s="984"/>
      <c r="E342" s="984"/>
      <c r="F342" s="984"/>
      <c r="G342" s="984"/>
      <c r="H342" s="984"/>
      <c r="I342" s="984"/>
      <c r="J342" s="984"/>
      <c r="K342" s="984"/>
      <c r="L342" s="984"/>
      <c r="M342" s="984"/>
      <c r="N342" s="984"/>
      <c r="O342" s="984"/>
      <c r="P342" s="984"/>
      <c r="Q342" s="984"/>
      <c r="R342" s="984"/>
      <c r="S342" s="984"/>
      <c r="T342" s="984"/>
      <c r="U342" s="984"/>
      <c r="V342" s="984"/>
      <c r="W342" s="984"/>
      <c r="X342" s="984"/>
      <c r="Y342" s="984"/>
      <c r="Z342" s="984"/>
    </row>
    <row r="343" spans="1:26" ht="18" customHeight="1" x14ac:dyDescent="0.35">
      <c r="A343" s="984"/>
      <c r="B343" s="984"/>
      <c r="C343" s="984"/>
      <c r="D343" s="984"/>
      <c r="E343" s="984"/>
      <c r="F343" s="984"/>
      <c r="G343" s="984"/>
      <c r="H343" s="984"/>
      <c r="I343" s="984"/>
      <c r="J343" s="984"/>
      <c r="K343" s="984"/>
      <c r="L343" s="984"/>
      <c r="M343" s="984"/>
      <c r="N343" s="984"/>
      <c r="O343" s="984"/>
      <c r="P343" s="984"/>
      <c r="Q343" s="984"/>
      <c r="R343" s="984"/>
      <c r="S343" s="984"/>
      <c r="T343" s="984"/>
      <c r="U343" s="984"/>
      <c r="V343" s="984"/>
      <c r="W343" s="984"/>
      <c r="X343" s="984"/>
      <c r="Y343" s="984"/>
      <c r="Z343" s="984"/>
    </row>
    <row r="344" spans="1:26" ht="18" customHeight="1" x14ac:dyDescent="0.35">
      <c r="A344" s="984"/>
      <c r="B344" s="984"/>
      <c r="C344" s="984"/>
      <c r="D344" s="984"/>
      <c r="E344" s="984"/>
      <c r="F344" s="984"/>
      <c r="G344" s="984"/>
      <c r="H344" s="984"/>
      <c r="I344" s="984"/>
      <c r="J344" s="984"/>
      <c r="K344" s="984"/>
      <c r="L344" s="984"/>
      <c r="M344" s="984"/>
      <c r="N344" s="984"/>
      <c r="O344" s="984"/>
      <c r="P344" s="984"/>
      <c r="Q344" s="984"/>
      <c r="R344" s="984"/>
      <c r="S344" s="984"/>
      <c r="T344" s="984"/>
      <c r="U344" s="984"/>
      <c r="V344" s="984"/>
      <c r="W344" s="984"/>
      <c r="X344" s="984"/>
      <c r="Y344" s="984"/>
      <c r="Z344" s="984"/>
    </row>
    <row r="345" spans="1:26" ht="18" customHeight="1" x14ac:dyDescent="0.35">
      <c r="A345" s="984"/>
      <c r="B345" s="984"/>
      <c r="C345" s="984"/>
      <c r="D345" s="984"/>
      <c r="E345" s="984"/>
      <c r="F345" s="984"/>
      <c r="G345" s="984"/>
      <c r="H345" s="984"/>
      <c r="I345" s="984"/>
      <c r="J345" s="984"/>
      <c r="K345" s="984"/>
      <c r="L345" s="984"/>
      <c r="M345" s="984"/>
      <c r="N345" s="984"/>
      <c r="O345" s="984"/>
      <c r="P345" s="984"/>
      <c r="Q345" s="984"/>
      <c r="R345" s="984"/>
      <c r="S345" s="984"/>
      <c r="T345" s="984"/>
      <c r="U345" s="984"/>
      <c r="V345" s="984"/>
      <c r="W345" s="984"/>
      <c r="X345" s="984"/>
      <c r="Y345" s="984"/>
      <c r="Z345" s="984"/>
    </row>
    <row r="346" spans="1:26" ht="18" customHeight="1" x14ac:dyDescent="0.35">
      <c r="A346" s="984"/>
      <c r="B346" s="984"/>
      <c r="C346" s="984"/>
      <c r="D346" s="984"/>
      <c r="E346" s="984"/>
      <c r="F346" s="984"/>
      <c r="G346" s="984"/>
      <c r="H346" s="984"/>
      <c r="I346" s="984"/>
      <c r="J346" s="984"/>
      <c r="K346" s="984"/>
      <c r="L346" s="984"/>
      <c r="M346" s="984"/>
      <c r="N346" s="984"/>
      <c r="O346" s="984"/>
      <c r="P346" s="984"/>
      <c r="Q346" s="984"/>
      <c r="R346" s="984"/>
      <c r="S346" s="984"/>
      <c r="T346" s="984"/>
      <c r="U346" s="984"/>
      <c r="V346" s="984"/>
      <c r="W346" s="984"/>
      <c r="X346" s="984"/>
      <c r="Y346" s="984"/>
      <c r="Z346" s="984"/>
    </row>
    <row r="347" spans="1:26" ht="18" customHeight="1" x14ac:dyDescent="0.35">
      <c r="A347" s="984"/>
      <c r="B347" s="984"/>
      <c r="C347" s="984"/>
      <c r="D347" s="984"/>
      <c r="E347" s="984"/>
      <c r="F347" s="984"/>
      <c r="G347" s="984"/>
      <c r="H347" s="984"/>
      <c r="I347" s="984"/>
      <c r="J347" s="984"/>
      <c r="K347" s="984"/>
      <c r="L347" s="984"/>
      <c r="M347" s="984"/>
      <c r="N347" s="984"/>
      <c r="O347" s="984"/>
      <c r="P347" s="984"/>
      <c r="Q347" s="984"/>
      <c r="R347" s="984"/>
      <c r="S347" s="984"/>
      <c r="T347" s="984"/>
      <c r="U347" s="984"/>
      <c r="V347" s="984"/>
      <c r="W347" s="984"/>
      <c r="X347" s="984"/>
      <c r="Y347" s="984"/>
      <c r="Z347" s="984"/>
    </row>
    <row r="348" spans="1:26" ht="18" customHeight="1" x14ac:dyDescent="0.35">
      <c r="A348" s="984"/>
      <c r="B348" s="984"/>
      <c r="C348" s="984"/>
      <c r="D348" s="984"/>
      <c r="E348" s="984"/>
      <c r="F348" s="984"/>
      <c r="G348" s="984"/>
      <c r="H348" s="984"/>
      <c r="I348" s="984"/>
      <c r="J348" s="984"/>
      <c r="K348" s="984"/>
      <c r="L348" s="984"/>
      <c r="M348" s="984"/>
      <c r="N348" s="984"/>
      <c r="O348" s="984"/>
      <c r="P348" s="984"/>
      <c r="Q348" s="984"/>
      <c r="R348" s="984"/>
      <c r="S348" s="984"/>
      <c r="T348" s="984"/>
      <c r="U348" s="984"/>
      <c r="V348" s="984"/>
      <c r="W348" s="984"/>
      <c r="X348" s="984"/>
      <c r="Y348" s="984"/>
      <c r="Z348" s="984"/>
    </row>
    <row r="349" spans="1:26" ht="18" customHeight="1" x14ac:dyDescent="0.35">
      <c r="A349" s="984"/>
      <c r="B349" s="984"/>
      <c r="C349" s="984"/>
      <c r="D349" s="984"/>
      <c r="E349" s="984"/>
      <c r="F349" s="984"/>
      <c r="G349" s="984"/>
      <c r="H349" s="984"/>
      <c r="I349" s="984"/>
      <c r="J349" s="984"/>
      <c r="K349" s="984"/>
      <c r="L349" s="984"/>
      <c r="M349" s="984"/>
      <c r="N349" s="984"/>
      <c r="O349" s="984"/>
      <c r="P349" s="984"/>
      <c r="Q349" s="984"/>
      <c r="R349" s="984"/>
      <c r="S349" s="984"/>
      <c r="T349" s="984"/>
      <c r="U349" s="984"/>
      <c r="V349" s="984"/>
      <c r="W349" s="984"/>
      <c r="X349" s="984"/>
      <c r="Y349" s="984"/>
      <c r="Z349" s="984"/>
    </row>
    <row r="350" spans="1:26" ht="18" customHeight="1" x14ac:dyDescent="0.35">
      <c r="A350" s="984"/>
      <c r="B350" s="984"/>
      <c r="C350" s="984"/>
      <c r="D350" s="984"/>
      <c r="E350" s="984"/>
      <c r="F350" s="984"/>
      <c r="G350" s="984"/>
      <c r="H350" s="984"/>
      <c r="I350" s="984"/>
      <c r="J350" s="984"/>
      <c r="K350" s="984"/>
      <c r="L350" s="984"/>
      <c r="M350" s="984"/>
      <c r="N350" s="984"/>
      <c r="O350" s="984"/>
      <c r="P350" s="984"/>
      <c r="Q350" s="984"/>
      <c r="R350" s="984"/>
      <c r="S350" s="984"/>
      <c r="T350" s="984"/>
      <c r="U350" s="984"/>
      <c r="V350" s="984"/>
      <c r="W350" s="984"/>
      <c r="X350" s="984"/>
      <c r="Y350" s="984"/>
      <c r="Z350" s="984"/>
    </row>
    <row r="351" spans="1:26" ht="18" customHeight="1" x14ac:dyDescent="0.35">
      <c r="A351" s="984"/>
      <c r="B351" s="984"/>
      <c r="C351" s="984"/>
      <c r="D351" s="984"/>
      <c r="E351" s="984"/>
      <c r="F351" s="984"/>
      <c r="G351" s="984"/>
      <c r="H351" s="984"/>
      <c r="I351" s="984"/>
      <c r="J351" s="984"/>
      <c r="K351" s="984"/>
      <c r="L351" s="984"/>
      <c r="M351" s="984"/>
      <c r="N351" s="984"/>
      <c r="O351" s="984"/>
      <c r="P351" s="984"/>
      <c r="Q351" s="984"/>
      <c r="R351" s="984"/>
      <c r="S351" s="984"/>
      <c r="T351" s="984"/>
      <c r="U351" s="984"/>
      <c r="V351" s="984"/>
      <c r="W351" s="984"/>
      <c r="X351" s="984"/>
      <c r="Y351" s="984"/>
      <c r="Z351" s="984"/>
    </row>
    <row r="352" spans="1:26" ht="18" customHeight="1" x14ac:dyDescent="0.35">
      <c r="A352" s="984"/>
      <c r="B352" s="984"/>
      <c r="C352" s="984"/>
      <c r="D352" s="984"/>
      <c r="E352" s="984"/>
      <c r="F352" s="984"/>
      <c r="G352" s="984"/>
      <c r="H352" s="984"/>
      <c r="I352" s="984"/>
      <c r="J352" s="984"/>
      <c r="K352" s="984"/>
      <c r="L352" s="984"/>
      <c r="M352" s="984"/>
      <c r="N352" s="984"/>
      <c r="O352" s="984"/>
      <c r="P352" s="984"/>
      <c r="Q352" s="984"/>
      <c r="R352" s="984"/>
      <c r="S352" s="984"/>
      <c r="T352" s="984"/>
      <c r="U352" s="984"/>
      <c r="V352" s="984"/>
      <c r="W352" s="984"/>
      <c r="X352" s="984"/>
      <c r="Y352" s="984"/>
      <c r="Z352" s="984"/>
    </row>
    <row r="353" spans="1:26" ht="18" customHeight="1" x14ac:dyDescent="0.35">
      <c r="A353" s="984"/>
      <c r="B353" s="984"/>
      <c r="C353" s="984"/>
      <c r="D353" s="984"/>
      <c r="E353" s="984"/>
      <c r="F353" s="984"/>
      <c r="G353" s="984"/>
      <c r="H353" s="984"/>
      <c r="I353" s="984"/>
      <c r="J353" s="984"/>
      <c r="K353" s="984"/>
      <c r="L353" s="984"/>
      <c r="M353" s="984"/>
      <c r="N353" s="984"/>
      <c r="O353" s="984"/>
      <c r="P353" s="984"/>
      <c r="Q353" s="984"/>
      <c r="R353" s="984"/>
      <c r="S353" s="984"/>
      <c r="T353" s="984"/>
      <c r="U353" s="984"/>
      <c r="V353" s="984"/>
      <c r="W353" s="984"/>
      <c r="X353" s="984"/>
      <c r="Y353" s="984"/>
      <c r="Z353" s="984"/>
    </row>
    <row r="354" spans="1:26" ht="18" customHeight="1" x14ac:dyDescent="0.35">
      <c r="A354" s="984"/>
      <c r="B354" s="984"/>
      <c r="C354" s="984"/>
      <c r="D354" s="984"/>
      <c r="E354" s="984"/>
      <c r="F354" s="984"/>
      <c r="G354" s="984"/>
      <c r="H354" s="984"/>
      <c r="I354" s="984"/>
      <c r="J354" s="984"/>
      <c r="K354" s="984"/>
      <c r="L354" s="984"/>
      <c r="M354" s="984"/>
      <c r="N354" s="984"/>
      <c r="O354" s="984"/>
      <c r="P354" s="984"/>
      <c r="Q354" s="984"/>
      <c r="R354" s="984"/>
      <c r="S354" s="984"/>
      <c r="T354" s="984"/>
      <c r="U354" s="984"/>
      <c r="V354" s="984"/>
      <c r="W354" s="984"/>
      <c r="X354" s="984"/>
      <c r="Y354" s="984"/>
      <c r="Z354" s="984"/>
    </row>
    <row r="355" spans="1:26" ht="18" customHeight="1" x14ac:dyDescent="0.35">
      <c r="A355" s="984"/>
      <c r="B355" s="984"/>
      <c r="C355" s="984"/>
      <c r="D355" s="984"/>
      <c r="E355" s="984"/>
      <c r="F355" s="984"/>
      <c r="G355" s="984"/>
      <c r="H355" s="984"/>
      <c r="I355" s="984"/>
      <c r="J355" s="984"/>
      <c r="K355" s="984"/>
      <c r="L355" s="984"/>
      <c r="M355" s="984"/>
      <c r="N355" s="984"/>
      <c r="O355" s="984"/>
      <c r="P355" s="984"/>
      <c r="Q355" s="984"/>
      <c r="R355" s="984"/>
      <c r="S355" s="984"/>
      <c r="T355" s="984"/>
      <c r="U355" s="984"/>
      <c r="V355" s="984"/>
      <c r="W355" s="984"/>
      <c r="X355" s="984"/>
      <c r="Y355" s="984"/>
      <c r="Z355" s="984"/>
    </row>
    <row r="356" spans="1:26" ht="18" customHeight="1" x14ac:dyDescent="0.35">
      <c r="A356" s="984"/>
      <c r="B356" s="984"/>
      <c r="C356" s="984"/>
      <c r="D356" s="984"/>
      <c r="E356" s="984"/>
      <c r="F356" s="984"/>
      <c r="G356" s="984"/>
      <c r="H356" s="984"/>
      <c r="I356" s="984"/>
      <c r="J356" s="984"/>
      <c r="K356" s="984"/>
      <c r="L356" s="984"/>
      <c r="M356" s="984"/>
      <c r="N356" s="984"/>
      <c r="O356" s="984"/>
      <c r="P356" s="984"/>
      <c r="Q356" s="984"/>
      <c r="R356" s="984"/>
      <c r="S356" s="984"/>
      <c r="T356" s="984"/>
      <c r="U356" s="984"/>
      <c r="V356" s="984"/>
      <c r="W356" s="984"/>
      <c r="X356" s="984"/>
      <c r="Y356" s="984"/>
      <c r="Z356" s="984"/>
    </row>
    <row r="357" spans="1:26" ht="18" customHeight="1" x14ac:dyDescent="0.35">
      <c r="A357" s="984"/>
      <c r="B357" s="984"/>
      <c r="C357" s="984"/>
      <c r="D357" s="984"/>
      <c r="E357" s="984"/>
      <c r="F357" s="984"/>
      <c r="G357" s="984"/>
      <c r="H357" s="984"/>
      <c r="I357" s="984"/>
      <c r="J357" s="984"/>
      <c r="K357" s="984"/>
      <c r="L357" s="984"/>
      <c r="M357" s="984"/>
      <c r="N357" s="984"/>
      <c r="O357" s="984"/>
      <c r="P357" s="984"/>
      <c r="Q357" s="984"/>
      <c r="R357" s="984"/>
      <c r="S357" s="984"/>
      <c r="T357" s="984"/>
      <c r="U357" s="984"/>
      <c r="V357" s="984"/>
      <c r="W357" s="984"/>
      <c r="X357" s="984"/>
      <c r="Y357" s="984"/>
      <c r="Z357" s="984"/>
    </row>
    <row r="358" spans="1:26" ht="18" customHeight="1" x14ac:dyDescent="0.35">
      <c r="A358" s="984"/>
      <c r="B358" s="984"/>
      <c r="C358" s="984"/>
      <c r="D358" s="984"/>
      <c r="E358" s="984"/>
      <c r="F358" s="984"/>
      <c r="G358" s="984"/>
      <c r="H358" s="984"/>
      <c r="I358" s="984"/>
      <c r="J358" s="984"/>
      <c r="K358" s="984"/>
      <c r="L358" s="984"/>
      <c r="M358" s="984"/>
      <c r="N358" s="984"/>
      <c r="O358" s="984"/>
      <c r="P358" s="984"/>
      <c r="Q358" s="984"/>
      <c r="R358" s="984"/>
      <c r="S358" s="984"/>
      <c r="T358" s="984"/>
      <c r="U358" s="984"/>
      <c r="V358" s="984"/>
      <c r="W358" s="984"/>
      <c r="X358" s="984"/>
      <c r="Y358" s="984"/>
      <c r="Z358" s="984"/>
    </row>
    <row r="359" spans="1:26" ht="18" customHeight="1" x14ac:dyDescent="0.35">
      <c r="A359" s="984"/>
      <c r="B359" s="984"/>
      <c r="C359" s="984"/>
      <c r="D359" s="984"/>
      <c r="E359" s="984"/>
      <c r="F359" s="984"/>
      <c r="G359" s="984"/>
      <c r="H359" s="984"/>
      <c r="I359" s="984"/>
      <c r="J359" s="984"/>
      <c r="K359" s="984"/>
      <c r="L359" s="984"/>
      <c r="M359" s="984"/>
      <c r="N359" s="984"/>
      <c r="O359" s="984"/>
      <c r="P359" s="984"/>
      <c r="Q359" s="984"/>
      <c r="R359" s="984"/>
      <c r="S359" s="984"/>
      <c r="T359" s="984"/>
      <c r="U359" s="984"/>
      <c r="V359" s="984"/>
      <c r="W359" s="984"/>
      <c r="X359" s="984"/>
      <c r="Y359" s="984"/>
      <c r="Z359" s="984"/>
    </row>
    <row r="360" spans="1:26" ht="18" customHeight="1" x14ac:dyDescent="0.35">
      <c r="A360" s="984"/>
      <c r="B360" s="984"/>
      <c r="C360" s="984"/>
      <c r="D360" s="984"/>
      <c r="E360" s="984"/>
      <c r="F360" s="984"/>
      <c r="G360" s="984"/>
      <c r="H360" s="984"/>
      <c r="I360" s="984"/>
      <c r="J360" s="984"/>
      <c r="K360" s="984"/>
      <c r="L360" s="984"/>
      <c r="M360" s="984"/>
      <c r="N360" s="984"/>
      <c r="O360" s="984"/>
      <c r="P360" s="984"/>
      <c r="Q360" s="984"/>
      <c r="R360" s="984"/>
      <c r="S360" s="984"/>
      <c r="T360" s="984"/>
      <c r="U360" s="984"/>
      <c r="V360" s="984"/>
      <c r="W360" s="984"/>
      <c r="X360" s="984"/>
      <c r="Y360" s="984"/>
      <c r="Z360" s="984"/>
    </row>
    <row r="361" spans="1:26" ht="18" customHeight="1" x14ac:dyDescent="0.35">
      <c r="A361" s="984"/>
      <c r="B361" s="984"/>
      <c r="C361" s="984"/>
      <c r="D361" s="984"/>
      <c r="E361" s="984"/>
      <c r="F361" s="984"/>
      <c r="G361" s="984"/>
      <c r="H361" s="984"/>
      <c r="I361" s="984"/>
      <c r="J361" s="984"/>
      <c r="K361" s="984"/>
      <c r="L361" s="984"/>
      <c r="M361" s="984"/>
      <c r="N361" s="984"/>
      <c r="O361" s="984"/>
      <c r="P361" s="984"/>
      <c r="Q361" s="984"/>
      <c r="R361" s="984"/>
      <c r="S361" s="984"/>
      <c r="T361" s="984"/>
      <c r="U361" s="984"/>
      <c r="V361" s="984"/>
      <c r="W361" s="984"/>
      <c r="X361" s="984"/>
      <c r="Y361" s="984"/>
      <c r="Z361" s="984"/>
    </row>
    <row r="362" spans="1:26" ht="18" customHeight="1" x14ac:dyDescent="0.35">
      <c r="A362" s="984"/>
      <c r="B362" s="984"/>
      <c r="C362" s="984"/>
      <c r="D362" s="984"/>
      <c r="E362" s="984"/>
      <c r="F362" s="984"/>
      <c r="G362" s="984"/>
      <c r="H362" s="984"/>
      <c r="I362" s="984"/>
      <c r="J362" s="984"/>
      <c r="K362" s="984"/>
      <c r="L362" s="984"/>
      <c r="M362" s="984"/>
      <c r="N362" s="984"/>
      <c r="O362" s="984"/>
      <c r="P362" s="984"/>
      <c r="Q362" s="984"/>
      <c r="R362" s="984"/>
      <c r="S362" s="984"/>
      <c r="T362" s="984"/>
      <c r="U362" s="984"/>
      <c r="V362" s="984"/>
      <c r="W362" s="984"/>
      <c r="X362" s="984"/>
      <c r="Y362" s="984"/>
      <c r="Z362" s="984"/>
    </row>
    <row r="363" spans="1:26" ht="18" customHeight="1" x14ac:dyDescent="0.35">
      <c r="A363" s="984"/>
      <c r="B363" s="984"/>
      <c r="C363" s="984"/>
      <c r="D363" s="984"/>
      <c r="E363" s="984"/>
      <c r="F363" s="984"/>
      <c r="G363" s="984"/>
      <c r="H363" s="984"/>
      <c r="I363" s="984"/>
      <c r="J363" s="984"/>
      <c r="K363" s="984"/>
      <c r="L363" s="984"/>
      <c r="M363" s="984"/>
      <c r="N363" s="984"/>
      <c r="O363" s="984"/>
      <c r="P363" s="984"/>
      <c r="Q363" s="984"/>
      <c r="R363" s="984"/>
      <c r="S363" s="984"/>
      <c r="T363" s="984"/>
      <c r="U363" s="984"/>
      <c r="V363" s="984"/>
      <c r="W363" s="984"/>
      <c r="X363" s="984"/>
      <c r="Y363" s="984"/>
      <c r="Z363" s="984"/>
    </row>
    <row r="364" spans="1:26" ht="18" customHeight="1" x14ac:dyDescent="0.35">
      <c r="A364" s="984"/>
      <c r="B364" s="984"/>
      <c r="C364" s="984"/>
      <c r="D364" s="984"/>
      <c r="E364" s="984"/>
      <c r="F364" s="984"/>
      <c r="G364" s="984"/>
      <c r="H364" s="984"/>
      <c r="I364" s="984"/>
      <c r="J364" s="984"/>
      <c r="K364" s="984"/>
      <c r="L364" s="984"/>
      <c r="M364" s="984"/>
      <c r="N364" s="984"/>
      <c r="O364" s="984"/>
      <c r="P364" s="984"/>
      <c r="Q364" s="984"/>
      <c r="R364" s="984"/>
      <c r="S364" s="984"/>
      <c r="T364" s="984"/>
      <c r="U364" s="984"/>
      <c r="V364" s="984"/>
      <c r="W364" s="984"/>
      <c r="X364" s="984"/>
      <c r="Y364" s="984"/>
      <c r="Z364" s="984"/>
    </row>
    <row r="365" spans="1:26" ht="18" customHeight="1" x14ac:dyDescent="0.35">
      <c r="A365" s="984"/>
      <c r="B365" s="984"/>
      <c r="C365" s="984"/>
      <c r="D365" s="984"/>
      <c r="E365" s="984"/>
      <c r="F365" s="984"/>
      <c r="G365" s="984"/>
      <c r="H365" s="984"/>
      <c r="I365" s="984"/>
      <c r="J365" s="984"/>
      <c r="K365" s="984"/>
      <c r="L365" s="984"/>
      <c r="M365" s="984"/>
      <c r="N365" s="984"/>
      <c r="O365" s="984"/>
      <c r="P365" s="984"/>
      <c r="Q365" s="984"/>
      <c r="R365" s="984"/>
      <c r="S365" s="984"/>
      <c r="T365" s="984"/>
      <c r="U365" s="984"/>
      <c r="V365" s="984"/>
      <c r="W365" s="984"/>
      <c r="X365" s="984"/>
      <c r="Y365" s="984"/>
      <c r="Z365" s="984"/>
    </row>
    <row r="366" spans="1:26" ht="18" customHeight="1" x14ac:dyDescent="0.35">
      <c r="A366" s="984"/>
      <c r="B366" s="984"/>
      <c r="C366" s="984"/>
      <c r="D366" s="984"/>
      <c r="E366" s="984"/>
      <c r="F366" s="984"/>
      <c r="G366" s="984"/>
      <c r="H366" s="984"/>
      <c r="I366" s="984"/>
      <c r="J366" s="984"/>
      <c r="K366" s="984"/>
      <c r="L366" s="984"/>
      <c r="M366" s="984"/>
      <c r="N366" s="984"/>
      <c r="O366" s="984"/>
      <c r="P366" s="984"/>
      <c r="Q366" s="984"/>
      <c r="R366" s="984"/>
      <c r="S366" s="984"/>
      <c r="T366" s="984"/>
      <c r="U366" s="984"/>
      <c r="V366" s="984"/>
      <c r="W366" s="984"/>
      <c r="X366" s="984"/>
      <c r="Y366" s="984"/>
      <c r="Z366" s="984"/>
    </row>
    <row r="367" spans="1:26" ht="18" customHeight="1" x14ac:dyDescent="0.35">
      <c r="A367" s="984"/>
      <c r="B367" s="984"/>
      <c r="C367" s="984"/>
      <c r="D367" s="984"/>
      <c r="E367" s="984"/>
      <c r="F367" s="984"/>
      <c r="G367" s="984"/>
      <c r="H367" s="984"/>
      <c r="I367" s="984"/>
      <c r="J367" s="984"/>
      <c r="K367" s="984"/>
      <c r="L367" s="984"/>
      <c r="M367" s="984"/>
      <c r="N367" s="984"/>
      <c r="O367" s="984"/>
      <c r="P367" s="984"/>
      <c r="Q367" s="984"/>
      <c r="R367" s="984"/>
      <c r="S367" s="984"/>
      <c r="T367" s="984"/>
      <c r="U367" s="984"/>
      <c r="V367" s="984"/>
      <c r="W367" s="984"/>
      <c r="X367" s="984"/>
      <c r="Y367" s="984"/>
      <c r="Z367" s="984"/>
    </row>
    <row r="368" spans="1:26" ht="18" customHeight="1" x14ac:dyDescent="0.35">
      <c r="A368" s="984"/>
      <c r="B368" s="984"/>
      <c r="C368" s="984"/>
      <c r="D368" s="984"/>
      <c r="E368" s="984"/>
      <c r="F368" s="984"/>
      <c r="G368" s="984"/>
      <c r="H368" s="984"/>
      <c r="I368" s="984"/>
      <c r="J368" s="984"/>
      <c r="K368" s="984"/>
      <c r="L368" s="984"/>
      <c r="M368" s="984"/>
      <c r="N368" s="984"/>
      <c r="O368" s="984"/>
      <c r="P368" s="984"/>
      <c r="Q368" s="984"/>
      <c r="R368" s="984"/>
      <c r="S368" s="984"/>
      <c r="T368" s="984"/>
      <c r="U368" s="984"/>
      <c r="V368" s="984"/>
      <c r="W368" s="984"/>
      <c r="X368" s="984"/>
      <c r="Y368" s="984"/>
      <c r="Z368" s="984"/>
    </row>
    <row r="369" spans="1:26" ht="18" customHeight="1" x14ac:dyDescent="0.35">
      <c r="A369" s="984"/>
      <c r="B369" s="984"/>
      <c r="C369" s="984"/>
      <c r="D369" s="984"/>
      <c r="E369" s="984"/>
      <c r="F369" s="984"/>
      <c r="G369" s="984"/>
      <c r="H369" s="984"/>
      <c r="I369" s="984"/>
      <c r="J369" s="984"/>
      <c r="K369" s="984"/>
      <c r="L369" s="984"/>
      <c r="M369" s="984"/>
      <c r="N369" s="984"/>
      <c r="O369" s="984"/>
      <c r="P369" s="984"/>
      <c r="Q369" s="984"/>
      <c r="R369" s="984"/>
      <c r="S369" s="984"/>
      <c r="T369" s="984"/>
      <c r="U369" s="984"/>
      <c r="V369" s="984"/>
      <c r="W369" s="984"/>
      <c r="X369" s="984"/>
      <c r="Y369" s="984"/>
      <c r="Z369" s="984"/>
    </row>
    <row r="370" spans="1:26" ht="18" customHeight="1" x14ac:dyDescent="0.35">
      <c r="A370" s="984"/>
      <c r="B370" s="984"/>
      <c r="C370" s="984"/>
      <c r="D370" s="984"/>
      <c r="E370" s="984"/>
      <c r="F370" s="984"/>
      <c r="G370" s="984"/>
      <c r="H370" s="984"/>
      <c r="I370" s="984"/>
      <c r="J370" s="984"/>
      <c r="K370" s="984"/>
      <c r="L370" s="984"/>
      <c r="M370" s="984"/>
      <c r="N370" s="984"/>
      <c r="O370" s="984"/>
      <c r="P370" s="984"/>
      <c r="Q370" s="984"/>
      <c r="R370" s="984"/>
      <c r="S370" s="984"/>
      <c r="T370" s="984"/>
      <c r="U370" s="984"/>
      <c r="V370" s="984"/>
      <c r="W370" s="984"/>
      <c r="X370" s="984"/>
      <c r="Y370" s="984"/>
      <c r="Z370" s="984"/>
    </row>
    <row r="371" spans="1:26" ht="18" customHeight="1" x14ac:dyDescent="0.35">
      <c r="A371" s="984"/>
      <c r="B371" s="984"/>
      <c r="C371" s="984"/>
      <c r="D371" s="984"/>
      <c r="E371" s="984"/>
      <c r="F371" s="984"/>
      <c r="G371" s="984"/>
      <c r="H371" s="984"/>
      <c r="I371" s="984"/>
      <c r="J371" s="984"/>
      <c r="K371" s="984"/>
      <c r="L371" s="984"/>
      <c r="M371" s="984"/>
      <c r="N371" s="984"/>
      <c r="O371" s="984"/>
      <c r="P371" s="984"/>
      <c r="Q371" s="984"/>
      <c r="R371" s="984"/>
      <c r="S371" s="984"/>
      <c r="T371" s="984"/>
      <c r="U371" s="984"/>
      <c r="V371" s="984"/>
      <c r="W371" s="984"/>
      <c r="X371" s="984"/>
      <c r="Y371" s="984"/>
      <c r="Z371" s="984"/>
    </row>
    <row r="372" spans="1:26" ht="18" customHeight="1" x14ac:dyDescent="0.35">
      <c r="A372" s="984"/>
      <c r="B372" s="984"/>
      <c r="C372" s="984"/>
      <c r="D372" s="984"/>
      <c r="E372" s="984"/>
      <c r="F372" s="984"/>
      <c r="G372" s="984"/>
      <c r="H372" s="984"/>
      <c r="I372" s="984"/>
      <c r="J372" s="984"/>
      <c r="K372" s="984"/>
      <c r="L372" s="984"/>
      <c r="M372" s="984"/>
      <c r="N372" s="984"/>
      <c r="O372" s="984"/>
      <c r="P372" s="984"/>
      <c r="Q372" s="984"/>
      <c r="R372" s="984"/>
      <c r="S372" s="984"/>
      <c r="T372" s="984"/>
      <c r="U372" s="984"/>
      <c r="V372" s="984"/>
      <c r="W372" s="984"/>
      <c r="X372" s="984"/>
      <c r="Y372" s="984"/>
      <c r="Z372" s="984"/>
    </row>
    <row r="373" spans="1:26" ht="18" customHeight="1" x14ac:dyDescent="0.35">
      <c r="A373" s="984"/>
      <c r="B373" s="984"/>
      <c r="C373" s="984"/>
      <c r="D373" s="984"/>
      <c r="E373" s="984"/>
      <c r="F373" s="984"/>
      <c r="G373" s="984"/>
      <c r="H373" s="984"/>
      <c r="I373" s="984"/>
      <c r="J373" s="984"/>
      <c r="K373" s="984"/>
      <c r="L373" s="984"/>
      <c r="M373" s="984"/>
      <c r="N373" s="984"/>
      <c r="O373" s="984"/>
      <c r="P373" s="984"/>
      <c r="Q373" s="984"/>
      <c r="R373" s="984"/>
      <c r="S373" s="984"/>
      <c r="T373" s="984"/>
      <c r="U373" s="984"/>
      <c r="V373" s="984"/>
      <c r="W373" s="984"/>
      <c r="X373" s="984"/>
      <c r="Y373" s="984"/>
      <c r="Z373" s="984"/>
    </row>
    <row r="374" spans="1:26" ht="18" customHeight="1" x14ac:dyDescent="0.35">
      <c r="A374" s="984"/>
      <c r="B374" s="984"/>
      <c r="C374" s="984"/>
      <c r="D374" s="984"/>
      <c r="E374" s="984"/>
      <c r="F374" s="984"/>
      <c r="G374" s="984"/>
      <c r="H374" s="984"/>
      <c r="I374" s="984"/>
      <c r="J374" s="984"/>
      <c r="K374" s="984"/>
      <c r="L374" s="984"/>
      <c r="M374" s="984"/>
      <c r="N374" s="984"/>
      <c r="O374" s="984"/>
      <c r="P374" s="984"/>
      <c r="Q374" s="984"/>
      <c r="R374" s="984"/>
      <c r="S374" s="984"/>
      <c r="T374" s="984"/>
      <c r="U374" s="984"/>
      <c r="V374" s="984"/>
      <c r="W374" s="984"/>
      <c r="X374" s="984"/>
      <c r="Y374" s="984"/>
      <c r="Z374" s="984"/>
    </row>
    <row r="375" spans="1:26" ht="18" customHeight="1" x14ac:dyDescent="0.35">
      <c r="A375" s="984"/>
      <c r="B375" s="984"/>
      <c r="C375" s="984"/>
      <c r="D375" s="984"/>
      <c r="E375" s="984"/>
      <c r="F375" s="984"/>
      <c r="G375" s="984"/>
      <c r="H375" s="984"/>
      <c r="I375" s="984"/>
      <c r="J375" s="984"/>
      <c r="K375" s="984"/>
      <c r="L375" s="984"/>
      <c r="M375" s="984"/>
      <c r="N375" s="984"/>
      <c r="O375" s="984"/>
      <c r="P375" s="984"/>
      <c r="Q375" s="984"/>
      <c r="R375" s="984"/>
      <c r="S375" s="984"/>
      <c r="T375" s="984"/>
      <c r="U375" s="984"/>
      <c r="V375" s="984"/>
      <c r="W375" s="984"/>
      <c r="X375" s="984"/>
      <c r="Y375" s="984"/>
      <c r="Z375" s="984"/>
    </row>
    <row r="376" spans="1:26" ht="18" customHeight="1" x14ac:dyDescent="0.35">
      <c r="A376" s="984"/>
      <c r="B376" s="984"/>
      <c r="C376" s="984"/>
      <c r="D376" s="984"/>
      <c r="E376" s="984"/>
      <c r="F376" s="984"/>
      <c r="G376" s="984"/>
      <c r="H376" s="984"/>
      <c r="I376" s="984"/>
      <c r="J376" s="984"/>
      <c r="K376" s="984"/>
      <c r="L376" s="984"/>
      <c r="M376" s="984"/>
      <c r="N376" s="984"/>
      <c r="O376" s="984"/>
      <c r="P376" s="984"/>
      <c r="Q376" s="984"/>
      <c r="R376" s="984"/>
      <c r="S376" s="984"/>
      <c r="T376" s="984"/>
      <c r="U376" s="984"/>
      <c r="V376" s="984"/>
      <c r="W376" s="984"/>
      <c r="X376" s="984"/>
      <c r="Y376" s="984"/>
      <c r="Z376" s="984"/>
    </row>
    <row r="377" spans="1:26" ht="18" customHeight="1" x14ac:dyDescent="0.35">
      <c r="A377" s="984"/>
      <c r="B377" s="984"/>
      <c r="C377" s="984"/>
      <c r="D377" s="984"/>
      <c r="E377" s="984"/>
      <c r="F377" s="984"/>
      <c r="G377" s="984"/>
      <c r="H377" s="984"/>
      <c r="I377" s="984"/>
      <c r="J377" s="984"/>
      <c r="K377" s="984"/>
      <c r="L377" s="984"/>
      <c r="M377" s="984"/>
      <c r="N377" s="984"/>
      <c r="O377" s="984"/>
      <c r="P377" s="984"/>
      <c r="Q377" s="984"/>
      <c r="R377" s="984"/>
      <c r="S377" s="984"/>
      <c r="T377" s="984"/>
      <c r="U377" s="984"/>
      <c r="V377" s="984"/>
      <c r="W377" s="984"/>
      <c r="X377" s="984"/>
      <c r="Y377" s="984"/>
      <c r="Z377" s="984"/>
    </row>
    <row r="378" spans="1:26" ht="18" customHeight="1" x14ac:dyDescent="0.35">
      <c r="A378" s="984"/>
      <c r="B378" s="984"/>
      <c r="C378" s="984"/>
      <c r="D378" s="984"/>
      <c r="E378" s="984"/>
      <c r="F378" s="984"/>
      <c r="G378" s="984"/>
      <c r="H378" s="984"/>
      <c r="I378" s="984"/>
      <c r="J378" s="984"/>
      <c r="K378" s="984"/>
      <c r="L378" s="984"/>
      <c r="M378" s="984"/>
      <c r="N378" s="984"/>
      <c r="O378" s="984"/>
      <c r="P378" s="984"/>
      <c r="Q378" s="984"/>
      <c r="R378" s="984"/>
      <c r="S378" s="984"/>
      <c r="T378" s="984"/>
      <c r="U378" s="984"/>
      <c r="V378" s="984"/>
      <c r="W378" s="984"/>
      <c r="X378" s="984"/>
      <c r="Y378" s="984"/>
      <c r="Z378" s="984"/>
    </row>
    <row r="379" spans="1:26" ht="18" customHeight="1" x14ac:dyDescent="0.35">
      <c r="A379" s="984"/>
      <c r="B379" s="984"/>
      <c r="C379" s="984"/>
      <c r="D379" s="984"/>
      <c r="E379" s="984"/>
      <c r="F379" s="984"/>
      <c r="G379" s="984"/>
      <c r="H379" s="984"/>
      <c r="I379" s="984"/>
      <c r="J379" s="984"/>
      <c r="K379" s="984"/>
      <c r="L379" s="984"/>
      <c r="M379" s="984"/>
      <c r="N379" s="984"/>
      <c r="O379" s="984"/>
      <c r="P379" s="984"/>
      <c r="Q379" s="984"/>
      <c r="R379" s="984"/>
      <c r="S379" s="984"/>
      <c r="T379" s="984"/>
      <c r="U379" s="984"/>
      <c r="V379" s="984"/>
      <c r="W379" s="984"/>
      <c r="X379" s="984"/>
      <c r="Y379" s="984"/>
      <c r="Z379" s="984"/>
    </row>
    <row r="380" spans="1:26" ht="18" customHeight="1" x14ac:dyDescent="0.35">
      <c r="A380" s="984"/>
      <c r="B380" s="984"/>
      <c r="C380" s="984"/>
      <c r="D380" s="984"/>
      <c r="E380" s="984"/>
      <c r="F380" s="984"/>
      <c r="G380" s="984"/>
      <c r="H380" s="984"/>
      <c r="I380" s="984"/>
      <c r="J380" s="984"/>
      <c r="K380" s="984"/>
      <c r="L380" s="984"/>
      <c r="M380" s="984"/>
      <c r="N380" s="984"/>
      <c r="O380" s="984"/>
      <c r="P380" s="984"/>
      <c r="Q380" s="984"/>
      <c r="R380" s="984"/>
      <c r="S380" s="984"/>
      <c r="T380" s="984"/>
      <c r="U380" s="984"/>
      <c r="V380" s="984"/>
      <c r="W380" s="984"/>
      <c r="X380" s="984"/>
      <c r="Y380" s="984"/>
      <c r="Z380" s="984"/>
    </row>
    <row r="381" spans="1:26" ht="18" customHeight="1" x14ac:dyDescent="0.35">
      <c r="A381" s="984"/>
      <c r="B381" s="984"/>
      <c r="C381" s="984"/>
      <c r="D381" s="984"/>
      <c r="E381" s="984"/>
      <c r="F381" s="984"/>
      <c r="G381" s="984"/>
      <c r="H381" s="984"/>
      <c r="I381" s="984"/>
      <c r="J381" s="984"/>
      <c r="K381" s="984"/>
      <c r="L381" s="984"/>
      <c r="M381" s="984"/>
      <c r="N381" s="984"/>
      <c r="O381" s="984"/>
      <c r="P381" s="984"/>
      <c r="Q381" s="984"/>
      <c r="R381" s="984"/>
      <c r="S381" s="984"/>
      <c r="T381" s="984"/>
      <c r="U381" s="984"/>
      <c r="V381" s="984"/>
      <c r="W381" s="984"/>
      <c r="X381" s="984"/>
      <c r="Y381" s="984"/>
      <c r="Z381" s="984"/>
    </row>
    <row r="382" spans="1:26" ht="18" customHeight="1" x14ac:dyDescent="0.35">
      <c r="A382" s="984"/>
      <c r="B382" s="984"/>
      <c r="C382" s="984"/>
      <c r="D382" s="984"/>
      <c r="E382" s="984"/>
      <c r="F382" s="984"/>
      <c r="G382" s="984"/>
      <c r="H382" s="984"/>
      <c r="I382" s="984"/>
      <c r="J382" s="984"/>
      <c r="K382" s="984"/>
      <c r="L382" s="984"/>
      <c r="M382" s="984"/>
      <c r="N382" s="984"/>
      <c r="O382" s="984"/>
      <c r="P382" s="984"/>
      <c r="Q382" s="984"/>
      <c r="R382" s="984"/>
      <c r="S382" s="984"/>
      <c r="T382" s="984"/>
      <c r="U382" s="984"/>
      <c r="V382" s="984"/>
      <c r="W382" s="984"/>
      <c r="X382" s="984"/>
      <c r="Y382" s="984"/>
      <c r="Z382" s="984"/>
    </row>
    <row r="383" spans="1:26" ht="18" customHeight="1" x14ac:dyDescent="0.35">
      <c r="A383" s="984"/>
      <c r="B383" s="984"/>
      <c r="C383" s="984"/>
      <c r="D383" s="984"/>
      <c r="E383" s="984"/>
      <c r="F383" s="984"/>
      <c r="G383" s="984"/>
      <c r="H383" s="984"/>
      <c r="I383" s="984"/>
      <c r="J383" s="984"/>
      <c r="K383" s="984"/>
      <c r="L383" s="984"/>
      <c r="M383" s="984"/>
      <c r="N383" s="984"/>
      <c r="O383" s="984"/>
      <c r="P383" s="984"/>
      <c r="Q383" s="984"/>
      <c r="R383" s="984"/>
      <c r="S383" s="984"/>
      <c r="T383" s="984"/>
      <c r="U383" s="984"/>
      <c r="V383" s="984"/>
      <c r="W383" s="984"/>
      <c r="X383" s="984"/>
      <c r="Y383" s="984"/>
      <c r="Z383" s="984"/>
    </row>
    <row r="384" spans="1:26" ht="18" customHeight="1" x14ac:dyDescent="0.35">
      <c r="A384" s="984"/>
      <c r="B384" s="984"/>
      <c r="C384" s="984"/>
      <c r="D384" s="984"/>
      <c r="E384" s="984"/>
      <c r="F384" s="984"/>
      <c r="G384" s="984"/>
      <c r="H384" s="984"/>
      <c r="I384" s="984"/>
      <c r="J384" s="984"/>
      <c r="K384" s="984"/>
      <c r="L384" s="984"/>
      <c r="M384" s="984"/>
      <c r="N384" s="984"/>
      <c r="O384" s="984"/>
      <c r="P384" s="984"/>
      <c r="Q384" s="984"/>
      <c r="R384" s="984"/>
      <c r="S384" s="984"/>
      <c r="T384" s="984"/>
      <c r="U384" s="984"/>
      <c r="V384" s="984"/>
      <c r="W384" s="984"/>
      <c r="X384" s="984"/>
      <c r="Y384" s="984"/>
      <c r="Z384" s="984"/>
    </row>
    <row r="385" spans="1:26" ht="18" customHeight="1" x14ac:dyDescent="0.35">
      <c r="A385" s="984"/>
      <c r="B385" s="984"/>
      <c r="C385" s="984"/>
      <c r="D385" s="984"/>
      <c r="E385" s="984"/>
      <c r="F385" s="984"/>
      <c r="G385" s="984"/>
      <c r="H385" s="984"/>
      <c r="I385" s="984"/>
      <c r="J385" s="984"/>
      <c r="K385" s="984"/>
      <c r="L385" s="984"/>
      <c r="M385" s="984"/>
      <c r="N385" s="984"/>
      <c r="O385" s="984"/>
      <c r="P385" s="984"/>
      <c r="Q385" s="984"/>
      <c r="R385" s="984"/>
      <c r="S385" s="984"/>
      <c r="T385" s="984"/>
      <c r="U385" s="984"/>
      <c r="V385" s="984"/>
      <c r="W385" s="984"/>
      <c r="X385" s="984"/>
      <c r="Y385" s="984"/>
      <c r="Z385" s="984"/>
    </row>
    <row r="386" spans="1:26" ht="18" customHeight="1" x14ac:dyDescent="0.35">
      <c r="A386" s="984"/>
      <c r="B386" s="984"/>
      <c r="C386" s="984"/>
      <c r="D386" s="984"/>
      <c r="E386" s="984"/>
      <c r="F386" s="984"/>
      <c r="G386" s="984"/>
      <c r="H386" s="984"/>
      <c r="I386" s="984"/>
      <c r="J386" s="984"/>
      <c r="K386" s="984"/>
      <c r="L386" s="984"/>
      <c r="M386" s="984"/>
      <c r="N386" s="984"/>
      <c r="O386" s="984"/>
      <c r="P386" s="984"/>
      <c r="Q386" s="984"/>
      <c r="R386" s="984"/>
      <c r="S386" s="984"/>
      <c r="T386" s="984"/>
      <c r="U386" s="984"/>
      <c r="V386" s="984"/>
      <c r="W386" s="984"/>
      <c r="X386" s="984"/>
      <c r="Y386" s="984"/>
      <c r="Z386" s="984"/>
    </row>
    <row r="387" spans="1:26" ht="18" customHeight="1" x14ac:dyDescent="0.35">
      <c r="A387" s="984"/>
      <c r="B387" s="984"/>
      <c r="C387" s="984"/>
      <c r="D387" s="984"/>
      <c r="E387" s="984"/>
      <c r="F387" s="984"/>
      <c r="G387" s="984"/>
      <c r="H387" s="984"/>
      <c r="I387" s="984"/>
      <c r="J387" s="984"/>
      <c r="K387" s="984"/>
      <c r="L387" s="984"/>
      <c r="M387" s="984"/>
      <c r="N387" s="984"/>
      <c r="O387" s="984"/>
      <c r="P387" s="984"/>
      <c r="Q387" s="984"/>
      <c r="R387" s="984"/>
      <c r="S387" s="984"/>
      <c r="T387" s="984"/>
      <c r="U387" s="984"/>
      <c r="V387" s="984"/>
      <c r="W387" s="984"/>
      <c r="X387" s="984"/>
      <c r="Y387" s="984"/>
      <c r="Z387" s="984"/>
    </row>
    <row r="388" spans="1:26" ht="18" customHeight="1" x14ac:dyDescent="0.35">
      <c r="A388" s="984"/>
      <c r="B388" s="984"/>
      <c r="C388" s="984"/>
      <c r="D388" s="984"/>
      <c r="E388" s="984"/>
      <c r="F388" s="984"/>
      <c r="G388" s="984"/>
      <c r="H388" s="984"/>
      <c r="I388" s="984"/>
      <c r="J388" s="984"/>
      <c r="K388" s="984"/>
      <c r="L388" s="984"/>
      <c r="M388" s="984"/>
      <c r="N388" s="984"/>
      <c r="O388" s="984"/>
      <c r="P388" s="984"/>
      <c r="Q388" s="984"/>
      <c r="R388" s="984"/>
      <c r="S388" s="984"/>
      <c r="T388" s="984"/>
      <c r="U388" s="984"/>
      <c r="V388" s="984"/>
      <c r="W388" s="984"/>
      <c r="X388" s="984"/>
      <c r="Y388" s="984"/>
      <c r="Z388" s="984"/>
    </row>
    <row r="389" spans="1:26" ht="18" customHeight="1" x14ac:dyDescent="0.35">
      <c r="A389" s="984"/>
      <c r="B389" s="984"/>
      <c r="C389" s="984"/>
      <c r="D389" s="984"/>
      <c r="E389" s="984"/>
      <c r="F389" s="984"/>
      <c r="G389" s="984"/>
      <c r="H389" s="984"/>
      <c r="I389" s="984"/>
      <c r="J389" s="984"/>
      <c r="K389" s="984"/>
      <c r="L389" s="984"/>
      <c r="M389" s="984"/>
      <c r="N389" s="984"/>
      <c r="O389" s="984"/>
      <c r="P389" s="984"/>
      <c r="Q389" s="984"/>
      <c r="R389" s="984"/>
      <c r="S389" s="984"/>
      <c r="T389" s="984"/>
      <c r="U389" s="984"/>
      <c r="V389" s="984"/>
      <c r="W389" s="984"/>
      <c r="X389" s="984"/>
      <c r="Y389" s="984"/>
      <c r="Z389" s="984"/>
    </row>
    <row r="390" spans="1:26" ht="18" customHeight="1" x14ac:dyDescent="0.35">
      <c r="A390" s="984"/>
      <c r="B390" s="984"/>
      <c r="C390" s="984"/>
      <c r="D390" s="984"/>
      <c r="E390" s="984"/>
      <c r="F390" s="984"/>
      <c r="G390" s="984"/>
      <c r="H390" s="984"/>
      <c r="I390" s="984"/>
      <c r="J390" s="984"/>
      <c r="K390" s="984"/>
      <c r="L390" s="984"/>
      <c r="M390" s="984"/>
      <c r="N390" s="984"/>
      <c r="O390" s="984"/>
      <c r="P390" s="984"/>
      <c r="Q390" s="984"/>
      <c r="R390" s="984"/>
      <c r="S390" s="984"/>
      <c r="T390" s="984"/>
      <c r="U390" s="984"/>
      <c r="V390" s="984"/>
      <c r="W390" s="984"/>
      <c r="X390" s="984"/>
      <c r="Y390" s="984"/>
      <c r="Z390" s="984"/>
    </row>
    <row r="391" spans="1:26" ht="18" customHeight="1" x14ac:dyDescent="0.35">
      <c r="A391" s="984"/>
      <c r="B391" s="984"/>
      <c r="C391" s="984"/>
      <c r="D391" s="984"/>
      <c r="E391" s="984"/>
      <c r="F391" s="984"/>
      <c r="G391" s="984"/>
      <c r="H391" s="984"/>
      <c r="I391" s="984"/>
      <c r="J391" s="984"/>
      <c r="K391" s="984"/>
      <c r="L391" s="984"/>
      <c r="M391" s="984"/>
      <c r="N391" s="984"/>
      <c r="O391" s="984"/>
      <c r="P391" s="984"/>
      <c r="Q391" s="984"/>
      <c r="R391" s="984"/>
      <c r="S391" s="984"/>
      <c r="T391" s="984"/>
      <c r="U391" s="984"/>
      <c r="V391" s="984"/>
      <c r="W391" s="984"/>
      <c r="X391" s="984"/>
      <c r="Y391" s="984"/>
      <c r="Z391" s="984"/>
    </row>
    <row r="392" spans="1:26" ht="18" customHeight="1" x14ac:dyDescent="0.35">
      <c r="A392" s="984"/>
      <c r="B392" s="984"/>
      <c r="C392" s="984"/>
      <c r="D392" s="984"/>
      <c r="E392" s="984"/>
      <c r="F392" s="984"/>
      <c r="G392" s="984"/>
      <c r="H392" s="984"/>
      <c r="I392" s="984"/>
      <c r="J392" s="984"/>
      <c r="K392" s="984"/>
      <c r="L392" s="984"/>
      <c r="M392" s="984"/>
      <c r="N392" s="984"/>
      <c r="O392" s="984"/>
      <c r="P392" s="984"/>
      <c r="Q392" s="984"/>
      <c r="R392" s="984"/>
      <c r="S392" s="984"/>
      <c r="T392" s="984"/>
      <c r="U392" s="984"/>
      <c r="V392" s="984"/>
      <c r="W392" s="984"/>
      <c r="X392" s="984"/>
      <c r="Y392" s="984"/>
      <c r="Z392" s="984"/>
    </row>
    <row r="393" spans="1:26" ht="18" customHeight="1" x14ac:dyDescent="0.35">
      <c r="A393" s="984"/>
      <c r="B393" s="984"/>
      <c r="C393" s="984"/>
      <c r="D393" s="984"/>
      <c r="E393" s="984"/>
      <c r="F393" s="984"/>
      <c r="G393" s="984"/>
      <c r="H393" s="984"/>
      <c r="I393" s="984"/>
      <c r="J393" s="984"/>
      <c r="K393" s="984"/>
      <c r="L393" s="984"/>
      <c r="M393" s="984"/>
      <c r="N393" s="984"/>
      <c r="O393" s="984"/>
      <c r="P393" s="984"/>
      <c r="Q393" s="984"/>
      <c r="R393" s="984"/>
      <c r="S393" s="984"/>
      <c r="T393" s="984"/>
      <c r="U393" s="984"/>
      <c r="V393" s="984"/>
      <c r="W393" s="984"/>
      <c r="X393" s="984"/>
      <c r="Y393" s="984"/>
      <c r="Z393" s="984"/>
    </row>
    <row r="394" spans="1:26" ht="18" customHeight="1" x14ac:dyDescent="0.35">
      <c r="A394" s="984"/>
      <c r="B394" s="984"/>
      <c r="C394" s="984"/>
      <c r="D394" s="984"/>
      <c r="E394" s="984"/>
      <c r="F394" s="984"/>
      <c r="G394" s="984"/>
      <c r="H394" s="984"/>
      <c r="I394" s="984"/>
      <c r="J394" s="984"/>
      <c r="K394" s="984"/>
      <c r="L394" s="984"/>
      <c r="M394" s="984"/>
      <c r="N394" s="984"/>
      <c r="O394" s="984"/>
      <c r="P394" s="984"/>
      <c r="Q394" s="984"/>
      <c r="R394" s="984"/>
      <c r="S394" s="984"/>
      <c r="T394" s="984"/>
      <c r="U394" s="984"/>
      <c r="V394" s="984"/>
      <c r="W394" s="984"/>
      <c r="X394" s="984"/>
      <c r="Y394" s="984"/>
      <c r="Z394" s="984"/>
    </row>
    <row r="395" spans="1:26" ht="18" customHeight="1" x14ac:dyDescent="0.35">
      <c r="A395" s="984"/>
      <c r="B395" s="984"/>
      <c r="C395" s="984"/>
      <c r="D395" s="984"/>
      <c r="E395" s="984"/>
      <c r="F395" s="984"/>
      <c r="G395" s="984"/>
      <c r="H395" s="984"/>
      <c r="I395" s="984"/>
      <c r="J395" s="984"/>
      <c r="K395" s="984"/>
      <c r="L395" s="984"/>
      <c r="M395" s="984"/>
      <c r="N395" s="984"/>
      <c r="O395" s="984"/>
      <c r="P395" s="984"/>
      <c r="Q395" s="984"/>
      <c r="R395" s="984"/>
      <c r="S395" s="984"/>
      <c r="T395" s="984"/>
      <c r="U395" s="984"/>
      <c r="V395" s="984"/>
      <c r="W395" s="984"/>
      <c r="X395" s="984"/>
      <c r="Y395" s="984"/>
      <c r="Z395" s="984"/>
    </row>
    <row r="396" spans="1:26" ht="18" customHeight="1" x14ac:dyDescent="0.35">
      <c r="A396" s="984"/>
      <c r="B396" s="984"/>
      <c r="C396" s="984"/>
      <c r="D396" s="984"/>
      <c r="E396" s="984"/>
      <c r="F396" s="984"/>
      <c r="G396" s="984"/>
      <c r="H396" s="984"/>
      <c r="I396" s="984"/>
      <c r="J396" s="984"/>
      <c r="K396" s="984"/>
      <c r="L396" s="984"/>
      <c r="M396" s="984"/>
      <c r="N396" s="984"/>
      <c r="O396" s="984"/>
      <c r="P396" s="984"/>
      <c r="Q396" s="984"/>
      <c r="R396" s="984"/>
      <c r="S396" s="984"/>
      <c r="T396" s="984"/>
      <c r="U396" s="984"/>
      <c r="V396" s="984"/>
      <c r="W396" s="984"/>
      <c r="X396" s="984"/>
      <c r="Y396" s="984"/>
      <c r="Z396" s="984"/>
    </row>
    <row r="397" spans="1:26" ht="18" customHeight="1" x14ac:dyDescent="0.35">
      <c r="A397" s="984"/>
      <c r="B397" s="984"/>
      <c r="C397" s="984"/>
      <c r="D397" s="984"/>
      <c r="E397" s="984"/>
      <c r="F397" s="984"/>
      <c r="G397" s="984"/>
      <c r="H397" s="984"/>
      <c r="I397" s="984"/>
      <c r="J397" s="984"/>
      <c r="K397" s="984"/>
      <c r="L397" s="984"/>
      <c r="M397" s="984"/>
      <c r="N397" s="984"/>
      <c r="O397" s="984"/>
      <c r="P397" s="984"/>
      <c r="Q397" s="984"/>
      <c r="R397" s="984"/>
      <c r="S397" s="984"/>
      <c r="T397" s="984"/>
      <c r="U397" s="984"/>
      <c r="V397" s="984"/>
      <c r="W397" s="984"/>
      <c r="X397" s="984"/>
      <c r="Y397" s="984"/>
      <c r="Z397" s="984"/>
    </row>
    <row r="398" spans="1:26" ht="18" customHeight="1" x14ac:dyDescent="0.35">
      <c r="A398" s="984"/>
      <c r="B398" s="984"/>
      <c r="C398" s="984"/>
      <c r="D398" s="984"/>
      <c r="E398" s="984"/>
      <c r="F398" s="984"/>
      <c r="G398" s="984"/>
      <c r="H398" s="984"/>
      <c r="I398" s="984"/>
      <c r="J398" s="984"/>
      <c r="K398" s="984"/>
      <c r="L398" s="984"/>
      <c r="M398" s="984"/>
      <c r="N398" s="984"/>
      <c r="O398" s="984"/>
      <c r="P398" s="984"/>
      <c r="Q398" s="984"/>
      <c r="R398" s="984"/>
      <c r="S398" s="984"/>
      <c r="T398" s="984"/>
      <c r="U398" s="984"/>
      <c r="V398" s="984"/>
      <c r="W398" s="984"/>
      <c r="X398" s="984"/>
      <c r="Y398" s="984"/>
      <c r="Z398" s="984"/>
    </row>
    <row r="399" spans="1:26" ht="18" customHeight="1" x14ac:dyDescent="0.35">
      <c r="A399" s="984"/>
      <c r="B399" s="984"/>
      <c r="C399" s="984"/>
      <c r="D399" s="984"/>
      <c r="E399" s="984"/>
      <c r="F399" s="984"/>
      <c r="G399" s="984"/>
      <c r="H399" s="984"/>
      <c r="I399" s="984"/>
      <c r="J399" s="984"/>
      <c r="K399" s="984"/>
      <c r="L399" s="984"/>
      <c r="M399" s="984"/>
      <c r="N399" s="984"/>
      <c r="O399" s="984"/>
      <c r="P399" s="984"/>
      <c r="Q399" s="984"/>
      <c r="R399" s="984"/>
      <c r="S399" s="984"/>
      <c r="T399" s="984"/>
      <c r="U399" s="984"/>
      <c r="V399" s="984"/>
      <c r="W399" s="984"/>
      <c r="X399" s="984"/>
      <c r="Y399" s="984"/>
      <c r="Z399" s="984"/>
    </row>
    <row r="400" spans="1:26" ht="18" customHeight="1" x14ac:dyDescent="0.35">
      <c r="A400" s="984"/>
      <c r="B400" s="984"/>
      <c r="C400" s="984"/>
      <c r="D400" s="984"/>
      <c r="E400" s="984"/>
      <c r="F400" s="984"/>
      <c r="G400" s="984"/>
      <c r="H400" s="984"/>
      <c r="I400" s="984"/>
      <c r="J400" s="984"/>
      <c r="K400" s="984"/>
      <c r="L400" s="984"/>
      <c r="M400" s="984"/>
      <c r="N400" s="984"/>
      <c r="O400" s="984"/>
      <c r="P400" s="984"/>
      <c r="Q400" s="984"/>
      <c r="R400" s="984"/>
      <c r="S400" s="984"/>
      <c r="T400" s="984"/>
      <c r="U400" s="984"/>
      <c r="V400" s="984"/>
      <c r="W400" s="984"/>
      <c r="X400" s="984"/>
      <c r="Y400" s="984"/>
      <c r="Z400" s="984"/>
    </row>
    <row r="401" spans="1:26" ht="18" customHeight="1" x14ac:dyDescent="0.35">
      <c r="A401" s="984"/>
      <c r="B401" s="984"/>
      <c r="C401" s="984"/>
      <c r="D401" s="984"/>
      <c r="E401" s="984"/>
      <c r="F401" s="984"/>
      <c r="G401" s="984"/>
      <c r="H401" s="984"/>
      <c r="I401" s="984"/>
      <c r="J401" s="984"/>
      <c r="K401" s="984"/>
      <c r="L401" s="984"/>
      <c r="M401" s="984"/>
      <c r="N401" s="984"/>
      <c r="O401" s="984"/>
      <c r="P401" s="984"/>
      <c r="Q401" s="984"/>
      <c r="R401" s="984"/>
      <c r="S401" s="984"/>
      <c r="T401" s="984"/>
      <c r="U401" s="984"/>
      <c r="V401" s="984"/>
      <c r="W401" s="984"/>
      <c r="X401" s="984"/>
      <c r="Y401" s="984"/>
      <c r="Z401" s="984"/>
    </row>
    <row r="402" spans="1:26" ht="18" customHeight="1" x14ac:dyDescent="0.35">
      <c r="A402" s="984"/>
      <c r="B402" s="984"/>
      <c r="C402" s="984"/>
      <c r="D402" s="984"/>
      <c r="E402" s="984"/>
      <c r="F402" s="984"/>
      <c r="G402" s="984"/>
      <c r="H402" s="984"/>
      <c r="I402" s="984"/>
      <c r="J402" s="984"/>
      <c r="K402" s="984"/>
      <c r="L402" s="984"/>
      <c r="M402" s="984"/>
      <c r="N402" s="984"/>
      <c r="O402" s="984"/>
      <c r="P402" s="984"/>
      <c r="Q402" s="984"/>
      <c r="R402" s="984"/>
      <c r="S402" s="984"/>
      <c r="T402" s="984"/>
      <c r="U402" s="984"/>
      <c r="V402" s="984"/>
      <c r="W402" s="984"/>
      <c r="X402" s="984"/>
      <c r="Y402" s="984"/>
      <c r="Z402" s="984"/>
    </row>
    <row r="403" spans="1:26" ht="18" customHeight="1" x14ac:dyDescent="0.35">
      <c r="A403" s="984"/>
      <c r="B403" s="984"/>
      <c r="C403" s="984"/>
      <c r="D403" s="984"/>
      <c r="E403" s="984"/>
      <c r="F403" s="984"/>
      <c r="G403" s="984"/>
      <c r="H403" s="984"/>
      <c r="I403" s="984"/>
      <c r="J403" s="984"/>
      <c r="K403" s="984"/>
      <c r="L403" s="984"/>
      <c r="M403" s="984"/>
      <c r="N403" s="984"/>
      <c r="O403" s="984"/>
      <c r="P403" s="984"/>
      <c r="Q403" s="984"/>
      <c r="R403" s="984"/>
      <c r="S403" s="984"/>
      <c r="T403" s="984"/>
      <c r="U403" s="984"/>
      <c r="V403" s="984"/>
      <c r="W403" s="984"/>
      <c r="X403" s="984"/>
      <c r="Y403" s="984"/>
      <c r="Z403" s="984"/>
    </row>
    <row r="404" spans="1:26" ht="18" customHeight="1" x14ac:dyDescent="0.35">
      <c r="A404" s="984"/>
      <c r="B404" s="984"/>
      <c r="C404" s="984"/>
      <c r="D404" s="984"/>
      <c r="E404" s="984"/>
      <c r="F404" s="984"/>
      <c r="G404" s="984"/>
      <c r="H404" s="984"/>
      <c r="I404" s="984"/>
      <c r="J404" s="984"/>
      <c r="K404" s="984"/>
      <c r="L404" s="984"/>
      <c r="M404" s="984"/>
      <c r="N404" s="984"/>
      <c r="O404" s="984"/>
      <c r="P404" s="984"/>
      <c r="Q404" s="984"/>
      <c r="R404" s="984"/>
      <c r="S404" s="984"/>
      <c r="T404" s="984"/>
      <c r="U404" s="984"/>
      <c r="V404" s="984"/>
      <c r="W404" s="984"/>
      <c r="X404" s="984"/>
      <c r="Y404" s="984"/>
      <c r="Z404" s="984"/>
    </row>
    <row r="405" spans="1:26" ht="18" customHeight="1" x14ac:dyDescent="0.35">
      <c r="A405" s="984"/>
      <c r="B405" s="984"/>
      <c r="C405" s="984"/>
      <c r="D405" s="984"/>
      <c r="E405" s="984"/>
      <c r="F405" s="984"/>
      <c r="G405" s="984"/>
      <c r="H405" s="984"/>
      <c r="I405" s="984"/>
      <c r="J405" s="984"/>
      <c r="K405" s="984"/>
      <c r="L405" s="984"/>
      <c r="M405" s="984"/>
      <c r="N405" s="984"/>
      <c r="O405" s="984"/>
      <c r="P405" s="984"/>
      <c r="Q405" s="984"/>
      <c r="R405" s="984"/>
      <c r="S405" s="984"/>
      <c r="T405" s="984"/>
      <c r="U405" s="984"/>
      <c r="V405" s="984"/>
      <c r="W405" s="984"/>
      <c r="X405" s="984"/>
      <c r="Y405" s="984"/>
      <c r="Z405" s="984"/>
    </row>
    <row r="406" spans="1:26" ht="18" customHeight="1" x14ac:dyDescent="0.35">
      <c r="A406" s="984"/>
      <c r="B406" s="984"/>
      <c r="C406" s="984"/>
      <c r="D406" s="984"/>
      <c r="E406" s="984"/>
      <c r="F406" s="984"/>
      <c r="G406" s="984"/>
      <c r="H406" s="984"/>
      <c r="I406" s="984"/>
      <c r="J406" s="984"/>
      <c r="K406" s="984"/>
      <c r="L406" s="984"/>
      <c r="M406" s="984"/>
      <c r="N406" s="984"/>
      <c r="O406" s="984"/>
      <c r="P406" s="984"/>
      <c r="Q406" s="984"/>
      <c r="R406" s="984"/>
      <c r="S406" s="984"/>
      <c r="T406" s="984"/>
      <c r="U406" s="984"/>
      <c r="V406" s="984"/>
      <c r="W406" s="984"/>
      <c r="X406" s="984"/>
      <c r="Y406" s="984"/>
      <c r="Z406" s="984"/>
    </row>
    <row r="407" spans="1:26" ht="18" customHeight="1" x14ac:dyDescent="0.35">
      <c r="A407" s="984"/>
      <c r="B407" s="984"/>
      <c r="C407" s="984"/>
      <c r="D407" s="984"/>
      <c r="E407" s="984"/>
      <c r="F407" s="984"/>
      <c r="G407" s="984"/>
      <c r="H407" s="984"/>
      <c r="I407" s="984"/>
      <c r="J407" s="984"/>
      <c r="K407" s="984"/>
      <c r="L407" s="984"/>
      <c r="M407" s="984"/>
      <c r="N407" s="984"/>
      <c r="O407" s="984"/>
      <c r="P407" s="984"/>
      <c r="Q407" s="984"/>
      <c r="R407" s="984"/>
      <c r="S407" s="984"/>
      <c r="T407" s="984"/>
      <c r="U407" s="984"/>
      <c r="V407" s="984"/>
      <c r="W407" s="984"/>
      <c r="X407" s="984"/>
      <c r="Y407" s="984"/>
      <c r="Z407" s="984"/>
    </row>
    <row r="408" spans="1:26" ht="18" customHeight="1" x14ac:dyDescent="0.35">
      <c r="A408" s="984"/>
      <c r="B408" s="984"/>
      <c r="C408" s="984"/>
      <c r="D408" s="984"/>
      <c r="E408" s="984"/>
      <c r="F408" s="984"/>
      <c r="G408" s="984"/>
      <c r="H408" s="984"/>
      <c r="I408" s="984"/>
      <c r="J408" s="984"/>
      <c r="K408" s="984"/>
      <c r="L408" s="984"/>
      <c r="M408" s="984"/>
      <c r="N408" s="984"/>
      <c r="O408" s="984"/>
      <c r="P408" s="984"/>
      <c r="Q408" s="984"/>
      <c r="R408" s="984"/>
      <c r="S408" s="984"/>
      <c r="T408" s="984"/>
      <c r="U408" s="984"/>
      <c r="V408" s="984"/>
      <c r="W408" s="984"/>
      <c r="X408" s="984"/>
      <c r="Y408" s="984"/>
      <c r="Z408" s="984"/>
    </row>
    <row r="409" spans="1:26" ht="18" customHeight="1" x14ac:dyDescent="0.35">
      <c r="A409" s="984"/>
      <c r="B409" s="984"/>
      <c r="C409" s="984"/>
      <c r="D409" s="984"/>
      <c r="E409" s="984"/>
      <c r="F409" s="984"/>
      <c r="G409" s="984"/>
      <c r="H409" s="984"/>
      <c r="I409" s="984"/>
      <c r="J409" s="984"/>
      <c r="K409" s="984"/>
      <c r="L409" s="984"/>
      <c r="M409" s="984"/>
      <c r="N409" s="984"/>
      <c r="O409" s="984"/>
      <c r="P409" s="984"/>
      <c r="Q409" s="984"/>
      <c r="R409" s="984"/>
      <c r="S409" s="984"/>
      <c r="T409" s="984"/>
      <c r="U409" s="984"/>
      <c r="V409" s="984"/>
      <c r="W409" s="984"/>
      <c r="X409" s="984"/>
      <c r="Y409" s="984"/>
      <c r="Z409" s="984"/>
    </row>
    <row r="410" spans="1:26" ht="18" customHeight="1" x14ac:dyDescent="0.35">
      <c r="A410" s="984"/>
      <c r="B410" s="984"/>
      <c r="C410" s="984"/>
      <c r="D410" s="984"/>
      <c r="E410" s="984"/>
      <c r="F410" s="984"/>
      <c r="G410" s="984"/>
      <c r="H410" s="984"/>
      <c r="I410" s="984"/>
      <c r="J410" s="984"/>
      <c r="K410" s="984"/>
      <c r="L410" s="984"/>
      <c r="M410" s="984"/>
      <c r="N410" s="984"/>
      <c r="O410" s="984"/>
      <c r="P410" s="984"/>
      <c r="Q410" s="984"/>
      <c r="R410" s="984"/>
      <c r="S410" s="984"/>
      <c r="T410" s="984"/>
      <c r="U410" s="984"/>
      <c r="V410" s="984"/>
      <c r="W410" s="984"/>
      <c r="X410" s="984"/>
      <c r="Y410" s="984"/>
      <c r="Z410" s="984"/>
    </row>
    <row r="411" spans="1:26" ht="18" customHeight="1" x14ac:dyDescent="0.35">
      <c r="A411" s="984"/>
      <c r="B411" s="984"/>
      <c r="C411" s="984"/>
      <c r="D411" s="984"/>
      <c r="E411" s="984"/>
      <c r="F411" s="984"/>
      <c r="G411" s="984"/>
      <c r="H411" s="984"/>
      <c r="I411" s="984"/>
      <c r="J411" s="984"/>
      <c r="K411" s="984"/>
      <c r="L411" s="984"/>
      <c r="M411" s="984"/>
      <c r="N411" s="984"/>
      <c r="O411" s="984"/>
      <c r="P411" s="984"/>
      <c r="Q411" s="984"/>
      <c r="R411" s="984"/>
      <c r="S411" s="984"/>
      <c r="T411" s="984"/>
      <c r="U411" s="984"/>
      <c r="V411" s="984"/>
      <c r="W411" s="984"/>
      <c r="X411" s="984"/>
      <c r="Y411" s="984"/>
      <c r="Z411" s="984"/>
    </row>
    <row r="412" spans="1:26" ht="18" customHeight="1" x14ac:dyDescent="0.35">
      <c r="A412" s="984"/>
      <c r="B412" s="984"/>
      <c r="C412" s="984"/>
      <c r="D412" s="984"/>
      <c r="E412" s="984"/>
      <c r="F412" s="984"/>
      <c r="G412" s="984"/>
      <c r="H412" s="984"/>
      <c r="I412" s="984"/>
      <c r="J412" s="984"/>
      <c r="K412" s="984"/>
      <c r="L412" s="984"/>
      <c r="M412" s="984"/>
      <c r="N412" s="984"/>
      <c r="O412" s="984"/>
      <c r="P412" s="984"/>
      <c r="Q412" s="984"/>
      <c r="R412" s="984"/>
      <c r="S412" s="984"/>
      <c r="T412" s="984"/>
      <c r="U412" s="984"/>
      <c r="V412" s="984"/>
      <c r="W412" s="984"/>
      <c r="X412" s="984"/>
      <c r="Y412" s="984"/>
      <c r="Z412" s="984"/>
    </row>
    <row r="413" spans="1:26" ht="18" customHeight="1" x14ac:dyDescent="0.35">
      <c r="A413" s="984"/>
      <c r="B413" s="984"/>
      <c r="C413" s="984"/>
      <c r="D413" s="984"/>
      <c r="E413" s="984"/>
      <c r="F413" s="984"/>
      <c r="G413" s="984"/>
      <c r="H413" s="984"/>
      <c r="I413" s="984"/>
      <c r="J413" s="984"/>
      <c r="K413" s="984"/>
      <c r="L413" s="984"/>
      <c r="M413" s="984"/>
      <c r="N413" s="984"/>
      <c r="O413" s="984"/>
      <c r="P413" s="984"/>
      <c r="Q413" s="984"/>
      <c r="R413" s="984"/>
      <c r="S413" s="984"/>
      <c r="T413" s="984"/>
      <c r="U413" s="984"/>
      <c r="V413" s="984"/>
      <c r="W413" s="984"/>
      <c r="X413" s="984"/>
      <c r="Y413" s="984"/>
      <c r="Z413" s="984"/>
    </row>
    <row r="414" spans="1:26" ht="18" customHeight="1" x14ac:dyDescent="0.35">
      <c r="A414" s="984"/>
      <c r="B414" s="984"/>
      <c r="C414" s="984"/>
      <c r="D414" s="984"/>
      <c r="E414" s="984"/>
      <c r="F414" s="984"/>
      <c r="G414" s="984"/>
      <c r="H414" s="984"/>
      <c r="I414" s="984"/>
      <c r="J414" s="984"/>
      <c r="K414" s="984"/>
      <c r="L414" s="984"/>
      <c r="M414" s="984"/>
      <c r="N414" s="984"/>
      <c r="O414" s="984"/>
      <c r="P414" s="984"/>
      <c r="Q414" s="984"/>
      <c r="R414" s="984"/>
      <c r="S414" s="984"/>
      <c r="T414" s="984"/>
      <c r="U414" s="984"/>
      <c r="V414" s="984"/>
      <c r="W414" s="984"/>
      <c r="X414" s="984"/>
      <c r="Y414" s="984"/>
      <c r="Z414" s="984"/>
    </row>
    <row r="415" spans="1:26" ht="18" customHeight="1" x14ac:dyDescent="0.35">
      <c r="A415" s="984"/>
      <c r="B415" s="984"/>
      <c r="C415" s="984"/>
      <c r="D415" s="984"/>
      <c r="E415" s="984"/>
      <c r="F415" s="984"/>
      <c r="G415" s="984"/>
      <c r="H415" s="984"/>
      <c r="I415" s="984"/>
      <c r="J415" s="984"/>
      <c r="K415" s="984"/>
      <c r="L415" s="984"/>
      <c r="M415" s="984"/>
      <c r="N415" s="984"/>
      <c r="O415" s="984"/>
      <c r="P415" s="984"/>
      <c r="Q415" s="984"/>
      <c r="R415" s="984"/>
      <c r="S415" s="984"/>
      <c r="T415" s="984"/>
      <c r="U415" s="984"/>
      <c r="V415" s="984"/>
      <c r="W415" s="984"/>
      <c r="X415" s="984"/>
      <c r="Y415" s="984"/>
      <c r="Z415" s="984"/>
    </row>
    <row r="416" spans="1:26" ht="18" customHeight="1" x14ac:dyDescent="0.35">
      <c r="A416" s="984"/>
      <c r="B416" s="984"/>
      <c r="C416" s="984"/>
      <c r="D416" s="984"/>
      <c r="E416" s="984"/>
      <c r="F416" s="984"/>
      <c r="G416" s="984"/>
      <c r="H416" s="984"/>
      <c r="I416" s="984"/>
      <c r="J416" s="984"/>
      <c r="K416" s="984"/>
      <c r="L416" s="984"/>
      <c r="M416" s="984"/>
      <c r="N416" s="984"/>
      <c r="O416" s="984"/>
      <c r="P416" s="984"/>
      <c r="Q416" s="984"/>
      <c r="R416" s="984"/>
      <c r="S416" s="984"/>
      <c r="T416" s="984"/>
      <c r="U416" s="984"/>
      <c r="V416" s="984"/>
      <c r="W416" s="984"/>
      <c r="X416" s="984"/>
      <c r="Y416" s="984"/>
      <c r="Z416" s="984"/>
    </row>
    <row r="417" spans="1:26" ht="18" customHeight="1" x14ac:dyDescent="0.35">
      <c r="A417" s="984"/>
      <c r="B417" s="984"/>
      <c r="C417" s="984"/>
      <c r="D417" s="984"/>
      <c r="E417" s="984"/>
      <c r="F417" s="984"/>
      <c r="G417" s="984"/>
      <c r="H417" s="984"/>
      <c r="I417" s="984"/>
      <c r="J417" s="984"/>
      <c r="K417" s="984"/>
      <c r="L417" s="984"/>
      <c r="M417" s="984"/>
      <c r="N417" s="984"/>
      <c r="O417" s="984"/>
      <c r="P417" s="984"/>
      <c r="Q417" s="984"/>
      <c r="R417" s="984"/>
      <c r="S417" s="984"/>
      <c r="T417" s="984"/>
      <c r="U417" s="984"/>
      <c r="V417" s="984"/>
      <c r="W417" s="984"/>
      <c r="X417" s="984"/>
      <c r="Y417" s="984"/>
      <c r="Z417" s="984"/>
    </row>
    <row r="418" spans="1:26" ht="18" customHeight="1" x14ac:dyDescent="0.35">
      <c r="A418" s="984"/>
      <c r="B418" s="984"/>
      <c r="C418" s="984"/>
      <c r="D418" s="984"/>
      <c r="E418" s="984"/>
      <c r="F418" s="984"/>
      <c r="G418" s="984"/>
      <c r="H418" s="984"/>
      <c r="I418" s="984"/>
      <c r="J418" s="984"/>
      <c r="K418" s="984"/>
      <c r="L418" s="984"/>
      <c r="M418" s="984"/>
      <c r="N418" s="984"/>
      <c r="O418" s="984"/>
      <c r="P418" s="984"/>
      <c r="Q418" s="984"/>
      <c r="R418" s="984"/>
      <c r="S418" s="984"/>
      <c r="T418" s="984"/>
      <c r="U418" s="984"/>
      <c r="V418" s="984"/>
      <c r="W418" s="984"/>
      <c r="X418" s="984"/>
      <c r="Y418" s="984"/>
      <c r="Z418" s="984"/>
    </row>
    <row r="419" spans="1:26" ht="18" customHeight="1" x14ac:dyDescent="0.35">
      <c r="A419" s="984"/>
      <c r="B419" s="984"/>
      <c r="C419" s="984"/>
      <c r="D419" s="984"/>
      <c r="E419" s="984"/>
      <c r="F419" s="984"/>
      <c r="G419" s="984"/>
      <c r="H419" s="984"/>
      <c r="I419" s="984"/>
      <c r="J419" s="984"/>
      <c r="K419" s="984"/>
      <c r="L419" s="984"/>
      <c r="M419" s="984"/>
      <c r="N419" s="984"/>
      <c r="O419" s="984"/>
      <c r="P419" s="984"/>
      <c r="Q419" s="984"/>
      <c r="R419" s="984"/>
      <c r="S419" s="984"/>
      <c r="T419" s="984"/>
      <c r="U419" s="984"/>
      <c r="V419" s="984"/>
      <c r="W419" s="984"/>
      <c r="X419" s="984"/>
      <c r="Y419" s="984"/>
      <c r="Z419" s="984"/>
    </row>
    <row r="420" spans="1:26" ht="18" customHeight="1" x14ac:dyDescent="0.35">
      <c r="A420" s="984"/>
      <c r="B420" s="984"/>
      <c r="C420" s="984"/>
      <c r="D420" s="984"/>
      <c r="E420" s="984"/>
      <c r="F420" s="984"/>
      <c r="G420" s="984"/>
      <c r="H420" s="984"/>
      <c r="I420" s="984"/>
      <c r="J420" s="984"/>
      <c r="K420" s="984"/>
      <c r="L420" s="984"/>
      <c r="M420" s="984"/>
      <c r="N420" s="984"/>
      <c r="O420" s="984"/>
      <c r="P420" s="984"/>
      <c r="Q420" s="984"/>
      <c r="R420" s="984"/>
      <c r="S420" s="984"/>
      <c r="T420" s="984"/>
      <c r="U420" s="984"/>
      <c r="V420" s="984"/>
      <c r="W420" s="984"/>
      <c r="X420" s="984"/>
      <c r="Y420" s="984"/>
      <c r="Z420" s="984"/>
    </row>
    <row r="421" spans="1:26" ht="18" customHeight="1" x14ac:dyDescent="0.35">
      <c r="A421" s="984"/>
      <c r="B421" s="984"/>
      <c r="C421" s="984"/>
      <c r="D421" s="984"/>
      <c r="E421" s="984"/>
      <c r="F421" s="984"/>
      <c r="G421" s="984"/>
      <c r="H421" s="984"/>
      <c r="I421" s="984"/>
      <c r="J421" s="984"/>
      <c r="K421" s="984"/>
      <c r="L421" s="984"/>
      <c r="M421" s="984"/>
      <c r="N421" s="984"/>
      <c r="O421" s="984"/>
      <c r="P421" s="984"/>
      <c r="Q421" s="984"/>
      <c r="R421" s="984"/>
      <c r="S421" s="984"/>
      <c r="T421" s="984"/>
      <c r="U421" s="984"/>
      <c r="V421" s="984"/>
      <c r="W421" s="984"/>
      <c r="X421" s="984"/>
      <c r="Y421" s="984"/>
      <c r="Z421" s="984"/>
    </row>
    <row r="422" spans="1:26" ht="18" customHeight="1" x14ac:dyDescent="0.35">
      <c r="A422" s="984"/>
      <c r="B422" s="984"/>
      <c r="C422" s="984"/>
      <c r="D422" s="984"/>
      <c r="E422" s="984"/>
      <c r="F422" s="984"/>
      <c r="G422" s="984"/>
      <c r="H422" s="984"/>
      <c r="I422" s="984"/>
      <c r="J422" s="984"/>
      <c r="K422" s="984"/>
      <c r="L422" s="984"/>
      <c r="M422" s="984"/>
      <c r="N422" s="984"/>
      <c r="O422" s="984"/>
      <c r="P422" s="984"/>
      <c r="Q422" s="984"/>
      <c r="R422" s="984"/>
      <c r="S422" s="984"/>
      <c r="T422" s="984"/>
      <c r="U422" s="984"/>
      <c r="V422" s="984"/>
      <c r="W422" s="984"/>
      <c r="X422" s="984"/>
      <c r="Y422" s="984"/>
      <c r="Z422" s="984"/>
    </row>
    <row r="423" spans="1:26" ht="18" customHeight="1" x14ac:dyDescent="0.35">
      <c r="A423" s="984"/>
      <c r="B423" s="984"/>
      <c r="C423" s="984"/>
      <c r="D423" s="984"/>
      <c r="E423" s="984"/>
      <c r="F423" s="984"/>
      <c r="G423" s="984"/>
      <c r="H423" s="984"/>
      <c r="I423" s="984"/>
      <c r="J423" s="984"/>
      <c r="K423" s="984"/>
      <c r="L423" s="984"/>
      <c r="M423" s="984"/>
      <c r="N423" s="984"/>
      <c r="O423" s="984"/>
      <c r="P423" s="984"/>
      <c r="Q423" s="984"/>
      <c r="R423" s="984"/>
      <c r="S423" s="984"/>
      <c r="T423" s="984"/>
      <c r="U423" s="984"/>
      <c r="V423" s="984"/>
      <c r="W423" s="984"/>
      <c r="X423" s="984"/>
      <c r="Y423" s="984"/>
      <c r="Z423" s="984"/>
    </row>
    <row r="424" spans="1:26" ht="18" customHeight="1" x14ac:dyDescent="0.35">
      <c r="A424" s="984"/>
      <c r="B424" s="984"/>
      <c r="C424" s="984"/>
      <c r="D424" s="984"/>
      <c r="E424" s="984"/>
      <c r="F424" s="984"/>
      <c r="G424" s="984"/>
      <c r="H424" s="984"/>
      <c r="I424" s="984"/>
      <c r="J424" s="984"/>
      <c r="K424" s="984"/>
      <c r="L424" s="984"/>
      <c r="M424" s="984"/>
      <c r="N424" s="984"/>
      <c r="O424" s="984"/>
      <c r="P424" s="984"/>
      <c r="Q424" s="984"/>
      <c r="R424" s="984"/>
      <c r="S424" s="984"/>
      <c r="T424" s="984"/>
      <c r="U424" s="984"/>
      <c r="V424" s="984"/>
      <c r="W424" s="984"/>
      <c r="X424" s="984"/>
      <c r="Y424" s="984"/>
      <c r="Z424" s="984"/>
    </row>
    <row r="425" spans="1:26" ht="18" customHeight="1" x14ac:dyDescent="0.35">
      <c r="A425" s="984"/>
      <c r="B425" s="984"/>
      <c r="C425" s="984"/>
      <c r="D425" s="984"/>
      <c r="E425" s="984"/>
      <c r="F425" s="984"/>
      <c r="G425" s="984"/>
      <c r="H425" s="984"/>
      <c r="I425" s="984"/>
      <c r="J425" s="984"/>
      <c r="K425" s="984"/>
      <c r="L425" s="984"/>
      <c r="M425" s="984"/>
      <c r="N425" s="984"/>
      <c r="O425" s="984"/>
      <c r="P425" s="984"/>
      <c r="Q425" s="984"/>
      <c r="R425" s="984"/>
      <c r="S425" s="984"/>
      <c r="T425" s="984"/>
      <c r="U425" s="984"/>
      <c r="V425" s="984"/>
      <c r="W425" s="984"/>
      <c r="X425" s="984"/>
      <c r="Y425" s="984"/>
      <c r="Z425" s="984"/>
    </row>
    <row r="426" spans="1:26" ht="18" customHeight="1" x14ac:dyDescent="0.35">
      <c r="A426" s="984"/>
      <c r="B426" s="984"/>
      <c r="C426" s="984"/>
      <c r="D426" s="984"/>
      <c r="E426" s="984"/>
      <c r="F426" s="984"/>
      <c r="G426" s="984"/>
      <c r="H426" s="984"/>
      <c r="I426" s="984"/>
      <c r="J426" s="984"/>
      <c r="K426" s="984"/>
      <c r="L426" s="984"/>
      <c r="M426" s="984"/>
      <c r="N426" s="984"/>
      <c r="O426" s="984"/>
      <c r="P426" s="984"/>
      <c r="Q426" s="984"/>
      <c r="R426" s="984"/>
      <c r="S426" s="984"/>
      <c r="T426" s="984"/>
      <c r="U426" s="984"/>
      <c r="V426" s="984"/>
      <c r="W426" s="984"/>
      <c r="X426" s="984"/>
      <c r="Y426" s="984"/>
      <c r="Z426" s="984"/>
    </row>
    <row r="427" spans="1:26" ht="18" customHeight="1" x14ac:dyDescent="0.35">
      <c r="A427" s="984"/>
      <c r="B427" s="984"/>
      <c r="C427" s="984"/>
      <c r="D427" s="984"/>
      <c r="E427" s="984"/>
      <c r="F427" s="984"/>
      <c r="G427" s="984"/>
      <c r="H427" s="984"/>
      <c r="I427" s="984"/>
      <c r="J427" s="984"/>
      <c r="K427" s="984"/>
      <c r="L427" s="984"/>
      <c r="M427" s="984"/>
      <c r="N427" s="984"/>
      <c r="O427" s="984"/>
      <c r="P427" s="984"/>
      <c r="Q427" s="984"/>
      <c r="R427" s="984"/>
      <c r="S427" s="984"/>
      <c r="T427" s="984"/>
      <c r="U427" s="984"/>
      <c r="V427" s="984"/>
      <c r="W427" s="984"/>
      <c r="X427" s="984"/>
      <c r="Y427" s="984"/>
      <c r="Z427" s="984"/>
    </row>
    <row r="428" spans="1:26" ht="18" customHeight="1" x14ac:dyDescent="0.35">
      <c r="A428" s="984"/>
      <c r="B428" s="984"/>
      <c r="C428" s="984"/>
      <c r="D428" s="984"/>
      <c r="E428" s="984"/>
      <c r="F428" s="984"/>
      <c r="G428" s="984"/>
      <c r="H428" s="984"/>
      <c r="I428" s="984"/>
      <c r="J428" s="984"/>
      <c r="K428" s="984"/>
      <c r="L428" s="984"/>
      <c r="M428" s="984"/>
      <c r="N428" s="984"/>
      <c r="O428" s="984"/>
      <c r="P428" s="984"/>
      <c r="Q428" s="984"/>
      <c r="R428" s="984"/>
      <c r="S428" s="984"/>
      <c r="T428" s="984"/>
      <c r="U428" s="984"/>
      <c r="V428" s="984"/>
      <c r="W428" s="984"/>
      <c r="X428" s="984"/>
      <c r="Y428" s="984"/>
      <c r="Z428" s="984"/>
    </row>
    <row r="429" spans="1:26" ht="18" customHeight="1" x14ac:dyDescent="0.35">
      <c r="A429" s="984"/>
      <c r="B429" s="984"/>
      <c r="C429" s="984"/>
      <c r="D429" s="984"/>
      <c r="E429" s="984"/>
      <c r="F429" s="984"/>
      <c r="G429" s="984"/>
      <c r="H429" s="984"/>
      <c r="I429" s="984"/>
      <c r="J429" s="984"/>
      <c r="K429" s="984"/>
      <c r="L429" s="984"/>
      <c r="M429" s="984"/>
      <c r="N429" s="984"/>
      <c r="O429" s="984"/>
      <c r="P429" s="984"/>
      <c r="Q429" s="984"/>
      <c r="R429" s="984"/>
      <c r="S429" s="984"/>
      <c r="T429" s="984"/>
      <c r="U429" s="984"/>
      <c r="V429" s="984"/>
      <c r="W429" s="984"/>
      <c r="X429" s="984"/>
      <c r="Y429" s="984"/>
      <c r="Z429" s="984"/>
    </row>
    <row r="430" spans="1:26" ht="18" customHeight="1" x14ac:dyDescent="0.35">
      <c r="A430" s="984"/>
      <c r="B430" s="984"/>
      <c r="C430" s="984"/>
      <c r="D430" s="984"/>
      <c r="E430" s="984"/>
      <c r="F430" s="984"/>
      <c r="G430" s="984"/>
      <c r="H430" s="984"/>
      <c r="I430" s="984"/>
      <c r="J430" s="984"/>
      <c r="K430" s="984"/>
      <c r="L430" s="984"/>
      <c r="M430" s="984"/>
      <c r="N430" s="984"/>
      <c r="O430" s="984"/>
      <c r="P430" s="984"/>
      <c r="Q430" s="984"/>
      <c r="R430" s="984"/>
      <c r="S430" s="984"/>
      <c r="T430" s="984"/>
      <c r="U430" s="984"/>
      <c r="V430" s="984"/>
      <c r="W430" s="984"/>
      <c r="X430" s="984"/>
      <c r="Y430" s="984"/>
      <c r="Z430" s="984"/>
    </row>
    <row r="431" spans="1:26" ht="18" customHeight="1" x14ac:dyDescent="0.35">
      <c r="A431" s="984"/>
      <c r="B431" s="984"/>
      <c r="C431" s="984"/>
      <c r="D431" s="984"/>
      <c r="E431" s="984"/>
      <c r="F431" s="984"/>
      <c r="G431" s="984"/>
      <c r="H431" s="984"/>
      <c r="I431" s="984"/>
      <c r="J431" s="984"/>
      <c r="K431" s="984"/>
      <c r="L431" s="984"/>
      <c r="M431" s="984"/>
      <c r="N431" s="984"/>
      <c r="O431" s="984"/>
      <c r="P431" s="984"/>
      <c r="Q431" s="984"/>
      <c r="R431" s="984"/>
      <c r="S431" s="984"/>
      <c r="T431" s="984"/>
      <c r="U431" s="984"/>
      <c r="V431" s="984"/>
      <c r="W431" s="984"/>
      <c r="X431" s="984"/>
      <c r="Y431" s="984"/>
      <c r="Z431" s="984"/>
    </row>
    <row r="432" spans="1:26" ht="18" customHeight="1" x14ac:dyDescent="0.35">
      <c r="A432" s="984"/>
      <c r="B432" s="984"/>
      <c r="C432" s="984"/>
      <c r="D432" s="984"/>
      <c r="E432" s="984"/>
      <c r="F432" s="984"/>
      <c r="G432" s="984"/>
      <c r="H432" s="984"/>
      <c r="I432" s="984"/>
      <c r="J432" s="984"/>
      <c r="K432" s="984"/>
      <c r="L432" s="984"/>
      <c r="M432" s="984"/>
      <c r="N432" s="984"/>
      <c r="O432" s="984"/>
      <c r="P432" s="984"/>
      <c r="Q432" s="984"/>
      <c r="R432" s="984"/>
      <c r="S432" s="984"/>
      <c r="T432" s="984"/>
      <c r="U432" s="984"/>
      <c r="V432" s="984"/>
      <c r="W432" s="984"/>
      <c r="X432" s="984"/>
      <c r="Y432" s="984"/>
      <c r="Z432" s="984"/>
    </row>
    <row r="433" spans="1:26" ht="18" customHeight="1" x14ac:dyDescent="0.35">
      <c r="A433" s="984"/>
      <c r="B433" s="984"/>
      <c r="C433" s="984"/>
      <c r="D433" s="984"/>
      <c r="E433" s="984"/>
      <c r="F433" s="984"/>
      <c r="G433" s="984"/>
      <c r="H433" s="984"/>
      <c r="I433" s="984"/>
      <c r="J433" s="984"/>
      <c r="K433" s="984"/>
      <c r="L433" s="984"/>
      <c r="M433" s="984"/>
      <c r="N433" s="984"/>
      <c r="O433" s="984"/>
      <c r="P433" s="984"/>
      <c r="Q433" s="984"/>
      <c r="R433" s="984"/>
      <c r="S433" s="984"/>
      <c r="T433" s="984"/>
      <c r="U433" s="984"/>
      <c r="V433" s="984"/>
      <c r="W433" s="984"/>
      <c r="X433" s="984"/>
      <c r="Y433" s="984"/>
      <c r="Z433" s="984"/>
    </row>
    <row r="434" spans="1:26" ht="18" customHeight="1" x14ac:dyDescent="0.35">
      <c r="A434" s="984"/>
      <c r="B434" s="984"/>
      <c r="C434" s="984"/>
      <c r="D434" s="984"/>
      <c r="E434" s="984"/>
      <c r="F434" s="984"/>
      <c r="G434" s="984"/>
      <c r="H434" s="984"/>
      <c r="I434" s="984"/>
      <c r="J434" s="984"/>
      <c r="K434" s="984"/>
      <c r="L434" s="984"/>
      <c r="M434" s="984"/>
      <c r="N434" s="984"/>
      <c r="O434" s="984"/>
      <c r="P434" s="984"/>
      <c r="Q434" s="984"/>
      <c r="R434" s="984"/>
      <c r="S434" s="984"/>
      <c r="T434" s="984"/>
      <c r="U434" s="984"/>
      <c r="V434" s="984"/>
      <c r="W434" s="984"/>
      <c r="X434" s="984"/>
      <c r="Y434" s="984"/>
      <c r="Z434" s="984"/>
    </row>
    <row r="435" spans="1:26" ht="18" customHeight="1" x14ac:dyDescent="0.35">
      <c r="A435" s="984"/>
      <c r="B435" s="984"/>
      <c r="C435" s="984"/>
      <c r="D435" s="984"/>
      <c r="E435" s="984"/>
      <c r="F435" s="984"/>
      <c r="G435" s="984"/>
      <c r="H435" s="984"/>
      <c r="I435" s="984"/>
      <c r="J435" s="984"/>
      <c r="K435" s="984"/>
      <c r="L435" s="984"/>
      <c r="M435" s="984"/>
      <c r="N435" s="984"/>
      <c r="O435" s="984"/>
      <c r="P435" s="984"/>
      <c r="Q435" s="984"/>
      <c r="R435" s="984"/>
      <c r="S435" s="984"/>
      <c r="T435" s="984"/>
      <c r="U435" s="984"/>
      <c r="V435" s="984"/>
      <c r="W435" s="984"/>
      <c r="X435" s="984"/>
      <c r="Y435" s="984"/>
      <c r="Z435" s="984"/>
    </row>
    <row r="436" spans="1:26" ht="18" customHeight="1" x14ac:dyDescent="0.35">
      <c r="A436" s="984"/>
      <c r="B436" s="984"/>
      <c r="C436" s="984"/>
      <c r="D436" s="984"/>
      <c r="E436" s="984"/>
      <c r="F436" s="984"/>
      <c r="G436" s="984"/>
      <c r="H436" s="984"/>
      <c r="I436" s="984"/>
      <c r="J436" s="984"/>
      <c r="K436" s="984"/>
      <c r="L436" s="984"/>
      <c r="M436" s="984"/>
      <c r="N436" s="984"/>
      <c r="O436" s="984"/>
      <c r="P436" s="984"/>
      <c r="Q436" s="984"/>
      <c r="R436" s="984"/>
      <c r="S436" s="984"/>
      <c r="T436" s="984"/>
      <c r="U436" s="984"/>
      <c r="V436" s="984"/>
      <c r="W436" s="984"/>
      <c r="X436" s="984"/>
      <c r="Y436" s="984"/>
      <c r="Z436" s="984"/>
    </row>
    <row r="437" spans="1:26" ht="18" customHeight="1" x14ac:dyDescent="0.35">
      <c r="A437" s="984"/>
      <c r="B437" s="984"/>
      <c r="C437" s="984"/>
      <c r="D437" s="984"/>
      <c r="E437" s="984"/>
      <c r="F437" s="984"/>
      <c r="G437" s="984"/>
      <c r="H437" s="984"/>
      <c r="I437" s="984"/>
      <c r="J437" s="984"/>
      <c r="K437" s="984"/>
      <c r="L437" s="984"/>
      <c r="M437" s="984"/>
      <c r="N437" s="984"/>
      <c r="O437" s="984"/>
      <c r="P437" s="984"/>
      <c r="Q437" s="984"/>
      <c r="R437" s="984"/>
      <c r="S437" s="984"/>
      <c r="T437" s="984"/>
      <c r="U437" s="984"/>
      <c r="V437" s="984"/>
      <c r="W437" s="984"/>
      <c r="X437" s="984"/>
      <c r="Y437" s="984"/>
      <c r="Z437" s="984"/>
    </row>
    <row r="438" spans="1:26" ht="18" customHeight="1" x14ac:dyDescent="0.35">
      <c r="A438" s="984"/>
      <c r="B438" s="984"/>
      <c r="C438" s="984"/>
      <c r="D438" s="984"/>
      <c r="E438" s="984"/>
      <c r="F438" s="984"/>
      <c r="G438" s="984"/>
      <c r="H438" s="984"/>
      <c r="I438" s="984"/>
      <c r="J438" s="984"/>
      <c r="K438" s="984"/>
      <c r="L438" s="984"/>
      <c r="M438" s="984"/>
      <c r="N438" s="984"/>
      <c r="O438" s="984"/>
      <c r="P438" s="984"/>
      <c r="Q438" s="984"/>
      <c r="R438" s="984"/>
      <c r="S438" s="984"/>
      <c r="T438" s="984"/>
      <c r="U438" s="984"/>
      <c r="V438" s="984"/>
      <c r="W438" s="984"/>
      <c r="X438" s="984"/>
      <c r="Y438" s="984"/>
      <c r="Z438" s="984"/>
    </row>
    <row r="439" spans="1:26" ht="18" customHeight="1" x14ac:dyDescent="0.35">
      <c r="A439" s="984"/>
      <c r="B439" s="984"/>
      <c r="C439" s="984"/>
      <c r="D439" s="984"/>
      <c r="E439" s="984"/>
      <c r="F439" s="984"/>
      <c r="G439" s="984"/>
      <c r="H439" s="984"/>
      <c r="I439" s="984"/>
      <c r="J439" s="984"/>
      <c r="K439" s="984"/>
      <c r="L439" s="984"/>
      <c r="M439" s="984"/>
      <c r="N439" s="984"/>
      <c r="O439" s="984"/>
      <c r="P439" s="984"/>
      <c r="Q439" s="984"/>
      <c r="R439" s="984"/>
      <c r="S439" s="984"/>
      <c r="T439" s="984"/>
      <c r="U439" s="984"/>
      <c r="V439" s="984"/>
      <c r="W439" s="984"/>
      <c r="X439" s="984"/>
      <c r="Y439" s="984"/>
      <c r="Z439" s="984"/>
    </row>
    <row r="440" spans="1:26" ht="18" customHeight="1" x14ac:dyDescent="0.35">
      <c r="A440" s="984"/>
      <c r="B440" s="984"/>
      <c r="C440" s="984"/>
      <c r="D440" s="984"/>
      <c r="E440" s="984"/>
      <c r="F440" s="984"/>
      <c r="G440" s="984"/>
      <c r="H440" s="984"/>
      <c r="I440" s="984"/>
      <c r="J440" s="984"/>
      <c r="K440" s="984"/>
      <c r="L440" s="984"/>
      <c r="M440" s="984"/>
      <c r="N440" s="984"/>
      <c r="O440" s="984"/>
      <c r="P440" s="984"/>
      <c r="Q440" s="984"/>
      <c r="R440" s="984"/>
      <c r="S440" s="984"/>
      <c r="T440" s="984"/>
      <c r="U440" s="984"/>
      <c r="V440" s="984"/>
      <c r="W440" s="984"/>
      <c r="X440" s="984"/>
      <c r="Y440" s="984"/>
      <c r="Z440" s="984"/>
    </row>
    <row r="441" spans="1:26" ht="18" customHeight="1" x14ac:dyDescent="0.35">
      <c r="A441" s="984"/>
      <c r="B441" s="984"/>
      <c r="C441" s="984"/>
      <c r="D441" s="984"/>
      <c r="E441" s="984"/>
      <c r="F441" s="984"/>
      <c r="G441" s="984"/>
      <c r="H441" s="984"/>
      <c r="I441" s="984"/>
      <c r="J441" s="984"/>
      <c r="K441" s="984"/>
      <c r="L441" s="984"/>
      <c r="M441" s="984"/>
      <c r="N441" s="984"/>
      <c r="O441" s="984"/>
      <c r="P441" s="984"/>
      <c r="Q441" s="984"/>
      <c r="R441" s="984"/>
      <c r="S441" s="984"/>
      <c r="T441" s="984"/>
      <c r="U441" s="984"/>
      <c r="V441" s="984"/>
      <c r="W441" s="984"/>
      <c r="X441" s="984"/>
      <c r="Y441" s="984"/>
      <c r="Z441" s="984"/>
    </row>
    <row r="442" spans="1:26" ht="18" customHeight="1" x14ac:dyDescent="0.35">
      <c r="A442" s="984"/>
      <c r="B442" s="984"/>
      <c r="C442" s="984"/>
      <c r="D442" s="984"/>
      <c r="E442" s="984"/>
      <c r="F442" s="984"/>
      <c r="G442" s="984"/>
      <c r="H442" s="984"/>
      <c r="I442" s="984"/>
      <c r="J442" s="984"/>
      <c r="K442" s="984"/>
      <c r="L442" s="984"/>
      <c r="M442" s="984"/>
      <c r="N442" s="984"/>
      <c r="O442" s="984"/>
      <c r="P442" s="984"/>
      <c r="Q442" s="984"/>
      <c r="R442" s="984"/>
      <c r="S442" s="984"/>
      <c r="T442" s="984"/>
      <c r="U442" s="984"/>
      <c r="V442" s="984"/>
      <c r="W442" s="984"/>
      <c r="X442" s="984"/>
      <c r="Y442" s="984"/>
      <c r="Z442" s="984"/>
    </row>
    <row r="443" spans="1:26" ht="18" customHeight="1" x14ac:dyDescent="0.35">
      <c r="A443" s="984"/>
      <c r="B443" s="984"/>
      <c r="C443" s="984"/>
      <c r="D443" s="984"/>
      <c r="E443" s="984"/>
      <c r="F443" s="984"/>
      <c r="G443" s="984"/>
      <c r="H443" s="984"/>
      <c r="I443" s="984"/>
      <c r="J443" s="984"/>
      <c r="K443" s="984"/>
      <c r="L443" s="984"/>
      <c r="M443" s="984"/>
      <c r="N443" s="984"/>
      <c r="O443" s="984"/>
      <c r="P443" s="984"/>
      <c r="Q443" s="984"/>
      <c r="R443" s="984"/>
      <c r="S443" s="984"/>
      <c r="T443" s="984"/>
      <c r="U443" s="984"/>
      <c r="V443" s="984"/>
      <c r="W443" s="984"/>
      <c r="X443" s="984"/>
      <c r="Y443" s="984"/>
      <c r="Z443" s="984"/>
    </row>
    <row r="444" spans="1:26" ht="18" customHeight="1" x14ac:dyDescent="0.35">
      <c r="A444" s="984"/>
      <c r="B444" s="984"/>
      <c r="C444" s="984"/>
      <c r="D444" s="984"/>
      <c r="E444" s="984"/>
      <c r="F444" s="984"/>
      <c r="G444" s="984"/>
      <c r="H444" s="984"/>
      <c r="I444" s="984"/>
      <c r="J444" s="984"/>
      <c r="K444" s="984"/>
      <c r="L444" s="984"/>
      <c r="M444" s="984"/>
      <c r="N444" s="984"/>
      <c r="O444" s="984"/>
      <c r="P444" s="984"/>
      <c r="Q444" s="984"/>
      <c r="R444" s="984"/>
      <c r="S444" s="984"/>
      <c r="T444" s="984"/>
      <c r="U444" s="984"/>
      <c r="V444" s="984"/>
      <c r="W444" s="984"/>
      <c r="X444" s="984"/>
      <c r="Y444" s="984"/>
      <c r="Z444" s="984"/>
    </row>
    <row r="445" spans="1:26" ht="18" customHeight="1" x14ac:dyDescent="0.35">
      <c r="A445" s="984"/>
      <c r="B445" s="984"/>
      <c r="C445" s="984"/>
      <c r="D445" s="984"/>
      <c r="E445" s="984"/>
      <c r="F445" s="984"/>
      <c r="G445" s="984"/>
      <c r="H445" s="984"/>
      <c r="I445" s="984"/>
      <c r="J445" s="984"/>
      <c r="K445" s="984"/>
      <c r="L445" s="984"/>
      <c r="M445" s="984"/>
      <c r="N445" s="984"/>
      <c r="O445" s="984"/>
      <c r="P445" s="984"/>
      <c r="Q445" s="984"/>
      <c r="R445" s="984"/>
      <c r="S445" s="984"/>
      <c r="T445" s="984"/>
      <c r="U445" s="984"/>
      <c r="V445" s="984"/>
      <c r="W445" s="984"/>
      <c r="X445" s="984"/>
      <c r="Y445" s="984"/>
      <c r="Z445" s="984"/>
    </row>
    <row r="446" spans="1:26" ht="18" customHeight="1" x14ac:dyDescent="0.35">
      <c r="A446" s="984"/>
      <c r="B446" s="984"/>
      <c r="C446" s="984"/>
      <c r="D446" s="984"/>
      <c r="E446" s="984"/>
      <c r="F446" s="984"/>
      <c r="G446" s="984"/>
      <c r="H446" s="984"/>
      <c r="I446" s="984"/>
      <c r="J446" s="984"/>
      <c r="K446" s="984"/>
      <c r="L446" s="984"/>
      <c r="M446" s="984"/>
      <c r="N446" s="984"/>
      <c r="O446" s="984"/>
      <c r="P446" s="984"/>
      <c r="Q446" s="984"/>
      <c r="R446" s="984"/>
      <c r="S446" s="984"/>
      <c r="T446" s="984"/>
      <c r="U446" s="984"/>
      <c r="V446" s="984"/>
      <c r="W446" s="984"/>
      <c r="X446" s="984"/>
      <c r="Y446" s="984"/>
      <c r="Z446" s="984"/>
    </row>
    <row r="447" spans="1:26" ht="18" customHeight="1" x14ac:dyDescent="0.35">
      <c r="A447" s="984"/>
      <c r="B447" s="984"/>
      <c r="C447" s="984"/>
      <c r="D447" s="984"/>
      <c r="E447" s="984"/>
      <c r="F447" s="984"/>
      <c r="G447" s="984"/>
      <c r="H447" s="984"/>
      <c r="I447" s="984"/>
      <c r="J447" s="984"/>
      <c r="K447" s="984"/>
      <c r="L447" s="984"/>
      <c r="M447" s="984"/>
      <c r="N447" s="984"/>
      <c r="O447" s="984"/>
      <c r="P447" s="984"/>
      <c r="Q447" s="984"/>
      <c r="R447" s="984"/>
      <c r="S447" s="984"/>
      <c r="T447" s="984"/>
      <c r="U447" s="984"/>
      <c r="V447" s="984"/>
      <c r="W447" s="984"/>
      <c r="X447" s="984"/>
      <c r="Y447" s="984"/>
      <c r="Z447" s="984"/>
    </row>
    <row r="448" spans="1:26" ht="18" customHeight="1" x14ac:dyDescent="0.35">
      <c r="A448" s="984"/>
      <c r="B448" s="984"/>
      <c r="C448" s="984"/>
      <c r="D448" s="984"/>
      <c r="E448" s="984"/>
      <c r="F448" s="984"/>
      <c r="G448" s="984"/>
      <c r="H448" s="984"/>
      <c r="I448" s="984"/>
      <c r="J448" s="984"/>
      <c r="K448" s="984"/>
      <c r="L448" s="984"/>
      <c r="M448" s="984"/>
      <c r="N448" s="984"/>
      <c r="O448" s="984"/>
      <c r="P448" s="984"/>
      <c r="Q448" s="984"/>
      <c r="R448" s="984"/>
      <c r="S448" s="984"/>
      <c r="T448" s="984"/>
      <c r="U448" s="984"/>
      <c r="V448" s="984"/>
      <c r="W448" s="984"/>
      <c r="X448" s="984"/>
      <c r="Y448" s="984"/>
      <c r="Z448" s="984"/>
    </row>
    <row r="449" spans="1:26" ht="18" customHeight="1" x14ac:dyDescent="0.35">
      <c r="A449" s="984"/>
      <c r="B449" s="984"/>
      <c r="C449" s="984"/>
      <c r="D449" s="984"/>
      <c r="E449" s="984"/>
      <c r="F449" s="984"/>
      <c r="G449" s="984"/>
      <c r="H449" s="984"/>
      <c r="I449" s="984"/>
      <c r="J449" s="984"/>
      <c r="K449" s="984"/>
      <c r="L449" s="984"/>
      <c r="M449" s="984"/>
      <c r="N449" s="984"/>
      <c r="O449" s="984"/>
      <c r="P449" s="984"/>
      <c r="Q449" s="984"/>
      <c r="R449" s="984"/>
      <c r="S449" s="984"/>
      <c r="T449" s="984"/>
      <c r="U449" s="984"/>
      <c r="V449" s="984"/>
      <c r="W449" s="984"/>
      <c r="X449" s="984"/>
      <c r="Y449" s="984"/>
      <c r="Z449" s="984"/>
    </row>
    <row r="450" spans="1:26" ht="18" customHeight="1" x14ac:dyDescent="0.35">
      <c r="A450" s="984"/>
      <c r="B450" s="984"/>
      <c r="C450" s="984"/>
      <c r="D450" s="984"/>
      <c r="E450" s="984"/>
      <c r="F450" s="984"/>
      <c r="G450" s="984"/>
      <c r="H450" s="984"/>
      <c r="I450" s="984"/>
      <c r="J450" s="984"/>
      <c r="K450" s="984"/>
      <c r="L450" s="984"/>
      <c r="M450" s="984"/>
      <c r="N450" s="984"/>
      <c r="O450" s="984"/>
      <c r="P450" s="984"/>
      <c r="Q450" s="984"/>
      <c r="R450" s="984"/>
      <c r="S450" s="984"/>
      <c r="T450" s="984"/>
      <c r="U450" s="984"/>
      <c r="V450" s="984"/>
      <c r="W450" s="984"/>
      <c r="X450" s="984"/>
      <c r="Y450" s="984"/>
      <c r="Z450" s="984"/>
    </row>
    <row r="451" spans="1:26" ht="18" customHeight="1" x14ac:dyDescent="0.35">
      <c r="A451" s="984"/>
      <c r="B451" s="984"/>
      <c r="C451" s="984"/>
      <c r="D451" s="984"/>
      <c r="E451" s="984"/>
      <c r="F451" s="984"/>
      <c r="G451" s="984"/>
      <c r="H451" s="984"/>
      <c r="I451" s="984"/>
      <c r="J451" s="984"/>
      <c r="K451" s="984"/>
      <c r="L451" s="984"/>
      <c r="M451" s="984"/>
      <c r="N451" s="984"/>
      <c r="O451" s="984"/>
      <c r="P451" s="984"/>
      <c r="Q451" s="984"/>
      <c r="R451" s="984"/>
      <c r="S451" s="984"/>
      <c r="T451" s="984"/>
      <c r="U451" s="984"/>
      <c r="V451" s="984"/>
      <c r="W451" s="984"/>
      <c r="X451" s="984"/>
      <c r="Y451" s="984"/>
      <c r="Z451" s="984"/>
    </row>
    <row r="452" spans="1:26" ht="18" customHeight="1" x14ac:dyDescent="0.35">
      <c r="A452" s="984"/>
      <c r="B452" s="984"/>
      <c r="C452" s="984"/>
      <c r="D452" s="984"/>
      <c r="E452" s="984"/>
      <c r="F452" s="984"/>
      <c r="G452" s="984"/>
      <c r="H452" s="984"/>
      <c r="I452" s="984"/>
      <c r="J452" s="984"/>
      <c r="K452" s="984"/>
      <c r="L452" s="984"/>
      <c r="M452" s="984"/>
      <c r="N452" s="984"/>
      <c r="O452" s="984"/>
      <c r="P452" s="984"/>
      <c r="Q452" s="984"/>
      <c r="R452" s="984"/>
      <c r="S452" s="984"/>
      <c r="T452" s="984"/>
      <c r="U452" s="984"/>
      <c r="V452" s="984"/>
      <c r="W452" s="984"/>
      <c r="X452" s="984"/>
      <c r="Y452" s="984"/>
      <c r="Z452" s="984"/>
    </row>
    <row r="453" spans="1:26" ht="18" customHeight="1" x14ac:dyDescent="0.35">
      <c r="A453" s="984"/>
      <c r="B453" s="984"/>
      <c r="C453" s="984"/>
      <c r="D453" s="984"/>
      <c r="E453" s="984"/>
      <c r="F453" s="984"/>
      <c r="G453" s="984"/>
      <c r="H453" s="984"/>
      <c r="I453" s="984"/>
      <c r="J453" s="984"/>
      <c r="K453" s="984"/>
      <c r="L453" s="984"/>
      <c r="M453" s="984"/>
      <c r="N453" s="984"/>
      <c r="O453" s="984"/>
      <c r="P453" s="984"/>
      <c r="Q453" s="984"/>
      <c r="R453" s="984"/>
      <c r="S453" s="984"/>
      <c r="T453" s="984"/>
      <c r="U453" s="984"/>
      <c r="V453" s="984"/>
      <c r="W453" s="984"/>
      <c r="X453" s="984"/>
      <c r="Y453" s="984"/>
      <c r="Z453" s="984"/>
    </row>
    <row r="454" spans="1:26" ht="18" customHeight="1" x14ac:dyDescent="0.35">
      <c r="A454" s="984"/>
      <c r="B454" s="984"/>
      <c r="C454" s="984"/>
      <c r="D454" s="984"/>
      <c r="E454" s="984"/>
      <c r="F454" s="984"/>
      <c r="G454" s="984"/>
      <c r="H454" s="984"/>
      <c r="I454" s="984"/>
      <c r="J454" s="984"/>
      <c r="K454" s="984"/>
      <c r="L454" s="984"/>
      <c r="M454" s="984"/>
      <c r="N454" s="984"/>
      <c r="O454" s="984"/>
      <c r="P454" s="984"/>
      <c r="Q454" s="984"/>
      <c r="R454" s="984"/>
      <c r="S454" s="984"/>
      <c r="T454" s="984"/>
      <c r="U454" s="984"/>
      <c r="V454" s="984"/>
      <c r="W454" s="984"/>
      <c r="X454" s="984"/>
      <c r="Y454" s="984"/>
      <c r="Z454" s="984"/>
    </row>
    <row r="455" spans="1:26" ht="18" customHeight="1" x14ac:dyDescent="0.35">
      <c r="A455" s="984"/>
      <c r="B455" s="984"/>
      <c r="C455" s="984"/>
      <c r="D455" s="984"/>
      <c r="E455" s="984"/>
      <c r="F455" s="984"/>
      <c r="G455" s="984"/>
      <c r="H455" s="984"/>
      <c r="I455" s="984"/>
      <c r="J455" s="984"/>
      <c r="K455" s="984"/>
      <c r="L455" s="984"/>
      <c r="M455" s="984"/>
      <c r="N455" s="984"/>
      <c r="O455" s="984"/>
      <c r="P455" s="984"/>
      <c r="Q455" s="984"/>
      <c r="R455" s="984"/>
      <c r="S455" s="984"/>
      <c r="T455" s="984"/>
      <c r="U455" s="984"/>
      <c r="V455" s="984"/>
      <c r="W455" s="984"/>
      <c r="X455" s="984"/>
      <c r="Y455" s="984"/>
      <c r="Z455" s="984"/>
    </row>
    <row r="456" spans="1:26" ht="18" customHeight="1" x14ac:dyDescent="0.35">
      <c r="A456" s="984"/>
      <c r="B456" s="984"/>
      <c r="C456" s="984"/>
      <c r="D456" s="984"/>
      <c r="E456" s="984"/>
      <c r="F456" s="984"/>
      <c r="G456" s="984"/>
      <c r="H456" s="984"/>
      <c r="I456" s="984"/>
      <c r="J456" s="984"/>
      <c r="K456" s="984"/>
      <c r="L456" s="984"/>
      <c r="M456" s="984"/>
      <c r="N456" s="984"/>
      <c r="O456" s="984"/>
      <c r="P456" s="984"/>
      <c r="Q456" s="984"/>
      <c r="R456" s="984"/>
      <c r="S456" s="984"/>
      <c r="T456" s="984"/>
      <c r="U456" s="984"/>
      <c r="V456" s="984"/>
      <c r="W456" s="984"/>
      <c r="X456" s="984"/>
      <c r="Y456" s="984"/>
      <c r="Z456" s="984"/>
    </row>
    <row r="457" spans="1:26" ht="18" customHeight="1" x14ac:dyDescent="0.35">
      <c r="A457" s="984"/>
      <c r="B457" s="984"/>
      <c r="C457" s="984"/>
      <c r="D457" s="984"/>
      <c r="E457" s="984"/>
      <c r="F457" s="984"/>
      <c r="G457" s="984"/>
      <c r="H457" s="984"/>
      <c r="I457" s="984"/>
      <c r="J457" s="984"/>
      <c r="K457" s="984"/>
      <c r="L457" s="984"/>
      <c r="M457" s="984"/>
      <c r="N457" s="984"/>
      <c r="O457" s="984"/>
      <c r="P457" s="984"/>
      <c r="Q457" s="984"/>
      <c r="R457" s="984"/>
      <c r="S457" s="984"/>
      <c r="T457" s="984"/>
      <c r="U457" s="984"/>
      <c r="V457" s="984"/>
      <c r="W457" s="984"/>
      <c r="X457" s="984"/>
      <c r="Y457" s="984"/>
      <c r="Z457" s="984"/>
    </row>
    <row r="458" spans="1:26" ht="18" customHeight="1" x14ac:dyDescent="0.35">
      <c r="A458" s="984"/>
      <c r="B458" s="984"/>
      <c r="C458" s="984"/>
      <c r="D458" s="984"/>
      <c r="E458" s="984"/>
      <c r="F458" s="984"/>
      <c r="G458" s="984"/>
      <c r="H458" s="984"/>
      <c r="I458" s="984"/>
      <c r="J458" s="984"/>
      <c r="K458" s="984"/>
      <c r="L458" s="984"/>
      <c r="M458" s="984"/>
      <c r="N458" s="984"/>
      <c r="O458" s="984"/>
      <c r="P458" s="984"/>
      <c r="Q458" s="984"/>
      <c r="R458" s="984"/>
      <c r="S458" s="984"/>
      <c r="T458" s="984"/>
      <c r="U458" s="984"/>
      <c r="V458" s="984"/>
      <c r="W458" s="984"/>
      <c r="X458" s="984"/>
      <c r="Y458" s="984"/>
      <c r="Z458" s="984"/>
    </row>
    <row r="459" spans="1:26" ht="18" customHeight="1" x14ac:dyDescent="0.35">
      <c r="A459" s="984"/>
      <c r="B459" s="984"/>
      <c r="C459" s="984"/>
      <c r="D459" s="984"/>
      <c r="E459" s="984"/>
      <c r="F459" s="984"/>
      <c r="G459" s="984"/>
      <c r="H459" s="984"/>
      <c r="I459" s="984"/>
      <c r="J459" s="984"/>
      <c r="K459" s="984"/>
      <c r="L459" s="984"/>
      <c r="M459" s="984"/>
      <c r="N459" s="984"/>
      <c r="O459" s="984"/>
      <c r="P459" s="984"/>
      <c r="Q459" s="984"/>
      <c r="R459" s="984"/>
      <c r="S459" s="984"/>
      <c r="T459" s="984"/>
      <c r="U459" s="984"/>
      <c r="V459" s="984"/>
      <c r="W459" s="984"/>
      <c r="X459" s="984"/>
      <c r="Y459" s="984"/>
      <c r="Z459" s="984"/>
    </row>
    <row r="460" spans="1:26" ht="18" customHeight="1" x14ac:dyDescent="0.35">
      <c r="A460" s="984"/>
      <c r="B460" s="984"/>
      <c r="C460" s="984"/>
      <c r="D460" s="984"/>
      <c r="E460" s="984"/>
      <c r="F460" s="984"/>
      <c r="G460" s="984"/>
      <c r="H460" s="984"/>
      <c r="I460" s="984"/>
      <c r="J460" s="984"/>
      <c r="K460" s="984"/>
      <c r="L460" s="984"/>
      <c r="M460" s="984"/>
      <c r="N460" s="984"/>
      <c r="O460" s="984"/>
      <c r="P460" s="984"/>
      <c r="Q460" s="984"/>
      <c r="R460" s="984"/>
      <c r="S460" s="984"/>
      <c r="T460" s="984"/>
      <c r="U460" s="984"/>
      <c r="V460" s="984"/>
      <c r="W460" s="984"/>
      <c r="X460" s="984"/>
      <c r="Y460" s="984"/>
      <c r="Z460" s="984"/>
    </row>
    <row r="461" spans="1:26" ht="18" customHeight="1" x14ac:dyDescent="0.35">
      <c r="A461" s="984"/>
      <c r="B461" s="984"/>
      <c r="C461" s="984"/>
      <c r="D461" s="984"/>
      <c r="E461" s="984"/>
      <c r="F461" s="984"/>
      <c r="G461" s="984"/>
      <c r="H461" s="984"/>
      <c r="I461" s="984"/>
      <c r="J461" s="984"/>
      <c r="K461" s="984"/>
      <c r="L461" s="984"/>
      <c r="M461" s="984"/>
      <c r="N461" s="984"/>
      <c r="O461" s="984"/>
      <c r="P461" s="984"/>
      <c r="Q461" s="984"/>
      <c r="R461" s="984"/>
      <c r="S461" s="984"/>
      <c r="T461" s="984"/>
      <c r="U461" s="984"/>
      <c r="V461" s="984"/>
      <c r="W461" s="984"/>
      <c r="X461" s="984"/>
      <c r="Y461" s="984"/>
      <c r="Z461" s="984"/>
    </row>
    <row r="462" spans="1:26" ht="18" customHeight="1" x14ac:dyDescent="0.35">
      <c r="A462" s="984"/>
      <c r="B462" s="984"/>
      <c r="C462" s="984"/>
      <c r="D462" s="984"/>
      <c r="E462" s="984"/>
      <c r="F462" s="984"/>
      <c r="G462" s="984"/>
      <c r="H462" s="984"/>
      <c r="I462" s="984"/>
      <c r="J462" s="984"/>
      <c r="K462" s="984"/>
      <c r="L462" s="984"/>
      <c r="M462" s="984"/>
      <c r="N462" s="984"/>
      <c r="O462" s="984"/>
      <c r="P462" s="984"/>
      <c r="Q462" s="984"/>
      <c r="R462" s="984"/>
      <c r="S462" s="984"/>
      <c r="T462" s="984"/>
      <c r="U462" s="984"/>
      <c r="V462" s="984"/>
      <c r="W462" s="984"/>
      <c r="X462" s="984"/>
      <c r="Y462" s="984"/>
      <c r="Z462" s="984"/>
    </row>
    <row r="463" spans="1:26" ht="18" customHeight="1" x14ac:dyDescent="0.35">
      <c r="A463" s="984"/>
      <c r="B463" s="984"/>
      <c r="C463" s="984"/>
      <c r="D463" s="984"/>
      <c r="E463" s="984"/>
      <c r="F463" s="984"/>
      <c r="G463" s="984"/>
      <c r="H463" s="984"/>
      <c r="I463" s="984"/>
      <c r="J463" s="984"/>
      <c r="K463" s="984"/>
      <c r="L463" s="984"/>
      <c r="M463" s="984"/>
      <c r="N463" s="984"/>
      <c r="O463" s="984"/>
      <c r="P463" s="984"/>
      <c r="Q463" s="984"/>
      <c r="R463" s="984"/>
      <c r="S463" s="984"/>
      <c r="T463" s="984"/>
      <c r="U463" s="984"/>
      <c r="V463" s="984"/>
      <c r="W463" s="984"/>
      <c r="X463" s="984"/>
      <c r="Y463" s="984"/>
      <c r="Z463" s="984"/>
    </row>
    <row r="464" spans="1:26" ht="18" customHeight="1" x14ac:dyDescent="0.35">
      <c r="A464" s="984"/>
      <c r="B464" s="984"/>
      <c r="C464" s="984"/>
      <c r="D464" s="984"/>
      <c r="E464" s="984"/>
      <c r="F464" s="984"/>
      <c r="G464" s="984"/>
      <c r="H464" s="984"/>
      <c r="I464" s="984"/>
      <c r="J464" s="984"/>
      <c r="K464" s="984"/>
      <c r="L464" s="984"/>
      <c r="M464" s="984"/>
      <c r="N464" s="984"/>
      <c r="O464" s="984"/>
      <c r="P464" s="984"/>
      <c r="Q464" s="984"/>
      <c r="R464" s="984"/>
      <c r="S464" s="984"/>
      <c r="T464" s="984"/>
      <c r="U464" s="984"/>
      <c r="V464" s="984"/>
      <c r="W464" s="984"/>
      <c r="X464" s="984"/>
      <c r="Y464" s="984"/>
      <c r="Z464" s="984"/>
    </row>
    <row r="465" spans="1:26" ht="18" customHeight="1" x14ac:dyDescent="0.35">
      <c r="A465" s="984"/>
      <c r="B465" s="984"/>
      <c r="C465" s="984"/>
      <c r="D465" s="984"/>
      <c r="E465" s="984"/>
      <c r="F465" s="984"/>
      <c r="G465" s="984"/>
      <c r="H465" s="984"/>
      <c r="I465" s="984"/>
      <c r="J465" s="984"/>
      <c r="K465" s="984"/>
      <c r="L465" s="984"/>
      <c r="M465" s="984"/>
      <c r="N465" s="984"/>
      <c r="O465" s="984"/>
      <c r="P465" s="984"/>
      <c r="Q465" s="984"/>
      <c r="R465" s="984"/>
      <c r="S465" s="984"/>
      <c r="T465" s="984"/>
      <c r="U465" s="984"/>
      <c r="V465" s="984"/>
      <c r="W465" s="984"/>
      <c r="X465" s="984"/>
      <c r="Y465" s="984"/>
      <c r="Z465" s="984"/>
    </row>
    <row r="466" spans="1:26" ht="18" customHeight="1" x14ac:dyDescent="0.35">
      <c r="A466" s="984"/>
      <c r="B466" s="984"/>
      <c r="C466" s="984"/>
      <c r="D466" s="984"/>
      <c r="E466" s="984"/>
      <c r="F466" s="984"/>
      <c r="G466" s="984"/>
      <c r="H466" s="984"/>
      <c r="I466" s="984"/>
      <c r="J466" s="984"/>
      <c r="K466" s="984"/>
      <c r="L466" s="984"/>
      <c r="M466" s="984"/>
      <c r="N466" s="984"/>
      <c r="O466" s="984"/>
      <c r="P466" s="984"/>
      <c r="Q466" s="984"/>
      <c r="R466" s="984"/>
      <c r="S466" s="984"/>
      <c r="T466" s="984"/>
      <c r="U466" s="984"/>
      <c r="V466" s="984"/>
      <c r="W466" s="984"/>
      <c r="X466" s="984"/>
      <c r="Y466" s="984"/>
      <c r="Z466" s="984"/>
    </row>
    <row r="467" spans="1:26" ht="18" customHeight="1" x14ac:dyDescent="0.35">
      <c r="A467" s="984"/>
      <c r="B467" s="984"/>
      <c r="C467" s="984"/>
      <c r="D467" s="984"/>
      <c r="E467" s="984"/>
      <c r="F467" s="984"/>
      <c r="G467" s="984"/>
      <c r="H467" s="984"/>
      <c r="I467" s="984"/>
      <c r="J467" s="984"/>
      <c r="K467" s="984"/>
      <c r="L467" s="984"/>
      <c r="M467" s="984"/>
      <c r="N467" s="984"/>
      <c r="O467" s="984"/>
      <c r="P467" s="984"/>
      <c r="Q467" s="984"/>
      <c r="R467" s="984"/>
      <c r="S467" s="984"/>
      <c r="T467" s="984"/>
      <c r="U467" s="984"/>
      <c r="V467" s="984"/>
      <c r="W467" s="984"/>
      <c r="X467" s="984"/>
      <c r="Y467" s="984"/>
      <c r="Z467" s="984"/>
    </row>
    <row r="468" spans="1:26" ht="18" customHeight="1" x14ac:dyDescent="0.35">
      <c r="A468" s="984"/>
      <c r="B468" s="984"/>
      <c r="C468" s="984"/>
      <c r="D468" s="984"/>
      <c r="E468" s="984"/>
      <c r="F468" s="984"/>
      <c r="G468" s="984"/>
      <c r="H468" s="984"/>
      <c r="I468" s="984"/>
      <c r="J468" s="984"/>
      <c r="K468" s="984"/>
      <c r="L468" s="984"/>
      <c r="M468" s="984"/>
      <c r="N468" s="984"/>
      <c r="O468" s="984"/>
      <c r="P468" s="984"/>
      <c r="Q468" s="984"/>
      <c r="R468" s="984"/>
      <c r="S468" s="984"/>
      <c r="T468" s="984"/>
      <c r="U468" s="984"/>
      <c r="V468" s="984"/>
      <c r="W468" s="984"/>
      <c r="X468" s="984"/>
      <c r="Y468" s="984"/>
      <c r="Z468" s="984"/>
    </row>
    <row r="469" spans="1:26" ht="18" customHeight="1" x14ac:dyDescent="0.35">
      <c r="A469" s="984"/>
      <c r="B469" s="984"/>
      <c r="C469" s="984"/>
      <c r="D469" s="984"/>
      <c r="E469" s="984"/>
      <c r="F469" s="984"/>
      <c r="G469" s="984"/>
      <c r="H469" s="984"/>
      <c r="I469" s="984"/>
      <c r="J469" s="984"/>
      <c r="K469" s="984"/>
      <c r="L469" s="984"/>
      <c r="M469" s="984"/>
      <c r="N469" s="984"/>
      <c r="O469" s="984"/>
      <c r="P469" s="984"/>
      <c r="Q469" s="984"/>
      <c r="R469" s="984"/>
      <c r="S469" s="984"/>
      <c r="T469" s="984"/>
      <c r="U469" s="984"/>
      <c r="V469" s="984"/>
      <c r="W469" s="984"/>
      <c r="X469" s="984"/>
      <c r="Y469" s="984"/>
      <c r="Z469" s="984"/>
    </row>
    <row r="470" spans="1:26" ht="18" customHeight="1" x14ac:dyDescent="0.35">
      <c r="A470" s="984"/>
      <c r="B470" s="984"/>
      <c r="C470" s="984"/>
      <c r="D470" s="984"/>
      <c r="E470" s="984"/>
      <c r="F470" s="984"/>
      <c r="G470" s="984"/>
      <c r="H470" s="984"/>
      <c r="I470" s="984"/>
      <c r="J470" s="984"/>
      <c r="K470" s="984"/>
      <c r="L470" s="984"/>
      <c r="M470" s="984"/>
      <c r="N470" s="984"/>
      <c r="O470" s="984"/>
      <c r="P470" s="984"/>
      <c r="Q470" s="984"/>
      <c r="R470" s="984"/>
      <c r="S470" s="984"/>
      <c r="T470" s="984"/>
      <c r="U470" s="984"/>
      <c r="V470" s="984"/>
      <c r="W470" s="984"/>
      <c r="X470" s="984"/>
      <c r="Y470" s="984"/>
      <c r="Z470" s="984"/>
    </row>
    <row r="471" spans="1:26" ht="18" customHeight="1" x14ac:dyDescent="0.35">
      <c r="A471" s="984"/>
      <c r="B471" s="984"/>
      <c r="C471" s="984"/>
      <c r="D471" s="984"/>
      <c r="E471" s="984"/>
      <c r="F471" s="984"/>
      <c r="G471" s="984"/>
      <c r="H471" s="984"/>
      <c r="I471" s="984"/>
      <c r="J471" s="984"/>
      <c r="K471" s="984"/>
      <c r="L471" s="984"/>
      <c r="M471" s="984"/>
      <c r="N471" s="984"/>
      <c r="O471" s="984"/>
      <c r="P471" s="984"/>
      <c r="Q471" s="984"/>
      <c r="R471" s="984"/>
      <c r="S471" s="984"/>
      <c r="T471" s="984"/>
      <c r="U471" s="984"/>
      <c r="V471" s="984"/>
      <c r="W471" s="984"/>
      <c r="X471" s="984"/>
      <c r="Y471" s="984"/>
      <c r="Z471" s="984"/>
    </row>
    <row r="472" spans="1:26" ht="18" customHeight="1" x14ac:dyDescent="0.35">
      <c r="A472" s="984"/>
      <c r="B472" s="984"/>
      <c r="C472" s="984"/>
      <c r="D472" s="984"/>
      <c r="E472" s="984"/>
      <c r="F472" s="984"/>
      <c r="G472" s="984"/>
      <c r="H472" s="984"/>
      <c r="I472" s="984"/>
      <c r="J472" s="984"/>
      <c r="K472" s="984"/>
      <c r="L472" s="984"/>
      <c r="M472" s="984"/>
      <c r="N472" s="984"/>
      <c r="O472" s="984"/>
      <c r="P472" s="984"/>
      <c r="Q472" s="984"/>
      <c r="R472" s="984"/>
      <c r="S472" s="984"/>
      <c r="T472" s="984"/>
      <c r="U472" s="984"/>
      <c r="V472" s="984"/>
      <c r="W472" s="984"/>
      <c r="X472" s="984"/>
      <c r="Y472" s="984"/>
      <c r="Z472" s="984"/>
    </row>
    <row r="473" spans="1:26" ht="18" customHeight="1" x14ac:dyDescent="0.35">
      <c r="A473" s="984"/>
      <c r="B473" s="984"/>
      <c r="C473" s="984"/>
      <c r="D473" s="984"/>
      <c r="E473" s="984"/>
      <c r="F473" s="984"/>
      <c r="G473" s="984"/>
      <c r="H473" s="984"/>
      <c r="I473" s="984"/>
      <c r="J473" s="984"/>
      <c r="K473" s="984"/>
      <c r="L473" s="984"/>
      <c r="M473" s="984"/>
      <c r="N473" s="984"/>
      <c r="O473" s="984"/>
      <c r="P473" s="984"/>
      <c r="Q473" s="984"/>
      <c r="R473" s="984"/>
      <c r="S473" s="984"/>
      <c r="T473" s="984"/>
      <c r="U473" s="984"/>
      <c r="V473" s="984"/>
      <c r="W473" s="984"/>
      <c r="X473" s="984"/>
      <c r="Y473" s="984"/>
      <c r="Z473" s="984"/>
    </row>
    <row r="474" spans="1:26" ht="18" customHeight="1" x14ac:dyDescent="0.35">
      <c r="A474" s="984"/>
      <c r="B474" s="984"/>
      <c r="C474" s="984"/>
      <c r="D474" s="984"/>
      <c r="E474" s="984"/>
      <c r="F474" s="984"/>
      <c r="G474" s="984"/>
      <c r="H474" s="984"/>
      <c r="I474" s="984"/>
      <c r="J474" s="984"/>
      <c r="K474" s="984"/>
      <c r="L474" s="984"/>
      <c r="M474" s="984"/>
      <c r="N474" s="984"/>
      <c r="O474" s="984"/>
      <c r="P474" s="984"/>
      <c r="Q474" s="984"/>
      <c r="R474" s="984"/>
      <c r="S474" s="984"/>
      <c r="T474" s="984"/>
      <c r="U474" s="984"/>
      <c r="V474" s="984"/>
      <c r="W474" s="984"/>
      <c r="X474" s="984"/>
      <c r="Y474" s="984"/>
      <c r="Z474" s="984"/>
    </row>
    <row r="475" spans="1:26" ht="18" customHeight="1" x14ac:dyDescent="0.35">
      <c r="A475" s="984"/>
      <c r="B475" s="984"/>
      <c r="C475" s="984"/>
      <c r="D475" s="984"/>
      <c r="E475" s="984"/>
      <c r="F475" s="984"/>
      <c r="G475" s="984"/>
      <c r="H475" s="984"/>
      <c r="I475" s="984"/>
      <c r="J475" s="984"/>
      <c r="K475" s="984"/>
      <c r="L475" s="984"/>
      <c r="M475" s="984"/>
      <c r="N475" s="984"/>
      <c r="O475" s="984"/>
      <c r="P475" s="984"/>
      <c r="Q475" s="984"/>
      <c r="R475" s="984"/>
      <c r="S475" s="984"/>
      <c r="T475" s="984"/>
      <c r="U475" s="984"/>
      <c r="V475" s="984"/>
      <c r="W475" s="984"/>
      <c r="X475" s="984"/>
      <c r="Y475" s="984"/>
      <c r="Z475" s="984"/>
    </row>
    <row r="476" spans="1:26" ht="18" customHeight="1" x14ac:dyDescent="0.35">
      <c r="A476" s="984"/>
      <c r="B476" s="984"/>
      <c r="C476" s="984"/>
      <c r="D476" s="984"/>
      <c r="E476" s="984"/>
      <c r="F476" s="984"/>
      <c r="G476" s="984"/>
      <c r="H476" s="984"/>
      <c r="I476" s="984"/>
      <c r="J476" s="984"/>
      <c r="K476" s="984"/>
      <c r="L476" s="984"/>
      <c r="M476" s="984"/>
      <c r="N476" s="984"/>
      <c r="O476" s="984"/>
      <c r="P476" s="984"/>
      <c r="Q476" s="984"/>
      <c r="R476" s="984"/>
      <c r="S476" s="984"/>
      <c r="T476" s="984"/>
      <c r="U476" s="984"/>
      <c r="V476" s="984"/>
      <c r="W476" s="984"/>
      <c r="X476" s="984"/>
      <c r="Y476" s="984"/>
      <c r="Z476" s="984"/>
    </row>
    <row r="477" spans="1:26" ht="18" customHeight="1" x14ac:dyDescent="0.35">
      <c r="A477" s="984"/>
      <c r="B477" s="984"/>
      <c r="C477" s="984"/>
      <c r="D477" s="984"/>
      <c r="E477" s="984"/>
      <c r="F477" s="984"/>
      <c r="G477" s="984"/>
      <c r="H477" s="984"/>
      <c r="I477" s="984"/>
      <c r="J477" s="984"/>
      <c r="K477" s="984"/>
      <c r="L477" s="984"/>
      <c r="M477" s="984"/>
      <c r="N477" s="984"/>
      <c r="O477" s="984"/>
      <c r="P477" s="984"/>
      <c r="Q477" s="984"/>
      <c r="R477" s="984"/>
      <c r="S477" s="984"/>
      <c r="T477" s="984"/>
      <c r="U477" s="984"/>
      <c r="V477" s="984"/>
      <c r="W477" s="984"/>
      <c r="X477" s="984"/>
      <c r="Y477" s="984"/>
      <c r="Z477" s="984"/>
    </row>
    <row r="478" spans="1:26" ht="18" customHeight="1" x14ac:dyDescent="0.35">
      <c r="A478" s="984"/>
      <c r="B478" s="984"/>
      <c r="C478" s="984"/>
      <c r="D478" s="984"/>
      <c r="E478" s="984"/>
      <c r="F478" s="984"/>
      <c r="G478" s="984"/>
      <c r="H478" s="984"/>
      <c r="I478" s="984"/>
      <c r="J478" s="984"/>
      <c r="K478" s="984"/>
      <c r="L478" s="984"/>
      <c r="M478" s="984"/>
      <c r="N478" s="984"/>
      <c r="O478" s="984"/>
      <c r="P478" s="984"/>
      <c r="Q478" s="984"/>
      <c r="R478" s="984"/>
      <c r="S478" s="984"/>
      <c r="T478" s="984"/>
      <c r="U478" s="984"/>
      <c r="V478" s="984"/>
      <c r="W478" s="984"/>
      <c r="X478" s="984"/>
      <c r="Y478" s="984"/>
      <c r="Z478" s="984"/>
    </row>
    <row r="479" spans="1:26" ht="18" customHeight="1" x14ac:dyDescent="0.35">
      <c r="A479" s="984"/>
      <c r="B479" s="984"/>
      <c r="C479" s="984"/>
      <c r="D479" s="984"/>
      <c r="E479" s="984"/>
      <c r="F479" s="984"/>
      <c r="G479" s="984"/>
      <c r="H479" s="984"/>
      <c r="I479" s="984"/>
      <c r="J479" s="984"/>
      <c r="K479" s="984"/>
      <c r="L479" s="984"/>
      <c r="M479" s="984"/>
      <c r="N479" s="984"/>
      <c r="O479" s="984"/>
      <c r="P479" s="984"/>
      <c r="Q479" s="984"/>
      <c r="R479" s="984"/>
      <c r="S479" s="984"/>
      <c r="T479" s="984"/>
      <c r="U479" s="984"/>
      <c r="V479" s="984"/>
      <c r="W479" s="984"/>
      <c r="X479" s="984"/>
      <c r="Y479" s="984"/>
      <c r="Z479" s="984"/>
    </row>
    <row r="480" spans="1:26" ht="18" customHeight="1" x14ac:dyDescent="0.35">
      <c r="A480" s="984"/>
      <c r="B480" s="984"/>
      <c r="C480" s="984"/>
      <c r="D480" s="984"/>
      <c r="E480" s="984"/>
      <c r="F480" s="984"/>
      <c r="G480" s="984"/>
      <c r="H480" s="984"/>
      <c r="I480" s="984"/>
      <c r="J480" s="984"/>
      <c r="K480" s="984"/>
      <c r="L480" s="984"/>
      <c r="M480" s="984"/>
      <c r="N480" s="984"/>
      <c r="O480" s="984"/>
      <c r="P480" s="984"/>
      <c r="Q480" s="984"/>
      <c r="R480" s="984"/>
      <c r="S480" s="984"/>
      <c r="T480" s="984"/>
      <c r="U480" s="984"/>
      <c r="V480" s="984"/>
      <c r="W480" s="984"/>
      <c r="X480" s="984"/>
      <c r="Y480" s="984"/>
      <c r="Z480" s="984"/>
    </row>
    <row r="481" spans="1:26" ht="18" customHeight="1" x14ac:dyDescent="0.35">
      <c r="A481" s="984"/>
      <c r="B481" s="984"/>
      <c r="C481" s="984"/>
      <c r="D481" s="984"/>
      <c r="E481" s="984"/>
      <c r="F481" s="984"/>
      <c r="G481" s="984"/>
      <c r="H481" s="984"/>
      <c r="I481" s="984"/>
      <c r="J481" s="984"/>
      <c r="K481" s="984"/>
      <c r="L481" s="984"/>
      <c r="M481" s="984"/>
      <c r="N481" s="984"/>
      <c r="O481" s="984"/>
      <c r="P481" s="984"/>
      <c r="Q481" s="984"/>
      <c r="R481" s="984"/>
      <c r="S481" s="984"/>
      <c r="T481" s="984"/>
      <c r="U481" s="984"/>
      <c r="V481" s="984"/>
      <c r="W481" s="984"/>
      <c r="X481" s="984"/>
      <c r="Y481" s="984"/>
      <c r="Z481" s="984"/>
    </row>
    <row r="482" spans="1:26" ht="18" customHeight="1" x14ac:dyDescent="0.35">
      <c r="A482" s="984"/>
      <c r="B482" s="984"/>
      <c r="C482" s="984"/>
      <c r="D482" s="984"/>
      <c r="E482" s="984"/>
      <c r="F482" s="984"/>
      <c r="G482" s="984"/>
      <c r="H482" s="984"/>
      <c r="I482" s="984"/>
      <c r="J482" s="984"/>
      <c r="K482" s="984"/>
      <c r="L482" s="984"/>
      <c r="M482" s="984"/>
      <c r="N482" s="984"/>
      <c r="O482" s="984"/>
      <c r="P482" s="984"/>
      <c r="Q482" s="984"/>
      <c r="R482" s="984"/>
      <c r="S482" s="984"/>
      <c r="T482" s="984"/>
      <c r="U482" s="984"/>
      <c r="V482" s="984"/>
      <c r="W482" s="984"/>
      <c r="X482" s="984"/>
      <c r="Y482" s="984"/>
      <c r="Z482" s="984"/>
    </row>
    <row r="483" spans="1:26" ht="18" customHeight="1" x14ac:dyDescent="0.35">
      <c r="A483" s="984"/>
      <c r="B483" s="984"/>
      <c r="C483" s="984"/>
      <c r="D483" s="984"/>
      <c r="E483" s="984"/>
      <c r="F483" s="984"/>
      <c r="G483" s="984"/>
      <c r="H483" s="984"/>
      <c r="I483" s="984"/>
      <c r="J483" s="984"/>
      <c r="K483" s="984"/>
      <c r="L483" s="984"/>
      <c r="M483" s="984"/>
      <c r="N483" s="984"/>
      <c r="O483" s="984"/>
      <c r="P483" s="984"/>
      <c r="Q483" s="984"/>
      <c r="R483" s="984"/>
      <c r="S483" s="984"/>
      <c r="T483" s="984"/>
      <c r="U483" s="984"/>
      <c r="V483" s="984"/>
      <c r="W483" s="984"/>
      <c r="X483" s="984"/>
      <c r="Y483" s="984"/>
      <c r="Z483" s="984"/>
    </row>
    <row r="484" spans="1:26" ht="18" customHeight="1" x14ac:dyDescent="0.35">
      <c r="A484" s="984"/>
      <c r="B484" s="984"/>
      <c r="C484" s="984"/>
      <c r="D484" s="984"/>
      <c r="E484" s="984"/>
      <c r="F484" s="984"/>
      <c r="G484" s="984"/>
      <c r="H484" s="984"/>
      <c r="I484" s="984"/>
      <c r="J484" s="984"/>
      <c r="K484" s="984"/>
      <c r="L484" s="984"/>
      <c r="M484" s="984"/>
      <c r="N484" s="984"/>
      <c r="O484" s="984"/>
      <c r="P484" s="984"/>
      <c r="Q484" s="984"/>
      <c r="R484" s="984"/>
      <c r="S484" s="984"/>
      <c r="T484" s="984"/>
      <c r="U484" s="984"/>
      <c r="V484" s="984"/>
      <c r="W484" s="984"/>
      <c r="X484" s="984"/>
      <c r="Y484" s="984"/>
      <c r="Z484" s="984"/>
    </row>
    <row r="485" spans="1:26" ht="18" customHeight="1" x14ac:dyDescent="0.35">
      <c r="A485" s="984"/>
      <c r="B485" s="984"/>
      <c r="C485" s="984"/>
      <c r="D485" s="984"/>
      <c r="E485" s="984"/>
      <c r="F485" s="984"/>
      <c r="G485" s="984"/>
      <c r="H485" s="984"/>
      <c r="I485" s="984"/>
      <c r="J485" s="984"/>
      <c r="K485" s="984"/>
      <c r="L485" s="984"/>
      <c r="M485" s="984"/>
      <c r="N485" s="984"/>
      <c r="O485" s="984"/>
      <c r="P485" s="984"/>
      <c r="Q485" s="984"/>
      <c r="R485" s="984"/>
      <c r="S485" s="984"/>
      <c r="T485" s="984"/>
      <c r="U485" s="984"/>
      <c r="V485" s="984"/>
      <c r="W485" s="984"/>
      <c r="X485" s="984"/>
      <c r="Y485" s="984"/>
      <c r="Z485" s="984"/>
    </row>
    <row r="486" spans="1:26" ht="18" customHeight="1" x14ac:dyDescent="0.35">
      <c r="A486" s="984"/>
      <c r="B486" s="984"/>
      <c r="C486" s="984"/>
      <c r="D486" s="984"/>
      <c r="E486" s="984"/>
      <c r="F486" s="984"/>
      <c r="G486" s="984"/>
      <c r="H486" s="984"/>
      <c r="I486" s="984"/>
      <c r="J486" s="984"/>
      <c r="K486" s="984"/>
      <c r="L486" s="984"/>
      <c r="M486" s="984"/>
      <c r="N486" s="984"/>
      <c r="O486" s="984"/>
      <c r="P486" s="984"/>
      <c r="Q486" s="984"/>
      <c r="R486" s="984"/>
      <c r="S486" s="984"/>
      <c r="T486" s="984"/>
      <c r="U486" s="984"/>
      <c r="V486" s="984"/>
      <c r="W486" s="984"/>
      <c r="X486" s="984"/>
      <c r="Y486" s="984"/>
      <c r="Z486" s="984"/>
    </row>
    <row r="487" spans="1:26" ht="18" customHeight="1" x14ac:dyDescent="0.35">
      <c r="A487" s="984"/>
      <c r="B487" s="984"/>
      <c r="C487" s="984"/>
      <c r="D487" s="984"/>
      <c r="E487" s="984"/>
      <c r="F487" s="984"/>
      <c r="G487" s="984"/>
      <c r="H487" s="984"/>
      <c r="I487" s="984"/>
      <c r="J487" s="984"/>
      <c r="K487" s="984"/>
      <c r="L487" s="984"/>
      <c r="M487" s="984"/>
      <c r="N487" s="984"/>
      <c r="O487" s="984"/>
      <c r="P487" s="984"/>
      <c r="Q487" s="984"/>
      <c r="R487" s="984"/>
      <c r="S487" s="984"/>
      <c r="T487" s="984"/>
      <c r="U487" s="984"/>
      <c r="V487" s="984"/>
      <c r="W487" s="984"/>
      <c r="X487" s="984"/>
      <c r="Y487" s="984"/>
      <c r="Z487" s="984"/>
    </row>
    <row r="488" spans="1:26" ht="18" customHeight="1" x14ac:dyDescent="0.35">
      <c r="A488" s="984"/>
      <c r="B488" s="984"/>
      <c r="C488" s="984"/>
      <c r="D488" s="984"/>
      <c r="E488" s="984"/>
      <c r="F488" s="984"/>
      <c r="G488" s="984"/>
      <c r="H488" s="984"/>
      <c r="I488" s="984"/>
      <c r="J488" s="984"/>
      <c r="K488" s="984"/>
      <c r="L488" s="984"/>
      <c r="M488" s="984"/>
      <c r="N488" s="984"/>
      <c r="O488" s="984"/>
      <c r="P488" s="984"/>
      <c r="Q488" s="984"/>
      <c r="R488" s="984"/>
      <c r="S488" s="984"/>
      <c r="T488" s="984"/>
      <c r="U488" s="984"/>
      <c r="V488" s="984"/>
      <c r="W488" s="984"/>
      <c r="X488" s="984"/>
      <c r="Y488" s="984"/>
      <c r="Z488" s="984"/>
    </row>
    <row r="489" spans="1:26" ht="18" customHeight="1" x14ac:dyDescent="0.35">
      <c r="A489" s="984"/>
      <c r="B489" s="984"/>
      <c r="C489" s="984"/>
      <c r="D489" s="984"/>
      <c r="E489" s="984"/>
      <c r="F489" s="984"/>
      <c r="G489" s="984"/>
      <c r="H489" s="984"/>
      <c r="I489" s="984"/>
      <c r="J489" s="984"/>
      <c r="K489" s="984"/>
      <c r="L489" s="984"/>
      <c r="M489" s="984"/>
      <c r="N489" s="984"/>
      <c r="O489" s="984"/>
      <c r="P489" s="984"/>
      <c r="Q489" s="984"/>
      <c r="R489" s="984"/>
      <c r="S489" s="984"/>
      <c r="T489" s="984"/>
      <c r="U489" s="984"/>
      <c r="V489" s="984"/>
      <c r="W489" s="984"/>
      <c r="X489" s="984"/>
      <c r="Y489" s="984"/>
      <c r="Z489" s="984"/>
    </row>
    <row r="490" spans="1:26" ht="18" customHeight="1" x14ac:dyDescent="0.35">
      <c r="A490" s="984"/>
      <c r="B490" s="984"/>
      <c r="C490" s="984"/>
      <c r="D490" s="984"/>
      <c r="E490" s="984"/>
      <c r="F490" s="984"/>
      <c r="G490" s="984"/>
      <c r="H490" s="984"/>
      <c r="I490" s="984"/>
      <c r="J490" s="984"/>
      <c r="K490" s="984"/>
      <c r="L490" s="984"/>
      <c r="M490" s="984"/>
      <c r="N490" s="984"/>
      <c r="O490" s="984"/>
      <c r="P490" s="984"/>
      <c r="Q490" s="984"/>
      <c r="R490" s="984"/>
      <c r="S490" s="984"/>
      <c r="T490" s="984"/>
      <c r="U490" s="984"/>
      <c r="V490" s="984"/>
      <c r="W490" s="984"/>
      <c r="X490" s="984"/>
      <c r="Y490" s="984"/>
      <c r="Z490" s="984"/>
    </row>
    <row r="491" spans="1:26" ht="18" customHeight="1" x14ac:dyDescent="0.35">
      <c r="A491" s="984"/>
      <c r="B491" s="984"/>
      <c r="C491" s="984"/>
      <c r="D491" s="984"/>
      <c r="E491" s="984"/>
      <c r="F491" s="984"/>
      <c r="G491" s="984"/>
      <c r="H491" s="984"/>
      <c r="I491" s="984"/>
      <c r="J491" s="984"/>
      <c r="K491" s="984"/>
      <c r="L491" s="984"/>
      <c r="M491" s="984"/>
      <c r="N491" s="984"/>
      <c r="O491" s="984"/>
      <c r="P491" s="984"/>
      <c r="Q491" s="984"/>
      <c r="R491" s="984"/>
      <c r="S491" s="984"/>
      <c r="T491" s="984"/>
      <c r="U491" s="984"/>
      <c r="V491" s="984"/>
      <c r="W491" s="984"/>
      <c r="X491" s="984"/>
      <c r="Y491" s="984"/>
      <c r="Z491" s="984"/>
    </row>
    <row r="492" spans="1:26" ht="18" customHeight="1" x14ac:dyDescent="0.35">
      <c r="A492" s="984"/>
      <c r="B492" s="984"/>
      <c r="C492" s="984"/>
      <c r="D492" s="984"/>
      <c r="E492" s="984"/>
      <c r="F492" s="984"/>
      <c r="G492" s="984"/>
      <c r="H492" s="984"/>
      <c r="I492" s="984"/>
      <c r="J492" s="984"/>
      <c r="K492" s="984"/>
      <c r="L492" s="984"/>
      <c r="M492" s="984"/>
      <c r="N492" s="984"/>
      <c r="O492" s="984"/>
      <c r="P492" s="984"/>
      <c r="Q492" s="984"/>
      <c r="R492" s="984"/>
      <c r="S492" s="984"/>
      <c r="T492" s="984"/>
      <c r="U492" s="984"/>
      <c r="V492" s="984"/>
      <c r="W492" s="984"/>
      <c r="X492" s="984"/>
      <c r="Y492" s="984"/>
      <c r="Z492" s="984"/>
    </row>
    <row r="493" spans="1:26" ht="18" customHeight="1" x14ac:dyDescent="0.35">
      <c r="A493" s="984"/>
      <c r="B493" s="984"/>
      <c r="C493" s="984"/>
      <c r="D493" s="984"/>
      <c r="E493" s="984"/>
      <c r="F493" s="984"/>
      <c r="G493" s="984"/>
      <c r="H493" s="984"/>
      <c r="I493" s="984"/>
      <c r="J493" s="984"/>
      <c r="K493" s="984"/>
      <c r="L493" s="984"/>
      <c r="M493" s="984"/>
      <c r="N493" s="984"/>
      <c r="O493" s="984"/>
      <c r="P493" s="984"/>
      <c r="Q493" s="984"/>
      <c r="R493" s="984"/>
      <c r="S493" s="984"/>
      <c r="T493" s="984"/>
      <c r="U493" s="984"/>
      <c r="V493" s="984"/>
      <c r="W493" s="984"/>
      <c r="X493" s="984"/>
      <c r="Y493" s="984"/>
      <c r="Z493" s="984"/>
    </row>
    <row r="494" spans="1:26" ht="18" customHeight="1" x14ac:dyDescent="0.35">
      <c r="A494" s="984"/>
      <c r="B494" s="984"/>
      <c r="C494" s="984"/>
      <c r="D494" s="984"/>
      <c r="E494" s="984"/>
      <c r="F494" s="984"/>
      <c r="G494" s="984"/>
      <c r="H494" s="984"/>
      <c r="I494" s="984"/>
      <c r="J494" s="984"/>
      <c r="K494" s="984"/>
      <c r="L494" s="984"/>
      <c r="M494" s="984"/>
      <c r="N494" s="984"/>
      <c r="O494" s="984"/>
      <c r="P494" s="984"/>
      <c r="Q494" s="984"/>
      <c r="R494" s="984"/>
      <c r="S494" s="984"/>
      <c r="T494" s="984"/>
      <c r="U494" s="984"/>
      <c r="V494" s="984"/>
      <c r="W494" s="984"/>
      <c r="X494" s="984"/>
      <c r="Y494" s="984"/>
      <c r="Z494" s="984"/>
    </row>
    <row r="495" spans="1:26" ht="18" customHeight="1" x14ac:dyDescent="0.35">
      <c r="A495" s="984"/>
      <c r="B495" s="984"/>
      <c r="C495" s="984"/>
      <c r="D495" s="984"/>
      <c r="E495" s="984"/>
      <c r="F495" s="984"/>
      <c r="G495" s="984"/>
      <c r="H495" s="984"/>
      <c r="I495" s="984"/>
      <c r="J495" s="984"/>
      <c r="K495" s="984"/>
      <c r="L495" s="984"/>
      <c r="M495" s="984"/>
      <c r="N495" s="984"/>
      <c r="O495" s="984"/>
      <c r="P495" s="984"/>
      <c r="Q495" s="984"/>
      <c r="R495" s="984"/>
      <c r="S495" s="984"/>
      <c r="T495" s="984"/>
      <c r="U495" s="984"/>
      <c r="V495" s="984"/>
      <c r="W495" s="984"/>
      <c r="X495" s="984"/>
      <c r="Y495" s="984"/>
      <c r="Z495" s="984"/>
    </row>
    <row r="496" spans="1:26" ht="18" customHeight="1" x14ac:dyDescent="0.35">
      <c r="A496" s="984"/>
      <c r="B496" s="984"/>
      <c r="C496" s="984"/>
      <c r="D496" s="984"/>
      <c r="E496" s="984"/>
      <c r="F496" s="984"/>
      <c r="G496" s="984"/>
      <c r="H496" s="984"/>
      <c r="I496" s="984"/>
      <c r="J496" s="984"/>
      <c r="K496" s="984"/>
      <c r="L496" s="984"/>
      <c r="M496" s="984"/>
      <c r="N496" s="984"/>
      <c r="O496" s="984"/>
      <c r="P496" s="984"/>
      <c r="Q496" s="984"/>
      <c r="R496" s="984"/>
      <c r="S496" s="984"/>
      <c r="T496" s="984"/>
      <c r="U496" s="984"/>
      <c r="V496" s="984"/>
      <c r="W496" s="984"/>
      <c r="X496" s="984"/>
      <c r="Y496" s="984"/>
      <c r="Z496" s="984"/>
    </row>
    <row r="497" spans="1:26" ht="18" customHeight="1" x14ac:dyDescent="0.35">
      <c r="A497" s="984"/>
      <c r="B497" s="984"/>
      <c r="C497" s="984"/>
      <c r="D497" s="984"/>
      <c r="E497" s="984"/>
      <c r="F497" s="984"/>
      <c r="G497" s="984"/>
      <c r="H497" s="984"/>
      <c r="I497" s="984"/>
      <c r="J497" s="984"/>
      <c r="K497" s="984"/>
      <c r="L497" s="984"/>
      <c r="M497" s="984"/>
      <c r="N497" s="984"/>
      <c r="O497" s="984"/>
      <c r="P497" s="984"/>
      <c r="Q497" s="984"/>
      <c r="R497" s="984"/>
      <c r="S497" s="984"/>
      <c r="T497" s="984"/>
      <c r="U497" s="984"/>
      <c r="V497" s="984"/>
      <c r="W497" s="984"/>
      <c r="X497" s="984"/>
      <c r="Y497" s="984"/>
      <c r="Z497" s="984"/>
    </row>
    <row r="498" spans="1:26" ht="18" customHeight="1" x14ac:dyDescent="0.35">
      <c r="A498" s="984"/>
      <c r="B498" s="984"/>
      <c r="C498" s="984"/>
      <c r="D498" s="984"/>
      <c r="E498" s="984"/>
      <c r="F498" s="984"/>
      <c r="G498" s="984"/>
      <c r="H498" s="984"/>
      <c r="I498" s="984"/>
      <c r="J498" s="984"/>
      <c r="K498" s="984"/>
      <c r="L498" s="984"/>
      <c r="M498" s="984"/>
      <c r="N498" s="984"/>
      <c r="O498" s="984"/>
      <c r="P498" s="984"/>
      <c r="Q498" s="984"/>
      <c r="R498" s="984"/>
      <c r="S498" s="984"/>
      <c r="T498" s="984"/>
      <c r="U498" s="984"/>
      <c r="V498" s="984"/>
      <c r="W498" s="984"/>
      <c r="X498" s="984"/>
      <c r="Y498" s="984"/>
      <c r="Z498" s="984"/>
    </row>
    <row r="499" spans="1:26" ht="18" customHeight="1" x14ac:dyDescent="0.35">
      <c r="A499" s="984"/>
      <c r="B499" s="984"/>
      <c r="C499" s="984"/>
      <c r="D499" s="984"/>
      <c r="E499" s="984"/>
      <c r="F499" s="984"/>
      <c r="G499" s="984"/>
      <c r="H499" s="984"/>
      <c r="I499" s="984"/>
      <c r="J499" s="984"/>
      <c r="K499" s="984"/>
      <c r="L499" s="984"/>
      <c r="M499" s="984"/>
      <c r="N499" s="984"/>
      <c r="O499" s="984"/>
      <c r="P499" s="984"/>
      <c r="Q499" s="984"/>
      <c r="R499" s="984"/>
      <c r="S499" s="984"/>
      <c r="T499" s="984"/>
      <c r="U499" s="984"/>
      <c r="V499" s="984"/>
      <c r="W499" s="984"/>
      <c r="X499" s="984"/>
      <c r="Y499" s="984"/>
      <c r="Z499" s="984"/>
    </row>
    <row r="500" spans="1:26" ht="18" customHeight="1" x14ac:dyDescent="0.35">
      <c r="A500" s="984"/>
      <c r="B500" s="984"/>
      <c r="C500" s="984"/>
      <c r="D500" s="984"/>
      <c r="E500" s="984"/>
      <c r="F500" s="984"/>
      <c r="G500" s="984"/>
      <c r="H500" s="984"/>
      <c r="I500" s="984"/>
      <c r="J500" s="984"/>
      <c r="K500" s="984"/>
      <c r="L500" s="984"/>
      <c r="M500" s="984"/>
      <c r="N500" s="984"/>
      <c r="O500" s="984"/>
      <c r="P500" s="984"/>
      <c r="Q500" s="984"/>
      <c r="R500" s="984"/>
      <c r="S500" s="984"/>
      <c r="T500" s="984"/>
      <c r="U500" s="984"/>
      <c r="V500" s="984"/>
      <c r="W500" s="984"/>
      <c r="X500" s="984"/>
      <c r="Y500" s="984"/>
      <c r="Z500" s="984"/>
    </row>
    <row r="501" spans="1:26" ht="18" customHeight="1" x14ac:dyDescent="0.35">
      <c r="A501" s="984"/>
      <c r="B501" s="984"/>
      <c r="C501" s="984"/>
      <c r="D501" s="984"/>
      <c r="E501" s="984"/>
      <c r="F501" s="984"/>
      <c r="G501" s="984"/>
      <c r="H501" s="984"/>
      <c r="I501" s="984"/>
      <c r="J501" s="984"/>
      <c r="K501" s="984"/>
      <c r="L501" s="984"/>
      <c r="M501" s="984"/>
      <c r="N501" s="984"/>
      <c r="O501" s="984"/>
      <c r="P501" s="984"/>
      <c r="Q501" s="984"/>
      <c r="R501" s="984"/>
      <c r="S501" s="984"/>
      <c r="T501" s="984"/>
      <c r="U501" s="984"/>
      <c r="V501" s="984"/>
      <c r="W501" s="984"/>
      <c r="X501" s="984"/>
      <c r="Y501" s="984"/>
      <c r="Z501" s="984"/>
    </row>
    <row r="502" spans="1:26" ht="18" customHeight="1" x14ac:dyDescent="0.35">
      <c r="A502" s="984"/>
      <c r="B502" s="984"/>
      <c r="C502" s="984"/>
      <c r="D502" s="984"/>
      <c r="E502" s="984"/>
      <c r="F502" s="984"/>
      <c r="G502" s="984"/>
      <c r="H502" s="984"/>
      <c r="I502" s="984"/>
      <c r="J502" s="984"/>
      <c r="K502" s="984"/>
      <c r="L502" s="984"/>
      <c r="M502" s="984"/>
      <c r="N502" s="984"/>
      <c r="O502" s="984"/>
      <c r="P502" s="984"/>
      <c r="Q502" s="984"/>
      <c r="R502" s="984"/>
      <c r="S502" s="984"/>
      <c r="T502" s="984"/>
      <c r="U502" s="984"/>
      <c r="V502" s="984"/>
      <c r="W502" s="984"/>
      <c r="X502" s="984"/>
      <c r="Y502" s="984"/>
      <c r="Z502" s="984"/>
    </row>
    <row r="503" spans="1:26" ht="18" customHeight="1" x14ac:dyDescent="0.35">
      <c r="A503" s="984"/>
      <c r="B503" s="984"/>
      <c r="C503" s="984"/>
      <c r="D503" s="984"/>
      <c r="E503" s="984"/>
      <c r="F503" s="984"/>
      <c r="G503" s="984"/>
      <c r="H503" s="984"/>
      <c r="I503" s="984"/>
      <c r="J503" s="984"/>
      <c r="K503" s="984"/>
      <c r="L503" s="984"/>
      <c r="M503" s="984"/>
      <c r="N503" s="984"/>
      <c r="O503" s="984"/>
      <c r="P503" s="984"/>
      <c r="Q503" s="984"/>
      <c r="R503" s="984"/>
      <c r="S503" s="984"/>
      <c r="T503" s="984"/>
      <c r="U503" s="984"/>
      <c r="V503" s="984"/>
      <c r="W503" s="984"/>
      <c r="X503" s="984"/>
      <c r="Y503" s="984"/>
      <c r="Z503" s="984"/>
    </row>
    <row r="504" spans="1:26" ht="18" customHeight="1" x14ac:dyDescent="0.35">
      <c r="A504" s="984"/>
      <c r="B504" s="984"/>
      <c r="C504" s="984"/>
      <c r="D504" s="984"/>
      <c r="E504" s="984"/>
      <c r="F504" s="984"/>
      <c r="G504" s="984"/>
      <c r="H504" s="984"/>
      <c r="I504" s="984"/>
      <c r="J504" s="984"/>
      <c r="K504" s="984"/>
      <c r="L504" s="984"/>
      <c r="M504" s="984"/>
      <c r="N504" s="984"/>
      <c r="O504" s="984"/>
      <c r="P504" s="984"/>
      <c r="Q504" s="984"/>
      <c r="R504" s="984"/>
      <c r="S504" s="984"/>
      <c r="T504" s="984"/>
      <c r="U504" s="984"/>
      <c r="V504" s="984"/>
      <c r="W504" s="984"/>
      <c r="X504" s="984"/>
      <c r="Y504" s="984"/>
      <c r="Z504" s="984"/>
    </row>
    <row r="505" spans="1:26" ht="18" customHeight="1" x14ac:dyDescent="0.35">
      <c r="A505" s="984"/>
      <c r="B505" s="984"/>
      <c r="C505" s="984"/>
      <c r="D505" s="984"/>
      <c r="E505" s="984"/>
      <c r="F505" s="984"/>
      <c r="G505" s="984"/>
      <c r="H505" s="984"/>
      <c r="I505" s="984"/>
      <c r="J505" s="984"/>
      <c r="K505" s="984"/>
      <c r="L505" s="984"/>
      <c r="M505" s="984"/>
      <c r="N505" s="984"/>
      <c r="O505" s="984"/>
      <c r="P505" s="984"/>
      <c r="Q505" s="984"/>
      <c r="R505" s="984"/>
      <c r="S505" s="984"/>
      <c r="T505" s="984"/>
      <c r="U505" s="984"/>
      <c r="V505" s="984"/>
      <c r="W505" s="984"/>
      <c r="X505" s="984"/>
      <c r="Y505" s="984"/>
      <c r="Z505" s="984"/>
    </row>
    <row r="506" spans="1:26" ht="18" customHeight="1" x14ac:dyDescent="0.35">
      <c r="A506" s="984"/>
      <c r="B506" s="984"/>
      <c r="C506" s="984"/>
      <c r="D506" s="984"/>
      <c r="E506" s="984"/>
      <c r="F506" s="984"/>
      <c r="G506" s="984"/>
      <c r="H506" s="984"/>
      <c r="I506" s="984"/>
      <c r="J506" s="984"/>
      <c r="K506" s="984"/>
      <c r="L506" s="984"/>
      <c r="M506" s="984"/>
      <c r="N506" s="984"/>
      <c r="O506" s="984"/>
      <c r="P506" s="984"/>
      <c r="Q506" s="984"/>
      <c r="R506" s="984"/>
      <c r="S506" s="984"/>
      <c r="T506" s="984"/>
      <c r="U506" s="984"/>
      <c r="V506" s="984"/>
      <c r="W506" s="984"/>
      <c r="X506" s="984"/>
      <c r="Y506" s="984"/>
      <c r="Z506" s="984"/>
    </row>
    <row r="507" spans="1:26" ht="18" customHeight="1" x14ac:dyDescent="0.35">
      <c r="A507" s="984"/>
      <c r="B507" s="984"/>
      <c r="C507" s="984"/>
      <c r="D507" s="984"/>
      <c r="E507" s="984"/>
      <c r="F507" s="984"/>
      <c r="G507" s="984"/>
      <c r="H507" s="984"/>
      <c r="I507" s="984"/>
      <c r="J507" s="984"/>
      <c r="K507" s="984"/>
      <c r="L507" s="984"/>
      <c r="M507" s="984"/>
      <c r="N507" s="984"/>
      <c r="O507" s="984"/>
      <c r="P507" s="984"/>
      <c r="Q507" s="984"/>
      <c r="R507" s="984"/>
      <c r="S507" s="984"/>
      <c r="T507" s="984"/>
      <c r="U507" s="984"/>
      <c r="V507" s="984"/>
      <c r="W507" s="984"/>
      <c r="X507" s="984"/>
      <c r="Y507" s="984"/>
      <c r="Z507" s="984"/>
    </row>
    <row r="508" spans="1:26" ht="18" customHeight="1" x14ac:dyDescent="0.35">
      <c r="A508" s="984"/>
      <c r="B508" s="984"/>
      <c r="C508" s="984"/>
      <c r="D508" s="984"/>
      <c r="E508" s="984"/>
      <c r="F508" s="984"/>
      <c r="G508" s="984"/>
      <c r="H508" s="984"/>
      <c r="I508" s="984"/>
      <c r="J508" s="984"/>
      <c r="K508" s="984"/>
      <c r="L508" s="984"/>
      <c r="M508" s="984"/>
      <c r="N508" s="984"/>
      <c r="O508" s="984"/>
      <c r="P508" s="984"/>
      <c r="Q508" s="984"/>
      <c r="R508" s="984"/>
      <c r="S508" s="984"/>
      <c r="T508" s="984"/>
      <c r="U508" s="984"/>
      <c r="V508" s="984"/>
      <c r="W508" s="984"/>
      <c r="X508" s="984"/>
      <c r="Y508" s="984"/>
      <c r="Z508" s="984"/>
    </row>
    <row r="509" spans="1:26" ht="18" customHeight="1" x14ac:dyDescent="0.35">
      <c r="A509" s="984"/>
      <c r="B509" s="984"/>
      <c r="C509" s="984"/>
      <c r="D509" s="984"/>
      <c r="E509" s="984"/>
      <c r="F509" s="984"/>
      <c r="G509" s="984"/>
      <c r="H509" s="984"/>
      <c r="I509" s="984"/>
      <c r="J509" s="984"/>
      <c r="K509" s="984"/>
      <c r="L509" s="984"/>
      <c r="M509" s="984"/>
      <c r="N509" s="984"/>
      <c r="O509" s="984"/>
      <c r="P509" s="984"/>
      <c r="Q509" s="984"/>
      <c r="R509" s="984"/>
      <c r="S509" s="984"/>
      <c r="T509" s="984"/>
      <c r="U509" s="984"/>
      <c r="V509" s="984"/>
      <c r="W509" s="984"/>
      <c r="X509" s="984"/>
      <c r="Y509" s="984"/>
      <c r="Z509" s="984"/>
    </row>
    <row r="510" spans="1:26" ht="18" customHeight="1" x14ac:dyDescent="0.35">
      <c r="A510" s="984"/>
      <c r="B510" s="984"/>
      <c r="C510" s="984"/>
      <c r="D510" s="984"/>
      <c r="E510" s="984"/>
      <c r="F510" s="984"/>
      <c r="G510" s="984"/>
      <c r="H510" s="984"/>
      <c r="I510" s="984"/>
      <c r="J510" s="984"/>
      <c r="K510" s="984"/>
      <c r="L510" s="984"/>
      <c r="M510" s="984"/>
      <c r="N510" s="984"/>
      <c r="O510" s="984"/>
      <c r="P510" s="984"/>
      <c r="Q510" s="984"/>
      <c r="R510" s="984"/>
      <c r="S510" s="984"/>
      <c r="T510" s="984"/>
      <c r="U510" s="984"/>
      <c r="V510" s="984"/>
      <c r="W510" s="984"/>
      <c r="X510" s="984"/>
      <c r="Y510" s="984"/>
      <c r="Z510" s="984"/>
    </row>
    <row r="511" spans="1:26" ht="18" customHeight="1" x14ac:dyDescent="0.35">
      <c r="A511" s="984"/>
      <c r="B511" s="984"/>
      <c r="C511" s="984"/>
      <c r="D511" s="984"/>
      <c r="E511" s="984"/>
      <c r="F511" s="984"/>
      <c r="G511" s="984"/>
      <c r="H511" s="984"/>
      <c r="I511" s="984"/>
      <c r="J511" s="984"/>
      <c r="K511" s="984"/>
      <c r="L511" s="984"/>
      <c r="M511" s="984"/>
      <c r="N511" s="984"/>
      <c r="O511" s="984"/>
      <c r="P511" s="984"/>
      <c r="Q511" s="984"/>
      <c r="R511" s="984"/>
      <c r="S511" s="984"/>
      <c r="T511" s="984"/>
      <c r="U511" s="984"/>
      <c r="V511" s="984"/>
      <c r="W511" s="984"/>
      <c r="X511" s="984"/>
      <c r="Y511" s="984"/>
      <c r="Z511" s="984"/>
    </row>
    <row r="512" spans="1:26" ht="18" customHeight="1" x14ac:dyDescent="0.35">
      <c r="A512" s="984"/>
      <c r="B512" s="984"/>
      <c r="C512" s="984"/>
      <c r="D512" s="984"/>
      <c r="E512" s="984"/>
      <c r="F512" s="984"/>
      <c r="G512" s="984"/>
      <c r="H512" s="984"/>
      <c r="I512" s="984"/>
      <c r="J512" s="984"/>
      <c r="K512" s="984"/>
      <c r="L512" s="984"/>
      <c r="M512" s="984"/>
      <c r="N512" s="984"/>
      <c r="O512" s="984"/>
      <c r="P512" s="984"/>
      <c r="Q512" s="984"/>
      <c r="R512" s="984"/>
      <c r="S512" s="984"/>
      <c r="T512" s="984"/>
      <c r="U512" s="984"/>
      <c r="V512" s="984"/>
      <c r="W512" s="984"/>
      <c r="X512" s="984"/>
      <c r="Y512" s="984"/>
      <c r="Z512" s="984"/>
    </row>
    <row r="513" spans="1:26" ht="18" customHeight="1" x14ac:dyDescent="0.35">
      <c r="A513" s="984"/>
      <c r="B513" s="984"/>
      <c r="C513" s="984"/>
      <c r="D513" s="984"/>
      <c r="E513" s="984"/>
      <c r="F513" s="984"/>
      <c r="G513" s="984"/>
      <c r="H513" s="984"/>
      <c r="I513" s="984"/>
      <c r="J513" s="984"/>
      <c r="K513" s="984"/>
      <c r="L513" s="984"/>
      <c r="M513" s="984"/>
      <c r="N513" s="984"/>
      <c r="O513" s="984"/>
      <c r="P513" s="984"/>
      <c r="Q513" s="984"/>
      <c r="R513" s="984"/>
      <c r="S513" s="984"/>
      <c r="T513" s="984"/>
      <c r="U513" s="984"/>
      <c r="V513" s="984"/>
      <c r="W513" s="984"/>
      <c r="X513" s="984"/>
      <c r="Y513" s="984"/>
      <c r="Z513" s="984"/>
    </row>
    <row r="514" spans="1:26" ht="18" customHeight="1" x14ac:dyDescent="0.35">
      <c r="A514" s="984"/>
      <c r="B514" s="984"/>
      <c r="C514" s="984"/>
      <c r="D514" s="984"/>
      <c r="E514" s="984"/>
      <c r="F514" s="984"/>
      <c r="G514" s="984"/>
      <c r="H514" s="984"/>
      <c r="I514" s="984"/>
      <c r="J514" s="984"/>
      <c r="K514" s="984"/>
      <c r="L514" s="984"/>
      <c r="M514" s="984"/>
      <c r="N514" s="984"/>
      <c r="O514" s="984"/>
      <c r="P514" s="984"/>
      <c r="Q514" s="984"/>
      <c r="R514" s="984"/>
      <c r="S514" s="984"/>
      <c r="T514" s="984"/>
      <c r="U514" s="984"/>
      <c r="V514" s="984"/>
      <c r="W514" s="984"/>
      <c r="X514" s="984"/>
      <c r="Y514" s="984"/>
      <c r="Z514" s="984"/>
    </row>
    <row r="515" spans="1:26" ht="18" customHeight="1" x14ac:dyDescent="0.35">
      <c r="A515" s="984"/>
      <c r="B515" s="984"/>
      <c r="C515" s="984"/>
      <c r="D515" s="984"/>
      <c r="E515" s="984"/>
      <c r="F515" s="984"/>
      <c r="G515" s="984"/>
      <c r="H515" s="984"/>
      <c r="I515" s="984"/>
      <c r="J515" s="984"/>
      <c r="K515" s="984"/>
      <c r="L515" s="984"/>
      <c r="M515" s="984"/>
      <c r="N515" s="984"/>
      <c r="O515" s="984"/>
      <c r="P515" s="984"/>
      <c r="Q515" s="984"/>
      <c r="R515" s="984"/>
      <c r="S515" s="984"/>
      <c r="T515" s="984"/>
      <c r="U515" s="984"/>
      <c r="V515" s="984"/>
      <c r="W515" s="984"/>
      <c r="X515" s="984"/>
      <c r="Y515" s="984"/>
      <c r="Z515" s="984"/>
    </row>
    <row r="516" spans="1:26" ht="18" customHeight="1" x14ac:dyDescent="0.35">
      <c r="A516" s="984"/>
      <c r="B516" s="984"/>
      <c r="C516" s="984"/>
      <c r="D516" s="984"/>
      <c r="E516" s="984"/>
      <c r="F516" s="984"/>
      <c r="G516" s="984"/>
      <c r="H516" s="984"/>
      <c r="I516" s="984"/>
      <c r="J516" s="984"/>
      <c r="K516" s="984"/>
      <c r="L516" s="984"/>
      <c r="M516" s="984"/>
      <c r="N516" s="984"/>
      <c r="O516" s="984"/>
      <c r="P516" s="984"/>
      <c r="Q516" s="984"/>
      <c r="R516" s="984"/>
      <c r="S516" s="984"/>
      <c r="T516" s="984"/>
      <c r="U516" s="984"/>
      <c r="V516" s="984"/>
      <c r="W516" s="984"/>
      <c r="X516" s="984"/>
      <c r="Y516" s="984"/>
      <c r="Z516" s="984"/>
    </row>
    <row r="517" spans="1:26" ht="18" customHeight="1" x14ac:dyDescent="0.35">
      <c r="A517" s="984"/>
      <c r="B517" s="984"/>
      <c r="C517" s="984"/>
      <c r="D517" s="984"/>
      <c r="E517" s="984"/>
      <c r="F517" s="984"/>
      <c r="G517" s="984"/>
      <c r="H517" s="984"/>
      <c r="I517" s="984"/>
      <c r="J517" s="984"/>
      <c r="K517" s="984"/>
      <c r="L517" s="984"/>
      <c r="M517" s="984"/>
      <c r="N517" s="984"/>
      <c r="O517" s="984"/>
      <c r="P517" s="984"/>
      <c r="Q517" s="984"/>
      <c r="R517" s="984"/>
      <c r="S517" s="984"/>
      <c r="T517" s="984"/>
      <c r="U517" s="984"/>
      <c r="V517" s="984"/>
      <c r="W517" s="984"/>
      <c r="X517" s="984"/>
      <c r="Y517" s="984"/>
      <c r="Z517" s="984"/>
    </row>
    <row r="518" spans="1:26" ht="18" customHeight="1" x14ac:dyDescent="0.35">
      <c r="A518" s="984"/>
      <c r="B518" s="984"/>
      <c r="C518" s="984"/>
      <c r="D518" s="984"/>
      <c r="E518" s="984"/>
      <c r="F518" s="984"/>
      <c r="G518" s="984"/>
      <c r="H518" s="984"/>
      <c r="I518" s="984"/>
      <c r="J518" s="984"/>
      <c r="K518" s="984"/>
      <c r="L518" s="984"/>
      <c r="M518" s="984"/>
      <c r="N518" s="984"/>
      <c r="O518" s="984"/>
      <c r="P518" s="984"/>
      <c r="Q518" s="984"/>
      <c r="R518" s="984"/>
      <c r="S518" s="984"/>
      <c r="T518" s="984"/>
      <c r="U518" s="984"/>
      <c r="V518" s="984"/>
      <c r="W518" s="984"/>
      <c r="X518" s="984"/>
      <c r="Y518" s="984"/>
      <c r="Z518" s="984"/>
    </row>
    <row r="519" spans="1:26" ht="18" customHeight="1" x14ac:dyDescent="0.35">
      <c r="A519" s="984"/>
      <c r="B519" s="984"/>
      <c r="C519" s="984"/>
      <c r="D519" s="984"/>
      <c r="E519" s="984"/>
      <c r="F519" s="984"/>
      <c r="G519" s="984"/>
      <c r="H519" s="984"/>
      <c r="I519" s="984"/>
      <c r="J519" s="984"/>
      <c r="K519" s="984"/>
      <c r="L519" s="984"/>
      <c r="M519" s="984"/>
      <c r="N519" s="984"/>
      <c r="O519" s="984"/>
      <c r="P519" s="984"/>
      <c r="Q519" s="984"/>
      <c r="R519" s="984"/>
      <c r="S519" s="984"/>
      <c r="T519" s="984"/>
      <c r="U519" s="984"/>
      <c r="V519" s="984"/>
      <c r="W519" s="984"/>
      <c r="X519" s="984"/>
      <c r="Y519" s="984"/>
      <c r="Z519" s="984"/>
    </row>
    <row r="520" spans="1:26" ht="18" customHeight="1" x14ac:dyDescent="0.35">
      <c r="A520" s="984"/>
      <c r="B520" s="984"/>
      <c r="C520" s="984"/>
      <c r="D520" s="984"/>
      <c r="E520" s="984"/>
      <c r="F520" s="984"/>
      <c r="G520" s="984"/>
      <c r="H520" s="984"/>
      <c r="I520" s="984"/>
      <c r="J520" s="984"/>
      <c r="K520" s="984"/>
      <c r="L520" s="984"/>
      <c r="M520" s="984"/>
      <c r="N520" s="984"/>
      <c r="O520" s="984"/>
      <c r="P520" s="984"/>
      <c r="Q520" s="984"/>
      <c r="R520" s="984"/>
      <c r="S520" s="984"/>
      <c r="T520" s="984"/>
      <c r="U520" s="984"/>
      <c r="V520" s="984"/>
      <c r="W520" s="984"/>
      <c r="X520" s="984"/>
      <c r="Y520" s="984"/>
      <c r="Z520" s="984"/>
    </row>
    <row r="521" spans="1:26" ht="18" customHeight="1" x14ac:dyDescent="0.35">
      <c r="A521" s="984"/>
      <c r="B521" s="984"/>
      <c r="C521" s="984"/>
      <c r="D521" s="984"/>
      <c r="E521" s="984"/>
      <c r="F521" s="984"/>
      <c r="G521" s="984"/>
      <c r="H521" s="984"/>
      <c r="I521" s="984"/>
      <c r="J521" s="984"/>
      <c r="K521" s="984"/>
      <c r="L521" s="984"/>
      <c r="M521" s="984"/>
      <c r="N521" s="984"/>
      <c r="O521" s="984"/>
      <c r="P521" s="984"/>
      <c r="Q521" s="984"/>
      <c r="R521" s="984"/>
      <c r="S521" s="984"/>
      <c r="T521" s="984"/>
      <c r="U521" s="984"/>
      <c r="V521" s="984"/>
      <c r="W521" s="984"/>
      <c r="X521" s="984"/>
      <c r="Y521" s="984"/>
      <c r="Z521" s="984"/>
    </row>
    <row r="522" spans="1:26" ht="18" customHeight="1" x14ac:dyDescent="0.35">
      <c r="A522" s="984"/>
      <c r="B522" s="984"/>
      <c r="C522" s="984"/>
      <c r="D522" s="984"/>
      <c r="E522" s="984"/>
      <c r="F522" s="984"/>
      <c r="G522" s="984"/>
      <c r="H522" s="984"/>
      <c r="I522" s="984"/>
      <c r="J522" s="984"/>
      <c r="K522" s="984"/>
      <c r="L522" s="984"/>
      <c r="M522" s="984"/>
      <c r="N522" s="984"/>
      <c r="O522" s="984"/>
      <c r="P522" s="984"/>
      <c r="Q522" s="984"/>
      <c r="R522" s="984"/>
      <c r="S522" s="984"/>
      <c r="T522" s="984"/>
      <c r="U522" s="984"/>
      <c r="V522" s="984"/>
      <c r="W522" s="984"/>
      <c r="X522" s="984"/>
      <c r="Y522" s="984"/>
      <c r="Z522" s="984"/>
    </row>
    <row r="523" spans="1:26" ht="18" customHeight="1" x14ac:dyDescent="0.35">
      <c r="A523" s="984"/>
      <c r="B523" s="984"/>
      <c r="C523" s="984"/>
      <c r="D523" s="984"/>
      <c r="E523" s="984"/>
      <c r="F523" s="984"/>
      <c r="G523" s="984"/>
      <c r="H523" s="984"/>
      <c r="I523" s="984"/>
      <c r="J523" s="984"/>
      <c r="K523" s="984"/>
      <c r="L523" s="984"/>
      <c r="M523" s="984"/>
      <c r="N523" s="984"/>
      <c r="O523" s="984"/>
      <c r="P523" s="984"/>
      <c r="Q523" s="984"/>
      <c r="R523" s="984"/>
      <c r="S523" s="984"/>
      <c r="T523" s="984"/>
      <c r="U523" s="984"/>
      <c r="V523" s="984"/>
      <c r="W523" s="984"/>
      <c r="X523" s="984"/>
      <c r="Y523" s="984"/>
      <c r="Z523" s="984"/>
    </row>
    <row r="524" spans="1:26" ht="18" customHeight="1" x14ac:dyDescent="0.35">
      <c r="A524" s="984"/>
      <c r="B524" s="984"/>
      <c r="C524" s="984"/>
      <c r="D524" s="984"/>
      <c r="E524" s="984"/>
      <c r="F524" s="984"/>
      <c r="G524" s="984"/>
      <c r="H524" s="984"/>
      <c r="I524" s="984"/>
      <c r="J524" s="984"/>
      <c r="K524" s="984"/>
      <c r="L524" s="984"/>
      <c r="M524" s="984"/>
      <c r="N524" s="984"/>
      <c r="O524" s="984"/>
      <c r="P524" s="984"/>
      <c r="Q524" s="984"/>
      <c r="R524" s="984"/>
      <c r="S524" s="984"/>
      <c r="T524" s="984"/>
      <c r="U524" s="984"/>
      <c r="V524" s="984"/>
      <c r="W524" s="984"/>
      <c r="X524" s="984"/>
      <c r="Y524" s="984"/>
      <c r="Z524" s="984"/>
    </row>
    <row r="525" spans="1:26" ht="18" customHeight="1" x14ac:dyDescent="0.35">
      <c r="A525" s="984"/>
      <c r="B525" s="984"/>
      <c r="C525" s="984"/>
      <c r="D525" s="984"/>
      <c r="E525" s="984"/>
      <c r="F525" s="984"/>
      <c r="G525" s="984"/>
      <c r="H525" s="984"/>
      <c r="I525" s="984"/>
      <c r="J525" s="984"/>
      <c r="K525" s="984"/>
      <c r="L525" s="984"/>
      <c r="M525" s="984"/>
      <c r="N525" s="984"/>
      <c r="O525" s="984"/>
      <c r="P525" s="984"/>
      <c r="Q525" s="984"/>
      <c r="R525" s="984"/>
      <c r="S525" s="984"/>
      <c r="T525" s="984"/>
      <c r="U525" s="984"/>
      <c r="V525" s="984"/>
      <c r="W525" s="984"/>
      <c r="X525" s="984"/>
      <c r="Y525" s="984"/>
      <c r="Z525" s="984"/>
    </row>
    <row r="526" spans="1:26" ht="18" customHeight="1" x14ac:dyDescent="0.35">
      <c r="A526" s="984"/>
      <c r="B526" s="984"/>
      <c r="C526" s="984"/>
      <c r="D526" s="984"/>
      <c r="E526" s="984"/>
      <c r="F526" s="984"/>
      <c r="G526" s="984"/>
      <c r="H526" s="984"/>
      <c r="I526" s="984"/>
      <c r="J526" s="984"/>
      <c r="K526" s="984"/>
      <c r="L526" s="984"/>
      <c r="M526" s="984"/>
      <c r="N526" s="984"/>
      <c r="O526" s="984"/>
      <c r="P526" s="984"/>
      <c r="Q526" s="984"/>
      <c r="R526" s="984"/>
      <c r="S526" s="984"/>
      <c r="T526" s="984"/>
      <c r="U526" s="984"/>
      <c r="V526" s="984"/>
      <c r="W526" s="984"/>
      <c r="X526" s="984"/>
      <c r="Y526" s="984"/>
      <c r="Z526" s="984"/>
    </row>
    <row r="527" spans="1:26" ht="18" customHeight="1" x14ac:dyDescent="0.35">
      <c r="A527" s="984"/>
      <c r="B527" s="984"/>
      <c r="C527" s="984"/>
      <c r="D527" s="984"/>
      <c r="E527" s="984"/>
      <c r="F527" s="984"/>
      <c r="G527" s="984"/>
      <c r="H527" s="984"/>
      <c r="I527" s="984"/>
      <c r="J527" s="984"/>
      <c r="K527" s="984"/>
      <c r="L527" s="984"/>
      <c r="M527" s="984"/>
      <c r="N527" s="984"/>
      <c r="O527" s="984"/>
      <c r="P527" s="984"/>
      <c r="Q527" s="984"/>
      <c r="R527" s="984"/>
      <c r="S527" s="984"/>
      <c r="T527" s="984"/>
      <c r="U527" s="984"/>
      <c r="V527" s="984"/>
      <c r="W527" s="984"/>
      <c r="X527" s="984"/>
      <c r="Y527" s="984"/>
      <c r="Z527" s="984"/>
    </row>
    <row r="528" spans="1:26" ht="18" customHeight="1" x14ac:dyDescent="0.35">
      <c r="A528" s="984"/>
      <c r="B528" s="984"/>
      <c r="C528" s="984"/>
      <c r="D528" s="984"/>
      <c r="E528" s="984"/>
      <c r="F528" s="984"/>
      <c r="G528" s="984"/>
      <c r="H528" s="984"/>
      <c r="I528" s="984"/>
      <c r="J528" s="984"/>
      <c r="K528" s="984"/>
      <c r="L528" s="984"/>
      <c r="M528" s="984"/>
      <c r="N528" s="984"/>
      <c r="O528" s="984"/>
      <c r="P528" s="984"/>
      <c r="Q528" s="984"/>
      <c r="R528" s="984"/>
      <c r="S528" s="984"/>
      <c r="T528" s="984"/>
      <c r="U528" s="984"/>
      <c r="V528" s="984"/>
      <c r="W528" s="984"/>
      <c r="X528" s="984"/>
      <c r="Y528" s="984"/>
      <c r="Z528" s="984"/>
    </row>
    <row r="529" spans="1:26" ht="18" customHeight="1" x14ac:dyDescent="0.35">
      <c r="A529" s="984"/>
      <c r="B529" s="984"/>
      <c r="C529" s="984"/>
      <c r="D529" s="984"/>
      <c r="E529" s="984"/>
      <c r="F529" s="984"/>
      <c r="G529" s="984"/>
      <c r="H529" s="984"/>
      <c r="I529" s="984"/>
      <c r="J529" s="984"/>
      <c r="K529" s="984"/>
      <c r="L529" s="984"/>
      <c r="M529" s="984"/>
      <c r="N529" s="984"/>
      <c r="O529" s="984"/>
      <c r="P529" s="984"/>
      <c r="Q529" s="984"/>
      <c r="R529" s="984"/>
      <c r="S529" s="984"/>
      <c r="T529" s="984"/>
      <c r="U529" s="984"/>
      <c r="V529" s="984"/>
      <c r="W529" s="984"/>
      <c r="X529" s="984"/>
      <c r="Y529" s="984"/>
      <c r="Z529" s="984"/>
    </row>
    <row r="530" spans="1:26" ht="18" customHeight="1" x14ac:dyDescent="0.35">
      <c r="A530" s="984"/>
      <c r="B530" s="984"/>
      <c r="C530" s="984"/>
      <c r="D530" s="984"/>
      <c r="E530" s="984"/>
      <c r="F530" s="984"/>
      <c r="G530" s="984"/>
      <c r="H530" s="984"/>
      <c r="I530" s="984"/>
      <c r="J530" s="984"/>
      <c r="K530" s="984"/>
      <c r="L530" s="984"/>
      <c r="M530" s="984"/>
      <c r="N530" s="984"/>
      <c r="O530" s="984"/>
      <c r="P530" s="984"/>
      <c r="Q530" s="984"/>
      <c r="R530" s="984"/>
      <c r="S530" s="984"/>
      <c r="T530" s="984"/>
      <c r="U530" s="984"/>
      <c r="V530" s="984"/>
      <c r="W530" s="984"/>
      <c r="X530" s="984"/>
      <c r="Y530" s="984"/>
      <c r="Z530" s="984"/>
    </row>
    <row r="531" spans="1:26" ht="18" customHeight="1" x14ac:dyDescent="0.35">
      <c r="A531" s="984"/>
      <c r="B531" s="984"/>
      <c r="C531" s="984"/>
      <c r="D531" s="984"/>
      <c r="E531" s="984"/>
      <c r="F531" s="984"/>
      <c r="G531" s="984"/>
      <c r="H531" s="984"/>
      <c r="I531" s="984"/>
      <c r="J531" s="984"/>
      <c r="K531" s="984"/>
      <c r="L531" s="984"/>
      <c r="M531" s="984"/>
      <c r="N531" s="984"/>
      <c r="O531" s="984"/>
      <c r="P531" s="984"/>
      <c r="Q531" s="984"/>
      <c r="R531" s="984"/>
      <c r="S531" s="984"/>
      <c r="T531" s="984"/>
      <c r="U531" s="984"/>
      <c r="V531" s="984"/>
      <c r="W531" s="984"/>
      <c r="X531" s="984"/>
      <c r="Y531" s="984"/>
      <c r="Z531" s="984"/>
    </row>
    <row r="532" spans="1:26" ht="18" customHeight="1" x14ac:dyDescent="0.35">
      <c r="A532" s="984"/>
      <c r="B532" s="984"/>
      <c r="C532" s="984"/>
      <c r="D532" s="984"/>
      <c r="E532" s="984"/>
      <c r="F532" s="984"/>
      <c r="G532" s="984"/>
      <c r="H532" s="984"/>
      <c r="I532" s="984"/>
      <c r="J532" s="984"/>
      <c r="K532" s="984"/>
      <c r="L532" s="984"/>
      <c r="M532" s="984"/>
      <c r="N532" s="984"/>
      <c r="O532" s="984"/>
      <c r="P532" s="984"/>
      <c r="Q532" s="984"/>
      <c r="R532" s="984"/>
      <c r="S532" s="984"/>
      <c r="T532" s="984"/>
      <c r="U532" s="984"/>
      <c r="V532" s="984"/>
      <c r="W532" s="984"/>
      <c r="X532" s="984"/>
      <c r="Y532" s="984"/>
      <c r="Z532" s="984"/>
    </row>
    <row r="533" spans="1:26" ht="18" customHeight="1" x14ac:dyDescent="0.35">
      <c r="A533" s="984"/>
      <c r="B533" s="984"/>
      <c r="C533" s="984"/>
      <c r="D533" s="984"/>
      <c r="E533" s="984"/>
      <c r="F533" s="984"/>
      <c r="G533" s="984"/>
      <c r="H533" s="984"/>
      <c r="I533" s="984"/>
      <c r="J533" s="984"/>
      <c r="K533" s="984"/>
      <c r="L533" s="984"/>
      <c r="M533" s="984"/>
      <c r="N533" s="984"/>
      <c r="O533" s="984"/>
      <c r="P533" s="984"/>
      <c r="Q533" s="984"/>
      <c r="R533" s="984"/>
      <c r="S533" s="984"/>
      <c r="T533" s="984"/>
      <c r="U533" s="984"/>
      <c r="V533" s="984"/>
      <c r="W533" s="984"/>
      <c r="X533" s="984"/>
      <c r="Y533" s="984"/>
      <c r="Z533" s="984"/>
    </row>
    <row r="534" spans="1:26" ht="18" customHeight="1" x14ac:dyDescent="0.35">
      <c r="A534" s="984"/>
      <c r="B534" s="984"/>
      <c r="C534" s="984"/>
      <c r="D534" s="984"/>
      <c r="E534" s="984"/>
      <c r="F534" s="984"/>
      <c r="G534" s="984"/>
      <c r="H534" s="984"/>
      <c r="I534" s="984"/>
      <c r="J534" s="984"/>
      <c r="K534" s="984"/>
      <c r="L534" s="984"/>
      <c r="M534" s="984"/>
      <c r="N534" s="984"/>
      <c r="O534" s="984"/>
      <c r="P534" s="984"/>
      <c r="Q534" s="984"/>
      <c r="R534" s="984"/>
      <c r="S534" s="984"/>
      <c r="T534" s="984"/>
      <c r="U534" s="984"/>
      <c r="V534" s="984"/>
      <c r="W534" s="984"/>
      <c r="X534" s="984"/>
      <c r="Y534" s="984"/>
      <c r="Z534" s="984"/>
    </row>
    <row r="535" spans="1:26" ht="18" customHeight="1" x14ac:dyDescent="0.35">
      <c r="A535" s="984"/>
      <c r="B535" s="984"/>
      <c r="C535" s="984"/>
      <c r="D535" s="984"/>
      <c r="E535" s="984"/>
      <c r="F535" s="984"/>
      <c r="G535" s="984"/>
      <c r="H535" s="984"/>
      <c r="I535" s="984"/>
      <c r="J535" s="984"/>
      <c r="K535" s="984"/>
      <c r="L535" s="984"/>
      <c r="M535" s="984"/>
      <c r="N535" s="984"/>
      <c r="O535" s="984"/>
      <c r="P535" s="984"/>
      <c r="Q535" s="984"/>
      <c r="R535" s="984"/>
      <c r="S535" s="984"/>
      <c r="T535" s="984"/>
      <c r="U535" s="984"/>
      <c r="V535" s="984"/>
      <c r="W535" s="984"/>
      <c r="X535" s="984"/>
      <c r="Y535" s="984"/>
      <c r="Z535" s="984"/>
    </row>
    <row r="536" spans="1:26" ht="18" customHeight="1" x14ac:dyDescent="0.35">
      <c r="A536" s="984"/>
      <c r="B536" s="984"/>
      <c r="C536" s="984"/>
      <c r="D536" s="984"/>
      <c r="E536" s="984"/>
      <c r="F536" s="984"/>
      <c r="G536" s="984"/>
      <c r="H536" s="984"/>
      <c r="I536" s="984"/>
      <c r="J536" s="984"/>
      <c r="K536" s="984"/>
      <c r="L536" s="984"/>
      <c r="M536" s="984"/>
      <c r="N536" s="984"/>
      <c r="O536" s="984"/>
      <c r="P536" s="984"/>
      <c r="Q536" s="984"/>
      <c r="R536" s="984"/>
      <c r="S536" s="984"/>
      <c r="T536" s="984"/>
      <c r="U536" s="984"/>
      <c r="V536" s="984"/>
      <c r="W536" s="984"/>
      <c r="X536" s="984"/>
      <c r="Y536" s="984"/>
      <c r="Z536" s="984"/>
    </row>
    <row r="537" spans="1:26" ht="18" customHeight="1" x14ac:dyDescent="0.35">
      <c r="A537" s="984"/>
      <c r="B537" s="984"/>
      <c r="C537" s="984"/>
      <c r="D537" s="984"/>
      <c r="E537" s="984"/>
      <c r="F537" s="984"/>
      <c r="G537" s="984"/>
      <c r="H537" s="984"/>
      <c r="I537" s="984"/>
      <c r="J537" s="984"/>
      <c r="K537" s="984"/>
      <c r="L537" s="984"/>
      <c r="M537" s="984"/>
      <c r="N537" s="984"/>
      <c r="O537" s="984"/>
      <c r="P537" s="984"/>
      <c r="Q537" s="984"/>
      <c r="R537" s="984"/>
      <c r="S537" s="984"/>
      <c r="T537" s="984"/>
      <c r="U537" s="984"/>
      <c r="V537" s="984"/>
      <c r="W537" s="984"/>
      <c r="X537" s="984"/>
      <c r="Y537" s="984"/>
      <c r="Z537" s="984"/>
    </row>
    <row r="538" spans="1:26" ht="18" customHeight="1" x14ac:dyDescent="0.35">
      <c r="A538" s="984"/>
      <c r="B538" s="984"/>
      <c r="C538" s="984"/>
      <c r="D538" s="984"/>
      <c r="E538" s="984"/>
      <c r="F538" s="984"/>
      <c r="G538" s="984"/>
      <c r="H538" s="984"/>
      <c r="I538" s="984"/>
      <c r="J538" s="984"/>
      <c r="K538" s="984"/>
      <c r="L538" s="984"/>
      <c r="M538" s="984"/>
      <c r="N538" s="984"/>
      <c r="O538" s="984"/>
      <c r="P538" s="984"/>
      <c r="Q538" s="984"/>
      <c r="R538" s="984"/>
      <c r="S538" s="984"/>
      <c r="T538" s="984"/>
      <c r="U538" s="984"/>
      <c r="V538" s="984"/>
      <c r="W538" s="984"/>
      <c r="X538" s="984"/>
      <c r="Y538" s="984"/>
      <c r="Z538" s="984"/>
    </row>
    <row r="539" spans="1:26" ht="18" customHeight="1" x14ac:dyDescent="0.35">
      <c r="A539" s="984"/>
      <c r="B539" s="984"/>
      <c r="C539" s="984"/>
      <c r="D539" s="984"/>
      <c r="E539" s="984"/>
      <c r="F539" s="984"/>
      <c r="G539" s="984"/>
      <c r="H539" s="984"/>
      <c r="I539" s="984"/>
      <c r="J539" s="984"/>
      <c r="K539" s="984"/>
      <c r="L539" s="984"/>
      <c r="M539" s="984"/>
      <c r="N539" s="984"/>
      <c r="O539" s="984"/>
      <c r="P539" s="984"/>
      <c r="Q539" s="984"/>
      <c r="R539" s="984"/>
      <c r="S539" s="984"/>
      <c r="T539" s="984"/>
      <c r="U539" s="984"/>
      <c r="V539" s="984"/>
      <c r="W539" s="984"/>
      <c r="X539" s="984"/>
      <c r="Y539" s="984"/>
      <c r="Z539" s="984"/>
    </row>
    <row r="540" spans="1:26" ht="18" customHeight="1" x14ac:dyDescent="0.35">
      <c r="A540" s="984"/>
      <c r="B540" s="984"/>
      <c r="C540" s="984"/>
      <c r="D540" s="984"/>
      <c r="E540" s="984"/>
      <c r="F540" s="984"/>
      <c r="G540" s="984"/>
      <c r="H540" s="984"/>
      <c r="I540" s="984"/>
      <c r="J540" s="984"/>
      <c r="K540" s="984"/>
      <c r="L540" s="984"/>
      <c r="M540" s="984"/>
      <c r="N540" s="984"/>
      <c r="O540" s="984"/>
      <c r="P540" s="984"/>
      <c r="Q540" s="984"/>
      <c r="R540" s="984"/>
      <c r="S540" s="984"/>
      <c r="T540" s="984"/>
      <c r="U540" s="984"/>
      <c r="V540" s="984"/>
      <c r="W540" s="984"/>
      <c r="X540" s="984"/>
      <c r="Y540" s="984"/>
      <c r="Z540" s="984"/>
    </row>
    <row r="541" spans="1:26" ht="18" customHeight="1" x14ac:dyDescent="0.35">
      <c r="A541" s="984"/>
      <c r="B541" s="984"/>
      <c r="C541" s="984"/>
      <c r="D541" s="984"/>
      <c r="E541" s="984"/>
      <c r="F541" s="984"/>
      <c r="G541" s="984"/>
      <c r="H541" s="984"/>
      <c r="I541" s="984"/>
      <c r="J541" s="984"/>
      <c r="K541" s="984"/>
      <c r="L541" s="984"/>
      <c r="M541" s="984"/>
      <c r="N541" s="984"/>
      <c r="O541" s="984"/>
      <c r="P541" s="984"/>
      <c r="Q541" s="984"/>
      <c r="R541" s="984"/>
      <c r="S541" s="984"/>
      <c r="T541" s="984"/>
      <c r="U541" s="984"/>
      <c r="V541" s="984"/>
      <c r="W541" s="984"/>
      <c r="X541" s="984"/>
      <c r="Y541" s="984"/>
      <c r="Z541" s="984"/>
    </row>
    <row r="542" spans="1:26" ht="18" customHeight="1" x14ac:dyDescent="0.35">
      <c r="A542" s="984"/>
      <c r="B542" s="984"/>
      <c r="C542" s="984"/>
      <c r="D542" s="984"/>
      <c r="E542" s="984"/>
      <c r="F542" s="984"/>
      <c r="G542" s="984"/>
      <c r="H542" s="984"/>
      <c r="I542" s="984"/>
      <c r="J542" s="984"/>
      <c r="K542" s="984"/>
      <c r="L542" s="984"/>
      <c r="M542" s="984"/>
      <c r="N542" s="984"/>
      <c r="O542" s="984"/>
      <c r="P542" s="984"/>
      <c r="Q542" s="984"/>
      <c r="R542" s="984"/>
      <c r="S542" s="984"/>
      <c r="T542" s="984"/>
      <c r="U542" s="984"/>
      <c r="V542" s="984"/>
      <c r="W542" s="984"/>
      <c r="X542" s="984"/>
      <c r="Y542" s="984"/>
      <c r="Z542" s="984"/>
    </row>
    <row r="543" spans="1:26" ht="18" customHeight="1" x14ac:dyDescent="0.35">
      <c r="A543" s="984"/>
      <c r="B543" s="984"/>
      <c r="C543" s="984"/>
      <c r="D543" s="984"/>
      <c r="E543" s="984"/>
      <c r="F543" s="984"/>
      <c r="G543" s="984"/>
      <c r="H543" s="984"/>
      <c r="I543" s="984"/>
      <c r="J543" s="984"/>
      <c r="K543" s="984"/>
      <c r="L543" s="984"/>
      <c r="M543" s="984"/>
      <c r="N543" s="984"/>
      <c r="O543" s="984"/>
      <c r="P543" s="984"/>
      <c r="Q543" s="984"/>
      <c r="R543" s="984"/>
      <c r="S543" s="984"/>
      <c r="T543" s="984"/>
      <c r="U543" s="984"/>
      <c r="V543" s="984"/>
      <c r="W543" s="984"/>
      <c r="X543" s="984"/>
      <c r="Y543" s="984"/>
      <c r="Z543" s="984"/>
    </row>
    <row r="544" spans="1:26" ht="18" customHeight="1" x14ac:dyDescent="0.35">
      <c r="A544" s="984"/>
      <c r="B544" s="984"/>
      <c r="C544" s="984"/>
      <c r="D544" s="984"/>
      <c r="E544" s="984"/>
      <c r="F544" s="984"/>
      <c r="G544" s="984"/>
      <c r="H544" s="984"/>
      <c r="I544" s="984"/>
      <c r="J544" s="984"/>
      <c r="K544" s="984"/>
      <c r="L544" s="984"/>
      <c r="M544" s="984"/>
      <c r="N544" s="984"/>
      <c r="O544" s="984"/>
      <c r="P544" s="984"/>
      <c r="Q544" s="984"/>
      <c r="R544" s="984"/>
      <c r="S544" s="984"/>
      <c r="T544" s="984"/>
      <c r="U544" s="984"/>
      <c r="V544" s="984"/>
      <c r="W544" s="984"/>
      <c r="X544" s="984"/>
      <c r="Y544" s="984"/>
      <c r="Z544" s="984"/>
    </row>
    <row r="545" spans="1:26" ht="18" customHeight="1" x14ac:dyDescent="0.35">
      <c r="A545" s="984"/>
      <c r="B545" s="984"/>
      <c r="C545" s="984"/>
      <c r="D545" s="984"/>
      <c r="E545" s="984"/>
      <c r="F545" s="984"/>
      <c r="G545" s="984"/>
      <c r="H545" s="984"/>
      <c r="I545" s="984"/>
      <c r="J545" s="984"/>
      <c r="K545" s="984"/>
      <c r="L545" s="984"/>
      <c r="M545" s="984"/>
      <c r="N545" s="984"/>
      <c r="O545" s="984"/>
      <c r="P545" s="984"/>
      <c r="Q545" s="984"/>
      <c r="R545" s="984"/>
      <c r="S545" s="984"/>
      <c r="T545" s="984"/>
      <c r="U545" s="984"/>
      <c r="V545" s="984"/>
      <c r="W545" s="984"/>
      <c r="X545" s="984"/>
      <c r="Y545" s="984"/>
      <c r="Z545" s="984"/>
    </row>
    <row r="546" spans="1:26" ht="18" customHeight="1" x14ac:dyDescent="0.35">
      <c r="A546" s="984"/>
      <c r="B546" s="984"/>
      <c r="C546" s="984"/>
      <c r="D546" s="984"/>
      <c r="E546" s="984"/>
      <c r="F546" s="984"/>
      <c r="G546" s="984"/>
      <c r="H546" s="984"/>
      <c r="I546" s="984"/>
      <c r="J546" s="984"/>
      <c r="K546" s="984"/>
      <c r="L546" s="984"/>
      <c r="M546" s="984"/>
      <c r="N546" s="984"/>
      <c r="O546" s="984"/>
      <c r="P546" s="984"/>
      <c r="Q546" s="984"/>
      <c r="R546" s="984"/>
      <c r="S546" s="984"/>
      <c r="T546" s="984"/>
      <c r="U546" s="984"/>
      <c r="V546" s="984"/>
      <c r="W546" s="984"/>
      <c r="X546" s="984"/>
      <c r="Y546" s="984"/>
      <c r="Z546" s="984"/>
    </row>
    <row r="547" spans="1:26" ht="18" customHeight="1" x14ac:dyDescent="0.35">
      <c r="A547" s="984"/>
      <c r="B547" s="984"/>
      <c r="C547" s="984"/>
      <c r="D547" s="984"/>
      <c r="E547" s="984"/>
      <c r="F547" s="984"/>
      <c r="G547" s="984"/>
      <c r="H547" s="984"/>
      <c r="I547" s="984"/>
      <c r="J547" s="984"/>
      <c r="K547" s="984"/>
      <c r="L547" s="984"/>
      <c r="M547" s="984"/>
      <c r="N547" s="984"/>
      <c r="O547" s="984"/>
      <c r="P547" s="984"/>
      <c r="Q547" s="984"/>
      <c r="R547" s="984"/>
      <c r="S547" s="984"/>
      <c r="T547" s="984"/>
      <c r="U547" s="984"/>
      <c r="V547" s="984"/>
      <c r="W547" s="984"/>
      <c r="X547" s="984"/>
      <c r="Y547" s="984"/>
      <c r="Z547" s="984"/>
    </row>
    <row r="548" spans="1:26" ht="18" customHeight="1" x14ac:dyDescent="0.35">
      <c r="A548" s="984"/>
      <c r="B548" s="984"/>
      <c r="C548" s="984"/>
      <c r="D548" s="984"/>
      <c r="E548" s="984"/>
      <c r="F548" s="984"/>
      <c r="G548" s="984"/>
      <c r="H548" s="984"/>
      <c r="I548" s="984"/>
      <c r="J548" s="984"/>
      <c r="K548" s="984"/>
      <c r="L548" s="984"/>
      <c r="M548" s="984"/>
      <c r="N548" s="984"/>
      <c r="O548" s="984"/>
      <c r="P548" s="984"/>
      <c r="Q548" s="984"/>
      <c r="R548" s="984"/>
      <c r="S548" s="984"/>
      <c r="T548" s="984"/>
      <c r="U548" s="984"/>
      <c r="V548" s="984"/>
      <c r="W548" s="984"/>
      <c r="X548" s="984"/>
      <c r="Y548" s="984"/>
      <c r="Z548" s="984"/>
    </row>
    <row r="549" spans="1:26" ht="18" customHeight="1" x14ac:dyDescent="0.35">
      <c r="A549" s="984"/>
      <c r="B549" s="984"/>
      <c r="C549" s="984"/>
      <c r="D549" s="984"/>
      <c r="E549" s="984"/>
      <c r="F549" s="984"/>
      <c r="G549" s="984"/>
      <c r="H549" s="984"/>
      <c r="I549" s="984"/>
      <c r="J549" s="984"/>
      <c r="K549" s="984"/>
      <c r="L549" s="984"/>
      <c r="M549" s="984"/>
      <c r="N549" s="984"/>
      <c r="O549" s="984"/>
      <c r="P549" s="984"/>
      <c r="Q549" s="984"/>
      <c r="R549" s="984"/>
      <c r="S549" s="984"/>
      <c r="T549" s="984"/>
      <c r="U549" s="984"/>
      <c r="V549" s="984"/>
      <c r="W549" s="984"/>
      <c r="X549" s="984"/>
      <c r="Y549" s="984"/>
      <c r="Z549" s="984"/>
    </row>
    <row r="550" spans="1:26" ht="18" customHeight="1" x14ac:dyDescent="0.35">
      <c r="A550" s="984"/>
      <c r="B550" s="984"/>
      <c r="C550" s="984"/>
      <c r="D550" s="984"/>
      <c r="E550" s="984"/>
      <c r="F550" s="984"/>
      <c r="G550" s="984"/>
      <c r="H550" s="984"/>
      <c r="I550" s="984"/>
      <c r="J550" s="984"/>
      <c r="K550" s="984"/>
      <c r="L550" s="984"/>
      <c r="M550" s="984"/>
      <c r="N550" s="984"/>
      <c r="O550" s="984"/>
      <c r="P550" s="984"/>
      <c r="Q550" s="984"/>
      <c r="R550" s="984"/>
      <c r="S550" s="984"/>
      <c r="T550" s="984"/>
      <c r="U550" s="984"/>
      <c r="V550" s="984"/>
      <c r="W550" s="984"/>
      <c r="X550" s="984"/>
      <c r="Y550" s="984"/>
      <c r="Z550" s="984"/>
    </row>
    <row r="551" spans="1:26" ht="18" customHeight="1" x14ac:dyDescent="0.35">
      <c r="A551" s="984"/>
      <c r="B551" s="984"/>
      <c r="C551" s="984"/>
      <c r="D551" s="984"/>
      <c r="E551" s="984"/>
      <c r="F551" s="984"/>
      <c r="G551" s="984"/>
      <c r="H551" s="984"/>
      <c r="I551" s="984"/>
      <c r="J551" s="984"/>
      <c r="K551" s="984"/>
      <c r="L551" s="984"/>
      <c r="M551" s="984"/>
      <c r="N551" s="984"/>
      <c r="O551" s="984"/>
      <c r="P551" s="984"/>
      <c r="Q551" s="984"/>
      <c r="R551" s="984"/>
      <c r="S551" s="984"/>
      <c r="T551" s="984"/>
      <c r="U551" s="984"/>
      <c r="V551" s="984"/>
      <c r="W551" s="984"/>
      <c r="X551" s="984"/>
      <c r="Y551" s="984"/>
      <c r="Z551" s="984"/>
    </row>
    <row r="552" spans="1:26" ht="18" customHeight="1" x14ac:dyDescent="0.35">
      <c r="A552" s="984"/>
      <c r="B552" s="984"/>
      <c r="C552" s="984"/>
      <c r="D552" s="984"/>
      <c r="E552" s="984"/>
      <c r="F552" s="984"/>
      <c r="G552" s="984"/>
      <c r="H552" s="984"/>
      <c r="I552" s="984"/>
      <c r="J552" s="984"/>
      <c r="K552" s="984"/>
      <c r="L552" s="984"/>
      <c r="M552" s="984"/>
      <c r="N552" s="984"/>
      <c r="O552" s="984"/>
      <c r="P552" s="984"/>
      <c r="Q552" s="984"/>
      <c r="R552" s="984"/>
      <c r="S552" s="984"/>
      <c r="T552" s="984"/>
      <c r="U552" s="984"/>
      <c r="V552" s="984"/>
      <c r="W552" s="984"/>
      <c r="X552" s="984"/>
      <c r="Y552" s="984"/>
      <c r="Z552" s="984"/>
    </row>
    <row r="553" spans="1:26" ht="18" customHeight="1" x14ac:dyDescent="0.35">
      <c r="A553" s="984"/>
      <c r="B553" s="984"/>
      <c r="C553" s="984"/>
      <c r="D553" s="984"/>
      <c r="E553" s="984"/>
      <c r="F553" s="984"/>
      <c r="G553" s="984"/>
      <c r="H553" s="984"/>
      <c r="I553" s="984"/>
      <c r="J553" s="984"/>
      <c r="K553" s="984"/>
      <c r="L553" s="984"/>
      <c r="M553" s="984"/>
      <c r="N553" s="984"/>
      <c r="O553" s="984"/>
      <c r="P553" s="984"/>
      <c r="Q553" s="984"/>
      <c r="R553" s="984"/>
      <c r="S553" s="984"/>
      <c r="T553" s="984"/>
      <c r="U553" s="984"/>
      <c r="V553" s="984"/>
      <c r="W553" s="984"/>
      <c r="X553" s="984"/>
      <c r="Y553" s="984"/>
      <c r="Z553" s="984"/>
    </row>
    <row r="554" spans="1:26" ht="18" customHeight="1" x14ac:dyDescent="0.35">
      <c r="A554" s="984"/>
      <c r="B554" s="984"/>
      <c r="C554" s="984"/>
      <c r="D554" s="984"/>
      <c r="E554" s="984"/>
      <c r="F554" s="984"/>
      <c r="G554" s="984"/>
      <c r="H554" s="984"/>
      <c r="I554" s="984"/>
      <c r="J554" s="984"/>
      <c r="K554" s="984"/>
      <c r="L554" s="984"/>
      <c r="M554" s="984"/>
      <c r="N554" s="984"/>
      <c r="O554" s="984"/>
      <c r="P554" s="984"/>
      <c r="Q554" s="984"/>
      <c r="R554" s="984"/>
      <c r="S554" s="984"/>
      <c r="T554" s="984"/>
      <c r="U554" s="984"/>
      <c r="V554" s="984"/>
      <c r="W554" s="984"/>
      <c r="X554" s="984"/>
      <c r="Y554" s="984"/>
      <c r="Z554" s="984"/>
    </row>
    <row r="555" spans="1:26" ht="18" customHeight="1" x14ac:dyDescent="0.35">
      <c r="A555" s="984"/>
      <c r="B555" s="984"/>
      <c r="C555" s="984"/>
      <c r="D555" s="984"/>
      <c r="E555" s="984"/>
      <c r="F555" s="984"/>
      <c r="G555" s="984"/>
      <c r="H555" s="984"/>
      <c r="I555" s="984"/>
      <c r="J555" s="984"/>
      <c r="K555" s="984"/>
      <c r="L555" s="984"/>
      <c r="M555" s="984"/>
      <c r="N555" s="984"/>
      <c r="O555" s="984"/>
      <c r="P555" s="984"/>
      <c r="Q555" s="984"/>
      <c r="R555" s="984"/>
      <c r="S555" s="984"/>
      <c r="T555" s="984"/>
      <c r="U555" s="984"/>
      <c r="V555" s="984"/>
      <c r="W555" s="984"/>
      <c r="X555" s="984"/>
      <c r="Y555" s="984"/>
      <c r="Z555" s="984"/>
    </row>
    <row r="556" spans="1:26" ht="18" customHeight="1" x14ac:dyDescent="0.35">
      <c r="A556" s="984"/>
      <c r="B556" s="984"/>
      <c r="C556" s="984"/>
      <c r="D556" s="984"/>
      <c r="E556" s="984"/>
      <c r="F556" s="984"/>
      <c r="G556" s="984"/>
      <c r="H556" s="984"/>
      <c r="I556" s="984"/>
      <c r="J556" s="984"/>
      <c r="K556" s="984"/>
      <c r="L556" s="984"/>
      <c r="M556" s="984"/>
      <c r="N556" s="984"/>
      <c r="O556" s="984"/>
      <c r="P556" s="984"/>
      <c r="Q556" s="984"/>
      <c r="R556" s="984"/>
      <c r="S556" s="984"/>
      <c r="T556" s="984"/>
      <c r="U556" s="984"/>
      <c r="V556" s="984"/>
      <c r="W556" s="984"/>
      <c r="X556" s="984"/>
      <c r="Y556" s="984"/>
      <c r="Z556" s="984"/>
    </row>
    <row r="557" spans="1:26" ht="18" customHeight="1" x14ac:dyDescent="0.35">
      <c r="A557" s="984"/>
      <c r="B557" s="984"/>
      <c r="C557" s="984"/>
      <c r="D557" s="984"/>
      <c r="E557" s="984"/>
      <c r="F557" s="984"/>
      <c r="G557" s="984"/>
      <c r="H557" s="984"/>
      <c r="I557" s="984"/>
      <c r="J557" s="984"/>
      <c r="K557" s="984"/>
      <c r="L557" s="984"/>
      <c r="M557" s="984"/>
      <c r="N557" s="984"/>
      <c r="O557" s="984"/>
      <c r="P557" s="984"/>
      <c r="Q557" s="984"/>
      <c r="R557" s="984"/>
      <c r="S557" s="984"/>
      <c r="T557" s="984"/>
      <c r="U557" s="984"/>
      <c r="V557" s="984"/>
      <c r="W557" s="984"/>
      <c r="X557" s="984"/>
      <c r="Y557" s="984"/>
      <c r="Z557" s="984"/>
    </row>
    <row r="558" spans="1:26" ht="18" customHeight="1" x14ac:dyDescent="0.35">
      <c r="A558" s="984"/>
      <c r="B558" s="984"/>
      <c r="C558" s="984"/>
      <c r="D558" s="984"/>
      <c r="E558" s="984"/>
      <c r="F558" s="984"/>
      <c r="G558" s="984"/>
      <c r="H558" s="984"/>
      <c r="I558" s="984"/>
      <c r="J558" s="984"/>
      <c r="K558" s="984"/>
      <c r="L558" s="984"/>
      <c r="M558" s="984"/>
      <c r="N558" s="984"/>
      <c r="O558" s="984"/>
      <c r="P558" s="984"/>
      <c r="Q558" s="984"/>
      <c r="R558" s="984"/>
      <c r="S558" s="984"/>
      <c r="T558" s="984"/>
      <c r="U558" s="984"/>
      <c r="V558" s="984"/>
      <c r="W558" s="984"/>
      <c r="X558" s="984"/>
      <c r="Y558" s="984"/>
      <c r="Z558" s="984"/>
    </row>
    <row r="559" spans="1:26" ht="18" customHeight="1" x14ac:dyDescent="0.35">
      <c r="A559" s="984"/>
      <c r="B559" s="984"/>
      <c r="C559" s="984"/>
      <c r="D559" s="984"/>
      <c r="E559" s="984"/>
      <c r="F559" s="984"/>
      <c r="G559" s="984"/>
      <c r="H559" s="984"/>
      <c r="I559" s="984"/>
      <c r="J559" s="984"/>
      <c r="K559" s="984"/>
      <c r="L559" s="984"/>
      <c r="M559" s="984"/>
      <c r="N559" s="984"/>
      <c r="O559" s="984"/>
      <c r="P559" s="984"/>
      <c r="Q559" s="984"/>
      <c r="R559" s="984"/>
      <c r="S559" s="984"/>
      <c r="T559" s="984"/>
      <c r="U559" s="984"/>
      <c r="V559" s="984"/>
      <c r="W559" s="984"/>
      <c r="X559" s="984"/>
      <c r="Y559" s="984"/>
      <c r="Z559" s="984"/>
    </row>
    <row r="560" spans="1:26" ht="18" customHeight="1" x14ac:dyDescent="0.35">
      <c r="A560" s="984"/>
      <c r="B560" s="984"/>
      <c r="C560" s="984"/>
      <c r="D560" s="984"/>
      <c r="E560" s="984"/>
      <c r="F560" s="984"/>
      <c r="G560" s="984"/>
      <c r="H560" s="984"/>
      <c r="I560" s="984"/>
      <c r="J560" s="984"/>
      <c r="K560" s="984"/>
      <c r="L560" s="984"/>
      <c r="M560" s="984"/>
      <c r="N560" s="984"/>
      <c r="O560" s="984"/>
      <c r="P560" s="984"/>
      <c r="Q560" s="984"/>
      <c r="R560" s="984"/>
      <c r="S560" s="984"/>
      <c r="T560" s="984"/>
      <c r="U560" s="984"/>
      <c r="V560" s="984"/>
      <c r="W560" s="984"/>
      <c r="X560" s="984"/>
      <c r="Y560" s="984"/>
      <c r="Z560" s="984"/>
    </row>
    <row r="561" spans="1:26" ht="18" customHeight="1" x14ac:dyDescent="0.35">
      <c r="A561" s="984"/>
      <c r="B561" s="984"/>
      <c r="C561" s="984"/>
      <c r="D561" s="984"/>
      <c r="E561" s="984"/>
      <c r="F561" s="984"/>
      <c r="G561" s="984"/>
      <c r="H561" s="984"/>
      <c r="I561" s="984"/>
      <c r="J561" s="984"/>
      <c r="K561" s="984"/>
      <c r="L561" s="984"/>
      <c r="M561" s="984"/>
      <c r="N561" s="984"/>
      <c r="O561" s="984"/>
      <c r="P561" s="984"/>
      <c r="Q561" s="984"/>
      <c r="R561" s="984"/>
      <c r="S561" s="984"/>
      <c r="T561" s="984"/>
      <c r="U561" s="984"/>
      <c r="V561" s="984"/>
      <c r="W561" s="984"/>
      <c r="X561" s="984"/>
      <c r="Y561" s="984"/>
      <c r="Z561" s="984"/>
    </row>
    <row r="562" spans="1:26" ht="18" customHeight="1" x14ac:dyDescent="0.35">
      <c r="A562" s="984"/>
      <c r="B562" s="984"/>
      <c r="C562" s="984"/>
      <c r="D562" s="984"/>
      <c r="E562" s="984"/>
      <c r="F562" s="984"/>
      <c r="G562" s="984"/>
      <c r="H562" s="984"/>
      <c r="I562" s="984"/>
      <c r="J562" s="984"/>
      <c r="K562" s="984"/>
      <c r="L562" s="984"/>
      <c r="M562" s="984"/>
      <c r="N562" s="984"/>
      <c r="O562" s="984"/>
      <c r="P562" s="984"/>
      <c r="Q562" s="984"/>
      <c r="R562" s="984"/>
      <c r="S562" s="984"/>
      <c r="T562" s="984"/>
      <c r="U562" s="984"/>
      <c r="V562" s="984"/>
      <c r="W562" s="984"/>
      <c r="X562" s="984"/>
      <c r="Y562" s="984"/>
      <c r="Z562" s="984"/>
    </row>
    <row r="563" spans="1:26" ht="18" customHeight="1" x14ac:dyDescent="0.35">
      <c r="A563" s="984"/>
      <c r="B563" s="984"/>
      <c r="C563" s="984"/>
      <c r="D563" s="984"/>
      <c r="E563" s="984"/>
      <c r="F563" s="984"/>
      <c r="G563" s="984"/>
      <c r="H563" s="984"/>
      <c r="I563" s="984"/>
      <c r="J563" s="984"/>
      <c r="K563" s="984"/>
      <c r="L563" s="984"/>
      <c r="M563" s="984"/>
      <c r="N563" s="984"/>
      <c r="O563" s="984"/>
      <c r="P563" s="984"/>
      <c r="Q563" s="984"/>
      <c r="R563" s="984"/>
      <c r="S563" s="984"/>
      <c r="T563" s="984"/>
      <c r="U563" s="984"/>
      <c r="V563" s="984"/>
      <c r="W563" s="984"/>
      <c r="X563" s="984"/>
      <c r="Y563" s="984"/>
      <c r="Z563" s="984"/>
    </row>
    <row r="564" spans="1:26" ht="18" customHeight="1" x14ac:dyDescent="0.35">
      <c r="A564" s="984"/>
      <c r="B564" s="984"/>
      <c r="C564" s="984"/>
      <c r="D564" s="984"/>
      <c r="E564" s="984"/>
      <c r="F564" s="984"/>
      <c r="G564" s="984"/>
      <c r="H564" s="984"/>
      <c r="I564" s="984"/>
      <c r="J564" s="984"/>
      <c r="K564" s="984"/>
      <c r="L564" s="984"/>
      <c r="M564" s="984"/>
      <c r="N564" s="984"/>
      <c r="O564" s="984"/>
      <c r="P564" s="984"/>
      <c r="Q564" s="984"/>
      <c r="R564" s="984"/>
      <c r="S564" s="984"/>
      <c r="T564" s="984"/>
      <c r="U564" s="984"/>
      <c r="V564" s="984"/>
      <c r="W564" s="984"/>
      <c r="X564" s="984"/>
      <c r="Y564" s="984"/>
      <c r="Z564" s="984"/>
    </row>
    <row r="565" spans="1:26" ht="18" customHeight="1" x14ac:dyDescent="0.35">
      <c r="A565" s="984"/>
      <c r="B565" s="984"/>
      <c r="C565" s="984"/>
      <c r="D565" s="984"/>
      <c r="E565" s="984"/>
      <c r="F565" s="984"/>
      <c r="G565" s="984"/>
      <c r="H565" s="984"/>
      <c r="I565" s="984"/>
      <c r="J565" s="984"/>
      <c r="K565" s="984"/>
      <c r="L565" s="984"/>
      <c r="M565" s="984"/>
      <c r="N565" s="984"/>
      <c r="O565" s="984"/>
      <c r="P565" s="984"/>
      <c r="Q565" s="984"/>
      <c r="R565" s="984"/>
      <c r="S565" s="984"/>
      <c r="T565" s="984"/>
      <c r="U565" s="984"/>
      <c r="V565" s="984"/>
      <c r="W565" s="984"/>
      <c r="X565" s="984"/>
      <c r="Y565" s="984"/>
      <c r="Z565" s="984"/>
    </row>
    <row r="566" spans="1:26" ht="18" customHeight="1" x14ac:dyDescent="0.35">
      <c r="A566" s="984"/>
      <c r="B566" s="984"/>
      <c r="C566" s="984"/>
      <c r="D566" s="984"/>
      <c r="E566" s="984"/>
      <c r="F566" s="984"/>
      <c r="G566" s="984"/>
      <c r="H566" s="984"/>
      <c r="I566" s="984"/>
      <c r="J566" s="984"/>
      <c r="K566" s="984"/>
      <c r="L566" s="984"/>
      <c r="M566" s="984"/>
      <c r="N566" s="984"/>
      <c r="O566" s="984"/>
      <c r="P566" s="984"/>
      <c r="Q566" s="984"/>
      <c r="R566" s="984"/>
      <c r="S566" s="984"/>
      <c r="T566" s="984"/>
      <c r="U566" s="984"/>
      <c r="V566" s="984"/>
      <c r="W566" s="984"/>
      <c r="X566" s="984"/>
      <c r="Y566" s="984"/>
      <c r="Z566" s="984"/>
    </row>
    <row r="567" spans="1:26" ht="18" customHeight="1" x14ac:dyDescent="0.35">
      <c r="A567" s="984"/>
      <c r="B567" s="984"/>
      <c r="C567" s="984"/>
      <c r="D567" s="984"/>
      <c r="E567" s="984"/>
      <c r="F567" s="984"/>
      <c r="G567" s="984"/>
      <c r="H567" s="984"/>
      <c r="I567" s="984"/>
      <c r="J567" s="984"/>
      <c r="K567" s="984"/>
      <c r="L567" s="984"/>
      <c r="M567" s="984"/>
      <c r="N567" s="984"/>
      <c r="O567" s="984"/>
      <c r="P567" s="984"/>
      <c r="Q567" s="984"/>
      <c r="R567" s="984"/>
      <c r="S567" s="984"/>
      <c r="T567" s="984"/>
      <c r="U567" s="984"/>
      <c r="V567" s="984"/>
      <c r="W567" s="984"/>
      <c r="X567" s="984"/>
      <c r="Y567" s="984"/>
      <c r="Z567" s="984"/>
    </row>
    <row r="568" spans="1:26" ht="18" customHeight="1" x14ac:dyDescent="0.35">
      <c r="A568" s="984"/>
      <c r="B568" s="984"/>
      <c r="C568" s="984"/>
      <c r="D568" s="984"/>
      <c r="E568" s="984"/>
      <c r="F568" s="984"/>
      <c r="G568" s="984"/>
      <c r="H568" s="984"/>
      <c r="I568" s="984"/>
      <c r="J568" s="984"/>
      <c r="K568" s="984"/>
      <c r="L568" s="984"/>
      <c r="M568" s="984"/>
      <c r="N568" s="984"/>
      <c r="O568" s="984"/>
      <c r="P568" s="984"/>
      <c r="Q568" s="984"/>
      <c r="R568" s="984"/>
      <c r="S568" s="984"/>
      <c r="T568" s="984"/>
      <c r="U568" s="984"/>
      <c r="V568" s="984"/>
      <c r="W568" s="984"/>
      <c r="X568" s="984"/>
      <c r="Y568" s="984"/>
      <c r="Z568" s="984"/>
    </row>
    <row r="569" spans="1:26" ht="18" customHeight="1" x14ac:dyDescent="0.35">
      <c r="A569" s="984"/>
      <c r="B569" s="984"/>
      <c r="C569" s="984"/>
      <c r="D569" s="984"/>
      <c r="E569" s="984"/>
      <c r="F569" s="984"/>
      <c r="G569" s="984"/>
      <c r="H569" s="984"/>
      <c r="I569" s="984"/>
      <c r="J569" s="984"/>
      <c r="K569" s="984"/>
      <c r="L569" s="984"/>
      <c r="M569" s="984"/>
      <c r="N569" s="984"/>
      <c r="O569" s="984"/>
      <c r="P569" s="984"/>
      <c r="Q569" s="984"/>
      <c r="R569" s="984"/>
      <c r="S569" s="984"/>
      <c r="T569" s="984"/>
      <c r="U569" s="984"/>
      <c r="V569" s="984"/>
      <c r="W569" s="984"/>
      <c r="X569" s="984"/>
      <c r="Y569" s="984"/>
      <c r="Z569" s="984"/>
    </row>
    <row r="570" spans="1:26" ht="18" customHeight="1" x14ac:dyDescent="0.35">
      <c r="A570" s="984"/>
      <c r="B570" s="984"/>
      <c r="C570" s="984"/>
      <c r="D570" s="984"/>
      <c r="E570" s="984"/>
      <c r="F570" s="984"/>
      <c r="G570" s="984"/>
      <c r="H570" s="984"/>
      <c r="I570" s="984"/>
      <c r="J570" s="984"/>
      <c r="K570" s="984"/>
      <c r="L570" s="984"/>
      <c r="M570" s="984"/>
      <c r="N570" s="984"/>
      <c r="O570" s="984"/>
      <c r="P570" s="984"/>
      <c r="Q570" s="984"/>
      <c r="R570" s="984"/>
      <c r="S570" s="984"/>
      <c r="T570" s="984"/>
      <c r="U570" s="984"/>
      <c r="V570" s="984"/>
      <c r="W570" s="984"/>
      <c r="X570" s="984"/>
      <c r="Y570" s="984"/>
      <c r="Z570" s="984"/>
    </row>
    <row r="571" spans="1:26" ht="18" customHeight="1" x14ac:dyDescent="0.35">
      <c r="A571" s="984"/>
      <c r="B571" s="984"/>
      <c r="C571" s="984"/>
      <c r="D571" s="984"/>
      <c r="E571" s="984"/>
      <c r="F571" s="984"/>
      <c r="G571" s="984"/>
      <c r="H571" s="984"/>
      <c r="I571" s="984"/>
      <c r="J571" s="984"/>
      <c r="K571" s="984"/>
      <c r="L571" s="984"/>
      <c r="M571" s="984"/>
      <c r="N571" s="984"/>
      <c r="O571" s="984"/>
      <c r="P571" s="984"/>
      <c r="Q571" s="984"/>
      <c r="R571" s="984"/>
      <c r="S571" s="984"/>
      <c r="T571" s="984"/>
      <c r="U571" s="984"/>
      <c r="V571" s="984"/>
      <c r="W571" s="984"/>
      <c r="X571" s="984"/>
      <c r="Y571" s="984"/>
      <c r="Z571" s="984"/>
    </row>
    <row r="572" spans="1:26" ht="18" customHeight="1" x14ac:dyDescent="0.35">
      <c r="A572" s="984"/>
      <c r="B572" s="984"/>
      <c r="C572" s="984"/>
      <c r="D572" s="984"/>
      <c r="E572" s="984"/>
      <c r="F572" s="984"/>
      <c r="G572" s="984"/>
      <c r="H572" s="984"/>
      <c r="I572" s="984"/>
      <c r="J572" s="984"/>
      <c r="K572" s="984"/>
      <c r="L572" s="984"/>
      <c r="M572" s="984"/>
      <c r="N572" s="984"/>
      <c r="O572" s="984"/>
      <c r="P572" s="984"/>
      <c r="Q572" s="984"/>
      <c r="R572" s="984"/>
      <c r="S572" s="984"/>
      <c r="T572" s="984"/>
      <c r="U572" s="984"/>
      <c r="V572" s="984"/>
      <c r="W572" s="984"/>
      <c r="X572" s="984"/>
      <c r="Y572" s="984"/>
      <c r="Z572" s="984"/>
    </row>
    <row r="573" spans="1:26" ht="18" customHeight="1" x14ac:dyDescent="0.35">
      <c r="A573" s="984"/>
      <c r="B573" s="984"/>
      <c r="C573" s="984"/>
      <c r="D573" s="984"/>
      <c r="E573" s="984"/>
      <c r="F573" s="984"/>
      <c r="G573" s="984"/>
      <c r="H573" s="984"/>
      <c r="I573" s="984"/>
      <c r="J573" s="984"/>
      <c r="K573" s="984"/>
      <c r="L573" s="984"/>
      <c r="M573" s="984"/>
      <c r="N573" s="984"/>
      <c r="O573" s="984"/>
      <c r="P573" s="984"/>
      <c r="Q573" s="984"/>
      <c r="R573" s="984"/>
      <c r="S573" s="984"/>
      <c r="T573" s="984"/>
      <c r="U573" s="984"/>
      <c r="V573" s="984"/>
      <c r="W573" s="984"/>
      <c r="X573" s="984"/>
      <c r="Y573" s="984"/>
      <c r="Z573" s="984"/>
    </row>
    <row r="574" spans="1:26" ht="18" customHeight="1" x14ac:dyDescent="0.35">
      <c r="A574" s="984"/>
      <c r="B574" s="984"/>
      <c r="C574" s="984"/>
      <c r="D574" s="984"/>
      <c r="E574" s="984"/>
      <c r="F574" s="984"/>
      <c r="G574" s="984"/>
      <c r="H574" s="984"/>
      <c r="I574" s="984"/>
      <c r="J574" s="984"/>
      <c r="K574" s="984"/>
      <c r="L574" s="984"/>
      <c r="M574" s="984"/>
      <c r="N574" s="984"/>
      <c r="O574" s="984"/>
      <c r="P574" s="984"/>
      <c r="Q574" s="984"/>
      <c r="R574" s="984"/>
      <c r="S574" s="984"/>
      <c r="T574" s="984"/>
      <c r="U574" s="984"/>
      <c r="V574" s="984"/>
      <c r="W574" s="984"/>
      <c r="X574" s="984"/>
      <c r="Y574" s="984"/>
      <c r="Z574" s="984"/>
    </row>
    <row r="575" spans="1:26" ht="18" customHeight="1" x14ac:dyDescent="0.35">
      <c r="A575" s="984"/>
      <c r="B575" s="984"/>
      <c r="C575" s="984"/>
      <c r="D575" s="984"/>
      <c r="E575" s="984"/>
      <c r="F575" s="984"/>
      <c r="G575" s="984"/>
      <c r="H575" s="984"/>
      <c r="I575" s="984"/>
      <c r="J575" s="984"/>
      <c r="K575" s="984"/>
      <c r="L575" s="984"/>
      <c r="M575" s="984"/>
      <c r="N575" s="984"/>
      <c r="O575" s="984"/>
      <c r="P575" s="984"/>
      <c r="Q575" s="984"/>
      <c r="R575" s="984"/>
      <c r="S575" s="984"/>
      <c r="T575" s="984"/>
      <c r="U575" s="984"/>
      <c r="V575" s="984"/>
      <c r="W575" s="984"/>
      <c r="X575" s="984"/>
      <c r="Y575" s="984"/>
      <c r="Z575" s="984"/>
    </row>
    <row r="576" spans="1:26" ht="18" customHeight="1" x14ac:dyDescent="0.35">
      <c r="A576" s="984"/>
      <c r="B576" s="984"/>
      <c r="C576" s="984"/>
      <c r="D576" s="984"/>
      <c r="E576" s="984"/>
      <c r="F576" s="984"/>
      <c r="G576" s="984"/>
      <c r="H576" s="984"/>
      <c r="I576" s="984"/>
      <c r="J576" s="984"/>
      <c r="K576" s="984"/>
      <c r="L576" s="984"/>
      <c r="M576" s="984"/>
      <c r="N576" s="984"/>
      <c r="O576" s="984"/>
      <c r="P576" s="984"/>
      <c r="Q576" s="984"/>
      <c r="R576" s="984"/>
      <c r="S576" s="984"/>
      <c r="T576" s="984"/>
      <c r="U576" s="984"/>
      <c r="V576" s="984"/>
      <c r="W576" s="984"/>
      <c r="X576" s="984"/>
      <c r="Y576" s="984"/>
      <c r="Z576" s="984"/>
    </row>
    <row r="577" spans="1:26" ht="18" customHeight="1" x14ac:dyDescent="0.35">
      <c r="A577" s="984"/>
      <c r="B577" s="984"/>
      <c r="C577" s="984"/>
      <c r="D577" s="984"/>
      <c r="E577" s="984"/>
      <c r="F577" s="984"/>
      <c r="G577" s="984"/>
      <c r="H577" s="984"/>
      <c r="I577" s="984"/>
      <c r="J577" s="984"/>
      <c r="K577" s="984"/>
      <c r="L577" s="984"/>
      <c r="M577" s="984"/>
      <c r="N577" s="984"/>
      <c r="O577" s="984"/>
      <c r="P577" s="984"/>
      <c r="Q577" s="984"/>
      <c r="R577" s="984"/>
      <c r="S577" s="984"/>
      <c r="T577" s="984"/>
      <c r="U577" s="984"/>
      <c r="V577" s="984"/>
      <c r="W577" s="984"/>
      <c r="X577" s="984"/>
      <c r="Y577" s="984"/>
      <c r="Z577" s="984"/>
    </row>
    <row r="578" spans="1:26" ht="18" customHeight="1" x14ac:dyDescent="0.35">
      <c r="A578" s="984"/>
      <c r="B578" s="984"/>
      <c r="C578" s="984"/>
      <c r="D578" s="984"/>
      <c r="E578" s="984"/>
      <c r="F578" s="984"/>
      <c r="G578" s="984"/>
      <c r="H578" s="984"/>
      <c r="I578" s="984"/>
      <c r="J578" s="984"/>
      <c r="K578" s="984"/>
      <c r="L578" s="984"/>
      <c r="M578" s="984"/>
      <c r="N578" s="984"/>
      <c r="O578" s="984"/>
      <c r="P578" s="984"/>
      <c r="Q578" s="984"/>
      <c r="R578" s="984"/>
      <c r="S578" s="984"/>
      <c r="T578" s="984"/>
      <c r="U578" s="984"/>
      <c r="V578" s="984"/>
      <c r="W578" s="984"/>
      <c r="X578" s="984"/>
      <c r="Y578" s="984"/>
      <c r="Z578" s="984"/>
    </row>
    <row r="579" spans="1:26" ht="18" customHeight="1" x14ac:dyDescent="0.35">
      <c r="A579" s="984"/>
      <c r="B579" s="984"/>
      <c r="C579" s="984"/>
      <c r="D579" s="984"/>
      <c r="E579" s="984"/>
      <c r="F579" s="984"/>
      <c r="G579" s="984"/>
      <c r="H579" s="984"/>
      <c r="I579" s="984"/>
      <c r="J579" s="984"/>
      <c r="K579" s="984"/>
      <c r="L579" s="984"/>
      <c r="M579" s="984"/>
      <c r="N579" s="984"/>
      <c r="O579" s="984"/>
      <c r="P579" s="984"/>
      <c r="Q579" s="984"/>
      <c r="R579" s="984"/>
      <c r="S579" s="984"/>
      <c r="T579" s="984"/>
      <c r="U579" s="984"/>
      <c r="V579" s="984"/>
      <c r="W579" s="984"/>
      <c r="X579" s="984"/>
      <c r="Y579" s="984"/>
      <c r="Z579" s="984"/>
    </row>
    <row r="580" spans="1:26" ht="18" customHeight="1" x14ac:dyDescent="0.35">
      <c r="A580" s="984"/>
      <c r="B580" s="984"/>
      <c r="C580" s="984"/>
      <c r="D580" s="984"/>
      <c r="E580" s="984"/>
      <c r="F580" s="984"/>
      <c r="G580" s="984"/>
      <c r="H580" s="984"/>
      <c r="I580" s="984"/>
      <c r="J580" s="984"/>
      <c r="K580" s="984"/>
      <c r="L580" s="984"/>
      <c r="M580" s="984"/>
      <c r="N580" s="984"/>
      <c r="O580" s="984"/>
      <c r="P580" s="984"/>
      <c r="Q580" s="984"/>
      <c r="R580" s="984"/>
      <c r="S580" s="984"/>
      <c r="T580" s="984"/>
      <c r="U580" s="984"/>
      <c r="V580" s="984"/>
      <c r="W580" s="984"/>
      <c r="X580" s="984"/>
      <c r="Y580" s="984"/>
      <c r="Z580" s="984"/>
    </row>
    <row r="581" spans="1:26" ht="18" customHeight="1" x14ac:dyDescent="0.35">
      <c r="A581" s="984"/>
      <c r="B581" s="984"/>
      <c r="C581" s="984"/>
      <c r="D581" s="984"/>
      <c r="E581" s="984"/>
      <c r="F581" s="984"/>
      <c r="G581" s="984"/>
      <c r="H581" s="984"/>
      <c r="I581" s="984"/>
      <c r="J581" s="984"/>
      <c r="K581" s="984"/>
      <c r="L581" s="984"/>
      <c r="M581" s="984"/>
      <c r="N581" s="984"/>
      <c r="O581" s="984"/>
      <c r="P581" s="984"/>
      <c r="Q581" s="984"/>
      <c r="R581" s="984"/>
      <c r="S581" s="984"/>
      <c r="T581" s="984"/>
      <c r="U581" s="984"/>
      <c r="V581" s="984"/>
      <c r="W581" s="984"/>
      <c r="X581" s="984"/>
      <c r="Y581" s="984"/>
      <c r="Z581" s="984"/>
    </row>
    <row r="582" spans="1:26" ht="18" customHeight="1" x14ac:dyDescent="0.35">
      <c r="A582" s="984"/>
      <c r="B582" s="984"/>
      <c r="C582" s="984"/>
      <c r="D582" s="984"/>
      <c r="E582" s="984"/>
      <c r="F582" s="984"/>
      <c r="G582" s="984"/>
      <c r="H582" s="984"/>
      <c r="I582" s="984"/>
      <c r="J582" s="984"/>
      <c r="K582" s="984"/>
      <c r="L582" s="984"/>
      <c r="M582" s="984"/>
      <c r="N582" s="984"/>
      <c r="O582" s="984"/>
      <c r="P582" s="984"/>
      <c r="Q582" s="984"/>
      <c r="R582" s="984"/>
      <c r="S582" s="984"/>
      <c r="T582" s="984"/>
      <c r="U582" s="984"/>
      <c r="V582" s="984"/>
      <c r="W582" s="984"/>
      <c r="X582" s="984"/>
      <c r="Y582" s="984"/>
      <c r="Z582" s="984"/>
    </row>
    <row r="583" spans="1:26" ht="18" customHeight="1" x14ac:dyDescent="0.35">
      <c r="A583" s="984"/>
      <c r="B583" s="984"/>
      <c r="C583" s="984"/>
      <c r="D583" s="984"/>
      <c r="E583" s="984"/>
      <c r="F583" s="984"/>
      <c r="G583" s="984"/>
      <c r="H583" s="984"/>
      <c r="I583" s="984"/>
      <c r="J583" s="984"/>
      <c r="K583" s="984"/>
      <c r="L583" s="984"/>
      <c r="M583" s="984"/>
      <c r="N583" s="984"/>
      <c r="O583" s="984"/>
      <c r="P583" s="984"/>
      <c r="Q583" s="984"/>
      <c r="R583" s="984"/>
      <c r="S583" s="984"/>
      <c r="T583" s="984"/>
      <c r="U583" s="984"/>
      <c r="V583" s="984"/>
      <c r="W583" s="984"/>
      <c r="X583" s="984"/>
      <c r="Y583" s="984"/>
      <c r="Z583" s="984"/>
    </row>
    <row r="584" spans="1:26" ht="18" customHeight="1" x14ac:dyDescent="0.35">
      <c r="A584" s="984"/>
      <c r="B584" s="984"/>
      <c r="C584" s="984"/>
      <c r="D584" s="984"/>
      <c r="E584" s="984"/>
      <c r="F584" s="984"/>
      <c r="G584" s="984"/>
      <c r="H584" s="984"/>
      <c r="I584" s="984"/>
      <c r="J584" s="984"/>
      <c r="K584" s="984"/>
      <c r="L584" s="984"/>
      <c r="M584" s="984"/>
      <c r="N584" s="984"/>
      <c r="O584" s="984"/>
      <c r="P584" s="984"/>
      <c r="Q584" s="984"/>
      <c r="R584" s="984"/>
      <c r="S584" s="984"/>
      <c r="T584" s="984"/>
      <c r="U584" s="984"/>
      <c r="V584" s="984"/>
      <c r="W584" s="984"/>
      <c r="X584" s="984"/>
      <c r="Y584" s="984"/>
      <c r="Z584" s="984"/>
    </row>
    <row r="585" spans="1:26" ht="18" customHeight="1" x14ac:dyDescent="0.35">
      <c r="A585" s="984"/>
      <c r="B585" s="984"/>
      <c r="C585" s="984"/>
      <c r="D585" s="984"/>
      <c r="E585" s="984"/>
      <c r="F585" s="984"/>
      <c r="G585" s="984"/>
      <c r="H585" s="984"/>
      <c r="I585" s="984"/>
      <c r="J585" s="984"/>
      <c r="K585" s="984"/>
      <c r="L585" s="984"/>
      <c r="M585" s="984"/>
      <c r="N585" s="984"/>
      <c r="O585" s="984"/>
      <c r="P585" s="984"/>
      <c r="Q585" s="984"/>
      <c r="R585" s="984"/>
      <c r="S585" s="984"/>
      <c r="T585" s="984"/>
      <c r="U585" s="984"/>
      <c r="V585" s="984"/>
      <c r="W585" s="984"/>
      <c r="X585" s="984"/>
      <c r="Y585" s="984"/>
      <c r="Z585" s="984"/>
    </row>
    <row r="586" spans="1:26" ht="18" customHeight="1" x14ac:dyDescent="0.35">
      <c r="A586" s="984"/>
      <c r="B586" s="984"/>
      <c r="C586" s="984"/>
      <c r="D586" s="984"/>
      <c r="E586" s="984"/>
      <c r="F586" s="984"/>
      <c r="G586" s="984"/>
      <c r="H586" s="984"/>
      <c r="I586" s="984"/>
      <c r="J586" s="984"/>
      <c r="K586" s="984"/>
      <c r="L586" s="984"/>
      <c r="M586" s="984"/>
      <c r="N586" s="984"/>
      <c r="O586" s="984"/>
      <c r="P586" s="984"/>
      <c r="Q586" s="984"/>
      <c r="R586" s="984"/>
      <c r="S586" s="984"/>
      <c r="T586" s="984"/>
      <c r="U586" s="984"/>
      <c r="V586" s="984"/>
      <c r="W586" s="984"/>
      <c r="X586" s="984"/>
      <c r="Y586" s="984"/>
      <c r="Z586" s="984"/>
    </row>
    <row r="587" spans="1:26" ht="18" customHeight="1" x14ac:dyDescent="0.35">
      <c r="A587" s="984"/>
      <c r="B587" s="984"/>
      <c r="C587" s="984"/>
      <c r="D587" s="984"/>
      <c r="E587" s="984"/>
      <c r="F587" s="984"/>
      <c r="G587" s="984"/>
      <c r="H587" s="984"/>
      <c r="I587" s="984"/>
      <c r="J587" s="984"/>
      <c r="K587" s="984"/>
      <c r="L587" s="984"/>
      <c r="M587" s="984"/>
      <c r="N587" s="984"/>
      <c r="O587" s="984"/>
      <c r="P587" s="984"/>
      <c r="Q587" s="984"/>
      <c r="R587" s="984"/>
      <c r="S587" s="984"/>
      <c r="T587" s="984"/>
      <c r="U587" s="984"/>
      <c r="V587" s="984"/>
      <c r="W587" s="984"/>
      <c r="X587" s="984"/>
      <c r="Y587" s="984"/>
      <c r="Z587" s="984"/>
    </row>
    <row r="588" spans="1:26" ht="18" customHeight="1" x14ac:dyDescent="0.35">
      <c r="A588" s="984"/>
      <c r="B588" s="984"/>
      <c r="C588" s="984"/>
      <c r="D588" s="984"/>
      <c r="E588" s="984"/>
      <c r="F588" s="984"/>
      <c r="G588" s="984"/>
      <c r="H588" s="984"/>
      <c r="I588" s="984"/>
      <c r="J588" s="984"/>
      <c r="K588" s="984"/>
      <c r="L588" s="984"/>
      <c r="M588" s="984"/>
      <c r="N588" s="984"/>
      <c r="O588" s="984"/>
      <c r="P588" s="984"/>
      <c r="Q588" s="984"/>
      <c r="R588" s="984"/>
      <c r="S588" s="984"/>
      <c r="T588" s="984"/>
      <c r="U588" s="984"/>
      <c r="V588" s="984"/>
      <c r="W588" s="984"/>
      <c r="X588" s="984"/>
      <c r="Y588" s="984"/>
      <c r="Z588" s="984"/>
    </row>
    <row r="589" spans="1:26" ht="18" customHeight="1" x14ac:dyDescent="0.35">
      <c r="A589" s="984"/>
      <c r="B589" s="984"/>
      <c r="C589" s="984"/>
      <c r="D589" s="984"/>
      <c r="E589" s="984"/>
      <c r="F589" s="984"/>
      <c r="G589" s="984"/>
      <c r="H589" s="984"/>
      <c r="I589" s="984"/>
      <c r="J589" s="984"/>
      <c r="K589" s="984"/>
      <c r="L589" s="984"/>
      <c r="M589" s="984"/>
      <c r="N589" s="984"/>
      <c r="O589" s="984"/>
      <c r="P589" s="984"/>
      <c r="Q589" s="984"/>
      <c r="R589" s="984"/>
      <c r="S589" s="984"/>
      <c r="T589" s="984"/>
      <c r="U589" s="984"/>
      <c r="V589" s="984"/>
      <c r="W589" s="984"/>
      <c r="X589" s="984"/>
      <c r="Y589" s="984"/>
      <c r="Z589" s="984"/>
    </row>
    <row r="590" spans="1:26" ht="18" customHeight="1" x14ac:dyDescent="0.35">
      <c r="A590" s="984"/>
      <c r="B590" s="984"/>
      <c r="C590" s="984"/>
      <c r="D590" s="984"/>
      <c r="E590" s="984"/>
      <c r="F590" s="984"/>
      <c r="G590" s="984"/>
      <c r="H590" s="984"/>
      <c r="I590" s="984"/>
      <c r="J590" s="984"/>
      <c r="K590" s="984"/>
      <c r="L590" s="984"/>
      <c r="M590" s="984"/>
      <c r="N590" s="984"/>
      <c r="O590" s="984"/>
      <c r="P590" s="984"/>
      <c r="Q590" s="984"/>
      <c r="R590" s="984"/>
      <c r="S590" s="984"/>
      <c r="T590" s="984"/>
      <c r="U590" s="984"/>
      <c r="V590" s="984"/>
      <c r="W590" s="984"/>
      <c r="X590" s="984"/>
      <c r="Y590" s="984"/>
      <c r="Z590" s="984"/>
    </row>
    <row r="591" spans="1:26" ht="18" customHeight="1" x14ac:dyDescent="0.35">
      <c r="A591" s="984"/>
      <c r="B591" s="984"/>
      <c r="C591" s="984"/>
      <c r="D591" s="984"/>
      <c r="E591" s="984"/>
      <c r="F591" s="984"/>
      <c r="G591" s="984"/>
      <c r="H591" s="984"/>
      <c r="I591" s="984"/>
      <c r="J591" s="984"/>
      <c r="K591" s="984"/>
      <c r="L591" s="984"/>
      <c r="M591" s="984"/>
      <c r="N591" s="984"/>
      <c r="O591" s="984"/>
      <c r="P591" s="984"/>
      <c r="Q591" s="984"/>
      <c r="R591" s="984"/>
      <c r="S591" s="984"/>
      <c r="T591" s="984"/>
      <c r="U591" s="984"/>
      <c r="V591" s="984"/>
      <c r="W591" s="984"/>
      <c r="X591" s="984"/>
      <c r="Y591" s="984"/>
      <c r="Z591" s="984"/>
    </row>
    <row r="592" spans="1:26" ht="18" customHeight="1" x14ac:dyDescent="0.35">
      <c r="A592" s="984"/>
      <c r="B592" s="984"/>
      <c r="C592" s="984"/>
      <c r="D592" s="984"/>
      <c r="E592" s="984"/>
      <c r="F592" s="984"/>
      <c r="G592" s="984"/>
      <c r="H592" s="984"/>
      <c r="I592" s="984"/>
      <c r="J592" s="984"/>
      <c r="K592" s="984"/>
      <c r="L592" s="984"/>
      <c r="M592" s="984"/>
      <c r="N592" s="984"/>
      <c r="O592" s="984"/>
      <c r="P592" s="984"/>
      <c r="Q592" s="984"/>
      <c r="R592" s="984"/>
      <c r="S592" s="984"/>
      <c r="T592" s="984"/>
      <c r="U592" s="984"/>
      <c r="V592" s="984"/>
      <c r="W592" s="984"/>
      <c r="X592" s="984"/>
      <c r="Y592" s="984"/>
      <c r="Z592" s="984"/>
    </row>
    <row r="593" spans="1:26" ht="18" customHeight="1" x14ac:dyDescent="0.35">
      <c r="A593" s="984"/>
      <c r="B593" s="984"/>
      <c r="C593" s="984"/>
      <c r="D593" s="984"/>
      <c r="E593" s="984"/>
      <c r="F593" s="984"/>
      <c r="G593" s="984"/>
      <c r="H593" s="984"/>
      <c r="I593" s="984"/>
      <c r="J593" s="984"/>
      <c r="K593" s="984"/>
      <c r="L593" s="984"/>
      <c r="M593" s="984"/>
      <c r="N593" s="984"/>
      <c r="O593" s="984"/>
      <c r="P593" s="984"/>
      <c r="Q593" s="984"/>
      <c r="R593" s="984"/>
      <c r="S593" s="984"/>
      <c r="T593" s="984"/>
      <c r="U593" s="984"/>
      <c r="V593" s="984"/>
      <c r="W593" s="984"/>
      <c r="X593" s="984"/>
      <c r="Y593" s="984"/>
      <c r="Z593" s="984"/>
    </row>
    <row r="594" spans="1:26" ht="18" customHeight="1" x14ac:dyDescent="0.35">
      <c r="A594" s="984"/>
      <c r="B594" s="984"/>
      <c r="C594" s="984"/>
      <c r="D594" s="984"/>
      <c r="E594" s="984"/>
      <c r="F594" s="984"/>
      <c r="G594" s="984"/>
      <c r="H594" s="984"/>
      <c r="I594" s="984"/>
      <c r="J594" s="984"/>
      <c r="K594" s="984"/>
      <c r="L594" s="984"/>
      <c r="M594" s="984"/>
      <c r="N594" s="984"/>
      <c r="O594" s="984"/>
      <c r="P594" s="984"/>
      <c r="Q594" s="984"/>
      <c r="R594" s="984"/>
      <c r="S594" s="984"/>
      <c r="T594" s="984"/>
      <c r="U594" s="984"/>
      <c r="V594" s="984"/>
      <c r="W594" s="984"/>
      <c r="X594" s="984"/>
      <c r="Y594" s="984"/>
      <c r="Z594" s="984"/>
    </row>
    <row r="595" spans="1:26" ht="18" customHeight="1" x14ac:dyDescent="0.35">
      <c r="A595" s="984"/>
      <c r="B595" s="984"/>
      <c r="C595" s="984"/>
      <c r="D595" s="984"/>
      <c r="E595" s="984"/>
      <c r="F595" s="984"/>
      <c r="G595" s="984"/>
      <c r="H595" s="984"/>
      <c r="I595" s="984"/>
      <c r="J595" s="984"/>
      <c r="K595" s="984"/>
      <c r="L595" s="984"/>
      <c r="M595" s="984"/>
      <c r="N595" s="984"/>
      <c r="O595" s="984"/>
      <c r="P595" s="984"/>
      <c r="Q595" s="984"/>
      <c r="R595" s="984"/>
      <c r="S595" s="984"/>
      <c r="T595" s="984"/>
      <c r="U595" s="984"/>
      <c r="V595" s="984"/>
      <c r="W595" s="984"/>
      <c r="X595" s="984"/>
      <c r="Y595" s="984"/>
      <c r="Z595" s="984"/>
    </row>
    <row r="596" spans="1:26" ht="18" customHeight="1" x14ac:dyDescent="0.35">
      <c r="A596" s="984"/>
      <c r="B596" s="984"/>
      <c r="C596" s="984"/>
      <c r="D596" s="984"/>
      <c r="E596" s="984"/>
      <c r="F596" s="984"/>
      <c r="G596" s="984"/>
      <c r="H596" s="984"/>
      <c r="I596" s="984"/>
      <c r="J596" s="984"/>
      <c r="K596" s="984"/>
      <c r="L596" s="984"/>
      <c r="M596" s="984"/>
      <c r="N596" s="984"/>
      <c r="O596" s="984"/>
      <c r="P596" s="984"/>
      <c r="Q596" s="984"/>
      <c r="R596" s="984"/>
      <c r="S596" s="984"/>
      <c r="T596" s="984"/>
      <c r="U596" s="984"/>
      <c r="V596" s="984"/>
      <c r="W596" s="984"/>
      <c r="X596" s="984"/>
      <c r="Y596" s="984"/>
      <c r="Z596" s="984"/>
    </row>
    <row r="597" spans="1:26" ht="18" customHeight="1" x14ac:dyDescent="0.35">
      <c r="A597" s="984"/>
      <c r="B597" s="984"/>
      <c r="C597" s="984"/>
      <c r="D597" s="984"/>
      <c r="E597" s="984"/>
      <c r="F597" s="984"/>
      <c r="G597" s="984"/>
      <c r="H597" s="984"/>
      <c r="I597" s="984"/>
      <c r="J597" s="984"/>
      <c r="K597" s="984"/>
      <c r="L597" s="984"/>
      <c r="M597" s="984"/>
      <c r="N597" s="984"/>
      <c r="O597" s="984"/>
      <c r="P597" s="984"/>
      <c r="Q597" s="984"/>
      <c r="R597" s="984"/>
      <c r="S597" s="984"/>
      <c r="T597" s="984"/>
      <c r="U597" s="984"/>
      <c r="V597" s="984"/>
      <c r="W597" s="984"/>
      <c r="X597" s="984"/>
      <c r="Y597" s="984"/>
      <c r="Z597" s="984"/>
    </row>
    <row r="598" spans="1:26" ht="18" customHeight="1" x14ac:dyDescent="0.35">
      <c r="A598" s="984"/>
      <c r="B598" s="984"/>
      <c r="C598" s="984"/>
      <c r="D598" s="984"/>
      <c r="E598" s="984"/>
      <c r="F598" s="984"/>
      <c r="G598" s="984"/>
      <c r="H598" s="984"/>
      <c r="I598" s="984"/>
      <c r="J598" s="984"/>
      <c r="K598" s="984"/>
      <c r="L598" s="984"/>
      <c r="M598" s="984"/>
      <c r="N598" s="984"/>
      <c r="O598" s="984"/>
      <c r="P598" s="984"/>
      <c r="Q598" s="984"/>
      <c r="R598" s="984"/>
      <c r="S598" s="984"/>
      <c r="T598" s="984"/>
      <c r="U598" s="984"/>
      <c r="V598" s="984"/>
      <c r="W598" s="984"/>
      <c r="X598" s="984"/>
      <c r="Y598" s="984"/>
      <c r="Z598" s="984"/>
    </row>
    <row r="599" spans="1:26" ht="18" customHeight="1" x14ac:dyDescent="0.35">
      <c r="A599" s="984"/>
      <c r="B599" s="984"/>
      <c r="C599" s="984"/>
      <c r="D599" s="984"/>
      <c r="E599" s="984"/>
      <c r="F599" s="984"/>
      <c r="G599" s="984"/>
      <c r="H599" s="984"/>
      <c r="I599" s="984"/>
      <c r="J599" s="984"/>
      <c r="K599" s="984"/>
      <c r="L599" s="984"/>
      <c r="M599" s="984"/>
      <c r="N599" s="984"/>
      <c r="O599" s="984"/>
      <c r="P599" s="984"/>
      <c r="Q599" s="984"/>
      <c r="R599" s="984"/>
      <c r="S599" s="984"/>
      <c r="T599" s="984"/>
      <c r="U599" s="984"/>
      <c r="V599" s="984"/>
      <c r="W599" s="984"/>
      <c r="X599" s="984"/>
      <c r="Y599" s="984"/>
      <c r="Z599" s="984"/>
    </row>
    <row r="600" spans="1:26" ht="18" customHeight="1" x14ac:dyDescent="0.35">
      <c r="A600" s="984"/>
      <c r="B600" s="984"/>
      <c r="C600" s="984"/>
      <c r="D600" s="984"/>
      <c r="E600" s="984"/>
      <c r="F600" s="984"/>
      <c r="G600" s="984"/>
      <c r="H600" s="984"/>
      <c r="I600" s="984"/>
      <c r="J600" s="984"/>
      <c r="K600" s="984"/>
      <c r="L600" s="984"/>
      <c r="M600" s="984"/>
      <c r="N600" s="984"/>
      <c r="O600" s="984"/>
      <c r="P600" s="984"/>
      <c r="Q600" s="984"/>
      <c r="R600" s="984"/>
      <c r="S600" s="984"/>
      <c r="T600" s="984"/>
      <c r="U600" s="984"/>
      <c r="V600" s="984"/>
      <c r="W600" s="984"/>
      <c r="X600" s="984"/>
      <c r="Y600" s="984"/>
      <c r="Z600" s="984"/>
    </row>
    <row r="601" spans="1:26" ht="18" customHeight="1" x14ac:dyDescent="0.35">
      <c r="A601" s="984"/>
      <c r="B601" s="984"/>
      <c r="C601" s="984"/>
      <c r="D601" s="984"/>
      <c r="E601" s="984"/>
      <c r="F601" s="984"/>
      <c r="G601" s="984"/>
      <c r="H601" s="984"/>
      <c r="I601" s="984"/>
      <c r="J601" s="984"/>
      <c r="K601" s="984"/>
      <c r="L601" s="984"/>
      <c r="M601" s="984"/>
      <c r="N601" s="984"/>
      <c r="O601" s="984"/>
      <c r="P601" s="984"/>
      <c r="Q601" s="984"/>
      <c r="R601" s="984"/>
      <c r="S601" s="984"/>
      <c r="T601" s="984"/>
      <c r="U601" s="984"/>
      <c r="V601" s="984"/>
      <c r="W601" s="984"/>
      <c r="X601" s="984"/>
      <c r="Y601" s="984"/>
      <c r="Z601" s="984"/>
    </row>
    <row r="602" spans="1:26" ht="18" customHeight="1" x14ac:dyDescent="0.35">
      <c r="A602" s="984"/>
      <c r="B602" s="984"/>
      <c r="C602" s="984"/>
      <c r="D602" s="984"/>
      <c r="E602" s="984"/>
      <c r="F602" s="984"/>
      <c r="G602" s="984"/>
      <c r="H602" s="984"/>
      <c r="I602" s="984"/>
      <c r="J602" s="984"/>
      <c r="K602" s="984"/>
      <c r="L602" s="984"/>
      <c r="M602" s="984"/>
      <c r="N602" s="984"/>
      <c r="O602" s="984"/>
      <c r="P602" s="984"/>
      <c r="Q602" s="984"/>
      <c r="R602" s="984"/>
      <c r="S602" s="984"/>
      <c r="T602" s="984"/>
      <c r="U602" s="984"/>
      <c r="V602" s="984"/>
      <c r="W602" s="984"/>
      <c r="X602" s="984"/>
      <c r="Y602" s="984"/>
      <c r="Z602" s="984"/>
    </row>
    <row r="603" spans="1:26" ht="18" customHeight="1" x14ac:dyDescent="0.35">
      <c r="A603" s="984"/>
      <c r="B603" s="984"/>
      <c r="C603" s="984"/>
      <c r="D603" s="984"/>
      <c r="E603" s="984"/>
      <c r="F603" s="984"/>
      <c r="G603" s="984"/>
      <c r="H603" s="984"/>
      <c r="I603" s="984"/>
      <c r="J603" s="984"/>
      <c r="K603" s="984"/>
      <c r="L603" s="984"/>
      <c r="M603" s="984"/>
      <c r="N603" s="984"/>
      <c r="O603" s="984"/>
      <c r="P603" s="984"/>
      <c r="Q603" s="984"/>
      <c r="R603" s="984"/>
      <c r="S603" s="984"/>
      <c r="T603" s="984"/>
      <c r="U603" s="984"/>
      <c r="V603" s="984"/>
      <c r="W603" s="984"/>
      <c r="X603" s="984"/>
      <c r="Y603" s="984"/>
      <c r="Z603" s="984"/>
    </row>
    <row r="604" spans="1:26" ht="18" customHeight="1" x14ac:dyDescent="0.35">
      <c r="A604" s="984"/>
      <c r="B604" s="984"/>
      <c r="C604" s="984"/>
      <c r="D604" s="984"/>
      <c r="E604" s="984"/>
      <c r="F604" s="984"/>
      <c r="G604" s="984"/>
      <c r="H604" s="984"/>
      <c r="I604" s="984"/>
      <c r="J604" s="984"/>
      <c r="K604" s="984"/>
      <c r="L604" s="984"/>
      <c r="M604" s="984"/>
      <c r="N604" s="984"/>
      <c r="O604" s="984"/>
      <c r="P604" s="984"/>
      <c r="Q604" s="984"/>
      <c r="R604" s="984"/>
      <c r="S604" s="984"/>
      <c r="T604" s="984"/>
      <c r="U604" s="984"/>
      <c r="V604" s="984"/>
      <c r="W604" s="984"/>
      <c r="X604" s="984"/>
      <c r="Y604" s="984"/>
      <c r="Z604" s="984"/>
    </row>
    <row r="605" spans="1:26" ht="18" customHeight="1" x14ac:dyDescent="0.35">
      <c r="A605" s="984"/>
      <c r="B605" s="984"/>
      <c r="C605" s="984"/>
      <c r="D605" s="984"/>
      <c r="E605" s="984"/>
      <c r="F605" s="984"/>
      <c r="G605" s="984"/>
      <c r="H605" s="984"/>
      <c r="I605" s="984"/>
      <c r="J605" s="984"/>
      <c r="K605" s="984"/>
      <c r="L605" s="984"/>
      <c r="M605" s="984"/>
      <c r="N605" s="984"/>
      <c r="O605" s="984"/>
      <c r="P605" s="984"/>
      <c r="Q605" s="984"/>
      <c r="R605" s="984"/>
      <c r="S605" s="984"/>
      <c r="T605" s="984"/>
      <c r="U605" s="984"/>
      <c r="V605" s="984"/>
      <c r="W605" s="984"/>
      <c r="X605" s="984"/>
      <c r="Y605" s="984"/>
      <c r="Z605" s="984"/>
    </row>
    <row r="606" spans="1:26" ht="18" customHeight="1" x14ac:dyDescent="0.35">
      <c r="A606" s="984"/>
      <c r="B606" s="984"/>
      <c r="C606" s="984"/>
      <c r="D606" s="984"/>
      <c r="E606" s="984"/>
      <c r="F606" s="984"/>
      <c r="G606" s="984"/>
      <c r="H606" s="984"/>
      <c r="I606" s="984"/>
      <c r="J606" s="984"/>
      <c r="K606" s="984"/>
      <c r="L606" s="984"/>
      <c r="M606" s="984"/>
      <c r="N606" s="984"/>
      <c r="O606" s="984"/>
      <c r="P606" s="984"/>
      <c r="Q606" s="984"/>
      <c r="R606" s="984"/>
      <c r="S606" s="984"/>
      <c r="T606" s="984"/>
      <c r="U606" s="984"/>
      <c r="V606" s="984"/>
      <c r="W606" s="984"/>
      <c r="X606" s="984"/>
      <c r="Y606" s="984"/>
      <c r="Z606" s="984"/>
    </row>
    <row r="607" spans="1:26" ht="18" customHeight="1" x14ac:dyDescent="0.35">
      <c r="A607" s="984"/>
      <c r="B607" s="984"/>
      <c r="C607" s="984"/>
      <c r="D607" s="984"/>
      <c r="E607" s="984"/>
      <c r="F607" s="984"/>
      <c r="G607" s="984"/>
      <c r="H607" s="984"/>
      <c r="I607" s="984"/>
      <c r="J607" s="984"/>
      <c r="K607" s="984"/>
      <c r="L607" s="984"/>
      <c r="M607" s="984"/>
      <c r="N607" s="984"/>
      <c r="O607" s="984"/>
      <c r="P607" s="984"/>
      <c r="Q607" s="984"/>
      <c r="R607" s="984"/>
      <c r="S607" s="984"/>
      <c r="T607" s="984"/>
      <c r="U607" s="984"/>
      <c r="V607" s="984"/>
      <c r="W607" s="984"/>
      <c r="X607" s="984"/>
      <c r="Y607" s="984"/>
      <c r="Z607" s="984"/>
    </row>
    <row r="608" spans="1:26" ht="18" customHeight="1" x14ac:dyDescent="0.35">
      <c r="A608" s="984"/>
      <c r="B608" s="984"/>
      <c r="C608" s="984"/>
      <c r="D608" s="984"/>
      <c r="E608" s="984"/>
      <c r="F608" s="984"/>
      <c r="G608" s="984"/>
      <c r="H608" s="984"/>
      <c r="I608" s="984"/>
      <c r="J608" s="984"/>
      <c r="K608" s="984"/>
      <c r="L608" s="984"/>
      <c r="M608" s="984"/>
      <c r="N608" s="984"/>
      <c r="O608" s="984"/>
      <c r="P608" s="984"/>
      <c r="Q608" s="984"/>
      <c r="R608" s="984"/>
      <c r="S608" s="984"/>
      <c r="T608" s="984"/>
      <c r="U608" s="984"/>
      <c r="V608" s="984"/>
      <c r="W608" s="984"/>
      <c r="X608" s="984"/>
      <c r="Y608" s="984"/>
      <c r="Z608" s="984"/>
    </row>
    <row r="609" spans="1:26" ht="18" customHeight="1" x14ac:dyDescent="0.35">
      <c r="A609" s="984"/>
      <c r="B609" s="984"/>
      <c r="C609" s="984"/>
      <c r="D609" s="984"/>
      <c r="E609" s="984"/>
      <c r="F609" s="984"/>
      <c r="G609" s="984"/>
      <c r="H609" s="984"/>
      <c r="I609" s="984"/>
      <c r="J609" s="984"/>
      <c r="K609" s="984"/>
      <c r="L609" s="984"/>
      <c r="M609" s="984"/>
      <c r="N609" s="984"/>
      <c r="O609" s="984"/>
      <c r="P609" s="984"/>
      <c r="Q609" s="984"/>
      <c r="R609" s="984"/>
      <c r="S609" s="984"/>
      <c r="T609" s="984"/>
      <c r="U609" s="984"/>
      <c r="V609" s="984"/>
      <c r="W609" s="984"/>
      <c r="X609" s="984"/>
      <c r="Y609" s="984"/>
      <c r="Z609" s="984"/>
    </row>
    <row r="610" spans="1:26" ht="18" customHeight="1" x14ac:dyDescent="0.35">
      <c r="A610" s="984"/>
      <c r="B610" s="984"/>
      <c r="C610" s="984"/>
      <c r="D610" s="984"/>
      <c r="E610" s="984"/>
      <c r="F610" s="984"/>
      <c r="G610" s="984"/>
      <c r="H610" s="984"/>
      <c r="I610" s="984"/>
      <c r="J610" s="984"/>
      <c r="K610" s="984"/>
      <c r="L610" s="984"/>
      <c r="M610" s="984"/>
      <c r="N610" s="984"/>
      <c r="O610" s="984"/>
      <c r="P610" s="984"/>
      <c r="Q610" s="984"/>
      <c r="R610" s="984"/>
      <c r="S610" s="984"/>
      <c r="T610" s="984"/>
      <c r="U610" s="984"/>
      <c r="V610" s="984"/>
      <c r="W610" s="984"/>
      <c r="X610" s="984"/>
      <c r="Y610" s="984"/>
      <c r="Z610" s="984"/>
    </row>
    <row r="611" spans="1:26" ht="18" customHeight="1" x14ac:dyDescent="0.35">
      <c r="A611" s="984"/>
      <c r="B611" s="984"/>
      <c r="C611" s="984"/>
      <c r="D611" s="984"/>
      <c r="E611" s="984"/>
      <c r="F611" s="984"/>
      <c r="G611" s="984"/>
      <c r="H611" s="984"/>
      <c r="I611" s="984"/>
      <c r="J611" s="984"/>
      <c r="K611" s="984"/>
      <c r="L611" s="984"/>
      <c r="M611" s="984"/>
      <c r="N611" s="984"/>
      <c r="O611" s="984"/>
      <c r="P611" s="984"/>
      <c r="Q611" s="984"/>
      <c r="R611" s="984"/>
      <c r="S611" s="984"/>
      <c r="T611" s="984"/>
      <c r="U611" s="984"/>
      <c r="V611" s="984"/>
      <c r="W611" s="984"/>
      <c r="X611" s="984"/>
      <c r="Y611" s="984"/>
      <c r="Z611" s="984"/>
    </row>
    <row r="612" spans="1:26" ht="18" customHeight="1" x14ac:dyDescent="0.35">
      <c r="A612" s="984"/>
      <c r="B612" s="984"/>
      <c r="C612" s="984"/>
      <c r="D612" s="984"/>
      <c r="E612" s="984"/>
      <c r="F612" s="984"/>
      <c r="G612" s="984"/>
      <c r="H612" s="984"/>
      <c r="I612" s="984"/>
      <c r="J612" s="984"/>
      <c r="K612" s="984"/>
      <c r="L612" s="984"/>
      <c r="M612" s="984"/>
      <c r="N612" s="984"/>
      <c r="O612" s="984"/>
      <c r="P612" s="984"/>
      <c r="Q612" s="984"/>
      <c r="R612" s="984"/>
      <c r="S612" s="984"/>
      <c r="T612" s="984"/>
      <c r="U612" s="984"/>
      <c r="V612" s="984"/>
      <c r="W612" s="984"/>
      <c r="X612" s="984"/>
      <c r="Y612" s="984"/>
      <c r="Z612" s="984"/>
    </row>
    <row r="613" spans="1:26" ht="18" customHeight="1" x14ac:dyDescent="0.35">
      <c r="A613" s="984"/>
      <c r="B613" s="984"/>
      <c r="C613" s="984"/>
      <c r="D613" s="984"/>
      <c r="E613" s="984"/>
      <c r="F613" s="984"/>
      <c r="G613" s="984"/>
      <c r="H613" s="984"/>
      <c r="I613" s="984"/>
      <c r="J613" s="984"/>
      <c r="K613" s="984"/>
      <c r="L613" s="984"/>
      <c r="M613" s="984"/>
      <c r="N613" s="984"/>
      <c r="O613" s="984"/>
      <c r="P613" s="984"/>
      <c r="Q613" s="984"/>
      <c r="R613" s="984"/>
      <c r="S613" s="984"/>
      <c r="T613" s="984"/>
      <c r="U613" s="984"/>
      <c r="V613" s="984"/>
      <c r="W613" s="984"/>
      <c r="X613" s="984"/>
      <c r="Y613" s="984"/>
      <c r="Z613" s="984"/>
    </row>
    <row r="614" spans="1:26" ht="18" customHeight="1" x14ac:dyDescent="0.35">
      <c r="A614" s="984"/>
      <c r="B614" s="984"/>
      <c r="C614" s="984"/>
      <c r="D614" s="984"/>
      <c r="E614" s="984"/>
      <c r="F614" s="984"/>
      <c r="G614" s="984"/>
      <c r="H614" s="984"/>
      <c r="I614" s="984"/>
      <c r="J614" s="984"/>
      <c r="K614" s="984"/>
      <c r="L614" s="984"/>
      <c r="M614" s="984"/>
      <c r="N614" s="984"/>
      <c r="O614" s="984"/>
      <c r="P614" s="984"/>
      <c r="Q614" s="984"/>
      <c r="R614" s="984"/>
      <c r="S614" s="984"/>
      <c r="T614" s="984"/>
      <c r="U614" s="984"/>
      <c r="V614" s="984"/>
      <c r="W614" s="984"/>
      <c r="X614" s="984"/>
      <c r="Y614" s="984"/>
      <c r="Z614" s="984"/>
    </row>
    <row r="615" spans="1:26" ht="18" customHeight="1" x14ac:dyDescent="0.35">
      <c r="A615" s="984"/>
      <c r="B615" s="984"/>
      <c r="C615" s="984"/>
      <c r="D615" s="984"/>
      <c r="E615" s="984"/>
      <c r="F615" s="984"/>
      <c r="G615" s="984"/>
      <c r="H615" s="984"/>
      <c r="I615" s="984"/>
      <c r="J615" s="984"/>
      <c r="K615" s="984"/>
      <c r="L615" s="984"/>
      <c r="M615" s="984"/>
      <c r="N615" s="984"/>
      <c r="O615" s="984"/>
      <c r="P615" s="984"/>
      <c r="Q615" s="984"/>
      <c r="R615" s="984"/>
      <c r="S615" s="984"/>
      <c r="T615" s="984"/>
      <c r="U615" s="984"/>
      <c r="V615" s="984"/>
      <c r="W615" s="984"/>
      <c r="X615" s="984"/>
      <c r="Y615" s="984"/>
      <c r="Z615" s="984"/>
    </row>
    <row r="616" spans="1:26" ht="18" customHeight="1" x14ac:dyDescent="0.35">
      <c r="A616" s="984"/>
      <c r="B616" s="984"/>
      <c r="C616" s="984"/>
      <c r="D616" s="984"/>
      <c r="E616" s="984"/>
      <c r="F616" s="984"/>
      <c r="G616" s="984"/>
      <c r="H616" s="984"/>
      <c r="I616" s="984"/>
      <c r="J616" s="984"/>
      <c r="K616" s="984"/>
      <c r="L616" s="984"/>
      <c r="M616" s="984"/>
      <c r="N616" s="984"/>
      <c r="O616" s="984"/>
      <c r="P616" s="984"/>
      <c r="Q616" s="984"/>
      <c r="R616" s="984"/>
      <c r="S616" s="984"/>
      <c r="T616" s="984"/>
      <c r="U616" s="984"/>
      <c r="V616" s="984"/>
      <c r="W616" s="984"/>
      <c r="X616" s="984"/>
      <c r="Y616" s="984"/>
      <c r="Z616" s="984"/>
    </row>
    <row r="617" spans="1:26" ht="18" customHeight="1" x14ac:dyDescent="0.35">
      <c r="A617" s="984"/>
      <c r="B617" s="984"/>
      <c r="C617" s="984"/>
      <c r="D617" s="984"/>
      <c r="E617" s="984"/>
      <c r="F617" s="984"/>
      <c r="G617" s="984"/>
      <c r="H617" s="984"/>
      <c r="I617" s="984"/>
      <c r="J617" s="984"/>
      <c r="K617" s="984"/>
      <c r="L617" s="984"/>
      <c r="M617" s="984"/>
      <c r="N617" s="984"/>
      <c r="O617" s="984"/>
      <c r="P617" s="984"/>
      <c r="Q617" s="984"/>
      <c r="R617" s="984"/>
      <c r="S617" s="984"/>
      <c r="T617" s="984"/>
      <c r="U617" s="984"/>
      <c r="V617" s="984"/>
      <c r="W617" s="984"/>
      <c r="X617" s="984"/>
      <c r="Y617" s="984"/>
      <c r="Z617" s="984"/>
    </row>
    <row r="618" spans="1:26" ht="18" customHeight="1" x14ac:dyDescent="0.35">
      <c r="A618" s="984"/>
      <c r="B618" s="984"/>
      <c r="C618" s="984"/>
      <c r="D618" s="984"/>
      <c r="E618" s="984"/>
      <c r="F618" s="984"/>
      <c r="G618" s="984"/>
      <c r="H618" s="984"/>
      <c r="I618" s="984"/>
      <c r="J618" s="984"/>
      <c r="K618" s="984"/>
      <c r="L618" s="984"/>
      <c r="M618" s="984"/>
      <c r="N618" s="984"/>
      <c r="O618" s="984"/>
      <c r="P618" s="984"/>
      <c r="Q618" s="984"/>
      <c r="R618" s="984"/>
      <c r="S618" s="984"/>
      <c r="T618" s="984"/>
      <c r="U618" s="984"/>
      <c r="V618" s="984"/>
      <c r="W618" s="984"/>
      <c r="X618" s="984"/>
      <c r="Y618" s="984"/>
      <c r="Z618" s="984"/>
    </row>
    <row r="619" spans="1:26" ht="18" customHeight="1" x14ac:dyDescent="0.35">
      <c r="A619" s="984"/>
      <c r="B619" s="984"/>
      <c r="C619" s="984"/>
      <c r="D619" s="984"/>
      <c r="E619" s="984"/>
      <c r="F619" s="984"/>
      <c r="G619" s="984"/>
      <c r="H619" s="984"/>
      <c r="I619" s="984"/>
      <c r="J619" s="984"/>
      <c r="K619" s="984"/>
      <c r="L619" s="984"/>
      <c r="M619" s="984"/>
      <c r="N619" s="984"/>
      <c r="O619" s="984"/>
      <c r="P619" s="984"/>
      <c r="Q619" s="984"/>
      <c r="R619" s="984"/>
      <c r="S619" s="984"/>
      <c r="T619" s="984"/>
      <c r="U619" s="984"/>
      <c r="V619" s="984"/>
      <c r="W619" s="984"/>
      <c r="X619" s="984"/>
      <c r="Y619" s="984"/>
      <c r="Z619" s="984"/>
    </row>
    <row r="620" spans="1:26" ht="18" customHeight="1" x14ac:dyDescent="0.35">
      <c r="A620" s="984"/>
      <c r="B620" s="984"/>
      <c r="C620" s="984"/>
      <c r="D620" s="984"/>
      <c r="E620" s="984"/>
      <c r="F620" s="984"/>
      <c r="G620" s="984"/>
      <c r="H620" s="984"/>
      <c r="I620" s="984"/>
      <c r="J620" s="984"/>
      <c r="K620" s="984"/>
      <c r="L620" s="984"/>
      <c r="M620" s="984"/>
      <c r="N620" s="984"/>
      <c r="O620" s="984"/>
      <c r="P620" s="984"/>
      <c r="Q620" s="984"/>
      <c r="R620" s="984"/>
      <c r="S620" s="984"/>
      <c r="T620" s="984"/>
      <c r="U620" s="984"/>
      <c r="V620" s="984"/>
      <c r="W620" s="984"/>
      <c r="X620" s="984"/>
      <c r="Y620" s="984"/>
      <c r="Z620" s="984"/>
    </row>
    <row r="621" spans="1:26" ht="18" customHeight="1" x14ac:dyDescent="0.35">
      <c r="A621" s="984"/>
      <c r="B621" s="984"/>
      <c r="C621" s="984"/>
      <c r="D621" s="984"/>
      <c r="E621" s="984"/>
      <c r="F621" s="984"/>
      <c r="G621" s="984"/>
      <c r="H621" s="984"/>
      <c r="I621" s="984"/>
      <c r="J621" s="984"/>
      <c r="K621" s="984"/>
      <c r="L621" s="984"/>
      <c r="M621" s="984"/>
      <c r="N621" s="984"/>
      <c r="O621" s="984"/>
      <c r="P621" s="984"/>
      <c r="Q621" s="984"/>
      <c r="R621" s="984"/>
      <c r="S621" s="984"/>
      <c r="T621" s="984"/>
      <c r="U621" s="984"/>
      <c r="V621" s="984"/>
      <c r="W621" s="984"/>
      <c r="X621" s="984"/>
      <c r="Y621" s="984"/>
      <c r="Z621" s="984"/>
    </row>
    <row r="622" spans="1:26" ht="18" customHeight="1" x14ac:dyDescent="0.35">
      <c r="A622" s="984"/>
      <c r="B622" s="984"/>
      <c r="C622" s="984"/>
      <c r="D622" s="984"/>
      <c r="E622" s="984"/>
      <c r="F622" s="984"/>
      <c r="G622" s="984"/>
      <c r="H622" s="984"/>
      <c r="I622" s="984"/>
      <c r="J622" s="984"/>
      <c r="K622" s="984"/>
      <c r="L622" s="984"/>
      <c r="M622" s="984"/>
      <c r="N622" s="984"/>
      <c r="O622" s="984"/>
      <c r="P622" s="984"/>
      <c r="Q622" s="984"/>
      <c r="R622" s="984"/>
      <c r="S622" s="984"/>
      <c r="T622" s="984"/>
      <c r="U622" s="984"/>
      <c r="V622" s="984"/>
      <c r="W622" s="984"/>
      <c r="X622" s="984"/>
      <c r="Y622" s="984"/>
      <c r="Z622" s="984"/>
    </row>
    <row r="623" spans="1:26" ht="18" customHeight="1" x14ac:dyDescent="0.35">
      <c r="A623" s="984"/>
      <c r="B623" s="984"/>
      <c r="C623" s="984"/>
      <c r="D623" s="984"/>
      <c r="E623" s="984"/>
      <c r="F623" s="984"/>
      <c r="G623" s="984"/>
      <c r="H623" s="984"/>
      <c r="I623" s="984"/>
      <c r="J623" s="984"/>
      <c r="K623" s="984"/>
      <c r="L623" s="984"/>
      <c r="M623" s="984"/>
      <c r="N623" s="984"/>
      <c r="O623" s="984"/>
      <c r="P623" s="984"/>
      <c r="Q623" s="984"/>
      <c r="R623" s="984"/>
      <c r="S623" s="984"/>
      <c r="T623" s="984"/>
      <c r="U623" s="984"/>
      <c r="V623" s="984"/>
      <c r="W623" s="984"/>
      <c r="X623" s="984"/>
      <c r="Y623" s="984"/>
      <c r="Z623" s="984"/>
    </row>
    <row r="624" spans="1:26" ht="18" customHeight="1" x14ac:dyDescent="0.35">
      <c r="A624" s="984"/>
      <c r="B624" s="984"/>
      <c r="C624" s="984"/>
      <c r="D624" s="984"/>
      <c r="E624" s="984"/>
      <c r="F624" s="984"/>
      <c r="G624" s="984"/>
      <c r="H624" s="984"/>
      <c r="I624" s="984"/>
      <c r="J624" s="984"/>
      <c r="K624" s="984"/>
      <c r="L624" s="984"/>
      <c r="M624" s="984"/>
      <c r="N624" s="984"/>
      <c r="O624" s="984"/>
      <c r="P624" s="984"/>
      <c r="Q624" s="984"/>
      <c r="R624" s="984"/>
      <c r="S624" s="984"/>
      <c r="T624" s="984"/>
      <c r="U624" s="984"/>
      <c r="V624" s="984"/>
      <c r="W624" s="984"/>
      <c r="X624" s="984"/>
      <c r="Y624" s="984"/>
      <c r="Z624" s="984"/>
    </row>
    <row r="625" spans="1:26" ht="18" customHeight="1" x14ac:dyDescent="0.35">
      <c r="A625" s="984"/>
      <c r="B625" s="984"/>
      <c r="C625" s="984"/>
      <c r="D625" s="984"/>
      <c r="E625" s="984"/>
      <c r="F625" s="984"/>
      <c r="G625" s="984"/>
      <c r="H625" s="984"/>
      <c r="I625" s="984"/>
      <c r="J625" s="984"/>
      <c r="K625" s="984"/>
      <c r="L625" s="984"/>
      <c r="M625" s="984"/>
      <c r="N625" s="984"/>
      <c r="O625" s="984"/>
      <c r="P625" s="984"/>
      <c r="Q625" s="984"/>
      <c r="R625" s="984"/>
      <c r="S625" s="984"/>
      <c r="T625" s="984"/>
      <c r="U625" s="984"/>
      <c r="V625" s="984"/>
      <c r="W625" s="984"/>
      <c r="X625" s="984"/>
      <c r="Y625" s="984"/>
      <c r="Z625" s="984"/>
    </row>
    <row r="626" spans="1:26" ht="18" customHeight="1" x14ac:dyDescent="0.35">
      <c r="A626" s="984"/>
      <c r="B626" s="984"/>
      <c r="C626" s="984"/>
      <c r="D626" s="984"/>
      <c r="E626" s="984"/>
      <c r="F626" s="984"/>
      <c r="G626" s="984"/>
      <c r="H626" s="984"/>
      <c r="I626" s="984"/>
      <c r="J626" s="984"/>
      <c r="K626" s="984"/>
      <c r="L626" s="984"/>
      <c r="M626" s="984"/>
      <c r="N626" s="984"/>
      <c r="O626" s="984"/>
      <c r="P626" s="984"/>
      <c r="Q626" s="984"/>
      <c r="R626" s="984"/>
      <c r="S626" s="984"/>
      <c r="T626" s="984"/>
      <c r="U626" s="984"/>
      <c r="V626" s="984"/>
      <c r="W626" s="984"/>
      <c r="X626" s="984"/>
      <c r="Y626" s="984"/>
      <c r="Z626" s="984"/>
    </row>
    <row r="627" spans="1:26" ht="18" customHeight="1" x14ac:dyDescent="0.35">
      <c r="A627" s="984"/>
      <c r="B627" s="984"/>
      <c r="C627" s="984"/>
      <c r="D627" s="984"/>
      <c r="E627" s="984"/>
      <c r="F627" s="984"/>
      <c r="G627" s="984"/>
      <c r="H627" s="984"/>
      <c r="I627" s="984"/>
      <c r="J627" s="984"/>
      <c r="K627" s="984"/>
      <c r="L627" s="984"/>
      <c r="M627" s="984"/>
      <c r="N627" s="984"/>
      <c r="O627" s="984"/>
      <c r="P627" s="984"/>
      <c r="Q627" s="984"/>
      <c r="R627" s="984"/>
      <c r="S627" s="984"/>
      <c r="T627" s="984"/>
      <c r="U627" s="984"/>
      <c r="V627" s="984"/>
      <c r="W627" s="984"/>
      <c r="X627" s="984"/>
      <c r="Y627" s="984"/>
      <c r="Z627" s="984"/>
    </row>
    <row r="628" spans="1:26" ht="18" customHeight="1" x14ac:dyDescent="0.35">
      <c r="A628" s="984"/>
      <c r="B628" s="984"/>
      <c r="C628" s="984"/>
      <c r="D628" s="984"/>
      <c r="E628" s="984"/>
      <c r="F628" s="984"/>
      <c r="G628" s="984"/>
      <c r="H628" s="984"/>
      <c r="I628" s="984"/>
      <c r="J628" s="984"/>
      <c r="K628" s="984"/>
      <c r="L628" s="984"/>
      <c r="M628" s="984"/>
      <c r="N628" s="984"/>
      <c r="O628" s="984"/>
      <c r="P628" s="984"/>
      <c r="Q628" s="984"/>
      <c r="R628" s="984"/>
      <c r="S628" s="984"/>
      <c r="T628" s="984"/>
      <c r="U628" s="984"/>
      <c r="V628" s="984"/>
      <c r="W628" s="984"/>
      <c r="X628" s="984"/>
      <c r="Y628" s="984"/>
      <c r="Z628" s="984"/>
    </row>
    <row r="629" spans="1:26" ht="18" customHeight="1" x14ac:dyDescent="0.35">
      <c r="A629" s="984"/>
      <c r="B629" s="984"/>
      <c r="C629" s="984"/>
      <c r="D629" s="984"/>
      <c r="E629" s="984"/>
      <c r="F629" s="984"/>
      <c r="G629" s="984"/>
      <c r="H629" s="984"/>
      <c r="I629" s="984"/>
      <c r="J629" s="984"/>
      <c r="K629" s="984"/>
      <c r="L629" s="984"/>
      <c r="M629" s="984"/>
      <c r="N629" s="984"/>
      <c r="O629" s="984"/>
      <c r="P629" s="984"/>
      <c r="Q629" s="984"/>
      <c r="R629" s="984"/>
      <c r="S629" s="984"/>
      <c r="T629" s="984"/>
      <c r="U629" s="984"/>
      <c r="V629" s="984"/>
      <c r="W629" s="984"/>
      <c r="X629" s="984"/>
      <c r="Y629" s="984"/>
      <c r="Z629" s="984"/>
    </row>
    <row r="630" spans="1:26" ht="18" customHeight="1" x14ac:dyDescent="0.35">
      <c r="A630" s="984"/>
      <c r="B630" s="984"/>
      <c r="C630" s="984"/>
      <c r="D630" s="984"/>
      <c r="E630" s="984"/>
      <c r="F630" s="984"/>
      <c r="G630" s="984"/>
      <c r="H630" s="984"/>
      <c r="I630" s="984"/>
      <c r="J630" s="984"/>
      <c r="K630" s="984"/>
      <c r="L630" s="984"/>
      <c r="M630" s="984"/>
      <c r="N630" s="984"/>
      <c r="O630" s="984"/>
      <c r="P630" s="984"/>
      <c r="Q630" s="984"/>
      <c r="R630" s="984"/>
      <c r="S630" s="984"/>
      <c r="T630" s="984"/>
      <c r="U630" s="984"/>
      <c r="V630" s="984"/>
      <c r="W630" s="984"/>
      <c r="X630" s="984"/>
      <c r="Y630" s="984"/>
      <c r="Z630" s="984"/>
    </row>
    <row r="631" spans="1:26" ht="18" customHeight="1" x14ac:dyDescent="0.35">
      <c r="A631" s="984"/>
      <c r="B631" s="984"/>
      <c r="C631" s="984"/>
      <c r="D631" s="984"/>
      <c r="E631" s="984"/>
      <c r="F631" s="984"/>
      <c r="G631" s="984"/>
      <c r="H631" s="984"/>
      <c r="I631" s="984"/>
      <c r="J631" s="984"/>
      <c r="K631" s="984"/>
      <c r="L631" s="984"/>
      <c r="M631" s="984"/>
      <c r="N631" s="984"/>
      <c r="O631" s="984"/>
      <c r="P631" s="984"/>
      <c r="Q631" s="984"/>
      <c r="R631" s="984"/>
      <c r="S631" s="984"/>
      <c r="T631" s="984"/>
      <c r="U631" s="984"/>
      <c r="V631" s="984"/>
      <c r="W631" s="984"/>
      <c r="X631" s="984"/>
      <c r="Y631" s="984"/>
      <c r="Z631" s="984"/>
    </row>
    <row r="632" spans="1:26" ht="18" customHeight="1" x14ac:dyDescent="0.35">
      <c r="A632" s="984"/>
      <c r="B632" s="984"/>
      <c r="C632" s="984"/>
      <c r="D632" s="984"/>
      <c r="E632" s="984"/>
      <c r="F632" s="984"/>
      <c r="G632" s="984"/>
      <c r="H632" s="984"/>
      <c r="I632" s="984"/>
      <c r="J632" s="984"/>
      <c r="K632" s="984"/>
      <c r="L632" s="984"/>
      <c r="M632" s="984"/>
      <c r="N632" s="984"/>
      <c r="O632" s="984"/>
      <c r="P632" s="984"/>
      <c r="Q632" s="984"/>
      <c r="R632" s="984"/>
      <c r="S632" s="984"/>
      <c r="T632" s="984"/>
      <c r="U632" s="984"/>
      <c r="V632" s="984"/>
      <c r="W632" s="984"/>
      <c r="X632" s="984"/>
      <c r="Y632" s="984"/>
      <c r="Z632" s="984"/>
    </row>
    <row r="633" spans="1:26" ht="18" customHeight="1" x14ac:dyDescent="0.35">
      <c r="A633" s="984"/>
      <c r="B633" s="984"/>
      <c r="C633" s="984"/>
      <c r="D633" s="984"/>
      <c r="E633" s="984"/>
      <c r="F633" s="984"/>
      <c r="G633" s="984"/>
      <c r="H633" s="984"/>
      <c r="I633" s="984"/>
      <c r="J633" s="984"/>
      <c r="K633" s="984"/>
      <c r="L633" s="984"/>
      <c r="M633" s="984"/>
      <c r="N633" s="984"/>
      <c r="O633" s="984"/>
      <c r="P633" s="984"/>
      <c r="Q633" s="984"/>
      <c r="R633" s="984"/>
      <c r="S633" s="984"/>
      <c r="T633" s="984"/>
      <c r="U633" s="984"/>
      <c r="V633" s="984"/>
      <c r="W633" s="984"/>
      <c r="X633" s="984"/>
      <c r="Y633" s="984"/>
      <c r="Z633" s="984"/>
    </row>
    <row r="634" spans="1:26" ht="18" customHeight="1" x14ac:dyDescent="0.35">
      <c r="A634" s="984"/>
      <c r="B634" s="984"/>
      <c r="C634" s="984"/>
      <c r="D634" s="984"/>
      <c r="E634" s="984"/>
      <c r="F634" s="984"/>
      <c r="G634" s="984"/>
      <c r="H634" s="984"/>
      <c r="I634" s="984"/>
      <c r="J634" s="984"/>
      <c r="K634" s="984"/>
      <c r="L634" s="984"/>
      <c r="M634" s="984"/>
      <c r="N634" s="984"/>
      <c r="O634" s="984"/>
      <c r="P634" s="984"/>
      <c r="Q634" s="984"/>
      <c r="R634" s="984"/>
      <c r="S634" s="984"/>
      <c r="T634" s="984"/>
      <c r="U634" s="984"/>
      <c r="V634" s="984"/>
      <c r="W634" s="984"/>
      <c r="X634" s="984"/>
      <c r="Y634" s="984"/>
      <c r="Z634" s="984"/>
    </row>
    <row r="635" spans="1:26" ht="18" customHeight="1" x14ac:dyDescent="0.35">
      <c r="A635" s="984"/>
      <c r="B635" s="984"/>
      <c r="C635" s="984"/>
      <c r="D635" s="984"/>
      <c r="E635" s="984"/>
      <c r="F635" s="984"/>
      <c r="G635" s="984"/>
      <c r="H635" s="984"/>
      <c r="I635" s="984"/>
      <c r="J635" s="984"/>
      <c r="K635" s="984"/>
      <c r="L635" s="984"/>
      <c r="M635" s="984"/>
      <c r="N635" s="984"/>
      <c r="O635" s="984"/>
      <c r="P635" s="984"/>
      <c r="Q635" s="984"/>
      <c r="R635" s="984"/>
      <c r="S635" s="984"/>
      <c r="T635" s="984"/>
      <c r="U635" s="984"/>
      <c r="V635" s="984"/>
      <c r="W635" s="984"/>
      <c r="X635" s="984"/>
      <c r="Y635" s="984"/>
      <c r="Z635" s="984"/>
    </row>
    <row r="636" spans="1:26" ht="18" customHeight="1" x14ac:dyDescent="0.35">
      <c r="A636" s="984"/>
      <c r="B636" s="984"/>
      <c r="C636" s="984"/>
      <c r="D636" s="984"/>
      <c r="E636" s="984"/>
      <c r="F636" s="984"/>
      <c r="G636" s="984"/>
      <c r="H636" s="984"/>
      <c r="I636" s="984"/>
      <c r="J636" s="984"/>
      <c r="K636" s="984"/>
      <c r="L636" s="984"/>
      <c r="M636" s="984"/>
      <c r="N636" s="984"/>
      <c r="O636" s="984"/>
      <c r="P636" s="984"/>
      <c r="Q636" s="984"/>
      <c r="R636" s="984"/>
      <c r="S636" s="984"/>
      <c r="T636" s="984"/>
      <c r="U636" s="984"/>
      <c r="V636" s="984"/>
      <c r="W636" s="984"/>
      <c r="X636" s="984"/>
      <c r="Y636" s="984"/>
      <c r="Z636" s="984"/>
    </row>
    <row r="637" spans="1:26" ht="18" customHeight="1" x14ac:dyDescent="0.35">
      <c r="A637" s="984"/>
      <c r="B637" s="984"/>
      <c r="C637" s="984"/>
      <c r="D637" s="984"/>
      <c r="E637" s="984"/>
      <c r="F637" s="984"/>
      <c r="G637" s="984"/>
      <c r="H637" s="984"/>
      <c r="I637" s="984"/>
      <c r="J637" s="984"/>
      <c r="K637" s="984"/>
      <c r="L637" s="984"/>
      <c r="M637" s="984"/>
      <c r="N637" s="984"/>
      <c r="O637" s="984"/>
      <c r="P637" s="984"/>
      <c r="Q637" s="984"/>
      <c r="R637" s="984"/>
      <c r="S637" s="984"/>
      <c r="T637" s="984"/>
      <c r="U637" s="984"/>
      <c r="V637" s="984"/>
      <c r="W637" s="984"/>
      <c r="X637" s="984"/>
      <c r="Y637" s="984"/>
      <c r="Z637" s="984"/>
    </row>
    <row r="638" spans="1:26" ht="18" customHeight="1" x14ac:dyDescent="0.35">
      <c r="A638" s="984"/>
      <c r="B638" s="984"/>
      <c r="C638" s="984"/>
      <c r="D638" s="984"/>
      <c r="E638" s="984"/>
      <c r="F638" s="984"/>
      <c r="G638" s="984"/>
      <c r="H638" s="984"/>
      <c r="I638" s="984"/>
      <c r="J638" s="984"/>
      <c r="K638" s="984"/>
      <c r="L638" s="984"/>
      <c r="M638" s="984"/>
      <c r="N638" s="984"/>
      <c r="O638" s="984"/>
      <c r="P638" s="984"/>
      <c r="Q638" s="984"/>
      <c r="R638" s="984"/>
      <c r="S638" s="984"/>
      <c r="T638" s="984"/>
      <c r="U638" s="984"/>
      <c r="V638" s="984"/>
      <c r="W638" s="984"/>
      <c r="X638" s="984"/>
      <c r="Y638" s="984"/>
      <c r="Z638" s="984"/>
    </row>
    <row r="639" spans="1:26" ht="18" customHeight="1" x14ac:dyDescent="0.35">
      <c r="A639" s="984"/>
      <c r="B639" s="984"/>
      <c r="C639" s="984"/>
      <c r="D639" s="984"/>
      <c r="E639" s="984"/>
      <c r="F639" s="984"/>
      <c r="G639" s="984"/>
      <c r="H639" s="984"/>
      <c r="I639" s="984"/>
      <c r="J639" s="984"/>
      <c r="K639" s="984"/>
      <c r="L639" s="984"/>
      <c r="M639" s="984"/>
      <c r="N639" s="984"/>
      <c r="O639" s="984"/>
      <c r="P639" s="984"/>
      <c r="Q639" s="984"/>
      <c r="R639" s="984"/>
      <c r="S639" s="984"/>
      <c r="T639" s="984"/>
      <c r="U639" s="984"/>
      <c r="V639" s="984"/>
      <c r="W639" s="984"/>
      <c r="X639" s="984"/>
      <c r="Y639" s="984"/>
      <c r="Z639" s="984"/>
    </row>
    <row r="640" spans="1:26" ht="18" customHeight="1" x14ac:dyDescent="0.35">
      <c r="A640" s="984"/>
      <c r="B640" s="984"/>
      <c r="C640" s="984"/>
      <c r="D640" s="984"/>
      <c r="E640" s="984"/>
      <c r="F640" s="984"/>
      <c r="G640" s="984"/>
      <c r="H640" s="984"/>
      <c r="I640" s="984"/>
      <c r="J640" s="984"/>
      <c r="K640" s="984"/>
      <c r="L640" s="984"/>
      <c r="M640" s="984"/>
      <c r="N640" s="984"/>
      <c r="O640" s="984"/>
      <c r="P640" s="984"/>
      <c r="Q640" s="984"/>
      <c r="R640" s="984"/>
      <c r="S640" s="984"/>
      <c r="T640" s="984"/>
      <c r="U640" s="984"/>
      <c r="V640" s="984"/>
      <c r="W640" s="984"/>
      <c r="X640" s="984"/>
      <c r="Y640" s="984"/>
      <c r="Z640" s="984"/>
    </row>
    <row r="641" spans="1:26" ht="18" customHeight="1" x14ac:dyDescent="0.35">
      <c r="A641" s="984"/>
      <c r="B641" s="984"/>
      <c r="C641" s="984"/>
      <c r="D641" s="984"/>
      <c r="E641" s="984"/>
      <c r="F641" s="984"/>
      <c r="G641" s="984"/>
      <c r="H641" s="984"/>
      <c r="I641" s="984"/>
      <c r="J641" s="984"/>
      <c r="K641" s="984"/>
      <c r="L641" s="984"/>
      <c r="M641" s="984"/>
      <c r="N641" s="984"/>
      <c r="O641" s="984"/>
      <c r="P641" s="984"/>
      <c r="Q641" s="984"/>
      <c r="R641" s="984"/>
      <c r="S641" s="984"/>
      <c r="T641" s="984"/>
      <c r="U641" s="984"/>
      <c r="V641" s="984"/>
      <c r="W641" s="984"/>
      <c r="X641" s="984"/>
      <c r="Y641" s="984"/>
      <c r="Z641" s="984"/>
    </row>
    <row r="642" spans="1:26" ht="18" customHeight="1" x14ac:dyDescent="0.35">
      <c r="A642" s="984"/>
      <c r="B642" s="984"/>
      <c r="C642" s="984"/>
      <c r="D642" s="984"/>
      <c r="E642" s="984"/>
      <c r="F642" s="984"/>
      <c r="G642" s="984"/>
      <c r="H642" s="984"/>
      <c r="I642" s="984"/>
      <c r="J642" s="984"/>
      <c r="K642" s="984"/>
      <c r="L642" s="984"/>
      <c r="M642" s="984"/>
      <c r="N642" s="984"/>
      <c r="O642" s="984"/>
      <c r="P642" s="984"/>
      <c r="Q642" s="984"/>
      <c r="R642" s="984"/>
      <c r="S642" s="984"/>
      <c r="T642" s="984"/>
      <c r="U642" s="984"/>
      <c r="V642" s="984"/>
      <c r="W642" s="984"/>
      <c r="X642" s="984"/>
      <c r="Y642" s="984"/>
      <c r="Z642" s="984"/>
    </row>
    <row r="643" spans="1:26" ht="18" customHeight="1" x14ac:dyDescent="0.35">
      <c r="A643" s="984"/>
      <c r="B643" s="984"/>
      <c r="C643" s="984"/>
      <c r="D643" s="984"/>
      <c r="E643" s="984"/>
      <c r="F643" s="984"/>
      <c r="G643" s="984"/>
      <c r="H643" s="984"/>
      <c r="I643" s="984"/>
      <c r="J643" s="984"/>
      <c r="K643" s="984"/>
      <c r="L643" s="984"/>
      <c r="M643" s="984"/>
      <c r="N643" s="984"/>
      <c r="O643" s="984"/>
      <c r="P643" s="984"/>
      <c r="Q643" s="984"/>
      <c r="R643" s="984"/>
      <c r="S643" s="984"/>
      <c r="T643" s="984"/>
      <c r="U643" s="984"/>
      <c r="V643" s="984"/>
      <c r="W643" s="984"/>
      <c r="X643" s="984"/>
      <c r="Y643" s="984"/>
      <c r="Z643" s="984"/>
    </row>
    <row r="644" spans="1:26" ht="18" customHeight="1" x14ac:dyDescent="0.35">
      <c r="A644" s="984"/>
      <c r="B644" s="984"/>
      <c r="C644" s="984"/>
      <c r="D644" s="984"/>
      <c r="E644" s="984"/>
      <c r="F644" s="984"/>
      <c r="G644" s="984"/>
      <c r="H644" s="984"/>
      <c r="I644" s="984"/>
      <c r="J644" s="984"/>
      <c r="K644" s="984"/>
      <c r="L644" s="984"/>
      <c r="M644" s="984"/>
      <c r="N644" s="984"/>
      <c r="O644" s="984"/>
      <c r="P644" s="984"/>
      <c r="Q644" s="984"/>
      <c r="R644" s="984"/>
      <c r="S644" s="984"/>
      <c r="T644" s="984"/>
      <c r="U644" s="984"/>
      <c r="V644" s="984"/>
      <c r="W644" s="984"/>
      <c r="X644" s="984"/>
      <c r="Y644" s="984"/>
      <c r="Z644" s="984"/>
    </row>
    <row r="645" spans="1:26" ht="18" customHeight="1" x14ac:dyDescent="0.35">
      <c r="A645" s="984"/>
      <c r="B645" s="984"/>
      <c r="C645" s="984"/>
      <c r="D645" s="984"/>
      <c r="E645" s="984"/>
      <c r="F645" s="984"/>
      <c r="G645" s="984"/>
      <c r="H645" s="984"/>
      <c r="I645" s="984"/>
      <c r="J645" s="984"/>
      <c r="K645" s="984"/>
      <c r="L645" s="984"/>
      <c r="M645" s="984"/>
      <c r="N645" s="984"/>
      <c r="O645" s="984"/>
      <c r="P645" s="984"/>
      <c r="Q645" s="984"/>
      <c r="R645" s="984"/>
      <c r="S645" s="984"/>
      <c r="T645" s="984"/>
      <c r="U645" s="984"/>
      <c r="V645" s="984"/>
      <c r="W645" s="984"/>
      <c r="X645" s="984"/>
      <c r="Y645" s="984"/>
      <c r="Z645" s="984"/>
    </row>
    <row r="646" spans="1:26" ht="18" customHeight="1" x14ac:dyDescent="0.35">
      <c r="A646" s="984"/>
      <c r="B646" s="984"/>
      <c r="C646" s="984"/>
      <c r="D646" s="984"/>
      <c r="E646" s="984"/>
      <c r="F646" s="984"/>
      <c r="G646" s="984"/>
      <c r="H646" s="984"/>
      <c r="I646" s="984"/>
      <c r="J646" s="984"/>
      <c r="K646" s="984"/>
      <c r="L646" s="984"/>
      <c r="M646" s="984"/>
      <c r="N646" s="984"/>
      <c r="O646" s="984"/>
      <c r="P646" s="984"/>
      <c r="Q646" s="984"/>
      <c r="R646" s="984"/>
      <c r="S646" s="984"/>
      <c r="T646" s="984"/>
      <c r="U646" s="984"/>
      <c r="V646" s="984"/>
      <c r="W646" s="984"/>
      <c r="X646" s="984"/>
      <c r="Y646" s="984"/>
      <c r="Z646" s="984"/>
    </row>
    <row r="647" spans="1:26" ht="18" customHeight="1" x14ac:dyDescent="0.35">
      <c r="A647" s="984"/>
      <c r="B647" s="984"/>
      <c r="C647" s="984"/>
      <c r="D647" s="984"/>
      <c r="E647" s="984"/>
      <c r="F647" s="984"/>
      <c r="G647" s="984"/>
      <c r="H647" s="984"/>
      <c r="I647" s="984"/>
      <c r="J647" s="984"/>
      <c r="K647" s="984"/>
      <c r="L647" s="984"/>
      <c r="M647" s="984"/>
      <c r="N647" s="984"/>
      <c r="O647" s="984"/>
      <c r="P647" s="984"/>
      <c r="Q647" s="984"/>
      <c r="R647" s="984"/>
      <c r="S647" s="984"/>
      <c r="T647" s="984"/>
      <c r="U647" s="984"/>
      <c r="V647" s="984"/>
      <c r="W647" s="984"/>
      <c r="X647" s="984"/>
      <c r="Y647" s="984"/>
      <c r="Z647" s="984"/>
    </row>
    <row r="648" spans="1:26" ht="18" customHeight="1" x14ac:dyDescent="0.35">
      <c r="A648" s="984"/>
      <c r="B648" s="984"/>
      <c r="C648" s="984"/>
      <c r="D648" s="984"/>
      <c r="E648" s="984"/>
      <c r="F648" s="984"/>
      <c r="G648" s="984"/>
      <c r="H648" s="984"/>
      <c r="I648" s="984"/>
      <c r="J648" s="984"/>
      <c r="K648" s="984"/>
      <c r="L648" s="984"/>
      <c r="M648" s="984"/>
      <c r="N648" s="984"/>
      <c r="O648" s="984"/>
      <c r="P648" s="984"/>
      <c r="Q648" s="984"/>
      <c r="R648" s="984"/>
      <c r="S648" s="984"/>
      <c r="T648" s="984"/>
      <c r="U648" s="984"/>
      <c r="V648" s="984"/>
      <c r="W648" s="984"/>
      <c r="X648" s="984"/>
      <c r="Y648" s="984"/>
      <c r="Z648" s="984"/>
    </row>
    <row r="649" spans="1:26" ht="18" customHeight="1" x14ac:dyDescent="0.35">
      <c r="A649" s="984"/>
      <c r="B649" s="984"/>
      <c r="C649" s="984"/>
      <c r="D649" s="984"/>
      <c r="E649" s="984"/>
      <c r="F649" s="984"/>
      <c r="G649" s="984"/>
      <c r="H649" s="984"/>
      <c r="I649" s="984"/>
      <c r="J649" s="984"/>
      <c r="K649" s="984"/>
      <c r="L649" s="984"/>
      <c r="M649" s="984"/>
      <c r="N649" s="984"/>
      <c r="O649" s="984"/>
      <c r="P649" s="984"/>
      <c r="Q649" s="984"/>
      <c r="R649" s="984"/>
      <c r="S649" s="984"/>
      <c r="T649" s="984"/>
      <c r="U649" s="984"/>
      <c r="V649" s="984"/>
      <c r="W649" s="984"/>
      <c r="X649" s="984"/>
      <c r="Y649" s="984"/>
      <c r="Z649" s="984"/>
    </row>
    <row r="650" spans="1:26" ht="18" customHeight="1" x14ac:dyDescent="0.35">
      <c r="A650" s="984"/>
      <c r="B650" s="984"/>
      <c r="C650" s="984"/>
      <c r="D650" s="984"/>
      <c r="E650" s="984"/>
      <c r="F650" s="984"/>
      <c r="G650" s="984"/>
      <c r="H650" s="984"/>
      <c r="I650" s="984"/>
      <c r="J650" s="984"/>
      <c r="K650" s="984"/>
      <c r="L650" s="984"/>
      <c r="M650" s="984"/>
      <c r="N650" s="984"/>
      <c r="O650" s="984"/>
      <c r="P650" s="984"/>
      <c r="Q650" s="984"/>
      <c r="R650" s="984"/>
      <c r="S650" s="984"/>
      <c r="T650" s="984"/>
      <c r="U650" s="984"/>
      <c r="V650" s="984"/>
      <c r="W650" s="984"/>
      <c r="X650" s="984"/>
      <c r="Y650" s="984"/>
      <c r="Z650" s="984"/>
    </row>
    <row r="651" spans="1:26" ht="18" customHeight="1" x14ac:dyDescent="0.35">
      <c r="A651" s="984"/>
      <c r="B651" s="984"/>
      <c r="C651" s="984"/>
      <c r="D651" s="984"/>
      <c r="E651" s="984"/>
      <c r="F651" s="984"/>
      <c r="G651" s="984"/>
      <c r="H651" s="984"/>
      <c r="I651" s="984"/>
      <c r="J651" s="984"/>
      <c r="K651" s="984"/>
      <c r="L651" s="984"/>
      <c r="M651" s="984"/>
      <c r="N651" s="984"/>
      <c r="O651" s="984"/>
      <c r="P651" s="984"/>
      <c r="Q651" s="984"/>
      <c r="R651" s="984"/>
      <c r="S651" s="984"/>
      <c r="T651" s="984"/>
      <c r="U651" s="984"/>
      <c r="V651" s="984"/>
      <c r="W651" s="984"/>
      <c r="X651" s="984"/>
      <c r="Y651" s="984"/>
      <c r="Z651" s="984"/>
    </row>
    <row r="652" spans="1:26" ht="18" customHeight="1" x14ac:dyDescent="0.35">
      <c r="A652" s="984"/>
      <c r="B652" s="984"/>
      <c r="C652" s="984"/>
      <c r="D652" s="984"/>
      <c r="E652" s="984"/>
      <c r="F652" s="984"/>
      <c r="G652" s="984"/>
      <c r="H652" s="984"/>
      <c r="I652" s="984"/>
      <c r="J652" s="984"/>
      <c r="K652" s="984"/>
      <c r="L652" s="984"/>
      <c r="M652" s="984"/>
      <c r="N652" s="984"/>
      <c r="O652" s="984"/>
      <c r="P652" s="984"/>
      <c r="Q652" s="984"/>
      <c r="R652" s="984"/>
      <c r="S652" s="984"/>
      <c r="T652" s="984"/>
      <c r="U652" s="984"/>
      <c r="V652" s="984"/>
      <c r="W652" s="984"/>
      <c r="X652" s="984"/>
      <c r="Y652" s="984"/>
      <c r="Z652" s="984"/>
    </row>
    <row r="653" spans="1:26" ht="18" customHeight="1" x14ac:dyDescent="0.35">
      <c r="A653" s="984"/>
      <c r="B653" s="984"/>
      <c r="C653" s="984"/>
      <c r="D653" s="984"/>
      <c r="E653" s="984"/>
      <c r="F653" s="984"/>
      <c r="G653" s="984"/>
      <c r="H653" s="984"/>
      <c r="I653" s="984"/>
      <c r="J653" s="984"/>
      <c r="K653" s="984"/>
      <c r="L653" s="984"/>
      <c r="M653" s="984"/>
      <c r="N653" s="984"/>
      <c r="O653" s="984"/>
      <c r="P653" s="984"/>
      <c r="Q653" s="984"/>
      <c r="R653" s="984"/>
      <c r="S653" s="984"/>
      <c r="T653" s="984"/>
      <c r="U653" s="984"/>
      <c r="V653" s="984"/>
      <c r="W653" s="984"/>
      <c r="X653" s="984"/>
      <c r="Y653" s="984"/>
      <c r="Z653" s="984"/>
    </row>
    <row r="654" spans="1:26" ht="18" customHeight="1" x14ac:dyDescent="0.35">
      <c r="A654" s="984"/>
      <c r="B654" s="984"/>
      <c r="C654" s="984"/>
      <c r="D654" s="984"/>
      <c r="E654" s="984"/>
      <c r="F654" s="984"/>
      <c r="G654" s="984"/>
      <c r="H654" s="984"/>
      <c r="I654" s="984"/>
      <c r="J654" s="984"/>
      <c r="K654" s="984"/>
      <c r="L654" s="984"/>
      <c r="M654" s="984"/>
      <c r="N654" s="984"/>
      <c r="O654" s="984"/>
      <c r="P654" s="984"/>
      <c r="Q654" s="984"/>
      <c r="R654" s="984"/>
      <c r="S654" s="984"/>
      <c r="T654" s="984"/>
      <c r="U654" s="984"/>
      <c r="V654" s="984"/>
      <c r="W654" s="984"/>
      <c r="X654" s="984"/>
      <c r="Y654" s="984"/>
      <c r="Z654" s="984"/>
    </row>
    <row r="655" spans="1:26" ht="18" customHeight="1" x14ac:dyDescent="0.35">
      <c r="A655" s="984"/>
      <c r="B655" s="984"/>
      <c r="C655" s="984"/>
      <c r="D655" s="984"/>
      <c r="E655" s="984"/>
      <c r="F655" s="984"/>
      <c r="G655" s="984"/>
      <c r="H655" s="984"/>
      <c r="I655" s="984"/>
      <c r="J655" s="984"/>
      <c r="K655" s="984"/>
      <c r="L655" s="984"/>
      <c r="M655" s="984"/>
      <c r="N655" s="984"/>
      <c r="O655" s="984"/>
      <c r="P655" s="984"/>
      <c r="Q655" s="984"/>
      <c r="R655" s="984"/>
      <c r="S655" s="984"/>
      <c r="T655" s="984"/>
      <c r="U655" s="984"/>
      <c r="V655" s="984"/>
      <c r="W655" s="984"/>
      <c r="X655" s="984"/>
      <c r="Y655" s="984"/>
      <c r="Z655" s="984"/>
    </row>
    <row r="656" spans="1:26" ht="18" customHeight="1" x14ac:dyDescent="0.35">
      <c r="A656" s="984"/>
      <c r="B656" s="984"/>
      <c r="C656" s="984"/>
      <c r="D656" s="984"/>
      <c r="E656" s="984"/>
      <c r="F656" s="984"/>
      <c r="G656" s="984"/>
      <c r="H656" s="984"/>
      <c r="I656" s="984"/>
      <c r="J656" s="984"/>
      <c r="K656" s="984"/>
      <c r="L656" s="984"/>
      <c r="M656" s="984"/>
      <c r="N656" s="984"/>
      <c r="O656" s="984"/>
      <c r="P656" s="984"/>
      <c r="Q656" s="984"/>
      <c r="R656" s="984"/>
      <c r="S656" s="984"/>
      <c r="T656" s="984"/>
      <c r="U656" s="984"/>
      <c r="V656" s="984"/>
      <c r="W656" s="984"/>
      <c r="X656" s="984"/>
      <c r="Y656" s="984"/>
      <c r="Z656" s="984"/>
    </row>
    <row r="657" spans="1:26" ht="18" customHeight="1" x14ac:dyDescent="0.35">
      <c r="A657" s="984"/>
      <c r="B657" s="984"/>
      <c r="C657" s="984"/>
      <c r="D657" s="984"/>
      <c r="E657" s="984"/>
      <c r="F657" s="984"/>
      <c r="G657" s="984"/>
      <c r="H657" s="984"/>
      <c r="I657" s="984"/>
      <c r="J657" s="984"/>
      <c r="K657" s="984"/>
      <c r="L657" s="984"/>
      <c r="M657" s="984"/>
      <c r="N657" s="984"/>
      <c r="O657" s="984"/>
      <c r="P657" s="984"/>
      <c r="Q657" s="984"/>
      <c r="R657" s="984"/>
      <c r="S657" s="984"/>
      <c r="T657" s="984"/>
      <c r="U657" s="984"/>
      <c r="V657" s="984"/>
      <c r="W657" s="984"/>
      <c r="X657" s="984"/>
      <c r="Y657" s="984"/>
      <c r="Z657" s="984"/>
    </row>
    <row r="658" spans="1:26" ht="18" customHeight="1" x14ac:dyDescent="0.35">
      <c r="A658" s="984"/>
      <c r="B658" s="984"/>
      <c r="C658" s="984"/>
      <c r="D658" s="984"/>
      <c r="E658" s="984"/>
      <c r="F658" s="984"/>
      <c r="G658" s="984"/>
      <c r="H658" s="984"/>
      <c r="I658" s="984"/>
      <c r="J658" s="984"/>
      <c r="K658" s="984"/>
      <c r="L658" s="984"/>
      <c r="M658" s="984"/>
      <c r="N658" s="984"/>
      <c r="O658" s="984"/>
      <c r="P658" s="984"/>
      <c r="Q658" s="984"/>
      <c r="R658" s="984"/>
      <c r="S658" s="984"/>
      <c r="T658" s="984"/>
      <c r="U658" s="984"/>
      <c r="V658" s="984"/>
      <c r="W658" s="984"/>
      <c r="X658" s="984"/>
      <c r="Y658" s="984"/>
      <c r="Z658" s="984"/>
    </row>
    <row r="659" spans="1:26" ht="18" customHeight="1" x14ac:dyDescent="0.35">
      <c r="A659" s="984"/>
      <c r="B659" s="984"/>
      <c r="C659" s="984"/>
      <c r="D659" s="984"/>
      <c r="E659" s="984"/>
      <c r="F659" s="984"/>
      <c r="G659" s="984"/>
      <c r="H659" s="984"/>
      <c r="I659" s="984"/>
      <c r="J659" s="984"/>
      <c r="K659" s="984"/>
      <c r="L659" s="984"/>
      <c r="M659" s="984"/>
      <c r="N659" s="984"/>
      <c r="O659" s="984"/>
      <c r="P659" s="984"/>
      <c r="Q659" s="984"/>
      <c r="R659" s="984"/>
      <c r="S659" s="984"/>
      <c r="T659" s="984"/>
      <c r="U659" s="984"/>
      <c r="V659" s="984"/>
      <c r="W659" s="984"/>
      <c r="X659" s="984"/>
      <c r="Y659" s="984"/>
      <c r="Z659" s="984"/>
    </row>
    <row r="660" spans="1:26" ht="18" customHeight="1" x14ac:dyDescent="0.35">
      <c r="A660" s="984"/>
      <c r="B660" s="984"/>
      <c r="C660" s="984"/>
      <c r="D660" s="984"/>
      <c r="E660" s="984"/>
      <c r="F660" s="984"/>
      <c r="G660" s="984"/>
      <c r="H660" s="984"/>
      <c r="I660" s="984"/>
      <c r="J660" s="984"/>
      <c r="K660" s="984"/>
      <c r="L660" s="984"/>
      <c r="M660" s="984"/>
      <c r="N660" s="984"/>
      <c r="O660" s="984"/>
      <c r="P660" s="984"/>
      <c r="Q660" s="984"/>
      <c r="R660" s="984"/>
      <c r="S660" s="984"/>
      <c r="T660" s="984"/>
      <c r="U660" s="984"/>
      <c r="V660" s="984"/>
      <c r="W660" s="984"/>
      <c r="X660" s="984"/>
      <c r="Y660" s="984"/>
      <c r="Z660" s="984"/>
    </row>
    <row r="661" spans="1:26" ht="18" customHeight="1" x14ac:dyDescent="0.35">
      <c r="A661" s="984"/>
      <c r="B661" s="984"/>
      <c r="C661" s="984"/>
      <c r="D661" s="984"/>
      <c r="E661" s="984"/>
      <c r="F661" s="984"/>
      <c r="G661" s="984"/>
      <c r="H661" s="984"/>
      <c r="I661" s="984"/>
      <c r="J661" s="984"/>
      <c r="K661" s="984"/>
      <c r="L661" s="984"/>
      <c r="M661" s="984"/>
      <c r="N661" s="984"/>
      <c r="O661" s="984"/>
      <c r="P661" s="984"/>
      <c r="Q661" s="984"/>
      <c r="R661" s="984"/>
      <c r="S661" s="984"/>
      <c r="T661" s="984"/>
      <c r="U661" s="984"/>
      <c r="V661" s="984"/>
      <c r="W661" s="984"/>
      <c r="X661" s="984"/>
      <c r="Y661" s="984"/>
      <c r="Z661" s="984"/>
    </row>
    <row r="662" spans="1:26" ht="18" customHeight="1" x14ac:dyDescent="0.35">
      <c r="A662" s="984"/>
      <c r="B662" s="984"/>
      <c r="C662" s="984"/>
      <c r="D662" s="984"/>
      <c r="E662" s="984"/>
      <c r="F662" s="984"/>
      <c r="G662" s="984"/>
      <c r="H662" s="984"/>
      <c r="I662" s="984"/>
      <c r="J662" s="984"/>
      <c r="K662" s="984"/>
      <c r="L662" s="984"/>
      <c r="M662" s="984"/>
      <c r="N662" s="984"/>
      <c r="O662" s="984"/>
      <c r="P662" s="984"/>
      <c r="Q662" s="984"/>
      <c r="R662" s="984"/>
      <c r="S662" s="984"/>
      <c r="T662" s="984"/>
      <c r="U662" s="984"/>
      <c r="V662" s="984"/>
      <c r="W662" s="984"/>
      <c r="X662" s="984"/>
      <c r="Y662" s="984"/>
      <c r="Z662" s="984"/>
    </row>
    <row r="663" spans="1:26" ht="18" customHeight="1" x14ac:dyDescent="0.35">
      <c r="A663" s="984"/>
      <c r="B663" s="984"/>
      <c r="C663" s="984"/>
      <c r="D663" s="984"/>
      <c r="E663" s="984"/>
      <c r="F663" s="984"/>
      <c r="G663" s="984"/>
      <c r="H663" s="984"/>
      <c r="I663" s="984"/>
      <c r="J663" s="984"/>
      <c r="K663" s="984"/>
      <c r="L663" s="984"/>
      <c r="M663" s="984"/>
      <c r="N663" s="984"/>
      <c r="O663" s="984"/>
      <c r="P663" s="984"/>
      <c r="Q663" s="984"/>
      <c r="R663" s="984"/>
      <c r="S663" s="984"/>
      <c r="T663" s="984"/>
      <c r="U663" s="984"/>
      <c r="V663" s="984"/>
      <c r="W663" s="984"/>
      <c r="X663" s="984"/>
      <c r="Y663" s="984"/>
      <c r="Z663" s="984"/>
    </row>
    <row r="664" spans="1:26" ht="18" customHeight="1" x14ac:dyDescent="0.35">
      <c r="A664" s="984"/>
      <c r="B664" s="984"/>
      <c r="C664" s="984"/>
      <c r="D664" s="984"/>
      <c r="E664" s="984"/>
      <c r="F664" s="984"/>
      <c r="G664" s="984"/>
      <c r="H664" s="984"/>
      <c r="I664" s="984"/>
      <c r="J664" s="984"/>
      <c r="K664" s="984"/>
      <c r="L664" s="984"/>
      <c r="M664" s="984"/>
      <c r="N664" s="984"/>
      <c r="O664" s="984"/>
      <c r="P664" s="984"/>
      <c r="Q664" s="984"/>
      <c r="R664" s="984"/>
      <c r="S664" s="984"/>
      <c r="T664" s="984"/>
      <c r="U664" s="984"/>
      <c r="V664" s="984"/>
      <c r="W664" s="984"/>
      <c r="X664" s="984"/>
      <c r="Y664" s="984"/>
      <c r="Z664" s="984"/>
    </row>
    <row r="665" spans="1:26" ht="18" customHeight="1" x14ac:dyDescent="0.35">
      <c r="A665" s="984"/>
      <c r="B665" s="984"/>
      <c r="C665" s="984"/>
      <c r="D665" s="984"/>
      <c r="E665" s="984"/>
      <c r="F665" s="984"/>
      <c r="G665" s="984"/>
      <c r="H665" s="984"/>
      <c r="I665" s="984"/>
      <c r="J665" s="984"/>
      <c r="K665" s="984"/>
      <c r="L665" s="984"/>
      <c r="M665" s="984"/>
      <c r="N665" s="984"/>
      <c r="O665" s="984"/>
      <c r="P665" s="984"/>
      <c r="Q665" s="984"/>
      <c r="R665" s="984"/>
      <c r="S665" s="984"/>
      <c r="T665" s="984"/>
      <c r="U665" s="984"/>
      <c r="V665" s="984"/>
      <c r="W665" s="984"/>
      <c r="X665" s="984"/>
      <c r="Y665" s="984"/>
      <c r="Z665" s="984"/>
    </row>
    <row r="666" spans="1:26" ht="18" customHeight="1" x14ac:dyDescent="0.35">
      <c r="A666" s="984"/>
      <c r="B666" s="984"/>
      <c r="C666" s="984"/>
      <c r="D666" s="984"/>
      <c r="E666" s="984"/>
      <c r="F666" s="984"/>
      <c r="G666" s="984"/>
      <c r="H666" s="984"/>
      <c r="I666" s="984"/>
      <c r="J666" s="984"/>
      <c r="K666" s="984"/>
      <c r="L666" s="984"/>
      <c r="M666" s="984"/>
      <c r="N666" s="984"/>
      <c r="O666" s="984"/>
      <c r="P666" s="984"/>
      <c r="Q666" s="984"/>
      <c r="R666" s="984"/>
      <c r="S666" s="984"/>
      <c r="T666" s="984"/>
      <c r="U666" s="984"/>
      <c r="V666" s="984"/>
      <c r="W666" s="984"/>
      <c r="X666" s="984"/>
      <c r="Y666" s="984"/>
      <c r="Z666" s="984"/>
    </row>
    <row r="667" spans="1:26" ht="18" customHeight="1" x14ac:dyDescent="0.35">
      <c r="A667" s="984"/>
      <c r="B667" s="984"/>
      <c r="C667" s="984"/>
      <c r="D667" s="984"/>
      <c r="E667" s="984"/>
      <c r="F667" s="984"/>
      <c r="G667" s="984"/>
      <c r="H667" s="984"/>
      <c r="I667" s="984"/>
      <c r="J667" s="984"/>
      <c r="K667" s="984"/>
      <c r="L667" s="984"/>
      <c r="M667" s="984"/>
      <c r="N667" s="984"/>
      <c r="O667" s="984"/>
      <c r="P667" s="984"/>
      <c r="Q667" s="984"/>
      <c r="R667" s="984"/>
      <c r="S667" s="984"/>
      <c r="T667" s="984"/>
      <c r="U667" s="984"/>
      <c r="V667" s="984"/>
      <c r="W667" s="984"/>
      <c r="X667" s="984"/>
      <c r="Y667" s="984"/>
      <c r="Z667" s="984"/>
    </row>
    <row r="668" spans="1:26" ht="18" customHeight="1" x14ac:dyDescent="0.35">
      <c r="A668" s="984"/>
      <c r="B668" s="984"/>
      <c r="C668" s="984"/>
      <c r="D668" s="984"/>
      <c r="E668" s="984"/>
      <c r="F668" s="984"/>
      <c r="G668" s="984"/>
      <c r="H668" s="984"/>
      <c r="I668" s="984"/>
      <c r="J668" s="984"/>
      <c r="K668" s="984"/>
      <c r="L668" s="984"/>
      <c r="M668" s="984"/>
      <c r="N668" s="984"/>
      <c r="O668" s="984"/>
      <c r="P668" s="984"/>
      <c r="Q668" s="984"/>
      <c r="R668" s="984"/>
      <c r="S668" s="984"/>
      <c r="T668" s="984"/>
      <c r="U668" s="984"/>
      <c r="V668" s="984"/>
      <c r="W668" s="984"/>
      <c r="X668" s="984"/>
      <c r="Y668" s="984"/>
      <c r="Z668" s="984"/>
    </row>
    <row r="669" spans="1:26" ht="18" customHeight="1" x14ac:dyDescent="0.35">
      <c r="A669" s="984"/>
      <c r="B669" s="984"/>
      <c r="C669" s="984"/>
      <c r="D669" s="984"/>
      <c r="E669" s="984"/>
      <c r="F669" s="984"/>
      <c r="G669" s="984"/>
      <c r="H669" s="984"/>
      <c r="I669" s="984"/>
      <c r="J669" s="984"/>
      <c r="K669" s="984"/>
      <c r="L669" s="984"/>
      <c r="M669" s="984"/>
      <c r="N669" s="984"/>
      <c r="O669" s="984"/>
      <c r="P669" s="984"/>
      <c r="Q669" s="984"/>
      <c r="R669" s="984"/>
      <c r="S669" s="984"/>
      <c r="T669" s="984"/>
      <c r="U669" s="984"/>
      <c r="V669" s="984"/>
      <c r="W669" s="984"/>
      <c r="X669" s="984"/>
      <c r="Y669" s="984"/>
      <c r="Z669" s="984"/>
    </row>
    <row r="670" spans="1:26" ht="18" customHeight="1" x14ac:dyDescent="0.35">
      <c r="A670" s="984"/>
      <c r="B670" s="984"/>
      <c r="C670" s="984"/>
      <c r="D670" s="984"/>
      <c r="E670" s="984"/>
      <c r="F670" s="984"/>
      <c r="G670" s="984"/>
      <c r="H670" s="984"/>
      <c r="I670" s="984"/>
      <c r="J670" s="984"/>
      <c r="K670" s="984"/>
      <c r="L670" s="984"/>
      <c r="M670" s="984"/>
      <c r="N670" s="984"/>
      <c r="O670" s="984"/>
      <c r="P670" s="984"/>
      <c r="Q670" s="984"/>
      <c r="R670" s="984"/>
      <c r="S670" s="984"/>
      <c r="T670" s="984"/>
      <c r="U670" s="984"/>
      <c r="V670" s="984"/>
      <c r="W670" s="984"/>
      <c r="X670" s="984"/>
      <c r="Y670" s="984"/>
      <c r="Z670" s="984"/>
    </row>
    <row r="671" spans="1:26" ht="18" customHeight="1" x14ac:dyDescent="0.35">
      <c r="A671" s="984"/>
      <c r="B671" s="984"/>
      <c r="C671" s="984"/>
      <c r="D671" s="984"/>
      <c r="E671" s="984"/>
      <c r="F671" s="984"/>
      <c r="G671" s="984"/>
      <c r="H671" s="984"/>
      <c r="I671" s="984"/>
      <c r="J671" s="984"/>
      <c r="K671" s="984"/>
      <c r="L671" s="984"/>
      <c r="M671" s="984"/>
      <c r="N671" s="984"/>
      <c r="O671" s="984"/>
      <c r="P671" s="984"/>
      <c r="Q671" s="984"/>
      <c r="R671" s="984"/>
      <c r="S671" s="984"/>
      <c r="T671" s="984"/>
      <c r="U671" s="984"/>
      <c r="V671" s="984"/>
      <c r="W671" s="984"/>
      <c r="X671" s="984"/>
      <c r="Y671" s="984"/>
      <c r="Z671" s="984"/>
    </row>
    <row r="672" spans="1:26" ht="18" customHeight="1" x14ac:dyDescent="0.35">
      <c r="A672" s="984"/>
      <c r="B672" s="984"/>
      <c r="C672" s="984"/>
      <c r="D672" s="984"/>
      <c r="E672" s="984"/>
      <c r="F672" s="984"/>
      <c r="G672" s="984"/>
      <c r="H672" s="984"/>
      <c r="I672" s="984"/>
      <c r="J672" s="984"/>
      <c r="K672" s="984"/>
      <c r="L672" s="984"/>
      <c r="M672" s="984"/>
      <c r="N672" s="984"/>
      <c r="O672" s="984"/>
      <c r="P672" s="984"/>
      <c r="Q672" s="984"/>
      <c r="R672" s="984"/>
      <c r="S672" s="984"/>
      <c r="T672" s="984"/>
      <c r="U672" s="984"/>
      <c r="V672" s="984"/>
      <c r="W672" s="984"/>
      <c r="X672" s="984"/>
      <c r="Y672" s="984"/>
      <c r="Z672" s="984"/>
    </row>
    <row r="673" spans="1:26" ht="18" customHeight="1" x14ac:dyDescent="0.35">
      <c r="A673" s="984"/>
      <c r="B673" s="984"/>
      <c r="C673" s="984"/>
      <c r="D673" s="984"/>
      <c r="E673" s="984"/>
      <c r="F673" s="984"/>
      <c r="G673" s="984"/>
      <c r="H673" s="984"/>
      <c r="I673" s="984"/>
      <c r="J673" s="984"/>
      <c r="K673" s="984"/>
      <c r="L673" s="984"/>
      <c r="M673" s="984"/>
      <c r="N673" s="984"/>
      <c r="O673" s="984"/>
      <c r="P673" s="984"/>
      <c r="Q673" s="984"/>
      <c r="R673" s="984"/>
      <c r="S673" s="984"/>
      <c r="T673" s="984"/>
      <c r="U673" s="984"/>
      <c r="V673" s="984"/>
      <c r="W673" s="984"/>
      <c r="X673" s="984"/>
      <c r="Y673" s="984"/>
      <c r="Z673" s="984"/>
    </row>
    <row r="674" spans="1:26" ht="18" customHeight="1" x14ac:dyDescent="0.35">
      <c r="A674" s="984"/>
      <c r="B674" s="984"/>
      <c r="C674" s="984"/>
      <c r="D674" s="984"/>
      <c r="E674" s="984"/>
      <c r="F674" s="984"/>
      <c r="G674" s="984"/>
      <c r="H674" s="984"/>
      <c r="I674" s="984"/>
      <c r="J674" s="984"/>
      <c r="K674" s="984"/>
      <c r="L674" s="984"/>
      <c r="M674" s="984"/>
      <c r="N674" s="984"/>
      <c r="O674" s="984"/>
      <c r="P674" s="984"/>
      <c r="Q674" s="984"/>
      <c r="R674" s="984"/>
      <c r="S674" s="984"/>
      <c r="T674" s="984"/>
      <c r="U674" s="984"/>
      <c r="V674" s="984"/>
      <c r="W674" s="984"/>
      <c r="X674" s="984"/>
      <c r="Y674" s="984"/>
      <c r="Z674" s="984"/>
    </row>
    <row r="675" spans="1:26" ht="18" customHeight="1" x14ac:dyDescent="0.35">
      <c r="A675" s="984"/>
      <c r="B675" s="984"/>
      <c r="C675" s="984"/>
      <c r="D675" s="984"/>
      <c r="E675" s="984"/>
      <c r="F675" s="984"/>
      <c r="G675" s="984"/>
      <c r="H675" s="984"/>
      <c r="I675" s="984"/>
      <c r="J675" s="984"/>
      <c r="K675" s="984"/>
      <c r="L675" s="984"/>
      <c r="M675" s="984"/>
      <c r="N675" s="984"/>
      <c r="O675" s="984"/>
      <c r="P675" s="984"/>
      <c r="Q675" s="984"/>
      <c r="R675" s="984"/>
      <c r="S675" s="984"/>
      <c r="T675" s="984"/>
      <c r="U675" s="984"/>
      <c r="V675" s="984"/>
      <c r="W675" s="984"/>
      <c r="X675" s="984"/>
      <c r="Y675" s="984"/>
      <c r="Z675" s="984"/>
    </row>
    <row r="676" spans="1:26" ht="18" customHeight="1" x14ac:dyDescent="0.35">
      <c r="A676" s="984"/>
      <c r="B676" s="984"/>
      <c r="C676" s="984"/>
      <c r="D676" s="984"/>
      <c r="E676" s="984"/>
      <c r="F676" s="984"/>
      <c r="G676" s="984"/>
      <c r="H676" s="984"/>
      <c r="I676" s="984"/>
      <c r="J676" s="984"/>
      <c r="K676" s="984"/>
      <c r="L676" s="984"/>
      <c r="M676" s="984"/>
      <c r="N676" s="984"/>
      <c r="O676" s="984"/>
      <c r="P676" s="984"/>
      <c r="Q676" s="984"/>
      <c r="R676" s="984"/>
      <c r="S676" s="984"/>
      <c r="T676" s="984"/>
      <c r="U676" s="984"/>
      <c r="V676" s="984"/>
      <c r="W676" s="984"/>
      <c r="X676" s="984"/>
      <c r="Y676" s="984"/>
      <c r="Z676" s="984"/>
    </row>
    <row r="677" spans="1:26" ht="18" customHeight="1" x14ac:dyDescent="0.35">
      <c r="A677" s="984"/>
      <c r="B677" s="984"/>
      <c r="C677" s="984"/>
      <c r="D677" s="984"/>
      <c r="E677" s="984"/>
      <c r="F677" s="984"/>
      <c r="G677" s="984"/>
      <c r="H677" s="984"/>
      <c r="I677" s="984"/>
      <c r="J677" s="984"/>
      <c r="K677" s="984"/>
      <c r="L677" s="984"/>
      <c r="M677" s="984"/>
      <c r="N677" s="984"/>
      <c r="O677" s="984"/>
      <c r="P677" s="984"/>
      <c r="Q677" s="984"/>
      <c r="R677" s="984"/>
      <c r="S677" s="984"/>
      <c r="T677" s="984"/>
      <c r="U677" s="984"/>
      <c r="V677" s="984"/>
      <c r="W677" s="984"/>
      <c r="X677" s="984"/>
      <c r="Y677" s="984"/>
      <c r="Z677" s="984"/>
    </row>
    <row r="678" spans="1:26" ht="18" customHeight="1" x14ac:dyDescent="0.35">
      <c r="A678" s="984"/>
      <c r="B678" s="984"/>
      <c r="C678" s="984"/>
      <c r="D678" s="984"/>
      <c r="E678" s="984"/>
      <c r="F678" s="984"/>
      <c r="G678" s="984"/>
      <c r="H678" s="984"/>
      <c r="I678" s="984"/>
      <c r="J678" s="984"/>
      <c r="K678" s="984"/>
      <c r="L678" s="984"/>
      <c r="M678" s="984"/>
      <c r="N678" s="984"/>
      <c r="O678" s="984"/>
      <c r="P678" s="984"/>
      <c r="Q678" s="984"/>
      <c r="R678" s="984"/>
      <c r="S678" s="984"/>
      <c r="T678" s="984"/>
      <c r="U678" s="984"/>
      <c r="V678" s="984"/>
      <c r="W678" s="984"/>
      <c r="X678" s="984"/>
      <c r="Y678" s="984"/>
      <c r="Z678" s="984"/>
    </row>
    <row r="679" spans="1:26" ht="18" customHeight="1" x14ac:dyDescent="0.35">
      <c r="A679" s="984"/>
      <c r="B679" s="984"/>
      <c r="C679" s="984"/>
      <c r="D679" s="984"/>
      <c r="E679" s="984"/>
      <c r="F679" s="984"/>
      <c r="G679" s="984"/>
      <c r="H679" s="984"/>
      <c r="I679" s="984"/>
      <c r="J679" s="984"/>
      <c r="K679" s="984"/>
      <c r="L679" s="984"/>
      <c r="M679" s="984"/>
      <c r="N679" s="984"/>
      <c r="O679" s="984"/>
      <c r="P679" s="984"/>
      <c r="Q679" s="984"/>
      <c r="R679" s="984"/>
      <c r="S679" s="984"/>
      <c r="T679" s="984"/>
      <c r="U679" s="984"/>
      <c r="V679" s="984"/>
      <c r="W679" s="984"/>
      <c r="X679" s="984"/>
      <c r="Y679" s="984"/>
      <c r="Z679" s="984"/>
    </row>
    <row r="680" spans="1:26" ht="18" customHeight="1" x14ac:dyDescent="0.35">
      <c r="A680" s="984"/>
      <c r="B680" s="984"/>
      <c r="C680" s="984"/>
      <c r="D680" s="984"/>
      <c r="E680" s="984"/>
      <c r="F680" s="984"/>
      <c r="G680" s="984"/>
      <c r="H680" s="984"/>
      <c r="I680" s="984"/>
      <c r="J680" s="984"/>
      <c r="K680" s="984"/>
      <c r="L680" s="984"/>
      <c r="M680" s="984"/>
      <c r="N680" s="984"/>
      <c r="O680" s="984"/>
      <c r="P680" s="984"/>
      <c r="Q680" s="984"/>
      <c r="R680" s="984"/>
      <c r="S680" s="984"/>
      <c r="T680" s="984"/>
      <c r="U680" s="984"/>
      <c r="V680" s="984"/>
      <c r="W680" s="984"/>
      <c r="X680" s="984"/>
      <c r="Y680" s="984"/>
      <c r="Z680" s="984"/>
    </row>
    <row r="681" spans="1:26" ht="18" customHeight="1" x14ac:dyDescent="0.35">
      <c r="A681" s="984"/>
      <c r="B681" s="984"/>
      <c r="C681" s="984"/>
      <c r="D681" s="984"/>
      <c r="E681" s="984"/>
      <c r="F681" s="984"/>
      <c r="G681" s="984"/>
      <c r="H681" s="984"/>
      <c r="I681" s="984"/>
      <c r="J681" s="984"/>
      <c r="K681" s="984"/>
      <c r="L681" s="984"/>
      <c r="M681" s="984"/>
      <c r="N681" s="984"/>
      <c r="O681" s="984"/>
      <c r="P681" s="984"/>
      <c r="Q681" s="984"/>
      <c r="R681" s="984"/>
      <c r="S681" s="984"/>
      <c r="T681" s="984"/>
      <c r="U681" s="984"/>
      <c r="V681" s="984"/>
      <c r="W681" s="984"/>
      <c r="X681" s="984"/>
      <c r="Y681" s="984"/>
      <c r="Z681" s="984"/>
    </row>
    <row r="682" spans="1:26" ht="18" customHeight="1" x14ac:dyDescent="0.35">
      <c r="A682" s="984"/>
      <c r="B682" s="984"/>
      <c r="C682" s="984"/>
      <c r="D682" s="984"/>
      <c r="E682" s="984"/>
      <c r="F682" s="984"/>
      <c r="G682" s="984"/>
      <c r="H682" s="984"/>
      <c r="I682" s="984"/>
      <c r="J682" s="984"/>
      <c r="K682" s="984"/>
      <c r="L682" s="984"/>
      <c r="M682" s="984"/>
      <c r="N682" s="984"/>
      <c r="O682" s="984"/>
      <c r="P682" s="984"/>
      <c r="Q682" s="984"/>
      <c r="R682" s="984"/>
      <c r="S682" s="984"/>
      <c r="T682" s="984"/>
      <c r="U682" s="984"/>
      <c r="V682" s="984"/>
      <c r="W682" s="984"/>
      <c r="X682" s="984"/>
      <c r="Y682" s="984"/>
      <c r="Z682" s="984"/>
    </row>
    <row r="683" spans="1:26" ht="18" customHeight="1" x14ac:dyDescent="0.35">
      <c r="A683" s="984"/>
      <c r="B683" s="984"/>
      <c r="C683" s="984"/>
      <c r="D683" s="984"/>
      <c r="E683" s="984"/>
      <c r="F683" s="984"/>
      <c r="G683" s="984"/>
      <c r="H683" s="984"/>
      <c r="I683" s="984"/>
      <c r="J683" s="984"/>
      <c r="K683" s="984"/>
      <c r="L683" s="984"/>
      <c r="M683" s="984"/>
      <c r="N683" s="984"/>
      <c r="O683" s="984"/>
      <c r="P683" s="984"/>
      <c r="Q683" s="984"/>
      <c r="R683" s="984"/>
      <c r="S683" s="984"/>
      <c r="T683" s="984"/>
      <c r="U683" s="984"/>
      <c r="V683" s="984"/>
      <c r="W683" s="984"/>
      <c r="X683" s="984"/>
      <c r="Y683" s="984"/>
      <c r="Z683" s="984"/>
    </row>
    <row r="684" spans="1:26" ht="18" customHeight="1" x14ac:dyDescent="0.35">
      <c r="A684" s="984"/>
      <c r="B684" s="984"/>
      <c r="C684" s="984"/>
      <c r="D684" s="984"/>
      <c r="E684" s="984"/>
      <c r="F684" s="984"/>
      <c r="G684" s="984"/>
      <c r="H684" s="984"/>
      <c r="I684" s="984"/>
      <c r="J684" s="984"/>
      <c r="K684" s="984"/>
      <c r="L684" s="984"/>
      <c r="M684" s="984"/>
      <c r="N684" s="984"/>
      <c r="O684" s="984"/>
      <c r="P684" s="984"/>
      <c r="Q684" s="984"/>
      <c r="R684" s="984"/>
      <c r="S684" s="984"/>
      <c r="T684" s="984"/>
      <c r="U684" s="984"/>
      <c r="V684" s="984"/>
      <c r="W684" s="984"/>
      <c r="X684" s="984"/>
      <c r="Y684" s="984"/>
      <c r="Z684" s="984"/>
    </row>
    <row r="685" spans="1:26" ht="18" customHeight="1" x14ac:dyDescent="0.35">
      <c r="A685" s="984"/>
      <c r="B685" s="984"/>
      <c r="C685" s="984"/>
      <c r="D685" s="984"/>
      <c r="E685" s="984"/>
      <c r="F685" s="984"/>
      <c r="G685" s="984"/>
      <c r="H685" s="984"/>
      <c r="I685" s="984"/>
      <c r="J685" s="984"/>
      <c r="K685" s="984"/>
      <c r="L685" s="984"/>
      <c r="M685" s="984"/>
      <c r="N685" s="984"/>
      <c r="O685" s="984"/>
      <c r="P685" s="984"/>
      <c r="Q685" s="984"/>
      <c r="R685" s="984"/>
      <c r="S685" s="984"/>
      <c r="T685" s="984"/>
      <c r="U685" s="984"/>
      <c r="V685" s="984"/>
      <c r="W685" s="984"/>
      <c r="X685" s="984"/>
      <c r="Y685" s="984"/>
      <c r="Z685" s="984"/>
    </row>
    <row r="686" spans="1:26" ht="18" customHeight="1" x14ac:dyDescent="0.35">
      <c r="A686" s="984"/>
      <c r="B686" s="984"/>
      <c r="C686" s="984"/>
      <c r="D686" s="984"/>
      <c r="E686" s="984"/>
      <c r="F686" s="984"/>
      <c r="G686" s="984"/>
      <c r="H686" s="984"/>
      <c r="I686" s="984"/>
      <c r="J686" s="984"/>
      <c r="K686" s="984"/>
      <c r="L686" s="984"/>
      <c r="M686" s="984"/>
      <c r="N686" s="984"/>
      <c r="O686" s="984"/>
      <c r="P686" s="984"/>
      <c r="Q686" s="984"/>
      <c r="R686" s="984"/>
      <c r="S686" s="984"/>
      <c r="T686" s="984"/>
      <c r="U686" s="984"/>
      <c r="V686" s="984"/>
      <c r="W686" s="984"/>
      <c r="X686" s="984"/>
      <c r="Y686" s="984"/>
      <c r="Z686" s="984"/>
    </row>
    <row r="687" spans="1:26" ht="18" customHeight="1" x14ac:dyDescent="0.35">
      <c r="A687" s="984"/>
      <c r="B687" s="984"/>
      <c r="C687" s="984"/>
      <c r="D687" s="984"/>
      <c r="E687" s="984"/>
      <c r="F687" s="984"/>
      <c r="G687" s="984"/>
      <c r="H687" s="984"/>
      <c r="I687" s="984"/>
      <c r="J687" s="984"/>
      <c r="K687" s="984"/>
      <c r="L687" s="984"/>
      <c r="M687" s="984"/>
      <c r="N687" s="984"/>
      <c r="O687" s="984"/>
      <c r="P687" s="984"/>
      <c r="Q687" s="984"/>
      <c r="R687" s="984"/>
      <c r="S687" s="984"/>
      <c r="T687" s="984"/>
      <c r="U687" s="984"/>
      <c r="V687" s="984"/>
      <c r="W687" s="984"/>
      <c r="X687" s="984"/>
      <c r="Y687" s="984"/>
      <c r="Z687" s="984"/>
    </row>
    <row r="688" spans="1:26" ht="18" customHeight="1" x14ac:dyDescent="0.35">
      <c r="A688" s="984"/>
      <c r="B688" s="984"/>
      <c r="C688" s="984"/>
      <c r="D688" s="984"/>
      <c r="E688" s="984"/>
      <c r="F688" s="984"/>
      <c r="G688" s="984"/>
      <c r="H688" s="984"/>
      <c r="I688" s="984"/>
      <c r="J688" s="984"/>
      <c r="K688" s="984"/>
      <c r="L688" s="984"/>
      <c r="M688" s="984"/>
      <c r="N688" s="984"/>
      <c r="O688" s="984"/>
      <c r="P688" s="984"/>
      <c r="Q688" s="984"/>
      <c r="R688" s="984"/>
      <c r="S688" s="984"/>
      <c r="T688" s="984"/>
      <c r="U688" s="984"/>
      <c r="V688" s="984"/>
      <c r="W688" s="984"/>
      <c r="X688" s="984"/>
      <c r="Y688" s="984"/>
      <c r="Z688" s="984"/>
    </row>
    <row r="689" spans="1:26" ht="18" customHeight="1" x14ac:dyDescent="0.35">
      <c r="A689" s="984"/>
      <c r="B689" s="984"/>
      <c r="C689" s="984"/>
      <c r="D689" s="984"/>
      <c r="E689" s="984"/>
      <c r="F689" s="984"/>
      <c r="G689" s="984"/>
      <c r="H689" s="984"/>
      <c r="I689" s="984"/>
      <c r="J689" s="984"/>
      <c r="K689" s="984"/>
      <c r="L689" s="984"/>
      <c r="M689" s="984"/>
      <c r="N689" s="984"/>
      <c r="O689" s="984"/>
      <c r="P689" s="984"/>
      <c r="Q689" s="984"/>
      <c r="R689" s="984"/>
      <c r="S689" s="984"/>
      <c r="T689" s="984"/>
      <c r="U689" s="984"/>
      <c r="V689" s="984"/>
      <c r="W689" s="984"/>
      <c r="X689" s="984"/>
      <c r="Y689" s="984"/>
      <c r="Z689" s="984"/>
    </row>
    <row r="690" spans="1:26" ht="18" customHeight="1" x14ac:dyDescent="0.35">
      <c r="A690" s="984"/>
      <c r="B690" s="984"/>
      <c r="C690" s="984"/>
      <c r="D690" s="984"/>
      <c r="E690" s="984"/>
      <c r="F690" s="984"/>
      <c r="G690" s="984"/>
      <c r="H690" s="984"/>
      <c r="I690" s="984"/>
      <c r="J690" s="984"/>
      <c r="K690" s="984"/>
      <c r="L690" s="984"/>
      <c r="M690" s="984"/>
      <c r="N690" s="984"/>
      <c r="O690" s="984"/>
      <c r="P690" s="984"/>
      <c r="Q690" s="984"/>
      <c r="R690" s="984"/>
      <c r="S690" s="984"/>
      <c r="T690" s="984"/>
      <c r="U690" s="984"/>
      <c r="V690" s="984"/>
      <c r="W690" s="984"/>
      <c r="X690" s="984"/>
      <c r="Y690" s="984"/>
      <c r="Z690" s="984"/>
    </row>
    <row r="691" spans="1:26" ht="18" customHeight="1" x14ac:dyDescent="0.35">
      <c r="A691" s="984"/>
      <c r="B691" s="984"/>
      <c r="C691" s="984"/>
      <c r="D691" s="984"/>
      <c r="E691" s="984"/>
      <c r="F691" s="984"/>
      <c r="G691" s="984"/>
      <c r="H691" s="984"/>
      <c r="I691" s="984"/>
      <c r="J691" s="984"/>
      <c r="K691" s="984"/>
      <c r="L691" s="984"/>
      <c r="M691" s="984"/>
      <c r="N691" s="984"/>
      <c r="O691" s="984"/>
      <c r="P691" s="984"/>
      <c r="Q691" s="984"/>
      <c r="R691" s="984"/>
      <c r="S691" s="984"/>
      <c r="T691" s="984"/>
      <c r="U691" s="984"/>
      <c r="V691" s="984"/>
      <c r="W691" s="984"/>
      <c r="X691" s="984"/>
      <c r="Y691" s="984"/>
      <c r="Z691" s="984"/>
    </row>
    <row r="692" spans="1:26" ht="18" customHeight="1" x14ac:dyDescent="0.35">
      <c r="A692" s="984"/>
      <c r="B692" s="984"/>
      <c r="C692" s="984"/>
      <c r="D692" s="984"/>
      <c r="E692" s="984"/>
      <c r="F692" s="984"/>
      <c r="G692" s="984"/>
      <c r="H692" s="984"/>
      <c r="I692" s="984"/>
      <c r="J692" s="984"/>
      <c r="K692" s="984"/>
      <c r="L692" s="984"/>
      <c r="M692" s="984"/>
      <c r="N692" s="984"/>
      <c r="O692" s="984"/>
      <c r="P692" s="984"/>
      <c r="Q692" s="984"/>
      <c r="R692" s="984"/>
      <c r="S692" s="984"/>
      <c r="T692" s="984"/>
      <c r="U692" s="984"/>
      <c r="V692" s="984"/>
      <c r="W692" s="984"/>
      <c r="X692" s="984"/>
      <c r="Y692" s="984"/>
      <c r="Z692" s="984"/>
    </row>
    <row r="693" spans="1:26" ht="18" customHeight="1" x14ac:dyDescent="0.35">
      <c r="A693" s="984"/>
      <c r="B693" s="984"/>
      <c r="C693" s="984"/>
      <c r="D693" s="984"/>
      <c r="E693" s="984"/>
      <c r="F693" s="984"/>
      <c r="G693" s="984"/>
      <c r="H693" s="984"/>
      <c r="I693" s="984"/>
      <c r="J693" s="984"/>
      <c r="K693" s="984"/>
      <c r="L693" s="984"/>
      <c r="M693" s="984"/>
      <c r="N693" s="984"/>
      <c r="O693" s="984"/>
      <c r="P693" s="984"/>
      <c r="Q693" s="984"/>
      <c r="R693" s="984"/>
      <c r="S693" s="984"/>
      <c r="T693" s="984"/>
      <c r="U693" s="984"/>
      <c r="V693" s="984"/>
      <c r="W693" s="984"/>
      <c r="X693" s="984"/>
      <c r="Y693" s="984"/>
      <c r="Z693" s="984"/>
    </row>
    <row r="694" spans="1:26" ht="18" customHeight="1" x14ac:dyDescent="0.35">
      <c r="A694" s="984"/>
      <c r="B694" s="984"/>
      <c r="C694" s="984"/>
      <c r="D694" s="984"/>
      <c r="E694" s="984"/>
      <c r="F694" s="984"/>
      <c r="G694" s="984"/>
      <c r="H694" s="984"/>
      <c r="I694" s="984"/>
      <c r="J694" s="984"/>
      <c r="K694" s="984"/>
      <c r="L694" s="984"/>
      <c r="M694" s="984"/>
      <c r="N694" s="984"/>
      <c r="O694" s="984"/>
      <c r="P694" s="984"/>
      <c r="Q694" s="984"/>
      <c r="R694" s="984"/>
      <c r="S694" s="984"/>
      <c r="T694" s="984"/>
      <c r="U694" s="984"/>
      <c r="V694" s="984"/>
      <c r="W694" s="984"/>
      <c r="X694" s="984"/>
      <c r="Y694" s="984"/>
      <c r="Z694" s="984"/>
    </row>
    <row r="695" spans="1:26" ht="18" customHeight="1" x14ac:dyDescent="0.35">
      <c r="A695" s="984"/>
      <c r="B695" s="984"/>
      <c r="C695" s="984"/>
      <c r="D695" s="984"/>
      <c r="E695" s="984"/>
      <c r="F695" s="984"/>
      <c r="G695" s="984"/>
      <c r="H695" s="984"/>
      <c r="I695" s="984"/>
      <c r="J695" s="984"/>
      <c r="K695" s="984"/>
      <c r="L695" s="984"/>
      <c r="M695" s="984"/>
      <c r="N695" s="984"/>
      <c r="O695" s="984"/>
      <c r="P695" s="984"/>
      <c r="Q695" s="984"/>
      <c r="R695" s="984"/>
      <c r="S695" s="984"/>
      <c r="T695" s="984"/>
      <c r="U695" s="984"/>
      <c r="V695" s="984"/>
      <c r="W695" s="984"/>
      <c r="X695" s="984"/>
      <c r="Y695" s="984"/>
      <c r="Z695" s="984"/>
    </row>
    <row r="696" spans="1:26" ht="18" customHeight="1" x14ac:dyDescent="0.35">
      <c r="A696" s="984"/>
      <c r="B696" s="984"/>
      <c r="C696" s="984"/>
      <c r="D696" s="984"/>
      <c r="E696" s="984"/>
      <c r="F696" s="984"/>
      <c r="G696" s="984"/>
      <c r="H696" s="984"/>
      <c r="I696" s="984"/>
      <c r="J696" s="984"/>
      <c r="K696" s="984"/>
      <c r="L696" s="984"/>
      <c r="M696" s="984"/>
      <c r="N696" s="984"/>
      <c r="O696" s="984"/>
      <c r="P696" s="984"/>
      <c r="Q696" s="984"/>
      <c r="R696" s="984"/>
      <c r="S696" s="984"/>
      <c r="T696" s="984"/>
      <c r="U696" s="984"/>
      <c r="V696" s="984"/>
      <c r="W696" s="984"/>
      <c r="X696" s="984"/>
      <c r="Y696" s="984"/>
      <c r="Z696" s="984"/>
    </row>
    <row r="697" spans="1:26" ht="18" customHeight="1" x14ac:dyDescent="0.35">
      <c r="A697" s="984"/>
      <c r="B697" s="984"/>
      <c r="C697" s="984"/>
      <c r="D697" s="984"/>
      <c r="E697" s="984"/>
      <c r="F697" s="984"/>
      <c r="G697" s="984"/>
      <c r="H697" s="984"/>
      <c r="I697" s="984"/>
      <c r="J697" s="984"/>
      <c r="K697" s="984"/>
      <c r="L697" s="984"/>
      <c r="M697" s="984"/>
      <c r="N697" s="984"/>
      <c r="O697" s="984"/>
      <c r="P697" s="984"/>
      <c r="Q697" s="984"/>
      <c r="R697" s="984"/>
      <c r="S697" s="984"/>
      <c r="T697" s="984"/>
      <c r="U697" s="984"/>
      <c r="V697" s="984"/>
      <c r="W697" s="984"/>
      <c r="X697" s="984"/>
      <c r="Y697" s="984"/>
      <c r="Z697" s="984"/>
    </row>
    <row r="698" spans="1:26" ht="18" customHeight="1" x14ac:dyDescent="0.35">
      <c r="A698" s="984"/>
      <c r="B698" s="984"/>
      <c r="C698" s="984"/>
      <c r="D698" s="984"/>
      <c r="E698" s="984"/>
      <c r="F698" s="984"/>
      <c r="G698" s="984"/>
      <c r="H698" s="984"/>
      <c r="I698" s="984"/>
      <c r="J698" s="984"/>
      <c r="K698" s="984"/>
      <c r="L698" s="984"/>
      <c r="M698" s="984"/>
      <c r="N698" s="984"/>
      <c r="O698" s="984"/>
      <c r="P698" s="984"/>
      <c r="Q698" s="984"/>
      <c r="R698" s="984"/>
      <c r="S698" s="984"/>
      <c r="T698" s="984"/>
      <c r="U698" s="984"/>
      <c r="V698" s="984"/>
      <c r="W698" s="984"/>
      <c r="X698" s="984"/>
      <c r="Y698" s="984"/>
      <c r="Z698" s="984"/>
    </row>
    <row r="699" spans="1:26" ht="18" customHeight="1" x14ac:dyDescent="0.35">
      <c r="A699" s="984"/>
      <c r="B699" s="984"/>
      <c r="C699" s="984"/>
      <c r="D699" s="984"/>
      <c r="E699" s="984"/>
      <c r="F699" s="984"/>
      <c r="G699" s="984"/>
      <c r="H699" s="984"/>
      <c r="I699" s="984"/>
      <c r="J699" s="984"/>
      <c r="K699" s="984"/>
      <c r="L699" s="984"/>
      <c r="M699" s="984"/>
      <c r="N699" s="984"/>
      <c r="O699" s="984"/>
      <c r="P699" s="984"/>
      <c r="Q699" s="984"/>
      <c r="R699" s="984"/>
      <c r="S699" s="984"/>
      <c r="T699" s="984"/>
      <c r="U699" s="984"/>
      <c r="V699" s="984"/>
      <c r="W699" s="984"/>
      <c r="X699" s="984"/>
      <c r="Y699" s="984"/>
      <c r="Z699" s="984"/>
    </row>
    <row r="700" spans="1:26" ht="18" customHeight="1" x14ac:dyDescent="0.35">
      <c r="A700" s="984"/>
      <c r="B700" s="984"/>
      <c r="C700" s="984"/>
      <c r="D700" s="984"/>
      <c r="E700" s="984"/>
      <c r="F700" s="984"/>
      <c r="G700" s="984"/>
      <c r="H700" s="984"/>
      <c r="I700" s="984"/>
      <c r="J700" s="984"/>
      <c r="K700" s="984"/>
      <c r="L700" s="984"/>
      <c r="M700" s="984"/>
      <c r="N700" s="984"/>
      <c r="O700" s="984"/>
      <c r="P700" s="984"/>
      <c r="Q700" s="984"/>
      <c r="R700" s="984"/>
      <c r="S700" s="984"/>
      <c r="T700" s="984"/>
      <c r="U700" s="984"/>
      <c r="V700" s="984"/>
      <c r="W700" s="984"/>
      <c r="X700" s="984"/>
      <c r="Y700" s="984"/>
      <c r="Z700" s="984"/>
    </row>
    <row r="701" spans="1:26" ht="18" customHeight="1" x14ac:dyDescent="0.35">
      <c r="A701" s="984"/>
      <c r="B701" s="984"/>
      <c r="C701" s="984"/>
      <c r="D701" s="984"/>
      <c r="E701" s="984"/>
      <c r="F701" s="984"/>
      <c r="G701" s="984"/>
      <c r="H701" s="984"/>
      <c r="I701" s="984"/>
      <c r="J701" s="984"/>
      <c r="K701" s="984"/>
      <c r="L701" s="984"/>
      <c r="M701" s="984"/>
      <c r="N701" s="984"/>
      <c r="O701" s="984"/>
      <c r="P701" s="984"/>
      <c r="Q701" s="984"/>
      <c r="R701" s="984"/>
      <c r="S701" s="984"/>
      <c r="T701" s="984"/>
      <c r="U701" s="984"/>
      <c r="V701" s="984"/>
      <c r="W701" s="984"/>
      <c r="X701" s="984"/>
      <c r="Y701" s="984"/>
      <c r="Z701" s="984"/>
    </row>
    <row r="702" spans="1:26" ht="18" customHeight="1" x14ac:dyDescent="0.35">
      <c r="A702" s="984"/>
      <c r="B702" s="984"/>
      <c r="C702" s="984"/>
      <c r="D702" s="984"/>
      <c r="E702" s="984"/>
      <c r="F702" s="984"/>
      <c r="G702" s="984"/>
      <c r="H702" s="984"/>
      <c r="I702" s="984"/>
      <c r="J702" s="984"/>
      <c r="K702" s="984"/>
      <c r="L702" s="984"/>
      <c r="M702" s="984"/>
      <c r="N702" s="984"/>
      <c r="O702" s="984"/>
      <c r="P702" s="984"/>
      <c r="Q702" s="984"/>
      <c r="R702" s="984"/>
      <c r="S702" s="984"/>
      <c r="T702" s="984"/>
      <c r="U702" s="984"/>
      <c r="V702" s="984"/>
      <c r="W702" s="984"/>
      <c r="X702" s="984"/>
      <c r="Y702" s="984"/>
      <c r="Z702" s="984"/>
    </row>
    <row r="703" spans="1:26" ht="18" customHeight="1" x14ac:dyDescent="0.35">
      <c r="A703" s="984"/>
      <c r="B703" s="984"/>
      <c r="C703" s="984"/>
      <c r="D703" s="984"/>
      <c r="E703" s="984"/>
      <c r="F703" s="984"/>
      <c r="G703" s="984"/>
      <c r="H703" s="984"/>
      <c r="I703" s="984"/>
      <c r="J703" s="984"/>
      <c r="K703" s="984"/>
      <c r="L703" s="984"/>
      <c r="M703" s="984"/>
      <c r="N703" s="984"/>
      <c r="O703" s="984"/>
      <c r="P703" s="984"/>
      <c r="Q703" s="984"/>
      <c r="R703" s="984"/>
      <c r="S703" s="984"/>
      <c r="T703" s="984"/>
      <c r="U703" s="984"/>
      <c r="V703" s="984"/>
      <c r="W703" s="984"/>
      <c r="X703" s="984"/>
      <c r="Y703" s="984"/>
      <c r="Z703" s="984"/>
    </row>
    <row r="704" spans="1:26" ht="18" customHeight="1" x14ac:dyDescent="0.35">
      <c r="A704" s="984"/>
      <c r="B704" s="984"/>
      <c r="C704" s="984"/>
      <c r="D704" s="984"/>
      <c r="E704" s="984"/>
      <c r="F704" s="984"/>
      <c r="G704" s="984"/>
      <c r="H704" s="984"/>
      <c r="I704" s="984"/>
      <c r="J704" s="984"/>
      <c r="K704" s="984"/>
      <c r="L704" s="984"/>
      <c r="M704" s="984"/>
      <c r="N704" s="984"/>
      <c r="O704" s="984"/>
      <c r="P704" s="984"/>
      <c r="Q704" s="984"/>
      <c r="R704" s="984"/>
      <c r="S704" s="984"/>
      <c r="T704" s="984"/>
      <c r="U704" s="984"/>
      <c r="V704" s="984"/>
      <c r="W704" s="984"/>
      <c r="X704" s="984"/>
      <c r="Y704" s="984"/>
      <c r="Z704" s="984"/>
    </row>
    <row r="705" spans="1:26" ht="18" customHeight="1" x14ac:dyDescent="0.35">
      <c r="A705" s="984"/>
      <c r="B705" s="984"/>
      <c r="C705" s="984"/>
      <c r="D705" s="984"/>
      <c r="E705" s="984"/>
      <c r="F705" s="984"/>
      <c r="G705" s="984"/>
      <c r="H705" s="984"/>
      <c r="I705" s="984"/>
      <c r="J705" s="984"/>
      <c r="K705" s="984"/>
      <c r="L705" s="984"/>
      <c r="M705" s="984"/>
      <c r="N705" s="984"/>
      <c r="O705" s="984"/>
      <c r="P705" s="984"/>
      <c r="Q705" s="984"/>
      <c r="R705" s="984"/>
      <c r="S705" s="984"/>
      <c r="T705" s="984"/>
      <c r="U705" s="984"/>
      <c r="V705" s="984"/>
      <c r="W705" s="984"/>
      <c r="X705" s="984"/>
      <c r="Y705" s="984"/>
      <c r="Z705" s="984"/>
    </row>
    <row r="706" spans="1:26" ht="18" customHeight="1" x14ac:dyDescent="0.35">
      <c r="A706" s="984"/>
      <c r="B706" s="984"/>
      <c r="C706" s="984"/>
      <c r="D706" s="984"/>
      <c r="E706" s="984"/>
      <c r="F706" s="984"/>
      <c r="G706" s="984"/>
      <c r="H706" s="984"/>
      <c r="I706" s="984"/>
      <c r="J706" s="984"/>
      <c r="K706" s="984"/>
      <c r="L706" s="984"/>
      <c r="M706" s="984"/>
      <c r="N706" s="984"/>
      <c r="O706" s="984"/>
      <c r="P706" s="984"/>
      <c r="Q706" s="984"/>
      <c r="R706" s="984"/>
      <c r="S706" s="984"/>
      <c r="T706" s="984"/>
      <c r="U706" s="984"/>
      <c r="V706" s="984"/>
      <c r="W706" s="984"/>
      <c r="X706" s="984"/>
      <c r="Y706" s="984"/>
      <c r="Z706" s="984"/>
    </row>
    <row r="707" spans="1:26" ht="18" customHeight="1" x14ac:dyDescent="0.35">
      <c r="A707" s="984"/>
      <c r="B707" s="984"/>
      <c r="C707" s="984"/>
      <c r="D707" s="984"/>
      <c r="E707" s="984"/>
      <c r="F707" s="984"/>
      <c r="G707" s="984"/>
      <c r="H707" s="984"/>
      <c r="I707" s="984"/>
      <c r="J707" s="984"/>
      <c r="K707" s="984"/>
      <c r="L707" s="984"/>
      <c r="M707" s="984"/>
      <c r="N707" s="984"/>
      <c r="O707" s="984"/>
      <c r="P707" s="984"/>
      <c r="Q707" s="984"/>
      <c r="R707" s="984"/>
      <c r="S707" s="984"/>
      <c r="T707" s="984"/>
      <c r="U707" s="984"/>
      <c r="V707" s="984"/>
      <c r="W707" s="984"/>
      <c r="X707" s="984"/>
      <c r="Y707" s="984"/>
      <c r="Z707" s="984"/>
    </row>
    <row r="708" spans="1:26" ht="18" customHeight="1" x14ac:dyDescent="0.35">
      <c r="A708" s="984"/>
      <c r="B708" s="984"/>
      <c r="C708" s="984"/>
      <c r="D708" s="984"/>
      <c r="E708" s="984"/>
      <c r="F708" s="984"/>
      <c r="G708" s="984"/>
      <c r="H708" s="984"/>
      <c r="I708" s="984"/>
      <c r="J708" s="984"/>
      <c r="K708" s="984"/>
      <c r="L708" s="984"/>
      <c r="M708" s="984"/>
      <c r="N708" s="984"/>
      <c r="O708" s="984"/>
      <c r="P708" s="984"/>
      <c r="Q708" s="984"/>
      <c r="R708" s="984"/>
      <c r="S708" s="984"/>
      <c r="T708" s="984"/>
      <c r="U708" s="984"/>
      <c r="V708" s="984"/>
      <c r="W708" s="984"/>
      <c r="X708" s="984"/>
      <c r="Y708" s="984"/>
      <c r="Z708" s="984"/>
    </row>
    <row r="709" spans="1:26" ht="18" customHeight="1" x14ac:dyDescent="0.35">
      <c r="A709" s="984"/>
      <c r="B709" s="984"/>
      <c r="C709" s="984"/>
      <c r="D709" s="984"/>
      <c r="E709" s="984"/>
      <c r="F709" s="984"/>
      <c r="G709" s="984"/>
      <c r="H709" s="984"/>
      <c r="I709" s="984"/>
      <c r="J709" s="984"/>
      <c r="K709" s="984"/>
      <c r="L709" s="984"/>
      <c r="M709" s="984"/>
      <c r="N709" s="984"/>
      <c r="O709" s="984"/>
      <c r="P709" s="984"/>
      <c r="Q709" s="984"/>
      <c r="R709" s="984"/>
      <c r="S709" s="984"/>
      <c r="T709" s="984"/>
      <c r="U709" s="984"/>
      <c r="V709" s="984"/>
      <c r="W709" s="984"/>
      <c r="X709" s="984"/>
      <c r="Y709" s="984"/>
      <c r="Z709" s="984"/>
    </row>
    <row r="710" spans="1:26" ht="18" customHeight="1" x14ac:dyDescent="0.35">
      <c r="A710" s="984"/>
      <c r="B710" s="984"/>
      <c r="C710" s="984"/>
      <c r="D710" s="984"/>
      <c r="E710" s="984"/>
      <c r="F710" s="984"/>
      <c r="G710" s="984"/>
      <c r="H710" s="984"/>
      <c r="I710" s="984"/>
      <c r="J710" s="984"/>
      <c r="K710" s="984"/>
      <c r="L710" s="984"/>
      <c r="M710" s="984"/>
      <c r="N710" s="984"/>
      <c r="O710" s="984"/>
      <c r="P710" s="984"/>
      <c r="Q710" s="984"/>
      <c r="R710" s="984"/>
      <c r="S710" s="984"/>
      <c r="T710" s="984"/>
      <c r="U710" s="984"/>
      <c r="V710" s="984"/>
      <c r="W710" s="984"/>
      <c r="X710" s="984"/>
      <c r="Y710" s="984"/>
      <c r="Z710" s="984"/>
    </row>
    <row r="711" spans="1:26" ht="18" customHeight="1" x14ac:dyDescent="0.35">
      <c r="A711" s="984"/>
      <c r="B711" s="984"/>
      <c r="C711" s="984"/>
      <c r="D711" s="984"/>
      <c r="E711" s="984"/>
      <c r="F711" s="984"/>
      <c r="G711" s="984"/>
      <c r="H711" s="984"/>
      <c r="I711" s="984"/>
      <c r="J711" s="984"/>
      <c r="K711" s="984"/>
      <c r="L711" s="984"/>
      <c r="M711" s="984"/>
      <c r="N711" s="984"/>
      <c r="O711" s="984"/>
      <c r="P711" s="984"/>
      <c r="Q711" s="984"/>
      <c r="R711" s="984"/>
      <c r="S711" s="984"/>
      <c r="T711" s="984"/>
      <c r="U711" s="984"/>
      <c r="V711" s="984"/>
      <c r="W711" s="984"/>
      <c r="X711" s="984"/>
      <c r="Y711" s="984"/>
      <c r="Z711" s="984"/>
    </row>
    <row r="712" spans="1:26" ht="18" customHeight="1" x14ac:dyDescent="0.35">
      <c r="A712" s="984"/>
      <c r="B712" s="984"/>
      <c r="C712" s="984"/>
      <c r="D712" s="984"/>
      <c r="E712" s="984"/>
      <c r="F712" s="984"/>
      <c r="G712" s="984"/>
      <c r="H712" s="984"/>
      <c r="I712" s="984"/>
      <c r="J712" s="984"/>
      <c r="K712" s="984"/>
      <c r="L712" s="984"/>
      <c r="M712" s="984"/>
      <c r="N712" s="984"/>
      <c r="O712" s="984"/>
      <c r="P712" s="984"/>
      <c r="Q712" s="984"/>
      <c r="R712" s="984"/>
      <c r="S712" s="984"/>
      <c r="T712" s="984"/>
      <c r="U712" s="984"/>
      <c r="V712" s="984"/>
      <c r="W712" s="984"/>
      <c r="X712" s="984"/>
      <c r="Y712" s="984"/>
      <c r="Z712" s="984"/>
    </row>
    <row r="713" spans="1:26" ht="18" customHeight="1" x14ac:dyDescent="0.35">
      <c r="A713" s="984"/>
      <c r="B713" s="984"/>
      <c r="C713" s="984"/>
      <c r="D713" s="984"/>
      <c r="E713" s="984"/>
      <c r="F713" s="984"/>
      <c r="G713" s="984"/>
      <c r="H713" s="984"/>
      <c r="I713" s="984"/>
      <c r="J713" s="984"/>
      <c r="K713" s="984"/>
      <c r="L713" s="984"/>
      <c r="M713" s="984"/>
      <c r="N713" s="984"/>
      <c r="O713" s="984"/>
      <c r="P713" s="984"/>
      <c r="Q713" s="984"/>
      <c r="R713" s="984"/>
      <c r="S713" s="984"/>
      <c r="T713" s="984"/>
      <c r="U713" s="984"/>
      <c r="V713" s="984"/>
      <c r="W713" s="984"/>
      <c r="X713" s="984"/>
      <c r="Y713" s="984"/>
      <c r="Z713" s="984"/>
    </row>
    <row r="714" spans="1:26" ht="18" customHeight="1" x14ac:dyDescent="0.35">
      <c r="A714" s="984"/>
      <c r="B714" s="984"/>
      <c r="C714" s="984"/>
      <c r="D714" s="984"/>
      <c r="E714" s="984"/>
      <c r="F714" s="984"/>
      <c r="G714" s="984"/>
      <c r="H714" s="984"/>
      <c r="I714" s="984"/>
      <c r="J714" s="984"/>
      <c r="K714" s="984"/>
      <c r="L714" s="984"/>
      <c r="M714" s="984"/>
      <c r="N714" s="984"/>
      <c r="O714" s="984"/>
      <c r="P714" s="984"/>
      <c r="Q714" s="984"/>
      <c r="R714" s="984"/>
      <c r="S714" s="984"/>
      <c r="T714" s="984"/>
      <c r="U714" s="984"/>
      <c r="V714" s="984"/>
      <c r="W714" s="984"/>
      <c r="X714" s="984"/>
      <c r="Y714" s="984"/>
      <c r="Z714" s="984"/>
    </row>
    <row r="715" spans="1:26" ht="18" customHeight="1" x14ac:dyDescent="0.35">
      <c r="A715" s="984"/>
      <c r="B715" s="984"/>
      <c r="C715" s="984"/>
      <c r="D715" s="984"/>
      <c r="E715" s="984"/>
      <c r="F715" s="984"/>
      <c r="G715" s="984"/>
      <c r="H715" s="984"/>
      <c r="I715" s="984"/>
      <c r="J715" s="984"/>
      <c r="K715" s="984"/>
      <c r="L715" s="984"/>
      <c r="M715" s="984"/>
      <c r="N715" s="984"/>
      <c r="O715" s="984"/>
      <c r="P715" s="984"/>
      <c r="Q715" s="984"/>
      <c r="R715" s="984"/>
      <c r="S715" s="984"/>
      <c r="T715" s="984"/>
      <c r="U715" s="984"/>
      <c r="V715" s="984"/>
      <c r="W715" s="984"/>
      <c r="X715" s="984"/>
      <c r="Y715" s="984"/>
      <c r="Z715" s="984"/>
    </row>
    <row r="716" spans="1:26" ht="18" customHeight="1" x14ac:dyDescent="0.35">
      <c r="A716" s="984"/>
      <c r="B716" s="984"/>
      <c r="C716" s="984"/>
      <c r="D716" s="984"/>
      <c r="E716" s="984"/>
      <c r="F716" s="984"/>
      <c r="G716" s="984"/>
      <c r="H716" s="984"/>
      <c r="I716" s="984"/>
      <c r="J716" s="984"/>
      <c r="K716" s="984"/>
      <c r="L716" s="984"/>
      <c r="M716" s="984"/>
      <c r="N716" s="984"/>
      <c r="O716" s="984"/>
      <c r="P716" s="984"/>
      <c r="Q716" s="984"/>
      <c r="R716" s="984"/>
      <c r="S716" s="984"/>
      <c r="T716" s="984"/>
      <c r="U716" s="984"/>
      <c r="V716" s="984"/>
      <c r="W716" s="984"/>
      <c r="X716" s="984"/>
      <c r="Y716" s="984"/>
      <c r="Z716" s="984"/>
    </row>
    <row r="717" spans="1:26" ht="18" customHeight="1" x14ac:dyDescent="0.35">
      <c r="A717" s="984"/>
      <c r="B717" s="984"/>
      <c r="C717" s="984"/>
      <c r="D717" s="984"/>
      <c r="E717" s="984"/>
      <c r="F717" s="984"/>
      <c r="G717" s="984"/>
      <c r="H717" s="984"/>
      <c r="I717" s="984"/>
      <c r="J717" s="984"/>
      <c r="K717" s="984"/>
      <c r="L717" s="984"/>
      <c r="M717" s="984"/>
      <c r="N717" s="984"/>
      <c r="O717" s="984"/>
      <c r="P717" s="984"/>
      <c r="Q717" s="984"/>
      <c r="R717" s="984"/>
      <c r="S717" s="984"/>
      <c r="T717" s="984"/>
      <c r="U717" s="984"/>
      <c r="V717" s="984"/>
      <c r="W717" s="984"/>
      <c r="X717" s="984"/>
      <c r="Y717" s="984"/>
      <c r="Z717" s="984"/>
    </row>
    <row r="718" spans="1:26" ht="18" customHeight="1" x14ac:dyDescent="0.35">
      <c r="A718" s="984"/>
      <c r="B718" s="984"/>
      <c r="C718" s="984"/>
      <c r="D718" s="984"/>
      <c r="E718" s="984"/>
      <c r="F718" s="984"/>
      <c r="G718" s="984"/>
      <c r="H718" s="984"/>
      <c r="I718" s="984"/>
      <c r="J718" s="984"/>
      <c r="K718" s="984"/>
      <c r="L718" s="984"/>
      <c r="M718" s="984"/>
      <c r="N718" s="984"/>
      <c r="O718" s="984"/>
      <c r="P718" s="984"/>
      <c r="Q718" s="984"/>
      <c r="R718" s="984"/>
      <c r="S718" s="984"/>
      <c r="T718" s="984"/>
      <c r="U718" s="984"/>
      <c r="V718" s="984"/>
      <c r="W718" s="984"/>
      <c r="X718" s="984"/>
      <c r="Y718" s="984"/>
      <c r="Z718" s="984"/>
    </row>
    <row r="719" spans="1:26" ht="18" customHeight="1" x14ac:dyDescent="0.35">
      <c r="A719" s="984"/>
      <c r="B719" s="984"/>
      <c r="C719" s="984"/>
      <c r="D719" s="984"/>
      <c r="E719" s="984"/>
      <c r="F719" s="984"/>
      <c r="G719" s="984"/>
      <c r="H719" s="984"/>
      <c r="I719" s="984"/>
      <c r="J719" s="984"/>
      <c r="K719" s="984"/>
      <c r="L719" s="984"/>
      <c r="M719" s="984"/>
      <c r="N719" s="984"/>
      <c r="O719" s="984"/>
      <c r="P719" s="984"/>
      <c r="Q719" s="984"/>
      <c r="R719" s="984"/>
      <c r="S719" s="984"/>
      <c r="T719" s="984"/>
      <c r="U719" s="984"/>
      <c r="V719" s="984"/>
      <c r="W719" s="984"/>
      <c r="X719" s="984"/>
      <c r="Y719" s="984"/>
      <c r="Z719" s="984"/>
    </row>
    <row r="720" spans="1:26" ht="18" customHeight="1" x14ac:dyDescent="0.35">
      <c r="A720" s="984"/>
      <c r="B720" s="984"/>
      <c r="C720" s="984"/>
      <c r="D720" s="984"/>
      <c r="E720" s="984"/>
      <c r="F720" s="984"/>
      <c r="G720" s="984"/>
      <c r="H720" s="984"/>
      <c r="I720" s="984"/>
      <c r="J720" s="984"/>
      <c r="K720" s="984"/>
      <c r="L720" s="984"/>
      <c r="M720" s="984"/>
      <c r="N720" s="984"/>
      <c r="O720" s="984"/>
      <c r="P720" s="984"/>
      <c r="Q720" s="984"/>
      <c r="R720" s="984"/>
      <c r="S720" s="984"/>
      <c r="T720" s="984"/>
      <c r="U720" s="984"/>
      <c r="V720" s="984"/>
      <c r="W720" s="984"/>
      <c r="X720" s="984"/>
      <c r="Y720" s="984"/>
      <c r="Z720" s="984"/>
    </row>
    <row r="721" spans="1:26" ht="18" customHeight="1" x14ac:dyDescent="0.35">
      <c r="A721" s="984"/>
      <c r="B721" s="984"/>
      <c r="C721" s="984"/>
      <c r="D721" s="984"/>
      <c r="E721" s="984"/>
      <c r="F721" s="984"/>
      <c r="G721" s="984"/>
      <c r="H721" s="984"/>
      <c r="I721" s="984"/>
      <c r="J721" s="984"/>
      <c r="K721" s="984"/>
      <c r="L721" s="984"/>
      <c r="M721" s="984"/>
      <c r="N721" s="984"/>
      <c r="O721" s="984"/>
      <c r="P721" s="984"/>
      <c r="Q721" s="984"/>
      <c r="R721" s="984"/>
      <c r="S721" s="984"/>
      <c r="T721" s="984"/>
      <c r="U721" s="984"/>
      <c r="V721" s="984"/>
      <c r="W721" s="984"/>
      <c r="X721" s="984"/>
      <c r="Y721" s="984"/>
      <c r="Z721" s="984"/>
    </row>
    <row r="722" spans="1:26" ht="18" customHeight="1" x14ac:dyDescent="0.35">
      <c r="A722" s="984"/>
      <c r="B722" s="984"/>
      <c r="C722" s="984"/>
      <c r="D722" s="984"/>
      <c r="E722" s="984"/>
      <c r="F722" s="984"/>
      <c r="G722" s="984"/>
      <c r="H722" s="984"/>
      <c r="I722" s="984"/>
      <c r="J722" s="984"/>
      <c r="K722" s="984"/>
      <c r="L722" s="984"/>
      <c r="M722" s="984"/>
      <c r="N722" s="984"/>
      <c r="O722" s="984"/>
      <c r="P722" s="984"/>
      <c r="Q722" s="984"/>
      <c r="R722" s="984"/>
      <c r="S722" s="984"/>
      <c r="T722" s="984"/>
      <c r="U722" s="984"/>
      <c r="V722" s="984"/>
      <c r="W722" s="984"/>
      <c r="X722" s="984"/>
      <c r="Y722" s="984"/>
      <c r="Z722" s="984"/>
    </row>
    <row r="723" spans="1:26" ht="18" customHeight="1" x14ac:dyDescent="0.35">
      <c r="A723" s="984"/>
      <c r="B723" s="984"/>
      <c r="C723" s="984"/>
      <c r="D723" s="984"/>
      <c r="E723" s="984"/>
      <c r="F723" s="984"/>
      <c r="G723" s="984"/>
      <c r="H723" s="984"/>
      <c r="I723" s="984"/>
      <c r="J723" s="984"/>
      <c r="K723" s="984"/>
      <c r="L723" s="984"/>
      <c r="M723" s="984"/>
      <c r="N723" s="984"/>
      <c r="O723" s="984"/>
      <c r="P723" s="984"/>
      <c r="Q723" s="984"/>
      <c r="R723" s="984"/>
      <c r="S723" s="984"/>
      <c r="T723" s="984"/>
      <c r="U723" s="984"/>
      <c r="V723" s="984"/>
      <c r="W723" s="984"/>
      <c r="X723" s="984"/>
      <c r="Y723" s="984"/>
      <c r="Z723" s="984"/>
    </row>
    <row r="724" spans="1:26" ht="18" customHeight="1" x14ac:dyDescent="0.35">
      <c r="A724" s="984"/>
      <c r="B724" s="984"/>
      <c r="C724" s="984"/>
      <c r="D724" s="984"/>
      <c r="E724" s="984"/>
      <c r="F724" s="984"/>
      <c r="G724" s="984"/>
      <c r="H724" s="984"/>
      <c r="I724" s="984"/>
      <c r="J724" s="984"/>
      <c r="K724" s="984"/>
      <c r="L724" s="984"/>
      <c r="M724" s="984"/>
      <c r="N724" s="984"/>
      <c r="O724" s="984"/>
      <c r="P724" s="984"/>
      <c r="Q724" s="984"/>
      <c r="R724" s="984"/>
      <c r="S724" s="984"/>
      <c r="T724" s="984"/>
      <c r="U724" s="984"/>
      <c r="V724" s="984"/>
      <c r="W724" s="984"/>
      <c r="X724" s="984"/>
      <c r="Y724" s="984"/>
      <c r="Z724" s="984"/>
    </row>
    <row r="725" spans="1:26" ht="18" customHeight="1" x14ac:dyDescent="0.35">
      <c r="A725" s="984"/>
      <c r="B725" s="984"/>
      <c r="C725" s="984"/>
      <c r="D725" s="984"/>
      <c r="E725" s="984"/>
      <c r="F725" s="984"/>
      <c r="G725" s="984"/>
      <c r="H725" s="984"/>
      <c r="I725" s="984"/>
      <c r="J725" s="984"/>
      <c r="K725" s="984"/>
      <c r="L725" s="984"/>
      <c r="M725" s="984"/>
      <c r="N725" s="984"/>
      <c r="O725" s="984"/>
      <c r="P725" s="984"/>
      <c r="Q725" s="984"/>
      <c r="R725" s="984"/>
      <c r="S725" s="984"/>
      <c r="T725" s="984"/>
      <c r="U725" s="984"/>
      <c r="V725" s="984"/>
      <c r="W725" s="984"/>
      <c r="X725" s="984"/>
      <c r="Y725" s="984"/>
      <c r="Z725" s="984"/>
    </row>
    <row r="726" spans="1:26" ht="18" customHeight="1" x14ac:dyDescent="0.35">
      <c r="A726" s="984"/>
      <c r="B726" s="984"/>
      <c r="C726" s="984"/>
      <c r="D726" s="984"/>
      <c r="E726" s="984"/>
      <c r="F726" s="984"/>
      <c r="G726" s="984"/>
      <c r="H726" s="984"/>
      <c r="I726" s="984"/>
      <c r="J726" s="984"/>
      <c r="K726" s="984"/>
      <c r="L726" s="984"/>
      <c r="M726" s="984"/>
      <c r="N726" s="984"/>
      <c r="O726" s="984"/>
      <c r="P726" s="984"/>
      <c r="Q726" s="984"/>
      <c r="R726" s="984"/>
      <c r="S726" s="984"/>
      <c r="T726" s="984"/>
      <c r="U726" s="984"/>
      <c r="V726" s="984"/>
      <c r="W726" s="984"/>
      <c r="X726" s="984"/>
      <c r="Y726" s="984"/>
      <c r="Z726" s="984"/>
    </row>
    <row r="727" spans="1:26" ht="18" customHeight="1" x14ac:dyDescent="0.35">
      <c r="A727" s="984"/>
      <c r="B727" s="984"/>
      <c r="C727" s="984"/>
      <c r="D727" s="984"/>
      <c r="E727" s="984"/>
      <c r="F727" s="984"/>
      <c r="G727" s="984"/>
      <c r="H727" s="984"/>
      <c r="I727" s="984"/>
      <c r="J727" s="984"/>
      <c r="K727" s="984"/>
      <c r="L727" s="984"/>
      <c r="M727" s="984"/>
      <c r="N727" s="984"/>
      <c r="O727" s="984"/>
      <c r="P727" s="984"/>
      <c r="Q727" s="984"/>
      <c r="R727" s="984"/>
      <c r="S727" s="984"/>
      <c r="T727" s="984"/>
      <c r="U727" s="984"/>
      <c r="V727" s="984"/>
      <c r="W727" s="984"/>
      <c r="X727" s="984"/>
      <c r="Y727" s="984"/>
      <c r="Z727" s="984"/>
    </row>
    <row r="728" spans="1:26" ht="18" customHeight="1" x14ac:dyDescent="0.35">
      <c r="A728" s="984"/>
      <c r="B728" s="984"/>
      <c r="C728" s="984"/>
      <c r="D728" s="984"/>
      <c r="E728" s="984"/>
      <c r="F728" s="984"/>
      <c r="G728" s="984"/>
      <c r="H728" s="984"/>
      <c r="I728" s="984"/>
      <c r="J728" s="984"/>
      <c r="K728" s="984"/>
      <c r="L728" s="984"/>
      <c r="M728" s="984"/>
      <c r="N728" s="984"/>
      <c r="O728" s="984"/>
      <c r="P728" s="984"/>
      <c r="Q728" s="984"/>
      <c r="R728" s="984"/>
      <c r="S728" s="984"/>
      <c r="T728" s="984"/>
      <c r="U728" s="984"/>
      <c r="V728" s="984"/>
      <c r="W728" s="984"/>
      <c r="X728" s="984"/>
      <c r="Y728" s="984"/>
      <c r="Z728" s="984"/>
    </row>
    <row r="729" spans="1:26" ht="18" customHeight="1" x14ac:dyDescent="0.35">
      <c r="A729" s="984"/>
      <c r="B729" s="984"/>
      <c r="C729" s="984"/>
      <c r="D729" s="984"/>
      <c r="E729" s="984"/>
      <c r="F729" s="984"/>
      <c r="G729" s="984"/>
      <c r="H729" s="984"/>
      <c r="I729" s="984"/>
      <c r="J729" s="984"/>
      <c r="K729" s="984"/>
      <c r="L729" s="984"/>
      <c r="M729" s="984"/>
      <c r="N729" s="984"/>
      <c r="O729" s="984"/>
      <c r="P729" s="984"/>
      <c r="Q729" s="984"/>
      <c r="R729" s="984"/>
      <c r="S729" s="984"/>
      <c r="T729" s="984"/>
      <c r="U729" s="984"/>
      <c r="V729" s="984"/>
      <c r="W729" s="984"/>
      <c r="X729" s="984"/>
      <c r="Y729" s="984"/>
      <c r="Z729" s="984"/>
    </row>
    <row r="730" spans="1:26" ht="18" customHeight="1" x14ac:dyDescent="0.35">
      <c r="A730" s="984"/>
      <c r="B730" s="984"/>
      <c r="C730" s="984"/>
      <c r="D730" s="984"/>
      <c r="E730" s="984"/>
      <c r="F730" s="984"/>
      <c r="G730" s="984"/>
      <c r="H730" s="984"/>
      <c r="I730" s="984"/>
      <c r="J730" s="984"/>
      <c r="K730" s="984"/>
      <c r="L730" s="984"/>
      <c r="M730" s="984"/>
      <c r="N730" s="984"/>
      <c r="O730" s="984"/>
      <c r="P730" s="984"/>
      <c r="Q730" s="984"/>
      <c r="R730" s="984"/>
      <c r="S730" s="984"/>
      <c r="T730" s="984"/>
      <c r="U730" s="984"/>
      <c r="V730" s="984"/>
      <c r="W730" s="984"/>
      <c r="X730" s="984"/>
      <c r="Y730" s="984"/>
      <c r="Z730" s="984"/>
    </row>
    <row r="731" spans="1:26" ht="18" customHeight="1" x14ac:dyDescent="0.35">
      <c r="A731" s="984"/>
      <c r="B731" s="984"/>
      <c r="C731" s="984"/>
      <c r="D731" s="984"/>
      <c r="E731" s="984"/>
      <c r="F731" s="984"/>
      <c r="G731" s="984"/>
      <c r="H731" s="984"/>
      <c r="I731" s="984"/>
      <c r="J731" s="984"/>
      <c r="K731" s="984"/>
      <c r="L731" s="984"/>
      <c r="M731" s="984"/>
      <c r="N731" s="984"/>
      <c r="O731" s="984"/>
      <c r="P731" s="984"/>
      <c r="Q731" s="984"/>
      <c r="R731" s="984"/>
      <c r="S731" s="984"/>
      <c r="T731" s="984"/>
      <c r="U731" s="984"/>
      <c r="V731" s="984"/>
      <c r="W731" s="984"/>
      <c r="X731" s="984"/>
      <c r="Y731" s="984"/>
      <c r="Z731" s="984"/>
    </row>
    <row r="732" spans="1:26" ht="18" customHeight="1" x14ac:dyDescent="0.35">
      <c r="A732" s="984"/>
      <c r="B732" s="984"/>
      <c r="C732" s="984"/>
      <c r="D732" s="984"/>
      <c r="E732" s="984"/>
      <c r="F732" s="984"/>
      <c r="G732" s="984"/>
      <c r="H732" s="984"/>
      <c r="I732" s="984"/>
      <c r="J732" s="984"/>
      <c r="K732" s="984"/>
      <c r="L732" s="984"/>
      <c r="M732" s="984"/>
      <c r="N732" s="984"/>
      <c r="O732" s="984"/>
      <c r="P732" s="984"/>
      <c r="Q732" s="984"/>
      <c r="R732" s="984"/>
      <c r="S732" s="984"/>
      <c r="T732" s="984"/>
      <c r="U732" s="984"/>
      <c r="V732" s="984"/>
      <c r="W732" s="984"/>
      <c r="X732" s="984"/>
      <c r="Y732" s="984"/>
      <c r="Z732" s="984"/>
    </row>
    <row r="733" spans="1:26" ht="18" customHeight="1" x14ac:dyDescent="0.35">
      <c r="A733" s="984"/>
      <c r="B733" s="984"/>
      <c r="C733" s="984"/>
      <c r="D733" s="984"/>
      <c r="E733" s="984"/>
      <c r="F733" s="984"/>
      <c r="G733" s="984"/>
      <c r="H733" s="984"/>
      <c r="I733" s="984"/>
      <c r="J733" s="984"/>
      <c r="K733" s="984"/>
      <c r="L733" s="984"/>
      <c r="M733" s="984"/>
      <c r="N733" s="984"/>
      <c r="O733" s="984"/>
      <c r="P733" s="984"/>
      <c r="Q733" s="984"/>
      <c r="R733" s="984"/>
      <c r="S733" s="984"/>
      <c r="T733" s="984"/>
      <c r="U733" s="984"/>
      <c r="V733" s="984"/>
      <c r="W733" s="984"/>
      <c r="X733" s="984"/>
      <c r="Y733" s="984"/>
      <c r="Z733" s="984"/>
    </row>
    <row r="734" spans="1:26" ht="18" customHeight="1" x14ac:dyDescent="0.35">
      <c r="A734" s="984"/>
      <c r="B734" s="984"/>
      <c r="C734" s="984"/>
      <c r="D734" s="984"/>
      <c r="E734" s="984"/>
      <c r="F734" s="984"/>
      <c r="G734" s="984"/>
      <c r="H734" s="984"/>
      <c r="I734" s="984"/>
      <c r="J734" s="984"/>
      <c r="K734" s="984"/>
      <c r="L734" s="984"/>
      <c r="M734" s="984"/>
      <c r="N734" s="984"/>
      <c r="O734" s="984"/>
      <c r="P734" s="984"/>
      <c r="Q734" s="984"/>
      <c r="R734" s="984"/>
      <c r="S734" s="984"/>
      <c r="T734" s="984"/>
      <c r="U734" s="984"/>
      <c r="V734" s="984"/>
      <c r="W734" s="984"/>
      <c r="X734" s="984"/>
      <c r="Y734" s="984"/>
      <c r="Z734" s="984"/>
    </row>
    <row r="735" spans="1:26" ht="18" customHeight="1" x14ac:dyDescent="0.35">
      <c r="A735" s="984"/>
      <c r="B735" s="984"/>
      <c r="C735" s="984"/>
      <c r="D735" s="984"/>
      <c r="E735" s="984"/>
      <c r="F735" s="984"/>
      <c r="G735" s="984"/>
      <c r="H735" s="984"/>
      <c r="I735" s="984"/>
      <c r="J735" s="984"/>
      <c r="K735" s="984"/>
      <c r="L735" s="984"/>
      <c r="M735" s="984"/>
      <c r="N735" s="984"/>
      <c r="O735" s="984"/>
      <c r="P735" s="984"/>
      <c r="Q735" s="984"/>
      <c r="R735" s="984"/>
      <c r="S735" s="984"/>
      <c r="T735" s="984"/>
      <c r="U735" s="984"/>
      <c r="V735" s="984"/>
      <c r="W735" s="984"/>
      <c r="X735" s="984"/>
      <c r="Y735" s="984"/>
      <c r="Z735" s="984"/>
    </row>
    <row r="736" spans="1:26" ht="18" customHeight="1" x14ac:dyDescent="0.35">
      <c r="A736" s="984"/>
      <c r="B736" s="984"/>
      <c r="C736" s="984"/>
      <c r="D736" s="984"/>
      <c r="E736" s="984"/>
      <c r="F736" s="984"/>
      <c r="G736" s="984"/>
      <c r="H736" s="984"/>
      <c r="I736" s="984"/>
      <c r="J736" s="984"/>
      <c r="K736" s="984"/>
      <c r="L736" s="984"/>
      <c r="M736" s="984"/>
      <c r="N736" s="984"/>
      <c r="O736" s="984"/>
      <c r="P736" s="984"/>
      <c r="Q736" s="984"/>
      <c r="R736" s="984"/>
      <c r="S736" s="984"/>
      <c r="T736" s="984"/>
      <c r="U736" s="984"/>
      <c r="V736" s="984"/>
      <c r="W736" s="984"/>
      <c r="X736" s="984"/>
      <c r="Y736" s="984"/>
      <c r="Z736" s="984"/>
    </row>
    <row r="737" spans="1:26" ht="18" customHeight="1" x14ac:dyDescent="0.35">
      <c r="A737" s="984"/>
      <c r="B737" s="984"/>
      <c r="C737" s="984"/>
      <c r="D737" s="984"/>
      <c r="E737" s="984"/>
      <c r="F737" s="984"/>
      <c r="G737" s="984"/>
      <c r="H737" s="984"/>
      <c r="I737" s="984"/>
      <c r="J737" s="984"/>
      <c r="K737" s="984"/>
      <c r="L737" s="984"/>
      <c r="M737" s="984"/>
      <c r="N737" s="984"/>
      <c r="O737" s="984"/>
      <c r="P737" s="984"/>
      <c r="Q737" s="984"/>
      <c r="R737" s="984"/>
      <c r="S737" s="984"/>
      <c r="T737" s="984"/>
      <c r="U737" s="984"/>
      <c r="V737" s="984"/>
      <c r="W737" s="984"/>
      <c r="X737" s="984"/>
      <c r="Y737" s="984"/>
      <c r="Z737" s="984"/>
    </row>
    <row r="738" spans="1:26" ht="18" customHeight="1" x14ac:dyDescent="0.35">
      <c r="A738" s="984"/>
      <c r="B738" s="984"/>
      <c r="C738" s="984"/>
      <c r="D738" s="984"/>
      <c r="E738" s="984"/>
      <c r="F738" s="984"/>
      <c r="G738" s="984"/>
      <c r="H738" s="984"/>
      <c r="I738" s="984"/>
      <c r="J738" s="984"/>
      <c r="K738" s="984"/>
      <c r="L738" s="984"/>
      <c r="M738" s="984"/>
      <c r="N738" s="984"/>
      <c r="O738" s="984"/>
      <c r="P738" s="984"/>
      <c r="Q738" s="984"/>
      <c r="R738" s="984"/>
      <c r="S738" s="984"/>
      <c r="T738" s="984"/>
      <c r="U738" s="984"/>
      <c r="V738" s="984"/>
      <c r="W738" s="984"/>
      <c r="X738" s="984"/>
      <c r="Y738" s="984"/>
      <c r="Z738" s="984"/>
    </row>
    <row r="739" spans="1:26" ht="18" customHeight="1" x14ac:dyDescent="0.35">
      <c r="A739" s="984"/>
      <c r="B739" s="984"/>
      <c r="C739" s="984"/>
      <c r="D739" s="984"/>
      <c r="E739" s="984"/>
      <c r="F739" s="984"/>
      <c r="G739" s="984"/>
      <c r="H739" s="984"/>
      <c r="I739" s="984"/>
      <c r="J739" s="984"/>
      <c r="K739" s="984"/>
      <c r="L739" s="984"/>
      <c r="M739" s="984"/>
      <c r="N739" s="984"/>
      <c r="O739" s="984"/>
      <c r="P739" s="984"/>
      <c r="Q739" s="984"/>
      <c r="R739" s="984"/>
      <c r="S739" s="984"/>
      <c r="T739" s="984"/>
      <c r="U739" s="984"/>
      <c r="V739" s="984"/>
      <c r="W739" s="984"/>
      <c r="X739" s="984"/>
      <c r="Y739" s="984"/>
      <c r="Z739" s="984"/>
    </row>
    <row r="740" spans="1:26" ht="18" customHeight="1" x14ac:dyDescent="0.35">
      <c r="A740" s="984"/>
      <c r="B740" s="984"/>
      <c r="C740" s="984"/>
      <c r="D740" s="984"/>
      <c r="E740" s="984"/>
      <c r="F740" s="984"/>
      <c r="G740" s="984"/>
      <c r="H740" s="984"/>
      <c r="I740" s="984"/>
      <c r="J740" s="984"/>
      <c r="K740" s="984"/>
      <c r="L740" s="984"/>
      <c r="M740" s="984"/>
      <c r="N740" s="984"/>
      <c r="O740" s="984"/>
      <c r="P740" s="984"/>
      <c r="Q740" s="984"/>
      <c r="R740" s="984"/>
      <c r="S740" s="984"/>
      <c r="T740" s="984"/>
      <c r="U740" s="984"/>
      <c r="V740" s="984"/>
      <c r="W740" s="984"/>
      <c r="X740" s="984"/>
      <c r="Y740" s="984"/>
      <c r="Z740" s="984"/>
    </row>
    <row r="741" spans="1:26" ht="18" customHeight="1" x14ac:dyDescent="0.35">
      <c r="A741" s="984"/>
      <c r="B741" s="984"/>
      <c r="C741" s="984"/>
      <c r="D741" s="984"/>
      <c r="E741" s="984"/>
      <c r="F741" s="984"/>
      <c r="G741" s="984"/>
      <c r="H741" s="984"/>
      <c r="I741" s="984"/>
      <c r="J741" s="984"/>
      <c r="K741" s="984"/>
      <c r="L741" s="984"/>
      <c r="M741" s="984"/>
      <c r="N741" s="984"/>
      <c r="O741" s="984"/>
      <c r="P741" s="984"/>
      <c r="Q741" s="984"/>
      <c r="R741" s="984"/>
      <c r="S741" s="984"/>
      <c r="T741" s="984"/>
      <c r="U741" s="984"/>
      <c r="V741" s="984"/>
      <c r="W741" s="984"/>
      <c r="X741" s="984"/>
      <c r="Y741" s="984"/>
      <c r="Z741" s="984"/>
    </row>
    <row r="742" spans="1:26" ht="18" customHeight="1" x14ac:dyDescent="0.35">
      <c r="A742" s="984"/>
      <c r="B742" s="984"/>
      <c r="C742" s="984"/>
      <c r="D742" s="984"/>
      <c r="E742" s="984"/>
      <c r="F742" s="984"/>
      <c r="G742" s="984"/>
      <c r="H742" s="984"/>
      <c r="I742" s="984"/>
      <c r="J742" s="984"/>
      <c r="K742" s="984"/>
      <c r="L742" s="984"/>
      <c r="M742" s="984"/>
      <c r="N742" s="984"/>
      <c r="O742" s="984"/>
      <c r="P742" s="984"/>
      <c r="Q742" s="984"/>
      <c r="R742" s="984"/>
      <c r="S742" s="984"/>
      <c r="T742" s="984"/>
      <c r="U742" s="984"/>
      <c r="V742" s="984"/>
      <c r="W742" s="984"/>
      <c r="X742" s="984"/>
      <c r="Y742" s="984"/>
      <c r="Z742" s="984"/>
    </row>
    <row r="743" spans="1:26" ht="18" customHeight="1" x14ac:dyDescent="0.35">
      <c r="A743" s="984"/>
      <c r="B743" s="984"/>
      <c r="C743" s="984"/>
      <c r="D743" s="984"/>
      <c r="E743" s="984"/>
      <c r="F743" s="984"/>
      <c r="G743" s="984"/>
      <c r="H743" s="984"/>
      <c r="I743" s="984"/>
      <c r="J743" s="984"/>
      <c r="K743" s="984"/>
      <c r="L743" s="984"/>
      <c r="M743" s="984"/>
      <c r="N743" s="984"/>
      <c r="O743" s="984"/>
      <c r="P743" s="984"/>
      <c r="Q743" s="984"/>
      <c r="R743" s="984"/>
      <c r="S743" s="984"/>
      <c r="T743" s="984"/>
      <c r="U743" s="984"/>
      <c r="V743" s="984"/>
      <c r="W743" s="984"/>
      <c r="X743" s="984"/>
      <c r="Y743" s="984"/>
      <c r="Z743" s="984"/>
    </row>
    <row r="744" spans="1:26" ht="18" customHeight="1" x14ac:dyDescent="0.35">
      <c r="A744" s="984"/>
      <c r="B744" s="984"/>
      <c r="C744" s="984"/>
      <c r="D744" s="984"/>
      <c r="E744" s="984"/>
      <c r="F744" s="984"/>
      <c r="G744" s="984"/>
      <c r="H744" s="984"/>
      <c r="I744" s="984"/>
      <c r="J744" s="984"/>
      <c r="K744" s="984"/>
      <c r="L744" s="984"/>
      <c r="M744" s="984"/>
      <c r="N744" s="984"/>
      <c r="O744" s="984"/>
      <c r="P744" s="984"/>
      <c r="Q744" s="984"/>
      <c r="R744" s="984"/>
      <c r="S744" s="984"/>
      <c r="T744" s="984"/>
      <c r="U744" s="984"/>
      <c r="V744" s="984"/>
      <c r="W744" s="984"/>
      <c r="X744" s="984"/>
      <c r="Y744" s="984"/>
      <c r="Z744" s="984"/>
    </row>
    <row r="745" spans="1:26" ht="18" customHeight="1" x14ac:dyDescent="0.35">
      <c r="A745" s="984"/>
      <c r="B745" s="984"/>
      <c r="C745" s="984"/>
      <c r="D745" s="984"/>
      <c r="E745" s="984"/>
      <c r="F745" s="984"/>
      <c r="G745" s="984"/>
      <c r="H745" s="984"/>
      <c r="I745" s="984"/>
      <c r="J745" s="984"/>
      <c r="K745" s="984"/>
      <c r="L745" s="984"/>
      <c r="M745" s="984"/>
      <c r="N745" s="984"/>
      <c r="O745" s="984"/>
      <c r="P745" s="984"/>
      <c r="Q745" s="984"/>
      <c r="R745" s="984"/>
      <c r="S745" s="984"/>
      <c r="T745" s="984"/>
      <c r="U745" s="984"/>
      <c r="V745" s="984"/>
      <c r="W745" s="984"/>
      <c r="X745" s="984"/>
      <c r="Y745" s="984"/>
      <c r="Z745" s="984"/>
    </row>
    <row r="746" spans="1:26" ht="18" customHeight="1" x14ac:dyDescent="0.35">
      <c r="A746" s="984"/>
      <c r="B746" s="984"/>
      <c r="C746" s="984"/>
      <c r="D746" s="984"/>
      <c r="E746" s="984"/>
      <c r="F746" s="984"/>
      <c r="G746" s="984"/>
      <c r="H746" s="984"/>
      <c r="I746" s="984"/>
      <c r="J746" s="984"/>
      <c r="K746" s="984"/>
      <c r="L746" s="984"/>
      <c r="M746" s="984"/>
      <c r="N746" s="984"/>
      <c r="O746" s="984"/>
      <c r="P746" s="984"/>
      <c r="Q746" s="984"/>
      <c r="R746" s="984"/>
      <c r="S746" s="984"/>
      <c r="T746" s="984"/>
      <c r="U746" s="984"/>
      <c r="V746" s="984"/>
      <c r="W746" s="984"/>
      <c r="X746" s="984"/>
      <c r="Y746" s="984"/>
      <c r="Z746" s="984"/>
    </row>
    <row r="747" spans="1:26" ht="18" customHeight="1" x14ac:dyDescent="0.35">
      <c r="A747" s="984"/>
      <c r="B747" s="984"/>
      <c r="C747" s="984"/>
      <c r="D747" s="984"/>
      <c r="E747" s="984"/>
      <c r="F747" s="984"/>
      <c r="G747" s="984"/>
      <c r="H747" s="984"/>
      <c r="I747" s="984"/>
      <c r="J747" s="984"/>
      <c r="K747" s="984"/>
      <c r="L747" s="984"/>
      <c r="M747" s="984"/>
      <c r="N747" s="984"/>
      <c r="O747" s="984"/>
      <c r="P747" s="984"/>
      <c r="Q747" s="984"/>
      <c r="R747" s="984"/>
      <c r="S747" s="984"/>
      <c r="T747" s="984"/>
      <c r="U747" s="984"/>
      <c r="V747" s="984"/>
      <c r="W747" s="984"/>
      <c r="X747" s="984"/>
      <c r="Y747" s="984"/>
      <c r="Z747" s="984"/>
    </row>
    <row r="748" spans="1:26" ht="18" customHeight="1" x14ac:dyDescent="0.35">
      <c r="A748" s="984"/>
      <c r="B748" s="984"/>
      <c r="C748" s="984"/>
      <c r="D748" s="984"/>
      <c r="E748" s="984"/>
      <c r="F748" s="984"/>
      <c r="G748" s="984"/>
      <c r="H748" s="984"/>
      <c r="I748" s="984"/>
      <c r="J748" s="984"/>
      <c r="K748" s="984"/>
      <c r="L748" s="984"/>
      <c r="M748" s="984"/>
      <c r="N748" s="984"/>
      <c r="O748" s="984"/>
      <c r="P748" s="984"/>
      <c r="Q748" s="984"/>
      <c r="R748" s="984"/>
      <c r="S748" s="984"/>
      <c r="T748" s="984"/>
      <c r="U748" s="984"/>
      <c r="V748" s="984"/>
      <c r="W748" s="984"/>
      <c r="X748" s="984"/>
      <c r="Y748" s="984"/>
      <c r="Z748" s="984"/>
    </row>
    <row r="749" spans="1:26" ht="18" customHeight="1" x14ac:dyDescent="0.35">
      <c r="A749" s="984"/>
      <c r="B749" s="984"/>
      <c r="C749" s="984"/>
      <c r="D749" s="984"/>
      <c r="E749" s="984"/>
      <c r="F749" s="984"/>
      <c r="G749" s="984"/>
      <c r="H749" s="984"/>
      <c r="I749" s="984"/>
      <c r="J749" s="984"/>
      <c r="K749" s="984"/>
      <c r="L749" s="984"/>
      <c r="M749" s="984"/>
      <c r="N749" s="984"/>
      <c r="O749" s="984"/>
      <c r="P749" s="984"/>
      <c r="Q749" s="984"/>
      <c r="R749" s="984"/>
      <c r="S749" s="984"/>
      <c r="T749" s="984"/>
      <c r="U749" s="984"/>
      <c r="V749" s="984"/>
      <c r="W749" s="984"/>
      <c r="X749" s="984"/>
      <c r="Y749" s="984"/>
      <c r="Z749" s="984"/>
    </row>
    <row r="750" spans="1:26" ht="18" customHeight="1" x14ac:dyDescent="0.35">
      <c r="A750" s="984"/>
      <c r="B750" s="984"/>
      <c r="C750" s="984"/>
      <c r="D750" s="984"/>
      <c r="E750" s="984"/>
      <c r="F750" s="984"/>
      <c r="G750" s="984"/>
      <c r="H750" s="984"/>
      <c r="I750" s="984"/>
      <c r="J750" s="984"/>
      <c r="K750" s="984"/>
      <c r="L750" s="984"/>
      <c r="M750" s="984"/>
      <c r="N750" s="984"/>
      <c r="O750" s="984"/>
      <c r="P750" s="984"/>
      <c r="Q750" s="984"/>
      <c r="R750" s="984"/>
      <c r="S750" s="984"/>
      <c r="T750" s="984"/>
      <c r="U750" s="984"/>
      <c r="V750" s="984"/>
      <c r="W750" s="984"/>
      <c r="X750" s="984"/>
      <c r="Y750" s="984"/>
      <c r="Z750" s="984"/>
    </row>
    <row r="751" spans="1:26" ht="18" customHeight="1" x14ac:dyDescent="0.35">
      <c r="A751" s="984"/>
      <c r="B751" s="984"/>
      <c r="C751" s="984"/>
      <c r="D751" s="984"/>
      <c r="E751" s="984"/>
      <c r="F751" s="984"/>
      <c r="G751" s="984"/>
      <c r="H751" s="984"/>
      <c r="I751" s="984"/>
      <c r="J751" s="984"/>
      <c r="K751" s="984"/>
      <c r="L751" s="984"/>
      <c r="M751" s="984"/>
      <c r="N751" s="984"/>
      <c r="O751" s="984"/>
      <c r="P751" s="984"/>
      <c r="Q751" s="984"/>
      <c r="R751" s="984"/>
      <c r="S751" s="984"/>
      <c r="T751" s="984"/>
      <c r="U751" s="984"/>
      <c r="V751" s="984"/>
      <c r="W751" s="984"/>
      <c r="X751" s="984"/>
      <c r="Y751" s="984"/>
      <c r="Z751" s="984"/>
    </row>
    <row r="752" spans="1:26" ht="18" customHeight="1" x14ac:dyDescent="0.35">
      <c r="A752" s="984"/>
      <c r="B752" s="984"/>
      <c r="C752" s="984"/>
      <c r="D752" s="984"/>
      <c r="E752" s="984"/>
      <c r="F752" s="984"/>
      <c r="G752" s="984"/>
      <c r="H752" s="984"/>
      <c r="I752" s="984"/>
      <c r="J752" s="984"/>
      <c r="K752" s="984"/>
      <c r="L752" s="984"/>
      <c r="M752" s="984"/>
      <c r="N752" s="984"/>
      <c r="O752" s="984"/>
      <c r="P752" s="984"/>
      <c r="Q752" s="984"/>
      <c r="R752" s="984"/>
      <c r="S752" s="984"/>
      <c r="T752" s="984"/>
      <c r="U752" s="984"/>
      <c r="V752" s="984"/>
      <c r="W752" s="984"/>
      <c r="X752" s="984"/>
      <c r="Y752" s="984"/>
      <c r="Z752" s="984"/>
    </row>
    <row r="753" spans="1:26" ht="18" customHeight="1" x14ac:dyDescent="0.35">
      <c r="A753" s="984"/>
      <c r="B753" s="984"/>
      <c r="C753" s="984"/>
      <c r="D753" s="984"/>
      <c r="E753" s="984"/>
      <c r="F753" s="984"/>
      <c r="G753" s="984"/>
      <c r="H753" s="984"/>
      <c r="I753" s="984"/>
      <c r="J753" s="984"/>
      <c r="K753" s="984"/>
      <c r="L753" s="984"/>
      <c r="M753" s="984"/>
      <c r="N753" s="984"/>
      <c r="O753" s="984"/>
      <c r="P753" s="984"/>
      <c r="Q753" s="984"/>
      <c r="R753" s="984"/>
      <c r="S753" s="984"/>
      <c r="T753" s="984"/>
      <c r="U753" s="984"/>
      <c r="V753" s="984"/>
      <c r="W753" s="984"/>
      <c r="X753" s="984"/>
      <c r="Y753" s="984"/>
      <c r="Z753" s="984"/>
    </row>
    <row r="754" spans="1:26" ht="18" customHeight="1" x14ac:dyDescent="0.35">
      <c r="A754" s="984"/>
      <c r="B754" s="984"/>
      <c r="C754" s="984"/>
      <c r="D754" s="984"/>
      <c r="E754" s="984"/>
      <c r="F754" s="984"/>
      <c r="G754" s="984"/>
      <c r="H754" s="984"/>
      <c r="I754" s="984"/>
      <c r="J754" s="984"/>
      <c r="K754" s="984"/>
      <c r="L754" s="984"/>
      <c r="M754" s="984"/>
      <c r="N754" s="984"/>
      <c r="O754" s="984"/>
      <c r="P754" s="984"/>
      <c r="Q754" s="984"/>
      <c r="R754" s="984"/>
      <c r="S754" s="984"/>
      <c r="T754" s="984"/>
      <c r="U754" s="984"/>
      <c r="V754" s="984"/>
      <c r="W754" s="984"/>
      <c r="X754" s="984"/>
      <c r="Y754" s="984"/>
      <c r="Z754" s="984"/>
    </row>
    <row r="755" spans="1:26" ht="18" customHeight="1" x14ac:dyDescent="0.35">
      <c r="A755" s="984"/>
      <c r="B755" s="984"/>
      <c r="C755" s="984"/>
      <c r="D755" s="984"/>
      <c r="E755" s="984"/>
      <c r="F755" s="984"/>
      <c r="G755" s="984"/>
      <c r="H755" s="984"/>
      <c r="I755" s="984"/>
      <c r="J755" s="984"/>
      <c r="K755" s="984"/>
      <c r="L755" s="984"/>
      <c r="M755" s="984"/>
      <c r="N755" s="984"/>
      <c r="O755" s="984"/>
      <c r="P755" s="984"/>
      <c r="Q755" s="984"/>
      <c r="R755" s="984"/>
      <c r="S755" s="984"/>
      <c r="T755" s="984"/>
      <c r="U755" s="984"/>
      <c r="V755" s="984"/>
      <c r="W755" s="984"/>
      <c r="X755" s="984"/>
      <c r="Y755" s="984"/>
      <c r="Z755" s="984"/>
    </row>
    <row r="756" spans="1:26" ht="18" customHeight="1" x14ac:dyDescent="0.35">
      <c r="A756" s="984"/>
      <c r="B756" s="984"/>
      <c r="C756" s="984"/>
      <c r="D756" s="984"/>
      <c r="E756" s="984"/>
      <c r="F756" s="984"/>
      <c r="G756" s="984"/>
      <c r="H756" s="984"/>
      <c r="I756" s="984"/>
      <c r="J756" s="984"/>
      <c r="K756" s="984"/>
      <c r="L756" s="984"/>
      <c r="M756" s="984"/>
      <c r="N756" s="984"/>
      <c r="O756" s="984"/>
      <c r="P756" s="984"/>
      <c r="Q756" s="984"/>
      <c r="R756" s="984"/>
      <c r="S756" s="984"/>
      <c r="T756" s="984"/>
      <c r="U756" s="984"/>
      <c r="V756" s="984"/>
      <c r="W756" s="984"/>
      <c r="X756" s="984"/>
      <c r="Y756" s="984"/>
      <c r="Z756" s="984"/>
    </row>
    <row r="757" spans="1:26" ht="18" customHeight="1" x14ac:dyDescent="0.35">
      <c r="A757" s="984"/>
      <c r="B757" s="984"/>
      <c r="C757" s="984"/>
      <c r="D757" s="984"/>
      <c r="E757" s="984"/>
      <c r="F757" s="984"/>
      <c r="G757" s="984"/>
      <c r="H757" s="984"/>
      <c r="I757" s="984"/>
      <c r="J757" s="984"/>
      <c r="K757" s="984"/>
      <c r="L757" s="984"/>
      <c r="M757" s="984"/>
      <c r="N757" s="984"/>
      <c r="O757" s="984"/>
      <c r="P757" s="984"/>
      <c r="Q757" s="984"/>
      <c r="R757" s="984"/>
      <c r="S757" s="984"/>
      <c r="T757" s="984"/>
      <c r="U757" s="984"/>
      <c r="V757" s="984"/>
      <c r="W757" s="984"/>
      <c r="X757" s="984"/>
      <c r="Y757" s="984"/>
      <c r="Z757" s="984"/>
    </row>
    <row r="758" spans="1:26" ht="18" customHeight="1" x14ac:dyDescent="0.35">
      <c r="A758" s="984"/>
      <c r="B758" s="984"/>
      <c r="C758" s="984"/>
      <c r="D758" s="984"/>
      <c r="E758" s="984"/>
      <c r="F758" s="984"/>
      <c r="G758" s="984"/>
      <c r="H758" s="984"/>
      <c r="I758" s="984"/>
      <c r="J758" s="984"/>
      <c r="K758" s="984"/>
      <c r="L758" s="984"/>
      <c r="M758" s="984"/>
      <c r="N758" s="984"/>
      <c r="O758" s="984"/>
      <c r="P758" s="984"/>
      <c r="Q758" s="984"/>
      <c r="R758" s="984"/>
      <c r="S758" s="984"/>
      <c r="T758" s="984"/>
      <c r="U758" s="984"/>
      <c r="V758" s="984"/>
      <c r="W758" s="984"/>
      <c r="X758" s="984"/>
      <c r="Y758" s="984"/>
      <c r="Z758" s="984"/>
    </row>
    <row r="759" spans="1:26" ht="18" customHeight="1" x14ac:dyDescent="0.35">
      <c r="A759" s="984"/>
      <c r="B759" s="984"/>
      <c r="C759" s="984"/>
      <c r="D759" s="984"/>
      <c r="E759" s="984"/>
      <c r="F759" s="984"/>
      <c r="G759" s="984"/>
      <c r="H759" s="984"/>
      <c r="I759" s="984"/>
      <c r="J759" s="984"/>
      <c r="K759" s="984"/>
      <c r="L759" s="984"/>
      <c r="M759" s="984"/>
      <c r="N759" s="984"/>
      <c r="O759" s="984"/>
      <c r="P759" s="984"/>
      <c r="Q759" s="984"/>
      <c r="R759" s="984"/>
      <c r="S759" s="984"/>
      <c r="T759" s="984"/>
      <c r="U759" s="984"/>
      <c r="V759" s="984"/>
      <c r="W759" s="984"/>
      <c r="X759" s="984"/>
      <c r="Y759" s="984"/>
      <c r="Z759" s="984"/>
    </row>
    <row r="760" spans="1:26" ht="18" customHeight="1" x14ac:dyDescent="0.35">
      <c r="A760" s="984"/>
      <c r="B760" s="984"/>
      <c r="C760" s="984"/>
      <c r="D760" s="984"/>
      <c r="E760" s="984"/>
      <c r="F760" s="984"/>
      <c r="G760" s="984"/>
      <c r="H760" s="984"/>
      <c r="I760" s="984"/>
      <c r="J760" s="984"/>
      <c r="K760" s="984"/>
      <c r="L760" s="984"/>
      <c r="M760" s="984"/>
      <c r="N760" s="984"/>
      <c r="O760" s="984"/>
      <c r="P760" s="984"/>
      <c r="Q760" s="984"/>
      <c r="R760" s="984"/>
      <c r="S760" s="984"/>
      <c r="T760" s="984"/>
      <c r="U760" s="984"/>
      <c r="V760" s="984"/>
      <c r="W760" s="984"/>
      <c r="X760" s="984"/>
      <c r="Y760" s="984"/>
      <c r="Z760" s="984"/>
    </row>
    <row r="761" spans="1:26" ht="18" customHeight="1" x14ac:dyDescent="0.35">
      <c r="A761" s="984"/>
      <c r="B761" s="984"/>
      <c r="C761" s="984"/>
      <c r="D761" s="984"/>
      <c r="E761" s="984"/>
      <c r="F761" s="984"/>
      <c r="G761" s="984"/>
      <c r="H761" s="984"/>
      <c r="I761" s="984"/>
      <c r="J761" s="984"/>
      <c r="K761" s="984"/>
      <c r="L761" s="984"/>
      <c r="M761" s="984"/>
      <c r="N761" s="984"/>
      <c r="O761" s="984"/>
      <c r="P761" s="984"/>
      <c r="Q761" s="984"/>
      <c r="R761" s="984"/>
      <c r="S761" s="984"/>
      <c r="T761" s="984"/>
      <c r="U761" s="984"/>
      <c r="V761" s="984"/>
      <c r="W761" s="984"/>
      <c r="X761" s="984"/>
      <c r="Y761" s="984"/>
      <c r="Z761" s="984"/>
    </row>
    <row r="762" spans="1:26" ht="18" customHeight="1" x14ac:dyDescent="0.35">
      <c r="A762" s="984"/>
      <c r="B762" s="984"/>
      <c r="C762" s="984"/>
      <c r="D762" s="984"/>
      <c r="E762" s="984"/>
      <c r="F762" s="984"/>
      <c r="G762" s="984"/>
      <c r="H762" s="984"/>
      <c r="I762" s="984"/>
      <c r="J762" s="984"/>
      <c r="K762" s="984"/>
      <c r="L762" s="984"/>
      <c r="M762" s="984"/>
      <c r="N762" s="984"/>
      <c r="O762" s="984"/>
      <c r="P762" s="984"/>
      <c r="Q762" s="984"/>
      <c r="R762" s="984"/>
      <c r="S762" s="984"/>
      <c r="T762" s="984"/>
      <c r="U762" s="984"/>
      <c r="V762" s="984"/>
      <c r="W762" s="984"/>
      <c r="X762" s="984"/>
      <c r="Y762" s="984"/>
      <c r="Z762" s="984"/>
    </row>
    <row r="763" spans="1:26" ht="18" customHeight="1" x14ac:dyDescent="0.35">
      <c r="A763" s="984"/>
      <c r="B763" s="984"/>
      <c r="C763" s="984"/>
      <c r="D763" s="984"/>
      <c r="E763" s="984"/>
      <c r="F763" s="984"/>
      <c r="G763" s="984"/>
      <c r="H763" s="984"/>
      <c r="I763" s="984"/>
      <c r="J763" s="984"/>
      <c r="K763" s="984"/>
      <c r="L763" s="984"/>
      <c r="M763" s="984"/>
      <c r="N763" s="984"/>
      <c r="O763" s="984"/>
      <c r="P763" s="984"/>
      <c r="Q763" s="984"/>
      <c r="R763" s="984"/>
      <c r="S763" s="984"/>
      <c r="T763" s="984"/>
      <c r="U763" s="984"/>
      <c r="V763" s="984"/>
      <c r="W763" s="984"/>
      <c r="X763" s="984"/>
      <c r="Y763" s="984"/>
      <c r="Z763" s="984"/>
    </row>
    <row r="764" spans="1:26" ht="18" customHeight="1" x14ac:dyDescent="0.35">
      <c r="A764" s="984"/>
      <c r="B764" s="984"/>
      <c r="C764" s="984"/>
      <c r="D764" s="984"/>
      <c r="E764" s="984"/>
      <c r="F764" s="984"/>
      <c r="G764" s="984"/>
      <c r="H764" s="984"/>
      <c r="I764" s="984"/>
      <c r="J764" s="984"/>
      <c r="K764" s="984"/>
      <c r="L764" s="984"/>
      <c r="M764" s="984"/>
      <c r="N764" s="984"/>
      <c r="O764" s="984"/>
      <c r="P764" s="984"/>
      <c r="Q764" s="984"/>
      <c r="R764" s="984"/>
      <c r="S764" s="984"/>
      <c r="T764" s="984"/>
      <c r="U764" s="984"/>
      <c r="V764" s="984"/>
      <c r="W764" s="984"/>
      <c r="X764" s="984"/>
      <c r="Y764" s="984"/>
      <c r="Z764" s="984"/>
    </row>
    <row r="765" spans="1:26" ht="18" customHeight="1" x14ac:dyDescent="0.35">
      <c r="A765" s="984"/>
      <c r="B765" s="984"/>
      <c r="C765" s="984"/>
      <c r="D765" s="984"/>
      <c r="E765" s="984"/>
      <c r="F765" s="984"/>
      <c r="G765" s="984"/>
      <c r="H765" s="984"/>
      <c r="I765" s="984"/>
      <c r="J765" s="984"/>
      <c r="K765" s="984"/>
      <c r="L765" s="984"/>
      <c r="M765" s="984"/>
      <c r="N765" s="984"/>
      <c r="O765" s="984"/>
      <c r="P765" s="984"/>
      <c r="Q765" s="984"/>
      <c r="R765" s="984"/>
      <c r="S765" s="984"/>
      <c r="T765" s="984"/>
      <c r="U765" s="984"/>
      <c r="V765" s="984"/>
      <c r="W765" s="984"/>
      <c r="X765" s="984"/>
      <c r="Y765" s="984"/>
      <c r="Z765" s="984"/>
    </row>
    <row r="766" spans="1:26" ht="18" customHeight="1" x14ac:dyDescent="0.35">
      <c r="A766" s="984"/>
      <c r="B766" s="984"/>
      <c r="C766" s="984"/>
      <c r="D766" s="984"/>
      <c r="E766" s="984"/>
      <c r="F766" s="984"/>
      <c r="G766" s="984"/>
      <c r="H766" s="984"/>
      <c r="I766" s="984"/>
      <c r="J766" s="984"/>
      <c r="K766" s="984"/>
      <c r="L766" s="984"/>
      <c r="M766" s="984"/>
      <c r="N766" s="984"/>
      <c r="O766" s="984"/>
      <c r="P766" s="984"/>
      <c r="Q766" s="984"/>
      <c r="R766" s="984"/>
      <c r="S766" s="984"/>
      <c r="T766" s="984"/>
      <c r="U766" s="984"/>
      <c r="V766" s="984"/>
      <c r="W766" s="984"/>
      <c r="X766" s="984"/>
      <c r="Y766" s="984"/>
      <c r="Z766" s="984"/>
    </row>
    <row r="767" spans="1:26" ht="18" customHeight="1" x14ac:dyDescent="0.35">
      <c r="A767" s="984"/>
      <c r="B767" s="984"/>
      <c r="C767" s="984"/>
      <c r="D767" s="984"/>
      <c r="E767" s="984"/>
      <c r="F767" s="984"/>
      <c r="G767" s="984"/>
      <c r="H767" s="984"/>
      <c r="I767" s="984"/>
      <c r="J767" s="984"/>
      <c r="K767" s="984"/>
      <c r="L767" s="984"/>
      <c r="M767" s="984"/>
      <c r="N767" s="984"/>
      <c r="O767" s="984"/>
      <c r="P767" s="984"/>
      <c r="Q767" s="984"/>
      <c r="R767" s="984"/>
      <c r="S767" s="984"/>
      <c r="T767" s="984"/>
      <c r="U767" s="984"/>
      <c r="V767" s="984"/>
      <c r="W767" s="984"/>
      <c r="X767" s="984"/>
      <c r="Y767" s="984"/>
      <c r="Z767" s="984"/>
    </row>
    <row r="768" spans="1:26" ht="18" customHeight="1" x14ac:dyDescent="0.35">
      <c r="A768" s="984"/>
      <c r="B768" s="984"/>
      <c r="C768" s="984"/>
      <c r="D768" s="984"/>
      <c r="E768" s="984"/>
      <c r="F768" s="984"/>
      <c r="G768" s="984"/>
      <c r="H768" s="984"/>
      <c r="I768" s="984"/>
      <c r="J768" s="984"/>
      <c r="K768" s="984"/>
      <c r="L768" s="984"/>
      <c r="M768" s="984"/>
      <c r="N768" s="984"/>
      <c r="O768" s="984"/>
      <c r="P768" s="984"/>
      <c r="Q768" s="984"/>
      <c r="R768" s="984"/>
      <c r="S768" s="984"/>
      <c r="T768" s="984"/>
      <c r="U768" s="984"/>
      <c r="V768" s="984"/>
      <c r="W768" s="984"/>
      <c r="X768" s="984"/>
      <c r="Y768" s="984"/>
      <c r="Z768" s="984"/>
    </row>
    <row r="769" spans="1:26" ht="18" customHeight="1" x14ac:dyDescent="0.35">
      <c r="A769" s="984"/>
      <c r="B769" s="984"/>
      <c r="C769" s="984"/>
      <c r="D769" s="984"/>
      <c r="E769" s="984"/>
      <c r="F769" s="984"/>
      <c r="G769" s="984"/>
      <c r="H769" s="984"/>
      <c r="I769" s="984"/>
      <c r="J769" s="984"/>
      <c r="K769" s="984"/>
      <c r="L769" s="984"/>
      <c r="M769" s="984"/>
      <c r="N769" s="984"/>
      <c r="O769" s="984"/>
      <c r="P769" s="984"/>
      <c r="Q769" s="984"/>
      <c r="R769" s="984"/>
      <c r="S769" s="984"/>
      <c r="T769" s="984"/>
      <c r="U769" s="984"/>
      <c r="V769" s="984"/>
      <c r="W769" s="984"/>
      <c r="X769" s="984"/>
      <c r="Y769" s="984"/>
      <c r="Z769" s="984"/>
    </row>
    <row r="770" spans="1:26" ht="18" customHeight="1" x14ac:dyDescent="0.35">
      <c r="A770" s="984"/>
      <c r="B770" s="984"/>
      <c r="C770" s="984"/>
      <c r="D770" s="984"/>
      <c r="E770" s="984"/>
      <c r="F770" s="984"/>
      <c r="G770" s="984"/>
      <c r="H770" s="984"/>
      <c r="I770" s="984"/>
      <c r="J770" s="984"/>
      <c r="K770" s="984"/>
      <c r="L770" s="984"/>
      <c r="M770" s="984"/>
      <c r="N770" s="984"/>
      <c r="O770" s="984"/>
      <c r="P770" s="984"/>
      <c r="Q770" s="984"/>
      <c r="R770" s="984"/>
      <c r="S770" s="984"/>
      <c r="T770" s="984"/>
      <c r="U770" s="984"/>
      <c r="V770" s="984"/>
      <c r="W770" s="984"/>
      <c r="X770" s="984"/>
      <c r="Y770" s="984"/>
      <c r="Z770" s="984"/>
    </row>
    <row r="771" spans="1:26" ht="18" customHeight="1" x14ac:dyDescent="0.35">
      <c r="A771" s="984"/>
      <c r="B771" s="984"/>
      <c r="C771" s="984"/>
      <c r="D771" s="984"/>
      <c r="E771" s="984"/>
      <c r="F771" s="984"/>
      <c r="G771" s="984"/>
      <c r="H771" s="984"/>
      <c r="I771" s="984"/>
      <c r="J771" s="984"/>
      <c r="K771" s="984"/>
      <c r="L771" s="984"/>
      <c r="M771" s="984"/>
      <c r="N771" s="984"/>
      <c r="O771" s="984"/>
      <c r="P771" s="984"/>
      <c r="Q771" s="984"/>
      <c r="R771" s="984"/>
      <c r="S771" s="984"/>
      <c r="T771" s="984"/>
      <c r="U771" s="984"/>
      <c r="V771" s="984"/>
      <c r="W771" s="984"/>
      <c r="X771" s="984"/>
      <c r="Y771" s="984"/>
      <c r="Z771" s="984"/>
    </row>
    <row r="772" spans="1:26" ht="18" customHeight="1" x14ac:dyDescent="0.35">
      <c r="A772" s="984"/>
      <c r="B772" s="984"/>
      <c r="C772" s="984"/>
      <c r="D772" s="984"/>
      <c r="E772" s="984"/>
      <c r="F772" s="984"/>
      <c r="G772" s="984"/>
      <c r="H772" s="984"/>
      <c r="I772" s="984"/>
      <c r="J772" s="984"/>
      <c r="K772" s="984"/>
      <c r="L772" s="984"/>
      <c r="M772" s="984"/>
      <c r="N772" s="984"/>
      <c r="O772" s="984"/>
      <c r="P772" s="984"/>
      <c r="Q772" s="984"/>
      <c r="R772" s="984"/>
      <c r="S772" s="984"/>
      <c r="T772" s="984"/>
      <c r="U772" s="984"/>
      <c r="V772" s="984"/>
      <c r="W772" s="984"/>
      <c r="X772" s="984"/>
      <c r="Y772" s="984"/>
      <c r="Z772" s="984"/>
    </row>
    <row r="773" spans="1:26" ht="18" customHeight="1" x14ac:dyDescent="0.35">
      <c r="A773" s="984"/>
      <c r="B773" s="984"/>
      <c r="C773" s="984"/>
      <c r="D773" s="984"/>
      <c r="E773" s="984"/>
      <c r="F773" s="984"/>
      <c r="G773" s="984"/>
      <c r="H773" s="984"/>
      <c r="I773" s="984"/>
      <c r="J773" s="984"/>
      <c r="K773" s="984"/>
      <c r="L773" s="984"/>
      <c r="M773" s="984"/>
      <c r="N773" s="984"/>
      <c r="O773" s="984"/>
      <c r="P773" s="984"/>
      <c r="Q773" s="984"/>
      <c r="R773" s="984"/>
      <c r="S773" s="984"/>
      <c r="T773" s="984"/>
      <c r="U773" s="984"/>
      <c r="V773" s="984"/>
      <c r="W773" s="984"/>
      <c r="X773" s="984"/>
      <c r="Y773" s="984"/>
      <c r="Z773" s="984"/>
    </row>
    <row r="774" spans="1:26" ht="18" customHeight="1" x14ac:dyDescent="0.35">
      <c r="A774" s="984"/>
      <c r="B774" s="984"/>
      <c r="C774" s="984"/>
      <c r="D774" s="984"/>
      <c r="E774" s="984"/>
      <c r="F774" s="984"/>
      <c r="G774" s="984"/>
      <c r="H774" s="984"/>
      <c r="I774" s="984"/>
      <c r="J774" s="984"/>
      <c r="K774" s="984"/>
      <c r="L774" s="984"/>
      <c r="M774" s="984"/>
      <c r="N774" s="984"/>
      <c r="O774" s="984"/>
      <c r="P774" s="984"/>
      <c r="Q774" s="984"/>
      <c r="R774" s="984"/>
      <c r="S774" s="984"/>
      <c r="T774" s="984"/>
      <c r="U774" s="984"/>
      <c r="V774" s="984"/>
      <c r="W774" s="984"/>
      <c r="X774" s="984"/>
      <c r="Y774" s="984"/>
      <c r="Z774" s="984"/>
    </row>
    <row r="775" spans="1:26" ht="18" customHeight="1" x14ac:dyDescent="0.35">
      <c r="A775" s="984"/>
      <c r="B775" s="984"/>
      <c r="C775" s="984"/>
      <c r="D775" s="984"/>
      <c r="E775" s="984"/>
      <c r="F775" s="984"/>
      <c r="G775" s="984"/>
      <c r="H775" s="984"/>
      <c r="I775" s="984"/>
      <c r="J775" s="984"/>
      <c r="K775" s="984"/>
      <c r="L775" s="984"/>
      <c r="M775" s="984"/>
      <c r="N775" s="984"/>
      <c r="O775" s="984"/>
      <c r="P775" s="984"/>
      <c r="Q775" s="984"/>
      <c r="R775" s="984"/>
      <c r="S775" s="984"/>
      <c r="T775" s="984"/>
      <c r="U775" s="984"/>
      <c r="V775" s="984"/>
      <c r="W775" s="984"/>
      <c r="X775" s="984"/>
      <c r="Y775" s="984"/>
      <c r="Z775" s="984"/>
    </row>
    <row r="776" spans="1:26" ht="18" customHeight="1" x14ac:dyDescent="0.35">
      <c r="A776" s="984"/>
      <c r="B776" s="984"/>
      <c r="C776" s="984"/>
      <c r="D776" s="984"/>
      <c r="E776" s="984"/>
      <c r="F776" s="984"/>
      <c r="G776" s="984"/>
      <c r="H776" s="984"/>
      <c r="I776" s="984"/>
      <c r="J776" s="984"/>
      <c r="K776" s="984"/>
      <c r="L776" s="984"/>
      <c r="M776" s="984"/>
      <c r="N776" s="984"/>
      <c r="O776" s="984"/>
      <c r="P776" s="984"/>
      <c r="Q776" s="984"/>
      <c r="R776" s="984"/>
      <c r="S776" s="984"/>
      <c r="T776" s="984"/>
      <c r="U776" s="984"/>
      <c r="V776" s="984"/>
      <c r="W776" s="984"/>
      <c r="X776" s="984"/>
      <c r="Y776" s="984"/>
      <c r="Z776" s="984"/>
    </row>
    <row r="777" spans="1:26" ht="18" customHeight="1" x14ac:dyDescent="0.35">
      <c r="A777" s="984"/>
      <c r="B777" s="984"/>
      <c r="C777" s="984"/>
      <c r="D777" s="984"/>
      <c r="E777" s="984"/>
      <c r="F777" s="984"/>
      <c r="G777" s="984"/>
      <c r="H777" s="984"/>
      <c r="I777" s="984"/>
      <c r="J777" s="984"/>
      <c r="K777" s="984"/>
      <c r="L777" s="984"/>
      <c r="M777" s="984"/>
      <c r="N777" s="984"/>
      <c r="O777" s="984"/>
      <c r="P777" s="984"/>
      <c r="Q777" s="984"/>
      <c r="R777" s="984"/>
      <c r="S777" s="984"/>
      <c r="T777" s="984"/>
      <c r="U777" s="984"/>
      <c r="V777" s="984"/>
      <c r="W777" s="984"/>
      <c r="X777" s="984"/>
      <c r="Y777" s="984"/>
      <c r="Z777" s="984"/>
    </row>
    <row r="778" spans="1:26" ht="18" customHeight="1" x14ac:dyDescent="0.35">
      <c r="A778" s="984"/>
      <c r="B778" s="984"/>
      <c r="C778" s="984"/>
      <c r="D778" s="984"/>
      <c r="E778" s="984"/>
      <c r="F778" s="984"/>
      <c r="G778" s="984"/>
      <c r="H778" s="984"/>
      <c r="I778" s="984"/>
      <c r="J778" s="984"/>
      <c r="K778" s="984"/>
      <c r="L778" s="984"/>
      <c r="M778" s="984"/>
      <c r="N778" s="984"/>
      <c r="O778" s="984"/>
      <c r="P778" s="984"/>
      <c r="Q778" s="984"/>
      <c r="R778" s="984"/>
      <c r="S778" s="984"/>
      <c r="T778" s="984"/>
      <c r="U778" s="984"/>
      <c r="V778" s="984"/>
      <c r="W778" s="984"/>
      <c r="X778" s="984"/>
      <c r="Y778" s="984"/>
      <c r="Z778" s="984"/>
    </row>
    <row r="779" spans="1:26" ht="18" customHeight="1" x14ac:dyDescent="0.35">
      <c r="A779" s="984"/>
      <c r="B779" s="984"/>
      <c r="C779" s="984"/>
      <c r="D779" s="984"/>
      <c r="E779" s="984"/>
      <c r="F779" s="984"/>
      <c r="G779" s="984"/>
      <c r="H779" s="984"/>
      <c r="I779" s="984"/>
      <c r="J779" s="984"/>
      <c r="K779" s="984"/>
      <c r="L779" s="984"/>
      <c r="M779" s="984"/>
      <c r="N779" s="984"/>
      <c r="O779" s="984"/>
      <c r="P779" s="984"/>
      <c r="Q779" s="984"/>
      <c r="R779" s="984"/>
      <c r="S779" s="984"/>
      <c r="T779" s="984"/>
      <c r="U779" s="984"/>
      <c r="V779" s="984"/>
      <c r="W779" s="984"/>
      <c r="X779" s="984"/>
      <c r="Y779" s="984"/>
      <c r="Z779" s="984"/>
    </row>
    <row r="780" spans="1:26" ht="18" customHeight="1" x14ac:dyDescent="0.35">
      <c r="A780" s="984"/>
      <c r="B780" s="984"/>
      <c r="C780" s="984"/>
      <c r="D780" s="984"/>
      <c r="E780" s="984"/>
      <c r="F780" s="984"/>
      <c r="G780" s="984"/>
      <c r="H780" s="984"/>
      <c r="I780" s="984"/>
      <c r="J780" s="984"/>
      <c r="K780" s="984"/>
      <c r="L780" s="984"/>
      <c r="M780" s="984"/>
      <c r="N780" s="984"/>
      <c r="O780" s="984"/>
      <c r="P780" s="984"/>
      <c r="Q780" s="984"/>
      <c r="R780" s="984"/>
      <c r="S780" s="984"/>
      <c r="T780" s="984"/>
      <c r="U780" s="984"/>
      <c r="V780" s="984"/>
      <c r="W780" s="984"/>
      <c r="X780" s="984"/>
      <c r="Y780" s="984"/>
      <c r="Z780" s="984"/>
    </row>
    <row r="781" spans="1:26" ht="18" customHeight="1" x14ac:dyDescent="0.35">
      <c r="A781" s="984"/>
      <c r="B781" s="984"/>
      <c r="C781" s="984"/>
      <c r="D781" s="984"/>
      <c r="E781" s="984"/>
      <c r="F781" s="984"/>
      <c r="G781" s="984"/>
      <c r="H781" s="984"/>
      <c r="I781" s="984"/>
      <c r="J781" s="984"/>
      <c r="K781" s="984"/>
      <c r="L781" s="984"/>
      <c r="M781" s="984"/>
      <c r="N781" s="984"/>
      <c r="O781" s="984"/>
      <c r="P781" s="984"/>
      <c r="Q781" s="984"/>
      <c r="R781" s="984"/>
      <c r="S781" s="984"/>
      <c r="T781" s="984"/>
      <c r="U781" s="984"/>
      <c r="V781" s="984"/>
      <c r="W781" s="984"/>
      <c r="X781" s="984"/>
      <c r="Y781" s="984"/>
      <c r="Z781" s="984"/>
    </row>
    <row r="782" spans="1:26" ht="18" customHeight="1" x14ac:dyDescent="0.35">
      <c r="A782" s="984"/>
      <c r="B782" s="984"/>
      <c r="C782" s="984"/>
      <c r="D782" s="984"/>
      <c r="E782" s="984"/>
      <c r="F782" s="984"/>
      <c r="G782" s="984"/>
      <c r="H782" s="984"/>
      <c r="I782" s="984"/>
      <c r="J782" s="984"/>
      <c r="K782" s="984"/>
      <c r="L782" s="984"/>
      <c r="M782" s="984"/>
      <c r="N782" s="984"/>
      <c r="O782" s="984"/>
      <c r="P782" s="984"/>
      <c r="Q782" s="984"/>
      <c r="R782" s="984"/>
      <c r="S782" s="984"/>
      <c r="T782" s="984"/>
      <c r="U782" s="984"/>
      <c r="V782" s="984"/>
      <c r="W782" s="984"/>
      <c r="X782" s="984"/>
      <c r="Y782" s="984"/>
      <c r="Z782" s="984"/>
    </row>
    <row r="783" spans="1:26" ht="18" customHeight="1" x14ac:dyDescent="0.35">
      <c r="A783" s="984"/>
      <c r="B783" s="984"/>
      <c r="C783" s="984"/>
      <c r="D783" s="984"/>
      <c r="E783" s="984"/>
      <c r="F783" s="984"/>
      <c r="G783" s="984"/>
      <c r="H783" s="984"/>
      <c r="I783" s="984"/>
      <c r="J783" s="984"/>
      <c r="K783" s="984"/>
      <c r="L783" s="984"/>
      <c r="M783" s="984"/>
      <c r="N783" s="984"/>
      <c r="O783" s="984"/>
      <c r="P783" s="984"/>
      <c r="Q783" s="984"/>
      <c r="R783" s="984"/>
      <c r="S783" s="984"/>
      <c r="T783" s="984"/>
      <c r="U783" s="984"/>
      <c r="V783" s="984"/>
      <c r="W783" s="984"/>
      <c r="X783" s="984"/>
      <c r="Y783" s="984"/>
      <c r="Z783" s="984"/>
    </row>
    <row r="784" spans="1:26" ht="18" customHeight="1" x14ac:dyDescent="0.35">
      <c r="A784" s="984"/>
      <c r="B784" s="984"/>
      <c r="C784" s="984"/>
      <c r="D784" s="984"/>
      <c r="E784" s="984"/>
      <c r="F784" s="984"/>
      <c r="G784" s="984"/>
      <c r="H784" s="984"/>
      <c r="I784" s="984"/>
      <c r="J784" s="984"/>
      <c r="K784" s="984"/>
      <c r="L784" s="984"/>
      <c r="M784" s="984"/>
      <c r="N784" s="984"/>
      <c r="O784" s="984"/>
      <c r="P784" s="984"/>
      <c r="Q784" s="984"/>
      <c r="R784" s="984"/>
      <c r="S784" s="984"/>
      <c r="T784" s="984"/>
      <c r="U784" s="984"/>
      <c r="V784" s="984"/>
      <c r="W784" s="984"/>
      <c r="X784" s="984"/>
      <c r="Y784" s="984"/>
      <c r="Z784" s="984"/>
    </row>
    <row r="785" spans="1:26" ht="18" customHeight="1" x14ac:dyDescent="0.35">
      <c r="A785" s="984"/>
      <c r="B785" s="984"/>
      <c r="C785" s="984"/>
      <c r="D785" s="984"/>
      <c r="E785" s="984"/>
      <c r="F785" s="984"/>
      <c r="G785" s="984"/>
      <c r="H785" s="984"/>
      <c r="I785" s="984"/>
      <c r="J785" s="984"/>
      <c r="K785" s="984"/>
      <c r="L785" s="984"/>
      <c r="M785" s="984"/>
      <c r="N785" s="984"/>
      <c r="O785" s="984"/>
      <c r="P785" s="984"/>
      <c r="Q785" s="984"/>
      <c r="R785" s="984"/>
      <c r="S785" s="984"/>
      <c r="T785" s="984"/>
      <c r="U785" s="984"/>
      <c r="V785" s="984"/>
      <c r="W785" s="984"/>
      <c r="X785" s="984"/>
      <c r="Y785" s="984"/>
      <c r="Z785" s="984"/>
    </row>
    <row r="786" spans="1:26" ht="18" customHeight="1" x14ac:dyDescent="0.35">
      <c r="A786" s="984"/>
      <c r="B786" s="984"/>
      <c r="C786" s="984"/>
      <c r="D786" s="984"/>
      <c r="E786" s="984"/>
      <c r="F786" s="984"/>
      <c r="G786" s="984"/>
      <c r="H786" s="984"/>
      <c r="I786" s="984"/>
      <c r="J786" s="984"/>
      <c r="K786" s="984"/>
      <c r="L786" s="984"/>
      <c r="M786" s="984"/>
      <c r="N786" s="984"/>
      <c r="O786" s="984"/>
      <c r="P786" s="984"/>
      <c r="Q786" s="984"/>
      <c r="R786" s="984"/>
      <c r="S786" s="984"/>
      <c r="T786" s="984"/>
      <c r="U786" s="984"/>
      <c r="V786" s="984"/>
      <c r="W786" s="984"/>
      <c r="X786" s="984"/>
      <c r="Y786" s="984"/>
      <c r="Z786" s="984"/>
    </row>
    <row r="787" spans="1:26" ht="18" customHeight="1" x14ac:dyDescent="0.35">
      <c r="A787" s="984"/>
      <c r="B787" s="984"/>
      <c r="C787" s="984"/>
      <c r="D787" s="984"/>
      <c r="E787" s="984"/>
      <c r="F787" s="984"/>
      <c r="G787" s="984"/>
      <c r="H787" s="984"/>
      <c r="I787" s="984"/>
      <c r="J787" s="984"/>
      <c r="K787" s="984"/>
      <c r="L787" s="984"/>
      <c r="M787" s="984"/>
      <c r="N787" s="984"/>
      <c r="O787" s="984"/>
      <c r="P787" s="984"/>
      <c r="Q787" s="984"/>
      <c r="R787" s="984"/>
      <c r="S787" s="984"/>
      <c r="T787" s="984"/>
      <c r="U787" s="984"/>
      <c r="V787" s="984"/>
      <c r="W787" s="984"/>
      <c r="X787" s="984"/>
      <c r="Y787" s="984"/>
      <c r="Z787" s="984"/>
    </row>
    <row r="788" spans="1:26" ht="18" customHeight="1" x14ac:dyDescent="0.35">
      <c r="A788" s="984"/>
      <c r="B788" s="984"/>
      <c r="C788" s="984"/>
      <c r="D788" s="984"/>
      <c r="E788" s="984"/>
      <c r="F788" s="984"/>
      <c r="G788" s="984"/>
      <c r="H788" s="984"/>
      <c r="I788" s="984"/>
      <c r="J788" s="984"/>
      <c r="K788" s="984"/>
      <c r="L788" s="984"/>
      <c r="M788" s="984"/>
      <c r="N788" s="984"/>
      <c r="O788" s="984"/>
      <c r="P788" s="984"/>
      <c r="Q788" s="984"/>
      <c r="R788" s="984"/>
      <c r="S788" s="984"/>
      <c r="T788" s="984"/>
      <c r="U788" s="984"/>
      <c r="V788" s="984"/>
      <c r="W788" s="984"/>
      <c r="X788" s="984"/>
      <c r="Y788" s="984"/>
      <c r="Z788" s="984"/>
    </row>
    <row r="789" spans="1:26" ht="18" customHeight="1" x14ac:dyDescent="0.35">
      <c r="A789" s="984"/>
      <c r="B789" s="984"/>
      <c r="C789" s="984"/>
      <c r="D789" s="984"/>
      <c r="E789" s="984"/>
      <c r="F789" s="984"/>
      <c r="G789" s="984"/>
      <c r="H789" s="984"/>
      <c r="I789" s="984"/>
      <c r="J789" s="984"/>
      <c r="K789" s="984"/>
      <c r="L789" s="984"/>
      <c r="M789" s="984"/>
      <c r="N789" s="984"/>
      <c r="O789" s="984"/>
      <c r="P789" s="984"/>
      <c r="Q789" s="984"/>
      <c r="R789" s="984"/>
      <c r="S789" s="984"/>
      <c r="T789" s="984"/>
      <c r="U789" s="984"/>
      <c r="V789" s="984"/>
      <c r="W789" s="984"/>
      <c r="X789" s="984"/>
      <c r="Y789" s="984"/>
      <c r="Z789" s="984"/>
    </row>
    <row r="790" spans="1:26" ht="18" customHeight="1" x14ac:dyDescent="0.35">
      <c r="A790" s="984"/>
      <c r="B790" s="984"/>
      <c r="C790" s="984"/>
      <c r="D790" s="984"/>
      <c r="E790" s="984"/>
      <c r="F790" s="984"/>
      <c r="G790" s="984"/>
      <c r="H790" s="984"/>
      <c r="I790" s="984"/>
      <c r="J790" s="984"/>
      <c r="K790" s="984"/>
      <c r="L790" s="984"/>
      <c r="M790" s="984"/>
      <c r="N790" s="984"/>
      <c r="O790" s="984"/>
      <c r="P790" s="984"/>
      <c r="Q790" s="984"/>
      <c r="R790" s="984"/>
      <c r="S790" s="984"/>
      <c r="T790" s="984"/>
      <c r="U790" s="984"/>
      <c r="V790" s="984"/>
      <c r="W790" s="984"/>
      <c r="X790" s="984"/>
      <c r="Y790" s="984"/>
      <c r="Z790" s="984"/>
    </row>
    <row r="791" spans="1:26" ht="18" customHeight="1" x14ac:dyDescent="0.35">
      <c r="A791" s="984"/>
      <c r="B791" s="984"/>
      <c r="C791" s="984"/>
      <c r="D791" s="984"/>
      <c r="E791" s="984"/>
      <c r="F791" s="984"/>
      <c r="G791" s="984"/>
      <c r="H791" s="984"/>
      <c r="I791" s="984"/>
      <c r="J791" s="984"/>
      <c r="K791" s="984"/>
      <c r="L791" s="984"/>
      <c r="M791" s="984"/>
      <c r="N791" s="984"/>
      <c r="O791" s="984"/>
      <c r="P791" s="984"/>
      <c r="Q791" s="984"/>
      <c r="R791" s="984"/>
      <c r="S791" s="984"/>
      <c r="T791" s="984"/>
      <c r="U791" s="984"/>
      <c r="V791" s="984"/>
      <c r="W791" s="984"/>
      <c r="X791" s="984"/>
      <c r="Y791" s="984"/>
      <c r="Z791" s="984"/>
    </row>
    <row r="792" spans="1:26" ht="18" customHeight="1" x14ac:dyDescent="0.35">
      <c r="A792" s="984"/>
      <c r="B792" s="984"/>
      <c r="C792" s="984"/>
      <c r="D792" s="984"/>
      <c r="E792" s="984"/>
      <c r="F792" s="984"/>
      <c r="G792" s="984"/>
      <c r="H792" s="984"/>
      <c r="I792" s="984"/>
      <c r="J792" s="984"/>
      <c r="K792" s="984"/>
      <c r="L792" s="984"/>
      <c r="M792" s="984"/>
      <c r="N792" s="984"/>
      <c r="O792" s="984"/>
      <c r="P792" s="984"/>
      <c r="Q792" s="984"/>
      <c r="R792" s="984"/>
      <c r="S792" s="984"/>
      <c r="T792" s="984"/>
      <c r="U792" s="984"/>
      <c r="V792" s="984"/>
      <c r="W792" s="984"/>
      <c r="X792" s="984"/>
      <c r="Y792" s="984"/>
      <c r="Z792" s="984"/>
    </row>
    <row r="793" spans="1:26" ht="18" customHeight="1" x14ac:dyDescent="0.35">
      <c r="A793" s="984"/>
      <c r="B793" s="984"/>
      <c r="C793" s="984"/>
      <c r="D793" s="984"/>
      <c r="E793" s="984"/>
      <c r="F793" s="984"/>
      <c r="G793" s="984"/>
      <c r="H793" s="984"/>
      <c r="I793" s="984"/>
      <c r="J793" s="984"/>
      <c r="K793" s="984"/>
      <c r="L793" s="984"/>
      <c r="M793" s="984"/>
      <c r="N793" s="984"/>
      <c r="O793" s="984"/>
      <c r="P793" s="984"/>
      <c r="Q793" s="984"/>
      <c r="R793" s="984"/>
      <c r="S793" s="984"/>
      <c r="T793" s="984"/>
      <c r="U793" s="984"/>
      <c r="V793" s="984"/>
      <c r="W793" s="984"/>
      <c r="X793" s="984"/>
      <c r="Y793" s="984"/>
      <c r="Z793" s="984"/>
    </row>
    <row r="794" spans="1:26" ht="18" customHeight="1" x14ac:dyDescent="0.35">
      <c r="A794" s="984"/>
      <c r="B794" s="984"/>
      <c r="C794" s="984"/>
      <c r="D794" s="984"/>
      <c r="E794" s="984"/>
      <c r="F794" s="984"/>
      <c r="G794" s="984"/>
      <c r="H794" s="984"/>
      <c r="I794" s="984"/>
      <c r="J794" s="984"/>
      <c r="K794" s="984"/>
      <c r="L794" s="984"/>
      <c r="M794" s="984"/>
      <c r="N794" s="984"/>
      <c r="O794" s="984"/>
      <c r="P794" s="984"/>
      <c r="Q794" s="984"/>
      <c r="R794" s="984"/>
      <c r="S794" s="984"/>
      <c r="T794" s="984"/>
      <c r="U794" s="984"/>
      <c r="V794" s="984"/>
      <c r="W794" s="984"/>
      <c r="X794" s="984"/>
      <c r="Y794" s="984"/>
      <c r="Z794" s="984"/>
    </row>
    <row r="795" spans="1:26" ht="18" customHeight="1" x14ac:dyDescent="0.35">
      <c r="A795" s="984"/>
      <c r="B795" s="984"/>
      <c r="C795" s="984"/>
      <c r="D795" s="984"/>
      <c r="E795" s="984"/>
      <c r="F795" s="984"/>
      <c r="G795" s="984"/>
      <c r="H795" s="984"/>
      <c r="I795" s="984"/>
      <c r="J795" s="984"/>
      <c r="K795" s="984"/>
      <c r="L795" s="984"/>
      <c r="M795" s="984"/>
      <c r="N795" s="984"/>
      <c r="O795" s="984"/>
      <c r="P795" s="984"/>
      <c r="Q795" s="984"/>
      <c r="R795" s="984"/>
      <c r="S795" s="984"/>
      <c r="T795" s="984"/>
      <c r="U795" s="984"/>
      <c r="V795" s="984"/>
      <c r="W795" s="984"/>
      <c r="X795" s="984"/>
      <c r="Y795" s="984"/>
      <c r="Z795" s="984"/>
    </row>
    <row r="796" spans="1:26" ht="18" customHeight="1" x14ac:dyDescent="0.35">
      <c r="A796" s="984"/>
      <c r="B796" s="984"/>
      <c r="C796" s="984"/>
      <c r="D796" s="984"/>
      <c r="E796" s="984"/>
      <c r="F796" s="984"/>
      <c r="G796" s="984"/>
      <c r="H796" s="984"/>
      <c r="I796" s="984"/>
      <c r="J796" s="984"/>
      <c r="K796" s="984"/>
      <c r="L796" s="984"/>
      <c r="M796" s="984"/>
      <c r="N796" s="984"/>
      <c r="O796" s="984"/>
      <c r="P796" s="984"/>
      <c r="Q796" s="984"/>
      <c r="R796" s="984"/>
      <c r="S796" s="984"/>
      <c r="T796" s="984"/>
      <c r="U796" s="984"/>
      <c r="V796" s="984"/>
      <c r="W796" s="984"/>
      <c r="X796" s="984"/>
      <c r="Y796" s="984"/>
      <c r="Z796" s="984"/>
    </row>
    <row r="797" spans="1:26" ht="18" customHeight="1" x14ac:dyDescent="0.35">
      <c r="A797" s="984"/>
      <c r="B797" s="984"/>
      <c r="C797" s="984"/>
      <c r="D797" s="984"/>
      <c r="E797" s="984"/>
      <c r="F797" s="984"/>
      <c r="G797" s="984"/>
      <c r="H797" s="984"/>
      <c r="I797" s="984"/>
      <c r="J797" s="984"/>
      <c r="K797" s="984"/>
      <c r="L797" s="984"/>
      <c r="M797" s="984"/>
      <c r="N797" s="984"/>
      <c r="O797" s="984"/>
      <c r="P797" s="984"/>
      <c r="Q797" s="984"/>
      <c r="R797" s="984"/>
      <c r="S797" s="984"/>
      <c r="T797" s="984"/>
      <c r="U797" s="984"/>
      <c r="V797" s="984"/>
      <c r="W797" s="984"/>
      <c r="X797" s="984"/>
      <c r="Y797" s="984"/>
      <c r="Z797" s="984"/>
    </row>
    <row r="798" spans="1:26" ht="18" customHeight="1" x14ac:dyDescent="0.35">
      <c r="A798" s="984"/>
      <c r="B798" s="984"/>
      <c r="C798" s="984"/>
      <c r="D798" s="984"/>
      <c r="E798" s="984"/>
      <c r="F798" s="984"/>
      <c r="G798" s="984"/>
      <c r="H798" s="984"/>
      <c r="I798" s="984"/>
      <c r="J798" s="984"/>
      <c r="K798" s="984"/>
      <c r="L798" s="984"/>
      <c r="M798" s="984"/>
      <c r="N798" s="984"/>
      <c r="O798" s="984"/>
      <c r="P798" s="984"/>
      <c r="Q798" s="984"/>
      <c r="R798" s="984"/>
      <c r="S798" s="984"/>
      <c r="T798" s="984"/>
      <c r="U798" s="984"/>
      <c r="V798" s="984"/>
      <c r="W798" s="984"/>
      <c r="X798" s="984"/>
      <c r="Y798" s="984"/>
      <c r="Z798" s="984"/>
    </row>
    <row r="799" spans="1:26" ht="18" customHeight="1" x14ac:dyDescent="0.35">
      <c r="A799" s="984"/>
      <c r="B799" s="984"/>
      <c r="C799" s="984"/>
      <c r="D799" s="984"/>
      <c r="E799" s="984"/>
      <c r="F799" s="984"/>
      <c r="G799" s="984"/>
      <c r="H799" s="984"/>
      <c r="I799" s="984"/>
      <c r="J799" s="984"/>
      <c r="K799" s="984"/>
      <c r="L799" s="984"/>
      <c r="M799" s="984"/>
      <c r="N799" s="984"/>
      <c r="O799" s="984"/>
      <c r="P799" s="984"/>
      <c r="Q799" s="984"/>
      <c r="R799" s="984"/>
      <c r="S799" s="984"/>
      <c r="T799" s="984"/>
      <c r="U799" s="984"/>
      <c r="V799" s="984"/>
      <c r="W799" s="984"/>
      <c r="X799" s="984"/>
      <c r="Y799" s="984"/>
      <c r="Z799" s="984"/>
    </row>
    <row r="800" spans="1:26" ht="18" customHeight="1" x14ac:dyDescent="0.35">
      <c r="A800" s="984"/>
      <c r="B800" s="984"/>
      <c r="C800" s="984"/>
      <c r="D800" s="984"/>
      <c r="E800" s="984"/>
      <c r="F800" s="984"/>
      <c r="G800" s="984"/>
      <c r="H800" s="984"/>
      <c r="I800" s="984"/>
      <c r="J800" s="984"/>
      <c r="K800" s="984"/>
      <c r="L800" s="984"/>
      <c r="M800" s="984"/>
      <c r="N800" s="984"/>
      <c r="O800" s="984"/>
      <c r="P800" s="984"/>
      <c r="Q800" s="984"/>
      <c r="R800" s="984"/>
      <c r="S800" s="984"/>
      <c r="T800" s="984"/>
      <c r="U800" s="984"/>
      <c r="V800" s="984"/>
      <c r="W800" s="984"/>
      <c r="X800" s="984"/>
      <c r="Y800" s="984"/>
      <c r="Z800" s="984"/>
    </row>
    <row r="801" spans="1:26" ht="18" customHeight="1" x14ac:dyDescent="0.35">
      <c r="A801" s="984"/>
      <c r="B801" s="984"/>
      <c r="C801" s="984"/>
      <c r="D801" s="984"/>
      <c r="E801" s="984"/>
      <c r="F801" s="984"/>
      <c r="G801" s="984"/>
      <c r="H801" s="984"/>
      <c r="I801" s="984"/>
      <c r="J801" s="984"/>
      <c r="K801" s="984"/>
      <c r="L801" s="984"/>
      <c r="M801" s="984"/>
      <c r="N801" s="984"/>
      <c r="O801" s="984"/>
      <c r="P801" s="984"/>
      <c r="Q801" s="984"/>
      <c r="R801" s="984"/>
      <c r="S801" s="984"/>
      <c r="T801" s="984"/>
      <c r="U801" s="984"/>
      <c r="V801" s="984"/>
      <c r="W801" s="984"/>
      <c r="X801" s="984"/>
      <c r="Y801" s="984"/>
      <c r="Z801" s="984"/>
    </row>
    <row r="802" spans="1:26" ht="18" customHeight="1" x14ac:dyDescent="0.35">
      <c r="A802" s="984"/>
      <c r="B802" s="984"/>
      <c r="C802" s="984"/>
      <c r="D802" s="984"/>
      <c r="E802" s="984"/>
      <c r="F802" s="984"/>
      <c r="G802" s="984"/>
      <c r="H802" s="984"/>
      <c r="I802" s="984"/>
      <c r="J802" s="984"/>
      <c r="K802" s="984"/>
      <c r="L802" s="984"/>
      <c r="M802" s="984"/>
      <c r="N802" s="984"/>
      <c r="O802" s="984"/>
      <c r="P802" s="984"/>
      <c r="Q802" s="984"/>
      <c r="R802" s="984"/>
      <c r="S802" s="984"/>
      <c r="T802" s="984"/>
      <c r="U802" s="984"/>
      <c r="V802" s="984"/>
      <c r="W802" s="984"/>
      <c r="X802" s="984"/>
      <c r="Y802" s="984"/>
      <c r="Z802" s="984"/>
    </row>
    <row r="803" spans="1:26" ht="18" customHeight="1" x14ac:dyDescent="0.35">
      <c r="A803" s="984"/>
      <c r="B803" s="984"/>
      <c r="C803" s="984"/>
      <c r="D803" s="984"/>
      <c r="E803" s="984"/>
      <c r="F803" s="984"/>
      <c r="G803" s="984"/>
      <c r="H803" s="984"/>
      <c r="I803" s="984"/>
      <c r="J803" s="984"/>
      <c r="K803" s="984"/>
      <c r="L803" s="984"/>
      <c r="M803" s="984"/>
      <c r="N803" s="984"/>
      <c r="O803" s="984"/>
      <c r="P803" s="984"/>
      <c r="Q803" s="984"/>
      <c r="R803" s="984"/>
      <c r="S803" s="984"/>
      <c r="T803" s="984"/>
      <c r="U803" s="984"/>
      <c r="V803" s="984"/>
      <c r="W803" s="984"/>
      <c r="X803" s="984"/>
      <c r="Y803" s="984"/>
      <c r="Z803" s="984"/>
    </row>
    <row r="804" spans="1:26" ht="18" customHeight="1" x14ac:dyDescent="0.35">
      <c r="A804" s="984"/>
      <c r="B804" s="984"/>
      <c r="C804" s="984"/>
      <c r="D804" s="984"/>
      <c r="E804" s="984"/>
      <c r="F804" s="984"/>
      <c r="G804" s="984"/>
      <c r="H804" s="984"/>
      <c r="I804" s="984"/>
      <c r="J804" s="984"/>
      <c r="K804" s="984"/>
      <c r="L804" s="984"/>
      <c r="M804" s="984"/>
      <c r="N804" s="984"/>
      <c r="O804" s="984"/>
      <c r="P804" s="984"/>
      <c r="Q804" s="984"/>
      <c r="R804" s="984"/>
      <c r="S804" s="984"/>
      <c r="T804" s="984"/>
      <c r="U804" s="984"/>
      <c r="V804" s="984"/>
      <c r="W804" s="984"/>
      <c r="X804" s="984"/>
      <c r="Y804" s="984"/>
      <c r="Z804" s="984"/>
    </row>
    <row r="805" spans="1:26" ht="18" customHeight="1" x14ac:dyDescent="0.35">
      <c r="A805" s="984"/>
      <c r="B805" s="984"/>
      <c r="C805" s="984"/>
      <c r="D805" s="984"/>
      <c r="E805" s="984"/>
      <c r="F805" s="984"/>
      <c r="G805" s="984"/>
      <c r="H805" s="984"/>
      <c r="I805" s="984"/>
      <c r="J805" s="984"/>
      <c r="K805" s="984"/>
      <c r="L805" s="984"/>
      <c r="M805" s="984"/>
      <c r="N805" s="984"/>
      <c r="O805" s="984"/>
      <c r="P805" s="984"/>
      <c r="Q805" s="984"/>
      <c r="R805" s="984"/>
      <c r="S805" s="984"/>
      <c r="T805" s="984"/>
      <c r="U805" s="984"/>
      <c r="V805" s="984"/>
      <c r="W805" s="984"/>
      <c r="X805" s="984"/>
      <c r="Y805" s="984"/>
      <c r="Z805" s="984"/>
    </row>
    <row r="806" spans="1:26" ht="18" customHeight="1" x14ac:dyDescent="0.35">
      <c r="A806" s="984"/>
      <c r="B806" s="984"/>
      <c r="C806" s="984"/>
      <c r="D806" s="984"/>
      <c r="E806" s="984"/>
      <c r="F806" s="984"/>
      <c r="G806" s="984"/>
      <c r="H806" s="984"/>
      <c r="I806" s="984"/>
      <c r="J806" s="984"/>
      <c r="K806" s="984"/>
      <c r="L806" s="984"/>
      <c r="M806" s="984"/>
      <c r="N806" s="984"/>
      <c r="O806" s="984"/>
      <c r="P806" s="984"/>
      <c r="Q806" s="984"/>
      <c r="R806" s="984"/>
      <c r="S806" s="984"/>
      <c r="T806" s="984"/>
      <c r="U806" s="984"/>
      <c r="V806" s="984"/>
      <c r="W806" s="984"/>
      <c r="X806" s="984"/>
      <c r="Y806" s="984"/>
      <c r="Z806" s="984"/>
    </row>
    <row r="807" spans="1:26" ht="18" customHeight="1" x14ac:dyDescent="0.35">
      <c r="A807" s="984"/>
      <c r="B807" s="984"/>
      <c r="C807" s="984"/>
      <c r="D807" s="984"/>
      <c r="E807" s="984"/>
      <c r="F807" s="984"/>
      <c r="G807" s="984"/>
      <c r="H807" s="984"/>
      <c r="I807" s="984"/>
      <c r="J807" s="984"/>
      <c r="K807" s="984"/>
      <c r="L807" s="984"/>
      <c r="M807" s="984"/>
      <c r="N807" s="984"/>
      <c r="O807" s="984"/>
      <c r="P807" s="984"/>
      <c r="Q807" s="984"/>
      <c r="R807" s="984"/>
      <c r="S807" s="984"/>
      <c r="T807" s="984"/>
      <c r="U807" s="984"/>
      <c r="V807" s="984"/>
      <c r="W807" s="984"/>
      <c r="X807" s="984"/>
      <c r="Y807" s="984"/>
      <c r="Z807" s="984"/>
    </row>
    <row r="808" spans="1:26" ht="18" customHeight="1" x14ac:dyDescent="0.35">
      <c r="A808" s="984"/>
      <c r="B808" s="984"/>
      <c r="C808" s="984"/>
      <c r="D808" s="984"/>
      <c r="E808" s="984"/>
      <c r="F808" s="984"/>
      <c r="G808" s="984"/>
      <c r="H808" s="984"/>
      <c r="I808" s="984"/>
      <c r="J808" s="984"/>
      <c r="K808" s="984"/>
      <c r="L808" s="984"/>
      <c r="M808" s="984"/>
      <c r="N808" s="984"/>
      <c r="O808" s="984"/>
      <c r="P808" s="984"/>
      <c r="Q808" s="984"/>
      <c r="R808" s="984"/>
      <c r="S808" s="984"/>
      <c r="T808" s="984"/>
      <c r="U808" s="984"/>
      <c r="V808" s="984"/>
      <c r="W808" s="984"/>
      <c r="X808" s="984"/>
      <c r="Y808" s="984"/>
      <c r="Z808" s="984"/>
    </row>
    <row r="809" spans="1:26" ht="18" customHeight="1" x14ac:dyDescent="0.35">
      <c r="A809" s="984"/>
      <c r="B809" s="984"/>
      <c r="C809" s="984"/>
      <c r="D809" s="984"/>
      <c r="E809" s="984"/>
      <c r="F809" s="984"/>
      <c r="G809" s="984"/>
      <c r="H809" s="984"/>
      <c r="I809" s="984"/>
      <c r="J809" s="984"/>
      <c r="K809" s="984"/>
      <c r="L809" s="984"/>
      <c r="M809" s="984"/>
      <c r="N809" s="984"/>
      <c r="O809" s="984"/>
      <c r="P809" s="984"/>
      <c r="Q809" s="984"/>
      <c r="R809" s="984"/>
      <c r="S809" s="984"/>
      <c r="T809" s="984"/>
      <c r="U809" s="984"/>
      <c r="V809" s="984"/>
      <c r="W809" s="984"/>
      <c r="X809" s="984"/>
      <c r="Y809" s="984"/>
      <c r="Z809" s="984"/>
    </row>
    <row r="810" spans="1:26" ht="18" customHeight="1" x14ac:dyDescent="0.35">
      <c r="A810" s="984"/>
      <c r="B810" s="984"/>
      <c r="C810" s="984"/>
      <c r="D810" s="984"/>
      <c r="E810" s="984"/>
      <c r="F810" s="984"/>
      <c r="G810" s="984"/>
      <c r="H810" s="984"/>
      <c r="I810" s="984"/>
      <c r="J810" s="984"/>
      <c r="K810" s="984"/>
      <c r="L810" s="984"/>
      <c r="M810" s="984"/>
      <c r="N810" s="984"/>
      <c r="O810" s="984"/>
      <c r="P810" s="984"/>
      <c r="Q810" s="984"/>
      <c r="R810" s="984"/>
      <c r="S810" s="984"/>
      <c r="T810" s="984"/>
      <c r="U810" s="984"/>
      <c r="V810" s="984"/>
      <c r="W810" s="984"/>
      <c r="X810" s="984"/>
      <c r="Y810" s="984"/>
      <c r="Z810" s="984"/>
    </row>
    <row r="811" spans="1:26" ht="18" customHeight="1" x14ac:dyDescent="0.35">
      <c r="A811" s="984"/>
      <c r="B811" s="984"/>
      <c r="C811" s="984"/>
      <c r="D811" s="984"/>
      <c r="E811" s="984"/>
      <c r="F811" s="984"/>
      <c r="G811" s="984"/>
      <c r="H811" s="984"/>
      <c r="I811" s="984"/>
      <c r="J811" s="984"/>
      <c r="K811" s="984"/>
      <c r="L811" s="984"/>
      <c r="M811" s="984"/>
      <c r="N811" s="984"/>
      <c r="O811" s="984"/>
      <c r="P811" s="984"/>
      <c r="Q811" s="984"/>
      <c r="R811" s="984"/>
      <c r="S811" s="984"/>
      <c r="T811" s="984"/>
      <c r="U811" s="984"/>
      <c r="V811" s="984"/>
      <c r="W811" s="984"/>
      <c r="X811" s="984"/>
      <c r="Y811" s="984"/>
      <c r="Z811" s="984"/>
    </row>
    <row r="812" spans="1:26" ht="18" customHeight="1" x14ac:dyDescent="0.35">
      <c r="A812" s="984"/>
      <c r="B812" s="984"/>
      <c r="C812" s="984"/>
      <c r="D812" s="984"/>
      <c r="E812" s="984"/>
      <c r="F812" s="984"/>
      <c r="G812" s="984"/>
      <c r="H812" s="984"/>
      <c r="I812" s="984"/>
      <c r="J812" s="984"/>
      <c r="K812" s="984"/>
      <c r="L812" s="984"/>
      <c r="M812" s="984"/>
      <c r="N812" s="984"/>
      <c r="O812" s="984"/>
      <c r="P812" s="984"/>
      <c r="Q812" s="984"/>
      <c r="R812" s="984"/>
      <c r="S812" s="984"/>
      <c r="T812" s="984"/>
      <c r="U812" s="984"/>
      <c r="V812" s="984"/>
      <c r="W812" s="984"/>
      <c r="X812" s="984"/>
      <c r="Y812" s="984"/>
      <c r="Z812" s="984"/>
    </row>
    <row r="813" spans="1:26" ht="18" customHeight="1" x14ac:dyDescent="0.35">
      <c r="A813" s="984"/>
      <c r="B813" s="984"/>
      <c r="C813" s="984"/>
      <c r="D813" s="984"/>
      <c r="E813" s="984"/>
      <c r="F813" s="984"/>
      <c r="G813" s="984"/>
      <c r="H813" s="984"/>
      <c r="I813" s="984"/>
      <c r="J813" s="984"/>
      <c r="K813" s="984"/>
      <c r="L813" s="984"/>
      <c r="M813" s="984"/>
      <c r="N813" s="984"/>
      <c r="O813" s="984"/>
      <c r="P813" s="984"/>
      <c r="Q813" s="984"/>
      <c r="R813" s="984"/>
      <c r="S813" s="984"/>
      <c r="T813" s="984"/>
      <c r="U813" s="984"/>
      <c r="V813" s="984"/>
      <c r="W813" s="984"/>
      <c r="X813" s="984"/>
      <c r="Y813" s="984"/>
      <c r="Z813" s="984"/>
    </row>
    <row r="814" spans="1:26" ht="18" customHeight="1" x14ac:dyDescent="0.35">
      <c r="A814" s="984"/>
      <c r="B814" s="984"/>
      <c r="C814" s="984"/>
      <c r="D814" s="984"/>
      <c r="E814" s="984"/>
      <c r="F814" s="984"/>
      <c r="G814" s="984"/>
      <c r="H814" s="984"/>
      <c r="I814" s="984"/>
      <c r="J814" s="984"/>
      <c r="K814" s="984"/>
      <c r="L814" s="984"/>
      <c r="M814" s="984"/>
      <c r="N814" s="984"/>
      <c r="O814" s="984"/>
      <c r="P814" s="984"/>
      <c r="Q814" s="984"/>
      <c r="R814" s="984"/>
      <c r="S814" s="984"/>
      <c r="T814" s="984"/>
      <c r="U814" s="984"/>
      <c r="V814" s="984"/>
      <c r="W814" s="984"/>
      <c r="X814" s="984"/>
      <c r="Y814" s="984"/>
      <c r="Z814" s="984"/>
    </row>
    <row r="815" spans="1:26" ht="18" customHeight="1" x14ac:dyDescent="0.35">
      <c r="A815" s="984"/>
      <c r="B815" s="984"/>
      <c r="C815" s="984"/>
      <c r="D815" s="984"/>
      <c r="E815" s="984"/>
      <c r="F815" s="984"/>
      <c r="G815" s="984"/>
      <c r="H815" s="984"/>
      <c r="I815" s="984"/>
      <c r="J815" s="984"/>
      <c r="K815" s="984"/>
      <c r="L815" s="984"/>
      <c r="M815" s="984"/>
      <c r="N815" s="984"/>
      <c r="O815" s="984"/>
      <c r="P815" s="984"/>
      <c r="Q815" s="984"/>
      <c r="R815" s="984"/>
      <c r="S815" s="984"/>
      <c r="T815" s="984"/>
      <c r="U815" s="984"/>
      <c r="V815" s="984"/>
      <c r="W815" s="984"/>
      <c r="X815" s="984"/>
      <c r="Y815" s="984"/>
      <c r="Z815" s="984"/>
    </row>
    <row r="816" spans="1:26" ht="18" customHeight="1" x14ac:dyDescent="0.35">
      <c r="A816" s="984"/>
      <c r="B816" s="984"/>
      <c r="C816" s="984"/>
      <c r="D816" s="984"/>
      <c r="E816" s="984"/>
      <c r="F816" s="984"/>
      <c r="G816" s="984"/>
      <c r="H816" s="984"/>
      <c r="I816" s="984"/>
      <c r="J816" s="984"/>
      <c r="K816" s="984"/>
      <c r="L816" s="984"/>
      <c r="M816" s="984"/>
      <c r="N816" s="984"/>
      <c r="O816" s="984"/>
      <c r="P816" s="984"/>
      <c r="Q816" s="984"/>
      <c r="R816" s="984"/>
      <c r="S816" s="984"/>
      <c r="T816" s="984"/>
      <c r="U816" s="984"/>
      <c r="V816" s="984"/>
      <c r="W816" s="984"/>
      <c r="X816" s="984"/>
      <c r="Y816" s="984"/>
      <c r="Z816" s="984"/>
    </row>
    <row r="817" spans="1:26" ht="18" customHeight="1" x14ac:dyDescent="0.35">
      <c r="A817" s="984"/>
      <c r="B817" s="984"/>
      <c r="C817" s="984"/>
      <c r="D817" s="984"/>
      <c r="E817" s="984"/>
      <c r="F817" s="984"/>
      <c r="G817" s="984"/>
      <c r="H817" s="984"/>
      <c r="I817" s="984"/>
      <c r="J817" s="984"/>
      <c r="K817" s="984"/>
      <c r="L817" s="984"/>
      <c r="M817" s="984"/>
      <c r="N817" s="984"/>
      <c r="O817" s="984"/>
      <c r="P817" s="984"/>
      <c r="Q817" s="984"/>
      <c r="R817" s="984"/>
      <c r="S817" s="984"/>
      <c r="T817" s="984"/>
      <c r="U817" s="984"/>
      <c r="V817" s="984"/>
      <c r="W817" s="984"/>
      <c r="X817" s="984"/>
      <c r="Y817" s="984"/>
      <c r="Z817" s="984"/>
    </row>
    <row r="818" spans="1:26" ht="18" customHeight="1" x14ac:dyDescent="0.35">
      <c r="A818" s="984"/>
      <c r="B818" s="984"/>
      <c r="C818" s="984"/>
      <c r="D818" s="984"/>
      <c r="E818" s="984"/>
      <c r="F818" s="984"/>
      <c r="G818" s="984"/>
      <c r="H818" s="984"/>
      <c r="I818" s="984"/>
      <c r="J818" s="984"/>
      <c r="K818" s="984"/>
      <c r="L818" s="984"/>
      <c r="M818" s="984"/>
      <c r="N818" s="984"/>
      <c r="O818" s="984"/>
      <c r="P818" s="984"/>
      <c r="Q818" s="984"/>
      <c r="R818" s="984"/>
      <c r="S818" s="984"/>
      <c r="T818" s="984"/>
      <c r="U818" s="984"/>
      <c r="V818" s="984"/>
      <c r="W818" s="984"/>
      <c r="X818" s="984"/>
      <c r="Y818" s="984"/>
      <c r="Z818" s="984"/>
    </row>
    <row r="819" spans="1:26" ht="18" customHeight="1" x14ac:dyDescent="0.35">
      <c r="A819" s="984"/>
      <c r="B819" s="984"/>
      <c r="C819" s="984"/>
      <c r="D819" s="984"/>
      <c r="E819" s="984"/>
      <c r="F819" s="984"/>
      <c r="G819" s="984"/>
      <c r="H819" s="984"/>
      <c r="I819" s="984"/>
      <c r="J819" s="984"/>
      <c r="K819" s="984"/>
      <c r="L819" s="984"/>
      <c r="M819" s="984"/>
      <c r="N819" s="984"/>
      <c r="O819" s="984"/>
      <c r="P819" s="984"/>
      <c r="Q819" s="984"/>
      <c r="R819" s="984"/>
      <c r="S819" s="984"/>
      <c r="T819" s="984"/>
      <c r="U819" s="984"/>
      <c r="V819" s="984"/>
      <c r="W819" s="984"/>
      <c r="X819" s="984"/>
      <c r="Y819" s="984"/>
      <c r="Z819" s="984"/>
    </row>
    <row r="820" spans="1:26" ht="18" customHeight="1" x14ac:dyDescent="0.35">
      <c r="A820" s="984"/>
      <c r="B820" s="984"/>
      <c r="C820" s="984"/>
      <c r="D820" s="984"/>
      <c r="E820" s="984"/>
      <c r="F820" s="984"/>
      <c r="G820" s="984"/>
      <c r="H820" s="984"/>
      <c r="I820" s="984"/>
      <c r="J820" s="984"/>
      <c r="K820" s="984"/>
      <c r="L820" s="984"/>
      <c r="M820" s="984"/>
      <c r="N820" s="984"/>
      <c r="O820" s="984"/>
      <c r="P820" s="984"/>
      <c r="Q820" s="984"/>
      <c r="R820" s="984"/>
      <c r="S820" s="984"/>
      <c r="T820" s="984"/>
      <c r="U820" s="984"/>
      <c r="V820" s="984"/>
      <c r="W820" s="984"/>
      <c r="X820" s="984"/>
      <c r="Y820" s="984"/>
      <c r="Z820" s="984"/>
    </row>
    <row r="821" spans="1:26" ht="18" customHeight="1" x14ac:dyDescent="0.35">
      <c r="A821" s="984"/>
      <c r="B821" s="984"/>
      <c r="C821" s="984"/>
      <c r="D821" s="984"/>
      <c r="E821" s="984"/>
      <c r="F821" s="984"/>
      <c r="G821" s="984"/>
      <c r="H821" s="984"/>
      <c r="I821" s="984"/>
      <c r="J821" s="984"/>
      <c r="K821" s="984"/>
      <c r="L821" s="984"/>
      <c r="M821" s="984"/>
      <c r="N821" s="984"/>
      <c r="O821" s="984"/>
      <c r="P821" s="984"/>
      <c r="Q821" s="984"/>
      <c r="R821" s="984"/>
      <c r="S821" s="984"/>
      <c r="T821" s="984"/>
      <c r="U821" s="984"/>
      <c r="V821" s="984"/>
      <c r="W821" s="984"/>
      <c r="X821" s="984"/>
      <c r="Y821" s="984"/>
      <c r="Z821" s="984"/>
    </row>
    <row r="822" spans="1:26" ht="18" customHeight="1" x14ac:dyDescent="0.35">
      <c r="A822" s="984"/>
      <c r="B822" s="984"/>
      <c r="C822" s="984"/>
      <c r="D822" s="984"/>
      <c r="E822" s="984"/>
      <c r="F822" s="984"/>
      <c r="G822" s="984"/>
      <c r="H822" s="984"/>
      <c r="I822" s="984"/>
      <c r="J822" s="984"/>
      <c r="K822" s="984"/>
      <c r="L822" s="984"/>
      <c r="M822" s="984"/>
      <c r="N822" s="984"/>
      <c r="O822" s="984"/>
      <c r="P822" s="984"/>
      <c r="Q822" s="984"/>
      <c r="R822" s="984"/>
      <c r="S822" s="984"/>
      <c r="T822" s="984"/>
      <c r="U822" s="984"/>
      <c r="V822" s="984"/>
      <c r="W822" s="984"/>
      <c r="X822" s="984"/>
      <c r="Y822" s="984"/>
      <c r="Z822" s="984"/>
    </row>
    <row r="823" spans="1:26" ht="18" customHeight="1" x14ac:dyDescent="0.35">
      <c r="A823" s="984"/>
      <c r="B823" s="984"/>
      <c r="C823" s="984"/>
      <c r="D823" s="984"/>
      <c r="E823" s="984"/>
      <c r="F823" s="984"/>
      <c r="G823" s="984"/>
      <c r="H823" s="984"/>
      <c r="I823" s="984"/>
      <c r="J823" s="984"/>
      <c r="K823" s="984"/>
      <c r="L823" s="984"/>
      <c r="M823" s="984"/>
      <c r="N823" s="984"/>
      <c r="O823" s="984"/>
      <c r="P823" s="984"/>
      <c r="Q823" s="984"/>
      <c r="R823" s="984"/>
      <c r="S823" s="984"/>
      <c r="T823" s="984"/>
      <c r="U823" s="984"/>
      <c r="V823" s="984"/>
      <c r="W823" s="984"/>
      <c r="X823" s="984"/>
      <c r="Y823" s="984"/>
      <c r="Z823" s="984"/>
    </row>
    <row r="824" spans="1:26" ht="18" customHeight="1" x14ac:dyDescent="0.35">
      <c r="A824" s="984"/>
      <c r="B824" s="984"/>
      <c r="C824" s="984"/>
      <c r="D824" s="984"/>
      <c r="E824" s="984"/>
      <c r="F824" s="984"/>
      <c r="G824" s="984"/>
      <c r="H824" s="984"/>
      <c r="I824" s="984"/>
      <c r="J824" s="984"/>
      <c r="K824" s="984"/>
      <c r="L824" s="984"/>
      <c r="M824" s="984"/>
      <c r="N824" s="984"/>
      <c r="O824" s="984"/>
      <c r="P824" s="984"/>
      <c r="Q824" s="984"/>
      <c r="R824" s="984"/>
      <c r="S824" s="984"/>
      <c r="T824" s="984"/>
      <c r="U824" s="984"/>
      <c r="V824" s="984"/>
      <c r="W824" s="984"/>
      <c r="X824" s="984"/>
      <c r="Y824" s="984"/>
      <c r="Z824" s="984"/>
    </row>
    <row r="825" spans="1:26" ht="18" customHeight="1" x14ac:dyDescent="0.35">
      <c r="A825" s="984"/>
      <c r="B825" s="984"/>
      <c r="C825" s="984"/>
      <c r="D825" s="984"/>
      <c r="E825" s="984"/>
      <c r="F825" s="984"/>
      <c r="G825" s="984"/>
      <c r="H825" s="984"/>
      <c r="I825" s="984"/>
      <c r="J825" s="984"/>
      <c r="K825" s="984"/>
      <c r="L825" s="984"/>
      <c r="M825" s="984"/>
      <c r="N825" s="984"/>
      <c r="O825" s="984"/>
      <c r="P825" s="984"/>
      <c r="Q825" s="984"/>
      <c r="R825" s="984"/>
      <c r="S825" s="984"/>
      <c r="T825" s="984"/>
      <c r="U825" s="984"/>
      <c r="V825" s="984"/>
      <c r="W825" s="984"/>
      <c r="X825" s="984"/>
      <c r="Y825" s="984"/>
      <c r="Z825" s="984"/>
    </row>
    <row r="826" spans="1:26" ht="18" customHeight="1" x14ac:dyDescent="0.35">
      <c r="A826" s="984"/>
      <c r="B826" s="984"/>
      <c r="C826" s="984"/>
      <c r="D826" s="984"/>
      <c r="E826" s="984"/>
      <c r="F826" s="984"/>
      <c r="G826" s="984"/>
      <c r="H826" s="984"/>
      <c r="I826" s="984"/>
      <c r="J826" s="984"/>
      <c r="K826" s="984"/>
      <c r="L826" s="984"/>
      <c r="M826" s="984"/>
      <c r="N826" s="984"/>
      <c r="O826" s="984"/>
      <c r="P826" s="984"/>
      <c r="Q826" s="984"/>
      <c r="R826" s="984"/>
      <c r="S826" s="984"/>
      <c r="T826" s="984"/>
      <c r="U826" s="984"/>
      <c r="V826" s="984"/>
      <c r="W826" s="984"/>
      <c r="X826" s="984"/>
      <c r="Y826" s="984"/>
      <c r="Z826" s="984"/>
    </row>
    <row r="827" spans="1:26" ht="18" customHeight="1" x14ac:dyDescent="0.35">
      <c r="A827" s="984"/>
      <c r="B827" s="984"/>
      <c r="C827" s="984"/>
      <c r="D827" s="984"/>
      <c r="E827" s="984"/>
      <c r="F827" s="984"/>
      <c r="G827" s="984"/>
      <c r="H827" s="984"/>
      <c r="I827" s="984"/>
      <c r="J827" s="984"/>
      <c r="K827" s="984"/>
      <c r="L827" s="984"/>
      <c r="M827" s="984"/>
      <c r="N827" s="984"/>
      <c r="O827" s="984"/>
      <c r="P827" s="984"/>
      <c r="Q827" s="984"/>
      <c r="R827" s="984"/>
      <c r="S827" s="984"/>
      <c r="T827" s="984"/>
      <c r="U827" s="984"/>
      <c r="V827" s="984"/>
      <c r="W827" s="984"/>
      <c r="X827" s="984"/>
      <c r="Y827" s="984"/>
      <c r="Z827" s="984"/>
    </row>
    <row r="828" spans="1:26" ht="18" customHeight="1" x14ac:dyDescent="0.35">
      <c r="A828" s="984"/>
      <c r="B828" s="984"/>
      <c r="C828" s="984"/>
      <c r="D828" s="984"/>
      <c r="E828" s="984"/>
      <c r="F828" s="984"/>
      <c r="G828" s="984"/>
      <c r="H828" s="984"/>
      <c r="I828" s="984"/>
      <c r="J828" s="984"/>
      <c r="K828" s="984"/>
      <c r="L828" s="984"/>
      <c r="M828" s="984"/>
      <c r="N828" s="984"/>
      <c r="O828" s="984"/>
      <c r="P828" s="984"/>
      <c r="Q828" s="984"/>
      <c r="R828" s="984"/>
      <c r="S828" s="984"/>
      <c r="T828" s="984"/>
      <c r="U828" s="984"/>
      <c r="V828" s="984"/>
      <c r="W828" s="984"/>
      <c r="X828" s="984"/>
      <c r="Y828" s="984"/>
      <c r="Z828" s="984"/>
    </row>
    <row r="829" spans="1:26" ht="18" customHeight="1" x14ac:dyDescent="0.35">
      <c r="A829" s="984"/>
      <c r="B829" s="984"/>
      <c r="C829" s="984"/>
      <c r="D829" s="984"/>
      <c r="E829" s="984"/>
      <c r="F829" s="984"/>
      <c r="G829" s="984"/>
      <c r="H829" s="984"/>
      <c r="I829" s="984"/>
      <c r="J829" s="984"/>
      <c r="K829" s="984"/>
      <c r="L829" s="984"/>
      <c r="M829" s="984"/>
      <c r="N829" s="984"/>
      <c r="O829" s="984"/>
      <c r="P829" s="984"/>
      <c r="Q829" s="984"/>
      <c r="R829" s="984"/>
      <c r="S829" s="984"/>
      <c r="T829" s="984"/>
      <c r="U829" s="984"/>
      <c r="V829" s="984"/>
      <c r="W829" s="984"/>
      <c r="X829" s="984"/>
      <c r="Y829" s="984"/>
      <c r="Z829" s="984"/>
    </row>
    <row r="830" spans="1:26" ht="18" customHeight="1" x14ac:dyDescent="0.35">
      <c r="A830" s="984"/>
      <c r="B830" s="984"/>
      <c r="C830" s="984"/>
      <c r="D830" s="984"/>
      <c r="E830" s="984"/>
      <c r="F830" s="984"/>
      <c r="G830" s="984"/>
      <c r="H830" s="984"/>
      <c r="I830" s="984"/>
      <c r="J830" s="984"/>
      <c r="K830" s="984"/>
      <c r="L830" s="984"/>
      <c r="M830" s="984"/>
      <c r="N830" s="984"/>
      <c r="O830" s="984"/>
      <c r="P830" s="984"/>
      <c r="Q830" s="984"/>
      <c r="R830" s="984"/>
      <c r="S830" s="984"/>
      <c r="T830" s="984"/>
      <c r="U830" s="984"/>
      <c r="V830" s="984"/>
      <c r="W830" s="984"/>
      <c r="X830" s="984"/>
      <c r="Y830" s="984"/>
      <c r="Z830" s="984"/>
    </row>
    <row r="831" spans="1:26" ht="18" customHeight="1" x14ac:dyDescent="0.35">
      <c r="A831" s="984"/>
      <c r="B831" s="984"/>
      <c r="C831" s="984"/>
      <c r="D831" s="984"/>
      <c r="E831" s="984"/>
      <c r="F831" s="984"/>
      <c r="G831" s="984"/>
      <c r="H831" s="984"/>
      <c r="I831" s="984"/>
      <c r="J831" s="984"/>
      <c r="K831" s="984"/>
      <c r="L831" s="984"/>
      <c r="M831" s="984"/>
      <c r="N831" s="984"/>
      <c r="O831" s="984"/>
      <c r="P831" s="984"/>
      <c r="Q831" s="984"/>
      <c r="R831" s="984"/>
      <c r="S831" s="984"/>
      <c r="T831" s="984"/>
      <c r="U831" s="984"/>
      <c r="V831" s="984"/>
      <c r="W831" s="984"/>
      <c r="X831" s="984"/>
      <c r="Y831" s="984"/>
      <c r="Z831" s="984"/>
    </row>
    <row r="832" spans="1:26" ht="18" customHeight="1" x14ac:dyDescent="0.35">
      <c r="A832" s="984"/>
      <c r="B832" s="984"/>
      <c r="C832" s="984"/>
      <c r="D832" s="984"/>
      <c r="E832" s="984"/>
      <c r="F832" s="984"/>
      <c r="G832" s="984"/>
      <c r="H832" s="984"/>
      <c r="I832" s="984"/>
      <c r="J832" s="984"/>
      <c r="K832" s="984"/>
      <c r="L832" s="984"/>
      <c r="M832" s="984"/>
      <c r="N832" s="984"/>
      <c r="O832" s="984"/>
      <c r="P832" s="984"/>
      <c r="Q832" s="984"/>
      <c r="R832" s="984"/>
      <c r="S832" s="984"/>
      <c r="T832" s="984"/>
      <c r="U832" s="984"/>
      <c r="V832" s="984"/>
      <c r="W832" s="984"/>
      <c r="X832" s="984"/>
      <c r="Y832" s="984"/>
      <c r="Z832" s="984"/>
    </row>
    <row r="833" spans="1:26" ht="18" customHeight="1" x14ac:dyDescent="0.35">
      <c r="A833" s="984"/>
      <c r="B833" s="984"/>
      <c r="C833" s="984"/>
      <c r="D833" s="984"/>
      <c r="E833" s="984"/>
      <c r="F833" s="984"/>
      <c r="G833" s="984"/>
      <c r="H833" s="984"/>
      <c r="I833" s="984"/>
      <c r="J833" s="984"/>
      <c r="K833" s="984"/>
      <c r="L833" s="984"/>
      <c r="M833" s="984"/>
      <c r="N833" s="984"/>
      <c r="O833" s="984"/>
      <c r="P833" s="984"/>
      <c r="Q833" s="984"/>
      <c r="R833" s="984"/>
      <c r="S833" s="984"/>
      <c r="T833" s="984"/>
      <c r="U833" s="984"/>
      <c r="V833" s="984"/>
      <c r="W833" s="984"/>
      <c r="X833" s="984"/>
      <c r="Y833" s="984"/>
      <c r="Z833" s="984"/>
    </row>
    <row r="834" spans="1:26" ht="18" customHeight="1" x14ac:dyDescent="0.35">
      <c r="A834" s="984"/>
      <c r="B834" s="984"/>
      <c r="C834" s="984"/>
      <c r="D834" s="984"/>
      <c r="E834" s="984"/>
      <c r="F834" s="984"/>
      <c r="G834" s="984"/>
      <c r="H834" s="984"/>
      <c r="I834" s="984"/>
      <c r="J834" s="984"/>
      <c r="K834" s="984"/>
      <c r="L834" s="984"/>
      <c r="M834" s="984"/>
      <c r="N834" s="984"/>
      <c r="O834" s="984"/>
      <c r="P834" s="984"/>
      <c r="Q834" s="984"/>
      <c r="R834" s="984"/>
      <c r="S834" s="984"/>
      <c r="T834" s="984"/>
      <c r="U834" s="984"/>
      <c r="V834" s="984"/>
      <c r="W834" s="984"/>
      <c r="X834" s="984"/>
      <c r="Y834" s="984"/>
      <c r="Z834" s="984"/>
    </row>
    <row r="835" spans="1:26" ht="18" customHeight="1" x14ac:dyDescent="0.35">
      <c r="A835" s="984"/>
      <c r="B835" s="984"/>
      <c r="C835" s="984"/>
      <c r="D835" s="984"/>
      <c r="E835" s="984"/>
      <c r="F835" s="984"/>
      <c r="G835" s="984"/>
      <c r="H835" s="984"/>
      <c r="I835" s="984"/>
      <c r="J835" s="984"/>
      <c r="K835" s="984"/>
      <c r="L835" s="984"/>
      <c r="M835" s="984"/>
      <c r="N835" s="984"/>
      <c r="O835" s="984"/>
      <c r="P835" s="984"/>
      <c r="Q835" s="984"/>
      <c r="R835" s="984"/>
      <c r="S835" s="984"/>
      <c r="T835" s="984"/>
      <c r="U835" s="984"/>
      <c r="V835" s="984"/>
      <c r="W835" s="984"/>
      <c r="X835" s="984"/>
      <c r="Y835" s="984"/>
      <c r="Z835" s="984"/>
    </row>
    <row r="836" spans="1:26" ht="18" customHeight="1" x14ac:dyDescent="0.35">
      <c r="A836" s="984"/>
      <c r="B836" s="984"/>
      <c r="C836" s="984"/>
      <c r="D836" s="984"/>
      <c r="E836" s="984"/>
      <c r="F836" s="984"/>
      <c r="G836" s="984"/>
      <c r="H836" s="984"/>
      <c r="I836" s="984"/>
      <c r="J836" s="984"/>
      <c r="K836" s="984"/>
      <c r="L836" s="984"/>
      <c r="M836" s="984"/>
      <c r="N836" s="984"/>
      <c r="O836" s="984"/>
      <c r="P836" s="984"/>
      <c r="Q836" s="984"/>
      <c r="R836" s="984"/>
      <c r="S836" s="984"/>
      <c r="T836" s="984"/>
      <c r="U836" s="984"/>
      <c r="V836" s="984"/>
      <c r="W836" s="984"/>
      <c r="X836" s="984"/>
      <c r="Y836" s="984"/>
      <c r="Z836" s="984"/>
    </row>
    <row r="837" spans="1:26" ht="18" customHeight="1" x14ac:dyDescent="0.35">
      <c r="A837" s="984"/>
      <c r="B837" s="984"/>
      <c r="C837" s="984"/>
      <c r="D837" s="984"/>
      <c r="E837" s="984"/>
      <c r="F837" s="984"/>
      <c r="G837" s="984"/>
      <c r="H837" s="984"/>
      <c r="I837" s="984"/>
      <c r="J837" s="984"/>
      <c r="K837" s="984"/>
      <c r="L837" s="984"/>
      <c r="M837" s="984"/>
      <c r="N837" s="984"/>
      <c r="O837" s="984"/>
      <c r="P837" s="984"/>
      <c r="Q837" s="984"/>
      <c r="R837" s="984"/>
      <c r="S837" s="984"/>
      <c r="T837" s="984"/>
      <c r="U837" s="984"/>
      <c r="V837" s="984"/>
      <c r="W837" s="984"/>
      <c r="X837" s="984"/>
      <c r="Y837" s="984"/>
      <c r="Z837" s="984"/>
    </row>
    <row r="838" spans="1:26" ht="18" customHeight="1" x14ac:dyDescent="0.35">
      <c r="A838" s="984"/>
      <c r="B838" s="984"/>
      <c r="C838" s="984"/>
      <c r="D838" s="984"/>
      <c r="E838" s="984"/>
      <c r="F838" s="984"/>
      <c r="G838" s="984"/>
      <c r="H838" s="984"/>
      <c r="I838" s="984"/>
      <c r="J838" s="984"/>
      <c r="K838" s="984"/>
      <c r="L838" s="984"/>
      <c r="M838" s="984"/>
      <c r="N838" s="984"/>
      <c r="O838" s="984"/>
      <c r="P838" s="984"/>
      <c r="Q838" s="984"/>
      <c r="R838" s="984"/>
      <c r="S838" s="984"/>
      <c r="T838" s="984"/>
      <c r="U838" s="984"/>
      <c r="V838" s="984"/>
      <c r="W838" s="984"/>
      <c r="X838" s="984"/>
      <c r="Y838" s="984"/>
      <c r="Z838" s="984"/>
    </row>
    <row r="839" spans="1:26" ht="18" customHeight="1" x14ac:dyDescent="0.35">
      <c r="A839" s="984"/>
      <c r="B839" s="984"/>
      <c r="C839" s="984"/>
      <c r="D839" s="984"/>
      <c r="E839" s="984"/>
      <c r="F839" s="984"/>
      <c r="G839" s="984"/>
      <c r="H839" s="984"/>
      <c r="I839" s="984"/>
      <c r="J839" s="984"/>
      <c r="K839" s="984"/>
      <c r="L839" s="984"/>
      <c r="M839" s="984"/>
      <c r="N839" s="984"/>
      <c r="O839" s="984"/>
      <c r="P839" s="984"/>
      <c r="Q839" s="984"/>
      <c r="R839" s="984"/>
      <c r="S839" s="984"/>
      <c r="T839" s="984"/>
      <c r="U839" s="984"/>
      <c r="V839" s="984"/>
      <c r="W839" s="984"/>
      <c r="X839" s="984"/>
      <c r="Y839" s="984"/>
      <c r="Z839" s="984"/>
    </row>
    <row r="840" spans="1:26" ht="18" customHeight="1" x14ac:dyDescent="0.35">
      <c r="A840" s="984"/>
      <c r="B840" s="984"/>
      <c r="C840" s="984"/>
      <c r="D840" s="984"/>
      <c r="E840" s="984"/>
      <c r="F840" s="984"/>
      <c r="G840" s="984"/>
      <c r="H840" s="984"/>
      <c r="I840" s="984"/>
      <c r="J840" s="984"/>
      <c r="K840" s="984"/>
      <c r="L840" s="984"/>
      <c r="M840" s="984"/>
      <c r="N840" s="984"/>
      <c r="O840" s="984"/>
      <c r="P840" s="984"/>
      <c r="Q840" s="984"/>
      <c r="R840" s="984"/>
      <c r="S840" s="984"/>
      <c r="T840" s="984"/>
      <c r="U840" s="984"/>
      <c r="V840" s="984"/>
      <c r="W840" s="984"/>
      <c r="X840" s="984"/>
      <c r="Y840" s="984"/>
      <c r="Z840" s="984"/>
    </row>
    <row r="841" spans="1:26" ht="18" customHeight="1" x14ac:dyDescent="0.35">
      <c r="A841" s="984"/>
      <c r="B841" s="984"/>
      <c r="C841" s="984"/>
      <c r="D841" s="984"/>
      <c r="E841" s="984"/>
      <c r="F841" s="984"/>
      <c r="G841" s="984"/>
      <c r="H841" s="984"/>
      <c r="I841" s="984"/>
      <c r="J841" s="984"/>
      <c r="K841" s="984"/>
      <c r="L841" s="984"/>
      <c r="M841" s="984"/>
      <c r="N841" s="984"/>
      <c r="O841" s="984"/>
      <c r="P841" s="984"/>
      <c r="Q841" s="984"/>
      <c r="R841" s="984"/>
      <c r="S841" s="984"/>
      <c r="T841" s="984"/>
      <c r="U841" s="984"/>
      <c r="V841" s="984"/>
      <c r="W841" s="984"/>
      <c r="X841" s="984"/>
      <c r="Y841" s="984"/>
      <c r="Z841" s="984"/>
    </row>
    <row r="842" spans="1:26" ht="18" customHeight="1" x14ac:dyDescent="0.35">
      <c r="A842" s="984"/>
      <c r="B842" s="984"/>
      <c r="C842" s="984"/>
      <c r="D842" s="984"/>
      <c r="E842" s="984"/>
      <c r="F842" s="984"/>
      <c r="G842" s="984"/>
      <c r="H842" s="984"/>
      <c r="I842" s="984"/>
      <c r="J842" s="984"/>
      <c r="K842" s="984"/>
      <c r="L842" s="984"/>
      <c r="M842" s="984"/>
      <c r="N842" s="984"/>
      <c r="O842" s="984"/>
      <c r="P842" s="984"/>
      <c r="Q842" s="984"/>
      <c r="R842" s="984"/>
      <c r="S842" s="984"/>
      <c r="T842" s="984"/>
      <c r="U842" s="984"/>
      <c r="V842" s="984"/>
      <c r="W842" s="984"/>
      <c r="X842" s="984"/>
      <c r="Y842" s="984"/>
      <c r="Z842" s="984"/>
    </row>
    <row r="843" spans="1:26" ht="18" customHeight="1" x14ac:dyDescent="0.35">
      <c r="A843" s="984"/>
      <c r="B843" s="984"/>
      <c r="C843" s="984"/>
      <c r="D843" s="984"/>
      <c r="E843" s="984"/>
      <c r="F843" s="984"/>
      <c r="G843" s="984"/>
      <c r="H843" s="984"/>
      <c r="I843" s="984"/>
      <c r="J843" s="984"/>
      <c r="K843" s="984"/>
      <c r="L843" s="984"/>
      <c r="M843" s="984"/>
      <c r="N843" s="984"/>
      <c r="O843" s="984"/>
      <c r="P843" s="984"/>
      <c r="Q843" s="984"/>
      <c r="R843" s="984"/>
      <c r="S843" s="984"/>
      <c r="T843" s="984"/>
      <c r="U843" s="984"/>
      <c r="V843" s="984"/>
      <c r="W843" s="984"/>
      <c r="X843" s="984"/>
      <c r="Y843" s="984"/>
      <c r="Z843" s="984"/>
    </row>
    <row r="844" spans="1:26" ht="18" customHeight="1" x14ac:dyDescent="0.35">
      <c r="A844" s="984"/>
      <c r="B844" s="984"/>
      <c r="C844" s="984"/>
      <c r="D844" s="984"/>
      <c r="E844" s="984"/>
      <c r="F844" s="984"/>
      <c r="G844" s="984"/>
      <c r="H844" s="984"/>
      <c r="I844" s="984"/>
      <c r="J844" s="984"/>
      <c r="K844" s="984"/>
      <c r="L844" s="984"/>
      <c r="M844" s="984"/>
      <c r="N844" s="984"/>
      <c r="O844" s="984"/>
      <c r="P844" s="984"/>
      <c r="Q844" s="984"/>
      <c r="R844" s="984"/>
      <c r="S844" s="984"/>
      <c r="T844" s="984"/>
      <c r="U844" s="984"/>
      <c r="V844" s="984"/>
      <c r="W844" s="984"/>
      <c r="X844" s="984"/>
      <c r="Y844" s="984"/>
      <c r="Z844" s="984"/>
    </row>
    <row r="845" spans="1:26" ht="18" customHeight="1" x14ac:dyDescent="0.35">
      <c r="A845" s="984"/>
      <c r="B845" s="984"/>
      <c r="C845" s="984"/>
      <c r="D845" s="984"/>
      <c r="E845" s="984"/>
      <c r="F845" s="984"/>
      <c r="G845" s="984"/>
      <c r="H845" s="984"/>
      <c r="I845" s="984"/>
      <c r="J845" s="984"/>
      <c r="K845" s="984"/>
      <c r="L845" s="984"/>
      <c r="M845" s="984"/>
      <c r="N845" s="984"/>
      <c r="O845" s="984"/>
      <c r="P845" s="984"/>
      <c r="Q845" s="984"/>
      <c r="R845" s="984"/>
      <c r="S845" s="984"/>
      <c r="T845" s="984"/>
      <c r="U845" s="984"/>
      <c r="V845" s="984"/>
      <c r="W845" s="984"/>
      <c r="X845" s="984"/>
      <c r="Y845" s="984"/>
      <c r="Z845" s="984"/>
    </row>
    <row r="846" spans="1:26" ht="18" customHeight="1" x14ac:dyDescent="0.35">
      <c r="A846" s="984"/>
      <c r="B846" s="984"/>
      <c r="C846" s="984"/>
      <c r="D846" s="984"/>
      <c r="E846" s="984"/>
      <c r="F846" s="984"/>
      <c r="G846" s="984"/>
      <c r="H846" s="984"/>
      <c r="I846" s="984"/>
      <c r="J846" s="984"/>
      <c r="K846" s="984"/>
      <c r="L846" s="984"/>
      <c r="M846" s="984"/>
      <c r="N846" s="984"/>
      <c r="O846" s="984"/>
      <c r="P846" s="984"/>
      <c r="Q846" s="984"/>
      <c r="R846" s="984"/>
      <c r="S846" s="984"/>
      <c r="T846" s="984"/>
      <c r="U846" s="984"/>
      <c r="V846" s="984"/>
      <c r="W846" s="984"/>
      <c r="X846" s="984"/>
      <c r="Y846" s="984"/>
      <c r="Z846" s="984"/>
    </row>
    <row r="847" spans="1:26" ht="18" customHeight="1" x14ac:dyDescent="0.35">
      <c r="A847" s="984"/>
      <c r="B847" s="984"/>
      <c r="C847" s="984"/>
      <c r="D847" s="984"/>
      <c r="E847" s="984"/>
      <c r="F847" s="984"/>
      <c r="G847" s="984"/>
      <c r="H847" s="984"/>
      <c r="I847" s="984"/>
      <c r="J847" s="984"/>
      <c r="K847" s="984"/>
      <c r="L847" s="984"/>
      <c r="M847" s="984"/>
      <c r="N847" s="984"/>
      <c r="O847" s="984"/>
      <c r="P847" s="984"/>
      <c r="Q847" s="984"/>
      <c r="R847" s="984"/>
      <c r="S847" s="984"/>
      <c r="T847" s="984"/>
      <c r="U847" s="984"/>
      <c r="V847" s="984"/>
      <c r="W847" s="984"/>
      <c r="X847" s="984"/>
      <c r="Y847" s="984"/>
      <c r="Z847" s="984"/>
    </row>
    <row r="848" spans="1:26" ht="18" customHeight="1" x14ac:dyDescent="0.35">
      <c r="A848" s="984"/>
      <c r="B848" s="984"/>
      <c r="C848" s="984"/>
      <c r="D848" s="984"/>
      <c r="E848" s="984"/>
      <c r="F848" s="984"/>
      <c r="G848" s="984"/>
      <c r="H848" s="984"/>
      <c r="I848" s="984"/>
      <c r="J848" s="984"/>
      <c r="K848" s="984"/>
      <c r="L848" s="984"/>
      <c r="M848" s="984"/>
      <c r="N848" s="984"/>
      <c r="O848" s="984"/>
      <c r="P848" s="984"/>
      <c r="Q848" s="984"/>
      <c r="R848" s="984"/>
      <c r="S848" s="984"/>
      <c r="T848" s="984"/>
      <c r="U848" s="984"/>
      <c r="V848" s="984"/>
      <c r="W848" s="984"/>
      <c r="X848" s="984"/>
      <c r="Y848" s="984"/>
      <c r="Z848" s="984"/>
    </row>
    <row r="849" spans="1:26" ht="18" customHeight="1" x14ac:dyDescent="0.35">
      <c r="A849" s="984"/>
      <c r="B849" s="984"/>
      <c r="C849" s="984"/>
      <c r="D849" s="984"/>
      <c r="E849" s="984"/>
      <c r="F849" s="984"/>
      <c r="G849" s="984"/>
      <c r="H849" s="984"/>
      <c r="I849" s="984"/>
      <c r="J849" s="984"/>
      <c r="K849" s="984"/>
      <c r="L849" s="984"/>
      <c r="M849" s="984"/>
      <c r="N849" s="984"/>
      <c r="O849" s="984"/>
      <c r="P849" s="984"/>
      <c r="Q849" s="984"/>
      <c r="R849" s="984"/>
      <c r="S849" s="984"/>
      <c r="T849" s="984"/>
      <c r="U849" s="984"/>
      <c r="V849" s="984"/>
      <c r="W849" s="984"/>
      <c r="X849" s="984"/>
      <c r="Y849" s="984"/>
      <c r="Z849" s="984"/>
    </row>
    <row r="850" spans="1:26" ht="18" customHeight="1" x14ac:dyDescent="0.35">
      <c r="A850" s="984"/>
      <c r="B850" s="984"/>
      <c r="C850" s="984"/>
      <c r="D850" s="984"/>
      <c r="E850" s="984"/>
      <c r="F850" s="984"/>
      <c r="G850" s="984"/>
      <c r="H850" s="984"/>
      <c r="I850" s="984"/>
      <c r="J850" s="984"/>
      <c r="K850" s="984"/>
      <c r="L850" s="984"/>
      <c r="M850" s="984"/>
      <c r="N850" s="984"/>
      <c r="O850" s="984"/>
      <c r="P850" s="984"/>
      <c r="Q850" s="984"/>
      <c r="R850" s="984"/>
      <c r="S850" s="984"/>
      <c r="T850" s="984"/>
      <c r="U850" s="984"/>
      <c r="V850" s="984"/>
      <c r="W850" s="984"/>
      <c r="X850" s="984"/>
      <c r="Y850" s="984"/>
      <c r="Z850" s="984"/>
    </row>
    <row r="851" spans="1:26" ht="18" customHeight="1" x14ac:dyDescent="0.35">
      <c r="A851" s="984"/>
      <c r="B851" s="984"/>
      <c r="C851" s="984"/>
      <c r="D851" s="984"/>
      <c r="E851" s="984"/>
      <c r="F851" s="984"/>
      <c r="G851" s="984"/>
      <c r="H851" s="984"/>
      <c r="I851" s="984"/>
      <c r="J851" s="984"/>
      <c r="K851" s="984"/>
      <c r="L851" s="984"/>
      <c r="M851" s="984"/>
      <c r="N851" s="984"/>
      <c r="O851" s="984"/>
      <c r="P851" s="984"/>
      <c r="Q851" s="984"/>
      <c r="R851" s="984"/>
      <c r="S851" s="984"/>
      <c r="T851" s="984"/>
      <c r="U851" s="984"/>
      <c r="V851" s="984"/>
      <c r="W851" s="984"/>
      <c r="X851" s="984"/>
      <c r="Y851" s="984"/>
      <c r="Z851" s="984"/>
    </row>
    <row r="852" spans="1:26" ht="18" customHeight="1" x14ac:dyDescent="0.35">
      <c r="A852" s="984"/>
      <c r="B852" s="984"/>
      <c r="C852" s="984"/>
      <c r="D852" s="984"/>
      <c r="E852" s="984"/>
      <c r="F852" s="984"/>
      <c r="G852" s="984"/>
      <c r="H852" s="984"/>
      <c r="I852" s="984"/>
      <c r="J852" s="984"/>
      <c r="K852" s="984"/>
      <c r="L852" s="984"/>
      <c r="M852" s="984"/>
      <c r="N852" s="984"/>
      <c r="O852" s="984"/>
      <c r="P852" s="984"/>
      <c r="Q852" s="984"/>
      <c r="R852" s="984"/>
      <c r="S852" s="984"/>
      <c r="T852" s="984"/>
      <c r="U852" s="984"/>
      <c r="V852" s="984"/>
      <c r="W852" s="984"/>
      <c r="X852" s="984"/>
      <c r="Y852" s="984"/>
      <c r="Z852" s="984"/>
    </row>
    <row r="853" spans="1:26" ht="18" customHeight="1" x14ac:dyDescent="0.35">
      <c r="A853" s="984"/>
      <c r="B853" s="984"/>
      <c r="C853" s="984"/>
      <c r="D853" s="984"/>
      <c r="E853" s="984"/>
      <c r="F853" s="984"/>
      <c r="G853" s="984"/>
      <c r="H853" s="984"/>
      <c r="I853" s="984"/>
      <c r="J853" s="984"/>
      <c r="K853" s="984"/>
      <c r="L853" s="984"/>
      <c r="M853" s="984"/>
      <c r="N853" s="984"/>
      <c r="O853" s="984"/>
      <c r="P853" s="984"/>
      <c r="Q853" s="984"/>
      <c r="R853" s="984"/>
      <c r="S853" s="984"/>
      <c r="T853" s="984"/>
      <c r="U853" s="984"/>
      <c r="V853" s="984"/>
      <c r="W853" s="984"/>
      <c r="X853" s="984"/>
      <c r="Y853" s="984"/>
      <c r="Z853" s="984"/>
    </row>
    <row r="854" spans="1:26" ht="18" customHeight="1" x14ac:dyDescent="0.35">
      <c r="A854" s="984"/>
      <c r="B854" s="984"/>
      <c r="C854" s="984"/>
      <c r="D854" s="984"/>
      <c r="E854" s="984"/>
      <c r="F854" s="984"/>
      <c r="G854" s="984"/>
      <c r="H854" s="984"/>
      <c r="I854" s="984"/>
      <c r="J854" s="984"/>
      <c r="K854" s="984"/>
      <c r="L854" s="984"/>
      <c r="M854" s="984"/>
      <c r="N854" s="984"/>
      <c r="O854" s="984"/>
      <c r="P854" s="984"/>
      <c r="Q854" s="984"/>
      <c r="R854" s="984"/>
      <c r="S854" s="984"/>
      <c r="T854" s="984"/>
      <c r="U854" s="984"/>
      <c r="V854" s="984"/>
      <c r="W854" s="984"/>
      <c r="X854" s="984"/>
      <c r="Y854" s="984"/>
      <c r="Z854" s="984"/>
    </row>
    <row r="855" spans="1:26" ht="18" customHeight="1" x14ac:dyDescent="0.35">
      <c r="A855" s="984"/>
      <c r="B855" s="984"/>
      <c r="C855" s="984"/>
      <c r="D855" s="984"/>
      <c r="E855" s="984"/>
      <c r="F855" s="984"/>
      <c r="G855" s="984"/>
      <c r="H855" s="984"/>
      <c r="I855" s="984"/>
      <c r="J855" s="984"/>
      <c r="K855" s="984"/>
      <c r="L855" s="984"/>
      <c r="M855" s="984"/>
      <c r="N855" s="984"/>
      <c r="O855" s="984"/>
      <c r="P855" s="984"/>
      <c r="Q855" s="984"/>
      <c r="R855" s="984"/>
      <c r="S855" s="984"/>
      <c r="T855" s="984"/>
      <c r="U855" s="984"/>
      <c r="V855" s="984"/>
      <c r="W855" s="984"/>
      <c r="X855" s="984"/>
      <c r="Y855" s="984"/>
      <c r="Z855" s="984"/>
    </row>
    <row r="856" spans="1:26" ht="18" customHeight="1" x14ac:dyDescent="0.35">
      <c r="A856" s="984"/>
      <c r="B856" s="984"/>
      <c r="C856" s="984"/>
      <c r="D856" s="984"/>
      <c r="E856" s="984"/>
      <c r="F856" s="984"/>
      <c r="G856" s="984"/>
      <c r="H856" s="984"/>
      <c r="I856" s="984"/>
      <c r="J856" s="984"/>
      <c r="K856" s="984"/>
      <c r="L856" s="984"/>
      <c r="M856" s="984"/>
      <c r="N856" s="984"/>
      <c r="O856" s="984"/>
      <c r="P856" s="984"/>
      <c r="Q856" s="984"/>
      <c r="R856" s="984"/>
      <c r="S856" s="984"/>
      <c r="T856" s="984"/>
      <c r="U856" s="984"/>
      <c r="V856" s="984"/>
      <c r="W856" s="984"/>
      <c r="X856" s="984"/>
      <c r="Y856" s="984"/>
      <c r="Z856" s="984"/>
    </row>
    <row r="857" spans="1:26" ht="18" customHeight="1" x14ac:dyDescent="0.35">
      <c r="A857" s="984"/>
      <c r="B857" s="984"/>
      <c r="C857" s="984"/>
      <c r="D857" s="984"/>
      <c r="E857" s="984"/>
      <c r="F857" s="984"/>
      <c r="G857" s="984"/>
      <c r="H857" s="984"/>
      <c r="I857" s="984"/>
      <c r="J857" s="984"/>
      <c r="K857" s="984"/>
      <c r="L857" s="984"/>
      <c r="M857" s="984"/>
      <c r="N857" s="984"/>
      <c r="O857" s="984"/>
      <c r="P857" s="984"/>
      <c r="Q857" s="984"/>
      <c r="R857" s="984"/>
      <c r="S857" s="984"/>
      <c r="T857" s="984"/>
      <c r="U857" s="984"/>
      <c r="V857" s="984"/>
      <c r="W857" s="984"/>
      <c r="X857" s="984"/>
      <c r="Y857" s="984"/>
      <c r="Z857" s="984"/>
    </row>
    <row r="858" spans="1:26" ht="18" customHeight="1" x14ac:dyDescent="0.35">
      <c r="A858" s="984"/>
      <c r="B858" s="984"/>
      <c r="C858" s="984"/>
      <c r="D858" s="984"/>
      <c r="E858" s="984"/>
      <c r="F858" s="984"/>
      <c r="G858" s="984"/>
      <c r="H858" s="984"/>
      <c r="I858" s="984"/>
      <c r="J858" s="984"/>
      <c r="K858" s="984"/>
      <c r="L858" s="984"/>
      <c r="M858" s="984"/>
      <c r="N858" s="984"/>
      <c r="O858" s="984"/>
      <c r="P858" s="984"/>
      <c r="Q858" s="984"/>
      <c r="R858" s="984"/>
      <c r="S858" s="984"/>
      <c r="T858" s="984"/>
      <c r="U858" s="984"/>
      <c r="V858" s="984"/>
      <c r="W858" s="984"/>
      <c r="X858" s="984"/>
      <c r="Y858" s="984"/>
      <c r="Z858" s="984"/>
    </row>
    <row r="859" spans="1:26" ht="18" customHeight="1" x14ac:dyDescent="0.35">
      <c r="A859" s="984"/>
      <c r="B859" s="984"/>
      <c r="C859" s="984"/>
      <c r="D859" s="984"/>
      <c r="E859" s="984"/>
      <c r="F859" s="984"/>
      <c r="G859" s="984"/>
      <c r="H859" s="984"/>
      <c r="I859" s="984"/>
      <c r="J859" s="984"/>
      <c r="K859" s="984"/>
      <c r="L859" s="984"/>
      <c r="M859" s="984"/>
      <c r="N859" s="984"/>
      <c r="O859" s="984"/>
      <c r="P859" s="984"/>
      <c r="Q859" s="984"/>
      <c r="R859" s="984"/>
      <c r="S859" s="984"/>
      <c r="T859" s="984"/>
      <c r="U859" s="984"/>
      <c r="V859" s="984"/>
      <c r="W859" s="984"/>
      <c r="X859" s="984"/>
      <c r="Y859" s="984"/>
      <c r="Z859" s="984"/>
    </row>
    <row r="860" spans="1:26" ht="18" customHeight="1" x14ac:dyDescent="0.35">
      <c r="A860" s="984"/>
      <c r="B860" s="984"/>
      <c r="C860" s="984"/>
      <c r="D860" s="984"/>
      <c r="E860" s="984"/>
      <c r="F860" s="984"/>
      <c r="G860" s="984"/>
      <c r="H860" s="984"/>
      <c r="I860" s="984"/>
      <c r="J860" s="984"/>
      <c r="K860" s="984"/>
      <c r="L860" s="984"/>
      <c r="M860" s="984"/>
      <c r="N860" s="984"/>
      <c r="O860" s="984"/>
      <c r="P860" s="984"/>
      <c r="Q860" s="984"/>
      <c r="R860" s="984"/>
      <c r="S860" s="984"/>
      <c r="T860" s="984"/>
      <c r="U860" s="984"/>
      <c r="V860" s="984"/>
      <c r="W860" s="984"/>
      <c r="X860" s="984"/>
      <c r="Y860" s="984"/>
      <c r="Z860" s="984"/>
    </row>
    <row r="861" spans="1:26" ht="18" customHeight="1" x14ac:dyDescent="0.35">
      <c r="A861" s="984"/>
      <c r="B861" s="984"/>
      <c r="C861" s="984"/>
      <c r="D861" s="984"/>
      <c r="E861" s="984"/>
      <c r="F861" s="984"/>
      <c r="G861" s="984"/>
      <c r="H861" s="984"/>
      <c r="I861" s="984"/>
      <c r="J861" s="984"/>
      <c r="K861" s="984"/>
      <c r="L861" s="984"/>
      <c r="M861" s="984"/>
      <c r="N861" s="984"/>
      <c r="O861" s="984"/>
      <c r="P861" s="984"/>
      <c r="Q861" s="984"/>
      <c r="R861" s="984"/>
      <c r="S861" s="984"/>
      <c r="T861" s="984"/>
      <c r="U861" s="984"/>
      <c r="V861" s="984"/>
      <c r="W861" s="984"/>
      <c r="X861" s="984"/>
      <c r="Y861" s="984"/>
      <c r="Z861" s="984"/>
    </row>
    <row r="862" spans="1:26" ht="18" customHeight="1" x14ac:dyDescent="0.35">
      <c r="A862" s="984"/>
      <c r="B862" s="984"/>
      <c r="C862" s="984"/>
      <c r="D862" s="984"/>
      <c r="E862" s="984"/>
      <c r="F862" s="984"/>
      <c r="G862" s="984"/>
      <c r="H862" s="984"/>
      <c r="I862" s="984"/>
      <c r="J862" s="984"/>
      <c r="K862" s="984"/>
      <c r="L862" s="984"/>
      <c r="M862" s="984"/>
      <c r="N862" s="984"/>
      <c r="O862" s="984"/>
      <c r="P862" s="984"/>
      <c r="Q862" s="984"/>
      <c r="R862" s="984"/>
      <c r="S862" s="984"/>
      <c r="T862" s="984"/>
      <c r="U862" s="984"/>
      <c r="V862" s="984"/>
      <c r="W862" s="984"/>
      <c r="X862" s="984"/>
      <c r="Y862" s="984"/>
      <c r="Z862" s="984"/>
    </row>
    <row r="863" spans="1:26" ht="18" customHeight="1" x14ac:dyDescent="0.35">
      <c r="A863" s="984"/>
      <c r="B863" s="984"/>
      <c r="C863" s="984"/>
      <c r="D863" s="984"/>
      <c r="E863" s="984"/>
      <c r="F863" s="984"/>
      <c r="G863" s="984"/>
      <c r="H863" s="984"/>
      <c r="I863" s="984"/>
      <c r="J863" s="984"/>
      <c r="K863" s="984"/>
      <c r="L863" s="984"/>
      <c r="M863" s="984"/>
      <c r="N863" s="984"/>
      <c r="O863" s="984"/>
      <c r="P863" s="984"/>
      <c r="Q863" s="984"/>
      <c r="R863" s="984"/>
      <c r="S863" s="984"/>
      <c r="T863" s="984"/>
      <c r="U863" s="984"/>
      <c r="V863" s="984"/>
      <c r="W863" s="984"/>
      <c r="X863" s="984"/>
      <c r="Y863" s="984"/>
      <c r="Z863" s="984"/>
    </row>
    <row r="864" spans="1:26" ht="18" customHeight="1" x14ac:dyDescent="0.35">
      <c r="A864" s="984"/>
      <c r="B864" s="984"/>
      <c r="C864" s="984"/>
      <c r="D864" s="984"/>
      <c r="E864" s="984"/>
      <c r="F864" s="984"/>
      <c r="G864" s="984"/>
      <c r="H864" s="984"/>
      <c r="I864" s="984"/>
      <c r="J864" s="984"/>
      <c r="K864" s="984"/>
      <c r="L864" s="984"/>
      <c r="M864" s="984"/>
      <c r="N864" s="984"/>
      <c r="O864" s="984"/>
      <c r="P864" s="984"/>
      <c r="Q864" s="984"/>
      <c r="R864" s="984"/>
      <c r="S864" s="984"/>
      <c r="T864" s="984"/>
      <c r="U864" s="984"/>
      <c r="V864" s="984"/>
      <c r="W864" s="984"/>
      <c r="X864" s="984"/>
      <c r="Y864" s="984"/>
      <c r="Z864" s="984"/>
    </row>
    <row r="865" spans="1:26" ht="18" customHeight="1" x14ac:dyDescent="0.35">
      <c r="A865" s="984"/>
      <c r="B865" s="984"/>
      <c r="C865" s="984"/>
      <c r="D865" s="984"/>
      <c r="E865" s="984"/>
      <c r="F865" s="984"/>
      <c r="G865" s="984"/>
      <c r="H865" s="984"/>
      <c r="I865" s="984"/>
      <c r="J865" s="984"/>
      <c r="K865" s="984"/>
      <c r="L865" s="984"/>
      <c r="M865" s="984"/>
      <c r="N865" s="984"/>
      <c r="O865" s="984"/>
      <c r="P865" s="984"/>
      <c r="Q865" s="984"/>
      <c r="R865" s="984"/>
      <c r="S865" s="984"/>
      <c r="T865" s="984"/>
      <c r="U865" s="984"/>
      <c r="V865" s="984"/>
      <c r="W865" s="984"/>
      <c r="X865" s="984"/>
      <c r="Y865" s="984"/>
      <c r="Z865" s="984"/>
    </row>
    <row r="866" spans="1:26" ht="18" customHeight="1" x14ac:dyDescent="0.35">
      <c r="A866" s="984"/>
      <c r="B866" s="984"/>
      <c r="C866" s="984"/>
      <c r="D866" s="984"/>
      <c r="E866" s="984"/>
      <c r="F866" s="984"/>
      <c r="G866" s="984"/>
      <c r="H866" s="984"/>
      <c r="I866" s="984"/>
      <c r="J866" s="984"/>
      <c r="K866" s="984"/>
      <c r="L866" s="984"/>
      <c r="M866" s="984"/>
      <c r="N866" s="984"/>
      <c r="O866" s="984"/>
      <c r="P866" s="984"/>
      <c r="Q866" s="984"/>
      <c r="R866" s="984"/>
      <c r="S866" s="984"/>
      <c r="T866" s="984"/>
      <c r="U866" s="984"/>
      <c r="V866" s="984"/>
      <c r="W866" s="984"/>
      <c r="X866" s="984"/>
      <c r="Y866" s="984"/>
      <c r="Z866" s="984"/>
    </row>
    <row r="867" spans="1:26" ht="18" customHeight="1" x14ac:dyDescent="0.35">
      <c r="A867" s="984"/>
      <c r="B867" s="984"/>
      <c r="C867" s="984"/>
      <c r="D867" s="984"/>
      <c r="E867" s="984"/>
      <c r="F867" s="984"/>
      <c r="G867" s="984"/>
      <c r="H867" s="984"/>
      <c r="I867" s="984"/>
      <c r="J867" s="984"/>
      <c r="K867" s="984"/>
      <c r="L867" s="984"/>
      <c r="M867" s="984"/>
      <c r="N867" s="984"/>
      <c r="O867" s="984"/>
      <c r="P867" s="984"/>
      <c r="Q867" s="984"/>
      <c r="R867" s="984"/>
      <c r="S867" s="984"/>
      <c r="T867" s="984"/>
      <c r="U867" s="984"/>
      <c r="V867" s="984"/>
      <c r="W867" s="984"/>
      <c r="X867" s="984"/>
      <c r="Y867" s="984"/>
      <c r="Z867" s="984"/>
    </row>
    <row r="868" spans="1:26" ht="18" customHeight="1" x14ac:dyDescent="0.35">
      <c r="A868" s="984"/>
      <c r="B868" s="984"/>
      <c r="C868" s="984"/>
      <c r="D868" s="984"/>
      <c r="E868" s="984"/>
      <c r="F868" s="984"/>
      <c r="G868" s="984"/>
      <c r="H868" s="984"/>
      <c r="I868" s="984"/>
      <c r="J868" s="984"/>
      <c r="K868" s="984"/>
      <c r="L868" s="984"/>
      <c r="M868" s="984"/>
      <c r="N868" s="984"/>
      <c r="O868" s="984"/>
      <c r="P868" s="984"/>
      <c r="Q868" s="984"/>
      <c r="R868" s="984"/>
      <c r="S868" s="984"/>
      <c r="T868" s="984"/>
      <c r="U868" s="984"/>
      <c r="V868" s="984"/>
      <c r="W868" s="984"/>
      <c r="X868" s="984"/>
      <c r="Y868" s="984"/>
      <c r="Z868" s="984"/>
    </row>
    <row r="869" spans="1:26" ht="18" customHeight="1" x14ac:dyDescent="0.35">
      <c r="A869" s="984"/>
      <c r="B869" s="984"/>
      <c r="C869" s="984"/>
      <c r="D869" s="984"/>
      <c r="E869" s="984"/>
      <c r="F869" s="984"/>
      <c r="G869" s="984"/>
      <c r="H869" s="984"/>
      <c r="I869" s="984"/>
      <c r="J869" s="984"/>
      <c r="K869" s="984"/>
      <c r="L869" s="984"/>
      <c r="M869" s="984"/>
      <c r="N869" s="984"/>
      <c r="O869" s="984"/>
      <c r="P869" s="984"/>
      <c r="Q869" s="984"/>
      <c r="R869" s="984"/>
      <c r="S869" s="984"/>
      <c r="T869" s="984"/>
      <c r="U869" s="984"/>
      <c r="V869" s="984"/>
      <c r="W869" s="984"/>
      <c r="X869" s="984"/>
      <c r="Y869" s="984"/>
      <c r="Z869" s="984"/>
    </row>
    <row r="870" spans="1:26" ht="18" customHeight="1" x14ac:dyDescent="0.35">
      <c r="A870" s="984"/>
      <c r="B870" s="984"/>
      <c r="C870" s="984"/>
      <c r="D870" s="984"/>
      <c r="E870" s="984"/>
      <c r="F870" s="984"/>
      <c r="G870" s="984"/>
      <c r="H870" s="984"/>
      <c r="I870" s="984"/>
      <c r="J870" s="984"/>
      <c r="K870" s="984"/>
      <c r="L870" s="984"/>
      <c r="M870" s="984"/>
      <c r="N870" s="984"/>
      <c r="O870" s="984"/>
      <c r="P870" s="984"/>
      <c r="Q870" s="984"/>
      <c r="R870" s="984"/>
      <c r="S870" s="984"/>
      <c r="T870" s="984"/>
      <c r="U870" s="984"/>
      <c r="V870" s="984"/>
      <c r="W870" s="984"/>
      <c r="X870" s="984"/>
      <c r="Y870" s="984"/>
      <c r="Z870" s="984"/>
    </row>
    <row r="871" spans="1:26" ht="18" customHeight="1" x14ac:dyDescent="0.35">
      <c r="A871" s="984"/>
      <c r="B871" s="984"/>
      <c r="C871" s="984"/>
      <c r="D871" s="984"/>
      <c r="E871" s="984"/>
      <c r="F871" s="984"/>
      <c r="G871" s="984"/>
      <c r="H871" s="984"/>
      <c r="I871" s="984"/>
      <c r="J871" s="984"/>
      <c r="K871" s="984"/>
      <c r="L871" s="984"/>
      <c r="M871" s="984"/>
      <c r="N871" s="984"/>
      <c r="O871" s="984"/>
      <c r="P871" s="984"/>
      <c r="Q871" s="984"/>
      <c r="R871" s="984"/>
      <c r="S871" s="984"/>
      <c r="T871" s="984"/>
      <c r="U871" s="984"/>
      <c r="V871" s="984"/>
      <c r="W871" s="984"/>
      <c r="X871" s="984"/>
      <c r="Y871" s="984"/>
      <c r="Z871" s="984"/>
    </row>
    <row r="872" spans="1:26" ht="18" customHeight="1" x14ac:dyDescent="0.35">
      <c r="A872" s="984"/>
      <c r="B872" s="984"/>
      <c r="C872" s="984"/>
      <c r="D872" s="984"/>
      <c r="E872" s="984"/>
      <c r="F872" s="984"/>
      <c r="G872" s="984"/>
      <c r="H872" s="984"/>
      <c r="I872" s="984"/>
      <c r="J872" s="984"/>
      <c r="K872" s="984"/>
      <c r="L872" s="984"/>
      <c r="M872" s="984"/>
      <c r="N872" s="984"/>
      <c r="O872" s="984"/>
      <c r="P872" s="984"/>
      <c r="Q872" s="984"/>
      <c r="R872" s="984"/>
      <c r="S872" s="984"/>
      <c r="T872" s="984"/>
      <c r="U872" s="984"/>
      <c r="V872" s="984"/>
      <c r="W872" s="984"/>
      <c r="X872" s="984"/>
      <c r="Y872" s="984"/>
      <c r="Z872" s="984"/>
    </row>
    <row r="873" spans="1:26" ht="18" customHeight="1" x14ac:dyDescent="0.35">
      <c r="A873" s="984"/>
      <c r="B873" s="984"/>
      <c r="C873" s="984"/>
      <c r="D873" s="984"/>
      <c r="E873" s="984"/>
      <c r="F873" s="984"/>
      <c r="G873" s="984"/>
      <c r="H873" s="984"/>
      <c r="I873" s="984"/>
      <c r="J873" s="984"/>
      <c r="K873" s="984"/>
      <c r="L873" s="984"/>
      <c r="M873" s="984"/>
      <c r="N873" s="984"/>
      <c r="O873" s="984"/>
      <c r="P873" s="984"/>
      <c r="Q873" s="984"/>
      <c r="R873" s="984"/>
      <c r="S873" s="984"/>
      <c r="T873" s="984"/>
      <c r="U873" s="984"/>
      <c r="V873" s="984"/>
      <c r="W873" s="984"/>
      <c r="X873" s="984"/>
      <c r="Y873" s="984"/>
      <c r="Z873" s="984"/>
    </row>
    <row r="874" spans="1:26" ht="18" customHeight="1" x14ac:dyDescent="0.35">
      <c r="A874" s="984"/>
      <c r="B874" s="984"/>
      <c r="C874" s="984"/>
      <c r="D874" s="984"/>
      <c r="E874" s="984"/>
      <c r="F874" s="984"/>
      <c r="G874" s="984"/>
      <c r="H874" s="984"/>
      <c r="I874" s="984"/>
      <c r="J874" s="984"/>
      <c r="K874" s="984"/>
      <c r="L874" s="984"/>
      <c r="M874" s="984"/>
      <c r="N874" s="984"/>
      <c r="O874" s="984"/>
      <c r="P874" s="984"/>
      <c r="Q874" s="984"/>
      <c r="R874" s="984"/>
      <c r="S874" s="984"/>
      <c r="T874" s="984"/>
      <c r="U874" s="984"/>
      <c r="V874" s="984"/>
      <c r="W874" s="984"/>
      <c r="X874" s="984"/>
      <c r="Y874" s="984"/>
      <c r="Z874" s="984"/>
    </row>
    <row r="875" spans="1:26" ht="18" customHeight="1" x14ac:dyDescent="0.35">
      <c r="A875" s="984"/>
      <c r="B875" s="984"/>
      <c r="C875" s="984"/>
      <c r="D875" s="984"/>
      <c r="E875" s="984"/>
      <c r="F875" s="984"/>
      <c r="G875" s="984"/>
      <c r="H875" s="984"/>
      <c r="I875" s="984"/>
      <c r="J875" s="984"/>
      <c r="K875" s="984"/>
      <c r="L875" s="984"/>
      <c r="M875" s="984"/>
      <c r="N875" s="984"/>
      <c r="O875" s="984"/>
      <c r="P875" s="984"/>
      <c r="Q875" s="984"/>
      <c r="R875" s="984"/>
      <c r="S875" s="984"/>
      <c r="T875" s="984"/>
      <c r="U875" s="984"/>
      <c r="V875" s="984"/>
      <c r="W875" s="984"/>
      <c r="X875" s="984"/>
      <c r="Y875" s="984"/>
      <c r="Z875" s="984"/>
    </row>
    <row r="876" spans="1:26" ht="18" customHeight="1" x14ac:dyDescent="0.35">
      <c r="A876" s="984"/>
      <c r="B876" s="984"/>
      <c r="C876" s="984"/>
      <c r="D876" s="984"/>
      <c r="E876" s="984"/>
      <c r="F876" s="984"/>
      <c r="G876" s="984"/>
      <c r="H876" s="984"/>
      <c r="I876" s="984"/>
      <c r="J876" s="984"/>
      <c r="K876" s="984"/>
      <c r="L876" s="984"/>
      <c r="M876" s="984"/>
      <c r="N876" s="984"/>
      <c r="O876" s="984"/>
      <c r="P876" s="984"/>
      <c r="Q876" s="984"/>
      <c r="R876" s="984"/>
      <c r="S876" s="984"/>
      <c r="T876" s="984"/>
      <c r="U876" s="984"/>
      <c r="V876" s="984"/>
      <c r="W876" s="984"/>
      <c r="X876" s="984"/>
      <c r="Y876" s="984"/>
      <c r="Z876" s="984"/>
    </row>
    <row r="877" spans="1:26" ht="18" customHeight="1" x14ac:dyDescent="0.35">
      <c r="A877" s="984"/>
      <c r="B877" s="984"/>
      <c r="C877" s="984"/>
      <c r="D877" s="984"/>
      <c r="E877" s="984"/>
      <c r="F877" s="984"/>
      <c r="G877" s="984"/>
      <c r="H877" s="984"/>
      <c r="I877" s="984"/>
      <c r="J877" s="984"/>
      <c r="K877" s="984"/>
      <c r="L877" s="984"/>
      <c r="M877" s="984"/>
      <c r="N877" s="984"/>
      <c r="O877" s="984"/>
      <c r="P877" s="984"/>
      <c r="Q877" s="984"/>
      <c r="R877" s="984"/>
      <c r="S877" s="984"/>
      <c r="T877" s="984"/>
      <c r="U877" s="984"/>
      <c r="V877" s="984"/>
      <c r="W877" s="984"/>
      <c r="X877" s="984"/>
      <c r="Y877" s="984"/>
      <c r="Z877" s="984"/>
    </row>
    <row r="878" spans="1:26" ht="18" customHeight="1" x14ac:dyDescent="0.35">
      <c r="A878" s="984"/>
      <c r="B878" s="984"/>
      <c r="C878" s="984"/>
      <c r="D878" s="984"/>
      <c r="E878" s="984"/>
      <c r="F878" s="984"/>
      <c r="G878" s="984"/>
      <c r="H878" s="984"/>
      <c r="I878" s="984"/>
      <c r="J878" s="984"/>
      <c r="K878" s="984"/>
      <c r="L878" s="984"/>
      <c r="M878" s="984"/>
      <c r="N878" s="984"/>
      <c r="O878" s="984"/>
      <c r="P878" s="984"/>
      <c r="Q878" s="984"/>
      <c r="R878" s="984"/>
      <c r="S878" s="984"/>
      <c r="T878" s="984"/>
      <c r="U878" s="984"/>
      <c r="V878" s="984"/>
      <c r="W878" s="984"/>
      <c r="X878" s="984"/>
      <c r="Y878" s="984"/>
      <c r="Z878" s="984"/>
    </row>
    <row r="879" spans="1:26" ht="18" customHeight="1" x14ac:dyDescent="0.35">
      <c r="A879" s="984"/>
      <c r="B879" s="984"/>
      <c r="C879" s="984"/>
      <c r="D879" s="984"/>
      <c r="E879" s="984"/>
      <c r="F879" s="984"/>
      <c r="G879" s="984"/>
      <c r="H879" s="984"/>
      <c r="I879" s="984"/>
      <c r="J879" s="984"/>
      <c r="K879" s="984"/>
      <c r="L879" s="984"/>
      <c r="M879" s="984"/>
      <c r="N879" s="984"/>
      <c r="O879" s="984"/>
      <c r="P879" s="984"/>
      <c r="Q879" s="984"/>
      <c r="R879" s="984"/>
      <c r="S879" s="984"/>
      <c r="T879" s="984"/>
      <c r="U879" s="984"/>
      <c r="V879" s="984"/>
      <c r="W879" s="984"/>
      <c r="X879" s="984"/>
      <c r="Y879" s="984"/>
      <c r="Z879" s="984"/>
    </row>
    <row r="880" spans="1:26" ht="18" customHeight="1" x14ac:dyDescent="0.35">
      <c r="A880" s="984"/>
      <c r="B880" s="984"/>
      <c r="C880" s="984"/>
      <c r="D880" s="984"/>
      <c r="E880" s="984"/>
      <c r="F880" s="984"/>
      <c r="G880" s="984"/>
      <c r="H880" s="984"/>
      <c r="I880" s="984"/>
      <c r="J880" s="984"/>
      <c r="K880" s="984"/>
      <c r="L880" s="984"/>
      <c r="M880" s="984"/>
      <c r="N880" s="984"/>
      <c r="O880" s="984"/>
      <c r="P880" s="984"/>
      <c r="Q880" s="984"/>
      <c r="R880" s="984"/>
      <c r="S880" s="984"/>
      <c r="T880" s="984"/>
      <c r="U880" s="984"/>
      <c r="V880" s="984"/>
      <c r="W880" s="984"/>
      <c r="X880" s="984"/>
      <c r="Y880" s="984"/>
      <c r="Z880" s="984"/>
    </row>
    <row r="881" spans="1:26" ht="18" customHeight="1" x14ac:dyDescent="0.35">
      <c r="A881" s="984"/>
      <c r="B881" s="984"/>
      <c r="C881" s="984"/>
      <c r="D881" s="984"/>
      <c r="E881" s="984"/>
      <c r="F881" s="984"/>
      <c r="G881" s="984"/>
      <c r="H881" s="984"/>
      <c r="I881" s="984"/>
      <c r="J881" s="984"/>
      <c r="K881" s="984"/>
      <c r="L881" s="984"/>
      <c r="M881" s="984"/>
      <c r="N881" s="984"/>
      <c r="O881" s="984"/>
      <c r="P881" s="984"/>
      <c r="Q881" s="984"/>
      <c r="R881" s="984"/>
      <c r="S881" s="984"/>
      <c r="T881" s="984"/>
      <c r="U881" s="984"/>
      <c r="V881" s="984"/>
      <c r="W881" s="984"/>
      <c r="X881" s="984"/>
      <c r="Y881" s="984"/>
      <c r="Z881" s="984"/>
    </row>
    <row r="882" spans="1:26" ht="18" customHeight="1" x14ac:dyDescent="0.35">
      <c r="A882" s="984"/>
      <c r="B882" s="984"/>
      <c r="C882" s="984"/>
      <c r="D882" s="984"/>
      <c r="E882" s="984"/>
      <c r="F882" s="984"/>
      <c r="G882" s="984"/>
      <c r="H882" s="984"/>
      <c r="I882" s="984"/>
      <c r="J882" s="984"/>
      <c r="K882" s="984"/>
      <c r="L882" s="984"/>
      <c r="M882" s="984"/>
      <c r="N882" s="984"/>
      <c r="O882" s="984"/>
      <c r="P882" s="984"/>
      <c r="Q882" s="984"/>
      <c r="R882" s="984"/>
      <c r="S882" s="984"/>
      <c r="T882" s="984"/>
      <c r="U882" s="984"/>
      <c r="V882" s="984"/>
      <c r="W882" s="984"/>
      <c r="X882" s="984"/>
      <c r="Y882" s="984"/>
      <c r="Z882" s="984"/>
    </row>
    <row r="883" spans="1:26" ht="18" customHeight="1" x14ac:dyDescent="0.35">
      <c r="A883" s="984"/>
      <c r="B883" s="984"/>
      <c r="C883" s="984"/>
      <c r="D883" s="984"/>
      <c r="E883" s="984"/>
      <c r="F883" s="984"/>
      <c r="G883" s="984"/>
      <c r="H883" s="984"/>
      <c r="I883" s="984"/>
      <c r="J883" s="984"/>
      <c r="K883" s="984"/>
      <c r="L883" s="984"/>
      <c r="M883" s="984"/>
      <c r="N883" s="984"/>
      <c r="O883" s="984"/>
      <c r="P883" s="984"/>
      <c r="Q883" s="984"/>
      <c r="R883" s="984"/>
      <c r="S883" s="984"/>
      <c r="T883" s="984"/>
      <c r="U883" s="984"/>
      <c r="V883" s="984"/>
      <c r="W883" s="984"/>
      <c r="X883" s="984"/>
      <c r="Y883" s="984"/>
      <c r="Z883" s="984"/>
    </row>
    <row r="884" spans="1:26" ht="18" customHeight="1" x14ac:dyDescent="0.35">
      <c r="A884" s="984"/>
      <c r="B884" s="984"/>
      <c r="C884" s="984"/>
      <c r="D884" s="984"/>
      <c r="E884" s="984"/>
      <c r="F884" s="984"/>
      <c r="G884" s="984"/>
      <c r="H884" s="984"/>
      <c r="I884" s="984"/>
      <c r="J884" s="984"/>
      <c r="K884" s="984"/>
      <c r="L884" s="984"/>
      <c r="M884" s="984"/>
      <c r="N884" s="984"/>
      <c r="O884" s="984"/>
      <c r="P884" s="984"/>
      <c r="Q884" s="984"/>
      <c r="R884" s="984"/>
      <c r="S884" s="984"/>
      <c r="T884" s="984"/>
      <c r="U884" s="984"/>
      <c r="V884" s="984"/>
      <c r="W884" s="984"/>
      <c r="X884" s="984"/>
      <c r="Y884" s="984"/>
      <c r="Z884" s="984"/>
    </row>
    <row r="885" spans="1:26" ht="18" customHeight="1" x14ac:dyDescent="0.35">
      <c r="A885" s="984"/>
      <c r="B885" s="984"/>
      <c r="C885" s="984"/>
      <c r="D885" s="984"/>
      <c r="E885" s="984"/>
      <c r="F885" s="984"/>
      <c r="G885" s="984"/>
      <c r="H885" s="984"/>
      <c r="I885" s="984"/>
      <c r="J885" s="984"/>
      <c r="K885" s="984"/>
      <c r="L885" s="984"/>
      <c r="M885" s="984"/>
      <c r="N885" s="984"/>
      <c r="O885" s="984"/>
      <c r="P885" s="984"/>
      <c r="Q885" s="984"/>
      <c r="R885" s="984"/>
      <c r="S885" s="984"/>
      <c r="T885" s="984"/>
      <c r="U885" s="984"/>
      <c r="V885" s="984"/>
      <c r="W885" s="984"/>
      <c r="X885" s="984"/>
      <c r="Y885" s="984"/>
      <c r="Z885" s="984"/>
    </row>
    <row r="886" spans="1:26" ht="18" customHeight="1" x14ac:dyDescent="0.35">
      <c r="A886" s="984"/>
      <c r="B886" s="984"/>
      <c r="C886" s="984"/>
      <c r="D886" s="984"/>
      <c r="E886" s="984"/>
      <c r="F886" s="984"/>
      <c r="G886" s="984"/>
      <c r="H886" s="984"/>
      <c r="I886" s="984"/>
      <c r="J886" s="984"/>
      <c r="K886" s="984"/>
      <c r="L886" s="984"/>
      <c r="M886" s="984"/>
      <c r="N886" s="984"/>
      <c r="O886" s="984"/>
      <c r="P886" s="984"/>
      <c r="Q886" s="984"/>
      <c r="R886" s="984"/>
      <c r="S886" s="984"/>
      <c r="T886" s="984"/>
      <c r="U886" s="984"/>
      <c r="V886" s="984"/>
      <c r="W886" s="984"/>
      <c r="X886" s="984"/>
      <c r="Y886" s="984"/>
      <c r="Z886" s="984"/>
    </row>
    <row r="887" spans="1:26" ht="18" customHeight="1" x14ac:dyDescent="0.35">
      <c r="A887" s="984"/>
      <c r="B887" s="984"/>
      <c r="C887" s="984"/>
      <c r="D887" s="984"/>
      <c r="E887" s="984"/>
      <c r="F887" s="984"/>
      <c r="G887" s="984"/>
      <c r="H887" s="984"/>
      <c r="I887" s="984"/>
      <c r="J887" s="984"/>
      <c r="K887" s="984"/>
      <c r="L887" s="984"/>
      <c r="M887" s="984"/>
      <c r="N887" s="984"/>
      <c r="O887" s="984"/>
      <c r="P887" s="984"/>
      <c r="Q887" s="984"/>
      <c r="R887" s="984"/>
      <c r="S887" s="984"/>
      <c r="T887" s="984"/>
      <c r="U887" s="984"/>
      <c r="V887" s="984"/>
      <c r="W887" s="984"/>
      <c r="X887" s="984"/>
      <c r="Y887" s="984"/>
      <c r="Z887" s="984"/>
    </row>
    <row r="888" spans="1:26" ht="18" customHeight="1" x14ac:dyDescent="0.35">
      <c r="A888" s="984"/>
      <c r="B888" s="984"/>
      <c r="C888" s="984"/>
      <c r="D888" s="984"/>
      <c r="E888" s="984"/>
      <c r="F888" s="984"/>
      <c r="G888" s="984"/>
      <c r="H888" s="984"/>
      <c r="I888" s="984"/>
      <c r="J888" s="984"/>
      <c r="K888" s="984"/>
      <c r="L888" s="984"/>
      <c r="M888" s="984"/>
      <c r="N888" s="984"/>
      <c r="O888" s="984"/>
      <c r="P888" s="984"/>
      <c r="Q888" s="984"/>
      <c r="R888" s="984"/>
      <c r="S888" s="984"/>
      <c r="T888" s="984"/>
      <c r="U888" s="984"/>
      <c r="V888" s="984"/>
      <c r="W888" s="984"/>
      <c r="X888" s="984"/>
      <c r="Y888" s="984"/>
      <c r="Z888" s="984"/>
    </row>
    <row r="889" spans="1:26" ht="18" customHeight="1" x14ac:dyDescent="0.35">
      <c r="A889" s="984"/>
      <c r="B889" s="984"/>
      <c r="C889" s="984"/>
      <c r="D889" s="984"/>
      <c r="E889" s="984"/>
      <c r="F889" s="984"/>
      <c r="G889" s="984"/>
      <c r="H889" s="984"/>
      <c r="I889" s="984"/>
      <c r="J889" s="984"/>
      <c r="K889" s="984"/>
      <c r="L889" s="984"/>
      <c r="M889" s="984"/>
      <c r="N889" s="984"/>
      <c r="O889" s="984"/>
      <c r="P889" s="984"/>
      <c r="Q889" s="984"/>
      <c r="R889" s="984"/>
      <c r="S889" s="984"/>
      <c r="T889" s="984"/>
      <c r="U889" s="984"/>
      <c r="V889" s="984"/>
      <c r="W889" s="984"/>
      <c r="X889" s="984"/>
      <c r="Y889" s="984"/>
      <c r="Z889" s="984"/>
    </row>
    <row r="890" spans="1:26" ht="18" customHeight="1" x14ac:dyDescent="0.35">
      <c r="A890" s="984"/>
      <c r="B890" s="984"/>
      <c r="C890" s="984"/>
      <c r="D890" s="984"/>
      <c r="E890" s="984"/>
      <c r="F890" s="984"/>
      <c r="G890" s="984"/>
      <c r="H890" s="984"/>
      <c r="I890" s="984"/>
      <c r="J890" s="984"/>
      <c r="K890" s="984"/>
      <c r="L890" s="984"/>
      <c r="M890" s="984"/>
      <c r="N890" s="984"/>
      <c r="O890" s="984"/>
      <c r="P890" s="984"/>
      <c r="Q890" s="984"/>
      <c r="R890" s="984"/>
      <c r="S890" s="984"/>
      <c r="T890" s="984"/>
      <c r="U890" s="984"/>
      <c r="V890" s="984"/>
      <c r="W890" s="984"/>
      <c r="X890" s="984"/>
      <c r="Y890" s="984"/>
      <c r="Z890" s="984"/>
    </row>
    <row r="891" spans="1:26" ht="18" customHeight="1" x14ac:dyDescent="0.35">
      <c r="A891" s="984"/>
      <c r="B891" s="984"/>
      <c r="C891" s="984"/>
      <c r="D891" s="984"/>
      <c r="E891" s="984"/>
      <c r="F891" s="984"/>
      <c r="G891" s="984"/>
      <c r="H891" s="984"/>
      <c r="I891" s="984"/>
      <c r="J891" s="984"/>
      <c r="K891" s="984"/>
      <c r="L891" s="984"/>
      <c r="M891" s="984"/>
      <c r="N891" s="984"/>
      <c r="O891" s="984"/>
      <c r="P891" s="984"/>
      <c r="Q891" s="984"/>
      <c r="R891" s="984"/>
      <c r="S891" s="984"/>
      <c r="T891" s="984"/>
      <c r="U891" s="984"/>
      <c r="V891" s="984"/>
      <c r="W891" s="984"/>
      <c r="X891" s="984"/>
      <c r="Y891" s="984"/>
      <c r="Z891" s="984"/>
    </row>
    <row r="892" spans="1:26" ht="18" customHeight="1" x14ac:dyDescent="0.35">
      <c r="A892" s="984"/>
      <c r="B892" s="984"/>
      <c r="C892" s="984"/>
      <c r="D892" s="984"/>
      <c r="E892" s="984"/>
      <c r="F892" s="984"/>
      <c r="G892" s="984"/>
      <c r="H892" s="984"/>
      <c r="I892" s="984"/>
      <c r="J892" s="984"/>
      <c r="K892" s="984"/>
      <c r="L892" s="984"/>
      <c r="M892" s="984"/>
      <c r="N892" s="984"/>
      <c r="O892" s="984"/>
      <c r="P892" s="984"/>
      <c r="Q892" s="984"/>
      <c r="R892" s="984"/>
      <c r="S892" s="984"/>
      <c r="T892" s="984"/>
      <c r="U892" s="984"/>
      <c r="V892" s="984"/>
      <c r="W892" s="984"/>
      <c r="X892" s="984"/>
      <c r="Y892" s="984"/>
      <c r="Z892" s="984"/>
    </row>
    <row r="893" spans="1:26" ht="18" customHeight="1" x14ac:dyDescent="0.35">
      <c r="A893" s="984"/>
      <c r="B893" s="984"/>
      <c r="C893" s="984"/>
      <c r="D893" s="984"/>
      <c r="E893" s="984"/>
      <c r="F893" s="984"/>
      <c r="G893" s="984"/>
      <c r="H893" s="984"/>
      <c r="I893" s="984"/>
      <c r="J893" s="984"/>
      <c r="K893" s="984"/>
      <c r="L893" s="984"/>
      <c r="M893" s="984"/>
      <c r="N893" s="984"/>
      <c r="O893" s="984"/>
      <c r="P893" s="984"/>
      <c r="Q893" s="984"/>
      <c r="R893" s="984"/>
      <c r="S893" s="984"/>
      <c r="T893" s="984"/>
      <c r="U893" s="984"/>
      <c r="V893" s="984"/>
      <c r="W893" s="984"/>
      <c r="X893" s="984"/>
      <c r="Y893" s="984"/>
      <c r="Z893" s="984"/>
    </row>
    <row r="894" spans="1:26" ht="18" customHeight="1" x14ac:dyDescent="0.35">
      <c r="A894" s="984"/>
      <c r="B894" s="984"/>
      <c r="C894" s="984"/>
      <c r="D894" s="984"/>
      <c r="E894" s="984"/>
      <c r="F894" s="984"/>
      <c r="G894" s="984"/>
      <c r="H894" s="984"/>
      <c r="I894" s="984"/>
      <c r="J894" s="984"/>
      <c r="K894" s="984"/>
      <c r="L894" s="984"/>
      <c r="M894" s="984"/>
      <c r="N894" s="984"/>
      <c r="O894" s="984"/>
      <c r="P894" s="984"/>
      <c r="Q894" s="984"/>
      <c r="R894" s="984"/>
      <c r="S894" s="984"/>
      <c r="T894" s="984"/>
      <c r="U894" s="984"/>
      <c r="V894" s="984"/>
      <c r="W894" s="984"/>
      <c r="X894" s="984"/>
      <c r="Y894" s="984"/>
      <c r="Z894" s="984"/>
    </row>
    <row r="895" spans="1:26" ht="18" customHeight="1" x14ac:dyDescent="0.35">
      <c r="A895" s="984"/>
      <c r="B895" s="984"/>
      <c r="C895" s="984"/>
      <c r="D895" s="984"/>
      <c r="E895" s="984"/>
      <c r="F895" s="984"/>
      <c r="G895" s="984"/>
      <c r="H895" s="984"/>
      <c r="I895" s="984"/>
      <c r="J895" s="984"/>
      <c r="K895" s="984"/>
      <c r="L895" s="984"/>
      <c r="M895" s="984"/>
      <c r="N895" s="984"/>
      <c r="O895" s="984"/>
      <c r="P895" s="984"/>
      <c r="Q895" s="984"/>
      <c r="R895" s="984"/>
      <c r="S895" s="984"/>
      <c r="T895" s="984"/>
      <c r="U895" s="984"/>
      <c r="V895" s="984"/>
      <c r="W895" s="984"/>
      <c r="X895" s="984"/>
      <c r="Y895" s="984"/>
      <c r="Z895" s="984"/>
    </row>
    <row r="896" spans="1:26" ht="18" customHeight="1" x14ac:dyDescent="0.35">
      <c r="A896" s="984"/>
      <c r="B896" s="984"/>
      <c r="C896" s="984"/>
      <c r="D896" s="984"/>
      <c r="E896" s="984"/>
      <c r="F896" s="984"/>
      <c r="G896" s="984"/>
      <c r="H896" s="984"/>
      <c r="I896" s="984"/>
      <c r="J896" s="984"/>
      <c r="K896" s="984"/>
      <c r="L896" s="984"/>
      <c r="M896" s="984"/>
      <c r="N896" s="984"/>
      <c r="O896" s="984"/>
      <c r="P896" s="984"/>
      <c r="Q896" s="984"/>
      <c r="R896" s="984"/>
      <c r="S896" s="984"/>
      <c r="T896" s="984"/>
      <c r="U896" s="984"/>
      <c r="V896" s="984"/>
      <c r="W896" s="984"/>
      <c r="X896" s="984"/>
      <c r="Y896" s="984"/>
      <c r="Z896" s="984"/>
    </row>
    <row r="897" spans="1:26" ht="18" customHeight="1" x14ac:dyDescent="0.35">
      <c r="A897" s="984"/>
      <c r="B897" s="984"/>
      <c r="C897" s="984"/>
      <c r="D897" s="984"/>
      <c r="E897" s="984"/>
      <c r="F897" s="984"/>
      <c r="G897" s="984"/>
      <c r="H897" s="984"/>
      <c r="I897" s="984"/>
      <c r="J897" s="984"/>
      <c r="K897" s="984"/>
      <c r="L897" s="984"/>
      <c r="M897" s="984"/>
      <c r="N897" s="984"/>
      <c r="O897" s="984"/>
      <c r="P897" s="984"/>
      <c r="Q897" s="984"/>
      <c r="R897" s="984"/>
      <c r="S897" s="984"/>
      <c r="T897" s="984"/>
      <c r="U897" s="984"/>
      <c r="V897" s="984"/>
      <c r="W897" s="984"/>
      <c r="X897" s="984"/>
      <c r="Y897" s="984"/>
      <c r="Z897" s="984"/>
    </row>
    <row r="898" spans="1:26" ht="18" customHeight="1" x14ac:dyDescent="0.35">
      <c r="A898" s="984"/>
      <c r="B898" s="984"/>
      <c r="C898" s="984"/>
      <c r="D898" s="984"/>
      <c r="E898" s="984"/>
      <c r="F898" s="984"/>
      <c r="G898" s="984"/>
      <c r="H898" s="984"/>
      <c r="I898" s="984"/>
      <c r="J898" s="984"/>
      <c r="K898" s="984"/>
      <c r="L898" s="984"/>
      <c r="M898" s="984"/>
      <c r="N898" s="984"/>
      <c r="O898" s="984"/>
      <c r="P898" s="984"/>
      <c r="Q898" s="984"/>
      <c r="R898" s="984"/>
      <c r="S898" s="984"/>
      <c r="T898" s="984"/>
      <c r="U898" s="984"/>
      <c r="V898" s="984"/>
      <c r="W898" s="984"/>
      <c r="X898" s="984"/>
      <c r="Y898" s="984"/>
      <c r="Z898" s="984"/>
    </row>
    <row r="899" spans="1:26" ht="18" customHeight="1" x14ac:dyDescent="0.35">
      <c r="A899" s="984"/>
      <c r="B899" s="984"/>
      <c r="C899" s="984"/>
      <c r="D899" s="984"/>
      <c r="E899" s="984"/>
      <c r="F899" s="984"/>
      <c r="G899" s="984"/>
      <c r="H899" s="984"/>
      <c r="I899" s="984"/>
      <c r="J899" s="984"/>
      <c r="K899" s="984"/>
      <c r="L899" s="984"/>
      <c r="M899" s="984"/>
      <c r="N899" s="984"/>
      <c r="O899" s="984"/>
      <c r="P899" s="984"/>
      <c r="Q899" s="984"/>
      <c r="R899" s="984"/>
      <c r="S899" s="984"/>
      <c r="T899" s="984"/>
      <c r="U899" s="984"/>
      <c r="V899" s="984"/>
      <c r="W899" s="984"/>
      <c r="X899" s="984"/>
      <c r="Y899" s="984"/>
      <c r="Z899" s="984"/>
    </row>
    <row r="900" spans="1:26" ht="18" customHeight="1" x14ac:dyDescent="0.35">
      <c r="A900" s="984"/>
      <c r="B900" s="984"/>
      <c r="C900" s="984"/>
      <c r="D900" s="984"/>
      <c r="E900" s="984"/>
      <c r="F900" s="984"/>
      <c r="G900" s="984"/>
      <c r="H900" s="984"/>
      <c r="I900" s="984"/>
      <c r="J900" s="984"/>
      <c r="K900" s="984"/>
      <c r="L900" s="984"/>
      <c r="M900" s="984"/>
      <c r="N900" s="984"/>
      <c r="O900" s="984"/>
      <c r="P900" s="984"/>
      <c r="Q900" s="984"/>
      <c r="R900" s="984"/>
      <c r="S900" s="984"/>
      <c r="T900" s="984"/>
      <c r="U900" s="984"/>
      <c r="V900" s="984"/>
      <c r="W900" s="984"/>
      <c r="X900" s="984"/>
      <c r="Y900" s="984"/>
      <c r="Z900" s="984"/>
    </row>
    <row r="901" spans="1:26" ht="18" customHeight="1" x14ac:dyDescent="0.35">
      <c r="A901" s="984"/>
      <c r="B901" s="984"/>
      <c r="C901" s="984"/>
      <c r="D901" s="984"/>
      <c r="E901" s="984"/>
      <c r="F901" s="984"/>
      <c r="G901" s="984"/>
      <c r="H901" s="984"/>
      <c r="I901" s="984"/>
      <c r="J901" s="984"/>
      <c r="K901" s="984"/>
      <c r="L901" s="984"/>
      <c r="M901" s="984"/>
      <c r="N901" s="984"/>
      <c r="O901" s="984"/>
      <c r="P901" s="984"/>
      <c r="Q901" s="984"/>
      <c r="R901" s="984"/>
      <c r="S901" s="984"/>
      <c r="T901" s="984"/>
      <c r="U901" s="984"/>
      <c r="V901" s="984"/>
      <c r="W901" s="984"/>
      <c r="X901" s="984"/>
      <c r="Y901" s="984"/>
      <c r="Z901" s="984"/>
    </row>
    <row r="902" spans="1:26" ht="18" customHeight="1" x14ac:dyDescent="0.35">
      <c r="A902" s="984"/>
      <c r="B902" s="984"/>
      <c r="C902" s="984"/>
      <c r="D902" s="984"/>
      <c r="E902" s="984"/>
      <c r="F902" s="984"/>
      <c r="G902" s="984"/>
      <c r="H902" s="984"/>
      <c r="I902" s="984"/>
      <c r="J902" s="984"/>
      <c r="K902" s="984"/>
      <c r="L902" s="984"/>
      <c r="M902" s="984"/>
      <c r="N902" s="984"/>
      <c r="O902" s="984"/>
      <c r="P902" s="984"/>
      <c r="Q902" s="984"/>
      <c r="R902" s="984"/>
      <c r="S902" s="984"/>
      <c r="T902" s="984"/>
      <c r="U902" s="984"/>
      <c r="V902" s="984"/>
      <c r="W902" s="984"/>
      <c r="X902" s="984"/>
      <c r="Y902" s="984"/>
      <c r="Z902" s="984"/>
    </row>
    <row r="903" spans="1:26" ht="18" customHeight="1" x14ac:dyDescent="0.35">
      <c r="A903" s="984"/>
      <c r="B903" s="984"/>
      <c r="C903" s="984"/>
      <c r="D903" s="984"/>
      <c r="E903" s="984"/>
      <c r="F903" s="984"/>
      <c r="G903" s="984"/>
      <c r="H903" s="984"/>
      <c r="I903" s="984"/>
      <c r="J903" s="984"/>
      <c r="K903" s="984"/>
      <c r="L903" s="984"/>
      <c r="M903" s="984"/>
      <c r="N903" s="984"/>
      <c r="O903" s="984"/>
      <c r="P903" s="984"/>
      <c r="Q903" s="984"/>
      <c r="R903" s="984"/>
      <c r="S903" s="984"/>
      <c r="T903" s="984"/>
      <c r="U903" s="984"/>
      <c r="V903" s="984"/>
      <c r="W903" s="984"/>
      <c r="X903" s="984"/>
      <c r="Y903" s="984"/>
      <c r="Z903" s="984"/>
    </row>
    <row r="904" spans="1:26" ht="18" customHeight="1" x14ac:dyDescent="0.35">
      <c r="A904" s="984"/>
      <c r="B904" s="984"/>
      <c r="C904" s="984"/>
      <c r="D904" s="984"/>
      <c r="E904" s="984"/>
      <c r="F904" s="984"/>
      <c r="G904" s="984"/>
      <c r="H904" s="984"/>
      <c r="I904" s="984"/>
      <c r="J904" s="984"/>
      <c r="K904" s="984"/>
      <c r="L904" s="984"/>
      <c r="M904" s="984"/>
      <c r="N904" s="984"/>
      <c r="O904" s="984"/>
      <c r="P904" s="984"/>
      <c r="Q904" s="984"/>
      <c r="R904" s="984"/>
      <c r="S904" s="984"/>
      <c r="T904" s="984"/>
      <c r="U904" s="984"/>
      <c r="V904" s="984"/>
      <c r="W904" s="984"/>
      <c r="X904" s="984"/>
      <c r="Y904" s="984"/>
      <c r="Z904" s="984"/>
    </row>
    <row r="905" spans="1:26" ht="18" customHeight="1" x14ac:dyDescent="0.35">
      <c r="A905" s="984"/>
      <c r="B905" s="984"/>
      <c r="C905" s="984"/>
      <c r="D905" s="984"/>
      <c r="E905" s="984"/>
      <c r="F905" s="984"/>
      <c r="G905" s="984"/>
      <c r="H905" s="984"/>
      <c r="I905" s="984"/>
      <c r="J905" s="984"/>
      <c r="K905" s="984"/>
      <c r="L905" s="984"/>
      <c r="M905" s="984"/>
      <c r="N905" s="984"/>
      <c r="O905" s="984"/>
      <c r="P905" s="984"/>
      <c r="Q905" s="984"/>
      <c r="R905" s="984"/>
      <c r="S905" s="984"/>
      <c r="T905" s="984"/>
      <c r="U905" s="984"/>
      <c r="V905" s="984"/>
      <c r="W905" s="984"/>
      <c r="X905" s="984"/>
      <c r="Y905" s="984"/>
      <c r="Z905" s="984"/>
    </row>
    <row r="906" spans="1:26" ht="18" customHeight="1" x14ac:dyDescent="0.35">
      <c r="A906" s="984"/>
      <c r="B906" s="984"/>
      <c r="C906" s="984"/>
      <c r="D906" s="984"/>
      <c r="E906" s="984"/>
      <c r="F906" s="984"/>
      <c r="G906" s="984"/>
      <c r="H906" s="984"/>
      <c r="I906" s="984"/>
      <c r="J906" s="984"/>
      <c r="K906" s="984"/>
      <c r="L906" s="984"/>
      <c r="M906" s="984"/>
      <c r="N906" s="984"/>
      <c r="O906" s="984"/>
      <c r="P906" s="984"/>
      <c r="Q906" s="984"/>
      <c r="R906" s="984"/>
      <c r="S906" s="984"/>
      <c r="T906" s="984"/>
      <c r="U906" s="984"/>
      <c r="V906" s="984"/>
      <c r="W906" s="984"/>
      <c r="X906" s="984"/>
      <c r="Y906" s="984"/>
      <c r="Z906" s="984"/>
    </row>
    <row r="907" spans="1:26" ht="18" customHeight="1" x14ac:dyDescent="0.35">
      <c r="A907" s="984"/>
      <c r="B907" s="984"/>
      <c r="C907" s="984"/>
      <c r="D907" s="984"/>
      <c r="E907" s="984"/>
      <c r="F907" s="984"/>
      <c r="G907" s="984"/>
      <c r="H907" s="984"/>
      <c r="I907" s="984"/>
      <c r="J907" s="984"/>
      <c r="K907" s="984"/>
      <c r="L907" s="984"/>
      <c r="M907" s="984"/>
      <c r="N907" s="984"/>
      <c r="O907" s="984"/>
      <c r="P907" s="984"/>
      <c r="Q907" s="984"/>
      <c r="R907" s="984"/>
      <c r="S907" s="984"/>
      <c r="T907" s="984"/>
      <c r="U907" s="984"/>
      <c r="V907" s="984"/>
      <c r="W907" s="984"/>
      <c r="X907" s="984"/>
      <c r="Y907" s="984"/>
      <c r="Z907" s="984"/>
    </row>
    <row r="908" spans="1:26" ht="18" customHeight="1" x14ac:dyDescent="0.35">
      <c r="A908" s="984"/>
      <c r="B908" s="984"/>
      <c r="C908" s="984"/>
      <c r="D908" s="984"/>
      <c r="E908" s="984"/>
      <c r="F908" s="984"/>
      <c r="G908" s="984"/>
      <c r="H908" s="984"/>
      <c r="I908" s="984"/>
      <c r="J908" s="984"/>
      <c r="K908" s="984"/>
      <c r="L908" s="984"/>
      <c r="M908" s="984"/>
      <c r="N908" s="984"/>
      <c r="O908" s="984"/>
      <c r="P908" s="984"/>
      <c r="Q908" s="984"/>
      <c r="R908" s="984"/>
      <c r="S908" s="984"/>
      <c r="T908" s="984"/>
      <c r="U908" s="984"/>
      <c r="V908" s="984"/>
      <c r="W908" s="984"/>
      <c r="X908" s="984"/>
      <c r="Y908" s="984"/>
      <c r="Z908" s="984"/>
    </row>
    <row r="909" spans="1:26" ht="18" customHeight="1" x14ac:dyDescent="0.35">
      <c r="A909" s="984"/>
      <c r="B909" s="984"/>
      <c r="C909" s="984"/>
      <c r="D909" s="984"/>
      <c r="E909" s="984"/>
      <c r="F909" s="984"/>
      <c r="G909" s="984"/>
      <c r="H909" s="984"/>
      <c r="I909" s="984"/>
      <c r="J909" s="984"/>
      <c r="K909" s="984"/>
      <c r="L909" s="984"/>
      <c r="M909" s="984"/>
      <c r="N909" s="984"/>
      <c r="O909" s="984"/>
      <c r="P909" s="984"/>
      <c r="Q909" s="984"/>
      <c r="R909" s="984"/>
      <c r="S909" s="984"/>
      <c r="T909" s="984"/>
      <c r="U909" s="984"/>
      <c r="V909" s="984"/>
      <c r="W909" s="984"/>
      <c r="X909" s="984"/>
      <c r="Y909" s="984"/>
      <c r="Z909" s="984"/>
    </row>
    <row r="910" spans="1:26" ht="18" customHeight="1" x14ac:dyDescent="0.35">
      <c r="A910" s="984"/>
      <c r="B910" s="984"/>
      <c r="C910" s="984"/>
      <c r="D910" s="984"/>
      <c r="E910" s="984"/>
      <c r="F910" s="984"/>
      <c r="G910" s="984"/>
      <c r="H910" s="984"/>
      <c r="I910" s="984"/>
      <c r="J910" s="984"/>
      <c r="K910" s="984"/>
      <c r="L910" s="984"/>
      <c r="M910" s="984"/>
      <c r="N910" s="984"/>
      <c r="O910" s="984"/>
      <c r="P910" s="984"/>
      <c r="Q910" s="984"/>
      <c r="R910" s="984"/>
      <c r="S910" s="984"/>
      <c r="T910" s="984"/>
      <c r="U910" s="984"/>
      <c r="V910" s="984"/>
      <c r="W910" s="984"/>
      <c r="X910" s="984"/>
      <c r="Y910" s="984"/>
      <c r="Z910" s="984"/>
    </row>
    <row r="911" spans="1:26" ht="18" customHeight="1" x14ac:dyDescent="0.35">
      <c r="A911" s="984"/>
      <c r="B911" s="984"/>
      <c r="C911" s="984"/>
      <c r="D911" s="984"/>
      <c r="E911" s="984"/>
      <c r="F911" s="984"/>
      <c r="G911" s="984"/>
      <c r="H911" s="984"/>
      <c r="I911" s="984"/>
      <c r="J911" s="984"/>
      <c r="K911" s="984"/>
      <c r="L911" s="984"/>
      <c r="M911" s="984"/>
      <c r="N911" s="984"/>
      <c r="O911" s="984"/>
      <c r="P911" s="984"/>
      <c r="Q911" s="984"/>
      <c r="R911" s="984"/>
      <c r="S911" s="984"/>
      <c r="T911" s="984"/>
      <c r="U911" s="984"/>
      <c r="V911" s="984"/>
      <c r="W911" s="984"/>
      <c r="X911" s="984"/>
      <c r="Y911" s="984"/>
      <c r="Z911" s="984"/>
    </row>
    <row r="912" spans="1:26" ht="18" customHeight="1" x14ac:dyDescent="0.35">
      <c r="A912" s="984"/>
      <c r="B912" s="984"/>
      <c r="C912" s="984"/>
      <c r="D912" s="984"/>
      <c r="E912" s="984"/>
      <c r="F912" s="984"/>
      <c r="G912" s="984"/>
      <c r="H912" s="984"/>
      <c r="I912" s="984"/>
      <c r="J912" s="984"/>
      <c r="K912" s="984"/>
      <c r="L912" s="984"/>
      <c r="M912" s="984"/>
      <c r="N912" s="984"/>
      <c r="O912" s="984"/>
      <c r="P912" s="984"/>
      <c r="Q912" s="984"/>
      <c r="R912" s="984"/>
      <c r="S912" s="984"/>
      <c r="T912" s="984"/>
      <c r="U912" s="984"/>
      <c r="V912" s="984"/>
      <c r="W912" s="984"/>
      <c r="X912" s="984"/>
      <c r="Y912" s="984"/>
      <c r="Z912" s="984"/>
    </row>
    <row r="913" spans="1:26" ht="18" customHeight="1" x14ac:dyDescent="0.35">
      <c r="A913" s="984"/>
      <c r="B913" s="984"/>
      <c r="C913" s="984"/>
      <c r="D913" s="984"/>
      <c r="E913" s="984"/>
      <c r="F913" s="984"/>
      <c r="G913" s="984"/>
      <c r="H913" s="984"/>
      <c r="I913" s="984"/>
      <c r="J913" s="984"/>
      <c r="K913" s="984"/>
      <c r="L913" s="984"/>
      <c r="M913" s="984"/>
      <c r="N913" s="984"/>
      <c r="O913" s="984"/>
      <c r="P913" s="984"/>
      <c r="Q913" s="984"/>
      <c r="R913" s="984"/>
      <c r="S913" s="984"/>
      <c r="T913" s="984"/>
      <c r="U913" s="984"/>
      <c r="V913" s="984"/>
      <c r="W913" s="984"/>
      <c r="X913" s="984"/>
      <c r="Y913" s="984"/>
      <c r="Z913" s="984"/>
    </row>
    <row r="914" spans="1:26" ht="18" customHeight="1" x14ac:dyDescent="0.35">
      <c r="A914" s="984"/>
      <c r="B914" s="984"/>
      <c r="C914" s="984"/>
      <c r="D914" s="984"/>
      <c r="E914" s="984"/>
      <c r="F914" s="984"/>
      <c r="G914" s="984"/>
      <c r="H914" s="984"/>
      <c r="I914" s="984"/>
      <c r="J914" s="984"/>
      <c r="K914" s="984"/>
      <c r="L914" s="984"/>
      <c r="M914" s="984"/>
      <c r="N914" s="984"/>
      <c r="O914" s="984"/>
      <c r="P914" s="984"/>
      <c r="Q914" s="984"/>
      <c r="R914" s="984"/>
      <c r="S914" s="984"/>
      <c r="T914" s="984"/>
      <c r="U914" s="984"/>
      <c r="V914" s="984"/>
      <c r="W914" s="984"/>
      <c r="X914" s="984"/>
      <c r="Y914" s="984"/>
      <c r="Z914" s="984"/>
    </row>
    <row r="915" spans="1:26" ht="18" customHeight="1" x14ac:dyDescent="0.35">
      <c r="A915" s="984"/>
      <c r="B915" s="984"/>
      <c r="C915" s="984"/>
      <c r="D915" s="984"/>
      <c r="E915" s="984"/>
      <c r="F915" s="984"/>
      <c r="G915" s="984"/>
      <c r="H915" s="984"/>
      <c r="I915" s="984"/>
      <c r="J915" s="984"/>
      <c r="K915" s="984"/>
      <c r="L915" s="984"/>
      <c r="M915" s="984"/>
      <c r="N915" s="984"/>
      <c r="O915" s="984"/>
      <c r="P915" s="984"/>
      <c r="Q915" s="984"/>
      <c r="R915" s="984"/>
      <c r="S915" s="984"/>
      <c r="T915" s="984"/>
      <c r="U915" s="984"/>
      <c r="V915" s="984"/>
      <c r="W915" s="984"/>
      <c r="X915" s="984"/>
      <c r="Y915" s="984"/>
      <c r="Z915" s="984"/>
    </row>
    <row r="916" spans="1:26" ht="18" customHeight="1" x14ac:dyDescent="0.35">
      <c r="A916" s="984"/>
      <c r="B916" s="984"/>
      <c r="C916" s="984"/>
      <c r="D916" s="984"/>
      <c r="E916" s="984"/>
      <c r="F916" s="984"/>
      <c r="G916" s="984"/>
      <c r="H916" s="984"/>
      <c r="I916" s="984"/>
      <c r="J916" s="984"/>
      <c r="K916" s="984"/>
      <c r="L916" s="984"/>
      <c r="M916" s="984"/>
      <c r="N916" s="984"/>
      <c r="O916" s="984"/>
      <c r="P916" s="984"/>
      <c r="Q916" s="984"/>
      <c r="R916" s="984"/>
      <c r="S916" s="984"/>
      <c r="T916" s="984"/>
      <c r="U916" s="984"/>
      <c r="V916" s="984"/>
      <c r="W916" s="984"/>
      <c r="X916" s="984"/>
      <c r="Y916" s="984"/>
      <c r="Z916" s="984"/>
    </row>
    <row r="917" spans="1:26" ht="18" customHeight="1" x14ac:dyDescent="0.35">
      <c r="A917" s="984"/>
      <c r="B917" s="984"/>
      <c r="C917" s="984"/>
      <c r="D917" s="984"/>
      <c r="E917" s="984"/>
      <c r="F917" s="984"/>
      <c r="G917" s="984"/>
      <c r="H917" s="984"/>
      <c r="I917" s="984"/>
      <c r="J917" s="984"/>
      <c r="K917" s="984"/>
      <c r="L917" s="984"/>
      <c r="M917" s="984"/>
      <c r="N917" s="984"/>
      <c r="O917" s="984"/>
      <c r="P917" s="984"/>
      <c r="Q917" s="984"/>
      <c r="R917" s="984"/>
      <c r="S917" s="984"/>
      <c r="T917" s="984"/>
      <c r="U917" s="984"/>
      <c r="V917" s="984"/>
      <c r="W917" s="984"/>
      <c r="X917" s="984"/>
      <c r="Y917" s="984"/>
      <c r="Z917" s="984"/>
    </row>
    <row r="918" spans="1:26" ht="18" customHeight="1" x14ac:dyDescent="0.35">
      <c r="A918" s="984"/>
      <c r="B918" s="984"/>
      <c r="C918" s="984"/>
      <c r="D918" s="984"/>
      <c r="E918" s="984"/>
      <c r="F918" s="984"/>
      <c r="G918" s="984"/>
      <c r="H918" s="984"/>
      <c r="I918" s="984"/>
      <c r="J918" s="984"/>
      <c r="K918" s="984"/>
      <c r="L918" s="984"/>
      <c r="M918" s="984"/>
      <c r="N918" s="984"/>
      <c r="O918" s="984"/>
      <c r="P918" s="984"/>
      <c r="Q918" s="984"/>
      <c r="R918" s="984"/>
      <c r="S918" s="984"/>
      <c r="T918" s="984"/>
      <c r="U918" s="984"/>
      <c r="V918" s="984"/>
      <c r="W918" s="984"/>
      <c r="X918" s="984"/>
      <c r="Y918" s="984"/>
      <c r="Z918" s="984"/>
    </row>
    <row r="919" spans="1:26" ht="18" customHeight="1" x14ac:dyDescent="0.35">
      <c r="A919" s="984"/>
      <c r="B919" s="984"/>
      <c r="C919" s="984"/>
      <c r="D919" s="984"/>
      <c r="E919" s="984"/>
      <c r="F919" s="984"/>
      <c r="G919" s="984"/>
      <c r="H919" s="984"/>
      <c r="I919" s="984"/>
      <c r="J919" s="984"/>
      <c r="K919" s="984"/>
      <c r="L919" s="984"/>
      <c r="M919" s="984"/>
      <c r="N919" s="984"/>
      <c r="O919" s="984"/>
      <c r="P919" s="984"/>
      <c r="Q919" s="984"/>
      <c r="R919" s="984"/>
      <c r="S919" s="984"/>
      <c r="T919" s="984"/>
      <c r="U919" s="984"/>
      <c r="V919" s="984"/>
      <c r="W919" s="984"/>
      <c r="X919" s="984"/>
      <c r="Y919" s="984"/>
      <c r="Z919" s="984"/>
    </row>
    <row r="920" spans="1:26" ht="18" customHeight="1" x14ac:dyDescent="0.35">
      <c r="A920" s="984"/>
      <c r="B920" s="984"/>
      <c r="C920" s="984"/>
      <c r="D920" s="984"/>
      <c r="E920" s="984"/>
      <c r="F920" s="984"/>
      <c r="G920" s="984"/>
      <c r="H920" s="984"/>
      <c r="I920" s="984"/>
      <c r="J920" s="984"/>
      <c r="K920" s="984"/>
      <c r="L920" s="984"/>
      <c r="M920" s="984"/>
      <c r="N920" s="984"/>
      <c r="O920" s="984"/>
      <c r="P920" s="984"/>
      <c r="Q920" s="984"/>
      <c r="R920" s="984"/>
      <c r="S920" s="984"/>
      <c r="T920" s="984"/>
      <c r="U920" s="984"/>
      <c r="V920" s="984"/>
      <c r="W920" s="984"/>
      <c r="X920" s="984"/>
      <c r="Y920" s="984"/>
      <c r="Z920" s="984"/>
    </row>
    <row r="921" spans="1:26" ht="18" customHeight="1" x14ac:dyDescent="0.35">
      <c r="A921" s="984"/>
      <c r="B921" s="984"/>
      <c r="C921" s="984"/>
      <c r="D921" s="984"/>
      <c r="E921" s="984"/>
      <c r="F921" s="984"/>
      <c r="G921" s="984"/>
      <c r="H921" s="984"/>
      <c r="I921" s="984"/>
      <c r="J921" s="984"/>
      <c r="K921" s="984"/>
      <c r="L921" s="984"/>
      <c r="M921" s="984"/>
      <c r="N921" s="984"/>
      <c r="O921" s="984"/>
      <c r="P921" s="984"/>
      <c r="Q921" s="984"/>
      <c r="R921" s="984"/>
      <c r="S921" s="984"/>
      <c r="T921" s="984"/>
      <c r="U921" s="984"/>
      <c r="V921" s="984"/>
      <c r="W921" s="984"/>
      <c r="X921" s="984"/>
      <c r="Y921" s="984"/>
      <c r="Z921" s="984"/>
    </row>
    <row r="922" spans="1:26" ht="18" customHeight="1" x14ac:dyDescent="0.35">
      <c r="A922" s="984"/>
      <c r="B922" s="984"/>
      <c r="C922" s="984"/>
      <c r="D922" s="984"/>
      <c r="E922" s="984"/>
      <c r="F922" s="984"/>
      <c r="G922" s="984"/>
      <c r="H922" s="984"/>
      <c r="I922" s="984"/>
      <c r="J922" s="984"/>
      <c r="K922" s="984"/>
      <c r="L922" s="984"/>
      <c r="M922" s="984"/>
      <c r="N922" s="984"/>
      <c r="O922" s="984"/>
      <c r="P922" s="984"/>
      <c r="Q922" s="984"/>
      <c r="R922" s="984"/>
      <c r="S922" s="984"/>
      <c r="T922" s="984"/>
      <c r="U922" s="984"/>
      <c r="V922" s="984"/>
      <c r="W922" s="984"/>
      <c r="X922" s="984"/>
      <c r="Y922" s="984"/>
      <c r="Z922" s="984"/>
    </row>
    <row r="923" spans="1:26" ht="18" customHeight="1" x14ac:dyDescent="0.35">
      <c r="A923" s="984"/>
      <c r="B923" s="984"/>
      <c r="C923" s="984"/>
      <c r="D923" s="984"/>
      <c r="E923" s="984"/>
      <c r="F923" s="984"/>
      <c r="G923" s="984"/>
      <c r="H923" s="984"/>
      <c r="I923" s="984"/>
      <c r="J923" s="984"/>
      <c r="K923" s="984"/>
      <c r="L923" s="984"/>
      <c r="M923" s="984"/>
      <c r="N923" s="984"/>
      <c r="O923" s="984"/>
      <c r="P923" s="984"/>
      <c r="Q923" s="984"/>
      <c r="R923" s="984"/>
      <c r="S923" s="984"/>
      <c r="T923" s="984"/>
      <c r="U923" s="984"/>
      <c r="V923" s="984"/>
      <c r="W923" s="984"/>
      <c r="X923" s="984"/>
      <c r="Y923" s="984"/>
      <c r="Z923" s="984"/>
    </row>
    <row r="924" spans="1:26" ht="18" customHeight="1" x14ac:dyDescent="0.35">
      <c r="A924" s="984"/>
      <c r="B924" s="984"/>
      <c r="C924" s="984"/>
      <c r="D924" s="984"/>
      <c r="E924" s="984"/>
      <c r="F924" s="984"/>
      <c r="G924" s="984"/>
      <c r="H924" s="984"/>
      <c r="I924" s="984"/>
      <c r="J924" s="984"/>
      <c r="K924" s="984"/>
      <c r="L924" s="984"/>
      <c r="M924" s="984"/>
      <c r="N924" s="984"/>
      <c r="O924" s="984"/>
      <c r="P924" s="984"/>
      <c r="Q924" s="984"/>
      <c r="R924" s="984"/>
      <c r="S924" s="984"/>
      <c r="T924" s="984"/>
      <c r="U924" s="984"/>
      <c r="V924" s="984"/>
      <c r="W924" s="984"/>
      <c r="X924" s="984"/>
      <c r="Y924" s="984"/>
      <c r="Z924" s="984"/>
    </row>
    <row r="925" spans="1:26" ht="18" customHeight="1" x14ac:dyDescent="0.35">
      <c r="A925" s="984"/>
      <c r="B925" s="984"/>
      <c r="C925" s="984"/>
      <c r="D925" s="984"/>
      <c r="E925" s="984"/>
      <c r="F925" s="984"/>
      <c r="G925" s="984"/>
      <c r="H925" s="984"/>
      <c r="I925" s="984"/>
      <c r="J925" s="984"/>
      <c r="K925" s="984"/>
      <c r="L925" s="984"/>
      <c r="M925" s="984"/>
      <c r="N925" s="984"/>
      <c r="O925" s="984"/>
      <c r="P925" s="984"/>
      <c r="Q925" s="984"/>
      <c r="R925" s="984"/>
      <c r="S925" s="984"/>
      <c r="T925" s="984"/>
      <c r="U925" s="984"/>
      <c r="V925" s="984"/>
      <c r="W925" s="984"/>
      <c r="X925" s="984"/>
      <c r="Y925" s="984"/>
      <c r="Z925" s="984"/>
    </row>
    <row r="926" spans="1:26" ht="18" customHeight="1" x14ac:dyDescent="0.35">
      <c r="A926" s="984"/>
      <c r="B926" s="984"/>
      <c r="C926" s="984"/>
      <c r="D926" s="984"/>
      <c r="E926" s="984"/>
      <c r="F926" s="984"/>
      <c r="G926" s="984"/>
      <c r="H926" s="984"/>
      <c r="I926" s="984"/>
      <c r="J926" s="984"/>
      <c r="K926" s="984"/>
      <c r="L926" s="984"/>
      <c r="M926" s="984"/>
      <c r="N926" s="984"/>
      <c r="O926" s="984"/>
      <c r="P926" s="984"/>
      <c r="Q926" s="984"/>
      <c r="R926" s="984"/>
      <c r="S926" s="984"/>
      <c r="T926" s="984"/>
      <c r="U926" s="984"/>
      <c r="V926" s="984"/>
      <c r="W926" s="984"/>
      <c r="X926" s="984"/>
      <c r="Y926" s="984"/>
      <c r="Z926" s="984"/>
    </row>
    <row r="927" spans="1:26" ht="18" customHeight="1" x14ac:dyDescent="0.35">
      <c r="A927" s="984"/>
      <c r="B927" s="984"/>
      <c r="C927" s="984"/>
      <c r="D927" s="984"/>
      <c r="E927" s="984"/>
      <c r="F927" s="984"/>
      <c r="G927" s="984"/>
      <c r="H927" s="984"/>
      <c r="I927" s="984"/>
      <c r="J927" s="984"/>
      <c r="K927" s="984"/>
      <c r="L927" s="984"/>
      <c r="M927" s="984"/>
      <c r="N927" s="984"/>
      <c r="O927" s="984"/>
      <c r="P927" s="984"/>
      <c r="Q927" s="984"/>
      <c r="R927" s="984"/>
      <c r="S927" s="984"/>
      <c r="T927" s="984"/>
      <c r="U927" s="984"/>
      <c r="V927" s="984"/>
      <c r="W927" s="984"/>
      <c r="X927" s="984"/>
      <c r="Y927" s="984"/>
      <c r="Z927" s="984"/>
    </row>
    <row r="928" spans="1:26" ht="18" customHeight="1" x14ac:dyDescent="0.35">
      <c r="A928" s="984"/>
      <c r="B928" s="984"/>
      <c r="C928" s="984"/>
      <c r="D928" s="984"/>
      <c r="E928" s="984"/>
      <c r="F928" s="984"/>
      <c r="G928" s="984"/>
      <c r="H928" s="984"/>
      <c r="I928" s="984"/>
      <c r="J928" s="984"/>
      <c r="K928" s="984"/>
      <c r="L928" s="984"/>
      <c r="M928" s="984"/>
      <c r="N928" s="984"/>
      <c r="O928" s="984"/>
      <c r="P928" s="984"/>
      <c r="Q928" s="984"/>
      <c r="R928" s="984"/>
      <c r="S928" s="984"/>
      <c r="T928" s="984"/>
      <c r="U928" s="984"/>
      <c r="V928" s="984"/>
      <c r="W928" s="984"/>
      <c r="X928" s="984"/>
      <c r="Y928" s="984"/>
      <c r="Z928" s="984"/>
    </row>
    <row r="929" spans="1:26" ht="18" customHeight="1" x14ac:dyDescent="0.35">
      <c r="A929" s="984"/>
      <c r="B929" s="984"/>
      <c r="C929" s="984"/>
      <c r="D929" s="984"/>
      <c r="E929" s="984"/>
      <c r="F929" s="984"/>
      <c r="G929" s="984"/>
      <c r="H929" s="984"/>
      <c r="I929" s="984"/>
      <c r="J929" s="984"/>
      <c r="K929" s="984"/>
      <c r="L929" s="984"/>
      <c r="M929" s="984"/>
      <c r="N929" s="984"/>
      <c r="O929" s="984"/>
      <c r="P929" s="984"/>
      <c r="Q929" s="984"/>
      <c r="R929" s="984"/>
      <c r="S929" s="984"/>
      <c r="T929" s="984"/>
      <c r="U929" s="984"/>
      <c r="V929" s="984"/>
      <c r="W929" s="984"/>
      <c r="X929" s="984"/>
      <c r="Y929" s="984"/>
      <c r="Z929" s="984"/>
    </row>
    <row r="930" spans="1:26" ht="18" customHeight="1" x14ac:dyDescent="0.35">
      <c r="A930" s="984"/>
      <c r="B930" s="984"/>
      <c r="C930" s="984"/>
      <c r="D930" s="984"/>
      <c r="E930" s="984"/>
      <c r="F930" s="984"/>
      <c r="G930" s="984"/>
      <c r="H930" s="984"/>
      <c r="I930" s="984"/>
      <c r="J930" s="984"/>
      <c r="K930" s="984"/>
      <c r="L930" s="984"/>
      <c r="M930" s="984"/>
      <c r="N930" s="984"/>
      <c r="O930" s="984"/>
      <c r="P930" s="984"/>
      <c r="Q930" s="984"/>
      <c r="R930" s="984"/>
      <c r="S930" s="984"/>
      <c r="T930" s="984"/>
      <c r="U930" s="984"/>
      <c r="V930" s="984"/>
      <c r="W930" s="984"/>
      <c r="X930" s="984"/>
      <c r="Y930" s="984"/>
      <c r="Z930" s="984"/>
    </row>
    <row r="931" spans="1:26" ht="18" customHeight="1" x14ac:dyDescent="0.35">
      <c r="A931" s="984"/>
      <c r="B931" s="984"/>
      <c r="C931" s="984"/>
      <c r="D931" s="984"/>
      <c r="E931" s="984"/>
      <c r="F931" s="984"/>
      <c r="G931" s="984"/>
      <c r="H931" s="984"/>
      <c r="I931" s="984"/>
      <c r="J931" s="984"/>
      <c r="K931" s="984"/>
      <c r="L931" s="984"/>
      <c r="M931" s="984"/>
      <c r="N931" s="984"/>
      <c r="O931" s="984"/>
      <c r="P931" s="984"/>
      <c r="Q931" s="984"/>
      <c r="R931" s="984"/>
      <c r="S931" s="984"/>
      <c r="T931" s="984"/>
      <c r="U931" s="984"/>
      <c r="V931" s="984"/>
      <c r="W931" s="984"/>
      <c r="X931" s="984"/>
      <c r="Y931" s="984"/>
      <c r="Z931" s="984"/>
    </row>
    <row r="932" spans="1:26" ht="18" customHeight="1" x14ac:dyDescent="0.35">
      <c r="A932" s="984"/>
      <c r="B932" s="984"/>
      <c r="C932" s="984"/>
      <c r="D932" s="984"/>
      <c r="E932" s="984"/>
      <c r="F932" s="984"/>
      <c r="G932" s="984"/>
      <c r="H932" s="984"/>
      <c r="I932" s="984"/>
      <c r="J932" s="984"/>
      <c r="K932" s="984"/>
      <c r="L932" s="984"/>
      <c r="M932" s="984"/>
      <c r="N932" s="984"/>
      <c r="O932" s="984"/>
      <c r="P932" s="984"/>
      <c r="Q932" s="984"/>
      <c r="R932" s="984"/>
      <c r="S932" s="984"/>
      <c r="T932" s="984"/>
      <c r="U932" s="984"/>
      <c r="V932" s="984"/>
      <c r="W932" s="984"/>
      <c r="X932" s="984"/>
      <c r="Y932" s="984"/>
      <c r="Z932" s="984"/>
    </row>
    <row r="933" spans="1:26" ht="18" customHeight="1" x14ac:dyDescent="0.35">
      <c r="A933" s="984"/>
      <c r="B933" s="984"/>
      <c r="C933" s="984"/>
      <c r="D933" s="984"/>
      <c r="E933" s="984"/>
      <c r="F933" s="984"/>
      <c r="G933" s="984"/>
      <c r="H933" s="984"/>
      <c r="I933" s="984"/>
      <c r="J933" s="984"/>
      <c r="K933" s="984"/>
      <c r="L933" s="984"/>
      <c r="M933" s="984"/>
      <c r="N933" s="984"/>
      <c r="O933" s="984"/>
      <c r="P933" s="984"/>
      <c r="Q933" s="984"/>
      <c r="R933" s="984"/>
      <c r="S933" s="984"/>
      <c r="T933" s="984"/>
      <c r="U933" s="984"/>
      <c r="V933" s="984"/>
      <c r="W933" s="984"/>
      <c r="X933" s="984"/>
      <c r="Y933" s="984"/>
      <c r="Z933" s="984"/>
    </row>
    <row r="934" spans="1:26" ht="18" customHeight="1" x14ac:dyDescent="0.35">
      <c r="A934" s="984"/>
      <c r="B934" s="984"/>
      <c r="C934" s="984"/>
      <c r="D934" s="984"/>
      <c r="E934" s="984"/>
      <c r="F934" s="984"/>
      <c r="G934" s="984"/>
      <c r="H934" s="984"/>
      <c r="I934" s="984"/>
      <c r="J934" s="984"/>
      <c r="K934" s="984"/>
      <c r="L934" s="984"/>
      <c r="M934" s="984"/>
      <c r="N934" s="984"/>
      <c r="O934" s="984"/>
      <c r="P934" s="984"/>
      <c r="Q934" s="984"/>
      <c r="R934" s="984"/>
      <c r="S934" s="984"/>
      <c r="T934" s="984"/>
      <c r="U934" s="984"/>
      <c r="V934" s="984"/>
      <c r="W934" s="984"/>
      <c r="X934" s="984"/>
      <c r="Y934" s="984"/>
      <c r="Z934" s="984"/>
    </row>
    <row r="935" spans="1:26" ht="18" customHeight="1" x14ac:dyDescent="0.35">
      <c r="A935" s="984"/>
      <c r="B935" s="984"/>
      <c r="C935" s="984"/>
      <c r="D935" s="984"/>
      <c r="E935" s="984"/>
      <c r="F935" s="984"/>
      <c r="G935" s="984"/>
      <c r="H935" s="984"/>
      <c r="I935" s="984"/>
      <c r="J935" s="984"/>
      <c r="K935" s="984"/>
      <c r="L935" s="984"/>
      <c r="M935" s="984"/>
      <c r="N935" s="984"/>
      <c r="O935" s="984"/>
      <c r="P935" s="984"/>
      <c r="Q935" s="984"/>
      <c r="R935" s="984"/>
      <c r="S935" s="984"/>
      <c r="T935" s="984"/>
      <c r="U935" s="984"/>
      <c r="V935" s="984"/>
      <c r="W935" s="984"/>
      <c r="X935" s="984"/>
      <c r="Y935" s="984"/>
      <c r="Z935" s="984"/>
    </row>
    <row r="936" spans="1:26" ht="18" customHeight="1" x14ac:dyDescent="0.35">
      <c r="A936" s="984"/>
      <c r="B936" s="984"/>
      <c r="C936" s="984"/>
      <c r="D936" s="984"/>
      <c r="E936" s="984"/>
      <c r="F936" s="984"/>
      <c r="G936" s="984"/>
      <c r="H936" s="984"/>
      <c r="I936" s="984"/>
      <c r="J936" s="984"/>
      <c r="K936" s="984"/>
      <c r="L936" s="984"/>
      <c r="M936" s="984"/>
      <c r="N936" s="984"/>
      <c r="O936" s="984"/>
      <c r="P936" s="984"/>
      <c r="Q936" s="984"/>
      <c r="R936" s="984"/>
      <c r="S936" s="984"/>
      <c r="T936" s="984"/>
      <c r="U936" s="984"/>
      <c r="V936" s="984"/>
      <c r="W936" s="984"/>
      <c r="X936" s="984"/>
      <c r="Y936" s="984"/>
      <c r="Z936" s="984"/>
    </row>
    <row r="937" spans="1:26" ht="18" customHeight="1" x14ac:dyDescent="0.35">
      <c r="A937" s="984"/>
      <c r="B937" s="984"/>
      <c r="C937" s="984"/>
      <c r="D937" s="984"/>
      <c r="E937" s="984"/>
      <c r="F937" s="984"/>
      <c r="G937" s="984"/>
      <c r="H937" s="984"/>
      <c r="I937" s="984"/>
      <c r="J937" s="984"/>
      <c r="K937" s="984"/>
      <c r="L937" s="984"/>
      <c r="M937" s="984"/>
      <c r="N937" s="984"/>
      <c r="O937" s="984"/>
      <c r="P937" s="984"/>
      <c r="Q937" s="984"/>
      <c r="R937" s="984"/>
      <c r="S937" s="984"/>
      <c r="T937" s="984"/>
      <c r="U937" s="984"/>
      <c r="V937" s="984"/>
      <c r="W937" s="984"/>
      <c r="X937" s="984"/>
      <c r="Y937" s="984"/>
      <c r="Z937" s="984"/>
    </row>
    <row r="938" spans="1:26" ht="18" customHeight="1" x14ac:dyDescent="0.35">
      <c r="A938" s="984"/>
      <c r="B938" s="984"/>
      <c r="C938" s="984"/>
      <c r="D938" s="984"/>
      <c r="E938" s="984"/>
      <c r="F938" s="984"/>
      <c r="G938" s="984"/>
      <c r="H938" s="984"/>
      <c r="I938" s="984"/>
      <c r="J938" s="984"/>
      <c r="K938" s="984"/>
      <c r="L938" s="984"/>
      <c r="M938" s="984"/>
      <c r="N938" s="984"/>
      <c r="O938" s="984"/>
      <c r="P938" s="984"/>
      <c r="Q938" s="984"/>
      <c r="R938" s="984"/>
      <c r="S938" s="984"/>
      <c r="T938" s="984"/>
      <c r="U938" s="984"/>
      <c r="V938" s="984"/>
      <c r="W938" s="984"/>
      <c r="X938" s="984"/>
      <c r="Y938" s="984"/>
      <c r="Z938" s="984"/>
    </row>
    <row r="939" spans="1:26" ht="18" customHeight="1" x14ac:dyDescent="0.35">
      <c r="A939" s="984"/>
      <c r="B939" s="984"/>
      <c r="C939" s="984"/>
      <c r="D939" s="984"/>
      <c r="E939" s="984"/>
      <c r="F939" s="984"/>
      <c r="G939" s="984"/>
      <c r="H939" s="984"/>
      <c r="I939" s="984"/>
      <c r="J939" s="984"/>
      <c r="K939" s="984"/>
      <c r="L939" s="984"/>
      <c r="M939" s="984"/>
      <c r="N939" s="984"/>
      <c r="O939" s="984"/>
      <c r="P939" s="984"/>
      <c r="Q939" s="984"/>
      <c r="R939" s="984"/>
      <c r="S939" s="984"/>
      <c r="T939" s="984"/>
      <c r="U939" s="984"/>
      <c r="V939" s="984"/>
      <c r="W939" s="984"/>
      <c r="X939" s="984"/>
      <c r="Y939" s="984"/>
      <c r="Z939" s="984"/>
    </row>
    <row r="940" spans="1:26" ht="18" customHeight="1" x14ac:dyDescent="0.35">
      <c r="A940" s="984"/>
      <c r="B940" s="984"/>
      <c r="C940" s="984"/>
      <c r="D940" s="984"/>
      <c r="E940" s="984"/>
      <c r="F940" s="984"/>
      <c r="G940" s="984"/>
      <c r="H940" s="984"/>
      <c r="I940" s="984"/>
      <c r="J940" s="984"/>
      <c r="K940" s="984"/>
      <c r="L940" s="984"/>
      <c r="M940" s="984"/>
      <c r="N940" s="984"/>
      <c r="O940" s="984"/>
      <c r="P940" s="984"/>
      <c r="Q940" s="984"/>
      <c r="R940" s="984"/>
      <c r="S940" s="984"/>
      <c r="T940" s="984"/>
      <c r="U940" s="984"/>
      <c r="V940" s="984"/>
      <c r="W940" s="984"/>
      <c r="X940" s="984"/>
      <c r="Y940" s="984"/>
      <c r="Z940" s="984"/>
    </row>
    <row r="941" spans="1:26" ht="18" customHeight="1" x14ac:dyDescent="0.35">
      <c r="A941" s="984"/>
      <c r="B941" s="984"/>
      <c r="C941" s="984"/>
      <c r="D941" s="984"/>
      <c r="E941" s="984"/>
      <c r="F941" s="984"/>
      <c r="G941" s="984"/>
      <c r="H941" s="984"/>
      <c r="I941" s="984"/>
      <c r="J941" s="984"/>
      <c r="K941" s="984"/>
      <c r="L941" s="984"/>
      <c r="M941" s="984"/>
      <c r="N941" s="984"/>
      <c r="O941" s="984"/>
      <c r="P941" s="984"/>
      <c r="Q941" s="984"/>
      <c r="R941" s="984"/>
      <c r="S941" s="984"/>
      <c r="T941" s="984"/>
      <c r="U941" s="984"/>
      <c r="V941" s="984"/>
      <c r="W941" s="984"/>
      <c r="X941" s="984"/>
      <c r="Y941" s="984"/>
      <c r="Z941" s="984"/>
    </row>
    <row r="942" spans="1:26" ht="18" customHeight="1" x14ac:dyDescent="0.35">
      <c r="A942" s="984"/>
      <c r="B942" s="984"/>
      <c r="C942" s="984"/>
      <c r="D942" s="984"/>
      <c r="E942" s="984"/>
      <c r="F942" s="984"/>
      <c r="G942" s="984"/>
      <c r="H942" s="984"/>
      <c r="I942" s="984"/>
      <c r="J942" s="984"/>
      <c r="K942" s="984"/>
      <c r="L942" s="984"/>
      <c r="M942" s="984"/>
      <c r="N942" s="984"/>
      <c r="O942" s="984"/>
      <c r="P942" s="984"/>
      <c r="Q942" s="984"/>
      <c r="R942" s="984"/>
      <c r="S942" s="984"/>
      <c r="T942" s="984"/>
      <c r="U942" s="984"/>
      <c r="V942" s="984"/>
      <c r="W942" s="984"/>
      <c r="X942" s="984"/>
      <c r="Y942" s="984"/>
      <c r="Z942" s="984"/>
    </row>
    <row r="943" spans="1:26" ht="18" customHeight="1" x14ac:dyDescent="0.35">
      <c r="A943" s="984"/>
      <c r="B943" s="984"/>
      <c r="C943" s="984"/>
      <c r="D943" s="984"/>
      <c r="E943" s="984"/>
      <c r="F943" s="984"/>
      <c r="G943" s="984"/>
      <c r="H943" s="984"/>
      <c r="I943" s="984"/>
      <c r="J943" s="984"/>
      <c r="K943" s="984"/>
      <c r="L943" s="984"/>
      <c r="M943" s="984"/>
      <c r="N943" s="984"/>
      <c r="O943" s="984"/>
      <c r="P943" s="984"/>
      <c r="Q943" s="984"/>
      <c r="R943" s="984"/>
      <c r="S943" s="984"/>
      <c r="T943" s="984"/>
      <c r="U943" s="984"/>
      <c r="V943" s="984"/>
      <c r="W943" s="984"/>
      <c r="X943" s="984"/>
      <c r="Y943" s="984"/>
      <c r="Z943" s="984"/>
    </row>
    <row r="944" spans="1:26" ht="18" customHeight="1" x14ac:dyDescent="0.35">
      <c r="A944" s="984"/>
      <c r="B944" s="984"/>
      <c r="C944" s="984"/>
      <c r="D944" s="984"/>
      <c r="E944" s="984"/>
      <c r="F944" s="984"/>
      <c r="G944" s="984"/>
      <c r="H944" s="984"/>
      <c r="I944" s="984"/>
      <c r="J944" s="984"/>
      <c r="K944" s="984"/>
      <c r="L944" s="984"/>
      <c r="M944" s="984"/>
      <c r="N944" s="984"/>
      <c r="O944" s="984"/>
      <c r="P944" s="984"/>
      <c r="Q944" s="984"/>
      <c r="R944" s="984"/>
      <c r="S944" s="984"/>
      <c r="T944" s="984"/>
      <c r="U944" s="984"/>
      <c r="V944" s="984"/>
      <c r="W944" s="984"/>
      <c r="X944" s="984"/>
      <c r="Y944" s="984"/>
      <c r="Z944" s="984"/>
    </row>
    <row r="945" spans="1:26" ht="18" customHeight="1" x14ac:dyDescent="0.35">
      <c r="A945" s="984"/>
      <c r="B945" s="984"/>
      <c r="C945" s="984"/>
      <c r="D945" s="984"/>
      <c r="E945" s="984"/>
      <c r="F945" s="984"/>
      <c r="G945" s="984"/>
      <c r="H945" s="984"/>
      <c r="I945" s="984"/>
      <c r="J945" s="984"/>
      <c r="K945" s="984"/>
      <c r="L945" s="984"/>
      <c r="M945" s="984"/>
      <c r="N945" s="984"/>
      <c r="O945" s="984"/>
      <c r="P945" s="984"/>
      <c r="Q945" s="984"/>
      <c r="R945" s="984"/>
      <c r="S945" s="984"/>
      <c r="T945" s="984"/>
      <c r="U945" s="984"/>
      <c r="V945" s="984"/>
      <c r="W945" s="984"/>
      <c r="X945" s="984"/>
      <c r="Y945" s="984"/>
      <c r="Z945" s="984"/>
    </row>
    <row r="946" spans="1:26" ht="18" customHeight="1" x14ac:dyDescent="0.35">
      <c r="A946" s="984"/>
      <c r="B946" s="984"/>
      <c r="C946" s="984"/>
      <c r="D946" s="984"/>
      <c r="E946" s="984"/>
      <c r="F946" s="984"/>
      <c r="G946" s="984"/>
      <c r="H946" s="984"/>
      <c r="I946" s="984"/>
      <c r="J946" s="984"/>
      <c r="K946" s="984"/>
      <c r="L946" s="984"/>
      <c r="M946" s="984"/>
      <c r="N946" s="984"/>
      <c r="O946" s="984"/>
      <c r="P946" s="984"/>
      <c r="Q946" s="984"/>
      <c r="R946" s="984"/>
      <c r="S946" s="984"/>
      <c r="T946" s="984"/>
      <c r="U946" s="984"/>
      <c r="V946" s="984"/>
      <c r="W946" s="984"/>
      <c r="X946" s="984"/>
      <c r="Y946" s="984"/>
      <c r="Z946" s="984"/>
    </row>
    <row r="947" spans="1:26" ht="18" customHeight="1" x14ac:dyDescent="0.35">
      <c r="A947" s="984"/>
      <c r="B947" s="984"/>
      <c r="C947" s="984"/>
      <c r="D947" s="984"/>
      <c r="E947" s="984"/>
      <c r="F947" s="984"/>
      <c r="G947" s="984"/>
      <c r="H947" s="984"/>
      <c r="I947" s="984"/>
      <c r="J947" s="984"/>
      <c r="K947" s="984"/>
      <c r="L947" s="984"/>
      <c r="M947" s="984"/>
      <c r="N947" s="984"/>
      <c r="O947" s="984"/>
      <c r="P947" s="984"/>
      <c r="Q947" s="984"/>
      <c r="R947" s="984"/>
      <c r="S947" s="984"/>
      <c r="T947" s="984"/>
      <c r="U947" s="984"/>
      <c r="V947" s="984"/>
      <c r="W947" s="984"/>
      <c r="X947" s="984"/>
      <c r="Y947" s="984"/>
      <c r="Z947" s="984"/>
    </row>
    <row r="948" spans="1:26" ht="18" customHeight="1" x14ac:dyDescent="0.35">
      <c r="A948" s="984"/>
      <c r="B948" s="984"/>
      <c r="C948" s="984"/>
      <c r="D948" s="984"/>
      <c r="E948" s="984"/>
      <c r="F948" s="984"/>
      <c r="G948" s="984"/>
      <c r="H948" s="984"/>
      <c r="I948" s="984"/>
      <c r="J948" s="984"/>
      <c r="K948" s="984"/>
      <c r="L948" s="984"/>
      <c r="M948" s="984"/>
      <c r="N948" s="984"/>
      <c r="O948" s="984"/>
      <c r="P948" s="984"/>
      <c r="Q948" s="984"/>
      <c r="R948" s="984"/>
      <c r="S948" s="984"/>
      <c r="T948" s="984"/>
      <c r="U948" s="984"/>
      <c r="V948" s="984"/>
      <c r="W948" s="984"/>
      <c r="X948" s="984"/>
      <c r="Y948" s="984"/>
      <c r="Z948" s="984"/>
    </row>
    <row r="949" spans="1:26" ht="18" customHeight="1" x14ac:dyDescent="0.35">
      <c r="A949" s="984"/>
      <c r="B949" s="984"/>
      <c r="C949" s="984"/>
      <c r="D949" s="984"/>
      <c r="E949" s="984"/>
      <c r="F949" s="984"/>
      <c r="G949" s="984"/>
      <c r="H949" s="984"/>
      <c r="I949" s="984"/>
      <c r="J949" s="984"/>
      <c r="K949" s="984"/>
      <c r="L949" s="984"/>
      <c r="M949" s="984"/>
      <c r="N949" s="984"/>
      <c r="O949" s="984"/>
      <c r="P949" s="984"/>
      <c r="Q949" s="984"/>
      <c r="R949" s="984"/>
      <c r="S949" s="984"/>
      <c r="T949" s="984"/>
      <c r="U949" s="984"/>
      <c r="V949" s="984"/>
      <c r="W949" s="984"/>
      <c r="X949" s="984"/>
      <c r="Y949" s="984"/>
      <c r="Z949" s="984"/>
    </row>
    <row r="950" spans="1:26" ht="18" customHeight="1" x14ac:dyDescent="0.35">
      <c r="A950" s="984"/>
      <c r="B950" s="984"/>
      <c r="C950" s="984"/>
      <c r="D950" s="984"/>
      <c r="E950" s="984"/>
      <c r="F950" s="984"/>
      <c r="G950" s="984"/>
      <c r="H950" s="984"/>
      <c r="I950" s="984"/>
      <c r="J950" s="984"/>
      <c r="K950" s="984"/>
      <c r="L950" s="984"/>
      <c r="M950" s="984"/>
      <c r="N950" s="984"/>
      <c r="O950" s="984"/>
      <c r="P950" s="984"/>
      <c r="Q950" s="984"/>
      <c r="R950" s="984"/>
      <c r="S950" s="984"/>
      <c r="T950" s="984"/>
      <c r="U950" s="984"/>
      <c r="V950" s="984"/>
      <c r="W950" s="984"/>
      <c r="X950" s="984"/>
      <c r="Y950" s="984"/>
      <c r="Z950" s="984"/>
    </row>
    <row r="951" spans="1:26" ht="18" customHeight="1" x14ac:dyDescent="0.35">
      <c r="A951" s="984"/>
      <c r="B951" s="984"/>
      <c r="C951" s="984"/>
      <c r="D951" s="984"/>
      <c r="E951" s="984"/>
      <c r="F951" s="984"/>
      <c r="G951" s="984"/>
      <c r="H951" s="984"/>
      <c r="I951" s="984"/>
      <c r="J951" s="984"/>
      <c r="K951" s="984"/>
      <c r="L951" s="984"/>
      <c r="M951" s="984"/>
      <c r="N951" s="984"/>
      <c r="O951" s="984"/>
      <c r="P951" s="984"/>
      <c r="Q951" s="984"/>
      <c r="R951" s="984"/>
      <c r="S951" s="984"/>
      <c r="T951" s="984"/>
      <c r="U951" s="984"/>
      <c r="V951" s="984"/>
      <c r="W951" s="984"/>
      <c r="X951" s="984"/>
      <c r="Y951" s="984"/>
      <c r="Z951" s="984"/>
    </row>
    <row r="952" spans="1:26" ht="18" customHeight="1" x14ac:dyDescent="0.35">
      <c r="A952" s="984"/>
      <c r="B952" s="984"/>
      <c r="C952" s="984"/>
      <c r="D952" s="984"/>
      <c r="E952" s="984"/>
      <c r="F952" s="984"/>
      <c r="G952" s="984"/>
      <c r="H952" s="984"/>
      <c r="I952" s="984"/>
      <c r="J952" s="984"/>
      <c r="K952" s="984"/>
      <c r="L952" s="984"/>
      <c r="M952" s="984"/>
      <c r="N952" s="984"/>
      <c r="O952" s="984"/>
      <c r="P952" s="984"/>
      <c r="Q952" s="984"/>
      <c r="R952" s="984"/>
      <c r="S952" s="984"/>
      <c r="T952" s="984"/>
      <c r="U952" s="984"/>
      <c r="V952" s="984"/>
      <c r="W952" s="984"/>
      <c r="X952" s="984"/>
      <c r="Y952" s="984"/>
      <c r="Z952" s="984"/>
    </row>
    <row r="953" spans="1:26" ht="18" customHeight="1" x14ac:dyDescent="0.35">
      <c r="A953" s="984"/>
      <c r="B953" s="984"/>
      <c r="C953" s="984"/>
      <c r="D953" s="984"/>
      <c r="E953" s="984"/>
      <c r="F953" s="984"/>
      <c r="G953" s="984"/>
      <c r="H953" s="984"/>
      <c r="I953" s="984"/>
      <c r="J953" s="984"/>
      <c r="K953" s="984"/>
      <c r="L953" s="984"/>
      <c r="M953" s="984"/>
      <c r="N953" s="984"/>
      <c r="O953" s="984"/>
      <c r="P953" s="984"/>
      <c r="Q953" s="984"/>
      <c r="R953" s="984"/>
      <c r="S953" s="984"/>
      <c r="T953" s="984"/>
      <c r="U953" s="984"/>
      <c r="V953" s="984"/>
      <c r="W953" s="984"/>
      <c r="X953" s="984"/>
      <c r="Y953" s="984"/>
      <c r="Z953" s="984"/>
    </row>
    <row r="954" spans="1:26" ht="18" customHeight="1" x14ac:dyDescent="0.35">
      <c r="A954" s="984"/>
      <c r="B954" s="984"/>
      <c r="C954" s="984"/>
      <c r="D954" s="984"/>
      <c r="E954" s="984"/>
      <c r="F954" s="984"/>
      <c r="G954" s="984"/>
      <c r="H954" s="984"/>
      <c r="I954" s="984"/>
      <c r="J954" s="984"/>
      <c r="K954" s="984"/>
      <c r="L954" s="984"/>
      <c r="M954" s="984"/>
      <c r="N954" s="984"/>
      <c r="O954" s="984"/>
      <c r="P954" s="984"/>
      <c r="Q954" s="984"/>
      <c r="R954" s="984"/>
      <c r="S954" s="984"/>
      <c r="T954" s="984"/>
      <c r="U954" s="984"/>
      <c r="V954" s="984"/>
      <c r="W954" s="984"/>
      <c r="X954" s="984"/>
      <c r="Y954" s="984"/>
      <c r="Z954" s="984"/>
    </row>
    <row r="955" spans="1:26" ht="18" customHeight="1" x14ac:dyDescent="0.35">
      <c r="A955" s="984"/>
      <c r="B955" s="984"/>
      <c r="C955" s="984"/>
      <c r="D955" s="984"/>
      <c r="E955" s="984"/>
      <c r="F955" s="984"/>
      <c r="G955" s="984"/>
      <c r="H955" s="984"/>
      <c r="I955" s="984"/>
      <c r="J955" s="984"/>
      <c r="K955" s="984"/>
      <c r="L955" s="984"/>
      <c r="M955" s="984"/>
      <c r="N955" s="984"/>
      <c r="O955" s="984"/>
      <c r="P955" s="984"/>
      <c r="Q955" s="984"/>
      <c r="R955" s="984"/>
      <c r="S955" s="984"/>
      <c r="T955" s="984"/>
      <c r="U955" s="984"/>
      <c r="V955" s="984"/>
      <c r="W955" s="984"/>
      <c r="X955" s="984"/>
      <c r="Y955" s="984"/>
      <c r="Z955" s="984"/>
    </row>
    <row r="956" spans="1:26" ht="18" customHeight="1" x14ac:dyDescent="0.35">
      <c r="A956" s="984"/>
      <c r="B956" s="984"/>
      <c r="C956" s="984"/>
      <c r="D956" s="984"/>
      <c r="E956" s="984"/>
      <c r="F956" s="984"/>
      <c r="G956" s="984"/>
      <c r="H956" s="984"/>
      <c r="I956" s="984"/>
      <c r="J956" s="984"/>
      <c r="K956" s="984"/>
      <c r="L956" s="984"/>
      <c r="M956" s="984"/>
      <c r="N956" s="984"/>
      <c r="O956" s="984"/>
      <c r="P956" s="984"/>
      <c r="Q956" s="984"/>
      <c r="R956" s="984"/>
      <c r="S956" s="984"/>
      <c r="T956" s="984"/>
      <c r="U956" s="984"/>
      <c r="V956" s="984"/>
      <c r="W956" s="984"/>
      <c r="X956" s="984"/>
      <c r="Y956" s="984"/>
      <c r="Z956" s="984"/>
    </row>
    <row r="957" spans="1:26" ht="18" customHeight="1" x14ac:dyDescent="0.35">
      <c r="A957" s="984"/>
      <c r="B957" s="984"/>
      <c r="C957" s="984"/>
      <c r="D957" s="984"/>
      <c r="E957" s="984"/>
      <c r="F957" s="984"/>
      <c r="G957" s="984"/>
      <c r="H957" s="984"/>
      <c r="I957" s="984"/>
      <c r="J957" s="984"/>
      <c r="K957" s="984"/>
      <c r="L957" s="984"/>
      <c r="M957" s="984"/>
      <c r="N957" s="984"/>
      <c r="O957" s="984"/>
      <c r="P957" s="984"/>
      <c r="Q957" s="984"/>
      <c r="R957" s="984"/>
      <c r="S957" s="984"/>
      <c r="T957" s="984"/>
      <c r="U957" s="984"/>
      <c r="V957" s="984"/>
      <c r="W957" s="984"/>
      <c r="X957" s="984"/>
      <c r="Y957" s="984"/>
      <c r="Z957" s="984"/>
    </row>
    <row r="958" spans="1:26" ht="18" customHeight="1" x14ac:dyDescent="0.35">
      <c r="A958" s="984"/>
      <c r="B958" s="984"/>
      <c r="C958" s="984"/>
      <c r="D958" s="984"/>
      <c r="E958" s="984"/>
      <c r="F958" s="984"/>
      <c r="G958" s="984"/>
      <c r="H958" s="984"/>
      <c r="I958" s="984"/>
      <c r="J958" s="984"/>
      <c r="K958" s="984"/>
      <c r="L958" s="984"/>
      <c r="M958" s="984"/>
      <c r="N958" s="984"/>
      <c r="O958" s="984"/>
      <c r="P958" s="984"/>
      <c r="Q958" s="984"/>
      <c r="R958" s="984"/>
      <c r="S958" s="984"/>
      <c r="T958" s="984"/>
      <c r="U958" s="984"/>
      <c r="V958" s="984"/>
      <c r="W958" s="984"/>
      <c r="X958" s="984"/>
      <c r="Y958" s="984"/>
      <c r="Z958" s="984"/>
    </row>
    <row r="959" spans="1:26" ht="18" customHeight="1" x14ac:dyDescent="0.35">
      <c r="A959" s="984"/>
      <c r="B959" s="984"/>
      <c r="C959" s="984"/>
      <c r="D959" s="984"/>
      <c r="E959" s="984"/>
      <c r="F959" s="984"/>
      <c r="G959" s="984"/>
      <c r="H959" s="984"/>
      <c r="I959" s="984"/>
      <c r="J959" s="984"/>
      <c r="K959" s="984"/>
      <c r="L959" s="984"/>
      <c r="M959" s="984"/>
      <c r="N959" s="984"/>
      <c r="O959" s="984"/>
      <c r="P959" s="984"/>
      <c r="Q959" s="984"/>
      <c r="R959" s="984"/>
      <c r="S959" s="984"/>
      <c r="T959" s="984"/>
      <c r="U959" s="984"/>
      <c r="V959" s="984"/>
      <c r="W959" s="984"/>
      <c r="X959" s="984"/>
      <c r="Y959" s="984"/>
      <c r="Z959" s="984"/>
    </row>
    <row r="960" spans="1:26" ht="18" customHeight="1" x14ac:dyDescent="0.35">
      <c r="A960" s="984"/>
      <c r="B960" s="984"/>
      <c r="C960" s="984"/>
      <c r="D960" s="984"/>
      <c r="E960" s="984"/>
      <c r="F960" s="984"/>
      <c r="G960" s="984"/>
      <c r="H960" s="984"/>
      <c r="I960" s="984"/>
      <c r="J960" s="984"/>
      <c r="K960" s="984"/>
      <c r="L960" s="984"/>
      <c r="M960" s="984"/>
      <c r="N960" s="984"/>
      <c r="O960" s="984"/>
      <c r="P960" s="984"/>
      <c r="Q960" s="984"/>
      <c r="R960" s="984"/>
      <c r="S960" s="984"/>
      <c r="T960" s="984"/>
      <c r="U960" s="984"/>
      <c r="V960" s="984"/>
      <c r="W960" s="984"/>
      <c r="X960" s="984"/>
      <c r="Y960" s="984"/>
      <c r="Z960" s="984"/>
    </row>
    <row r="961" spans="1:26" ht="18" customHeight="1" x14ac:dyDescent="0.35">
      <c r="A961" s="984"/>
      <c r="B961" s="984"/>
      <c r="C961" s="984"/>
      <c r="D961" s="984"/>
      <c r="E961" s="984"/>
      <c r="F961" s="984"/>
      <c r="G961" s="984"/>
      <c r="H961" s="984"/>
      <c r="I961" s="984"/>
      <c r="J961" s="984"/>
      <c r="K961" s="984"/>
      <c r="L961" s="984"/>
      <c r="M961" s="984"/>
      <c r="N961" s="984"/>
      <c r="O961" s="984"/>
      <c r="P961" s="984"/>
      <c r="Q961" s="984"/>
      <c r="R961" s="984"/>
      <c r="S961" s="984"/>
      <c r="T961" s="984"/>
      <c r="U961" s="984"/>
      <c r="V961" s="984"/>
      <c r="W961" s="984"/>
      <c r="X961" s="984"/>
      <c r="Y961" s="984"/>
      <c r="Z961" s="984"/>
    </row>
    <row r="962" spans="1:26" ht="18" customHeight="1" x14ac:dyDescent="0.35">
      <c r="A962" s="984"/>
      <c r="B962" s="984"/>
      <c r="C962" s="984"/>
      <c r="D962" s="984"/>
      <c r="E962" s="984"/>
      <c r="F962" s="984"/>
      <c r="G962" s="984"/>
      <c r="H962" s="984"/>
      <c r="I962" s="984"/>
      <c r="J962" s="984"/>
      <c r="K962" s="984"/>
      <c r="L962" s="984"/>
      <c r="M962" s="984"/>
      <c r="N962" s="984"/>
      <c r="O962" s="984"/>
      <c r="P962" s="984"/>
      <c r="Q962" s="984"/>
      <c r="R962" s="984"/>
      <c r="S962" s="984"/>
      <c r="T962" s="984"/>
      <c r="U962" s="984"/>
      <c r="V962" s="984"/>
      <c r="W962" s="984"/>
      <c r="X962" s="984"/>
      <c r="Y962" s="984"/>
      <c r="Z962" s="984"/>
    </row>
    <row r="963" spans="1:26" ht="18" customHeight="1" x14ac:dyDescent="0.35">
      <c r="A963" s="984"/>
      <c r="B963" s="984"/>
      <c r="C963" s="984"/>
      <c r="D963" s="984"/>
      <c r="E963" s="984"/>
      <c r="F963" s="984"/>
      <c r="G963" s="984"/>
      <c r="H963" s="984"/>
      <c r="I963" s="984"/>
      <c r="J963" s="984"/>
      <c r="K963" s="984"/>
      <c r="L963" s="984"/>
      <c r="M963" s="984"/>
      <c r="N963" s="984"/>
      <c r="O963" s="984"/>
      <c r="P963" s="984"/>
      <c r="Q963" s="984"/>
      <c r="R963" s="984"/>
      <c r="S963" s="984"/>
      <c r="T963" s="984"/>
      <c r="U963" s="984"/>
      <c r="V963" s="984"/>
      <c r="W963" s="984"/>
      <c r="X963" s="984"/>
      <c r="Y963" s="984"/>
      <c r="Z963" s="984"/>
    </row>
    <row r="964" spans="1:26" ht="18" customHeight="1" x14ac:dyDescent="0.35">
      <c r="A964" s="984"/>
      <c r="B964" s="984"/>
      <c r="C964" s="984"/>
      <c r="D964" s="984"/>
      <c r="E964" s="984"/>
      <c r="F964" s="984"/>
      <c r="G964" s="984"/>
      <c r="H964" s="984"/>
      <c r="I964" s="984"/>
      <c r="J964" s="984"/>
      <c r="K964" s="984"/>
      <c r="L964" s="984"/>
      <c r="M964" s="984"/>
      <c r="N964" s="984"/>
      <c r="O964" s="984"/>
      <c r="P964" s="984"/>
      <c r="Q964" s="984"/>
      <c r="R964" s="984"/>
      <c r="S964" s="984"/>
      <c r="T964" s="984"/>
      <c r="U964" s="984"/>
      <c r="V964" s="984"/>
      <c r="W964" s="984"/>
      <c r="X964" s="984"/>
      <c r="Y964" s="984"/>
      <c r="Z964" s="984"/>
    </row>
    <row r="965" spans="1:26" ht="18" customHeight="1" x14ac:dyDescent="0.35">
      <c r="A965" s="984"/>
      <c r="B965" s="984"/>
      <c r="C965" s="984"/>
      <c r="D965" s="984"/>
      <c r="E965" s="984"/>
      <c r="F965" s="984"/>
      <c r="G965" s="984"/>
      <c r="H965" s="984"/>
      <c r="I965" s="984"/>
      <c r="J965" s="984"/>
      <c r="K965" s="984"/>
      <c r="L965" s="984"/>
      <c r="M965" s="984"/>
      <c r="N965" s="984"/>
      <c r="O965" s="984"/>
      <c r="P965" s="984"/>
      <c r="Q965" s="984"/>
      <c r="R965" s="984"/>
      <c r="S965" s="984"/>
      <c r="T965" s="984"/>
      <c r="U965" s="984"/>
      <c r="V965" s="984"/>
      <c r="W965" s="984"/>
      <c r="X965" s="984"/>
      <c r="Y965" s="984"/>
      <c r="Z965" s="984"/>
    </row>
    <row r="966" spans="1:26" ht="18" customHeight="1" x14ac:dyDescent="0.35">
      <c r="A966" s="984"/>
      <c r="B966" s="984"/>
      <c r="C966" s="984"/>
      <c r="D966" s="984"/>
      <c r="E966" s="984"/>
      <c r="F966" s="984"/>
      <c r="G966" s="984"/>
      <c r="H966" s="984"/>
      <c r="I966" s="984"/>
      <c r="J966" s="984"/>
      <c r="K966" s="984"/>
      <c r="L966" s="984"/>
      <c r="M966" s="984"/>
      <c r="N966" s="984"/>
      <c r="O966" s="984"/>
      <c r="P966" s="984"/>
      <c r="Q966" s="984"/>
      <c r="R966" s="984"/>
      <c r="S966" s="984"/>
      <c r="T966" s="984"/>
      <c r="U966" s="984"/>
      <c r="V966" s="984"/>
      <c r="W966" s="984"/>
      <c r="X966" s="984"/>
      <c r="Y966" s="984"/>
      <c r="Z966" s="984"/>
    </row>
    <row r="967" spans="1:26" ht="18" customHeight="1" x14ac:dyDescent="0.35">
      <c r="A967" s="984"/>
      <c r="B967" s="984"/>
      <c r="C967" s="984"/>
      <c r="D967" s="984"/>
      <c r="E967" s="984"/>
      <c r="F967" s="984"/>
      <c r="G967" s="984"/>
      <c r="H967" s="984"/>
      <c r="I967" s="984"/>
      <c r="J967" s="984"/>
      <c r="K967" s="984"/>
      <c r="L967" s="984"/>
      <c r="M967" s="984"/>
      <c r="N967" s="984"/>
      <c r="O967" s="984"/>
      <c r="P967" s="984"/>
      <c r="Q967" s="984"/>
      <c r="R967" s="984"/>
      <c r="S967" s="984"/>
      <c r="T967" s="984"/>
      <c r="U967" s="984"/>
      <c r="V967" s="984"/>
      <c r="W967" s="984"/>
      <c r="X967" s="984"/>
      <c r="Y967" s="984"/>
      <c r="Z967" s="984"/>
    </row>
    <row r="968" spans="1:26" ht="18" customHeight="1" x14ac:dyDescent="0.35">
      <c r="A968" s="984"/>
      <c r="B968" s="984"/>
      <c r="C968" s="984"/>
      <c r="D968" s="984"/>
      <c r="E968" s="984"/>
      <c r="F968" s="984"/>
      <c r="G968" s="984"/>
      <c r="H968" s="984"/>
      <c r="I968" s="984"/>
      <c r="J968" s="984"/>
      <c r="K968" s="984"/>
      <c r="L968" s="984"/>
      <c r="M968" s="984"/>
      <c r="N968" s="984"/>
      <c r="O968" s="984"/>
      <c r="P968" s="984"/>
      <c r="Q968" s="984"/>
      <c r="R968" s="984"/>
      <c r="S968" s="984"/>
      <c r="T968" s="984"/>
      <c r="U968" s="984"/>
      <c r="V968" s="984"/>
      <c r="W968" s="984"/>
      <c r="X968" s="984"/>
      <c r="Y968" s="984"/>
      <c r="Z968" s="984"/>
    </row>
    <row r="969" spans="1:26" ht="18" customHeight="1" x14ac:dyDescent="0.35">
      <c r="A969" s="984"/>
      <c r="B969" s="984"/>
      <c r="C969" s="984"/>
      <c r="D969" s="984"/>
      <c r="E969" s="984"/>
      <c r="F969" s="984"/>
      <c r="G969" s="984"/>
      <c r="H969" s="984"/>
      <c r="I969" s="984"/>
      <c r="J969" s="984"/>
      <c r="K969" s="984"/>
      <c r="L969" s="984"/>
      <c r="M969" s="984"/>
      <c r="N969" s="984"/>
      <c r="O969" s="984"/>
      <c r="P969" s="984"/>
      <c r="Q969" s="984"/>
      <c r="R969" s="984"/>
      <c r="S969" s="984"/>
      <c r="T969" s="984"/>
      <c r="U969" s="984"/>
      <c r="V969" s="984"/>
      <c r="W969" s="984"/>
      <c r="X969" s="984"/>
      <c r="Y969" s="984"/>
      <c r="Z969" s="984"/>
    </row>
    <row r="970" spans="1:26" ht="18" customHeight="1" x14ac:dyDescent="0.35">
      <c r="A970" s="984"/>
      <c r="B970" s="984"/>
      <c r="C970" s="984"/>
      <c r="D970" s="984"/>
      <c r="E970" s="984"/>
      <c r="F970" s="984"/>
      <c r="G970" s="984"/>
      <c r="H970" s="984"/>
      <c r="I970" s="984"/>
      <c r="J970" s="984"/>
      <c r="K970" s="984"/>
      <c r="L970" s="984"/>
      <c r="M970" s="984"/>
      <c r="N970" s="984"/>
      <c r="O970" s="984"/>
      <c r="P970" s="984"/>
      <c r="Q970" s="984"/>
      <c r="R970" s="984"/>
      <c r="S970" s="984"/>
      <c r="T970" s="984"/>
      <c r="U970" s="984"/>
      <c r="V970" s="984"/>
      <c r="W970" s="984"/>
      <c r="X970" s="984"/>
      <c r="Y970" s="984"/>
      <c r="Z970" s="984"/>
    </row>
    <row r="971" spans="1:26" ht="18" customHeight="1" x14ac:dyDescent="0.35">
      <c r="A971" s="984"/>
      <c r="B971" s="984"/>
      <c r="C971" s="984"/>
      <c r="D971" s="984"/>
      <c r="E971" s="984"/>
      <c r="F971" s="984"/>
      <c r="G971" s="984"/>
      <c r="H971" s="984"/>
      <c r="I971" s="984"/>
      <c r="J971" s="984"/>
      <c r="K971" s="984"/>
      <c r="L971" s="984"/>
      <c r="M971" s="984"/>
      <c r="N971" s="984"/>
      <c r="O971" s="984"/>
      <c r="P971" s="984"/>
      <c r="Q971" s="984"/>
      <c r="R971" s="984"/>
      <c r="S971" s="984"/>
      <c r="T971" s="984"/>
      <c r="U971" s="984"/>
      <c r="V971" s="984"/>
      <c r="W971" s="984"/>
      <c r="X971" s="984"/>
      <c r="Y971" s="984"/>
      <c r="Z971" s="984"/>
    </row>
    <row r="972" spans="1:26" ht="18" customHeight="1" x14ac:dyDescent="0.35">
      <c r="A972" s="984"/>
      <c r="B972" s="984"/>
      <c r="C972" s="984"/>
      <c r="D972" s="984"/>
      <c r="E972" s="984"/>
      <c r="F972" s="984"/>
      <c r="G972" s="984"/>
      <c r="H972" s="984"/>
      <c r="I972" s="984"/>
      <c r="J972" s="984"/>
      <c r="K972" s="984"/>
      <c r="L972" s="984"/>
      <c r="M972" s="984"/>
      <c r="N972" s="984"/>
      <c r="O972" s="984"/>
      <c r="P972" s="984"/>
      <c r="Q972" s="984"/>
      <c r="R972" s="984"/>
      <c r="S972" s="984"/>
      <c r="T972" s="984"/>
      <c r="U972" s="984"/>
      <c r="V972" s="984"/>
      <c r="W972" s="984"/>
      <c r="X972" s="984"/>
      <c r="Y972" s="984"/>
      <c r="Z972" s="984"/>
    </row>
    <row r="973" spans="1:26" ht="18" customHeight="1" x14ac:dyDescent="0.35">
      <c r="A973" s="984"/>
      <c r="B973" s="984"/>
      <c r="C973" s="984"/>
      <c r="D973" s="984"/>
      <c r="E973" s="984"/>
      <c r="F973" s="984"/>
      <c r="G973" s="984"/>
      <c r="H973" s="984"/>
      <c r="I973" s="984"/>
      <c r="J973" s="984"/>
      <c r="K973" s="984"/>
      <c r="L973" s="984"/>
      <c r="M973" s="984"/>
      <c r="N973" s="984"/>
      <c r="O973" s="984"/>
      <c r="P973" s="984"/>
      <c r="Q973" s="984"/>
      <c r="R973" s="984"/>
      <c r="S973" s="984"/>
      <c r="T973" s="984"/>
      <c r="U973" s="984"/>
      <c r="V973" s="984"/>
      <c r="W973" s="984"/>
      <c r="X973" s="984"/>
      <c r="Y973" s="984"/>
      <c r="Z973" s="984"/>
    </row>
    <row r="974" spans="1:26" ht="18" customHeight="1" x14ac:dyDescent="0.35">
      <c r="A974" s="984"/>
      <c r="B974" s="984"/>
      <c r="C974" s="984"/>
      <c r="D974" s="984"/>
      <c r="E974" s="984"/>
      <c r="F974" s="984"/>
      <c r="G974" s="984"/>
      <c r="H974" s="984"/>
      <c r="I974" s="984"/>
      <c r="J974" s="984"/>
      <c r="K974" s="984"/>
      <c r="L974" s="984"/>
      <c r="M974" s="984"/>
      <c r="N974" s="984"/>
      <c r="O974" s="984"/>
      <c r="P974" s="984"/>
      <c r="Q974" s="984"/>
      <c r="R974" s="984"/>
      <c r="S974" s="984"/>
      <c r="T974" s="984"/>
      <c r="U974" s="984"/>
      <c r="V974" s="984"/>
      <c r="W974" s="984"/>
      <c r="X974" s="984"/>
      <c r="Y974" s="984"/>
      <c r="Z974" s="984"/>
    </row>
    <row r="975" spans="1:26" ht="18" customHeight="1" x14ac:dyDescent="0.35">
      <c r="A975" s="984"/>
      <c r="B975" s="984"/>
      <c r="C975" s="984"/>
      <c r="D975" s="984"/>
      <c r="E975" s="984"/>
      <c r="F975" s="984"/>
      <c r="G975" s="984"/>
      <c r="H975" s="984"/>
      <c r="I975" s="984"/>
      <c r="J975" s="984"/>
      <c r="K975" s="984"/>
      <c r="L975" s="984"/>
      <c r="M975" s="984"/>
      <c r="N975" s="984"/>
      <c r="O975" s="984"/>
      <c r="P975" s="984"/>
      <c r="Q975" s="984"/>
      <c r="R975" s="984"/>
      <c r="S975" s="984"/>
      <c r="T975" s="984"/>
      <c r="U975" s="984"/>
      <c r="V975" s="984"/>
      <c r="W975" s="984"/>
      <c r="X975" s="984"/>
      <c r="Y975" s="984"/>
      <c r="Z975" s="984"/>
    </row>
    <row r="976" spans="1:26" ht="18" customHeight="1" x14ac:dyDescent="0.35">
      <c r="A976" s="984"/>
      <c r="B976" s="984"/>
      <c r="C976" s="984"/>
      <c r="D976" s="984"/>
      <c r="E976" s="984"/>
      <c r="F976" s="984"/>
      <c r="G976" s="984"/>
      <c r="H976" s="984"/>
      <c r="I976" s="984"/>
      <c r="J976" s="984"/>
      <c r="K976" s="984"/>
      <c r="L976" s="984"/>
      <c r="M976" s="984"/>
      <c r="N976" s="984"/>
      <c r="O976" s="984"/>
      <c r="P976" s="984"/>
      <c r="Q976" s="984"/>
      <c r="R976" s="984"/>
      <c r="S976" s="984"/>
      <c r="T976" s="984"/>
      <c r="U976" s="984"/>
      <c r="V976" s="984"/>
      <c r="W976" s="984"/>
      <c r="X976" s="984"/>
      <c r="Y976" s="984"/>
      <c r="Z976" s="984"/>
    </row>
    <row r="977" spans="1:26" ht="18" customHeight="1" x14ac:dyDescent="0.35">
      <c r="A977" s="984"/>
      <c r="B977" s="984"/>
      <c r="C977" s="984"/>
      <c r="D977" s="984"/>
      <c r="E977" s="984"/>
      <c r="F977" s="984"/>
      <c r="G977" s="984"/>
      <c r="H977" s="984"/>
      <c r="I977" s="984"/>
      <c r="J977" s="984"/>
      <c r="K977" s="984"/>
      <c r="L977" s="984"/>
      <c r="M977" s="984"/>
      <c r="N977" s="984"/>
      <c r="O977" s="984"/>
      <c r="P977" s="984"/>
      <c r="Q977" s="984"/>
      <c r="R977" s="984"/>
      <c r="S977" s="984"/>
      <c r="T977" s="984"/>
      <c r="U977" s="984"/>
      <c r="V977" s="984"/>
      <c r="W977" s="984"/>
      <c r="X977" s="984"/>
      <c r="Y977" s="984"/>
      <c r="Z977" s="984"/>
    </row>
    <row r="978" spans="1:26" ht="18" customHeight="1" x14ac:dyDescent="0.35">
      <c r="A978" s="984"/>
      <c r="B978" s="984"/>
      <c r="C978" s="984"/>
      <c r="D978" s="984"/>
      <c r="E978" s="984"/>
      <c r="F978" s="984"/>
      <c r="G978" s="984"/>
      <c r="H978" s="984"/>
      <c r="I978" s="984"/>
      <c r="J978" s="984"/>
      <c r="K978" s="984"/>
      <c r="L978" s="984"/>
      <c r="M978" s="984"/>
      <c r="N978" s="984"/>
      <c r="O978" s="984"/>
      <c r="P978" s="984"/>
      <c r="Q978" s="984"/>
      <c r="R978" s="984"/>
      <c r="S978" s="984"/>
      <c r="T978" s="984"/>
      <c r="U978" s="984"/>
      <c r="V978" s="984"/>
      <c r="W978" s="984"/>
      <c r="X978" s="984"/>
      <c r="Y978" s="984"/>
      <c r="Z978" s="984"/>
    </row>
    <row r="979" spans="1:26" ht="18" customHeight="1" x14ac:dyDescent="0.35">
      <c r="A979" s="984"/>
      <c r="B979" s="984"/>
      <c r="C979" s="984"/>
      <c r="D979" s="984"/>
      <c r="E979" s="984"/>
      <c r="F979" s="984"/>
      <c r="G979" s="984"/>
      <c r="H979" s="984"/>
      <c r="I979" s="984"/>
      <c r="J979" s="984"/>
      <c r="K979" s="984"/>
      <c r="L979" s="984"/>
      <c r="M979" s="984"/>
      <c r="N979" s="984"/>
      <c r="O979" s="984"/>
      <c r="P979" s="984"/>
      <c r="Q979" s="984"/>
      <c r="R979" s="984"/>
      <c r="S979" s="984"/>
      <c r="T979" s="984"/>
      <c r="U979" s="984"/>
      <c r="V979" s="984"/>
      <c r="W979" s="984"/>
      <c r="X979" s="984"/>
      <c r="Y979" s="984"/>
      <c r="Z979" s="984"/>
    </row>
    <row r="980" spans="1:26" ht="18" customHeight="1" x14ac:dyDescent="0.35">
      <c r="A980" s="984"/>
      <c r="B980" s="984"/>
      <c r="C980" s="984"/>
      <c r="D980" s="984"/>
      <c r="E980" s="984"/>
      <c r="F980" s="984"/>
      <c r="G980" s="984"/>
      <c r="H980" s="984"/>
      <c r="I980" s="984"/>
      <c r="J980" s="984"/>
      <c r="K980" s="984"/>
      <c r="L980" s="984"/>
      <c r="M980" s="984"/>
      <c r="N980" s="984"/>
      <c r="O980" s="984"/>
      <c r="P980" s="984"/>
      <c r="Q980" s="984"/>
      <c r="R980" s="984"/>
      <c r="S980" s="984"/>
      <c r="T980" s="984"/>
      <c r="U980" s="984"/>
      <c r="V980" s="984"/>
      <c r="W980" s="984"/>
      <c r="X980" s="984"/>
      <c r="Y980" s="984"/>
      <c r="Z980" s="984"/>
    </row>
    <row r="981" spans="1:26" ht="18" customHeight="1" x14ac:dyDescent="0.35">
      <c r="A981" s="984"/>
      <c r="B981" s="984"/>
      <c r="C981" s="984"/>
      <c r="D981" s="984"/>
      <c r="E981" s="984"/>
      <c r="F981" s="984"/>
      <c r="G981" s="984"/>
      <c r="H981" s="984"/>
      <c r="I981" s="984"/>
      <c r="J981" s="984"/>
      <c r="K981" s="984"/>
      <c r="L981" s="984"/>
      <c r="M981" s="984"/>
      <c r="N981" s="984"/>
      <c r="O981" s="984"/>
      <c r="P981" s="984"/>
      <c r="Q981" s="984"/>
      <c r="R981" s="984"/>
      <c r="S981" s="984"/>
      <c r="T981" s="984"/>
      <c r="U981" s="984"/>
      <c r="V981" s="984"/>
      <c r="W981" s="984"/>
      <c r="X981" s="984"/>
      <c r="Y981" s="984"/>
      <c r="Z981" s="984"/>
    </row>
    <row r="982" spans="1:26" ht="18" customHeight="1" x14ac:dyDescent="0.35">
      <c r="A982" s="984"/>
      <c r="B982" s="984"/>
      <c r="C982" s="984"/>
      <c r="D982" s="984"/>
      <c r="E982" s="984"/>
      <c r="F982" s="984"/>
      <c r="G982" s="984"/>
      <c r="H982" s="984"/>
      <c r="I982" s="984"/>
      <c r="J982" s="984"/>
      <c r="K982" s="984"/>
      <c r="L982" s="984"/>
      <c r="M982" s="984"/>
      <c r="N982" s="984"/>
      <c r="O982" s="984"/>
      <c r="P982" s="984"/>
      <c r="Q982" s="984"/>
      <c r="R982" s="984"/>
      <c r="S982" s="984"/>
      <c r="T982" s="984"/>
      <c r="U982" s="984"/>
      <c r="V982" s="984"/>
      <c r="W982" s="984"/>
      <c r="X982" s="984"/>
      <c r="Y982" s="984"/>
      <c r="Z982" s="984"/>
    </row>
    <row r="983" spans="1:26" ht="18" customHeight="1" x14ac:dyDescent="0.35">
      <c r="A983" s="984"/>
      <c r="B983" s="984"/>
      <c r="C983" s="984"/>
      <c r="D983" s="984"/>
      <c r="E983" s="984"/>
      <c r="F983" s="984"/>
      <c r="G983" s="984"/>
      <c r="H983" s="984"/>
      <c r="I983" s="984"/>
      <c r="J983" s="984"/>
      <c r="K983" s="984"/>
      <c r="L983" s="984"/>
      <c r="M983" s="984"/>
      <c r="N983" s="984"/>
      <c r="O983" s="984"/>
      <c r="P983" s="984"/>
      <c r="Q983" s="984"/>
      <c r="R983" s="984"/>
      <c r="S983" s="984"/>
      <c r="T983" s="984"/>
      <c r="U983" s="984"/>
      <c r="V983" s="984"/>
      <c r="W983" s="984"/>
      <c r="X983" s="984"/>
      <c r="Y983" s="984"/>
      <c r="Z983" s="984"/>
    </row>
    <row r="984" spans="1:26" ht="18" customHeight="1" x14ac:dyDescent="0.35">
      <c r="A984" s="984"/>
      <c r="B984" s="984"/>
      <c r="C984" s="984"/>
      <c r="D984" s="984"/>
      <c r="E984" s="984"/>
      <c r="F984" s="984"/>
      <c r="G984" s="984"/>
      <c r="H984" s="984"/>
      <c r="I984" s="984"/>
      <c r="J984" s="984"/>
      <c r="K984" s="984"/>
      <c r="L984" s="984"/>
      <c r="M984" s="984"/>
      <c r="N984" s="984"/>
      <c r="O984" s="984"/>
      <c r="P984" s="984"/>
      <c r="Q984" s="984"/>
      <c r="R984" s="984"/>
      <c r="S984" s="984"/>
      <c r="T984" s="984"/>
      <c r="U984" s="984"/>
      <c r="V984" s="984"/>
      <c r="W984" s="984"/>
      <c r="X984" s="984"/>
      <c r="Y984" s="984"/>
      <c r="Z984" s="984"/>
    </row>
    <row r="985" spans="1:26" ht="18" customHeight="1" x14ac:dyDescent="0.35">
      <c r="A985" s="984"/>
      <c r="B985" s="984"/>
      <c r="C985" s="984"/>
      <c r="D985" s="984"/>
      <c r="E985" s="984"/>
      <c r="F985" s="984"/>
      <c r="G985" s="984"/>
      <c r="H985" s="984"/>
      <c r="I985" s="984"/>
      <c r="J985" s="984"/>
      <c r="K985" s="984"/>
      <c r="L985" s="984"/>
      <c r="M985" s="984"/>
      <c r="N985" s="984"/>
      <c r="O985" s="984"/>
      <c r="P985" s="984"/>
      <c r="Q985" s="984"/>
      <c r="R985" s="984"/>
      <c r="S985" s="984"/>
      <c r="T985" s="984"/>
      <c r="U985" s="984"/>
      <c r="V985" s="984"/>
      <c r="W985" s="984"/>
      <c r="X985" s="984"/>
      <c r="Y985" s="984"/>
      <c r="Z985" s="984"/>
    </row>
    <row r="986" spans="1:26" ht="18" customHeight="1" x14ac:dyDescent="0.35">
      <c r="A986" s="984"/>
      <c r="B986" s="984"/>
      <c r="C986" s="984"/>
      <c r="D986" s="984"/>
      <c r="E986" s="984"/>
      <c r="F986" s="984"/>
      <c r="G986" s="984"/>
      <c r="H986" s="984"/>
      <c r="I986" s="984"/>
      <c r="J986" s="984"/>
      <c r="K986" s="984"/>
      <c r="L986" s="984"/>
      <c r="M986" s="984"/>
      <c r="N986" s="984"/>
      <c r="O986" s="984"/>
      <c r="P986" s="984"/>
      <c r="Q986" s="984"/>
      <c r="R986" s="984"/>
      <c r="S986" s="984"/>
      <c r="T986" s="984"/>
      <c r="U986" s="984"/>
      <c r="V986" s="984"/>
      <c r="W986" s="984"/>
      <c r="X986" s="984"/>
      <c r="Y986" s="984"/>
      <c r="Z986" s="984"/>
    </row>
    <row r="987" spans="1:26" ht="18" customHeight="1" x14ac:dyDescent="0.35">
      <c r="A987" s="984"/>
      <c r="B987" s="984"/>
      <c r="C987" s="984"/>
      <c r="D987" s="984"/>
      <c r="E987" s="984"/>
      <c r="F987" s="984"/>
      <c r="G987" s="984"/>
      <c r="H987" s="984"/>
      <c r="I987" s="984"/>
      <c r="J987" s="984"/>
      <c r="K987" s="984"/>
      <c r="L987" s="984"/>
      <c r="M987" s="984"/>
      <c r="N987" s="984"/>
      <c r="O987" s="984"/>
      <c r="P987" s="984"/>
      <c r="Q987" s="984"/>
      <c r="R987" s="984"/>
      <c r="S987" s="984"/>
      <c r="T987" s="984"/>
      <c r="U987" s="984"/>
      <c r="V987" s="984"/>
      <c r="W987" s="984"/>
      <c r="X987" s="984"/>
      <c r="Y987" s="984"/>
      <c r="Z987" s="984"/>
    </row>
    <row r="988" spans="1:26" ht="18" customHeight="1" x14ac:dyDescent="0.35">
      <c r="A988" s="984"/>
      <c r="B988" s="984"/>
      <c r="C988" s="984"/>
      <c r="D988" s="984"/>
      <c r="E988" s="984"/>
      <c r="F988" s="984"/>
      <c r="G988" s="984"/>
      <c r="H988" s="984"/>
      <c r="I988" s="984"/>
      <c r="J988" s="984"/>
      <c r="K988" s="984"/>
      <c r="L988" s="984"/>
      <c r="M988" s="984"/>
      <c r="N988" s="984"/>
      <c r="O988" s="984"/>
      <c r="P988" s="984"/>
      <c r="Q988" s="984"/>
      <c r="R988" s="984"/>
      <c r="S988" s="984"/>
      <c r="T988" s="984"/>
      <c r="U988" s="984"/>
      <c r="V988" s="984"/>
      <c r="W988" s="984"/>
      <c r="X988" s="984"/>
      <c r="Y988" s="984"/>
      <c r="Z988" s="984"/>
    </row>
    <row r="989" spans="1:26" ht="18" customHeight="1" x14ac:dyDescent="0.35">
      <c r="A989" s="984"/>
      <c r="B989" s="984"/>
      <c r="C989" s="984"/>
      <c r="D989" s="984"/>
      <c r="E989" s="984"/>
      <c r="F989" s="984"/>
      <c r="G989" s="984"/>
      <c r="H989" s="984"/>
      <c r="I989" s="984"/>
      <c r="J989" s="984"/>
      <c r="K989" s="984"/>
      <c r="L989" s="984"/>
      <c r="M989" s="984"/>
      <c r="N989" s="984"/>
      <c r="O989" s="984"/>
      <c r="P989" s="984"/>
      <c r="Q989" s="984"/>
      <c r="R989" s="984"/>
      <c r="S989" s="984"/>
      <c r="T989" s="984"/>
      <c r="U989" s="984"/>
      <c r="V989" s="984"/>
      <c r="W989" s="984"/>
      <c r="X989" s="984"/>
      <c r="Y989" s="984"/>
      <c r="Z989" s="984"/>
    </row>
    <row r="990" spans="1:26" ht="18" customHeight="1" x14ac:dyDescent="0.35">
      <c r="A990" s="984"/>
      <c r="B990" s="984"/>
      <c r="C990" s="984"/>
      <c r="D990" s="984"/>
      <c r="E990" s="984"/>
      <c r="F990" s="984"/>
      <c r="G990" s="984"/>
      <c r="H990" s="984"/>
      <c r="I990" s="984"/>
      <c r="J990" s="984"/>
      <c r="K990" s="984"/>
      <c r="L990" s="984"/>
      <c r="M990" s="984"/>
      <c r="N990" s="984"/>
      <c r="O990" s="984"/>
      <c r="P990" s="984"/>
      <c r="Q990" s="984"/>
      <c r="R990" s="984"/>
      <c r="S990" s="984"/>
      <c r="T990" s="984"/>
      <c r="U990" s="984"/>
      <c r="V990" s="984"/>
      <c r="W990" s="984"/>
      <c r="X990" s="984"/>
      <c r="Y990" s="984"/>
      <c r="Z990" s="984"/>
    </row>
    <row r="991" spans="1:26" ht="18" customHeight="1" x14ac:dyDescent="0.35">
      <c r="A991" s="984"/>
      <c r="B991" s="984"/>
      <c r="C991" s="984"/>
      <c r="D991" s="984"/>
      <c r="E991" s="984"/>
      <c r="F991" s="984"/>
      <c r="G991" s="984"/>
      <c r="H991" s="984"/>
      <c r="I991" s="984"/>
      <c r="J991" s="984"/>
      <c r="K991" s="984"/>
      <c r="L991" s="984"/>
      <c r="M991" s="984"/>
      <c r="N991" s="984"/>
      <c r="O991" s="984"/>
      <c r="P991" s="984"/>
      <c r="Q991" s="984"/>
      <c r="R991" s="984"/>
      <c r="S991" s="984"/>
      <c r="T991" s="984"/>
      <c r="U991" s="984"/>
      <c r="V991" s="984"/>
      <c r="W991" s="984"/>
      <c r="X991" s="984"/>
      <c r="Y991" s="984"/>
      <c r="Z991" s="984"/>
    </row>
    <row r="992" spans="1:26" ht="18" customHeight="1" x14ac:dyDescent="0.35">
      <c r="A992" s="984"/>
      <c r="B992" s="984"/>
      <c r="C992" s="984"/>
      <c r="D992" s="984"/>
      <c r="E992" s="984"/>
      <c r="F992" s="984"/>
      <c r="G992" s="984"/>
      <c r="H992" s="984"/>
      <c r="I992" s="984"/>
      <c r="J992" s="984"/>
      <c r="K992" s="984"/>
      <c r="L992" s="984"/>
      <c r="M992" s="984"/>
      <c r="N992" s="984"/>
      <c r="O992" s="984"/>
      <c r="P992" s="984"/>
      <c r="Q992" s="984"/>
      <c r="R992" s="984"/>
      <c r="S992" s="984"/>
      <c r="T992" s="984"/>
      <c r="U992" s="984"/>
      <c r="V992" s="984"/>
      <c r="W992" s="984"/>
      <c r="X992" s="984"/>
      <c r="Y992" s="984"/>
      <c r="Z992" s="984"/>
    </row>
    <row r="993" spans="1:26" ht="18" customHeight="1" x14ac:dyDescent="0.35">
      <c r="A993" s="984"/>
      <c r="B993" s="984"/>
      <c r="C993" s="984"/>
      <c r="D993" s="984"/>
      <c r="E993" s="984"/>
      <c r="F993" s="984"/>
      <c r="G993" s="984"/>
      <c r="H993" s="984"/>
      <c r="I993" s="984"/>
      <c r="J993" s="984"/>
      <c r="K993" s="984"/>
      <c r="L993" s="984"/>
      <c r="M993" s="984"/>
      <c r="N993" s="984"/>
      <c r="O993" s="984"/>
      <c r="P993" s="984"/>
      <c r="Q993" s="984"/>
      <c r="R993" s="984"/>
      <c r="S993" s="984"/>
      <c r="T993" s="984"/>
      <c r="U993" s="984"/>
      <c r="V993" s="984"/>
      <c r="W993" s="984"/>
      <c r="X993" s="984"/>
      <c r="Y993" s="984"/>
      <c r="Z993" s="984"/>
    </row>
    <row r="994" spans="1:26" ht="18" customHeight="1" x14ac:dyDescent="0.35">
      <c r="A994" s="984"/>
      <c r="B994" s="984"/>
      <c r="C994" s="984"/>
      <c r="D994" s="984"/>
      <c r="E994" s="984"/>
      <c r="F994" s="984"/>
      <c r="G994" s="984"/>
      <c r="H994" s="984"/>
      <c r="I994" s="984"/>
      <c r="J994" s="984"/>
      <c r="K994" s="984"/>
      <c r="L994" s="984"/>
      <c r="M994" s="984"/>
      <c r="N994" s="984"/>
      <c r="O994" s="984"/>
      <c r="P994" s="984"/>
      <c r="Q994" s="984"/>
      <c r="R994" s="984"/>
      <c r="S994" s="984"/>
      <c r="T994" s="984"/>
      <c r="U994" s="984"/>
      <c r="V994" s="984"/>
      <c r="W994" s="984"/>
      <c r="X994" s="984"/>
      <c r="Y994" s="984"/>
      <c r="Z994" s="984"/>
    </row>
    <row r="995" spans="1:26" ht="18" customHeight="1" x14ac:dyDescent="0.35">
      <c r="A995" s="984"/>
      <c r="B995" s="984"/>
      <c r="C995" s="984"/>
      <c r="D995" s="984"/>
      <c r="E995" s="984"/>
      <c r="F995" s="984"/>
      <c r="G995" s="984"/>
      <c r="H995" s="984"/>
      <c r="I995" s="984"/>
      <c r="J995" s="984"/>
      <c r="K995" s="984"/>
      <c r="L995" s="984"/>
      <c r="M995" s="984"/>
      <c r="N995" s="984"/>
      <c r="O995" s="984"/>
      <c r="P995" s="984"/>
      <c r="Q995" s="984"/>
      <c r="R995" s="984"/>
      <c r="S995" s="984"/>
      <c r="T995" s="984"/>
      <c r="U995" s="984"/>
      <c r="V995" s="984"/>
      <c r="W995" s="984"/>
      <c r="X995" s="984"/>
      <c r="Y995" s="984"/>
      <c r="Z995" s="984"/>
    </row>
    <row r="996" spans="1:26" ht="18" customHeight="1" x14ac:dyDescent="0.35">
      <c r="A996" s="984"/>
      <c r="B996" s="984"/>
      <c r="C996" s="984"/>
      <c r="D996" s="984"/>
      <c r="E996" s="984"/>
      <c r="F996" s="984"/>
      <c r="G996" s="984"/>
      <c r="H996" s="984"/>
      <c r="I996" s="984"/>
      <c r="J996" s="984"/>
      <c r="K996" s="984"/>
      <c r="L996" s="984"/>
      <c r="M996" s="984"/>
      <c r="N996" s="984"/>
      <c r="O996" s="984"/>
      <c r="P996" s="984"/>
      <c r="Q996" s="984"/>
      <c r="R996" s="984"/>
      <c r="S996" s="984"/>
      <c r="T996" s="984"/>
      <c r="U996" s="984"/>
      <c r="V996" s="984"/>
      <c r="W996" s="984"/>
      <c r="X996" s="984"/>
      <c r="Y996" s="984"/>
      <c r="Z996" s="984"/>
    </row>
    <row r="997" spans="1:26" ht="18" customHeight="1" x14ac:dyDescent="0.35">
      <c r="A997" s="984"/>
      <c r="B997" s="984"/>
      <c r="C997" s="984"/>
      <c r="D997" s="984"/>
      <c r="E997" s="984"/>
      <c r="F997" s="984"/>
      <c r="G997" s="984"/>
      <c r="H997" s="984"/>
      <c r="I997" s="984"/>
      <c r="J997" s="984"/>
      <c r="K997" s="984"/>
      <c r="L997" s="984"/>
      <c r="M997" s="984"/>
      <c r="N997" s="984"/>
      <c r="O997" s="984"/>
      <c r="P997" s="984"/>
      <c r="Q997" s="984"/>
      <c r="R997" s="984"/>
      <c r="S997" s="984"/>
      <c r="T997" s="984"/>
      <c r="U997" s="984"/>
      <c r="V997" s="984"/>
      <c r="W997" s="984"/>
      <c r="X997" s="984"/>
      <c r="Y997" s="984"/>
      <c r="Z997" s="984"/>
    </row>
    <row r="998" spans="1:26" ht="18" customHeight="1" x14ac:dyDescent="0.35">
      <c r="A998" s="984"/>
      <c r="B998" s="984"/>
      <c r="C998" s="984"/>
      <c r="D998" s="984"/>
      <c r="E998" s="984"/>
      <c r="F998" s="984"/>
      <c r="G998" s="984"/>
      <c r="H998" s="984"/>
      <c r="I998" s="984"/>
      <c r="J998" s="984"/>
      <c r="K998" s="984"/>
      <c r="L998" s="984"/>
      <c r="M998" s="984"/>
      <c r="N998" s="984"/>
      <c r="O998" s="984"/>
      <c r="P998" s="984"/>
      <c r="Q998" s="984"/>
      <c r="R998" s="984"/>
      <c r="S998" s="984"/>
      <c r="T998" s="984"/>
      <c r="U998" s="984"/>
      <c r="V998" s="984"/>
      <c r="W998" s="984"/>
      <c r="X998" s="984"/>
      <c r="Y998" s="984"/>
      <c r="Z998" s="984"/>
    </row>
    <row r="999" spans="1:26" ht="18" customHeight="1" x14ac:dyDescent="0.35">
      <c r="A999" s="984"/>
      <c r="B999" s="984"/>
      <c r="C999" s="984"/>
      <c r="D999" s="984"/>
      <c r="E999" s="984"/>
      <c r="F999" s="984"/>
      <c r="G999" s="984"/>
      <c r="H999" s="984"/>
      <c r="I999" s="984"/>
      <c r="J999" s="984"/>
      <c r="K999" s="984"/>
      <c r="L999" s="984"/>
      <c r="M999" s="984"/>
      <c r="N999" s="984"/>
      <c r="O999" s="984"/>
      <c r="P999" s="984"/>
      <c r="Q999" s="984"/>
      <c r="R999" s="984"/>
      <c r="S999" s="984"/>
      <c r="T999" s="984"/>
      <c r="U999" s="984"/>
      <c r="V999" s="984"/>
      <c r="W999" s="984"/>
      <c r="X999" s="984"/>
      <c r="Y999" s="984"/>
      <c r="Z999" s="984"/>
    </row>
    <row r="1000" spans="1:26" ht="18" customHeight="1" x14ac:dyDescent="0.35">
      <c r="A1000" s="984"/>
      <c r="B1000" s="984"/>
      <c r="C1000" s="984"/>
      <c r="D1000" s="984"/>
      <c r="E1000" s="984"/>
      <c r="F1000" s="984"/>
      <c r="G1000" s="984"/>
      <c r="H1000" s="984"/>
      <c r="I1000" s="984"/>
      <c r="J1000" s="984"/>
      <c r="K1000" s="984"/>
      <c r="L1000" s="984"/>
      <c r="M1000" s="984"/>
      <c r="N1000" s="984"/>
      <c r="O1000" s="984"/>
      <c r="P1000" s="984"/>
      <c r="Q1000" s="984"/>
      <c r="R1000" s="984"/>
      <c r="S1000" s="984"/>
      <c r="T1000" s="984"/>
      <c r="U1000" s="984"/>
      <c r="V1000" s="984"/>
      <c r="W1000" s="984"/>
      <c r="X1000" s="984"/>
      <c r="Y1000" s="984"/>
      <c r="Z1000" s="984"/>
    </row>
  </sheetData>
  <mergeCells count="10">
    <mergeCell ref="F21:G21"/>
    <mergeCell ref="D24:E24"/>
    <mergeCell ref="B25:C26"/>
    <mergeCell ref="A1:G2"/>
    <mergeCell ref="A3:A4"/>
    <mergeCell ref="C3:D3"/>
    <mergeCell ref="C4:D4"/>
    <mergeCell ref="C6:D6"/>
    <mergeCell ref="E16:G18"/>
    <mergeCell ref="F20:G20"/>
  </mergeCells>
  <conditionalFormatting sqref="C3 C19">
    <cfRule type="beginsWith" dxfId="2" priority="1" operator="beginsWith" text="Boulons">
      <formula>LEFT((C3),LEN("Boulons"))=("Boulons")</formula>
    </cfRule>
  </conditionalFormatting>
  <conditionalFormatting sqref="C3">
    <cfRule type="containsText" dxfId="1" priority="2" operator="containsText" text="Boulons et Platines">
      <formula>NOT(ISERROR(SEARCH(("Boulons et Platines"),(C3))))</formula>
    </cfRule>
  </conditionalFormatting>
  <conditionalFormatting sqref="F19">
    <cfRule type="containsText" dxfId="0" priority="3" operator="containsText" text="Oui">
      <formula>NOT(ISERROR(SEARCH(("Oui"),(F19))))</formula>
    </cfRule>
  </conditionalFormatting>
  <dataValidations count="5">
    <dataValidation type="list" allowBlank="1" showErrorMessage="1" sqref="C13" xr:uid="{00000000-0002-0000-1800-000000000000}">
      <formula1>$A$90:$A$91</formula1>
    </dataValidation>
    <dataValidation type="list" allowBlank="1" showErrorMessage="1" sqref="C19" xr:uid="{00000000-0002-0000-1800-000001000000}">
      <formula1>$A$81:$A$82</formula1>
    </dataValidation>
    <dataValidation type="list" allowBlank="1" showErrorMessage="1" sqref="F13 F15 F19" xr:uid="{00000000-0002-0000-1800-000002000000}">
      <formula1>#REF!</formula1>
    </dataValidation>
    <dataValidation type="list" allowBlank="1" showErrorMessage="1" sqref="C15" xr:uid="{00000000-0002-0000-1800-000003000000}">
      <formula1>$A$94:$A$95</formula1>
    </dataValidation>
    <dataValidation type="list" allowBlank="1" showErrorMessage="1" sqref="F21" xr:uid="{00000000-0002-0000-1800-000006000000}">
      <formula1>$A$85:$A$87</formula1>
    </dataValidation>
  </dataValidations>
  <pageMargins left="0.31496062992125984" right="0.31496062992125984" top="0.55118110236220474" bottom="0.55118110236220474" header="0" footer="0"/>
  <pageSetup paperSize="9" scale="55" orientation="portrait"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ErrorMessage="1" xr:uid="{00000000-0002-0000-1800-000004000000}">
          <x14:formula1>
            <xm:f>'Infos Clients'!$A$19:$A$20</xm:f>
          </x14:formula1>
          <xm:sqref>F9</xm:sqref>
        </x14:dataValidation>
        <x14:dataValidation type="list" allowBlank="1" showErrorMessage="1" xr:uid="{00000000-0002-0000-1800-000005000000}">
          <x14:formula1>
            <xm:f>'Infos Clients'!$B$2:$B$8</xm:f>
          </x14:formula1>
          <xm:sqref>F10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L1000"/>
  <sheetViews>
    <sheetView topLeftCell="A40" workbookViewId="0"/>
  </sheetViews>
  <sheetFormatPr baseColWidth="10" defaultColWidth="14.44140625" defaultRowHeight="15" customHeight="1" x14ac:dyDescent="0.3"/>
  <cols>
    <col min="1" max="1" width="29.33203125" customWidth="1"/>
    <col min="2" max="2" width="10.6640625" customWidth="1"/>
    <col min="3" max="3" width="15.109375" customWidth="1"/>
    <col min="4" max="4" width="14.33203125" customWidth="1"/>
    <col min="5" max="5" width="14.88671875" customWidth="1"/>
    <col min="6" max="8" width="10.6640625" customWidth="1"/>
    <col min="9" max="9" width="12.5546875" customWidth="1"/>
    <col min="10" max="11" width="10.6640625" customWidth="1"/>
    <col min="12" max="12" width="11.44140625" customWidth="1"/>
    <col min="13" max="26" width="10.6640625" customWidth="1"/>
  </cols>
  <sheetData>
    <row r="1" spans="1:12" ht="14.25" customHeight="1" x14ac:dyDescent="0.3">
      <c r="B1" s="1053" t="s">
        <v>622</v>
      </c>
      <c r="C1" s="1053" t="s">
        <v>211</v>
      </c>
      <c r="D1" s="1053" t="s">
        <v>623</v>
      </c>
      <c r="E1" s="1053" t="s">
        <v>624</v>
      </c>
      <c r="F1" s="1053" t="s">
        <v>625</v>
      </c>
      <c r="G1" s="1054" t="s">
        <v>626</v>
      </c>
      <c r="H1" s="1054" t="s">
        <v>627</v>
      </c>
      <c r="I1" s="1053" t="s">
        <v>628</v>
      </c>
      <c r="J1" s="1053" t="s">
        <v>629</v>
      </c>
      <c r="K1" s="1053" t="s">
        <v>630</v>
      </c>
      <c r="L1" s="123" t="s">
        <v>631</v>
      </c>
    </row>
    <row r="2" spans="1:12" ht="14.25" customHeight="1" x14ac:dyDescent="0.3">
      <c r="B2" s="1053"/>
      <c r="C2" s="1053"/>
      <c r="D2" s="1053"/>
      <c r="E2" s="1053"/>
      <c r="F2" s="1053"/>
      <c r="G2" s="1053"/>
      <c r="H2" s="1053"/>
      <c r="I2" s="1053"/>
      <c r="J2" s="1053">
        <v>0.03</v>
      </c>
      <c r="L2" s="123"/>
    </row>
    <row r="3" spans="1:12" ht="14.25" customHeight="1" x14ac:dyDescent="0.3">
      <c r="A3" s="125">
        <v>1</v>
      </c>
      <c r="B3" s="125">
        <v>2</v>
      </c>
      <c r="C3" s="125">
        <v>3</v>
      </c>
      <c r="D3" s="125">
        <v>4</v>
      </c>
      <c r="E3" s="125">
        <v>5</v>
      </c>
      <c r="F3" s="125">
        <v>6</v>
      </c>
      <c r="G3" s="125">
        <v>7</v>
      </c>
      <c r="H3" s="125">
        <v>8</v>
      </c>
      <c r="I3" s="125">
        <v>9</v>
      </c>
      <c r="J3" s="125">
        <v>10</v>
      </c>
      <c r="K3" s="125">
        <v>11</v>
      </c>
      <c r="L3" s="125">
        <v>12</v>
      </c>
    </row>
    <row r="4" spans="1:12" ht="14.25" customHeight="1" x14ac:dyDescent="0.3">
      <c r="A4" s="1055" t="s">
        <v>632</v>
      </c>
      <c r="B4" s="1056">
        <v>0.55400000000000005</v>
      </c>
      <c r="C4" s="1057"/>
      <c r="D4" s="1057"/>
      <c r="E4" s="1057"/>
      <c r="F4" s="1057"/>
      <c r="G4" s="1057"/>
      <c r="H4" s="1057"/>
      <c r="I4" s="1057"/>
      <c r="J4" s="1057"/>
      <c r="K4" s="1057"/>
      <c r="L4" s="1058"/>
    </row>
    <row r="5" spans="1:12" ht="14.25" customHeight="1" x14ac:dyDescent="0.3">
      <c r="A5" s="1059" t="s">
        <v>633</v>
      </c>
      <c r="B5" s="1060">
        <v>0.20899999999999999</v>
      </c>
      <c r="C5" s="1061"/>
      <c r="D5" s="1061"/>
      <c r="E5" s="1061"/>
      <c r="F5" s="1061"/>
      <c r="G5" s="1061"/>
      <c r="H5" s="1061"/>
      <c r="I5" s="1061"/>
      <c r="J5" s="1061"/>
      <c r="K5" s="1061"/>
      <c r="L5" s="1062"/>
    </row>
    <row r="6" spans="1:12" ht="14.25" customHeight="1" x14ac:dyDescent="0.3">
      <c r="A6" s="1059" t="s">
        <v>375</v>
      </c>
      <c r="B6" s="1063">
        <v>10.96</v>
      </c>
      <c r="C6" s="1064"/>
      <c r="D6" s="1064"/>
      <c r="E6" s="1064"/>
      <c r="F6" s="1064"/>
      <c r="G6" s="1064">
        <v>1.45</v>
      </c>
      <c r="H6" s="1064"/>
      <c r="I6" s="1064">
        <f t="shared" ref="I6:I25" si="0">SUM(B6:H6)</f>
        <v>12.41</v>
      </c>
      <c r="J6" s="1064">
        <f t="shared" ref="J6:J25" si="1">I6/0.97</f>
        <v>12.793814432989691</v>
      </c>
      <c r="K6" s="1061">
        <v>3.08</v>
      </c>
      <c r="L6" s="1062">
        <v>1.63</v>
      </c>
    </row>
    <row r="7" spans="1:12" ht="14.25" customHeight="1" x14ac:dyDescent="0.3">
      <c r="A7" s="1059" t="s">
        <v>113</v>
      </c>
      <c r="B7" s="1063">
        <f>55.62/(2.1*1.45)</f>
        <v>18.266009852216747</v>
      </c>
      <c r="C7" s="1064"/>
      <c r="D7" s="1064"/>
      <c r="E7" s="1064"/>
      <c r="F7" s="1064"/>
      <c r="G7" s="1064">
        <v>1.45</v>
      </c>
      <c r="H7" s="1064"/>
      <c r="I7" s="1064">
        <f t="shared" si="0"/>
        <v>19.716009852216747</v>
      </c>
      <c r="J7" s="1064">
        <f t="shared" si="1"/>
        <v>20.325783352800769</v>
      </c>
      <c r="K7" s="1061">
        <v>3.08</v>
      </c>
      <c r="L7" s="1062">
        <v>3.25</v>
      </c>
    </row>
    <row r="8" spans="1:12" ht="14.25" customHeight="1" x14ac:dyDescent="0.3">
      <c r="A8" s="1059" t="s">
        <v>545</v>
      </c>
      <c r="B8" s="1063">
        <v>11.4</v>
      </c>
      <c r="C8" s="1064"/>
      <c r="D8" s="1064">
        <v>0.15</v>
      </c>
      <c r="E8" s="1064">
        <v>0.25</v>
      </c>
      <c r="F8" s="1064">
        <v>0.05</v>
      </c>
      <c r="G8" s="1064"/>
      <c r="H8" s="1064"/>
      <c r="I8" s="1064">
        <f t="shared" si="0"/>
        <v>11.850000000000001</v>
      </c>
      <c r="J8" s="1064">
        <f t="shared" si="1"/>
        <v>12.216494845360826</v>
      </c>
      <c r="K8" s="1061">
        <v>0.48399999999999999</v>
      </c>
      <c r="L8" s="1062">
        <v>9.5</v>
      </c>
    </row>
    <row r="9" spans="1:12" ht="14.25" customHeight="1" x14ac:dyDescent="0.3">
      <c r="A9" s="1065" t="s">
        <v>61</v>
      </c>
      <c r="B9" s="1066">
        <v>17.95</v>
      </c>
      <c r="C9" s="1064"/>
      <c r="D9" s="1064">
        <v>0.15</v>
      </c>
      <c r="E9" s="1064">
        <v>0.25</v>
      </c>
      <c r="F9" s="1064">
        <v>0.05</v>
      </c>
      <c r="G9" s="1064"/>
      <c r="H9" s="1064"/>
      <c r="I9" s="1064">
        <f t="shared" si="0"/>
        <v>18.399999999999999</v>
      </c>
      <c r="J9" s="1064">
        <f t="shared" si="1"/>
        <v>18.969072164948454</v>
      </c>
      <c r="K9" s="1061">
        <v>0.48399999999999999</v>
      </c>
      <c r="L9" s="1062">
        <v>10</v>
      </c>
    </row>
    <row r="10" spans="1:12" ht="14.25" customHeight="1" x14ac:dyDescent="0.3">
      <c r="A10" s="1065" t="s">
        <v>392</v>
      </c>
      <c r="B10" s="1066">
        <v>43.62</v>
      </c>
      <c r="C10" s="1064"/>
      <c r="D10" s="1064">
        <v>0.15</v>
      </c>
      <c r="E10" s="1064">
        <v>0.25</v>
      </c>
      <c r="F10" s="1064">
        <v>0.05</v>
      </c>
      <c r="G10" s="1064"/>
      <c r="H10" s="1064"/>
      <c r="I10" s="1064">
        <f t="shared" si="0"/>
        <v>44.069999999999993</v>
      </c>
      <c r="J10" s="1064">
        <f t="shared" si="1"/>
        <v>45.432989690721641</v>
      </c>
      <c r="K10" s="1061">
        <v>0.48399999999999999</v>
      </c>
      <c r="L10" s="1062">
        <v>10</v>
      </c>
    </row>
    <row r="11" spans="1:12" ht="14.25" customHeight="1" x14ac:dyDescent="0.3">
      <c r="A11" s="1059" t="s">
        <v>567</v>
      </c>
      <c r="B11" s="1063">
        <f>12.89/(3*2.1)</f>
        <v>2.0460317460317459</v>
      </c>
      <c r="C11" s="1064"/>
      <c r="D11" s="1064"/>
      <c r="E11" s="1064"/>
      <c r="F11" s="1064"/>
      <c r="G11" s="1064"/>
      <c r="H11" s="1067">
        <v>0.20899999999999999</v>
      </c>
      <c r="I11" s="1064">
        <f t="shared" si="0"/>
        <v>2.2550317460317459</v>
      </c>
      <c r="J11" s="1064">
        <f t="shared" si="1"/>
        <v>2.3247749959090167</v>
      </c>
      <c r="K11" s="1061">
        <v>0.39</v>
      </c>
      <c r="L11" s="1062">
        <v>1</v>
      </c>
    </row>
    <row r="12" spans="1:12" ht="14.25" customHeight="1" x14ac:dyDescent="0.3">
      <c r="A12" s="1068" t="s">
        <v>634</v>
      </c>
      <c r="B12" s="1063">
        <f>(3.78*2)+2.05</f>
        <v>9.61</v>
      </c>
      <c r="C12" s="1064"/>
      <c r="D12" s="1064"/>
      <c r="E12" s="1064"/>
      <c r="F12" s="1064"/>
      <c r="G12" s="1064">
        <v>1.45</v>
      </c>
      <c r="H12" s="1067">
        <v>0.20899999999999999</v>
      </c>
      <c r="I12" s="1064">
        <f t="shared" si="0"/>
        <v>11.268999999999998</v>
      </c>
      <c r="J12" s="1064">
        <f t="shared" si="1"/>
        <v>11.617525773195874</v>
      </c>
      <c r="K12" s="1061">
        <v>3.2</v>
      </c>
      <c r="L12" s="1062">
        <v>1.5</v>
      </c>
    </row>
    <row r="13" spans="1:12" ht="14.25" customHeight="1" x14ac:dyDescent="0.3">
      <c r="A13" s="1059" t="s">
        <v>198</v>
      </c>
      <c r="B13" s="1063">
        <f>16.4/(3*2.1)</f>
        <v>2.6031746031746028</v>
      </c>
      <c r="C13" s="1064"/>
      <c r="D13" s="1064"/>
      <c r="E13" s="1064"/>
      <c r="F13" s="1064"/>
      <c r="G13" s="1064"/>
      <c r="H13" s="1067">
        <v>0.20899999999999999</v>
      </c>
      <c r="I13" s="1064">
        <f t="shared" si="0"/>
        <v>2.8121746031746029</v>
      </c>
      <c r="J13" s="1064">
        <f t="shared" si="1"/>
        <v>2.8991490754377351</v>
      </c>
      <c r="K13" s="1061">
        <v>0.45</v>
      </c>
      <c r="L13" s="1062">
        <v>1.9</v>
      </c>
    </row>
    <row r="14" spans="1:12" ht="14.25" customHeight="1" x14ac:dyDescent="0.3">
      <c r="A14" s="1059" t="s">
        <v>394</v>
      </c>
      <c r="B14" s="1063">
        <v>21</v>
      </c>
      <c r="C14" s="1064"/>
      <c r="D14" s="1064">
        <v>0.15</v>
      </c>
      <c r="E14" s="1064">
        <v>0.25</v>
      </c>
      <c r="F14" s="1064"/>
      <c r="G14" s="1064"/>
      <c r="H14" s="1067"/>
      <c r="I14" s="1064">
        <f t="shared" si="0"/>
        <v>21.4</v>
      </c>
      <c r="J14" s="1064">
        <f t="shared" si="1"/>
        <v>22.061855670103093</v>
      </c>
      <c r="K14" s="1061">
        <v>0.48399999999999999</v>
      </c>
      <c r="L14" s="1062">
        <v>21</v>
      </c>
    </row>
    <row r="15" spans="1:12" ht="14.25" customHeight="1" x14ac:dyDescent="0.3">
      <c r="A15" s="124" t="s">
        <v>554</v>
      </c>
      <c r="B15" s="1069">
        <v>7.42</v>
      </c>
      <c r="E15" s="125">
        <v>0.5</v>
      </c>
      <c r="I15" s="1064">
        <f t="shared" si="0"/>
        <v>7.92</v>
      </c>
      <c r="J15" s="1064">
        <f t="shared" si="1"/>
        <v>8.1649484536082468</v>
      </c>
      <c r="K15" s="125">
        <v>6</v>
      </c>
      <c r="L15" s="1062">
        <v>0.5</v>
      </c>
    </row>
    <row r="16" spans="1:12" ht="14.25" customHeight="1" x14ac:dyDescent="0.3">
      <c r="A16" s="1059" t="s">
        <v>262</v>
      </c>
      <c r="B16" s="1063">
        <v>11.94</v>
      </c>
      <c r="C16" s="1064"/>
      <c r="D16" s="1064"/>
      <c r="E16" s="1064"/>
      <c r="F16" s="1064"/>
      <c r="G16" s="1064">
        <v>1.45</v>
      </c>
      <c r="H16" s="1064"/>
      <c r="I16" s="1064">
        <f t="shared" si="0"/>
        <v>13.389999999999999</v>
      </c>
      <c r="J16" s="1064">
        <f t="shared" si="1"/>
        <v>13.804123711340205</v>
      </c>
      <c r="K16" s="1061">
        <v>2.9</v>
      </c>
      <c r="L16" s="1062">
        <v>1.0499999999999998</v>
      </c>
    </row>
    <row r="17" spans="1:12" ht="14.25" customHeight="1" x14ac:dyDescent="0.3">
      <c r="A17" s="1059" t="s">
        <v>37</v>
      </c>
      <c r="B17" s="1063">
        <f>65.64/(2.75*1.2)</f>
        <v>19.890909090909091</v>
      </c>
      <c r="C17" s="1064"/>
      <c r="D17" s="1064"/>
      <c r="E17" s="1064"/>
      <c r="F17" s="1064"/>
      <c r="G17" s="1064">
        <v>1.45</v>
      </c>
      <c r="H17" s="1064"/>
      <c r="I17" s="1064">
        <f t="shared" si="0"/>
        <v>21.34090909090909</v>
      </c>
      <c r="J17" s="1064">
        <f t="shared" si="1"/>
        <v>22.000937207122774</v>
      </c>
      <c r="K17" s="1061">
        <v>2.9</v>
      </c>
      <c r="L17" s="1062">
        <v>1.75</v>
      </c>
    </row>
    <row r="18" spans="1:12" ht="14.25" customHeight="1" x14ac:dyDescent="0.3">
      <c r="A18" s="1059" t="s">
        <v>342</v>
      </c>
      <c r="B18" s="1063">
        <v>31.82</v>
      </c>
      <c r="C18" s="1064"/>
      <c r="D18" s="1064"/>
      <c r="E18" s="1064"/>
      <c r="F18" s="1064"/>
      <c r="G18" s="1064">
        <v>1.45</v>
      </c>
      <c r="H18" s="1064"/>
      <c r="I18" s="1064">
        <f t="shared" si="0"/>
        <v>33.270000000000003</v>
      </c>
      <c r="J18" s="1064">
        <f t="shared" si="1"/>
        <v>34.298969072164951</v>
      </c>
      <c r="K18" s="1061">
        <v>2.9</v>
      </c>
      <c r="L18" s="1062">
        <v>2.8</v>
      </c>
    </row>
    <row r="19" spans="1:12" ht="14.25" customHeight="1" x14ac:dyDescent="0.3">
      <c r="A19" s="1059" t="s">
        <v>582</v>
      </c>
      <c r="B19" s="1063">
        <f>76.33/(2.75*0.6)</f>
        <v>46.260606060606065</v>
      </c>
      <c r="C19" s="1064"/>
      <c r="D19" s="1064"/>
      <c r="E19" s="1064"/>
      <c r="F19" s="1064"/>
      <c r="G19" s="1064">
        <v>1.45</v>
      </c>
      <c r="H19" s="1064"/>
      <c r="I19" s="1064">
        <f t="shared" si="0"/>
        <v>47.710606060606068</v>
      </c>
      <c r="J19" s="1064">
        <f t="shared" si="1"/>
        <v>49.186191815057803</v>
      </c>
      <c r="K19" s="1061">
        <v>2.9</v>
      </c>
      <c r="L19" s="1062">
        <v>1.75</v>
      </c>
    </row>
    <row r="20" spans="1:12" ht="14.25" customHeight="1" x14ac:dyDescent="0.3">
      <c r="A20" s="1059" t="s">
        <v>559</v>
      </c>
      <c r="B20" s="1066">
        <v>10.52</v>
      </c>
      <c r="C20" s="1070">
        <v>1.1499999999999999</v>
      </c>
      <c r="D20" s="1064">
        <v>0.15</v>
      </c>
      <c r="E20" s="1064">
        <v>0.25</v>
      </c>
      <c r="F20" s="1064"/>
      <c r="G20" s="1064"/>
      <c r="H20" s="1067">
        <v>0.20899999999999999</v>
      </c>
      <c r="I20" s="1064">
        <f t="shared" si="0"/>
        <v>12.279</v>
      </c>
      <c r="J20" s="1064">
        <f t="shared" si="1"/>
        <v>12.658762886597938</v>
      </c>
      <c r="K20" s="1061">
        <v>0.83799999999999997</v>
      </c>
      <c r="L20" s="1062">
        <v>4.5</v>
      </c>
    </row>
    <row r="21" spans="1:12" ht="14.25" customHeight="1" x14ac:dyDescent="0.3">
      <c r="A21" s="1059" t="s">
        <v>561</v>
      </c>
      <c r="B21" s="1066">
        <v>14.23</v>
      </c>
      <c r="C21" s="1070">
        <v>1.1499999999999999</v>
      </c>
      <c r="D21" s="1064">
        <v>0.15</v>
      </c>
      <c r="E21" s="1064">
        <v>0.25</v>
      </c>
      <c r="F21" s="1064"/>
      <c r="G21" s="1064"/>
      <c r="H21" s="1067">
        <v>0.20899999999999999</v>
      </c>
      <c r="I21" s="1064">
        <f t="shared" si="0"/>
        <v>15.989000000000001</v>
      </c>
      <c r="J21" s="1064">
        <f t="shared" si="1"/>
        <v>16.483505154639175</v>
      </c>
      <c r="K21" s="1061">
        <v>0.83799999999999997</v>
      </c>
      <c r="L21" s="1062">
        <v>6.75</v>
      </c>
    </row>
    <row r="22" spans="1:12" ht="14.25" customHeight="1" x14ac:dyDescent="0.3">
      <c r="A22" s="1059" t="s">
        <v>532</v>
      </c>
      <c r="B22" s="1071">
        <v>14.214</v>
      </c>
      <c r="C22" s="1064"/>
      <c r="D22" s="1064"/>
      <c r="E22" s="1064"/>
      <c r="F22" s="1064"/>
      <c r="G22" s="1064"/>
      <c r="H22" s="1064"/>
      <c r="I22" s="1064">
        <f t="shared" si="0"/>
        <v>14.214</v>
      </c>
      <c r="J22" s="1064">
        <f t="shared" si="1"/>
        <v>14.653608247422682</v>
      </c>
      <c r="K22" s="1061">
        <v>3.08</v>
      </c>
      <c r="L22" s="1062">
        <v>0.1</v>
      </c>
    </row>
    <row r="23" spans="1:12" ht="14.25" customHeight="1" x14ac:dyDescent="0.3">
      <c r="A23" s="1059" t="s">
        <v>534</v>
      </c>
      <c r="B23" s="1069">
        <v>2.82</v>
      </c>
      <c r="C23" s="1064"/>
      <c r="D23" s="1064"/>
      <c r="E23" s="1064"/>
      <c r="F23" s="1064"/>
      <c r="G23" s="1064"/>
      <c r="H23" s="1064"/>
      <c r="I23" s="1064">
        <f t="shared" si="0"/>
        <v>2.82</v>
      </c>
      <c r="J23" s="1064">
        <f t="shared" si="1"/>
        <v>2.9072164948453607</v>
      </c>
      <c r="K23" s="1061">
        <v>3.08</v>
      </c>
      <c r="L23" s="1062">
        <v>0.1</v>
      </c>
    </row>
    <row r="24" spans="1:12" ht="14.25" customHeight="1" x14ac:dyDescent="0.3">
      <c r="A24" s="1059" t="s">
        <v>536</v>
      </c>
      <c r="B24" s="1069">
        <v>5.2</v>
      </c>
      <c r="C24" s="1064"/>
      <c r="D24" s="1064"/>
      <c r="E24" s="1064"/>
      <c r="F24" s="1064"/>
      <c r="G24" s="1064"/>
      <c r="H24" s="1064"/>
      <c r="I24" s="1064">
        <f t="shared" si="0"/>
        <v>5.2</v>
      </c>
      <c r="J24" s="1064">
        <f t="shared" si="1"/>
        <v>5.3608247422680417</v>
      </c>
      <c r="K24" s="1061">
        <v>3.08</v>
      </c>
      <c r="L24" s="1062">
        <v>0.1</v>
      </c>
    </row>
    <row r="25" spans="1:12" ht="14.25" customHeight="1" x14ac:dyDescent="0.3">
      <c r="A25" s="1059" t="s">
        <v>570</v>
      </c>
      <c r="B25" s="1063">
        <f>(171.4+55)/(7*2.1)</f>
        <v>15.401360544217686</v>
      </c>
      <c r="C25" s="1064"/>
      <c r="D25" s="1064"/>
      <c r="E25" s="1064">
        <v>0.25</v>
      </c>
      <c r="F25" s="1064"/>
      <c r="G25" s="1064"/>
      <c r="H25" s="1064">
        <v>0.3</v>
      </c>
      <c r="I25" s="1064">
        <f t="shared" si="0"/>
        <v>15.951360544217687</v>
      </c>
      <c r="J25" s="1064">
        <f t="shared" si="1"/>
        <v>16.444701591976997</v>
      </c>
      <c r="K25" s="1061">
        <v>2.95</v>
      </c>
      <c r="L25" s="1062">
        <v>1.9</v>
      </c>
    </row>
    <row r="26" spans="1:12" ht="14.25" customHeight="1" x14ac:dyDescent="0.3">
      <c r="A26" s="1068" t="s">
        <v>635</v>
      </c>
      <c r="B26" s="1072"/>
      <c r="C26" s="1064"/>
      <c r="D26" s="1064"/>
      <c r="E26" s="1064"/>
      <c r="F26" s="1064"/>
      <c r="G26" s="1064"/>
      <c r="H26" s="1064"/>
      <c r="I26" s="1064"/>
      <c r="J26" s="1070">
        <v>0.85</v>
      </c>
      <c r="K26" s="1061">
        <v>0</v>
      </c>
      <c r="L26" s="1062"/>
    </row>
    <row r="27" spans="1:12" ht="14.25" customHeight="1" x14ac:dyDescent="0.3">
      <c r="A27" s="1059" t="s">
        <v>19</v>
      </c>
      <c r="B27" s="1063">
        <v>8.68</v>
      </c>
      <c r="C27" s="1064"/>
      <c r="D27" s="1064"/>
      <c r="E27" s="1064"/>
      <c r="F27" s="1064"/>
      <c r="G27" s="1064"/>
      <c r="H27" s="1064"/>
      <c r="I27" s="1064">
        <f t="shared" ref="I27:I58" si="2">SUM(B27:H27)</f>
        <v>8.68</v>
      </c>
      <c r="J27" s="1064">
        <f t="shared" ref="J27:J58" si="3">I27/0.97</f>
        <v>8.9484536082474229</v>
      </c>
      <c r="K27" s="1061">
        <v>5.74</v>
      </c>
      <c r="L27" s="1062">
        <v>0.3</v>
      </c>
    </row>
    <row r="28" spans="1:12" ht="14.25" customHeight="1" x14ac:dyDescent="0.3">
      <c r="A28" s="1059" t="s">
        <v>86</v>
      </c>
      <c r="B28" s="1066">
        <v>10.52</v>
      </c>
      <c r="C28" s="1070">
        <v>1.5</v>
      </c>
      <c r="D28" s="1064">
        <v>0.15</v>
      </c>
      <c r="E28" s="1064">
        <v>0.25</v>
      </c>
      <c r="F28" s="1064">
        <v>0.05</v>
      </c>
      <c r="G28" s="1064"/>
      <c r="H28" s="1067">
        <v>0.20899999999999999</v>
      </c>
      <c r="I28" s="1064">
        <f t="shared" si="2"/>
        <v>12.679</v>
      </c>
      <c r="J28" s="1064">
        <f t="shared" si="3"/>
        <v>13.071134020618558</v>
      </c>
      <c r="K28" s="1061">
        <v>0.77300000000000002</v>
      </c>
      <c r="L28" s="1062">
        <v>4.0999999999999996</v>
      </c>
    </row>
    <row r="29" spans="1:12" ht="14.25" customHeight="1" x14ac:dyDescent="0.3">
      <c r="A29" s="1059" t="s">
        <v>10</v>
      </c>
      <c r="B29" s="1066">
        <v>14.23</v>
      </c>
      <c r="C29" s="1070">
        <v>1.5</v>
      </c>
      <c r="D29" s="1064">
        <v>0.15</v>
      </c>
      <c r="E29" s="1064">
        <v>0.25</v>
      </c>
      <c r="F29" s="1064">
        <v>0.05</v>
      </c>
      <c r="G29" s="1064"/>
      <c r="H29" s="1067">
        <v>0.20899999999999999</v>
      </c>
      <c r="I29" s="1064">
        <f t="shared" si="2"/>
        <v>16.389000000000003</v>
      </c>
      <c r="J29" s="1064">
        <f t="shared" si="3"/>
        <v>16.895876288659796</v>
      </c>
      <c r="K29" s="1061">
        <v>0.77300000000000002</v>
      </c>
      <c r="L29" s="1062">
        <v>6.6000000000000005</v>
      </c>
    </row>
    <row r="30" spans="1:12" ht="14.25" customHeight="1" x14ac:dyDescent="0.3">
      <c r="A30" s="1059" t="s">
        <v>563</v>
      </c>
      <c r="B30" s="1066">
        <v>19.89</v>
      </c>
      <c r="C30" s="1070">
        <v>1.5</v>
      </c>
      <c r="D30" s="1064">
        <v>0.15</v>
      </c>
      <c r="E30" s="1064">
        <v>0.25</v>
      </c>
      <c r="F30" s="1064">
        <v>0.05</v>
      </c>
      <c r="G30" s="1064"/>
      <c r="H30" s="1067">
        <v>0.20899999999999999</v>
      </c>
      <c r="I30" s="1064">
        <f t="shared" si="2"/>
        <v>22.048999999999999</v>
      </c>
      <c r="J30" s="1064">
        <f t="shared" si="3"/>
        <v>22.730927835051546</v>
      </c>
      <c r="K30" s="1061">
        <v>0.77300000000000002</v>
      </c>
      <c r="L30" s="1062">
        <v>9.5399999999999991</v>
      </c>
    </row>
    <row r="31" spans="1:12" ht="14.25" customHeight="1" x14ac:dyDescent="0.3">
      <c r="A31" s="1059" t="s">
        <v>391</v>
      </c>
      <c r="B31" s="1066">
        <v>22.454000000000001</v>
      </c>
      <c r="C31" s="1070">
        <v>1.5</v>
      </c>
      <c r="D31" s="1064">
        <v>0.15</v>
      </c>
      <c r="E31" s="1064">
        <v>0.25</v>
      </c>
      <c r="F31" s="1064">
        <v>0.05</v>
      </c>
      <c r="G31" s="1064"/>
      <c r="H31" s="1067">
        <v>0.20899999999999999</v>
      </c>
      <c r="I31" s="1064">
        <f t="shared" si="2"/>
        <v>24.613</v>
      </c>
      <c r="J31" s="1064">
        <f t="shared" si="3"/>
        <v>25.374226804123712</v>
      </c>
      <c r="K31" s="1061">
        <v>0.77300000000000002</v>
      </c>
      <c r="L31" s="1062">
        <v>9.9</v>
      </c>
    </row>
    <row r="32" spans="1:12" ht="14.25" customHeight="1" x14ac:dyDescent="0.3">
      <c r="A32" s="1059" t="s">
        <v>395</v>
      </c>
      <c r="B32" s="1066">
        <v>29.88</v>
      </c>
      <c r="C32" s="1070">
        <v>1.5</v>
      </c>
      <c r="D32" s="1064">
        <v>0.15</v>
      </c>
      <c r="E32" s="1064">
        <v>0.25</v>
      </c>
      <c r="F32" s="1064">
        <v>0.05</v>
      </c>
      <c r="G32" s="1064"/>
      <c r="H32" s="1067">
        <v>0.20899999999999999</v>
      </c>
      <c r="I32" s="1064">
        <f t="shared" si="2"/>
        <v>32.039000000000001</v>
      </c>
      <c r="J32" s="1064">
        <f t="shared" si="3"/>
        <v>33.029896907216497</v>
      </c>
      <c r="K32" s="1061">
        <v>0.77300000000000002</v>
      </c>
      <c r="L32" s="1062">
        <v>13.2</v>
      </c>
    </row>
    <row r="33" spans="1:12" ht="14.25" customHeight="1" x14ac:dyDescent="0.3">
      <c r="A33" s="1059" t="s">
        <v>584</v>
      </c>
      <c r="B33" s="1063">
        <f>9.78/(2*1)</f>
        <v>4.8899999999999997</v>
      </c>
      <c r="C33" s="1064"/>
      <c r="D33" s="1064"/>
      <c r="E33" s="1064"/>
      <c r="F33" s="1064"/>
      <c r="G33" s="1064">
        <v>1.45</v>
      </c>
      <c r="H33" s="1064"/>
      <c r="I33" s="1064">
        <f t="shared" si="2"/>
        <v>6.34</v>
      </c>
      <c r="J33" s="1064">
        <f t="shared" si="3"/>
        <v>6.536082474226804</v>
      </c>
      <c r="K33" s="1061">
        <v>1.8</v>
      </c>
      <c r="L33" s="1062">
        <v>0.28999999999999998</v>
      </c>
    </row>
    <row r="34" spans="1:12" ht="14.25" customHeight="1" x14ac:dyDescent="0.3">
      <c r="A34" s="1059" t="s">
        <v>586</v>
      </c>
      <c r="B34" s="1063">
        <f>19.57/(2*1)</f>
        <v>9.7850000000000001</v>
      </c>
      <c r="C34" s="1064"/>
      <c r="D34" s="1064"/>
      <c r="E34" s="1064"/>
      <c r="F34" s="1064"/>
      <c r="G34" s="1064">
        <v>1.45</v>
      </c>
      <c r="H34" s="1064"/>
      <c r="I34" s="1064">
        <f t="shared" si="2"/>
        <v>11.234999999999999</v>
      </c>
      <c r="J34" s="1064">
        <f t="shared" si="3"/>
        <v>11.582474226804123</v>
      </c>
      <c r="K34" s="1061">
        <v>1.8</v>
      </c>
      <c r="L34" s="1062">
        <v>0.28999999999999998</v>
      </c>
    </row>
    <row r="35" spans="1:12" ht="14.25" customHeight="1" x14ac:dyDescent="0.3">
      <c r="A35" s="1059" t="s">
        <v>588</v>
      </c>
      <c r="B35" s="1063">
        <v>2.4500000000000002</v>
      </c>
      <c r="C35" s="1064"/>
      <c r="D35" s="1064"/>
      <c r="E35" s="1064"/>
      <c r="F35" s="1064"/>
      <c r="G35" s="1064">
        <v>1.45</v>
      </c>
      <c r="H35" s="1064"/>
      <c r="I35" s="1064">
        <f t="shared" si="2"/>
        <v>3.9000000000000004</v>
      </c>
      <c r="J35" s="1064">
        <f t="shared" si="3"/>
        <v>4.0206185567010317</v>
      </c>
      <c r="K35" s="1061">
        <v>1.8</v>
      </c>
      <c r="L35" s="1062">
        <v>0.28999999999999998</v>
      </c>
    </row>
    <row r="36" spans="1:12" ht="14.25" customHeight="1" x14ac:dyDescent="0.3">
      <c r="A36" s="1059" t="s">
        <v>590</v>
      </c>
      <c r="B36" s="1063">
        <v>24.45</v>
      </c>
      <c r="C36" s="1064"/>
      <c r="D36" s="1064"/>
      <c r="E36" s="1064"/>
      <c r="F36" s="1064"/>
      <c r="G36" s="1064">
        <v>1.45</v>
      </c>
      <c r="H36" s="1064"/>
      <c r="I36" s="1064">
        <f t="shared" si="2"/>
        <v>25.9</v>
      </c>
      <c r="J36" s="1064">
        <f t="shared" si="3"/>
        <v>26.701030927835049</v>
      </c>
      <c r="K36" s="1061">
        <v>1.8</v>
      </c>
      <c r="L36" s="1062">
        <v>1.45</v>
      </c>
    </row>
    <row r="37" spans="1:12" ht="14.25" customHeight="1" x14ac:dyDescent="0.3">
      <c r="A37" s="1059" t="s">
        <v>592</v>
      </c>
      <c r="B37" s="1063">
        <f>7.07/(2.03*1.63)</f>
        <v>2.1366617304844513</v>
      </c>
      <c r="C37" s="1064"/>
      <c r="D37" s="1064"/>
      <c r="E37" s="1064"/>
      <c r="F37" s="1064"/>
      <c r="G37" s="1064">
        <v>1.45</v>
      </c>
      <c r="H37" s="1064"/>
      <c r="I37" s="1064">
        <f t="shared" si="2"/>
        <v>3.586661730484451</v>
      </c>
      <c r="J37" s="1064">
        <f t="shared" si="3"/>
        <v>3.6975894128705682</v>
      </c>
      <c r="K37" s="1061">
        <v>2.7</v>
      </c>
      <c r="L37" s="1062">
        <v>0.25</v>
      </c>
    </row>
    <row r="38" spans="1:12" ht="14.25" customHeight="1" x14ac:dyDescent="0.3">
      <c r="A38" s="1059" t="s">
        <v>594</v>
      </c>
      <c r="B38" s="1063">
        <f>10.62/(2.03*1.63)</f>
        <v>3.209525824292061</v>
      </c>
      <c r="C38" s="1064"/>
      <c r="D38" s="1064"/>
      <c r="E38" s="1064"/>
      <c r="F38" s="1064"/>
      <c r="G38" s="1064">
        <v>1.45</v>
      </c>
      <c r="H38" s="1064"/>
      <c r="I38" s="1064">
        <f t="shared" si="2"/>
        <v>4.6595258242920607</v>
      </c>
      <c r="J38" s="1064">
        <f t="shared" si="3"/>
        <v>4.8036348704041867</v>
      </c>
      <c r="K38" s="1061">
        <v>2.7</v>
      </c>
      <c r="L38" s="1062">
        <v>0.375</v>
      </c>
    </row>
    <row r="39" spans="1:12" ht="14.25" customHeight="1" x14ac:dyDescent="0.3">
      <c r="A39" s="1059" t="s">
        <v>505</v>
      </c>
      <c r="B39" s="1063">
        <f>12.51/(2.03*1.63)</f>
        <v>3.7807126235304791</v>
      </c>
      <c r="C39" s="1064"/>
      <c r="D39" s="1064"/>
      <c r="E39" s="1064"/>
      <c r="F39" s="1064"/>
      <c r="G39" s="1064">
        <v>1.45</v>
      </c>
      <c r="H39" s="1064"/>
      <c r="I39" s="1064">
        <f t="shared" si="2"/>
        <v>5.2307126235304793</v>
      </c>
      <c r="J39" s="1064">
        <f t="shared" si="3"/>
        <v>5.3924872407530717</v>
      </c>
      <c r="K39" s="1061">
        <v>2.7</v>
      </c>
      <c r="L39" s="1062">
        <v>0.5</v>
      </c>
    </row>
    <row r="40" spans="1:12" ht="14.25" customHeight="1" x14ac:dyDescent="0.3">
      <c r="A40" s="1059" t="s">
        <v>597</v>
      </c>
      <c r="B40" s="1063">
        <f>17.68/(2.03*1.63)</f>
        <v>5.34316540239959</v>
      </c>
      <c r="C40" s="1064"/>
      <c r="D40" s="1064"/>
      <c r="E40" s="1064"/>
      <c r="F40" s="1064"/>
      <c r="G40" s="1064">
        <v>1.45</v>
      </c>
      <c r="H40" s="1064"/>
      <c r="I40" s="1064">
        <f t="shared" si="2"/>
        <v>6.7931654023995902</v>
      </c>
      <c r="J40" s="1064">
        <f t="shared" si="3"/>
        <v>7.0032633014428765</v>
      </c>
      <c r="K40" s="1061">
        <v>2.7</v>
      </c>
      <c r="L40" s="1062">
        <v>0.625</v>
      </c>
    </row>
    <row r="41" spans="1:12" ht="14.25" customHeight="1" x14ac:dyDescent="0.3">
      <c r="A41" s="1059" t="s">
        <v>105</v>
      </c>
      <c r="B41" s="1063">
        <f>21.88/(2.03*1.63)</f>
        <v>6.6124694007071847</v>
      </c>
      <c r="C41" s="1064"/>
      <c r="D41" s="1064"/>
      <c r="E41" s="1064"/>
      <c r="F41" s="1064"/>
      <c r="G41" s="1064">
        <v>1.45</v>
      </c>
      <c r="H41" s="1064"/>
      <c r="I41" s="1064">
        <f t="shared" si="2"/>
        <v>8.0624694007071849</v>
      </c>
      <c r="J41" s="1064">
        <f t="shared" si="3"/>
        <v>8.3118241244403972</v>
      </c>
      <c r="K41" s="1061">
        <v>2.7</v>
      </c>
      <c r="L41" s="1062">
        <v>0.75</v>
      </c>
    </row>
    <row r="42" spans="1:12" ht="14.25" customHeight="1" x14ac:dyDescent="0.3">
      <c r="A42" s="1059" t="s">
        <v>600</v>
      </c>
      <c r="B42" s="1063">
        <f>24.73/(2.03*1.63)</f>
        <v>7.4737828281301955</v>
      </c>
      <c r="C42" s="1064"/>
      <c r="D42" s="1064"/>
      <c r="E42" s="1064"/>
      <c r="F42" s="1064"/>
      <c r="G42" s="1064">
        <v>1.45</v>
      </c>
      <c r="H42" s="1064"/>
      <c r="I42" s="1064">
        <f t="shared" si="2"/>
        <v>8.9237828281301947</v>
      </c>
      <c r="J42" s="1064">
        <f t="shared" si="3"/>
        <v>9.1997761114744279</v>
      </c>
      <c r="K42" s="1061">
        <v>2.7</v>
      </c>
      <c r="L42" s="1062">
        <v>0.875</v>
      </c>
    </row>
    <row r="43" spans="1:12" ht="14.25" customHeight="1" x14ac:dyDescent="0.3">
      <c r="A43" s="1059" t="s">
        <v>602</v>
      </c>
      <c r="B43" s="1063">
        <f>25.03/(2.03*1.63)</f>
        <v>7.5644473994378814</v>
      </c>
      <c r="C43" s="1064"/>
      <c r="D43" s="1064"/>
      <c r="E43" s="1064"/>
      <c r="F43" s="1064"/>
      <c r="G43" s="1064">
        <v>1.45</v>
      </c>
      <c r="H43" s="1064"/>
      <c r="I43" s="1064">
        <f t="shared" si="2"/>
        <v>9.0144473994378806</v>
      </c>
      <c r="J43" s="1064">
        <f t="shared" si="3"/>
        <v>9.2932447416885378</v>
      </c>
      <c r="K43" s="1061">
        <v>2.7</v>
      </c>
      <c r="L43" s="1062">
        <v>1</v>
      </c>
    </row>
    <row r="44" spans="1:12" ht="14.25" customHeight="1" x14ac:dyDescent="0.3">
      <c r="A44" s="1059" t="s">
        <v>604</v>
      </c>
      <c r="B44" s="1063">
        <f>31.84/(2.03*1.63)</f>
        <v>9.6225331681223381</v>
      </c>
      <c r="C44" s="1064"/>
      <c r="D44" s="1064"/>
      <c r="E44" s="1064"/>
      <c r="F44" s="1064"/>
      <c r="G44" s="1064">
        <v>1.45</v>
      </c>
      <c r="H44" s="1064"/>
      <c r="I44" s="1064">
        <f t="shared" si="2"/>
        <v>11.072533168122337</v>
      </c>
      <c r="J44" s="1064">
        <f t="shared" si="3"/>
        <v>11.414982647548802</v>
      </c>
      <c r="K44" s="1061">
        <v>2.7</v>
      </c>
      <c r="L44" s="1062">
        <v>1.125</v>
      </c>
    </row>
    <row r="45" spans="1:12" ht="14.25" customHeight="1" x14ac:dyDescent="0.3">
      <c r="A45" s="1059" t="s">
        <v>636</v>
      </c>
      <c r="B45" s="1063">
        <f>4.89/(2.03*1.63)</f>
        <v>1.4778325123152711</v>
      </c>
      <c r="C45" s="1064"/>
      <c r="D45" s="1064"/>
      <c r="E45" s="1064"/>
      <c r="F45" s="1064"/>
      <c r="G45" s="1064">
        <v>1.45</v>
      </c>
      <c r="H45" s="1064"/>
      <c r="I45" s="1064">
        <f t="shared" si="2"/>
        <v>2.9278325123152711</v>
      </c>
      <c r="J45" s="1064">
        <f t="shared" si="3"/>
        <v>3.0183840333147125</v>
      </c>
      <c r="K45" s="1061">
        <v>2.7</v>
      </c>
      <c r="L45" s="1062">
        <v>0.125</v>
      </c>
    </row>
    <row r="46" spans="1:12" ht="14.25" customHeight="1" x14ac:dyDescent="0.3">
      <c r="A46" s="1059" t="s">
        <v>27</v>
      </c>
      <c r="B46" s="1063">
        <v>7.83</v>
      </c>
      <c r="C46" s="1064"/>
      <c r="D46" s="1064"/>
      <c r="E46" s="1064"/>
      <c r="F46" s="1064"/>
      <c r="G46" s="1064">
        <v>1.45</v>
      </c>
      <c r="H46" s="1064"/>
      <c r="I46" s="1064">
        <f t="shared" si="2"/>
        <v>9.2799999999999994</v>
      </c>
      <c r="J46" s="1064">
        <f t="shared" si="3"/>
        <v>9.5670103092783503</v>
      </c>
      <c r="K46" s="1061">
        <v>2.7</v>
      </c>
      <c r="L46" s="1062">
        <v>1.25</v>
      </c>
    </row>
    <row r="47" spans="1:12" ht="14.25" customHeight="1" x14ac:dyDescent="0.3">
      <c r="A47" s="1059" t="s">
        <v>555</v>
      </c>
      <c r="B47" s="1063">
        <v>43</v>
      </c>
      <c r="C47" s="1064"/>
      <c r="D47" s="1064">
        <v>0.15</v>
      </c>
      <c r="E47" s="1064">
        <v>0.25</v>
      </c>
      <c r="F47" s="1064"/>
      <c r="G47" s="1064"/>
      <c r="H47" s="1064"/>
      <c r="I47" s="1064">
        <f t="shared" si="2"/>
        <v>43.4</v>
      </c>
      <c r="J47" s="1064">
        <f t="shared" si="3"/>
        <v>44.742268041237111</v>
      </c>
      <c r="K47" s="1061">
        <v>0.48399999999999999</v>
      </c>
      <c r="L47" s="1062">
        <v>32</v>
      </c>
    </row>
    <row r="48" spans="1:12" ht="14.25" customHeight="1" x14ac:dyDescent="0.3">
      <c r="A48" s="1059" t="s">
        <v>396</v>
      </c>
      <c r="B48" s="1063">
        <v>61.02</v>
      </c>
      <c r="C48" s="1064"/>
      <c r="D48" s="1064">
        <v>0.15</v>
      </c>
      <c r="E48" s="1064">
        <v>0.25</v>
      </c>
      <c r="F48" s="1064"/>
      <c r="G48" s="1064"/>
      <c r="H48" s="1064"/>
      <c r="I48" s="1064">
        <f t="shared" si="2"/>
        <v>61.42</v>
      </c>
      <c r="J48" s="1064">
        <f t="shared" si="3"/>
        <v>63.319587628865982</v>
      </c>
      <c r="K48" s="1061">
        <v>0.48399999999999999</v>
      </c>
      <c r="L48" s="1062">
        <v>35</v>
      </c>
    </row>
    <row r="49" spans="1:12" ht="14.25" customHeight="1" x14ac:dyDescent="0.3">
      <c r="A49" s="1059" t="s">
        <v>607</v>
      </c>
      <c r="B49" s="1063">
        <v>3.39</v>
      </c>
      <c r="C49" s="1064"/>
      <c r="D49" s="1064"/>
      <c r="E49" s="1064"/>
      <c r="F49" s="1064"/>
      <c r="G49" s="1064">
        <v>1.45</v>
      </c>
      <c r="H49" s="1064"/>
      <c r="I49" s="1064">
        <f t="shared" si="2"/>
        <v>4.84</v>
      </c>
      <c r="J49" s="1064">
        <f t="shared" si="3"/>
        <v>4.9896907216494846</v>
      </c>
      <c r="K49" s="1061">
        <v>2.9</v>
      </c>
      <c r="L49" s="1062">
        <v>0.24</v>
      </c>
    </row>
    <row r="50" spans="1:12" ht="14.25" customHeight="1" x14ac:dyDescent="0.3">
      <c r="A50" s="1059" t="s">
        <v>126</v>
      </c>
      <c r="B50" s="1063">
        <v>4.78</v>
      </c>
      <c r="C50" s="1064"/>
      <c r="D50" s="1064"/>
      <c r="E50" s="1064"/>
      <c r="F50" s="1064"/>
      <c r="G50" s="1064">
        <v>1.45</v>
      </c>
      <c r="H50" s="1064"/>
      <c r="I50" s="1064">
        <f t="shared" si="2"/>
        <v>6.23</v>
      </c>
      <c r="J50" s="1064">
        <f t="shared" si="3"/>
        <v>6.4226804123711343</v>
      </c>
      <c r="K50" s="1061">
        <v>2.9</v>
      </c>
      <c r="L50" s="1062">
        <v>0.48</v>
      </c>
    </row>
    <row r="51" spans="1:12" ht="14.25" customHeight="1" x14ac:dyDescent="0.3">
      <c r="A51" s="1059" t="s">
        <v>128</v>
      </c>
      <c r="B51" s="1063">
        <v>6.91</v>
      </c>
      <c r="C51" s="1064"/>
      <c r="D51" s="1064"/>
      <c r="E51" s="1064"/>
      <c r="F51" s="1064"/>
      <c r="G51" s="1064">
        <v>1.45</v>
      </c>
      <c r="H51" s="1064"/>
      <c r="I51" s="1064">
        <f t="shared" si="2"/>
        <v>8.36</v>
      </c>
      <c r="J51" s="1064">
        <f t="shared" si="3"/>
        <v>8.6185567010309274</v>
      </c>
      <c r="K51" s="1061">
        <v>2.9</v>
      </c>
      <c r="L51" s="1062">
        <v>0.79199999999999993</v>
      </c>
    </row>
    <row r="52" spans="1:12" ht="14.25" customHeight="1" x14ac:dyDescent="0.3">
      <c r="A52" s="1059" t="s">
        <v>612</v>
      </c>
      <c r="B52" s="1063">
        <v>7.02</v>
      </c>
      <c r="C52" s="1064"/>
      <c r="D52" s="1064"/>
      <c r="E52" s="1064"/>
      <c r="F52" s="1064"/>
      <c r="G52" s="1064">
        <v>1.45</v>
      </c>
      <c r="H52" s="1064"/>
      <c r="I52" s="1064">
        <f t="shared" si="2"/>
        <v>8.4699999999999989</v>
      </c>
      <c r="J52" s="1064">
        <f t="shared" si="3"/>
        <v>8.7319587628865971</v>
      </c>
      <c r="K52" s="1061">
        <v>2.9</v>
      </c>
      <c r="L52" s="1062">
        <v>0.79199999999999993</v>
      </c>
    </row>
    <row r="53" spans="1:12" ht="14.25" customHeight="1" x14ac:dyDescent="0.3">
      <c r="A53" s="1059" t="s">
        <v>203</v>
      </c>
      <c r="B53" s="1063">
        <v>7.66</v>
      </c>
      <c r="C53" s="1070"/>
      <c r="D53" s="1064"/>
      <c r="E53" s="1064"/>
      <c r="F53" s="1064"/>
      <c r="G53" s="1064">
        <v>1.45</v>
      </c>
      <c r="H53" s="1064"/>
      <c r="I53" s="1064">
        <f t="shared" si="2"/>
        <v>9.11</v>
      </c>
      <c r="J53" s="1064">
        <f t="shared" si="3"/>
        <v>9.391752577319588</v>
      </c>
      <c r="K53" s="1061">
        <v>2.9</v>
      </c>
      <c r="L53" s="1062">
        <v>1.2</v>
      </c>
    </row>
    <row r="54" spans="1:12" ht="14.25" customHeight="1" x14ac:dyDescent="0.3">
      <c r="A54" s="1059" t="s">
        <v>341</v>
      </c>
      <c r="B54" s="1063">
        <f>49.89/(2*1.2)</f>
        <v>20.787500000000001</v>
      </c>
      <c r="C54" s="1064"/>
      <c r="D54" s="1064"/>
      <c r="E54" s="1064"/>
      <c r="F54" s="1064"/>
      <c r="G54" s="1064">
        <v>1.45</v>
      </c>
      <c r="H54" s="1064"/>
      <c r="I54" s="1064">
        <f t="shared" si="2"/>
        <v>22.237500000000001</v>
      </c>
      <c r="J54" s="1064">
        <f t="shared" si="3"/>
        <v>22.925257731958766</v>
      </c>
      <c r="K54" s="1061">
        <v>2.9</v>
      </c>
      <c r="L54" s="1062">
        <v>3.25</v>
      </c>
    </row>
    <row r="55" spans="1:12" ht="14.25" customHeight="1" x14ac:dyDescent="0.3">
      <c r="A55" s="1059" t="s">
        <v>99</v>
      </c>
      <c r="B55" s="1063">
        <v>4.8</v>
      </c>
      <c r="C55" s="1064"/>
      <c r="D55" s="1064"/>
      <c r="E55" s="1064"/>
      <c r="F55" s="1064"/>
      <c r="G55" s="1064">
        <v>1.45</v>
      </c>
      <c r="H55" s="1067">
        <v>0.55400000000000005</v>
      </c>
      <c r="I55" s="1064">
        <f t="shared" si="2"/>
        <v>6.8040000000000003</v>
      </c>
      <c r="J55" s="1064">
        <f t="shared" si="3"/>
        <v>7.0144329896907225</v>
      </c>
      <c r="K55" s="1061">
        <v>2.95</v>
      </c>
      <c r="L55" s="1062">
        <v>1.02</v>
      </c>
    </row>
    <row r="56" spans="1:12" ht="14.25" customHeight="1" x14ac:dyDescent="0.3">
      <c r="A56" s="1059" t="s">
        <v>101</v>
      </c>
      <c r="B56" s="1063">
        <v>8</v>
      </c>
      <c r="C56" s="1064"/>
      <c r="D56" s="1064"/>
      <c r="E56" s="1064"/>
      <c r="F56" s="1064"/>
      <c r="G56" s="1064">
        <v>1.45</v>
      </c>
      <c r="H56" s="1067">
        <v>0.55400000000000005</v>
      </c>
      <c r="I56" s="1064">
        <f t="shared" si="2"/>
        <v>10.004</v>
      </c>
      <c r="J56" s="1064">
        <f t="shared" si="3"/>
        <v>10.313402061855671</v>
      </c>
      <c r="K56" s="1061">
        <v>2.95</v>
      </c>
      <c r="L56" s="1062">
        <v>1.5</v>
      </c>
    </row>
    <row r="57" spans="1:12" ht="14.25" customHeight="1" x14ac:dyDescent="0.3">
      <c r="A57" s="124" t="s">
        <v>23</v>
      </c>
      <c r="B57" s="1073">
        <v>2.77</v>
      </c>
      <c r="G57" s="1064">
        <v>1.45</v>
      </c>
      <c r="I57" s="1064">
        <f t="shared" si="2"/>
        <v>4.22</v>
      </c>
      <c r="J57" s="1064">
        <f t="shared" si="3"/>
        <v>4.3505154639175254</v>
      </c>
      <c r="K57" s="1061">
        <v>0.05</v>
      </c>
      <c r="L57" s="1062">
        <v>0.1</v>
      </c>
    </row>
    <row r="58" spans="1:12" ht="14.25" customHeight="1" x14ac:dyDescent="0.3">
      <c r="A58" s="1059" t="s">
        <v>637</v>
      </c>
      <c r="B58" s="1063">
        <v>7.0402000000000005</v>
      </c>
      <c r="C58" s="1064"/>
      <c r="D58" s="1064"/>
      <c r="E58" s="1064"/>
      <c r="F58" s="1064"/>
      <c r="G58" s="1064"/>
      <c r="H58" s="1064"/>
      <c r="I58" s="1064">
        <f t="shared" si="2"/>
        <v>7.0402000000000005</v>
      </c>
      <c r="J58" s="1064">
        <f t="shared" si="3"/>
        <v>7.2579381443298976</v>
      </c>
      <c r="K58" s="1061">
        <v>5.74</v>
      </c>
      <c r="L58" s="1062">
        <v>0.3</v>
      </c>
    </row>
    <row r="59" spans="1:12" ht="14.25" customHeight="1" x14ac:dyDescent="0.3">
      <c r="A59" s="124"/>
      <c r="L59" s="1074"/>
    </row>
    <row r="60" spans="1:12" ht="14.25" customHeight="1" x14ac:dyDescent="0.3">
      <c r="A60" s="127"/>
      <c r="B60" s="128"/>
      <c r="C60" s="128"/>
      <c r="D60" s="128"/>
      <c r="E60" s="128"/>
      <c r="F60" s="128"/>
      <c r="G60" s="128"/>
      <c r="H60" s="128"/>
      <c r="I60" s="128"/>
      <c r="J60" s="128"/>
      <c r="K60" s="128"/>
      <c r="L60" s="1075"/>
    </row>
    <row r="61" spans="1:12" ht="14.25" customHeight="1" x14ac:dyDescent="0.3">
      <c r="L61" s="123"/>
    </row>
    <row r="62" spans="1:12" ht="14.25" customHeight="1" x14ac:dyDescent="0.3">
      <c r="L62" s="123"/>
    </row>
    <row r="63" spans="1:12" ht="14.25" customHeight="1" x14ac:dyDescent="0.3">
      <c r="B63" s="1076"/>
      <c r="L63" s="123"/>
    </row>
    <row r="64" spans="1:12" ht="14.25" customHeight="1" x14ac:dyDescent="0.3">
      <c r="A64" s="119" t="s">
        <v>515</v>
      </c>
      <c r="B64" s="1077">
        <v>0.65</v>
      </c>
      <c r="C64" s="1078">
        <v>-0.35</v>
      </c>
      <c r="L64" s="123"/>
    </row>
    <row r="65" spans="1:12" ht="14.25" customHeight="1" x14ac:dyDescent="0.3">
      <c r="A65" s="127" t="s">
        <v>81</v>
      </c>
      <c r="B65" s="1079">
        <v>7.0000000000000007E-2</v>
      </c>
      <c r="L65" s="123"/>
    </row>
    <row r="66" spans="1:12" ht="14.25" customHeight="1" x14ac:dyDescent="0.3">
      <c r="B66" s="1076"/>
      <c r="L66" s="123"/>
    </row>
    <row r="67" spans="1:12" ht="14.25" customHeight="1" x14ac:dyDescent="0.3">
      <c r="B67" s="1076"/>
      <c r="L67" s="123"/>
    </row>
    <row r="68" spans="1:12" ht="14.25" customHeight="1" x14ac:dyDescent="0.3">
      <c r="B68" s="1076"/>
      <c r="L68" s="123"/>
    </row>
    <row r="69" spans="1:12" ht="14.25" customHeight="1" x14ac:dyDescent="0.3">
      <c r="L69" s="123"/>
    </row>
    <row r="70" spans="1:12" ht="14.25" customHeight="1" x14ac:dyDescent="0.3">
      <c r="L70" s="123"/>
    </row>
    <row r="71" spans="1:12" ht="14.25" customHeight="1" x14ac:dyDescent="0.3">
      <c r="L71" s="123"/>
    </row>
    <row r="72" spans="1:12" ht="14.25" customHeight="1" x14ac:dyDescent="0.3">
      <c r="L72" s="123"/>
    </row>
    <row r="73" spans="1:12" ht="14.25" customHeight="1" x14ac:dyDescent="0.3">
      <c r="L73" s="123"/>
    </row>
    <row r="74" spans="1:12" ht="14.25" customHeight="1" x14ac:dyDescent="0.3">
      <c r="L74" s="123"/>
    </row>
    <row r="75" spans="1:12" ht="14.25" customHeight="1" x14ac:dyDescent="0.3">
      <c r="L75" s="123"/>
    </row>
    <row r="76" spans="1:12" ht="14.25" customHeight="1" x14ac:dyDescent="0.3">
      <c r="L76" s="123"/>
    </row>
    <row r="77" spans="1:12" ht="14.25" customHeight="1" x14ac:dyDescent="0.3">
      <c r="L77" s="123"/>
    </row>
    <row r="78" spans="1:12" ht="14.25" customHeight="1" x14ac:dyDescent="0.3">
      <c r="L78" s="123"/>
    </row>
    <row r="79" spans="1:12" ht="14.25" customHeight="1" x14ac:dyDescent="0.3">
      <c r="L79" s="123"/>
    </row>
    <row r="80" spans="1:12" ht="14.25" customHeight="1" x14ac:dyDescent="0.3">
      <c r="L80" s="123"/>
    </row>
    <row r="81" spans="12:12" ht="14.25" customHeight="1" x14ac:dyDescent="0.3">
      <c r="L81" s="123"/>
    </row>
    <row r="82" spans="12:12" ht="14.25" customHeight="1" x14ac:dyDescent="0.3">
      <c r="L82" s="123"/>
    </row>
    <row r="83" spans="12:12" ht="14.25" customHeight="1" x14ac:dyDescent="0.3">
      <c r="L83" s="123"/>
    </row>
    <row r="84" spans="12:12" ht="14.25" customHeight="1" x14ac:dyDescent="0.3">
      <c r="L84" s="123"/>
    </row>
    <row r="85" spans="12:12" ht="14.25" customHeight="1" x14ac:dyDescent="0.3">
      <c r="L85" s="123"/>
    </row>
    <row r="86" spans="12:12" ht="14.25" customHeight="1" x14ac:dyDescent="0.3">
      <c r="L86" s="123"/>
    </row>
    <row r="87" spans="12:12" ht="14.25" customHeight="1" x14ac:dyDescent="0.3">
      <c r="L87" s="123"/>
    </row>
    <row r="88" spans="12:12" ht="14.25" customHeight="1" x14ac:dyDescent="0.3">
      <c r="L88" s="123"/>
    </row>
    <row r="89" spans="12:12" ht="14.25" customHeight="1" x14ac:dyDescent="0.3">
      <c r="L89" s="123"/>
    </row>
    <row r="90" spans="12:12" ht="14.25" customHeight="1" x14ac:dyDescent="0.3">
      <c r="L90" s="123"/>
    </row>
    <row r="91" spans="12:12" ht="14.25" customHeight="1" x14ac:dyDescent="0.3">
      <c r="L91" s="123"/>
    </row>
    <row r="92" spans="12:12" ht="14.25" customHeight="1" x14ac:dyDescent="0.3">
      <c r="L92" s="123"/>
    </row>
    <row r="93" spans="12:12" ht="14.25" customHeight="1" x14ac:dyDescent="0.3">
      <c r="L93" s="123"/>
    </row>
    <row r="94" spans="12:12" ht="14.25" customHeight="1" x14ac:dyDescent="0.3">
      <c r="L94" s="123"/>
    </row>
    <row r="95" spans="12:12" ht="14.25" customHeight="1" x14ac:dyDescent="0.3">
      <c r="L95" s="123"/>
    </row>
    <row r="96" spans="12:12" ht="14.25" customHeight="1" x14ac:dyDescent="0.3">
      <c r="L96" s="123"/>
    </row>
    <row r="97" spans="12:12" ht="14.25" customHeight="1" x14ac:dyDescent="0.3">
      <c r="L97" s="123"/>
    </row>
    <row r="98" spans="12:12" ht="14.25" customHeight="1" x14ac:dyDescent="0.3">
      <c r="L98" s="123"/>
    </row>
    <row r="99" spans="12:12" ht="14.25" customHeight="1" x14ac:dyDescent="0.3">
      <c r="L99" s="123"/>
    </row>
    <row r="100" spans="12:12" ht="14.25" customHeight="1" x14ac:dyDescent="0.3">
      <c r="L100" s="123"/>
    </row>
    <row r="101" spans="12:12" ht="14.25" customHeight="1" x14ac:dyDescent="0.3">
      <c r="L101" s="123"/>
    </row>
    <row r="102" spans="12:12" ht="14.25" customHeight="1" x14ac:dyDescent="0.3">
      <c r="L102" s="123"/>
    </row>
    <row r="103" spans="12:12" ht="14.25" customHeight="1" x14ac:dyDescent="0.3">
      <c r="L103" s="123"/>
    </row>
    <row r="104" spans="12:12" ht="14.25" customHeight="1" x14ac:dyDescent="0.3">
      <c r="L104" s="123"/>
    </row>
    <row r="105" spans="12:12" ht="14.25" customHeight="1" x14ac:dyDescent="0.3">
      <c r="L105" s="123"/>
    </row>
    <row r="106" spans="12:12" ht="14.25" customHeight="1" x14ac:dyDescent="0.3">
      <c r="L106" s="123"/>
    </row>
    <row r="107" spans="12:12" ht="14.25" customHeight="1" x14ac:dyDescent="0.3">
      <c r="L107" s="123"/>
    </row>
    <row r="108" spans="12:12" ht="14.25" customHeight="1" x14ac:dyDescent="0.3">
      <c r="L108" s="123"/>
    </row>
    <row r="109" spans="12:12" ht="14.25" customHeight="1" x14ac:dyDescent="0.3">
      <c r="L109" s="123"/>
    </row>
    <row r="110" spans="12:12" ht="14.25" customHeight="1" x14ac:dyDescent="0.3">
      <c r="L110" s="123"/>
    </row>
    <row r="111" spans="12:12" ht="14.25" customHeight="1" x14ac:dyDescent="0.3">
      <c r="L111" s="123"/>
    </row>
    <row r="112" spans="12:12" ht="14.25" customHeight="1" x14ac:dyDescent="0.3">
      <c r="L112" s="123"/>
    </row>
    <row r="113" spans="12:12" ht="14.25" customHeight="1" x14ac:dyDescent="0.3">
      <c r="L113" s="123"/>
    </row>
    <row r="114" spans="12:12" ht="14.25" customHeight="1" x14ac:dyDescent="0.3">
      <c r="L114" s="123"/>
    </row>
    <row r="115" spans="12:12" ht="14.25" customHeight="1" x14ac:dyDescent="0.3">
      <c r="L115" s="123"/>
    </row>
    <row r="116" spans="12:12" ht="14.25" customHeight="1" x14ac:dyDescent="0.3">
      <c r="L116" s="123"/>
    </row>
    <row r="117" spans="12:12" ht="14.25" customHeight="1" x14ac:dyDescent="0.3">
      <c r="L117" s="123"/>
    </row>
    <row r="118" spans="12:12" ht="14.25" customHeight="1" x14ac:dyDescent="0.3">
      <c r="L118" s="123"/>
    </row>
    <row r="119" spans="12:12" ht="14.25" customHeight="1" x14ac:dyDescent="0.3">
      <c r="L119" s="123"/>
    </row>
    <row r="120" spans="12:12" ht="14.25" customHeight="1" x14ac:dyDescent="0.3">
      <c r="L120" s="123"/>
    </row>
    <row r="121" spans="12:12" ht="14.25" customHeight="1" x14ac:dyDescent="0.3">
      <c r="L121" s="123"/>
    </row>
    <row r="122" spans="12:12" ht="14.25" customHeight="1" x14ac:dyDescent="0.3">
      <c r="L122" s="123"/>
    </row>
    <row r="123" spans="12:12" ht="14.25" customHeight="1" x14ac:dyDescent="0.3">
      <c r="L123" s="123"/>
    </row>
    <row r="124" spans="12:12" ht="14.25" customHeight="1" x14ac:dyDescent="0.3">
      <c r="L124" s="123"/>
    </row>
    <row r="125" spans="12:12" ht="14.25" customHeight="1" x14ac:dyDescent="0.3">
      <c r="L125" s="123"/>
    </row>
    <row r="126" spans="12:12" ht="14.25" customHeight="1" x14ac:dyDescent="0.3">
      <c r="L126" s="123"/>
    </row>
    <row r="127" spans="12:12" ht="14.25" customHeight="1" x14ac:dyDescent="0.3">
      <c r="L127" s="123"/>
    </row>
    <row r="128" spans="12:12" ht="14.25" customHeight="1" x14ac:dyDescent="0.3">
      <c r="L128" s="123"/>
    </row>
    <row r="129" spans="12:12" ht="14.25" customHeight="1" x14ac:dyDescent="0.3">
      <c r="L129" s="123"/>
    </row>
    <row r="130" spans="12:12" ht="14.25" customHeight="1" x14ac:dyDescent="0.3">
      <c r="L130" s="123"/>
    </row>
    <row r="131" spans="12:12" ht="14.25" customHeight="1" x14ac:dyDescent="0.3">
      <c r="L131" s="123"/>
    </row>
    <row r="132" spans="12:12" ht="14.25" customHeight="1" x14ac:dyDescent="0.3">
      <c r="L132" s="123"/>
    </row>
    <row r="133" spans="12:12" ht="14.25" customHeight="1" x14ac:dyDescent="0.3">
      <c r="L133" s="123"/>
    </row>
    <row r="134" spans="12:12" ht="14.25" customHeight="1" x14ac:dyDescent="0.3">
      <c r="L134" s="123"/>
    </row>
    <row r="135" spans="12:12" ht="14.25" customHeight="1" x14ac:dyDescent="0.3">
      <c r="L135" s="123"/>
    </row>
    <row r="136" spans="12:12" ht="14.25" customHeight="1" x14ac:dyDescent="0.3">
      <c r="L136" s="123"/>
    </row>
    <row r="137" spans="12:12" ht="14.25" customHeight="1" x14ac:dyDescent="0.3">
      <c r="L137" s="123"/>
    </row>
    <row r="138" spans="12:12" ht="14.25" customHeight="1" x14ac:dyDescent="0.3">
      <c r="L138" s="123"/>
    </row>
    <row r="139" spans="12:12" ht="14.25" customHeight="1" x14ac:dyDescent="0.3">
      <c r="L139" s="123"/>
    </row>
    <row r="140" spans="12:12" ht="14.25" customHeight="1" x14ac:dyDescent="0.3">
      <c r="L140" s="123"/>
    </row>
    <row r="141" spans="12:12" ht="14.25" customHeight="1" x14ac:dyDescent="0.3">
      <c r="L141" s="123"/>
    </row>
    <row r="142" spans="12:12" ht="14.25" customHeight="1" x14ac:dyDescent="0.3">
      <c r="L142" s="123"/>
    </row>
    <row r="143" spans="12:12" ht="14.25" customHeight="1" x14ac:dyDescent="0.3">
      <c r="L143" s="123"/>
    </row>
    <row r="144" spans="12:12" ht="14.25" customHeight="1" x14ac:dyDescent="0.3">
      <c r="L144" s="123"/>
    </row>
    <row r="145" spans="12:12" ht="14.25" customHeight="1" x14ac:dyDescent="0.3">
      <c r="L145" s="123"/>
    </row>
    <row r="146" spans="12:12" ht="14.25" customHeight="1" x14ac:dyDescent="0.3">
      <c r="L146" s="123"/>
    </row>
    <row r="147" spans="12:12" ht="14.25" customHeight="1" x14ac:dyDescent="0.3">
      <c r="L147" s="123"/>
    </row>
    <row r="148" spans="12:12" ht="14.25" customHeight="1" x14ac:dyDescent="0.3">
      <c r="L148" s="123"/>
    </row>
    <row r="149" spans="12:12" ht="14.25" customHeight="1" x14ac:dyDescent="0.3">
      <c r="L149" s="123"/>
    </row>
    <row r="150" spans="12:12" ht="14.25" customHeight="1" x14ac:dyDescent="0.3">
      <c r="L150" s="123"/>
    </row>
    <row r="151" spans="12:12" ht="14.25" customHeight="1" x14ac:dyDescent="0.3">
      <c r="L151" s="123"/>
    </row>
    <row r="152" spans="12:12" ht="14.25" customHeight="1" x14ac:dyDescent="0.3">
      <c r="L152" s="123"/>
    </row>
    <row r="153" spans="12:12" ht="14.25" customHeight="1" x14ac:dyDescent="0.3">
      <c r="L153" s="123"/>
    </row>
    <row r="154" spans="12:12" ht="14.25" customHeight="1" x14ac:dyDescent="0.3">
      <c r="L154" s="123"/>
    </row>
    <row r="155" spans="12:12" ht="14.25" customHeight="1" x14ac:dyDescent="0.3">
      <c r="L155" s="123"/>
    </row>
    <row r="156" spans="12:12" ht="14.25" customHeight="1" x14ac:dyDescent="0.3">
      <c r="L156" s="123"/>
    </row>
    <row r="157" spans="12:12" ht="14.25" customHeight="1" x14ac:dyDescent="0.3">
      <c r="L157" s="123"/>
    </row>
    <row r="158" spans="12:12" ht="14.25" customHeight="1" x14ac:dyDescent="0.3">
      <c r="L158" s="123"/>
    </row>
    <row r="159" spans="12:12" ht="14.25" customHeight="1" x14ac:dyDescent="0.3">
      <c r="L159" s="123"/>
    </row>
    <row r="160" spans="12:12" ht="14.25" customHeight="1" x14ac:dyDescent="0.3">
      <c r="L160" s="123"/>
    </row>
    <row r="161" spans="12:12" ht="14.25" customHeight="1" x14ac:dyDescent="0.3">
      <c r="L161" s="123"/>
    </row>
    <row r="162" spans="12:12" ht="14.25" customHeight="1" x14ac:dyDescent="0.3">
      <c r="L162" s="123"/>
    </row>
    <row r="163" spans="12:12" ht="14.25" customHeight="1" x14ac:dyDescent="0.3">
      <c r="L163" s="123"/>
    </row>
    <row r="164" spans="12:12" ht="14.25" customHeight="1" x14ac:dyDescent="0.3">
      <c r="L164" s="123"/>
    </row>
    <row r="165" spans="12:12" ht="14.25" customHeight="1" x14ac:dyDescent="0.3">
      <c r="L165" s="123"/>
    </row>
    <row r="166" spans="12:12" ht="14.25" customHeight="1" x14ac:dyDescent="0.3">
      <c r="L166" s="123"/>
    </row>
    <row r="167" spans="12:12" ht="14.25" customHeight="1" x14ac:dyDescent="0.3">
      <c r="L167" s="123"/>
    </row>
    <row r="168" spans="12:12" ht="14.25" customHeight="1" x14ac:dyDescent="0.3">
      <c r="L168" s="123"/>
    </row>
    <row r="169" spans="12:12" ht="14.25" customHeight="1" x14ac:dyDescent="0.3">
      <c r="L169" s="123"/>
    </row>
    <row r="170" spans="12:12" ht="14.25" customHeight="1" x14ac:dyDescent="0.3">
      <c r="L170" s="123"/>
    </row>
    <row r="171" spans="12:12" ht="14.25" customHeight="1" x14ac:dyDescent="0.3">
      <c r="L171" s="123"/>
    </row>
    <row r="172" spans="12:12" ht="14.25" customHeight="1" x14ac:dyDescent="0.3">
      <c r="L172" s="123"/>
    </row>
    <row r="173" spans="12:12" ht="14.25" customHeight="1" x14ac:dyDescent="0.3">
      <c r="L173" s="123"/>
    </row>
    <row r="174" spans="12:12" ht="14.25" customHeight="1" x14ac:dyDescent="0.3">
      <c r="L174" s="123"/>
    </row>
    <row r="175" spans="12:12" ht="14.25" customHeight="1" x14ac:dyDescent="0.3">
      <c r="L175" s="123"/>
    </row>
    <row r="176" spans="12:12" ht="14.25" customHeight="1" x14ac:dyDescent="0.3">
      <c r="L176" s="123"/>
    </row>
    <row r="177" spans="12:12" ht="14.25" customHeight="1" x14ac:dyDescent="0.3">
      <c r="L177" s="123"/>
    </row>
    <row r="178" spans="12:12" ht="14.25" customHeight="1" x14ac:dyDescent="0.3">
      <c r="L178" s="123"/>
    </row>
    <row r="179" spans="12:12" ht="14.25" customHeight="1" x14ac:dyDescent="0.3">
      <c r="L179" s="123"/>
    </row>
    <row r="180" spans="12:12" ht="14.25" customHeight="1" x14ac:dyDescent="0.3">
      <c r="L180" s="123"/>
    </row>
    <row r="181" spans="12:12" ht="14.25" customHeight="1" x14ac:dyDescent="0.3">
      <c r="L181" s="123"/>
    </row>
    <row r="182" spans="12:12" ht="14.25" customHeight="1" x14ac:dyDescent="0.3">
      <c r="L182" s="123"/>
    </row>
    <row r="183" spans="12:12" ht="14.25" customHeight="1" x14ac:dyDescent="0.3">
      <c r="L183" s="123"/>
    </row>
    <row r="184" spans="12:12" ht="14.25" customHeight="1" x14ac:dyDescent="0.3">
      <c r="L184" s="123"/>
    </row>
    <row r="185" spans="12:12" ht="14.25" customHeight="1" x14ac:dyDescent="0.3">
      <c r="L185" s="123"/>
    </row>
    <row r="186" spans="12:12" ht="14.25" customHeight="1" x14ac:dyDescent="0.3">
      <c r="L186" s="123"/>
    </row>
    <row r="187" spans="12:12" ht="14.25" customHeight="1" x14ac:dyDescent="0.3">
      <c r="L187" s="123"/>
    </row>
    <row r="188" spans="12:12" ht="14.25" customHeight="1" x14ac:dyDescent="0.3">
      <c r="L188" s="123"/>
    </row>
    <row r="189" spans="12:12" ht="14.25" customHeight="1" x14ac:dyDescent="0.3">
      <c r="L189" s="123"/>
    </row>
    <row r="190" spans="12:12" ht="14.25" customHeight="1" x14ac:dyDescent="0.3">
      <c r="L190" s="123"/>
    </row>
    <row r="191" spans="12:12" ht="14.25" customHeight="1" x14ac:dyDescent="0.3">
      <c r="L191" s="123"/>
    </row>
    <row r="192" spans="12:12" ht="14.25" customHeight="1" x14ac:dyDescent="0.3">
      <c r="L192" s="123"/>
    </row>
    <row r="193" spans="12:12" ht="14.25" customHeight="1" x14ac:dyDescent="0.3">
      <c r="L193" s="123"/>
    </row>
    <row r="194" spans="12:12" ht="14.25" customHeight="1" x14ac:dyDescent="0.3">
      <c r="L194" s="123"/>
    </row>
    <row r="195" spans="12:12" ht="14.25" customHeight="1" x14ac:dyDescent="0.3">
      <c r="L195" s="123"/>
    </row>
    <row r="196" spans="12:12" ht="14.25" customHeight="1" x14ac:dyDescent="0.3">
      <c r="L196" s="123"/>
    </row>
    <row r="197" spans="12:12" ht="14.25" customHeight="1" x14ac:dyDescent="0.3">
      <c r="L197" s="123"/>
    </row>
    <row r="198" spans="12:12" ht="14.25" customHeight="1" x14ac:dyDescent="0.3">
      <c r="L198" s="123"/>
    </row>
    <row r="199" spans="12:12" ht="14.25" customHeight="1" x14ac:dyDescent="0.3">
      <c r="L199" s="123"/>
    </row>
    <row r="200" spans="12:12" ht="14.25" customHeight="1" x14ac:dyDescent="0.3">
      <c r="L200" s="123"/>
    </row>
    <row r="201" spans="12:12" ht="14.25" customHeight="1" x14ac:dyDescent="0.3">
      <c r="L201" s="123"/>
    </row>
    <row r="202" spans="12:12" ht="14.25" customHeight="1" x14ac:dyDescent="0.3">
      <c r="L202" s="123"/>
    </row>
    <row r="203" spans="12:12" ht="14.25" customHeight="1" x14ac:dyDescent="0.3">
      <c r="L203" s="123"/>
    </row>
    <row r="204" spans="12:12" ht="14.25" customHeight="1" x14ac:dyDescent="0.3">
      <c r="L204" s="123"/>
    </row>
    <row r="205" spans="12:12" ht="14.25" customHeight="1" x14ac:dyDescent="0.3">
      <c r="L205" s="123"/>
    </row>
    <row r="206" spans="12:12" ht="14.25" customHeight="1" x14ac:dyDescent="0.3">
      <c r="L206" s="123"/>
    </row>
    <row r="207" spans="12:12" ht="14.25" customHeight="1" x14ac:dyDescent="0.3">
      <c r="L207" s="123"/>
    </row>
    <row r="208" spans="12:12" ht="14.25" customHeight="1" x14ac:dyDescent="0.3">
      <c r="L208" s="123"/>
    </row>
    <row r="209" spans="12:12" ht="14.25" customHeight="1" x14ac:dyDescent="0.3">
      <c r="L209" s="123"/>
    </row>
    <row r="210" spans="12:12" ht="14.25" customHeight="1" x14ac:dyDescent="0.3">
      <c r="L210" s="123"/>
    </row>
    <row r="211" spans="12:12" ht="14.25" customHeight="1" x14ac:dyDescent="0.3">
      <c r="L211" s="123"/>
    </row>
    <row r="212" spans="12:12" ht="14.25" customHeight="1" x14ac:dyDescent="0.3">
      <c r="L212" s="123"/>
    </row>
    <row r="213" spans="12:12" ht="14.25" customHeight="1" x14ac:dyDescent="0.3">
      <c r="L213" s="123"/>
    </row>
    <row r="214" spans="12:12" ht="14.25" customHeight="1" x14ac:dyDescent="0.3">
      <c r="L214" s="123"/>
    </row>
    <row r="215" spans="12:12" ht="14.25" customHeight="1" x14ac:dyDescent="0.3">
      <c r="L215" s="123"/>
    </row>
    <row r="216" spans="12:12" ht="14.25" customHeight="1" x14ac:dyDescent="0.3">
      <c r="L216" s="123"/>
    </row>
    <row r="217" spans="12:12" ht="14.25" customHeight="1" x14ac:dyDescent="0.3">
      <c r="L217" s="123"/>
    </row>
    <row r="218" spans="12:12" ht="14.25" customHeight="1" x14ac:dyDescent="0.3">
      <c r="L218" s="123"/>
    </row>
    <row r="219" spans="12:12" ht="14.25" customHeight="1" x14ac:dyDescent="0.3">
      <c r="L219" s="123"/>
    </row>
    <row r="220" spans="12:12" ht="14.25" customHeight="1" x14ac:dyDescent="0.3">
      <c r="L220" s="123"/>
    </row>
    <row r="221" spans="12:12" ht="14.25" customHeight="1" x14ac:dyDescent="0.3">
      <c r="L221" s="123"/>
    </row>
    <row r="222" spans="12:12" ht="14.25" customHeight="1" x14ac:dyDescent="0.3">
      <c r="L222" s="123"/>
    </row>
    <row r="223" spans="12:12" ht="14.25" customHeight="1" x14ac:dyDescent="0.3">
      <c r="L223" s="123"/>
    </row>
    <row r="224" spans="12:12" ht="14.25" customHeight="1" x14ac:dyDescent="0.3">
      <c r="L224" s="123"/>
    </row>
    <row r="225" spans="12:12" ht="14.25" customHeight="1" x14ac:dyDescent="0.3">
      <c r="L225" s="123"/>
    </row>
    <row r="226" spans="12:12" ht="14.25" customHeight="1" x14ac:dyDescent="0.3">
      <c r="L226" s="123"/>
    </row>
    <row r="227" spans="12:12" ht="14.25" customHeight="1" x14ac:dyDescent="0.3">
      <c r="L227" s="123"/>
    </row>
    <row r="228" spans="12:12" ht="14.25" customHeight="1" x14ac:dyDescent="0.3">
      <c r="L228" s="123"/>
    </row>
    <row r="229" spans="12:12" ht="14.25" customHeight="1" x14ac:dyDescent="0.3">
      <c r="L229" s="123"/>
    </row>
    <row r="230" spans="12:12" ht="14.25" customHeight="1" x14ac:dyDescent="0.3">
      <c r="L230" s="123"/>
    </row>
    <row r="231" spans="12:12" ht="14.25" customHeight="1" x14ac:dyDescent="0.3">
      <c r="L231" s="123"/>
    </row>
    <row r="232" spans="12:12" ht="14.25" customHeight="1" x14ac:dyDescent="0.3">
      <c r="L232" s="123"/>
    </row>
    <row r="233" spans="12:12" ht="14.25" customHeight="1" x14ac:dyDescent="0.3">
      <c r="L233" s="123"/>
    </row>
    <row r="234" spans="12:12" ht="14.25" customHeight="1" x14ac:dyDescent="0.3">
      <c r="L234" s="123"/>
    </row>
    <row r="235" spans="12:12" ht="14.25" customHeight="1" x14ac:dyDescent="0.3">
      <c r="L235" s="123"/>
    </row>
    <row r="236" spans="12:12" ht="14.25" customHeight="1" x14ac:dyDescent="0.3">
      <c r="L236" s="123"/>
    </row>
    <row r="237" spans="12:12" ht="14.25" customHeight="1" x14ac:dyDescent="0.3">
      <c r="L237" s="123"/>
    </row>
    <row r="238" spans="12:12" ht="14.25" customHeight="1" x14ac:dyDescent="0.3">
      <c r="L238" s="123"/>
    </row>
    <row r="239" spans="12:12" ht="14.25" customHeight="1" x14ac:dyDescent="0.3">
      <c r="L239" s="123"/>
    </row>
    <row r="240" spans="12:12" ht="14.25" customHeight="1" x14ac:dyDescent="0.3">
      <c r="L240" s="123"/>
    </row>
    <row r="241" spans="12:12" ht="14.25" customHeight="1" x14ac:dyDescent="0.3">
      <c r="L241" s="123"/>
    </row>
    <row r="242" spans="12:12" ht="14.25" customHeight="1" x14ac:dyDescent="0.3">
      <c r="L242" s="123"/>
    </row>
    <row r="243" spans="12:12" ht="14.25" customHeight="1" x14ac:dyDescent="0.3">
      <c r="L243" s="123"/>
    </row>
    <row r="244" spans="12:12" ht="14.25" customHeight="1" x14ac:dyDescent="0.3">
      <c r="L244" s="123"/>
    </row>
    <row r="245" spans="12:12" ht="14.25" customHeight="1" x14ac:dyDescent="0.3">
      <c r="L245" s="123"/>
    </row>
    <row r="246" spans="12:12" ht="14.25" customHeight="1" x14ac:dyDescent="0.3">
      <c r="L246" s="123"/>
    </row>
    <row r="247" spans="12:12" ht="14.25" customHeight="1" x14ac:dyDescent="0.3">
      <c r="L247" s="123"/>
    </row>
    <row r="248" spans="12:12" ht="14.25" customHeight="1" x14ac:dyDescent="0.3">
      <c r="L248" s="123"/>
    </row>
    <row r="249" spans="12:12" ht="14.25" customHeight="1" x14ac:dyDescent="0.3">
      <c r="L249" s="123"/>
    </row>
    <row r="250" spans="12:12" ht="14.25" customHeight="1" x14ac:dyDescent="0.3">
      <c r="L250" s="123"/>
    </row>
    <row r="251" spans="12:12" ht="14.25" customHeight="1" x14ac:dyDescent="0.3">
      <c r="L251" s="123"/>
    </row>
    <row r="252" spans="12:12" ht="14.25" customHeight="1" x14ac:dyDescent="0.3">
      <c r="L252" s="123"/>
    </row>
    <row r="253" spans="12:12" ht="14.25" customHeight="1" x14ac:dyDescent="0.3">
      <c r="L253" s="123"/>
    </row>
    <row r="254" spans="12:12" ht="14.25" customHeight="1" x14ac:dyDescent="0.3">
      <c r="L254" s="123"/>
    </row>
    <row r="255" spans="12:12" ht="14.25" customHeight="1" x14ac:dyDescent="0.3">
      <c r="L255" s="123"/>
    </row>
    <row r="256" spans="12:12" ht="14.25" customHeight="1" x14ac:dyDescent="0.3">
      <c r="L256" s="123"/>
    </row>
    <row r="257" spans="12:12" ht="14.25" customHeight="1" x14ac:dyDescent="0.3">
      <c r="L257" s="123"/>
    </row>
    <row r="258" spans="12:12" ht="14.25" customHeight="1" x14ac:dyDescent="0.3">
      <c r="L258" s="123"/>
    </row>
    <row r="259" spans="12:12" ht="14.25" customHeight="1" x14ac:dyDescent="0.3">
      <c r="L259" s="123"/>
    </row>
    <row r="260" spans="12:12" ht="14.25" customHeight="1" x14ac:dyDescent="0.3">
      <c r="L260" s="123"/>
    </row>
    <row r="261" spans="12:12" ht="14.25" customHeight="1" x14ac:dyDescent="0.3">
      <c r="L261" s="123"/>
    </row>
    <row r="262" spans="12:12" ht="14.25" customHeight="1" x14ac:dyDescent="0.3">
      <c r="L262" s="123"/>
    </row>
    <row r="263" spans="12:12" ht="14.25" customHeight="1" x14ac:dyDescent="0.3">
      <c r="L263" s="123"/>
    </row>
    <row r="264" spans="12:12" ht="14.25" customHeight="1" x14ac:dyDescent="0.3">
      <c r="L264" s="123"/>
    </row>
    <row r="265" spans="12:12" ht="14.25" customHeight="1" x14ac:dyDescent="0.3">
      <c r="L265" s="123"/>
    </row>
    <row r="266" spans="12:12" ht="14.25" customHeight="1" x14ac:dyDescent="0.3">
      <c r="L266" s="123"/>
    </row>
    <row r="267" spans="12:12" ht="14.25" customHeight="1" x14ac:dyDescent="0.3">
      <c r="L267" s="123"/>
    </row>
    <row r="268" spans="12:12" ht="14.25" customHeight="1" x14ac:dyDescent="0.3">
      <c r="L268" s="123"/>
    </row>
    <row r="269" spans="12:12" ht="14.25" customHeight="1" x14ac:dyDescent="0.3">
      <c r="L269" s="123"/>
    </row>
    <row r="270" spans="12:12" ht="14.25" customHeight="1" x14ac:dyDescent="0.3">
      <c r="L270" s="123"/>
    </row>
    <row r="271" spans="12:12" ht="14.25" customHeight="1" x14ac:dyDescent="0.3">
      <c r="L271" s="123"/>
    </row>
    <row r="272" spans="12:12" ht="14.25" customHeight="1" x14ac:dyDescent="0.3">
      <c r="L272" s="123"/>
    </row>
    <row r="273" spans="12:12" ht="14.25" customHeight="1" x14ac:dyDescent="0.3">
      <c r="L273" s="123"/>
    </row>
    <row r="274" spans="12:12" ht="14.25" customHeight="1" x14ac:dyDescent="0.3">
      <c r="L274" s="123"/>
    </row>
    <row r="275" spans="12:12" ht="14.25" customHeight="1" x14ac:dyDescent="0.3">
      <c r="L275" s="123"/>
    </row>
    <row r="276" spans="12:12" ht="14.25" customHeight="1" x14ac:dyDescent="0.3">
      <c r="L276" s="123"/>
    </row>
    <row r="277" spans="12:12" ht="14.25" customHeight="1" x14ac:dyDescent="0.3">
      <c r="L277" s="123"/>
    </row>
    <row r="278" spans="12:12" ht="14.25" customHeight="1" x14ac:dyDescent="0.3">
      <c r="L278" s="123"/>
    </row>
    <row r="279" spans="12:12" ht="14.25" customHeight="1" x14ac:dyDescent="0.3">
      <c r="L279" s="123"/>
    </row>
    <row r="280" spans="12:12" ht="14.25" customHeight="1" x14ac:dyDescent="0.3">
      <c r="L280" s="123"/>
    </row>
    <row r="281" spans="12:12" ht="14.25" customHeight="1" x14ac:dyDescent="0.3">
      <c r="L281" s="123"/>
    </row>
    <row r="282" spans="12:12" ht="14.25" customHeight="1" x14ac:dyDescent="0.3">
      <c r="L282" s="123"/>
    </row>
    <row r="283" spans="12:12" ht="14.25" customHeight="1" x14ac:dyDescent="0.3">
      <c r="L283" s="123"/>
    </row>
    <row r="284" spans="12:12" ht="14.25" customHeight="1" x14ac:dyDescent="0.3">
      <c r="L284" s="123"/>
    </row>
    <row r="285" spans="12:12" ht="14.25" customHeight="1" x14ac:dyDescent="0.3">
      <c r="L285" s="123"/>
    </row>
    <row r="286" spans="12:12" ht="14.25" customHeight="1" x14ac:dyDescent="0.3">
      <c r="L286" s="123"/>
    </row>
    <row r="287" spans="12:12" ht="14.25" customHeight="1" x14ac:dyDescent="0.3">
      <c r="L287" s="123"/>
    </row>
    <row r="288" spans="12:12" ht="14.25" customHeight="1" x14ac:dyDescent="0.3">
      <c r="L288" s="123"/>
    </row>
    <row r="289" spans="12:12" ht="14.25" customHeight="1" x14ac:dyDescent="0.3">
      <c r="L289" s="123"/>
    </row>
    <row r="290" spans="12:12" ht="14.25" customHeight="1" x14ac:dyDescent="0.3">
      <c r="L290" s="123"/>
    </row>
    <row r="291" spans="12:12" ht="14.25" customHeight="1" x14ac:dyDescent="0.3">
      <c r="L291" s="123"/>
    </row>
    <row r="292" spans="12:12" ht="14.25" customHeight="1" x14ac:dyDescent="0.3">
      <c r="L292" s="123"/>
    </row>
    <row r="293" spans="12:12" ht="14.25" customHeight="1" x14ac:dyDescent="0.3">
      <c r="L293" s="123"/>
    </row>
    <row r="294" spans="12:12" ht="14.25" customHeight="1" x14ac:dyDescent="0.3">
      <c r="L294" s="123"/>
    </row>
    <row r="295" spans="12:12" ht="14.25" customHeight="1" x14ac:dyDescent="0.3">
      <c r="L295" s="123"/>
    </row>
    <row r="296" spans="12:12" ht="14.25" customHeight="1" x14ac:dyDescent="0.3">
      <c r="L296" s="123"/>
    </row>
    <row r="297" spans="12:12" ht="14.25" customHeight="1" x14ac:dyDescent="0.3">
      <c r="L297" s="123"/>
    </row>
    <row r="298" spans="12:12" ht="14.25" customHeight="1" x14ac:dyDescent="0.3">
      <c r="L298" s="123"/>
    </row>
    <row r="299" spans="12:12" ht="14.25" customHeight="1" x14ac:dyDescent="0.3">
      <c r="L299" s="123"/>
    </row>
    <row r="300" spans="12:12" ht="14.25" customHeight="1" x14ac:dyDescent="0.3">
      <c r="L300" s="123"/>
    </row>
    <row r="301" spans="12:12" ht="14.25" customHeight="1" x14ac:dyDescent="0.3">
      <c r="L301" s="123"/>
    </row>
    <row r="302" spans="12:12" ht="14.25" customHeight="1" x14ac:dyDescent="0.3">
      <c r="L302" s="123"/>
    </row>
    <row r="303" spans="12:12" ht="14.25" customHeight="1" x14ac:dyDescent="0.3">
      <c r="L303" s="123"/>
    </row>
    <row r="304" spans="12:12" ht="14.25" customHeight="1" x14ac:dyDescent="0.3">
      <c r="L304" s="123"/>
    </row>
    <row r="305" spans="12:12" ht="14.25" customHeight="1" x14ac:dyDescent="0.3">
      <c r="L305" s="123"/>
    </row>
    <row r="306" spans="12:12" ht="14.25" customHeight="1" x14ac:dyDescent="0.3">
      <c r="L306" s="123"/>
    </row>
    <row r="307" spans="12:12" ht="14.25" customHeight="1" x14ac:dyDescent="0.3">
      <c r="L307" s="123"/>
    </row>
    <row r="308" spans="12:12" ht="14.25" customHeight="1" x14ac:dyDescent="0.3">
      <c r="L308" s="123"/>
    </row>
    <row r="309" spans="12:12" ht="14.25" customHeight="1" x14ac:dyDescent="0.3">
      <c r="L309" s="123"/>
    </row>
    <row r="310" spans="12:12" ht="14.25" customHeight="1" x14ac:dyDescent="0.3">
      <c r="L310" s="123"/>
    </row>
    <row r="311" spans="12:12" ht="14.25" customHeight="1" x14ac:dyDescent="0.3">
      <c r="L311" s="123"/>
    </row>
    <row r="312" spans="12:12" ht="14.25" customHeight="1" x14ac:dyDescent="0.3">
      <c r="L312" s="123"/>
    </row>
    <row r="313" spans="12:12" ht="14.25" customHeight="1" x14ac:dyDescent="0.3">
      <c r="L313" s="123"/>
    </row>
    <row r="314" spans="12:12" ht="14.25" customHeight="1" x14ac:dyDescent="0.3">
      <c r="L314" s="123"/>
    </row>
    <row r="315" spans="12:12" ht="14.25" customHeight="1" x14ac:dyDescent="0.3">
      <c r="L315" s="123"/>
    </row>
    <row r="316" spans="12:12" ht="14.25" customHeight="1" x14ac:dyDescent="0.3">
      <c r="L316" s="123"/>
    </row>
    <row r="317" spans="12:12" ht="14.25" customHeight="1" x14ac:dyDescent="0.3">
      <c r="L317" s="123"/>
    </row>
    <row r="318" spans="12:12" ht="14.25" customHeight="1" x14ac:dyDescent="0.3">
      <c r="L318" s="123"/>
    </row>
    <row r="319" spans="12:12" ht="14.25" customHeight="1" x14ac:dyDescent="0.3">
      <c r="L319" s="123"/>
    </row>
    <row r="320" spans="12:12" ht="14.25" customHeight="1" x14ac:dyDescent="0.3">
      <c r="L320" s="123"/>
    </row>
    <row r="321" spans="12:12" ht="14.25" customHeight="1" x14ac:dyDescent="0.3">
      <c r="L321" s="123"/>
    </row>
    <row r="322" spans="12:12" ht="14.25" customHeight="1" x14ac:dyDescent="0.3">
      <c r="L322" s="123"/>
    </row>
    <row r="323" spans="12:12" ht="14.25" customHeight="1" x14ac:dyDescent="0.3">
      <c r="L323" s="123"/>
    </row>
    <row r="324" spans="12:12" ht="14.25" customHeight="1" x14ac:dyDescent="0.3">
      <c r="L324" s="123"/>
    </row>
    <row r="325" spans="12:12" ht="14.25" customHeight="1" x14ac:dyDescent="0.3">
      <c r="L325" s="123"/>
    </row>
    <row r="326" spans="12:12" ht="14.25" customHeight="1" x14ac:dyDescent="0.3">
      <c r="L326" s="123"/>
    </row>
    <row r="327" spans="12:12" ht="14.25" customHeight="1" x14ac:dyDescent="0.3">
      <c r="L327" s="123"/>
    </row>
    <row r="328" spans="12:12" ht="14.25" customHeight="1" x14ac:dyDescent="0.3">
      <c r="L328" s="123"/>
    </row>
    <row r="329" spans="12:12" ht="14.25" customHeight="1" x14ac:dyDescent="0.3">
      <c r="L329" s="123"/>
    </row>
    <row r="330" spans="12:12" ht="14.25" customHeight="1" x14ac:dyDescent="0.3">
      <c r="L330" s="123"/>
    </row>
    <row r="331" spans="12:12" ht="14.25" customHeight="1" x14ac:dyDescent="0.3">
      <c r="L331" s="123"/>
    </row>
    <row r="332" spans="12:12" ht="14.25" customHeight="1" x14ac:dyDescent="0.3">
      <c r="L332" s="123"/>
    </row>
    <row r="333" spans="12:12" ht="14.25" customHeight="1" x14ac:dyDescent="0.3">
      <c r="L333" s="123"/>
    </row>
    <row r="334" spans="12:12" ht="14.25" customHeight="1" x14ac:dyDescent="0.3">
      <c r="L334" s="123"/>
    </row>
    <row r="335" spans="12:12" ht="14.25" customHeight="1" x14ac:dyDescent="0.3">
      <c r="L335" s="123"/>
    </row>
    <row r="336" spans="12:12" ht="14.25" customHeight="1" x14ac:dyDescent="0.3">
      <c r="L336" s="123"/>
    </row>
    <row r="337" spans="12:12" ht="14.25" customHeight="1" x14ac:dyDescent="0.3">
      <c r="L337" s="123"/>
    </row>
    <row r="338" spans="12:12" ht="14.25" customHeight="1" x14ac:dyDescent="0.3">
      <c r="L338" s="123"/>
    </row>
    <row r="339" spans="12:12" ht="14.25" customHeight="1" x14ac:dyDescent="0.3">
      <c r="L339" s="123"/>
    </row>
    <row r="340" spans="12:12" ht="14.25" customHeight="1" x14ac:dyDescent="0.3">
      <c r="L340" s="123"/>
    </row>
    <row r="341" spans="12:12" ht="14.25" customHeight="1" x14ac:dyDescent="0.3">
      <c r="L341" s="123"/>
    </row>
    <row r="342" spans="12:12" ht="14.25" customHeight="1" x14ac:dyDescent="0.3">
      <c r="L342" s="123"/>
    </row>
    <row r="343" spans="12:12" ht="14.25" customHeight="1" x14ac:dyDescent="0.3">
      <c r="L343" s="123"/>
    </row>
    <row r="344" spans="12:12" ht="14.25" customHeight="1" x14ac:dyDescent="0.3">
      <c r="L344" s="123"/>
    </row>
    <row r="345" spans="12:12" ht="14.25" customHeight="1" x14ac:dyDescent="0.3">
      <c r="L345" s="123"/>
    </row>
    <row r="346" spans="12:12" ht="14.25" customHeight="1" x14ac:dyDescent="0.3">
      <c r="L346" s="123"/>
    </row>
    <row r="347" spans="12:12" ht="14.25" customHeight="1" x14ac:dyDescent="0.3">
      <c r="L347" s="123"/>
    </row>
    <row r="348" spans="12:12" ht="14.25" customHeight="1" x14ac:dyDescent="0.3">
      <c r="L348" s="123"/>
    </row>
    <row r="349" spans="12:12" ht="14.25" customHeight="1" x14ac:dyDescent="0.3">
      <c r="L349" s="123"/>
    </row>
    <row r="350" spans="12:12" ht="14.25" customHeight="1" x14ac:dyDescent="0.3">
      <c r="L350" s="123"/>
    </row>
    <row r="351" spans="12:12" ht="14.25" customHeight="1" x14ac:dyDescent="0.3">
      <c r="L351" s="123"/>
    </row>
    <row r="352" spans="12:12" ht="14.25" customHeight="1" x14ac:dyDescent="0.3">
      <c r="L352" s="123"/>
    </row>
    <row r="353" spans="12:12" ht="14.25" customHeight="1" x14ac:dyDescent="0.3">
      <c r="L353" s="123"/>
    </row>
    <row r="354" spans="12:12" ht="14.25" customHeight="1" x14ac:dyDescent="0.3">
      <c r="L354" s="123"/>
    </row>
    <row r="355" spans="12:12" ht="14.25" customHeight="1" x14ac:dyDescent="0.3">
      <c r="L355" s="123"/>
    </row>
    <row r="356" spans="12:12" ht="14.25" customHeight="1" x14ac:dyDescent="0.3">
      <c r="L356" s="123"/>
    </row>
    <row r="357" spans="12:12" ht="14.25" customHeight="1" x14ac:dyDescent="0.3">
      <c r="L357" s="123"/>
    </row>
    <row r="358" spans="12:12" ht="14.25" customHeight="1" x14ac:dyDescent="0.3">
      <c r="L358" s="123"/>
    </row>
    <row r="359" spans="12:12" ht="14.25" customHeight="1" x14ac:dyDescent="0.3">
      <c r="L359" s="123"/>
    </row>
    <row r="360" spans="12:12" ht="14.25" customHeight="1" x14ac:dyDescent="0.3">
      <c r="L360" s="123"/>
    </row>
    <row r="361" spans="12:12" ht="14.25" customHeight="1" x14ac:dyDescent="0.3">
      <c r="L361" s="123"/>
    </row>
    <row r="362" spans="12:12" ht="14.25" customHeight="1" x14ac:dyDescent="0.3">
      <c r="L362" s="123"/>
    </row>
    <row r="363" spans="12:12" ht="14.25" customHeight="1" x14ac:dyDescent="0.3">
      <c r="L363" s="123"/>
    </row>
    <row r="364" spans="12:12" ht="14.25" customHeight="1" x14ac:dyDescent="0.3">
      <c r="L364" s="123"/>
    </row>
    <row r="365" spans="12:12" ht="14.25" customHeight="1" x14ac:dyDescent="0.3">
      <c r="L365" s="123"/>
    </row>
    <row r="366" spans="12:12" ht="14.25" customHeight="1" x14ac:dyDescent="0.3">
      <c r="L366" s="123"/>
    </row>
    <row r="367" spans="12:12" ht="14.25" customHeight="1" x14ac:dyDescent="0.3">
      <c r="L367" s="123"/>
    </row>
    <row r="368" spans="12:12" ht="14.25" customHeight="1" x14ac:dyDescent="0.3">
      <c r="L368" s="123"/>
    </row>
    <row r="369" spans="12:12" ht="14.25" customHeight="1" x14ac:dyDescent="0.3">
      <c r="L369" s="123"/>
    </row>
    <row r="370" spans="12:12" ht="14.25" customHeight="1" x14ac:dyDescent="0.3">
      <c r="L370" s="123"/>
    </row>
    <row r="371" spans="12:12" ht="14.25" customHeight="1" x14ac:dyDescent="0.3">
      <c r="L371" s="123"/>
    </row>
    <row r="372" spans="12:12" ht="14.25" customHeight="1" x14ac:dyDescent="0.3">
      <c r="L372" s="123"/>
    </row>
    <row r="373" spans="12:12" ht="14.25" customHeight="1" x14ac:dyDescent="0.3">
      <c r="L373" s="123"/>
    </row>
    <row r="374" spans="12:12" ht="14.25" customHeight="1" x14ac:dyDescent="0.3">
      <c r="L374" s="123"/>
    </row>
    <row r="375" spans="12:12" ht="14.25" customHeight="1" x14ac:dyDescent="0.3">
      <c r="L375" s="123"/>
    </row>
    <row r="376" spans="12:12" ht="14.25" customHeight="1" x14ac:dyDescent="0.3">
      <c r="L376" s="123"/>
    </row>
    <row r="377" spans="12:12" ht="14.25" customHeight="1" x14ac:dyDescent="0.3">
      <c r="L377" s="123"/>
    </row>
    <row r="378" spans="12:12" ht="14.25" customHeight="1" x14ac:dyDescent="0.3">
      <c r="L378" s="123"/>
    </row>
    <row r="379" spans="12:12" ht="14.25" customHeight="1" x14ac:dyDescent="0.3">
      <c r="L379" s="123"/>
    </row>
    <row r="380" spans="12:12" ht="14.25" customHeight="1" x14ac:dyDescent="0.3">
      <c r="L380" s="123"/>
    </row>
    <row r="381" spans="12:12" ht="14.25" customHeight="1" x14ac:dyDescent="0.3">
      <c r="L381" s="123"/>
    </row>
    <row r="382" spans="12:12" ht="14.25" customHeight="1" x14ac:dyDescent="0.3">
      <c r="L382" s="123"/>
    </row>
    <row r="383" spans="12:12" ht="14.25" customHeight="1" x14ac:dyDescent="0.3">
      <c r="L383" s="123"/>
    </row>
    <row r="384" spans="12:12" ht="14.25" customHeight="1" x14ac:dyDescent="0.3">
      <c r="L384" s="123"/>
    </row>
    <row r="385" spans="12:12" ht="14.25" customHeight="1" x14ac:dyDescent="0.3">
      <c r="L385" s="123"/>
    </row>
    <row r="386" spans="12:12" ht="14.25" customHeight="1" x14ac:dyDescent="0.3">
      <c r="L386" s="123"/>
    </row>
    <row r="387" spans="12:12" ht="14.25" customHeight="1" x14ac:dyDescent="0.3">
      <c r="L387" s="123"/>
    </row>
    <row r="388" spans="12:12" ht="14.25" customHeight="1" x14ac:dyDescent="0.3">
      <c r="L388" s="123"/>
    </row>
    <row r="389" spans="12:12" ht="14.25" customHeight="1" x14ac:dyDescent="0.3">
      <c r="L389" s="123"/>
    </row>
    <row r="390" spans="12:12" ht="14.25" customHeight="1" x14ac:dyDescent="0.3">
      <c r="L390" s="123"/>
    </row>
    <row r="391" spans="12:12" ht="14.25" customHeight="1" x14ac:dyDescent="0.3">
      <c r="L391" s="123"/>
    </row>
    <row r="392" spans="12:12" ht="14.25" customHeight="1" x14ac:dyDescent="0.3">
      <c r="L392" s="123"/>
    </row>
    <row r="393" spans="12:12" ht="14.25" customHeight="1" x14ac:dyDescent="0.3">
      <c r="L393" s="123"/>
    </row>
    <row r="394" spans="12:12" ht="14.25" customHeight="1" x14ac:dyDescent="0.3">
      <c r="L394" s="123"/>
    </row>
    <row r="395" spans="12:12" ht="14.25" customHeight="1" x14ac:dyDescent="0.3">
      <c r="L395" s="123"/>
    </row>
    <row r="396" spans="12:12" ht="14.25" customHeight="1" x14ac:dyDescent="0.3">
      <c r="L396" s="123"/>
    </row>
    <row r="397" spans="12:12" ht="14.25" customHeight="1" x14ac:dyDescent="0.3">
      <c r="L397" s="123"/>
    </row>
    <row r="398" spans="12:12" ht="14.25" customHeight="1" x14ac:dyDescent="0.3">
      <c r="L398" s="123"/>
    </row>
    <row r="399" spans="12:12" ht="14.25" customHeight="1" x14ac:dyDescent="0.3">
      <c r="L399" s="123"/>
    </row>
    <row r="400" spans="12:12" ht="14.25" customHeight="1" x14ac:dyDescent="0.3">
      <c r="L400" s="123"/>
    </row>
    <row r="401" spans="12:12" ht="14.25" customHeight="1" x14ac:dyDescent="0.3">
      <c r="L401" s="123"/>
    </row>
    <row r="402" spans="12:12" ht="14.25" customHeight="1" x14ac:dyDescent="0.3">
      <c r="L402" s="123"/>
    </row>
    <row r="403" spans="12:12" ht="14.25" customHeight="1" x14ac:dyDescent="0.3">
      <c r="L403" s="123"/>
    </row>
    <row r="404" spans="12:12" ht="14.25" customHeight="1" x14ac:dyDescent="0.3">
      <c r="L404" s="123"/>
    </row>
    <row r="405" spans="12:12" ht="14.25" customHeight="1" x14ac:dyDescent="0.3">
      <c r="L405" s="123"/>
    </row>
    <row r="406" spans="12:12" ht="14.25" customHeight="1" x14ac:dyDescent="0.3">
      <c r="L406" s="123"/>
    </row>
    <row r="407" spans="12:12" ht="14.25" customHeight="1" x14ac:dyDescent="0.3">
      <c r="L407" s="123"/>
    </row>
    <row r="408" spans="12:12" ht="14.25" customHeight="1" x14ac:dyDescent="0.3">
      <c r="L408" s="123"/>
    </row>
    <row r="409" spans="12:12" ht="14.25" customHeight="1" x14ac:dyDescent="0.3">
      <c r="L409" s="123"/>
    </row>
    <row r="410" spans="12:12" ht="14.25" customHeight="1" x14ac:dyDescent="0.3">
      <c r="L410" s="123"/>
    </row>
    <row r="411" spans="12:12" ht="14.25" customHeight="1" x14ac:dyDescent="0.3">
      <c r="L411" s="123"/>
    </row>
    <row r="412" spans="12:12" ht="14.25" customHeight="1" x14ac:dyDescent="0.3">
      <c r="L412" s="123"/>
    </row>
    <row r="413" spans="12:12" ht="14.25" customHeight="1" x14ac:dyDescent="0.3">
      <c r="L413" s="123"/>
    </row>
    <row r="414" spans="12:12" ht="14.25" customHeight="1" x14ac:dyDescent="0.3">
      <c r="L414" s="123"/>
    </row>
    <row r="415" spans="12:12" ht="14.25" customHeight="1" x14ac:dyDescent="0.3">
      <c r="L415" s="123"/>
    </row>
    <row r="416" spans="12:12" ht="14.25" customHeight="1" x14ac:dyDescent="0.3">
      <c r="L416" s="123"/>
    </row>
    <row r="417" spans="12:12" ht="14.25" customHeight="1" x14ac:dyDescent="0.3">
      <c r="L417" s="123"/>
    </row>
    <row r="418" spans="12:12" ht="14.25" customHeight="1" x14ac:dyDescent="0.3">
      <c r="L418" s="123"/>
    </row>
    <row r="419" spans="12:12" ht="14.25" customHeight="1" x14ac:dyDescent="0.3">
      <c r="L419" s="123"/>
    </row>
    <row r="420" spans="12:12" ht="14.25" customHeight="1" x14ac:dyDescent="0.3">
      <c r="L420" s="123"/>
    </row>
    <row r="421" spans="12:12" ht="14.25" customHeight="1" x14ac:dyDescent="0.3">
      <c r="L421" s="123"/>
    </row>
    <row r="422" spans="12:12" ht="14.25" customHeight="1" x14ac:dyDescent="0.3">
      <c r="L422" s="123"/>
    </row>
    <row r="423" spans="12:12" ht="14.25" customHeight="1" x14ac:dyDescent="0.3">
      <c r="L423" s="123"/>
    </row>
    <row r="424" spans="12:12" ht="14.25" customHeight="1" x14ac:dyDescent="0.3">
      <c r="L424" s="123"/>
    </row>
    <row r="425" spans="12:12" ht="14.25" customHeight="1" x14ac:dyDescent="0.3">
      <c r="L425" s="123"/>
    </row>
    <row r="426" spans="12:12" ht="14.25" customHeight="1" x14ac:dyDescent="0.3">
      <c r="L426" s="123"/>
    </row>
    <row r="427" spans="12:12" ht="14.25" customHeight="1" x14ac:dyDescent="0.3">
      <c r="L427" s="123"/>
    </row>
    <row r="428" spans="12:12" ht="14.25" customHeight="1" x14ac:dyDescent="0.3">
      <c r="L428" s="123"/>
    </row>
    <row r="429" spans="12:12" ht="14.25" customHeight="1" x14ac:dyDescent="0.3">
      <c r="L429" s="123"/>
    </row>
    <row r="430" spans="12:12" ht="14.25" customHeight="1" x14ac:dyDescent="0.3">
      <c r="L430" s="123"/>
    </row>
    <row r="431" spans="12:12" ht="14.25" customHeight="1" x14ac:dyDescent="0.3">
      <c r="L431" s="123"/>
    </row>
    <row r="432" spans="12:12" ht="14.25" customHeight="1" x14ac:dyDescent="0.3">
      <c r="L432" s="123"/>
    </row>
    <row r="433" spans="12:12" ht="14.25" customHeight="1" x14ac:dyDescent="0.3">
      <c r="L433" s="123"/>
    </row>
    <row r="434" spans="12:12" ht="14.25" customHeight="1" x14ac:dyDescent="0.3">
      <c r="L434" s="123"/>
    </row>
    <row r="435" spans="12:12" ht="14.25" customHeight="1" x14ac:dyDescent="0.3">
      <c r="L435" s="123"/>
    </row>
    <row r="436" spans="12:12" ht="14.25" customHeight="1" x14ac:dyDescent="0.3">
      <c r="L436" s="123"/>
    </row>
    <row r="437" spans="12:12" ht="14.25" customHeight="1" x14ac:dyDescent="0.3">
      <c r="L437" s="123"/>
    </row>
    <row r="438" spans="12:12" ht="14.25" customHeight="1" x14ac:dyDescent="0.3">
      <c r="L438" s="123"/>
    </row>
    <row r="439" spans="12:12" ht="14.25" customHeight="1" x14ac:dyDescent="0.3">
      <c r="L439" s="123"/>
    </row>
    <row r="440" spans="12:12" ht="14.25" customHeight="1" x14ac:dyDescent="0.3">
      <c r="L440" s="123"/>
    </row>
    <row r="441" spans="12:12" ht="14.25" customHeight="1" x14ac:dyDescent="0.3">
      <c r="L441" s="123"/>
    </row>
    <row r="442" spans="12:12" ht="14.25" customHeight="1" x14ac:dyDescent="0.3">
      <c r="L442" s="123"/>
    </row>
    <row r="443" spans="12:12" ht="14.25" customHeight="1" x14ac:dyDescent="0.3">
      <c r="L443" s="123"/>
    </row>
    <row r="444" spans="12:12" ht="14.25" customHeight="1" x14ac:dyDescent="0.3">
      <c r="L444" s="123"/>
    </row>
    <row r="445" spans="12:12" ht="14.25" customHeight="1" x14ac:dyDescent="0.3">
      <c r="L445" s="123"/>
    </row>
    <row r="446" spans="12:12" ht="14.25" customHeight="1" x14ac:dyDescent="0.3">
      <c r="L446" s="123"/>
    </row>
    <row r="447" spans="12:12" ht="14.25" customHeight="1" x14ac:dyDescent="0.3">
      <c r="L447" s="123"/>
    </row>
    <row r="448" spans="12:12" ht="14.25" customHeight="1" x14ac:dyDescent="0.3">
      <c r="L448" s="123"/>
    </row>
    <row r="449" spans="12:12" ht="14.25" customHeight="1" x14ac:dyDescent="0.3">
      <c r="L449" s="123"/>
    </row>
    <row r="450" spans="12:12" ht="14.25" customHeight="1" x14ac:dyDescent="0.3">
      <c r="L450" s="123"/>
    </row>
    <row r="451" spans="12:12" ht="14.25" customHeight="1" x14ac:dyDescent="0.3">
      <c r="L451" s="123"/>
    </row>
    <row r="452" spans="12:12" ht="14.25" customHeight="1" x14ac:dyDescent="0.3">
      <c r="L452" s="123"/>
    </row>
    <row r="453" spans="12:12" ht="14.25" customHeight="1" x14ac:dyDescent="0.3">
      <c r="L453" s="123"/>
    </row>
    <row r="454" spans="12:12" ht="14.25" customHeight="1" x14ac:dyDescent="0.3">
      <c r="L454" s="123"/>
    </row>
    <row r="455" spans="12:12" ht="14.25" customHeight="1" x14ac:dyDescent="0.3">
      <c r="L455" s="123"/>
    </row>
    <row r="456" spans="12:12" ht="14.25" customHeight="1" x14ac:dyDescent="0.3">
      <c r="L456" s="123"/>
    </row>
    <row r="457" spans="12:12" ht="14.25" customHeight="1" x14ac:dyDescent="0.3">
      <c r="L457" s="123"/>
    </row>
    <row r="458" spans="12:12" ht="14.25" customHeight="1" x14ac:dyDescent="0.3">
      <c r="L458" s="123"/>
    </row>
    <row r="459" spans="12:12" ht="14.25" customHeight="1" x14ac:dyDescent="0.3">
      <c r="L459" s="123"/>
    </row>
    <row r="460" spans="12:12" ht="14.25" customHeight="1" x14ac:dyDescent="0.3">
      <c r="L460" s="123"/>
    </row>
    <row r="461" spans="12:12" ht="14.25" customHeight="1" x14ac:dyDescent="0.3">
      <c r="L461" s="123"/>
    </row>
    <row r="462" spans="12:12" ht="14.25" customHeight="1" x14ac:dyDescent="0.3">
      <c r="L462" s="123"/>
    </row>
    <row r="463" spans="12:12" ht="14.25" customHeight="1" x14ac:dyDescent="0.3">
      <c r="L463" s="123"/>
    </row>
    <row r="464" spans="12:12" ht="14.25" customHeight="1" x14ac:dyDescent="0.3">
      <c r="L464" s="123"/>
    </row>
    <row r="465" spans="12:12" ht="14.25" customHeight="1" x14ac:dyDescent="0.3">
      <c r="L465" s="123"/>
    </row>
    <row r="466" spans="12:12" ht="14.25" customHeight="1" x14ac:dyDescent="0.3">
      <c r="L466" s="123"/>
    </row>
    <row r="467" spans="12:12" ht="14.25" customHeight="1" x14ac:dyDescent="0.3">
      <c r="L467" s="123"/>
    </row>
    <row r="468" spans="12:12" ht="14.25" customHeight="1" x14ac:dyDescent="0.3">
      <c r="L468" s="123"/>
    </row>
    <row r="469" spans="12:12" ht="14.25" customHeight="1" x14ac:dyDescent="0.3">
      <c r="L469" s="123"/>
    </row>
    <row r="470" spans="12:12" ht="14.25" customHeight="1" x14ac:dyDescent="0.3">
      <c r="L470" s="123"/>
    </row>
    <row r="471" spans="12:12" ht="14.25" customHeight="1" x14ac:dyDescent="0.3">
      <c r="L471" s="123"/>
    </row>
    <row r="472" spans="12:12" ht="14.25" customHeight="1" x14ac:dyDescent="0.3">
      <c r="L472" s="123"/>
    </row>
    <row r="473" spans="12:12" ht="14.25" customHeight="1" x14ac:dyDescent="0.3">
      <c r="L473" s="123"/>
    </row>
    <row r="474" spans="12:12" ht="14.25" customHeight="1" x14ac:dyDescent="0.3">
      <c r="L474" s="123"/>
    </row>
    <row r="475" spans="12:12" ht="14.25" customHeight="1" x14ac:dyDescent="0.3">
      <c r="L475" s="123"/>
    </row>
    <row r="476" spans="12:12" ht="14.25" customHeight="1" x14ac:dyDescent="0.3">
      <c r="L476" s="123"/>
    </row>
    <row r="477" spans="12:12" ht="14.25" customHeight="1" x14ac:dyDescent="0.3">
      <c r="L477" s="123"/>
    </row>
    <row r="478" spans="12:12" ht="14.25" customHeight="1" x14ac:dyDescent="0.3">
      <c r="L478" s="123"/>
    </row>
    <row r="479" spans="12:12" ht="14.25" customHeight="1" x14ac:dyDescent="0.3">
      <c r="L479" s="123"/>
    </row>
    <row r="480" spans="12:12" ht="14.25" customHeight="1" x14ac:dyDescent="0.3">
      <c r="L480" s="123"/>
    </row>
    <row r="481" spans="12:12" ht="14.25" customHeight="1" x14ac:dyDescent="0.3">
      <c r="L481" s="123"/>
    </row>
    <row r="482" spans="12:12" ht="14.25" customHeight="1" x14ac:dyDescent="0.3">
      <c r="L482" s="123"/>
    </row>
    <row r="483" spans="12:12" ht="14.25" customHeight="1" x14ac:dyDescent="0.3">
      <c r="L483" s="123"/>
    </row>
    <row r="484" spans="12:12" ht="14.25" customHeight="1" x14ac:dyDescent="0.3">
      <c r="L484" s="123"/>
    </row>
    <row r="485" spans="12:12" ht="14.25" customHeight="1" x14ac:dyDescent="0.3">
      <c r="L485" s="123"/>
    </row>
    <row r="486" spans="12:12" ht="14.25" customHeight="1" x14ac:dyDescent="0.3">
      <c r="L486" s="123"/>
    </row>
    <row r="487" spans="12:12" ht="14.25" customHeight="1" x14ac:dyDescent="0.3">
      <c r="L487" s="123"/>
    </row>
    <row r="488" spans="12:12" ht="14.25" customHeight="1" x14ac:dyDescent="0.3">
      <c r="L488" s="123"/>
    </row>
    <row r="489" spans="12:12" ht="14.25" customHeight="1" x14ac:dyDescent="0.3">
      <c r="L489" s="123"/>
    </row>
    <row r="490" spans="12:12" ht="14.25" customHeight="1" x14ac:dyDescent="0.3">
      <c r="L490" s="123"/>
    </row>
    <row r="491" spans="12:12" ht="14.25" customHeight="1" x14ac:dyDescent="0.3">
      <c r="L491" s="123"/>
    </row>
    <row r="492" spans="12:12" ht="14.25" customHeight="1" x14ac:dyDescent="0.3">
      <c r="L492" s="123"/>
    </row>
    <row r="493" spans="12:12" ht="14.25" customHeight="1" x14ac:dyDescent="0.3">
      <c r="L493" s="123"/>
    </row>
    <row r="494" spans="12:12" ht="14.25" customHeight="1" x14ac:dyDescent="0.3">
      <c r="L494" s="123"/>
    </row>
    <row r="495" spans="12:12" ht="14.25" customHeight="1" x14ac:dyDescent="0.3">
      <c r="L495" s="123"/>
    </row>
    <row r="496" spans="12:12" ht="14.25" customHeight="1" x14ac:dyDescent="0.3">
      <c r="L496" s="123"/>
    </row>
    <row r="497" spans="12:12" ht="14.25" customHeight="1" x14ac:dyDescent="0.3">
      <c r="L497" s="123"/>
    </row>
    <row r="498" spans="12:12" ht="14.25" customHeight="1" x14ac:dyDescent="0.3">
      <c r="L498" s="123"/>
    </row>
    <row r="499" spans="12:12" ht="14.25" customHeight="1" x14ac:dyDescent="0.3">
      <c r="L499" s="123"/>
    </row>
    <row r="500" spans="12:12" ht="14.25" customHeight="1" x14ac:dyDescent="0.3">
      <c r="L500" s="123"/>
    </row>
    <row r="501" spans="12:12" ht="14.25" customHeight="1" x14ac:dyDescent="0.3">
      <c r="L501" s="123"/>
    </row>
    <row r="502" spans="12:12" ht="14.25" customHeight="1" x14ac:dyDescent="0.3">
      <c r="L502" s="123"/>
    </row>
    <row r="503" spans="12:12" ht="14.25" customHeight="1" x14ac:dyDescent="0.3">
      <c r="L503" s="123"/>
    </row>
    <row r="504" spans="12:12" ht="14.25" customHeight="1" x14ac:dyDescent="0.3">
      <c r="L504" s="123"/>
    </row>
    <row r="505" spans="12:12" ht="14.25" customHeight="1" x14ac:dyDescent="0.3">
      <c r="L505" s="123"/>
    </row>
    <row r="506" spans="12:12" ht="14.25" customHeight="1" x14ac:dyDescent="0.3">
      <c r="L506" s="123"/>
    </row>
    <row r="507" spans="12:12" ht="14.25" customHeight="1" x14ac:dyDescent="0.3">
      <c r="L507" s="123"/>
    </row>
    <row r="508" spans="12:12" ht="14.25" customHeight="1" x14ac:dyDescent="0.3">
      <c r="L508" s="123"/>
    </row>
    <row r="509" spans="12:12" ht="14.25" customHeight="1" x14ac:dyDescent="0.3">
      <c r="L509" s="123"/>
    </row>
    <row r="510" spans="12:12" ht="14.25" customHeight="1" x14ac:dyDescent="0.3">
      <c r="L510" s="123"/>
    </row>
    <row r="511" spans="12:12" ht="14.25" customHeight="1" x14ac:dyDescent="0.3">
      <c r="L511" s="123"/>
    </row>
    <row r="512" spans="12:12" ht="14.25" customHeight="1" x14ac:dyDescent="0.3">
      <c r="L512" s="123"/>
    </row>
    <row r="513" spans="12:12" ht="14.25" customHeight="1" x14ac:dyDescent="0.3">
      <c r="L513" s="123"/>
    </row>
    <row r="514" spans="12:12" ht="14.25" customHeight="1" x14ac:dyDescent="0.3">
      <c r="L514" s="123"/>
    </row>
    <row r="515" spans="12:12" ht="14.25" customHeight="1" x14ac:dyDescent="0.3">
      <c r="L515" s="123"/>
    </row>
    <row r="516" spans="12:12" ht="14.25" customHeight="1" x14ac:dyDescent="0.3">
      <c r="L516" s="123"/>
    </row>
    <row r="517" spans="12:12" ht="14.25" customHeight="1" x14ac:dyDescent="0.3">
      <c r="L517" s="123"/>
    </row>
    <row r="518" spans="12:12" ht="14.25" customHeight="1" x14ac:dyDescent="0.3">
      <c r="L518" s="123"/>
    </row>
    <row r="519" spans="12:12" ht="14.25" customHeight="1" x14ac:dyDescent="0.3">
      <c r="L519" s="123"/>
    </row>
    <row r="520" spans="12:12" ht="14.25" customHeight="1" x14ac:dyDescent="0.3">
      <c r="L520" s="123"/>
    </row>
    <row r="521" spans="12:12" ht="14.25" customHeight="1" x14ac:dyDescent="0.3">
      <c r="L521" s="123"/>
    </row>
    <row r="522" spans="12:12" ht="14.25" customHeight="1" x14ac:dyDescent="0.3">
      <c r="L522" s="123"/>
    </row>
    <row r="523" spans="12:12" ht="14.25" customHeight="1" x14ac:dyDescent="0.3">
      <c r="L523" s="123"/>
    </row>
    <row r="524" spans="12:12" ht="14.25" customHeight="1" x14ac:dyDescent="0.3">
      <c r="L524" s="123"/>
    </row>
    <row r="525" spans="12:12" ht="14.25" customHeight="1" x14ac:dyDescent="0.3">
      <c r="L525" s="123"/>
    </row>
    <row r="526" spans="12:12" ht="14.25" customHeight="1" x14ac:dyDescent="0.3">
      <c r="L526" s="123"/>
    </row>
    <row r="527" spans="12:12" ht="14.25" customHeight="1" x14ac:dyDescent="0.3">
      <c r="L527" s="123"/>
    </row>
    <row r="528" spans="12:12" ht="14.25" customHeight="1" x14ac:dyDescent="0.3">
      <c r="L528" s="123"/>
    </row>
    <row r="529" spans="12:12" ht="14.25" customHeight="1" x14ac:dyDescent="0.3">
      <c r="L529" s="123"/>
    </row>
    <row r="530" spans="12:12" ht="14.25" customHeight="1" x14ac:dyDescent="0.3">
      <c r="L530" s="123"/>
    </row>
    <row r="531" spans="12:12" ht="14.25" customHeight="1" x14ac:dyDescent="0.3">
      <c r="L531" s="123"/>
    </row>
    <row r="532" spans="12:12" ht="14.25" customHeight="1" x14ac:dyDescent="0.3">
      <c r="L532" s="123"/>
    </row>
    <row r="533" spans="12:12" ht="14.25" customHeight="1" x14ac:dyDescent="0.3">
      <c r="L533" s="123"/>
    </row>
    <row r="534" spans="12:12" ht="14.25" customHeight="1" x14ac:dyDescent="0.3">
      <c r="L534" s="123"/>
    </row>
    <row r="535" spans="12:12" ht="14.25" customHeight="1" x14ac:dyDescent="0.3">
      <c r="L535" s="123"/>
    </row>
    <row r="536" spans="12:12" ht="14.25" customHeight="1" x14ac:dyDescent="0.3">
      <c r="L536" s="123"/>
    </row>
    <row r="537" spans="12:12" ht="14.25" customHeight="1" x14ac:dyDescent="0.3">
      <c r="L537" s="123"/>
    </row>
    <row r="538" spans="12:12" ht="14.25" customHeight="1" x14ac:dyDescent="0.3">
      <c r="L538" s="123"/>
    </row>
    <row r="539" spans="12:12" ht="14.25" customHeight="1" x14ac:dyDescent="0.3">
      <c r="L539" s="123"/>
    </row>
    <row r="540" spans="12:12" ht="14.25" customHeight="1" x14ac:dyDescent="0.3">
      <c r="L540" s="123"/>
    </row>
    <row r="541" spans="12:12" ht="14.25" customHeight="1" x14ac:dyDescent="0.3">
      <c r="L541" s="123"/>
    </row>
    <row r="542" spans="12:12" ht="14.25" customHeight="1" x14ac:dyDescent="0.3">
      <c r="L542" s="123"/>
    </row>
    <row r="543" spans="12:12" ht="14.25" customHeight="1" x14ac:dyDescent="0.3">
      <c r="L543" s="123"/>
    </row>
    <row r="544" spans="12:12" ht="14.25" customHeight="1" x14ac:dyDescent="0.3">
      <c r="L544" s="123"/>
    </row>
    <row r="545" spans="12:12" ht="14.25" customHeight="1" x14ac:dyDescent="0.3">
      <c r="L545" s="123"/>
    </row>
    <row r="546" spans="12:12" ht="14.25" customHeight="1" x14ac:dyDescent="0.3">
      <c r="L546" s="123"/>
    </row>
    <row r="547" spans="12:12" ht="14.25" customHeight="1" x14ac:dyDescent="0.3">
      <c r="L547" s="123"/>
    </row>
    <row r="548" spans="12:12" ht="14.25" customHeight="1" x14ac:dyDescent="0.3">
      <c r="L548" s="123"/>
    </row>
    <row r="549" spans="12:12" ht="14.25" customHeight="1" x14ac:dyDescent="0.3">
      <c r="L549" s="123"/>
    </row>
    <row r="550" spans="12:12" ht="14.25" customHeight="1" x14ac:dyDescent="0.3">
      <c r="L550" s="123"/>
    </row>
    <row r="551" spans="12:12" ht="14.25" customHeight="1" x14ac:dyDescent="0.3">
      <c r="L551" s="123"/>
    </row>
    <row r="552" spans="12:12" ht="14.25" customHeight="1" x14ac:dyDescent="0.3">
      <c r="L552" s="123"/>
    </row>
    <row r="553" spans="12:12" ht="14.25" customHeight="1" x14ac:dyDescent="0.3">
      <c r="L553" s="123"/>
    </row>
    <row r="554" spans="12:12" ht="14.25" customHeight="1" x14ac:dyDescent="0.3">
      <c r="L554" s="123"/>
    </row>
    <row r="555" spans="12:12" ht="14.25" customHeight="1" x14ac:dyDescent="0.3">
      <c r="L555" s="123"/>
    </row>
    <row r="556" spans="12:12" ht="14.25" customHeight="1" x14ac:dyDescent="0.3">
      <c r="L556" s="123"/>
    </row>
    <row r="557" spans="12:12" ht="14.25" customHeight="1" x14ac:dyDescent="0.3">
      <c r="L557" s="123"/>
    </row>
    <row r="558" spans="12:12" ht="14.25" customHeight="1" x14ac:dyDescent="0.3">
      <c r="L558" s="123"/>
    </row>
    <row r="559" spans="12:12" ht="14.25" customHeight="1" x14ac:dyDescent="0.3">
      <c r="L559" s="123"/>
    </row>
    <row r="560" spans="12:12" ht="14.25" customHeight="1" x14ac:dyDescent="0.3">
      <c r="L560" s="123"/>
    </row>
    <row r="561" spans="12:12" ht="14.25" customHeight="1" x14ac:dyDescent="0.3">
      <c r="L561" s="123"/>
    </row>
    <row r="562" spans="12:12" ht="14.25" customHeight="1" x14ac:dyDescent="0.3">
      <c r="L562" s="123"/>
    </row>
    <row r="563" spans="12:12" ht="14.25" customHeight="1" x14ac:dyDescent="0.3">
      <c r="L563" s="123"/>
    </row>
    <row r="564" spans="12:12" ht="14.25" customHeight="1" x14ac:dyDescent="0.3">
      <c r="L564" s="123"/>
    </row>
    <row r="565" spans="12:12" ht="14.25" customHeight="1" x14ac:dyDescent="0.3">
      <c r="L565" s="123"/>
    </row>
    <row r="566" spans="12:12" ht="14.25" customHeight="1" x14ac:dyDescent="0.3">
      <c r="L566" s="123"/>
    </row>
    <row r="567" spans="12:12" ht="14.25" customHeight="1" x14ac:dyDescent="0.3">
      <c r="L567" s="123"/>
    </row>
    <row r="568" spans="12:12" ht="14.25" customHeight="1" x14ac:dyDescent="0.3">
      <c r="L568" s="123"/>
    </row>
    <row r="569" spans="12:12" ht="14.25" customHeight="1" x14ac:dyDescent="0.3">
      <c r="L569" s="123"/>
    </row>
    <row r="570" spans="12:12" ht="14.25" customHeight="1" x14ac:dyDescent="0.3">
      <c r="L570" s="123"/>
    </row>
    <row r="571" spans="12:12" ht="14.25" customHeight="1" x14ac:dyDescent="0.3">
      <c r="L571" s="123"/>
    </row>
    <row r="572" spans="12:12" ht="14.25" customHeight="1" x14ac:dyDescent="0.3">
      <c r="L572" s="123"/>
    </row>
    <row r="573" spans="12:12" ht="14.25" customHeight="1" x14ac:dyDescent="0.3">
      <c r="L573" s="123"/>
    </row>
    <row r="574" spans="12:12" ht="14.25" customHeight="1" x14ac:dyDescent="0.3">
      <c r="L574" s="123"/>
    </row>
    <row r="575" spans="12:12" ht="14.25" customHeight="1" x14ac:dyDescent="0.3">
      <c r="L575" s="123"/>
    </row>
    <row r="576" spans="12:12" ht="14.25" customHeight="1" x14ac:dyDescent="0.3">
      <c r="L576" s="123"/>
    </row>
    <row r="577" spans="12:12" ht="14.25" customHeight="1" x14ac:dyDescent="0.3">
      <c r="L577" s="123"/>
    </row>
    <row r="578" spans="12:12" ht="14.25" customHeight="1" x14ac:dyDescent="0.3">
      <c r="L578" s="123"/>
    </row>
    <row r="579" spans="12:12" ht="14.25" customHeight="1" x14ac:dyDescent="0.3">
      <c r="L579" s="123"/>
    </row>
    <row r="580" spans="12:12" ht="14.25" customHeight="1" x14ac:dyDescent="0.3">
      <c r="L580" s="123"/>
    </row>
    <row r="581" spans="12:12" ht="14.25" customHeight="1" x14ac:dyDescent="0.3">
      <c r="L581" s="123"/>
    </row>
    <row r="582" spans="12:12" ht="14.25" customHeight="1" x14ac:dyDescent="0.3">
      <c r="L582" s="123"/>
    </row>
    <row r="583" spans="12:12" ht="14.25" customHeight="1" x14ac:dyDescent="0.3">
      <c r="L583" s="123"/>
    </row>
    <row r="584" spans="12:12" ht="14.25" customHeight="1" x14ac:dyDescent="0.3">
      <c r="L584" s="123"/>
    </row>
    <row r="585" spans="12:12" ht="14.25" customHeight="1" x14ac:dyDescent="0.3">
      <c r="L585" s="123"/>
    </row>
    <row r="586" spans="12:12" ht="14.25" customHeight="1" x14ac:dyDescent="0.3">
      <c r="L586" s="123"/>
    </row>
    <row r="587" spans="12:12" ht="14.25" customHeight="1" x14ac:dyDescent="0.3">
      <c r="L587" s="123"/>
    </row>
    <row r="588" spans="12:12" ht="14.25" customHeight="1" x14ac:dyDescent="0.3">
      <c r="L588" s="123"/>
    </row>
    <row r="589" spans="12:12" ht="14.25" customHeight="1" x14ac:dyDescent="0.3">
      <c r="L589" s="123"/>
    </row>
    <row r="590" spans="12:12" ht="14.25" customHeight="1" x14ac:dyDescent="0.3">
      <c r="L590" s="123"/>
    </row>
    <row r="591" spans="12:12" ht="14.25" customHeight="1" x14ac:dyDescent="0.3">
      <c r="L591" s="123"/>
    </row>
    <row r="592" spans="12:12" ht="14.25" customHeight="1" x14ac:dyDescent="0.3">
      <c r="L592" s="123"/>
    </row>
    <row r="593" spans="12:12" ht="14.25" customHeight="1" x14ac:dyDescent="0.3">
      <c r="L593" s="123"/>
    </row>
    <row r="594" spans="12:12" ht="14.25" customHeight="1" x14ac:dyDescent="0.3">
      <c r="L594" s="123"/>
    </row>
    <row r="595" spans="12:12" ht="14.25" customHeight="1" x14ac:dyDescent="0.3">
      <c r="L595" s="123"/>
    </row>
    <row r="596" spans="12:12" ht="14.25" customHeight="1" x14ac:dyDescent="0.3">
      <c r="L596" s="123"/>
    </row>
    <row r="597" spans="12:12" ht="14.25" customHeight="1" x14ac:dyDescent="0.3">
      <c r="L597" s="123"/>
    </row>
    <row r="598" spans="12:12" ht="14.25" customHeight="1" x14ac:dyDescent="0.3">
      <c r="L598" s="123"/>
    </row>
    <row r="599" spans="12:12" ht="14.25" customHeight="1" x14ac:dyDescent="0.3">
      <c r="L599" s="123"/>
    </row>
    <row r="600" spans="12:12" ht="14.25" customHeight="1" x14ac:dyDescent="0.3">
      <c r="L600" s="123"/>
    </row>
    <row r="601" spans="12:12" ht="14.25" customHeight="1" x14ac:dyDescent="0.3">
      <c r="L601" s="123"/>
    </row>
    <row r="602" spans="12:12" ht="14.25" customHeight="1" x14ac:dyDescent="0.3">
      <c r="L602" s="123"/>
    </row>
    <row r="603" spans="12:12" ht="14.25" customHeight="1" x14ac:dyDescent="0.3">
      <c r="L603" s="123"/>
    </row>
    <row r="604" spans="12:12" ht="14.25" customHeight="1" x14ac:dyDescent="0.3">
      <c r="L604" s="123"/>
    </row>
    <row r="605" spans="12:12" ht="14.25" customHeight="1" x14ac:dyDescent="0.3">
      <c r="L605" s="123"/>
    </row>
    <row r="606" spans="12:12" ht="14.25" customHeight="1" x14ac:dyDescent="0.3">
      <c r="L606" s="123"/>
    </row>
    <row r="607" spans="12:12" ht="14.25" customHeight="1" x14ac:dyDescent="0.3">
      <c r="L607" s="123"/>
    </row>
    <row r="608" spans="12:12" ht="14.25" customHeight="1" x14ac:dyDescent="0.3">
      <c r="L608" s="123"/>
    </row>
    <row r="609" spans="12:12" ht="14.25" customHeight="1" x14ac:dyDescent="0.3">
      <c r="L609" s="123"/>
    </row>
    <row r="610" spans="12:12" ht="14.25" customHeight="1" x14ac:dyDescent="0.3">
      <c r="L610" s="123"/>
    </row>
    <row r="611" spans="12:12" ht="14.25" customHeight="1" x14ac:dyDescent="0.3">
      <c r="L611" s="123"/>
    </row>
    <row r="612" spans="12:12" ht="14.25" customHeight="1" x14ac:dyDescent="0.3">
      <c r="L612" s="123"/>
    </row>
    <row r="613" spans="12:12" ht="14.25" customHeight="1" x14ac:dyDescent="0.3">
      <c r="L613" s="123"/>
    </row>
    <row r="614" spans="12:12" ht="14.25" customHeight="1" x14ac:dyDescent="0.3">
      <c r="L614" s="123"/>
    </row>
    <row r="615" spans="12:12" ht="14.25" customHeight="1" x14ac:dyDescent="0.3">
      <c r="L615" s="123"/>
    </row>
    <row r="616" spans="12:12" ht="14.25" customHeight="1" x14ac:dyDescent="0.3">
      <c r="L616" s="123"/>
    </row>
    <row r="617" spans="12:12" ht="14.25" customHeight="1" x14ac:dyDescent="0.3">
      <c r="L617" s="123"/>
    </row>
    <row r="618" spans="12:12" ht="14.25" customHeight="1" x14ac:dyDescent="0.3">
      <c r="L618" s="123"/>
    </row>
    <row r="619" spans="12:12" ht="14.25" customHeight="1" x14ac:dyDescent="0.3">
      <c r="L619" s="123"/>
    </row>
    <row r="620" spans="12:12" ht="14.25" customHeight="1" x14ac:dyDescent="0.3">
      <c r="L620" s="123"/>
    </row>
    <row r="621" spans="12:12" ht="14.25" customHeight="1" x14ac:dyDescent="0.3">
      <c r="L621" s="123"/>
    </row>
    <row r="622" spans="12:12" ht="14.25" customHeight="1" x14ac:dyDescent="0.3">
      <c r="L622" s="123"/>
    </row>
    <row r="623" spans="12:12" ht="14.25" customHeight="1" x14ac:dyDescent="0.3">
      <c r="L623" s="123"/>
    </row>
    <row r="624" spans="12:12" ht="14.25" customHeight="1" x14ac:dyDescent="0.3">
      <c r="L624" s="123"/>
    </row>
    <row r="625" spans="12:12" ht="14.25" customHeight="1" x14ac:dyDescent="0.3">
      <c r="L625" s="123"/>
    </row>
    <row r="626" spans="12:12" ht="14.25" customHeight="1" x14ac:dyDescent="0.3">
      <c r="L626" s="123"/>
    </row>
    <row r="627" spans="12:12" ht="14.25" customHeight="1" x14ac:dyDescent="0.3">
      <c r="L627" s="123"/>
    </row>
    <row r="628" spans="12:12" ht="14.25" customHeight="1" x14ac:dyDescent="0.3">
      <c r="L628" s="123"/>
    </row>
    <row r="629" spans="12:12" ht="14.25" customHeight="1" x14ac:dyDescent="0.3">
      <c r="L629" s="123"/>
    </row>
    <row r="630" spans="12:12" ht="14.25" customHeight="1" x14ac:dyDescent="0.3">
      <c r="L630" s="123"/>
    </row>
    <row r="631" spans="12:12" ht="14.25" customHeight="1" x14ac:dyDescent="0.3">
      <c r="L631" s="123"/>
    </row>
    <row r="632" spans="12:12" ht="14.25" customHeight="1" x14ac:dyDescent="0.3">
      <c r="L632" s="123"/>
    </row>
    <row r="633" spans="12:12" ht="14.25" customHeight="1" x14ac:dyDescent="0.3">
      <c r="L633" s="123"/>
    </row>
    <row r="634" spans="12:12" ht="14.25" customHeight="1" x14ac:dyDescent="0.3">
      <c r="L634" s="123"/>
    </row>
    <row r="635" spans="12:12" ht="14.25" customHeight="1" x14ac:dyDescent="0.3">
      <c r="L635" s="123"/>
    </row>
    <row r="636" spans="12:12" ht="14.25" customHeight="1" x14ac:dyDescent="0.3">
      <c r="L636" s="123"/>
    </row>
    <row r="637" spans="12:12" ht="14.25" customHeight="1" x14ac:dyDescent="0.3">
      <c r="L637" s="123"/>
    </row>
    <row r="638" spans="12:12" ht="14.25" customHeight="1" x14ac:dyDescent="0.3">
      <c r="L638" s="123"/>
    </row>
    <row r="639" spans="12:12" ht="14.25" customHeight="1" x14ac:dyDescent="0.3">
      <c r="L639" s="123"/>
    </row>
    <row r="640" spans="12:12" ht="14.25" customHeight="1" x14ac:dyDescent="0.3">
      <c r="L640" s="123"/>
    </row>
    <row r="641" spans="12:12" ht="14.25" customHeight="1" x14ac:dyDescent="0.3">
      <c r="L641" s="123"/>
    </row>
    <row r="642" spans="12:12" ht="14.25" customHeight="1" x14ac:dyDescent="0.3">
      <c r="L642" s="123"/>
    </row>
    <row r="643" spans="12:12" ht="14.25" customHeight="1" x14ac:dyDescent="0.3">
      <c r="L643" s="123"/>
    </row>
    <row r="644" spans="12:12" ht="14.25" customHeight="1" x14ac:dyDescent="0.3">
      <c r="L644" s="123"/>
    </row>
    <row r="645" spans="12:12" ht="14.25" customHeight="1" x14ac:dyDescent="0.3">
      <c r="L645" s="123"/>
    </row>
    <row r="646" spans="12:12" ht="14.25" customHeight="1" x14ac:dyDescent="0.3">
      <c r="L646" s="123"/>
    </row>
    <row r="647" spans="12:12" ht="14.25" customHeight="1" x14ac:dyDescent="0.3">
      <c r="L647" s="123"/>
    </row>
    <row r="648" spans="12:12" ht="14.25" customHeight="1" x14ac:dyDescent="0.3">
      <c r="L648" s="123"/>
    </row>
    <row r="649" spans="12:12" ht="14.25" customHeight="1" x14ac:dyDescent="0.3">
      <c r="L649" s="123"/>
    </row>
    <row r="650" spans="12:12" ht="14.25" customHeight="1" x14ac:dyDescent="0.3">
      <c r="L650" s="123"/>
    </row>
    <row r="651" spans="12:12" ht="14.25" customHeight="1" x14ac:dyDescent="0.3">
      <c r="L651" s="123"/>
    </row>
    <row r="652" spans="12:12" ht="14.25" customHeight="1" x14ac:dyDescent="0.3">
      <c r="L652" s="123"/>
    </row>
    <row r="653" spans="12:12" ht="14.25" customHeight="1" x14ac:dyDescent="0.3">
      <c r="L653" s="123"/>
    </row>
    <row r="654" spans="12:12" ht="14.25" customHeight="1" x14ac:dyDescent="0.3">
      <c r="L654" s="123"/>
    </row>
    <row r="655" spans="12:12" ht="14.25" customHeight="1" x14ac:dyDescent="0.3">
      <c r="L655" s="123"/>
    </row>
    <row r="656" spans="12:12" ht="14.25" customHeight="1" x14ac:dyDescent="0.3">
      <c r="L656" s="123"/>
    </row>
    <row r="657" spans="12:12" ht="14.25" customHeight="1" x14ac:dyDescent="0.3">
      <c r="L657" s="123"/>
    </row>
    <row r="658" spans="12:12" ht="14.25" customHeight="1" x14ac:dyDescent="0.3">
      <c r="L658" s="123"/>
    </row>
    <row r="659" spans="12:12" ht="14.25" customHeight="1" x14ac:dyDescent="0.3">
      <c r="L659" s="123"/>
    </row>
    <row r="660" spans="12:12" ht="14.25" customHeight="1" x14ac:dyDescent="0.3">
      <c r="L660" s="123"/>
    </row>
    <row r="661" spans="12:12" ht="14.25" customHeight="1" x14ac:dyDescent="0.3">
      <c r="L661" s="123"/>
    </row>
    <row r="662" spans="12:12" ht="14.25" customHeight="1" x14ac:dyDescent="0.3">
      <c r="L662" s="123"/>
    </row>
    <row r="663" spans="12:12" ht="14.25" customHeight="1" x14ac:dyDescent="0.3">
      <c r="L663" s="123"/>
    </row>
    <row r="664" spans="12:12" ht="14.25" customHeight="1" x14ac:dyDescent="0.3">
      <c r="L664" s="123"/>
    </row>
    <row r="665" spans="12:12" ht="14.25" customHeight="1" x14ac:dyDescent="0.3">
      <c r="L665" s="123"/>
    </row>
    <row r="666" spans="12:12" ht="14.25" customHeight="1" x14ac:dyDescent="0.3">
      <c r="L666" s="123"/>
    </row>
    <row r="667" spans="12:12" ht="14.25" customHeight="1" x14ac:dyDescent="0.3">
      <c r="L667" s="123"/>
    </row>
    <row r="668" spans="12:12" ht="14.25" customHeight="1" x14ac:dyDescent="0.3">
      <c r="L668" s="123"/>
    </row>
    <row r="669" spans="12:12" ht="14.25" customHeight="1" x14ac:dyDescent="0.3">
      <c r="L669" s="123"/>
    </row>
    <row r="670" spans="12:12" ht="14.25" customHeight="1" x14ac:dyDescent="0.3">
      <c r="L670" s="123"/>
    </row>
    <row r="671" spans="12:12" ht="14.25" customHeight="1" x14ac:dyDescent="0.3">
      <c r="L671" s="123"/>
    </row>
    <row r="672" spans="12:12" ht="14.25" customHeight="1" x14ac:dyDescent="0.3">
      <c r="L672" s="123"/>
    </row>
    <row r="673" spans="12:12" ht="14.25" customHeight="1" x14ac:dyDescent="0.3">
      <c r="L673" s="123"/>
    </row>
    <row r="674" spans="12:12" ht="14.25" customHeight="1" x14ac:dyDescent="0.3">
      <c r="L674" s="123"/>
    </row>
    <row r="675" spans="12:12" ht="14.25" customHeight="1" x14ac:dyDescent="0.3">
      <c r="L675" s="123"/>
    </row>
    <row r="676" spans="12:12" ht="14.25" customHeight="1" x14ac:dyDescent="0.3">
      <c r="L676" s="123"/>
    </row>
    <row r="677" spans="12:12" ht="14.25" customHeight="1" x14ac:dyDescent="0.3">
      <c r="L677" s="123"/>
    </row>
    <row r="678" spans="12:12" ht="14.25" customHeight="1" x14ac:dyDescent="0.3">
      <c r="L678" s="123"/>
    </row>
    <row r="679" spans="12:12" ht="14.25" customHeight="1" x14ac:dyDescent="0.3">
      <c r="L679" s="123"/>
    </row>
    <row r="680" spans="12:12" ht="14.25" customHeight="1" x14ac:dyDescent="0.3">
      <c r="L680" s="123"/>
    </row>
    <row r="681" spans="12:12" ht="14.25" customHeight="1" x14ac:dyDescent="0.3">
      <c r="L681" s="123"/>
    </row>
    <row r="682" spans="12:12" ht="14.25" customHeight="1" x14ac:dyDescent="0.3">
      <c r="L682" s="123"/>
    </row>
    <row r="683" spans="12:12" ht="14.25" customHeight="1" x14ac:dyDescent="0.3">
      <c r="L683" s="123"/>
    </row>
    <row r="684" spans="12:12" ht="14.25" customHeight="1" x14ac:dyDescent="0.3">
      <c r="L684" s="123"/>
    </row>
    <row r="685" spans="12:12" ht="14.25" customHeight="1" x14ac:dyDescent="0.3">
      <c r="L685" s="123"/>
    </row>
    <row r="686" spans="12:12" ht="14.25" customHeight="1" x14ac:dyDescent="0.3">
      <c r="L686" s="123"/>
    </row>
    <row r="687" spans="12:12" ht="14.25" customHeight="1" x14ac:dyDescent="0.3">
      <c r="L687" s="123"/>
    </row>
    <row r="688" spans="12:12" ht="14.25" customHeight="1" x14ac:dyDescent="0.3">
      <c r="L688" s="123"/>
    </row>
    <row r="689" spans="12:12" ht="14.25" customHeight="1" x14ac:dyDescent="0.3">
      <c r="L689" s="123"/>
    </row>
    <row r="690" spans="12:12" ht="14.25" customHeight="1" x14ac:dyDescent="0.3">
      <c r="L690" s="123"/>
    </row>
    <row r="691" spans="12:12" ht="14.25" customHeight="1" x14ac:dyDescent="0.3">
      <c r="L691" s="123"/>
    </row>
    <row r="692" spans="12:12" ht="14.25" customHeight="1" x14ac:dyDescent="0.3">
      <c r="L692" s="123"/>
    </row>
    <row r="693" spans="12:12" ht="14.25" customHeight="1" x14ac:dyDescent="0.3">
      <c r="L693" s="123"/>
    </row>
    <row r="694" spans="12:12" ht="14.25" customHeight="1" x14ac:dyDescent="0.3">
      <c r="L694" s="123"/>
    </row>
    <row r="695" spans="12:12" ht="14.25" customHeight="1" x14ac:dyDescent="0.3">
      <c r="L695" s="123"/>
    </row>
    <row r="696" spans="12:12" ht="14.25" customHeight="1" x14ac:dyDescent="0.3">
      <c r="L696" s="123"/>
    </row>
    <row r="697" spans="12:12" ht="14.25" customHeight="1" x14ac:dyDescent="0.3">
      <c r="L697" s="123"/>
    </row>
    <row r="698" spans="12:12" ht="14.25" customHeight="1" x14ac:dyDescent="0.3">
      <c r="L698" s="123"/>
    </row>
    <row r="699" spans="12:12" ht="14.25" customHeight="1" x14ac:dyDescent="0.3">
      <c r="L699" s="123"/>
    </row>
    <row r="700" spans="12:12" ht="14.25" customHeight="1" x14ac:dyDescent="0.3">
      <c r="L700" s="123"/>
    </row>
    <row r="701" spans="12:12" ht="14.25" customHeight="1" x14ac:dyDescent="0.3">
      <c r="L701" s="123"/>
    </row>
    <row r="702" spans="12:12" ht="14.25" customHeight="1" x14ac:dyDescent="0.3">
      <c r="L702" s="123"/>
    </row>
    <row r="703" spans="12:12" ht="14.25" customHeight="1" x14ac:dyDescent="0.3">
      <c r="L703" s="123"/>
    </row>
    <row r="704" spans="12:12" ht="14.25" customHeight="1" x14ac:dyDescent="0.3">
      <c r="L704" s="123"/>
    </row>
    <row r="705" spans="12:12" ht="14.25" customHeight="1" x14ac:dyDescent="0.3">
      <c r="L705" s="123"/>
    </row>
    <row r="706" spans="12:12" ht="14.25" customHeight="1" x14ac:dyDescent="0.3">
      <c r="L706" s="123"/>
    </row>
    <row r="707" spans="12:12" ht="14.25" customHeight="1" x14ac:dyDescent="0.3">
      <c r="L707" s="123"/>
    </row>
    <row r="708" spans="12:12" ht="14.25" customHeight="1" x14ac:dyDescent="0.3">
      <c r="L708" s="123"/>
    </row>
    <row r="709" spans="12:12" ht="14.25" customHeight="1" x14ac:dyDescent="0.3">
      <c r="L709" s="123"/>
    </row>
    <row r="710" spans="12:12" ht="14.25" customHeight="1" x14ac:dyDescent="0.3">
      <c r="L710" s="123"/>
    </row>
    <row r="711" spans="12:12" ht="14.25" customHeight="1" x14ac:dyDescent="0.3">
      <c r="L711" s="123"/>
    </row>
    <row r="712" spans="12:12" ht="14.25" customHeight="1" x14ac:dyDescent="0.3">
      <c r="L712" s="123"/>
    </row>
    <row r="713" spans="12:12" ht="14.25" customHeight="1" x14ac:dyDescent="0.3">
      <c r="L713" s="123"/>
    </row>
    <row r="714" spans="12:12" ht="14.25" customHeight="1" x14ac:dyDescent="0.3">
      <c r="L714" s="123"/>
    </row>
    <row r="715" spans="12:12" ht="14.25" customHeight="1" x14ac:dyDescent="0.3">
      <c r="L715" s="123"/>
    </row>
    <row r="716" spans="12:12" ht="14.25" customHeight="1" x14ac:dyDescent="0.3">
      <c r="L716" s="123"/>
    </row>
    <row r="717" spans="12:12" ht="14.25" customHeight="1" x14ac:dyDescent="0.3">
      <c r="L717" s="123"/>
    </row>
    <row r="718" spans="12:12" ht="14.25" customHeight="1" x14ac:dyDescent="0.3">
      <c r="L718" s="123"/>
    </row>
    <row r="719" spans="12:12" ht="14.25" customHeight="1" x14ac:dyDescent="0.3">
      <c r="L719" s="123"/>
    </row>
    <row r="720" spans="12:12" ht="14.25" customHeight="1" x14ac:dyDescent="0.3">
      <c r="L720" s="123"/>
    </row>
    <row r="721" spans="12:12" ht="14.25" customHeight="1" x14ac:dyDescent="0.3">
      <c r="L721" s="123"/>
    </row>
    <row r="722" spans="12:12" ht="14.25" customHeight="1" x14ac:dyDescent="0.3">
      <c r="L722" s="123"/>
    </row>
    <row r="723" spans="12:12" ht="14.25" customHeight="1" x14ac:dyDescent="0.3">
      <c r="L723" s="123"/>
    </row>
    <row r="724" spans="12:12" ht="14.25" customHeight="1" x14ac:dyDescent="0.3">
      <c r="L724" s="123"/>
    </row>
    <row r="725" spans="12:12" ht="14.25" customHeight="1" x14ac:dyDescent="0.3">
      <c r="L725" s="123"/>
    </row>
    <row r="726" spans="12:12" ht="14.25" customHeight="1" x14ac:dyDescent="0.3">
      <c r="L726" s="123"/>
    </row>
    <row r="727" spans="12:12" ht="14.25" customHeight="1" x14ac:dyDescent="0.3">
      <c r="L727" s="123"/>
    </row>
    <row r="728" spans="12:12" ht="14.25" customHeight="1" x14ac:dyDescent="0.3">
      <c r="L728" s="123"/>
    </row>
    <row r="729" spans="12:12" ht="14.25" customHeight="1" x14ac:dyDescent="0.3">
      <c r="L729" s="123"/>
    </row>
    <row r="730" spans="12:12" ht="14.25" customHeight="1" x14ac:dyDescent="0.3">
      <c r="L730" s="123"/>
    </row>
    <row r="731" spans="12:12" ht="14.25" customHeight="1" x14ac:dyDescent="0.3">
      <c r="L731" s="123"/>
    </row>
    <row r="732" spans="12:12" ht="14.25" customHeight="1" x14ac:dyDescent="0.3">
      <c r="L732" s="123"/>
    </row>
    <row r="733" spans="12:12" ht="14.25" customHeight="1" x14ac:dyDescent="0.3">
      <c r="L733" s="123"/>
    </row>
    <row r="734" spans="12:12" ht="14.25" customHeight="1" x14ac:dyDescent="0.3">
      <c r="L734" s="123"/>
    </row>
    <row r="735" spans="12:12" ht="14.25" customHeight="1" x14ac:dyDescent="0.3">
      <c r="L735" s="123"/>
    </row>
    <row r="736" spans="12:12" ht="14.25" customHeight="1" x14ac:dyDescent="0.3">
      <c r="L736" s="123"/>
    </row>
    <row r="737" spans="12:12" ht="14.25" customHeight="1" x14ac:dyDescent="0.3">
      <c r="L737" s="123"/>
    </row>
    <row r="738" spans="12:12" ht="14.25" customHeight="1" x14ac:dyDescent="0.3">
      <c r="L738" s="123"/>
    </row>
    <row r="739" spans="12:12" ht="14.25" customHeight="1" x14ac:dyDescent="0.3">
      <c r="L739" s="123"/>
    </row>
    <row r="740" spans="12:12" ht="14.25" customHeight="1" x14ac:dyDescent="0.3">
      <c r="L740" s="123"/>
    </row>
    <row r="741" spans="12:12" ht="14.25" customHeight="1" x14ac:dyDescent="0.3">
      <c r="L741" s="123"/>
    </row>
    <row r="742" spans="12:12" ht="14.25" customHeight="1" x14ac:dyDescent="0.3">
      <c r="L742" s="123"/>
    </row>
    <row r="743" spans="12:12" ht="14.25" customHeight="1" x14ac:dyDescent="0.3">
      <c r="L743" s="123"/>
    </row>
    <row r="744" spans="12:12" ht="14.25" customHeight="1" x14ac:dyDescent="0.3">
      <c r="L744" s="123"/>
    </row>
    <row r="745" spans="12:12" ht="14.25" customHeight="1" x14ac:dyDescent="0.3">
      <c r="L745" s="123"/>
    </row>
    <row r="746" spans="12:12" ht="14.25" customHeight="1" x14ac:dyDescent="0.3">
      <c r="L746" s="123"/>
    </row>
    <row r="747" spans="12:12" ht="14.25" customHeight="1" x14ac:dyDescent="0.3">
      <c r="L747" s="123"/>
    </row>
    <row r="748" spans="12:12" ht="14.25" customHeight="1" x14ac:dyDescent="0.3">
      <c r="L748" s="123"/>
    </row>
    <row r="749" spans="12:12" ht="14.25" customHeight="1" x14ac:dyDescent="0.3">
      <c r="L749" s="123"/>
    </row>
    <row r="750" spans="12:12" ht="14.25" customHeight="1" x14ac:dyDescent="0.3">
      <c r="L750" s="123"/>
    </row>
    <row r="751" spans="12:12" ht="14.25" customHeight="1" x14ac:dyDescent="0.3">
      <c r="L751" s="123"/>
    </row>
    <row r="752" spans="12:12" ht="14.25" customHeight="1" x14ac:dyDescent="0.3">
      <c r="L752" s="123"/>
    </row>
    <row r="753" spans="12:12" ht="14.25" customHeight="1" x14ac:dyDescent="0.3">
      <c r="L753" s="123"/>
    </row>
    <row r="754" spans="12:12" ht="14.25" customHeight="1" x14ac:dyDescent="0.3">
      <c r="L754" s="123"/>
    </row>
    <row r="755" spans="12:12" ht="14.25" customHeight="1" x14ac:dyDescent="0.3">
      <c r="L755" s="123"/>
    </row>
    <row r="756" spans="12:12" ht="14.25" customHeight="1" x14ac:dyDescent="0.3">
      <c r="L756" s="123"/>
    </row>
    <row r="757" spans="12:12" ht="14.25" customHeight="1" x14ac:dyDescent="0.3">
      <c r="L757" s="123"/>
    </row>
    <row r="758" spans="12:12" ht="14.25" customHeight="1" x14ac:dyDescent="0.3">
      <c r="L758" s="123"/>
    </row>
    <row r="759" spans="12:12" ht="14.25" customHeight="1" x14ac:dyDescent="0.3">
      <c r="L759" s="123"/>
    </row>
    <row r="760" spans="12:12" ht="14.25" customHeight="1" x14ac:dyDescent="0.3">
      <c r="L760" s="123"/>
    </row>
    <row r="761" spans="12:12" ht="14.25" customHeight="1" x14ac:dyDescent="0.3">
      <c r="L761" s="123"/>
    </row>
    <row r="762" spans="12:12" ht="14.25" customHeight="1" x14ac:dyDescent="0.3">
      <c r="L762" s="123"/>
    </row>
    <row r="763" spans="12:12" ht="14.25" customHeight="1" x14ac:dyDescent="0.3">
      <c r="L763" s="123"/>
    </row>
    <row r="764" spans="12:12" ht="14.25" customHeight="1" x14ac:dyDescent="0.3">
      <c r="L764" s="123"/>
    </row>
    <row r="765" spans="12:12" ht="14.25" customHeight="1" x14ac:dyDescent="0.3">
      <c r="L765" s="123"/>
    </row>
    <row r="766" spans="12:12" ht="14.25" customHeight="1" x14ac:dyDescent="0.3">
      <c r="L766" s="123"/>
    </row>
    <row r="767" spans="12:12" ht="14.25" customHeight="1" x14ac:dyDescent="0.3">
      <c r="L767" s="123"/>
    </row>
    <row r="768" spans="12:12" ht="14.25" customHeight="1" x14ac:dyDescent="0.3">
      <c r="L768" s="123"/>
    </row>
    <row r="769" spans="12:12" ht="14.25" customHeight="1" x14ac:dyDescent="0.3">
      <c r="L769" s="123"/>
    </row>
    <row r="770" spans="12:12" ht="14.25" customHeight="1" x14ac:dyDescent="0.3">
      <c r="L770" s="123"/>
    </row>
    <row r="771" spans="12:12" ht="14.25" customHeight="1" x14ac:dyDescent="0.3">
      <c r="L771" s="123"/>
    </row>
    <row r="772" spans="12:12" ht="14.25" customHeight="1" x14ac:dyDescent="0.3">
      <c r="L772" s="123"/>
    </row>
    <row r="773" spans="12:12" ht="14.25" customHeight="1" x14ac:dyDescent="0.3">
      <c r="L773" s="123"/>
    </row>
    <row r="774" spans="12:12" ht="14.25" customHeight="1" x14ac:dyDescent="0.3">
      <c r="L774" s="123"/>
    </row>
    <row r="775" spans="12:12" ht="14.25" customHeight="1" x14ac:dyDescent="0.3">
      <c r="L775" s="123"/>
    </row>
    <row r="776" spans="12:12" ht="14.25" customHeight="1" x14ac:dyDescent="0.3">
      <c r="L776" s="123"/>
    </row>
    <row r="777" spans="12:12" ht="14.25" customHeight="1" x14ac:dyDescent="0.3">
      <c r="L777" s="123"/>
    </row>
    <row r="778" spans="12:12" ht="14.25" customHeight="1" x14ac:dyDescent="0.3">
      <c r="L778" s="123"/>
    </row>
    <row r="779" spans="12:12" ht="14.25" customHeight="1" x14ac:dyDescent="0.3">
      <c r="L779" s="123"/>
    </row>
    <row r="780" spans="12:12" ht="14.25" customHeight="1" x14ac:dyDescent="0.3">
      <c r="L780" s="123"/>
    </row>
    <row r="781" spans="12:12" ht="14.25" customHeight="1" x14ac:dyDescent="0.3">
      <c r="L781" s="123"/>
    </row>
    <row r="782" spans="12:12" ht="14.25" customHeight="1" x14ac:dyDescent="0.3">
      <c r="L782" s="123"/>
    </row>
    <row r="783" spans="12:12" ht="14.25" customHeight="1" x14ac:dyDescent="0.3">
      <c r="L783" s="123"/>
    </row>
    <row r="784" spans="12:12" ht="14.25" customHeight="1" x14ac:dyDescent="0.3">
      <c r="L784" s="123"/>
    </row>
    <row r="785" spans="12:12" ht="14.25" customHeight="1" x14ac:dyDescent="0.3">
      <c r="L785" s="123"/>
    </row>
    <row r="786" spans="12:12" ht="14.25" customHeight="1" x14ac:dyDescent="0.3">
      <c r="L786" s="123"/>
    </row>
    <row r="787" spans="12:12" ht="14.25" customHeight="1" x14ac:dyDescent="0.3">
      <c r="L787" s="123"/>
    </row>
    <row r="788" spans="12:12" ht="14.25" customHeight="1" x14ac:dyDescent="0.3">
      <c r="L788" s="123"/>
    </row>
    <row r="789" spans="12:12" ht="14.25" customHeight="1" x14ac:dyDescent="0.3">
      <c r="L789" s="123"/>
    </row>
    <row r="790" spans="12:12" ht="14.25" customHeight="1" x14ac:dyDescent="0.3">
      <c r="L790" s="123"/>
    </row>
    <row r="791" spans="12:12" ht="14.25" customHeight="1" x14ac:dyDescent="0.3">
      <c r="L791" s="123"/>
    </row>
    <row r="792" spans="12:12" ht="14.25" customHeight="1" x14ac:dyDescent="0.3">
      <c r="L792" s="123"/>
    </row>
    <row r="793" spans="12:12" ht="14.25" customHeight="1" x14ac:dyDescent="0.3">
      <c r="L793" s="123"/>
    </row>
    <row r="794" spans="12:12" ht="14.25" customHeight="1" x14ac:dyDescent="0.3">
      <c r="L794" s="123"/>
    </row>
    <row r="795" spans="12:12" ht="14.25" customHeight="1" x14ac:dyDescent="0.3">
      <c r="L795" s="123"/>
    </row>
    <row r="796" spans="12:12" ht="14.25" customHeight="1" x14ac:dyDescent="0.3">
      <c r="L796" s="123"/>
    </row>
    <row r="797" spans="12:12" ht="14.25" customHeight="1" x14ac:dyDescent="0.3">
      <c r="L797" s="123"/>
    </row>
    <row r="798" spans="12:12" ht="14.25" customHeight="1" x14ac:dyDescent="0.3">
      <c r="L798" s="123"/>
    </row>
    <row r="799" spans="12:12" ht="14.25" customHeight="1" x14ac:dyDescent="0.3">
      <c r="L799" s="123"/>
    </row>
    <row r="800" spans="12:12" ht="14.25" customHeight="1" x14ac:dyDescent="0.3">
      <c r="L800" s="123"/>
    </row>
    <row r="801" spans="12:12" ht="14.25" customHeight="1" x14ac:dyDescent="0.3">
      <c r="L801" s="123"/>
    </row>
    <row r="802" spans="12:12" ht="14.25" customHeight="1" x14ac:dyDescent="0.3">
      <c r="L802" s="123"/>
    </row>
    <row r="803" spans="12:12" ht="14.25" customHeight="1" x14ac:dyDescent="0.3">
      <c r="L803" s="123"/>
    </row>
    <row r="804" spans="12:12" ht="14.25" customHeight="1" x14ac:dyDescent="0.3">
      <c r="L804" s="123"/>
    </row>
    <row r="805" spans="12:12" ht="14.25" customHeight="1" x14ac:dyDescent="0.3">
      <c r="L805" s="123"/>
    </row>
    <row r="806" spans="12:12" ht="14.25" customHeight="1" x14ac:dyDescent="0.3">
      <c r="L806" s="123"/>
    </row>
    <row r="807" spans="12:12" ht="14.25" customHeight="1" x14ac:dyDescent="0.3">
      <c r="L807" s="123"/>
    </row>
    <row r="808" spans="12:12" ht="14.25" customHeight="1" x14ac:dyDescent="0.3">
      <c r="L808" s="123"/>
    </row>
    <row r="809" spans="12:12" ht="14.25" customHeight="1" x14ac:dyDescent="0.3">
      <c r="L809" s="123"/>
    </row>
    <row r="810" spans="12:12" ht="14.25" customHeight="1" x14ac:dyDescent="0.3">
      <c r="L810" s="123"/>
    </row>
    <row r="811" spans="12:12" ht="14.25" customHeight="1" x14ac:dyDescent="0.3">
      <c r="L811" s="123"/>
    </row>
    <row r="812" spans="12:12" ht="14.25" customHeight="1" x14ac:dyDescent="0.3">
      <c r="L812" s="123"/>
    </row>
    <row r="813" spans="12:12" ht="14.25" customHeight="1" x14ac:dyDescent="0.3">
      <c r="L813" s="123"/>
    </row>
    <row r="814" spans="12:12" ht="14.25" customHeight="1" x14ac:dyDescent="0.3">
      <c r="L814" s="123"/>
    </row>
    <row r="815" spans="12:12" ht="14.25" customHeight="1" x14ac:dyDescent="0.3">
      <c r="L815" s="123"/>
    </row>
    <row r="816" spans="12:12" ht="14.25" customHeight="1" x14ac:dyDescent="0.3">
      <c r="L816" s="123"/>
    </row>
    <row r="817" spans="12:12" ht="14.25" customHeight="1" x14ac:dyDescent="0.3">
      <c r="L817" s="123"/>
    </row>
    <row r="818" spans="12:12" ht="14.25" customHeight="1" x14ac:dyDescent="0.3">
      <c r="L818" s="123"/>
    </row>
    <row r="819" spans="12:12" ht="14.25" customHeight="1" x14ac:dyDescent="0.3">
      <c r="L819" s="123"/>
    </row>
    <row r="820" spans="12:12" ht="14.25" customHeight="1" x14ac:dyDescent="0.3">
      <c r="L820" s="123"/>
    </row>
    <row r="821" spans="12:12" ht="14.25" customHeight="1" x14ac:dyDescent="0.3">
      <c r="L821" s="123"/>
    </row>
    <row r="822" spans="12:12" ht="14.25" customHeight="1" x14ac:dyDescent="0.3">
      <c r="L822" s="123"/>
    </row>
    <row r="823" spans="12:12" ht="14.25" customHeight="1" x14ac:dyDescent="0.3">
      <c r="L823" s="123"/>
    </row>
    <row r="824" spans="12:12" ht="14.25" customHeight="1" x14ac:dyDescent="0.3">
      <c r="L824" s="123"/>
    </row>
    <row r="825" spans="12:12" ht="14.25" customHeight="1" x14ac:dyDescent="0.3">
      <c r="L825" s="123"/>
    </row>
    <row r="826" spans="12:12" ht="14.25" customHeight="1" x14ac:dyDescent="0.3">
      <c r="L826" s="123"/>
    </row>
    <row r="827" spans="12:12" ht="14.25" customHeight="1" x14ac:dyDescent="0.3">
      <c r="L827" s="123"/>
    </row>
    <row r="828" spans="12:12" ht="14.25" customHeight="1" x14ac:dyDescent="0.3">
      <c r="L828" s="123"/>
    </row>
    <row r="829" spans="12:12" ht="14.25" customHeight="1" x14ac:dyDescent="0.3">
      <c r="L829" s="123"/>
    </row>
    <row r="830" spans="12:12" ht="14.25" customHeight="1" x14ac:dyDescent="0.3">
      <c r="L830" s="123"/>
    </row>
    <row r="831" spans="12:12" ht="14.25" customHeight="1" x14ac:dyDescent="0.3">
      <c r="L831" s="123"/>
    </row>
    <row r="832" spans="12:12" ht="14.25" customHeight="1" x14ac:dyDescent="0.3">
      <c r="L832" s="123"/>
    </row>
    <row r="833" spans="12:12" ht="14.25" customHeight="1" x14ac:dyDescent="0.3">
      <c r="L833" s="123"/>
    </row>
    <row r="834" spans="12:12" ht="14.25" customHeight="1" x14ac:dyDescent="0.3">
      <c r="L834" s="123"/>
    </row>
    <row r="835" spans="12:12" ht="14.25" customHeight="1" x14ac:dyDescent="0.3">
      <c r="L835" s="123"/>
    </row>
    <row r="836" spans="12:12" ht="14.25" customHeight="1" x14ac:dyDescent="0.3">
      <c r="L836" s="123"/>
    </row>
    <row r="837" spans="12:12" ht="14.25" customHeight="1" x14ac:dyDescent="0.3">
      <c r="L837" s="123"/>
    </row>
    <row r="838" spans="12:12" ht="14.25" customHeight="1" x14ac:dyDescent="0.3">
      <c r="L838" s="123"/>
    </row>
    <row r="839" spans="12:12" ht="14.25" customHeight="1" x14ac:dyDescent="0.3">
      <c r="L839" s="123"/>
    </row>
    <row r="840" spans="12:12" ht="14.25" customHeight="1" x14ac:dyDescent="0.3">
      <c r="L840" s="123"/>
    </row>
    <row r="841" spans="12:12" ht="14.25" customHeight="1" x14ac:dyDescent="0.3">
      <c r="L841" s="123"/>
    </row>
    <row r="842" spans="12:12" ht="14.25" customHeight="1" x14ac:dyDescent="0.3">
      <c r="L842" s="123"/>
    </row>
    <row r="843" spans="12:12" ht="14.25" customHeight="1" x14ac:dyDescent="0.3">
      <c r="L843" s="123"/>
    </row>
    <row r="844" spans="12:12" ht="14.25" customHeight="1" x14ac:dyDescent="0.3">
      <c r="L844" s="123"/>
    </row>
    <row r="845" spans="12:12" ht="14.25" customHeight="1" x14ac:dyDescent="0.3">
      <c r="L845" s="123"/>
    </row>
    <row r="846" spans="12:12" ht="14.25" customHeight="1" x14ac:dyDescent="0.3">
      <c r="L846" s="123"/>
    </row>
    <row r="847" spans="12:12" ht="14.25" customHeight="1" x14ac:dyDescent="0.3">
      <c r="L847" s="123"/>
    </row>
    <row r="848" spans="12:12" ht="14.25" customHeight="1" x14ac:dyDescent="0.3">
      <c r="L848" s="123"/>
    </row>
    <row r="849" spans="12:12" ht="14.25" customHeight="1" x14ac:dyDescent="0.3">
      <c r="L849" s="123"/>
    </row>
    <row r="850" spans="12:12" ht="14.25" customHeight="1" x14ac:dyDescent="0.3">
      <c r="L850" s="123"/>
    </row>
    <row r="851" spans="12:12" ht="14.25" customHeight="1" x14ac:dyDescent="0.3">
      <c r="L851" s="123"/>
    </row>
    <row r="852" spans="12:12" ht="14.25" customHeight="1" x14ac:dyDescent="0.3">
      <c r="L852" s="123"/>
    </row>
    <row r="853" spans="12:12" ht="14.25" customHeight="1" x14ac:dyDescent="0.3">
      <c r="L853" s="123"/>
    </row>
    <row r="854" spans="12:12" ht="14.25" customHeight="1" x14ac:dyDescent="0.3">
      <c r="L854" s="123"/>
    </row>
    <row r="855" spans="12:12" ht="14.25" customHeight="1" x14ac:dyDescent="0.3">
      <c r="L855" s="123"/>
    </row>
    <row r="856" spans="12:12" ht="14.25" customHeight="1" x14ac:dyDescent="0.3">
      <c r="L856" s="123"/>
    </row>
    <row r="857" spans="12:12" ht="14.25" customHeight="1" x14ac:dyDescent="0.3">
      <c r="L857" s="123"/>
    </row>
    <row r="858" spans="12:12" ht="14.25" customHeight="1" x14ac:dyDescent="0.3">
      <c r="L858" s="123"/>
    </row>
    <row r="859" spans="12:12" ht="14.25" customHeight="1" x14ac:dyDescent="0.3">
      <c r="L859" s="123"/>
    </row>
    <row r="860" spans="12:12" ht="14.25" customHeight="1" x14ac:dyDescent="0.3">
      <c r="L860" s="123"/>
    </row>
    <row r="861" spans="12:12" ht="14.25" customHeight="1" x14ac:dyDescent="0.3">
      <c r="L861" s="123"/>
    </row>
    <row r="862" spans="12:12" ht="14.25" customHeight="1" x14ac:dyDescent="0.3">
      <c r="L862" s="123"/>
    </row>
    <row r="863" spans="12:12" ht="14.25" customHeight="1" x14ac:dyDescent="0.3">
      <c r="L863" s="123"/>
    </row>
    <row r="864" spans="12:12" ht="14.25" customHeight="1" x14ac:dyDescent="0.3">
      <c r="L864" s="123"/>
    </row>
    <row r="865" spans="12:12" ht="14.25" customHeight="1" x14ac:dyDescent="0.3">
      <c r="L865" s="123"/>
    </row>
    <row r="866" spans="12:12" ht="14.25" customHeight="1" x14ac:dyDescent="0.3">
      <c r="L866" s="123"/>
    </row>
    <row r="867" spans="12:12" ht="14.25" customHeight="1" x14ac:dyDescent="0.3">
      <c r="L867" s="123"/>
    </row>
    <row r="868" spans="12:12" ht="14.25" customHeight="1" x14ac:dyDescent="0.3">
      <c r="L868" s="123"/>
    </row>
    <row r="869" spans="12:12" ht="14.25" customHeight="1" x14ac:dyDescent="0.3">
      <c r="L869" s="123"/>
    </row>
    <row r="870" spans="12:12" ht="14.25" customHeight="1" x14ac:dyDescent="0.3">
      <c r="L870" s="123"/>
    </row>
    <row r="871" spans="12:12" ht="14.25" customHeight="1" x14ac:dyDescent="0.3">
      <c r="L871" s="123"/>
    </row>
    <row r="872" spans="12:12" ht="14.25" customHeight="1" x14ac:dyDescent="0.3">
      <c r="L872" s="123"/>
    </row>
    <row r="873" spans="12:12" ht="14.25" customHeight="1" x14ac:dyDescent="0.3">
      <c r="L873" s="123"/>
    </row>
    <row r="874" spans="12:12" ht="14.25" customHeight="1" x14ac:dyDescent="0.3">
      <c r="L874" s="123"/>
    </row>
    <row r="875" spans="12:12" ht="14.25" customHeight="1" x14ac:dyDescent="0.3">
      <c r="L875" s="123"/>
    </row>
    <row r="876" spans="12:12" ht="14.25" customHeight="1" x14ac:dyDescent="0.3">
      <c r="L876" s="123"/>
    </row>
    <row r="877" spans="12:12" ht="14.25" customHeight="1" x14ac:dyDescent="0.3">
      <c r="L877" s="123"/>
    </row>
    <row r="878" spans="12:12" ht="14.25" customHeight="1" x14ac:dyDescent="0.3">
      <c r="L878" s="123"/>
    </row>
    <row r="879" spans="12:12" ht="14.25" customHeight="1" x14ac:dyDescent="0.3">
      <c r="L879" s="123"/>
    </row>
    <row r="880" spans="12:12" ht="14.25" customHeight="1" x14ac:dyDescent="0.3">
      <c r="L880" s="123"/>
    </row>
    <row r="881" spans="12:12" ht="14.25" customHeight="1" x14ac:dyDescent="0.3">
      <c r="L881" s="123"/>
    </row>
    <row r="882" spans="12:12" ht="14.25" customHeight="1" x14ac:dyDescent="0.3">
      <c r="L882" s="123"/>
    </row>
    <row r="883" spans="12:12" ht="14.25" customHeight="1" x14ac:dyDescent="0.3">
      <c r="L883" s="123"/>
    </row>
    <row r="884" spans="12:12" ht="14.25" customHeight="1" x14ac:dyDescent="0.3">
      <c r="L884" s="123"/>
    </row>
    <row r="885" spans="12:12" ht="14.25" customHeight="1" x14ac:dyDescent="0.3">
      <c r="L885" s="123"/>
    </row>
    <row r="886" spans="12:12" ht="14.25" customHeight="1" x14ac:dyDescent="0.3">
      <c r="L886" s="123"/>
    </row>
    <row r="887" spans="12:12" ht="14.25" customHeight="1" x14ac:dyDescent="0.3">
      <c r="L887" s="123"/>
    </row>
    <row r="888" spans="12:12" ht="14.25" customHeight="1" x14ac:dyDescent="0.3">
      <c r="L888" s="123"/>
    </row>
    <row r="889" spans="12:12" ht="14.25" customHeight="1" x14ac:dyDescent="0.3">
      <c r="L889" s="123"/>
    </row>
    <row r="890" spans="12:12" ht="14.25" customHeight="1" x14ac:dyDescent="0.3">
      <c r="L890" s="123"/>
    </row>
    <row r="891" spans="12:12" ht="14.25" customHeight="1" x14ac:dyDescent="0.3">
      <c r="L891" s="123"/>
    </row>
    <row r="892" spans="12:12" ht="14.25" customHeight="1" x14ac:dyDescent="0.3">
      <c r="L892" s="123"/>
    </row>
    <row r="893" spans="12:12" ht="14.25" customHeight="1" x14ac:dyDescent="0.3">
      <c r="L893" s="123"/>
    </row>
    <row r="894" spans="12:12" ht="14.25" customHeight="1" x14ac:dyDescent="0.3">
      <c r="L894" s="123"/>
    </row>
    <row r="895" spans="12:12" ht="14.25" customHeight="1" x14ac:dyDescent="0.3">
      <c r="L895" s="123"/>
    </row>
    <row r="896" spans="12:12" ht="14.25" customHeight="1" x14ac:dyDescent="0.3">
      <c r="L896" s="123"/>
    </row>
    <row r="897" spans="12:12" ht="14.25" customHeight="1" x14ac:dyDescent="0.3">
      <c r="L897" s="123"/>
    </row>
    <row r="898" spans="12:12" ht="14.25" customHeight="1" x14ac:dyDescent="0.3">
      <c r="L898" s="123"/>
    </row>
    <row r="899" spans="12:12" ht="14.25" customHeight="1" x14ac:dyDescent="0.3">
      <c r="L899" s="123"/>
    </row>
    <row r="900" spans="12:12" ht="14.25" customHeight="1" x14ac:dyDescent="0.3">
      <c r="L900" s="123"/>
    </row>
    <row r="901" spans="12:12" ht="14.25" customHeight="1" x14ac:dyDescent="0.3">
      <c r="L901" s="123"/>
    </row>
    <row r="902" spans="12:12" ht="14.25" customHeight="1" x14ac:dyDescent="0.3">
      <c r="L902" s="123"/>
    </row>
    <row r="903" spans="12:12" ht="14.25" customHeight="1" x14ac:dyDescent="0.3">
      <c r="L903" s="123"/>
    </row>
    <row r="904" spans="12:12" ht="14.25" customHeight="1" x14ac:dyDescent="0.3">
      <c r="L904" s="123"/>
    </row>
    <row r="905" spans="12:12" ht="14.25" customHeight="1" x14ac:dyDescent="0.3">
      <c r="L905" s="123"/>
    </row>
    <row r="906" spans="12:12" ht="14.25" customHeight="1" x14ac:dyDescent="0.3">
      <c r="L906" s="123"/>
    </row>
    <row r="907" spans="12:12" ht="14.25" customHeight="1" x14ac:dyDescent="0.3">
      <c r="L907" s="123"/>
    </row>
    <row r="908" spans="12:12" ht="14.25" customHeight="1" x14ac:dyDescent="0.3">
      <c r="L908" s="123"/>
    </row>
    <row r="909" spans="12:12" ht="14.25" customHeight="1" x14ac:dyDescent="0.3">
      <c r="L909" s="123"/>
    </row>
    <row r="910" spans="12:12" ht="14.25" customHeight="1" x14ac:dyDescent="0.3">
      <c r="L910" s="123"/>
    </row>
    <row r="911" spans="12:12" ht="14.25" customHeight="1" x14ac:dyDescent="0.3">
      <c r="L911" s="123"/>
    </row>
    <row r="912" spans="12:12" ht="14.25" customHeight="1" x14ac:dyDescent="0.3">
      <c r="L912" s="123"/>
    </row>
    <row r="913" spans="12:12" ht="14.25" customHeight="1" x14ac:dyDescent="0.3">
      <c r="L913" s="123"/>
    </row>
    <row r="914" spans="12:12" ht="14.25" customHeight="1" x14ac:dyDescent="0.3">
      <c r="L914" s="123"/>
    </row>
    <row r="915" spans="12:12" ht="14.25" customHeight="1" x14ac:dyDescent="0.3">
      <c r="L915" s="123"/>
    </row>
    <row r="916" spans="12:12" ht="14.25" customHeight="1" x14ac:dyDescent="0.3">
      <c r="L916" s="123"/>
    </row>
    <row r="917" spans="12:12" ht="14.25" customHeight="1" x14ac:dyDescent="0.3">
      <c r="L917" s="123"/>
    </row>
    <row r="918" spans="12:12" ht="14.25" customHeight="1" x14ac:dyDescent="0.3">
      <c r="L918" s="123"/>
    </row>
    <row r="919" spans="12:12" ht="14.25" customHeight="1" x14ac:dyDescent="0.3">
      <c r="L919" s="123"/>
    </row>
    <row r="920" spans="12:12" ht="14.25" customHeight="1" x14ac:dyDescent="0.3">
      <c r="L920" s="123"/>
    </row>
    <row r="921" spans="12:12" ht="14.25" customHeight="1" x14ac:dyDescent="0.3">
      <c r="L921" s="123"/>
    </row>
    <row r="922" spans="12:12" ht="14.25" customHeight="1" x14ac:dyDescent="0.3">
      <c r="L922" s="123"/>
    </row>
    <row r="923" spans="12:12" ht="14.25" customHeight="1" x14ac:dyDescent="0.3">
      <c r="L923" s="123"/>
    </row>
    <row r="924" spans="12:12" ht="14.25" customHeight="1" x14ac:dyDescent="0.3">
      <c r="L924" s="123"/>
    </row>
    <row r="925" spans="12:12" ht="14.25" customHeight="1" x14ac:dyDescent="0.3">
      <c r="L925" s="123"/>
    </row>
    <row r="926" spans="12:12" ht="14.25" customHeight="1" x14ac:dyDescent="0.3">
      <c r="L926" s="123"/>
    </row>
    <row r="927" spans="12:12" ht="14.25" customHeight="1" x14ac:dyDescent="0.3">
      <c r="L927" s="123"/>
    </row>
    <row r="928" spans="12:12" ht="14.25" customHeight="1" x14ac:dyDescent="0.3">
      <c r="L928" s="123"/>
    </row>
    <row r="929" spans="12:12" ht="14.25" customHeight="1" x14ac:dyDescent="0.3">
      <c r="L929" s="123"/>
    </row>
    <row r="930" spans="12:12" ht="14.25" customHeight="1" x14ac:dyDescent="0.3">
      <c r="L930" s="123"/>
    </row>
    <row r="931" spans="12:12" ht="14.25" customHeight="1" x14ac:dyDescent="0.3">
      <c r="L931" s="123"/>
    </row>
    <row r="932" spans="12:12" ht="14.25" customHeight="1" x14ac:dyDescent="0.3">
      <c r="L932" s="123"/>
    </row>
    <row r="933" spans="12:12" ht="14.25" customHeight="1" x14ac:dyDescent="0.3">
      <c r="L933" s="123"/>
    </row>
    <row r="934" spans="12:12" ht="14.25" customHeight="1" x14ac:dyDescent="0.3">
      <c r="L934" s="123"/>
    </row>
    <row r="935" spans="12:12" ht="14.25" customHeight="1" x14ac:dyDescent="0.3">
      <c r="L935" s="123"/>
    </row>
    <row r="936" spans="12:12" ht="14.25" customHeight="1" x14ac:dyDescent="0.3">
      <c r="L936" s="123"/>
    </row>
    <row r="937" spans="12:12" ht="14.25" customHeight="1" x14ac:dyDescent="0.3">
      <c r="L937" s="123"/>
    </row>
    <row r="938" spans="12:12" ht="14.25" customHeight="1" x14ac:dyDescent="0.3">
      <c r="L938" s="123"/>
    </row>
    <row r="939" spans="12:12" ht="14.25" customHeight="1" x14ac:dyDescent="0.3">
      <c r="L939" s="123"/>
    </row>
    <row r="940" spans="12:12" ht="14.25" customHeight="1" x14ac:dyDescent="0.3">
      <c r="L940" s="123"/>
    </row>
    <row r="941" spans="12:12" ht="14.25" customHeight="1" x14ac:dyDescent="0.3">
      <c r="L941" s="123"/>
    </row>
    <row r="942" spans="12:12" ht="14.25" customHeight="1" x14ac:dyDescent="0.3">
      <c r="L942" s="123"/>
    </row>
    <row r="943" spans="12:12" ht="14.25" customHeight="1" x14ac:dyDescent="0.3">
      <c r="L943" s="123"/>
    </row>
    <row r="944" spans="12:12" ht="14.25" customHeight="1" x14ac:dyDescent="0.3">
      <c r="L944" s="123"/>
    </row>
    <row r="945" spans="12:12" ht="14.25" customHeight="1" x14ac:dyDescent="0.3">
      <c r="L945" s="123"/>
    </row>
    <row r="946" spans="12:12" ht="14.25" customHeight="1" x14ac:dyDescent="0.3">
      <c r="L946" s="123"/>
    </row>
    <row r="947" spans="12:12" ht="14.25" customHeight="1" x14ac:dyDescent="0.3">
      <c r="L947" s="123"/>
    </row>
    <row r="948" spans="12:12" ht="14.25" customHeight="1" x14ac:dyDescent="0.3">
      <c r="L948" s="123"/>
    </row>
    <row r="949" spans="12:12" ht="14.25" customHeight="1" x14ac:dyDescent="0.3">
      <c r="L949" s="123"/>
    </row>
    <row r="950" spans="12:12" ht="14.25" customHeight="1" x14ac:dyDescent="0.3">
      <c r="L950" s="123"/>
    </row>
    <row r="951" spans="12:12" ht="14.25" customHeight="1" x14ac:dyDescent="0.3">
      <c r="L951" s="123"/>
    </row>
    <row r="952" spans="12:12" ht="14.25" customHeight="1" x14ac:dyDescent="0.3">
      <c r="L952" s="123"/>
    </row>
    <row r="953" spans="12:12" ht="14.25" customHeight="1" x14ac:dyDescent="0.3">
      <c r="L953" s="123"/>
    </row>
    <row r="954" spans="12:12" ht="14.25" customHeight="1" x14ac:dyDescent="0.3">
      <c r="L954" s="123"/>
    </row>
    <row r="955" spans="12:12" ht="14.25" customHeight="1" x14ac:dyDescent="0.3">
      <c r="L955" s="123"/>
    </row>
    <row r="956" spans="12:12" ht="14.25" customHeight="1" x14ac:dyDescent="0.3">
      <c r="L956" s="123"/>
    </row>
    <row r="957" spans="12:12" ht="14.25" customHeight="1" x14ac:dyDescent="0.3">
      <c r="L957" s="123"/>
    </row>
    <row r="958" spans="12:12" ht="14.25" customHeight="1" x14ac:dyDescent="0.3">
      <c r="L958" s="123"/>
    </row>
    <row r="959" spans="12:12" ht="14.25" customHeight="1" x14ac:dyDescent="0.3">
      <c r="L959" s="123"/>
    </row>
    <row r="960" spans="12:12" ht="14.25" customHeight="1" x14ac:dyDescent="0.3">
      <c r="L960" s="123"/>
    </row>
    <row r="961" spans="12:12" ht="14.25" customHeight="1" x14ac:dyDescent="0.3">
      <c r="L961" s="123"/>
    </row>
    <row r="962" spans="12:12" ht="14.25" customHeight="1" x14ac:dyDescent="0.3">
      <c r="L962" s="123"/>
    </row>
    <row r="963" spans="12:12" ht="14.25" customHeight="1" x14ac:dyDescent="0.3">
      <c r="L963" s="123"/>
    </row>
    <row r="964" spans="12:12" ht="14.25" customHeight="1" x14ac:dyDescent="0.3">
      <c r="L964" s="123"/>
    </row>
    <row r="965" spans="12:12" ht="14.25" customHeight="1" x14ac:dyDescent="0.3">
      <c r="L965" s="123"/>
    </row>
    <row r="966" spans="12:12" ht="14.25" customHeight="1" x14ac:dyDescent="0.3">
      <c r="L966" s="123"/>
    </row>
    <row r="967" spans="12:12" ht="14.25" customHeight="1" x14ac:dyDescent="0.3">
      <c r="L967" s="123"/>
    </row>
    <row r="968" spans="12:12" ht="14.25" customHeight="1" x14ac:dyDescent="0.3">
      <c r="L968" s="123"/>
    </row>
    <row r="969" spans="12:12" ht="14.25" customHeight="1" x14ac:dyDescent="0.3">
      <c r="L969" s="123"/>
    </row>
    <row r="970" spans="12:12" ht="14.25" customHeight="1" x14ac:dyDescent="0.3">
      <c r="L970" s="123"/>
    </row>
    <row r="971" spans="12:12" ht="14.25" customHeight="1" x14ac:dyDescent="0.3">
      <c r="L971" s="123"/>
    </row>
    <row r="972" spans="12:12" ht="14.25" customHeight="1" x14ac:dyDescent="0.3">
      <c r="L972" s="123"/>
    </row>
    <row r="973" spans="12:12" ht="14.25" customHeight="1" x14ac:dyDescent="0.3">
      <c r="L973" s="123"/>
    </row>
    <row r="974" spans="12:12" ht="14.25" customHeight="1" x14ac:dyDescent="0.3">
      <c r="L974" s="123"/>
    </row>
    <row r="975" spans="12:12" ht="14.25" customHeight="1" x14ac:dyDescent="0.3">
      <c r="L975" s="123"/>
    </row>
    <row r="976" spans="12:12" ht="14.25" customHeight="1" x14ac:dyDescent="0.3">
      <c r="L976" s="123"/>
    </row>
    <row r="977" spans="12:12" ht="14.25" customHeight="1" x14ac:dyDescent="0.3">
      <c r="L977" s="123"/>
    </row>
    <row r="978" spans="12:12" ht="14.25" customHeight="1" x14ac:dyDescent="0.3">
      <c r="L978" s="123"/>
    </row>
    <row r="979" spans="12:12" ht="14.25" customHeight="1" x14ac:dyDescent="0.3">
      <c r="L979" s="123"/>
    </row>
    <row r="980" spans="12:12" ht="14.25" customHeight="1" x14ac:dyDescent="0.3">
      <c r="L980" s="123"/>
    </row>
    <row r="981" spans="12:12" ht="14.25" customHeight="1" x14ac:dyDescent="0.3">
      <c r="L981" s="123"/>
    </row>
    <row r="982" spans="12:12" ht="14.25" customHeight="1" x14ac:dyDescent="0.3">
      <c r="L982" s="123"/>
    </row>
    <row r="983" spans="12:12" ht="14.25" customHeight="1" x14ac:dyDescent="0.3">
      <c r="L983" s="123"/>
    </row>
    <row r="984" spans="12:12" ht="14.25" customHeight="1" x14ac:dyDescent="0.3">
      <c r="L984" s="123"/>
    </row>
    <row r="985" spans="12:12" ht="14.25" customHeight="1" x14ac:dyDescent="0.3">
      <c r="L985" s="123"/>
    </row>
    <row r="986" spans="12:12" ht="14.25" customHeight="1" x14ac:dyDescent="0.3">
      <c r="L986" s="123"/>
    </row>
    <row r="987" spans="12:12" ht="14.25" customHeight="1" x14ac:dyDescent="0.3">
      <c r="L987" s="123"/>
    </row>
    <row r="988" spans="12:12" ht="14.25" customHeight="1" x14ac:dyDescent="0.3">
      <c r="L988" s="123"/>
    </row>
    <row r="989" spans="12:12" ht="14.25" customHeight="1" x14ac:dyDescent="0.3">
      <c r="L989" s="123"/>
    </row>
    <row r="990" spans="12:12" ht="14.25" customHeight="1" x14ac:dyDescent="0.3">
      <c r="L990" s="123"/>
    </row>
    <row r="991" spans="12:12" ht="14.25" customHeight="1" x14ac:dyDescent="0.3">
      <c r="L991" s="123"/>
    </row>
    <row r="992" spans="12:12" ht="14.25" customHeight="1" x14ac:dyDescent="0.3">
      <c r="L992" s="123"/>
    </row>
    <row r="993" spans="12:12" ht="14.25" customHeight="1" x14ac:dyDescent="0.3">
      <c r="L993" s="123"/>
    </row>
    <row r="994" spans="12:12" ht="14.25" customHeight="1" x14ac:dyDescent="0.3">
      <c r="L994" s="123"/>
    </row>
    <row r="995" spans="12:12" ht="14.25" customHeight="1" x14ac:dyDescent="0.3">
      <c r="L995" s="123"/>
    </row>
    <row r="996" spans="12:12" ht="14.25" customHeight="1" x14ac:dyDescent="0.3">
      <c r="L996" s="123"/>
    </row>
    <row r="997" spans="12:12" ht="14.25" customHeight="1" x14ac:dyDescent="0.3">
      <c r="L997" s="123"/>
    </row>
    <row r="998" spans="12:12" ht="14.25" customHeight="1" x14ac:dyDescent="0.3">
      <c r="L998" s="123"/>
    </row>
    <row r="999" spans="12:12" ht="14.25" customHeight="1" x14ac:dyDescent="0.3">
      <c r="L999" s="123"/>
    </row>
    <row r="1000" spans="12:12" ht="14.25" customHeight="1" x14ac:dyDescent="0.3">
      <c r="L1000" s="123"/>
    </row>
  </sheetData>
  <pageMargins left="0.7" right="0.7" top="0.75" bottom="0.75" header="0" footer="0"/>
  <pageSetup paperSize="9" orientation="portrait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G1000"/>
  <sheetViews>
    <sheetView workbookViewId="0"/>
  </sheetViews>
  <sheetFormatPr baseColWidth="10" defaultColWidth="14.44140625" defaultRowHeight="15" customHeight="1" x14ac:dyDescent="0.3"/>
  <cols>
    <col min="1" max="2" width="10.6640625" customWidth="1"/>
    <col min="3" max="3" width="57.33203125" customWidth="1"/>
    <col min="4" max="4" width="48" customWidth="1"/>
    <col min="5" max="5" width="46.6640625" customWidth="1"/>
    <col min="6" max="6" width="39.5546875" customWidth="1"/>
    <col min="7" max="7" width="45" customWidth="1"/>
    <col min="8" max="26" width="10.6640625" customWidth="1"/>
  </cols>
  <sheetData>
    <row r="1" spans="2:7" ht="14.25" customHeight="1" x14ac:dyDescent="0.3">
      <c r="E1" s="1080"/>
    </row>
    <row r="2" spans="2:7" ht="99.75" customHeight="1" x14ac:dyDescent="0.3">
      <c r="B2" s="1080" t="s">
        <v>638</v>
      </c>
      <c r="C2" s="125" t="s">
        <v>639</v>
      </c>
      <c r="D2" s="1081" t="s">
        <v>640</v>
      </c>
      <c r="E2" s="1080" t="s">
        <v>641</v>
      </c>
      <c r="F2" s="1080" t="s">
        <v>642</v>
      </c>
      <c r="G2" s="1080" t="s">
        <v>643</v>
      </c>
    </row>
    <row r="3" spans="2:7" ht="99.75" customHeight="1" x14ac:dyDescent="0.3">
      <c r="B3" s="1080" t="s">
        <v>644</v>
      </c>
      <c r="C3" s="125" t="s">
        <v>639</v>
      </c>
      <c r="D3" s="1081" t="s">
        <v>640</v>
      </c>
      <c r="E3" s="1080" t="s">
        <v>645</v>
      </c>
      <c r="F3" s="1080" t="s">
        <v>642</v>
      </c>
      <c r="G3" s="1080" t="s">
        <v>643</v>
      </c>
    </row>
    <row r="4" spans="2:7" ht="99.75" customHeight="1" x14ac:dyDescent="0.3">
      <c r="B4" s="1080" t="s">
        <v>646</v>
      </c>
      <c r="C4" s="125" t="s">
        <v>639</v>
      </c>
      <c r="D4" s="1081" t="s">
        <v>647</v>
      </c>
      <c r="E4" s="1080" t="s">
        <v>648</v>
      </c>
      <c r="F4" s="1080" t="s">
        <v>642</v>
      </c>
      <c r="G4" s="1080" t="s">
        <v>643</v>
      </c>
    </row>
    <row r="5" spans="2:7" ht="99.75" customHeight="1" x14ac:dyDescent="0.3">
      <c r="B5" s="1080" t="s">
        <v>649</v>
      </c>
      <c r="C5" s="125" t="s">
        <v>639</v>
      </c>
      <c r="D5" s="1081" t="s">
        <v>647</v>
      </c>
      <c r="E5" s="1080" t="s">
        <v>650</v>
      </c>
      <c r="F5" s="1080" t="s">
        <v>642</v>
      </c>
      <c r="G5" s="1080" t="s">
        <v>651</v>
      </c>
    </row>
    <row r="6" spans="2:7" ht="99.75" customHeight="1" x14ac:dyDescent="0.3">
      <c r="B6" s="1080" t="s">
        <v>6</v>
      </c>
      <c r="C6" s="125" t="s">
        <v>639</v>
      </c>
      <c r="D6" s="1081" t="s">
        <v>640</v>
      </c>
      <c r="E6" s="1080" t="s">
        <v>652</v>
      </c>
      <c r="F6" s="1080" t="s">
        <v>642</v>
      </c>
      <c r="G6" s="1080" t="s">
        <v>643</v>
      </c>
    </row>
    <row r="7" spans="2:7" ht="99.75" customHeight="1" x14ac:dyDescent="0.3">
      <c r="B7" s="1080" t="s">
        <v>653</v>
      </c>
      <c r="C7" s="125" t="s">
        <v>639</v>
      </c>
      <c r="D7" s="1081" t="s">
        <v>640</v>
      </c>
      <c r="E7" s="1080" t="s">
        <v>654</v>
      </c>
      <c r="F7" s="1080" t="s">
        <v>642</v>
      </c>
      <c r="G7" s="1080" t="s">
        <v>643</v>
      </c>
    </row>
    <row r="8" spans="2:7" ht="99.75" customHeight="1" x14ac:dyDescent="0.3">
      <c r="B8" s="1080" t="s">
        <v>655</v>
      </c>
      <c r="C8" s="125" t="s">
        <v>639</v>
      </c>
      <c r="D8" s="1081" t="s">
        <v>656</v>
      </c>
      <c r="E8" s="1080" t="s">
        <v>657</v>
      </c>
      <c r="F8" s="1080" t="s">
        <v>642</v>
      </c>
      <c r="G8" s="1080" t="s">
        <v>643</v>
      </c>
    </row>
    <row r="9" spans="2:7" ht="99.75" customHeight="1" x14ac:dyDescent="0.3">
      <c r="B9" s="1080" t="s">
        <v>658</v>
      </c>
      <c r="C9" s="125" t="s">
        <v>639</v>
      </c>
      <c r="D9" s="1081" t="s">
        <v>640</v>
      </c>
      <c r="E9" s="1080" t="s">
        <v>659</v>
      </c>
      <c r="F9" s="1080" t="s">
        <v>642</v>
      </c>
      <c r="G9" s="1080" t="s">
        <v>643</v>
      </c>
    </row>
    <row r="10" spans="2:7" ht="99.75" customHeight="1" x14ac:dyDescent="0.3">
      <c r="B10" s="1080" t="s">
        <v>660</v>
      </c>
      <c r="C10" s="125" t="s">
        <v>639</v>
      </c>
      <c r="D10" s="1081" t="s">
        <v>640</v>
      </c>
      <c r="E10" s="1080" t="s">
        <v>661</v>
      </c>
      <c r="F10" s="1080" t="s">
        <v>642</v>
      </c>
      <c r="G10" s="1080" t="s">
        <v>651</v>
      </c>
    </row>
    <row r="11" spans="2:7" ht="83.25" customHeight="1" x14ac:dyDescent="0.3">
      <c r="E11" s="1080"/>
    </row>
    <row r="12" spans="2:7" ht="14.25" customHeight="1" x14ac:dyDescent="0.3">
      <c r="E12" s="1080"/>
    </row>
    <row r="13" spans="2:7" ht="14.25" customHeight="1" x14ac:dyDescent="0.3">
      <c r="E13" s="1080"/>
    </row>
    <row r="14" spans="2:7" ht="14.25" customHeight="1" x14ac:dyDescent="0.3">
      <c r="E14" s="1080"/>
    </row>
    <row r="15" spans="2:7" ht="14.25" customHeight="1" x14ac:dyDescent="0.3">
      <c r="E15" s="1080"/>
    </row>
    <row r="16" spans="2:7" ht="14.25" customHeight="1" x14ac:dyDescent="0.3">
      <c r="E16" s="1080"/>
    </row>
    <row r="17" spans="1:5" ht="14.25" customHeight="1" x14ac:dyDescent="0.3">
      <c r="E17" s="1080"/>
    </row>
    <row r="18" spans="1:5" ht="14.25" customHeight="1" x14ac:dyDescent="0.3">
      <c r="E18" s="1080"/>
    </row>
    <row r="19" spans="1:5" ht="14.25" customHeight="1" x14ac:dyDescent="0.3">
      <c r="A19" s="1082" t="s">
        <v>3</v>
      </c>
      <c r="E19" s="1080"/>
    </row>
    <row r="20" spans="1:5" ht="14.25" customHeight="1" x14ac:dyDescent="0.3">
      <c r="A20" s="1083" t="s">
        <v>662</v>
      </c>
      <c r="E20" s="1080"/>
    </row>
    <row r="21" spans="1:5" ht="14.25" customHeight="1" x14ac:dyDescent="0.3">
      <c r="E21" s="1080"/>
    </row>
    <row r="22" spans="1:5" ht="14.25" customHeight="1" x14ac:dyDescent="0.3">
      <c r="E22" s="1080"/>
    </row>
    <row r="23" spans="1:5" ht="14.25" customHeight="1" x14ac:dyDescent="0.3">
      <c r="E23" s="1080"/>
    </row>
    <row r="24" spans="1:5" ht="14.25" customHeight="1" x14ac:dyDescent="0.3">
      <c r="E24" s="1080"/>
    </row>
    <row r="25" spans="1:5" ht="14.25" customHeight="1" x14ac:dyDescent="0.3">
      <c r="E25" s="1080"/>
    </row>
    <row r="26" spans="1:5" ht="14.25" customHeight="1" x14ac:dyDescent="0.3">
      <c r="E26" s="1080"/>
    </row>
    <row r="27" spans="1:5" ht="14.25" customHeight="1" x14ac:dyDescent="0.3">
      <c r="E27" s="1080"/>
    </row>
    <row r="28" spans="1:5" ht="14.25" customHeight="1" x14ac:dyDescent="0.3">
      <c r="E28" s="1080"/>
    </row>
    <row r="29" spans="1:5" ht="14.25" customHeight="1" x14ac:dyDescent="0.3">
      <c r="E29" s="1080"/>
    </row>
    <row r="30" spans="1:5" ht="14.25" customHeight="1" x14ac:dyDescent="0.3">
      <c r="E30" s="1080"/>
    </row>
    <row r="31" spans="1:5" ht="14.25" customHeight="1" x14ac:dyDescent="0.3">
      <c r="E31" s="1080"/>
    </row>
    <row r="32" spans="1:5" ht="14.25" customHeight="1" x14ac:dyDescent="0.3">
      <c r="E32" s="1080"/>
    </row>
    <row r="33" spans="5:5" ht="14.25" customHeight="1" x14ac:dyDescent="0.3">
      <c r="E33" s="1080"/>
    </row>
    <row r="34" spans="5:5" ht="14.25" customHeight="1" x14ac:dyDescent="0.3">
      <c r="E34" s="1080"/>
    </row>
    <row r="35" spans="5:5" ht="14.25" customHeight="1" x14ac:dyDescent="0.3">
      <c r="E35" s="1080"/>
    </row>
    <row r="36" spans="5:5" ht="14.25" customHeight="1" x14ac:dyDescent="0.3">
      <c r="E36" s="1080"/>
    </row>
    <row r="37" spans="5:5" ht="14.25" customHeight="1" x14ac:dyDescent="0.3">
      <c r="E37" s="1080"/>
    </row>
    <row r="38" spans="5:5" ht="14.25" customHeight="1" x14ac:dyDescent="0.3">
      <c r="E38" s="1080"/>
    </row>
    <row r="39" spans="5:5" ht="14.25" customHeight="1" x14ac:dyDescent="0.3">
      <c r="E39" s="1080"/>
    </row>
    <row r="40" spans="5:5" ht="14.25" customHeight="1" x14ac:dyDescent="0.3">
      <c r="E40" s="1080"/>
    </row>
    <row r="41" spans="5:5" ht="14.25" customHeight="1" x14ac:dyDescent="0.3">
      <c r="E41" s="1080"/>
    </row>
    <row r="42" spans="5:5" ht="14.25" customHeight="1" x14ac:dyDescent="0.3">
      <c r="E42" s="1080"/>
    </row>
    <row r="43" spans="5:5" ht="14.25" customHeight="1" x14ac:dyDescent="0.3">
      <c r="E43" s="1080"/>
    </row>
    <row r="44" spans="5:5" ht="14.25" customHeight="1" x14ac:dyDescent="0.3">
      <c r="E44" s="1080"/>
    </row>
    <row r="45" spans="5:5" ht="14.25" customHeight="1" x14ac:dyDescent="0.3">
      <c r="E45" s="1080"/>
    </row>
    <row r="46" spans="5:5" ht="14.25" customHeight="1" x14ac:dyDescent="0.3">
      <c r="E46" s="1080"/>
    </row>
    <row r="47" spans="5:5" ht="14.25" customHeight="1" x14ac:dyDescent="0.3">
      <c r="E47" s="1080"/>
    </row>
    <row r="48" spans="5:5" ht="14.25" customHeight="1" x14ac:dyDescent="0.3">
      <c r="E48" s="1080"/>
    </row>
    <row r="49" spans="5:5" ht="14.25" customHeight="1" x14ac:dyDescent="0.3">
      <c r="E49" s="1080"/>
    </row>
    <row r="50" spans="5:5" ht="14.25" customHeight="1" x14ac:dyDescent="0.3">
      <c r="E50" s="1080"/>
    </row>
    <row r="51" spans="5:5" ht="14.25" customHeight="1" x14ac:dyDescent="0.3">
      <c r="E51" s="1080"/>
    </row>
    <row r="52" spans="5:5" ht="14.25" customHeight="1" x14ac:dyDescent="0.3">
      <c r="E52" s="1080"/>
    </row>
    <row r="53" spans="5:5" ht="14.25" customHeight="1" x14ac:dyDescent="0.3">
      <c r="E53" s="1080"/>
    </row>
    <row r="54" spans="5:5" ht="14.25" customHeight="1" x14ac:dyDescent="0.3">
      <c r="E54" s="1080"/>
    </row>
    <row r="55" spans="5:5" ht="14.25" customHeight="1" x14ac:dyDescent="0.3">
      <c r="E55" s="1080"/>
    </row>
    <row r="56" spans="5:5" ht="14.25" customHeight="1" x14ac:dyDescent="0.3">
      <c r="E56" s="1080"/>
    </row>
    <row r="57" spans="5:5" ht="14.25" customHeight="1" x14ac:dyDescent="0.3">
      <c r="E57" s="1080"/>
    </row>
    <row r="58" spans="5:5" ht="14.25" customHeight="1" x14ac:dyDescent="0.3">
      <c r="E58" s="1080"/>
    </row>
    <row r="59" spans="5:5" ht="14.25" customHeight="1" x14ac:dyDescent="0.3">
      <c r="E59" s="1080"/>
    </row>
    <row r="60" spans="5:5" ht="14.25" customHeight="1" x14ac:dyDescent="0.3">
      <c r="E60" s="1080"/>
    </row>
    <row r="61" spans="5:5" ht="14.25" customHeight="1" x14ac:dyDescent="0.3">
      <c r="E61" s="1080"/>
    </row>
    <row r="62" spans="5:5" ht="14.25" customHeight="1" x14ac:dyDescent="0.3">
      <c r="E62" s="1080"/>
    </row>
    <row r="63" spans="5:5" ht="14.25" customHeight="1" x14ac:dyDescent="0.3">
      <c r="E63" s="1080"/>
    </row>
    <row r="64" spans="5:5" ht="14.25" customHeight="1" x14ac:dyDescent="0.3">
      <c r="E64" s="1080"/>
    </row>
    <row r="65" spans="5:5" ht="14.25" customHeight="1" x14ac:dyDescent="0.3">
      <c r="E65" s="1080"/>
    </row>
    <row r="66" spans="5:5" ht="14.25" customHeight="1" x14ac:dyDescent="0.3">
      <c r="E66" s="1080"/>
    </row>
    <row r="67" spans="5:5" ht="14.25" customHeight="1" x14ac:dyDescent="0.3">
      <c r="E67" s="1080"/>
    </row>
    <row r="68" spans="5:5" ht="14.25" customHeight="1" x14ac:dyDescent="0.3">
      <c r="E68" s="1080"/>
    </row>
    <row r="69" spans="5:5" ht="14.25" customHeight="1" x14ac:dyDescent="0.3">
      <c r="E69" s="1080"/>
    </row>
    <row r="70" spans="5:5" ht="14.25" customHeight="1" x14ac:dyDescent="0.3">
      <c r="E70" s="1080"/>
    </row>
    <row r="71" spans="5:5" ht="14.25" customHeight="1" x14ac:dyDescent="0.3">
      <c r="E71" s="1080"/>
    </row>
    <row r="72" spans="5:5" ht="14.25" customHeight="1" x14ac:dyDescent="0.3">
      <c r="E72" s="1080"/>
    </row>
    <row r="73" spans="5:5" ht="14.25" customHeight="1" x14ac:dyDescent="0.3">
      <c r="E73" s="1080"/>
    </row>
    <row r="74" spans="5:5" ht="14.25" customHeight="1" x14ac:dyDescent="0.3">
      <c r="E74" s="1080"/>
    </row>
    <row r="75" spans="5:5" ht="14.25" customHeight="1" x14ac:dyDescent="0.3">
      <c r="E75" s="1080"/>
    </row>
    <row r="76" spans="5:5" ht="14.25" customHeight="1" x14ac:dyDescent="0.3">
      <c r="E76" s="1080"/>
    </row>
    <row r="77" spans="5:5" ht="14.25" customHeight="1" x14ac:dyDescent="0.3">
      <c r="E77" s="1080"/>
    </row>
    <row r="78" spans="5:5" ht="14.25" customHeight="1" x14ac:dyDescent="0.3">
      <c r="E78" s="1080"/>
    </row>
    <row r="79" spans="5:5" ht="14.25" customHeight="1" x14ac:dyDescent="0.3">
      <c r="E79" s="1080"/>
    </row>
    <row r="80" spans="5:5" ht="14.25" customHeight="1" x14ac:dyDescent="0.3">
      <c r="E80" s="1080"/>
    </row>
    <row r="81" spans="5:5" ht="14.25" customHeight="1" x14ac:dyDescent="0.3">
      <c r="E81" s="1080"/>
    </row>
    <row r="82" spans="5:5" ht="14.25" customHeight="1" x14ac:dyDescent="0.3">
      <c r="E82" s="1080"/>
    </row>
    <row r="83" spans="5:5" ht="14.25" customHeight="1" x14ac:dyDescent="0.3">
      <c r="E83" s="1080"/>
    </row>
    <row r="84" spans="5:5" ht="14.25" customHeight="1" x14ac:dyDescent="0.3">
      <c r="E84" s="1080"/>
    </row>
    <row r="85" spans="5:5" ht="14.25" customHeight="1" x14ac:dyDescent="0.3">
      <c r="E85" s="1080"/>
    </row>
    <row r="86" spans="5:5" ht="14.25" customHeight="1" x14ac:dyDescent="0.3">
      <c r="E86" s="1080"/>
    </row>
    <row r="87" spans="5:5" ht="14.25" customHeight="1" x14ac:dyDescent="0.3">
      <c r="E87" s="1080"/>
    </row>
    <row r="88" spans="5:5" ht="14.25" customHeight="1" x14ac:dyDescent="0.3">
      <c r="E88" s="1080"/>
    </row>
    <row r="89" spans="5:5" ht="14.25" customHeight="1" x14ac:dyDescent="0.3">
      <c r="E89" s="1080"/>
    </row>
    <row r="90" spans="5:5" ht="14.25" customHeight="1" x14ac:dyDescent="0.3">
      <c r="E90" s="1080"/>
    </row>
    <row r="91" spans="5:5" ht="14.25" customHeight="1" x14ac:dyDescent="0.3">
      <c r="E91" s="1080"/>
    </row>
    <row r="92" spans="5:5" ht="14.25" customHeight="1" x14ac:dyDescent="0.3">
      <c r="E92" s="1080"/>
    </row>
    <row r="93" spans="5:5" ht="14.25" customHeight="1" x14ac:dyDescent="0.3">
      <c r="E93" s="1080"/>
    </row>
    <row r="94" spans="5:5" ht="14.25" customHeight="1" x14ac:dyDescent="0.3">
      <c r="E94" s="1080"/>
    </row>
    <row r="95" spans="5:5" ht="14.25" customHeight="1" x14ac:dyDescent="0.3">
      <c r="E95" s="1080"/>
    </row>
    <row r="96" spans="5:5" ht="14.25" customHeight="1" x14ac:dyDescent="0.3">
      <c r="E96" s="1080"/>
    </row>
    <row r="97" spans="5:5" ht="14.25" customHeight="1" x14ac:dyDescent="0.3">
      <c r="E97" s="1080"/>
    </row>
    <row r="98" spans="5:5" ht="14.25" customHeight="1" x14ac:dyDescent="0.3">
      <c r="E98" s="1080"/>
    </row>
    <row r="99" spans="5:5" ht="14.25" customHeight="1" x14ac:dyDescent="0.3">
      <c r="E99" s="1080"/>
    </row>
    <row r="100" spans="5:5" ht="14.25" customHeight="1" x14ac:dyDescent="0.3">
      <c r="E100" s="1080"/>
    </row>
    <row r="101" spans="5:5" ht="14.25" customHeight="1" x14ac:dyDescent="0.3">
      <c r="E101" s="1080"/>
    </row>
    <row r="102" spans="5:5" ht="14.25" customHeight="1" x14ac:dyDescent="0.3">
      <c r="E102" s="1080"/>
    </row>
    <row r="103" spans="5:5" ht="14.25" customHeight="1" x14ac:dyDescent="0.3">
      <c r="E103" s="1080"/>
    </row>
    <row r="104" spans="5:5" ht="14.25" customHeight="1" x14ac:dyDescent="0.3">
      <c r="E104" s="1080"/>
    </row>
    <row r="105" spans="5:5" ht="14.25" customHeight="1" x14ac:dyDescent="0.3">
      <c r="E105" s="1080"/>
    </row>
    <row r="106" spans="5:5" ht="14.25" customHeight="1" x14ac:dyDescent="0.3">
      <c r="E106" s="1080"/>
    </row>
    <row r="107" spans="5:5" ht="14.25" customHeight="1" x14ac:dyDescent="0.3">
      <c r="E107" s="1080"/>
    </row>
    <row r="108" spans="5:5" ht="14.25" customHeight="1" x14ac:dyDescent="0.3">
      <c r="E108" s="1080"/>
    </row>
    <row r="109" spans="5:5" ht="14.25" customHeight="1" x14ac:dyDescent="0.3">
      <c r="E109" s="1080"/>
    </row>
    <row r="110" spans="5:5" ht="14.25" customHeight="1" x14ac:dyDescent="0.3">
      <c r="E110" s="1080"/>
    </row>
    <row r="111" spans="5:5" ht="14.25" customHeight="1" x14ac:dyDescent="0.3">
      <c r="E111" s="1080"/>
    </row>
    <row r="112" spans="5:5" ht="14.25" customHeight="1" x14ac:dyDescent="0.3">
      <c r="E112" s="1080"/>
    </row>
    <row r="113" spans="5:5" ht="14.25" customHeight="1" x14ac:dyDescent="0.3">
      <c r="E113" s="1080"/>
    </row>
    <row r="114" spans="5:5" ht="14.25" customHeight="1" x14ac:dyDescent="0.3">
      <c r="E114" s="1080"/>
    </row>
    <row r="115" spans="5:5" ht="14.25" customHeight="1" x14ac:dyDescent="0.3">
      <c r="E115" s="1080"/>
    </row>
    <row r="116" spans="5:5" ht="14.25" customHeight="1" x14ac:dyDescent="0.3">
      <c r="E116" s="1080"/>
    </row>
    <row r="117" spans="5:5" ht="14.25" customHeight="1" x14ac:dyDescent="0.3">
      <c r="E117" s="1080"/>
    </row>
    <row r="118" spans="5:5" ht="14.25" customHeight="1" x14ac:dyDescent="0.3">
      <c r="E118" s="1080"/>
    </row>
    <row r="119" spans="5:5" ht="14.25" customHeight="1" x14ac:dyDescent="0.3">
      <c r="E119" s="1080"/>
    </row>
    <row r="120" spans="5:5" ht="14.25" customHeight="1" x14ac:dyDescent="0.3">
      <c r="E120" s="1080"/>
    </row>
    <row r="121" spans="5:5" ht="14.25" customHeight="1" x14ac:dyDescent="0.3">
      <c r="E121" s="1080"/>
    </row>
    <row r="122" spans="5:5" ht="14.25" customHeight="1" x14ac:dyDescent="0.3">
      <c r="E122" s="1080"/>
    </row>
    <row r="123" spans="5:5" ht="14.25" customHeight="1" x14ac:dyDescent="0.3">
      <c r="E123" s="1080"/>
    </row>
    <row r="124" spans="5:5" ht="14.25" customHeight="1" x14ac:dyDescent="0.3">
      <c r="E124" s="1080"/>
    </row>
    <row r="125" spans="5:5" ht="14.25" customHeight="1" x14ac:dyDescent="0.3">
      <c r="E125" s="1080"/>
    </row>
    <row r="126" spans="5:5" ht="14.25" customHeight="1" x14ac:dyDescent="0.3">
      <c r="E126" s="1080"/>
    </row>
    <row r="127" spans="5:5" ht="14.25" customHeight="1" x14ac:dyDescent="0.3">
      <c r="E127" s="1080"/>
    </row>
    <row r="128" spans="5:5" ht="14.25" customHeight="1" x14ac:dyDescent="0.3">
      <c r="E128" s="1080"/>
    </row>
    <row r="129" spans="5:5" ht="14.25" customHeight="1" x14ac:dyDescent="0.3">
      <c r="E129" s="1080"/>
    </row>
    <row r="130" spans="5:5" ht="14.25" customHeight="1" x14ac:dyDescent="0.3">
      <c r="E130" s="1080"/>
    </row>
    <row r="131" spans="5:5" ht="14.25" customHeight="1" x14ac:dyDescent="0.3">
      <c r="E131" s="1080"/>
    </row>
    <row r="132" spans="5:5" ht="14.25" customHeight="1" x14ac:dyDescent="0.3">
      <c r="E132" s="1080"/>
    </row>
    <row r="133" spans="5:5" ht="14.25" customHeight="1" x14ac:dyDescent="0.3">
      <c r="E133" s="1080"/>
    </row>
    <row r="134" spans="5:5" ht="14.25" customHeight="1" x14ac:dyDescent="0.3">
      <c r="E134" s="1080"/>
    </row>
    <row r="135" spans="5:5" ht="14.25" customHeight="1" x14ac:dyDescent="0.3">
      <c r="E135" s="1080"/>
    </row>
    <row r="136" spans="5:5" ht="14.25" customHeight="1" x14ac:dyDescent="0.3">
      <c r="E136" s="1080"/>
    </row>
    <row r="137" spans="5:5" ht="14.25" customHeight="1" x14ac:dyDescent="0.3">
      <c r="E137" s="1080"/>
    </row>
    <row r="138" spans="5:5" ht="14.25" customHeight="1" x14ac:dyDescent="0.3">
      <c r="E138" s="1080"/>
    </row>
    <row r="139" spans="5:5" ht="14.25" customHeight="1" x14ac:dyDescent="0.3">
      <c r="E139" s="1080"/>
    </row>
    <row r="140" spans="5:5" ht="14.25" customHeight="1" x14ac:dyDescent="0.3">
      <c r="E140" s="1080"/>
    </row>
    <row r="141" spans="5:5" ht="14.25" customHeight="1" x14ac:dyDescent="0.3">
      <c r="E141" s="1080"/>
    </row>
    <row r="142" spans="5:5" ht="14.25" customHeight="1" x14ac:dyDescent="0.3">
      <c r="E142" s="1080"/>
    </row>
    <row r="143" spans="5:5" ht="14.25" customHeight="1" x14ac:dyDescent="0.3">
      <c r="E143" s="1080"/>
    </row>
    <row r="144" spans="5:5" ht="14.25" customHeight="1" x14ac:dyDescent="0.3">
      <c r="E144" s="1080"/>
    </row>
    <row r="145" spans="5:5" ht="14.25" customHeight="1" x14ac:dyDescent="0.3">
      <c r="E145" s="1080"/>
    </row>
    <row r="146" spans="5:5" ht="14.25" customHeight="1" x14ac:dyDescent="0.3">
      <c r="E146" s="1080"/>
    </row>
    <row r="147" spans="5:5" ht="14.25" customHeight="1" x14ac:dyDescent="0.3">
      <c r="E147" s="1080"/>
    </row>
    <row r="148" spans="5:5" ht="14.25" customHeight="1" x14ac:dyDescent="0.3">
      <c r="E148" s="1080"/>
    </row>
    <row r="149" spans="5:5" ht="14.25" customHeight="1" x14ac:dyDescent="0.3">
      <c r="E149" s="1080"/>
    </row>
    <row r="150" spans="5:5" ht="14.25" customHeight="1" x14ac:dyDescent="0.3">
      <c r="E150" s="1080"/>
    </row>
    <row r="151" spans="5:5" ht="14.25" customHeight="1" x14ac:dyDescent="0.3">
      <c r="E151" s="1080"/>
    </row>
    <row r="152" spans="5:5" ht="14.25" customHeight="1" x14ac:dyDescent="0.3">
      <c r="E152" s="1080"/>
    </row>
    <row r="153" spans="5:5" ht="14.25" customHeight="1" x14ac:dyDescent="0.3">
      <c r="E153" s="1080"/>
    </row>
    <row r="154" spans="5:5" ht="14.25" customHeight="1" x14ac:dyDescent="0.3">
      <c r="E154" s="1080"/>
    </row>
    <row r="155" spans="5:5" ht="14.25" customHeight="1" x14ac:dyDescent="0.3">
      <c r="E155" s="1080"/>
    </row>
    <row r="156" spans="5:5" ht="14.25" customHeight="1" x14ac:dyDescent="0.3">
      <c r="E156" s="1080"/>
    </row>
    <row r="157" spans="5:5" ht="14.25" customHeight="1" x14ac:dyDescent="0.3">
      <c r="E157" s="1080"/>
    </row>
    <row r="158" spans="5:5" ht="14.25" customHeight="1" x14ac:dyDescent="0.3">
      <c r="E158" s="1080"/>
    </row>
    <row r="159" spans="5:5" ht="14.25" customHeight="1" x14ac:dyDescent="0.3">
      <c r="E159" s="1080"/>
    </row>
    <row r="160" spans="5:5" ht="14.25" customHeight="1" x14ac:dyDescent="0.3">
      <c r="E160" s="1080"/>
    </row>
    <row r="161" spans="5:5" ht="14.25" customHeight="1" x14ac:dyDescent="0.3">
      <c r="E161" s="1080"/>
    </row>
    <row r="162" spans="5:5" ht="14.25" customHeight="1" x14ac:dyDescent="0.3">
      <c r="E162" s="1080"/>
    </row>
    <row r="163" spans="5:5" ht="14.25" customHeight="1" x14ac:dyDescent="0.3">
      <c r="E163" s="1080"/>
    </row>
    <row r="164" spans="5:5" ht="14.25" customHeight="1" x14ac:dyDescent="0.3">
      <c r="E164" s="1080"/>
    </row>
    <row r="165" spans="5:5" ht="14.25" customHeight="1" x14ac:dyDescent="0.3">
      <c r="E165" s="1080"/>
    </row>
    <row r="166" spans="5:5" ht="14.25" customHeight="1" x14ac:dyDescent="0.3">
      <c r="E166" s="1080"/>
    </row>
    <row r="167" spans="5:5" ht="14.25" customHeight="1" x14ac:dyDescent="0.3">
      <c r="E167" s="1080"/>
    </row>
    <row r="168" spans="5:5" ht="14.25" customHeight="1" x14ac:dyDescent="0.3">
      <c r="E168" s="1080"/>
    </row>
    <row r="169" spans="5:5" ht="14.25" customHeight="1" x14ac:dyDescent="0.3">
      <c r="E169" s="1080"/>
    </row>
    <row r="170" spans="5:5" ht="14.25" customHeight="1" x14ac:dyDescent="0.3">
      <c r="E170" s="1080"/>
    </row>
    <row r="171" spans="5:5" ht="14.25" customHeight="1" x14ac:dyDescent="0.3">
      <c r="E171" s="1080"/>
    </row>
    <row r="172" spans="5:5" ht="14.25" customHeight="1" x14ac:dyDescent="0.3">
      <c r="E172" s="1080"/>
    </row>
    <row r="173" spans="5:5" ht="14.25" customHeight="1" x14ac:dyDescent="0.3">
      <c r="E173" s="1080"/>
    </row>
    <row r="174" spans="5:5" ht="14.25" customHeight="1" x14ac:dyDescent="0.3">
      <c r="E174" s="1080"/>
    </row>
    <row r="175" spans="5:5" ht="14.25" customHeight="1" x14ac:dyDescent="0.3">
      <c r="E175" s="1080"/>
    </row>
    <row r="176" spans="5:5" ht="14.25" customHeight="1" x14ac:dyDescent="0.3">
      <c r="E176" s="1080"/>
    </row>
    <row r="177" spans="5:5" ht="14.25" customHeight="1" x14ac:dyDescent="0.3">
      <c r="E177" s="1080"/>
    </row>
    <row r="178" spans="5:5" ht="14.25" customHeight="1" x14ac:dyDescent="0.3">
      <c r="E178" s="1080"/>
    </row>
    <row r="179" spans="5:5" ht="14.25" customHeight="1" x14ac:dyDescent="0.3">
      <c r="E179" s="1080"/>
    </row>
    <row r="180" spans="5:5" ht="14.25" customHeight="1" x14ac:dyDescent="0.3">
      <c r="E180" s="1080"/>
    </row>
    <row r="181" spans="5:5" ht="14.25" customHeight="1" x14ac:dyDescent="0.3">
      <c r="E181" s="1080"/>
    </row>
    <row r="182" spans="5:5" ht="14.25" customHeight="1" x14ac:dyDescent="0.3">
      <c r="E182" s="1080"/>
    </row>
    <row r="183" spans="5:5" ht="14.25" customHeight="1" x14ac:dyDescent="0.3">
      <c r="E183" s="1080"/>
    </row>
    <row r="184" spans="5:5" ht="14.25" customHeight="1" x14ac:dyDescent="0.3">
      <c r="E184" s="1080"/>
    </row>
    <row r="185" spans="5:5" ht="14.25" customHeight="1" x14ac:dyDescent="0.3">
      <c r="E185" s="1080"/>
    </row>
    <row r="186" spans="5:5" ht="14.25" customHeight="1" x14ac:dyDescent="0.3">
      <c r="E186" s="1080"/>
    </row>
    <row r="187" spans="5:5" ht="14.25" customHeight="1" x14ac:dyDescent="0.3">
      <c r="E187" s="1080"/>
    </row>
    <row r="188" spans="5:5" ht="14.25" customHeight="1" x14ac:dyDescent="0.3">
      <c r="E188" s="1080"/>
    </row>
    <row r="189" spans="5:5" ht="14.25" customHeight="1" x14ac:dyDescent="0.3">
      <c r="E189" s="1080"/>
    </row>
    <row r="190" spans="5:5" ht="14.25" customHeight="1" x14ac:dyDescent="0.3">
      <c r="E190" s="1080"/>
    </row>
    <row r="191" spans="5:5" ht="14.25" customHeight="1" x14ac:dyDescent="0.3">
      <c r="E191" s="1080"/>
    </row>
    <row r="192" spans="5:5" ht="14.25" customHeight="1" x14ac:dyDescent="0.3">
      <c r="E192" s="1080"/>
    </row>
    <row r="193" spans="5:5" ht="14.25" customHeight="1" x14ac:dyDescent="0.3">
      <c r="E193" s="1080"/>
    </row>
    <row r="194" spans="5:5" ht="14.25" customHeight="1" x14ac:dyDescent="0.3">
      <c r="E194" s="1080"/>
    </row>
    <row r="195" spans="5:5" ht="14.25" customHeight="1" x14ac:dyDescent="0.3">
      <c r="E195" s="1080"/>
    </row>
    <row r="196" spans="5:5" ht="14.25" customHeight="1" x14ac:dyDescent="0.3">
      <c r="E196" s="1080"/>
    </row>
    <row r="197" spans="5:5" ht="14.25" customHeight="1" x14ac:dyDescent="0.3">
      <c r="E197" s="1080"/>
    </row>
    <row r="198" spans="5:5" ht="14.25" customHeight="1" x14ac:dyDescent="0.3">
      <c r="E198" s="1080"/>
    </row>
    <row r="199" spans="5:5" ht="14.25" customHeight="1" x14ac:dyDescent="0.3">
      <c r="E199" s="1080"/>
    </row>
    <row r="200" spans="5:5" ht="14.25" customHeight="1" x14ac:dyDescent="0.3">
      <c r="E200" s="1080"/>
    </row>
    <row r="201" spans="5:5" ht="14.25" customHeight="1" x14ac:dyDescent="0.3">
      <c r="E201" s="1080"/>
    </row>
    <row r="202" spans="5:5" ht="14.25" customHeight="1" x14ac:dyDescent="0.3">
      <c r="E202" s="1080"/>
    </row>
    <row r="203" spans="5:5" ht="14.25" customHeight="1" x14ac:dyDescent="0.3">
      <c r="E203" s="1080"/>
    </row>
    <row r="204" spans="5:5" ht="14.25" customHeight="1" x14ac:dyDescent="0.3">
      <c r="E204" s="1080"/>
    </row>
    <row r="205" spans="5:5" ht="14.25" customHeight="1" x14ac:dyDescent="0.3">
      <c r="E205" s="1080"/>
    </row>
    <row r="206" spans="5:5" ht="14.25" customHeight="1" x14ac:dyDescent="0.3">
      <c r="E206" s="1080"/>
    </row>
    <row r="207" spans="5:5" ht="14.25" customHeight="1" x14ac:dyDescent="0.3">
      <c r="E207" s="1080"/>
    </row>
    <row r="208" spans="5:5" ht="14.25" customHeight="1" x14ac:dyDescent="0.3">
      <c r="E208" s="1080"/>
    </row>
    <row r="209" spans="5:5" ht="14.25" customHeight="1" x14ac:dyDescent="0.3">
      <c r="E209" s="1080"/>
    </row>
    <row r="210" spans="5:5" ht="14.25" customHeight="1" x14ac:dyDescent="0.3">
      <c r="E210" s="1080"/>
    </row>
    <row r="211" spans="5:5" ht="14.25" customHeight="1" x14ac:dyDescent="0.3">
      <c r="E211" s="1080"/>
    </row>
    <row r="212" spans="5:5" ht="14.25" customHeight="1" x14ac:dyDescent="0.3">
      <c r="E212" s="1080"/>
    </row>
    <row r="213" spans="5:5" ht="14.25" customHeight="1" x14ac:dyDescent="0.3">
      <c r="E213" s="1080"/>
    </row>
    <row r="214" spans="5:5" ht="14.25" customHeight="1" x14ac:dyDescent="0.3">
      <c r="E214" s="1080"/>
    </row>
    <row r="215" spans="5:5" ht="14.25" customHeight="1" x14ac:dyDescent="0.3">
      <c r="E215" s="1080"/>
    </row>
    <row r="216" spans="5:5" ht="14.25" customHeight="1" x14ac:dyDescent="0.3">
      <c r="E216" s="1080"/>
    </row>
    <row r="217" spans="5:5" ht="14.25" customHeight="1" x14ac:dyDescent="0.3">
      <c r="E217" s="1080"/>
    </row>
    <row r="218" spans="5:5" ht="14.25" customHeight="1" x14ac:dyDescent="0.3">
      <c r="E218" s="1080"/>
    </row>
    <row r="219" spans="5:5" ht="14.25" customHeight="1" x14ac:dyDescent="0.3">
      <c r="E219" s="1080"/>
    </row>
    <row r="220" spans="5:5" ht="14.25" customHeight="1" x14ac:dyDescent="0.3">
      <c r="E220" s="1080"/>
    </row>
    <row r="221" spans="5:5" ht="14.25" customHeight="1" x14ac:dyDescent="0.3">
      <c r="E221" s="1080"/>
    </row>
    <row r="222" spans="5:5" ht="14.25" customHeight="1" x14ac:dyDescent="0.3">
      <c r="E222" s="1080"/>
    </row>
    <row r="223" spans="5:5" ht="14.25" customHeight="1" x14ac:dyDescent="0.3">
      <c r="E223" s="1080"/>
    </row>
    <row r="224" spans="5:5" ht="14.25" customHeight="1" x14ac:dyDescent="0.3">
      <c r="E224" s="1080"/>
    </row>
    <row r="225" spans="5:5" ht="14.25" customHeight="1" x14ac:dyDescent="0.3">
      <c r="E225" s="1080"/>
    </row>
    <row r="226" spans="5:5" ht="14.25" customHeight="1" x14ac:dyDescent="0.3">
      <c r="E226" s="1080"/>
    </row>
    <row r="227" spans="5:5" ht="14.25" customHeight="1" x14ac:dyDescent="0.3">
      <c r="E227" s="1080"/>
    </row>
    <row r="228" spans="5:5" ht="14.25" customHeight="1" x14ac:dyDescent="0.3">
      <c r="E228" s="1080"/>
    </row>
    <row r="229" spans="5:5" ht="14.25" customHeight="1" x14ac:dyDescent="0.3">
      <c r="E229" s="1080"/>
    </row>
    <row r="230" spans="5:5" ht="14.25" customHeight="1" x14ac:dyDescent="0.3">
      <c r="E230" s="1080"/>
    </row>
    <row r="231" spans="5:5" ht="14.25" customHeight="1" x14ac:dyDescent="0.3">
      <c r="E231" s="1080"/>
    </row>
    <row r="232" spans="5:5" ht="14.25" customHeight="1" x14ac:dyDescent="0.3">
      <c r="E232" s="1080"/>
    </row>
    <row r="233" spans="5:5" ht="14.25" customHeight="1" x14ac:dyDescent="0.3">
      <c r="E233" s="1080"/>
    </row>
    <row r="234" spans="5:5" ht="14.25" customHeight="1" x14ac:dyDescent="0.3">
      <c r="E234" s="1080"/>
    </row>
    <row r="235" spans="5:5" ht="14.25" customHeight="1" x14ac:dyDescent="0.3">
      <c r="E235" s="1080"/>
    </row>
    <row r="236" spans="5:5" ht="14.25" customHeight="1" x14ac:dyDescent="0.3">
      <c r="E236" s="1080"/>
    </row>
    <row r="237" spans="5:5" ht="14.25" customHeight="1" x14ac:dyDescent="0.3">
      <c r="E237" s="1080"/>
    </row>
    <row r="238" spans="5:5" ht="14.25" customHeight="1" x14ac:dyDescent="0.3">
      <c r="E238" s="1080"/>
    </row>
    <row r="239" spans="5:5" ht="14.25" customHeight="1" x14ac:dyDescent="0.3">
      <c r="E239" s="1080"/>
    </row>
    <row r="240" spans="5:5" ht="14.25" customHeight="1" x14ac:dyDescent="0.3">
      <c r="E240" s="1080"/>
    </row>
    <row r="241" spans="5:5" ht="14.25" customHeight="1" x14ac:dyDescent="0.3">
      <c r="E241" s="1080"/>
    </row>
    <row r="242" spans="5:5" ht="14.25" customHeight="1" x14ac:dyDescent="0.3">
      <c r="E242" s="1080"/>
    </row>
    <row r="243" spans="5:5" ht="14.25" customHeight="1" x14ac:dyDescent="0.3">
      <c r="E243" s="1080"/>
    </row>
    <row r="244" spans="5:5" ht="14.25" customHeight="1" x14ac:dyDescent="0.3">
      <c r="E244" s="1080"/>
    </row>
    <row r="245" spans="5:5" ht="14.25" customHeight="1" x14ac:dyDescent="0.3">
      <c r="E245" s="1080"/>
    </row>
    <row r="246" spans="5:5" ht="14.25" customHeight="1" x14ac:dyDescent="0.3">
      <c r="E246" s="1080"/>
    </row>
    <row r="247" spans="5:5" ht="14.25" customHeight="1" x14ac:dyDescent="0.3">
      <c r="E247" s="1080"/>
    </row>
    <row r="248" spans="5:5" ht="14.25" customHeight="1" x14ac:dyDescent="0.3">
      <c r="E248" s="1080"/>
    </row>
    <row r="249" spans="5:5" ht="14.25" customHeight="1" x14ac:dyDescent="0.3">
      <c r="E249" s="1080"/>
    </row>
    <row r="250" spans="5:5" ht="14.25" customHeight="1" x14ac:dyDescent="0.3">
      <c r="E250" s="1080"/>
    </row>
    <row r="251" spans="5:5" ht="14.25" customHeight="1" x14ac:dyDescent="0.3">
      <c r="E251" s="1080"/>
    </row>
    <row r="252" spans="5:5" ht="14.25" customHeight="1" x14ac:dyDescent="0.3">
      <c r="E252" s="1080"/>
    </row>
    <row r="253" spans="5:5" ht="14.25" customHeight="1" x14ac:dyDescent="0.3">
      <c r="E253" s="1080"/>
    </row>
    <row r="254" spans="5:5" ht="14.25" customHeight="1" x14ac:dyDescent="0.3">
      <c r="E254" s="1080"/>
    </row>
    <row r="255" spans="5:5" ht="14.25" customHeight="1" x14ac:dyDescent="0.3">
      <c r="E255" s="1080"/>
    </row>
    <row r="256" spans="5:5" ht="14.25" customHeight="1" x14ac:dyDescent="0.3">
      <c r="E256" s="1080"/>
    </row>
    <row r="257" spans="5:5" ht="14.25" customHeight="1" x14ac:dyDescent="0.3">
      <c r="E257" s="1080"/>
    </row>
    <row r="258" spans="5:5" ht="14.25" customHeight="1" x14ac:dyDescent="0.3">
      <c r="E258" s="1080"/>
    </row>
    <row r="259" spans="5:5" ht="14.25" customHeight="1" x14ac:dyDescent="0.3">
      <c r="E259" s="1080"/>
    </row>
    <row r="260" spans="5:5" ht="14.25" customHeight="1" x14ac:dyDescent="0.3">
      <c r="E260" s="1080"/>
    </row>
    <row r="261" spans="5:5" ht="14.25" customHeight="1" x14ac:dyDescent="0.3">
      <c r="E261" s="1080"/>
    </row>
    <row r="262" spans="5:5" ht="14.25" customHeight="1" x14ac:dyDescent="0.3">
      <c r="E262" s="1080"/>
    </row>
    <row r="263" spans="5:5" ht="14.25" customHeight="1" x14ac:dyDescent="0.3">
      <c r="E263" s="1080"/>
    </row>
    <row r="264" spans="5:5" ht="14.25" customHeight="1" x14ac:dyDescent="0.3">
      <c r="E264" s="1080"/>
    </row>
    <row r="265" spans="5:5" ht="14.25" customHeight="1" x14ac:dyDescent="0.3">
      <c r="E265" s="1080"/>
    </row>
    <row r="266" spans="5:5" ht="14.25" customHeight="1" x14ac:dyDescent="0.3">
      <c r="E266" s="1080"/>
    </row>
    <row r="267" spans="5:5" ht="14.25" customHeight="1" x14ac:dyDescent="0.3">
      <c r="E267" s="1080"/>
    </row>
    <row r="268" spans="5:5" ht="14.25" customHeight="1" x14ac:dyDescent="0.3">
      <c r="E268" s="1080"/>
    </row>
    <row r="269" spans="5:5" ht="14.25" customHeight="1" x14ac:dyDescent="0.3">
      <c r="E269" s="1080"/>
    </row>
    <row r="270" spans="5:5" ht="14.25" customHeight="1" x14ac:dyDescent="0.3">
      <c r="E270" s="1080"/>
    </row>
    <row r="271" spans="5:5" ht="14.25" customHeight="1" x14ac:dyDescent="0.3">
      <c r="E271" s="1080"/>
    </row>
    <row r="272" spans="5:5" ht="14.25" customHeight="1" x14ac:dyDescent="0.3">
      <c r="E272" s="1080"/>
    </row>
    <row r="273" spans="5:5" ht="14.25" customHeight="1" x14ac:dyDescent="0.3">
      <c r="E273" s="1080"/>
    </row>
    <row r="274" spans="5:5" ht="14.25" customHeight="1" x14ac:dyDescent="0.3">
      <c r="E274" s="1080"/>
    </row>
    <row r="275" spans="5:5" ht="14.25" customHeight="1" x14ac:dyDescent="0.3">
      <c r="E275" s="1080"/>
    </row>
    <row r="276" spans="5:5" ht="14.25" customHeight="1" x14ac:dyDescent="0.3">
      <c r="E276" s="1080"/>
    </row>
    <row r="277" spans="5:5" ht="14.25" customHeight="1" x14ac:dyDescent="0.3">
      <c r="E277" s="1080"/>
    </row>
    <row r="278" spans="5:5" ht="14.25" customHeight="1" x14ac:dyDescent="0.3">
      <c r="E278" s="1080"/>
    </row>
    <row r="279" spans="5:5" ht="14.25" customHeight="1" x14ac:dyDescent="0.3">
      <c r="E279" s="1080"/>
    </row>
    <row r="280" spans="5:5" ht="14.25" customHeight="1" x14ac:dyDescent="0.3">
      <c r="E280" s="1080"/>
    </row>
    <row r="281" spans="5:5" ht="14.25" customHeight="1" x14ac:dyDescent="0.3">
      <c r="E281" s="1080"/>
    </row>
    <row r="282" spans="5:5" ht="14.25" customHeight="1" x14ac:dyDescent="0.3">
      <c r="E282" s="1080"/>
    </row>
    <row r="283" spans="5:5" ht="14.25" customHeight="1" x14ac:dyDescent="0.3">
      <c r="E283" s="1080"/>
    </row>
    <row r="284" spans="5:5" ht="14.25" customHeight="1" x14ac:dyDescent="0.3">
      <c r="E284" s="1080"/>
    </row>
    <row r="285" spans="5:5" ht="14.25" customHeight="1" x14ac:dyDescent="0.3">
      <c r="E285" s="1080"/>
    </row>
    <row r="286" spans="5:5" ht="14.25" customHeight="1" x14ac:dyDescent="0.3">
      <c r="E286" s="1080"/>
    </row>
    <row r="287" spans="5:5" ht="14.25" customHeight="1" x14ac:dyDescent="0.3">
      <c r="E287" s="1080"/>
    </row>
    <row r="288" spans="5:5" ht="14.25" customHeight="1" x14ac:dyDescent="0.3">
      <c r="E288" s="1080"/>
    </row>
    <row r="289" spans="5:5" ht="14.25" customHeight="1" x14ac:dyDescent="0.3">
      <c r="E289" s="1080"/>
    </row>
    <row r="290" spans="5:5" ht="14.25" customHeight="1" x14ac:dyDescent="0.3">
      <c r="E290" s="1080"/>
    </row>
    <row r="291" spans="5:5" ht="14.25" customHeight="1" x14ac:dyDescent="0.3">
      <c r="E291" s="1080"/>
    </row>
    <row r="292" spans="5:5" ht="14.25" customHeight="1" x14ac:dyDescent="0.3">
      <c r="E292" s="1080"/>
    </row>
    <row r="293" spans="5:5" ht="14.25" customHeight="1" x14ac:dyDescent="0.3">
      <c r="E293" s="1080"/>
    </row>
    <row r="294" spans="5:5" ht="14.25" customHeight="1" x14ac:dyDescent="0.3">
      <c r="E294" s="1080"/>
    </row>
    <row r="295" spans="5:5" ht="14.25" customHeight="1" x14ac:dyDescent="0.3">
      <c r="E295" s="1080"/>
    </row>
    <row r="296" spans="5:5" ht="14.25" customHeight="1" x14ac:dyDescent="0.3">
      <c r="E296" s="1080"/>
    </row>
    <row r="297" spans="5:5" ht="14.25" customHeight="1" x14ac:dyDescent="0.3">
      <c r="E297" s="1080"/>
    </row>
    <row r="298" spans="5:5" ht="14.25" customHeight="1" x14ac:dyDescent="0.3">
      <c r="E298" s="1080"/>
    </row>
    <row r="299" spans="5:5" ht="14.25" customHeight="1" x14ac:dyDescent="0.3">
      <c r="E299" s="1080"/>
    </row>
    <row r="300" spans="5:5" ht="14.25" customHeight="1" x14ac:dyDescent="0.3">
      <c r="E300" s="1080"/>
    </row>
    <row r="301" spans="5:5" ht="14.25" customHeight="1" x14ac:dyDescent="0.3">
      <c r="E301" s="1080"/>
    </row>
    <row r="302" spans="5:5" ht="14.25" customHeight="1" x14ac:dyDescent="0.3">
      <c r="E302" s="1080"/>
    </row>
    <row r="303" spans="5:5" ht="14.25" customHeight="1" x14ac:dyDescent="0.3">
      <c r="E303" s="1080"/>
    </row>
    <row r="304" spans="5:5" ht="14.25" customHeight="1" x14ac:dyDescent="0.3">
      <c r="E304" s="1080"/>
    </row>
    <row r="305" spans="5:5" ht="14.25" customHeight="1" x14ac:dyDescent="0.3">
      <c r="E305" s="1080"/>
    </row>
    <row r="306" spans="5:5" ht="14.25" customHeight="1" x14ac:dyDescent="0.3">
      <c r="E306" s="1080"/>
    </row>
    <row r="307" spans="5:5" ht="14.25" customHeight="1" x14ac:dyDescent="0.3">
      <c r="E307" s="1080"/>
    </row>
    <row r="308" spans="5:5" ht="14.25" customHeight="1" x14ac:dyDescent="0.3">
      <c r="E308" s="1080"/>
    </row>
    <row r="309" spans="5:5" ht="14.25" customHeight="1" x14ac:dyDescent="0.3">
      <c r="E309" s="1080"/>
    </row>
    <row r="310" spans="5:5" ht="14.25" customHeight="1" x14ac:dyDescent="0.3">
      <c r="E310" s="1080"/>
    </row>
    <row r="311" spans="5:5" ht="14.25" customHeight="1" x14ac:dyDescent="0.3">
      <c r="E311" s="1080"/>
    </row>
    <row r="312" spans="5:5" ht="14.25" customHeight="1" x14ac:dyDescent="0.3">
      <c r="E312" s="1080"/>
    </row>
    <row r="313" spans="5:5" ht="14.25" customHeight="1" x14ac:dyDescent="0.3">
      <c r="E313" s="1080"/>
    </row>
    <row r="314" spans="5:5" ht="14.25" customHeight="1" x14ac:dyDescent="0.3">
      <c r="E314" s="1080"/>
    </row>
    <row r="315" spans="5:5" ht="14.25" customHeight="1" x14ac:dyDescent="0.3">
      <c r="E315" s="1080"/>
    </row>
    <row r="316" spans="5:5" ht="14.25" customHeight="1" x14ac:dyDescent="0.3">
      <c r="E316" s="1080"/>
    </row>
    <row r="317" spans="5:5" ht="14.25" customHeight="1" x14ac:dyDescent="0.3">
      <c r="E317" s="1080"/>
    </row>
    <row r="318" spans="5:5" ht="14.25" customHeight="1" x14ac:dyDescent="0.3">
      <c r="E318" s="1080"/>
    </row>
    <row r="319" spans="5:5" ht="14.25" customHeight="1" x14ac:dyDescent="0.3">
      <c r="E319" s="1080"/>
    </row>
    <row r="320" spans="5:5" ht="14.25" customHeight="1" x14ac:dyDescent="0.3">
      <c r="E320" s="1080"/>
    </row>
    <row r="321" spans="5:5" ht="14.25" customHeight="1" x14ac:dyDescent="0.3">
      <c r="E321" s="1080"/>
    </row>
    <row r="322" spans="5:5" ht="14.25" customHeight="1" x14ac:dyDescent="0.3">
      <c r="E322" s="1080"/>
    </row>
    <row r="323" spans="5:5" ht="14.25" customHeight="1" x14ac:dyDescent="0.3">
      <c r="E323" s="1080"/>
    </row>
    <row r="324" spans="5:5" ht="14.25" customHeight="1" x14ac:dyDescent="0.3">
      <c r="E324" s="1080"/>
    </row>
    <row r="325" spans="5:5" ht="14.25" customHeight="1" x14ac:dyDescent="0.3">
      <c r="E325" s="1080"/>
    </row>
    <row r="326" spans="5:5" ht="14.25" customHeight="1" x14ac:dyDescent="0.3">
      <c r="E326" s="1080"/>
    </row>
    <row r="327" spans="5:5" ht="14.25" customHeight="1" x14ac:dyDescent="0.3">
      <c r="E327" s="1080"/>
    </row>
    <row r="328" spans="5:5" ht="14.25" customHeight="1" x14ac:dyDescent="0.3">
      <c r="E328" s="1080"/>
    </row>
    <row r="329" spans="5:5" ht="14.25" customHeight="1" x14ac:dyDescent="0.3">
      <c r="E329" s="1080"/>
    </row>
    <row r="330" spans="5:5" ht="14.25" customHeight="1" x14ac:dyDescent="0.3">
      <c r="E330" s="1080"/>
    </row>
    <row r="331" spans="5:5" ht="14.25" customHeight="1" x14ac:dyDescent="0.3">
      <c r="E331" s="1080"/>
    </row>
    <row r="332" spans="5:5" ht="14.25" customHeight="1" x14ac:dyDescent="0.3">
      <c r="E332" s="1080"/>
    </row>
    <row r="333" spans="5:5" ht="14.25" customHeight="1" x14ac:dyDescent="0.3">
      <c r="E333" s="1080"/>
    </row>
    <row r="334" spans="5:5" ht="14.25" customHeight="1" x14ac:dyDescent="0.3">
      <c r="E334" s="1080"/>
    </row>
    <row r="335" spans="5:5" ht="14.25" customHeight="1" x14ac:dyDescent="0.3">
      <c r="E335" s="1080"/>
    </row>
    <row r="336" spans="5:5" ht="14.25" customHeight="1" x14ac:dyDescent="0.3">
      <c r="E336" s="1080"/>
    </row>
    <row r="337" spans="5:5" ht="14.25" customHeight="1" x14ac:dyDescent="0.3">
      <c r="E337" s="1080"/>
    </row>
    <row r="338" spans="5:5" ht="14.25" customHeight="1" x14ac:dyDescent="0.3">
      <c r="E338" s="1080"/>
    </row>
    <row r="339" spans="5:5" ht="14.25" customHeight="1" x14ac:dyDescent="0.3">
      <c r="E339" s="1080"/>
    </row>
    <row r="340" spans="5:5" ht="14.25" customHeight="1" x14ac:dyDescent="0.3">
      <c r="E340" s="1080"/>
    </row>
    <row r="341" spans="5:5" ht="14.25" customHeight="1" x14ac:dyDescent="0.3">
      <c r="E341" s="1080"/>
    </row>
    <row r="342" spans="5:5" ht="14.25" customHeight="1" x14ac:dyDescent="0.3">
      <c r="E342" s="1080"/>
    </row>
    <row r="343" spans="5:5" ht="14.25" customHeight="1" x14ac:dyDescent="0.3">
      <c r="E343" s="1080"/>
    </row>
    <row r="344" spans="5:5" ht="14.25" customHeight="1" x14ac:dyDescent="0.3">
      <c r="E344" s="1080"/>
    </row>
    <row r="345" spans="5:5" ht="14.25" customHeight="1" x14ac:dyDescent="0.3">
      <c r="E345" s="1080"/>
    </row>
    <row r="346" spans="5:5" ht="14.25" customHeight="1" x14ac:dyDescent="0.3">
      <c r="E346" s="1080"/>
    </row>
    <row r="347" spans="5:5" ht="14.25" customHeight="1" x14ac:dyDescent="0.3">
      <c r="E347" s="1080"/>
    </row>
    <row r="348" spans="5:5" ht="14.25" customHeight="1" x14ac:dyDescent="0.3">
      <c r="E348" s="1080"/>
    </row>
    <row r="349" spans="5:5" ht="14.25" customHeight="1" x14ac:dyDescent="0.3">
      <c r="E349" s="1080"/>
    </row>
    <row r="350" spans="5:5" ht="14.25" customHeight="1" x14ac:dyDescent="0.3">
      <c r="E350" s="1080"/>
    </row>
    <row r="351" spans="5:5" ht="14.25" customHeight="1" x14ac:dyDescent="0.3">
      <c r="E351" s="1080"/>
    </row>
    <row r="352" spans="5:5" ht="14.25" customHeight="1" x14ac:dyDescent="0.3">
      <c r="E352" s="1080"/>
    </row>
    <row r="353" spans="5:5" ht="14.25" customHeight="1" x14ac:dyDescent="0.3">
      <c r="E353" s="1080"/>
    </row>
    <row r="354" spans="5:5" ht="14.25" customHeight="1" x14ac:dyDescent="0.3">
      <c r="E354" s="1080"/>
    </row>
    <row r="355" spans="5:5" ht="14.25" customHeight="1" x14ac:dyDescent="0.3">
      <c r="E355" s="1080"/>
    </row>
    <row r="356" spans="5:5" ht="14.25" customHeight="1" x14ac:dyDescent="0.3">
      <c r="E356" s="1080"/>
    </row>
    <row r="357" spans="5:5" ht="14.25" customHeight="1" x14ac:dyDescent="0.3">
      <c r="E357" s="1080"/>
    </row>
    <row r="358" spans="5:5" ht="14.25" customHeight="1" x14ac:dyDescent="0.3">
      <c r="E358" s="1080"/>
    </row>
    <row r="359" spans="5:5" ht="14.25" customHeight="1" x14ac:dyDescent="0.3">
      <c r="E359" s="1080"/>
    </row>
    <row r="360" spans="5:5" ht="14.25" customHeight="1" x14ac:dyDescent="0.3">
      <c r="E360" s="1080"/>
    </row>
    <row r="361" spans="5:5" ht="14.25" customHeight="1" x14ac:dyDescent="0.3">
      <c r="E361" s="1080"/>
    </row>
    <row r="362" spans="5:5" ht="14.25" customHeight="1" x14ac:dyDescent="0.3">
      <c r="E362" s="1080"/>
    </row>
    <row r="363" spans="5:5" ht="14.25" customHeight="1" x14ac:dyDescent="0.3">
      <c r="E363" s="1080"/>
    </row>
    <row r="364" spans="5:5" ht="14.25" customHeight="1" x14ac:dyDescent="0.3">
      <c r="E364" s="1080"/>
    </row>
    <row r="365" spans="5:5" ht="14.25" customHeight="1" x14ac:dyDescent="0.3">
      <c r="E365" s="1080"/>
    </row>
    <row r="366" spans="5:5" ht="14.25" customHeight="1" x14ac:dyDescent="0.3">
      <c r="E366" s="1080"/>
    </row>
    <row r="367" spans="5:5" ht="14.25" customHeight="1" x14ac:dyDescent="0.3">
      <c r="E367" s="1080"/>
    </row>
    <row r="368" spans="5:5" ht="14.25" customHeight="1" x14ac:dyDescent="0.3">
      <c r="E368" s="1080"/>
    </row>
    <row r="369" spans="5:5" ht="14.25" customHeight="1" x14ac:dyDescent="0.3">
      <c r="E369" s="1080"/>
    </row>
    <row r="370" spans="5:5" ht="14.25" customHeight="1" x14ac:dyDescent="0.3">
      <c r="E370" s="1080"/>
    </row>
    <row r="371" spans="5:5" ht="14.25" customHeight="1" x14ac:dyDescent="0.3">
      <c r="E371" s="1080"/>
    </row>
    <row r="372" spans="5:5" ht="14.25" customHeight="1" x14ac:dyDescent="0.3">
      <c r="E372" s="1080"/>
    </row>
    <row r="373" spans="5:5" ht="14.25" customHeight="1" x14ac:dyDescent="0.3">
      <c r="E373" s="1080"/>
    </row>
    <row r="374" spans="5:5" ht="14.25" customHeight="1" x14ac:dyDescent="0.3">
      <c r="E374" s="1080"/>
    </row>
    <row r="375" spans="5:5" ht="14.25" customHeight="1" x14ac:dyDescent="0.3">
      <c r="E375" s="1080"/>
    </row>
    <row r="376" spans="5:5" ht="14.25" customHeight="1" x14ac:dyDescent="0.3">
      <c r="E376" s="1080"/>
    </row>
    <row r="377" spans="5:5" ht="14.25" customHeight="1" x14ac:dyDescent="0.3">
      <c r="E377" s="1080"/>
    </row>
    <row r="378" spans="5:5" ht="14.25" customHeight="1" x14ac:dyDescent="0.3">
      <c r="E378" s="1080"/>
    </row>
    <row r="379" spans="5:5" ht="14.25" customHeight="1" x14ac:dyDescent="0.3">
      <c r="E379" s="1080"/>
    </row>
    <row r="380" spans="5:5" ht="14.25" customHeight="1" x14ac:dyDescent="0.3">
      <c r="E380" s="1080"/>
    </row>
    <row r="381" spans="5:5" ht="14.25" customHeight="1" x14ac:dyDescent="0.3">
      <c r="E381" s="1080"/>
    </row>
    <row r="382" spans="5:5" ht="14.25" customHeight="1" x14ac:dyDescent="0.3">
      <c r="E382" s="1080"/>
    </row>
    <row r="383" spans="5:5" ht="14.25" customHeight="1" x14ac:dyDescent="0.3">
      <c r="E383" s="1080"/>
    </row>
    <row r="384" spans="5:5" ht="14.25" customHeight="1" x14ac:dyDescent="0.3">
      <c r="E384" s="1080"/>
    </row>
    <row r="385" spans="5:5" ht="14.25" customHeight="1" x14ac:dyDescent="0.3">
      <c r="E385" s="1080"/>
    </row>
    <row r="386" spans="5:5" ht="14.25" customHeight="1" x14ac:dyDescent="0.3">
      <c r="E386" s="1080"/>
    </row>
    <row r="387" spans="5:5" ht="14.25" customHeight="1" x14ac:dyDescent="0.3">
      <c r="E387" s="1080"/>
    </row>
    <row r="388" spans="5:5" ht="14.25" customHeight="1" x14ac:dyDescent="0.3">
      <c r="E388" s="1080"/>
    </row>
    <row r="389" spans="5:5" ht="14.25" customHeight="1" x14ac:dyDescent="0.3">
      <c r="E389" s="1080"/>
    </row>
    <row r="390" spans="5:5" ht="14.25" customHeight="1" x14ac:dyDescent="0.3">
      <c r="E390" s="1080"/>
    </row>
    <row r="391" spans="5:5" ht="14.25" customHeight="1" x14ac:dyDescent="0.3">
      <c r="E391" s="1080"/>
    </row>
    <row r="392" spans="5:5" ht="14.25" customHeight="1" x14ac:dyDescent="0.3">
      <c r="E392" s="1080"/>
    </row>
    <row r="393" spans="5:5" ht="14.25" customHeight="1" x14ac:dyDescent="0.3">
      <c r="E393" s="1080"/>
    </row>
    <row r="394" spans="5:5" ht="14.25" customHeight="1" x14ac:dyDescent="0.3">
      <c r="E394" s="1080"/>
    </row>
    <row r="395" spans="5:5" ht="14.25" customHeight="1" x14ac:dyDescent="0.3">
      <c r="E395" s="1080"/>
    </row>
    <row r="396" spans="5:5" ht="14.25" customHeight="1" x14ac:dyDescent="0.3">
      <c r="E396" s="1080"/>
    </row>
    <row r="397" spans="5:5" ht="14.25" customHeight="1" x14ac:dyDescent="0.3">
      <c r="E397" s="1080"/>
    </row>
    <row r="398" spans="5:5" ht="14.25" customHeight="1" x14ac:dyDescent="0.3">
      <c r="E398" s="1080"/>
    </row>
    <row r="399" spans="5:5" ht="14.25" customHeight="1" x14ac:dyDescent="0.3">
      <c r="E399" s="1080"/>
    </row>
    <row r="400" spans="5:5" ht="14.25" customHeight="1" x14ac:dyDescent="0.3">
      <c r="E400" s="1080"/>
    </row>
    <row r="401" spans="5:5" ht="14.25" customHeight="1" x14ac:dyDescent="0.3">
      <c r="E401" s="1080"/>
    </row>
    <row r="402" spans="5:5" ht="14.25" customHeight="1" x14ac:dyDescent="0.3">
      <c r="E402" s="1080"/>
    </row>
    <row r="403" spans="5:5" ht="14.25" customHeight="1" x14ac:dyDescent="0.3">
      <c r="E403" s="1080"/>
    </row>
    <row r="404" spans="5:5" ht="14.25" customHeight="1" x14ac:dyDescent="0.3">
      <c r="E404" s="1080"/>
    </row>
    <row r="405" spans="5:5" ht="14.25" customHeight="1" x14ac:dyDescent="0.3">
      <c r="E405" s="1080"/>
    </row>
    <row r="406" spans="5:5" ht="14.25" customHeight="1" x14ac:dyDescent="0.3">
      <c r="E406" s="1080"/>
    </row>
    <row r="407" spans="5:5" ht="14.25" customHeight="1" x14ac:dyDescent="0.3">
      <c r="E407" s="1080"/>
    </row>
    <row r="408" spans="5:5" ht="14.25" customHeight="1" x14ac:dyDescent="0.3">
      <c r="E408" s="1080"/>
    </row>
    <row r="409" spans="5:5" ht="14.25" customHeight="1" x14ac:dyDescent="0.3">
      <c r="E409" s="1080"/>
    </row>
    <row r="410" spans="5:5" ht="14.25" customHeight="1" x14ac:dyDescent="0.3">
      <c r="E410" s="1080"/>
    </row>
    <row r="411" spans="5:5" ht="14.25" customHeight="1" x14ac:dyDescent="0.3">
      <c r="E411" s="1080"/>
    </row>
    <row r="412" spans="5:5" ht="14.25" customHeight="1" x14ac:dyDescent="0.3">
      <c r="E412" s="1080"/>
    </row>
    <row r="413" spans="5:5" ht="14.25" customHeight="1" x14ac:dyDescent="0.3">
      <c r="E413" s="1080"/>
    </row>
    <row r="414" spans="5:5" ht="14.25" customHeight="1" x14ac:dyDescent="0.3">
      <c r="E414" s="1080"/>
    </row>
    <row r="415" spans="5:5" ht="14.25" customHeight="1" x14ac:dyDescent="0.3">
      <c r="E415" s="1080"/>
    </row>
    <row r="416" spans="5:5" ht="14.25" customHeight="1" x14ac:dyDescent="0.3">
      <c r="E416" s="1080"/>
    </row>
    <row r="417" spans="5:5" ht="14.25" customHeight="1" x14ac:dyDescent="0.3">
      <c r="E417" s="1080"/>
    </row>
    <row r="418" spans="5:5" ht="14.25" customHeight="1" x14ac:dyDescent="0.3">
      <c r="E418" s="1080"/>
    </row>
    <row r="419" spans="5:5" ht="14.25" customHeight="1" x14ac:dyDescent="0.3">
      <c r="E419" s="1080"/>
    </row>
    <row r="420" spans="5:5" ht="14.25" customHeight="1" x14ac:dyDescent="0.3">
      <c r="E420" s="1080"/>
    </row>
    <row r="421" spans="5:5" ht="14.25" customHeight="1" x14ac:dyDescent="0.3">
      <c r="E421" s="1080"/>
    </row>
    <row r="422" spans="5:5" ht="14.25" customHeight="1" x14ac:dyDescent="0.3">
      <c r="E422" s="1080"/>
    </row>
    <row r="423" spans="5:5" ht="14.25" customHeight="1" x14ac:dyDescent="0.3">
      <c r="E423" s="1080"/>
    </row>
    <row r="424" spans="5:5" ht="14.25" customHeight="1" x14ac:dyDescent="0.3">
      <c r="E424" s="1080"/>
    </row>
    <row r="425" spans="5:5" ht="14.25" customHeight="1" x14ac:dyDescent="0.3">
      <c r="E425" s="1080"/>
    </row>
    <row r="426" spans="5:5" ht="14.25" customHeight="1" x14ac:dyDescent="0.3">
      <c r="E426" s="1080"/>
    </row>
    <row r="427" spans="5:5" ht="14.25" customHeight="1" x14ac:dyDescent="0.3">
      <c r="E427" s="1080"/>
    </row>
    <row r="428" spans="5:5" ht="14.25" customHeight="1" x14ac:dyDescent="0.3">
      <c r="E428" s="1080"/>
    </row>
    <row r="429" spans="5:5" ht="14.25" customHeight="1" x14ac:dyDescent="0.3">
      <c r="E429" s="1080"/>
    </row>
    <row r="430" spans="5:5" ht="14.25" customHeight="1" x14ac:dyDescent="0.3">
      <c r="E430" s="1080"/>
    </row>
    <row r="431" spans="5:5" ht="14.25" customHeight="1" x14ac:dyDescent="0.3">
      <c r="E431" s="1080"/>
    </row>
    <row r="432" spans="5:5" ht="14.25" customHeight="1" x14ac:dyDescent="0.3">
      <c r="E432" s="1080"/>
    </row>
    <row r="433" spans="5:5" ht="14.25" customHeight="1" x14ac:dyDescent="0.3">
      <c r="E433" s="1080"/>
    </row>
    <row r="434" spans="5:5" ht="14.25" customHeight="1" x14ac:dyDescent="0.3">
      <c r="E434" s="1080"/>
    </row>
    <row r="435" spans="5:5" ht="14.25" customHeight="1" x14ac:dyDescent="0.3">
      <c r="E435" s="1080"/>
    </row>
    <row r="436" spans="5:5" ht="14.25" customHeight="1" x14ac:dyDescent="0.3">
      <c r="E436" s="1080"/>
    </row>
    <row r="437" spans="5:5" ht="14.25" customHeight="1" x14ac:dyDescent="0.3">
      <c r="E437" s="1080"/>
    </row>
    <row r="438" spans="5:5" ht="14.25" customHeight="1" x14ac:dyDescent="0.3">
      <c r="E438" s="1080"/>
    </row>
    <row r="439" spans="5:5" ht="14.25" customHeight="1" x14ac:dyDescent="0.3">
      <c r="E439" s="1080"/>
    </row>
    <row r="440" spans="5:5" ht="14.25" customHeight="1" x14ac:dyDescent="0.3">
      <c r="E440" s="1080"/>
    </row>
    <row r="441" spans="5:5" ht="14.25" customHeight="1" x14ac:dyDescent="0.3">
      <c r="E441" s="1080"/>
    </row>
    <row r="442" spans="5:5" ht="14.25" customHeight="1" x14ac:dyDescent="0.3">
      <c r="E442" s="1080"/>
    </row>
    <row r="443" spans="5:5" ht="14.25" customHeight="1" x14ac:dyDescent="0.3">
      <c r="E443" s="1080"/>
    </row>
    <row r="444" spans="5:5" ht="14.25" customHeight="1" x14ac:dyDescent="0.3">
      <c r="E444" s="1080"/>
    </row>
    <row r="445" spans="5:5" ht="14.25" customHeight="1" x14ac:dyDescent="0.3">
      <c r="E445" s="1080"/>
    </row>
    <row r="446" spans="5:5" ht="14.25" customHeight="1" x14ac:dyDescent="0.3">
      <c r="E446" s="1080"/>
    </row>
    <row r="447" spans="5:5" ht="14.25" customHeight="1" x14ac:dyDescent="0.3">
      <c r="E447" s="1080"/>
    </row>
    <row r="448" spans="5:5" ht="14.25" customHeight="1" x14ac:dyDescent="0.3">
      <c r="E448" s="1080"/>
    </row>
    <row r="449" spans="5:5" ht="14.25" customHeight="1" x14ac:dyDescent="0.3">
      <c r="E449" s="1080"/>
    </row>
    <row r="450" spans="5:5" ht="14.25" customHeight="1" x14ac:dyDescent="0.3">
      <c r="E450" s="1080"/>
    </row>
    <row r="451" spans="5:5" ht="14.25" customHeight="1" x14ac:dyDescent="0.3">
      <c r="E451" s="1080"/>
    </row>
    <row r="452" spans="5:5" ht="14.25" customHeight="1" x14ac:dyDescent="0.3">
      <c r="E452" s="1080"/>
    </row>
    <row r="453" spans="5:5" ht="14.25" customHeight="1" x14ac:dyDescent="0.3">
      <c r="E453" s="1080"/>
    </row>
    <row r="454" spans="5:5" ht="14.25" customHeight="1" x14ac:dyDescent="0.3">
      <c r="E454" s="1080"/>
    </row>
    <row r="455" spans="5:5" ht="14.25" customHeight="1" x14ac:dyDescent="0.3">
      <c r="E455" s="1080"/>
    </row>
    <row r="456" spans="5:5" ht="14.25" customHeight="1" x14ac:dyDescent="0.3">
      <c r="E456" s="1080"/>
    </row>
    <row r="457" spans="5:5" ht="14.25" customHeight="1" x14ac:dyDescent="0.3">
      <c r="E457" s="1080"/>
    </row>
    <row r="458" spans="5:5" ht="14.25" customHeight="1" x14ac:dyDescent="0.3">
      <c r="E458" s="1080"/>
    </row>
    <row r="459" spans="5:5" ht="14.25" customHeight="1" x14ac:dyDescent="0.3">
      <c r="E459" s="1080"/>
    </row>
    <row r="460" spans="5:5" ht="14.25" customHeight="1" x14ac:dyDescent="0.3">
      <c r="E460" s="1080"/>
    </row>
    <row r="461" spans="5:5" ht="14.25" customHeight="1" x14ac:dyDescent="0.3">
      <c r="E461" s="1080"/>
    </row>
    <row r="462" spans="5:5" ht="14.25" customHeight="1" x14ac:dyDescent="0.3">
      <c r="E462" s="1080"/>
    </row>
    <row r="463" spans="5:5" ht="14.25" customHeight="1" x14ac:dyDescent="0.3">
      <c r="E463" s="1080"/>
    </row>
    <row r="464" spans="5:5" ht="14.25" customHeight="1" x14ac:dyDescent="0.3">
      <c r="E464" s="1080"/>
    </row>
    <row r="465" spans="5:5" ht="14.25" customHeight="1" x14ac:dyDescent="0.3">
      <c r="E465" s="1080"/>
    </row>
    <row r="466" spans="5:5" ht="14.25" customHeight="1" x14ac:dyDescent="0.3">
      <c r="E466" s="1080"/>
    </row>
    <row r="467" spans="5:5" ht="14.25" customHeight="1" x14ac:dyDescent="0.3">
      <c r="E467" s="1080"/>
    </row>
    <row r="468" spans="5:5" ht="14.25" customHeight="1" x14ac:dyDescent="0.3">
      <c r="E468" s="1080"/>
    </row>
    <row r="469" spans="5:5" ht="14.25" customHeight="1" x14ac:dyDescent="0.3">
      <c r="E469" s="1080"/>
    </row>
    <row r="470" spans="5:5" ht="14.25" customHeight="1" x14ac:dyDescent="0.3">
      <c r="E470" s="1080"/>
    </row>
    <row r="471" spans="5:5" ht="14.25" customHeight="1" x14ac:dyDescent="0.3">
      <c r="E471" s="1080"/>
    </row>
    <row r="472" spans="5:5" ht="14.25" customHeight="1" x14ac:dyDescent="0.3">
      <c r="E472" s="1080"/>
    </row>
    <row r="473" spans="5:5" ht="14.25" customHeight="1" x14ac:dyDescent="0.3">
      <c r="E473" s="1080"/>
    </row>
    <row r="474" spans="5:5" ht="14.25" customHeight="1" x14ac:dyDescent="0.3">
      <c r="E474" s="1080"/>
    </row>
    <row r="475" spans="5:5" ht="14.25" customHeight="1" x14ac:dyDescent="0.3">
      <c r="E475" s="1080"/>
    </row>
    <row r="476" spans="5:5" ht="14.25" customHeight="1" x14ac:dyDescent="0.3">
      <c r="E476" s="1080"/>
    </row>
    <row r="477" spans="5:5" ht="14.25" customHeight="1" x14ac:dyDescent="0.3">
      <c r="E477" s="1080"/>
    </row>
    <row r="478" spans="5:5" ht="14.25" customHeight="1" x14ac:dyDescent="0.3">
      <c r="E478" s="1080"/>
    </row>
    <row r="479" spans="5:5" ht="14.25" customHeight="1" x14ac:dyDescent="0.3">
      <c r="E479" s="1080"/>
    </row>
    <row r="480" spans="5:5" ht="14.25" customHeight="1" x14ac:dyDescent="0.3">
      <c r="E480" s="1080"/>
    </row>
    <row r="481" spans="5:5" ht="14.25" customHeight="1" x14ac:dyDescent="0.3">
      <c r="E481" s="1080"/>
    </row>
    <row r="482" spans="5:5" ht="14.25" customHeight="1" x14ac:dyDescent="0.3">
      <c r="E482" s="1080"/>
    </row>
    <row r="483" spans="5:5" ht="14.25" customHeight="1" x14ac:dyDescent="0.3">
      <c r="E483" s="1080"/>
    </row>
    <row r="484" spans="5:5" ht="14.25" customHeight="1" x14ac:dyDescent="0.3">
      <c r="E484" s="1080"/>
    </row>
    <row r="485" spans="5:5" ht="14.25" customHeight="1" x14ac:dyDescent="0.3">
      <c r="E485" s="1080"/>
    </row>
    <row r="486" spans="5:5" ht="14.25" customHeight="1" x14ac:dyDescent="0.3">
      <c r="E486" s="1080"/>
    </row>
    <row r="487" spans="5:5" ht="14.25" customHeight="1" x14ac:dyDescent="0.3">
      <c r="E487" s="1080"/>
    </row>
    <row r="488" spans="5:5" ht="14.25" customHeight="1" x14ac:dyDescent="0.3">
      <c r="E488" s="1080"/>
    </row>
    <row r="489" spans="5:5" ht="14.25" customHeight="1" x14ac:dyDescent="0.3">
      <c r="E489" s="1080"/>
    </row>
    <row r="490" spans="5:5" ht="14.25" customHeight="1" x14ac:dyDescent="0.3">
      <c r="E490" s="1080"/>
    </row>
    <row r="491" spans="5:5" ht="14.25" customHeight="1" x14ac:dyDescent="0.3">
      <c r="E491" s="1080"/>
    </row>
    <row r="492" spans="5:5" ht="14.25" customHeight="1" x14ac:dyDescent="0.3">
      <c r="E492" s="1080"/>
    </row>
    <row r="493" spans="5:5" ht="14.25" customHeight="1" x14ac:dyDescent="0.3">
      <c r="E493" s="1080"/>
    </row>
    <row r="494" spans="5:5" ht="14.25" customHeight="1" x14ac:dyDescent="0.3">
      <c r="E494" s="1080"/>
    </row>
    <row r="495" spans="5:5" ht="14.25" customHeight="1" x14ac:dyDescent="0.3">
      <c r="E495" s="1080"/>
    </row>
    <row r="496" spans="5:5" ht="14.25" customHeight="1" x14ac:dyDescent="0.3">
      <c r="E496" s="1080"/>
    </row>
    <row r="497" spans="5:5" ht="14.25" customHeight="1" x14ac:dyDescent="0.3">
      <c r="E497" s="1080"/>
    </row>
    <row r="498" spans="5:5" ht="14.25" customHeight="1" x14ac:dyDescent="0.3">
      <c r="E498" s="1080"/>
    </row>
    <row r="499" spans="5:5" ht="14.25" customHeight="1" x14ac:dyDescent="0.3">
      <c r="E499" s="1080"/>
    </row>
    <row r="500" spans="5:5" ht="14.25" customHeight="1" x14ac:dyDescent="0.3">
      <c r="E500" s="1080"/>
    </row>
    <row r="501" spans="5:5" ht="14.25" customHeight="1" x14ac:dyDescent="0.3">
      <c r="E501" s="1080"/>
    </row>
    <row r="502" spans="5:5" ht="14.25" customHeight="1" x14ac:dyDescent="0.3">
      <c r="E502" s="1080"/>
    </row>
    <row r="503" spans="5:5" ht="14.25" customHeight="1" x14ac:dyDescent="0.3">
      <c r="E503" s="1080"/>
    </row>
    <row r="504" spans="5:5" ht="14.25" customHeight="1" x14ac:dyDescent="0.3">
      <c r="E504" s="1080"/>
    </row>
    <row r="505" spans="5:5" ht="14.25" customHeight="1" x14ac:dyDescent="0.3">
      <c r="E505" s="1080"/>
    </row>
    <row r="506" spans="5:5" ht="14.25" customHeight="1" x14ac:dyDescent="0.3">
      <c r="E506" s="1080"/>
    </row>
    <row r="507" spans="5:5" ht="14.25" customHeight="1" x14ac:dyDescent="0.3">
      <c r="E507" s="1080"/>
    </row>
    <row r="508" spans="5:5" ht="14.25" customHeight="1" x14ac:dyDescent="0.3">
      <c r="E508" s="1080"/>
    </row>
    <row r="509" spans="5:5" ht="14.25" customHeight="1" x14ac:dyDescent="0.3">
      <c r="E509" s="1080"/>
    </row>
    <row r="510" spans="5:5" ht="14.25" customHeight="1" x14ac:dyDescent="0.3">
      <c r="E510" s="1080"/>
    </row>
    <row r="511" spans="5:5" ht="14.25" customHeight="1" x14ac:dyDescent="0.3">
      <c r="E511" s="1080"/>
    </row>
    <row r="512" spans="5:5" ht="14.25" customHeight="1" x14ac:dyDescent="0.3">
      <c r="E512" s="1080"/>
    </row>
    <row r="513" spans="5:5" ht="14.25" customHeight="1" x14ac:dyDescent="0.3">
      <c r="E513" s="1080"/>
    </row>
    <row r="514" spans="5:5" ht="14.25" customHeight="1" x14ac:dyDescent="0.3">
      <c r="E514" s="1080"/>
    </row>
    <row r="515" spans="5:5" ht="14.25" customHeight="1" x14ac:dyDescent="0.3">
      <c r="E515" s="1080"/>
    </row>
    <row r="516" spans="5:5" ht="14.25" customHeight="1" x14ac:dyDescent="0.3">
      <c r="E516" s="1080"/>
    </row>
    <row r="517" spans="5:5" ht="14.25" customHeight="1" x14ac:dyDescent="0.3">
      <c r="E517" s="1080"/>
    </row>
    <row r="518" spans="5:5" ht="14.25" customHeight="1" x14ac:dyDescent="0.3">
      <c r="E518" s="1080"/>
    </row>
    <row r="519" spans="5:5" ht="14.25" customHeight="1" x14ac:dyDescent="0.3">
      <c r="E519" s="1080"/>
    </row>
    <row r="520" spans="5:5" ht="14.25" customHeight="1" x14ac:dyDescent="0.3">
      <c r="E520" s="1080"/>
    </row>
    <row r="521" spans="5:5" ht="14.25" customHeight="1" x14ac:dyDescent="0.3">
      <c r="E521" s="1080"/>
    </row>
    <row r="522" spans="5:5" ht="14.25" customHeight="1" x14ac:dyDescent="0.3">
      <c r="E522" s="1080"/>
    </row>
    <row r="523" spans="5:5" ht="14.25" customHeight="1" x14ac:dyDescent="0.3">
      <c r="E523" s="1080"/>
    </row>
    <row r="524" spans="5:5" ht="14.25" customHeight="1" x14ac:dyDescent="0.3">
      <c r="E524" s="1080"/>
    </row>
    <row r="525" spans="5:5" ht="14.25" customHeight="1" x14ac:dyDescent="0.3">
      <c r="E525" s="1080"/>
    </row>
    <row r="526" spans="5:5" ht="14.25" customHeight="1" x14ac:dyDescent="0.3">
      <c r="E526" s="1080"/>
    </row>
    <row r="527" spans="5:5" ht="14.25" customHeight="1" x14ac:dyDescent="0.3">
      <c r="E527" s="1080"/>
    </row>
    <row r="528" spans="5:5" ht="14.25" customHeight="1" x14ac:dyDescent="0.3">
      <c r="E528" s="1080"/>
    </row>
    <row r="529" spans="5:5" ht="14.25" customHeight="1" x14ac:dyDescent="0.3">
      <c r="E529" s="1080"/>
    </row>
    <row r="530" spans="5:5" ht="14.25" customHeight="1" x14ac:dyDescent="0.3">
      <c r="E530" s="1080"/>
    </row>
    <row r="531" spans="5:5" ht="14.25" customHeight="1" x14ac:dyDescent="0.3">
      <c r="E531" s="1080"/>
    </row>
    <row r="532" spans="5:5" ht="14.25" customHeight="1" x14ac:dyDescent="0.3">
      <c r="E532" s="1080"/>
    </row>
    <row r="533" spans="5:5" ht="14.25" customHeight="1" x14ac:dyDescent="0.3">
      <c r="E533" s="1080"/>
    </row>
    <row r="534" spans="5:5" ht="14.25" customHeight="1" x14ac:dyDescent="0.3">
      <c r="E534" s="1080"/>
    </row>
    <row r="535" spans="5:5" ht="14.25" customHeight="1" x14ac:dyDescent="0.3">
      <c r="E535" s="1080"/>
    </row>
    <row r="536" spans="5:5" ht="14.25" customHeight="1" x14ac:dyDescent="0.3">
      <c r="E536" s="1080"/>
    </row>
    <row r="537" spans="5:5" ht="14.25" customHeight="1" x14ac:dyDescent="0.3">
      <c r="E537" s="1080"/>
    </row>
    <row r="538" spans="5:5" ht="14.25" customHeight="1" x14ac:dyDescent="0.3">
      <c r="E538" s="1080"/>
    </row>
    <row r="539" spans="5:5" ht="14.25" customHeight="1" x14ac:dyDescent="0.3">
      <c r="E539" s="1080"/>
    </row>
    <row r="540" spans="5:5" ht="14.25" customHeight="1" x14ac:dyDescent="0.3">
      <c r="E540" s="1080"/>
    </row>
    <row r="541" spans="5:5" ht="14.25" customHeight="1" x14ac:dyDescent="0.3">
      <c r="E541" s="1080"/>
    </row>
    <row r="542" spans="5:5" ht="14.25" customHeight="1" x14ac:dyDescent="0.3">
      <c r="E542" s="1080"/>
    </row>
    <row r="543" spans="5:5" ht="14.25" customHeight="1" x14ac:dyDescent="0.3">
      <c r="E543" s="1080"/>
    </row>
    <row r="544" spans="5:5" ht="14.25" customHeight="1" x14ac:dyDescent="0.3">
      <c r="E544" s="1080"/>
    </row>
    <row r="545" spans="5:5" ht="14.25" customHeight="1" x14ac:dyDescent="0.3">
      <c r="E545" s="1080"/>
    </row>
    <row r="546" spans="5:5" ht="14.25" customHeight="1" x14ac:dyDescent="0.3">
      <c r="E546" s="1080"/>
    </row>
    <row r="547" spans="5:5" ht="14.25" customHeight="1" x14ac:dyDescent="0.3">
      <c r="E547" s="1080"/>
    </row>
    <row r="548" spans="5:5" ht="14.25" customHeight="1" x14ac:dyDescent="0.3">
      <c r="E548" s="1080"/>
    </row>
    <row r="549" spans="5:5" ht="14.25" customHeight="1" x14ac:dyDescent="0.3">
      <c r="E549" s="1080"/>
    </row>
    <row r="550" spans="5:5" ht="14.25" customHeight="1" x14ac:dyDescent="0.3">
      <c r="E550" s="1080"/>
    </row>
    <row r="551" spans="5:5" ht="14.25" customHeight="1" x14ac:dyDescent="0.3">
      <c r="E551" s="1080"/>
    </row>
    <row r="552" spans="5:5" ht="14.25" customHeight="1" x14ac:dyDescent="0.3">
      <c r="E552" s="1080"/>
    </row>
    <row r="553" spans="5:5" ht="14.25" customHeight="1" x14ac:dyDescent="0.3">
      <c r="E553" s="1080"/>
    </row>
    <row r="554" spans="5:5" ht="14.25" customHeight="1" x14ac:dyDescent="0.3">
      <c r="E554" s="1080"/>
    </row>
    <row r="555" spans="5:5" ht="14.25" customHeight="1" x14ac:dyDescent="0.3">
      <c r="E555" s="1080"/>
    </row>
    <row r="556" spans="5:5" ht="14.25" customHeight="1" x14ac:dyDescent="0.3">
      <c r="E556" s="1080"/>
    </row>
    <row r="557" spans="5:5" ht="14.25" customHeight="1" x14ac:dyDescent="0.3">
      <c r="E557" s="1080"/>
    </row>
    <row r="558" spans="5:5" ht="14.25" customHeight="1" x14ac:dyDescent="0.3">
      <c r="E558" s="1080"/>
    </row>
    <row r="559" spans="5:5" ht="14.25" customHeight="1" x14ac:dyDescent="0.3">
      <c r="E559" s="1080"/>
    </row>
    <row r="560" spans="5:5" ht="14.25" customHeight="1" x14ac:dyDescent="0.3">
      <c r="E560" s="1080"/>
    </row>
    <row r="561" spans="5:5" ht="14.25" customHeight="1" x14ac:dyDescent="0.3">
      <c r="E561" s="1080"/>
    </row>
    <row r="562" spans="5:5" ht="14.25" customHeight="1" x14ac:dyDescent="0.3">
      <c r="E562" s="1080"/>
    </row>
    <row r="563" spans="5:5" ht="14.25" customHeight="1" x14ac:dyDescent="0.3">
      <c r="E563" s="1080"/>
    </row>
    <row r="564" spans="5:5" ht="14.25" customHeight="1" x14ac:dyDescent="0.3">
      <c r="E564" s="1080"/>
    </row>
    <row r="565" spans="5:5" ht="14.25" customHeight="1" x14ac:dyDescent="0.3">
      <c r="E565" s="1080"/>
    </row>
    <row r="566" spans="5:5" ht="14.25" customHeight="1" x14ac:dyDescent="0.3">
      <c r="E566" s="1080"/>
    </row>
    <row r="567" spans="5:5" ht="14.25" customHeight="1" x14ac:dyDescent="0.3">
      <c r="E567" s="1080"/>
    </row>
    <row r="568" spans="5:5" ht="14.25" customHeight="1" x14ac:dyDescent="0.3">
      <c r="E568" s="1080"/>
    </row>
    <row r="569" spans="5:5" ht="14.25" customHeight="1" x14ac:dyDescent="0.3">
      <c r="E569" s="1080"/>
    </row>
    <row r="570" spans="5:5" ht="14.25" customHeight="1" x14ac:dyDescent="0.3">
      <c r="E570" s="1080"/>
    </row>
    <row r="571" spans="5:5" ht="14.25" customHeight="1" x14ac:dyDescent="0.3">
      <c r="E571" s="1080"/>
    </row>
    <row r="572" spans="5:5" ht="14.25" customHeight="1" x14ac:dyDescent="0.3">
      <c r="E572" s="1080"/>
    </row>
    <row r="573" spans="5:5" ht="14.25" customHeight="1" x14ac:dyDescent="0.3">
      <c r="E573" s="1080"/>
    </row>
    <row r="574" spans="5:5" ht="14.25" customHeight="1" x14ac:dyDescent="0.3">
      <c r="E574" s="1080"/>
    </row>
    <row r="575" spans="5:5" ht="14.25" customHeight="1" x14ac:dyDescent="0.3">
      <c r="E575" s="1080"/>
    </row>
    <row r="576" spans="5:5" ht="14.25" customHeight="1" x14ac:dyDescent="0.3">
      <c r="E576" s="1080"/>
    </row>
    <row r="577" spans="5:5" ht="14.25" customHeight="1" x14ac:dyDescent="0.3">
      <c r="E577" s="1080"/>
    </row>
    <row r="578" spans="5:5" ht="14.25" customHeight="1" x14ac:dyDescent="0.3">
      <c r="E578" s="1080"/>
    </row>
    <row r="579" spans="5:5" ht="14.25" customHeight="1" x14ac:dyDescent="0.3">
      <c r="E579" s="1080"/>
    </row>
    <row r="580" spans="5:5" ht="14.25" customHeight="1" x14ac:dyDescent="0.3">
      <c r="E580" s="1080"/>
    </row>
    <row r="581" spans="5:5" ht="14.25" customHeight="1" x14ac:dyDescent="0.3">
      <c r="E581" s="1080"/>
    </row>
    <row r="582" spans="5:5" ht="14.25" customHeight="1" x14ac:dyDescent="0.3">
      <c r="E582" s="1080"/>
    </row>
    <row r="583" spans="5:5" ht="14.25" customHeight="1" x14ac:dyDescent="0.3">
      <c r="E583" s="1080"/>
    </row>
    <row r="584" spans="5:5" ht="14.25" customHeight="1" x14ac:dyDescent="0.3">
      <c r="E584" s="1080"/>
    </row>
    <row r="585" spans="5:5" ht="14.25" customHeight="1" x14ac:dyDescent="0.3">
      <c r="E585" s="1080"/>
    </row>
    <row r="586" spans="5:5" ht="14.25" customHeight="1" x14ac:dyDescent="0.3">
      <c r="E586" s="1080"/>
    </row>
    <row r="587" spans="5:5" ht="14.25" customHeight="1" x14ac:dyDescent="0.3">
      <c r="E587" s="1080"/>
    </row>
    <row r="588" spans="5:5" ht="14.25" customHeight="1" x14ac:dyDescent="0.3">
      <c r="E588" s="1080"/>
    </row>
    <row r="589" spans="5:5" ht="14.25" customHeight="1" x14ac:dyDescent="0.3">
      <c r="E589" s="1080"/>
    </row>
    <row r="590" spans="5:5" ht="14.25" customHeight="1" x14ac:dyDescent="0.3">
      <c r="E590" s="1080"/>
    </row>
    <row r="591" spans="5:5" ht="14.25" customHeight="1" x14ac:dyDescent="0.3">
      <c r="E591" s="1080"/>
    </row>
    <row r="592" spans="5:5" ht="14.25" customHeight="1" x14ac:dyDescent="0.3">
      <c r="E592" s="1080"/>
    </row>
    <row r="593" spans="5:5" ht="14.25" customHeight="1" x14ac:dyDescent="0.3">
      <c r="E593" s="1080"/>
    </row>
    <row r="594" spans="5:5" ht="14.25" customHeight="1" x14ac:dyDescent="0.3">
      <c r="E594" s="1080"/>
    </row>
    <row r="595" spans="5:5" ht="14.25" customHeight="1" x14ac:dyDescent="0.3">
      <c r="E595" s="1080"/>
    </row>
    <row r="596" spans="5:5" ht="14.25" customHeight="1" x14ac:dyDescent="0.3">
      <c r="E596" s="1080"/>
    </row>
    <row r="597" spans="5:5" ht="14.25" customHeight="1" x14ac:dyDescent="0.3">
      <c r="E597" s="1080"/>
    </row>
    <row r="598" spans="5:5" ht="14.25" customHeight="1" x14ac:dyDescent="0.3">
      <c r="E598" s="1080"/>
    </row>
    <row r="599" spans="5:5" ht="14.25" customHeight="1" x14ac:dyDescent="0.3">
      <c r="E599" s="1080"/>
    </row>
    <row r="600" spans="5:5" ht="14.25" customHeight="1" x14ac:dyDescent="0.3">
      <c r="E600" s="1080"/>
    </row>
    <row r="601" spans="5:5" ht="14.25" customHeight="1" x14ac:dyDescent="0.3">
      <c r="E601" s="1080"/>
    </row>
    <row r="602" spans="5:5" ht="14.25" customHeight="1" x14ac:dyDescent="0.3">
      <c r="E602" s="1080"/>
    </row>
    <row r="603" spans="5:5" ht="14.25" customHeight="1" x14ac:dyDescent="0.3">
      <c r="E603" s="1080"/>
    </row>
    <row r="604" spans="5:5" ht="14.25" customHeight="1" x14ac:dyDescent="0.3">
      <c r="E604" s="1080"/>
    </row>
    <row r="605" spans="5:5" ht="14.25" customHeight="1" x14ac:dyDescent="0.3">
      <c r="E605" s="1080"/>
    </row>
    <row r="606" spans="5:5" ht="14.25" customHeight="1" x14ac:dyDescent="0.3">
      <c r="E606" s="1080"/>
    </row>
    <row r="607" spans="5:5" ht="14.25" customHeight="1" x14ac:dyDescent="0.3">
      <c r="E607" s="1080"/>
    </row>
    <row r="608" spans="5:5" ht="14.25" customHeight="1" x14ac:dyDescent="0.3">
      <c r="E608" s="1080"/>
    </row>
    <row r="609" spans="5:5" ht="14.25" customHeight="1" x14ac:dyDescent="0.3">
      <c r="E609" s="1080"/>
    </row>
    <row r="610" spans="5:5" ht="14.25" customHeight="1" x14ac:dyDescent="0.3">
      <c r="E610" s="1080"/>
    </row>
    <row r="611" spans="5:5" ht="14.25" customHeight="1" x14ac:dyDescent="0.3">
      <c r="E611" s="1080"/>
    </row>
    <row r="612" spans="5:5" ht="14.25" customHeight="1" x14ac:dyDescent="0.3">
      <c r="E612" s="1080"/>
    </row>
    <row r="613" spans="5:5" ht="14.25" customHeight="1" x14ac:dyDescent="0.3">
      <c r="E613" s="1080"/>
    </row>
    <row r="614" spans="5:5" ht="14.25" customHeight="1" x14ac:dyDescent="0.3">
      <c r="E614" s="1080"/>
    </row>
    <row r="615" spans="5:5" ht="14.25" customHeight="1" x14ac:dyDescent="0.3">
      <c r="E615" s="1080"/>
    </row>
    <row r="616" spans="5:5" ht="14.25" customHeight="1" x14ac:dyDescent="0.3">
      <c r="E616" s="1080"/>
    </row>
    <row r="617" spans="5:5" ht="14.25" customHeight="1" x14ac:dyDescent="0.3">
      <c r="E617" s="1080"/>
    </row>
    <row r="618" spans="5:5" ht="14.25" customHeight="1" x14ac:dyDescent="0.3">
      <c r="E618" s="1080"/>
    </row>
    <row r="619" spans="5:5" ht="14.25" customHeight="1" x14ac:dyDescent="0.3">
      <c r="E619" s="1080"/>
    </row>
    <row r="620" spans="5:5" ht="14.25" customHeight="1" x14ac:dyDescent="0.3">
      <c r="E620" s="1080"/>
    </row>
    <row r="621" spans="5:5" ht="14.25" customHeight="1" x14ac:dyDescent="0.3">
      <c r="E621" s="1080"/>
    </row>
    <row r="622" spans="5:5" ht="14.25" customHeight="1" x14ac:dyDescent="0.3">
      <c r="E622" s="1080"/>
    </row>
    <row r="623" spans="5:5" ht="14.25" customHeight="1" x14ac:dyDescent="0.3">
      <c r="E623" s="1080"/>
    </row>
    <row r="624" spans="5:5" ht="14.25" customHeight="1" x14ac:dyDescent="0.3">
      <c r="E624" s="1080"/>
    </row>
    <row r="625" spans="5:5" ht="14.25" customHeight="1" x14ac:dyDescent="0.3">
      <c r="E625" s="1080"/>
    </row>
    <row r="626" spans="5:5" ht="14.25" customHeight="1" x14ac:dyDescent="0.3">
      <c r="E626" s="1080"/>
    </row>
    <row r="627" spans="5:5" ht="14.25" customHeight="1" x14ac:dyDescent="0.3">
      <c r="E627" s="1080"/>
    </row>
    <row r="628" spans="5:5" ht="14.25" customHeight="1" x14ac:dyDescent="0.3">
      <c r="E628" s="1080"/>
    </row>
    <row r="629" spans="5:5" ht="14.25" customHeight="1" x14ac:dyDescent="0.3">
      <c r="E629" s="1080"/>
    </row>
    <row r="630" spans="5:5" ht="14.25" customHeight="1" x14ac:dyDescent="0.3">
      <c r="E630" s="1080"/>
    </row>
    <row r="631" spans="5:5" ht="14.25" customHeight="1" x14ac:dyDescent="0.3">
      <c r="E631" s="1080"/>
    </row>
    <row r="632" spans="5:5" ht="14.25" customHeight="1" x14ac:dyDescent="0.3">
      <c r="E632" s="1080"/>
    </row>
    <row r="633" spans="5:5" ht="14.25" customHeight="1" x14ac:dyDescent="0.3">
      <c r="E633" s="1080"/>
    </row>
    <row r="634" spans="5:5" ht="14.25" customHeight="1" x14ac:dyDescent="0.3">
      <c r="E634" s="1080"/>
    </row>
    <row r="635" spans="5:5" ht="14.25" customHeight="1" x14ac:dyDescent="0.3">
      <c r="E635" s="1080"/>
    </row>
    <row r="636" spans="5:5" ht="14.25" customHeight="1" x14ac:dyDescent="0.3">
      <c r="E636" s="1080"/>
    </row>
    <row r="637" spans="5:5" ht="14.25" customHeight="1" x14ac:dyDescent="0.3">
      <c r="E637" s="1080"/>
    </row>
    <row r="638" spans="5:5" ht="14.25" customHeight="1" x14ac:dyDescent="0.3">
      <c r="E638" s="1080"/>
    </row>
    <row r="639" spans="5:5" ht="14.25" customHeight="1" x14ac:dyDescent="0.3">
      <c r="E639" s="1080"/>
    </row>
    <row r="640" spans="5:5" ht="14.25" customHeight="1" x14ac:dyDescent="0.3">
      <c r="E640" s="1080"/>
    </row>
    <row r="641" spans="5:5" ht="14.25" customHeight="1" x14ac:dyDescent="0.3">
      <c r="E641" s="1080"/>
    </row>
    <row r="642" spans="5:5" ht="14.25" customHeight="1" x14ac:dyDescent="0.3">
      <c r="E642" s="1080"/>
    </row>
    <row r="643" spans="5:5" ht="14.25" customHeight="1" x14ac:dyDescent="0.3">
      <c r="E643" s="1080"/>
    </row>
    <row r="644" spans="5:5" ht="14.25" customHeight="1" x14ac:dyDescent="0.3">
      <c r="E644" s="1080"/>
    </row>
    <row r="645" spans="5:5" ht="14.25" customHeight="1" x14ac:dyDescent="0.3">
      <c r="E645" s="1080"/>
    </row>
    <row r="646" spans="5:5" ht="14.25" customHeight="1" x14ac:dyDescent="0.3">
      <c r="E646" s="1080"/>
    </row>
    <row r="647" spans="5:5" ht="14.25" customHeight="1" x14ac:dyDescent="0.3">
      <c r="E647" s="1080"/>
    </row>
    <row r="648" spans="5:5" ht="14.25" customHeight="1" x14ac:dyDescent="0.3">
      <c r="E648" s="1080"/>
    </row>
    <row r="649" spans="5:5" ht="14.25" customHeight="1" x14ac:dyDescent="0.3">
      <c r="E649" s="1080"/>
    </row>
    <row r="650" spans="5:5" ht="14.25" customHeight="1" x14ac:dyDescent="0.3">
      <c r="E650" s="1080"/>
    </row>
    <row r="651" spans="5:5" ht="14.25" customHeight="1" x14ac:dyDescent="0.3">
      <c r="E651" s="1080"/>
    </row>
    <row r="652" spans="5:5" ht="14.25" customHeight="1" x14ac:dyDescent="0.3">
      <c r="E652" s="1080"/>
    </row>
    <row r="653" spans="5:5" ht="14.25" customHeight="1" x14ac:dyDescent="0.3">
      <c r="E653" s="1080"/>
    </row>
    <row r="654" spans="5:5" ht="14.25" customHeight="1" x14ac:dyDescent="0.3">
      <c r="E654" s="1080"/>
    </row>
    <row r="655" spans="5:5" ht="14.25" customHeight="1" x14ac:dyDescent="0.3">
      <c r="E655" s="1080"/>
    </row>
    <row r="656" spans="5:5" ht="14.25" customHeight="1" x14ac:dyDescent="0.3">
      <c r="E656" s="1080"/>
    </row>
    <row r="657" spans="5:5" ht="14.25" customHeight="1" x14ac:dyDescent="0.3">
      <c r="E657" s="1080"/>
    </row>
    <row r="658" spans="5:5" ht="14.25" customHeight="1" x14ac:dyDescent="0.3">
      <c r="E658" s="1080"/>
    </row>
    <row r="659" spans="5:5" ht="14.25" customHeight="1" x14ac:dyDescent="0.3">
      <c r="E659" s="1080"/>
    </row>
    <row r="660" spans="5:5" ht="14.25" customHeight="1" x14ac:dyDescent="0.3">
      <c r="E660" s="1080"/>
    </row>
    <row r="661" spans="5:5" ht="14.25" customHeight="1" x14ac:dyDescent="0.3">
      <c r="E661" s="1080"/>
    </row>
    <row r="662" spans="5:5" ht="14.25" customHeight="1" x14ac:dyDescent="0.3">
      <c r="E662" s="1080"/>
    </row>
    <row r="663" spans="5:5" ht="14.25" customHeight="1" x14ac:dyDescent="0.3">
      <c r="E663" s="1080"/>
    </row>
    <row r="664" spans="5:5" ht="14.25" customHeight="1" x14ac:dyDescent="0.3">
      <c r="E664" s="1080"/>
    </row>
    <row r="665" spans="5:5" ht="14.25" customHeight="1" x14ac:dyDescent="0.3">
      <c r="E665" s="1080"/>
    </row>
    <row r="666" spans="5:5" ht="14.25" customHeight="1" x14ac:dyDescent="0.3">
      <c r="E666" s="1080"/>
    </row>
    <row r="667" spans="5:5" ht="14.25" customHeight="1" x14ac:dyDescent="0.3">
      <c r="E667" s="1080"/>
    </row>
    <row r="668" spans="5:5" ht="14.25" customHeight="1" x14ac:dyDescent="0.3">
      <c r="E668" s="1080"/>
    </row>
    <row r="669" spans="5:5" ht="14.25" customHeight="1" x14ac:dyDescent="0.3">
      <c r="E669" s="1080"/>
    </row>
    <row r="670" spans="5:5" ht="14.25" customHeight="1" x14ac:dyDescent="0.3">
      <c r="E670" s="1080"/>
    </row>
    <row r="671" spans="5:5" ht="14.25" customHeight="1" x14ac:dyDescent="0.3">
      <c r="E671" s="1080"/>
    </row>
    <row r="672" spans="5:5" ht="14.25" customHeight="1" x14ac:dyDescent="0.3">
      <c r="E672" s="1080"/>
    </row>
    <row r="673" spans="5:5" ht="14.25" customHeight="1" x14ac:dyDescent="0.3">
      <c r="E673" s="1080"/>
    </row>
    <row r="674" spans="5:5" ht="14.25" customHeight="1" x14ac:dyDescent="0.3">
      <c r="E674" s="1080"/>
    </row>
    <row r="675" spans="5:5" ht="14.25" customHeight="1" x14ac:dyDescent="0.3">
      <c r="E675" s="1080"/>
    </row>
    <row r="676" spans="5:5" ht="14.25" customHeight="1" x14ac:dyDescent="0.3">
      <c r="E676" s="1080"/>
    </row>
    <row r="677" spans="5:5" ht="14.25" customHeight="1" x14ac:dyDescent="0.3">
      <c r="E677" s="1080"/>
    </row>
    <row r="678" spans="5:5" ht="14.25" customHeight="1" x14ac:dyDescent="0.3">
      <c r="E678" s="1080"/>
    </row>
    <row r="679" spans="5:5" ht="14.25" customHeight="1" x14ac:dyDescent="0.3">
      <c r="E679" s="1080"/>
    </row>
    <row r="680" spans="5:5" ht="14.25" customHeight="1" x14ac:dyDescent="0.3">
      <c r="E680" s="1080"/>
    </row>
    <row r="681" spans="5:5" ht="14.25" customHeight="1" x14ac:dyDescent="0.3">
      <c r="E681" s="1080"/>
    </row>
    <row r="682" spans="5:5" ht="14.25" customHeight="1" x14ac:dyDescent="0.3">
      <c r="E682" s="1080"/>
    </row>
    <row r="683" spans="5:5" ht="14.25" customHeight="1" x14ac:dyDescent="0.3">
      <c r="E683" s="1080"/>
    </row>
    <row r="684" spans="5:5" ht="14.25" customHeight="1" x14ac:dyDescent="0.3">
      <c r="E684" s="1080"/>
    </row>
    <row r="685" spans="5:5" ht="14.25" customHeight="1" x14ac:dyDescent="0.3">
      <c r="E685" s="1080"/>
    </row>
    <row r="686" spans="5:5" ht="14.25" customHeight="1" x14ac:dyDescent="0.3">
      <c r="E686" s="1080"/>
    </row>
    <row r="687" spans="5:5" ht="14.25" customHeight="1" x14ac:dyDescent="0.3">
      <c r="E687" s="1080"/>
    </row>
    <row r="688" spans="5:5" ht="14.25" customHeight="1" x14ac:dyDescent="0.3">
      <c r="E688" s="1080"/>
    </row>
    <row r="689" spans="5:5" ht="14.25" customHeight="1" x14ac:dyDescent="0.3">
      <c r="E689" s="1080"/>
    </row>
    <row r="690" spans="5:5" ht="14.25" customHeight="1" x14ac:dyDescent="0.3">
      <c r="E690" s="1080"/>
    </row>
    <row r="691" spans="5:5" ht="14.25" customHeight="1" x14ac:dyDescent="0.3">
      <c r="E691" s="1080"/>
    </row>
    <row r="692" spans="5:5" ht="14.25" customHeight="1" x14ac:dyDescent="0.3">
      <c r="E692" s="1080"/>
    </row>
    <row r="693" spans="5:5" ht="14.25" customHeight="1" x14ac:dyDescent="0.3">
      <c r="E693" s="1080"/>
    </row>
    <row r="694" spans="5:5" ht="14.25" customHeight="1" x14ac:dyDescent="0.3">
      <c r="E694" s="1080"/>
    </row>
    <row r="695" spans="5:5" ht="14.25" customHeight="1" x14ac:dyDescent="0.3">
      <c r="E695" s="1080"/>
    </row>
    <row r="696" spans="5:5" ht="14.25" customHeight="1" x14ac:dyDescent="0.3">
      <c r="E696" s="1080"/>
    </row>
    <row r="697" spans="5:5" ht="14.25" customHeight="1" x14ac:dyDescent="0.3">
      <c r="E697" s="1080"/>
    </row>
    <row r="698" spans="5:5" ht="14.25" customHeight="1" x14ac:dyDescent="0.3">
      <c r="E698" s="1080"/>
    </row>
    <row r="699" spans="5:5" ht="14.25" customHeight="1" x14ac:dyDescent="0.3">
      <c r="E699" s="1080"/>
    </row>
    <row r="700" spans="5:5" ht="14.25" customHeight="1" x14ac:dyDescent="0.3">
      <c r="E700" s="1080"/>
    </row>
    <row r="701" spans="5:5" ht="14.25" customHeight="1" x14ac:dyDescent="0.3">
      <c r="E701" s="1080"/>
    </row>
    <row r="702" spans="5:5" ht="14.25" customHeight="1" x14ac:dyDescent="0.3">
      <c r="E702" s="1080"/>
    </row>
    <row r="703" spans="5:5" ht="14.25" customHeight="1" x14ac:dyDescent="0.3">
      <c r="E703" s="1080"/>
    </row>
    <row r="704" spans="5:5" ht="14.25" customHeight="1" x14ac:dyDescent="0.3">
      <c r="E704" s="1080"/>
    </row>
    <row r="705" spans="5:5" ht="14.25" customHeight="1" x14ac:dyDescent="0.3">
      <c r="E705" s="1080"/>
    </row>
    <row r="706" spans="5:5" ht="14.25" customHeight="1" x14ac:dyDescent="0.3">
      <c r="E706" s="1080"/>
    </row>
    <row r="707" spans="5:5" ht="14.25" customHeight="1" x14ac:dyDescent="0.3">
      <c r="E707" s="1080"/>
    </row>
    <row r="708" spans="5:5" ht="14.25" customHeight="1" x14ac:dyDescent="0.3">
      <c r="E708" s="1080"/>
    </row>
    <row r="709" spans="5:5" ht="14.25" customHeight="1" x14ac:dyDescent="0.3">
      <c r="E709" s="1080"/>
    </row>
    <row r="710" spans="5:5" ht="14.25" customHeight="1" x14ac:dyDescent="0.3">
      <c r="E710" s="1080"/>
    </row>
    <row r="711" spans="5:5" ht="14.25" customHeight="1" x14ac:dyDescent="0.3">
      <c r="E711" s="1080"/>
    </row>
    <row r="712" spans="5:5" ht="14.25" customHeight="1" x14ac:dyDescent="0.3">
      <c r="E712" s="1080"/>
    </row>
    <row r="713" spans="5:5" ht="14.25" customHeight="1" x14ac:dyDescent="0.3">
      <c r="E713" s="1080"/>
    </row>
    <row r="714" spans="5:5" ht="14.25" customHeight="1" x14ac:dyDescent="0.3">
      <c r="E714" s="1080"/>
    </row>
    <row r="715" spans="5:5" ht="14.25" customHeight="1" x14ac:dyDescent="0.3">
      <c r="E715" s="1080"/>
    </row>
    <row r="716" spans="5:5" ht="14.25" customHeight="1" x14ac:dyDescent="0.3">
      <c r="E716" s="1080"/>
    </row>
    <row r="717" spans="5:5" ht="14.25" customHeight="1" x14ac:dyDescent="0.3">
      <c r="E717" s="1080"/>
    </row>
    <row r="718" spans="5:5" ht="14.25" customHeight="1" x14ac:dyDescent="0.3">
      <c r="E718" s="1080"/>
    </row>
    <row r="719" spans="5:5" ht="14.25" customHeight="1" x14ac:dyDescent="0.3">
      <c r="E719" s="1080"/>
    </row>
    <row r="720" spans="5:5" ht="14.25" customHeight="1" x14ac:dyDescent="0.3">
      <c r="E720" s="1080"/>
    </row>
    <row r="721" spans="5:5" ht="14.25" customHeight="1" x14ac:dyDescent="0.3">
      <c r="E721" s="1080"/>
    </row>
    <row r="722" spans="5:5" ht="14.25" customHeight="1" x14ac:dyDescent="0.3">
      <c r="E722" s="1080"/>
    </row>
    <row r="723" spans="5:5" ht="14.25" customHeight="1" x14ac:dyDescent="0.3">
      <c r="E723" s="1080"/>
    </row>
    <row r="724" spans="5:5" ht="14.25" customHeight="1" x14ac:dyDescent="0.3">
      <c r="E724" s="1080"/>
    </row>
    <row r="725" spans="5:5" ht="14.25" customHeight="1" x14ac:dyDescent="0.3">
      <c r="E725" s="1080"/>
    </row>
    <row r="726" spans="5:5" ht="14.25" customHeight="1" x14ac:dyDescent="0.3">
      <c r="E726" s="1080"/>
    </row>
    <row r="727" spans="5:5" ht="14.25" customHeight="1" x14ac:dyDescent="0.3">
      <c r="E727" s="1080"/>
    </row>
    <row r="728" spans="5:5" ht="14.25" customHeight="1" x14ac:dyDescent="0.3">
      <c r="E728" s="1080"/>
    </row>
    <row r="729" spans="5:5" ht="14.25" customHeight="1" x14ac:dyDescent="0.3">
      <c r="E729" s="1080"/>
    </row>
    <row r="730" spans="5:5" ht="14.25" customHeight="1" x14ac:dyDescent="0.3">
      <c r="E730" s="1080"/>
    </row>
    <row r="731" spans="5:5" ht="14.25" customHeight="1" x14ac:dyDescent="0.3">
      <c r="E731" s="1080"/>
    </row>
    <row r="732" spans="5:5" ht="14.25" customHeight="1" x14ac:dyDescent="0.3">
      <c r="E732" s="1080"/>
    </row>
    <row r="733" spans="5:5" ht="14.25" customHeight="1" x14ac:dyDescent="0.3">
      <c r="E733" s="1080"/>
    </row>
    <row r="734" spans="5:5" ht="14.25" customHeight="1" x14ac:dyDescent="0.3">
      <c r="E734" s="1080"/>
    </row>
    <row r="735" spans="5:5" ht="14.25" customHeight="1" x14ac:dyDescent="0.3">
      <c r="E735" s="1080"/>
    </row>
    <row r="736" spans="5:5" ht="14.25" customHeight="1" x14ac:dyDescent="0.3">
      <c r="E736" s="1080"/>
    </row>
    <row r="737" spans="5:5" ht="14.25" customHeight="1" x14ac:dyDescent="0.3">
      <c r="E737" s="1080"/>
    </row>
    <row r="738" spans="5:5" ht="14.25" customHeight="1" x14ac:dyDescent="0.3">
      <c r="E738" s="1080"/>
    </row>
    <row r="739" spans="5:5" ht="14.25" customHeight="1" x14ac:dyDescent="0.3">
      <c r="E739" s="1080"/>
    </row>
    <row r="740" spans="5:5" ht="14.25" customHeight="1" x14ac:dyDescent="0.3">
      <c r="E740" s="1080"/>
    </row>
    <row r="741" spans="5:5" ht="14.25" customHeight="1" x14ac:dyDescent="0.3">
      <c r="E741" s="1080"/>
    </row>
    <row r="742" spans="5:5" ht="14.25" customHeight="1" x14ac:dyDescent="0.3">
      <c r="E742" s="1080"/>
    </row>
    <row r="743" spans="5:5" ht="14.25" customHeight="1" x14ac:dyDescent="0.3">
      <c r="E743" s="1080"/>
    </row>
    <row r="744" spans="5:5" ht="14.25" customHeight="1" x14ac:dyDescent="0.3">
      <c r="E744" s="1080"/>
    </row>
    <row r="745" spans="5:5" ht="14.25" customHeight="1" x14ac:dyDescent="0.3">
      <c r="E745" s="1080"/>
    </row>
    <row r="746" spans="5:5" ht="14.25" customHeight="1" x14ac:dyDescent="0.3">
      <c r="E746" s="1080"/>
    </row>
    <row r="747" spans="5:5" ht="14.25" customHeight="1" x14ac:dyDescent="0.3">
      <c r="E747" s="1080"/>
    </row>
    <row r="748" spans="5:5" ht="14.25" customHeight="1" x14ac:dyDescent="0.3">
      <c r="E748" s="1080"/>
    </row>
    <row r="749" spans="5:5" ht="14.25" customHeight="1" x14ac:dyDescent="0.3">
      <c r="E749" s="1080"/>
    </row>
    <row r="750" spans="5:5" ht="14.25" customHeight="1" x14ac:dyDescent="0.3">
      <c r="E750" s="1080"/>
    </row>
    <row r="751" spans="5:5" ht="14.25" customHeight="1" x14ac:dyDescent="0.3">
      <c r="E751" s="1080"/>
    </row>
    <row r="752" spans="5:5" ht="14.25" customHeight="1" x14ac:dyDescent="0.3">
      <c r="E752" s="1080"/>
    </row>
    <row r="753" spans="5:5" ht="14.25" customHeight="1" x14ac:dyDescent="0.3">
      <c r="E753" s="1080"/>
    </row>
    <row r="754" spans="5:5" ht="14.25" customHeight="1" x14ac:dyDescent="0.3">
      <c r="E754" s="1080"/>
    </row>
    <row r="755" spans="5:5" ht="14.25" customHeight="1" x14ac:dyDescent="0.3">
      <c r="E755" s="1080"/>
    </row>
    <row r="756" spans="5:5" ht="14.25" customHeight="1" x14ac:dyDescent="0.3">
      <c r="E756" s="1080"/>
    </row>
    <row r="757" spans="5:5" ht="14.25" customHeight="1" x14ac:dyDescent="0.3">
      <c r="E757" s="1080"/>
    </row>
    <row r="758" spans="5:5" ht="14.25" customHeight="1" x14ac:dyDescent="0.3">
      <c r="E758" s="1080"/>
    </row>
    <row r="759" spans="5:5" ht="14.25" customHeight="1" x14ac:dyDescent="0.3">
      <c r="E759" s="1080"/>
    </row>
    <row r="760" spans="5:5" ht="14.25" customHeight="1" x14ac:dyDescent="0.3">
      <c r="E760" s="1080"/>
    </row>
    <row r="761" spans="5:5" ht="14.25" customHeight="1" x14ac:dyDescent="0.3">
      <c r="E761" s="1080"/>
    </row>
    <row r="762" spans="5:5" ht="14.25" customHeight="1" x14ac:dyDescent="0.3">
      <c r="E762" s="1080"/>
    </row>
    <row r="763" spans="5:5" ht="14.25" customHeight="1" x14ac:dyDescent="0.3">
      <c r="E763" s="1080"/>
    </row>
    <row r="764" spans="5:5" ht="14.25" customHeight="1" x14ac:dyDescent="0.3">
      <c r="E764" s="1080"/>
    </row>
    <row r="765" spans="5:5" ht="14.25" customHeight="1" x14ac:dyDescent="0.3">
      <c r="E765" s="1080"/>
    </row>
    <row r="766" spans="5:5" ht="14.25" customHeight="1" x14ac:dyDescent="0.3">
      <c r="E766" s="1080"/>
    </row>
    <row r="767" spans="5:5" ht="14.25" customHeight="1" x14ac:dyDescent="0.3">
      <c r="E767" s="1080"/>
    </row>
    <row r="768" spans="5:5" ht="14.25" customHeight="1" x14ac:dyDescent="0.3">
      <c r="E768" s="1080"/>
    </row>
    <row r="769" spans="5:5" ht="14.25" customHeight="1" x14ac:dyDescent="0.3">
      <c r="E769" s="1080"/>
    </row>
    <row r="770" spans="5:5" ht="14.25" customHeight="1" x14ac:dyDescent="0.3">
      <c r="E770" s="1080"/>
    </row>
    <row r="771" spans="5:5" ht="14.25" customHeight="1" x14ac:dyDescent="0.3">
      <c r="E771" s="1080"/>
    </row>
    <row r="772" spans="5:5" ht="14.25" customHeight="1" x14ac:dyDescent="0.3">
      <c r="E772" s="1080"/>
    </row>
    <row r="773" spans="5:5" ht="14.25" customHeight="1" x14ac:dyDescent="0.3">
      <c r="E773" s="1080"/>
    </row>
    <row r="774" spans="5:5" ht="14.25" customHeight="1" x14ac:dyDescent="0.3">
      <c r="E774" s="1080"/>
    </row>
    <row r="775" spans="5:5" ht="14.25" customHeight="1" x14ac:dyDescent="0.3">
      <c r="E775" s="1080"/>
    </row>
    <row r="776" spans="5:5" ht="14.25" customHeight="1" x14ac:dyDescent="0.3">
      <c r="E776" s="1080"/>
    </row>
    <row r="777" spans="5:5" ht="14.25" customHeight="1" x14ac:dyDescent="0.3">
      <c r="E777" s="1080"/>
    </row>
    <row r="778" spans="5:5" ht="14.25" customHeight="1" x14ac:dyDescent="0.3">
      <c r="E778" s="1080"/>
    </row>
    <row r="779" spans="5:5" ht="14.25" customHeight="1" x14ac:dyDescent="0.3">
      <c r="E779" s="1080"/>
    </row>
    <row r="780" spans="5:5" ht="14.25" customHeight="1" x14ac:dyDescent="0.3">
      <c r="E780" s="1080"/>
    </row>
    <row r="781" spans="5:5" ht="14.25" customHeight="1" x14ac:dyDescent="0.3">
      <c r="E781" s="1080"/>
    </row>
    <row r="782" spans="5:5" ht="14.25" customHeight="1" x14ac:dyDescent="0.3">
      <c r="E782" s="1080"/>
    </row>
    <row r="783" spans="5:5" ht="14.25" customHeight="1" x14ac:dyDescent="0.3">
      <c r="E783" s="1080"/>
    </row>
    <row r="784" spans="5:5" ht="14.25" customHeight="1" x14ac:dyDescent="0.3">
      <c r="E784" s="1080"/>
    </row>
    <row r="785" spans="5:5" ht="14.25" customHeight="1" x14ac:dyDescent="0.3">
      <c r="E785" s="1080"/>
    </row>
    <row r="786" spans="5:5" ht="14.25" customHeight="1" x14ac:dyDescent="0.3">
      <c r="E786" s="1080"/>
    </row>
    <row r="787" spans="5:5" ht="14.25" customHeight="1" x14ac:dyDescent="0.3">
      <c r="E787" s="1080"/>
    </row>
    <row r="788" spans="5:5" ht="14.25" customHeight="1" x14ac:dyDescent="0.3">
      <c r="E788" s="1080"/>
    </row>
    <row r="789" spans="5:5" ht="14.25" customHeight="1" x14ac:dyDescent="0.3">
      <c r="E789" s="1080"/>
    </row>
    <row r="790" spans="5:5" ht="14.25" customHeight="1" x14ac:dyDescent="0.3">
      <c r="E790" s="1080"/>
    </row>
    <row r="791" spans="5:5" ht="14.25" customHeight="1" x14ac:dyDescent="0.3">
      <c r="E791" s="1080"/>
    </row>
    <row r="792" spans="5:5" ht="14.25" customHeight="1" x14ac:dyDescent="0.3">
      <c r="E792" s="1080"/>
    </row>
    <row r="793" spans="5:5" ht="14.25" customHeight="1" x14ac:dyDescent="0.3">
      <c r="E793" s="1080"/>
    </row>
    <row r="794" spans="5:5" ht="14.25" customHeight="1" x14ac:dyDescent="0.3">
      <c r="E794" s="1080"/>
    </row>
    <row r="795" spans="5:5" ht="14.25" customHeight="1" x14ac:dyDescent="0.3">
      <c r="E795" s="1080"/>
    </row>
    <row r="796" spans="5:5" ht="14.25" customHeight="1" x14ac:dyDescent="0.3">
      <c r="E796" s="1080"/>
    </row>
    <row r="797" spans="5:5" ht="14.25" customHeight="1" x14ac:dyDescent="0.3">
      <c r="E797" s="1080"/>
    </row>
    <row r="798" spans="5:5" ht="14.25" customHeight="1" x14ac:dyDescent="0.3">
      <c r="E798" s="1080"/>
    </row>
    <row r="799" spans="5:5" ht="14.25" customHeight="1" x14ac:dyDescent="0.3">
      <c r="E799" s="1080"/>
    </row>
    <row r="800" spans="5:5" ht="14.25" customHeight="1" x14ac:dyDescent="0.3">
      <c r="E800" s="1080"/>
    </row>
    <row r="801" spans="5:5" ht="14.25" customHeight="1" x14ac:dyDescent="0.3">
      <c r="E801" s="1080"/>
    </row>
    <row r="802" spans="5:5" ht="14.25" customHeight="1" x14ac:dyDescent="0.3">
      <c r="E802" s="1080"/>
    </row>
    <row r="803" spans="5:5" ht="14.25" customHeight="1" x14ac:dyDescent="0.3">
      <c r="E803" s="1080"/>
    </row>
    <row r="804" spans="5:5" ht="14.25" customHeight="1" x14ac:dyDescent="0.3">
      <c r="E804" s="1080"/>
    </row>
    <row r="805" spans="5:5" ht="14.25" customHeight="1" x14ac:dyDescent="0.3">
      <c r="E805" s="1080"/>
    </row>
    <row r="806" spans="5:5" ht="14.25" customHeight="1" x14ac:dyDescent="0.3">
      <c r="E806" s="1080"/>
    </row>
    <row r="807" spans="5:5" ht="14.25" customHeight="1" x14ac:dyDescent="0.3">
      <c r="E807" s="1080"/>
    </row>
    <row r="808" spans="5:5" ht="14.25" customHeight="1" x14ac:dyDescent="0.3">
      <c r="E808" s="1080"/>
    </row>
    <row r="809" spans="5:5" ht="14.25" customHeight="1" x14ac:dyDescent="0.3">
      <c r="E809" s="1080"/>
    </row>
    <row r="810" spans="5:5" ht="14.25" customHeight="1" x14ac:dyDescent="0.3">
      <c r="E810" s="1080"/>
    </row>
    <row r="811" spans="5:5" ht="14.25" customHeight="1" x14ac:dyDescent="0.3">
      <c r="E811" s="1080"/>
    </row>
    <row r="812" spans="5:5" ht="14.25" customHeight="1" x14ac:dyDescent="0.3">
      <c r="E812" s="1080"/>
    </row>
    <row r="813" spans="5:5" ht="14.25" customHeight="1" x14ac:dyDescent="0.3">
      <c r="E813" s="1080"/>
    </row>
    <row r="814" spans="5:5" ht="14.25" customHeight="1" x14ac:dyDescent="0.3">
      <c r="E814" s="1080"/>
    </row>
    <row r="815" spans="5:5" ht="14.25" customHeight="1" x14ac:dyDescent="0.3">
      <c r="E815" s="1080"/>
    </row>
    <row r="816" spans="5:5" ht="14.25" customHeight="1" x14ac:dyDescent="0.3">
      <c r="E816" s="1080"/>
    </row>
    <row r="817" spans="5:5" ht="14.25" customHeight="1" x14ac:dyDescent="0.3">
      <c r="E817" s="1080"/>
    </row>
    <row r="818" spans="5:5" ht="14.25" customHeight="1" x14ac:dyDescent="0.3">
      <c r="E818" s="1080"/>
    </row>
    <row r="819" spans="5:5" ht="14.25" customHeight="1" x14ac:dyDescent="0.3">
      <c r="E819" s="1080"/>
    </row>
    <row r="820" spans="5:5" ht="14.25" customHeight="1" x14ac:dyDescent="0.3">
      <c r="E820" s="1080"/>
    </row>
    <row r="821" spans="5:5" ht="14.25" customHeight="1" x14ac:dyDescent="0.3">
      <c r="E821" s="1080"/>
    </row>
    <row r="822" spans="5:5" ht="14.25" customHeight="1" x14ac:dyDescent="0.3">
      <c r="E822" s="1080"/>
    </row>
    <row r="823" spans="5:5" ht="14.25" customHeight="1" x14ac:dyDescent="0.3">
      <c r="E823" s="1080"/>
    </row>
    <row r="824" spans="5:5" ht="14.25" customHeight="1" x14ac:dyDescent="0.3">
      <c r="E824" s="1080"/>
    </row>
    <row r="825" spans="5:5" ht="14.25" customHeight="1" x14ac:dyDescent="0.3">
      <c r="E825" s="1080"/>
    </row>
    <row r="826" spans="5:5" ht="14.25" customHeight="1" x14ac:dyDescent="0.3">
      <c r="E826" s="1080"/>
    </row>
    <row r="827" spans="5:5" ht="14.25" customHeight="1" x14ac:dyDescent="0.3">
      <c r="E827" s="1080"/>
    </row>
    <row r="828" spans="5:5" ht="14.25" customHeight="1" x14ac:dyDescent="0.3">
      <c r="E828" s="1080"/>
    </row>
    <row r="829" spans="5:5" ht="14.25" customHeight="1" x14ac:dyDescent="0.3">
      <c r="E829" s="1080"/>
    </row>
    <row r="830" spans="5:5" ht="14.25" customHeight="1" x14ac:dyDescent="0.3">
      <c r="E830" s="1080"/>
    </row>
    <row r="831" spans="5:5" ht="14.25" customHeight="1" x14ac:dyDescent="0.3">
      <c r="E831" s="1080"/>
    </row>
    <row r="832" spans="5:5" ht="14.25" customHeight="1" x14ac:dyDescent="0.3">
      <c r="E832" s="1080"/>
    </row>
    <row r="833" spans="5:5" ht="14.25" customHeight="1" x14ac:dyDescent="0.3">
      <c r="E833" s="1080"/>
    </row>
    <row r="834" spans="5:5" ht="14.25" customHeight="1" x14ac:dyDescent="0.3">
      <c r="E834" s="1080"/>
    </row>
    <row r="835" spans="5:5" ht="14.25" customHeight="1" x14ac:dyDescent="0.3">
      <c r="E835" s="1080"/>
    </row>
    <row r="836" spans="5:5" ht="14.25" customHeight="1" x14ac:dyDescent="0.3">
      <c r="E836" s="1080"/>
    </row>
    <row r="837" spans="5:5" ht="14.25" customHeight="1" x14ac:dyDescent="0.3">
      <c r="E837" s="1080"/>
    </row>
    <row r="838" spans="5:5" ht="14.25" customHeight="1" x14ac:dyDescent="0.3">
      <c r="E838" s="1080"/>
    </row>
    <row r="839" spans="5:5" ht="14.25" customHeight="1" x14ac:dyDescent="0.3">
      <c r="E839" s="1080"/>
    </row>
    <row r="840" spans="5:5" ht="14.25" customHeight="1" x14ac:dyDescent="0.3">
      <c r="E840" s="1080"/>
    </row>
    <row r="841" spans="5:5" ht="14.25" customHeight="1" x14ac:dyDescent="0.3">
      <c r="E841" s="1080"/>
    </row>
    <row r="842" spans="5:5" ht="14.25" customHeight="1" x14ac:dyDescent="0.3">
      <c r="E842" s="1080"/>
    </row>
    <row r="843" spans="5:5" ht="14.25" customHeight="1" x14ac:dyDescent="0.3">
      <c r="E843" s="1080"/>
    </row>
    <row r="844" spans="5:5" ht="14.25" customHeight="1" x14ac:dyDescent="0.3">
      <c r="E844" s="1080"/>
    </row>
    <row r="845" spans="5:5" ht="14.25" customHeight="1" x14ac:dyDescent="0.3">
      <c r="E845" s="1080"/>
    </row>
    <row r="846" spans="5:5" ht="14.25" customHeight="1" x14ac:dyDescent="0.3">
      <c r="E846" s="1080"/>
    </row>
    <row r="847" spans="5:5" ht="14.25" customHeight="1" x14ac:dyDescent="0.3">
      <c r="E847" s="1080"/>
    </row>
    <row r="848" spans="5:5" ht="14.25" customHeight="1" x14ac:dyDescent="0.3">
      <c r="E848" s="1080"/>
    </row>
    <row r="849" spans="5:5" ht="14.25" customHeight="1" x14ac:dyDescent="0.3">
      <c r="E849" s="1080"/>
    </row>
    <row r="850" spans="5:5" ht="14.25" customHeight="1" x14ac:dyDescent="0.3">
      <c r="E850" s="1080"/>
    </row>
    <row r="851" spans="5:5" ht="14.25" customHeight="1" x14ac:dyDescent="0.3">
      <c r="E851" s="1080"/>
    </row>
    <row r="852" spans="5:5" ht="14.25" customHeight="1" x14ac:dyDescent="0.3">
      <c r="E852" s="1080"/>
    </row>
    <row r="853" spans="5:5" ht="14.25" customHeight="1" x14ac:dyDescent="0.3">
      <c r="E853" s="1080"/>
    </row>
    <row r="854" spans="5:5" ht="14.25" customHeight="1" x14ac:dyDescent="0.3">
      <c r="E854" s="1080"/>
    </row>
    <row r="855" spans="5:5" ht="14.25" customHeight="1" x14ac:dyDescent="0.3">
      <c r="E855" s="1080"/>
    </row>
    <row r="856" spans="5:5" ht="14.25" customHeight="1" x14ac:dyDescent="0.3">
      <c r="E856" s="1080"/>
    </row>
    <row r="857" spans="5:5" ht="14.25" customHeight="1" x14ac:dyDescent="0.3">
      <c r="E857" s="1080"/>
    </row>
    <row r="858" spans="5:5" ht="14.25" customHeight="1" x14ac:dyDescent="0.3">
      <c r="E858" s="1080"/>
    </row>
    <row r="859" spans="5:5" ht="14.25" customHeight="1" x14ac:dyDescent="0.3">
      <c r="E859" s="1080"/>
    </row>
    <row r="860" spans="5:5" ht="14.25" customHeight="1" x14ac:dyDescent="0.3">
      <c r="E860" s="1080"/>
    </row>
    <row r="861" spans="5:5" ht="14.25" customHeight="1" x14ac:dyDescent="0.3">
      <c r="E861" s="1080"/>
    </row>
    <row r="862" spans="5:5" ht="14.25" customHeight="1" x14ac:dyDescent="0.3">
      <c r="E862" s="1080"/>
    </row>
    <row r="863" spans="5:5" ht="14.25" customHeight="1" x14ac:dyDescent="0.3">
      <c r="E863" s="1080"/>
    </row>
    <row r="864" spans="5:5" ht="14.25" customHeight="1" x14ac:dyDescent="0.3">
      <c r="E864" s="1080"/>
    </row>
    <row r="865" spans="5:5" ht="14.25" customHeight="1" x14ac:dyDescent="0.3">
      <c r="E865" s="1080"/>
    </row>
    <row r="866" spans="5:5" ht="14.25" customHeight="1" x14ac:dyDescent="0.3">
      <c r="E866" s="1080"/>
    </row>
    <row r="867" spans="5:5" ht="14.25" customHeight="1" x14ac:dyDescent="0.3">
      <c r="E867" s="1080"/>
    </row>
    <row r="868" spans="5:5" ht="14.25" customHeight="1" x14ac:dyDescent="0.3">
      <c r="E868" s="1080"/>
    </row>
    <row r="869" spans="5:5" ht="14.25" customHeight="1" x14ac:dyDescent="0.3">
      <c r="E869" s="1080"/>
    </row>
    <row r="870" spans="5:5" ht="14.25" customHeight="1" x14ac:dyDescent="0.3">
      <c r="E870" s="1080"/>
    </row>
    <row r="871" spans="5:5" ht="14.25" customHeight="1" x14ac:dyDescent="0.3">
      <c r="E871" s="1080"/>
    </row>
    <row r="872" spans="5:5" ht="14.25" customHeight="1" x14ac:dyDescent="0.3">
      <c r="E872" s="1080"/>
    </row>
    <row r="873" spans="5:5" ht="14.25" customHeight="1" x14ac:dyDescent="0.3">
      <c r="E873" s="1080"/>
    </row>
    <row r="874" spans="5:5" ht="14.25" customHeight="1" x14ac:dyDescent="0.3">
      <c r="E874" s="1080"/>
    </row>
    <row r="875" spans="5:5" ht="14.25" customHeight="1" x14ac:dyDescent="0.3">
      <c r="E875" s="1080"/>
    </row>
    <row r="876" spans="5:5" ht="14.25" customHeight="1" x14ac:dyDescent="0.3">
      <c r="E876" s="1080"/>
    </row>
    <row r="877" spans="5:5" ht="14.25" customHeight="1" x14ac:dyDescent="0.3">
      <c r="E877" s="1080"/>
    </row>
    <row r="878" spans="5:5" ht="14.25" customHeight="1" x14ac:dyDescent="0.3">
      <c r="E878" s="1080"/>
    </row>
    <row r="879" spans="5:5" ht="14.25" customHeight="1" x14ac:dyDescent="0.3">
      <c r="E879" s="1080"/>
    </row>
    <row r="880" spans="5:5" ht="14.25" customHeight="1" x14ac:dyDescent="0.3">
      <c r="E880" s="1080"/>
    </row>
    <row r="881" spans="5:5" ht="14.25" customHeight="1" x14ac:dyDescent="0.3">
      <c r="E881" s="1080"/>
    </row>
    <row r="882" spans="5:5" ht="14.25" customHeight="1" x14ac:dyDescent="0.3">
      <c r="E882" s="1080"/>
    </row>
    <row r="883" spans="5:5" ht="14.25" customHeight="1" x14ac:dyDescent="0.3">
      <c r="E883" s="1080"/>
    </row>
    <row r="884" spans="5:5" ht="14.25" customHeight="1" x14ac:dyDescent="0.3">
      <c r="E884" s="1080"/>
    </row>
    <row r="885" spans="5:5" ht="14.25" customHeight="1" x14ac:dyDescent="0.3">
      <c r="E885" s="1080"/>
    </row>
    <row r="886" spans="5:5" ht="14.25" customHeight="1" x14ac:dyDescent="0.3">
      <c r="E886" s="1080"/>
    </row>
    <row r="887" spans="5:5" ht="14.25" customHeight="1" x14ac:dyDescent="0.3">
      <c r="E887" s="1080"/>
    </row>
    <row r="888" spans="5:5" ht="14.25" customHeight="1" x14ac:dyDescent="0.3">
      <c r="E888" s="1080"/>
    </row>
    <row r="889" spans="5:5" ht="14.25" customHeight="1" x14ac:dyDescent="0.3">
      <c r="E889" s="1080"/>
    </row>
    <row r="890" spans="5:5" ht="14.25" customHeight="1" x14ac:dyDescent="0.3">
      <c r="E890" s="1080"/>
    </row>
    <row r="891" spans="5:5" ht="14.25" customHeight="1" x14ac:dyDescent="0.3">
      <c r="E891" s="1080"/>
    </row>
    <row r="892" spans="5:5" ht="14.25" customHeight="1" x14ac:dyDescent="0.3">
      <c r="E892" s="1080"/>
    </row>
    <row r="893" spans="5:5" ht="14.25" customHeight="1" x14ac:dyDescent="0.3">
      <c r="E893" s="1080"/>
    </row>
    <row r="894" spans="5:5" ht="14.25" customHeight="1" x14ac:dyDescent="0.3">
      <c r="E894" s="1080"/>
    </row>
    <row r="895" spans="5:5" ht="14.25" customHeight="1" x14ac:dyDescent="0.3">
      <c r="E895" s="1080"/>
    </row>
    <row r="896" spans="5:5" ht="14.25" customHeight="1" x14ac:dyDescent="0.3">
      <c r="E896" s="1080"/>
    </row>
    <row r="897" spans="5:5" ht="14.25" customHeight="1" x14ac:dyDescent="0.3">
      <c r="E897" s="1080"/>
    </row>
    <row r="898" spans="5:5" ht="14.25" customHeight="1" x14ac:dyDescent="0.3">
      <c r="E898" s="1080"/>
    </row>
    <row r="899" spans="5:5" ht="14.25" customHeight="1" x14ac:dyDescent="0.3">
      <c r="E899" s="1080"/>
    </row>
    <row r="900" spans="5:5" ht="14.25" customHeight="1" x14ac:dyDescent="0.3">
      <c r="E900" s="1080"/>
    </row>
    <row r="901" spans="5:5" ht="14.25" customHeight="1" x14ac:dyDescent="0.3">
      <c r="E901" s="1080"/>
    </row>
    <row r="902" spans="5:5" ht="14.25" customHeight="1" x14ac:dyDescent="0.3">
      <c r="E902" s="1080"/>
    </row>
    <row r="903" spans="5:5" ht="14.25" customHeight="1" x14ac:dyDescent="0.3">
      <c r="E903" s="1080"/>
    </row>
    <row r="904" spans="5:5" ht="14.25" customHeight="1" x14ac:dyDescent="0.3">
      <c r="E904" s="1080"/>
    </row>
    <row r="905" spans="5:5" ht="14.25" customHeight="1" x14ac:dyDescent="0.3">
      <c r="E905" s="1080"/>
    </row>
    <row r="906" spans="5:5" ht="14.25" customHeight="1" x14ac:dyDescent="0.3">
      <c r="E906" s="1080"/>
    </row>
    <row r="907" spans="5:5" ht="14.25" customHeight="1" x14ac:dyDescent="0.3">
      <c r="E907" s="1080"/>
    </row>
    <row r="908" spans="5:5" ht="14.25" customHeight="1" x14ac:dyDescent="0.3">
      <c r="E908" s="1080"/>
    </row>
    <row r="909" spans="5:5" ht="14.25" customHeight="1" x14ac:dyDescent="0.3">
      <c r="E909" s="1080"/>
    </row>
    <row r="910" spans="5:5" ht="14.25" customHeight="1" x14ac:dyDescent="0.3">
      <c r="E910" s="1080"/>
    </row>
    <row r="911" spans="5:5" ht="14.25" customHeight="1" x14ac:dyDescent="0.3">
      <c r="E911" s="1080"/>
    </row>
    <row r="912" spans="5:5" ht="14.25" customHeight="1" x14ac:dyDescent="0.3">
      <c r="E912" s="1080"/>
    </row>
    <row r="913" spans="5:5" ht="14.25" customHeight="1" x14ac:dyDescent="0.3">
      <c r="E913" s="1080"/>
    </row>
    <row r="914" spans="5:5" ht="14.25" customHeight="1" x14ac:dyDescent="0.3">
      <c r="E914" s="1080"/>
    </row>
    <row r="915" spans="5:5" ht="14.25" customHeight="1" x14ac:dyDescent="0.3">
      <c r="E915" s="1080"/>
    </row>
    <row r="916" spans="5:5" ht="14.25" customHeight="1" x14ac:dyDescent="0.3">
      <c r="E916" s="1080"/>
    </row>
    <row r="917" spans="5:5" ht="14.25" customHeight="1" x14ac:dyDescent="0.3">
      <c r="E917" s="1080"/>
    </row>
    <row r="918" spans="5:5" ht="14.25" customHeight="1" x14ac:dyDescent="0.3">
      <c r="E918" s="1080"/>
    </row>
    <row r="919" spans="5:5" ht="14.25" customHeight="1" x14ac:dyDescent="0.3">
      <c r="E919" s="1080"/>
    </row>
    <row r="920" spans="5:5" ht="14.25" customHeight="1" x14ac:dyDescent="0.3">
      <c r="E920" s="1080"/>
    </row>
    <row r="921" spans="5:5" ht="14.25" customHeight="1" x14ac:dyDescent="0.3">
      <c r="E921" s="1080"/>
    </row>
    <row r="922" spans="5:5" ht="14.25" customHeight="1" x14ac:dyDescent="0.3">
      <c r="E922" s="1080"/>
    </row>
    <row r="923" spans="5:5" ht="14.25" customHeight="1" x14ac:dyDescent="0.3">
      <c r="E923" s="1080"/>
    </row>
    <row r="924" spans="5:5" ht="14.25" customHeight="1" x14ac:dyDescent="0.3">
      <c r="E924" s="1080"/>
    </row>
    <row r="925" spans="5:5" ht="14.25" customHeight="1" x14ac:dyDescent="0.3">
      <c r="E925" s="1080"/>
    </row>
    <row r="926" spans="5:5" ht="14.25" customHeight="1" x14ac:dyDescent="0.3">
      <c r="E926" s="1080"/>
    </row>
    <row r="927" spans="5:5" ht="14.25" customHeight="1" x14ac:dyDescent="0.3">
      <c r="E927" s="1080"/>
    </row>
    <row r="928" spans="5:5" ht="14.25" customHeight="1" x14ac:dyDescent="0.3">
      <c r="E928" s="1080"/>
    </row>
    <row r="929" spans="5:5" ht="14.25" customHeight="1" x14ac:dyDescent="0.3">
      <c r="E929" s="1080"/>
    </row>
    <row r="930" spans="5:5" ht="14.25" customHeight="1" x14ac:dyDescent="0.3">
      <c r="E930" s="1080"/>
    </row>
    <row r="931" spans="5:5" ht="14.25" customHeight="1" x14ac:dyDescent="0.3">
      <c r="E931" s="1080"/>
    </row>
    <row r="932" spans="5:5" ht="14.25" customHeight="1" x14ac:dyDescent="0.3">
      <c r="E932" s="1080"/>
    </row>
    <row r="933" spans="5:5" ht="14.25" customHeight="1" x14ac:dyDescent="0.3">
      <c r="E933" s="1080"/>
    </row>
    <row r="934" spans="5:5" ht="14.25" customHeight="1" x14ac:dyDescent="0.3">
      <c r="E934" s="1080"/>
    </row>
    <row r="935" spans="5:5" ht="14.25" customHeight="1" x14ac:dyDescent="0.3">
      <c r="E935" s="1080"/>
    </row>
    <row r="936" spans="5:5" ht="14.25" customHeight="1" x14ac:dyDescent="0.3">
      <c r="E936" s="1080"/>
    </row>
    <row r="937" spans="5:5" ht="14.25" customHeight="1" x14ac:dyDescent="0.3">
      <c r="E937" s="1080"/>
    </row>
    <row r="938" spans="5:5" ht="14.25" customHeight="1" x14ac:dyDescent="0.3">
      <c r="E938" s="1080"/>
    </row>
    <row r="939" spans="5:5" ht="14.25" customHeight="1" x14ac:dyDescent="0.3">
      <c r="E939" s="1080"/>
    </row>
    <row r="940" spans="5:5" ht="14.25" customHeight="1" x14ac:dyDescent="0.3">
      <c r="E940" s="1080"/>
    </row>
    <row r="941" spans="5:5" ht="14.25" customHeight="1" x14ac:dyDescent="0.3">
      <c r="E941" s="1080"/>
    </row>
    <row r="942" spans="5:5" ht="14.25" customHeight="1" x14ac:dyDescent="0.3">
      <c r="E942" s="1080"/>
    </row>
    <row r="943" spans="5:5" ht="14.25" customHeight="1" x14ac:dyDescent="0.3">
      <c r="E943" s="1080"/>
    </row>
    <row r="944" spans="5:5" ht="14.25" customHeight="1" x14ac:dyDescent="0.3">
      <c r="E944" s="1080"/>
    </row>
    <row r="945" spans="5:5" ht="14.25" customHeight="1" x14ac:dyDescent="0.3">
      <c r="E945" s="1080"/>
    </row>
    <row r="946" spans="5:5" ht="14.25" customHeight="1" x14ac:dyDescent="0.3">
      <c r="E946" s="1080"/>
    </row>
    <row r="947" spans="5:5" ht="14.25" customHeight="1" x14ac:dyDescent="0.3">
      <c r="E947" s="1080"/>
    </row>
    <row r="948" spans="5:5" ht="14.25" customHeight="1" x14ac:dyDescent="0.3">
      <c r="E948" s="1080"/>
    </row>
    <row r="949" spans="5:5" ht="14.25" customHeight="1" x14ac:dyDescent="0.3">
      <c r="E949" s="1080"/>
    </row>
    <row r="950" spans="5:5" ht="14.25" customHeight="1" x14ac:dyDescent="0.3">
      <c r="E950" s="1080"/>
    </row>
    <row r="951" spans="5:5" ht="14.25" customHeight="1" x14ac:dyDescent="0.3">
      <c r="E951" s="1080"/>
    </row>
    <row r="952" spans="5:5" ht="14.25" customHeight="1" x14ac:dyDescent="0.3">
      <c r="E952" s="1080"/>
    </row>
    <row r="953" spans="5:5" ht="14.25" customHeight="1" x14ac:dyDescent="0.3">
      <c r="E953" s="1080"/>
    </row>
    <row r="954" spans="5:5" ht="14.25" customHeight="1" x14ac:dyDescent="0.3">
      <c r="E954" s="1080"/>
    </row>
    <row r="955" spans="5:5" ht="14.25" customHeight="1" x14ac:dyDescent="0.3">
      <c r="E955" s="1080"/>
    </row>
    <row r="956" spans="5:5" ht="14.25" customHeight="1" x14ac:dyDescent="0.3">
      <c r="E956" s="1080"/>
    </row>
    <row r="957" spans="5:5" ht="14.25" customHeight="1" x14ac:dyDescent="0.3">
      <c r="E957" s="1080"/>
    </row>
    <row r="958" spans="5:5" ht="14.25" customHeight="1" x14ac:dyDescent="0.3">
      <c r="E958" s="1080"/>
    </row>
    <row r="959" spans="5:5" ht="14.25" customHeight="1" x14ac:dyDescent="0.3">
      <c r="E959" s="1080"/>
    </row>
    <row r="960" spans="5:5" ht="14.25" customHeight="1" x14ac:dyDescent="0.3">
      <c r="E960" s="1080"/>
    </row>
    <row r="961" spans="5:5" ht="14.25" customHeight="1" x14ac:dyDescent="0.3">
      <c r="E961" s="1080"/>
    </row>
    <row r="962" spans="5:5" ht="14.25" customHeight="1" x14ac:dyDescent="0.3">
      <c r="E962" s="1080"/>
    </row>
    <row r="963" spans="5:5" ht="14.25" customHeight="1" x14ac:dyDescent="0.3">
      <c r="E963" s="1080"/>
    </row>
    <row r="964" spans="5:5" ht="14.25" customHeight="1" x14ac:dyDescent="0.3">
      <c r="E964" s="1080"/>
    </row>
    <row r="965" spans="5:5" ht="14.25" customHeight="1" x14ac:dyDescent="0.3">
      <c r="E965" s="1080"/>
    </row>
    <row r="966" spans="5:5" ht="14.25" customHeight="1" x14ac:dyDescent="0.3">
      <c r="E966" s="1080"/>
    </row>
    <row r="967" spans="5:5" ht="14.25" customHeight="1" x14ac:dyDescent="0.3">
      <c r="E967" s="1080"/>
    </row>
    <row r="968" spans="5:5" ht="14.25" customHeight="1" x14ac:dyDescent="0.3">
      <c r="E968" s="1080"/>
    </row>
    <row r="969" spans="5:5" ht="14.25" customHeight="1" x14ac:dyDescent="0.3">
      <c r="E969" s="1080"/>
    </row>
    <row r="970" spans="5:5" ht="14.25" customHeight="1" x14ac:dyDescent="0.3">
      <c r="E970" s="1080"/>
    </row>
    <row r="971" spans="5:5" ht="14.25" customHeight="1" x14ac:dyDescent="0.3">
      <c r="E971" s="1080"/>
    </row>
    <row r="972" spans="5:5" ht="14.25" customHeight="1" x14ac:dyDescent="0.3">
      <c r="E972" s="1080"/>
    </row>
    <row r="973" spans="5:5" ht="14.25" customHeight="1" x14ac:dyDescent="0.3">
      <c r="E973" s="1080"/>
    </row>
    <row r="974" spans="5:5" ht="14.25" customHeight="1" x14ac:dyDescent="0.3">
      <c r="E974" s="1080"/>
    </row>
    <row r="975" spans="5:5" ht="14.25" customHeight="1" x14ac:dyDescent="0.3">
      <c r="E975" s="1080"/>
    </row>
    <row r="976" spans="5:5" ht="14.25" customHeight="1" x14ac:dyDescent="0.3">
      <c r="E976" s="1080"/>
    </row>
    <row r="977" spans="5:5" ht="14.25" customHeight="1" x14ac:dyDescent="0.3">
      <c r="E977" s="1080"/>
    </row>
    <row r="978" spans="5:5" ht="14.25" customHeight="1" x14ac:dyDescent="0.3">
      <c r="E978" s="1080"/>
    </row>
    <row r="979" spans="5:5" ht="14.25" customHeight="1" x14ac:dyDescent="0.3">
      <c r="E979" s="1080"/>
    </row>
    <row r="980" spans="5:5" ht="14.25" customHeight="1" x14ac:dyDescent="0.3">
      <c r="E980" s="1080"/>
    </row>
    <row r="981" spans="5:5" ht="14.25" customHeight="1" x14ac:dyDescent="0.3">
      <c r="E981" s="1080"/>
    </row>
    <row r="982" spans="5:5" ht="14.25" customHeight="1" x14ac:dyDescent="0.3">
      <c r="E982" s="1080"/>
    </row>
    <row r="983" spans="5:5" ht="14.25" customHeight="1" x14ac:dyDescent="0.3">
      <c r="E983" s="1080"/>
    </row>
    <row r="984" spans="5:5" ht="14.25" customHeight="1" x14ac:dyDescent="0.3">
      <c r="E984" s="1080"/>
    </row>
    <row r="985" spans="5:5" ht="14.25" customHeight="1" x14ac:dyDescent="0.3">
      <c r="E985" s="1080"/>
    </row>
    <row r="986" spans="5:5" ht="14.25" customHeight="1" x14ac:dyDescent="0.3">
      <c r="E986" s="1080"/>
    </row>
    <row r="987" spans="5:5" ht="14.25" customHeight="1" x14ac:dyDescent="0.3">
      <c r="E987" s="1080"/>
    </row>
    <row r="988" spans="5:5" ht="14.25" customHeight="1" x14ac:dyDescent="0.3">
      <c r="E988" s="1080"/>
    </row>
    <row r="989" spans="5:5" ht="14.25" customHeight="1" x14ac:dyDescent="0.3">
      <c r="E989" s="1080"/>
    </row>
    <row r="990" spans="5:5" ht="14.25" customHeight="1" x14ac:dyDescent="0.3">
      <c r="E990" s="1080"/>
    </row>
    <row r="991" spans="5:5" ht="14.25" customHeight="1" x14ac:dyDescent="0.3">
      <c r="E991" s="1080"/>
    </row>
    <row r="992" spans="5:5" ht="14.25" customHeight="1" x14ac:dyDescent="0.3">
      <c r="E992" s="1080"/>
    </row>
    <row r="993" spans="5:5" ht="14.25" customHeight="1" x14ac:dyDescent="0.3">
      <c r="E993" s="1080"/>
    </row>
    <row r="994" spans="5:5" ht="14.25" customHeight="1" x14ac:dyDescent="0.3">
      <c r="E994" s="1080"/>
    </row>
    <row r="995" spans="5:5" ht="14.25" customHeight="1" x14ac:dyDescent="0.3">
      <c r="E995" s="1080"/>
    </row>
    <row r="996" spans="5:5" ht="14.25" customHeight="1" x14ac:dyDescent="0.3">
      <c r="E996" s="1080"/>
    </row>
    <row r="997" spans="5:5" ht="14.25" customHeight="1" x14ac:dyDescent="0.3">
      <c r="E997" s="1080"/>
    </row>
    <row r="998" spans="5:5" ht="14.25" customHeight="1" x14ac:dyDescent="0.3">
      <c r="E998" s="1080"/>
    </row>
    <row r="999" spans="5:5" ht="14.25" customHeight="1" x14ac:dyDescent="0.3">
      <c r="E999" s="1080"/>
    </row>
    <row r="1000" spans="5:5" ht="14.25" customHeight="1" x14ac:dyDescent="0.3">
      <c r="E1000" s="1080"/>
    </row>
  </sheetData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27</vt:i4>
      </vt:variant>
      <vt:variant>
        <vt:lpstr>Plages nommées</vt:lpstr>
      </vt:variant>
      <vt:variant>
        <vt:i4>178</vt:i4>
      </vt:variant>
    </vt:vector>
  </HeadingPairs>
  <TitlesOfParts>
    <vt:vector size="205" baseType="lpstr">
      <vt:lpstr>T1</vt:lpstr>
      <vt:lpstr>T1-T6</vt:lpstr>
      <vt:lpstr>T1-T6 + Caissons</vt:lpstr>
      <vt:lpstr>T1-T3 MRT</vt:lpstr>
      <vt:lpstr>MRT</vt:lpstr>
      <vt:lpstr>T1 LOUVRE</vt:lpstr>
      <vt:lpstr>T1-T6 LOUVRE</vt:lpstr>
      <vt:lpstr>Tableau Anti Vibratoire</vt:lpstr>
      <vt:lpstr>T à Glissières</vt:lpstr>
      <vt:lpstr>T Séparations mousse</vt:lpstr>
      <vt:lpstr>Caisson Tableaux</vt:lpstr>
      <vt:lpstr>Objet 1</vt:lpstr>
      <vt:lpstr>Objet 2 à 6</vt:lpstr>
      <vt:lpstr>Caisse à Plateau</vt:lpstr>
      <vt:lpstr>Palette</vt:lpstr>
      <vt:lpstr>Caisse Cuvette</vt:lpstr>
      <vt:lpstr> Objet Anti Vibratoire</vt:lpstr>
      <vt:lpstr>Tapisserie</vt:lpstr>
      <vt:lpstr>Claire-Voie</vt:lpstr>
      <vt:lpstr>1 Caisson Objet</vt:lpstr>
      <vt:lpstr>6 Caissons Objets</vt:lpstr>
      <vt:lpstr>Wrapp</vt:lpstr>
      <vt:lpstr>Wrapp Barré</vt:lpstr>
      <vt:lpstr>Vente de Matière</vt:lpstr>
      <vt:lpstr>Caisse Garde-Meubles</vt:lpstr>
      <vt:lpstr>Prix Matiere</vt:lpstr>
      <vt:lpstr>Infos Clients</vt:lpstr>
      <vt:lpstr>'Caisse à Plateau'!Base</vt:lpstr>
      <vt:lpstr>'Claire-Voie'!Base</vt:lpstr>
      <vt:lpstr>'Objet 1'!Base</vt:lpstr>
      <vt:lpstr>'Wrapp Barré'!Base</vt:lpstr>
      <vt:lpstr>' Objet Anti Vibratoire'!Base_OAV</vt:lpstr>
      <vt:lpstr>'1 Caisson Objet'!Base1</vt:lpstr>
      <vt:lpstr>'6 Caissons Objets'!Base1</vt:lpstr>
      <vt:lpstr>'Objet 2 à 6'!Base1</vt:lpstr>
      <vt:lpstr>'6 Caissons Objets'!Base2</vt:lpstr>
      <vt:lpstr>'Objet 2 à 6'!Base2</vt:lpstr>
      <vt:lpstr>'6 Caissons Objets'!Base3</vt:lpstr>
      <vt:lpstr>'Objet 2 à 6'!Base3</vt:lpstr>
      <vt:lpstr>'1 Caisson Objet'!Base4</vt:lpstr>
      <vt:lpstr>'6 Caissons Objets'!Base4</vt:lpstr>
      <vt:lpstr>'Objet 2 à 6'!Base4</vt:lpstr>
      <vt:lpstr>'6 Caissons Objets'!Base5</vt:lpstr>
      <vt:lpstr>'Objet 2 à 6'!Base5</vt:lpstr>
      <vt:lpstr>'6 Caissons Objets'!Base6</vt:lpstr>
      <vt:lpstr>'Objet 2 à 6'!Base6</vt:lpstr>
      <vt:lpstr>'Caisse à Plateau'!BaseP</vt:lpstr>
      <vt:lpstr>Palette!BaseP</vt:lpstr>
      <vt:lpstr>Carton</vt:lpstr>
      <vt:lpstr>'Caisse Cuvette'!CCBase1</vt:lpstr>
      <vt:lpstr>'Caisse Cuvette'!CCBase2</vt:lpstr>
      <vt:lpstr>'Caisse Cuvette'!CCBase3</vt:lpstr>
      <vt:lpstr>'Caisse Cuvette'!CCBase4</vt:lpstr>
      <vt:lpstr>'Caisse Cuvette'!CCBase5</vt:lpstr>
      <vt:lpstr>'Caisse Cuvette'!CCBase6</vt:lpstr>
      <vt:lpstr>'Caisse Cuvette'!CCType_de_mousse1</vt:lpstr>
      <vt:lpstr>'Caisse Cuvette'!CCType_de_mousse2</vt:lpstr>
      <vt:lpstr>'Caisse Cuvette'!CCType_de_mousse3</vt:lpstr>
      <vt:lpstr>'Caisse Cuvette'!CCType_de_mousse4</vt:lpstr>
      <vt:lpstr>'Caisse Cuvette'!CCType_de_mousse5</vt:lpstr>
      <vt:lpstr>'Caisse Cuvette'!CCType_de_mousse6</vt:lpstr>
      <vt:lpstr>'Caisse à Plateau'!Dimensions_intérieures_CP_15_hauteur</vt:lpstr>
      <vt:lpstr>'Caisse Cuvette'!Dimensions_intérieures_CP_15_hauteur</vt:lpstr>
      <vt:lpstr>'Claire-Voie'!Dimensions_intérieures_CP_15_hauteur</vt:lpstr>
      <vt:lpstr>'Objet 1'!Dimensions_intérieures_CP_15_hauteur</vt:lpstr>
      <vt:lpstr>'Objet 2 à 6'!Dimensions_intérieures_CP_15_hauteur</vt:lpstr>
      <vt:lpstr>Tapisserie!Dimensions_intérieures_CP_15_hauteur</vt:lpstr>
      <vt:lpstr>'Wrapp Barré'!Dimensions_intérieures_CP_15_hauteur</vt:lpstr>
      <vt:lpstr>' Objet Anti Vibratoire'!Dimensions_intérieures_CP_15_hauteur_OAV</vt:lpstr>
      <vt:lpstr>'Caisse à Plateau'!Dimensions_intérieures_CP_15_hauteur_P</vt:lpstr>
      <vt:lpstr>'Caisse à Plateau'!Dimensions_intérieures_Cp_15_largeur</vt:lpstr>
      <vt:lpstr>'Caisse Cuvette'!Dimensions_intérieures_Cp_15_largeur</vt:lpstr>
      <vt:lpstr>'Claire-Voie'!Dimensions_intérieures_Cp_15_largeur</vt:lpstr>
      <vt:lpstr>'Objet 1'!Dimensions_intérieures_Cp_15_largeur</vt:lpstr>
      <vt:lpstr>'Objet 2 à 6'!Dimensions_intérieures_Cp_15_largeur</vt:lpstr>
      <vt:lpstr>Tapisserie!Dimensions_intérieures_Cp_15_largeur</vt:lpstr>
      <vt:lpstr>'Wrapp Barré'!Dimensions_intérieures_Cp_15_largeur</vt:lpstr>
      <vt:lpstr>'Caisse à Plateau'!Dimensions_intérieures_Cp_15_largeur_P</vt:lpstr>
      <vt:lpstr>'Caisse à Plateau'!Dimensions_intérieures_Cp_15_longueur</vt:lpstr>
      <vt:lpstr>'Caisse Cuvette'!Dimensions_intérieures_Cp_15_longueur</vt:lpstr>
      <vt:lpstr>'Claire-Voie'!Dimensions_intérieures_Cp_15_longueur</vt:lpstr>
      <vt:lpstr>'Objet 1'!Dimensions_intérieures_Cp_15_longueur</vt:lpstr>
      <vt:lpstr>'Objet 2 à 6'!Dimensions_intérieures_Cp_15_longueur</vt:lpstr>
      <vt:lpstr>Tapisserie!Dimensions_intérieures_Cp_15_longueur</vt:lpstr>
      <vt:lpstr>'Wrapp Barré'!Dimensions_intérieures_Cp_15_longueur</vt:lpstr>
      <vt:lpstr>'Caisse à Plateau'!Dimensions_intérieures_Cp_15_longueur_P</vt:lpstr>
      <vt:lpstr>Frais_Généraux</vt:lpstr>
      <vt:lpstr>'Caisse Cuvette'!Hauteur_cuvette1</vt:lpstr>
      <vt:lpstr>'Caisse Cuvette'!Hauteur_cuvette2</vt:lpstr>
      <vt:lpstr>'Caisse Cuvette'!Hauteur_cuvette3</vt:lpstr>
      <vt:lpstr>'Caisse Cuvette'!Hauteur_cuvette4</vt:lpstr>
      <vt:lpstr>'Caisse Cuvette'!Hauteur_cuvette5</vt:lpstr>
      <vt:lpstr>'Caisse Cuvette'!Hauteur_cuvette6</vt:lpstr>
      <vt:lpstr>'1 Caisson Objet'!hnec1</vt:lpstr>
      <vt:lpstr>'6 Caissons Objets'!hnec1</vt:lpstr>
      <vt:lpstr>'Objet 2 à 6'!hnec1</vt:lpstr>
      <vt:lpstr>'6 Caissons Objets'!hnec2</vt:lpstr>
      <vt:lpstr>'Objet 2 à 6'!hnec2</vt:lpstr>
      <vt:lpstr>'6 Caissons Objets'!hnec3</vt:lpstr>
      <vt:lpstr>'Objet 2 à 6'!hnec3</vt:lpstr>
      <vt:lpstr>'1 Caisson Objet'!hnec4</vt:lpstr>
      <vt:lpstr>'6 Caissons Objets'!hnec4</vt:lpstr>
      <vt:lpstr>'Objet 2 à 6'!hnec4</vt:lpstr>
      <vt:lpstr>'6 Caissons Objets'!hnec5</vt:lpstr>
      <vt:lpstr>'Objet 2 à 6'!hnec5</vt:lpstr>
      <vt:lpstr>'6 Caissons Objets'!hnec6</vt:lpstr>
      <vt:lpstr>'Objet 2 à 6'!hnec6</vt:lpstr>
      <vt:lpstr>'1 Caisson Objet'!lanec1</vt:lpstr>
      <vt:lpstr>'6 Caissons Objets'!lanec1</vt:lpstr>
      <vt:lpstr>'Objet 2 à 6'!lanec1</vt:lpstr>
      <vt:lpstr>'6 Caissons Objets'!lanec2</vt:lpstr>
      <vt:lpstr>'Objet 2 à 6'!lanec2</vt:lpstr>
      <vt:lpstr>'6 Caissons Objets'!lanec3</vt:lpstr>
      <vt:lpstr>'Objet 2 à 6'!lanec3</vt:lpstr>
      <vt:lpstr>'1 Caisson Objet'!lanec4</vt:lpstr>
      <vt:lpstr>'6 Caissons Objets'!lanec4</vt:lpstr>
      <vt:lpstr>'Objet 2 à 6'!lanec4</vt:lpstr>
      <vt:lpstr>'6 Caissons Objets'!lanec5</vt:lpstr>
      <vt:lpstr>'Objet 2 à 6'!lanec5</vt:lpstr>
      <vt:lpstr>'6 Caissons Objets'!lanec6</vt:lpstr>
      <vt:lpstr>'Objet 2 à 6'!lanec6</vt:lpstr>
      <vt:lpstr>ListeLogo</vt:lpstr>
      <vt:lpstr>'1 Caisson Objet'!Lnec1</vt:lpstr>
      <vt:lpstr>'6 Caissons Objets'!Lnec1</vt:lpstr>
      <vt:lpstr>'Objet 2 à 6'!Lnec1</vt:lpstr>
      <vt:lpstr>'6 Caissons Objets'!Lnec2</vt:lpstr>
      <vt:lpstr>'Objet 2 à 6'!Lnec2</vt:lpstr>
      <vt:lpstr>'6 Caissons Objets'!Lnec3</vt:lpstr>
      <vt:lpstr>'Objet 2 à 6'!Lnec3</vt:lpstr>
      <vt:lpstr>'1 Caisson Objet'!Lnec4</vt:lpstr>
      <vt:lpstr>'6 Caissons Objets'!Lnec4</vt:lpstr>
      <vt:lpstr>'Objet 2 à 6'!Lnec4</vt:lpstr>
      <vt:lpstr>'6 Caissons Objets'!Lnec5</vt:lpstr>
      <vt:lpstr>'Objet 2 à 6'!Lnec5</vt:lpstr>
      <vt:lpstr>'6 Caissons Objets'!Lnec6</vt:lpstr>
      <vt:lpstr>'Objet 2 à 6'!Lnec6</vt:lpstr>
      <vt:lpstr>Marge</vt:lpstr>
      <vt:lpstr>MinuteMO</vt:lpstr>
      <vt:lpstr>'1 Caisson Objet'!Moussecal1</vt:lpstr>
      <vt:lpstr>'6 Caissons Objets'!Moussecal1</vt:lpstr>
      <vt:lpstr>'Objet 2 à 6'!Moussecal1</vt:lpstr>
      <vt:lpstr>'6 Caissons Objets'!Moussecal2</vt:lpstr>
      <vt:lpstr>'Objet 2 à 6'!Moussecal2</vt:lpstr>
      <vt:lpstr>'6 Caissons Objets'!Moussecal3</vt:lpstr>
      <vt:lpstr>'Objet 2 à 6'!Moussecal3</vt:lpstr>
      <vt:lpstr>'6 Caissons Objets'!Moussecal4</vt:lpstr>
      <vt:lpstr>'Objet 2 à 6'!Moussecal4</vt:lpstr>
      <vt:lpstr>'6 Caissons Objets'!Moussecal5</vt:lpstr>
      <vt:lpstr>'Objet 2 à 6'!Moussecal5</vt:lpstr>
      <vt:lpstr>'6 Caissons Objets'!Moussecal6</vt:lpstr>
      <vt:lpstr>'Objet 2 à 6'!Moussecal6</vt:lpstr>
      <vt:lpstr>'1 Caisson Objet'!nbcal1</vt:lpstr>
      <vt:lpstr>'6 Caissons Objets'!nbcal1</vt:lpstr>
      <vt:lpstr>'Objet 2 à 6'!nbcal1</vt:lpstr>
      <vt:lpstr>'6 Caissons Objets'!nbcal2</vt:lpstr>
      <vt:lpstr>'Objet 2 à 6'!nbcal2</vt:lpstr>
      <vt:lpstr>'6 Caissons Objets'!nbcal3</vt:lpstr>
      <vt:lpstr>'Objet 2 à 6'!nbcal3</vt:lpstr>
      <vt:lpstr>'1 Caisson Objet'!nbcal4</vt:lpstr>
      <vt:lpstr>'6 Caissons Objets'!nbcal4</vt:lpstr>
      <vt:lpstr>'Objet 2 à 6'!nbcal4</vt:lpstr>
      <vt:lpstr>'6 Caissons Objets'!nbcal5</vt:lpstr>
      <vt:lpstr>'Objet 2 à 6'!nbcal5</vt:lpstr>
      <vt:lpstr>'6 Caissons Objets'!nbcal6</vt:lpstr>
      <vt:lpstr>'Objet 2 à 6'!nbcal6</vt:lpstr>
      <vt:lpstr>'Objet 2 à 6'!NBCALAGES</vt:lpstr>
      <vt:lpstr>'Caisse Cuvette'!nombre_de_calages</vt:lpstr>
      <vt:lpstr>'Claire-Voie'!nombre_de_calages</vt:lpstr>
      <vt:lpstr>'Objet 1'!nombre_de_calages</vt:lpstr>
      <vt:lpstr>'Wrapp Barré'!nombre_de_calages</vt:lpstr>
      <vt:lpstr>' Objet Anti Vibratoire'!nombre_de_calages_OAV</vt:lpstr>
      <vt:lpstr>'Caisse à Plateau'!nombre_de_calages_P</vt:lpstr>
      <vt:lpstr>'1 Caisson Objet'!plat1</vt:lpstr>
      <vt:lpstr>'6 Caissons Objets'!plat1</vt:lpstr>
      <vt:lpstr>'Objet 2 à 6'!plat1</vt:lpstr>
      <vt:lpstr>'6 Caissons Objets'!plat2</vt:lpstr>
      <vt:lpstr>'Objet 2 à 6'!plat2</vt:lpstr>
      <vt:lpstr>'6 Caissons Objets'!plat3</vt:lpstr>
      <vt:lpstr>'Objet 2 à 6'!plat3</vt:lpstr>
      <vt:lpstr>'1 Caisson Objet'!plat4</vt:lpstr>
      <vt:lpstr>'6 Caissons Objets'!plat4</vt:lpstr>
      <vt:lpstr>'Objet 2 à 6'!plat4</vt:lpstr>
      <vt:lpstr>'6 Caissons Objets'!plat5</vt:lpstr>
      <vt:lpstr>'Objet 2 à 6'!plat5</vt:lpstr>
      <vt:lpstr>'6 Caissons Objets'!plat6</vt:lpstr>
      <vt:lpstr>'Objet 2 à 6'!plat6</vt:lpstr>
      <vt:lpstr>'Caisse à Plateau'!Plateau</vt:lpstr>
      <vt:lpstr>'Claire-Voie'!Plateau</vt:lpstr>
      <vt:lpstr>'Objet 1'!Plateau</vt:lpstr>
      <vt:lpstr>Palette!Plateau</vt:lpstr>
      <vt:lpstr>'Wrapp Barré'!Plateau</vt:lpstr>
      <vt:lpstr>'Caisse à Plateau'!PlateauP</vt:lpstr>
      <vt:lpstr>Palette!PlateauP</vt:lpstr>
      <vt:lpstr>Poids_Carton</vt:lpstr>
      <vt:lpstr>Prixmatière</vt:lpstr>
      <vt:lpstr>'Objet 2 à 6'!typedemousse</vt:lpstr>
      <vt:lpstr>'1 Caisson Objet'!Typedemousse1</vt:lpstr>
      <vt:lpstr>'6 Caissons Objets'!Typedemousse1</vt:lpstr>
      <vt:lpstr>'6 Caissons Objets'!Typedemousse2</vt:lpstr>
      <vt:lpstr>'6 Caissons Objets'!Typedemousse3</vt:lpstr>
      <vt:lpstr>'1 Caisson Objet'!Typedemousse4</vt:lpstr>
      <vt:lpstr>'6 Caissons Objets'!Typedemousse4</vt:lpstr>
      <vt:lpstr>'6 Caissons Objets'!Typedemousse5</vt:lpstr>
      <vt:lpstr>'6 Caissons Objets'!Typedemousse6</vt:lpstr>
      <vt:lpstr>MRT!Zone_d_impression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 Villette</dc:creator>
  <cp:lastModifiedBy>Grégory MORA</cp:lastModifiedBy>
  <cp:lastPrinted>2026-03-10T16:03:44Z</cp:lastPrinted>
  <dcterms:created xsi:type="dcterms:W3CDTF">2014-02-03T08:12:27Z</dcterms:created>
  <dcterms:modified xsi:type="dcterms:W3CDTF">2026-06-26T12:03:12Z</dcterms:modified>
</cp:coreProperties>
</file>